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15.xml"/>
  <Override ContentType="application/vnd.openxmlformats-officedocument.spreadsheetml.comments+xml" PartName="/xl/comments16.xml"/>
  <Override ContentType="application/vnd.openxmlformats-officedocument.spreadsheetml.comments+xml" PartName="/xl/comments17.xml"/>
  <Override ContentType="application/vnd.openxmlformats-officedocument.spreadsheetml.comments+xml" PartName="/xl/comments18.xml"/>
  <Override ContentType="application/vnd.openxmlformats-officedocument.spreadsheetml.comments+xml" PartName="/xl/comments19.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0005" yWindow="2340" windowWidth="7620" windowHeight="1170" tabRatio="658"/>
  </bookViews>
  <sheets>
    <sheet name="ImportantDisclosures" sheetId="139" r:id="rId1"/>
    <sheet name="SheetVisibilityStatus" sheetId="143" state="veryHidden" r:id="rId2"/>
    <sheet name="CircularReferenceAlert" sheetId="142" r:id="rId3"/>
    <sheet name="Multiples" sheetId="62" state="veryHidden" r:id="rId4"/>
    <sheet name="FMV Summary" sheetId="63" state="veryHidden" r:id="rId5"/>
    <sheet name="FMV" sheetId="60" state="veryHidden" r:id="rId6"/>
    <sheet name="GAAP Financial Statements" sheetId="23" state="veryHidden" r:id="rId7"/>
    <sheet name="Free Cash Flow" sheetId="56" state="veryHidden" r:id="rId8"/>
    <sheet name="Revenue and OCF" sheetId="25" state="veryHidden" r:id="rId9"/>
    <sheet name="Drivers" sheetId="59" state="veryHidden" r:id="rId10"/>
    <sheet name="Scenarios" sheetId="73" state="veryHidden" r:id="rId11"/>
    <sheet name="Segment Detail" sheetId="30" state="veryHidden" r:id="rId12"/>
    <sheet name="CBS Network" sheetId="31" state="veryHidden" r:id="rId13"/>
    <sheet name="Retrans" sheetId="95" state="veryHidden" r:id="rId14"/>
    <sheet name="Showtime" sheetId="20" state="veryHidden" r:id="rId15"/>
    <sheet name="CBS Interactive" sheetId="85" state="veryHidden" r:id="rId16"/>
    <sheet name="TV Production and Syndication" sheetId="38" state="veryHidden" r:id="rId17"/>
    <sheet name="TV Production" sheetId="39" state="veryHidden" r:id="rId18"/>
    <sheet name="First-run Syndication" sheetId="40" state="veryHidden" r:id="rId19"/>
    <sheet name="Off-network Syndication" sheetId="41" state="veryHidden" r:id="rId20"/>
    <sheet name="Publishing (new)" sheetId="52" state="veryHidden" r:id="rId21"/>
    <sheet name="CBS Stations" sheetId="32" state="veryHidden" r:id="rId22"/>
    <sheet name="CW Stations" sheetId="33" state="veryHidden" r:id="rId23"/>
    <sheet name="Corporate and FAS 123" sheetId="53" state="veryHidden" r:id="rId24"/>
    <sheet name="IndexInformation" sheetId="140" state="veryHidden" r:id="rId25"/>
    <sheet name="ModPubIndex" sheetId="141" state="veryHidden" r:id="rId26"/>
  </sheets>
  <externalReferences>
    <externalReference r:id="rId27"/>
    <externalReference r:id="rId28"/>
    <externalReference r:id="rId29"/>
    <externalReference r:id="rId30"/>
    <externalReference r:id="rId31"/>
    <externalReference r:id="rId32"/>
  </externalReferences>
  <definedNames>
    <definedName name="__FDS_HYPERLINK_TOGGLE_STATE__" hidden="1">"ON"</definedName>
    <definedName name="__FDS_UNIQUE_RANGE_ID_GENERATOR_COUNTER" hidden="1">3931</definedName>
    <definedName name="__FDS_USED_FOR_REUSING_RANGE_IDS_RECYCLE" hidden="1">{3927,3929,3928,3930}</definedName>
    <definedName name="_10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Aggregates&amp;ACTION=UPDATE&amp;CREATOR=FACTSET&amp;HEIGHT=525&amp;WIDTH=500&amp;DOC_NAME=FAT:FMA_AUDIT_TM.FAT&amp;VAR:CURRENCY=USD&amp;VAR:AUDIT_ID=99900421&amp;VAR:CALC_MODE","=PORTFOLIO&amp;VAR:CHGPERIOD=NA&amp;DISPLAY_STRING=Price to Earnings Ratio&amp;VAR:FQLFORMULA=FMA_PE&amp;VAR:MEASURE=PE&amp;VAR:NULL=.HTML&amp;VAR:TM=NTMA&amp;VAR:PCT=0.975342&amp;VAR:V=16.762430&amp;VAR:V0=19.314051&amp;VAR:V1=16.706631&amp;VAR:Y0=2010&amp;VAR:Y1=2011&amp;VAR:P=511.975029&amp;VAR:DATE=2010122","2&amp;VAR:THRESH=||||||"}</definedName>
    <definedName name="_1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0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10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10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10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10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10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10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10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10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10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1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0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10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10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10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10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1015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0.301370&amp;VAR:V=16.212686&amp;VAR:V0=16.965284&amp;VAR:V1=14.700890&amp;VAR:Y0=2011&amp;VAR:Y1=2012&amp;VAR:P=532.920000&amp;VAR:DATE=20110420&amp;VAR:THRESH=|||||","|"}</definedName>
    <definedName name="_10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0.301370&amp;VAR:V=12.820958&amp;VAR:V0=13.327723&amp;VAR:V1=11.782398&amp;VAR:Y0=2011&amp;VAR:Y1=2012&amp;VAR:P=1328.260000&amp;VAR:DATE=20110420&amp;VAR:THRESH=||||","||"}</definedName>
    <definedName name="_1017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0.301370&amp;VAR:V=16.212686&amp;VAR:V0=16.965284&amp;VAR:V1=14.700890&amp;VAR:Y0=2011&amp;VAR:Y1=2012&amp;VAR:P=533.068070&amp;VAR:DATE=20110420&amp;VAR:THRESH=|||||","|"}</definedName>
    <definedName name="_10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0.301370&amp;VAR:V=12.820958&amp;VAR:V0=13.327723&amp;VAR:V1=11.782398&amp;VAR:Y0=2011&amp;VAR:Y1=2012&amp;VAR:P=1330.357805&amp;VAR:DATE=20110420&amp;VAR:THRESH=||||","||"}</definedName>
    <definedName name="_1019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0.452055&amp;VAR:V=15.253292&amp;VAR:V0=16.343254&amp;VAR:V1=14.112460&amp;VAR:Y0=2011&amp;VAR:Y1=2012&amp;VAR:P=503.010000&amp;VAR:DATE=20110614&amp;VAR:THRESH=-|-|-","|-|-|-|-"}</definedName>
    <definedName name="_1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020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0.435616&amp;VAR:V=15.437299&amp;VAR:V0=16.508421&amp;VAR:V1=14.240226&amp;VAR:Y0=2011&amp;VAR:Y1=2012&amp;VAR:P=501.783352&amp;VAR:DATE=20110608&amp;VAR:THRESH=-|-|-","|-|-|-|-"}</definedName>
    <definedName name="_1021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0.416438&amp;VAR:V=16.096346&amp;VAR:V0=17.159732&amp;VAR:V1=14.810236&amp;VAR:Y0=2011&amp;VAR:Y1=2012&amp;VAR:P=521.618284&amp;VAR:DATE=20110601&amp;VAR:THRESH=-|-|-","|-|-|-|-"}</definedName>
    <definedName name="_1022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0.397260&amp;VAR:V=16.295600&amp;VAR:V0=17.316744&amp;VAR:V1=14.957369&amp;VAR:Y0=2011&amp;VAR:Y1=2012&amp;VAR:P=526.579779&amp;VAR:DATE=20110525&amp;VAR:THRESH=-|-|-","|-|-|-|-"}</definedName>
    <definedName name="_1023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0.378082&amp;VAR:V=16.661135&amp;VAR:V0=17.630502&amp;VAR:V1=15.279249&amp;VAR:Y0=2011&amp;VAR:Y1=2012&amp;VAR:P=539.528256&amp;VAR:DATE=20110518&amp;VAR:THRESH=-|-|-","|-|-|-|-"}</definedName>
    <definedName name="_1024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0.358904&amp;VAR:V=16.800531&amp;VAR:V0=17.725766&amp;VAR:V1=15.367684&amp;VAR:Y0=2011&amp;VAR:Y1=2012&amp;VAR:P=545.902722&amp;VAR:DATE=20110511&amp;VAR:THRESH=-|-|-","|-|-|-|-"}</definedName>
    <definedName name="_1025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0.339726&amp;VAR:V=16.765315&amp;VAR:V0=17.643718&amp;VAR:V1=15.286211&amp;VAR:Y0=2011&amp;VAR:Y1=2012&amp;VAR:P=540.304174&amp;VAR:DATE=20110504&amp;VAR:THRESH=-|-|-","|-|-|-|-"}</definedName>
    <definedName name="_1026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0.320548&amp;VAR:V=16.869416&amp;VAR:V0=17.707216&amp;VAR:V1=15.331796&amp;VAR:Y0=2011&amp;VAR:Y1=2012&amp;VAR:P=542.722671&amp;VAR:DATE=20110427&amp;VAR:THRESH=-|-|-","|-|-|-|-"}</definedName>
    <definedName name="_10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0.452055&amp;VAR:V=12.012535&amp;VAR:V0=12.731062&amp;VAR:V1=11.243369&amp;VAR:Y0=2011&amp;VAR:Y1=2012&amp;VAR:P=1284.540000&amp;VAR:DATE=20110614&amp;VAR:THRESH=-|-|","-|-|-|-|-"}</definedName>
    <definedName name="_10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0.435616&amp;VAR:V=12.105268&amp;VAR:V0=12.799671&amp;VAR:V1=11.310289&amp;VAR:Y0=2011&amp;VAR:Y1=2012&amp;VAR:P=1279.555810&amp;VAR:DATE=20110608&amp;VAR:THRESH=-|-|","-|-|-|-|-"}</definedName>
    <definedName name="_10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0.416438&amp;VAR:V=12.475494&amp;VAR:V0=13.154923&amp;VAR:V1=11.633513&amp;VAR:Y0=2011&amp;VAR:Y1=2012&amp;VAR:P=1314.545873&amp;VAR:DATE=20110601&amp;VAR:THRESH=-|-|","-|-|-|-|-"}</definedName>
    <definedName name="_1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0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0.397260&amp;VAR:V=12.562607&amp;VAR:V0=13.217705&amp;VAR:V1=11.683996&amp;VAR:Y0=2011&amp;VAR:Y1=2012&amp;VAR:P=1320.473136&amp;VAR:DATE=20110525&amp;VAR:THRESH=-|-|","-|-|-|-|-"}</definedName>
    <definedName name="_10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0.378082&amp;VAR:V=12.799400&amp;VAR:V0=13.426270&amp;VAR:V1=11.886500&amp;VAR:Y0=2011&amp;VAR:Y1=2012&amp;VAR:P=1340.676989&amp;VAR:DATE=20110518&amp;VAR:THRESH=-|-|","-|-|-|-|-"}</definedName>
    <definedName name="_10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0.358904&amp;VAR:V=12.840882&amp;VAR:V0=13.447345&amp;VAR:V1=11.883558&amp;VAR:Y0=2011&amp;VAR:Y1=2012&amp;VAR:P=1342.083236&amp;VAR:DATE=20110511&amp;VAR:THRESH=-|-|","-|-|-|-|-"}</definedName>
    <definedName name="_10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0.339726&amp;VAR:V=12.931718&amp;VAR:V0=13.508606&amp;VAR:V1=11.940649&amp;VAR:Y0=2011&amp;VAR:Y1=2012&amp;VAR:P=1347.323447&amp;VAR:DATE=20110504&amp;VAR:THRESH=-|-|","-|-|-|-|-"}</definedName>
    <definedName name="_10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0.320548&amp;VAR:V=13.097779&amp;VAR:V0=13.654419&amp;VAR:V1=12.056012&amp;VAR:Y0=2011&amp;VAR:Y1=2012&amp;VAR:P=1355.658014&amp;VAR:DATE=20110427&amp;VAR:THRESH=-|-|","-|-|-|-|-"}</definedName>
    <definedName name="_1035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0.531507&amp;VAR:V=16.631172&amp;VAR:V0=18.020615&amp;VAR:V1=15.572814&amp;VAR:Y0=2011&amp;VAR:Y1=2012&amp;VAR:P=549.990000&amp;VAR:DATE=20110713&amp;VAR:THRESH=-|-|-","|-|-|-|-"}</definedName>
    <definedName name="_1036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0.512329&amp;VAR:V=16.687525&amp;VAR:V0=18.033450&amp;VAR:V1=15.580632&amp;VAR:Y0=2011&amp;VAR:Y1=2012&amp;VAR:P=544.404273&amp;VAR:DATE=20110706&amp;VAR:THRESH=-|-|-","|-|-|-|-"}</definedName>
    <definedName name="_1037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0.493151&amp;VAR:V=16.139587&amp;VAR:V0=17.401400&amp;VAR:V1=15.020188&amp;VAR:Y0=2011&amp;VAR:Y1=2012&amp;VAR:P=527.077203&amp;VAR:DATE=20110629&amp;VAR:THRESH=-|-|-","|-|-|-|-"}</definedName>
    <definedName name="_1038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0.473973&amp;VAR:V=15.761723&amp;VAR:V0=16.956830&amp;VAR:V1=14.618282&amp;VAR:Y0=2011&amp;VAR:Y1=2012&amp;VAR:P=513.455558&amp;VAR:DATE=20110622&amp;VAR:THRESH=-|-|-","|-|-|-|-"}</definedName>
    <definedName name="_1039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0.454795&amp;VAR:V=15.301241&amp;VAR:V0=16.406100&amp;VAR:V1=14.158218&amp;VAR:Y0=2011&amp;VAR:Y1=2012&amp;VAR:P=498.942744&amp;VAR:DATE=20110615&amp;VAR:THRESH=-|-|-","|-|-|-|-"}</definedName>
    <definedName name="_1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0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0.531507&amp;VAR:V=12.409379&amp;VAR:V0=13.377298&amp;VAR:V1=11.665393&amp;VAR:Y0=2011&amp;VAR:Y1=2012&amp;VAR:P=1325.150000&amp;VAR:DATE=20110713&amp;VAR:THRESH=-|-|","-|-|-|-|-"}</definedName>
    <definedName name="_10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0.512329&amp;VAR:V=12.667052&amp;VAR:V0=13.611225&amp;VAR:V1=11.882468&amp;VAR:Y0=2011&amp;VAR:Y1=2012&amp;VAR:P=1339.224699&amp;VAR:DATE=20110706&amp;VAR:THRESH=-|-|","-|-|-|-|-"}</definedName>
    <definedName name="_10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0.493151&amp;VAR:V=12.376850&amp;VAR:V0=13.289416&amp;VAR:V1=11.560925&amp;VAR:Y0=2011&amp;VAR:Y1=2012&amp;VAR:P=1307.411019&amp;VAR:DATE=20110629&amp;VAR:THRESH=-|-|","-|-|-|-|-"}</definedName>
    <definedName name="_10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0.473973&amp;VAR:V=12.117015&amp;VAR:V0=12.886195&amp;VAR:V1=11.364185&amp;VAR:Y0=2011&amp;VAR:Y1=2012&amp;VAR:P=1287.136468&amp;VAR:DATE=20110622&amp;VAR:THRESH=-|-|","-|-|-|-|-"}</definedName>
    <definedName name="_10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0.454795&amp;VAR:V=11.930042&amp;VAR:V0=12.649898&amp;VAR:V1=11.168164&amp;VAR:Y0=2011&amp;VAR:Y1=2012&amp;VAR:P=1265.422892&amp;VAR:DATE=20110615&amp;VAR:THRESH=-|-|","-|-|-|-|-"}</definedName>
    <definedName name="_1045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0.534247&amp;VAR:V=16.707495&amp;VAR:V0=18.119800&amp;VAR:V1=15.644455&amp;VAR:Y0=2011&amp;VAR:Y1=2012&amp;VAR:P=541.150000&amp;VAR:DATE=20110714&amp;VAR:THRESH=-|-|-","|-|-|-|-"}</definedName>
    <definedName name="_10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0.534247&amp;VAR:V=12.431978&amp;VAR:V0=13.417374&amp;VAR:V1=11.683903&amp;VAR:Y0=2011&amp;VAR:Y1=2012&amp;VAR:P=1308.870000&amp;VAR:DATE=20110714&amp;VAR:THRESH=-|-|","-|-|-|-|-"}</definedName>
    <definedName name="_1047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0.531507&amp;VAR:V=16.631172&amp;VAR:V0=18.020615&amp;VAR:V1=15.572814&amp;VAR:Y0=2011&amp;VAR:Y1=2012&amp;VAR:P=549.990000&amp;VAR:DATE=20110713&amp;VAR:THRESH=-|-|-","|-|-|-|-"}</definedName>
    <definedName name="_10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0.531507&amp;VAR:V=12.409379&amp;VAR:V0=13.377298&amp;VAR:V1=11.665393&amp;VAR:Y0=2011&amp;VAR:Y1=2012&amp;VAR:P=1325.150000&amp;VAR:DATE=20110713&amp;VAR:THRESH=-|-|","-|-|-|-|-"}</definedName>
    <definedName name="_1049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0.550685&amp;VAR:V=16.742919&amp;VAR:V0=18.209986&amp;VAR:V1=15.710227&amp;VAR:Y0=2011&amp;VAR:Y1=2012&amp;VAR:P=545.614280&amp;VAR:DATE=20110720&amp;VAR:THRESH=-|-|-","|-|-|-|-"}</definedName>
    <definedName name="_1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050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0.531507&amp;VAR:V=16.713748&amp;VAR:V0=18.127477&amp;VAR:V1=15.638710&amp;VAR:Y0=2011&amp;VAR:Y1=2012&amp;VAR:P=546.307035&amp;VAR:DATE=20110713&amp;VAR:THRESH=-|-|-","|-|-|-|-"}</definedName>
    <definedName name="_10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0.550685&amp;VAR:V=12.473353&amp;VAR:V0=13.476575&amp;VAR:V1=11.759119&amp;VAR:Y0=2011&amp;VAR:Y1=2012&amp;VAR:P=1325.839351&amp;VAR:DATE=20110720&amp;VAR:THRESH=-|-|","-|-|-|-|-"}</definedName>
    <definedName name="_10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0.531507&amp;VAR:V=12.440253&amp;VAR:V0=13.422877&amp;VAR:V1=11.686187&amp;VAR:Y0=2011&amp;VAR:Y1=2012&amp;VAR:P=1317.720028&amp;VAR:DATE=20110713&amp;VAR:THRESH=-|-|","-|-|-|-|-"}</definedName>
    <definedName name="_1053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0.553425&amp;VAR:V=16.736211&amp;VAR:V0=18.209986&amp;VAR:V1=15.710227&amp;VAR:Y0=2011&amp;VAR:Y1=2012&amp;VAR:P=545.610000&amp;VAR:DATE=20110721&amp;VAR:THRESH=-|-|-","|-|-|-|-"}</definedName>
    <definedName name="_10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0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0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0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0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0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Aggregates&amp;ACTION=UPDATE&amp;CREATOR=FACTSET&amp;HEIGHT=525&amp;WIDTH=500&amp;DOC_NAME=FAT:FMA_AUDIT_TM.FAT&amp;VAR:CURRENCY=USD&amp;VAR:AUDIT_ID=99900421&amp;VAR:CALC_MODE","=PORTFOLIO&amp;VAR:CHGPERIOD=NA&amp;DISPLAY_STRING=Price to Earnings Ratio&amp;VAR:FQLFORMULA=FMA_PE&amp;VAR:MEASURE=PE&amp;VAR:NULL=.HTML&amp;VAR:TM=NTMA&amp;VAR:PCT=0.956164&amp;VAR:V=16.335938&amp;VAR:V0=18.750671&amp;VAR:V1=16.240056&amp;VAR:Y0=2010&amp;VAR:Y1=2011&amp;VAR:P=502.704257&amp;VAR:DATE=2010121","5&amp;VAR:THRESH=||||||"}</definedName>
    <definedName name="_1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1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1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1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1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1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1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1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1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1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1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1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Aggregates&amp;ACTION=UPDATE&amp;CREATOR=FACTSET&amp;HEIGHT=525&amp;WIDTH=500&amp;DOC_NAME=FAT:FMA_AUDIT_TM.FAT&amp;VAR:CURRENCY=USD&amp;VAR:AUDIT_ID=99900421&amp;VAR:CALC_MODE","=PORTFOLIO&amp;VAR:CHGPERIOD=NA&amp;DISPLAY_STRING=Price to Earnings Ratio&amp;VAR:FQLFORMULA=FMA_PE&amp;VAR:MEASURE=PE&amp;VAR:NULL=.HTML&amp;VAR:TM=NTMA&amp;VAR:PCT=0.936986&amp;VAR:V=16.526481&amp;VAR:V0=18.919595&amp;VAR:V1=16.387083&amp;VAR:Y0=2010&amp;VAR:Y1=2011&amp;VAR:P=508.793719&amp;VAR:DATE=2010120","8&amp;VAR:THRESH=||||||"}</definedName>
    <definedName name="_1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2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2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2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2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2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2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2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2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2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2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2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Aggregates&amp;ACTION=UPDATE&amp;CREATOR=FACTSET&amp;HEIGHT=525&amp;WIDTH=500&amp;DOC_NAME=FAT:FMA_AUDIT_TM.FAT&amp;VAR:CURRENCY=USD&amp;VAR:AUDIT_ID=99900421&amp;VAR:CALC_MODE","=PORTFOLIO&amp;VAR:CHGPERIOD=NA&amp;DISPLAY_STRING=Price to Earnings Ratio&amp;VAR:FQLFORMULA=FMA_PE&amp;VAR:MEASURE=PE&amp;VAR:NULL=.HTML&amp;VAR:TM=NTMA&amp;VAR:PCT=0.917808&amp;VAR:V=16.342321&amp;VAR:V0=18.654112&amp;VAR:V1=16.162943&amp;VAR:Y0=2010&amp;VAR:Y1=2011&amp;VAR:P=499.076415&amp;VAR:DATE=2010120","1&amp;VAR:THRESH=||||||"}</definedName>
    <definedName name="_1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3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3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3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3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3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3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3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3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3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3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3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Aggregates&amp;ACTION=UPDATE&amp;CREATOR=FACTSET&amp;HEIGHT=525&amp;WIDTH=500&amp;DOC_NAME=FAT:FMA_AUDIT_TM.FAT&amp;VAR:CURRENCY=USD&amp;VAR:AUDIT_ID=99900421&amp;VAR:CALC_MODE","=PORTFOLIO&amp;VAR:CHGPERIOD=NA&amp;DISPLAY_STRING=Price to Earnings Ratio&amp;VAR:FQLFORMULA=FMA_PE&amp;VAR:MEASURE=PE&amp;VAR:NULL=.HTML&amp;VAR:TM=NTMA&amp;VAR:PCT=0.898630&amp;VAR:V=16.316924&amp;VAR:V0=18.573887&amp;VAR:V1=16.096288&amp;VAR:Y0=2010&amp;VAR:Y1=2011&amp;VAR:P=496.925808&amp;VAR:DATE=2010112","4&amp;VAR:THRESH=||||||"}</definedName>
    <definedName name="_1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4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4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4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4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4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4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4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4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4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4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4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Aggregates&amp;ACTION=UPDATE&amp;CREATOR=FACTSET&amp;HEIGHT=525&amp;WIDTH=500&amp;DOC_NAME=FAT:FMA_AUDIT_TM.FAT&amp;VAR:CURRENCY=USD&amp;VAR:AUDIT_ID=99900421&amp;VAR:CALC_MODE","=PORTFOLIO&amp;VAR:CHGPERIOD=NA&amp;DISPLAY_STRING=Price to Earnings Ratio&amp;VAR:FQLFORMULA=FMA_PE&amp;VAR:MEASURE=PE&amp;VAR:NULL=.HTML&amp;VAR:TM=NTMA&amp;VAR:PCT=0.879452&amp;VAR:V=15.616053&amp;VAR:V0=17.722045&amp;VAR:V1=15.365763&amp;VAR:Y0=2010&amp;VAR:Y1=2011&amp;VAR:P=474.294003&amp;VAR:DATE=2010111","7&amp;VAR:THRESH=||||||"}</definedName>
    <definedName name="_1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5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5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5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5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5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5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5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5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5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5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5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Aggregates&amp;ACTION=UPDATE&amp;CREATOR=FACTSET&amp;HEIGHT=525&amp;WIDTH=500&amp;DOC_NAME=FAT:FMA_AUDIT_TM.FAT&amp;VAR:CURRENCY=USD&amp;VAR:AUDIT_ID=99900421&amp;VAR:CALC_MODE","=PORTFOLIO&amp;VAR:CHGPERIOD=NA&amp;DISPLAY_STRING=Price to Earnings Ratio&amp;VAR:FQLFORMULA=FMA_PE&amp;VAR:MEASURE=PE&amp;VAR:NULL=.HTML&amp;VAR:TM=NTMA&amp;VAR:PCT=0.860274&amp;VAR:V=16.095415&amp;VAR:V0=18.225569&amp;VAR:V1=15.795564&amp;VAR:Y0=2010&amp;VAR:Y1=2011&amp;VAR:P=485.425668&amp;VAR:DATE=2010111","0&amp;VAR:THRESH=||||||"}</definedName>
    <definedName name="_1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6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6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6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6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6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6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6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6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6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6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6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Aggregates&amp;ACTION=UPDATE&amp;CREATOR=FACTSET&amp;HEIGHT=525&amp;WIDTH=500&amp;DOC_NAME=FAT:FMA_AUDIT_TM.FAT&amp;VAR:CURRENCY=USD&amp;VAR:AUDIT_ID=99900421&amp;VAR:CALC_MODE","=PORTFOLIO&amp;VAR:CHGPERIOD=NA&amp;DISPLAY_STRING=Price to Earnings Ratio&amp;VAR:FQLFORMULA=FMA_PE&amp;VAR:MEASURE=PE&amp;VAR:NULL=.HTML&amp;VAR:TM=NTMA&amp;VAR:PCT=0.841096&amp;VAR:V=15.782238&amp;VAR:V0=17.823239&amp;VAR:V1=15.448028&amp;VAR:Y0=2010&amp;VAR:Y1=2011&amp;VAR:P=473.148162&amp;VAR:DATE=2010110","3&amp;VAR:THRESH=||||||"}</definedName>
    <definedName name="_1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7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7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7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7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7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7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7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7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7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7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7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Aggregates&amp;ACTION=UPDATE&amp;CREATOR=FACTSET&amp;HEIGHT=525&amp;WIDTH=500&amp;DOC_NAME=FAT:FMA_AUDIT_TM.FAT&amp;VAR:CURRENCY=USD&amp;VAR:AUDIT_ID=99900421&amp;VAR:CALC_MODE","=PORTFOLIO&amp;VAR:CHGPERIOD=NA&amp;DISPLAY_STRING=Price to Earnings Ratio&amp;VAR:FQLFORMULA=FMA_PE&amp;VAR:MEASURE=PE&amp;VAR:NULL=.HTML&amp;VAR:TM=NTMA&amp;VAR:PCT=0.821918&amp;VAR:V=15.659257&amp;VAR:V0=17.641821&amp;VAR:V1=15.287037&amp;VAR:Y0=2010&amp;VAR:Y1=2011&amp;VAR:P=467.512670&amp;VAR:DATE=2010102","7&amp;VAR:THRESH=||||||"}</definedName>
    <definedName name="_1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8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8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8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8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8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8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8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8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8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0.553425&amp;VAR:V=12.468735&amp;VAR:V0=13.476575&amp;VAR:V1=11.759119&amp;VAR:Y0=2011&amp;VAR:Y1=2012&amp;VAR:P=1325.839351&amp;VAR:DATE=20110721&amp;VAR:THRESH=-|-|","-|-|-|-|-"}</definedName>
    <definedName name="_1886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0.610959&amp;VAR:V=14.065732&amp;VAR:V0=15.417731&amp;VAR:V1=13.321850&amp;VAR:Y0=2011&amp;VAR:Y1=2012&amp;VAR:P=481.210000&amp;VAR:DATE=20110811&amp;VAR:THRESH=-|-|-","|-|-|-|-"}</definedName>
    <definedName name="_1887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0.589041&amp;VAR:V=15.616060&amp;VAR:V0=17.132977&amp;VAR:V1=14.707565&amp;VAR:Y0=2011&amp;VAR:Y1=2012&amp;VAR:P=515.721502&amp;VAR:DATE=20110803&amp;VAR:THRESH=-|-|-","|-|-|-|-"}</definedName>
    <definedName name="_1888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0.569863&amp;VAR:V=16.412094&amp;VAR:V0=17.953313&amp;VAR:V1=15.413352&amp;VAR:Y0=2011&amp;VAR:Y1=2012&amp;VAR:P=539.892238&amp;VAR:DATE=20110727&amp;VAR:THRESH=-|-|-","|-|-|-|-"}</definedName>
    <definedName name="_18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0.610959&amp;VAR:V=10.452870&amp;VAR:V0=11.391044&amp;VAR:V1=9.931988&amp;VAR:Y0=2011&amp;VAR:Y1=2012&amp;VAR:P=1164.360000&amp;VAR:DATE=20110811&amp;VAR:THRESH=-|-|-","|-|-|-|-"}</definedName>
    <definedName name="_1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8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0.589041&amp;VAR:V=11.786016&amp;VAR:V0=12.809343&amp;VAR:V1=11.163784&amp;VAR:Y0=2011&amp;VAR:Y1=2012&amp;VAR:P=1260.340576&amp;VAR:DATE=20110803&amp;VAR:THRESH=-|-|","-|-|-|-|-"}</definedName>
    <definedName name="_18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0.569863&amp;VAR:V=12.249161&amp;VAR:V0=13.279799&amp;VAR:V1=11.571310&amp;VAR:Y0=2011&amp;VAR:Y1=2012&amp;VAR:P=1304.889110&amp;VAR:DATE=20110727&amp;VAR:THRESH=-|-|","-|-|-|-|-"}</definedName>
    <definedName name="_18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0.610959&amp;VAR:V=10.452870&amp;VAR:V0=11.391044&amp;VAR:V1=9.931988&amp;VAR:Y0=2011&amp;VAR:Y1=2012&amp;VAR:P=1164.360000&amp;VAR:DATE=20110811&amp;VAR:THRESH=-|-|-","|-|-|-|-"}</definedName>
    <definedName name="_18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0.610959&amp;VAR:V=10.452870&amp;VAR:V0=11.391044&amp;VAR:V1=9.931988&amp;VAR:Y0=2011&amp;VAR:Y1=2012&amp;VAR:P=1164.360000&amp;VAR:DATE=20110811&amp;VAR:THRESH=-|-|-","|-|-|-|-"}</definedName>
    <definedName name="_18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0.610959&amp;VAR:V=10.452870&amp;VAR:V0=11.391044&amp;VAR:V1=9.931988&amp;VAR:Y0=2011&amp;VAR:Y1=2012&amp;VAR:P=1164.360000&amp;VAR:DATE=20110811&amp;VAR:THRESH=-|-|-","|-|-|-|-"}</definedName>
    <definedName name="_18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0.610959&amp;VAR:V=10.452870&amp;VAR:V0=11.391044&amp;VAR:V1=9.931988&amp;VAR:Y0=2011&amp;VAR:Y1=2012&amp;VAR:P=1164.360000&amp;VAR:DATE=20110811&amp;VAR:THRESH=-|-|-","|-|-|-|-"}</definedName>
    <definedName name="_18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0.610959&amp;VAR:V=10.452870&amp;VAR:V0=11.391044&amp;VAR:V1=9.931988&amp;VAR:Y0=2011&amp;VAR:Y1=2012&amp;VAR:P=1164.360000&amp;VAR:DATE=20110811&amp;VAR:THRESH=-|-|-","|-|-|-|-"}</definedName>
    <definedName name="_18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0.610959&amp;VAR:V=10.452870&amp;VAR:V0=11.391044&amp;VAR:V1=9.931988&amp;VAR:Y0=2011&amp;VAR:Y1=2012&amp;VAR:P=1164.360000&amp;VAR:DATE=20110811&amp;VAR:THRESH=-|-|-","|-|-|-|-"}</definedName>
    <definedName name="_18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0.610959&amp;VAR:V=10.452870&amp;VAR:V0=11.391044&amp;VAR:V1=9.931988&amp;VAR:Y0=2011&amp;VAR:Y1=2012&amp;VAR:P=1164.360000&amp;VAR:DATE=20110811&amp;VAR:THRESH=-|-|-","|-|-|-|-"}</definedName>
    <definedName name="_18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0.610959&amp;VAR:V=10.452870&amp;VAR:V0=11.391044&amp;VAR:V1=9.931988&amp;VAR:Y0=2011&amp;VAR:Y1=2012&amp;VAR:P=1164.360000&amp;VAR:DATE=20110811&amp;VAR:THRESH=-|-|-","|-|-|-|-"}</definedName>
    <definedName name="_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Aggregates&amp;ACTION=UPDATE&amp;CREATOR=FACTSET&amp;HEIGHT=525&amp;WIDTH=500&amp;DOC_NAME=FAT:FMA_AUDIT_TM.FAT&amp;VAR:CURRENCY=USD&amp;VAR:AUDIT_ID=00000117&amp;VAR:CALC_MODE","=PORTFOLIO&amp;VAR:CHGPERIOD=NA&amp;DISPLAY_STRING=Price to Earnings Ratio&amp;VAR:FQLFORMULA=FMA_PE&amp;VAR:MEASURE=PE&amp;VAR:NULL=.HTML&amp;VAR:TM=NTMA&amp;VAR:PCT=0.049315&amp;VAR:V=13.329707&amp;VAR:V0=13.417532&amp;VAR:V1=11.836180&amp;VAR:Y0=2011&amp;VAR:Y1=2012&amp;VAR:P=1293.770000&amp;VAR:DATE=201101","18&amp;VAR:THRESH=||||||"}</definedName>
    <definedName name="_1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9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0.610959&amp;VAR:V=10.452870&amp;VAR:V0=11.391044&amp;VAR:V1=9.931988&amp;VAR:Y0=2011&amp;VAR:Y1=2012&amp;VAR:P=1164.360000&amp;VAR:DATE=20110811&amp;VAR:THRESH=-|-|-","|-|-|-|-"}</definedName>
    <definedName name="_19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0.610959&amp;VAR:V=10.452870&amp;VAR:V0=11.391044&amp;VAR:V1=9.931988&amp;VAR:Y0=2011&amp;VAR:Y1=2012&amp;VAR:P=1164.360000&amp;VAR:DATE=20110811&amp;VAR:THRESH=-|-|-","|-|-|-|-"}</definedName>
    <definedName name="_19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0.610959&amp;VAR:V=10.452870&amp;VAR:V0=11.391044&amp;VAR:V1=9.931988&amp;VAR:Y0=2011&amp;VAR:Y1=2012&amp;VAR:P=1164.360000&amp;VAR:DATE=20110811&amp;VAR:THRESH=-|-|-","|-|-|-|-"}</definedName>
    <definedName name="_19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0.610959&amp;VAR:V=10.452870&amp;VAR:V0=11.391044&amp;VAR:V1=9.931988&amp;VAR:Y0=2011&amp;VAR:Y1=2012&amp;VAR:P=1164.360000&amp;VAR:DATE=20110811&amp;VAR:THRESH=-|-|-","|-|-|-|-"}</definedName>
    <definedName name="_1904__FDSAUDITLINK__" hidden="1">{"fdsup://directions/FAT%20Viewer?VAR:PED=LTM&amp;VAR:PERIOD=FIXED&amp;VAR:V=9.423046&amp;VAR:AUDIT_ID=00000117&amp;VAR:DATE=20100428&amp;action=UPDATE&amp;creator=factset&amp;DOC_NAME=FAT:FMA_audit_SUMMARY.fat&amp;DISPLAY_STRING=Display Audit for Enterprise Value to EBITDA&amp;DYN_ARGS=TRUE&amp;","WINDOW=first_popup&amp;START_MAXIMIZED=FALSE&amp;WIDTH=500&amp;HEIGHT=525&amp;TITLEBAR=FactSet Market Aggregates&amp;VAR:MEASURE=EVEBITDA&amp;VAR:CALC_MODE=PORTFOLIO&amp;VAR:CHGPERIOD=NA&amp;VAR:FQLFORMULA=FMA_EVAL_EBITDA&amp;VAR:CURRENCY=NA&amp;VAR:P=NA&amp;VAR:THRESH=||||&amp;VAR:null=.html"}</definedName>
    <definedName name="_1905__FDSAUDITLINK__" hidden="1">{"fdsup://directions/FAT%20Viewer?VAR:PED=LTM&amp;VAR:PERIOD=FIXED&amp;VAR:V=9.492785&amp;VAR:AUDIT_ID=00000117&amp;VAR:DATE=20100421&amp;action=UPDATE&amp;creator=factset&amp;DOC_NAME=FAT:FMA_audit_SUMMARY.fat&amp;DISPLAY_STRING=Display Audit for Enterprise Value to EBITDA&amp;DYN_ARGS=TRUE&amp;","WINDOW=first_popup&amp;START_MAXIMIZED=FALSE&amp;WIDTH=500&amp;HEIGHT=525&amp;TITLEBAR=FactSet Market Aggregates&amp;VAR:MEASURE=EVEBITDA&amp;VAR:CALC_MODE=PORTFOLIO&amp;VAR:CHGPERIOD=NA&amp;VAR:FQLFORMULA=FMA_EVAL_EBITDA&amp;VAR:CURRENCY=NA&amp;VAR:P=NA&amp;VAR:THRESH=||||&amp;VAR:null=.html"}</definedName>
    <definedName name="_1906__FDSAUDITLINK__" hidden="1">{"fdsup://directions/FAT%20Viewer?VAR:PED=LTM&amp;VAR:PERIOD=FIXED&amp;VAR:V=9.489792&amp;VAR:AUDIT_ID=00000117&amp;VAR:DATE=20100414&amp;action=UPDATE&amp;creator=factset&amp;DOC_NAME=FAT:FMA_audit_SUMMARY.fat&amp;DISPLAY_STRING=Display Audit for Enterprise Value to EBITDA&amp;DYN_ARGS=TRUE&amp;","WINDOW=first_popup&amp;START_MAXIMIZED=FALSE&amp;WIDTH=500&amp;HEIGHT=525&amp;TITLEBAR=FactSet Market Aggregates&amp;VAR:MEASURE=EVEBITDA&amp;VAR:CALC_MODE=PORTFOLIO&amp;VAR:CHGPERIOD=NA&amp;VAR:FQLFORMULA=FMA_EVAL_EBITDA&amp;VAR:CURRENCY=NA&amp;VAR:P=NA&amp;VAR:THRESH=||||&amp;VAR:null=.html"}</definedName>
    <definedName name="_1907__FDSAUDITLINK__" hidden="1">{"fdsup://directions/FAT%20Viewer?VAR:PED=LTM&amp;VAR:PERIOD=FIXED&amp;VAR:V=9.342940&amp;VAR:AUDIT_ID=00000117&amp;VAR:DATE=20100407&amp;action=UPDATE&amp;creator=factset&amp;DOC_NAME=FAT:FMA_audit_SUMMARY.fat&amp;DISPLAY_STRING=Display Audit for Enterprise Value to EBITDA&amp;DYN_ARGS=TRUE&amp;","WINDOW=first_popup&amp;START_MAXIMIZED=FALSE&amp;WIDTH=500&amp;HEIGHT=525&amp;TITLEBAR=FactSet Market Aggregates&amp;VAR:MEASURE=EVEBITDA&amp;VAR:CALC_MODE=PORTFOLIO&amp;VAR:CHGPERIOD=NA&amp;VAR:FQLFORMULA=FMA_EVAL_EBITDA&amp;VAR:CURRENCY=NA&amp;VAR:P=NA&amp;VAR:THRESH=||||&amp;VAR:null=.html"}</definedName>
    <definedName name="_1908__FDSAUDITLINK__" hidden="1">{"fdsup://directions/FAT%20Viewer?VAR:PED=LTM&amp;VAR:PERIOD=FIXED&amp;VAR:V=9.276194&amp;VAR:AUDIT_ID=00000117&amp;VAR:DATE=20100331&amp;action=UPDATE&amp;creator=factset&amp;DOC_NAME=FAT:FMA_audit_SUMMARY.fat&amp;DISPLAY_STRING=Display Audit for Enterprise Value to EBITDA&amp;DYN_ARGS=TRUE&amp;","WINDOW=first_popup&amp;START_MAXIMIZED=FALSE&amp;WIDTH=500&amp;HEIGHT=525&amp;TITLEBAR=FactSet Market Aggregates&amp;VAR:MEASURE=EVEBITDA&amp;VAR:CALC_MODE=PORTFOLIO&amp;VAR:CHGPERIOD=NA&amp;VAR:FQLFORMULA=FMA_EVAL_EBITDA&amp;VAR:CURRENCY=NA&amp;VAR:P=NA&amp;VAR:THRESH=||||&amp;VAR:null=.html"}</definedName>
    <definedName name="_1909__FDSAUDITLINK__" hidden="1">{"fdsup://directions/FAT%20Viewer?VAR:PED=LTM&amp;VAR:PERIOD=FIXED&amp;VAR:V=9.796010&amp;VAR:AUDIT_ID=00000117&amp;VAR:DATE=20100324&amp;action=UPDATE&amp;creator=factset&amp;DOC_NAME=FAT:FMA_audit_SUMMARY.fat&amp;DISPLAY_STRING=Display Audit for Enterprise Value to EBITDA&amp;DYN_ARGS=TRUE&amp;","WINDOW=first_popup&amp;START_MAXIMIZED=FALSE&amp;WIDTH=500&amp;HEIGHT=525&amp;TITLEBAR=FactSet Market Aggregates&amp;VAR:MEASURE=EVEBITDA&amp;VAR:CALC_MODE=PORTFOLIO&amp;VAR:CHGPERIOD=NA&amp;VAR:FQLFORMULA=FMA_EVAL_EBITDA&amp;VAR:CURRENCY=NA&amp;VAR:P=NA&amp;VAR:THRESH=||||&amp;VAR:null=.html"}</definedName>
    <definedName name="_1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910__FDSAUDITLINK__" hidden="1">{"fdsup://directions/FAT%20Viewer?VAR:PED=LTM&amp;VAR:PERIOD=FIXED&amp;VAR:V=9.780289&amp;VAR:AUDIT_ID=00000117&amp;VAR:DATE=20100317&amp;action=UPDATE&amp;creator=factset&amp;DOC_NAME=FAT:FMA_audit_SUMMARY.fat&amp;DISPLAY_STRING=Display Audit for Enterprise Value to EBITDA&amp;DYN_ARGS=TRUE&amp;","WINDOW=first_popup&amp;START_MAXIMIZED=FALSE&amp;WIDTH=500&amp;HEIGHT=525&amp;TITLEBAR=FactSet Market Aggregates&amp;VAR:MEASURE=EVEBITDA&amp;VAR:CALC_MODE=PORTFOLIO&amp;VAR:CHGPERIOD=NA&amp;VAR:FQLFORMULA=FMA_EVAL_EBITDA&amp;VAR:CURRENCY=NA&amp;VAR:P=NA&amp;VAR:THRESH=||||&amp;VAR:null=.html"}</definedName>
    <definedName name="_1911__FDSAUDITLINK__" hidden="1">{"fdsup://directions/FAT%20Viewer?VAR:PED=LTM&amp;VAR:PERIOD=FIXED&amp;VAR:V=9.746796&amp;VAR:AUDIT_ID=00000117&amp;VAR:DATE=20100310&amp;action=UPDATE&amp;creator=factset&amp;DOC_NAME=FAT:FMA_audit_SUMMARY.fat&amp;DISPLAY_STRING=Display Audit for Enterprise Value to EBITDA&amp;DYN_ARGS=TRUE&amp;","WINDOW=first_popup&amp;START_MAXIMIZED=FALSE&amp;WIDTH=500&amp;HEIGHT=525&amp;TITLEBAR=FactSet Market Aggregates&amp;VAR:MEASURE=EVEBITDA&amp;VAR:CALC_MODE=PORTFOLIO&amp;VAR:CHGPERIOD=NA&amp;VAR:FQLFORMULA=FMA_EVAL_EBITDA&amp;VAR:CURRENCY=NA&amp;VAR:P=NA&amp;VAR:THRESH=||||&amp;VAR:null=.html"}</definedName>
    <definedName name="_1912__FDSAUDITLINK__" hidden="1">{"fdsup://directions/FAT%20Viewer?VAR:PED=LTM&amp;VAR:PERIOD=FIXED&amp;VAR:V=9.586719&amp;VAR:AUDIT_ID=00000117&amp;VAR:DATE=20100303&amp;action=UPDATE&amp;creator=factset&amp;DOC_NAME=FAT:FMA_audit_SUMMARY.fat&amp;DISPLAY_STRING=Display Audit for Enterprise Value to EBITDA&amp;DYN_ARGS=TRUE&amp;","WINDOW=first_popup&amp;START_MAXIMIZED=FALSE&amp;WIDTH=500&amp;HEIGHT=525&amp;TITLEBAR=FactSet Market Aggregates&amp;VAR:MEASURE=EVEBITDA&amp;VAR:CALC_MODE=PORTFOLIO&amp;VAR:CHGPERIOD=NA&amp;VAR:FQLFORMULA=FMA_EVAL_EBITDA&amp;VAR:CURRENCY=NA&amp;VAR:P=NA&amp;VAR:THRESH=||||&amp;VAR:null=.html"}</definedName>
    <definedName name="_1913__FDSAUDITLINK__" hidden="1">{"fdsup://directions/FAT%20Viewer?VAR:PED=LTM&amp;VAR:PERIOD=FIXED&amp;VAR:V=9.492497&amp;VAR:AUDIT_ID=00000117&amp;VAR:DATE=20100224&amp;action=UPDATE&amp;creator=factset&amp;DOC_NAME=FAT:FMA_audit_SUMMARY.fat&amp;DISPLAY_STRING=Display Audit for Enterprise Value to EBITDA&amp;DYN_ARGS=TRUE&amp;","WINDOW=first_popup&amp;START_MAXIMIZED=FALSE&amp;WIDTH=500&amp;HEIGHT=525&amp;TITLEBAR=FactSet Market Aggregates&amp;VAR:MEASURE=EVEBITDA&amp;VAR:CALC_MODE=PORTFOLIO&amp;VAR:CHGPERIOD=NA&amp;VAR:FQLFORMULA=FMA_EVAL_EBITDA&amp;VAR:CURRENCY=NA&amp;VAR:P=NA&amp;VAR:THRESH=||||&amp;VAR:null=.html"}</definedName>
    <definedName name="_1914__FDSAUDITLINK__" hidden="1">{"fdsup://directions/FAT%20Viewer?VAR:PED=LTM&amp;VAR:PERIOD=FIXED&amp;VAR:V=9.471738&amp;VAR:AUDIT_ID=00000117&amp;VAR:DATE=20100217&amp;action=UPDATE&amp;creator=factset&amp;DOC_NAME=FAT:FMA_audit_SUMMARY.fat&amp;DISPLAY_STRING=Display Audit for Enterprise Value to EBITDA&amp;DYN_ARGS=TRUE&amp;","WINDOW=first_popup&amp;START_MAXIMIZED=FALSE&amp;WIDTH=500&amp;HEIGHT=525&amp;TITLEBAR=FactSet Market Aggregates&amp;VAR:MEASURE=EVEBITDA&amp;VAR:CALC_MODE=PORTFOLIO&amp;VAR:CHGPERIOD=NA&amp;VAR:FQLFORMULA=FMA_EVAL_EBITDA&amp;VAR:CURRENCY=NA&amp;VAR:P=NA&amp;VAR:THRESH=||||&amp;VAR:null=.html"}</definedName>
    <definedName name="_1915__FDSAUDITLINK__" hidden="1">{"fdsup://directions/FAT%20Viewer?VAR:PED=LTM&amp;VAR:PERIOD=FIXED&amp;VAR:V=11.722705&amp;VAR:AUDIT_ID=00000117&amp;VAR:DATE=20100210&amp;action=UPDATE&amp;creator=factset&amp;DOC_NAME=FAT:FMA_audit_SUMMARY.fat&amp;DISPLAY_STRING=Display Audit for Enterprise Value to EBITDA&amp;DYN_ARGS=TRUE","&amp;WINDOW=first_popup&amp;START_MAXIMIZED=FALSE&amp;WIDTH=500&amp;HEIGHT=525&amp;TITLEBAR=FactSet Market Aggregates&amp;VAR:MEASURE=EVEBITDA&amp;VAR:CALC_MODE=PORTFOLIO&amp;VAR:CHGPERIOD=NA&amp;VAR:FQLFORMULA=FMA_EVAL_EBITDA&amp;VAR:CURRENCY=NA&amp;VAR:P=NA&amp;VAR:THRESH=||||&amp;VAR:null=.html"}</definedName>
    <definedName name="_1916__FDSAUDITLINK__" hidden="1">{"fdsup://directions/FAT%20Viewer?VAR:PED=LTM&amp;VAR:PERIOD=FIXED&amp;VAR:V=11.950217&amp;VAR:AUDIT_ID=00000117&amp;VAR:DATE=20100203&amp;action=UPDATE&amp;creator=factset&amp;DOC_NAME=FAT:FMA_audit_SUMMARY.fat&amp;DISPLAY_STRING=Display Audit for Enterprise Value to EBITDA&amp;DYN_ARGS=TRUE","&amp;WINDOW=first_popup&amp;START_MAXIMIZED=FALSE&amp;WIDTH=500&amp;HEIGHT=525&amp;TITLEBAR=FactSet Market Aggregates&amp;VAR:MEASURE=EVEBITDA&amp;VAR:CALC_MODE=PORTFOLIO&amp;VAR:CHGPERIOD=NA&amp;VAR:FQLFORMULA=FMA_EVAL_EBITDA&amp;VAR:CURRENCY=NA&amp;VAR:P=NA&amp;VAR:THRESH=||||&amp;VAR:null=.html"}</definedName>
    <definedName name="_1917__FDSAUDITLINK__" hidden="1">{"fdsup://directions/FAT%20Viewer?VAR:PED=LTM&amp;VAR:PERIOD=FIXED&amp;VAR:V=11.984526&amp;VAR:AUDIT_ID=00000117&amp;VAR:DATE=20100127&amp;action=UPDATE&amp;creator=factset&amp;DOC_NAME=FAT:FMA_audit_SUMMARY.fat&amp;DISPLAY_STRING=Display Audit for Enterprise Value to EBITDA&amp;DYN_ARGS=TRUE","&amp;WINDOW=first_popup&amp;START_MAXIMIZED=FALSE&amp;WIDTH=500&amp;HEIGHT=525&amp;TITLEBAR=FactSet Market Aggregates&amp;VAR:MEASURE=EVEBITDA&amp;VAR:CALC_MODE=PORTFOLIO&amp;VAR:CHGPERIOD=NA&amp;VAR:FQLFORMULA=FMA_EVAL_EBITDA&amp;VAR:CURRENCY=NA&amp;VAR:P=NA&amp;VAR:THRESH=||||&amp;VAR:null=.html"}</definedName>
    <definedName name="_1918__FDSAUDITLINK__" hidden="1">{"fdsup://directions/FAT%20Viewer?VAR:PED=LTM&amp;VAR:PERIOD=FIXED&amp;VAR:V=12.316568&amp;VAR:AUDIT_ID=00000117&amp;VAR:DATE=20100120&amp;action=UPDATE&amp;creator=factset&amp;DOC_NAME=FAT:FMA_audit_SUMMARY.fat&amp;DISPLAY_STRING=Display Audit for Enterprise Value to EBITDA&amp;DYN_ARGS=TRUE","&amp;WINDOW=first_popup&amp;START_MAXIMIZED=FALSE&amp;WIDTH=500&amp;HEIGHT=525&amp;TITLEBAR=FactSet Market Aggregates&amp;VAR:MEASURE=EVEBITDA&amp;VAR:CALC_MODE=PORTFOLIO&amp;VAR:CHGPERIOD=NA&amp;VAR:FQLFORMULA=FMA_EVAL_EBITDA&amp;VAR:CURRENCY=NA&amp;VAR:P=NA&amp;VAR:THRESH=||||&amp;VAR:null=.html"}</definedName>
    <definedName name="_1919__FDSAUDITLINK__" hidden="1">{"fdsup://directions/FAT%20Viewer?VAR:PED=LTM&amp;VAR:PERIOD=FIXED&amp;VAR:V=12.391533&amp;VAR:AUDIT_ID=00000117&amp;VAR:DATE=20100113&amp;action=UPDATE&amp;creator=factset&amp;DOC_NAME=FAT:FMA_audit_SUMMARY.fat&amp;DISPLAY_STRING=Display Audit for Enterprise Value to EBITDA&amp;DYN_ARGS=TRUE","&amp;WINDOW=first_popup&amp;START_MAXIMIZED=FALSE&amp;WIDTH=500&amp;HEIGHT=525&amp;TITLEBAR=FactSet Market Aggregates&amp;VAR:MEASURE=EVEBITDA&amp;VAR:CALC_MODE=PORTFOLIO&amp;VAR:CHGPERIOD=NA&amp;VAR:FQLFORMULA=FMA_EVAL_EBITDA&amp;VAR:CURRENCY=NA&amp;VAR:P=NA&amp;VAR:THRESH=||||&amp;VAR:null=.html"}</definedName>
    <definedName name="_1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920__FDSAUDITLINK__" hidden="1">{"fdsup://directions/FAT%20Viewer?VAR:PED=LTM&amp;VAR:PERIOD=FIXED&amp;VAR:V=12.381989&amp;VAR:AUDIT_ID=00000117&amp;VAR:DATE=20100106&amp;action=UPDATE&amp;creator=factset&amp;DOC_NAME=FAT:FMA_audit_SUMMARY.fat&amp;DISPLAY_STRING=Display Audit for Enterprise Value to EBITDA&amp;DYN_ARGS=TRUE","&amp;WINDOW=first_popup&amp;START_MAXIMIZED=FALSE&amp;WIDTH=500&amp;HEIGHT=525&amp;TITLEBAR=FactSet Market Aggregates&amp;VAR:MEASURE=EVEBITDA&amp;VAR:CALC_MODE=PORTFOLIO&amp;VAR:CHGPERIOD=NA&amp;VAR:FQLFORMULA=FMA_EVAL_EBITDA&amp;VAR:CURRENCY=NA&amp;VAR:P=NA&amp;VAR:THRESH=||||&amp;VAR:null=.html"}</definedName>
    <definedName name="_1921__FDSAUDITLINK__" hidden="1">{"fdsup://directions/FAT%20Viewer?WINDOW=first_popup&amp;DYN_ARGS=TRUE&amp;START_MAXIMIZED=FALSE&amp;TITLEBAR=FactSet Market Aggregates&amp;ACTION=UPDATE&amp;CREATOR=FACTSET&amp;HEIGHT=450&amp;WIDTH=500&amp;DOC_NAME=FAT:FMA_AUDIT_SUMMARY.FAT&amp;VAR:CURRENCY=USD&amp;VAR:AUDIT_ID=00000117&amp;VAR:CALC","_MODE=PORTFOLIO&amp;VAR:CHGPERIOD=NA&amp;DISPLAY_STRING=audit&amp;VAR:FQLFORMULA=FMA_EVAL_EBITDA&amp;VAR:MEASURE=EVEBITDA&amp;VAR:NULL=.HTML&amp;VAR:PED=LTM&amp;VAR:PERIOD=FIXED&amp;VAR:THRESH=-|-|-|-|-|-&amp;VAR:PCT=N&amp;VAR:V=8.085996&amp;VAR:P=1&amp;VAR:DATE=20110823"}</definedName>
    <definedName name="_1922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0.747945&amp;VAR:V=15.378104&amp;VAR:V0=17.065157&amp;VAR:V1=14.882296&amp;VAR:Y0=2011&amp;VAR:Y1=2012&amp;VAR:P=513.376405&amp;VAR:DATE=20110930&amp;VAR:THRESH=-|-|-","|-|-|-|-"}</definedName>
    <definedName name="_1923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0.742466&amp;VAR:V=15.389249&amp;VAR:V0=17.065157&amp;VAR:V1=14.882296&amp;VAR:Y0=2011&amp;VAR:Y1=2012&amp;VAR:P=513.376405&amp;VAR:DATE=20110928&amp;VAR:THRESH=-|-|-","|-|-|-|-"}</definedName>
    <definedName name="_1924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0.723288&amp;VAR:V=15.406027&amp;VAR:V0=17.100817&amp;VAR:V1=14.843239&amp;VAR:Y0=2011&amp;VAR:Y1=2012&amp;VAR:P=514.463223&amp;VAR:DATE=20110921&amp;VAR:THRESH=-|-|-","|-|-|-|-"}</definedName>
    <definedName name="_1925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0.704110&amp;VAR:V=15.390895&amp;VAR:V0=17.023688&amp;VAR:V1=14.794587&amp;VAR:Y0=2011&amp;VAR:Y1=2012&amp;VAR:P=516.522034&amp;VAR:DATE=20110914&amp;VAR:THRESH=-|-|-","|-|-|-|-"}</definedName>
    <definedName name="_1926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0.684932&amp;VAR:V=15.297654&amp;VAR:V0=16.877013&amp;VAR:V1=14.666313&amp;VAR:Y0=2011&amp;VAR:Y1=2012&amp;VAR:P=512.532171&amp;VAR:DATE=20110907&amp;VAR:THRESH=-|-|-","|-|-|-|-"}</definedName>
    <definedName name="_1927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0.665753&amp;VAR:V=15.405291&amp;VAR:V0=16.948392&amp;VAR:V1=14.731884&amp;VAR:Y0=2011&amp;VAR:Y1=2012&amp;VAR:P=515.269822&amp;VAR:DATE=20110831&amp;VAR:THRESH=-|-|-","|-|-|-|-"}</definedName>
    <definedName name="_1928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0.646575&amp;VAR:V=14.854152&amp;VAR:V0=16.324053&amp;VAR:V1=14.157334&amp;VAR:Y0=2011&amp;VAR:Y1=2012&amp;VAR:P=495.812607&amp;VAR:DATE=20110824&amp;VAR:THRESH=-|-|-","|-|-|-|-"}</definedName>
    <definedName name="_1929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0.627397&amp;VAR:V=14.779635&amp;VAR:V0=16.208371&amp;VAR:V1=14.044411&amp;VAR:Y0=2011&amp;VAR:Y1=2012&amp;VAR:P=492.715181&amp;VAR:DATE=20110817&amp;VAR:THRESH=-|-|-","|-|-|-|-"}</definedName>
    <definedName name="_1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930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0.608219&amp;VAR:V=14.061636&amp;VAR:V0=15.402423&amp;VAR:V1=13.315023&amp;VAR:Y0=2011&amp;VAR:Y1=2012&amp;VAR:P=465.904525&amp;VAR:DATE=20110810&amp;VAR:THRESH=-|-|-","|-|-|-|-"}</definedName>
    <definedName name="_19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0.747945&amp;VAR:V=10.729696&amp;VAR:V0=11.801571&amp;VAR:V1=10.411039&amp;VAR:Y0=2011&amp;VAR:Y1=2012&amp;VAR:P=1151.060568&amp;VAR:DATE=20110930&amp;VAR:THRESH=-|-|","-|-|-|-|-"}</definedName>
    <definedName name="_19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0.742466&amp;VAR:V=10.736840&amp;VAR:V0=11.801571&amp;VAR:V1=10.411039&amp;VAR:Y0=2011&amp;VAR:Y1=2012&amp;VAR:P=1151.060568&amp;VAR:DATE=20110928&amp;VAR:THRESH=-|-|","-|-|-|-|-"}</definedName>
    <definedName name="_19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0.723288&amp;VAR:V=10.889190&amp;VAR:V0=11.948198&amp;VAR:V1=10.532058&amp;VAR:Y0=2011&amp;VAR:Y1=2012&amp;VAR:P=1166.761608&amp;VAR:DATE=20110921&amp;VAR:THRESH=-|-|","-|-|-|-|-"}</definedName>
    <definedName name="_19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0.704110&amp;VAR:V=11.083461&amp;VAR:V0=12.140586&amp;VAR:V1=10.692220&amp;VAR:Y0=2011&amp;VAR:Y1=2012&amp;VAR:P=1188.675209&amp;VAR:DATE=20110914&amp;VAR:THRESH=-|-|","-|-|-|-|-"}</definedName>
    <definedName name="_19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0.684932&amp;VAR:V=11.167731&amp;VAR:V0=12.217012&amp;VAR:V1=10.743286&amp;VAR:Y0=2011&amp;VAR:Y1=2012&amp;VAR:P=1198.624867&amp;VAR:DATE=20110907&amp;VAR:THRESH=-|-|","-|-|-|-|-"}</definedName>
    <definedName name="_19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0.665753&amp;VAR:V=11.364750&amp;VAR:V0=12.412670&amp;VAR:V1=10.902637&amp;VAR:Y0=2011&amp;VAR:Y1=2012&amp;VAR:P=1218.893624&amp;VAR:DATE=20110831&amp;VAR:THRESH=-|-|","-|-|-|-|-"}</definedName>
    <definedName name="_19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0.646575&amp;VAR:V=10.997563&amp;VAR:V0=11.991917&amp;VAR:V1=10.520721&amp;VAR:Y0=2011&amp;VAR:Y1=2012&amp;VAR:P=1177.601993&amp;VAR:DATE=20110824&amp;VAR:THRESH=-|-|","-|-|-|-|-"}</definedName>
    <definedName name="_19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0.627397&amp;VAR:V=11.149875&amp;VAR:V0=12.140336&amp;VAR:V1=10.634610&amp;VAR:Y0=2011&amp;VAR:Y1=2012&amp;VAR:P=1193.885114&amp;VAR:DATE=20110817&amp;VAR:THRESH=-|-|","-|-|-|-|-"}</definedName>
    <definedName name="_19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0.608219&amp;VAR:V=10.466492&amp;VAR:V0=11.397685&amp;VAR:V1=9.943214&amp;VAR:Y0=2011&amp;VAR:Y1=2012&amp;VAR:P=1120.755808&amp;VAR:DATE=20110810&amp;VAR:THRESH=-|-|-","|-|-|-|-"}</definedName>
    <definedName name="_1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940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0.794521&amp;VAR:V=16.051195&amp;VAR:V0=17.980444&amp;VAR:V1=15.617813&amp;VAR:Y0=2011&amp;VAR:Y1=2012&amp;VAR:P=539.370817&amp;VAR:DATE=20111017&amp;VAR:THRESH=-|-|-","|-|-|-|-"}</definedName>
    <definedName name="_1941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0.780822&amp;VAR:V=15.829056&amp;VAR:V0=17.696635&amp;VAR:V1=15.373638&amp;VAR:Y0=2011&amp;VAR:Y1=2012&amp;VAR:P=530.846201&amp;VAR:DATE=20111012&amp;VAR:THRESH=-|-|-","|-|-|-|-"}</definedName>
    <definedName name="_1942__FDSAUDITLINK__" hidden="1">{"fdsup://directions/FAT%20Viewer?WINDOW=first_popup&amp;DYN_ARGS=TRUE&amp;START_MAXIMIZED=FALSE&amp;TITLEBAR=FactSet Market Aggregates&amp;ACTION=UPDATE&amp;CREATOR=FACTSET&amp;HEIGHT=450&amp;WIDTH=500&amp;DOC_NAME=FAT:FMA_AUDIT_TM.FAT&amp;VAR:CURRENCY=USD&amp;VAR:AUDIT_ID=99900421&amp;VAR:CALC_MODE","=PORTFOLIO&amp;VAR:CHGPERIOD=NA&amp;DISPLAY_STRING=audit&amp;VAR:FQLFORMULA=FMA_PE&amp;VAR:MEASURE=PE&amp;VAR:NULL=.HTML&amp;VAR:TM=NTMA&amp;VAR:PCT=0.761644&amp;VAR:V=14.921225&amp;VAR:V0=16.598023&amp;VAR:V1=14.463941&amp;VAR:Y0=2011&amp;VAR:Y1=2012&amp;VAR:P=499.023747&amp;VAR:DATE=20111005&amp;VAR:THRESH=-|-|-","|-|-|-|-"}</definedName>
    <definedName name="_19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0.780822&amp;VAR:V=11.336457&amp;VAR:V0=12.455216&amp;VAR:V1=11.057657&amp;VAR:Y0=2011&amp;VAR:Y1=2012&amp;VAR:P=1207.254078&amp;VAR:DATE=20111012&amp;VAR:THRESH=-|-|","-|-|-|-|-"}</definedName>
    <definedName name="_19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0.761644&amp;VAR:V=10.682849&amp;VAR:V0=11.753777&amp;VAR:V1=10.386684&amp;VAR:Y0=2011&amp;VAR:Y1=2012&amp;VAR:P=1144.033939&amp;VAR:DATE=20111005&amp;VAR:THRESH=-|-|","-|-|-|-|-"}</definedName>
    <definedName name="_19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9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9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9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9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19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19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Aggregates&amp;ACTION=UPDATE&amp;CREATOR=FACTSET&amp;HEIGHT=525&amp;WIDTH=500&amp;DOC_NAME=FAT:FMA_AUDIT_TM.FAT&amp;VAR:CURRENCY=USD&amp;VAR:AUDIT_ID=00000117&amp;VAR:CALC_MODE","=PORTFOLIO&amp;VAR:CHGPERIOD=NA&amp;DISPLAY_STRING=Price to Earnings Ratio&amp;VAR:FQLFORMULA=FMA_PE&amp;VAR:MEASURE=PE&amp;VAR:NULL=.HTML&amp;VAR:TM=NTMA&amp;VAR:PCT=0.032877&amp;VAR:V=13.304654&amp;VAR:V0=13.362980&amp;VAR:V1=11.790759&amp;VAR:Y0=2011&amp;VAR:Y1=2012&amp;VAR:P=1285.955151&amp;VAR:DATE=201101","12&amp;VAR:THRESH=||||||"}</definedName>
    <definedName name="_2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0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0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0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0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0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0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0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0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0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0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0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Aggregates&amp;ACTION=UPDATE&amp;CREATOR=FACTSET&amp;HEIGHT=525&amp;WIDTH=500&amp;DOC_NAME=FAT:FMA_AUDIT_TM.FAT&amp;VAR:CURRENCY=USD&amp;VAR:AUDIT_ID=00000117&amp;VAR:CALC_MODE","=PORTFOLIO&amp;VAR:CHGPERIOD=NA&amp;DISPLAY_STRING=Price to Earnings Ratio&amp;VAR:FQLFORMULA=FMA_PE&amp;VAR:MEASURE=PE&amp;VAR:NULL=.HTML&amp;VAR:TM=NTMA&amp;VAR:PCT=0.013699&amp;VAR:V=13.271919&amp;VAR:V0=13.296454&amp;VAR:V1=11.715442&amp;VAR:Y0=2011&amp;VAR:Y1=2012&amp;VAR:P=1276.563494&amp;VAR:DATE=201101","05&amp;VAR:THRESH=||||||"}</definedName>
    <definedName name="_2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1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1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1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1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1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1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1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1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1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1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1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Aggregates&amp;ACTION=UPDATE&amp;CREATOR=FACTSET&amp;HEIGHT=525&amp;WIDTH=500&amp;DOC_NAME=FAT:FMA_AUDIT_TM.FAT&amp;VAR:CURRENCY=USD&amp;VAR:AUDIT_ID=00000117&amp;VAR:CALC_MODE","=PORTFOLIO&amp;VAR:CHGPERIOD=NA&amp;DISPLAY_STRING=Price to Earnings Ratio&amp;VAR:FQLFORMULA=FMA_PE&amp;VAR:MEASURE=PE&amp;VAR:NULL=.HTML&amp;VAR:TM=NTMA&amp;VAR:PCT=0.994521&amp;VAR:V=13.137698&amp;VAR:V0=14.902594&amp;VAR:V1=13.129132&amp;VAR:Y0=2010&amp;VAR:Y1=2011&amp;VAR:P=1259.782831&amp;VAR:DATE=201012","29&amp;VAR:THRESH=||||||"}</definedName>
    <definedName name="_2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2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2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2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2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2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2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2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2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2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2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2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Aggregates&amp;ACTION=UPDATE&amp;CREATOR=FACTSET&amp;HEIGHT=525&amp;WIDTH=500&amp;DOC_NAME=FAT:FMA_AUDIT_TM.FAT&amp;VAR:CURRENCY=USD&amp;VAR:AUDIT_ID=00000117&amp;VAR:CALC_MODE","=PORTFOLIO&amp;VAR:CHGPERIOD=NA&amp;DISPLAY_STRING=Price to Earnings Ratio&amp;VAR:FQLFORMULA=FMA_PE&amp;VAR:MEASURE=PE&amp;VAR:NULL=.HTML&amp;VAR:TM=NTMA&amp;VAR:PCT=0.975342&amp;VAR:V=13.150748&amp;VAR:V0=14.882853&amp;VAR:V1=13.112168&amp;VAR:Y0=2010&amp;VAR:Y1=2011&amp;VAR:P=1258.837075&amp;VAR:DATE=201012","22&amp;VAR:THRESH=||||||"}</definedName>
    <definedName name="_2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3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3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3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3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3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3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3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3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3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3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3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Aggregates&amp;ACTION=UPDATE&amp;CREATOR=FACTSET&amp;HEIGHT=525&amp;WIDTH=500&amp;DOC_NAME=FAT:FMA_AUDIT_TM.FAT&amp;VAR:CURRENCY=USD&amp;VAR:AUDIT_ID=00000117&amp;VAR:CALC_MODE","=PORTFOLIO&amp;VAR:CHGPERIOD=NA&amp;DISPLAY_STRING=Price to Earnings Ratio&amp;VAR:FQLFORMULA=FMA_PE&amp;VAR:MEASURE=PE&amp;VAR:NULL=.HTML&amp;VAR:TM=NTMA&amp;VAR:PCT=0.956164&amp;VAR:V=12.930487&amp;VAR:V0=14.582808&amp;VAR:V1=12.863666&amp;VAR:Y0=2010&amp;VAR:Y1=2011&amp;VAR:P=1235.233063&amp;VAR:DATE=201012","15&amp;VAR:THRESH=||||||"}</definedName>
    <definedName name="_2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4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4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4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4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4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4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4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4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4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4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4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Aggregates&amp;ACTION=UPDATE&amp;CREATOR=FACTSET&amp;HEIGHT=525&amp;WIDTH=500&amp;DOC_NAME=FAT:FMA_AUDIT_TM.FAT&amp;VAR:CURRENCY=USD&amp;VAR:AUDIT_ID=00000117&amp;VAR:CALC_MODE","=PORTFOLIO&amp;VAR:CHGPERIOD=NA&amp;DISPLAY_STRING=Price to Earnings Ratio&amp;VAR:FQLFORMULA=FMA_PE&amp;VAR:MEASURE=PE&amp;VAR:NULL=.HTML&amp;VAR:TM=NTMA&amp;VAR:PCT=0.936986&amp;VAR:V=12.928379&amp;VAR:V0=14.512992&amp;VAR:V1=12.834139&amp;VAR:Y0=2010&amp;VAR:Y1=2011&amp;VAR:P=1228.284085&amp;VAR:DATE=201012","08&amp;VAR:THRESH=||||||"}</definedName>
    <definedName name="_2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5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5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5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5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5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5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5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5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5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5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5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Aggregates&amp;ACTION=UPDATE&amp;CREATOR=FACTSET&amp;HEIGHT=525&amp;WIDTH=500&amp;DOC_NAME=FAT:FMA_AUDIT_TM.FAT&amp;VAR:CURRENCY=USD&amp;VAR:AUDIT_ID=00000117&amp;VAR:CALC_MODE","=PORTFOLIO&amp;VAR:CHGPERIOD=NA&amp;DISPLAY_STRING=Price to Earnings Ratio&amp;VAR:FQLFORMULA=FMA_PE&amp;VAR:MEASURE=PE&amp;VAR:NULL=.HTML&amp;VAR:TM=NTMA&amp;VAR:PCT=0.917808&amp;VAR:V=12.723412&amp;VAR:V0=14.260525&amp;VAR:V1=12.601772&amp;VAR:Y0=2010&amp;VAR:Y1=2011&amp;VAR:P=1206.067981&amp;VAR:DATE=201012","01&amp;VAR:THRESH=||||||"}</definedName>
    <definedName name="_2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6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6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6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6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6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6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6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6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6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6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6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Aggregates&amp;ACTION=UPDATE&amp;CREATOR=FACTSET&amp;HEIGHT=525&amp;WIDTH=500&amp;DOC_NAME=FAT:FMA_AUDIT_TM.FAT&amp;VAR:CURRENCY=USD&amp;VAR:AUDIT_ID=00000117&amp;VAR:CALC_MODE","=PORTFOLIO&amp;VAR:CHGPERIOD=NA&amp;DISPLAY_STRING=Price to Earnings Ratio&amp;VAR:FQLFORMULA=FMA_PE&amp;VAR:MEASURE=PE&amp;VAR:NULL=.HTML&amp;VAR:TM=NTMA&amp;VAR:PCT=0.898630&amp;VAR:V=12.672540&amp;VAR:V0=14.169132&amp;VAR:V1=12.523326&amp;VAR:Y0=2010&amp;VAR:Y1=2011&amp;VAR:P=1198.353814&amp;VAR:DATE=201011","24&amp;VAR:THRESH=||||||"}</definedName>
    <definedName name="_2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7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7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7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7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7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7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7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7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7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7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7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Aggregates&amp;ACTION=UPDATE&amp;CREATOR=FACTSET&amp;HEIGHT=525&amp;WIDTH=500&amp;DOC_NAME=FAT:FMA_AUDIT_TM.FAT&amp;VAR:CURRENCY=USD&amp;VAR:AUDIT_ID=00000117&amp;VAR:CALC_MODE","=PORTFOLIO&amp;VAR:CHGPERIOD=NA&amp;DISPLAY_STRING=Price to Earnings Ratio&amp;VAR:FQLFORMULA=FMA_PE&amp;VAR:MEASURE=PE&amp;VAR:NULL=.HTML&amp;VAR:TM=NTMA&amp;VAR:PCT=0.879452&amp;VAR:V=12.504022&amp;VAR:V0=13.941004&amp;VAR:V1=12.329816&amp;VAR:Y0=2010&amp;VAR:Y1=2011&amp;VAR:P=1178.587921&amp;VAR:DATE=201011","17&amp;VAR:THRESH=||||||"}</definedName>
    <definedName name="_2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8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8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8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8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8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8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8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8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8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8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8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Aggregates&amp;ACTION=UPDATE&amp;CREATOR=FACTSET&amp;HEIGHT=525&amp;WIDTH=500&amp;DOC_NAME=FAT:FMA_AUDIT_TM.FAT&amp;VAR:CURRENCY=USD&amp;VAR:AUDIT_ID=00000117&amp;VAR:CALC_MODE","=PORTFOLIO&amp;VAR:CHGPERIOD=NA&amp;DISPLAY_STRING=Price to Earnings Ratio&amp;VAR:FQLFORMULA=FMA_PE&amp;VAR:MEASURE=PE&amp;VAR:NULL=.HTML&amp;VAR:TM=NTMA&amp;VAR:PCT=0.860274&amp;VAR:V=12.948182&amp;VAR:V0=14.412767&amp;VAR:V1=12.737946&amp;VAR:Y0=2010&amp;VAR:Y1=2011&amp;VAR:P=1218.708532&amp;VAR:DATE=201011","10&amp;VAR:THRESH=||||||"}</definedName>
    <definedName name="_2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9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9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9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9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9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9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9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9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9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29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29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__123Graph_Aｸﾞﾗﾌ_1" hidden="1">[1]ｾｸﾞﾒﾝﾄ!$E$164:$I$164</definedName>
    <definedName name="_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Aggregates&amp;ACTION=UPDATE&amp;CREATOR=FACTSET&amp;HEIGHT=525&amp;WIDTH=500&amp;DOC_NAME=FAT:FMA_AUDIT_TM.FAT&amp;VAR:CURRENCY=USD&amp;VAR:AUDIT_ID=00000117&amp;VAR:CALC_MODE","=PORTFOLIO&amp;VAR:CHGPERIOD=NA&amp;DISPLAY_STRING=Price to Earnings Ratio&amp;VAR:FQLFORMULA=FMA_PE&amp;VAR:MEASURE=PE&amp;VAR:NULL=.HTML&amp;VAR:TM=NTMA&amp;VAR:PCT=0.841096&amp;VAR:V=12.760176&amp;VAR:V0=14.171385&amp;VAR:V1=12.524545&amp;VAR:Y0=2010&amp;VAR:Y1=2011&amp;VAR:P=1197.961445&amp;VAR:DATE=201011","03&amp;VAR:THRESH=||||||"}</definedName>
    <definedName name="_3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0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0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0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0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0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0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0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0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0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0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0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Aggregates&amp;ACTION=UPDATE&amp;CREATOR=FACTSET&amp;HEIGHT=525&amp;WIDTH=500&amp;DOC_NAME=FAT:FMA_AUDIT_TM.FAT&amp;VAR:CURRENCY=USD&amp;VAR:AUDIT_ID=00000117&amp;VAR:CALC_MODE","=PORTFOLIO&amp;VAR:CHGPERIOD=NA&amp;DISPLAY_STRING=Price to Earnings Ratio&amp;VAR:FQLFORMULA=FMA_PE&amp;VAR:MEASURE=PE&amp;VAR:NULL=.HTML&amp;VAR:TM=NTMA&amp;VAR:PCT=0.821918&amp;VAR:V=12.618237&amp;VAR:V0=13.988390&amp;VAR:V1=12.356013&amp;VAR:Y0=2010&amp;VAR:Y1=2011&amp;VAR:P=1182.447955&amp;VAR:DATE=201010","27&amp;VAR:THRESH=||||||"}</definedName>
    <definedName name="_3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1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1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1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1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1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1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1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1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1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1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1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0.076712&amp;VAR:V=16.557192&amp;VAR:V0=16.748265&amp;VAR:V1=14.558210&amp;VAR:Y0=2011&amp;VAR:Y1=2012&amp;VAR:P=503.680000&amp;VAR:DATE=20110128&amp;VAR:THRESH=|||||","|"}</definedName>
    <definedName name="_3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2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2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2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2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2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2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2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2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2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2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2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0.071233&amp;VAR:V=16.293216&amp;VAR:V0=16.467773&amp;VAR:V1=14.314812&amp;VAR:Y0=2011&amp;VAR:Y1=2012&amp;VAR:P=505.401773&amp;VAR:DATE=20110126&amp;VAR:THRESH=|||||","|"}</definedName>
    <definedName name="_3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3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3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3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3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3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3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3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3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3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3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3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0.052055&amp;VAR:V=16.204505&amp;VAR:V0=16.332209&amp;VAR:V1=14.184736&amp;VAR:Y0=2011&amp;VAR:Y1=2012&amp;VAR:P=501.516414&amp;VAR:DATE=20110119&amp;VAR:THRESH=|||||","|"}</definedName>
    <definedName name="_3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4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4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4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4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4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4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4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4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4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4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4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0.076712&amp;VAR:V=13.253396&amp;VAR:V0=13.388681&amp;VAR:V1=11.816364&amp;VAR:Y0=2011&amp;VAR:Y1=2012&amp;VAR:P=1289.420000&amp;VAR:DATE=20110128&amp;VAR:THRESH=||||","||"}</definedName>
    <definedName name="_3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5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5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5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5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5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5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5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5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5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5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5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0.071233&amp;VAR:V=13.238455&amp;VAR:V0=13.363919&amp;VAR:V1=11.794690&amp;VAR:Y0=2011&amp;VAR:Y1=2012&amp;VAR:P=1296.633085&amp;VAR:DATE=20110126&amp;VAR:THRESH=||||","||"}</definedName>
    <definedName name="_3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6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6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6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6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6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6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6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6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6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6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6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0.052055&amp;VAR:V=13.132281&amp;VAR:V0=13.222725&amp;VAR:V1=11.677689&amp;VAR:Y0=2011&amp;VAR:Y1=2012&amp;VAR:P=1281.917704&amp;VAR:DATE=20110119&amp;VAR:THRESH=||||","||"}</definedName>
    <definedName name="_3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7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7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7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7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7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37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6__FDSAUDITLINK__" hidden="1">{"fdsup://directions/FAT%20Viewer?VAR:TM=NTMA&amp;VAR:PCT=0.197260&amp;VAR:Y0=2010&amp;VAR:Y1=2011&amp;VAR:V0=17.222925&amp;VAR:V1=14.939643&amp;VAR:V=15.340825&amp;VAR:AUDIT_ID=99900421&amp;VAR:DATE=20101020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Aggregates&amp;VAR:MEASURE=PE_MEAN&amp;VAR:CALC_MODE=PORTFOLIO&amp;VAR:CHGPERIOD=NA&amp;VAR:FQLFORMULA=FMA_PE&amp;VAR:CURRENCY=USD&amp;VAR:P=4","58.390000&amp;VAR:THRESH=||||||&amp;VAR:null=.html"}</definedName>
    <definedName name="_37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7__FDSAUDITLINK__" hidden="1">{"fdsup://directions/FAT%20Viewer?VAR:TM=NTMA&amp;VAR:PCT=0.197260&amp;VAR:Y0=2010&amp;VAR:Y1=2011&amp;VAR:V0=13.910325&amp;VAR:V1=12.207369&amp;VAR:V=12.509465&amp;VAR:AUDIT_ID=00000117&amp;VAR:DATE=20101020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Aggregates&amp;VAR:MEASURE=PE_MEAN&amp;VAR:CALC_MODE=PORTFOLIO&amp;VAR:CHGPERIOD=NA&amp;VAR:FQLFORMULA=FMA_PE&amp;VAR:CURRENCY=USD&amp;VAR:P=1","171.100000&amp;VAR:THRESH=||||||&amp;VAR:null=.html"}</definedName>
    <definedName name="_37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8__FDSAUDITLINK__" hidden="1">{"fdsup://directions/FAT%20Viewer?VAR:TM=NTMA&amp;VAR:PCT=0.887671&amp;VAR:Y0=2010&amp;VAR:Y1=2011&amp;VAR:V0=13.445606&amp;VAR:V1=11.250805&amp;VAR:V=13.157290&amp;VAR:AUDIT_ID=00000117&amp;VAR:DATE=20100210&amp;action=UPDATE&amp;creator=factset&amp;DOC_NAME=FAT:FMA_AUDIT_TM.FAT&amp;DISPLAY_STRING=Displ","ay Audit for Price to Earnings Ratio&amp;DYN_ARGS=TRUE&amp;WINDOW=first_popup&amp;START_MAXIMIZED=FALSE&amp;WIDTH=500&amp;HEIGHT=525&amp;TITLEBAR=FactSet Market Aggregates&amp;VAR:MEASURE=PE_MEAN&amp;VAR:CALC_MODE=PORTFOLIO&amp;VAR:CHGPERIOD=NA&amp;VAR:FQLFORMULA=FMA_PE&amp;VAR:CURRENCY=NA&amp;VAR:P=10","68.134595&amp;VAR:THRESH=|||||&amp;VAR:null=.html"}</definedName>
    <definedName name="_37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9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0.246575&amp;VAR:V=16.231006&amp;VAR:V0=16.833217&amp;VAR:V1=14.631585&amp;VAR:Y0=2011&amp;VAR:Y1=2012&amp;VAR:P=519.710000&amp;VAR:DATE=20110331&amp;VAR:THRESH=|||||","|"}</definedName>
    <definedName name="_37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7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0.076712&amp;VAR:V=13.253396&amp;VAR:V0=13.388681&amp;VAR:V1=11.816364&amp;VAR:Y0=2011&amp;VAR:Y1=2012&amp;VAR:P=1289.420000&amp;VAR:DATE=20110128&amp;VAR:THRESH=||||","||"}</definedName>
    <definedName name="_380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0.243836&amp;VAR:V=16.237461&amp;VAR:V0=16.833217&amp;VAR:V1=14.631585&amp;VAR:Y0=2011&amp;VAR:Y1=2012&amp;VAR:P=519.710549&amp;VAR:DATE=20110330&amp;VAR:THRESH=|||||","|"}</definedName>
    <definedName name="_38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1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0.224658&amp;VAR:V=15.755266&amp;VAR:V0=16.291596&amp;VAR:V1=14.147839&amp;VAR:Y0=2011&amp;VAR:Y1=2012&amp;VAR:P=503.355042&amp;VAR:DATE=20110323&amp;VAR:THRESH=|||||","|"}</definedName>
    <definedName name="_38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2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0.205479&amp;VAR:V=15.501346&amp;VAR:V0=15.975845&amp;VAR:V1=13.904498&amp;VAR:Y0=2011&amp;VAR:Y1=2012&amp;VAR:P=494.830760&amp;VAR:DATE=20110316&amp;VAR:THRESH=|||||","|"}</definedName>
    <definedName name="_38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2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2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2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3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0.186301&amp;VAR:V=16.033595&amp;VAR:V0=16.480961&amp;VAR:V1=14.334173&amp;VAR:Y0=2011&amp;VAR:Y1=2012&amp;VAR:P=510.302479&amp;VAR:DATE=20110309&amp;VAR:THRESH=|||||","|"}</definedName>
    <definedName name="_383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3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3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3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3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3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3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3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3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3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4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0.167123&amp;VAR:V=16.019090&amp;VAR:V0=16.412426&amp;VAR:V1=14.309966&amp;VAR:Y0=2011&amp;VAR:Y1=2012&amp;VAR:P=508.515120&amp;VAR:DATE=20110302&amp;VAR:THRESH=|||||","|"}</definedName>
    <definedName name="_384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4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4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4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4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4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4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4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4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4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5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0.147945&amp;VAR:V=16.018029&amp;VAR:V0=16.355651&amp;VAR:V1=14.316055&amp;VAR:Y0=2011&amp;VAR:Y1=2012&amp;VAR:P=506.267234&amp;VAR:DATE=20110223&amp;VAR:THRESH=|||||","|"}</definedName>
    <definedName name="_385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5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5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5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5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5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5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5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5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5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6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0.128767&amp;VAR:V=16.833875&amp;VAR:V0=17.156042&amp;VAR:V1=14.936157&amp;VAR:Y0=2011&amp;VAR:Y1=2012&amp;VAR:P=526.219546&amp;VAR:DATE=20110216&amp;VAR:THRESH=|||||","|"}</definedName>
    <definedName name="_386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6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6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6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6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6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6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6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6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6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7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0.109589&amp;VAR:V=16.615960&amp;VAR:V0=16.885001&amp;VAR:V1=14.711394&amp;VAR:Y0=2011&amp;VAR:Y1=2012&amp;VAR:P=518.247134&amp;VAR:DATE=20110209&amp;VAR:THRESH=|||||","|"}</definedName>
    <definedName name="_387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7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7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7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7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7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7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7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7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7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8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0.090411&amp;VAR:V=15.967767&amp;VAR:V0=16.186930&amp;VAR:V1=14.053469&amp;VAR:Y0=2011&amp;VAR:Y1=2012&amp;VAR:P=495.588780&amp;VAR:DATE=20110202&amp;VAR:THRESH=|||||","|"}</definedName>
    <definedName name="_388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8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8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8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8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8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8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8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8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8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0.246575&amp;VAR:V=13.152802&amp;VAR:V0=13.582815&amp;VAR:V1=11.992693&amp;VAR:Y0=2011&amp;VAR:Y1=2012&amp;VAR:P=1328.260016&amp;VAR:DATE=20110331&amp;VAR:THRESH=||||","||"}</definedName>
    <definedName name="_389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9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9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9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9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9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9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9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9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89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0.076712&amp;VAR:V=13.253396&amp;VAR:V0=13.388681&amp;VAR:V1=11.816364&amp;VAR:Y0=2011&amp;VAR:Y1=2012&amp;VAR:P=1289.420000&amp;VAR:DATE=20110128&amp;VAR:THRESH=||||","||"}</definedName>
    <definedName name="_3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0.243836&amp;VAR:V=13.157430&amp;VAR:V0=13.582815&amp;VAR:V1=11.992693&amp;VAR:Y0=2011&amp;VAR:Y1=2012&amp;VAR:P=1328.260016&amp;VAR:DATE=20110330&amp;VAR:THRESH=||||","||"}</definedName>
    <definedName name="_390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0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0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0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0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0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0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0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0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0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0.224658&amp;VAR:V=12.883821&amp;VAR:V0=13.267055&amp;VAR:V1=11.715839&amp;VAR:Y0=2011&amp;VAR:Y1=2012&amp;VAR:P=1297.543188&amp;VAR:DATE=20110323&amp;VAR:THRESH=||||","||"}</definedName>
    <definedName name="_391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1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1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1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1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1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1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17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18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19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0.205479&amp;VAR:V=12.503465&amp;VAR:V0=12.842024&amp;VAR:V1=11.346791&amp;VAR:Y0=2011&amp;VAR:Y1=2012&amp;VAR:P=1256.876356&amp;VAR:DATE=20110316&amp;VAR:THRESH=||||","||"}</definedName>
    <definedName name="_3920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21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22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23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24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25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26__FDSAUDITLINK__" hidden="1">{"fdsup://directions/FAT%20Viewer?WINDOW=first_popup&amp;DYN_ARGS=TRUE&amp;START_MAXIMIZED=FALSE&amp;TITLEBAR=FactSet Market Aggregates&amp;ACTION=UPDATE&amp;CREATOR=FACTSET&amp;HEIGHT=450&amp;WIDTH=500&amp;DOC_NAME=FAT:FMA_AUDIT_TM.FAT&amp;VAR:CURRENCY=USD&amp;VAR:AUDIT_ID=00000117&amp;VAR:CALC_MODE","=PORTFOLIO&amp;VAR:CHGPERIOD=NA&amp;DISPLAY_STRING=audit&amp;VAR:FQLFORMULA=FMA_PE&amp;VAR:MEASURE=PE&amp;VAR:NULL=.HTML&amp;VAR:TM=NTMA&amp;VAR:PCT=0.794521&amp;VAR:V=11.510672&amp;VAR:V0=12.656910&amp;VAR:V1=11.247247&amp;VAR:Y0=2011&amp;VAR:Y1=2012&amp;VAR:P=1224.577010&amp;VAR:DATE=20111017&amp;VAR:THRESH=-|-|","-|-|-|-|-"}</definedName>
    <definedName name="_3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0.186301&amp;VAR:V=13.204852&amp;VAR:V0=13.535296&amp;VAR:V1=11.932496&amp;VAR:Y0=2011&amp;VAR:Y1=2012&amp;VAR:P=1320.024841&amp;VAR:DATE=20110309&amp;VAR:THRESH=||||","||"}</definedName>
    <definedName name="_3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0.167123&amp;VAR:V=13.145109&amp;VAR:V0=13.442092&amp;VAR:V1=11.841320&amp;VAR:Y0=2011&amp;VAR:Y1=2012&amp;VAR:P=1308.440003&amp;VAR:DATE=20110302&amp;VAR:THRESH=||||","||"}</definedName>
    <definedName name="_3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0.147945&amp;VAR:V=13.172836&amp;VAR:V0=13.435341&amp;VAR:V1=11.840468&amp;VAR:Y0=2011&amp;VAR:Y1=2012&amp;VAR:P=1307.398198&amp;VAR:DATE=20110223&amp;VAR:THRESH=||||","||"}</definedName>
    <definedName name="_3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0.128767&amp;VAR:V=13.510540&amp;VAR:V0=13.743989&amp;VAR:V1=12.117907&amp;VAR:Y0=2011&amp;VAR:Y1=2012&amp;VAR:P=1336.321983&amp;VAR:DATE=20110216&amp;VAR:THRESH=||||","||"}</definedName>
    <definedName name="_3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0.109589&amp;VAR:V=13.394782&amp;VAR:V0=13.594283&amp;VAR:V1=11.967774&amp;VAR:Y0=2011&amp;VAR:Y1=2012&amp;VAR:P=1320.878908&amp;VAR:DATE=20110209&amp;VAR:THRESH=||||","||"}</definedName>
    <definedName name="_3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13.267561&amp;VAR:V0=13.429888&amp;VAR:V1=11.829109&amp;VAR:Y0=2011&amp;VAR:Y1=2012&amp;VAR:P=1304.029250&amp;VAR:DATE=20110202&amp;VAR:THRESH=||||","||"}</definedName>
    <definedName name="_399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0.260274&amp;VAR:V=16.213943&amp;VAR:V0=16.850447&amp;VAR:V1=14.642021&amp;VAR:Y0=2011&amp;VAR:Y1=2012&amp;VAR:P=520.250000&amp;VAR:DATE=20110405&amp;VAR:THRESH=|||||","|"}</definedName>
    <definedName name="_4__123Graph_Aｸﾞﾗﾌ_2" hidden="1">[1]単独!$AR$14:$AR$18</definedName>
    <definedName name="_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0.076712&amp;VAR:V=13.253396&amp;VAR:V0=13.388681&amp;VAR:V1=11.816364&amp;VAR:Y0=2011&amp;VAR:Y1=2012&amp;VAR:P=1289.420000&amp;VAR:DATE=20110128&amp;VAR:THRESH=||||","||"}</definedName>
    <definedName name="_4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0.260274&amp;VAR:V=13.176073&amp;VAR:V0=13.633239&amp;VAR:V1=12.029593&amp;VAR:Y0=2011&amp;VAR:Y1=2012&amp;VAR:P=1332.873900&amp;VAR:DATE=20110405&amp;VAR:THRESH=||||","||"}</definedName>
    <definedName name="_4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0.260274&amp;VAR:V=13.176073&amp;VAR:V0=13.633239&amp;VAR:V1=12.029593&amp;VAR:Y0=2011&amp;VAR:Y1=2012&amp;VAR:P=1332.873900&amp;VAR:DATE=20110405&amp;VAR:THRESH=||||","||"}</definedName>
    <definedName name="_4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0.260274&amp;VAR:V=13.176073&amp;VAR:V0=13.633239&amp;VAR:V1=12.029593&amp;VAR:Y0=2011&amp;VAR:Y1=2012&amp;VAR:P=1332.873900&amp;VAR:DATE=20110405&amp;VAR:THRESH=||||","||"}</definedName>
    <definedName name="_40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8.944254&amp;VAR:P=1&amp;VAR:DATE=20110404"}</definedName>
    <definedName name="_404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0.301370&amp;VAR:V=16.212686&amp;VAR:V0=16.965284&amp;VAR:V1=14.700890&amp;VAR:Y0=2011&amp;VAR:Y1=2012&amp;VAR:P=532.920000&amp;VAR:DATE=20110420&amp;VAR:THRESH=|||||","|"}</definedName>
    <definedName name="_405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0.282192&amp;VAR:V=16.329116&amp;VAR:V0=17.040492&amp;VAR:V1=14.761590&amp;VAR:Y0=2011&amp;VAR:Y1=2012&amp;VAR:P=527.792977&amp;VAR:DATE=20110413&amp;VAR:THRESH=|||||","|"}</definedName>
    <definedName name="_406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0.263014&amp;VAR:V=16.372470&amp;VAR:V0=17.028880&amp;VAR:V1=14.776443&amp;VAR:Y0=2011&amp;VAR:Y1=2012&amp;VAR:P=526.075844&amp;VAR:DATE=20110406&amp;VAR:THRESH=|||||","|"}</definedName>
    <definedName name="_4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0.301370&amp;VAR:V=12.820958&amp;VAR:V0=13.327723&amp;VAR:V1=11.782398&amp;VAR:Y0=2011&amp;VAR:Y1=2012&amp;VAR:P=1328.260000&amp;VAR:DATE=20110420&amp;VAR:THRESH=||||","||"}</definedName>
    <definedName name="_4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0.282192&amp;VAR:V=12.869708&amp;VAR:V0=13.347222&amp;VAR:V1=11.796207&amp;VAR:Y0=2011&amp;VAR:Y1=2012&amp;VAR:P=1314.413644&amp;VAR:DATE=20110413&amp;VAR:THRESH=||||","||"}</definedName>
    <definedName name="_4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0.263014&amp;VAR:V=13.150181&amp;VAR:V0=13.600195&amp;VAR:V1=12.034383&amp;VAR:Y0=2011&amp;VAR:Y1=2012&amp;VAR:P=1335.540212&amp;VAR:DATE=20110406&amp;VAR:THRESH=||||","||"}</definedName>
    <definedName name="_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0.076712&amp;VAR:V=13.253396&amp;VAR:V0=13.388681&amp;VAR:V1=11.816364&amp;VAR:Y0=2011&amp;VAR:Y1=2012&amp;VAR:P=1289.420000&amp;VAR:DATE=20110128&amp;VAR:THRESH=||||","||"}</definedName>
    <definedName name="_410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0.304110&amp;VAR:V=16.206150&amp;VAR:V0=16.965284&amp;VAR:V1=14.700890&amp;VAR:Y0=2011&amp;VAR:Y1=2012&amp;VAR:P=533.070000&amp;VAR:DATE=20110421&amp;VAR:THRESH=|||||","|"}</definedName>
    <definedName name="_4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0.076712&amp;VAR:V=13.253396&amp;VAR:V0=13.388681&amp;VAR:V1=11.816364&amp;VAR:Y0=2011&amp;VAR:Y1=2012&amp;VAR:P=1289.420000&amp;VAR:DATE=20110128&amp;VAR:THRESH=||||","||"}</definedName>
    <definedName name="_4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0.076712&amp;VAR:V=13.253396&amp;VAR:V0=13.388681&amp;VAR:V1=11.816364&amp;VAR:Y0=2011&amp;VAR:Y1=2012&amp;VAR:P=1289.420000&amp;VAR:DATE=20110128&amp;VAR:THRESH=||||","||"}</definedName>
    <definedName name="_4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0.076712&amp;VAR:V=13.253396&amp;VAR:V0=13.388681&amp;VAR:V1=11.816364&amp;VAR:Y0=2011&amp;VAR:Y1=2012&amp;VAR:P=1289.420000&amp;VAR:DATE=20110128&amp;VAR:THRESH=||||","||"}</definedName>
    <definedName name="_4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0.076712&amp;VAR:V=13.253396&amp;VAR:V0=13.388681&amp;VAR:V1=11.816364&amp;VAR:Y0=2011&amp;VAR:Y1=2012&amp;VAR:P=1289.420000&amp;VAR:DATE=20110128&amp;VAR:THRESH=||||","||"}</definedName>
    <definedName name="_4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0.076712&amp;VAR:V=13.253396&amp;VAR:V0=13.388681&amp;VAR:V1=11.816364&amp;VAR:Y0=2011&amp;VAR:Y1=2012&amp;VAR:P=1289.420000&amp;VAR:DATE=20110128&amp;VAR:THRESH=||||","||"}</definedName>
    <definedName name="_4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0.076712&amp;VAR:V=13.253396&amp;VAR:V0=13.388681&amp;VAR:V1=11.816364&amp;VAR:Y0=2011&amp;VAR:Y1=2012&amp;VAR:P=1289.420000&amp;VAR:DATE=20110128&amp;VAR:THRESH=||||","||"}</definedName>
    <definedName name="_4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0.076712&amp;VAR:V=13.253396&amp;VAR:V0=13.388681&amp;VAR:V1=11.816364&amp;VAR:Y0=2011&amp;VAR:Y1=2012&amp;VAR:P=1289.420000&amp;VAR:DATE=20110128&amp;VAR:THRESH=||||","||"}</definedName>
    <definedName name="_4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8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8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8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8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0.076712&amp;VAR:V=13.253396&amp;VAR:V0=13.388681&amp;VAR:V1=11.816364&amp;VAR:Y0=2011&amp;VAR:Y1=2012&amp;VAR:P=1289.420000&amp;VAR:DATE=20110128&amp;VAR:THRESH=||||","||"}</definedName>
    <definedName name="_4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4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__123Graph_Bｸﾞﾗﾌ_1" hidden="1">[1]ｾｸﾞﾒﾝﾄ!$E$165:$I$165</definedName>
    <definedName name="_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0.076712&amp;VAR:V=13.253396&amp;VAR:V0=13.388681&amp;VAR:V1=11.816364&amp;VAR:Y0=2011&amp;VAR:Y1=2012&amp;VAR:P=1289.420000&amp;VAR:DATE=20110128&amp;VAR:THRESH=||||","||"}</definedName>
    <definedName name="_5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0.076712&amp;VAR:V=13.253396&amp;VAR:V0=13.388681&amp;VAR:V1=11.816364&amp;VAR:Y0=2011&amp;VAR:Y1=2012&amp;VAR:P=1289.420000&amp;VAR:DATE=20110128&amp;VAR:THRESH=||||","||"}</definedName>
    <definedName name="_5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0.076712&amp;VAR:V=13.253396&amp;VAR:V0=13.388681&amp;VAR:V1=11.816364&amp;VAR:Y0=2011&amp;VAR:Y1=2012&amp;VAR:P=1289.420000&amp;VAR:DATE=20110128&amp;VAR:THRESH=||||","||"}</definedName>
    <definedName name="_5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0.076712&amp;VAR:V=13.253396&amp;VAR:V0=13.388681&amp;VAR:V1=11.816364&amp;VAR:Y0=2011&amp;VAR:Y1=2012&amp;VAR:P=1289.420000&amp;VAR:DATE=20110128&amp;VAR:THRESH=||||","||"}</definedName>
    <definedName name="_5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0.084932&amp;VAR:V=12.983609&amp;VAR:V0=13.131456&amp;VAR:V1=11.578998&amp;VAR:Y0=2011&amp;VAR:Y1=2012&amp;VAR:P=1285.950000&amp;VAR:DATE=20110131&amp;VAR:THRESH=||||","||"}</definedName>
    <definedName name="_5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0.084932&amp;VAR:V=12.983609&amp;VAR:V0=13.131456&amp;VAR:V1=11.578998&amp;VAR:Y0=2011&amp;VAR:Y1=2012&amp;VAR:P=1285.950000&amp;VAR:DATE=20110131&amp;VAR:THRESH=||||","||"}</definedName>
    <definedName name="_5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0.084932&amp;VAR:V=12.983609&amp;VAR:V0=13.131456&amp;VAR:V1=11.578998&amp;VAR:Y0=2011&amp;VAR:Y1=2012&amp;VAR:P=1285.950000&amp;VAR:DATE=20110131&amp;VAR:THRESH=||||","||"}</definedName>
    <definedName name="_5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7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audit&amp;VAR:FQLFORMULA=FMA_PE&amp;VAR:MEASURE=PE&amp;VAR:NULL=.HTML&amp;VAR:TM=NTMA&amp;VAR:PCT=0.087671&amp;VAR:V=16.095096&amp;VAR:V0=16.306139&amp;VAR:V1=14.184658&amp;VAR:Y0=2011&amp;VAR:Y1=2012&amp;VAR:P=498.010000&amp;VAR:DATE=20110201&amp;VAR:THRESH=|||||","|"}</definedName>
    <definedName name="_5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5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8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8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8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8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5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5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__123Graph_Dｸﾞﾗﾌ_1" hidden="1">[1]ｾｸﾞﾒﾝﾄ!$E$167:$I$167</definedName>
    <definedName name="_6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Aggregates&amp;ACTION=UPDATE&amp;CREATOR=FACTSET&amp;HEIGHT=525&amp;WIDTH=500&amp;DOC_NAME=FAT:FMA_AUDIT_TM.FAT&amp;VAR:CURRENCY=USD&amp;VAR:AUDIT_ID=99900421&amp;VAR:CALC_MODE","=PORTFOLIO&amp;VAR:CHGPERIOD=NA&amp;DISPLAY_STRING=Price to Earnings Ratio&amp;VAR:FQLFORMULA=FMA_PE&amp;VAR:MEASURE=PE&amp;VAR:NULL=.HTML&amp;VAR:TM=NTMA&amp;VAR:PCT=0.049315&amp;VAR:V=16.415087&amp;VAR:V0=16.538528&amp;VAR:V1=14.350281&amp;VAR:Y0=2011&amp;VAR:Y1=2012&amp;VAR:P=506.900000&amp;VAR:DATE=2011011","8&amp;VAR:THRESH=||||||"}</definedName>
    <definedName name="_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6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6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6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6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6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6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6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6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6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8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8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8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8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6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6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Aggregates&amp;ACTION=UPDATE&amp;CREATOR=FACTSET&amp;HEIGHT=525&amp;WIDTH=500&amp;DOC_NAME=FAT:FMA_AUDIT_TM.FAT&amp;VAR:CURRENCY=USD&amp;VAR:AUDIT_ID=99900421&amp;VAR:CALC_MODE","=PORTFOLIO&amp;VAR:CHGPERIOD=NA&amp;DISPLAY_STRING=Price to Earnings Ratio&amp;VAR:FQLFORMULA=FMA_PE&amp;VAR:MEASURE=PE&amp;VAR:NULL=.HTML&amp;VAR:TM=NTMA&amp;VAR:PCT=0.032877&amp;VAR:V=16.304742&amp;VAR:V0=16.387546&amp;VAR:V1=14.194845&amp;VAR:Y0=2011&amp;VAR:Y1=2012&amp;VAR:P=502.707483&amp;VAR:DATE=2011011","2&amp;VAR:THRESH=||||||"}</definedName>
    <definedName name="_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7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7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7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7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7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7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7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7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7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8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8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8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8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7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7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Aggregates&amp;ACTION=UPDATE&amp;CREATOR=FACTSET&amp;HEIGHT=525&amp;WIDTH=500&amp;DOC_NAME=FAT:FMA_AUDIT_TM.FAT&amp;VAR:CURRENCY=USD&amp;VAR:AUDIT_ID=99900421&amp;VAR:CALC_MODE","=PORTFOLIO&amp;VAR:CHGPERIOD=NA&amp;DISPLAY_STRING=Price to Earnings Ratio&amp;VAR:FQLFORMULA=FMA_PE&amp;VAR:MEASURE=PE&amp;VAR:NULL=.HTML&amp;VAR:TM=NTMA&amp;VAR:PCT=0.013699&amp;VAR:V=16.574583&amp;VAR:V0=16.610495&amp;VAR:V1=14.342074&amp;VAR:Y0=2011&amp;VAR:Y1=2012&amp;VAR:P=508.995667&amp;VAR:DATE=2011010","5&amp;VAR:THRESH=||||||"}</definedName>
    <definedName name="_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8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8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8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8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8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8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8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8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8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8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8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8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8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8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8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__FDSAUDITLINK__" hidden="1">{"fdsup://directions/FAT%20Viewer?WINDOW=first_popup&amp;DYN_ARGS=TRUE&amp;START_MAXIMIZED=FALSE&amp;TITLEBAR=FactSet Market Aggregates&amp;ACTION=UPDATE&amp;CREATOR=FACTSET&amp;HEIGHT=525&amp;WIDTH=500&amp;DOC_NAME=FAT:FMA_AUDIT_TM.FAT&amp;VAR:CURRENCY=USD&amp;VAR:AUDIT_ID=99900421&amp;VAR:CALC_MODE","=PORTFOLIO&amp;VAR:CHGPERIOD=NA&amp;DISPLAY_STRING=Price to Earnings Ratio&amp;VAR:FQLFORMULA=FMA_PE&amp;VAR:MEASURE=PE&amp;VAR:NULL=.HTML&amp;VAR:TM=NTMA&amp;VAR:PCT=0.994521&amp;VAR:V=16.652112&amp;VAR:V0=19.248515&amp;VAR:V1=16.639746&amp;VAR:Y0=2010&amp;VAR:Y1=2011&amp;VAR:P=510.675394&amp;VAR:DATE=2010122","9&amp;VAR:THRESH=||||||"}</definedName>
    <definedName name="_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9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9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9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9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9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9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9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9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9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8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8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8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8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12.978480&amp;VAR:V0=13.131018&amp;VAR:V1=11.578780&amp;VAR:Y0=2011&amp;VAR:Y1=2012&amp;VAR:P=1286.120912&amp;VAR:DATE=20110201&amp;VAR:THRESH=||||","||"}</definedName>
    <definedName name="_9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9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0.304110&amp;VAR:V=12.816528&amp;VAR:V0=13.327723&amp;VAR:V1=11.782398&amp;VAR:Y0=2011&amp;VAR:Y1=2012&amp;VAR:P=1330.357805&amp;VAR:DATE=20110421&amp;VAR:THRESH=||||","||"}</definedName>
    <definedName name="_bdm.009D1A310B7546EAB5EC9AD4EED44B6B.edm" localSheetId="6" hidden="1">'GAAP Financial Statements'!$A$184:$AD$239</definedName>
    <definedName name="_bdm.04ECCFFE082245388F3A1FF19890BF7B.edm" localSheetId="9" hidden="1">Drivers!$A$2:$BY$101</definedName>
    <definedName name="_bdm.073ECBD7C9FE4F179BF7D562975A889C.edm" localSheetId="15" hidden="1">'CBS Interactive'!$A$7:$P$36</definedName>
    <definedName name="_bdm.08B578896E154519AC51377EC3CB1EC2.edm" hidden="1">FMV!$1:$1048576</definedName>
    <definedName name="_bdm.094CB8B5A2B5499BBA88C351C1159C0E.edm" localSheetId="6" hidden="1">'GAAP Financial Statements'!$A$245:$Z$304</definedName>
    <definedName name="_bdm.0A14AD7DDD104DCA81797AE740100F42.edm" localSheetId="10" hidden="1">[2]Sheet1!$AG$18:$AI$37</definedName>
    <definedName name="_bdm.0CC5D4627FB549428BC7E3B73C7C3940.edm" localSheetId="6" hidden="1">'GAAP Financial Statements'!$A$4:$S$69</definedName>
    <definedName name="_bdm.0DD1241FA79A4B51A7108E381271AC94.edm" hidden="1">'Free Cash Flow'!$1:$1048576</definedName>
    <definedName name="_bdm.10B6864B6A4E4876940C4D5FEDD1D3E9.edm" localSheetId="6" hidden="1">'GAAP Financial Statements'!$A$184:$Z$239</definedName>
    <definedName name="_bdm.163502BDD0004F248C0FCBE918203465.edm" localSheetId="6" hidden="1">'GAAP Financial Statements'!$A$3:$CC$98</definedName>
    <definedName name="_bdm.1B0CC78F2F2248DC85098D0CAF8CC902.edm" localSheetId="9" hidden="1">Drivers!$A$2:$M$101</definedName>
    <definedName name="_bdm.1B3DDC0EA46F402B91E915FDACA5042E.edm" localSheetId="6" hidden="1">'GAAP Financial Statements'!$A$183:$S$239</definedName>
    <definedName name="_bdm.1D91D1B0F0274A56BCF806F3AF237A8C.edm" localSheetId="3" hidden="1">Multiples!$A$5:$W$49</definedName>
    <definedName name="_bdm.1EDB27A2B64A4DF3945B31F527C01B95.edm" localSheetId="8" hidden="1">'Revenue and OCF'!$A$5:$Z$87</definedName>
    <definedName name="_bdm.1FD0B9A2F1D345709C5483F4F0F3AB57.edm" localSheetId="8" hidden="1">'Revenue and OCF'!$A$4:$CM$87</definedName>
    <definedName name="_bdm.220A8E2F120C469187A3DD3DC8F17CB7.edm" localSheetId="7" hidden="1">'Free Cash Flow'!$A$6:$J$16</definedName>
    <definedName name="_bdm.23413FC717CC44E0951557A98B51AB66.edm" localSheetId="11" hidden="1">'Segment Detail'!$A$84:$AJ$149</definedName>
    <definedName name="_bdm.264D6889D1EC4A20A794169CEAE52F67.edm" localSheetId="11" hidden="1">'Segment Detail'!$A$84:$AH$149</definedName>
    <definedName name="_bdm.266200411008495C9B68A5F86FF05483.edm" localSheetId="8" hidden="1">'Revenue and OCF'!$A$5:$Z$98</definedName>
    <definedName name="_bdm.284E068FE6B04639B8F78830F73AFA8D.edm" localSheetId="10" hidden="1">[2]Sheet1!$AG$17:$AI$38</definedName>
    <definedName name="_bdm.2871422FB5B5452EBD9569E40135F2B5.edm" localSheetId="7" hidden="1">'Free Cash Flow'!$A$6:$M$33</definedName>
    <definedName name="_bdm.29F19FE2389742248729353FFFBB87EA.edm" localSheetId="7" hidden="1">'Free Cash Flow'!$A$6:$K$52</definedName>
    <definedName name="_bdm.2AB0BCA58BE94A939EE4358A3076FC5C.edm" localSheetId="6" hidden="1">'GAAP Financial Statements'!$A$3:$BS$69</definedName>
    <definedName name="_bdm.2C2A6E63EFF74B0CB47FEA6C953712F7.edm" localSheetId="9" hidden="1">Drivers!$A$2:$Q$101</definedName>
    <definedName name="_bdm.2CD8E95F74CF4A9399EF10721DE79797.edm" hidden="1">'FMV Summary'!$1:$1048576</definedName>
    <definedName name="_bdm.35B0E48EFC224386A0EF45756BE4CE66.edm" localSheetId="11" hidden="1">'Segment Detail'!$A$84:$AG$149</definedName>
    <definedName name="_bdm.37B7319BB15946938C875BF48FB0F7B6.edm" localSheetId="8" hidden="1">'Revenue and OCF'!$A$5:$Z$88</definedName>
    <definedName name="_bdm.37C466C977F74E3CA30FB634BB0339FB.edm" localSheetId="3" hidden="1">Multiples!$A$5:$W$55</definedName>
    <definedName name="_bdm.37DE6D4594724A108AA4B29B34B54691.edm" localSheetId="8" hidden="1">'Revenue and OCF'!$A$4:$DG$87</definedName>
    <definedName name="_bdm.398120E461D64A2DBB1E40F613E2C6BB.edm" localSheetId="6" hidden="1">'GAAP Financial Statements'!$A$4:$V$98</definedName>
    <definedName name="_bdm.3C142834ECA8450FA15562B071936366.edm" localSheetId="6" hidden="1">'GAAP Financial Statements'!$A$3:$BX$98</definedName>
    <definedName name="_bdm.3D93177CA003419A9E8D0991EA79254A.edm" localSheetId="8" hidden="1">'Revenue and OCF'!$A$4:$Z$87</definedName>
    <definedName name="_bdm.3F5D7A7860CB42D69931817CE2559B86.edm" localSheetId="8" hidden="1">'Revenue and OCF'!$A$4:$CR$87</definedName>
    <definedName name="_bdm.3FABF38D4CB04F6CA5444D57B87C0986.edm" localSheetId="3" hidden="1">Multiples!$A$3:$N$49</definedName>
    <definedName name="_bdm.3FF2B9AD79264F07B931BBEFCD741BB9.edm" localSheetId="6" hidden="1">'GAAP Financial Statements'!$A$4:$S$98</definedName>
    <definedName name="_bdm.4196CE25A327405393620B3D8721F41C.edm" localSheetId="9" hidden="1">Drivers!$A$2:$M$117</definedName>
    <definedName name="_bdm.4D48EF606A3E491F9F22977167BC6FC8.edm" localSheetId="8" hidden="1">'Revenue and OCF'!$A$4:$Z$88</definedName>
    <definedName name="_bdm.5168857DE161402D8E5FCD40F9D09AAA.edm" hidden="1">Retrans!$1:$1048576</definedName>
    <definedName name="_bdm.51F82CAFF4FA42BA9621F6084CD3659B.edm" localSheetId="9" hidden="1">Drivers!$A$3:$H$210</definedName>
    <definedName name="_bdm.582F0B2C47FE46F58D5D6BEEFDC53F0E.edm" localSheetId="6" hidden="1">'GAAP Financial Statements'!$A$245:$T$304</definedName>
    <definedName name="_bdm.586744C6F9854D4E9F10B193D29A0C91.edm" localSheetId="4" hidden="1">'FMV Summary'!$A$3:$A$63</definedName>
    <definedName name="_bdm.596A4C62ACA142B0915EC86438E455B9.edm" localSheetId="6" hidden="1">'GAAP Financial Statements'!$A$184:$S$239</definedName>
    <definedName name="_bdm.5B1C47A8F240455DB55A8A0F103E6236.edm" localSheetId="10" hidden="1">[2]Sheet1!$AK$37:$AU$61</definedName>
    <definedName name="_bdm.5DAE7F996A494BFA9C8D961E9FBD17D0.edm" hidden="1">'Segment Detail'!$1:$1048576</definedName>
    <definedName name="_bdm.5EF6BD1A6F524CD6992AF106E0F47CF6.edm" localSheetId="15" hidden="1">'CBS Interactive'!$A$7:$O$36</definedName>
    <definedName name="_bdm.611217AE620D443FA6D30492C1BE9B9C.edm" localSheetId="9" hidden="1">Drivers!$A$2:$L$117</definedName>
    <definedName name="_bdm.64908D29D3064447BAB0469A2CA983A3.edm" hidden="1">[3]Charts!$A:$IV</definedName>
    <definedName name="_bdm.67F2D30A5E824A2AB6252D77359B6121.edm" localSheetId="11" hidden="1">'Segment Detail'!$A$4:$AG$20</definedName>
    <definedName name="_bdm.682D87982A3548CEAF11FB2857133851.edm" localSheetId="8" hidden="1">'Revenue and OCF'!$A$5:$CM$87</definedName>
    <definedName name="_bdm.6A8639F8C2DE4F08A80EC0801A8C7D5A.edm" localSheetId="6" hidden="1">'GAAP Financial Statements'!$A$244:$S$303</definedName>
    <definedName name="_bdm.6B68861B3DCF4132A8B4E780711E0668.edm" localSheetId="10" hidden="1">[2]Sheet1!$AK$33:$AU$56</definedName>
    <definedName name="_bdm.6F6DEC22C86E45B7AEE4DEB4C8927486.edm" localSheetId="7" hidden="1">'Free Cash Flow'!$A$6:$Q$31</definedName>
    <definedName name="_bdm.70CD616D8CEA4129BB72B2DD394C7549.edm" localSheetId="6" hidden="1">'GAAP Financial Statements'!$A$3:$BS$98</definedName>
    <definedName name="_bdm.732C00AC525C463BB885E2F2C781480D.edm" localSheetId="7" hidden="1">'Free Cash Flow'!$A$6:$J$29</definedName>
    <definedName name="_bdm.754AAB3C2E1849A4AB1E493837E2058A.edm" localSheetId="8" hidden="1">'Revenue and OCF'!$A$5:$Z$99</definedName>
    <definedName name="_bdm.76162E1FBE4A45E09414CAEED6A4AB3D.edm" localSheetId="10" hidden="1">[2]Sheet1!$AG$17:$AI$37</definedName>
    <definedName name="_bdm.77E9AFD1F69D4D488FD74717F7098215.edm" localSheetId="8" hidden="1">'Revenue and OCF'!$A$4:$CR$87</definedName>
    <definedName name="_bdm.7A57DD3C6A23407BBA8A0F481022D51B.edm" hidden="1">Multiples!$1:$1048576</definedName>
    <definedName name="_bdm.7CF2215C324749FCB08F0EF1B0EAE225.edm" localSheetId="7" hidden="1">'Free Cash Flow'!$A$6:$K$34</definedName>
    <definedName name="_bdm.7F5613ED55B448139F8E976D48682E76.edm" localSheetId="9" hidden="1">Drivers!$AL$2:$BY$101</definedName>
    <definedName name="_bdm.7F9052DD708D483884E5DB1E12865B98.edm" localSheetId="9" hidden="1">Drivers!$A$2:$L$168</definedName>
    <definedName name="_bdm.899E8F338A0C432D97DE344E897C7600.edm" localSheetId="8" hidden="1">'Revenue and OCF'!$A$5:$AC$87</definedName>
    <definedName name="_bdm.8BEBA5CB162947479FEF7E505C50EA98.edm" localSheetId="9" hidden="1">Drivers!$A$118:$Q$168</definedName>
    <definedName name="_bdm.8C17FACE53AF49FCB0D6DF664C42C9D2.edm" localSheetId="8" hidden="1">'Revenue and OCF'!$A$4:$AA$98</definedName>
    <definedName name="_bdm.8E60D24065D746CD938AF59BB19839E0.edm" hidden="1">'GAAP Financial Statements'!$1:$1048576</definedName>
    <definedName name="_bdm.8F30BAF349044217B46195AB8A10F3EB.edm" localSheetId="6" hidden="1">'GAAP Financial Statements'!$A$184:$V$239</definedName>
    <definedName name="_bdm.90C95EE991E0462790D2AE3A463E141D.edm" localSheetId="6" hidden="1">'GAAP Financial Statements'!$A$245:$V$304</definedName>
    <definedName name="_bdm.912EDF4E33DC447BB58E07F2C9B62EA4.edm" localSheetId="6" hidden="1">'GAAP Financial Statements'!$A$184:$T$239</definedName>
    <definedName name="_bdm.9400EB8742A742C4B40826CC7F932D4A.edm" localSheetId="6" hidden="1">'GAAP Financial Statements'!$A$4:$Z$98</definedName>
    <definedName name="_bdm.986A10516D2747008C4F029E6465460F.edm" localSheetId="6" hidden="1">'GAAP Financial Statements'!$A$3:$BS$69</definedName>
    <definedName name="_bdm.99469327129D47768940C36FA6097A06.edm" localSheetId="6" hidden="1">'GAAP Financial Statements'!$A$316:$S$418</definedName>
    <definedName name="_bdm.994E06AED3794502809C42E9AA1566DB.edm" localSheetId="5" hidden="1">FMV!$A$3:$I$50</definedName>
    <definedName name="_bdm.9BEF1E51F0E94F9088F75F5BAD1F3947.edm" localSheetId="10" hidden="1">[2]Sheet1!$C$3:$AE$16</definedName>
    <definedName name="_bdm.9D14FCDE5B8A485A8BBE72E5F1AF95CC.edm" localSheetId="8" hidden="1">'Revenue and OCF'!$A$4:$Z$98</definedName>
    <definedName name="_bdm.9D77C9C8B01248F1BE416F1257FDE9CD.edm" localSheetId="4" hidden="1">'FMV Summary'!$A$3:$C$45</definedName>
    <definedName name="_bdm.9DFF8DBE510346D7AFEB2C31E8A58AF3.edm" localSheetId="8" hidden="1">'Revenue and OCF'!$A$5:$AA$87</definedName>
    <definedName name="_bdm.9F139918096F40AEA5854E7BB0375736.edm" localSheetId="8" hidden="1">'Revenue and OCF'!$A$4:$DB$87</definedName>
    <definedName name="_bdm.9FE053A090FE4C8E9A9336419F21E02F.edm" localSheetId="8" hidden="1">'Revenue and OCF'!$A$5:$B$98</definedName>
    <definedName name="_bdm.A0AA1DB339B74BB9BCFE7FF3072CF374.edm" localSheetId="9" hidden="1">Drivers!$AL$1:$BE$210</definedName>
    <definedName name="_bdm.A0C386E609DF4F55A4A47203E0DDAF75.edm" hidden="1">[3]Scorecard!$A:$IV</definedName>
    <definedName name="_bdm.A75B64873A3E4AD88F5F01A3CFC27FBC.edm" hidden="1">Scenarios!$1:$1048576</definedName>
    <definedName name="_bdm.A912195676CF48D3903BCAD0294CC532.edm" hidden="1">Drivers!$1:$1048576</definedName>
    <definedName name="_bdm.AA2DD62646124A60A177D455E0DF72A0.edm" localSheetId="6" hidden="1">'GAAP Financial Statements'!$A$3:$S$69</definedName>
    <definedName name="_bdm.AB6175B31BF04133A77392BFFAE74877.edm" localSheetId="3" hidden="1">Multiples!$A$3:$W$50</definedName>
    <definedName name="_bdm.ABDE560B29D241699D0894062C7DA1CE.edm" localSheetId="9" hidden="1">Drivers!$A$2:$BT$183</definedName>
    <definedName name="_bdm.AE1A6BF396C74E8C886AD08CB6610DF2.edm" localSheetId="6" hidden="1">'GAAP Financial Statements'!$A$3:$CH$98</definedName>
    <definedName name="_bdm.B16E19FD771A48B3A29E676C991BD52F.edm" localSheetId="9" hidden="1">Drivers!$A$2:$BY$168</definedName>
    <definedName name="_bdm.B23BB38AC0174864A4F4EAD4242E3D7F.edm" localSheetId="9" hidden="1">Drivers!$A$118:$BZ$167</definedName>
    <definedName name="_bdm.B49048C4494746E49F1F9B9D2E8E40DA.edm" localSheetId="9" hidden="1">Drivers!$AL$118:$BY$168</definedName>
    <definedName name="_bdm.B4D3A7D6FEFC4015B26FD7E42890707E.edm" localSheetId="9" hidden="1">Drivers!$A$2:$BT$101</definedName>
    <definedName name="_bdm.B7D393E68E424112BD3AD516ECA33591.edm" localSheetId="6" hidden="1">'GAAP Financial Statements'!$A$3:$BI$69</definedName>
    <definedName name="_bdm.B8001E6C1C1F45659F479166CC1E8F31.edm" localSheetId="6" hidden="1">'GAAP Financial Statements'!$A$4:$T$98</definedName>
    <definedName name="_bdm.B882F8811C584F34A4D91149E356BBAD.edm" localSheetId="8" hidden="1">'Revenue and OCF'!$A$5:$AB$19</definedName>
    <definedName name="_bdm.BB8875EFE74A4E1EAC5785433BE5E45D.edm" localSheetId="8" hidden="1">'Revenue and OCF'!$A$4:$CR$87</definedName>
    <definedName name="_bdm.BC3C4851A5E14B7393695FCE996BEF3B.edm" localSheetId="8" hidden="1">'Revenue and OCF'!$A$4:$CM$99</definedName>
    <definedName name="_bdm.BEB45EC2FE924BC3A4A2C10D8C21272B.edm" localSheetId="7" hidden="1">'Free Cash Flow'!$A$6:$L$52</definedName>
    <definedName name="_bdm.BF068AB28F3B4E87B51E4FBB2456A8F4.edm" localSheetId="7" hidden="1">'Free Cash Flow'!$A$5:$J$14</definedName>
    <definedName name="_bdm.C427228816E94F7EB236E8B21B6C9FB7.edm" localSheetId="6" hidden="1">'GAAP Financial Statements'!$A$245:$S$303</definedName>
    <definedName name="_bdm.C4700093969D42DD8AA15360182F3951.edm" localSheetId="6" hidden="1">'GAAP Financial Statements'!$A$2:$S$69</definedName>
    <definedName name="_bdm.CBCA2131241A405780DB970470C29820.edm" localSheetId="3" hidden="1">Multiples!$A$3:$X$50</definedName>
    <definedName name="_bdm.D42E61CB989D4A77A9B9311A2F987CBB.edm" localSheetId="15" hidden="1">'CBS Interactive'!$A$7:$R$36</definedName>
    <definedName name="_bdm.D5BE31BB24D64C038E6DD61BF7F81B4A.edm" localSheetId="3" hidden="1">Multiples!$Z$10</definedName>
    <definedName name="_bdm.E259657E76B4461EACDB0E431FDDF9E6.edm" localSheetId="13" hidden="1">Retrans!$A$1:$G$23</definedName>
    <definedName name="_bdm.E9BE008DCC324A1E97014F3F91BD0917.edm" hidden="1">'Revenue and OCF'!$1:$1048576</definedName>
    <definedName name="_bdm.EA0D4E349B9D4218B390822CE769EC28.edm" localSheetId="9" hidden="1">Drivers!$A$118:$M$168</definedName>
    <definedName name="_bdm.EAEA8C4AF1664767B165ED83B5156630.edm" localSheetId="5" hidden="1">FMV!$A$3:$I$44</definedName>
    <definedName name="_bdm.EC8BC6A6985E4AD69FD4EA8151477C5C.edm" localSheetId="8" hidden="1">'Revenue and OCF'!$A$4:$DB$87</definedName>
    <definedName name="_bdm.ED41D0407D3E4C8186A8389F0ADDDFAA.edm" hidden="1">'CBS Interactive'!$1:$1048576</definedName>
    <definedName name="_bdm.F17D322D92314A82A6EC84DA1475F37E.edm" localSheetId="9" hidden="1">Drivers!$A$2:$M$166</definedName>
    <definedName name="_xlnm._FilterDatabase" localSheetId="10" hidden="1">Scenarios!$F$124:$T$127</definedName>
    <definedName name="_Order1" localSheetId="13" hidden="1">255</definedName>
    <definedName name="_Order1" hidden="1">0</definedName>
    <definedName name="_TradingMultiples">Multiples!$A$3:$M$49</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dditionalInstructions">IndexInformation!$B$42</definedName>
    <definedName name="Address" localSheetId="0">ImportantDisclosures!$A$2:$A$2</definedName>
    <definedName name="ANA" localSheetId="25">ModPubIndex!$A$7</definedName>
    <definedName name="Authors" localSheetId="0">ImportantDisclosures!$A$7</definedName>
    <definedName name="Authors" localSheetId="24">IndexInformation!$B$18</definedName>
    <definedName name="BRO" localSheetId="25">ModPubIndex!$A$1</definedName>
    <definedName name="Buttons" localSheetId="2">CircularReferenceAlert!$B$13:$B$15</definedName>
    <definedName name="CopyrightStamp">ImportantDisclosures!$A$27</definedName>
    <definedName name="COU" localSheetId="25">ModPubIndex!$A$5</definedName>
    <definedName name="CQEnd" localSheetId="24">IndexInformation!$B$31</definedName>
    <definedName name="Currency" localSheetId="24">IndexInformation!$B$24</definedName>
    <definedName name="CurrentStockPrice" localSheetId="24">IndexInformation!$B$23</definedName>
    <definedName name="CurrQtrEPS" localSheetId="24">IndexInformation!$B$29</definedName>
    <definedName name="CurrYearEPS" localSheetId="24">IndexInformation!$B$11</definedName>
    <definedName name="CurrYearTotalRevenue" localSheetId="24">IndexInformation!$B$10</definedName>
    <definedName name="CurrYearTotalRevenueActual" localSheetId="24">IndexInformation!$B$32</definedName>
    <definedName name="CUSIP" localSheetId="24">IndexInformation!$B$20</definedName>
    <definedName name="CYEnd" localSheetId="24">IndexInformation!$B$30</definedName>
    <definedName name="Date" localSheetId="0">ImportantDisclosures!$A$8</definedName>
    <definedName name="Deleted" localSheetId="24">IndexInformation!$B$27</definedName>
    <definedName name="Description" localSheetId="24">IndexInformation!$B$7</definedName>
    <definedName name="DEVELOPMENT">5</definedName>
    <definedName name="Discipline" localSheetId="24">IndexInformation!$B$3</definedName>
    <definedName name="DISCIPLINE" localSheetId="25">ModPubIndex!$A$12</definedName>
    <definedName name="DisclosuresText">ImportantDisclosures!$A$22</definedName>
    <definedName name="Distribution" localSheetId="24">IndexInformation!$B$26</definedName>
    <definedName name="DistTable" localSheetId="0">ImportantDisclosures!#REF!</definedName>
    <definedName name="DistTablePreamble" localSheetId="0">ImportantDisclosures!#REF!</definedName>
    <definedName name="DOCDAT" localSheetId="25">ModPubIndex!$A$2</definedName>
    <definedName name="DOCTIME" localSheetId="25">ModPubIndex!$A$3</definedName>
    <definedName name="DocType" localSheetId="24">IndexInformation!$B$5</definedName>
    <definedName name="EMAIL_ALERT" localSheetId="25">ModPubIndex!$A$10</definedName>
    <definedName name="EmailAlert" localSheetId="24">IndexInformation!$B$28</definedName>
    <definedName name="FiveYearGrowthRate" localSheetId="24">IndexInformation!$B$16</definedName>
    <definedName name="FollowingYearEPS" localSheetId="24">IndexInformation!$B$15</definedName>
    <definedName name="FollowingYearTotalRevenue" localSheetId="24">IndexInformation!$B$14</definedName>
    <definedName name="FollowingYearTotalRevenueActual" localSheetId="24">IndexInformation!$B$34</definedName>
    <definedName name="HL" localSheetId="25">ModPubIndex!$A$8</definedName>
    <definedName name="IND" localSheetId="25">ModPubIndex!$A$9</definedName>
    <definedName name="Industry" localSheetId="0">ImportantDisclosures!$A$12</definedName>
    <definedName name="IndustryId">IndexInformation!$B$40</definedName>
    <definedName name="IndustryRating" localSheetId="0">ImportantDisclosures!$A$13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CURRENCY" hidden="1">"c2140"</definedName>
    <definedName name="IQ_EST_CURRENCY_REUT" hidden="1">"c5437"</definedName>
    <definedName name="IQ_EST_DATE" hidden="1">"c1634"</definedName>
    <definedName name="IQ_EST_DATE_REUT" hidden="1">"c5438"</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39489.6256597222</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eepVersions" localSheetId="24">IndexInformation!$B$8</definedName>
    <definedName name="LanguageCode">IndexInformation!$B$38</definedName>
    <definedName name="LastCell" localSheetId="0">ImportantDisclosures!$A$22</definedName>
    <definedName name="Linking_1">Showtime!$A$156:$AF$182</definedName>
    <definedName name="Linking_10">'GAAP Financial Statements'!$A$245:$AF$303</definedName>
    <definedName name="Linking_11">Drivers!$A$2:$W$167</definedName>
    <definedName name="Linking_12">'Free Cash Flow'!$A$5:$W$38</definedName>
    <definedName name="Linking_13">Drivers!$A$2:$W$200</definedName>
    <definedName name="Linking_2">'FMV Summary'!$A$5:$K$71</definedName>
    <definedName name="Linking_21">[4]Sensitivity!$B$3:$G$42</definedName>
    <definedName name="Linking_24">Drivers!$A$2:$W$208</definedName>
    <definedName name="Linking_25">Drivers!$AL$2:$CX$208</definedName>
    <definedName name="Linking_26">Multiples!$A$7:$M$49</definedName>
    <definedName name="Linking_28">Multiples!$A$7:$M$57</definedName>
    <definedName name="Linking_29">'CBS Interactive'!$A$110:$Y$144</definedName>
    <definedName name="Linking_3">Retrans!$A$3:$Q$24</definedName>
    <definedName name="Linking_30">Retrans!$A$26:$N$47</definedName>
    <definedName name="Linking_31">Drivers!$AL$2:$DC$208</definedName>
    <definedName name="Linking_32">'GAAP Financial Statements'!$AU$3:$DL$98</definedName>
    <definedName name="Linking_33">Retrans!$A$3:$L$55</definedName>
    <definedName name="Linking_34">Retrans!$A$2:$L$55</definedName>
    <definedName name="Linking_36">'FMV Summary'!$A$5:$L$71</definedName>
    <definedName name="Linking_37">'Free Cash Flow'!$A$6:$W$38</definedName>
    <definedName name="Linking_38">Retrans!$A$1:$L$55</definedName>
    <definedName name="Linking_39">'CBS Interactive'!$A$3:$Y$144</definedName>
    <definedName name="Linking_4">Retrans!$A$3:$L$24</definedName>
    <definedName name="Linking_40">Multiples!$A$7:$V$49</definedName>
    <definedName name="Linking_41">'FMV Summary'!$A$5:$M$71</definedName>
    <definedName name="Linking_42">'Free Cash Flow'!$A$6:$Y$38</definedName>
    <definedName name="Linking_43">'Free Cash Flow'!$A$6:$W$35</definedName>
    <definedName name="Linking_44">Drivers!$AL$2:$DH$208</definedName>
    <definedName name="Linking_45">'GAAP Financial Statements'!$A$4:$AF$100</definedName>
    <definedName name="Linking_46">'GAAP Financial Statements'!$AU$3:$DQ$100</definedName>
    <definedName name="Linking_47">'Free Cash Flow'!$A$6:$Y$35</definedName>
    <definedName name="Linking_48">Drivers!$A$2:$Y$208</definedName>
    <definedName name="Linking_49">'GAAP Financial Statements'!$A$4:$AH$100</definedName>
    <definedName name="Linking_5">Drivers!$AL$2:$CX$167</definedName>
    <definedName name="Linking_50">'GAAP Financial Statements'!$A$184:$AH$239</definedName>
    <definedName name="Linking_51">'GAAP Financial Statements'!$A$245:$AH$303</definedName>
    <definedName name="Linking_6">Drivers!$AL$2:$CX$200</definedName>
    <definedName name="Linking_7">'GAAP Financial Statements'!$A$3:$AF$100</definedName>
    <definedName name="Linking_8">'GAAP Financial Statements'!$AU$3:$DG$98</definedName>
    <definedName name="Linking_9">'GAAP Financial Statements'!$A$184:$AF$239</definedName>
    <definedName name="Linking_Range_1">Drivers!$AL$2:$CD$101</definedName>
    <definedName name="Linking_Range_10">Drivers!$AL$118:$CD$167</definedName>
    <definedName name="Linking_Range_11">Multiples!$A$7:$W$58</definedName>
    <definedName name="Linking_Range_12">'Free Cash Flow'!$A$6:$Q$31</definedName>
    <definedName name="Linking_Range_13">'GAAP Financial Statements'!$A$4:$Z$98</definedName>
    <definedName name="Linking_Range_14">'GAAP Financial Statements'!$AU$3:$CM$98</definedName>
    <definedName name="Linking_Range_15">'GAAP Financial Statements'!$A$184:$Z$239</definedName>
    <definedName name="Linking_Range_16">Drivers!$A$2:$Q$116</definedName>
    <definedName name="Linking_Range_17">Multiples!$A$5:$W$49</definedName>
    <definedName name="Linking_Range_18">FMV!$A$1:$J$44</definedName>
    <definedName name="Linking_Range_19">FMV!$A$3:$I$44</definedName>
    <definedName name="Linking_Range_2">Drivers!$AL$118:$CD$168</definedName>
    <definedName name="Linking_Range_20">Drivers!$AL$120:$CD$167</definedName>
    <definedName name="Linking_Range_21">Drivers!$AL$2:$CI$101</definedName>
    <definedName name="Linking_Range_22">Drivers!$AL$118:$CI$167</definedName>
    <definedName name="Linking_Range_23">'GAAP Financial Statements'!$AU$3:$CR$98</definedName>
    <definedName name="Linking_Range_24">'Off-network Syndication'!$AN$101:$AV$111</definedName>
    <definedName name="Linking_Range_25">Scenarios!$G$108:$J$116</definedName>
    <definedName name="Linking_Range_26">Drivers!$A$3:$T$101</definedName>
    <definedName name="Linking_Range_27">Drivers!$A$118:$T$167</definedName>
    <definedName name="Linking_Range_28">'Free Cash Flow'!$A$6:$T$31</definedName>
    <definedName name="Linking_Range_29">'GAAP Financial Statements'!$A$4:$AC$98</definedName>
    <definedName name="Linking_Range_3">'GAAP Financial Statements'!$A$3:$CM$98</definedName>
    <definedName name="Linking_Range_30">'GAAP Financial Statements'!$A$184:$AC$239</definedName>
    <definedName name="Linking_Range_31">'GAAP Financial Statements'!$A$245:$AC$303</definedName>
    <definedName name="Linking_Range_32">Multiples!$A$5:$W$58</definedName>
    <definedName name="Linking_Range_33">'[5]FMV Summary (2)'!$A$5:$H$62</definedName>
    <definedName name="Linking_Range_34">'[5]Drivers (2)'!$A$3:$Q$191</definedName>
    <definedName name="Linking_Range_35">'[5]Drivers (2)'!$AH$2:$CE$191</definedName>
    <definedName name="Linking_Range_36">'[5]Multiples (2)'!$A$5:$Q$59</definedName>
    <definedName name="Linking_Range_37">'GAAP Financial Statements'!$A$4:$AC$100</definedName>
    <definedName name="Linking_Range_38">'GAAP Financial Statements'!$AU$3:$CW$100</definedName>
    <definedName name="Linking_Range_39">'[5]Free Cash Flow (2)'!$A$6:$Q$31</definedName>
    <definedName name="Linking_Range_4">Multiples!$A$6:$W$49</definedName>
    <definedName name="Linking_Range_40">'[5]Drivers (2)'!$AH$2:$CJ$191</definedName>
    <definedName name="Linking_Range_41">'[5]FMV Summary (2)'!$A$3:$I$62</definedName>
    <definedName name="Linking_Range_42">'[5]FMV Summary (2)'!$A$5:$I$62</definedName>
    <definedName name="Linking_Range_43">'FMV Summary'!$A$5:$I$72</definedName>
    <definedName name="Linking_Range_44">Drivers!$A$3:$T$200</definedName>
    <definedName name="Linking_Range_45">Drivers!$AL$2:$CN$200</definedName>
    <definedName name="Linking_Range_46">Multiples!$A$5:$W$57</definedName>
    <definedName name="Linking_Range_47">'Free Cash Flow'!$A$5:$T$35</definedName>
    <definedName name="Linking_Range_48">'GAAP Financial Statements'!$A$3:$AC$99</definedName>
    <definedName name="Linking_Range_49">'GAAP Financial Statements'!$AU$3:$CW$98</definedName>
    <definedName name="Linking_Range_5">'GAAP Financial Statements'!$A$245:$Z$303</definedName>
    <definedName name="Linking_Range_50">'[6]Share shrink from CBSO spin'!$E$2:$F$16</definedName>
    <definedName name="Linking_Range_51">Drivers!$A$2:$U$200</definedName>
    <definedName name="Linking_Range_52">'Free Cash Flow'!$A$5:$U$35</definedName>
    <definedName name="Linking_Range_53">'GAAP Financial Statements'!$A$3:$AD$99</definedName>
    <definedName name="Linking_Range_54">'GAAP Financial Statements'!$A$245:$AD$303</definedName>
    <definedName name="Linking_Range_55">Multiples!$A$6:$W$57</definedName>
    <definedName name="Linking_Range_56">'GAAP Financial Statements'!$A$184:$AD$239</definedName>
    <definedName name="Linking_Range_57">'FMV Summary'!$A$5:$J$71</definedName>
    <definedName name="Linking_Range_58">Drivers!$AL$2:$CS$200</definedName>
    <definedName name="Linking_Range_59">'GAAP Financial Statements'!$AU$3:$DB$98</definedName>
    <definedName name="Linking_Range_6">'FMV Summary'!$A$1:$H$46</definedName>
    <definedName name="Linking_Range_60">Multiples!$A$7:$W$57</definedName>
    <definedName name="Linking_Range_61">'Free Cash Flow'!$A$5:$U$38</definedName>
    <definedName name="Linking_Range_62">Showtime!$A$168:$AF$182</definedName>
    <definedName name="Linking_Range_63">Showtime!$A$168:$AF$181</definedName>
    <definedName name="Linking_Range_7">Drivers!$A$3:$Q$117</definedName>
    <definedName name="Linking_Range_8">Drivers!$A$3:$Q$101</definedName>
    <definedName name="Linking_Range_9">Drivers!$A$118:$Q$167</definedName>
    <definedName name="Linking_Text_1">Multiples!$F$12</definedName>
    <definedName name="MacroVersion" localSheetId="24">IndexInformation!$B$1</definedName>
    <definedName name="MaxChange" localSheetId="2">CircularReferenceAlert!$B$9</definedName>
    <definedName name="MaxIterations" localSheetId="2">CircularReferenceAlert!$B$8</definedName>
    <definedName name="ModelPrice" localSheetId="0">ImportantDisclosures!$A$14</definedName>
    <definedName name="Multiplier" localSheetId="24">IndexInformation!$B$35</definedName>
    <definedName name="NextYearEPS" localSheetId="24">IndexInformation!$B$13</definedName>
    <definedName name="NextYearTotalRevenue" localSheetId="24">IndexInformation!$B$12</definedName>
    <definedName name="NextYearTotalRevenueActual" localSheetId="24">IndexInformation!$B$33</definedName>
    <definedName name="ObjectType">IndexInformation!$B$37</definedName>
    <definedName name="PANA" localSheetId="25">ModPubIndex!$A$11</definedName>
    <definedName name="PathName" localSheetId="24">IndexInformation!$B$25</definedName>
    <definedName name="Prices" localSheetId="15">'CBS Interactive'!$A:$A</definedName>
    <definedName name="_xlnm.Print_Area" localSheetId="15">'CBS Interactive'!$A$1:$BF$10</definedName>
    <definedName name="_xlnm.Print_Area" localSheetId="12">'CBS Network'!$A$2:$Q$50</definedName>
    <definedName name="_xlnm.Print_Area" localSheetId="9">Drivers!$A$3:$H$210</definedName>
    <definedName name="_xlnm.Print_Area" localSheetId="5">FMV!$A$1:$J$385</definedName>
    <definedName name="_xlnm.Print_Area" localSheetId="4">'FMV Summary'!$A$5:$T$89</definedName>
    <definedName name="_xlnm.Print_Area" localSheetId="6">'GAAP Financial Statements'!$A$1:$S$93</definedName>
    <definedName name="_xlnm.Print_Area" localSheetId="3">Multiples!$A$1:$W$49</definedName>
    <definedName name="_xlnm.Print_Area" localSheetId="13">Retrans!$A$1:$R$95</definedName>
    <definedName name="_xlnm.Print_Area" localSheetId="8">'Revenue and OCF'!$A$1:$H$99</definedName>
    <definedName name="_xlnm.Print_Area" localSheetId="11">'Segment Detail'!$A$1:$CC$163</definedName>
    <definedName name="_xlnm.Print_Area" localSheetId="14">Showtime!$A$1:$AD$188</definedName>
    <definedName name="_xlnm.Print_Titles" localSheetId="15">'CBS Interactive'!$A:$C,'CBS Interactive'!$2:$7</definedName>
    <definedName name="_xlnm.Print_Titles" localSheetId="11">'Segment Detail'!$A:$A</definedName>
    <definedName name="PRODUCT" localSheetId="25">ModPubIndex!$A$6</definedName>
    <definedName name="ProjectName" localSheetId="15">{"Client Name or Project Name"}</definedName>
    <definedName name="ProjectName" localSheetId="23">{"Client Name or Project Name"}</definedName>
    <definedName name="ProjectName" localSheetId="18">{"Client Name or Project Name"}</definedName>
    <definedName name="ProjectName" localSheetId="4">{"Client Name or Project Name"}</definedName>
    <definedName name="ProjectName" localSheetId="7">{"Client Name or Project Name"}</definedName>
    <definedName name="ProjectName" localSheetId="6">{"Client Name or Project Name"}</definedName>
    <definedName name="ProjectName" localSheetId="3">{"Client Name or Project Name"}</definedName>
    <definedName name="ProjectName" localSheetId="19">{"Client Name or Project Name"}</definedName>
    <definedName name="ProjectName" localSheetId="20">{"Client Name or Project Name"}</definedName>
    <definedName name="ProjectName" localSheetId="13">{"Client Name or Project Name"}</definedName>
    <definedName name="ProjectName" localSheetId="8">{"Client Name or Project Name"}</definedName>
    <definedName name="ProjectName" localSheetId="16">{"Client Name or Project Name"}</definedName>
    <definedName name="ProjectName">{"Client Name or Project Name"}</definedName>
    <definedName name="PSYM" localSheetId="25">ModPubIndex!$A$4</definedName>
    <definedName name="PublishDate" localSheetId="24">IndexInformation!$B$2</definedName>
    <definedName name="Rating" localSheetId="24">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searchTopic" localSheetId="24">IndexInformation!$B$4</definedName>
    <definedName name="revoutdrus1Q03">'[3]Infinity PF'!$U$102</definedName>
    <definedName name="revoutdrus2003">'[3]Infinity PF'!$Y$102</definedName>
    <definedName name="revoutdrus2004">'[3]Infinity PF'!$AD$102</definedName>
    <definedName name="revoutdrus2Q03">'[3]Infinity PF'!$V$102</definedName>
    <definedName name="revoutdrus3Q03">'[3]Infinity PF'!$W$102</definedName>
    <definedName name="revoutdrus4Q03">'[3]Infinity PF'!$X$102</definedName>
    <definedName name="RIC" localSheetId="24">IndexInformation!$B$21</definedName>
    <definedName name="SECSettlement" localSheetId="0">ImportantDisclosures!#REF!</definedName>
    <definedName name="SEDOL" localSheetId="24">IndexInformation!$B$22</definedName>
    <definedName name="solver_cvg" localSheetId="15" hidden="1">0.0001</definedName>
    <definedName name="solver_drv" localSheetId="15" hidden="1">1</definedName>
    <definedName name="solver_est" localSheetId="15" hidden="1">1</definedName>
    <definedName name="solver_itr" localSheetId="15" hidden="1">100</definedName>
    <definedName name="solver_lin" localSheetId="15" hidden="1">2</definedName>
    <definedName name="solver_neg" localSheetId="15" hidden="1">2</definedName>
    <definedName name="solver_num" localSheetId="15" hidden="1">0</definedName>
    <definedName name="solver_nwt" localSheetId="15" hidden="1">1</definedName>
    <definedName name="solver_opt" localSheetId="15" hidden="1">'CBS Interactive'!$K$13</definedName>
    <definedName name="solver_pre" localSheetId="15" hidden="1">0.000001</definedName>
    <definedName name="solver_scl" localSheetId="15" hidden="1">2</definedName>
    <definedName name="solver_sho" localSheetId="15" hidden="1">2</definedName>
    <definedName name="solver_tim" localSheetId="15" hidden="1">100</definedName>
    <definedName name="solver_tol" localSheetId="15" hidden="1">0.05</definedName>
    <definedName name="solver_typ" localSheetId="15" hidden="1">3</definedName>
    <definedName name="solver_val" localSheetId="15" hidden="1">434529</definedName>
    <definedName name="SourceDefined" localSheetId="0">ImportantDisclosures!$A$19</definedName>
    <definedName name="StockRating" localSheetId="0">ImportantDisclosures!$A$11</definedName>
    <definedName name="SubjectCode" localSheetId="24">IndexInformation!$B$6</definedName>
    <definedName name="SubmitterUserId">IndexInformation!$B$39</definedName>
    <definedName name="SUPPRESSED" localSheetId="25">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24">IndexInformation!$B$19</definedName>
    <definedName name="UpdateReason" localSheetId="24">IndexInformation!$B$17</definedName>
    <definedName name="USRegDisclosures" localSheetId="0">ImportantDisclosures!#REF!</definedName>
  </definedNames>
  <calcPr calcId="145621" calcMode="manual" iterate="1"/>
</workbook>
</file>

<file path=xl/calcChain.xml><?xml version="1.0" encoding="utf-8"?>
<calcChain xmlns="http://schemas.openxmlformats.org/spreadsheetml/2006/main">
  <c r="AF286" i="59" l="1"/>
  <c r="AG286" i="59"/>
  <c r="AH286" i="59"/>
  <c r="AI286" i="59"/>
  <c r="AJ286" i="59"/>
  <c r="V284" i="59"/>
  <c r="W284" i="59" s="1"/>
  <c r="X284" i="59" s="1"/>
  <c r="Y284" i="59" s="1"/>
  <c r="Z284" i="59" s="1"/>
  <c r="AA284" i="59" s="1"/>
  <c r="AB284" i="59" s="1"/>
  <c r="AC284" i="59" s="1"/>
  <c r="AD284" i="59" s="1"/>
  <c r="AE284" i="59" s="1"/>
  <c r="AF284" i="59" s="1"/>
  <c r="AG284" i="59" s="1"/>
  <c r="AH284" i="59" s="1"/>
  <c r="AI284" i="59" s="1"/>
  <c r="AJ284" i="59" s="1"/>
  <c r="CE137" i="73" l="1"/>
  <c r="AO669" i="23" l="1"/>
  <c r="AP669" i="23"/>
  <c r="AQ669" i="23"/>
  <c r="AR669" i="23"/>
  <c r="AS669" i="23"/>
  <c r="O34" i="73" l="1"/>
  <c r="P34" i="73" s="1"/>
  <c r="Q34" i="73" s="1"/>
  <c r="R34" i="73" s="1"/>
  <c r="S34" i="73" s="1"/>
  <c r="T34" i="73" s="1"/>
  <c r="U34" i="73" s="1"/>
  <c r="V34" i="73" s="1"/>
  <c r="W34" i="73" s="1"/>
  <c r="S40" i="73"/>
  <c r="T40" i="73" s="1"/>
  <c r="U40" i="73" s="1"/>
  <c r="V40" i="73" s="1"/>
  <c r="W40" i="73" s="1"/>
  <c r="R40" i="73"/>
  <c r="P40" i="73"/>
  <c r="Q40" i="73"/>
  <c r="O40" i="73"/>
  <c r="DP168" i="23"/>
  <c r="DO168" i="23"/>
  <c r="DN168" i="23"/>
  <c r="DN167" i="23"/>
  <c r="DO167" i="23"/>
  <c r="DP167" i="23"/>
  <c r="DE284" i="59"/>
  <c r="N160" i="73"/>
  <c r="CC160" i="73"/>
  <c r="CD160" i="73"/>
  <c r="CE160" i="73"/>
  <c r="M160" i="73" s="1"/>
  <c r="CB160" i="73"/>
  <c r="DF284" i="59" l="1"/>
  <c r="AD59" i="20" l="1"/>
  <c r="AD74" i="20" s="1"/>
  <c r="AC59" i="20"/>
  <c r="AC71" i="20"/>
  <c r="AC70" i="20"/>
  <c r="AC74" i="20"/>
  <c r="AD70" i="20"/>
  <c r="AA170" i="31"/>
  <c r="AH252" i="31"/>
  <c r="AI252" i="31" s="1"/>
  <c r="AJ252" i="31" s="1"/>
  <c r="AG252" i="31"/>
  <c r="AF660" i="23" l="1"/>
  <c r="AE660" i="23"/>
  <c r="AD660" i="23"/>
  <c r="AO665" i="23"/>
  <c r="AP665" i="23"/>
  <c r="AQ665" i="23"/>
  <c r="AR665" i="23"/>
  <c r="AS665" i="23"/>
  <c r="O160" i="73"/>
  <c r="P160" i="73"/>
  <c r="P162" i="73" s="1"/>
  <c r="Q160" i="73"/>
  <c r="Q161" i="73" s="1"/>
  <c r="R160" i="73"/>
  <c r="S160" i="73"/>
  <c r="T160" i="73"/>
  <c r="T162" i="73" s="1"/>
  <c r="U160" i="73"/>
  <c r="U161" i="73" s="1"/>
  <c r="V160" i="73"/>
  <c r="W160" i="73"/>
  <c r="O161" i="73"/>
  <c r="P161" i="73"/>
  <c r="R161" i="73"/>
  <c r="S161" i="73"/>
  <c r="T161" i="73"/>
  <c r="V161" i="73"/>
  <c r="W161" i="73"/>
  <c r="O162" i="73"/>
  <c r="R162" i="73"/>
  <c r="S162" i="73"/>
  <c r="V162" i="73"/>
  <c r="W162" i="73"/>
  <c r="N161" i="73"/>
  <c r="N162" i="73"/>
  <c r="M162" i="73"/>
  <c r="M161" i="73"/>
  <c r="CC161" i="73"/>
  <c r="CD162" i="73"/>
  <c r="CE162" i="73"/>
  <c r="CC162" i="73"/>
  <c r="CB162" i="73"/>
  <c r="CB161" i="73"/>
  <c r="DO670" i="23"/>
  <c r="DP670" i="23"/>
  <c r="DQ670" i="23"/>
  <c r="DN670" i="23"/>
  <c r="AF222" i="31" l="1"/>
  <c r="AG222" i="31" s="1"/>
  <c r="AH222" i="31" s="1"/>
  <c r="AI222" i="31" s="1"/>
  <c r="AJ222" i="31" s="1"/>
  <c r="AG660" i="23"/>
  <c r="AH660" i="23" s="1"/>
  <c r="AI660" i="23" s="1"/>
  <c r="AJ660" i="23" s="1"/>
  <c r="AK660" i="23" s="1"/>
  <c r="AL660" i="23" s="1"/>
  <c r="AM660" i="23" s="1"/>
  <c r="AN660" i="23" s="1"/>
  <c r="U162" i="73"/>
  <c r="Q162" i="73"/>
  <c r="CE161" i="73"/>
  <c r="CD161" i="73"/>
  <c r="R25" i="73" l="1"/>
  <c r="S25" i="73"/>
  <c r="T25" i="73"/>
  <c r="U25" i="73" s="1"/>
  <c r="V25" i="73" s="1"/>
  <c r="W25" i="73" s="1"/>
  <c r="Q25" i="73"/>
  <c r="R13" i="73"/>
  <c r="S13" i="73" s="1"/>
  <c r="T13" i="73" s="1"/>
  <c r="U13" i="73" s="1"/>
  <c r="V13" i="73" s="1"/>
  <c r="W13" i="73" s="1"/>
  <c r="Q13" i="73"/>
  <c r="AG236" i="31"/>
  <c r="AH236" i="31" s="1"/>
  <c r="AI236" i="31" s="1"/>
  <c r="AJ236" i="31" s="1"/>
  <c r="AE259" i="31" l="1"/>
  <c r="AF259" i="31" s="1"/>
  <c r="AG259" i="31" s="1"/>
  <c r="AH259" i="31" s="1"/>
  <c r="AI259" i="31" s="1"/>
  <c r="AJ259" i="31" s="1"/>
  <c r="AE248" i="31" l="1"/>
  <c r="AF248" i="31" s="1"/>
  <c r="AG248" i="31" s="1"/>
  <c r="AH248" i="31" s="1"/>
  <c r="AI248" i="31" s="1"/>
  <c r="AJ248" i="31" s="1"/>
  <c r="AF250" i="31" l="1"/>
  <c r="AG250" i="31" s="1"/>
  <c r="AH250" i="31" s="1"/>
  <c r="AI250" i="31" s="1"/>
  <c r="AJ250" i="31" s="1"/>
  <c r="AG220" i="31" l="1"/>
  <c r="AI220" i="31" s="1"/>
  <c r="AE218" i="31" l="1"/>
  <c r="AG218" i="31" s="1"/>
  <c r="AI218" i="31" s="1"/>
  <c r="AG233" i="31" l="1"/>
  <c r="AI233" i="31" s="1"/>
  <c r="B81" i="73" l="1"/>
  <c r="B28" i="73" s="1"/>
  <c r="B3" i="73" s="1"/>
  <c r="BZ127" i="73" l="1"/>
  <c r="BZ126" i="73"/>
  <c r="BX126" i="73"/>
  <c r="BX127" i="73" s="1"/>
  <c r="BY126" i="73"/>
  <c r="BY127" i="73" s="1"/>
  <c r="BZ146" i="73"/>
  <c r="BZ147" i="73"/>
  <c r="B129" i="60" l="1"/>
  <c r="B100" i="60"/>
  <c r="B70" i="60"/>
  <c r="AE480" i="23" l="1"/>
  <c r="AD480" i="23"/>
  <c r="AD265" i="23" l="1"/>
  <c r="AC73" i="32"/>
  <c r="AD73" i="32" s="1"/>
  <c r="AB73" i="32"/>
  <c r="AD75" i="32"/>
  <c r="Y36" i="40"/>
  <c r="Z36" i="40"/>
  <c r="AA36" i="40"/>
  <c r="AB36" i="40" s="1"/>
  <c r="AC36" i="40" s="1"/>
  <c r="AD36" i="40" s="1"/>
  <c r="X36" i="40"/>
  <c r="AB103" i="33" l="1"/>
  <c r="AB104" i="33" s="1"/>
  <c r="AC103" i="33"/>
  <c r="AC104" i="33" s="1"/>
  <c r="AD103" i="33"/>
  <c r="AD104" i="33" s="1"/>
  <c r="AC78" i="32"/>
  <c r="AC77" i="32"/>
  <c r="AC76" i="32"/>
  <c r="AC75" i="32"/>
  <c r="AC74" i="32"/>
  <c r="AD74" i="32" s="1"/>
  <c r="AC72" i="32"/>
  <c r="AB76" i="32"/>
  <c r="AA78" i="32"/>
  <c r="AB78" i="32"/>
  <c r="AA76" i="32"/>
  <c r="AB74" i="32"/>
  <c r="AB72" i="32"/>
  <c r="AA72" i="32"/>
  <c r="AD77" i="32"/>
  <c r="AE77" i="32" s="1"/>
  <c r="AF77" i="32" s="1"/>
  <c r="AG77" i="32" s="1"/>
  <c r="AH77" i="32" s="1"/>
  <c r="AI77" i="32" s="1"/>
  <c r="AJ77" i="32" s="1"/>
  <c r="AK77" i="32" s="1"/>
  <c r="AL77" i="32" s="1"/>
  <c r="AM77" i="32" s="1"/>
  <c r="AN77" i="32" s="1"/>
  <c r="AB77" i="32"/>
  <c r="Q64" i="73"/>
  <c r="S64" i="73"/>
  <c r="U64" i="73" s="1"/>
  <c r="W64" i="73" s="1"/>
  <c r="P64" i="73"/>
  <c r="R64" i="73" s="1"/>
  <c r="T64" i="73" s="1"/>
  <c r="V64" i="73" s="1"/>
  <c r="O64" i="73"/>
  <c r="AB75" i="32"/>
  <c r="AA74" i="32"/>
  <c r="N82" i="63"/>
  <c r="M48" i="63"/>
  <c r="M37" i="63"/>
  <c r="M29" i="63"/>
  <c r="M23" i="63"/>
  <c r="M17" i="63"/>
  <c r="AE103" i="33" l="1"/>
  <c r="AD78" i="32"/>
  <c r="AD76" i="32"/>
  <c r="AE76" i="32" s="1"/>
  <c r="AF76" i="32" s="1"/>
  <c r="AG76" i="32" s="1"/>
  <c r="AH76" i="32" s="1"/>
  <c r="AI76" i="32" s="1"/>
  <c r="AJ76" i="32" s="1"/>
  <c r="AK76" i="32" s="1"/>
  <c r="AL76" i="32" s="1"/>
  <c r="AM76" i="32" s="1"/>
  <c r="AN76" i="32" s="1"/>
  <c r="AD72" i="32"/>
  <c r="CC92" i="73"/>
  <c r="CD92" i="73"/>
  <c r="CB92" i="73"/>
  <c r="CE92" i="73"/>
  <c r="AC129" i="85"/>
  <c r="AD129" i="85"/>
  <c r="AE129" i="85"/>
  <c r="AF129" i="85" s="1"/>
  <c r="AG129" i="85" s="1"/>
  <c r="AB129" i="85"/>
  <c r="AA129" i="85"/>
  <c r="AA123" i="85"/>
  <c r="AB123" i="85" s="1"/>
  <c r="AC123" i="85" s="1"/>
  <c r="AD123" i="85" s="1"/>
  <c r="AE123" i="85" s="1"/>
  <c r="AF123" i="85" s="1"/>
  <c r="AG123" i="85" s="1"/>
  <c r="AH123" i="85" s="1"/>
  <c r="AI123" i="85" s="1"/>
  <c r="AJ123" i="85" s="1"/>
  <c r="AK123" i="85" s="1"/>
  <c r="AL123" i="85" s="1"/>
  <c r="AC272" i="23"/>
  <c r="AC223" i="23"/>
  <c r="AF103" i="33" l="1"/>
  <c r="AE104" i="33"/>
  <c r="AF480" i="23"/>
  <c r="AG480" i="23" s="1"/>
  <c r="AG103" i="33" l="1"/>
  <c r="AF104" i="33"/>
  <c r="AG104" i="33" l="1"/>
  <c r="AH103" i="33"/>
  <c r="AH104" i="33" l="1"/>
  <c r="AI103" i="33"/>
  <c r="AJ103" i="33" l="1"/>
  <c r="AI104" i="33"/>
  <c r="AK103" i="33" l="1"/>
  <c r="AJ104" i="33"/>
  <c r="CC93" i="73"/>
  <c r="CD93" i="73"/>
  <c r="CE93" i="73"/>
  <c r="CC94" i="73"/>
  <c r="CD94" i="73"/>
  <c r="CE94" i="73"/>
  <c r="BZ94" i="73"/>
  <c r="BZ93" i="73"/>
  <c r="CB93" i="73"/>
  <c r="AM174" i="20"/>
  <c r="AN174" i="20"/>
  <c r="AL174" i="20"/>
  <c r="AD174" i="20"/>
  <c r="AE161" i="20" s="1"/>
  <c r="AF161" i="20" s="1"/>
  <c r="AG161" i="20" s="1"/>
  <c r="AB174" i="20"/>
  <c r="V48" i="73"/>
  <c r="U48" i="73"/>
  <c r="T48" i="73"/>
  <c r="S48" i="73"/>
  <c r="R48" i="73"/>
  <c r="Q48" i="73"/>
  <c r="P48" i="73"/>
  <c r="O48" i="73"/>
  <c r="N48" i="73"/>
  <c r="N49" i="73"/>
  <c r="O55" i="73"/>
  <c r="P55" i="73"/>
  <c r="Q55" i="73"/>
  <c r="R55" i="73"/>
  <c r="S55" i="73"/>
  <c r="T55" i="73"/>
  <c r="U55" i="73"/>
  <c r="V55" i="73"/>
  <c r="W55" i="73"/>
  <c r="N55" i="73"/>
  <c r="O56" i="73"/>
  <c r="P56" i="73"/>
  <c r="Q56" i="73"/>
  <c r="R56" i="73"/>
  <c r="S56" i="73"/>
  <c r="T56" i="73"/>
  <c r="U56" i="73"/>
  <c r="V56" i="73"/>
  <c r="W56" i="73"/>
  <c r="N56" i="73"/>
  <c r="W49" i="73"/>
  <c r="V49" i="73"/>
  <c r="U49" i="73"/>
  <c r="T49" i="73"/>
  <c r="S49" i="73"/>
  <c r="R49" i="73"/>
  <c r="Q49" i="73"/>
  <c r="P49" i="73"/>
  <c r="O49" i="73"/>
  <c r="AK104" i="33" l="1"/>
  <c r="AL103" i="33"/>
  <c r="AL104" i="33" s="1"/>
  <c r="I78" i="95"/>
  <c r="O27" i="73" l="1"/>
  <c r="S12" i="62" l="1"/>
  <c r="R12" i="62" s="1"/>
  <c r="Q12" i="62" s="1"/>
  <c r="P12" i="62" s="1"/>
  <c r="O12" i="62" s="1"/>
  <c r="N12" i="62" s="1"/>
  <c r="B149" i="73"/>
  <c r="B143" i="73" l="1"/>
  <c r="B68" i="73"/>
  <c r="B123" i="73"/>
  <c r="B158" i="73"/>
  <c r="B109" i="73"/>
  <c r="CC56" i="73"/>
  <c r="CD56" i="73"/>
  <c r="CE56" i="73"/>
  <c r="CB56" i="73"/>
  <c r="BZ56" i="73"/>
  <c r="BZ55" i="73"/>
  <c r="L161" i="73"/>
  <c r="L162" i="73"/>
  <c r="BZ161" i="73"/>
  <c r="BZ162" i="73"/>
  <c r="BX161" i="73"/>
  <c r="BY161" i="73"/>
  <c r="BX162" i="73"/>
  <c r="BY162" i="73"/>
  <c r="BW162" i="73"/>
  <c r="BW161" i="73"/>
  <c r="BY165" i="73"/>
  <c r="BY166" i="73" s="1"/>
  <c r="BX165" i="73"/>
  <c r="BX167" i="73" s="1"/>
  <c r="BW165" i="73"/>
  <c r="BW166" i="73" s="1"/>
  <c r="BZ15" i="73"/>
  <c r="BZ27" i="73"/>
  <c r="BZ21" i="73"/>
  <c r="W48" i="73"/>
  <c r="BZ49" i="73"/>
  <c r="BZ48" i="73"/>
  <c r="BZ41" i="73"/>
  <c r="BZ42" i="73"/>
  <c r="CC35" i="73"/>
  <c r="CD35" i="73"/>
  <c r="CE35" i="73"/>
  <c r="CB35" i="73"/>
  <c r="BZ35" i="73"/>
  <c r="BZ26" i="73"/>
  <c r="BZ20" i="73"/>
  <c r="BZ14" i="73"/>
  <c r="AG29" i="23"/>
  <c r="AH29" i="23" s="1"/>
  <c r="AI29" i="23" s="1"/>
  <c r="AJ29" i="23" s="1"/>
  <c r="AK29" i="23" s="1"/>
  <c r="AL29" i="23" s="1"/>
  <c r="AM29" i="23" s="1"/>
  <c r="AN29" i="23" s="1"/>
  <c r="DM26" i="23"/>
  <c r="DM30" i="23"/>
  <c r="DM33" i="23"/>
  <c r="CC48" i="73"/>
  <c r="CD48" i="73"/>
  <c r="CE48" i="73"/>
  <c r="CC49" i="73"/>
  <c r="CD49" i="73"/>
  <c r="CE49" i="73"/>
  <c r="CB49" i="73"/>
  <c r="CB48" i="73"/>
  <c r="P15" i="73"/>
  <c r="O15" i="73"/>
  <c r="N15" i="73"/>
  <c r="CE15" i="73"/>
  <c r="CD15" i="73"/>
  <c r="CC15" i="73"/>
  <c r="CB15" i="73"/>
  <c r="CE21" i="73"/>
  <c r="CD21" i="73"/>
  <c r="CC21" i="73"/>
  <c r="CB21" i="73"/>
  <c r="CE27" i="73"/>
  <c r="CD27" i="73"/>
  <c r="CC27" i="73"/>
  <c r="CB27" i="73"/>
  <c r="BZ36" i="73"/>
  <c r="BX35" i="73"/>
  <c r="BY35" i="73"/>
  <c r="BX36" i="73"/>
  <c r="BY36" i="73"/>
  <c r="AC9" i="62"/>
  <c r="AC11" i="62"/>
  <c r="AC10" i="62"/>
  <c r="BY167" i="73" l="1"/>
  <c r="BW167" i="73"/>
  <c r="BX166" i="73"/>
  <c r="N12" i="73"/>
  <c r="B44" i="73"/>
  <c r="O63" i="73"/>
  <c r="S63" i="73"/>
  <c r="W63" i="73"/>
  <c r="N58" i="73"/>
  <c r="R58" i="73"/>
  <c r="V58" i="73"/>
  <c r="T63" i="73"/>
  <c r="O58" i="73"/>
  <c r="S58" i="73"/>
  <c r="M63" i="73"/>
  <c r="Q63" i="73"/>
  <c r="U63" i="73"/>
  <c r="P58" i="73"/>
  <c r="T58" i="73"/>
  <c r="W58" i="73"/>
  <c r="N63" i="73"/>
  <c r="R63" i="73"/>
  <c r="V63" i="73"/>
  <c r="M58" i="73"/>
  <c r="Q58" i="73"/>
  <c r="U58" i="73"/>
  <c r="P63" i="73"/>
  <c r="AC15" i="38"/>
  <c r="AB15" i="38"/>
  <c r="AA15" i="38"/>
  <c r="Z15" i="38"/>
  <c r="Y15" i="38"/>
  <c r="X15" i="38"/>
  <c r="W15" i="38"/>
  <c r="V15" i="38"/>
  <c r="U15" i="38"/>
  <c r="T15" i="38"/>
  <c r="X13" i="38"/>
  <c r="Y13" i="38"/>
  <c r="Z13" i="38"/>
  <c r="AA13" i="38"/>
  <c r="AB13" i="38"/>
  <c r="AC13" i="38"/>
  <c r="X14" i="38"/>
  <c r="Y14" i="38"/>
  <c r="Z14" i="38" s="1"/>
  <c r="X20" i="38"/>
  <c r="Y20" i="38"/>
  <c r="Z20" i="38"/>
  <c r="AA20" i="38"/>
  <c r="AB20" i="38"/>
  <c r="AC20" i="38"/>
  <c r="AA14" i="38" l="1"/>
  <c r="M104" i="73"/>
  <c r="AC160" i="20"/>
  <c r="J25" i="62"/>
  <c r="I25" i="62"/>
  <c r="H24" i="63"/>
  <c r="G24" i="63" s="1"/>
  <c r="F24" i="63" s="1"/>
  <c r="E24" i="63" s="1"/>
  <c r="D24" i="63" s="1"/>
  <c r="C24" i="63" s="1"/>
  <c r="B24" i="63" s="1"/>
  <c r="AB14" i="38" l="1"/>
  <c r="AC14" i="38" l="1"/>
  <c r="AC364" i="23"/>
  <c r="X414" i="60"/>
  <c r="W414" i="60" s="1"/>
  <c r="V414" i="60" s="1"/>
  <c r="U414" i="60" s="1"/>
  <c r="T414" i="60" s="1"/>
  <c r="S414" i="60" s="1"/>
  <c r="R414" i="60" s="1"/>
  <c r="Q414" i="60" s="1"/>
  <c r="P414" i="60" s="1"/>
  <c r="O414" i="60" s="1"/>
  <c r="N414" i="60" s="1"/>
  <c r="N392" i="60"/>
  <c r="O392" i="60" s="1"/>
  <c r="N393" i="60"/>
  <c r="O393" i="60" s="1"/>
  <c r="C389" i="60"/>
  <c r="D389" i="60" s="1"/>
  <c r="E389" i="60" s="1"/>
  <c r="F389" i="60" s="1"/>
  <c r="G389" i="60" s="1"/>
  <c r="H389" i="60" s="1"/>
  <c r="I389" i="60" s="1"/>
  <c r="J389" i="60" s="1"/>
  <c r="K389" i="60" s="1"/>
  <c r="L389" i="60" s="1"/>
  <c r="M389" i="60" s="1"/>
  <c r="N389" i="60" s="1"/>
  <c r="O389" i="60" s="1"/>
  <c r="P389" i="60" s="1"/>
  <c r="Q389" i="60" s="1"/>
  <c r="R389" i="60" s="1"/>
  <c r="S389" i="60" s="1"/>
  <c r="T389" i="60" s="1"/>
  <c r="U389" i="60" s="1"/>
  <c r="V389" i="60" s="1"/>
  <c r="W389" i="60" s="1"/>
  <c r="X389" i="60" s="1"/>
  <c r="Y389" i="60" s="1"/>
  <c r="A225" i="59"/>
  <c r="U67" i="59" l="1"/>
  <c r="T67" i="59"/>
  <c r="N399" i="60" s="1"/>
  <c r="DE69" i="59"/>
  <c r="DH21" i="59"/>
  <c r="DH225" i="59" s="1"/>
  <c r="DG21" i="59"/>
  <c r="DG225" i="59" s="1"/>
  <c r="DF21" i="59"/>
  <c r="DF225" i="59" s="1"/>
  <c r="DE21" i="59"/>
  <c r="DE225" i="59" s="1"/>
  <c r="AC158" i="23"/>
  <c r="DH69" i="59" l="1"/>
  <c r="U225" i="59"/>
  <c r="DI225" i="59" s="1"/>
  <c r="DC21" i="59"/>
  <c r="DC225" i="59" s="1"/>
  <c r="T225" i="59" s="1"/>
  <c r="DD225" i="59" s="1"/>
  <c r="DG69" i="59"/>
  <c r="U21" i="59"/>
  <c r="V21" i="59" s="1"/>
  <c r="V225" i="59" s="1"/>
  <c r="DF69" i="59"/>
  <c r="DI21" i="59"/>
  <c r="DI67" i="59"/>
  <c r="O399" i="60"/>
  <c r="U69" i="59"/>
  <c r="V69" i="59" s="1"/>
  <c r="W69" i="59" s="1"/>
  <c r="X69" i="59" s="1"/>
  <c r="Y69" i="59" s="1"/>
  <c r="Z69" i="59" s="1"/>
  <c r="AA69" i="59" s="1"/>
  <c r="AB69" i="59" s="1"/>
  <c r="AC69" i="59" s="1"/>
  <c r="AD69" i="59" s="1"/>
  <c r="AE69" i="59" s="1"/>
  <c r="CO170" i="85"/>
  <c r="CN170" i="85"/>
  <c r="CM170" i="85"/>
  <c r="CL170" i="85"/>
  <c r="CJ170" i="85"/>
  <c r="CR152" i="85"/>
  <c r="CQ152" i="85"/>
  <c r="CO152" i="85"/>
  <c r="CN152" i="85"/>
  <c r="CM152" i="85"/>
  <c r="CL152" i="85"/>
  <c r="CJ152" i="85"/>
  <c r="CR154" i="85"/>
  <c r="CQ154" i="85"/>
  <c r="CO154" i="85"/>
  <c r="CN154" i="85"/>
  <c r="CM154" i="85"/>
  <c r="CL154" i="85"/>
  <c r="T170" i="85"/>
  <c r="DD130" i="85"/>
  <c r="DC130" i="85"/>
  <c r="DB130" i="85"/>
  <c r="DA130" i="85"/>
  <c r="CY130" i="85"/>
  <c r="CX130" i="85"/>
  <c r="CW130" i="85"/>
  <c r="CV130" i="85"/>
  <c r="CT130" i="85"/>
  <c r="CS130" i="85"/>
  <c r="CR130" i="85"/>
  <c r="CQ130" i="85"/>
  <c r="DD124" i="85"/>
  <c r="DC124" i="85"/>
  <c r="DB124" i="85"/>
  <c r="DA124" i="85"/>
  <c r="CY124" i="85"/>
  <c r="CX124" i="85"/>
  <c r="CW124" i="85"/>
  <c r="CV124" i="85"/>
  <c r="CT124" i="85"/>
  <c r="CS124" i="85"/>
  <c r="CR124" i="85"/>
  <c r="CQ124" i="85"/>
  <c r="CM124" i="85"/>
  <c r="CN124" i="85"/>
  <c r="CO124" i="85"/>
  <c r="CL124" i="85"/>
  <c r="CJ124" i="85"/>
  <c r="V130" i="85"/>
  <c r="W130" i="85"/>
  <c r="X130" i="85"/>
  <c r="Y130" i="85"/>
  <c r="Z130" i="85"/>
  <c r="AA130" i="85"/>
  <c r="U130" i="85"/>
  <c r="T124" i="85"/>
  <c r="U124" i="85"/>
  <c r="V124" i="85"/>
  <c r="W124" i="85"/>
  <c r="X124" i="85"/>
  <c r="Y124" i="85"/>
  <c r="Z124" i="85"/>
  <c r="AA124" i="85"/>
  <c r="AB124" i="85"/>
  <c r="AC124" i="85"/>
  <c r="AD124" i="85"/>
  <c r="AE124" i="85"/>
  <c r="AF124" i="85"/>
  <c r="AG124" i="85"/>
  <c r="AH124" i="85"/>
  <c r="AI124" i="85"/>
  <c r="AJ124" i="85"/>
  <c r="AK124" i="85"/>
  <c r="AL124" i="85"/>
  <c r="S124" i="85"/>
  <c r="AH170" i="85"/>
  <c r="AI170" i="85"/>
  <c r="AJ170" i="85"/>
  <c r="AK170" i="85"/>
  <c r="AL170" i="85"/>
  <c r="S148" i="85"/>
  <c r="S149" i="85"/>
  <c r="T149" i="85"/>
  <c r="AH149" i="85"/>
  <c r="AI149" i="85"/>
  <c r="AJ149" i="85"/>
  <c r="AK149" i="85"/>
  <c r="AL149" i="85"/>
  <c r="W148" i="85"/>
  <c r="T148" i="85"/>
  <c r="V148" i="85"/>
  <c r="U148" i="85"/>
  <c r="CR149" i="85"/>
  <c r="CQ149" i="85"/>
  <c r="CM149" i="85"/>
  <c r="CN149" i="85"/>
  <c r="CO149" i="85"/>
  <c r="CL149" i="85"/>
  <c r="CJ149" i="85"/>
  <c r="CQ137" i="85"/>
  <c r="T21" i="59" l="1"/>
  <c r="T69" i="59" s="1"/>
  <c r="W21" i="59"/>
  <c r="W225" i="59" s="1"/>
  <c r="V67" i="59"/>
  <c r="P399" i="60" s="1"/>
  <c r="H13" i="60" s="1"/>
  <c r="DL114" i="23"/>
  <c r="EM20" i="20"/>
  <c r="EL20" i="20"/>
  <c r="EK20" i="20"/>
  <c r="EJ20" i="20"/>
  <c r="EH20" i="20"/>
  <c r="EG20" i="20"/>
  <c r="EF20" i="20"/>
  <c r="EE20" i="20"/>
  <c r="AE20" i="20"/>
  <c r="AF20" i="20" s="1"/>
  <c r="AG20" i="20" s="1"/>
  <c r="AH20" i="20" s="1"/>
  <c r="AI20" i="20" s="1"/>
  <c r="AJ20" i="20" s="1"/>
  <c r="AK20" i="20" s="1"/>
  <c r="AL20" i="20" s="1"/>
  <c r="AM20" i="20" s="1"/>
  <c r="AN20" i="20" s="1"/>
  <c r="X21" i="59" l="1"/>
  <c r="X225" i="59" s="1"/>
  <c r="DD21" i="59"/>
  <c r="W67" i="59"/>
  <c r="Q399" i="60" s="1"/>
  <c r="DB87" i="59"/>
  <c r="DL12" i="23"/>
  <c r="Y21" i="59" l="1"/>
  <c r="Y225" i="59" s="1"/>
  <c r="X67" i="59"/>
  <c r="X68" i="59" s="1"/>
  <c r="W68" i="59"/>
  <c r="R399" i="60"/>
  <c r="Y67" i="59" l="1"/>
  <c r="Y68" i="59" s="1"/>
  <c r="Z21" i="59"/>
  <c r="S399" i="60"/>
  <c r="V20" i="38"/>
  <c r="W20" i="38"/>
  <c r="V13" i="38"/>
  <c r="W13" i="38"/>
  <c r="Z67" i="59" l="1"/>
  <c r="Z225" i="59"/>
  <c r="AA21" i="59"/>
  <c r="AA225" i="59" s="1"/>
  <c r="X16" i="38"/>
  <c r="AA67" i="59" l="1"/>
  <c r="U399" i="60" s="1"/>
  <c r="AB21" i="59"/>
  <c r="AB67" i="59" s="1"/>
  <c r="T399" i="60"/>
  <c r="Z68" i="59"/>
  <c r="AB225" i="59"/>
  <c r="AC21" i="59"/>
  <c r="AC225" i="59" s="1"/>
  <c r="Y16" i="38"/>
  <c r="Y17" i="38" s="1"/>
  <c r="V399" i="60"/>
  <c r="AD21" i="59"/>
  <c r="AB68" i="59" l="1"/>
  <c r="AA68" i="59"/>
  <c r="AC67" i="59"/>
  <c r="AC68" i="59" s="1"/>
  <c r="Z16" i="38"/>
  <c r="Z17" i="38" s="1"/>
  <c r="AE21" i="59"/>
  <c r="AD225" i="59"/>
  <c r="AD67" i="59"/>
  <c r="DI414" i="23"/>
  <c r="DJ414" i="23"/>
  <c r="DK414" i="23"/>
  <c r="DL414" i="23"/>
  <c r="DL413" i="23"/>
  <c r="DL412" i="23"/>
  <c r="DN412" i="23"/>
  <c r="DO412" i="23"/>
  <c r="DR412" i="23" s="1"/>
  <c r="DP412" i="23"/>
  <c r="DQ412" i="23"/>
  <c r="DN413" i="23"/>
  <c r="DO413" i="23"/>
  <c r="DR413" i="23" s="1"/>
  <c r="DP413" i="23"/>
  <c r="DQ413" i="23"/>
  <c r="DN414" i="23"/>
  <c r="DR414" i="23" s="1"/>
  <c r="DO414" i="23"/>
  <c r="DP414" i="23"/>
  <c r="DQ414" i="23"/>
  <c r="AD412" i="23"/>
  <c r="AC413" i="23"/>
  <c r="AC412" i="23"/>
  <c r="AD414" i="23"/>
  <c r="AD413" i="23"/>
  <c r="A459" i="23"/>
  <c r="A460" i="23"/>
  <c r="A461" i="23"/>
  <c r="A462" i="23"/>
  <c r="A412" i="23"/>
  <c r="A413" i="23"/>
  <c r="A414" i="23"/>
  <c r="A415" i="23"/>
  <c r="AE359" i="23"/>
  <c r="AF359" i="23" s="1"/>
  <c r="AG359" i="23" s="1"/>
  <c r="AH359" i="23" s="1"/>
  <c r="AI359" i="23" s="1"/>
  <c r="AJ359" i="23" s="1"/>
  <c r="AK359" i="23" s="1"/>
  <c r="AL359" i="23" s="1"/>
  <c r="AM359" i="23" s="1"/>
  <c r="AN359" i="23" s="1"/>
  <c r="AD359" i="23"/>
  <c r="AE358" i="23"/>
  <c r="AF358" i="23" s="1"/>
  <c r="AG358" i="23" s="1"/>
  <c r="AH358" i="23" s="1"/>
  <c r="AI358" i="23" s="1"/>
  <c r="AJ358" i="23" s="1"/>
  <c r="AK358" i="23" s="1"/>
  <c r="AL358" i="23" s="1"/>
  <c r="AM358" i="23" s="1"/>
  <c r="AN413" i="23" s="1"/>
  <c r="AD358" i="23"/>
  <c r="AD357" i="23"/>
  <c r="AE357" i="23" s="1"/>
  <c r="AF357" i="23" s="1"/>
  <c r="AG357" i="23" s="1"/>
  <c r="AH357" i="23" s="1"/>
  <c r="AJ357" i="23" s="1"/>
  <c r="AK357" i="23" s="1"/>
  <c r="AE360" i="23"/>
  <c r="X207" i="60"/>
  <c r="X177" i="60"/>
  <c r="X385" i="60"/>
  <c r="X356" i="60"/>
  <c r="W356" i="60" s="1"/>
  <c r="V356" i="60" s="1"/>
  <c r="U356" i="60" s="1"/>
  <c r="AA85" i="53"/>
  <c r="AA44" i="53"/>
  <c r="Z44" i="53" s="1"/>
  <c r="Y44" i="53" s="1"/>
  <c r="X44" i="53" s="1"/>
  <c r="W44" i="53" s="1"/>
  <c r="V44" i="53" s="1"/>
  <c r="U44" i="53" s="1"/>
  <c r="T44" i="53" s="1"/>
  <c r="S44" i="53" s="1"/>
  <c r="R44" i="53" s="1"/>
  <c r="Q44" i="53" s="1"/>
  <c r="P44" i="53" s="1"/>
  <c r="O44" i="53" s="1"/>
  <c r="N44" i="53" s="1"/>
  <c r="M44" i="53" s="1"/>
  <c r="L44" i="53" s="1"/>
  <c r="K44" i="53" s="1"/>
  <c r="J44" i="53" s="1"/>
  <c r="I44" i="53" s="1"/>
  <c r="H44" i="53" s="1"/>
  <c r="G44" i="53" s="1"/>
  <c r="X322" i="60"/>
  <c r="X294" i="60"/>
  <c r="D279" i="60"/>
  <c r="E279" i="60"/>
  <c r="F279" i="60"/>
  <c r="X147" i="60"/>
  <c r="X118" i="60"/>
  <c r="W118" i="60" s="1"/>
  <c r="V118" i="60" s="1"/>
  <c r="X89" i="60"/>
  <c r="W399" i="60" l="1"/>
  <c r="AM413" i="23"/>
  <c r="AI413" i="23"/>
  <c r="AE413" i="23"/>
  <c r="AG412" i="23"/>
  <c r="AM414" i="23"/>
  <c r="AI414" i="23"/>
  <c r="AE414" i="23"/>
  <c r="AL413" i="23"/>
  <c r="AH413" i="23"/>
  <c r="AF412" i="23"/>
  <c r="AL414" i="23"/>
  <c r="AH414" i="23"/>
  <c r="AK413" i="23"/>
  <c r="AG413" i="23"/>
  <c r="AI412" i="23"/>
  <c r="AE412" i="23"/>
  <c r="AK414" i="23"/>
  <c r="AG414" i="23"/>
  <c r="AL357" i="23"/>
  <c r="AM357" i="23" s="1"/>
  <c r="AN357" i="23" s="1"/>
  <c r="AJ413" i="23"/>
  <c r="AF413" i="23"/>
  <c r="AH412" i="23"/>
  <c r="AN414" i="23"/>
  <c r="AJ414" i="23"/>
  <c r="AF414" i="23"/>
  <c r="AK412" i="23"/>
  <c r="AN412" i="23"/>
  <c r="AJ412" i="23"/>
  <c r="AA16" i="38"/>
  <c r="AA17" i="38" s="1"/>
  <c r="AE225" i="59"/>
  <c r="AE67" i="59"/>
  <c r="X399" i="60"/>
  <c r="AD68" i="59"/>
  <c r="W294" i="60"/>
  <c r="AD42" i="23"/>
  <c r="DQ42" i="23"/>
  <c r="AH480" i="23"/>
  <c r="AI480" i="23" s="1"/>
  <c r="AJ480" i="23" s="1"/>
  <c r="AK480" i="23" s="1"/>
  <c r="AL480" i="23" s="1"/>
  <c r="AM480" i="23" s="1"/>
  <c r="AL412" i="23" l="1"/>
  <c r="AM412" i="23"/>
  <c r="AC16" i="38"/>
  <c r="AB16" i="38"/>
  <c r="AB17" i="38" s="1"/>
  <c r="Y399" i="60"/>
  <c r="AE68" i="59"/>
  <c r="AC17" i="38" l="1"/>
  <c r="AD122" i="23"/>
  <c r="AD114" i="23"/>
  <c r="AD108" i="23"/>
  <c r="AD109" i="23" s="1"/>
  <c r="AC108" i="23"/>
  <c r="AC109" i="23"/>
  <c r="AE12" i="56"/>
  <c r="AA38" i="23"/>
  <c r="DR51" i="23"/>
  <c r="DR48" i="23"/>
  <c r="DR47" i="23"/>
  <c r="DR46" i="23"/>
  <c r="DR43" i="23"/>
  <c r="DR36" i="23"/>
  <c r="AD47" i="23"/>
  <c r="AD48" i="23" s="1"/>
  <c r="AD46" i="23"/>
  <c r="AD43" i="23"/>
  <c r="AD16" i="23"/>
  <c r="DR16" i="23" s="1"/>
  <c r="AD15" i="23"/>
  <c r="DR15" i="23" s="1"/>
  <c r="DR32" i="23"/>
  <c r="DR30" i="23"/>
  <c r="DR26" i="23"/>
  <c r="DR8" i="23"/>
  <c r="AD8" i="23"/>
  <c r="AN696" i="23"/>
  <c r="AN655" i="23"/>
  <c r="AN576" i="23"/>
  <c r="AN546" i="23"/>
  <c r="AN282" i="23"/>
  <c r="AN274" i="23"/>
  <c r="AN270" i="23"/>
  <c r="AN265" i="23"/>
  <c r="AN67" i="23"/>
  <c r="AN62" i="23"/>
  <c r="AN64" i="23"/>
  <c r="AE48" i="23"/>
  <c r="AF48" i="23"/>
  <c r="AG48" i="23"/>
  <c r="AH48" i="23"/>
  <c r="AI48" i="23"/>
  <c r="AJ48" i="23"/>
  <c r="AK48" i="23"/>
  <c r="AL48" i="23"/>
  <c r="AM48" i="23"/>
  <c r="AN48" i="23"/>
  <c r="AN229" i="23"/>
  <c r="AN232" i="23"/>
  <c r="AN225" i="23"/>
  <c r="AN221" i="23"/>
  <c r="AN216" i="23"/>
  <c r="AN218" i="23"/>
  <c r="AN200" i="23"/>
  <c r="AN204" i="23"/>
  <c r="AN490" i="23"/>
  <c r="AN689" i="23"/>
  <c r="AN596" i="23"/>
  <c r="AN597" i="23"/>
  <c r="AN601" i="23"/>
  <c r="AN605" i="23" s="1"/>
  <c r="AN606" i="23" s="1"/>
  <c r="AN602" i="23"/>
  <c r="AN623" i="23"/>
  <c r="AN626" i="23" s="1"/>
  <c r="AN628" i="23" s="1"/>
  <c r="AN616" i="23"/>
  <c r="AN621" i="23" s="1"/>
  <c r="AN612" i="23"/>
  <c r="AN585" i="23"/>
  <c r="AN580" i="23"/>
  <c r="AN568" i="23"/>
  <c r="AN553" i="23"/>
  <c r="AN558" i="23"/>
  <c r="AN543" i="23"/>
  <c r="AN531" i="23"/>
  <c r="AN516" i="23"/>
  <c r="AN514" i="23"/>
  <c r="AN503" i="23"/>
  <c r="AN486" i="23"/>
  <c r="AN472" i="23"/>
  <c r="AN458" i="23"/>
  <c r="AN421" i="23"/>
  <c r="AN330" i="23"/>
  <c r="AN336" i="23"/>
  <c r="AN360" i="23"/>
  <c r="AN317" i="23"/>
  <c r="AN245" i="23"/>
  <c r="AN247" i="23"/>
  <c r="AN248" i="23"/>
  <c r="AN253" i="23"/>
  <c r="AN255" i="23"/>
  <c r="AN257" i="23"/>
  <c r="AN259" i="23"/>
  <c r="AN149" i="23"/>
  <c r="AN184" i="23"/>
  <c r="AN192" i="23"/>
  <c r="AN103" i="23"/>
  <c r="AE217" i="59"/>
  <c r="AE221" i="59"/>
  <c r="AE222" i="59"/>
  <c r="AE185" i="59"/>
  <c r="AE171" i="59"/>
  <c r="AE178" i="59" s="1"/>
  <c r="AE52" i="59"/>
  <c r="AE42" i="59"/>
  <c r="AY237" i="30"/>
  <c r="AY240" i="30"/>
  <c r="AY241" i="30"/>
  <c r="AY216" i="30"/>
  <c r="AY218" i="30"/>
  <c r="AY219" i="30"/>
  <c r="AN216" i="30"/>
  <c r="AY188" i="30"/>
  <c r="AY192" i="30"/>
  <c r="AY193" i="30"/>
  <c r="AY194" i="30"/>
  <c r="AY115" i="30"/>
  <c r="W19" i="73"/>
  <c r="W21" i="73" s="1"/>
  <c r="AJ170" i="31"/>
  <c r="AI83" i="31"/>
  <c r="AY107" i="30"/>
  <c r="AY85" i="30"/>
  <c r="AY31" i="30"/>
  <c r="AY27" i="30"/>
  <c r="W21" i="52"/>
  <c r="Q21" i="52"/>
  <c r="R21" i="52"/>
  <c r="S21" i="52" s="1"/>
  <c r="T21" i="52" s="1"/>
  <c r="U21" i="52" s="1"/>
  <c r="V21" i="52" s="1"/>
  <c r="P21" i="52"/>
  <c r="AI27" i="30"/>
  <c r="AJ27" i="30"/>
  <c r="AK27" i="30" s="1"/>
  <c r="AL27" i="30" s="1"/>
  <c r="AM27" i="30" s="1"/>
  <c r="AN27" i="30" s="1"/>
  <c r="AO27" i="30" s="1"/>
  <c r="AP27" i="30" s="1"/>
  <c r="AQ27" i="30" s="1"/>
  <c r="AR27" i="30" s="1"/>
  <c r="AS27" i="30" s="1"/>
  <c r="AT27" i="30" s="1"/>
  <c r="AU27" i="30" s="1"/>
  <c r="AV27" i="30" s="1"/>
  <c r="AW27" i="30" s="1"/>
  <c r="AX27" i="30" s="1"/>
  <c r="AH27" i="30"/>
  <c r="J20" i="52"/>
  <c r="J21" i="52" s="1"/>
  <c r="K20" i="52"/>
  <c r="K21" i="52" s="1"/>
  <c r="L20" i="52"/>
  <c r="M20" i="52"/>
  <c r="L21" i="52"/>
  <c r="M21" i="52"/>
  <c r="N20" i="52"/>
  <c r="AK204" i="30"/>
  <c r="AO31" i="30"/>
  <c r="AU7" i="25"/>
  <c r="AU9" i="25"/>
  <c r="AU11" i="25" s="1"/>
  <c r="AU12" i="25"/>
  <c r="AU16" i="25"/>
  <c r="AU15" i="25" s="1"/>
  <c r="I56" i="52"/>
  <c r="AE56" i="52"/>
  <c r="AF14" i="52"/>
  <c r="AF7" i="52"/>
  <c r="AD56" i="32"/>
  <c r="AM56" i="32"/>
  <c r="AN92" i="32"/>
  <c r="AM92" i="32"/>
  <c r="AN60" i="32"/>
  <c r="AM68" i="32"/>
  <c r="AK91" i="33"/>
  <c r="AL96" i="33"/>
  <c r="AL97" i="33"/>
  <c r="AL95" i="33"/>
  <c r="W65" i="73"/>
  <c r="W66" i="73"/>
  <c r="W60" i="73"/>
  <c r="W61" i="73"/>
  <c r="AL38" i="33"/>
  <c r="AL39" i="33"/>
  <c r="AL40" i="33"/>
  <c r="AL41" i="33"/>
  <c r="AK38" i="33"/>
  <c r="EK10" i="20"/>
  <c r="H17" i="20"/>
  <c r="H20" i="20" s="1"/>
  <c r="G17" i="20"/>
  <c r="CX117" i="85"/>
  <c r="W20" i="73" l="1"/>
  <c r="G16" i="20"/>
  <c r="AN175" i="23"/>
  <c r="AN294" i="23" s="1"/>
  <c r="AN112" i="23"/>
  <c r="AN133" i="23"/>
  <c r="AN158" i="20"/>
  <c r="AE55" i="41"/>
  <c r="I56" i="41"/>
  <c r="I55" i="41"/>
  <c r="AK55" i="41" s="1"/>
  <c r="I54" i="41"/>
  <c r="AK54" i="41"/>
  <c r="AB54" i="41"/>
  <c r="AA122" i="38"/>
  <c r="AB122" i="38"/>
  <c r="AE264" i="59"/>
  <c r="AE10" i="59"/>
  <c r="AC7" i="38"/>
  <c r="X21" i="52" l="1"/>
  <c r="Y21" i="52" s="1"/>
  <c r="Z21" i="52" s="1"/>
  <c r="AA21" i="52" s="1"/>
  <c r="AB21" i="52" s="1"/>
  <c r="AC21" i="52" s="1"/>
  <c r="AD21" i="52" s="1"/>
  <c r="AE21" i="52" s="1"/>
  <c r="AF21" i="52" s="1"/>
  <c r="T41" i="95"/>
  <c r="T42" i="95"/>
  <c r="T36" i="95"/>
  <c r="T35" i="95" s="1"/>
  <c r="W98" i="73"/>
  <c r="W100" i="73" s="1"/>
  <c r="T18" i="95"/>
  <c r="T14" i="95"/>
  <c r="T5" i="95"/>
  <c r="T83" i="95"/>
  <c r="T68" i="95"/>
  <c r="S68" i="95"/>
  <c r="T78" i="95"/>
  <c r="T79" i="95" s="1"/>
  <c r="T69" i="95"/>
  <c r="T87" i="95"/>
  <c r="AY156" i="30"/>
  <c r="AY202" i="30"/>
  <c r="AY204" i="30"/>
  <c r="AY205" i="30"/>
  <c r="AG136" i="85"/>
  <c r="AG135" i="85" s="1"/>
  <c r="G95" i="95" l="1"/>
  <c r="T11" i="95"/>
  <c r="T27" i="95"/>
  <c r="T88" i="95"/>
  <c r="T90" i="95"/>
  <c r="T91" i="95"/>
  <c r="T93" i="95"/>
  <c r="T92" i="95"/>
  <c r="DO28" i="23"/>
  <c r="DP28" i="23"/>
  <c r="DQ28" i="23"/>
  <c r="AD28" i="23" s="1"/>
  <c r="DM35" i="23"/>
  <c r="DM36" i="23"/>
  <c r="CC146" i="73"/>
  <c r="CD146" i="73"/>
  <c r="CE146" i="73"/>
  <c r="CB146" i="73"/>
  <c r="M145" i="73"/>
  <c r="BY145" i="73"/>
  <c r="BY147" i="73" s="1"/>
  <c r="EG14" i="20"/>
  <c r="DB245" i="59"/>
  <c r="DN62" i="23"/>
  <c r="DO62" i="23"/>
  <c r="DP62" i="23"/>
  <c r="DQ62" i="23"/>
  <c r="DN64" i="23"/>
  <c r="DO64" i="23"/>
  <c r="DP64" i="23"/>
  <c r="DQ64" i="23"/>
  <c r="DN67" i="23"/>
  <c r="DO67" i="23"/>
  <c r="DP67" i="23"/>
  <c r="DQ67" i="23"/>
  <c r="DK48" i="23"/>
  <c r="DK166" i="23"/>
  <c r="DK167" i="23" s="1"/>
  <c r="DK168" i="23" s="1"/>
  <c r="DK163" i="23"/>
  <c r="DN124" i="23"/>
  <c r="DQ105" i="23"/>
  <c r="DP105" i="23"/>
  <c r="DO105" i="23"/>
  <c r="DN109" i="23"/>
  <c r="DN105" i="23"/>
  <c r="DK122" i="23"/>
  <c r="DK123" i="23"/>
  <c r="DK125" i="23" s="1"/>
  <c r="DK124" i="23"/>
  <c r="DK117" i="23"/>
  <c r="DO124" i="23"/>
  <c r="DP124" i="23" s="1"/>
  <c r="DQ124" i="23" s="1"/>
  <c r="DL111" i="23"/>
  <c r="DM109" i="23"/>
  <c r="DK111" i="23"/>
  <c r="DJ125" i="23"/>
  <c r="DK115" i="23"/>
  <c r="DG115" i="23"/>
  <c r="DF115" i="23"/>
  <c r="DK105" i="23"/>
  <c r="DO42" i="23"/>
  <c r="DP42" i="23"/>
  <c r="DN42" i="23"/>
  <c r="DI37" i="23"/>
  <c r="DN8" i="23"/>
  <c r="DO8" i="23"/>
  <c r="DK418" i="23"/>
  <c r="DO402" i="23"/>
  <c r="DP402" i="23"/>
  <c r="DQ402" i="23"/>
  <c r="DN402" i="23"/>
  <c r="DK62" i="23"/>
  <c r="DJ46" i="23"/>
  <c r="DJ47" i="23"/>
  <c r="DK38" i="23"/>
  <c r="DK37" i="23"/>
  <c r="DK32" i="23"/>
  <c r="DK31" i="23"/>
  <c r="DJ27" i="23"/>
  <c r="DK27" i="23"/>
  <c r="DB75" i="59"/>
  <c r="DB91" i="59"/>
  <c r="DB52" i="59"/>
  <c r="DK12" i="23"/>
  <c r="DF12" i="23"/>
  <c r="DB195" i="59"/>
  <c r="DG195" i="59" s="1"/>
  <c r="DP9" i="23" s="1"/>
  <c r="FD198" i="30"/>
  <c r="DB131" i="59"/>
  <c r="DB145" i="59" s="1"/>
  <c r="DB45" i="59"/>
  <c r="DB40" i="59"/>
  <c r="DB28" i="59"/>
  <c r="DN12" i="23"/>
  <c r="DO12" i="23"/>
  <c r="AD60" i="32"/>
  <c r="V14" i="52"/>
  <c r="U196" i="59"/>
  <c r="U197" i="59"/>
  <c r="DF71" i="59"/>
  <c r="DG71" i="59"/>
  <c r="DH71" i="59"/>
  <c r="DE71" i="59"/>
  <c r="DI205" i="59"/>
  <c r="DI180" i="59"/>
  <c r="DI173" i="59"/>
  <c r="DI162" i="59"/>
  <c r="DI163" i="59"/>
  <c r="DI161" i="59"/>
  <c r="DE233" i="59"/>
  <c r="DF233" i="59"/>
  <c r="DE221" i="59"/>
  <c r="DF221" i="59"/>
  <c r="DG221" i="59"/>
  <c r="DE222" i="59"/>
  <c r="DF222" i="59"/>
  <c r="DG222" i="59"/>
  <c r="DH222" i="59"/>
  <c r="DH221" i="59"/>
  <c r="DF203" i="59"/>
  <c r="DE203" i="59"/>
  <c r="DE171" i="59"/>
  <c r="DE178" i="59" s="1"/>
  <c r="DF171" i="59"/>
  <c r="DF178" i="59" s="1"/>
  <c r="DH171" i="59"/>
  <c r="U171" i="59" s="1"/>
  <c r="DG171" i="59"/>
  <c r="DG178" i="59" s="1"/>
  <c r="DI153" i="59"/>
  <c r="DI144" i="59"/>
  <c r="DI143" i="59"/>
  <c r="DI142" i="59"/>
  <c r="DH147" i="59"/>
  <c r="DG147" i="59"/>
  <c r="DF147" i="59"/>
  <c r="DE147" i="59"/>
  <c r="DI128" i="59"/>
  <c r="DF106" i="59"/>
  <c r="DG106" i="59"/>
  <c r="DE106" i="59"/>
  <c r="AO193" i="30"/>
  <c r="AO194" i="30"/>
  <c r="FK194" i="30" s="1"/>
  <c r="AO192" i="30"/>
  <c r="FH198" i="30"/>
  <c r="FG198" i="30"/>
  <c r="FB198" i="30"/>
  <c r="FH196" i="30"/>
  <c r="FI196" i="30"/>
  <c r="FG196" i="30"/>
  <c r="FK193" i="30"/>
  <c r="FK202" i="30"/>
  <c r="FK203" i="30"/>
  <c r="FK204" i="30"/>
  <c r="FK205" i="30"/>
  <c r="FK208" i="30"/>
  <c r="FK192" i="30"/>
  <c r="FJ194" i="30"/>
  <c r="FG208" i="30"/>
  <c r="FH208" i="30"/>
  <c r="FI208" i="30"/>
  <c r="FJ208" i="30"/>
  <c r="FG205" i="30"/>
  <c r="FH205" i="30"/>
  <c r="FI205" i="30"/>
  <c r="FJ205" i="30"/>
  <c r="FJ204" i="30"/>
  <c r="DI94" i="59"/>
  <c r="DE52" i="59"/>
  <c r="DF52" i="59"/>
  <c r="DG52" i="59"/>
  <c r="DH52" i="59"/>
  <c r="DG39" i="59"/>
  <c r="DF39" i="59"/>
  <c r="DF232" i="59" s="1"/>
  <c r="DE39" i="59"/>
  <c r="DE232" i="59" s="1"/>
  <c r="DF25" i="59"/>
  <c r="DE25" i="59"/>
  <c r="AL108" i="20"/>
  <c r="AN65" i="20"/>
  <c r="AN66" i="20"/>
  <c r="AN67" i="20"/>
  <c r="AN68" i="20"/>
  <c r="AN69" i="20"/>
  <c r="AN54" i="20"/>
  <c r="AN57" i="20"/>
  <c r="AN58" i="20" s="1"/>
  <c r="AF151" i="20"/>
  <c r="AG151" i="20" s="1"/>
  <c r="AH151" i="20" s="1"/>
  <c r="AI151" i="20" s="1"/>
  <c r="AJ151" i="20" s="1"/>
  <c r="AK151" i="20" s="1"/>
  <c r="AL151" i="20" s="1"/>
  <c r="AM151" i="20" s="1"/>
  <c r="AN151" i="20" s="1"/>
  <c r="W113" i="73"/>
  <c r="W114" i="73"/>
  <c r="EN14" i="20"/>
  <c r="EL10" i="20"/>
  <c r="EG10" i="20"/>
  <c r="EF10" i="20"/>
  <c r="EE10" i="20"/>
  <c r="EC10" i="20"/>
  <c r="EB10" i="20"/>
  <c r="EA10" i="20"/>
  <c r="DZ10" i="20"/>
  <c r="AJ6" i="31"/>
  <c r="AJ216" i="31" s="1"/>
  <c r="W26" i="73"/>
  <c r="W27" i="73"/>
  <c r="W5" i="73"/>
  <c r="W14" i="73"/>
  <c r="W15" i="73"/>
  <c r="Z22" i="31"/>
  <c r="BY22" i="31" s="1"/>
  <c r="Z10" i="31"/>
  <c r="BU30" i="31"/>
  <c r="Z30" i="31" s="1"/>
  <c r="BV30" i="31"/>
  <c r="BX30" i="31"/>
  <c r="BW30" i="31"/>
  <c r="DF285" i="59"/>
  <c r="CZ284" i="59"/>
  <c r="DA284" i="59" s="1"/>
  <c r="DB284" i="59" s="1"/>
  <c r="DC284" i="59" s="1"/>
  <c r="DE285" i="59"/>
  <c r="DE175" i="85"/>
  <c r="W175" i="85"/>
  <c r="CY136" i="85"/>
  <c r="CX136" i="85"/>
  <c r="CW136" i="85"/>
  <c r="CV136" i="85"/>
  <c r="DB136" i="85"/>
  <c r="DC136" i="85"/>
  <c r="DD136" i="85"/>
  <c r="DA136" i="85"/>
  <c r="DA135" i="85"/>
  <c r="DB135" i="85" s="1"/>
  <c r="DC135" i="85" s="1"/>
  <c r="DD135" i="85" s="1"/>
  <c r="DD117" i="85"/>
  <c r="DC117" i="85"/>
  <c r="DB117" i="85"/>
  <c r="DA117" i="85"/>
  <c r="DB19" i="85"/>
  <c r="DC19" i="85"/>
  <c r="DD19" i="85"/>
  <c r="DB17" i="85"/>
  <c r="DC17" i="85"/>
  <c r="DD17" i="85"/>
  <c r="DA19" i="85"/>
  <c r="DA17" i="85"/>
  <c r="AD41" i="95"/>
  <c r="AE41" i="95"/>
  <c r="AF41" i="95"/>
  <c r="AC41" i="95"/>
  <c r="AD35" i="95"/>
  <c r="AE35" i="95"/>
  <c r="AF35" i="95"/>
  <c r="AC35" i="95"/>
  <c r="CE147" i="73"/>
  <c r="CD147" i="73"/>
  <c r="CC147" i="73"/>
  <c r="CB147" i="73"/>
  <c r="CE139" i="73"/>
  <c r="BY99" i="73"/>
  <c r="BY100" i="73"/>
  <c r="CE106" i="73"/>
  <c r="CD106" i="73"/>
  <c r="CC106" i="73"/>
  <c r="CB106" i="73"/>
  <c r="CE105" i="73"/>
  <c r="CD105" i="73"/>
  <c r="CC105" i="73"/>
  <c r="CB105" i="73"/>
  <c r="BY104" i="73"/>
  <c r="BY105" i="73" s="1"/>
  <c r="BY106" i="73" s="1"/>
  <c r="BX99" i="73"/>
  <c r="BX100" i="73"/>
  <c r="BW100" i="73"/>
  <c r="BW99" i="73"/>
  <c r="BZ71" i="73"/>
  <c r="BZ72" i="73"/>
  <c r="CE55" i="73"/>
  <c r="CD55" i="73"/>
  <c r="CC55" i="73"/>
  <c r="CB55" i="73"/>
  <c r="CE42" i="73"/>
  <c r="CD42" i="73"/>
  <c r="CC42" i="73"/>
  <c r="CB42" i="73"/>
  <c r="CE41" i="73"/>
  <c r="CD41" i="73"/>
  <c r="CC41" i="73"/>
  <c r="CB41" i="73"/>
  <c r="CE36" i="73"/>
  <c r="CD36" i="73"/>
  <c r="CC36" i="73"/>
  <c r="CB36" i="73"/>
  <c r="DB77" i="59" l="1"/>
  <c r="T3" i="95"/>
  <c r="T26" i="95" s="1"/>
  <c r="AJ247" i="31"/>
  <c r="U222" i="59"/>
  <c r="DI222" i="59" s="1"/>
  <c r="U221" i="59"/>
  <c r="DI221" i="59" s="1"/>
  <c r="BY10" i="31"/>
  <c r="M105" i="73"/>
  <c r="M106" i="73"/>
  <c r="DI196" i="59"/>
  <c r="U52" i="59"/>
  <c r="DI52" i="59" s="1"/>
  <c r="DR402" i="23"/>
  <c r="BY146" i="73"/>
  <c r="M146" i="73"/>
  <c r="M147" i="73"/>
  <c r="AN6" i="20"/>
  <c r="AN156" i="20" s="1"/>
  <c r="AN168" i="20" s="1"/>
  <c r="DB187" i="59"/>
  <c r="DB191" i="59" s="1"/>
  <c r="DI171" i="59"/>
  <c r="U178" i="59"/>
  <c r="DH178" i="59"/>
  <c r="U71" i="59"/>
  <c r="DG284" i="59"/>
  <c r="DO109" i="23"/>
  <c r="AD166" i="23"/>
  <c r="DB89" i="59"/>
  <c r="DB93" i="59"/>
  <c r="DG232" i="59"/>
  <c r="CE138" i="73"/>
  <c r="FJ5" i="30"/>
  <c r="FJ188" i="30" s="1"/>
  <c r="FI5" i="30"/>
  <c r="FI188" i="30" s="1"/>
  <c r="FH5" i="30"/>
  <c r="FH188" i="30" s="1"/>
  <c r="FG5" i="30"/>
  <c r="FG188" i="30" s="1"/>
  <c r="FG4" i="30"/>
  <c r="FG187" i="30" s="1"/>
  <c r="CE26" i="73"/>
  <c r="CD26" i="73"/>
  <c r="CC26" i="73"/>
  <c r="CB26" i="73"/>
  <c r="CE20" i="73"/>
  <c r="CD20" i="73"/>
  <c r="CC20" i="73"/>
  <c r="CB20" i="73"/>
  <c r="CE14" i="73"/>
  <c r="CD14" i="73"/>
  <c r="CC14" i="73"/>
  <c r="CB14" i="73"/>
  <c r="DH3" i="59"/>
  <c r="BX6" i="31" s="1"/>
  <c r="DG3" i="59"/>
  <c r="BW6" i="31" s="1"/>
  <c r="DF3" i="59"/>
  <c r="DE3" i="59"/>
  <c r="BU6" i="31" s="1"/>
  <c r="DE2" i="59"/>
  <c r="BU5" i="31" s="1"/>
  <c r="AF3" i="95"/>
  <c r="AE3" i="95"/>
  <c r="AD3" i="95"/>
  <c r="AC3" i="95"/>
  <c r="DE10" i="85"/>
  <c r="DG93" i="59" l="1"/>
  <c r="DG91" i="59" s="1"/>
  <c r="DI71" i="59"/>
  <c r="V71" i="59"/>
  <c r="AN111" i="20"/>
  <c r="FG85" i="30"/>
  <c r="FI85" i="30"/>
  <c r="FH85" i="30"/>
  <c r="FG84" i="30"/>
  <c r="FJ85" i="30"/>
  <c r="DF264" i="59"/>
  <c r="DF185" i="59"/>
  <c r="DH185" i="59"/>
  <c r="DH264" i="59"/>
  <c r="DG185" i="59"/>
  <c r="DG264" i="59"/>
  <c r="DE185" i="59"/>
  <c r="DE264" i="59"/>
  <c r="BV6" i="31"/>
  <c r="DH284" i="59"/>
  <c r="DH285" i="59" s="1"/>
  <c r="DG285" i="59"/>
  <c r="DP109" i="23"/>
  <c r="DQ109" i="23" l="1"/>
  <c r="AD168" i="23" l="1"/>
  <c r="AD167" i="23"/>
  <c r="AR219" i="31"/>
  <c r="AR218" i="31"/>
  <c r="R15" i="38" l="1"/>
  <c r="S15" i="38" s="1"/>
  <c r="DG92" i="59" l="1"/>
  <c r="R41" i="56" l="1"/>
  <c r="Q41" i="56"/>
  <c r="R42" i="56" l="1"/>
  <c r="K36" i="95"/>
  <c r="L36" i="95" s="1"/>
  <c r="M98" i="73"/>
  <c r="CE98" i="73" s="1"/>
  <c r="N98" i="73"/>
  <c r="O98" i="73"/>
  <c r="P98" i="73"/>
  <c r="Q98" i="73"/>
  <c r="R98" i="73"/>
  <c r="S98" i="73"/>
  <c r="T98" i="73"/>
  <c r="U98" i="73"/>
  <c r="V98" i="73"/>
  <c r="L98" i="73"/>
  <c r="K98" i="73"/>
  <c r="AC28" i="23"/>
  <c r="DM28" i="23" s="1"/>
  <c r="DM51" i="23"/>
  <c r="T107" i="95" l="1"/>
  <c r="T106" i="95"/>
  <c r="DJ166" i="23"/>
  <c r="DJ167" i="23" s="1"/>
  <c r="DJ168" i="23" s="1"/>
  <c r="BX145" i="73"/>
  <c r="DJ163" i="23"/>
  <c r="DJ124" i="23"/>
  <c r="DJ122" i="23"/>
  <c r="DJ123" i="23"/>
  <c r="DJ117" i="23"/>
  <c r="DJ115" i="23"/>
  <c r="DJ12" i="23"/>
  <c r="DE12" i="23"/>
  <c r="BX147" i="73" l="1"/>
  <c r="BX146" i="73"/>
  <c r="BM86" i="73" l="1"/>
  <c r="AB124" i="20" l="1"/>
  <c r="DJ39" i="23" l="1"/>
  <c r="BX104" i="73"/>
  <c r="BX105" i="73" s="1"/>
  <c r="BX106" i="73" s="1"/>
  <c r="FC198" i="30"/>
  <c r="DA195" i="59"/>
  <c r="DF195" i="59" s="1"/>
  <c r="DO9" i="23" s="1"/>
  <c r="CV172" i="59"/>
  <c r="DA87" i="59"/>
  <c r="DA91" i="59"/>
  <c r="DA75" i="59"/>
  <c r="AA174" i="20"/>
  <c r="AC14" i="20"/>
  <c r="AA14" i="20"/>
  <c r="DJ418" i="23"/>
  <c r="DA93" i="59" l="1"/>
  <c r="DA77" i="59"/>
  <c r="DA89" i="59"/>
  <c r="DA131" i="59"/>
  <c r="DA126" i="59"/>
  <c r="DA45" i="59"/>
  <c r="CZ45" i="59"/>
  <c r="DA40" i="59"/>
  <c r="DA3" i="59"/>
  <c r="DF93" i="59" l="1"/>
  <c r="DF91" i="59" s="1"/>
  <c r="DF92" i="59" s="1"/>
  <c r="DL410" i="23" l="1"/>
  <c r="DK410" i="23"/>
  <c r="AC411" i="23"/>
  <c r="DK411" i="23" s="1"/>
  <c r="AC410" i="23"/>
  <c r="DL411" i="23" l="1"/>
  <c r="AB83" i="41"/>
  <c r="AC83" i="41"/>
  <c r="AC546" i="23" l="1"/>
  <c r="DI98" i="23" l="1"/>
  <c r="AC92" i="32" l="1"/>
  <c r="AC68" i="32" s="1"/>
  <c r="AD68" i="32"/>
  <c r="AF68" i="32"/>
  <c r="AJ68" i="32"/>
  <c r="AL68" i="32"/>
  <c r="AF92" i="32"/>
  <c r="AH92" i="32"/>
  <c r="AJ92" i="32" s="1"/>
  <c r="AL92" i="32" s="1"/>
  <c r="AB68" i="32"/>
  <c r="AD92" i="32"/>
  <c r="AF278" i="59"/>
  <c r="AG278" i="59"/>
  <c r="AH278" i="59"/>
  <c r="AI278" i="59"/>
  <c r="AJ278" i="59"/>
  <c r="CZ126" i="59"/>
  <c r="CQ135" i="85"/>
  <c r="BW104" i="73"/>
  <c r="BW105" i="73" s="1"/>
  <c r="BW106" i="73" s="1"/>
  <c r="CZ40" i="59"/>
  <c r="DI100" i="23"/>
  <c r="DI50" i="23"/>
  <c r="DI47" i="23"/>
  <c r="DI46" i="23"/>
  <c r="DI670" i="23"/>
  <c r="DI122" i="23"/>
  <c r="DI123" i="23"/>
  <c r="DI117" i="23"/>
  <c r="DI115" i="23"/>
  <c r="DD115" i="23"/>
  <c r="DI113" i="23"/>
  <c r="DG113" i="23"/>
  <c r="DI111" i="23"/>
  <c r="DD111" i="23"/>
  <c r="DI38" i="23"/>
  <c r="DI40" i="23"/>
  <c r="AA409" i="23"/>
  <c r="DH418" i="23"/>
  <c r="DI418" i="23"/>
  <c r="DI27" i="23"/>
  <c r="DD12" i="23"/>
  <c r="BW145" i="73"/>
  <c r="BW146" i="73" s="1"/>
  <c r="DI166" i="23"/>
  <c r="BW35" i="73"/>
  <c r="BW36" i="73"/>
  <c r="EZ192" i="30"/>
  <c r="CU195" i="59"/>
  <c r="CZ195" i="59"/>
  <c r="DE195" i="59" s="1"/>
  <c r="CX195" i="59"/>
  <c r="DC195" i="59" s="1"/>
  <c r="DH195" i="59" s="1"/>
  <c r="DQ9" i="23" s="1"/>
  <c r="CX126" i="59"/>
  <c r="CZ131" i="59"/>
  <c r="CZ91" i="59"/>
  <c r="CZ87" i="59"/>
  <c r="CZ75" i="59"/>
  <c r="FB205" i="30"/>
  <c r="EW205" i="30"/>
  <c r="CW227" i="59"/>
  <c r="CW248" i="59"/>
  <c r="CX75" i="59"/>
  <c r="EE17" i="20"/>
  <c r="EJ17" i="20" l="1"/>
  <c r="DE235" i="59" s="1"/>
  <c r="DN9" i="23"/>
  <c r="U195" i="59"/>
  <c r="DI195" i="59" s="1"/>
  <c r="CZ93" i="59"/>
  <c r="BW147" i="73"/>
  <c r="AE92" i="32"/>
  <c r="AG92" i="32" s="1"/>
  <c r="AI92" i="32" s="1"/>
  <c r="AK92" i="32" s="1"/>
  <c r="DE93" i="59" l="1"/>
  <c r="DE91" i="59" s="1"/>
  <c r="AG68" i="32"/>
  <c r="AI68" i="32"/>
  <c r="DE92" i="59" l="1"/>
  <c r="CQ113" i="85"/>
  <c r="CQ119" i="85"/>
  <c r="CQ125" i="85"/>
  <c r="AB15" i="23"/>
  <c r="AC15" i="23" l="1"/>
  <c r="I12" i="62" l="1"/>
  <c r="I10" i="62"/>
  <c r="H10" i="62" s="1"/>
  <c r="I46" i="63" l="1"/>
  <c r="DG98" i="23"/>
  <c r="CU87" i="59"/>
  <c r="T105" i="95" l="1"/>
  <c r="T104" i="95"/>
  <c r="T103" i="95"/>
  <c r="CX300" i="59" l="1"/>
  <c r="AC282" i="23" l="1"/>
  <c r="BU145" i="73" l="1"/>
  <c r="BU146" i="73" s="1"/>
  <c r="AD192" i="23"/>
  <c r="AE192" i="23" s="1"/>
  <c r="AF192" i="23" s="1"/>
  <c r="AG192" i="23" s="1"/>
  <c r="AH192" i="23" s="1"/>
  <c r="AI192" i="23" s="1"/>
  <c r="AJ192" i="23" s="1"/>
  <c r="AK192" i="23" s="1"/>
  <c r="AL192" i="23" s="1"/>
  <c r="AM192" i="23" s="1"/>
  <c r="AD218" i="23"/>
  <c r="AE218" i="23" s="1"/>
  <c r="AF218" i="23" s="1"/>
  <c r="AG218" i="23" s="1"/>
  <c r="AH218" i="23" s="1"/>
  <c r="AI218" i="23" s="1"/>
  <c r="AJ218" i="23" s="1"/>
  <c r="AK218" i="23" s="1"/>
  <c r="AL218" i="23" s="1"/>
  <c r="AM218" i="23" s="1"/>
  <c r="AA576" i="23"/>
  <c r="AA569" i="23"/>
  <c r="AD83" i="41"/>
  <c r="AE83" i="41" s="1"/>
  <c r="AB82" i="41"/>
  <c r="AC82" i="41" s="1"/>
  <c r="AD82" i="41" s="1"/>
  <c r="AE82" i="41" s="1"/>
  <c r="AA82" i="41"/>
  <c r="AB55" i="41"/>
  <c r="BU147" i="73" l="1"/>
  <c r="DG166" i="23"/>
  <c r="DG163" i="23"/>
  <c r="DG171" i="23"/>
  <c r="AA32" i="23"/>
  <c r="AB32" i="23"/>
  <c r="AA27" i="23"/>
  <c r="AA25" i="23" s="1"/>
  <c r="AB27" i="23"/>
  <c r="AB25" i="23" s="1"/>
  <c r="R178" i="59"/>
  <c r="AA12" i="23"/>
  <c r="AA15" i="23"/>
  <c r="AB16" i="23"/>
  <c r="AA8" i="23"/>
  <c r="DG418" i="23"/>
  <c r="DG168" i="23" l="1"/>
  <c r="DG167" i="23"/>
  <c r="AE585" i="23"/>
  <c r="AF585" i="23" s="1"/>
  <c r="AG585" i="23" s="1"/>
  <c r="AH585" i="23" s="1"/>
  <c r="AI585" i="23" s="1"/>
  <c r="AJ585" i="23" s="1"/>
  <c r="AK585" i="23" s="1"/>
  <c r="AL585" i="23" s="1"/>
  <c r="AM585" i="23" s="1"/>
  <c r="AM192" i="30"/>
  <c r="DG12" i="23"/>
  <c r="AB12" i="23" s="1"/>
  <c r="AC232" i="23"/>
  <c r="AC225" i="23"/>
  <c r="Z660" i="23"/>
  <c r="AA586" i="23"/>
  <c r="AC582" i="23"/>
  <c r="AD576" i="23"/>
  <c r="AE576" i="23"/>
  <c r="AF576" i="23"/>
  <c r="AG576" i="23"/>
  <c r="AH576" i="23"/>
  <c r="AI576" i="23"/>
  <c r="AJ576" i="23"/>
  <c r="AK576" i="23"/>
  <c r="AL576" i="23"/>
  <c r="AM576" i="23"/>
  <c r="AC576" i="23"/>
  <c r="AC553" i="23"/>
  <c r="AC543" i="23"/>
  <c r="AC516" i="23"/>
  <c r="AC514" i="23"/>
  <c r="AC621" i="23"/>
  <c r="AC628" i="23" s="1"/>
  <c r="Z364" i="23"/>
  <c r="AA364" i="23"/>
  <c r="AC365" i="23"/>
  <c r="AA366" i="23"/>
  <c r="AN218" i="30"/>
  <c r="AM219" i="30"/>
  <c r="AM216" i="30"/>
  <c r="AM218" i="30"/>
  <c r="AM221" i="30"/>
  <c r="Z122" i="23"/>
  <c r="AA122" i="23"/>
  <c r="DG111" i="23"/>
  <c r="DF111" i="23"/>
  <c r="DG117" i="23"/>
  <c r="DG122" i="23" s="1"/>
  <c r="DG124" i="23"/>
  <c r="DG123" i="23"/>
  <c r="AC490" i="23"/>
  <c r="Z500" i="23"/>
  <c r="AA498" i="23"/>
  <c r="Z498" i="23"/>
  <c r="AA495" i="23"/>
  <c r="Z495" i="23"/>
  <c r="AA163" i="23"/>
  <c r="AA551" i="23"/>
  <c r="AA553" i="23" s="1"/>
  <c r="Z551" i="23"/>
  <c r="W551" i="23"/>
  <c r="AA554" i="23"/>
  <c r="AA552" i="23"/>
  <c r="Z552" i="23"/>
  <c r="Z554" i="23"/>
  <c r="Z555" i="23" s="1"/>
  <c r="W552" i="23"/>
  <c r="AA543" i="23"/>
  <c r="AD225" i="23"/>
  <c r="AE225" i="23" s="1"/>
  <c r="AF225" i="23" s="1"/>
  <c r="AG225" i="23" s="1"/>
  <c r="AH225" i="23" s="1"/>
  <c r="AI225" i="23" s="1"/>
  <c r="AJ225" i="23" s="1"/>
  <c r="AK225" i="23" s="1"/>
  <c r="AL225" i="23" s="1"/>
  <c r="AM225" i="23" s="1"/>
  <c r="AA570" i="23"/>
  <c r="AA574" i="23"/>
  <c r="Z574" i="23"/>
  <c r="AA573" i="23"/>
  <c r="Z543" i="23"/>
  <c r="AA516" i="23"/>
  <c r="AA517" i="23"/>
  <c r="AA514" i="23"/>
  <c r="AA500" i="23"/>
  <c r="AA502" i="23"/>
  <c r="AA504" i="23"/>
  <c r="AA506" i="23"/>
  <c r="AA508" i="23"/>
  <c r="AA510" i="23"/>
  <c r="AA490" i="23"/>
  <c r="AA492" i="23"/>
  <c r="AA481" i="23"/>
  <c r="AA483" i="23"/>
  <c r="AA485" i="23"/>
  <c r="AA479" i="23"/>
  <c r="Z418" i="23"/>
  <c r="AA418" i="23"/>
  <c r="AG602" i="23"/>
  <c r="AH602" i="23" s="1"/>
  <c r="AI602" i="23" s="1"/>
  <c r="AJ602" i="23" s="1"/>
  <c r="AK602" i="23" s="1"/>
  <c r="AL602" i="23" s="1"/>
  <c r="AM602" i="23" s="1"/>
  <c r="AA620" i="23"/>
  <c r="AA621" i="23"/>
  <c r="AA616" i="23"/>
  <c r="AA628" i="23"/>
  <c r="AA294" i="23"/>
  <c r="AA292" i="23"/>
  <c r="AA286" i="23"/>
  <c r="AA284" i="23"/>
  <c r="Z280" i="23"/>
  <c r="AA271" i="23"/>
  <c r="Z271" i="23"/>
  <c r="AA267" i="23"/>
  <c r="Z267" i="23"/>
  <c r="AA228" i="23" l="1"/>
  <c r="Z228" i="23"/>
  <c r="W227" i="23"/>
  <c r="Z233" i="23"/>
  <c r="AA217" i="23" l="1"/>
  <c r="Z218" i="23"/>
  <c r="Z217" i="23"/>
  <c r="AA197" i="23"/>
  <c r="AA193" i="23"/>
  <c r="Z193" i="23"/>
  <c r="AC341" i="23"/>
  <c r="AC340" i="23"/>
  <c r="AC339" i="23"/>
  <c r="DV14" i="20" l="1"/>
  <c r="DW14" i="20" s="1"/>
  <c r="BU70" i="73"/>
  <c r="BU72" i="73" s="1"/>
  <c r="BU35" i="73"/>
  <c r="BU36" i="73"/>
  <c r="CW195" i="59"/>
  <c r="CV195" i="59"/>
  <c r="DE9" i="23" s="1"/>
  <c r="CX91" i="59"/>
  <c r="CX87" i="59"/>
  <c r="EZ211" i="30"/>
  <c r="CX131" i="59"/>
  <c r="CX170" i="59"/>
  <c r="CX149" i="59" s="1"/>
  <c r="AB121" i="20"/>
  <c r="AB127" i="20" s="1"/>
  <c r="DG8" i="23"/>
  <c r="K64" i="73"/>
  <c r="K63" i="73" s="1"/>
  <c r="L64" i="73"/>
  <c r="K59" i="73"/>
  <c r="K58" i="73" s="1"/>
  <c r="L59" i="73"/>
  <c r="L60" i="73" l="1"/>
  <c r="L61" i="73" s="1"/>
  <c r="L58" i="73"/>
  <c r="L65" i="73"/>
  <c r="L66" i="73" s="1"/>
  <c r="L63" i="73"/>
  <c r="BU71" i="73"/>
  <c r="CX99" i="59"/>
  <c r="K65" i="73"/>
  <c r="K66" i="73" s="1"/>
  <c r="K60" i="73"/>
  <c r="K61" i="73" s="1"/>
  <c r="CX89" i="59" l="1"/>
  <c r="CX93" i="59"/>
  <c r="DC93" i="59" s="1"/>
  <c r="DH93" i="59" s="1"/>
  <c r="CW75" i="59"/>
  <c r="DG27" i="23"/>
  <c r="DG15" i="23"/>
  <c r="Q36" i="59"/>
  <c r="R24" i="59"/>
  <c r="X6" i="31"/>
  <c r="X216" i="31" s="1"/>
  <c r="CX40" i="59"/>
  <c r="BW71" i="73"/>
  <c r="BX71" i="73"/>
  <c r="BY71" i="73"/>
  <c r="BW72" i="73"/>
  <c r="BX72" i="73"/>
  <c r="BY72" i="73"/>
  <c r="BS78" i="73"/>
  <c r="BT78" i="73"/>
  <c r="BU78" i="73"/>
  <c r="BW78" i="73"/>
  <c r="BX78" i="73"/>
  <c r="BY78" i="73"/>
  <c r="BZ78" i="73"/>
  <c r="BS79" i="73"/>
  <c r="BT79" i="73"/>
  <c r="BU79" i="73"/>
  <c r="BW79" i="73"/>
  <c r="BX79" i="73"/>
  <c r="BY79" i="73"/>
  <c r="BZ79" i="73"/>
  <c r="M78" i="73"/>
  <c r="N78" i="73"/>
  <c r="O78" i="73"/>
  <c r="P78" i="73"/>
  <c r="Q78" i="73"/>
  <c r="R78" i="73"/>
  <c r="S78" i="73"/>
  <c r="T78" i="73"/>
  <c r="U78" i="73"/>
  <c r="V78" i="73"/>
  <c r="W78" i="73"/>
  <c r="M79" i="73"/>
  <c r="N79" i="73"/>
  <c r="O79" i="73"/>
  <c r="P79" i="73"/>
  <c r="Q79" i="73"/>
  <c r="R79" i="73"/>
  <c r="S79" i="73"/>
  <c r="T79" i="73"/>
  <c r="U79" i="73"/>
  <c r="V79" i="73"/>
  <c r="W79" i="73"/>
  <c r="O145" i="73"/>
  <c r="DI167" i="23"/>
  <c r="DI168" i="23" s="1"/>
  <c r="J78" i="95"/>
  <c r="M99" i="73" s="1"/>
  <c r="CE99" i="73" s="1"/>
  <c r="AB28" i="23"/>
  <c r="AA28" i="23"/>
  <c r="DP12" i="23"/>
  <c r="L145" i="73"/>
  <c r="DH51" i="23"/>
  <c r="AM193" i="30"/>
  <c r="DH36" i="23"/>
  <c r="DH35" i="23"/>
  <c r="CW172" i="59"/>
  <c r="S196" i="59"/>
  <c r="CY196" i="59" s="1"/>
  <c r="S197" i="59"/>
  <c r="CY197" i="59" s="1"/>
  <c r="CX178" i="59"/>
  <c r="CW178" i="59"/>
  <c r="CW179" i="59" s="1"/>
  <c r="CW181" i="59" s="1"/>
  <c r="CV178" i="59"/>
  <c r="CU178" i="59"/>
  <c r="CU179" i="59" s="1"/>
  <c r="CU181" i="59" s="1"/>
  <c r="CY205" i="59"/>
  <c r="CY171" i="59"/>
  <c r="CY153" i="59"/>
  <c r="CY128" i="59"/>
  <c r="R221" i="59"/>
  <c r="AM75" i="30"/>
  <c r="AJ77" i="30"/>
  <c r="AJ216" i="30"/>
  <c r="AL77" i="30"/>
  <c r="AL221" i="30"/>
  <c r="AJ218" i="30"/>
  <c r="AK221" i="30"/>
  <c r="AH75" i="30"/>
  <c r="AK77" i="30"/>
  <c r="AK216" i="30" s="1"/>
  <c r="AC265" i="23"/>
  <c r="AC255" i="23"/>
  <c r="AC253" i="23"/>
  <c r="AC248" i="23"/>
  <c r="AB30" i="23"/>
  <c r="DH30" i="23"/>
  <c r="DH26" i="23"/>
  <c r="L71" i="73"/>
  <c r="M71" i="73"/>
  <c r="N71" i="73"/>
  <c r="O71" i="73"/>
  <c r="P71" i="73"/>
  <c r="Q71" i="73"/>
  <c r="R71" i="73"/>
  <c r="S71" i="73"/>
  <c r="T71" i="73"/>
  <c r="U71" i="73"/>
  <c r="V71" i="73"/>
  <c r="L72" i="73"/>
  <c r="M72" i="73"/>
  <c r="N72" i="73"/>
  <c r="O72" i="73"/>
  <c r="P72" i="73"/>
  <c r="Q72" i="73"/>
  <c r="R72" i="73"/>
  <c r="S72" i="73"/>
  <c r="T72" i="73"/>
  <c r="U72" i="73"/>
  <c r="V72" i="73"/>
  <c r="S43" i="59"/>
  <c r="S25" i="59"/>
  <c r="S10" i="59"/>
  <c r="CY10" i="59" s="1"/>
  <c r="DH28" i="23"/>
  <c r="AC32" i="23"/>
  <c r="DM32" i="23" s="1"/>
  <c r="BZ18" i="73"/>
  <c r="BG85" i="59"/>
  <c r="BL85" i="59" s="1"/>
  <c r="BQ85" i="59" s="1"/>
  <c r="BV85" i="59" s="1"/>
  <c r="CA85" i="59" s="1"/>
  <c r="CF85" i="59" s="1"/>
  <c r="CK85" i="59" s="1"/>
  <c r="CP85" i="59" s="1"/>
  <c r="CU85" i="59" s="1"/>
  <c r="CZ85" i="59" s="1"/>
  <c r="DE85" i="59" s="1"/>
  <c r="BH85" i="59"/>
  <c r="BM85" i="59" s="1"/>
  <c r="BI85" i="59"/>
  <c r="BN85" i="59" s="1"/>
  <c r="BS85" i="59" s="1"/>
  <c r="BX85" i="59" s="1"/>
  <c r="CC85" i="59" s="1"/>
  <c r="CH85" i="59" s="1"/>
  <c r="CM85" i="59" s="1"/>
  <c r="CR85" i="59" s="1"/>
  <c r="CW85" i="59" s="1"/>
  <c r="DB85" i="59" s="1"/>
  <c r="DG85" i="59" s="1"/>
  <c r="BJ85" i="59"/>
  <c r="BO85" i="59" s="1"/>
  <c r="CP87" i="59"/>
  <c r="CP89" i="59" s="1"/>
  <c r="CQ87" i="59"/>
  <c r="CR87" i="59"/>
  <c r="CS87" i="59"/>
  <c r="BT123" i="59"/>
  <c r="BT218" i="59" s="1"/>
  <c r="BT221" i="59"/>
  <c r="BT142" i="59"/>
  <c r="BT222" i="59" s="1"/>
  <c r="BQ123" i="59"/>
  <c r="BQ218" i="59" s="1"/>
  <c r="BQ221" i="59"/>
  <c r="BQ142" i="59"/>
  <c r="BQ145" i="59" s="1"/>
  <c r="BR123" i="59"/>
  <c r="BR218" i="59" s="1"/>
  <c r="BR221" i="59"/>
  <c r="BR142" i="59"/>
  <c r="BR222" i="59" s="1"/>
  <c r="BS123" i="59"/>
  <c r="BS218" i="59" s="1"/>
  <c r="BS221" i="59"/>
  <c r="BS142" i="59"/>
  <c r="BS222" i="59" s="1"/>
  <c r="BT233" i="59"/>
  <c r="BQ233" i="59"/>
  <c r="BR233" i="59"/>
  <c r="BS233" i="59"/>
  <c r="CV87" i="59"/>
  <c r="CW87" i="59"/>
  <c r="J24" i="59"/>
  <c r="CF123" i="59"/>
  <c r="CF218" i="59" s="1"/>
  <c r="CG123" i="59"/>
  <c r="EI97" i="30" s="1"/>
  <c r="CH123" i="59"/>
  <c r="CH218" i="59" s="1"/>
  <c r="K24" i="59"/>
  <c r="BZ24" i="59" s="1"/>
  <c r="CA24" i="59"/>
  <c r="CB24" i="59"/>
  <c r="CG24" i="59" s="1"/>
  <c r="CG233" i="59" s="1"/>
  <c r="CC24" i="59"/>
  <c r="CH24" i="59" s="1"/>
  <c r="CH233" i="59" s="1"/>
  <c r="CF24" i="59"/>
  <c r="CF233" i="59" s="1"/>
  <c r="CK128" i="59"/>
  <c r="CK221" i="59" s="1"/>
  <c r="CL128" i="59"/>
  <c r="CL221" i="59" s="1"/>
  <c r="CM128" i="59"/>
  <c r="CM221" i="59" s="1"/>
  <c r="CN233" i="59"/>
  <c r="CK233" i="59"/>
  <c r="CL233" i="59"/>
  <c r="CM233" i="59"/>
  <c r="CF51" i="59"/>
  <c r="CA123" i="59"/>
  <c r="CB123" i="59"/>
  <c r="CB218" i="59" s="1"/>
  <c r="CC123" i="59"/>
  <c r="N24" i="59"/>
  <c r="CN71" i="59"/>
  <c r="CL71" i="59"/>
  <c r="CQ71" i="59" s="1"/>
  <c r="CM71" i="59"/>
  <c r="M71" i="59"/>
  <c r="O71" i="59" s="1"/>
  <c r="CP233" i="59"/>
  <c r="CQ24" i="59"/>
  <c r="CQ233" i="59" s="1"/>
  <c r="CR24" i="59"/>
  <c r="CR233" i="59" s="1"/>
  <c r="CS233" i="59"/>
  <c r="BV123" i="59"/>
  <c r="BW123" i="59"/>
  <c r="BX123" i="59"/>
  <c r="DZ97" i="30" s="1"/>
  <c r="BV142" i="59"/>
  <c r="BV145" i="59" s="1"/>
  <c r="BW142" i="59"/>
  <c r="BW222" i="59" s="1"/>
  <c r="BX142" i="59"/>
  <c r="BX222" i="59" s="1"/>
  <c r="BY142" i="59"/>
  <c r="BY222" i="59" s="1"/>
  <c r="CA222" i="59"/>
  <c r="CB222" i="59"/>
  <c r="CC222" i="59"/>
  <c r="CU233" i="59"/>
  <c r="CV233" i="59"/>
  <c r="CW233" i="59"/>
  <c r="BQ149" i="59"/>
  <c r="DS127" i="30" s="1"/>
  <c r="BR149" i="59"/>
  <c r="DT127" i="30" s="1"/>
  <c r="BS149" i="59"/>
  <c r="DU127" i="30" s="1"/>
  <c r="BT149" i="59"/>
  <c r="DV127" i="30" s="1"/>
  <c r="CS75" i="59"/>
  <c r="CP71" i="59"/>
  <c r="CP75" i="59"/>
  <c r="CP76" i="59" s="1"/>
  <c r="CQ75" i="59"/>
  <c r="CR75" i="59"/>
  <c r="CP91" i="59"/>
  <c r="CP323" i="59" s="1"/>
  <c r="CQ91" i="59"/>
  <c r="CQ93" i="59" s="1"/>
  <c r="CR91" i="59"/>
  <c r="CS91" i="59"/>
  <c r="M161" i="59"/>
  <c r="CJ161" i="59" s="1"/>
  <c r="CS179" i="59"/>
  <c r="CS157" i="59" s="1"/>
  <c r="N161" i="59"/>
  <c r="EK88" i="30"/>
  <c r="AJ88" i="30" s="1"/>
  <c r="CP179" i="59"/>
  <c r="CP157" i="59" s="1"/>
  <c r="CQ179" i="59"/>
  <c r="CQ157" i="59" s="1"/>
  <c r="CQ165" i="59" s="1"/>
  <c r="CR179" i="59"/>
  <c r="CR157" i="59" s="1"/>
  <c r="CK165" i="59"/>
  <c r="CL165" i="59"/>
  <c r="CM165" i="59"/>
  <c r="CN165" i="59"/>
  <c r="EM88" i="30"/>
  <c r="EN88" i="30"/>
  <c r="EO88" i="30"/>
  <c r="EP88" i="30"/>
  <c r="M106" i="59"/>
  <c r="O106" i="59" s="1"/>
  <c r="CZ233" i="59"/>
  <c r="DB24" i="59"/>
  <c r="DC24" i="59"/>
  <c r="EW88" i="30"/>
  <c r="EX88" i="30"/>
  <c r="EY88" i="30"/>
  <c r="EZ88" i="30"/>
  <c r="CU75" i="59"/>
  <c r="CV75" i="59"/>
  <c r="R71" i="59"/>
  <c r="S71" i="59" s="1"/>
  <c r="CY71" i="59" s="1"/>
  <c r="CU91" i="59"/>
  <c r="CV91" i="59"/>
  <c r="CW91" i="59"/>
  <c r="T71" i="59"/>
  <c r="CS131" i="59"/>
  <c r="CS145" i="59" s="1"/>
  <c r="CX233" i="59"/>
  <c r="CU131" i="59"/>
  <c r="CV131" i="59"/>
  <c r="CV145" i="59" s="1"/>
  <c r="CW131" i="59"/>
  <c r="CW145" i="59" s="1"/>
  <c r="ER88" i="30"/>
  <c r="ES88" i="30"/>
  <c r="ET88" i="30"/>
  <c r="EU88" i="30"/>
  <c r="AJ221" i="30"/>
  <c r="Q9" i="56"/>
  <c r="N9" i="56"/>
  <c r="J87" i="31"/>
  <c r="BR145" i="73"/>
  <c r="CU218" i="59"/>
  <c r="CU221" i="59"/>
  <c r="CU222" i="59"/>
  <c r="CV218" i="59"/>
  <c r="CV221" i="59"/>
  <c r="CV222" i="59"/>
  <c r="CW218" i="59"/>
  <c r="CW221" i="59"/>
  <c r="CW222" i="59"/>
  <c r="CS218" i="59"/>
  <c r="CS221" i="59"/>
  <c r="CS222" i="59"/>
  <c r="CZ222" i="59"/>
  <c r="DA222" i="59"/>
  <c r="DB222" i="59"/>
  <c r="CX222" i="59"/>
  <c r="DC222" i="59"/>
  <c r="CP218" i="59"/>
  <c r="CP221" i="59"/>
  <c r="CP222" i="59"/>
  <c r="CQ218" i="59"/>
  <c r="CQ221" i="59"/>
  <c r="CQ222" i="59"/>
  <c r="CR218" i="59"/>
  <c r="CR221" i="59"/>
  <c r="CR222" i="59"/>
  <c r="M9" i="56"/>
  <c r="O11" i="56"/>
  <c r="V222" i="59"/>
  <c r="W222" i="59"/>
  <c r="DC106" i="59"/>
  <c r="Q105" i="59"/>
  <c r="CT105" i="59" s="1"/>
  <c r="AC166" i="23"/>
  <c r="Q106" i="59"/>
  <c r="Q107" i="59"/>
  <c r="CT107" i="59" s="1"/>
  <c r="I96" i="33"/>
  <c r="J96" i="33" s="1"/>
  <c r="K96" i="33"/>
  <c r="L96" i="33" s="1"/>
  <c r="L97" i="33" s="1"/>
  <c r="L103" i="33" s="1"/>
  <c r="M103" i="33"/>
  <c r="G100" i="33"/>
  <c r="H100" i="33"/>
  <c r="I100" i="33" s="1"/>
  <c r="J100" i="33" s="1"/>
  <c r="K100" i="33" s="1"/>
  <c r="L100" i="33" s="1"/>
  <c r="M100" i="33" s="1"/>
  <c r="X222" i="59"/>
  <c r="Y222" i="59"/>
  <c r="Z222" i="59"/>
  <c r="AA222" i="59"/>
  <c r="AB222" i="59"/>
  <c r="AC222" i="59"/>
  <c r="AD222" i="59"/>
  <c r="CK222" i="59"/>
  <c r="CL222" i="59"/>
  <c r="CM222" i="59"/>
  <c r="CN222" i="59"/>
  <c r="BC68" i="85"/>
  <c r="BH68" i="85" s="1"/>
  <c r="BM68" i="85" s="1"/>
  <c r="BH65" i="85"/>
  <c r="BM65" i="85" s="1"/>
  <c r="BR65" i="85" s="1"/>
  <c r="BW65" i="85" s="1"/>
  <c r="CB65" i="85" s="1"/>
  <c r="CG65" i="85" s="1"/>
  <c r="BM89" i="85"/>
  <c r="BR89" i="85" s="1"/>
  <c r="AY68" i="85"/>
  <c r="BD68" i="85" s="1"/>
  <c r="BI68" i="85" s="1"/>
  <c r="BD65" i="85"/>
  <c r="BI65" i="85" s="1"/>
  <c r="AZ68" i="85"/>
  <c r="BE68" i="85" s="1"/>
  <c r="BE65" i="85"/>
  <c r="BJ65" i="85" s="1"/>
  <c r="BK89" i="85"/>
  <c r="BP89" i="85" s="1"/>
  <c r="BA68" i="85"/>
  <c r="BF68" i="85" s="1"/>
  <c r="BK68" i="85" s="1"/>
  <c r="BF65" i="85"/>
  <c r="BK65" i="85" s="1"/>
  <c r="BP65" i="85" s="1"/>
  <c r="BI89" i="85"/>
  <c r="BN89" i="85" s="1"/>
  <c r="BJ89" i="85"/>
  <c r="BO89" i="85" s="1"/>
  <c r="BT89" i="85" s="1"/>
  <c r="BT104" i="85" s="1"/>
  <c r="BM84" i="85"/>
  <c r="BR84" i="85" s="1"/>
  <c r="BI84" i="85"/>
  <c r="BN85" i="85"/>
  <c r="BS85" i="85"/>
  <c r="CC85" i="85"/>
  <c r="CD85" i="85" s="1"/>
  <c r="CE85" i="85" s="1"/>
  <c r="BJ84" i="85"/>
  <c r="BO85" i="85"/>
  <c r="BP85" i="85" s="1"/>
  <c r="BT85" i="85"/>
  <c r="BU85" i="85" s="1"/>
  <c r="BK84" i="85"/>
  <c r="BH60" i="85"/>
  <c r="BM60" i="85" s="1"/>
  <c r="BD60" i="85"/>
  <c r="BI60" i="85" s="1"/>
  <c r="BE61" i="85"/>
  <c r="BE60" i="85" s="1"/>
  <c r="BF60" i="85"/>
  <c r="BK60" i="85" s="1"/>
  <c r="BP60" i="85" s="1"/>
  <c r="BU60" i="85" s="1"/>
  <c r="BZ60" i="85" s="1"/>
  <c r="M113" i="73"/>
  <c r="M119" i="73"/>
  <c r="N119" i="73"/>
  <c r="O119" i="73"/>
  <c r="L119" i="73"/>
  <c r="N78" i="95"/>
  <c r="O78" i="95"/>
  <c r="R99" i="73" s="1"/>
  <c r="P78" i="95"/>
  <c r="S99" i="73" s="1"/>
  <c r="Q78" i="95"/>
  <c r="T99" i="73" s="1"/>
  <c r="R78" i="95"/>
  <c r="S78" i="95"/>
  <c r="V99" i="73" s="1"/>
  <c r="M78" i="95"/>
  <c r="L78" i="95"/>
  <c r="L27" i="95" s="1"/>
  <c r="K78" i="95"/>
  <c r="L99" i="73"/>
  <c r="H78" i="95"/>
  <c r="G78" i="95"/>
  <c r="F68" i="95"/>
  <c r="M100" i="73"/>
  <c r="CE100" i="73" s="1"/>
  <c r="M19" i="73"/>
  <c r="N19" i="73"/>
  <c r="O19" i="73"/>
  <c r="O21" i="73" s="1"/>
  <c r="N99" i="73"/>
  <c r="O99" i="73"/>
  <c r="Q99" i="73"/>
  <c r="U99" i="73"/>
  <c r="W99" i="73"/>
  <c r="DL9" i="23"/>
  <c r="C10" i="32"/>
  <c r="D10" i="32"/>
  <c r="E10" i="32"/>
  <c r="F10" i="32"/>
  <c r="G10" i="32"/>
  <c r="H10" i="32"/>
  <c r="I10" i="32"/>
  <c r="J10" i="32"/>
  <c r="K10" i="32"/>
  <c r="M95" i="33"/>
  <c r="N95" i="33" s="1"/>
  <c r="O95" i="33" s="1"/>
  <c r="P95" i="33" s="1"/>
  <c r="Q95" i="33" s="1"/>
  <c r="R95" i="33" s="1"/>
  <c r="S95" i="33" s="1"/>
  <c r="T95" i="33" s="1"/>
  <c r="U95" i="33" s="1"/>
  <c r="W95" i="33"/>
  <c r="X95" i="33"/>
  <c r="Y95" i="33"/>
  <c r="Z95" i="33"/>
  <c r="AA95" i="33"/>
  <c r="AB95" i="33"/>
  <c r="AC95" i="33"/>
  <c r="AD95" i="33"/>
  <c r="AE95" i="33"/>
  <c r="AF95" i="33"/>
  <c r="AG95" i="33"/>
  <c r="AH95" i="33"/>
  <c r="AI95" i="33"/>
  <c r="AJ95" i="33"/>
  <c r="AK95" i="33"/>
  <c r="V95" i="33"/>
  <c r="R68" i="95"/>
  <c r="R79" i="95" s="1"/>
  <c r="K152" i="73"/>
  <c r="K153" i="73"/>
  <c r="K119" i="73"/>
  <c r="K120" i="73"/>
  <c r="O76" i="33"/>
  <c r="P76" i="33" s="1"/>
  <c r="Q76" i="33" s="1"/>
  <c r="R76" i="33" s="1"/>
  <c r="S76" i="33" s="1"/>
  <c r="T76" i="33" s="1"/>
  <c r="U76" i="33" s="1"/>
  <c r="V76" i="33" s="1"/>
  <c r="W76" i="33" s="1"/>
  <c r="X76" i="33" s="1"/>
  <c r="Y76" i="33" s="1"/>
  <c r="Z76" i="33" s="1"/>
  <c r="AA76" i="33" s="1"/>
  <c r="AB76" i="33" s="1"/>
  <c r="AC76" i="33" s="1"/>
  <c r="AD76" i="33" s="1"/>
  <c r="AE76" i="33" s="1"/>
  <c r="AF76" i="33" s="1"/>
  <c r="AG76" i="33" s="1"/>
  <c r="AH76" i="33" s="1"/>
  <c r="AI76" i="33" s="1"/>
  <c r="AJ76" i="33" s="1"/>
  <c r="AK76" i="33" s="1"/>
  <c r="AL76" i="33" s="1"/>
  <c r="Q41" i="32"/>
  <c r="I41" i="52"/>
  <c r="J41" i="52" s="1"/>
  <c r="K41" i="52" s="1"/>
  <c r="L41" i="52" s="1"/>
  <c r="M41" i="52" s="1"/>
  <c r="N41" i="52" s="1"/>
  <c r="O41" i="52" s="1"/>
  <c r="P41" i="52" s="1"/>
  <c r="Q41" i="52" s="1"/>
  <c r="R41" i="52" s="1"/>
  <c r="S41" i="52" s="1"/>
  <c r="T41" i="52" s="1"/>
  <c r="U41" i="52" s="1"/>
  <c r="V41" i="52" s="1"/>
  <c r="W41" i="52" s="1"/>
  <c r="X41" i="52" s="1"/>
  <c r="Y41" i="52" s="1"/>
  <c r="Z41" i="52" s="1"/>
  <c r="AA41" i="52" s="1"/>
  <c r="AB41" i="52" s="1"/>
  <c r="AC41" i="52" s="1"/>
  <c r="AD41" i="52" s="1"/>
  <c r="AE41" i="52" s="1"/>
  <c r="AF41" i="52" s="1"/>
  <c r="B273" i="60"/>
  <c r="I38" i="52" s="1"/>
  <c r="J38" i="52" s="1"/>
  <c r="K38" i="52" s="1"/>
  <c r="L38" i="52" s="1"/>
  <c r="M38" i="52" s="1"/>
  <c r="N38" i="52" s="1"/>
  <c r="O38" i="52" s="1"/>
  <c r="P38" i="52" s="1"/>
  <c r="Q38" i="52" s="1"/>
  <c r="R38" i="52" s="1"/>
  <c r="S38" i="52" s="1"/>
  <c r="T38" i="52" s="1"/>
  <c r="U38" i="52" s="1"/>
  <c r="V38" i="52" s="1"/>
  <c r="W38" i="52" s="1"/>
  <c r="X38" i="52" s="1"/>
  <c r="Y38" i="52" s="1"/>
  <c r="Z38" i="52" s="1"/>
  <c r="AA38" i="52" s="1"/>
  <c r="AB38" i="52" s="1"/>
  <c r="AC38" i="52" s="1"/>
  <c r="AD38" i="52" s="1"/>
  <c r="AE38" i="52" s="1"/>
  <c r="AF38" i="52" s="1"/>
  <c r="B272" i="60"/>
  <c r="I37" i="52" s="1"/>
  <c r="J37" i="52" s="1"/>
  <c r="K37" i="52" s="1"/>
  <c r="L37" i="52" s="1"/>
  <c r="M37" i="52" s="1"/>
  <c r="N37" i="52" s="1"/>
  <c r="O37" i="52" s="1"/>
  <c r="P37" i="52" s="1"/>
  <c r="Q37" i="52" s="1"/>
  <c r="R37" i="52" s="1"/>
  <c r="S37" i="52" s="1"/>
  <c r="T37" i="52" s="1"/>
  <c r="U37" i="52" s="1"/>
  <c r="V37" i="52" s="1"/>
  <c r="W37" i="52" s="1"/>
  <c r="X37" i="52" s="1"/>
  <c r="Y37" i="52" s="1"/>
  <c r="Z37" i="52" s="1"/>
  <c r="AA37" i="52" s="1"/>
  <c r="AB37" i="52" s="1"/>
  <c r="AC37" i="52" s="1"/>
  <c r="AD37" i="52" s="1"/>
  <c r="AE37" i="52" s="1"/>
  <c r="AF37" i="52" s="1"/>
  <c r="M67" i="31"/>
  <c r="N67" i="31" s="1"/>
  <c r="O67" i="31" s="1"/>
  <c r="P67" i="31" s="1"/>
  <c r="Q67" i="31" s="1"/>
  <c r="R67" i="31" s="1"/>
  <c r="S67" i="31" s="1"/>
  <c r="T67" i="31" s="1"/>
  <c r="U67" i="31" s="1"/>
  <c r="V67" i="31" s="1"/>
  <c r="W67" i="31" s="1"/>
  <c r="X67" i="31" s="1"/>
  <c r="Y67" i="31" s="1"/>
  <c r="Z67" i="31" s="1"/>
  <c r="AA67" i="31" s="1"/>
  <c r="AB67" i="31" s="1"/>
  <c r="AC67" i="31" s="1"/>
  <c r="AD67" i="31" s="1"/>
  <c r="AE67" i="31" s="1"/>
  <c r="AF67" i="31" s="1"/>
  <c r="AG67" i="31" s="1"/>
  <c r="AH67" i="31" s="1"/>
  <c r="AI67" i="31" s="1"/>
  <c r="AJ67" i="31" s="1"/>
  <c r="B67" i="60"/>
  <c r="M64" i="31" s="1"/>
  <c r="N64" i="31" s="1"/>
  <c r="O64" i="31" s="1"/>
  <c r="P64" i="31" s="1"/>
  <c r="Q64" i="31" s="1"/>
  <c r="R64" i="31" s="1"/>
  <c r="S64" i="31" s="1"/>
  <c r="T64" i="31" s="1"/>
  <c r="U64" i="31" s="1"/>
  <c r="V64" i="31" s="1"/>
  <c r="W64" i="31" s="1"/>
  <c r="X64" i="31" s="1"/>
  <c r="Y64" i="31" s="1"/>
  <c r="Z64" i="31" s="1"/>
  <c r="AA64" i="31" s="1"/>
  <c r="AB64" i="31" s="1"/>
  <c r="AC64" i="31" s="1"/>
  <c r="AD64" i="31" s="1"/>
  <c r="AE64" i="31" s="1"/>
  <c r="AF64" i="31" s="1"/>
  <c r="AG64" i="31" s="1"/>
  <c r="AH64" i="31" s="1"/>
  <c r="AI64" i="31" s="1"/>
  <c r="AJ64" i="31" s="1"/>
  <c r="B66" i="60"/>
  <c r="M63" i="31" s="1"/>
  <c r="N63" i="31" s="1"/>
  <c r="O63" i="31" s="1"/>
  <c r="P63" i="31" s="1"/>
  <c r="Q63" i="31" s="1"/>
  <c r="R63" i="31" s="1"/>
  <c r="S63" i="31" s="1"/>
  <c r="T63" i="31" s="1"/>
  <c r="U63" i="31" s="1"/>
  <c r="V63" i="31" s="1"/>
  <c r="W63" i="31" s="1"/>
  <c r="X63" i="31" s="1"/>
  <c r="Y63" i="31" s="1"/>
  <c r="Z63" i="31" s="1"/>
  <c r="AA63" i="31" s="1"/>
  <c r="AB63" i="31" s="1"/>
  <c r="AC63" i="31" s="1"/>
  <c r="AD63" i="31" s="1"/>
  <c r="AE63" i="31" s="1"/>
  <c r="AF63" i="31" s="1"/>
  <c r="AG63" i="31" s="1"/>
  <c r="AH63" i="31" s="1"/>
  <c r="AI63" i="31" s="1"/>
  <c r="AJ63" i="31" s="1"/>
  <c r="F29" i="60"/>
  <c r="E29" i="60" s="1"/>
  <c r="M82" i="63"/>
  <c r="L48" i="63"/>
  <c r="L17" i="63"/>
  <c r="W322" i="60"/>
  <c r="W385" i="60"/>
  <c r="V385" i="60" s="1"/>
  <c r="U385" i="60" s="1"/>
  <c r="T385" i="60" s="1"/>
  <c r="S385" i="60" s="1"/>
  <c r="R385" i="60" s="1"/>
  <c r="Q385" i="60" s="1"/>
  <c r="P385" i="60" s="1"/>
  <c r="O385" i="60" s="1"/>
  <c r="N385" i="60" s="1"/>
  <c r="M385" i="60" s="1"/>
  <c r="L385" i="60" s="1"/>
  <c r="K385" i="60" s="1"/>
  <c r="J385" i="60" s="1"/>
  <c r="I385" i="60" s="1"/>
  <c r="H385" i="60" s="1"/>
  <c r="G385" i="60" s="1"/>
  <c r="F385" i="60" s="1"/>
  <c r="E385" i="60" s="1"/>
  <c r="D385" i="60" s="1"/>
  <c r="C385" i="60" s="1"/>
  <c r="B385" i="60" s="1"/>
  <c r="B367" i="60"/>
  <c r="B364" i="60"/>
  <c r="B363" i="60"/>
  <c r="C363" i="60" s="1"/>
  <c r="D363" i="60" s="1"/>
  <c r="E363" i="60" s="1"/>
  <c r="F363" i="60" s="1"/>
  <c r="G363" i="60" s="1"/>
  <c r="H363" i="60" s="1"/>
  <c r="I363" i="60" s="1"/>
  <c r="J363" i="60" s="1"/>
  <c r="K363" i="60" s="1"/>
  <c r="L363" i="60" s="1"/>
  <c r="M363" i="60" s="1"/>
  <c r="N363" i="60" s="1"/>
  <c r="O363" i="60" s="1"/>
  <c r="P363" i="60" s="1"/>
  <c r="Q363" i="60" s="1"/>
  <c r="R363" i="60" s="1"/>
  <c r="S363" i="60" s="1"/>
  <c r="T363" i="60" s="1"/>
  <c r="U363" i="60" s="1"/>
  <c r="V363" i="60" s="1"/>
  <c r="W363" i="60" s="1"/>
  <c r="X363" i="60" s="1"/>
  <c r="Y363" i="60" s="1"/>
  <c r="T356" i="60"/>
  <c r="S356" i="60" s="1"/>
  <c r="R356" i="60" s="1"/>
  <c r="Q356" i="60" s="1"/>
  <c r="P356" i="60" s="1"/>
  <c r="O356" i="60" s="1"/>
  <c r="N356" i="60" s="1"/>
  <c r="M356" i="60" s="1"/>
  <c r="L356" i="60" s="1"/>
  <c r="K356" i="60" s="1"/>
  <c r="J356" i="60" s="1"/>
  <c r="I356" i="60" s="1"/>
  <c r="H356" i="60" s="1"/>
  <c r="G356" i="60" s="1"/>
  <c r="F356" i="60" s="1"/>
  <c r="E356" i="60" s="1"/>
  <c r="D356" i="60" s="1"/>
  <c r="C356" i="60" s="1"/>
  <c r="B356" i="60" s="1"/>
  <c r="W265" i="60"/>
  <c r="B225" i="60"/>
  <c r="W236" i="60"/>
  <c r="V236" i="60" s="1"/>
  <c r="U236" i="60" s="1"/>
  <c r="T236" i="60" s="1"/>
  <c r="S236" i="60" s="1"/>
  <c r="R236" i="60" s="1"/>
  <c r="Q236" i="60" s="1"/>
  <c r="P236" i="60" s="1"/>
  <c r="O236" i="60" s="1"/>
  <c r="N236" i="60" s="1"/>
  <c r="M236" i="60" s="1"/>
  <c r="L236" i="60" s="1"/>
  <c r="K236" i="60" s="1"/>
  <c r="J236" i="60" s="1"/>
  <c r="I236" i="60" s="1"/>
  <c r="H236" i="60" s="1"/>
  <c r="G236" i="60" s="1"/>
  <c r="F236" i="60" s="1"/>
  <c r="E236" i="60" s="1"/>
  <c r="D236" i="60" s="1"/>
  <c r="C236" i="60" s="1"/>
  <c r="B236" i="60" s="1"/>
  <c r="W207" i="60"/>
  <c r="V207" i="60" s="1"/>
  <c r="U207" i="60" s="1"/>
  <c r="T207" i="60" s="1"/>
  <c r="S207" i="60" s="1"/>
  <c r="R207" i="60" s="1"/>
  <c r="Q207" i="60" s="1"/>
  <c r="P207" i="60" s="1"/>
  <c r="O207" i="60" s="1"/>
  <c r="N207" i="60" s="1"/>
  <c r="M207" i="60" s="1"/>
  <c r="L207" i="60" s="1"/>
  <c r="K207" i="60" s="1"/>
  <c r="J207" i="60" s="1"/>
  <c r="I207" i="60" s="1"/>
  <c r="H207" i="60" s="1"/>
  <c r="G207" i="60" s="1"/>
  <c r="F207" i="60" s="1"/>
  <c r="E207" i="60" s="1"/>
  <c r="D207" i="60" s="1"/>
  <c r="C207" i="60" s="1"/>
  <c r="B207" i="60" s="1"/>
  <c r="W177" i="60"/>
  <c r="W147" i="60"/>
  <c r="U118" i="60"/>
  <c r="T118" i="60" s="1"/>
  <c r="S118" i="60" s="1"/>
  <c r="R118" i="60" s="1"/>
  <c r="Q118" i="60" s="1"/>
  <c r="P118" i="60" s="1"/>
  <c r="O118" i="60" s="1"/>
  <c r="N118" i="60" s="1"/>
  <c r="M118" i="60" s="1"/>
  <c r="L118" i="60" s="1"/>
  <c r="K118" i="60" s="1"/>
  <c r="J118" i="60" s="1"/>
  <c r="I118" i="60" s="1"/>
  <c r="H118" i="60" s="1"/>
  <c r="G118" i="60" s="1"/>
  <c r="F118" i="60" s="1"/>
  <c r="E118" i="60" s="1"/>
  <c r="D118" i="60" s="1"/>
  <c r="C118" i="60" s="1"/>
  <c r="B118" i="60" s="1"/>
  <c r="W89" i="60"/>
  <c r="V89" i="60" s="1"/>
  <c r="U89" i="60" s="1"/>
  <c r="T89" i="60" s="1"/>
  <c r="S89" i="60" s="1"/>
  <c r="R89" i="60" s="1"/>
  <c r="Q89" i="60" s="1"/>
  <c r="P89" i="60" s="1"/>
  <c r="O89" i="60" s="1"/>
  <c r="N89" i="60" s="1"/>
  <c r="M89" i="60" s="1"/>
  <c r="L89" i="60" s="1"/>
  <c r="K89" i="60" s="1"/>
  <c r="J89" i="60" s="1"/>
  <c r="I89" i="60" s="1"/>
  <c r="H89" i="60" s="1"/>
  <c r="G89" i="60" s="1"/>
  <c r="F89" i="60" s="1"/>
  <c r="E89" i="60" s="1"/>
  <c r="D89" i="60" s="1"/>
  <c r="C89" i="60" s="1"/>
  <c r="B89" i="60" s="1"/>
  <c r="Z85" i="53"/>
  <c r="Y3" i="95"/>
  <c r="Z3" i="95"/>
  <c r="AA3" i="95"/>
  <c r="X3" i="95"/>
  <c r="Y35" i="95"/>
  <c r="Y41" i="95" s="1"/>
  <c r="Z35" i="95"/>
  <c r="Z41" i="95" s="1"/>
  <c r="AA35" i="95"/>
  <c r="AA41" i="95"/>
  <c r="X35" i="95"/>
  <c r="X41" i="95" s="1"/>
  <c r="I41" i="95"/>
  <c r="H35" i="95"/>
  <c r="H41" i="95" s="1"/>
  <c r="J98" i="73"/>
  <c r="J100" i="73" s="1"/>
  <c r="K100" i="73"/>
  <c r="O100" i="73"/>
  <c r="N27" i="95"/>
  <c r="E78" i="95"/>
  <c r="F78" i="95"/>
  <c r="BZ105" i="73"/>
  <c r="L104" i="73"/>
  <c r="BZ106" i="73"/>
  <c r="L106" i="73" s="1"/>
  <c r="J35" i="95"/>
  <c r="K27" i="95"/>
  <c r="P27" i="95"/>
  <c r="R27" i="95"/>
  <c r="H27" i="95"/>
  <c r="S10" i="62"/>
  <c r="M36" i="95"/>
  <c r="N36" i="95" s="1"/>
  <c r="L19" i="73"/>
  <c r="Y70" i="41"/>
  <c r="AK70" i="41"/>
  <c r="X70" i="41" s="1"/>
  <c r="AS55" i="41"/>
  <c r="AM55" i="41"/>
  <c r="AN55" i="41"/>
  <c r="AO55" i="41"/>
  <c r="AP55" i="41"/>
  <c r="AQ55" i="41"/>
  <c r="AR55" i="41"/>
  <c r="AL55" i="41"/>
  <c r="AC55" i="41" s="1"/>
  <c r="V175" i="85"/>
  <c r="U175" i="85"/>
  <c r="T175" i="85"/>
  <c r="K125" i="73"/>
  <c r="L125" i="73" s="1"/>
  <c r="BK30" i="31"/>
  <c r="CZ175" i="85"/>
  <c r="CU175" i="85"/>
  <c r="CP175" i="85"/>
  <c r="X135" i="85"/>
  <c r="Y136" i="85" s="1"/>
  <c r="Z136" i="85" s="1"/>
  <c r="CP131" i="85"/>
  <c r="V129" i="85"/>
  <c r="W129" i="85"/>
  <c r="X129" i="85" s="1"/>
  <c r="CT117" i="85"/>
  <c r="CL117" i="85"/>
  <c r="CM117" i="85"/>
  <c r="CJ117" i="85"/>
  <c r="CY117" i="85"/>
  <c r="CW117" i="85"/>
  <c r="CV117" i="85"/>
  <c r="CS117" i="85"/>
  <c r="CR117" i="85"/>
  <c r="CQ117" i="85"/>
  <c r="CO117" i="85"/>
  <c r="CN117" i="85"/>
  <c r="Y117" i="85"/>
  <c r="X117" i="85"/>
  <c r="U112" i="85"/>
  <c r="T112" i="85"/>
  <c r="S112" i="85"/>
  <c r="CJ111" i="85"/>
  <c r="S111" i="85" s="1"/>
  <c r="CL111" i="85"/>
  <c r="CM111" i="85" s="1"/>
  <c r="CN111" i="85" s="1"/>
  <c r="CO111" i="85" s="1"/>
  <c r="CQ111" i="85" s="1"/>
  <c r="CR111" i="85" s="1"/>
  <c r="CS111" i="85" s="1"/>
  <c r="CS284" i="59"/>
  <c r="CR284" i="59"/>
  <c r="BO86" i="73" s="1"/>
  <c r="BT86" i="73" s="1"/>
  <c r="BY86" i="73" s="1"/>
  <c r="CD86" i="73" s="1"/>
  <c r="C11" i="95"/>
  <c r="D11" i="95"/>
  <c r="E11" i="95"/>
  <c r="B11" i="95"/>
  <c r="C87" i="95"/>
  <c r="D87" i="95"/>
  <c r="E87" i="95"/>
  <c r="F87" i="95"/>
  <c r="G87" i="95"/>
  <c r="H87" i="95"/>
  <c r="I87" i="95"/>
  <c r="J87" i="95"/>
  <c r="K87" i="95"/>
  <c r="L87" i="95"/>
  <c r="M87" i="95"/>
  <c r="N87" i="95"/>
  <c r="O87" i="95"/>
  <c r="P87" i="95"/>
  <c r="Q87" i="95"/>
  <c r="R87" i="95"/>
  <c r="S87" i="95"/>
  <c r="B87" i="95"/>
  <c r="I98" i="95"/>
  <c r="J98" i="95" s="1"/>
  <c r="K98" i="95" s="1"/>
  <c r="L98" i="95" s="1"/>
  <c r="M98" i="95" s="1"/>
  <c r="N98" i="95" s="1"/>
  <c r="O98" i="95" s="1"/>
  <c r="P98" i="95" s="1"/>
  <c r="Q98" i="95" s="1"/>
  <c r="R98" i="95" s="1"/>
  <c r="S98" i="95" s="1"/>
  <c r="T98" i="95" s="1"/>
  <c r="W156" i="31"/>
  <c r="V156" i="31"/>
  <c r="U156" i="31"/>
  <c r="T156" i="31"/>
  <c r="S156" i="31"/>
  <c r="R156" i="31"/>
  <c r="Q156" i="31"/>
  <c r="P156" i="31"/>
  <c r="O156" i="31"/>
  <c r="N156" i="31"/>
  <c r="AC16" i="23"/>
  <c r="DM16" i="23" s="1"/>
  <c r="DM15" i="23"/>
  <c r="DL62" i="23"/>
  <c r="DJ62" i="23"/>
  <c r="DI62" i="23"/>
  <c r="DL64" i="23"/>
  <c r="DK64" i="23"/>
  <c r="DJ64" i="23"/>
  <c r="DI64" i="23"/>
  <c r="AC122" i="23"/>
  <c r="DI124" i="23"/>
  <c r="DG105" i="23"/>
  <c r="AC43" i="23"/>
  <c r="DM43" i="23" s="1"/>
  <c r="DM45" i="23"/>
  <c r="DI402" i="23"/>
  <c r="DJ402" i="23"/>
  <c r="DK402" i="23"/>
  <c r="DL402" i="23"/>
  <c r="DM11" i="23"/>
  <c r="DP8" i="23"/>
  <c r="Y22" i="31"/>
  <c r="BT22" i="31" s="1"/>
  <c r="Y10" i="31"/>
  <c r="T197" i="59"/>
  <c r="T196" i="59"/>
  <c r="AN240" i="30"/>
  <c r="AN237" i="30"/>
  <c r="CZ10" i="85"/>
  <c r="DD301" i="59"/>
  <c r="DD300" i="59"/>
  <c r="DD142" i="59"/>
  <c r="DD143" i="59"/>
  <c r="DD161" i="59"/>
  <c r="DD162" i="59"/>
  <c r="DD163" i="59"/>
  <c r="DD173" i="59"/>
  <c r="DD180" i="59"/>
  <c r="DD196" i="59"/>
  <c r="FE88" i="30"/>
  <c r="FD88" i="30"/>
  <c r="FC88" i="30"/>
  <c r="FB88" i="30"/>
  <c r="AN193" i="30"/>
  <c r="FD194" i="30"/>
  <c r="FB208" i="30"/>
  <c r="FC208" i="30"/>
  <c r="FD208" i="30"/>
  <c r="FE208" i="30"/>
  <c r="FE5" i="30"/>
  <c r="FE85" i="30" s="1"/>
  <c r="FD5" i="30"/>
  <c r="FC5" i="30"/>
  <c r="FC85" i="30" s="1"/>
  <c r="FB5" i="30"/>
  <c r="DC52" i="59"/>
  <c r="DA52" i="59"/>
  <c r="CZ52" i="59"/>
  <c r="I49" i="31"/>
  <c r="BS30" i="31"/>
  <c r="BR30" i="31"/>
  <c r="BQ30" i="31"/>
  <c r="BP30" i="31"/>
  <c r="AD300" i="59"/>
  <c r="AD302" i="59" s="1"/>
  <c r="AD217" i="59"/>
  <c r="AG696" i="23"/>
  <c r="AM696" i="23"/>
  <c r="AM655" i="23"/>
  <c r="AM596" i="23"/>
  <c r="AM612" i="23"/>
  <c r="AM568" i="23"/>
  <c r="AM531" i="23"/>
  <c r="AM472" i="23"/>
  <c r="AM490" i="23"/>
  <c r="AM265" i="23"/>
  <c r="AM245" i="23"/>
  <c r="AM248" i="23"/>
  <c r="AM221" i="23"/>
  <c r="AM184" i="23"/>
  <c r="AM103" i="23"/>
  <c r="AM62" i="23"/>
  <c r="AM64" i="23"/>
  <c r="AM67" i="23"/>
  <c r="AM353" i="23"/>
  <c r="AM317" i="23"/>
  <c r="AD95" i="59"/>
  <c r="AH83" i="31"/>
  <c r="AG83" i="31" s="1"/>
  <c r="AF83" i="31" s="1"/>
  <c r="AE83" i="31" s="1"/>
  <c r="AD83" i="31" s="1"/>
  <c r="AC83" i="31" s="1"/>
  <c r="AB83" i="31" s="1"/>
  <c r="AA83" i="31" s="1"/>
  <c r="Z83" i="31" s="1"/>
  <c r="Y83" i="31" s="1"/>
  <c r="X83" i="31" s="1"/>
  <c r="W83" i="31" s="1"/>
  <c r="V83" i="31" s="1"/>
  <c r="U83" i="31" s="1"/>
  <c r="T83" i="31" s="1"/>
  <c r="S83" i="31" s="1"/>
  <c r="R83" i="31" s="1"/>
  <c r="Q83" i="31" s="1"/>
  <c r="P83" i="31" s="1"/>
  <c r="O83" i="31" s="1"/>
  <c r="N83" i="31" s="1"/>
  <c r="M83" i="31" s="1"/>
  <c r="AD42" i="59"/>
  <c r="AD185" i="59"/>
  <c r="AI22" i="31"/>
  <c r="Z122" i="38"/>
  <c r="Y122" i="38" s="1"/>
  <c r="X122" i="38" s="1"/>
  <c r="W122" i="38" s="1"/>
  <c r="V122" i="38" s="1"/>
  <c r="U122" i="38" s="1"/>
  <c r="T122" i="38" s="1"/>
  <c r="S122" i="38" s="1"/>
  <c r="R122" i="38" s="1"/>
  <c r="Q122" i="38" s="1"/>
  <c r="P122" i="38" s="1"/>
  <c r="O122" i="38" s="1"/>
  <c r="N122" i="38" s="1"/>
  <c r="M122" i="38" s="1"/>
  <c r="L122" i="38" s="1"/>
  <c r="K122" i="38" s="1"/>
  <c r="J122" i="38" s="1"/>
  <c r="I122" i="38" s="1"/>
  <c r="H122" i="38" s="1"/>
  <c r="G122" i="38" s="1"/>
  <c r="F122" i="38" s="1"/>
  <c r="AJ91" i="33"/>
  <c r="AI91" i="33" s="1"/>
  <c r="AH91" i="33" s="1"/>
  <c r="AG91" i="33" s="1"/>
  <c r="AF91" i="33" s="1"/>
  <c r="AE91" i="33" s="1"/>
  <c r="AD91" i="33" s="1"/>
  <c r="AC91" i="33" s="1"/>
  <c r="AB91" i="33" s="1"/>
  <c r="AA91" i="33" s="1"/>
  <c r="Z91" i="33" s="1"/>
  <c r="Y91" i="33" s="1"/>
  <c r="X91" i="33" s="1"/>
  <c r="W91" i="33" s="1"/>
  <c r="V91" i="33" s="1"/>
  <c r="U91" i="33" s="1"/>
  <c r="T91" i="33" s="1"/>
  <c r="S91" i="33" s="1"/>
  <c r="R91" i="33" s="1"/>
  <c r="Q91" i="33" s="1"/>
  <c r="P91" i="33" s="1"/>
  <c r="O91" i="33" s="1"/>
  <c r="AL56" i="32"/>
  <c r="AK56" i="32" s="1"/>
  <c r="AJ56" i="32" s="1"/>
  <c r="AI56" i="32" s="1"/>
  <c r="AH56" i="32" s="1"/>
  <c r="AG56" i="32" s="1"/>
  <c r="AF56" i="32" s="1"/>
  <c r="AE56" i="32" s="1"/>
  <c r="AC56" i="32" s="1"/>
  <c r="AB56" i="32" s="1"/>
  <c r="AA56" i="32" s="1"/>
  <c r="Z56" i="32" s="1"/>
  <c r="Y56" i="32" s="1"/>
  <c r="X56" i="32" s="1"/>
  <c r="W56" i="32" s="1"/>
  <c r="V56" i="32" s="1"/>
  <c r="U56" i="32" s="1"/>
  <c r="T56" i="32" s="1"/>
  <c r="S56" i="32" s="1"/>
  <c r="R56" i="32" s="1"/>
  <c r="Q56" i="32" s="1"/>
  <c r="AM67" i="32"/>
  <c r="AX237" i="30"/>
  <c r="AX240" i="30"/>
  <c r="AX188" i="30"/>
  <c r="AX69" i="30"/>
  <c r="AX204" i="30" s="1"/>
  <c r="AX64" i="30"/>
  <c r="AX72" i="30" s="1"/>
  <c r="AX193" i="30"/>
  <c r="AX202" i="30"/>
  <c r="AD10" i="59"/>
  <c r="AK108" i="20"/>
  <c r="AJ108" i="20" s="1"/>
  <c r="AI108" i="20" s="1"/>
  <c r="AH108" i="20" s="1"/>
  <c r="AG108" i="20" s="1"/>
  <c r="AF108" i="20" s="1"/>
  <c r="AE108" i="20" s="1"/>
  <c r="AD108" i="20" s="1"/>
  <c r="AC108" i="20" s="1"/>
  <c r="AB108" i="20" s="1"/>
  <c r="AA108" i="20" s="1"/>
  <c r="Z108" i="20" s="1"/>
  <c r="Y108" i="20" s="1"/>
  <c r="X108" i="20" s="1"/>
  <c r="W108" i="20" s="1"/>
  <c r="V108" i="20" s="1"/>
  <c r="U108" i="20" s="1"/>
  <c r="T108" i="20" s="1"/>
  <c r="S108" i="20" s="1"/>
  <c r="R108" i="20" s="1"/>
  <c r="Q108" i="20" s="1"/>
  <c r="V113" i="73"/>
  <c r="V114" i="73"/>
  <c r="AM65" i="20"/>
  <c r="AM66" i="20"/>
  <c r="AM67" i="20"/>
  <c r="AM68" i="20"/>
  <c r="AM69" i="20"/>
  <c r="AM54" i="20"/>
  <c r="AM57" i="20"/>
  <c r="AM58" i="20" s="1"/>
  <c r="CZ235" i="59"/>
  <c r="V65" i="73"/>
  <c r="V66" i="73"/>
  <c r="V60" i="73"/>
  <c r="V61" i="73"/>
  <c r="AX40" i="30"/>
  <c r="AX85" i="30"/>
  <c r="AD264" i="59"/>
  <c r="AI10" i="31"/>
  <c r="V14" i="73"/>
  <c r="V15" i="73"/>
  <c r="V26" i="73"/>
  <c r="V27" i="73"/>
  <c r="V19" i="73"/>
  <c r="AI170" i="31"/>
  <c r="AJ171" i="31" s="1"/>
  <c r="V5" i="73"/>
  <c r="AI6" i="31"/>
  <c r="AI216" i="31" s="1"/>
  <c r="AB7" i="38"/>
  <c r="AD56" i="52"/>
  <c r="CZ285" i="59"/>
  <c r="L146" i="73"/>
  <c r="DC3" i="59"/>
  <c r="DC185" i="59" s="1"/>
  <c r="DB3" i="59"/>
  <c r="DB185" i="59" s="1"/>
  <c r="CZ3" i="59"/>
  <c r="CZ264" i="59" s="1"/>
  <c r="P118" i="73"/>
  <c r="DF27" i="23"/>
  <c r="DF31" i="23" s="1"/>
  <c r="DE27" i="23"/>
  <c r="DE31" i="23" s="1"/>
  <c r="DD27" i="23"/>
  <c r="AA31" i="23" s="1"/>
  <c r="DB27" i="23"/>
  <c r="DB31" i="23" s="1"/>
  <c r="DA27" i="23"/>
  <c r="DA31" i="23"/>
  <c r="CO122" i="23"/>
  <c r="DF123" i="23"/>
  <c r="DF117" i="23"/>
  <c r="DA123" i="23"/>
  <c r="Q190" i="59"/>
  <c r="H191" i="59"/>
  <c r="G191" i="59"/>
  <c r="G250" i="59" s="1"/>
  <c r="F191" i="59"/>
  <c r="G192" i="59" s="1"/>
  <c r="V285" i="59"/>
  <c r="BT35" i="73"/>
  <c r="BT36" i="73"/>
  <c r="CW108" i="59"/>
  <c r="EY194" i="30"/>
  <c r="BC92" i="73"/>
  <c r="BH92" i="73" s="1"/>
  <c r="BD92" i="73"/>
  <c r="CG266" i="59" s="1"/>
  <c r="BE92" i="73"/>
  <c r="BJ92" i="73" s="1"/>
  <c r="BF92" i="73"/>
  <c r="BK92" i="73" s="1"/>
  <c r="E18" i="95"/>
  <c r="B17" i="95"/>
  <c r="B19" i="95" s="1"/>
  <c r="C7" i="95"/>
  <c r="BC86" i="73"/>
  <c r="CQ284" i="59"/>
  <c r="BN86" i="73" s="1"/>
  <c r="CW126" i="59"/>
  <c r="CV126" i="59"/>
  <c r="BS45" i="73" s="1"/>
  <c r="BE86" i="73"/>
  <c r="BF86" i="73"/>
  <c r="BK86" i="73" s="1"/>
  <c r="BD86" i="73"/>
  <c r="BD87" i="73" s="1"/>
  <c r="CW254" i="59"/>
  <c r="BT70" i="73"/>
  <c r="BT72" i="73" s="1"/>
  <c r="CW45" i="59"/>
  <c r="DB46" i="59" s="1"/>
  <c r="CW40" i="59"/>
  <c r="CW3" i="59"/>
  <c r="N264" i="59"/>
  <c r="M264" i="59"/>
  <c r="L264" i="59"/>
  <c r="K264" i="59"/>
  <c r="J264" i="59"/>
  <c r="AC264" i="59"/>
  <c r="AB264" i="59"/>
  <c r="AA264" i="59"/>
  <c r="Z264" i="59"/>
  <c r="Y264" i="59"/>
  <c r="X264" i="59"/>
  <c r="W264" i="59"/>
  <c r="V264" i="59"/>
  <c r="U264" i="59"/>
  <c r="T264" i="59"/>
  <c r="R264" i="59"/>
  <c r="Q264" i="59"/>
  <c r="J30" i="38"/>
  <c r="K30" i="38" s="1"/>
  <c r="P44" i="38"/>
  <c r="P61" i="38" s="1"/>
  <c r="Q61" i="38" s="1"/>
  <c r="R44" i="38"/>
  <c r="Q44" i="38"/>
  <c r="N44" i="38"/>
  <c r="L31" i="38"/>
  <c r="M28" i="31"/>
  <c r="AB146" i="30"/>
  <c r="E83" i="59" s="1"/>
  <c r="K99" i="31"/>
  <c r="AK43" i="30"/>
  <c r="DS16" i="30"/>
  <c r="DT16" i="30"/>
  <c r="DT19" i="30" s="1"/>
  <c r="DU16" i="30"/>
  <c r="DU18" i="30" s="1"/>
  <c r="DV16" i="30"/>
  <c r="DV18" i="30" s="1"/>
  <c r="DJ85" i="25"/>
  <c r="DK85" i="25"/>
  <c r="DL85" i="25"/>
  <c r="AF145" i="30"/>
  <c r="CW145" i="30" s="1"/>
  <c r="DD85" i="25"/>
  <c r="DE85" i="25"/>
  <c r="DF85" i="25"/>
  <c r="DS9" i="30"/>
  <c r="DS11" i="30" s="1"/>
  <c r="DT9" i="30"/>
  <c r="DU9" i="30"/>
  <c r="DV9" i="30"/>
  <c r="DV11" i="30" s="1"/>
  <c r="S44" i="38"/>
  <c r="DI78" i="25"/>
  <c r="DJ78" i="25"/>
  <c r="DK78" i="25"/>
  <c r="DL78" i="25"/>
  <c r="DD78" i="25"/>
  <c r="DE78" i="25"/>
  <c r="DF78" i="25"/>
  <c r="DG78" i="25"/>
  <c r="AX51" i="33"/>
  <c r="AX52" i="33" s="1"/>
  <c r="AX45" i="33"/>
  <c r="AW52" i="33"/>
  <c r="AV52" i="33"/>
  <c r="AU52" i="33"/>
  <c r="Q128" i="59"/>
  <c r="CR131" i="59"/>
  <c r="CQ131" i="59"/>
  <c r="CQ132" i="59" s="1"/>
  <c r="CP131" i="59"/>
  <c r="CN153" i="59"/>
  <c r="CN149" i="59" s="1"/>
  <c r="CM153" i="59"/>
  <c r="CM149" i="59" s="1"/>
  <c r="CK153" i="59"/>
  <c r="CI153" i="59"/>
  <c r="CI149" i="59" s="1"/>
  <c r="CH153" i="59"/>
  <c r="CH149" i="59" s="1"/>
  <c r="CC153" i="59"/>
  <c r="CC149" i="59" s="1"/>
  <c r="CB153" i="59"/>
  <c r="CB149" i="59" s="1"/>
  <c r="CA153" i="59"/>
  <c r="CA149" i="59" s="1"/>
  <c r="BY153" i="59"/>
  <c r="BY149" i="59" s="1"/>
  <c r="BY150" i="59" s="1"/>
  <c r="BX153" i="59"/>
  <c r="BX149" i="59" s="1"/>
  <c r="BW153" i="59"/>
  <c r="BW149" i="59" s="1"/>
  <c r="BV153" i="59"/>
  <c r="BV149" i="59" s="1"/>
  <c r="DJ9" i="23"/>
  <c r="AA42" i="23"/>
  <c r="AA43" i="23"/>
  <c r="AD62" i="23"/>
  <c r="AE62" i="23"/>
  <c r="AF62" i="23"/>
  <c r="AG62" i="23"/>
  <c r="AH62" i="23"/>
  <c r="AI62" i="23"/>
  <c r="AJ62" i="23"/>
  <c r="AK62" i="23"/>
  <c r="AL62" i="23"/>
  <c r="AA64" i="23"/>
  <c r="AC64" i="23"/>
  <c r="AD64" i="23"/>
  <c r="AE64" i="23"/>
  <c r="AF64" i="23"/>
  <c r="AG64" i="23"/>
  <c r="AH64" i="23"/>
  <c r="AI64" i="23"/>
  <c r="AJ64" i="23"/>
  <c r="AK64" i="23"/>
  <c r="AL64" i="23"/>
  <c r="AA67" i="23"/>
  <c r="AC67" i="23"/>
  <c r="AD67" i="23"/>
  <c r="AE67" i="23"/>
  <c r="AF67" i="23"/>
  <c r="AG67" i="23"/>
  <c r="AH67" i="23"/>
  <c r="AI67" i="23"/>
  <c r="AJ67" i="23"/>
  <c r="AK67" i="23"/>
  <c r="AL67" i="23"/>
  <c r="AA103" i="23"/>
  <c r="AC103" i="23"/>
  <c r="AD103" i="23"/>
  <c r="AE103" i="23"/>
  <c r="AF103" i="23"/>
  <c r="AG103" i="23"/>
  <c r="AH103" i="23"/>
  <c r="AI103" i="23"/>
  <c r="AJ103" i="23"/>
  <c r="AK103" i="23"/>
  <c r="AL103" i="23"/>
  <c r="AA108" i="23"/>
  <c r="AE108" i="23"/>
  <c r="AF108" i="23" s="1"/>
  <c r="AG108" i="23" s="1"/>
  <c r="AH108" i="23" s="1"/>
  <c r="AI108" i="23" s="1"/>
  <c r="AJ108" i="23" s="1"/>
  <c r="AK108" i="23" s="1"/>
  <c r="AL108" i="23" s="1"/>
  <c r="AM108" i="23" s="1"/>
  <c r="AN108" i="23" s="1"/>
  <c r="AA158" i="23"/>
  <c r="AD158" i="23"/>
  <c r="AA184" i="23"/>
  <c r="AC184" i="23"/>
  <c r="AD184" i="23"/>
  <c r="AE184" i="23"/>
  <c r="AF184" i="23"/>
  <c r="AG184" i="23"/>
  <c r="AH184" i="23"/>
  <c r="AI184" i="23"/>
  <c r="AJ184" i="23"/>
  <c r="AK184" i="23"/>
  <c r="AL184" i="23"/>
  <c r="AD221" i="23"/>
  <c r="AE221" i="23"/>
  <c r="AF221" i="23"/>
  <c r="AG221" i="23"/>
  <c r="AH221" i="23"/>
  <c r="AI221" i="23"/>
  <c r="AJ221" i="23"/>
  <c r="AK221" i="23"/>
  <c r="AL221" i="23"/>
  <c r="AD223" i="23"/>
  <c r="AD229" i="23"/>
  <c r="AE229" i="23" s="1"/>
  <c r="AF229" i="23" s="1"/>
  <c r="AG229" i="23" s="1"/>
  <c r="AH229" i="23" s="1"/>
  <c r="AI229" i="23" s="1"/>
  <c r="AJ229" i="23" s="1"/>
  <c r="AK229" i="23" s="1"/>
  <c r="AL229" i="23" s="1"/>
  <c r="AM229" i="23" s="1"/>
  <c r="AA245" i="23"/>
  <c r="AC245" i="23"/>
  <c r="AD245" i="23"/>
  <c r="AE245" i="23"/>
  <c r="AF245" i="23"/>
  <c r="AG245" i="23"/>
  <c r="AH245" i="23"/>
  <c r="AI245" i="23"/>
  <c r="AJ245" i="23"/>
  <c r="AK245" i="23"/>
  <c r="AL245" i="23"/>
  <c r="AD248" i="23"/>
  <c r="AE248" i="23"/>
  <c r="AF248" i="23"/>
  <c r="AG248" i="23"/>
  <c r="AH248" i="23"/>
  <c r="AI248" i="23"/>
  <c r="AJ248" i="23"/>
  <c r="AK248" i="23"/>
  <c r="AL248" i="23"/>
  <c r="AD253" i="23"/>
  <c r="AE253" i="23" s="1"/>
  <c r="AF253" i="23" s="1"/>
  <c r="AG253" i="23" s="1"/>
  <c r="AH253" i="23"/>
  <c r="AI253" i="23" s="1"/>
  <c r="AJ253" i="23" s="1"/>
  <c r="AK253" i="23" s="1"/>
  <c r="AL253" i="23" s="1"/>
  <c r="AM253" i="23" s="1"/>
  <c r="AC257" i="23"/>
  <c r="AD257" i="23" s="1"/>
  <c r="AE257" i="23" s="1"/>
  <c r="AF257" i="23" s="1"/>
  <c r="AG257" i="23" s="1"/>
  <c r="AH257" i="23" s="1"/>
  <c r="AI257" i="23" s="1"/>
  <c r="AJ257" i="23" s="1"/>
  <c r="AK257" i="23" s="1"/>
  <c r="AL257" i="23" s="1"/>
  <c r="AM257" i="23" s="1"/>
  <c r="AE265" i="23"/>
  <c r="AF265" i="23"/>
  <c r="AG265" i="23"/>
  <c r="AH265" i="23"/>
  <c r="AI265" i="23"/>
  <c r="AJ265" i="23"/>
  <c r="AK265" i="23"/>
  <c r="AL265" i="23"/>
  <c r="AD270" i="23"/>
  <c r="AE270" i="23" s="1"/>
  <c r="AF270" i="23" s="1"/>
  <c r="AG270" i="23" s="1"/>
  <c r="AH270" i="23" s="1"/>
  <c r="AI270" i="23" s="1"/>
  <c r="AJ270" i="23" s="1"/>
  <c r="AK270" i="23" s="1"/>
  <c r="AL270" i="23" s="1"/>
  <c r="AM270" i="23" s="1"/>
  <c r="AA317" i="23"/>
  <c r="AC317" i="23"/>
  <c r="AD317" i="23"/>
  <c r="AE317" i="23"/>
  <c r="AF317" i="23"/>
  <c r="AG317" i="23"/>
  <c r="AH317" i="23"/>
  <c r="AI317" i="23"/>
  <c r="AJ317" i="23"/>
  <c r="AK317" i="23"/>
  <c r="AL317" i="23"/>
  <c r="AC320" i="23"/>
  <c r="AC330" i="23"/>
  <c r="AD330" i="23" s="1"/>
  <c r="AE330" i="23" s="1"/>
  <c r="AF330" i="23" s="1"/>
  <c r="AG330" i="23" s="1"/>
  <c r="AH330" i="23" s="1"/>
  <c r="AI330" i="23" s="1"/>
  <c r="AJ330" i="23" s="1"/>
  <c r="AK330" i="23" s="1"/>
  <c r="AL330" i="23" s="1"/>
  <c r="AM330" i="23" s="1"/>
  <c r="AC221" i="23"/>
  <c r="AC336" i="23"/>
  <c r="AD336" i="23" s="1"/>
  <c r="AE336" i="23" s="1"/>
  <c r="AF336" i="23" s="1"/>
  <c r="AH336" i="23"/>
  <c r="AI336" i="23"/>
  <c r="AJ336" i="23" s="1"/>
  <c r="AK336" i="23" s="1"/>
  <c r="AC337" i="23"/>
  <c r="AD337" i="23" s="1"/>
  <c r="AE337" i="23" s="1"/>
  <c r="AF337" i="23" s="1"/>
  <c r="AG337" i="23" s="1"/>
  <c r="AJ337" i="23"/>
  <c r="AK337" i="23" s="1"/>
  <c r="AA338" i="23"/>
  <c r="AC338" i="23" s="1"/>
  <c r="AD338" i="23" s="1"/>
  <c r="AE338" i="23" s="1"/>
  <c r="AF338" i="23" s="1"/>
  <c r="AG338" i="23" s="1"/>
  <c r="AH338" i="23" s="1"/>
  <c r="AJ338" i="23"/>
  <c r="AK338" i="23"/>
  <c r="AD339" i="23"/>
  <c r="AE339" i="23" s="1"/>
  <c r="AF339" i="23" s="1"/>
  <c r="AG339" i="23" s="1"/>
  <c r="AH339" i="23" s="1"/>
  <c r="AI339" i="23" s="1"/>
  <c r="AJ339" i="23" s="1"/>
  <c r="AK339" i="23" s="1"/>
  <c r="AL339" i="23" s="1"/>
  <c r="AM339" i="23" s="1"/>
  <c r="AD340" i="23"/>
  <c r="AE340" i="23" s="1"/>
  <c r="AF340" i="23" s="1"/>
  <c r="AG340" i="23" s="1"/>
  <c r="AH340" i="23" s="1"/>
  <c r="AI340" i="23" s="1"/>
  <c r="AJ340" i="23" s="1"/>
  <c r="AK340" i="23" s="1"/>
  <c r="AL340" i="23" s="1"/>
  <c r="AM340" i="23" s="1"/>
  <c r="AD341" i="23"/>
  <c r="AE341" i="23" s="1"/>
  <c r="AF341" i="23" s="1"/>
  <c r="AG341" i="23" s="1"/>
  <c r="AH341" i="23" s="1"/>
  <c r="AI341" i="23" s="1"/>
  <c r="AJ341" i="23" s="1"/>
  <c r="AK341" i="23" s="1"/>
  <c r="AL341" i="23" s="1"/>
  <c r="AM341" i="23" s="1"/>
  <c r="AA342" i="23"/>
  <c r="AC342" i="23" s="1"/>
  <c r="AD342" i="23" s="1"/>
  <c r="AE342" i="23" s="1"/>
  <c r="AF342" i="23" s="1"/>
  <c r="AG342" i="23" s="1"/>
  <c r="AH342" i="23" s="1"/>
  <c r="AI342" i="23" s="1"/>
  <c r="AJ342" i="23" s="1"/>
  <c r="AK342" i="23" s="1"/>
  <c r="AL342" i="23" s="1"/>
  <c r="AM342" i="23" s="1"/>
  <c r="AA343" i="23"/>
  <c r="AC343" i="23" s="1"/>
  <c r="AD343" i="23" s="1"/>
  <c r="AE343" i="23" s="1"/>
  <c r="AF343" i="23" s="1"/>
  <c r="AG343" i="23" s="1"/>
  <c r="AH343" i="23" s="1"/>
  <c r="AI343" i="23" s="1"/>
  <c r="AJ343" i="23" s="1"/>
  <c r="AK343" i="23" s="1"/>
  <c r="AL343" i="23" s="1"/>
  <c r="AM343" i="23" s="1"/>
  <c r="AC344" i="23"/>
  <c r="AD344" i="23" s="1"/>
  <c r="AE344" i="23" s="1"/>
  <c r="AF344" i="23" s="1"/>
  <c r="AG344" i="23" s="1"/>
  <c r="AI344" i="23" s="1"/>
  <c r="AD345" i="23"/>
  <c r="AE345" i="23" s="1"/>
  <c r="AC346" i="23"/>
  <c r="AD346" i="23" s="1"/>
  <c r="AE346" i="23" s="1"/>
  <c r="AF346" i="23" s="1"/>
  <c r="AG346" i="23" s="1"/>
  <c r="AH346" i="23" s="1"/>
  <c r="AI346" i="23" s="1"/>
  <c r="AJ346" i="23" s="1"/>
  <c r="AK346" i="23" s="1"/>
  <c r="AL346" i="23" s="1"/>
  <c r="AM346" i="23" s="1"/>
  <c r="AC348" i="23"/>
  <c r="AC349" i="23"/>
  <c r="AD349" i="23" s="1"/>
  <c r="AE349" i="23" s="1"/>
  <c r="AF349" i="23" s="1"/>
  <c r="AG349" i="23" s="1"/>
  <c r="AH349" i="23" s="1"/>
  <c r="AI349" i="23" s="1"/>
  <c r="AL349" i="23" s="1"/>
  <c r="AM349" i="23" s="1"/>
  <c r="AC350" i="23"/>
  <c r="AD350" i="23" s="1"/>
  <c r="AC351" i="23"/>
  <c r="AD351" i="23" s="1"/>
  <c r="AL351" i="23"/>
  <c r="AC352" i="23"/>
  <c r="AD352" i="23" s="1"/>
  <c r="AC353" i="23"/>
  <c r="AD353" i="23" s="1"/>
  <c r="AC354" i="23"/>
  <c r="AD354" i="23" s="1"/>
  <c r="AD356" i="23"/>
  <c r="AE356" i="23" s="1"/>
  <c r="AA421" i="23"/>
  <c r="AC421" i="23"/>
  <c r="AD421" i="23" s="1"/>
  <c r="AE421" i="23" s="1"/>
  <c r="AF421" i="23" s="1"/>
  <c r="AG421" i="23" s="1"/>
  <c r="AH421" i="23" s="1"/>
  <c r="AI421" i="23" s="1"/>
  <c r="AJ421" i="23" s="1"/>
  <c r="AK421" i="23" s="1"/>
  <c r="AL421" i="23" s="1"/>
  <c r="AM421" i="23" s="1"/>
  <c r="AA453" i="23"/>
  <c r="AA406" i="23" s="1"/>
  <c r="AA454" i="23"/>
  <c r="AA455" i="23"/>
  <c r="AC455" i="23"/>
  <c r="AC456" i="23"/>
  <c r="AC409" i="23" s="1"/>
  <c r="DK409" i="23" s="1"/>
  <c r="AA472" i="23"/>
  <c r="AC472" i="23"/>
  <c r="AD472" i="23"/>
  <c r="AE472" i="23"/>
  <c r="AF472" i="23"/>
  <c r="AG472" i="23"/>
  <c r="AH472" i="23"/>
  <c r="AI472" i="23"/>
  <c r="AJ472" i="23"/>
  <c r="AK472" i="23"/>
  <c r="AL472" i="23"/>
  <c r="AN480" i="23"/>
  <c r="AD486" i="23"/>
  <c r="AE486" i="23" s="1"/>
  <c r="AF486" i="23" s="1"/>
  <c r="AG486" i="23" s="1"/>
  <c r="AH486" i="23" s="1"/>
  <c r="AI486" i="23" s="1"/>
  <c r="AJ486" i="23" s="1"/>
  <c r="AK486" i="23" s="1"/>
  <c r="AL486" i="23" s="1"/>
  <c r="AM486" i="23" s="1"/>
  <c r="AD490" i="23"/>
  <c r="AE490" i="23"/>
  <c r="AF490" i="23"/>
  <c r="AG490" i="23"/>
  <c r="AH490" i="23"/>
  <c r="AI490" i="23"/>
  <c r="AJ490" i="23"/>
  <c r="AK490" i="23"/>
  <c r="AL490" i="23"/>
  <c r="AJ29" i="39"/>
  <c r="BR29" i="39" s="1"/>
  <c r="AJ27" i="39"/>
  <c r="BR27" i="39"/>
  <c r="AJ26" i="39"/>
  <c r="BR26" i="39" s="1"/>
  <c r="AJ9" i="39"/>
  <c r="AJ7" i="39"/>
  <c r="BR7" i="39"/>
  <c r="AH89" i="39"/>
  <c r="AH81" i="39"/>
  <c r="AH77" i="39"/>
  <c r="BP77" i="39"/>
  <c r="AH70" i="39"/>
  <c r="AI32" i="39" s="1"/>
  <c r="AG125" i="39"/>
  <c r="AH91" i="39"/>
  <c r="AG123" i="39"/>
  <c r="AH88" i="39" s="1"/>
  <c r="AG122" i="39"/>
  <c r="AH87" i="39"/>
  <c r="BP87" i="39"/>
  <c r="AG115" i="39"/>
  <c r="AH76" i="39" s="1"/>
  <c r="AF158" i="39"/>
  <c r="AG126" i="39"/>
  <c r="AF157" i="39"/>
  <c r="BN157" i="39" s="1"/>
  <c r="BQ55" i="39"/>
  <c r="BQ56" i="39"/>
  <c r="AJ11" i="39"/>
  <c r="BR11" i="39"/>
  <c r="BR9" i="39"/>
  <c r="BO116" i="39"/>
  <c r="BO110" i="39"/>
  <c r="BO130" i="39"/>
  <c r="BP98" i="39"/>
  <c r="AI51" i="39"/>
  <c r="AJ22" i="39" s="1"/>
  <c r="BR22" i="39" s="1"/>
  <c r="AI49" i="39"/>
  <c r="BQ49" i="39" s="1"/>
  <c r="AI46" i="39"/>
  <c r="AJ19" i="39"/>
  <c r="BR19" i="39"/>
  <c r="AI45" i="39"/>
  <c r="AJ18" i="39" s="1"/>
  <c r="BR18" i="39" s="1"/>
  <c r="AI44" i="39"/>
  <c r="AJ17" i="39" s="1"/>
  <c r="BR17" i="39" s="1"/>
  <c r="AI41" i="39"/>
  <c r="AJ14" i="39"/>
  <c r="BR14" i="39" s="1"/>
  <c r="AH97" i="39"/>
  <c r="BP97" i="39"/>
  <c r="AH95" i="39"/>
  <c r="AI53" i="39" s="1"/>
  <c r="BO127" i="39"/>
  <c r="BO128" i="39"/>
  <c r="BP93" i="39"/>
  <c r="AH94" i="39"/>
  <c r="AI52" i="39" s="1"/>
  <c r="BP90" i="39"/>
  <c r="AI48" i="39"/>
  <c r="AJ20" i="39" s="1"/>
  <c r="BR20" i="39" s="1"/>
  <c r="BO124" i="39"/>
  <c r="BP86" i="39"/>
  <c r="BP84" i="39"/>
  <c r="BP80" i="39"/>
  <c r="AD202" i="39"/>
  <c r="BL202" i="39"/>
  <c r="BO119" i="39"/>
  <c r="BP85" i="39"/>
  <c r="BQ35" i="39"/>
  <c r="BQ33" i="39"/>
  <c r="BQ37" i="39"/>
  <c r="BN156" i="39"/>
  <c r="BM183" i="39"/>
  <c r="AY71" i="39"/>
  <c r="BP75" i="39"/>
  <c r="AZ32" i="39"/>
  <c r="CQ290" i="39"/>
  <c r="V22" i="62"/>
  <c r="L17" i="62"/>
  <c r="V17" i="62" s="1"/>
  <c r="V8" i="62"/>
  <c r="Z163" i="23"/>
  <c r="Z170" i="23"/>
  <c r="W163" i="23"/>
  <c r="T115" i="23"/>
  <c r="AL192" i="30"/>
  <c r="N128" i="59"/>
  <c r="CV36" i="59"/>
  <c r="DE115" i="23"/>
  <c r="DE117" i="23"/>
  <c r="DE122" i="23" s="1"/>
  <c r="DD123" i="23"/>
  <c r="DE123" i="23"/>
  <c r="DB123" i="23"/>
  <c r="DB122" i="23" s="1"/>
  <c r="DD117" i="23"/>
  <c r="DB117" i="23"/>
  <c r="DD113" i="23"/>
  <c r="DB115" i="23"/>
  <c r="DE163" i="23"/>
  <c r="BS70" i="73"/>
  <c r="BS72" i="73" s="1"/>
  <c r="BS35" i="73"/>
  <c r="BS36" i="73"/>
  <c r="CV40" i="59"/>
  <c r="CV28" i="59"/>
  <c r="A410" i="23"/>
  <c r="A411" i="23"/>
  <c r="A457" i="23"/>
  <c r="A458" i="23"/>
  <c r="DF409" i="23"/>
  <c r="DD166" i="23"/>
  <c r="DD168" i="23" s="1"/>
  <c r="CU174" i="59"/>
  <c r="CU45" i="59"/>
  <c r="CP45" i="59"/>
  <c r="J5" i="73"/>
  <c r="CU114" i="59"/>
  <c r="CU40" i="59"/>
  <c r="CU28" i="59"/>
  <c r="CP40" i="59"/>
  <c r="CU3" i="59"/>
  <c r="BR35" i="73"/>
  <c r="BR36" i="73"/>
  <c r="N113" i="73"/>
  <c r="O113" i="73"/>
  <c r="O26" i="73"/>
  <c r="N26" i="73"/>
  <c r="O14" i="73"/>
  <c r="N14" i="73"/>
  <c r="BU247" i="59"/>
  <c r="BU249" i="59"/>
  <c r="CU235" i="59"/>
  <c r="DX10" i="20"/>
  <c r="DW10" i="20"/>
  <c r="DV10" i="20"/>
  <c r="DU10" i="20"/>
  <c r="DS10" i="20"/>
  <c r="DR10" i="20"/>
  <c r="DQ10" i="20"/>
  <c r="DP10" i="20"/>
  <c r="DK10" i="20"/>
  <c r="DN10" i="20"/>
  <c r="DM10" i="20"/>
  <c r="DL10" i="20"/>
  <c r="N8" i="31"/>
  <c r="O8" i="31" s="1"/>
  <c r="DR14" i="20"/>
  <c r="DT14" i="20" s="1"/>
  <c r="CG36" i="59"/>
  <c r="DD10" i="20"/>
  <c r="Z14" i="20"/>
  <c r="CF16" i="20"/>
  <c r="CF11" i="20" s="1"/>
  <c r="CG16" i="20"/>
  <c r="CG11" i="20" s="1"/>
  <c r="CE16" i="20"/>
  <c r="CE11" i="20" s="1"/>
  <c r="O17" i="20"/>
  <c r="N17" i="20"/>
  <c r="P18" i="20"/>
  <c r="CI18" i="20" s="1"/>
  <c r="CK16" i="20"/>
  <c r="CJ16" i="20"/>
  <c r="CJ11" i="20" s="1"/>
  <c r="CM18" i="20"/>
  <c r="CW105" i="30" s="1"/>
  <c r="CL18" i="20"/>
  <c r="CL16" i="20" s="1"/>
  <c r="EG88" i="30"/>
  <c r="EB88" i="30"/>
  <c r="DE108" i="30"/>
  <c r="DA108" i="30"/>
  <c r="DF108" i="30" s="1"/>
  <c r="H36" i="59"/>
  <c r="I36" i="59"/>
  <c r="J36" i="59"/>
  <c r="K36" i="59"/>
  <c r="N87" i="59"/>
  <c r="M87" i="59"/>
  <c r="L87" i="59"/>
  <c r="N36" i="59"/>
  <c r="L36" i="59"/>
  <c r="Z158" i="23"/>
  <c r="AA159" i="23" s="1"/>
  <c r="M65" i="73"/>
  <c r="N65" i="73"/>
  <c r="O65" i="73"/>
  <c r="P65" i="73"/>
  <c r="Q65" i="73"/>
  <c r="R65" i="73"/>
  <c r="S65" i="73"/>
  <c r="T65" i="73"/>
  <c r="U65" i="73"/>
  <c r="U60" i="73"/>
  <c r="M60" i="73"/>
  <c r="N60" i="73"/>
  <c r="O60" i="73"/>
  <c r="P60" i="73"/>
  <c r="Q60" i="73"/>
  <c r="R60" i="73"/>
  <c r="S60" i="73"/>
  <c r="T60" i="73"/>
  <c r="P14" i="73"/>
  <c r="Q14" i="73"/>
  <c r="R14" i="73"/>
  <c r="S14" i="73"/>
  <c r="T14" i="73"/>
  <c r="U14" i="73"/>
  <c r="O132" i="73"/>
  <c r="AL61" i="41"/>
  <c r="I61" i="41"/>
  <c r="AK61" i="41" s="1"/>
  <c r="AE61" i="41" s="1"/>
  <c r="AL59" i="41"/>
  <c r="AE59" i="41" s="1"/>
  <c r="I59" i="41"/>
  <c r="AK59" i="41"/>
  <c r="AD59" i="41"/>
  <c r="AL60" i="41"/>
  <c r="AL58" i="41"/>
  <c r="AE58" i="41"/>
  <c r="I58" i="41"/>
  <c r="AK58" i="41" s="1"/>
  <c r="AD58" i="41" s="1"/>
  <c r="I60" i="41"/>
  <c r="AK60" i="41" s="1"/>
  <c r="AE60" i="41" s="1"/>
  <c r="K62" i="41"/>
  <c r="AD91" i="41"/>
  <c r="AE91" i="41"/>
  <c r="AD70" i="41"/>
  <c r="AE70" i="41"/>
  <c r="AD79" i="41"/>
  <c r="AE79" i="41"/>
  <c r="AS66" i="41"/>
  <c r="AS67" i="41"/>
  <c r="AR56" i="41"/>
  <c r="AS56" i="41"/>
  <c r="AR54" i="41"/>
  <c r="AS54" i="41"/>
  <c r="AR42" i="41"/>
  <c r="AE42" i="41" s="1"/>
  <c r="AS42" i="41"/>
  <c r="AR43" i="41"/>
  <c r="AS43" i="41"/>
  <c r="AR44" i="41"/>
  <c r="AS44" i="41"/>
  <c r="AR46" i="41"/>
  <c r="AS46" i="41"/>
  <c r="AR47" i="41"/>
  <c r="AS47" i="41"/>
  <c r="AR48" i="41"/>
  <c r="AS48" i="41"/>
  <c r="AR49" i="41"/>
  <c r="AS49" i="41"/>
  <c r="AD45" i="41"/>
  <c r="AE45" i="41"/>
  <c r="AD37" i="41"/>
  <c r="AE37" i="41"/>
  <c r="AX31" i="41"/>
  <c r="AD31" i="41" s="1"/>
  <c r="AY31" i="41"/>
  <c r="AE31" i="41" s="1"/>
  <c r="AX32" i="41"/>
  <c r="AD32" i="41" s="1"/>
  <c r="AY32" i="41"/>
  <c r="AE32" i="41" s="1"/>
  <c r="AX35" i="41"/>
  <c r="AE35" i="41" s="1"/>
  <c r="AY35" i="41"/>
  <c r="N132" i="73"/>
  <c r="N133" i="73"/>
  <c r="O133" i="73"/>
  <c r="T13" i="38"/>
  <c r="U13" i="38"/>
  <c r="T20" i="38"/>
  <c r="U20" i="38"/>
  <c r="O217" i="59"/>
  <c r="P217" i="59"/>
  <c r="Q217" i="59"/>
  <c r="R217" i="59"/>
  <c r="T217" i="59"/>
  <c r="U217" i="59"/>
  <c r="V217" i="59"/>
  <c r="W217" i="59"/>
  <c r="X217" i="59"/>
  <c r="Y217" i="59"/>
  <c r="Z217" i="59"/>
  <c r="AA217" i="59"/>
  <c r="AB217" i="59"/>
  <c r="AC217" i="59"/>
  <c r="N217" i="59"/>
  <c r="Z546" i="23"/>
  <c r="AA546" i="23" s="1"/>
  <c r="AD546" i="23" s="1"/>
  <c r="AE546" i="23" s="1"/>
  <c r="AF546" i="23" s="1"/>
  <c r="AG546" i="23" s="1"/>
  <c r="AH546" i="23" s="1"/>
  <c r="AI546" i="23" s="1"/>
  <c r="AJ546" i="23" s="1"/>
  <c r="AK546" i="23" s="1"/>
  <c r="AL546" i="23" s="1"/>
  <c r="AM546" i="23" s="1"/>
  <c r="W483" i="23"/>
  <c r="Z483" i="23"/>
  <c r="Z362" i="23"/>
  <c r="Z365" i="23"/>
  <c r="DB106" i="23"/>
  <c r="DB107" i="23"/>
  <c r="DA106" i="23"/>
  <c r="DB105" i="23"/>
  <c r="DB8" i="23"/>
  <c r="E68" i="95"/>
  <c r="G68" i="95"/>
  <c r="H68" i="95"/>
  <c r="H79" i="95" s="1"/>
  <c r="I68" i="95"/>
  <c r="I69" i="95" s="1"/>
  <c r="I83" i="95" s="1"/>
  <c r="J68" i="95"/>
  <c r="AD158" i="20" s="1"/>
  <c r="K68" i="95"/>
  <c r="K79" i="95" s="1"/>
  <c r="L68" i="95"/>
  <c r="M68" i="95"/>
  <c r="M79" i="95" s="1"/>
  <c r="N68" i="95"/>
  <c r="N79" i="95" s="1"/>
  <c r="O68" i="95"/>
  <c r="P68" i="95"/>
  <c r="P79" i="95" s="1"/>
  <c r="Q68" i="95"/>
  <c r="D68" i="95"/>
  <c r="X158" i="20" s="1"/>
  <c r="BK5" i="31"/>
  <c r="CS229" i="59"/>
  <c r="Z623" i="23"/>
  <c r="Z626" i="23"/>
  <c r="AA623" i="23" s="1"/>
  <c r="AA626" i="23" s="1"/>
  <c r="AC623" i="23" s="1"/>
  <c r="AC626" i="23" s="1"/>
  <c r="AD623" i="23" s="1"/>
  <c r="AD626" i="23" s="1"/>
  <c r="AE623" i="23" s="1"/>
  <c r="AE626" i="23" s="1"/>
  <c r="AF623" i="23" s="1"/>
  <c r="AF626" i="23" s="1"/>
  <c r="AG623" i="23" s="1"/>
  <c r="AG626" i="23" s="1"/>
  <c r="AH623" i="23" s="1"/>
  <c r="AH626" i="23" s="1"/>
  <c r="AI623" i="23" s="1"/>
  <c r="AI626" i="23" s="1"/>
  <c r="AJ623" i="23" s="1"/>
  <c r="AJ626" i="23" s="1"/>
  <c r="AK623" i="23" s="1"/>
  <c r="AK626" i="23" s="1"/>
  <c r="AL623" i="23" s="1"/>
  <c r="AL626" i="23" s="1"/>
  <c r="AM623" i="23" s="1"/>
  <c r="AM626" i="23" s="1"/>
  <c r="Z42" i="23"/>
  <c r="Z628" i="23"/>
  <c r="Z621" i="23" s="1"/>
  <c r="Z570" i="23"/>
  <c r="Z586" i="23" s="1"/>
  <c r="Z569" i="23"/>
  <c r="Z577" i="23" s="1"/>
  <c r="S551" i="23"/>
  <c r="R551" i="23"/>
  <c r="W477" i="23"/>
  <c r="Z492" i="23"/>
  <c r="Z479" i="23"/>
  <c r="W479" i="23"/>
  <c r="Z506" i="23"/>
  <c r="Z504" i="23"/>
  <c r="Z294" i="23"/>
  <c r="Z292" i="23"/>
  <c r="Z284" i="23"/>
  <c r="Z221" i="23"/>
  <c r="DB418" i="23"/>
  <c r="DB15" i="23"/>
  <c r="CS195" i="59"/>
  <c r="CR195" i="59"/>
  <c r="CS196" i="59"/>
  <c r="CS108" i="59"/>
  <c r="BH23" i="31"/>
  <c r="BM23" i="31" s="1"/>
  <c r="BR23" i="31" s="1"/>
  <c r="Z485" i="23"/>
  <c r="CS40" i="59"/>
  <c r="BP35" i="73"/>
  <c r="BP36" i="73"/>
  <c r="H12" i="62"/>
  <c r="H46" i="63" s="1"/>
  <c r="J153" i="73"/>
  <c r="J152" i="73"/>
  <c r="J126" i="73"/>
  <c r="J127" i="73" s="1"/>
  <c r="J119" i="73"/>
  <c r="J120" i="73"/>
  <c r="AL206" i="30"/>
  <c r="ER206" i="30" s="1"/>
  <c r="ER196" i="30" s="1"/>
  <c r="ES196" i="30" s="1"/>
  <c r="ET196" i="30" s="1"/>
  <c r="AM206" i="30"/>
  <c r="EW206" i="30" s="1"/>
  <c r="CD266" i="59"/>
  <c r="CC266" i="59"/>
  <c r="CB266" i="59"/>
  <c r="CA266" i="59"/>
  <c r="BA94" i="73"/>
  <c r="AZ94" i="73"/>
  <c r="AY94" i="73"/>
  <c r="AX94" i="73"/>
  <c r="BA93" i="73"/>
  <c r="AZ93" i="73"/>
  <c r="AY93" i="73"/>
  <c r="AX93" i="73"/>
  <c r="U8" i="62"/>
  <c r="U22" i="62"/>
  <c r="K17" i="62"/>
  <c r="CR47" i="23"/>
  <c r="CQ47" i="23"/>
  <c r="CP47" i="23"/>
  <c r="CO47" i="23"/>
  <c r="BQ237" i="59"/>
  <c r="L82" i="63"/>
  <c r="K48" i="63"/>
  <c r="K17" i="63"/>
  <c r="Y85" i="53"/>
  <c r="X85" i="53"/>
  <c r="W85" i="53" s="1"/>
  <c r="V85" i="53" s="1"/>
  <c r="U85" i="53" s="1"/>
  <c r="T85" i="53" s="1"/>
  <c r="S85" i="53" s="1"/>
  <c r="R85" i="53" s="1"/>
  <c r="Q85" i="53" s="1"/>
  <c r="P85" i="53" s="1"/>
  <c r="O85" i="53" s="1"/>
  <c r="N85" i="53" s="1"/>
  <c r="M85" i="53" s="1"/>
  <c r="L85" i="53" s="1"/>
  <c r="K85" i="53" s="1"/>
  <c r="J85" i="53" s="1"/>
  <c r="I85" i="53" s="1"/>
  <c r="H85" i="53" s="1"/>
  <c r="G85" i="53" s="1"/>
  <c r="F85" i="53" s="1"/>
  <c r="E85" i="53" s="1"/>
  <c r="F44" i="53"/>
  <c r="E44" i="53" s="1"/>
  <c r="V322" i="60"/>
  <c r="U322" i="60" s="1"/>
  <c r="T322" i="60" s="1"/>
  <c r="S322" i="60" s="1"/>
  <c r="R322" i="60" s="1"/>
  <c r="Q322" i="60" s="1"/>
  <c r="P322" i="60" s="1"/>
  <c r="O322" i="60" s="1"/>
  <c r="N322" i="60" s="1"/>
  <c r="M322" i="60" s="1"/>
  <c r="L322" i="60" s="1"/>
  <c r="K322" i="60" s="1"/>
  <c r="J322" i="60" s="1"/>
  <c r="I322" i="60" s="1"/>
  <c r="H322" i="60" s="1"/>
  <c r="G322" i="60" s="1"/>
  <c r="F322" i="60" s="1"/>
  <c r="E322" i="60" s="1"/>
  <c r="D322" i="60" s="1"/>
  <c r="C322" i="60" s="1"/>
  <c r="B322" i="60" s="1"/>
  <c r="V294" i="60"/>
  <c r="V265" i="60"/>
  <c r="U265" i="60" s="1"/>
  <c r="T265" i="60" s="1"/>
  <c r="S265" i="60" s="1"/>
  <c r="R265" i="60" s="1"/>
  <c r="Q265" i="60" s="1"/>
  <c r="P265" i="60" s="1"/>
  <c r="O265" i="60" s="1"/>
  <c r="N265" i="60" s="1"/>
  <c r="M265" i="60" s="1"/>
  <c r="L265" i="60" s="1"/>
  <c r="K265" i="60" s="1"/>
  <c r="J265" i="60" s="1"/>
  <c r="I265" i="60" s="1"/>
  <c r="H265" i="60" s="1"/>
  <c r="G265" i="60" s="1"/>
  <c r="F265" i="60" s="1"/>
  <c r="E265" i="60" s="1"/>
  <c r="D265" i="60" s="1"/>
  <c r="C265" i="60" s="1"/>
  <c r="B265" i="60" s="1"/>
  <c r="V177" i="60"/>
  <c r="U177" i="60" s="1"/>
  <c r="T177" i="60" s="1"/>
  <c r="S177" i="60" s="1"/>
  <c r="R177" i="60" s="1"/>
  <c r="Q177" i="60" s="1"/>
  <c r="P177" i="60" s="1"/>
  <c r="O177" i="60" s="1"/>
  <c r="N177" i="60" s="1"/>
  <c r="M177" i="60" s="1"/>
  <c r="L177" i="60" s="1"/>
  <c r="K177" i="60" s="1"/>
  <c r="J177" i="60" s="1"/>
  <c r="I177" i="60" s="1"/>
  <c r="H177" i="60" s="1"/>
  <c r="G177" i="60" s="1"/>
  <c r="F177" i="60" s="1"/>
  <c r="E177" i="60" s="1"/>
  <c r="D177" i="60" s="1"/>
  <c r="C177" i="60" s="1"/>
  <c r="B177" i="60" s="1"/>
  <c r="V147" i="60"/>
  <c r="U147" i="60" s="1"/>
  <c r="T147" i="60" s="1"/>
  <c r="S147" i="60" s="1"/>
  <c r="R147" i="60" s="1"/>
  <c r="Q147" i="60" s="1"/>
  <c r="P147" i="60" s="1"/>
  <c r="O147" i="60" s="1"/>
  <c r="N147" i="60" s="1"/>
  <c r="M147" i="60" s="1"/>
  <c r="L147" i="60" s="1"/>
  <c r="K147" i="60" s="1"/>
  <c r="J147" i="60" s="1"/>
  <c r="I147" i="60" s="1"/>
  <c r="H147" i="60" s="1"/>
  <c r="G147" i="60" s="1"/>
  <c r="F147" i="60" s="1"/>
  <c r="E147" i="60" s="1"/>
  <c r="D147" i="60" s="1"/>
  <c r="C147" i="60" s="1"/>
  <c r="B147" i="60" s="1"/>
  <c r="Z437" i="23"/>
  <c r="AA437" i="23" s="1"/>
  <c r="AA390" i="23" s="1"/>
  <c r="AL696" i="23"/>
  <c r="AL655" i="23"/>
  <c r="AL596" i="23"/>
  <c r="AL612" i="23"/>
  <c r="AL568" i="23"/>
  <c r="AL531" i="23"/>
  <c r="AC185" i="59"/>
  <c r="AC95" i="59"/>
  <c r="AC42" i="59"/>
  <c r="AC10" i="59"/>
  <c r="U66" i="73"/>
  <c r="U61" i="73"/>
  <c r="U5" i="73"/>
  <c r="AW237" i="30"/>
  <c r="AW240" i="30"/>
  <c r="AW64" i="30"/>
  <c r="AW72" i="30"/>
  <c r="R101" i="31"/>
  <c r="V101" i="31"/>
  <c r="W101" i="31" s="1"/>
  <c r="G101" i="31"/>
  <c r="H101" i="31" s="1"/>
  <c r="G97" i="31"/>
  <c r="H97" i="31" s="1"/>
  <c r="I97" i="31" s="1"/>
  <c r="J97" i="31" s="1"/>
  <c r="K97" i="31" s="1"/>
  <c r="L97" i="31" s="1"/>
  <c r="M97" i="31" s="1"/>
  <c r="N97" i="31" s="1"/>
  <c r="O97" i="31" s="1"/>
  <c r="P97" i="31" s="1"/>
  <c r="Q97" i="31" s="1"/>
  <c r="F97" i="31"/>
  <c r="AL69" i="20"/>
  <c r="AL68" i="20"/>
  <c r="AL67" i="20"/>
  <c r="AL66" i="20"/>
  <c r="AL65" i="20"/>
  <c r="AL57" i="20"/>
  <c r="AL58" i="20" s="1"/>
  <c r="AL54" i="20"/>
  <c r="AA7" i="38"/>
  <c r="AC56" i="52"/>
  <c r="AB56" i="52"/>
  <c r="AA56" i="52" s="1"/>
  <c r="Z56" i="52" s="1"/>
  <c r="Y56" i="52" s="1"/>
  <c r="X56" i="52" s="1"/>
  <c r="W56" i="52" s="1"/>
  <c r="V56" i="52" s="1"/>
  <c r="U56" i="52" s="1"/>
  <c r="T56" i="52" s="1"/>
  <c r="S56" i="52" s="1"/>
  <c r="R56" i="52" s="1"/>
  <c r="Q56" i="52" s="1"/>
  <c r="P56" i="52" s="1"/>
  <c r="O56" i="52" s="1"/>
  <c r="N56" i="52" s="1"/>
  <c r="M56" i="52" s="1"/>
  <c r="L56" i="52" s="1"/>
  <c r="K56" i="52" s="1"/>
  <c r="J56" i="52" s="1"/>
  <c r="AH22" i="31"/>
  <c r="AH10" i="31"/>
  <c r="AH6" i="31"/>
  <c r="AH216" i="31" s="1"/>
  <c r="U27" i="73"/>
  <c r="U26" i="73"/>
  <c r="U15" i="73"/>
  <c r="AW193" i="30"/>
  <c r="AW188" i="30"/>
  <c r="AW85" i="30"/>
  <c r="AW40" i="30"/>
  <c r="Z77" i="41"/>
  <c r="AA78" i="41"/>
  <c r="AB78" i="41"/>
  <c r="AC78" i="41" s="1"/>
  <c r="AD78" i="41" s="1"/>
  <c r="AE78" i="41" s="1"/>
  <c r="Z78" i="41"/>
  <c r="Z408" i="23"/>
  <c r="CX53" i="23"/>
  <c r="CX66" i="23"/>
  <c r="AA80" i="41"/>
  <c r="Z80" i="41"/>
  <c r="AC79" i="41"/>
  <c r="AB79" i="41"/>
  <c r="Z79" i="41"/>
  <c r="AA79" i="41"/>
  <c r="CH266" i="59"/>
  <c r="CH274" i="59" s="1"/>
  <c r="BA88" i="73"/>
  <c r="AZ88" i="73"/>
  <c r="AY88" i="73"/>
  <c r="AX88" i="73"/>
  <c r="BA87" i="73"/>
  <c r="AZ87" i="73"/>
  <c r="AY87" i="73"/>
  <c r="AX87" i="73"/>
  <c r="Z43" i="23"/>
  <c r="Q12" i="56" s="1"/>
  <c r="DH16" i="23"/>
  <c r="DH15" i="23"/>
  <c r="DD62" i="23"/>
  <c r="DE62" i="23"/>
  <c r="DF62" i="23"/>
  <c r="DD64" i="23"/>
  <c r="DE64" i="23"/>
  <c r="DF64" i="23"/>
  <c r="DD124" i="23"/>
  <c r="DD67" i="23" s="1"/>
  <c r="DG64" i="23"/>
  <c r="DG62" i="23"/>
  <c r="DD402" i="23"/>
  <c r="DE402" i="23"/>
  <c r="DF402" i="23"/>
  <c r="DG402" i="23"/>
  <c r="BX220" i="59"/>
  <c r="BW220" i="59"/>
  <c r="BV220" i="59"/>
  <c r="R196" i="59"/>
  <c r="R197" i="59"/>
  <c r="Z78" i="32"/>
  <c r="DF9" i="23"/>
  <c r="FA203" i="30"/>
  <c r="FA193" i="30"/>
  <c r="CY143" i="59"/>
  <c r="CY142" i="59"/>
  <c r="EZ5" i="30"/>
  <c r="EY5" i="30"/>
  <c r="EY85" i="30" s="1"/>
  <c r="EX5" i="30"/>
  <c r="EW5" i="30"/>
  <c r="EW188" i="30" s="1"/>
  <c r="EW4" i="30"/>
  <c r="EW187" i="30" s="1"/>
  <c r="CU52" i="59"/>
  <c r="CV52" i="59"/>
  <c r="CW52" i="59"/>
  <c r="CX52" i="59"/>
  <c r="CV232" i="59"/>
  <c r="CU25" i="59"/>
  <c r="EO207" i="30"/>
  <c r="EP207" i="30" s="1"/>
  <c r="BN30" i="31"/>
  <c r="BM30" i="31"/>
  <c r="X30" i="31" s="1"/>
  <c r="BO30" i="31" s="1"/>
  <c r="BL30" i="31"/>
  <c r="CX3" i="59"/>
  <c r="CV3" i="59"/>
  <c r="CV185" i="59" s="1"/>
  <c r="J19" i="73"/>
  <c r="J20" i="73" s="1"/>
  <c r="I19" i="73"/>
  <c r="I21" i="73" s="1"/>
  <c r="H19" i="73"/>
  <c r="G19" i="73"/>
  <c r="G21" i="73" s="1"/>
  <c r="F19" i="73"/>
  <c r="F20" i="73" s="1"/>
  <c r="E19" i="73"/>
  <c r="E20" i="73" s="1"/>
  <c r="D19" i="73"/>
  <c r="D20" i="73" s="1"/>
  <c r="C19" i="73"/>
  <c r="C20" i="73" s="1"/>
  <c r="T173" i="31"/>
  <c r="S173" i="31"/>
  <c r="R173" i="31"/>
  <c r="Q173" i="31"/>
  <c r="P173" i="31"/>
  <c r="O173" i="31"/>
  <c r="N173" i="31"/>
  <c r="M173" i="31"/>
  <c r="L173" i="31"/>
  <c r="K173" i="31"/>
  <c r="J173" i="31"/>
  <c r="I173" i="31"/>
  <c r="H173" i="31"/>
  <c r="G173" i="31"/>
  <c r="F173" i="31"/>
  <c r="E173" i="31"/>
  <c r="D173" i="31"/>
  <c r="T170" i="31"/>
  <c r="S170" i="31"/>
  <c r="R170" i="31"/>
  <c r="Q170" i="31"/>
  <c r="P170" i="31"/>
  <c r="O170" i="31"/>
  <c r="P171" i="31" s="1"/>
  <c r="N170" i="31"/>
  <c r="M170" i="31"/>
  <c r="L170" i="31"/>
  <c r="K170" i="31"/>
  <c r="L171" i="31" s="1"/>
  <c r="J170" i="31"/>
  <c r="I170" i="31"/>
  <c r="H170" i="31"/>
  <c r="G170" i="31"/>
  <c r="G171" i="31" s="1"/>
  <c r="F170" i="31"/>
  <c r="E170" i="31"/>
  <c r="D170" i="31"/>
  <c r="C170" i="31"/>
  <c r="CN300" i="59"/>
  <c r="R300" i="59" s="1"/>
  <c r="BO125" i="73"/>
  <c r="BT125" i="73" s="1"/>
  <c r="DA117" i="23"/>
  <c r="DA115" i="23"/>
  <c r="DB111" i="23" s="1"/>
  <c r="BO35" i="73"/>
  <c r="BO36" i="73"/>
  <c r="CZ171" i="23"/>
  <c r="DB171" i="23" s="1"/>
  <c r="DA418" i="23"/>
  <c r="CR108" i="59"/>
  <c r="CR40" i="59"/>
  <c r="CT142" i="59"/>
  <c r="CT143" i="59"/>
  <c r="BI126" i="73"/>
  <c r="BI127" i="73" s="1"/>
  <c r="CZ123" i="23"/>
  <c r="CZ115" i="23"/>
  <c r="CY115" i="23"/>
  <c r="BN35" i="73"/>
  <c r="BN36" i="73"/>
  <c r="CZ163" i="23"/>
  <c r="DA163" i="23" s="1"/>
  <c r="CY117" i="23"/>
  <c r="CZ117" i="23"/>
  <c r="CZ105" i="23"/>
  <c r="CZ27" i="23"/>
  <c r="CZ31" i="23" s="1"/>
  <c r="CY27" i="23"/>
  <c r="CY418" i="23" s="1"/>
  <c r="CW27" i="23"/>
  <c r="CU27" i="23"/>
  <c r="CU31" i="23"/>
  <c r="CZ12" i="23"/>
  <c r="CQ195" i="59"/>
  <c r="CL195" i="59"/>
  <c r="CL153" i="59" s="1"/>
  <c r="CQ108" i="59"/>
  <c r="CQ40" i="59"/>
  <c r="CQ229" i="59"/>
  <c r="AU4" i="23"/>
  <c r="L113" i="73"/>
  <c r="X160" i="20"/>
  <c r="X163" i="20" s="1"/>
  <c r="X159" i="20"/>
  <c r="AJ174" i="20"/>
  <c r="AB176" i="20"/>
  <c r="AC176" i="20" s="1"/>
  <c r="AD176" i="20" s="1"/>
  <c r="AE176" i="20" s="1"/>
  <c r="AF176" i="20" s="1"/>
  <c r="AG176" i="20" s="1"/>
  <c r="AH176" i="20" s="1"/>
  <c r="AI176" i="20" s="1"/>
  <c r="AJ176" i="20" s="1"/>
  <c r="AK176" i="20" s="1"/>
  <c r="AL176" i="20" s="1"/>
  <c r="AM176" i="20" s="1"/>
  <c r="AN176" i="20" s="1"/>
  <c r="T27" i="73"/>
  <c r="S27" i="73"/>
  <c r="R27" i="73"/>
  <c r="Q27" i="73"/>
  <c r="P27" i="73"/>
  <c r="N27" i="73"/>
  <c r="T15" i="73"/>
  <c r="S15" i="73"/>
  <c r="R15" i="73"/>
  <c r="Q15" i="73"/>
  <c r="L133" i="73"/>
  <c r="L132" i="73"/>
  <c r="M133" i="73"/>
  <c r="AD55" i="41"/>
  <c r="I126" i="73"/>
  <c r="I127" i="73" s="1"/>
  <c r="T66" i="73"/>
  <c r="S66" i="73"/>
  <c r="R66" i="73"/>
  <c r="Q66" i="73"/>
  <c r="P66" i="73"/>
  <c r="O66" i="73"/>
  <c r="N66" i="73"/>
  <c r="M66" i="73"/>
  <c r="M61" i="73"/>
  <c r="N61" i="73"/>
  <c r="O61" i="73"/>
  <c r="P61" i="73"/>
  <c r="Q61" i="73"/>
  <c r="R61" i="73"/>
  <c r="S61" i="73"/>
  <c r="T61" i="73"/>
  <c r="L120" i="73"/>
  <c r="G120" i="73"/>
  <c r="G119" i="73"/>
  <c r="H120" i="73"/>
  <c r="H119" i="73"/>
  <c r="I120" i="73"/>
  <c r="I119" i="73"/>
  <c r="G110" i="73"/>
  <c r="BD88" i="73"/>
  <c r="BE87" i="73"/>
  <c r="BH70" i="73"/>
  <c r="BH71" i="73" s="1"/>
  <c r="BI70" i="73"/>
  <c r="BI72" i="73" s="1"/>
  <c r="BJ70" i="73"/>
  <c r="BJ71" i="73" s="1"/>
  <c r="D48" i="73"/>
  <c r="E48" i="73"/>
  <c r="F48" i="73"/>
  <c r="G48" i="73"/>
  <c r="D49" i="73"/>
  <c r="E49" i="73"/>
  <c r="F49" i="73"/>
  <c r="G49" i="73"/>
  <c r="BM36" i="73"/>
  <c r="BM35" i="73"/>
  <c r="BK35" i="73"/>
  <c r="BK36" i="73"/>
  <c r="D227" i="31"/>
  <c r="E227" i="31"/>
  <c r="F227" i="31"/>
  <c r="G227" i="31"/>
  <c r="H227" i="31"/>
  <c r="I227" i="31"/>
  <c r="J227" i="31"/>
  <c r="K227" i="31"/>
  <c r="L227" i="31"/>
  <c r="M227" i="31"/>
  <c r="N227" i="31"/>
  <c r="O227" i="31"/>
  <c r="P227" i="31"/>
  <c r="Q227" i="31"/>
  <c r="R227" i="31"/>
  <c r="S227" i="31"/>
  <c r="T227" i="31"/>
  <c r="C224" i="31"/>
  <c r="D224" i="31"/>
  <c r="E225" i="31" s="1"/>
  <c r="E224" i="31"/>
  <c r="F224" i="31"/>
  <c r="F225" i="31" s="1"/>
  <c r="G224" i="31"/>
  <c r="H224" i="31"/>
  <c r="I225" i="31" s="1"/>
  <c r="I224" i="31"/>
  <c r="J224" i="31"/>
  <c r="K224" i="31"/>
  <c r="L224" i="31"/>
  <c r="M224" i="31"/>
  <c r="N224" i="31"/>
  <c r="N225" i="31" s="1"/>
  <c r="O224" i="31"/>
  <c r="P224" i="31"/>
  <c r="Q224" i="31"/>
  <c r="R224" i="31"/>
  <c r="S225" i="31" s="1"/>
  <c r="S224" i="31"/>
  <c r="T224" i="31"/>
  <c r="P26" i="73"/>
  <c r="Q26" i="73"/>
  <c r="R26" i="73"/>
  <c r="S26" i="73"/>
  <c r="T26" i="73"/>
  <c r="AA173" i="20"/>
  <c r="AB173" i="20" s="1"/>
  <c r="AB175" i="20" s="1"/>
  <c r="AQ54" i="41"/>
  <c r="AP54" i="41"/>
  <c r="AO54" i="41"/>
  <c r="AN54" i="41"/>
  <c r="AE54" i="41" s="1"/>
  <c r="AM54" i="41"/>
  <c r="AD54" i="41" s="1"/>
  <c r="AL54" i="41"/>
  <c r="AC54" i="41" s="1"/>
  <c r="AM56" i="41"/>
  <c r="AE56" i="41" s="1"/>
  <c r="AN56" i="41"/>
  <c r="AO56" i="41"/>
  <c r="AP56" i="41"/>
  <c r="AQ56" i="41"/>
  <c r="AL56" i="41"/>
  <c r="AD56" i="41" s="1"/>
  <c r="AK56" i="41"/>
  <c r="AC56" i="41" s="1"/>
  <c r="Z407" i="23"/>
  <c r="CY407" i="23" s="1"/>
  <c r="I69" i="41"/>
  <c r="AM48" i="41"/>
  <c r="AB48" i="41" s="1"/>
  <c r="AN48" i="41"/>
  <c r="AC48" i="41" s="1"/>
  <c r="AO48" i="41"/>
  <c r="AD48" i="41" s="1"/>
  <c r="AP48" i="41"/>
  <c r="AE48" i="41" s="1"/>
  <c r="AQ48" i="41"/>
  <c r="AL48" i="41"/>
  <c r="AA48" i="41" s="1"/>
  <c r="AQ47" i="41"/>
  <c r="AP47" i="41"/>
  <c r="AE47" i="41" s="1"/>
  <c r="AO47" i="41"/>
  <c r="AD47" i="41" s="1"/>
  <c r="AN47" i="41"/>
  <c r="AC47" i="41" s="1"/>
  <c r="AM47" i="41"/>
  <c r="AL47" i="41"/>
  <c r="AA47" i="41" s="1"/>
  <c r="I48" i="41"/>
  <c r="AK48" i="41" s="1"/>
  <c r="Z48" i="41" s="1"/>
  <c r="I47" i="41"/>
  <c r="AK47" i="41" s="1"/>
  <c r="Z47" i="41" s="1"/>
  <c r="CC23" i="31"/>
  <c r="CV115" i="23"/>
  <c r="AB302" i="59"/>
  <c r="Z302" i="59"/>
  <c r="X302" i="59"/>
  <c r="V302" i="59"/>
  <c r="T302" i="59"/>
  <c r="Q302" i="59"/>
  <c r="M302" i="59"/>
  <c r="CC9" i="59"/>
  <c r="CB9" i="59"/>
  <c r="AC67" i="32"/>
  <c r="AE67" i="32"/>
  <c r="AG67" i="32"/>
  <c r="AI67" i="32"/>
  <c r="AK67" i="32"/>
  <c r="AA67" i="32"/>
  <c r="Y67" i="32"/>
  <c r="L301" i="59"/>
  <c r="L300" i="59"/>
  <c r="X67" i="32" s="1"/>
  <c r="N301" i="59"/>
  <c r="N300" i="59"/>
  <c r="CO300" i="59" s="1"/>
  <c r="CO209" i="59"/>
  <c r="BM145" i="73"/>
  <c r="CY166" i="23"/>
  <c r="CY168" i="23" s="1"/>
  <c r="CT123" i="23"/>
  <c r="CU123" i="23"/>
  <c r="CV123" i="23"/>
  <c r="CT117" i="23"/>
  <c r="CU117" i="23"/>
  <c r="CU122" i="23" s="1"/>
  <c r="CV117" i="23"/>
  <c r="CW117" i="23"/>
  <c r="CY123" i="23"/>
  <c r="Z57" i="23"/>
  <c r="Q18" i="56"/>
  <c r="CW123" i="23"/>
  <c r="CW122" i="23"/>
  <c r="CY62" i="23"/>
  <c r="CZ62" i="23"/>
  <c r="DA62" i="23"/>
  <c r="DB62" i="23"/>
  <c r="CY64" i="23"/>
  <c r="CW8" i="23"/>
  <c r="CP28" i="59"/>
  <c r="CP195" i="59"/>
  <c r="Q195" i="59" s="1"/>
  <c r="CP114" i="59"/>
  <c r="CP116" i="59" s="1"/>
  <c r="CK145" i="59"/>
  <c r="T149" i="23"/>
  <c r="W149" i="23"/>
  <c r="B9" i="33"/>
  <c r="C10" i="33"/>
  <c r="D11" i="33"/>
  <c r="D12" i="33" s="1"/>
  <c r="C12" i="33"/>
  <c r="G12" i="33"/>
  <c r="B15" i="33"/>
  <c r="B20" i="33" s="1"/>
  <c r="C16" i="33"/>
  <c r="C21" i="33" s="1"/>
  <c r="D17" i="33"/>
  <c r="D22" i="33" s="1"/>
  <c r="C20" i="33"/>
  <c r="D20" i="33"/>
  <c r="F20" i="33"/>
  <c r="G20" i="33"/>
  <c r="B21" i="33"/>
  <c r="D21" i="33"/>
  <c r="B22" i="33"/>
  <c r="C22" i="33"/>
  <c r="F22" i="33"/>
  <c r="G22" i="33"/>
  <c r="BO29" i="33"/>
  <c r="F30" i="33"/>
  <c r="J30" i="33"/>
  <c r="BJ30" i="33"/>
  <c r="BK30" i="33"/>
  <c r="BL30" i="33"/>
  <c r="BM30" i="33"/>
  <c r="BO30" i="33"/>
  <c r="BP30" i="33"/>
  <c r="BQ30" i="33"/>
  <c r="BR30" i="33"/>
  <c r="G103" i="33"/>
  <c r="P101" i="33"/>
  <c r="Q101" i="33"/>
  <c r="G34" i="33"/>
  <c r="H34" i="33"/>
  <c r="F35" i="33"/>
  <c r="G35" i="33"/>
  <c r="H35" i="33"/>
  <c r="H39" i="33" s="1"/>
  <c r="G38" i="33"/>
  <c r="G41" i="33" s="1"/>
  <c r="H43" i="33"/>
  <c r="H38" i="33" s="1"/>
  <c r="H41" i="33" s="1"/>
  <c r="I43" i="33"/>
  <c r="I44" i="33"/>
  <c r="K40" i="33"/>
  <c r="L40" i="33"/>
  <c r="I40" i="33"/>
  <c r="K43" i="33"/>
  <c r="K45" i="33" s="1"/>
  <c r="BJ45" i="33"/>
  <c r="BO45" i="33" s="1"/>
  <c r="J45" i="33"/>
  <c r="BC45" i="33"/>
  <c r="H46" i="33"/>
  <c r="I46" i="33"/>
  <c r="AZ46" i="33"/>
  <c r="BA46" i="33"/>
  <c r="BB46" i="33"/>
  <c r="BE46" i="33"/>
  <c r="H48" i="33"/>
  <c r="H49" i="33" s="1"/>
  <c r="I48" i="33"/>
  <c r="I49" i="33" s="1"/>
  <c r="BC51" i="33"/>
  <c r="H52" i="33"/>
  <c r="I52" i="33"/>
  <c r="AZ52" i="33"/>
  <c r="BA52" i="33"/>
  <c r="BB52" i="33"/>
  <c r="BE52" i="33"/>
  <c r="T56" i="33"/>
  <c r="U56" i="33"/>
  <c r="H58" i="33"/>
  <c r="H59" i="33" s="1"/>
  <c r="I58" i="33"/>
  <c r="I59" i="33"/>
  <c r="H61" i="33"/>
  <c r="H66" i="33" s="1"/>
  <c r="H67" i="33" s="1"/>
  <c r="I61" i="33"/>
  <c r="I66" i="33" s="1"/>
  <c r="I67" i="33" s="1"/>
  <c r="J62" i="33"/>
  <c r="K62" i="33"/>
  <c r="F97" i="33"/>
  <c r="G97" i="33"/>
  <c r="H97" i="33"/>
  <c r="F102" i="33"/>
  <c r="F103" i="33"/>
  <c r="C5" i="32"/>
  <c r="D5" i="32" s="1"/>
  <c r="E5" i="32" s="1"/>
  <c r="F5" i="32" s="1"/>
  <c r="G5" i="32" s="1"/>
  <c r="H5" i="32" s="1"/>
  <c r="I5" i="32" s="1"/>
  <c r="J5" i="32" s="1"/>
  <c r="K5" i="32" s="1"/>
  <c r="L5" i="32" s="1"/>
  <c r="C60" i="32"/>
  <c r="D60" i="32" s="1"/>
  <c r="E60" i="32" s="1"/>
  <c r="F60" i="32" s="1"/>
  <c r="G60" i="32" s="1"/>
  <c r="H60" i="32" s="1"/>
  <c r="I60" i="32" s="1"/>
  <c r="J60" i="32" s="1"/>
  <c r="K60" i="32" s="1"/>
  <c r="L60" i="32" s="1"/>
  <c r="M60" i="32" s="1"/>
  <c r="N60" i="32" s="1"/>
  <c r="O60" i="32" s="1"/>
  <c r="P60" i="32" s="1"/>
  <c r="Q60" i="32" s="1"/>
  <c r="R60" i="32" s="1"/>
  <c r="S60" i="32" s="1"/>
  <c r="T60" i="32" s="1"/>
  <c r="U8" i="32"/>
  <c r="K64" i="32"/>
  <c r="H21" i="32"/>
  <c r="H20" i="32" s="1"/>
  <c r="H16" i="32" s="1"/>
  <c r="I20" i="32"/>
  <c r="I16" i="32"/>
  <c r="L82" i="32"/>
  <c r="M82" i="32" s="1"/>
  <c r="L84" i="32"/>
  <c r="L85" i="32"/>
  <c r="M86" i="32"/>
  <c r="N86" i="32" s="1"/>
  <c r="N84" i="32"/>
  <c r="O84" i="32"/>
  <c r="N87" i="32"/>
  <c r="O87" i="32" s="1"/>
  <c r="O85" i="32"/>
  <c r="O78" i="32"/>
  <c r="P78" i="32" s="1"/>
  <c r="T83" i="32"/>
  <c r="J17" i="32"/>
  <c r="K17" i="32"/>
  <c r="K18" i="32"/>
  <c r="K21" i="32"/>
  <c r="L21" i="32" s="1"/>
  <c r="M21" i="32" s="1"/>
  <c r="V21" i="32"/>
  <c r="W21" i="32"/>
  <c r="J21" i="32"/>
  <c r="J23" i="32"/>
  <c r="K23" i="32"/>
  <c r="K24" i="32" s="1"/>
  <c r="B24" i="32"/>
  <c r="C24" i="32"/>
  <c r="D24" i="32"/>
  <c r="E24" i="32"/>
  <c r="F24" i="32"/>
  <c r="G24" i="32"/>
  <c r="H24" i="32"/>
  <c r="I24" i="32"/>
  <c r="C25" i="32"/>
  <c r="D25" i="32"/>
  <c r="E25" i="32"/>
  <c r="F25" i="32"/>
  <c r="G25" i="32"/>
  <c r="H25" i="32"/>
  <c r="I25" i="32"/>
  <c r="B26" i="32"/>
  <c r="C27" i="32"/>
  <c r="C26" i="32"/>
  <c r="R41" i="32"/>
  <c r="S41" i="32" s="1"/>
  <c r="T41" i="32" s="1"/>
  <c r="U41" i="32" s="1"/>
  <c r="V41" i="32" s="1"/>
  <c r="W41" i="32" s="1"/>
  <c r="X41" i="32" s="1"/>
  <c r="Y41" i="32" s="1"/>
  <c r="Z41" i="32" s="1"/>
  <c r="AA41" i="32" s="1"/>
  <c r="AB41" i="32" s="1"/>
  <c r="AC41" i="32" s="1"/>
  <c r="B64" i="32"/>
  <c r="B62" i="32"/>
  <c r="C64" i="32"/>
  <c r="C59" i="32"/>
  <c r="D64" i="32"/>
  <c r="D62" i="32"/>
  <c r="E64" i="32"/>
  <c r="E59" i="32"/>
  <c r="F64" i="32"/>
  <c r="F62" i="32"/>
  <c r="G64" i="32"/>
  <c r="G62" i="32"/>
  <c r="H64" i="32"/>
  <c r="H62" i="32"/>
  <c r="I64" i="32"/>
  <c r="I62" i="32"/>
  <c r="J64" i="32"/>
  <c r="J62" i="32"/>
  <c r="B72" i="32"/>
  <c r="C72" i="32"/>
  <c r="D72" i="32"/>
  <c r="E72" i="32"/>
  <c r="F72" i="32"/>
  <c r="G72" i="32"/>
  <c r="H72" i="32"/>
  <c r="I72" i="32"/>
  <c r="J72" i="32"/>
  <c r="K72" i="32"/>
  <c r="B73" i="32"/>
  <c r="C73" i="32"/>
  <c r="D73" i="32"/>
  <c r="E73" i="32"/>
  <c r="F73" i="32"/>
  <c r="G73" i="32"/>
  <c r="H73" i="32"/>
  <c r="I73" i="32"/>
  <c r="J73" i="32"/>
  <c r="K73" i="32"/>
  <c r="B74" i="32"/>
  <c r="C74" i="32"/>
  <c r="D74" i="32"/>
  <c r="E74" i="32"/>
  <c r="F74" i="32"/>
  <c r="G74" i="32"/>
  <c r="H74" i="32"/>
  <c r="I74" i="32"/>
  <c r="J74" i="32"/>
  <c r="K74" i="32"/>
  <c r="B75" i="32"/>
  <c r="C75" i="32"/>
  <c r="D75" i="32"/>
  <c r="E75" i="32"/>
  <c r="F75" i="32"/>
  <c r="G75" i="32"/>
  <c r="H75" i="32"/>
  <c r="I75" i="32"/>
  <c r="J75" i="32"/>
  <c r="K75" i="32"/>
  <c r="B76" i="32"/>
  <c r="C76" i="32"/>
  <c r="D76" i="32"/>
  <c r="E76" i="32"/>
  <c r="F76" i="32"/>
  <c r="G76" i="32"/>
  <c r="H76" i="32"/>
  <c r="I76" i="32"/>
  <c r="J76" i="32"/>
  <c r="K76" i="32"/>
  <c r="B77" i="32"/>
  <c r="C77" i="32"/>
  <c r="D77" i="32"/>
  <c r="E77" i="32"/>
  <c r="F77" i="32"/>
  <c r="G77" i="32"/>
  <c r="H77" i="32"/>
  <c r="I77" i="32"/>
  <c r="J77" i="32"/>
  <c r="K77" i="32"/>
  <c r="J79" i="32"/>
  <c r="J78" i="32"/>
  <c r="J88" i="32" s="1"/>
  <c r="K79" i="32"/>
  <c r="E6" i="53"/>
  <c r="E15" i="53"/>
  <c r="F15" i="53"/>
  <c r="G15" i="53"/>
  <c r="E25" i="53"/>
  <c r="F25" i="53" s="1"/>
  <c r="G25" i="53" s="1"/>
  <c r="H25" i="53" s="1"/>
  <c r="I25" i="53" s="1"/>
  <c r="J25" i="53" s="1"/>
  <c r="K25" i="53" s="1"/>
  <c r="L25" i="53" s="1"/>
  <c r="M25" i="53" s="1"/>
  <c r="N25" i="53" s="1"/>
  <c r="O25" i="53" s="1"/>
  <c r="P25" i="53" s="1"/>
  <c r="Q25" i="53" s="1"/>
  <c r="R25" i="53" s="1"/>
  <c r="S25" i="53" s="1"/>
  <c r="T25" i="53" s="1"/>
  <c r="U25" i="53" s="1"/>
  <c r="V25" i="53" s="1"/>
  <c r="W25" i="53" s="1"/>
  <c r="X25" i="53" s="1"/>
  <c r="Y25" i="53" s="1"/>
  <c r="Z25" i="53" s="1"/>
  <c r="AA25" i="53" s="1"/>
  <c r="AB25" i="53" s="1"/>
  <c r="E26" i="53"/>
  <c r="F26" i="53" s="1"/>
  <c r="G26" i="53" s="1"/>
  <c r="H26" i="53" s="1"/>
  <c r="I26" i="53" s="1"/>
  <c r="J26" i="53" s="1"/>
  <c r="K26" i="53" s="1"/>
  <c r="L26" i="53" s="1"/>
  <c r="M26" i="53" s="1"/>
  <c r="N26" i="53" s="1"/>
  <c r="O26" i="53" s="1"/>
  <c r="P26" i="53" s="1"/>
  <c r="Q26" i="53" s="1"/>
  <c r="R26" i="53" s="1"/>
  <c r="S26" i="53" s="1"/>
  <c r="T26" i="53" s="1"/>
  <c r="U26" i="53" s="1"/>
  <c r="V26" i="53" s="1"/>
  <c r="W26" i="53" s="1"/>
  <c r="X26" i="53" s="1"/>
  <c r="Y26" i="53" s="1"/>
  <c r="Z26" i="53" s="1"/>
  <c r="AA26" i="53" s="1"/>
  <c r="AB26" i="53" s="1"/>
  <c r="E29" i="53"/>
  <c r="F29" i="53" s="1"/>
  <c r="G29" i="53" s="1"/>
  <c r="H29" i="53" s="1"/>
  <c r="I29" i="53" s="1"/>
  <c r="J29" i="53" s="1"/>
  <c r="K29" i="53" s="1"/>
  <c r="L29" i="53" s="1"/>
  <c r="M29" i="53" s="1"/>
  <c r="N29" i="53" s="1"/>
  <c r="O29" i="53" s="1"/>
  <c r="P29" i="53" s="1"/>
  <c r="Q29" i="53" s="1"/>
  <c r="R29" i="53" s="1"/>
  <c r="S29" i="53" s="1"/>
  <c r="T29" i="53" s="1"/>
  <c r="U29" i="53" s="1"/>
  <c r="V29" i="53" s="1"/>
  <c r="W29" i="53" s="1"/>
  <c r="X29" i="53" s="1"/>
  <c r="Y29" i="53" s="1"/>
  <c r="Z29" i="53" s="1"/>
  <c r="AA29" i="53" s="1"/>
  <c r="AB29" i="53" s="1"/>
  <c r="F49" i="53"/>
  <c r="G49" i="53"/>
  <c r="G50" i="53" s="1"/>
  <c r="H49" i="53"/>
  <c r="F56" i="53"/>
  <c r="G56" i="53"/>
  <c r="E66" i="53"/>
  <c r="F66" i="53" s="1"/>
  <c r="G66" i="53" s="1"/>
  <c r="H66" i="53" s="1"/>
  <c r="I66" i="53" s="1"/>
  <c r="J66" i="53" s="1"/>
  <c r="K66" i="53" s="1"/>
  <c r="L66" i="53" s="1"/>
  <c r="M66" i="53" s="1"/>
  <c r="N66" i="53" s="1"/>
  <c r="O66" i="53" s="1"/>
  <c r="P66" i="53" s="1"/>
  <c r="Q66" i="53" s="1"/>
  <c r="R66" i="53" s="1"/>
  <c r="S66" i="53" s="1"/>
  <c r="T66" i="53" s="1"/>
  <c r="U66" i="53" s="1"/>
  <c r="V66" i="53" s="1"/>
  <c r="W66" i="53" s="1"/>
  <c r="X66" i="53" s="1"/>
  <c r="Y66" i="53" s="1"/>
  <c r="Z66" i="53" s="1"/>
  <c r="AA66" i="53" s="1"/>
  <c r="AB66" i="53" s="1"/>
  <c r="E67" i="53"/>
  <c r="F67" i="53" s="1"/>
  <c r="G67" i="53" s="1"/>
  <c r="H67" i="53" s="1"/>
  <c r="I67" i="53" s="1"/>
  <c r="J67" i="53" s="1"/>
  <c r="K67" i="53" s="1"/>
  <c r="L67" i="53" s="1"/>
  <c r="M67" i="53" s="1"/>
  <c r="N67" i="53" s="1"/>
  <c r="O67" i="53" s="1"/>
  <c r="P67" i="53" s="1"/>
  <c r="Q67" i="53" s="1"/>
  <c r="R67" i="53" s="1"/>
  <c r="S67" i="53" s="1"/>
  <c r="T67" i="53" s="1"/>
  <c r="U67" i="53" s="1"/>
  <c r="V67" i="53" s="1"/>
  <c r="W67" i="53" s="1"/>
  <c r="X67" i="53" s="1"/>
  <c r="Y67" i="53" s="1"/>
  <c r="Z67" i="53" s="1"/>
  <c r="AA67" i="53" s="1"/>
  <c r="AB67" i="53" s="1"/>
  <c r="E70" i="53"/>
  <c r="F70" i="53" s="1"/>
  <c r="G70" i="53" s="1"/>
  <c r="H70" i="53" s="1"/>
  <c r="I70" i="53" s="1"/>
  <c r="J70" i="53" s="1"/>
  <c r="K70" i="53" s="1"/>
  <c r="L70" i="53" s="1"/>
  <c r="M70" i="53" s="1"/>
  <c r="N70" i="53" s="1"/>
  <c r="O70" i="53" s="1"/>
  <c r="P70" i="53" s="1"/>
  <c r="Q70" i="53" s="1"/>
  <c r="R70" i="53" s="1"/>
  <c r="S70" i="53" s="1"/>
  <c r="T70" i="53" s="1"/>
  <c r="U70" i="53" s="1"/>
  <c r="V70" i="53" s="1"/>
  <c r="W70" i="53" s="1"/>
  <c r="X70" i="53" s="1"/>
  <c r="Y70" i="53" s="1"/>
  <c r="Z70" i="53" s="1"/>
  <c r="AA70" i="53" s="1"/>
  <c r="AB70" i="53" s="1"/>
  <c r="C5" i="52"/>
  <c r="D5" i="52" s="1"/>
  <c r="B6" i="52"/>
  <c r="B26" i="52" s="1"/>
  <c r="C6" i="52"/>
  <c r="D6" i="52"/>
  <c r="E6" i="52"/>
  <c r="K6" i="52"/>
  <c r="B16" i="52"/>
  <c r="C16" i="52"/>
  <c r="D16" i="52"/>
  <c r="E16" i="52"/>
  <c r="J16" i="52"/>
  <c r="J14" i="52"/>
  <c r="K14" i="52"/>
  <c r="K16" i="52"/>
  <c r="K17" i="52" s="1"/>
  <c r="I21" i="52"/>
  <c r="I27" i="52"/>
  <c r="J27" i="52" s="1"/>
  <c r="BD7" i="85"/>
  <c r="BE7" i="85"/>
  <c r="BF7" i="85"/>
  <c r="K8" i="85"/>
  <c r="L9" i="85" s="1"/>
  <c r="L8" i="85"/>
  <c r="L65" i="85"/>
  <c r="L80" i="85" s="1"/>
  <c r="L81" i="85" s="1"/>
  <c r="AZ52" i="85"/>
  <c r="BR66" i="85"/>
  <c r="E9" i="85"/>
  <c r="F9" i="85"/>
  <c r="G9" i="85"/>
  <c r="H9" i="85"/>
  <c r="I9" i="85"/>
  <c r="J9" i="85"/>
  <c r="AS9" i="85"/>
  <c r="AT9" i="85"/>
  <c r="AU9" i="85"/>
  <c r="AV9" i="85"/>
  <c r="AX9" i="85"/>
  <c r="AY9" i="85"/>
  <c r="AZ9" i="85"/>
  <c r="BA9" i="85"/>
  <c r="BC9" i="85"/>
  <c r="K11" i="85"/>
  <c r="AW11" i="85" s="1"/>
  <c r="L11" i="85"/>
  <c r="BR90" i="85"/>
  <c r="BS90" i="85"/>
  <c r="AX12" i="85"/>
  <c r="AY12" i="85"/>
  <c r="AZ12" i="85"/>
  <c r="BA12" i="85"/>
  <c r="BC12" i="85"/>
  <c r="BD12" i="85"/>
  <c r="AS13" i="85"/>
  <c r="AT13" i="85"/>
  <c r="AU13" i="85"/>
  <c r="AU23" i="85" s="1"/>
  <c r="AV13" i="85"/>
  <c r="AX13" i="85"/>
  <c r="AX24" i="85" s="1"/>
  <c r="AY13" i="85"/>
  <c r="AY23" i="85" s="1"/>
  <c r="AZ13" i="85"/>
  <c r="BE14" i="85" s="1"/>
  <c r="BA13" i="85"/>
  <c r="BA17" i="85" s="1"/>
  <c r="BA19" i="85" s="1"/>
  <c r="BC13" i="85"/>
  <c r="BC71" i="85"/>
  <c r="AN13" i="85"/>
  <c r="AN38" i="85"/>
  <c r="AO13" i="85"/>
  <c r="AP13" i="85"/>
  <c r="AP38" i="85" s="1"/>
  <c r="AQ13" i="85"/>
  <c r="D14" i="85"/>
  <c r="E14" i="85"/>
  <c r="F14" i="85"/>
  <c r="G14" i="85"/>
  <c r="H14" i="85"/>
  <c r="I14" i="85"/>
  <c r="J14" i="85"/>
  <c r="BJ14" i="85"/>
  <c r="AS16" i="85"/>
  <c r="AS17" i="85"/>
  <c r="AS19" i="85" s="1"/>
  <c r="AS18" i="85" s="1"/>
  <c r="AT16" i="85"/>
  <c r="AU16" i="85"/>
  <c r="AV16" i="85"/>
  <c r="AX16" i="85"/>
  <c r="AY16" i="85"/>
  <c r="AZ16" i="85"/>
  <c r="BA16" i="85"/>
  <c r="BC16" i="85"/>
  <c r="BW17" i="85"/>
  <c r="CB17" i="85" s="1"/>
  <c r="CG17" i="85" s="1"/>
  <c r="CG19" i="85" s="1"/>
  <c r="BX17" i="85"/>
  <c r="BY17" i="85"/>
  <c r="CD17" i="85" s="1"/>
  <c r="BZ17" i="85"/>
  <c r="CE17" i="85" s="1"/>
  <c r="CJ17" i="85" s="1"/>
  <c r="CJ19" i="85" s="1"/>
  <c r="AQ16" i="85"/>
  <c r="AQ17" i="85"/>
  <c r="D17" i="85"/>
  <c r="E17" i="85"/>
  <c r="F17" i="85"/>
  <c r="G17" i="85"/>
  <c r="H17" i="85"/>
  <c r="I17" i="85"/>
  <c r="J17" i="85"/>
  <c r="AX18" i="85"/>
  <c r="AY18" i="85"/>
  <c r="AZ18" i="85"/>
  <c r="BA18" i="85"/>
  <c r="BC18" i="85"/>
  <c r="BC20" i="85"/>
  <c r="BD18" i="85"/>
  <c r="BD19" i="85" s="1"/>
  <c r="CB19" i="85"/>
  <c r="CC19" i="85"/>
  <c r="CD19" i="85"/>
  <c r="CE19" i="85"/>
  <c r="CL19" i="85"/>
  <c r="CM19" i="85"/>
  <c r="CN19" i="85"/>
  <c r="CO19" i="85"/>
  <c r="D20" i="85"/>
  <c r="E20" i="85"/>
  <c r="F20" i="85"/>
  <c r="F28" i="85" s="1"/>
  <c r="G20" i="85"/>
  <c r="H20" i="85"/>
  <c r="I20" i="85"/>
  <c r="J20" i="85"/>
  <c r="J28" i="85" s="1"/>
  <c r="BC23" i="85"/>
  <c r="BE23" i="85"/>
  <c r="BF23" i="85"/>
  <c r="BH23" i="85"/>
  <c r="BI23" i="85"/>
  <c r="BJ23" i="85"/>
  <c r="BW38" i="85"/>
  <c r="CB38" i="85" s="1"/>
  <c r="CG38" i="85" s="1"/>
  <c r="CL38" i="85" s="1"/>
  <c r="CQ38" i="85" s="1"/>
  <c r="CV38" i="85" s="1"/>
  <c r="DA38" i="85" s="1"/>
  <c r="BX38" i="85"/>
  <c r="CC38" i="85" s="1"/>
  <c r="CH38" i="85" s="1"/>
  <c r="CM38" i="85" s="1"/>
  <c r="CR38" i="85" s="1"/>
  <c r="CW38" i="85" s="1"/>
  <c r="DB38" i="85" s="1"/>
  <c r="BY38" i="85"/>
  <c r="CD38" i="85" s="1"/>
  <c r="CI38" i="85" s="1"/>
  <c r="CN38" i="85" s="1"/>
  <c r="CS38" i="85" s="1"/>
  <c r="CX38" i="85" s="1"/>
  <c r="DC38" i="85" s="1"/>
  <c r="AQ23" i="85"/>
  <c r="AQ38" i="85"/>
  <c r="BD39" i="85"/>
  <c r="BE28" i="85"/>
  <c r="BE29" i="85" s="1"/>
  <c r="AQ24" i="85"/>
  <c r="AQ39" i="85" s="1"/>
  <c r="D25" i="85"/>
  <c r="E25" i="85"/>
  <c r="F26" i="85" s="1"/>
  <c r="F25" i="85"/>
  <c r="G26" i="85" s="1"/>
  <c r="G25" i="85"/>
  <c r="H25" i="85"/>
  <c r="H28" i="85"/>
  <c r="H29" i="85" s="1"/>
  <c r="I25" i="85"/>
  <c r="J25" i="85"/>
  <c r="AN25" i="85"/>
  <c r="AO25" i="85"/>
  <c r="AO28" i="85" s="1"/>
  <c r="AP25" i="85"/>
  <c r="BC29" i="85"/>
  <c r="BF29" i="85"/>
  <c r="BH29" i="85"/>
  <c r="BI29" i="85"/>
  <c r="BJ29" i="85"/>
  <c r="K31" i="85"/>
  <c r="BW31" i="85"/>
  <c r="BZ31" i="85" s="1"/>
  <c r="BX31" i="85"/>
  <c r="BY31" i="85"/>
  <c r="K32" i="85"/>
  <c r="L32" i="85"/>
  <c r="W57" i="25" s="1"/>
  <c r="BC32" i="85"/>
  <c r="BD32" i="85"/>
  <c r="BE32" i="85"/>
  <c r="DA57" i="25" s="1"/>
  <c r="BF32" i="85"/>
  <c r="BH32" i="85" s="1"/>
  <c r="BI32" i="85" s="1"/>
  <c r="P32" i="85"/>
  <c r="BS32" i="85" s="1"/>
  <c r="BM32" i="85"/>
  <c r="BN32" i="85"/>
  <c r="BQ32" i="85" s="1"/>
  <c r="BO32" i="85"/>
  <c r="BP32" i="85"/>
  <c r="BE33" i="85"/>
  <c r="BE35" i="85" s="1"/>
  <c r="BF33" i="85"/>
  <c r="BF35" i="85" s="1"/>
  <c r="D38" i="85"/>
  <c r="E38" i="85"/>
  <c r="F38" i="85"/>
  <c r="G38" i="85"/>
  <c r="H38" i="85"/>
  <c r="I38" i="85"/>
  <c r="J38" i="85"/>
  <c r="D39" i="85"/>
  <c r="E39" i="85"/>
  <c r="F39" i="85"/>
  <c r="G39" i="85"/>
  <c r="H39" i="85"/>
  <c r="I39" i="85"/>
  <c r="J39" i="85"/>
  <c r="R44" i="85"/>
  <c r="S45" i="85"/>
  <c r="T45" i="85" s="1"/>
  <c r="U45" i="85" s="1"/>
  <c r="V45" i="85" s="1"/>
  <c r="W45" i="85" s="1"/>
  <c r="X45" i="85" s="1"/>
  <c r="Y45" i="85" s="1"/>
  <c r="Z45" i="85" s="1"/>
  <c r="AA45" i="85" s="1"/>
  <c r="AB45" i="85" s="1"/>
  <c r="AC45" i="85" s="1"/>
  <c r="AD45" i="85" s="1"/>
  <c r="AE45" i="85" s="1"/>
  <c r="AF45" i="85" s="1"/>
  <c r="AG45" i="85" s="1"/>
  <c r="K46" i="85"/>
  <c r="L47" i="85" s="1"/>
  <c r="M46" i="85"/>
  <c r="N46" i="85" s="1"/>
  <c r="L60" i="85"/>
  <c r="L62" i="85" s="1"/>
  <c r="L84" i="85"/>
  <c r="M84" i="85"/>
  <c r="M95" i="85" s="1"/>
  <c r="AS50" i="85"/>
  <c r="AT50" i="85"/>
  <c r="AU50" i="85"/>
  <c r="AV50" i="85"/>
  <c r="AY50" i="85"/>
  <c r="AZ50" i="85"/>
  <c r="AZ54" i="85" s="1"/>
  <c r="BA50" i="85"/>
  <c r="BC50" i="85"/>
  <c r="AX89" i="85"/>
  <c r="M89" i="85"/>
  <c r="M104" i="85" s="1"/>
  <c r="AS52" i="85"/>
  <c r="AT52" i="85"/>
  <c r="AU52" i="85"/>
  <c r="AV52" i="85"/>
  <c r="AY52" i="85"/>
  <c r="BA52" i="85"/>
  <c r="BA53" i="85" s="1"/>
  <c r="BC52" i="85"/>
  <c r="L74" i="85"/>
  <c r="L78" i="85" s="1"/>
  <c r="BD74" i="85"/>
  <c r="BD56" i="85" s="1"/>
  <c r="BE74" i="85"/>
  <c r="BJ74" i="85" s="1"/>
  <c r="BO74" i="85" s="1"/>
  <c r="BT74" i="85" s="1"/>
  <c r="BY74" i="85" s="1"/>
  <c r="CD74" i="85" s="1"/>
  <c r="BF74" i="85"/>
  <c r="M98" i="85"/>
  <c r="M102" i="85" s="1"/>
  <c r="BH74" i="85"/>
  <c r="BH56" i="85" s="1"/>
  <c r="BI98" i="85"/>
  <c r="BN98" i="85" s="1"/>
  <c r="BS98" i="85" s="1"/>
  <c r="BX98" i="85" s="1"/>
  <c r="CC98" i="85" s="1"/>
  <c r="CH98" i="85" s="1"/>
  <c r="CM98" i="85" s="1"/>
  <c r="CR98" i="85" s="1"/>
  <c r="CW98" i="85" s="1"/>
  <c r="DB98" i="85" s="1"/>
  <c r="BJ98" i="85"/>
  <c r="BK98" i="85"/>
  <c r="BM98" i="85"/>
  <c r="AY56" i="85"/>
  <c r="BD57" i="85" s="1"/>
  <c r="AZ56" i="85"/>
  <c r="BA56" i="85"/>
  <c r="BA57" i="85" s="1"/>
  <c r="BC56" i="85"/>
  <c r="AY63" i="85"/>
  <c r="AZ63" i="85"/>
  <c r="BA63" i="85"/>
  <c r="BC63" i="85"/>
  <c r="AX68" i="85"/>
  <c r="BC75" i="85"/>
  <c r="M79" i="85"/>
  <c r="N79" i="85" s="1"/>
  <c r="O79" i="85" s="1"/>
  <c r="P79" i="85" s="1"/>
  <c r="Q79" i="85" s="1"/>
  <c r="R79" i="85" s="1"/>
  <c r="S79" i="85" s="1"/>
  <c r="T79" i="85" s="1"/>
  <c r="U79" i="85" s="1"/>
  <c r="V79" i="85" s="1"/>
  <c r="BD85" i="85"/>
  <c r="BE85" i="85"/>
  <c r="BF85" i="85"/>
  <c r="BH85" i="85"/>
  <c r="BD90" i="85"/>
  <c r="BE90" i="85"/>
  <c r="BF90" i="85"/>
  <c r="BH90" i="85"/>
  <c r="BC92" i="85"/>
  <c r="BD92" i="85"/>
  <c r="BC95" i="85"/>
  <c r="BD95" i="85"/>
  <c r="BD99" i="85"/>
  <c r="BE99" i="85"/>
  <c r="BF99" i="85"/>
  <c r="BH99" i="85"/>
  <c r="AY101" i="85"/>
  <c r="AZ101" i="85"/>
  <c r="BA101" i="85"/>
  <c r="BC101" i="85"/>
  <c r="BD101" i="85"/>
  <c r="BE101" i="85"/>
  <c r="BF101" i="85"/>
  <c r="BH101" i="85"/>
  <c r="AY102" i="85"/>
  <c r="AZ102" i="85"/>
  <c r="BA102" i="85"/>
  <c r="BC102" i="85"/>
  <c r="BD102" i="85"/>
  <c r="BE102" i="85"/>
  <c r="BF102" i="85"/>
  <c r="BH102" i="85"/>
  <c r="AY104" i="85"/>
  <c r="AY105" i="85" s="1"/>
  <c r="AZ104" i="85"/>
  <c r="AZ105" i="85" s="1"/>
  <c r="BA104" i="85"/>
  <c r="BA105" i="85" s="1"/>
  <c r="BC104" i="85"/>
  <c r="BC105" i="85" s="1"/>
  <c r="BD104" i="85"/>
  <c r="BD105" i="85" s="1"/>
  <c r="BE104" i="85"/>
  <c r="BF104" i="85"/>
  <c r="BH104" i="85"/>
  <c r="BK104" i="85"/>
  <c r="I8" i="41"/>
  <c r="J8" i="41"/>
  <c r="AR8" i="41"/>
  <c r="O8" i="41" s="1"/>
  <c r="P8" i="41"/>
  <c r="Q8" i="41"/>
  <c r="R8" i="41"/>
  <c r="S8" i="41"/>
  <c r="T8" i="41"/>
  <c r="AN8" i="41"/>
  <c r="I9" i="41"/>
  <c r="R9" i="41"/>
  <c r="S9" i="41"/>
  <c r="T9" i="41"/>
  <c r="I10" i="41"/>
  <c r="J10" i="41"/>
  <c r="AL10" i="41" s="1"/>
  <c r="R10" i="41"/>
  <c r="S10" i="41"/>
  <c r="T10" i="41"/>
  <c r="I11" i="41"/>
  <c r="AK11" i="41"/>
  <c r="AL11" i="41"/>
  <c r="O11" i="41" s="1"/>
  <c r="AM11" i="41"/>
  <c r="AN11" i="41"/>
  <c r="Q11" i="41" s="1"/>
  <c r="AO11" i="41"/>
  <c r="R11" i="41" s="1"/>
  <c r="AP11" i="41"/>
  <c r="I12" i="41"/>
  <c r="AK12" i="41"/>
  <c r="O12" i="41" s="1"/>
  <c r="AL12" i="41"/>
  <c r="P12" i="41" s="1"/>
  <c r="AM12" i="41"/>
  <c r="Q12" i="41" s="1"/>
  <c r="AN12" i="41"/>
  <c r="R12" i="41" s="1"/>
  <c r="AO12" i="41"/>
  <c r="AP12" i="41"/>
  <c r="I13" i="41"/>
  <c r="AN13" i="41"/>
  <c r="L13" i="41" s="1"/>
  <c r="AO13" i="41"/>
  <c r="M13" i="41" s="1"/>
  <c r="AP13" i="41"/>
  <c r="N13" i="41" s="1"/>
  <c r="O13" i="41"/>
  <c r="P13" i="41"/>
  <c r="Q13" i="41"/>
  <c r="R13" i="41"/>
  <c r="S13" i="41"/>
  <c r="T13" i="41"/>
  <c r="AK13" i="41"/>
  <c r="AL13" i="41"/>
  <c r="AM13" i="41"/>
  <c r="AK14" i="41"/>
  <c r="M14" i="41" s="1"/>
  <c r="AL14" i="41"/>
  <c r="N14" i="41" s="1"/>
  <c r="AM14" i="41"/>
  <c r="O14" i="41" s="1"/>
  <c r="AN14" i="41"/>
  <c r="P14" i="41" s="1"/>
  <c r="AO14" i="41"/>
  <c r="Q14" i="41" s="1"/>
  <c r="R14" i="41"/>
  <c r="S14" i="41"/>
  <c r="T14" i="41"/>
  <c r="AK15" i="41"/>
  <c r="M15" i="41" s="1"/>
  <c r="AL15" i="41"/>
  <c r="AM15" i="41"/>
  <c r="O15" i="41" s="1"/>
  <c r="AN15" i="41"/>
  <c r="P15" i="41" s="1"/>
  <c r="AO15" i="41"/>
  <c r="Q15" i="41" s="1"/>
  <c r="R15" i="41"/>
  <c r="S15" i="41"/>
  <c r="T15" i="41"/>
  <c r="I16" i="41"/>
  <c r="AO16" i="41"/>
  <c r="L16" i="41" s="1"/>
  <c r="AP16" i="41"/>
  <c r="M16" i="41" s="1"/>
  <c r="N16" i="41"/>
  <c r="O16" i="41"/>
  <c r="P16" i="41"/>
  <c r="Q16" i="41"/>
  <c r="R16" i="41"/>
  <c r="S16" i="41"/>
  <c r="T16" i="41"/>
  <c r="AK16" i="41"/>
  <c r="AZ16" i="41" s="1"/>
  <c r="AL16" i="41"/>
  <c r="AM16" i="41"/>
  <c r="AN16" i="41"/>
  <c r="AM17" i="41"/>
  <c r="L17" i="41" s="1"/>
  <c r="AN17" i="41"/>
  <c r="M17" i="41" s="1"/>
  <c r="AO17" i="41"/>
  <c r="N17" i="41" s="1"/>
  <c r="AP17" i="41"/>
  <c r="AQ17" i="41"/>
  <c r="P17" i="41" s="1"/>
  <c r="AR17" i="41"/>
  <c r="Q17" i="41" s="1"/>
  <c r="R17" i="41"/>
  <c r="S17" i="41"/>
  <c r="T17" i="41"/>
  <c r="AK17" i="41"/>
  <c r="AL17" i="41"/>
  <c r="I18" i="41"/>
  <c r="AL18" i="41"/>
  <c r="L18" i="41" s="1"/>
  <c r="M18" i="41"/>
  <c r="N18" i="41"/>
  <c r="O18" i="41"/>
  <c r="P18" i="41"/>
  <c r="Q18" i="41"/>
  <c r="R18" i="41"/>
  <c r="S18" i="41"/>
  <c r="T18" i="41"/>
  <c r="AK18" i="41"/>
  <c r="I19" i="41"/>
  <c r="AL19" i="41"/>
  <c r="L19" i="41" s="1"/>
  <c r="AM19" i="41"/>
  <c r="M19" i="41" s="1"/>
  <c r="C11" i="38" s="1"/>
  <c r="AN19" i="41"/>
  <c r="N19" i="41" s="1"/>
  <c r="D11" i="38" s="1"/>
  <c r="O19" i="41"/>
  <c r="P19" i="41"/>
  <c r="Q19" i="41"/>
  <c r="R19" i="41"/>
  <c r="S19" i="41"/>
  <c r="T19" i="41"/>
  <c r="AK19" i="41"/>
  <c r="I20" i="41"/>
  <c r="J20" i="41" s="1"/>
  <c r="M20" i="41"/>
  <c r="N20" i="41"/>
  <c r="O20" i="41"/>
  <c r="P20" i="41"/>
  <c r="R20" i="41"/>
  <c r="S20" i="41"/>
  <c r="T20" i="41"/>
  <c r="I21" i="41"/>
  <c r="AK21" i="41"/>
  <c r="P21" i="41"/>
  <c r="Q21" i="41"/>
  <c r="R21" i="41"/>
  <c r="S21" i="41"/>
  <c r="T21" i="41"/>
  <c r="AK22" i="41"/>
  <c r="AZ22" i="41" s="1"/>
  <c r="M22" i="41"/>
  <c r="N22" i="41"/>
  <c r="O22" i="41"/>
  <c r="P22" i="41"/>
  <c r="Q22" i="41"/>
  <c r="R22" i="41"/>
  <c r="S22" i="41"/>
  <c r="T22" i="41"/>
  <c r="I23" i="41"/>
  <c r="J23" i="41"/>
  <c r="AK23" i="41"/>
  <c r="N23" i="41" s="1"/>
  <c r="P23" i="41"/>
  <c r="Q23" i="41"/>
  <c r="R23" i="41"/>
  <c r="S23" i="41"/>
  <c r="T23" i="41"/>
  <c r="I24" i="41"/>
  <c r="AK24" i="41"/>
  <c r="N24" i="41" s="1"/>
  <c r="AL24" i="41"/>
  <c r="O24" i="41" s="1"/>
  <c r="AM24" i="41"/>
  <c r="P24" i="41" s="1"/>
  <c r="Q24" i="41"/>
  <c r="R24" i="41"/>
  <c r="S24" i="41"/>
  <c r="T24" i="41"/>
  <c r="I25" i="41"/>
  <c r="AK25" i="41"/>
  <c r="M25" i="41" s="1"/>
  <c r="AL25" i="41"/>
  <c r="N25" i="41" s="1"/>
  <c r="O25" i="41"/>
  <c r="P25" i="41"/>
  <c r="Q25" i="41"/>
  <c r="R25" i="41"/>
  <c r="S25" i="41"/>
  <c r="T25" i="41"/>
  <c r="AK26" i="41"/>
  <c r="AL26" i="41"/>
  <c r="N26" i="41" s="1"/>
  <c r="AM26" i="41"/>
  <c r="O26" i="41" s="1"/>
  <c r="AN26" i="41"/>
  <c r="P26" i="41" s="1"/>
  <c r="Q26" i="41"/>
  <c r="R26" i="41"/>
  <c r="S26" i="41"/>
  <c r="T26" i="41"/>
  <c r="I27" i="41"/>
  <c r="AZ27" i="41" s="1"/>
  <c r="AK27" i="41"/>
  <c r="M27" i="41" s="1"/>
  <c r="N27" i="41"/>
  <c r="O27" i="41"/>
  <c r="P27" i="41"/>
  <c r="Q27" i="41"/>
  <c r="R27" i="41"/>
  <c r="S27" i="41"/>
  <c r="T27" i="41"/>
  <c r="I28" i="41"/>
  <c r="AK28" i="41"/>
  <c r="AL28" i="41"/>
  <c r="AM28" i="41"/>
  <c r="Q28" i="41" s="1"/>
  <c r="AN28" i="41"/>
  <c r="R28" i="41" s="1"/>
  <c r="AO28" i="41"/>
  <c r="S28" i="41"/>
  <c r="AP28" i="41"/>
  <c r="T28" i="41" s="1"/>
  <c r="I29" i="41"/>
  <c r="AZ29" i="41" s="1"/>
  <c r="AK29" i="41"/>
  <c r="N29" i="41" s="1"/>
  <c r="O29" i="41"/>
  <c r="P29" i="41"/>
  <c r="Q29" i="41"/>
  <c r="R29" i="41"/>
  <c r="S29" i="41"/>
  <c r="T29" i="41"/>
  <c r="I30" i="41"/>
  <c r="AK30" i="41"/>
  <c r="O30" i="41" s="1"/>
  <c r="AL30" i="41"/>
  <c r="P30" i="41" s="1"/>
  <c r="AM30" i="41"/>
  <c r="Q30" i="41" s="1"/>
  <c r="R30" i="41"/>
  <c r="S30" i="41"/>
  <c r="T30" i="41"/>
  <c r="I31" i="41"/>
  <c r="AK31" i="41"/>
  <c r="AL31" i="41"/>
  <c r="R31" i="41" s="1"/>
  <c r="AM31" i="41"/>
  <c r="AN31" i="41"/>
  <c r="T31" i="41" s="1"/>
  <c r="AO31" i="41"/>
  <c r="U31" i="41" s="1"/>
  <c r="AP31" i="41"/>
  <c r="V31" i="41" s="1"/>
  <c r="AQ31" i="41"/>
  <c r="W31" i="41" s="1"/>
  <c r="AR31" i="41"/>
  <c r="X31" i="41" s="1"/>
  <c r="AS31" i="41"/>
  <c r="Y31" i="41" s="1"/>
  <c r="AT31" i="41"/>
  <c r="Z31" i="41" s="1"/>
  <c r="AU31" i="41"/>
  <c r="AA31" i="41" s="1"/>
  <c r="AV31" i="41"/>
  <c r="AB31" i="41" s="1"/>
  <c r="AW31" i="41"/>
  <c r="AC31" i="41" s="1"/>
  <c r="I32" i="41"/>
  <c r="AK32" i="41"/>
  <c r="Q32" i="41"/>
  <c r="AL32" i="41"/>
  <c r="R32" i="41" s="1"/>
  <c r="AM32" i="41"/>
  <c r="S32" i="41" s="1"/>
  <c r="AN32" i="41"/>
  <c r="T32" i="41" s="1"/>
  <c r="AO32" i="41"/>
  <c r="U32" i="41" s="1"/>
  <c r="AP32" i="41"/>
  <c r="V32" i="41" s="1"/>
  <c r="AQ32" i="41"/>
  <c r="W32" i="41" s="1"/>
  <c r="AR32" i="41"/>
  <c r="X32" i="41" s="1"/>
  <c r="AS32" i="41"/>
  <c r="Y32" i="41" s="1"/>
  <c r="AT32" i="41"/>
  <c r="Z32" i="41" s="1"/>
  <c r="AU32" i="41"/>
  <c r="AA32" i="41" s="1"/>
  <c r="AV32" i="41"/>
  <c r="AB32" i="41" s="1"/>
  <c r="AW32" i="41"/>
  <c r="AC32" i="41" s="1"/>
  <c r="I33" i="41"/>
  <c r="AK33" i="41"/>
  <c r="R33" i="41" s="1"/>
  <c r="AL33" i="41"/>
  <c r="S33" i="41" s="1"/>
  <c r="AM33" i="41"/>
  <c r="T33" i="41" s="1"/>
  <c r="AN33" i="41"/>
  <c r="U33" i="41" s="1"/>
  <c r="AO33" i="41"/>
  <c r="V33" i="41" s="1"/>
  <c r="I34" i="41"/>
  <c r="AK34" i="41"/>
  <c r="Q34" i="41" s="1"/>
  <c r="AL34" i="41"/>
  <c r="R34" i="41" s="1"/>
  <c r="AM34" i="41"/>
  <c r="AZ34" i="41" s="1"/>
  <c r="AN34" i="41"/>
  <c r="T34" i="41" s="1"/>
  <c r="U34" i="41"/>
  <c r="I35" i="41"/>
  <c r="AK35" i="41"/>
  <c r="R35" i="41" s="1"/>
  <c r="AL35" i="41"/>
  <c r="S35" i="41" s="1"/>
  <c r="AM35" i="41"/>
  <c r="T35" i="41" s="1"/>
  <c r="AN35" i="41"/>
  <c r="U35" i="41" s="1"/>
  <c r="AO35" i="41"/>
  <c r="V35" i="41" s="1"/>
  <c r="AP35" i="41"/>
  <c r="W35" i="41" s="1"/>
  <c r="AQ35" i="41"/>
  <c r="X35" i="41" s="1"/>
  <c r="AR35" i="41"/>
  <c r="Y35" i="41" s="1"/>
  <c r="AS35" i="41"/>
  <c r="Z35" i="41" s="1"/>
  <c r="AT35" i="41"/>
  <c r="AA35" i="41" s="1"/>
  <c r="AU35" i="41"/>
  <c r="AB35" i="41" s="1"/>
  <c r="AV35" i="41"/>
  <c r="AC35" i="41" s="1"/>
  <c r="AW35" i="41"/>
  <c r="AD35" i="41" s="1"/>
  <c r="I36" i="41"/>
  <c r="AK36" i="41"/>
  <c r="S36" i="41" s="1"/>
  <c r="AL36" i="41"/>
  <c r="T36" i="41"/>
  <c r="AM36" i="41"/>
  <c r="U36" i="41" s="1"/>
  <c r="AN36" i="41"/>
  <c r="V36" i="41" s="1"/>
  <c r="AO36" i="41"/>
  <c r="W36" i="41" s="1"/>
  <c r="AP36" i="41"/>
  <c r="AQ36" i="41"/>
  <c r="AK37" i="41"/>
  <c r="T37" i="41" s="1"/>
  <c r="AL37" i="41"/>
  <c r="U37" i="41" s="1"/>
  <c r="AM37" i="41"/>
  <c r="V37" i="41" s="1"/>
  <c r="AN37" i="41"/>
  <c r="W37" i="41" s="1"/>
  <c r="X37" i="41"/>
  <c r="Y37" i="41"/>
  <c r="Z37" i="41"/>
  <c r="AA37" i="41"/>
  <c r="AB37" i="41"/>
  <c r="AC37" i="41"/>
  <c r="AK38" i="41"/>
  <c r="T38" i="41" s="1"/>
  <c r="AL38" i="41"/>
  <c r="U38" i="41" s="1"/>
  <c r="AM38" i="41"/>
  <c r="V38" i="41" s="1"/>
  <c r="AK39" i="41"/>
  <c r="T39" i="41" s="1"/>
  <c r="AL39" i="41"/>
  <c r="U39" i="41" s="1"/>
  <c r="AM39" i="41"/>
  <c r="V39" i="41" s="1"/>
  <c r="AN39" i="41"/>
  <c r="W39" i="41" s="1"/>
  <c r="AO39" i="41"/>
  <c r="X39" i="41" s="1"/>
  <c r="AP39" i="41"/>
  <c r="Y39" i="41" s="1"/>
  <c r="AQ39" i="41"/>
  <c r="AR39" i="41"/>
  <c r="AS39" i="41"/>
  <c r="AT39" i="41"/>
  <c r="AK40" i="41"/>
  <c r="T40" i="41" s="1"/>
  <c r="AL40" i="41"/>
  <c r="U40" i="41" s="1"/>
  <c r="AM40" i="41"/>
  <c r="V40" i="41" s="1"/>
  <c r="AK41" i="41"/>
  <c r="T41" i="41" s="1"/>
  <c r="AL41" i="41"/>
  <c r="U41" i="41" s="1"/>
  <c r="AM41" i="41"/>
  <c r="I42" i="41"/>
  <c r="AK42" i="41" s="1"/>
  <c r="X42" i="41" s="1"/>
  <c r="AL42" i="41"/>
  <c r="Y42" i="41" s="1"/>
  <c r="AM42" i="41"/>
  <c r="Z42" i="41" s="1"/>
  <c r="AN42" i="41"/>
  <c r="AA42" i="41" s="1"/>
  <c r="AO42" i="41"/>
  <c r="AB42" i="41" s="1"/>
  <c r="AP42" i="41"/>
  <c r="AC42" i="41" s="1"/>
  <c r="AQ42" i="41"/>
  <c r="AD42" i="41" s="1"/>
  <c r="I43" i="41"/>
  <c r="AK43" i="41" s="1"/>
  <c r="Y43" i="41" s="1"/>
  <c r="AL43" i="41"/>
  <c r="Z43" i="41" s="1"/>
  <c r="AM43" i="41"/>
  <c r="AA43" i="41" s="1"/>
  <c r="AN43" i="41"/>
  <c r="AB43" i="41" s="1"/>
  <c r="AO43" i="41"/>
  <c r="AC43" i="41" s="1"/>
  <c r="AP43" i="41"/>
  <c r="AD43" i="41" s="1"/>
  <c r="AQ43" i="41"/>
  <c r="AE43" i="41" s="1"/>
  <c r="I44" i="41"/>
  <c r="AK44" i="41" s="1"/>
  <c r="Y44" i="41" s="1"/>
  <c r="AL44" i="41"/>
  <c r="Z44" i="41" s="1"/>
  <c r="AM44" i="41"/>
  <c r="AA44" i="41" s="1"/>
  <c r="AN44" i="41"/>
  <c r="AB44" i="41" s="1"/>
  <c r="AO44" i="41"/>
  <c r="AC44" i="41" s="1"/>
  <c r="AP44" i="41"/>
  <c r="AD44" i="41" s="1"/>
  <c r="AQ44" i="41"/>
  <c r="AE44" i="41" s="1"/>
  <c r="AK45" i="41"/>
  <c r="X45" i="41" s="1"/>
  <c r="AL45" i="41"/>
  <c r="Y45" i="41" s="1"/>
  <c r="AM45" i="41"/>
  <c r="Z45" i="41" s="1"/>
  <c r="AN45" i="41"/>
  <c r="AA45" i="41" s="1"/>
  <c r="AO45" i="41"/>
  <c r="AB45" i="41" s="1"/>
  <c r="AP45" i="41"/>
  <c r="AC45" i="41" s="1"/>
  <c r="AK46" i="41"/>
  <c r="Y46" i="41" s="1"/>
  <c r="AL46" i="41"/>
  <c r="Z46" i="41" s="1"/>
  <c r="AM46" i="41"/>
  <c r="AA46" i="41" s="1"/>
  <c r="AN46" i="41"/>
  <c r="AB46" i="41" s="1"/>
  <c r="AO46" i="41"/>
  <c r="AC46" i="41" s="1"/>
  <c r="AP46" i="41"/>
  <c r="AD46" i="41" s="1"/>
  <c r="AQ46" i="41"/>
  <c r="AE46" i="41" s="1"/>
  <c r="AB47" i="41"/>
  <c r="AK49" i="41"/>
  <c r="AA49" i="41" s="1"/>
  <c r="AL49" i="41"/>
  <c r="AB49" i="41" s="1"/>
  <c r="AM49" i="41"/>
  <c r="AC49" i="41" s="1"/>
  <c r="AN49" i="41"/>
  <c r="AD49" i="41" s="1"/>
  <c r="AO49" i="41"/>
  <c r="AE49" i="41" s="1"/>
  <c r="AP49" i="41"/>
  <c r="AQ49" i="41"/>
  <c r="V50" i="41"/>
  <c r="I51" i="41"/>
  <c r="W51" i="41" s="1"/>
  <c r="I66" i="41"/>
  <c r="AK66" i="41" s="1"/>
  <c r="AL66" i="41"/>
  <c r="Y66" i="41" s="1"/>
  <c r="AM66" i="41"/>
  <c r="Z66" i="41" s="1"/>
  <c r="AN66" i="41"/>
  <c r="AA66" i="41" s="1"/>
  <c r="AO66" i="41"/>
  <c r="AB66" i="41" s="1"/>
  <c r="AP66" i="41"/>
  <c r="AC66" i="41" s="1"/>
  <c r="AQ66" i="41"/>
  <c r="AD66" i="41" s="1"/>
  <c r="AR66" i="41"/>
  <c r="AE66" i="41" s="1"/>
  <c r="I67" i="41"/>
  <c r="AK67" i="41" s="1"/>
  <c r="AL67" i="41"/>
  <c r="Y67" i="41" s="1"/>
  <c r="AM67" i="41"/>
  <c r="Z67" i="41" s="1"/>
  <c r="AN67" i="41"/>
  <c r="AA67" i="41" s="1"/>
  <c r="AO67" i="41"/>
  <c r="AB67" i="41" s="1"/>
  <c r="AP67" i="41"/>
  <c r="AC67" i="41" s="1"/>
  <c r="AQ67" i="41"/>
  <c r="AD67" i="41" s="1"/>
  <c r="AR67" i="41"/>
  <c r="AE67" i="41" s="1"/>
  <c r="I68" i="41"/>
  <c r="J68" i="41"/>
  <c r="AS68" i="41" s="1"/>
  <c r="J69" i="41"/>
  <c r="AS69" i="41" s="1"/>
  <c r="Z70" i="41"/>
  <c r="AA70" i="41"/>
  <c r="AO70" i="41"/>
  <c r="AB70" i="41" s="1"/>
  <c r="AC70" i="41"/>
  <c r="Y71" i="41"/>
  <c r="Y72" i="41"/>
  <c r="Z72" i="41" s="1"/>
  <c r="Y73" i="41"/>
  <c r="Z73" i="41" s="1"/>
  <c r="Y74" i="41"/>
  <c r="Y75" i="41"/>
  <c r="Y76" i="41"/>
  <c r="AA76" i="41"/>
  <c r="AB76" i="41" s="1"/>
  <c r="X84" i="41"/>
  <c r="L85" i="41"/>
  <c r="M85" i="41"/>
  <c r="N85" i="41"/>
  <c r="O85" i="41"/>
  <c r="P85" i="41"/>
  <c r="Q85" i="41"/>
  <c r="R85" i="41"/>
  <c r="S85" i="41"/>
  <c r="T85" i="41"/>
  <c r="U85" i="41"/>
  <c r="V85" i="41"/>
  <c r="W85" i="41"/>
  <c r="I88" i="41"/>
  <c r="J88" i="41"/>
  <c r="I89" i="41"/>
  <c r="J89" i="41"/>
  <c r="I90" i="41"/>
  <c r="J90" i="41"/>
  <c r="S90" i="41"/>
  <c r="T90" i="41"/>
  <c r="U90" i="41"/>
  <c r="V90" i="41"/>
  <c r="W90" i="41"/>
  <c r="X90" i="41"/>
  <c r="J91" i="41"/>
  <c r="AL91" i="41" s="1"/>
  <c r="U91" i="41" s="1"/>
  <c r="W91" i="41"/>
  <c r="X91" i="41"/>
  <c r="Y91" i="41"/>
  <c r="Z91" i="41"/>
  <c r="AA91" i="41"/>
  <c r="AB91" i="41"/>
  <c r="AC91" i="41"/>
  <c r="AP104" i="41"/>
  <c r="AP108" i="41"/>
  <c r="AR104" i="41"/>
  <c r="AU104" i="41"/>
  <c r="AR105" i="41"/>
  <c r="AU105" i="41"/>
  <c r="AU108" i="41" s="1"/>
  <c r="AR106" i="41"/>
  <c r="AU106" i="41"/>
  <c r="AT107" i="41"/>
  <c r="AU107" i="41"/>
  <c r="AV107" i="41" s="1"/>
  <c r="AO108" i="41"/>
  <c r="AQ108" i="41"/>
  <c r="AS108" i="41"/>
  <c r="AR111" i="41"/>
  <c r="AT111" i="41" s="1"/>
  <c r="AU111" i="41"/>
  <c r="O7" i="40"/>
  <c r="P7" i="40"/>
  <c r="K8" i="40"/>
  <c r="L8" i="40"/>
  <c r="K9" i="40"/>
  <c r="Q10" i="40"/>
  <c r="R10" i="40"/>
  <c r="S10" i="40"/>
  <c r="T10" i="40"/>
  <c r="U10" i="40"/>
  <c r="V10" i="40"/>
  <c r="W10" i="40"/>
  <c r="K11" i="40"/>
  <c r="J11" i="40"/>
  <c r="I11" i="40" s="1"/>
  <c r="K12" i="40"/>
  <c r="J12" i="40" s="1"/>
  <c r="K13" i="40"/>
  <c r="L13" i="40" s="1"/>
  <c r="K14" i="40"/>
  <c r="L14" i="40" s="1"/>
  <c r="M14" i="40" s="1"/>
  <c r="N14" i="40" s="1"/>
  <c r="O14" i="40" s="1"/>
  <c r="P14" i="40" s="1"/>
  <c r="Q14" i="40" s="1"/>
  <c r="R14" i="40" s="1"/>
  <c r="S14" i="40" s="1"/>
  <c r="T14" i="40" s="1"/>
  <c r="U14" i="40" s="1"/>
  <c r="V14" i="40" s="1"/>
  <c r="W14" i="40" s="1"/>
  <c r="M15" i="40"/>
  <c r="N15" i="40"/>
  <c r="J16" i="40"/>
  <c r="I16" i="40"/>
  <c r="L16" i="40"/>
  <c r="M16" i="40"/>
  <c r="N16" i="40" s="1"/>
  <c r="O16" i="40" s="1"/>
  <c r="L17" i="40"/>
  <c r="M17" i="40"/>
  <c r="N17" i="40" s="1"/>
  <c r="O17" i="40" s="1"/>
  <c r="P17" i="40" s="1"/>
  <c r="Q17" i="40" s="1"/>
  <c r="R17" i="40" s="1"/>
  <c r="S17" i="40" s="1"/>
  <c r="T17" i="40" s="1"/>
  <c r="U17" i="40" s="1"/>
  <c r="V17" i="40" s="1"/>
  <c r="W17" i="40" s="1"/>
  <c r="K21" i="40"/>
  <c r="J21" i="40"/>
  <c r="I21" i="40" s="1"/>
  <c r="L21" i="40"/>
  <c r="Q22" i="40"/>
  <c r="R22" i="40"/>
  <c r="S22" i="40" s="1"/>
  <c r="K23" i="40"/>
  <c r="L23" i="40" s="1"/>
  <c r="K24" i="40"/>
  <c r="L24" i="40" s="1"/>
  <c r="G25" i="40"/>
  <c r="K25" i="40" s="1"/>
  <c r="J26" i="40"/>
  <c r="I26" i="40" s="1"/>
  <c r="L26" i="40"/>
  <c r="M26" i="40" s="1"/>
  <c r="N26" i="40" s="1"/>
  <c r="K27" i="40"/>
  <c r="L27" i="40"/>
  <c r="M27" i="40" s="1"/>
  <c r="N27" i="40" s="1"/>
  <c r="O27" i="40" s="1"/>
  <c r="P27" i="40" s="1"/>
  <c r="Q27" i="40" s="1"/>
  <c r="R27" i="40" s="1"/>
  <c r="S27" i="40" s="1"/>
  <c r="T27" i="40" s="1"/>
  <c r="U27" i="40" s="1"/>
  <c r="V27" i="40" s="1"/>
  <c r="W27" i="40" s="1"/>
  <c r="J29" i="40"/>
  <c r="I29" i="40" s="1"/>
  <c r="J32" i="40"/>
  <c r="AE165" i="39"/>
  <c r="AF141" i="39"/>
  <c r="AE166" i="39"/>
  <c r="AF142" i="39"/>
  <c r="AA287" i="39"/>
  <c r="AB259" i="39"/>
  <c r="AA291" i="39"/>
  <c r="AB249" i="39"/>
  <c r="AA285" i="39"/>
  <c r="AB251" i="39"/>
  <c r="AD197" i="39"/>
  <c r="AE172" i="39"/>
  <c r="AA294" i="39"/>
  <c r="AB262" i="39"/>
  <c r="AC214" i="39"/>
  <c r="AD187" i="39"/>
  <c r="BN152" i="39"/>
  <c r="BN153" i="39"/>
  <c r="BN154" i="39"/>
  <c r="BM162" i="39"/>
  <c r="BM163" i="39"/>
  <c r="BM164" i="39"/>
  <c r="AC222" i="39"/>
  <c r="BK222" i="39"/>
  <c r="AA288" i="39"/>
  <c r="AB250" i="39"/>
  <c r="BM178" i="39"/>
  <c r="BM179" i="39"/>
  <c r="BM181" i="39"/>
  <c r="BM182" i="39"/>
  <c r="AC216" i="39"/>
  <c r="BK216" i="39"/>
  <c r="AB256" i="39"/>
  <c r="AC225" i="39"/>
  <c r="AA284" i="39"/>
  <c r="AB258" i="39"/>
  <c r="AD198" i="39"/>
  <c r="BL198" i="39"/>
  <c r="AC235" i="39"/>
  <c r="AD200" i="39"/>
  <c r="BL200" i="39" s="1"/>
  <c r="AC238" i="39"/>
  <c r="BK238" i="39" s="1"/>
  <c r="AD203" i="39"/>
  <c r="AE177" i="39" s="1"/>
  <c r="BL204" i="39"/>
  <c r="BL205" i="39"/>
  <c r="BL206" i="39"/>
  <c r="BL207" i="39"/>
  <c r="BL208" i="39"/>
  <c r="BL209" i="39"/>
  <c r="BL210" i="39"/>
  <c r="BL211" i="39"/>
  <c r="BK215" i="39"/>
  <c r="AA286" i="39"/>
  <c r="AB247" i="39"/>
  <c r="BJ247" i="39" s="1"/>
  <c r="AA281" i="39"/>
  <c r="BI281" i="39" s="1"/>
  <c r="AC223" i="39"/>
  <c r="BK223" i="39" s="1"/>
  <c r="AA293" i="39"/>
  <c r="AB255" i="39" s="1"/>
  <c r="BK227" i="39"/>
  <c r="BK229" i="39"/>
  <c r="AC230" i="39"/>
  <c r="BK230" i="39" s="1"/>
  <c r="BK231" i="39"/>
  <c r="AC232" i="39"/>
  <c r="BK232" i="39"/>
  <c r="AC234" i="39"/>
  <c r="BK234" i="39"/>
  <c r="BK236" i="39"/>
  <c r="BK237" i="39"/>
  <c r="BK239" i="39"/>
  <c r="BK240" i="39"/>
  <c r="BK241" i="39"/>
  <c r="BJ244" i="39"/>
  <c r="BJ245" i="39"/>
  <c r="BJ246" i="39"/>
  <c r="AA280" i="39"/>
  <c r="AB252" i="39"/>
  <c r="BJ252" i="39" s="1"/>
  <c r="BJ253" i="39"/>
  <c r="BJ254" i="39"/>
  <c r="BJ257" i="39"/>
  <c r="BJ260" i="39"/>
  <c r="BJ261" i="39"/>
  <c r="BJ263" i="39"/>
  <c r="BJ264" i="39"/>
  <c r="BJ265" i="39"/>
  <c r="AA295" i="39"/>
  <c r="AB266" i="39" s="1"/>
  <c r="BJ266" i="39" s="1"/>
  <c r="AA290" i="39"/>
  <c r="AB267" i="39"/>
  <c r="BJ267" i="39" s="1"/>
  <c r="BJ268" i="39"/>
  <c r="BI271" i="39"/>
  <c r="CQ271" i="39"/>
  <c r="BI272" i="39"/>
  <c r="CQ272" i="39"/>
  <c r="BI273" i="39"/>
  <c r="CQ273" i="39"/>
  <c r="BI274" i="39"/>
  <c r="CQ274" i="39"/>
  <c r="BI275" i="39"/>
  <c r="CQ275" i="39"/>
  <c r="BI276" i="39"/>
  <c r="CQ276" i="39"/>
  <c r="BI277" i="39"/>
  <c r="CQ277" i="39"/>
  <c r="BI278" i="39"/>
  <c r="CQ278" i="39"/>
  <c r="AA279" i="39"/>
  <c r="BI279" i="39"/>
  <c r="CQ279" i="39"/>
  <c r="CN280" i="39"/>
  <c r="DD280" i="39" s="1"/>
  <c r="CO280" i="39"/>
  <c r="CQ280" i="39"/>
  <c r="CO281" i="39"/>
  <c r="CP281" i="39"/>
  <c r="CQ281" i="39"/>
  <c r="AA282" i="39"/>
  <c r="BI282" i="39"/>
  <c r="CO282" i="39"/>
  <c r="CP282" i="39"/>
  <c r="CQ282" i="39"/>
  <c r="AA283" i="39"/>
  <c r="BI283" i="39" s="1"/>
  <c r="CM283" i="39"/>
  <c r="DC283" i="39" s="1"/>
  <c r="CN283" i="39"/>
  <c r="CO283" i="39"/>
  <c r="CP283" i="39"/>
  <c r="CQ283" i="39"/>
  <c r="DA283" i="39"/>
  <c r="DB283" i="39"/>
  <c r="CO284" i="39"/>
  <c r="CP284" i="39"/>
  <c r="CQ284" i="39"/>
  <c r="CK285" i="39"/>
  <c r="DA285" i="39"/>
  <c r="CL285" i="39"/>
  <c r="DB285" i="39"/>
  <c r="CM285" i="39"/>
  <c r="DC285" i="39"/>
  <c r="CN285" i="39"/>
  <c r="CO285" i="39"/>
  <c r="CP285" i="39"/>
  <c r="CQ285" i="39"/>
  <c r="DD285" i="39"/>
  <c r="CK286" i="39"/>
  <c r="DA286" i="39" s="1"/>
  <c r="CL286" i="39"/>
  <c r="DB286" i="39" s="1"/>
  <c r="CM286" i="39"/>
  <c r="DC286" i="39" s="1"/>
  <c r="CN286" i="39"/>
  <c r="DD286" i="39" s="1"/>
  <c r="CO286" i="39"/>
  <c r="CP286" i="39"/>
  <c r="CQ286" i="39"/>
  <c r="CK287" i="39"/>
  <c r="DA287" i="39"/>
  <c r="CL287" i="39"/>
  <c r="DB287" i="39"/>
  <c r="CM287" i="39"/>
  <c r="DC287" i="39"/>
  <c r="CN287" i="39"/>
  <c r="CO287" i="39"/>
  <c r="CP287" i="39"/>
  <c r="CQ287" i="39"/>
  <c r="DD287" i="39"/>
  <c r="CK288" i="39"/>
  <c r="DA288" i="39" s="1"/>
  <c r="CL288" i="39"/>
  <c r="DB288" i="39" s="1"/>
  <c r="CM288" i="39"/>
  <c r="DC288" i="39" s="1"/>
  <c r="CN288" i="39"/>
  <c r="CO288" i="39"/>
  <c r="CP288" i="39"/>
  <c r="CQ288" i="39"/>
  <c r="DD288" i="39"/>
  <c r="BI289" i="39"/>
  <c r="CK289" i="39"/>
  <c r="DA289" i="39" s="1"/>
  <c r="CL289" i="39"/>
  <c r="CM289" i="39"/>
  <c r="DC289" i="39"/>
  <c r="CN289" i="39"/>
  <c r="DD289" i="39"/>
  <c r="CO289" i="39"/>
  <c r="CP289" i="39"/>
  <c r="CQ289" i="39"/>
  <c r="CK290" i="39"/>
  <c r="DA290" i="39" s="1"/>
  <c r="CL290" i="39"/>
  <c r="DB290" i="39" s="1"/>
  <c r="CM290" i="39"/>
  <c r="DC290" i="39" s="1"/>
  <c r="CN290" i="39"/>
  <c r="DD290" i="39" s="1"/>
  <c r="CO290" i="39"/>
  <c r="CP290" i="39"/>
  <c r="CK291" i="39"/>
  <c r="DA291" i="39" s="1"/>
  <c r="CL291" i="39"/>
  <c r="DB291" i="39" s="1"/>
  <c r="CM291" i="39"/>
  <c r="DC291" i="39" s="1"/>
  <c r="CN291" i="39"/>
  <c r="DD291" i="39" s="1"/>
  <c r="CO291" i="39"/>
  <c r="CP291" i="39"/>
  <c r="CQ291" i="39"/>
  <c r="AA292" i="39"/>
  <c r="BI292" i="39"/>
  <c r="CK292" i="39"/>
  <c r="DA292" i="39"/>
  <c r="CL292" i="39"/>
  <c r="DB292" i="39"/>
  <c r="CM292" i="39"/>
  <c r="DC292" i="39"/>
  <c r="CN292" i="39"/>
  <c r="CO292" i="39"/>
  <c r="CP292" i="39"/>
  <c r="CQ292" i="39"/>
  <c r="DD292" i="39"/>
  <c r="CK293" i="39"/>
  <c r="CL293" i="39"/>
  <c r="CM293" i="39"/>
  <c r="CN293" i="39"/>
  <c r="CO293" i="39"/>
  <c r="CP293" i="39"/>
  <c r="CQ293" i="39"/>
  <c r="CK294" i="39"/>
  <c r="CL294" i="39"/>
  <c r="CM294" i="39"/>
  <c r="CN294" i="39"/>
  <c r="CO294" i="39"/>
  <c r="CP294" i="39"/>
  <c r="CQ294" i="39"/>
  <c r="BH299" i="39"/>
  <c r="CN299" i="39"/>
  <c r="DD299" i="39"/>
  <c r="CO299" i="39"/>
  <c r="BH300" i="39"/>
  <c r="CP300" i="39"/>
  <c r="BH301" i="39"/>
  <c r="CP301" i="39"/>
  <c r="BH302" i="39"/>
  <c r="CM302" i="39"/>
  <c r="DC302" i="39"/>
  <c r="CN302" i="39"/>
  <c r="CO302" i="39"/>
  <c r="DA302" i="39"/>
  <c r="DB302" i="39"/>
  <c r="BH303" i="39"/>
  <c r="CP303" i="39"/>
  <c r="BH304" i="39"/>
  <c r="CK304" i="39"/>
  <c r="DA304" i="39" s="1"/>
  <c r="CL304" i="39"/>
  <c r="DB304" i="39" s="1"/>
  <c r="CM304" i="39"/>
  <c r="DC304" i="39" s="1"/>
  <c r="CN304" i="39"/>
  <c r="DD304" i="39" s="1"/>
  <c r="CO304" i="39"/>
  <c r="CP304" i="39"/>
  <c r="BH305" i="39"/>
  <c r="CK305" i="39"/>
  <c r="DA305" i="39"/>
  <c r="CL305" i="39"/>
  <c r="DB305" i="39"/>
  <c r="CM305" i="39"/>
  <c r="DC305" i="39"/>
  <c r="CN305" i="39"/>
  <c r="DD305" i="39"/>
  <c r="CO305" i="39"/>
  <c r="CP305" i="39"/>
  <c r="BH306" i="39"/>
  <c r="CK306" i="39"/>
  <c r="DA306" i="39" s="1"/>
  <c r="CL306" i="39"/>
  <c r="DB306" i="39" s="1"/>
  <c r="CM306" i="39"/>
  <c r="DC306" i="39" s="1"/>
  <c r="CN306" i="39"/>
  <c r="DD306" i="39" s="1"/>
  <c r="CO306" i="39"/>
  <c r="CP306" i="39"/>
  <c r="BH307" i="39"/>
  <c r="CK307" i="39"/>
  <c r="DA307" i="39"/>
  <c r="CL307" i="39"/>
  <c r="DB307" i="39"/>
  <c r="CM307" i="39"/>
  <c r="DC307" i="39"/>
  <c r="CN307" i="39"/>
  <c r="DD307" i="39"/>
  <c r="CO307" i="39"/>
  <c r="CP307" i="39"/>
  <c r="BH308" i="39"/>
  <c r="CK308" i="39"/>
  <c r="DA308" i="39" s="1"/>
  <c r="CL308" i="39"/>
  <c r="DB308" i="39" s="1"/>
  <c r="CM308" i="39"/>
  <c r="DC308" i="39" s="1"/>
  <c r="CN308" i="39"/>
  <c r="DD308" i="39" s="1"/>
  <c r="CO308" i="39"/>
  <c r="CP308" i="39"/>
  <c r="BH309" i="39"/>
  <c r="CK309" i="39"/>
  <c r="DA309" i="39"/>
  <c r="CL309" i="39"/>
  <c r="DB309" i="39"/>
  <c r="CM309" i="39"/>
  <c r="DC309" i="39"/>
  <c r="CN309" i="39"/>
  <c r="DD309" i="39"/>
  <c r="CO309" i="39"/>
  <c r="CP309" i="39"/>
  <c r="BH310" i="39"/>
  <c r="CK310" i="39"/>
  <c r="DA310" i="39" s="1"/>
  <c r="CL310" i="39"/>
  <c r="DB310" i="39" s="1"/>
  <c r="CM310" i="39"/>
  <c r="DC310" i="39" s="1"/>
  <c r="CN310" i="39"/>
  <c r="DD310" i="39" s="1"/>
  <c r="CO310" i="39"/>
  <c r="CP310" i="39"/>
  <c r="BH311" i="39"/>
  <c r="CK311" i="39"/>
  <c r="CL311" i="39"/>
  <c r="CM311" i="39"/>
  <c r="CN311" i="39"/>
  <c r="CO311" i="39"/>
  <c r="CP311" i="39"/>
  <c r="BH312" i="39"/>
  <c r="BH313" i="39"/>
  <c r="BH314" i="39"/>
  <c r="BH315" i="39"/>
  <c r="BH316" i="39"/>
  <c r="BH317" i="39"/>
  <c r="BG320" i="39"/>
  <c r="CN320" i="39"/>
  <c r="DD320" i="39" s="1"/>
  <c r="CO320" i="39"/>
  <c r="BG321" i="39"/>
  <c r="CN321" i="39"/>
  <c r="DD321" i="39" s="1"/>
  <c r="CO321" i="39"/>
  <c r="BG322" i="39"/>
  <c r="CN322" i="39"/>
  <c r="DD322" i="39" s="1"/>
  <c r="CO322" i="39"/>
  <c r="BG323" i="39"/>
  <c r="CN323" i="39"/>
  <c r="DD323" i="39"/>
  <c r="CO323" i="39"/>
  <c r="BG324" i="39"/>
  <c r="CN324" i="39"/>
  <c r="DD324" i="39"/>
  <c r="CO324" i="39"/>
  <c r="BG325" i="39"/>
  <c r="CN325" i="39"/>
  <c r="DD325" i="39"/>
  <c r="CO325" i="39"/>
  <c r="BG326" i="39"/>
  <c r="CN326" i="39"/>
  <c r="DD326" i="39"/>
  <c r="CO326" i="39"/>
  <c r="BG327" i="39"/>
  <c r="CN327" i="39"/>
  <c r="DD327" i="39"/>
  <c r="CO327" i="39"/>
  <c r="BG328" i="39"/>
  <c r="CN328" i="39"/>
  <c r="DD328" i="39"/>
  <c r="CO328" i="39"/>
  <c r="BG329" i="39"/>
  <c r="CN329" i="39"/>
  <c r="DD329" i="39"/>
  <c r="CO329" i="39"/>
  <c r="BG330" i="39"/>
  <c r="CN330" i="39"/>
  <c r="DD330" i="39"/>
  <c r="CO330" i="39"/>
  <c r="BF331" i="39"/>
  <c r="CM331" i="39"/>
  <c r="DC331" i="39"/>
  <c r="CN331" i="39"/>
  <c r="CO331" i="39"/>
  <c r="DA331" i="39"/>
  <c r="DB331" i="39"/>
  <c r="BF332" i="39"/>
  <c r="BG332" i="39"/>
  <c r="CK332" i="39"/>
  <c r="DA332" i="39"/>
  <c r="CL332" i="39"/>
  <c r="DB332" i="39" s="1"/>
  <c r="CM332" i="39"/>
  <c r="DC332" i="39"/>
  <c r="CN332" i="39"/>
  <c r="DD332" i="39" s="1"/>
  <c r="CO332" i="39"/>
  <c r="W333" i="39"/>
  <c r="BE333" i="39"/>
  <c r="CK333" i="39"/>
  <c r="DA333" i="39" s="1"/>
  <c r="CL333" i="39"/>
  <c r="DB333" i="39"/>
  <c r="CM333" i="39"/>
  <c r="DC333" i="39" s="1"/>
  <c r="CN333" i="39"/>
  <c r="DD333" i="39"/>
  <c r="CO333" i="39"/>
  <c r="X334" i="39"/>
  <c r="Y334" i="39"/>
  <c r="BG334" i="39"/>
  <c r="BE334" i="39"/>
  <c r="CK334" i="39"/>
  <c r="DA334" i="39"/>
  <c r="CL334" i="39"/>
  <c r="DB334" i="39" s="1"/>
  <c r="CM334" i="39"/>
  <c r="DC334" i="39"/>
  <c r="CN334" i="39"/>
  <c r="DD334" i="39" s="1"/>
  <c r="CO334" i="39"/>
  <c r="X335" i="39"/>
  <c r="Y335" i="39"/>
  <c r="BG335" i="39" s="1"/>
  <c r="BE335" i="39"/>
  <c r="CK335" i="39"/>
  <c r="DA335" i="39"/>
  <c r="CL335" i="39"/>
  <c r="DB335" i="39" s="1"/>
  <c r="CM335" i="39"/>
  <c r="DC335" i="39"/>
  <c r="CN335" i="39"/>
  <c r="DD335" i="39" s="1"/>
  <c r="CO335" i="39"/>
  <c r="W336" i="39"/>
  <c r="BE336" i="39" s="1"/>
  <c r="BW336" i="39"/>
  <c r="BX336" i="39"/>
  <c r="BD336" i="39"/>
  <c r="CK336" i="39"/>
  <c r="DA336" i="39" s="1"/>
  <c r="CL336" i="39"/>
  <c r="DB336" i="39"/>
  <c r="CM336" i="39"/>
  <c r="DC336" i="39" s="1"/>
  <c r="CN336" i="39"/>
  <c r="DD336" i="39"/>
  <c r="CO336" i="39"/>
  <c r="W337" i="39"/>
  <c r="BE337" i="39"/>
  <c r="BW337" i="39"/>
  <c r="BX337" i="39" s="1"/>
  <c r="BD337" i="39"/>
  <c r="CK337" i="39"/>
  <c r="DA337" i="39"/>
  <c r="CL337" i="39"/>
  <c r="DB337" i="39" s="1"/>
  <c r="CM337" i="39"/>
  <c r="DC337" i="39"/>
  <c r="CN337" i="39"/>
  <c r="DD337" i="39" s="1"/>
  <c r="CO337" i="39"/>
  <c r="V338" i="39"/>
  <c r="W338" i="39" s="1"/>
  <c r="BW338" i="39"/>
  <c r="BX338" i="39"/>
  <c r="CK338" i="39"/>
  <c r="DA338" i="39" s="1"/>
  <c r="CL338" i="39"/>
  <c r="CM338" i="39"/>
  <c r="DC338" i="39"/>
  <c r="CN338" i="39"/>
  <c r="DD338" i="39" s="1"/>
  <c r="CO338" i="39"/>
  <c r="W339" i="39"/>
  <c r="BE339" i="39" s="1"/>
  <c r="BW339" i="39"/>
  <c r="BX339" i="39"/>
  <c r="BD339" i="39"/>
  <c r="CK339" i="39"/>
  <c r="DA339" i="39" s="1"/>
  <c r="CL339" i="39"/>
  <c r="DB339" i="39"/>
  <c r="CM339" i="39"/>
  <c r="DC339" i="39" s="1"/>
  <c r="CN339" i="39"/>
  <c r="DD339" i="39"/>
  <c r="CO339" i="39"/>
  <c r="W340" i="39"/>
  <c r="BE340" i="39"/>
  <c r="BW340" i="39"/>
  <c r="BX340" i="39" s="1"/>
  <c r="BC340" i="39"/>
  <c r="BD340" i="39"/>
  <c r="BU340" i="39"/>
  <c r="CK340" i="39"/>
  <c r="DA340" i="39" s="1"/>
  <c r="CL340" i="39"/>
  <c r="DB340" i="39"/>
  <c r="CM340" i="39"/>
  <c r="DC340" i="39" s="1"/>
  <c r="CN340" i="39"/>
  <c r="DD340" i="39"/>
  <c r="CO340" i="39"/>
  <c r="W341" i="39"/>
  <c r="BE341" i="39"/>
  <c r="BW341" i="39"/>
  <c r="BX341" i="39" s="1"/>
  <c r="BC341" i="39"/>
  <c r="BD341" i="39"/>
  <c r="BU341" i="39"/>
  <c r="CK341" i="39"/>
  <c r="DA341" i="39" s="1"/>
  <c r="CL341" i="39"/>
  <c r="DB341" i="39"/>
  <c r="CM341" i="39"/>
  <c r="DC341" i="39" s="1"/>
  <c r="CN341" i="39"/>
  <c r="DD341" i="39"/>
  <c r="CO341" i="39"/>
  <c r="W342" i="39"/>
  <c r="BE342" i="39"/>
  <c r="BW342" i="39"/>
  <c r="BX342" i="39" s="1"/>
  <c r="BC342" i="39"/>
  <c r="BD342" i="39"/>
  <c r="BU342" i="39"/>
  <c r="CK342" i="39"/>
  <c r="DA342" i="39" s="1"/>
  <c r="CL342" i="39"/>
  <c r="DB342" i="39"/>
  <c r="CM342" i="39"/>
  <c r="DC342" i="39" s="1"/>
  <c r="CN342" i="39"/>
  <c r="DD342" i="39"/>
  <c r="CO342" i="39"/>
  <c r="W343" i="39"/>
  <c r="BE343" i="39"/>
  <c r="BW343" i="39"/>
  <c r="BX343" i="39" s="1"/>
  <c r="BC343" i="39"/>
  <c r="BD343" i="39"/>
  <c r="BU343" i="39"/>
  <c r="CK343" i="39"/>
  <c r="DA343" i="39" s="1"/>
  <c r="CL343" i="39"/>
  <c r="DB343" i="39"/>
  <c r="CM343" i="39"/>
  <c r="DC343" i="39" s="1"/>
  <c r="CN343" i="39"/>
  <c r="DD343" i="39"/>
  <c r="CO343" i="39"/>
  <c r="W344" i="39"/>
  <c r="BE344" i="39"/>
  <c r="BW344" i="39"/>
  <c r="BX344" i="39" s="1"/>
  <c r="BC344" i="39"/>
  <c r="BD344" i="39"/>
  <c r="BU344" i="39"/>
  <c r="CK344" i="39"/>
  <c r="DA344" i="39" s="1"/>
  <c r="CL344" i="39"/>
  <c r="DB344" i="39"/>
  <c r="CM344" i="39"/>
  <c r="DC344" i="39" s="1"/>
  <c r="CN344" i="39"/>
  <c r="DD344" i="39"/>
  <c r="CO344" i="39"/>
  <c r="W345" i="39"/>
  <c r="BE345" i="39"/>
  <c r="BW345" i="39"/>
  <c r="BX345" i="39" s="1"/>
  <c r="BC345" i="39"/>
  <c r="BD345" i="39"/>
  <c r="BU345" i="39"/>
  <c r="CK345" i="39"/>
  <c r="DA345" i="39" s="1"/>
  <c r="CL345" i="39"/>
  <c r="DB345" i="39"/>
  <c r="CM345" i="39"/>
  <c r="DC345" i="39" s="1"/>
  <c r="CN345" i="39"/>
  <c r="DD345" i="39"/>
  <c r="CO345" i="39"/>
  <c r="W346" i="39"/>
  <c r="BE346" i="39" s="1"/>
  <c r="BW346" i="39"/>
  <c r="BX346" i="39"/>
  <c r="BC346" i="39"/>
  <c r="BD346" i="39"/>
  <c r="BU346" i="39"/>
  <c r="CK346" i="39"/>
  <c r="DA346" i="39" s="1"/>
  <c r="CL346" i="39"/>
  <c r="DB346" i="39"/>
  <c r="CM346" i="39"/>
  <c r="DC346" i="39" s="1"/>
  <c r="CN346" i="39"/>
  <c r="DD346" i="39"/>
  <c r="CO346" i="39"/>
  <c r="BF348" i="39"/>
  <c r="CK348" i="39"/>
  <c r="DA348" i="39"/>
  <c r="CL348" i="39"/>
  <c r="DB348" i="39" s="1"/>
  <c r="CM348" i="39"/>
  <c r="DC348" i="39"/>
  <c r="CN348" i="39"/>
  <c r="DD348" i="39" s="1"/>
  <c r="BF349" i="39"/>
  <c r="CK349" i="39"/>
  <c r="DA349" i="39"/>
  <c r="CL349" i="39"/>
  <c r="DB349" i="39" s="1"/>
  <c r="CM349" i="39"/>
  <c r="DC349" i="39"/>
  <c r="CN349" i="39"/>
  <c r="DD349" i="39" s="1"/>
  <c r="BF350" i="39"/>
  <c r="CM350" i="39"/>
  <c r="CN350" i="39"/>
  <c r="DA350" i="39"/>
  <c r="DB350" i="39"/>
  <c r="DC350" i="39"/>
  <c r="BF351" i="39"/>
  <c r="CK351" i="39"/>
  <c r="DA351" i="39"/>
  <c r="CL351" i="39"/>
  <c r="DB351" i="39" s="1"/>
  <c r="CM351" i="39"/>
  <c r="DC351" i="39"/>
  <c r="CN351" i="39"/>
  <c r="DD351" i="39" s="1"/>
  <c r="BF352" i="39"/>
  <c r="CK352" i="39"/>
  <c r="DA352" i="39"/>
  <c r="CL352" i="39"/>
  <c r="DB352" i="39" s="1"/>
  <c r="CM352" i="39"/>
  <c r="DC352" i="39"/>
  <c r="CN352" i="39"/>
  <c r="DD352" i="39" s="1"/>
  <c r="W353" i="39"/>
  <c r="BE353" i="39"/>
  <c r="BF353" i="39"/>
  <c r="CK353" i="39"/>
  <c r="DA353" i="39"/>
  <c r="CL353" i="39"/>
  <c r="DB353" i="39" s="1"/>
  <c r="CM353" i="39"/>
  <c r="DC353" i="39"/>
  <c r="CN353" i="39"/>
  <c r="DD353" i="39" s="1"/>
  <c r="BF354" i="39"/>
  <c r="CK354" i="39"/>
  <c r="CL354" i="39"/>
  <c r="DB354" i="39" s="1"/>
  <c r="CM354" i="39"/>
  <c r="DC354" i="39"/>
  <c r="CN354" i="39"/>
  <c r="DD354" i="39" s="1"/>
  <c r="BF355" i="39"/>
  <c r="CK355" i="39"/>
  <c r="CL355" i="39"/>
  <c r="CM355" i="39"/>
  <c r="CN355" i="39"/>
  <c r="DA355" i="39"/>
  <c r="DB355" i="39"/>
  <c r="DC355" i="39"/>
  <c r="DD355" i="39"/>
  <c r="X356" i="39"/>
  <c r="BF356" i="39"/>
  <c r="BE356" i="39"/>
  <c r="CM356" i="39"/>
  <c r="DC356" i="39"/>
  <c r="CN356" i="39"/>
  <c r="DD356" i="39" s="1"/>
  <c r="W357" i="39"/>
  <c r="BE357" i="39"/>
  <c r="BW357" i="39"/>
  <c r="BD357" i="39"/>
  <c r="CK357" i="39"/>
  <c r="DA357" i="39"/>
  <c r="CL357" i="39"/>
  <c r="DB357" i="39" s="1"/>
  <c r="CM357" i="39"/>
  <c r="DC357" i="39"/>
  <c r="CN357" i="39"/>
  <c r="DD357" i="39" s="1"/>
  <c r="W358" i="39"/>
  <c r="BE358" i="39"/>
  <c r="BW358" i="39"/>
  <c r="BD358" i="39"/>
  <c r="CK358" i="39"/>
  <c r="CL358" i="39"/>
  <c r="CM358" i="39"/>
  <c r="CN358" i="39"/>
  <c r="DA358" i="39"/>
  <c r="DB358" i="39"/>
  <c r="DC358" i="39"/>
  <c r="DD358" i="39"/>
  <c r="W359" i="39"/>
  <c r="BE359" i="39"/>
  <c r="BW359" i="39"/>
  <c r="BD359" i="39"/>
  <c r="CK359" i="39"/>
  <c r="DA359" i="39"/>
  <c r="CL359" i="39"/>
  <c r="DB359" i="39" s="1"/>
  <c r="CM359" i="39"/>
  <c r="DC359" i="39"/>
  <c r="CN359" i="39"/>
  <c r="DD359" i="39" s="1"/>
  <c r="V360" i="39"/>
  <c r="W360" i="39"/>
  <c r="BE360" i="39"/>
  <c r="BW360" i="39"/>
  <c r="CK360" i="39"/>
  <c r="CL360" i="39"/>
  <c r="CM360" i="39"/>
  <c r="CN360" i="39"/>
  <c r="W361" i="39"/>
  <c r="BW361" i="39"/>
  <c r="BC361" i="39"/>
  <c r="BD361" i="39"/>
  <c r="BE361" i="39"/>
  <c r="BU361" i="39"/>
  <c r="CK361" i="39"/>
  <c r="DA361" i="39" s="1"/>
  <c r="CL361" i="39"/>
  <c r="DB361" i="39"/>
  <c r="CM361" i="39"/>
  <c r="CN361" i="39"/>
  <c r="W362" i="39"/>
  <c r="BE362" i="39"/>
  <c r="BW362" i="39"/>
  <c r="BC362" i="39"/>
  <c r="BD362" i="39"/>
  <c r="BU362" i="39"/>
  <c r="CK362" i="39"/>
  <c r="CL362" i="39"/>
  <c r="CM362" i="39"/>
  <c r="CN362" i="39"/>
  <c r="DA362" i="39"/>
  <c r="DB362" i="39"/>
  <c r="DC362" i="39"/>
  <c r="W363" i="39"/>
  <c r="BW363" i="39"/>
  <c r="BC363" i="39"/>
  <c r="BD363" i="39"/>
  <c r="BU363" i="39"/>
  <c r="CK363" i="39"/>
  <c r="CL363" i="39"/>
  <c r="CM363" i="39"/>
  <c r="CN363" i="39"/>
  <c r="DA363" i="39"/>
  <c r="DB363" i="39"/>
  <c r="DC363" i="39"/>
  <c r="W364" i="39"/>
  <c r="BE364" i="39"/>
  <c r="BW364" i="39"/>
  <c r="BC364" i="39"/>
  <c r="BD364" i="39"/>
  <c r="BU364" i="39"/>
  <c r="CK364" i="39"/>
  <c r="DA364" i="39" s="1"/>
  <c r="CL364" i="39"/>
  <c r="DB364" i="39"/>
  <c r="CM364" i="39"/>
  <c r="DC364" i="39" s="1"/>
  <c r="CN364" i="39"/>
  <c r="W365" i="39"/>
  <c r="BE365" i="39" s="1"/>
  <c r="BW365" i="39"/>
  <c r="BC365" i="39"/>
  <c r="BD365" i="39"/>
  <c r="BU365" i="39"/>
  <c r="CK365" i="39"/>
  <c r="DA365" i="39"/>
  <c r="CL365" i="39"/>
  <c r="DB365" i="39" s="1"/>
  <c r="CM365" i="39"/>
  <c r="DC365" i="39"/>
  <c r="CN365" i="39"/>
  <c r="W366" i="39"/>
  <c r="BE366" i="39" s="1"/>
  <c r="BW366" i="39"/>
  <c r="BC366" i="39"/>
  <c r="BD366" i="39"/>
  <c r="BU366" i="39"/>
  <c r="CK366" i="39"/>
  <c r="DA366" i="39"/>
  <c r="CL366" i="39"/>
  <c r="DB366" i="39" s="1"/>
  <c r="CM366" i="39"/>
  <c r="DC366" i="39"/>
  <c r="CN366" i="39"/>
  <c r="W367" i="39"/>
  <c r="BE367" i="39"/>
  <c r="BW367" i="39"/>
  <c r="BC367" i="39"/>
  <c r="BD367" i="39"/>
  <c r="BU367" i="39"/>
  <c r="CK367" i="39"/>
  <c r="DA367" i="39" s="1"/>
  <c r="CL367" i="39"/>
  <c r="CM367" i="39"/>
  <c r="DC367" i="39"/>
  <c r="CN367" i="39"/>
  <c r="BU368" i="39"/>
  <c r="BV368" i="39"/>
  <c r="BC368" i="39"/>
  <c r="BD368" i="39"/>
  <c r="CK368" i="39"/>
  <c r="DA368" i="39"/>
  <c r="CL368" i="39"/>
  <c r="DB368" i="39" s="1"/>
  <c r="CM368" i="39"/>
  <c r="DC368" i="39"/>
  <c r="CN368" i="39"/>
  <c r="W369" i="39"/>
  <c r="BE369" i="39" s="1"/>
  <c r="BW369" i="39"/>
  <c r="BC369" i="39"/>
  <c r="BD369" i="39"/>
  <c r="BU369" i="39"/>
  <c r="CK369" i="39"/>
  <c r="DA369" i="39"/>
  <c r="CL369" i="39"/>
  <c r="DB369" i="39" s="1"/>
  <c r="CM369" i="39"/>
  <c r="DC369" i="39"/>
  <c r="CN369" i="39"/>
  <c r="W370" i="39"/>
  <c r="BE370" i="39"/>
  <c r="BW370" i="39"/>
  <c r="BC370" i="39"/>
  <c r="BD370" i="39"/>
  <c r="BU370" i="39"/>
  <c r="CK370" i="39"/>
  <c r="DA370" i="39" s="1"/>
  <c r="CL370" i="39"/>
  <c r="DB370" i="39"/>
  <c r="CM370" i="39"/>
  <c r="DC370" i="39" s="1"/>
  <c r="CN370" i="39"/>
  <c r="W371" i="39"/>
  <c r="BE371" i="39"/>
  <c r="BW371" i="39"/>
  <c r="BC371" i="39"/>
  <c r="BD371" i="39"/>
  <c r="BU371" i="39"/>
  <c r="CK371" i="39"/>
  <c r="DA371" i="39" s="1"/>
  <c r="CL371" i="39"/>
  <c r="DB371" i="39"/>
  <c r="CM371" i="39"/>
  <c r="DC371" i="39" s="1"/>
  <c r="CN371" i="39"/>
  <c r="BU372" i="39"/>
  <c r="BV372" i="39" s="1"/>
  <c r="BC372" i="39"/>
  <c r="BD372" i="39"/>
  <c r="CK372" i="39"/>
  <c r="DA372" i="39" s="1"/>
  <c r="CL372" i="39"/>
  <c r="DB372" i="39"/>
  <c r="CM372" i="39"/>
  <c r="DC372" i="39" s="1"/>
  <c r="CN372" i="39"/>
  <c r="BU373" i="39"/>
  <c r="BV373" i="39"/>
  <c r="BC373" i="39"/>
  <c r="BD373" i="39"/>
  <c r="CK373" i="39"/>
  <c r="CL373" i="39"/>
  <c r="CM373" i="39"/>
  <c r="CN373" i="39"/>
  <c r="DA373" i="39"/>
  <c r="DB373" i="39"/>
  <c r="DC373" i="39"/>
  <c r="CK374" i="39"/>
  <c r="DA374" i="39"/>
  <c r="CL374" i="39"/>
  <c r="DB374" i="39" s="1"/>
  <c r="CM374" i="39"/>
  <c r="DC374" i="39"/>
  <c r="CN374" i="39"/>
  <c r="BE375" i="39"/>
  <c r="CK375" i="39"/>
  <c r="DA375" i="39"/>
  <c r="CL375" i="39"/>
  <c r="DB375" i="39" s="1"/>
  <c r="CM375" i="39"/>
  <c r="DC375" i="39"/>
  <c r="CN375" i="39"/>
  <c r="BE376" i="39"/>
  <c r="CK376" i="39"/>
  <c r="DA376" i="39"/>
  <c r="CL376" i="39"/>
  <c r="DB376" i="39" s="1"/>
  <c r="CM376" i="39"/>
  <c r="DC376" i="39"/>
  <c r="CN376" i="39"/>
  <c r="BE377" i="39"/>
  <c r="CK377" i="39"/>
  <c r="CL377" i="39"/>
  <c r="CM377" i="39"/>
  <c r="CN377" i="39"/>
  <c r="DA377" i="39"/>
  <c r="DB377" i="39"/>
  <c r="DC377" i="39"/>
  <c r="BE378" i="39"/>
  <c r="CK378" i="39"/>
  <c r="CL378" i="39"/>
  <c r="CM378" i="39"/>
  <c r="CN378" i="39"/>
  <c r="DA378" i="39"/>
  <c r="DB378" i="39"/>
  <c r="DC378" i="39"/>
  <c r="BE379" i="39"/>
  <c r="CK379" i="39"/>
  <c r="CL379" i="39"/>
  <c r="CM379" i="39"/>
  <c r="CN379" i="39"/>
  <c r="DA379" i="39"/>
  <c r="DB379" i="39"/>
  <c r="DC379" i="39"/>
  <c r="W380" i="39"/>
  <c r="BE380" i="39" s="1"/>
  <c r="BD380" i="39"/>
  <c r="CK380" i="39"/>
  <c r="DA380" i="39" s="1"/>
  <c r="CL380" i="39"/>
  <c r="DB380" i="39"/>
  <c r="CM380" i="39"/>
  <c r="DC380" i="39" s="1"/>
  <c r="CN380" i="39"/>
  <c r="W381" i="39"/>
  <c r="BE381" i="39"/>
  <c r="BC381" i="39"/>
  <c r="BD381" i="39"/>
  <c r="CK381" i="39"/>
  <c r="CL381" i="39"/>
  <c r="CM381" i="39"/>
  <c r="CN381" i="39"/>
  <c r="DA381" i="39"/>
  <c r="DB381" i="39"/>
  <c r="DC381" i="39"/>
  <c r="W382" i="39"/>
  <c r="BE382" i="39"/>
  <c r="BC382" i="39"/>
  <c r="BD382" i="39"/>
  <c r="CK382" i="39"/>
  <c r="DA382" i="39"/>
  <c r="CL382" i="39"/>
  <c r="DB382" i="39" s="1"/>
  <c r="CM382" i="39"/>
  <c r="DC382" i="39"/>
  <c r="CN382" i="39"/>
  <c r="BU383" i="39"/>
  <c r="W383" i="39" s="1"/>
  <c r="BE383" i="39" s="1"/>
  <c r="BC383" i="39"/>
  <c r="BD383" i="39"/>
  <c r="CK383" i="39"/>
  <c r="CL383" i="39"/>
  <c r="CM383" i="39"/>
  <c r="CN383" i="39"/>
  <c r="DA383" i="39"/>
  <c r="DB383" i="39"/>
  <c r="DC383" i="39"/>
  <c r="BU384" i="39"/>
  <c r="W384" i="39" s="1"/>
  <c r="BE384" i="39" s="1"/>
  <c r="BC384" i="39"/>
  <c r="BD384" i="39"/>
  <c r="CK384" i="39"/>
  <c r="DA384" i="39"/>
  <c r="CL384" i="39"/>
  <c r="DB384" i="39" s="1"/>
  <c r="CM384" i="39"/>
  <c r="DC384" i="39"/>
  <c r="CN384" i="39"/>
  <c r="CK385" i="39"/>
  <c r="DA385" i="39" s="1"/>
  <c r="CL385" i="39"/>
  <c r="DB385" i="39"/>
  <c r="CM385" i="39"/>
  <c r="DC385" i="39" s="1"/>
  <c r="CN385" i="39"/>
  <c r="BD386" i="39"/>
  <c r="CK386" i="39"/>
  <c r="DA386" i="39" s="1"/>
  <c r="CL386" i="39"/>
  <c r="DB386" i="39"/>
  <c r="CM386" i="39"/>
  <c r="DC386" i="39" s="1"/>
  <c r="CN386" i="39"/>
  <c r="BD387" i="39"/>
  <c r="CK387" i="39"/>
  <c r="DA387" i="39" s="1"/>
  <c r="CL387" i="39"/>
  <c r="DB387" i="39"/>
  <c r="CM387" i="39"/>
  <c r="DC387" i="39" s="1"/>
  <c r="CN387" i="39"/>
  <c r="BD388" i="39"/>
  <c r="CK388" i="39"/>
  <c r="DA388" i="39" s="1"/>
  <c r="CL388" i="39"/>
  <c r="DB388" i="39"/>
  <c r="CM388" i="39"/>
  <c r="DC388" i="39" s="1"/>
  <c r="CN388" i="39"/>
  <c r="BD389" i="39"/>
  <c r="CK389" i="39"/>
  <c r="DA389" i="39" s="1"/>
  <c r="CL389" i="39"/>
  <c r="DB389" i="39"/>
  <c r="CM389" i="39"/>
  <c r="DC389" i="39" s="1"/>
  <c r="CN389" i="39"/>
  <c r="BC390" i="39"/>
  <c r="BD390" i="39"/>
  <c r="CK390" i="39"/>
  <c r="CL390" i="39"/>
  <c r="CM390" i="39"/>
  <c r="CN390" i="39"/>
  <c r="DA390" i="39"/>
  <c r="DB390" i="39"/>
  <c r="DC390" i="39"/>
  <c r="BC391" i="39"/>
  <c r="BD391" i="39"/>
  <c r="CK391" i="39"/>
  <c r="DA391" i="39"/>
  <c r="CL391" i="39"/>
  <c r="DB391" i="39" s="1"/>
  <c r="CM391" i="39"/>
  <c r="DC391" i="39"/>
  <c r="CN391" i="39"/>
  <c r="BC392" i="39"/>
  <c r="BD392" i="39"/>
  <c r="CK392" i="39"/>
  <c r="CL392" i="39"/>
  <c r="CM392" i="39"/>
  <c r="CN392" i="39"/>
  <c r="DA392" i="39"/>
  <c r="DB392" i="39"/>
  <c r="DC392" i="39"/>
  <c r="BC393" i="39"/>
  <c r="BD393" i="39"/>
  <c r="CK393" i="39"/>
  <c r="DA393" i="39" s="1"/>
  <c r="CL393" i="39"/>
  <c r="DB393" i="39"/>
  <c r="CM393" i="39"/>
  <c r="DC393" i="39" s="1"/>
  <c r="CN393" i="39"/>
  <c r="CK394" i="39"/>
  <c r="DA394" i="39" s="1"/>
  <c r="CL394" i="39"/>
  <c r="DB394" i="39" s="1"/>
  <c r="CM394" i="39"/>
  <c r="DC394" i="39"/>
  <c r="CN394" i="39"/>
  <c r="BC395" i="39"/>
  <c r="CK395" i="39"/>
  <c r="DA395" i="39" s="1"/>
  <c r="CL395" i="39"/>
  <c r="DB395" i="39"/>
  <c r="CM395" i="39"/>
  <c r="DC395" i="39" s="1"/>
  <c r="CN395" i="39"/>
  <c r="BC396" i="39"/>
  <c r="CK396" i="39"/>
  <c r="DA396" i="39" s="1"/>
  <c r="CL396" i="39"/>
  <c r="DB396" i="39"/>
  <c r="CM396" i="39"/>
  <c r="DC396" i="39" s="1"/>
  <c r="CN396" i="39"/>
  <c r="BC397" i="39"/>
  <c r="CK397" i="39"/>
  <c r="CL397" i="39"/>
  <c r="CM397" i="39"/>
  <c r="CN397" i="39"/>
  <c r="DA397" i="39"/>
  <c r="DB397" i="39"/>
  <c r="DC397" i="39"/>
  <c r="BC398" i="39"/>
  <c r="CK398" i="39"/>
  <c r="DA398" i="39" s="1"/>
  <c r="CL398" i="39"/>
  <c r="DB398" i="39"/>
  <c r="CM398" i="39"/>
  <c r="DC398" i="39" s="1"/>
  <c r="CN398" i="39"/>
  <c r="BC399" i="39"/>
  <c r="CK399" i="39"/>
  <c r="DA399" i="39" s="1"/>
  <c r="CL399" i="39"/>
  <c r="DB399" i="39"/>
  <c r="CM399" i="39"/>
  <c r="DC399" i="39" s="1"/>
  <c r="CN399" i="39"/>
  <c r="BC400" i="39"/>
  <c r="CK400" i="39"/>
  <c r="DA400" i="39" s="1"/>
  <c r="CL400" i="39"/>
  <c r="DB400" i="39"/>
  <c r="CM400" i="39"/>
  <c r="DC400" i="39" s="1"/>
  <c r="CN400" i="39"/>
  <c r="BC401" i="39"/>
  <c r="CK401" i="39"/>
  <c r="DA401" i="39" s="1"/>
  <c r="CL401" i="39"/>
  <c r="DB401" i="39"/>
  <c r="CM401" i="39"/>
  <c r="DC401" i="39" s="1"/>
  <c r="CN401" i="39"/>
  <c r="BC402" i="39"/>
  <c r="CK402" i="39"/>
  <c r="DA402" i="39" s="1"/>
  <c r="CL402" i="39"/>
  <c r="DB402" i="39"/>
  <c r="CM402" i="39"/>
  <c r="DC402" i="39" s="1"/>
  <c r="CN402" i="39"/>
  <c r="BC403" i="39"/>
  <c r="CK403" i="39"/>
  <c r="DA403" i="39" s="1"/>
  <c r="CL403" i="39"/>
  <c r="DB403" i="39"/>
  <c r="CM403" i="39"/>
  <c r="DC403" i="39" s="1"/>
  <c r="CN403" i="39"/>
  <c r="CE405" i="39"/>
  <c r="I412" i="39"/>
  <c r="J412" i="39"/>
  <c r="K412" i="39"/>
  <c r="L412" i="39"/>
  <c r="O44" i="38"/>
  <c r="O61" i="38" s="1"/>
  <c r="O20" i="38"/>
  <c r="D22" i="38"/>
  <c r="E22" i="38" s="1"/>
  <c r="D23" i="38"/>
  <c r="C23" i="38"/>
  <c r="B23" i="38"/>
  <c r="P20" i="38"/>
  <c r="Q20" i="38"/>
  <c r="R20" i="38"/>
  <c r="S20" i="38"/>
  <c r="B7" i="38"/>
  <c r="C7" i="38"/>
  <c r="D7" i="38"/>
  <c r="E7" i="38"/>
  <c r="F7" i="38"/>
  <c r="G7" i="38"/>
  <c r="H7" i="38"/>
  <c r="I7" i="38"/>
  <c r="J7" i="38"/>
  <c r="K7" i="38"/>
  <c r="L7" i="38"/>
  <c r="M7" i="38"/>
  <c r="N7" i="38"/>
  <c r="O7" i="38"/>
  <c r="P7" i="38"/>
  <c r="Q7" i="38"/>
  <c r="R7" i="38"/>
  <c r="S7" i="38"/>
  <c r="T7" i="38"/>
  <c r="U7" i="38"/>
  <c r="V7" i="38"/>
  <c r="W7" i="38"/>
  <c r="X7" i="38"/>
  <c r="Y7" i="38"/>
  <c r="Z7" i="38"/>
  <c r="H8" i="38"/>
  <c r="I8" i="38" s="1"/>
  <c r="J8" i="38" s="1"/>
  <c r="K8" i="38" s="1"/>
  <c r="L8" i="38" s="1"/>
  <c r="M8" i="38" s="1"/>
  <c r="N8" i="38" s="1"/>
  <c r="O8" i="38" s="1"/>
  <c r="P8" i="38" s="1"/>
  <c r="Q8" i="38" s="1"/>
  <c r="R8" i="38" s="1"/>
  <c r="S8" i="38" s="1"/>
  <c r="T8" i="38" s="1"/>
  <c r="U8" i="38" s="1"/>
  <c r="V8" i="38" s="1"/>
  <c r="W8" i="38" s="1"/>
  <c r="X8" i="38" s="1"/>
  <c r="Y8" i="38" s="1"/>
  <c r="Z8" i="38" s="1"/>
  <c r="AA8" i="38" s="1"/>
  <c r="AB8" i="38" s="1"/>
  <c r="AC8" i="38" s="1"/>
  <c r="B13" i="38"/>
  <c r="C13" i="38"/>
  <c r="D13" i="38"/>
  <c r="E13" i="38"/>
  <c r="F13" i="38"/>
  <c r="G13" i="38"/>
  <c r="H13" i="38"/>
  <c r="I13" i="38"/>
  <c r="J13" i="38"/>
  <c r="K13" i="38"/>
  <c r="L13" i="38"/>
  <c r="M13" i="38"/>
  <c r="N13" i="38"/>
  <c r="O13" i="38"/>
  <c r="P13" i="38"/>
  <c r="Q13" i="38"/>
  <c r="R13" i="38"/>
  <c r="S13" i="38"/>
  <c r="B20" i="38"/>
  <c r="C20" i="38"/>
  <c r="D20" i="38"/>
  <c r="E20" i="38"/>
  <c r="F20" i="38"/>
  <c r="G20" i="38"/>
  <c r="H20" i="38"/>
  <c r="I20" i="38"/>
  <c r="J20" i="38"/>
  <c r="K20" i="38"/>
  <c r="L20" i="38"/>
  <c r="M20" i="38"/>
  <c r="N20" i="38"/>
  <c r="L62" i="38"/>
  <c r="N61" i="38"/>
  <c r="A36" i="38"/>
  <c r="A37" i="38"/>
  <c r="A38" i="38"/>
  <c r="A39" i="38"/>
  <c r="A40" i="38"/>
  <c r="K44" i="38"/>
  <c r="K61" i="38" s="1"/>
  <c r="L44" i="38"/>
  <c r="L61" i="38" s="1"/>
  <c r="M44" i="38"/>
  <c r="M61" i="38" s="1"/>
  <c r="C50" i="38"/>
  <c r="D50" i="38" s="1"/>
  <c r="G50" i="38"/>
  <c r="C52" i="38"/>
  <c r="D52" i="38" s="1"/>
  <c r="C55" i="38"/>
  <c r="C57" i="38"/>
  <c r="D57" i="38"/>
  <c r="B62" i="38"/>
  <c r="B79" i="38" s="1"/>
  <c r="C62" i="38"/>
  <c r="C79" i="38"/>
  <c r="D62" i="38"/>
  <c r="D79" i="38" s="1"/>
  <c r="E62" i="38"/>
  <c r="E79" i="38" s="1"/>
  <c r="F62" i="38"/>
  <c r="F79" i="38" s="1"/>
  <c r="G62" i="38"/>
  <c r="G79" i="38"/>
  <c r="H62" i="38"/>
  <c r="H79" i="38" s="1"/>
  <c r="I62" i="38"/>
  <c r="I79" i="38"/>
  <c r="J62" i="38"/>
  <c r="J79" i="38" s="1"/>
  <c r="K62" i="38"/>
  <c r="K79" i="38"/>
  <c r="L65" i="38"/>
  <c r="M65" i="38" s="1"/>
  <c r="N65" i="38" s="1"/>
  <c r="O65" i="38" s="1"/>
  <c r="P65" i="38" s="1"/>
  <c r="B66" i="38"/>
  <c r="B81" i="38" s="1"/>
  <c r="C67" i="38"/>
  <c r="C66" i="38"/>
  <c r="C81" i="38"/>
  <c r="F66" i="38"/>
  <c r="F81" i="38" s="1"/>
  <c r="G67" i="38"/>
  <c r="H67" i="38"/>
  <c r="K86" i="38"/>
  <c r="L86" i="38"/>
  <c r="K92" i="38"/>
  <c r="L92" i="38"/>
  <c r="CZ6" i="20"/>
  <c r="DA6" i="20"/>
  <c r="DB6" i="20"/>
  <c r="N9" i="20"/>
  <c r="O9" i="20"/>
  <c r="P9" i="20"/>
  <c r="Q9" i="20"/>
  <c r="Q10" i="20" s="1"/>
  <c r="R9" i="20"/>
  <c r="S9" i="20"/>
  <c r="T9" i="20"/>
  <c r="T124" i="20" s="1"/>
  <c r="Y121" i="20"/>
  <c r="Z121" i="20" s="1"/>
  <c r="U122" i="20"/>
  <c r="U128" i="20" s="1"/>
  <c r="X124" i="20"/>
  <c r="BD9" i="20"/>
  <c r="BD10" i="20" s="1"/>
  <c r="BI9" i="20"/>
  <c r="BI10" i="20" s="1"/>
  <c r="BS9" i="20"/>
  <c r="CY9" i="20"/>
  <c r="DF9" i="20"/>
  <c r="DF10" i="20" s="1"/>
  <c r="C10" i="20"/>
  <c r="D10" i="20"/>
  <c r="E10" i="20"/>
  <c r="F10" i="20"/>
  <c r="G10" i="20"/>
  <c r="H10" i="20"/>
  <c r="I10" i="20"/>
  <c r="J10" i="20"/>
  <c r="L10" i="20"/>
  <c r="M10" i="20"/>
  <c r="BV10" i="20"/>
  <c r="BW10" i="20"/>
  <c r="BX10" i="20"/>
  <c r="O10" i="20"/>
  <c r="P10" i="20"/>
  <c r="V10" i="20"/>
  <c r="W10" i="20"/>
  <c r="X10" i="20"/>
  <c r="AV10" i="20"/>
  <c r="AW10" i="20"/>
  <c r="AX10" i="20"/>
  <c r="AY10" i="20"/>
  <c r="BA10" i="20"/>
  <c r="BB10" i="20"/>
  <c r="BC10" i="20"/>
  <c r="BG10" i="20"/>
  <c r="BH10" i="20"/>
  <c r="BL10" i="20"/>
  <c r="BM10" i="20"/>
  <c r="BN10" i="20"/>
  <c r="BP10" i="20"/>
  <c r="BQ10" i="20"/>
  <c r="BR10" i="20"/>
  <c r="BZ10" i="20"/>
  <c r="CA10" i="20"/>
  <c r="CB10" i="20"/>
  <c r="CC10" i="20"/>
  <c r="CE10" i="20"/>
  <c r="CF10" i="20"/>
  <c r="CG10" i="20"/>
  <c r="CH10" i="20"/>
  <c r="CJ10" i="20"/>
  <c r="CO10" i="20"/>
  <c r="CP10" i="20"/>
  <c r="CQ10" i="20"/>
  <c r="CR10" i="20"/>
  <c r="CT10" i="20"/>
  <c r="CU10" i="20"/>
  <c r="CV10" i="20"/>
  <c r="CW10" i="20"/>
  <c r="DA10" i="20"/>
  <c r="DB10" i="20"/>
  <c r="DE10" i="20"/>
  <c r="B17" i="20"/>
  <c r="B16" i="20" s="1"/>
  <c r="B11" i="20" s="1"/>
  <c r="C17" i="20"/>
  <c r="C20" i="20" s="1"/>
  <c r="D17" i="20"/>
  <c r="E17" i="20"/>
  <c r="E20" i="20" s="1"/>
  <c r="F17" i="20"/>
  <c r="I17" i="20"/>
  <c r="J17" i="20"/>
  <c r="J20" i="20" s="1"/>
  <c r="K17" i="20"/>
  <c r="K82" i="20" s="1"/>
  <c r="L17" i="20"/>
  <c r="CO18" i="20"/>
  <c r="CT18" i="20" s="1"/>
  <c r="CP18" i="20"/>
  <c r="CP117" i="20"/>
  <c r="U124" i="20"/>
  <c r="V121" i="20"/>
  <c r="W127" i="20" s="1"/>
  <c r="V124" i="20"/>
  <c r="W124" i="20"/>
  <c r="W130" i="20" s="1"/>
  <c r="BN18" i="20"/>
  <c r="V14" i="20"/>
  <c r="W14" i="20" s="1"/>
  <c r="X14" i="20" s="1"/>
  <c r="Y14" i="20"/>
  <c r="DO14" i="20" s="1"/>
  <c r="M17" i="20"/>
  <c r="M20" i="20" s="1"/>
  <c r="C21" i="20"/>
  <c r="D21" i="20"/>
  <c r="E21" i="20"/>
  <c r="F21" i="20"/>
  <c r="G21" i="20"/>
  <c r="H21" i="20"/>
  <c r="I21" i="20"/>
  <c r="J21" i="20"/>
  <c r="K21" i="20"/>
  <c r="L21" i="20"/>
  <c r="BA21" i="20"/>
  <c r="BB21" i="20"/>
  <c r="BC21" i="20"/>
  <c r="BF21" i="20"/>
  <c r="BG21" i="20"/>
  <c r="BH21" i="20"/>
  <c r="BL21" i="20"/>
  <c r="BM21" i="20" s="1"/>
  <c r="CJ21" i="20"/>
  <c r="CK21" i="20"/>
  <c r="B23" i="20"/>
  <c r="B113" i="20" s="1"/>
  <c r="C23" i="20"/>
  <c r="C113" i="20" s="1"/>
  <c r="D23" i="20"/>
  <c r="D113" i="20" s="1"/>
  <c r="G65" i="20"/>
  <c r="F65" i="20" s="1"/>
  <c r="E65" i="20" s="1"/>
  <c r="J66" i="20"/>
  <c r="I66" i="20" s="1"/>
  <c r="C67" i="20"/>
  <c r="D67" i="20" s="1"/>
  <c r="E67" i="20" s="1"/>
  <c r="F67" i="20" s="1"/>
  <c r="G67" i="20" s="1"/>
  <c r="H67" i="20" s="1"/>
  <c r="I67" i="20" s="1"/>
  <c r="J67" i="20" s="1"/>
  <c r="K67" i="20" s="1"/>
  <c r="F68" i="20"/>
  <c r="E68" i="20" s="1"/>
  <c r="D68" i="20" s="1"/>
  <c r="C68" i="20" s="1"/>
  <c r="B68" i="20" s="1"/>
  <c r="F69" i="20"/>
  <c r="E69" i="20" s="1"/>
  <c r="D69" i="20" s="1"/>
  <c r="C69" i="20" s="1"/>
  <c r="B69" i="20" s="1"/>
  <c r="C54" i="20"/>
  <c r="D54" i="20"/>
  <c r="E54" i="20"/>
  <c r="F54" i="20"/>
  <c r="G54" i="20"/>
  <c r="J68" i="20"/>
  <c r="I68" i="20" s="1"/>
  <c r="H68" i="20" s="1"/>
  <c r="J69" i="20"/>
  <c r="I69" i="20" s="1"/>
  <c r="H69" i="20" s="1"/>
  <c r="H54" i="20"/>
  <c r="I54" i="20"/>
  <c r="J54" i="20"/>
  <c r="K54" i="20"/>
  <c r="L66" i="20"/>
  <c r="M66" i="20" s="1"/>
  <c r="N66" i="20" s="1"/>
  <c r="Q68" i="20"/>
  <c r="P68" i="20" s="1"/>
  <c r="O68" i="20" s="1"/>
  <c r="N68" i="20" s="1"/>
  <c r="M68" i="20" s="1"/>
  <c r="L68" i="20" s="1"/>
  <c r="Q69" i="20"/>
  <c r="P69" i="20" s="1"/>
  <c r="L54" i="20"/>
  <c r="M54" i="20"/>
  <c r="Q65" i="20"/>
  <c r="N54" i="20"/>
  <c r="Q66" i="20"/>
  <c r="P66" i="20" s="1"/>
  <c r="O66" i="20" s="1"/>
  <c r="O54" i="20"/>
  <c r="P54" i="20"/>
  <c r="Q54" i="20"/>
  <c r="R54" i="20"/>
  <c r="S54" i="20"/>
  <c r="T54" i="20"/>
  <c r="U49" i="20"/>
  <c r="U50" i="20"/>
  <c r="U67" i="20"/>
  <c r="U68" i="20"/>
  <c r="U69" i="20"/>
  <c r="V65" i="20"/>
  <c r="V66" i="20"/>
  <c r="V67" i="20"/>
  <c r="V68" i="20"/>
  <c r="V69" i="20"/>
  <c r="V54" i="20"/>
  <c r="V70" i="20"/>
  <c r="W70" i="20" s="1"/>
  <c r="W65" i="20"/>
  <c r="W66" i="20"/>
  <c r="W67" i="20"/>
  <c r="W68" i="20"/>
  <c r="W69" i="20"/>
  <c r="W54" i="20"/>
  <c r="X65" i="20"/>
  <c r="X66" i="20"/>
  <c r="X67" i="20"/>
  <c r="X68" i="20"/>
  <c r="X69" i="20"/>
  <c r="X54" i="20"/>
  <c r="Y65" i="20"/>
  <c r="Y66" i="20"/>
  <c r="Y67" i="20"/>
  <c r="Y68" i="20"/>
  <c r="Y69" i="20"/>
  <c r="Y54" i="20"/>
  <c r="Z65" i="20"/>
  <c r="Z66" i="20"/>
  <c r="Z67" i="20"/>
  <c r="Z68" i="20"/>
  <c r="Z69" i="20"/>
  <c r="Z54" i="20"/>
  <c r="AA65" i="20"/>
  <c r="AA66" i="20"/>
  <c r="AA67" i="20"/>
  <c r="AA68" i="20"/>
  <c r="AA69" i="20"/>
  <c r="AA54" i="20"/>
  <c r="AB65" i="20"/>
  <c r="AB66" i="20"/>
  <c r="AB67" i="20"/>
  <c r="AB68" i="20"/>
  <c r="AB69" i="20"/>
  <c r="AB54" i="20"/>
  <c r="AC65" i="20"/>
  <c r="AC66" i="20"/>
  <c r="AC67" i="20"/>
  <c r="AC68" i="20"/>
  <c r="AC69" i="20"/>
  <c r="AC54" i="20"/>
  <c r="AD65" i="20"/>
  <c r="AD66" i="20"/>
  <c r="AD67" i="20"/>
  <c r="AD68" i="20"/>
  <c r="AD69" i="20"/>
  <c r="AD54" i="20"/>
  <c r="AE65" i="20"/>
  <c r="AE66" i="20"/>
  <c r="AE67" i="20"/>
  <c r="AE68" i="20"/>
  <c r="AE69" i="20"/>
  <c r="AE54" i="20"/>
  <c r="AF65" i="20"/>
  <c r="AF66" i="20"/>
  <c r="AF67" i="20"/>
  <c r="AF68" i="20"/>
  <c r="AF69" i="20"/>
  <c r="AF54" i="20"/>
  <c r="AG65" i="20"/>
  <c r="AG66" i="20"/>
  <c r="AG67" i="20"/>
  <c r="AG68" i="20"/>
  <c r="AG69" i="20"/>
  <c r="AG54" i="20"/>
  <c r="AH65" i="20"/>
  <c r="AH66" i="20"/>
  <c r="AH67" i="20"/>
  <c r="AH68" i="20"/>
  <c r="AH69" i="20"/>
  <c r="AH54" i="20"/>
  <c r="AI65" i="20"/>
  <c r="AI66" i="20"/>
  <c r="AI67" i="20"/>
  <c r="AI68" i="20"/>
  <c r="AI69" i="20"/>
  <c r="AI54" i="20"/>
  <c r="AJ65" i="20"/>
  <c r="AJ66" i="20"/>
  <c r="AJ67" i="20"/>
  <c r="AJ68" i="20"/>
  <c r="AJ69" i="20"/>
  <c r="AJ54" i="20"/>
  <c r="AK65" i="20"/>
  <c r="AK66" i="20"/>
  <c r="AK67" i="20"/>
  <c r="AK68" i="20"/>
  <c r="AK69" i="20"/>
  <c r="AK54" i="20"/>
  <c r="AV23" i="20"/>
  <c r="AW23" i="20"/>
  <c r="AX23" i="20"/>
  <c r="BA23" i="20"/>
  <c r="BB23" i="20"/>
  <c r="BC23" i="20"/>
  <c r="BF23" i="20"/>
  <c r="BG23" i="20"/>
  <c r="BH23" i="20"/>
  <c r="CE23" i="20"/>
  <c r="CF23" i="20"/>
  <c r="CG23" i="20"/>
  <c r="F75" i="20"/>
  <c r="E75" i="20" s="1"/>
  <c r="E76" i="20" s="1"/>
  <c r="E24" i="20" s="1"/>
  <c r="E114" i="20" s="1"/>
  <c r="E74" i="20"/>
  <c r="F74" i="20"/>
  <c r="G74" i="20"/>
  <c r="G76" i="20" s="1"/>
  <c r="G24" i="20" s="1"/>
  <c r="G114" i="20" s="1"/>
  <c r="H75" i="20"/>
  <c r="I75" i="20" s="1"/>
  <c r="J75" i="20" s="1"/>
  <c r="K75" i="20" s="1"/>
  <c r="H74" i="20"/>
  <c r="I74" i="20"/>
  <c r="J74" i="20"/>
  <c r="K74" i="20"/>
  <c r="L74" i="20"/>
  <c r="L76" i="20" s="1"/>
  <c r="L24" i="20" s="1"/>
  <c r="M74" i="20"/>
  <c r="M76" i="20" s="1"/>
  <c r="M24" i="20" s="1"/>
  <c r="N75" i="20"/>
  <c r="N74" i="20"/>
  <c r="O74" i="20"/>
  <c r="P74" i="20"/>
  <c r="Q59" i="20"/>
  <c r="R59" i="20" s="1"/>
  <c r="S75" i="20"/>
  <c r="T75" i="20" s="1"/>
  <c r="U75" i="20" s="1"/>
  <c r="V75" i="20" s="1"/>
  <c r="AV24" i="20"/>
  <c r="AW24" i="20"/>
  <c r="AX24" i="20"/>
  <c r="BA24" i="20"/>
  <c r="BB24" i="20"/>
  <c r="BC24" i="20"/>
  <c r="BF24" i="20"/>
  <c r="BG24" i="20"/>
  <c r="BH24" i="20"/>
  <c r="CV114" i="20"/>
  <c r="B25" i="20"/>
  <c r="C25" i="20"/>
  <c r="D25" i="20"/>
  <c r="E25" i="20"/>
  <c r="F25" i="20"/>
  <c r="G25" i="20"/>
  <c r="H25" i="20"/>
  <c r="I25" i="20"/>
  <c r="J115" i="20"/>
  <c r="J25" i="20" s="1"/>
  <c r="L25" i="20"/>
  <c r="Q115" i="20"/>
  <c r="CL115" i="20" s="1"/>
  <c r="CL25" i="20" s="1"/>
  <c r="X115" i="20"/>
  <c r="AV25" i="20"/>
  <c r="AW25" i="20"/>
  <c r="AX25" i="20"/>
  <c r="BA25" i="20"/>
  <c r="BB25" i="20"/>
  <c r="BC25" i="20"/>
  <c r="BF25" i="20"/>
  <c r="BG25" i="20"/>
  <c r="BH25" i="20"/>
  <c r="BK115" i="20"/>
  <c r="BK25" i="20" s="1"/>
  <c r="BL115" i="20"/>
  <c r="BL25" i="20" s="1"/>
  <c r="BM115" i="20"/>
  <c r="BM25" i="20" s="1"/>
  <c r="BP115" i="20"/>
  <c r="BU115" i="20"/>
  <c r="BV115" i="20" s="1"/>
  <c r="CE25" i="20"/>
  <c r="CF25" i="20"/>
  <c r="CG25" i="20"/>
  <c r="CV115" i="20"/>
  <c r="B26" i="20"/>
  <c r="B116" i="20" s="1"/>
  <c r="C27" i="20"/>
  <c r="D27" i="20"/>
  <c r="E27" i="20"/>
  <c r="F27" i="20"/>
  <c r="G27" i="20"/>
  <c r="H27" i="20"/>
  <c r="I27" i="20"/>
  <c r="J27" i="20"/>
  <c r="K27" i="20"/>
  <c r="L27" i="20"/>
  <c r="P28" i="20"/>
  <c r="P27" i="20" s="1"/>
  <c r="AV27" i="20"/>
  <c r="AW27" i="20"/>
  <c r="AX27" i="20"/>
  <c r="AY27" i="20"/>
  <c r="BA27" i="20"/>
  <c r="BB27" i="20"/>
  <c r="BC27" i="20"/>
  <c r="BF27" i="20"/>
  <c r="BG27" i="20"/>
  <c r="BH27" i="20"/>
  <c r="BK27" i="20"/>
  <c r="BL27" i="20"/>
  <c r="BM27" i="20"/>
  <c r="BS26" i="20"/>
  <c r="BT26" i="20" s="1"/>
  <c r="BX26" i="20"/>
  <c r="BY26" i="20" s="1"/>
  <c r="CC26" i="20"/>
  <c r="CE27" i="20"/>
  <c r="CF27" i="20"/>
  <c r="CG27" i="20"/>
  <c r="CJ27" i="20"/>
  <c r="CK27" i="20"/>
  <c r="CP27" i="20"/>
  <c r="B27" i="20"/>
  <c r="CH27" i="20"/>
  <c r="BI28" i="20"/>
  <c r="CJ29" i="20"/>
  <c r="CK29" i="20"/>
  <c r="C30" i="20"/>
  <c r="D30" i="20"/>
  <c r="E30" i="20"/>
  <c r="F30" i="20"/>
  <c r="G30" i="20"/>
  <c r="H30" i="20"/>
  <c r="I30" i="20"/>
  <c r="J30" i="20"/>
  <c r="K30" i="20"/>
  <c r="L30" i="20"/>
  <c r="BA30" i="20"/>
  <c r="BB30" i="20"/>
  <c r="BC30" i="20"/>
  <c r="BF30" i="20"/>
  <c r="BG30" i="20"/>
  <c r="BH30" i="20"/>
  <c r="BK30" i="20"/>
  <c r="BL30" i="20"/>
  <c r="BM30" i="20"/>
  <c r="CJ30" i="20"/>
  <c r="CK30" i="20"/>
  <c r="CO30" i="20"/>
  <c r="CP30" i="20"/>
  <c r="V33" i="20"/>
  <c r="W33" i="20"/>
  <c r="B54" i="20"/>
  <c r="B57" i="20"/>
  <c r="B58" i="20" s="1"/>
  <c r="C57" i="20"/>
  <c r="D57" i="20"/>
  <c r="D58" i="20" s="1"/>
  <c r="E57" i="20"/>
  <c r="E58" i="20" s="1"/>
  <c r="F57" i="20"/>
  <c r="F58" i="20" s="1"/>
  <c r="G57" i="20"/>
  <c r="G58" i="20" s="1"/>
  <c r="H57" i="20"/>
  <c r="H58" i="20" s="1"/>
  <c r="I57" i="20"/>
  <c r="J57" i="20"/>
  <c r="J58" i="20" s="1"/>
  <c r="K57" i="20"/>
  <c r="K58" i="20" s="1"/>
  <c r="L57" i="20"/>
  <c r="L58" i="20" s="1"/>
  <c r="M57" i="20"/>
  <c r="M58" i="20" s="1"/>
  <c r="N57" i="20"/>
  <c r="N58" i="20" s="1"/>
  <c r="O57" i="20"/>
  <c r="O58" i="20" s="1"/>
  <c r="P57" i="20"/>
  <c r="P58" i="20" s="1"/>
  <c r="Q57" i="20"/>
  <c r="Q58" i="20" s="1"/>
  <c r="R57" i="20"/>
  <c r="R58" i="20" s="1"/>
  <c r="S57" i="20"/>
  <c r="S58" i="20" s="1"/>
  <c r="T57" i="20"/>
  <c r="T58" i="20" s="1"/>
  <c r="U57" i="20"/>
  <c r="U58" i="20" s="1"/>
  <c r="V57" i="20"/>
  <c r="V58" i="20" s="1"/>
  <c r="W57" i="20"/>
  <c r="W58" i="20" s="1"/>
  <c r="X57" i="20"/>
  <c r="X58" i="20" s="1"/>
  <c r="Y57" i="20"/>
  <c r="Y58" i="20" s="1"/>
  <c r="Z57" i="20"/>
  <c r="Z58" i="20" s="1"/>
  <c r="AA57" i="20"/>
  <c r="AA58" i="20" s="1"/>
  <c r="AB57" i="20"/>
  <c r="AB58" i="20" s="1"/>
  <c r="AC57" i="20"/>
  <c r="AC58" i="20" s="1"/>
  <c r="AD57" i="20"/>
  <c r="AD58" i="20" s="1"/>
  <c r="AE57" i="20"/>
  <c r="AE58" i="20" s="1"/>
  <c r="AF57" i="20"/>
  <c r="AF58" i="20" s="1"/>
  <c r="AG57" i="20"/>
  <c r="AG58" i="20" s="1"/>
  <c r="AH57" i="20"/>
  <c r="AH58" i="20" s="1"/>
  <c r="AI57" i="20"/>
  <c r="AI58" i="20" s="1"/>
  <c r="AJ57" i="20"/>
  <c r="AJ58" i="20" s="1"/>
  <c r="AK57" i="20"/>
  <c r="AK58" i="20" s="1"/>
  <c r="C58" i="20"/>
  <c r="C62" i="20" s="1"/>
  <c r="C61" i="20" s="1"/>
  <c r="I58" i="20"/>
  <c r="B60" i="20"/>
  <c r="B62" i="20" s="1"/>
  <c r="B61" i="20" s="1"/>
  <c r="C60" i="20"/>
  <c r="D60" i="20"/>
  <c r="E60" i="20"/>
  <c r="F60" i="20"/>
  <c r="F62" i="20" s="1"/>
  <c r="F61" i="20" s="1"/>
  <c r="G60" i="20"/>
  <c r="H60" i="20"/>
  <c r="H62" i="20" s="1"/>
  <c r="H61" i="20" s="1"/>
  <c r="I60" i="20"/>
  <c r="J60" i="20"/>
  <c r="K60" i="20"/>
  <c r="L60" i="20"/>
  <c r="M60" i="20"/>
  <c r="N60" i="20"/>
  <c r="O60" i="20"/>
  <c r="P60" i="20"/>
  <c r="K111" i="20"/>
  <c r="L111" i="20"/>
  <c r="M111" i="20"/>
  <c r="N111" i="20"/>
  <c r="O111" i="20"/>
  <c r="P111" i="20"/>
  <c r="Q111" i="20"/>
  <c r="R111" i="20"/>
  <c r="S111" i="20"/>
  <c r="T111" i="20"/>
  <c r="U111" i="20"/>
  <c r="V111" i="20"/>
  <c r="W111" i="20"/>
  <c r="B114" i="20"/>
  <c r="C114" i="20"/>
  <c r="D114" i="20"/>
  <c r="S114" i="20"/>
  <c r="T114" i="20" s="1"/>
  <c r="V114" i="20"/>
  <c r="W114" i="20" s="1"/>
  <c r="X114" i="20" s="1"/>
  <c r="Y114" i="20" s="1"/>
  <c r="Z114" i="20" s="1"/>
  <c r="AA114" i="20" s="1"/>
  <c r="AB114" i="20" s="1"/>
  <c r="AC114" i="20" s="1"/>
  <c r="AD114" i="20" s="1"/>
  <c r="AE114" i="20" s="1"/>
  <c r="AF114" i="20" s="1"/>
  <c r="AG114" i="20" s="1"/>
  <c r="AH114" i="20" s="1"/>
  <c r="AI114" i="20" s="1"/>
  <c r="AJ114" i="20" s="1"/>
  <c r="AK114" i="20" s="1"/>
  <c r="AL114" i="20" s="1"/>
  <c r="AM114" i="20" s="1"/>
  <c r="AN114" i="20" s="1"/>
  <c r="BN115" i="20"/>
  <c r="B117" i="20"/>
  <c r="C117" i="20"/>
  <c r="D117" i="20"/>
  <c r="E117" i="20"/>
  <c r="F117" i="20"/>
  <c r="G117" i="20"/>
  <c r="H117" i="20"/>
  <c r="I117" i="20"/>
  <c r="J117" i="20"/>
  <c r="K117" i="20"/>
  <c r="L117" i="20"/>
  <c r="BK117" i="20" s="1"/>
  <c r="AV117" i="20"/>
  <c r="AW117" i="20"/>
  <c r="AX117" i="20"/>
  <c r="AY117" i="20"/>
  <c r="BA117" i="20"/>
  <c r="BB117" i="20"/>
  <c r="BC117" i="20"/>
  <c r="BF117" i="20"/>
  <c r="BG117" i="20"/>
  <c r="BH117" i="20"/>
  <c r="CE117" i="20"/>
  <c r="CF117" i="20"/>
  <c r="CG117" i="20"/>
  <c r="CH117" i="20"/>
  <c r="CJ117" i="20"/>
  <c r="CK117" i="20"/>
  <c r="X127" i="20"/>
  <c r="C4" i="95"/>
  <c r="C6" i="95" s="1"/>
  <c r="C8" i="95" s="1"/>
  <c r="H5" i="95"/>
  <c r="B6" i="95"/>
  <c r="B8" i="95" s="1"/>
  <c r="B10" i="95" s="1"/>
  <c r="B12" i="95"/>
  <c r="E6" i="31"/>
  <c r="D6" i="31" s="1"/>
  <c r="C6" i="31" s="1"/>
  <c r="B6" i="31" s="1"/>
  <c r="G6" i="31"/>
  <c r="H6" i="31" s="1"/>
  <c r="T6" i="31"/>
  <c r="D3" i="95" s="1"/>
  <c r="X6" i="20" s="1"/>
  <c r="U6" i="31"/>
  <c r="V6" i="31"/>
  <c r="W6" i="31"/>
  <c r="H3" i="95"/>
  <c r="Y6" i="31"/>
  <c r="Z6" i="31"/>
  <c r="Z216" i="31" s="1"/>
  <c r="AA6" i="31"/>
  <c r="AA216" i="31" s="1"/>
  <c r="AB6" i="31"/>
  <c r="AB216" i="31" s="1"/>
  <c r="AC6" i="31"/>
  <c r="AC216" i="31" s="1"/>
  <c r="AD6" i="31"/>
  <c r="AD216" i="31" s="1"/>
  <c r="AE6" i="31"/>
  <c r="AE216" i="31" s="1"/>
  <c r="AF6" i="31"/>
  <c r="AF216" i="31" s="1"/>
  <c r="AG6" i="31"/>
  <c r="AG216" i="31" s="1"/>
  <c r="M87" i="31"/>
  <c r="I14" i="31"/>
  <c r="R86" i="30" s="1"/>
  <c r="R90" i="30" s="1"/>
  <c r="G99" i="31"/>
  <c r="H99" i="31"/>
  <c r="I99" i="31"/>
  <c r="V10" i="31"/>
  <c r="W10" i="31"/>
  <c r="B11" i="31"/>
  <c r="C11" i="31"/>
  <c r="D11" i="31"/>
  <c r="D23" i="31" s="1"/>
  <c r="D31" i="31" s="1"/>
  <c r="E11" i="31"/>
  <c r="F11" i="31"/>
  <c r="F23" i="31" s="1"/>
  <c r="Q12" i="31"/>
  <c r="C15" i="31"/>
  <c r="D15" i="31"/>
  <c r="E15" i="31"/>
  <c r="F15" i="31"/>
  <c r="G15" i="31"/>
  <c r="H15" i="31"/>
  <c r="B20" i="31"/>
  <c r="C46" i="31"/>
  <c r="C42" i="31" s="1"/>
  <c r="C39" i="31"/>
  <c r="C40" i="31" s="1"/>
  <c r="C29" i="31"/>
  <c r="C37" i="31"/>
  <c r="D37" i="31" s="1"/>
  <c r="D36" i="31" s="1"/>
  <c r="D29" i="31"/>
  <c r="E36" i="31"/>
  <c r="E29" i="31"/>
  <c r="G47" i="31"/>
  <c r="F47" i="31" s="1"/>
  <c r="F49" i="31"/>
  <c r="F36" i="31"/>
  <c r="F29" i="31"/>
  <c r="L28" i="31"/>
  <c r="B21" i="31"/>
  <c r="B29" i="31" s="1"/>
  <c r="V22" i="31"/>
  <c r="BE22" i="31" s="1"/>
  <c r="W22" i="31"/>
  <c r="BJ22" i="31" s="1"/>
  <c r="G49" i="31"/>
  <c r="G36" i="31"/>
  <c r="H46" i="31"/>
  <c r="I46" i="31" s="1"/>
  <c r="I42" i="31" s="1"/>
  <c r="G29" i="31"/>
  <c r="H29" i="31"/>
  <c r="I29" i="31"/>
  <c r="J29" i="31"/>
  <c r="K29" i="31"/>
  <c r="L29" i="31"/>
  <c r="M29" i="31"/>
  <c r="N29" i="31"/>
  <c r="O29" i="31"/>
  <c r="P29" i="31"/>
  <c r="Q29" i="31"/>
  <c r="R29" i="31"/>
  <c r="S29" i="31"/>
  <c r="T29" i="31"/>
  <c r="AW30" i="31"/>
  <c r="AX30" i="31"/>
  <c r="AY30" i="31"/>
  <c r="BA30" i="31"/>
  <c r="BB30" i="31"/>
  <c r="BC30" i="31"/>
  <c r="BD30" i="31"/>
  <c r="BF30" i="31"/>
  <c r="BG30" i="31"/>
  <c r="BH30" i="31"/>
  <c r="BI30" i="31"/>
  <c r="BY30" i="31"/>
  <c r="AB30" i="31"/>
  <c r="AC30" i="31"/>
  <c r="AE30" i="31"/>
  <c r="AF30" i="31"/>
  <c r="J36" i="31"/>
  <c r="B37" i="31"/>
  <c r="H37" i="31"/>
  <c r="B40" i="31"/>
  <c r="B42" i="31"/>
  <c r="B43" i="31" s="1"/>
  <c r="R47" i="31"/>
  <c r="S47" i="31"/>
  <c r="H50" i="31"/>
  <c r="C88" i="31"/>
  <c r="D88" i="31"/>
  <c r="E88" i="31"/>
  <c r="F88" i="31"/>
  <c r="G88" i="31"/>
  <c r="H88" i="31"/>
  <c r="I88" i="31"/>
  <c r="J88" i="31"/>
  <c r="K88" i="31"/>
  <c r="L88" i="31"/>
  <c r="M88" i="31"/>
  <c r="N88" i="31"/>
  <c r="O88" i="31"/>
  <c r="P88" i="31"/>
  <c r="Q88" i="31"/>
  <c r="R88" i="31"/>
  <c r="S88" i="31"/>
  <c r="T88" i="31"/>
  <c r="A93" i="31"/>
  <c r="C93" i="31"/>
  <c r="D93" i="31"/>
  <c r="E93" i="31"/>
  <c r="F93" i="31"/>
  <c r="A94" i="31"/>
  <c r="C94" i="31"/>
  <c r="D94" i="31"/>
  <c r="E94" i="31"/>
  <c r="F94" i="31"/>
  <c r="G94" i="31"/>
  <c r="H94" i="31"/>
  <c r="I94" i="31"/>
  <c r="J94" i="31"/>
  <c r="K94" i="31"/>
  <c r="L94" i="31"/>
  <c r="M94" i="31"/>
  <c r="N94" i="31"/>
  <c r="O94" i="31"/>
  <c r="P94" i="31"/>
  <c r="Q94" i="31"/>
  <c r="R94" i="31"/>
  <c r="S94" i="31"/>
  <c r="T94" i="31"/>
  <c r="A95" i="31"/>
  <c r="A96" i="31"/>
  <c r="C96" i="31"/>
  <c r="D96" i="31"/>
  <c r="E96" i="31"/>
  <c r="F96" i="31"/>
  <c r="G96" i="31"/>
  <c r="H96" i="31"/>
  <c r="B99" i="31"/>
  <c r="C99" i="31"/>
  <c r="D99" i="31"/>
  <c r="E99" i="31"/>
  <c r="F99" i="31"/>
  <c r="L99" i="31"/>
  <c r="C100" i="31"/>
  <c r="B100" i="31" s="1"/>
  <c r="B102" i="31" s="1"/>
  <c r="G100" i="31"/>
  <c r="H100" i="31" s="1"/>
  <c r="I100" i="31" s="1"/>
  <c r="J100" i="31" s="1"/>
  <c r="K100" i="31" s="1"/>
  <c r="L100" i="31" s="1"/>
  <c r="M100" i="31" s="1"/>
  <c r="N100" i="31" s="1"/>
  <c r="O100" i="31" s="1"/>
  <c r="P100" i="31" s="1"/>
  <c r="Q100" i="31" s="1"/>
  <c r="D102" i="31"/>
  <c r="E102" i="31"/>
  <c r="F102" i="31"/>
  <c r="F103" i="31" s="1"/>
  <c r="F106" i="31"/>
  <c r="G106" i="31" s="1"/>
  <c r="K106" i="31"/>
  <c r="C133" i="31"/>
  <c r="C128" i="31" s="1"/>
  <c r="F133" i="31"/>
  <c r="F135" i="31" s="1"/>
  <c r="G134" i="31"/>
  <c r="H134" i="31" s="1"/>
  <c r="E111" i="31"/>
  <c r="F111" i="31"/>
  <c r="I111" i="31"/>
  <c r="J111" i="31" s="1"/>
  <c r="K111" i="31" s="1"/>
  <c r="L111" i="31" s="1"/>
  <c r="M111" i="31" s="1"/>
  <c r="N111" i="31" s="1"/>
  <c r="O111" i="31" s="1"/>
  <c r="P111" i="31" s="1"/>
  <c r="E136" i="31"/>
  <c r="E137" i="31"/>
  <c r="H116" i="31"/>
  <c r="I116" i="31" s="1"/>
  <c r="J116" i="31" s="1"/>
  <c r="K116" i="31" s="1"/>
  <c r="L116" i="31" s="1"/>
  <c r="M116" i="31" s="1"/>
  <c r="N116" i="31" s="1"/>
  <c r="O116" i="31" s="1"/>
  <c r="P116" i="31" s="1"/>
  <c r="Q116" i="31" s="1"/>
  <c r="R116" i="31" s="1"/>
  <c r="S116" i="31" s="1"/>
  <c r="T116" i="31" s="1"/>
  <c r="U116" i="31" s="1"/>
  <c r="V116" i="31" s="1"/>
  <c r="W116" i="31" s="1"/>
  <c r="X116" i="31" s="1"/>
  <c r="Y116" i="31" s="1"/>
  <c r="Z116" i="31" s="1"/>
  <c r="AA116" i="31" s="1"/>
  <c r="AB116" i="31" s="1"/>
  <c r="AC116" i="31" s="1"/>
  <c r="AD116" i="31" s="1"/>
  <c r="AE116" i="31" s="1"/>
  <c r="AF116" i="31" s="1"/>
  <c r="AG116" i="31" s="1"/>
  <c r="AH116" i="31" s="1"/>
  <c r="C117" i="31"/>
  <c r="D117" i="31"/>
  <c r="E117" i="31"/>
  <c r="F117" i="31"/>
  <c r="G117" i="31"/>
  <c r="B120" i="31"/>
  <c r="C120" i="31"/>
  <c r="D120" i="31"/>
  <c r="E120" i="31"/>
  <c r="F120" i="31"/>
  <c r="G120" i="31"/>
  <c r="H120" i="31"/>
  <c r="I120" i="31"/>
  <c r="J120" i="31"/>
  <c r="K120" i="31"/>
  <c r="L120" i="31"/>
  <c r="M120" i="31"/>
  <c r="N120" i="31"/>
  <c r="O120" i="31"/>
  <c r="P120" i="31"/>
  <c r="Q120" i="31"/>
  <c r="R120" i="31"/>
  <c r="S120" i="31"/>
  <c r="T120" i="31"/>
  <c r="J121" i="31"/>
  <c r="J123" i="31" s="1"/>
  <c r="J124" i="31" s="1"/>
  <c r="J127" i="31"/>
  <c r="K127" i="31" s="1"/>
  <c r="C123" i="31"/>
  <c r="C124" i="31" s="1"/>
  <c r="D123" i="31"/>
  <c r="D124" i="31" s="1"/>
  <c r="E123" i="31"/>
  <c r="F123" i="31"/>
  <c r="F124" i="31" s="1"/>
  <c r="G123" i="31"/>
  <c r="H123" i="31"/>
  <c r="H124" i="31" s="1"/>
  <c r="I123" i="31"/>
  <c r="I124" i="31" s="1"/>
  <c r="B133" i="31"/>
  <c r="B128" i="31" s="1"/>
  <c r="D133" i="31"/>
  <c r="D135" i="31" s="1"/>
  <c r="E134" i="31"/>
  <c r="S141" i="31"/>
  <c r="T141" i="31" s="1"/>
  <c r="U141" i="31" s="1"/>
  <c r="V141" i="31" s="1"/>
  <c r="W141" i="31" s="1"/>
  <c r="X141" i="31" s="1"/>
  <c r="Y141" i="31" s="1"/>
  <c r="Z141" i="31" s="1"/>
  <c r="AA141" i="31" s="1"/>
  <c r="AB141" i="31" s="1"/>
  <c r="AC141" i="31" s="1"/>
  <c r="AD141" i="31" s="1"/>
  <c r="AE141" i="31" s="1"/>
  <c r="AF141" i="31" s="1"/>
  <c r="AG141" i="31" s="1"/>
  <c r="AH141" i="31" s="1"/>
  <c r="M149" i="31"/>
  <c r="M150" i="31" s="1"/>
  <c r="N149" i="31"/>
  <c r="O149" i="31"/>
  <c r="P149" i="31"/>
  <c r="Q149" i="31"/>
  <c r="R149" i="31"/>
  <c r="S149" i="31"/>
  <c r="T149" i="31"/>
  <c r="U149" i="31"/>
  <c r="V149" i="31"/>
  <c r="W149" i="31"/>
  <c r="X149" i="31"/>
  <c r="X236" i="31"/>
  <c r="Y236" i="31" s="1"/>
  <c r="Z236" i="31" s="1"/>
  <c r="AA236" i="31" s="1"/>
  <c r="AB236" i="31" s="1"/>
  <c r="AC236" i="31" s="1"/>
  <c r="AD236" i="31" s="1"/>
  <c r="AE236" i="31" s="1"/>
  <c r="AF236" i="31" s="1"/>
  <c r="B200" i="31"/>
  <c r="C200" i="31"/>
  <c r="D200" i="31"/>
  <c r="E200" i="31"/>
  <c r="U200" i="31"/>
  <c r="AZ200" i="31" s="1"/>
  <c r="V200" i="31"/>
  <c r="B201" i="31"/>
  <c r="U201" i="31"/>
  <c r="AZ201" i="31" s="1"/>
  <c r="V201" i="31"/>
  <c r="DN4" i="30"/>
  <c r="DN187" i="30" s="1"/>
  <c r="DS4" i="30"/>
  <c r="DX4" i="30"/>
  <c r="DX84" i="30" s="1"/>
  <c r="EC4" i="30"/>
  <c r="EC187" i="30" s="1"/>
  <c r="EH4" i="30"/>
  <c r="EM4" i="30"/>
  <c r="ER4" i="30"/>
  <c r="M5" i="30"/>
  <c r="P5" i="30"/>
  <c r="BP5" i="30"/>
  <c r="BQ5" i="30"/>
  <c r="BR5" i="30"/>
  <c r="BS5" i="30"/>
  <c r="DD5" i="30"/>
  <c r="DE5" i="30"/>
  <c r="DF5" i="30"/>
  <c r="DF40" i="30" s="1"/>
  <c r="DG5" i="30"/>
  <c r="DG40" i="30" s="1"/>
  <c r="DI5" i="30"/>
  <c r="DJ5" i="30"/>
  <c r="DJ188" i="30" s="1"/>
  <c r="DK5" i="30"/>
  <c r="DL5" i="30"/>
  <c r="DN5" i="30"/>
  <c r="DO5" i="30"/>
  <c r="DO85" i="30" s="1"/>
  <c r="DP5" i="30"/>
  <c r="DP40" i="30" s="1"/>
  <c r="DQ5" i="30"/>
  <c r="DS5" i="30"/>
  <c r="DT5" i="30"/>
  <c r="DT40" i="30" s="1"/>
  <c r="DU5" i="30"/>
  <c r="DU40" i="30" s="1"/>
  <c r="DV5" i="30"/>
  <c r="DV40" i="30" s="1"/>
  <c r="DX5" i="30"/>
  <c r="DY5" i="30"/>
  <c r="DZ5" i="30"/>
  <c r="DZ188" i="30" s="1"/>
  <c r="EA5" i="30"/>
  <c r="EA85" i="30" s="1"/>
  <c r="EC5" i="30"/>
  <c r="ED5" i="30"/>
  <c r="ED85" i="30" s="1"/>
  <c r="EE5" i="30"/>
  <c r="EE85" i="30" s="1"/>
  <c r="EF5" i="30"/>
  <c r="EH5" i="30"/>
  <c r="EI5" i="30"/>
  <c r="EI188" i="30" s="1"/>
  <c r="EJ5" i="30"/>
  <c r="EJ188" i="30" s="1"/>
  <c r="EK5" i="30"/>
  <c r="EM5" i="30"/>
  <c r="EM188" i="30" s="1"/>
  <c r="EN5" i="30"/>
  <c r="EN188" i="30" s="1"/>
  <c r="EO5" i="30"/>
  <c r="EO85" i="30" s="1"/>
  <c r="EP5" i="30"/>
  <c r="EP85" i="30" s="1"/>
  <c r="ER5" i="30"/>
  <c r="ES5" i="30"/>
  <c r="ET5" i="30"/>
  <c r="ET85" i="30" s="1"/>
  <c r="EU5" i="30"/>
  <c r="EU85" i="30" s="1"/>
  <c r="CY11" i="30"/>
  <c r="DD12" i="30"/>
  <c r="CT9" i="30"/>
  <c r="AR39" i="59" s="1"/>
  <c r="CZ7" i="30"/>
  <c r="DA7" i="30"/>
  <c r="CN7" i="30"/>
  <c r="CQ7" i="30"/>
  <c r="CV9" i="30"/>
  <c r="CV7" i="30"/>
  <c r="AB9" i="30"/>
  <c r="CW9" i="30" s="1"/>
  <c r="CU9" i="30"/>
  <c r="DH7" i="30"/>
  <c r="DM7" i="30"/>
  <c r="DR7" i="30"/>
  <c r="DW7" i="30"/>
  <c r="L8" i="30"/>
  <c r="O8" i="30"/>
  <c r="S8" i="30"/>
  <c r="Y8" i="30"/>
  <c r="Z8" i="30"/>
  <c r="AA8" i="30"/>
  <c r="AB8" i="30"/>
  <c r="CT8" i="30"/>
  <c r="CU8" i="30"/>
  <c r="Y9" i="30"/>
  <c r="Z9" i="30"/>
  <c r="Z10" i="30" s="1"/>
  <c r="AA9" i="30"/>
  <c r="AE9" i="30"/>
  <c r="L6" i="52" s="1"/>
  <c r="AF9" i="30"/>
  <c r="CN9" i="30"/>
  <c r="CO9" i="30"/>
  <c r="CO17" i="30" s="1"/>
  <c r="CP9" i="30"/>
  <c r="CP17" i="30" s="1"/>
  <c r="CR9" i="30"/>
  <c r="AP39" i="59" s="1"/>
  <c r="DG9" i="30"/>
  <c r="L10" i="30"/>
  <c r="O10" i="30"/>
  <c r="S10" i="30"/>
  <c r="DE10" i="30"/>
  <c r="DI10" i="30"/>
  <c r="DJ10" i="30"/>
  <c r="DK10" i="30"/>
  <c r="DN10" i="30"/>
  <c r="DO10" i="30"/>
  <c r="DP10" i="30"/>
  <c r="DQ10" i="30"/>
  <c r="F11" i="30"/>
  <c r="L11" i="30"/>
  <c r="L64" i="25" s="1"/>
  <c r="O11" i="30"/>
  <c r="S11" i="30"/>
  <c r="AD11" i="30"/>
  <c r="CJ11" i="30"/>
  <c r="CK11" i="30"/>
  <c r="CL11" i="30"/>
  <c r="CM11" i="30"/>
  <c r="CS11" i="30"/>
  <c r="DN11" i="30"/>
  <c r="DN12" i="30" s="1"/>
  <c r="DO11" i="30"/>
  <c r="DO12" i="30"/>
  <c r="DP11" i="30"/>
  <c r="DP12" i="30" s="1"/>
  <c r="DQ11" i="30"/>
  <c r="DQ12" i="30" s="1"/>
  <c r="Z12" i="30"/>
  <c r="AA12" i="30"/>
  <c r="AB12" i="30"/>
  <c r="CV12" i="30"/>
  <c r="CW12" i="30"/>
  <c r="DA12" i="30"/>
  <c r="DB12" i="30"/>
  <c r="DE12" i="30"/>
  <c r="DF12" i="30"/>
  <c r="DG12" i="30"/>
  <c r="DI12" i="30"/>
  <c r="DJ12" i="30"/>
  <c r="DK12" i="30"/>
  <c r="DL12" i="30"/>
  <c r="CN14" i="30"/>
  <c r="CO14" i="30"/>
  <c r="AM95" i="59" s="1"/>
  <c r="CP14" i="30"/>
  <c r="AN95" i="59"/>
  <c r="CQ14" i="30"/>
  <c r="AA25" i="30"/>
  <c r="AA22" i="30"/>
  <c r="AA196" i="30"/>
  <c r="CT14" i="30"/>
  <c r="CT15" i="30"/>
  <c r="CU14" i="30"/>
  <c r="AB16" i="30"/>
  <c r="AB17" i="30" s="1"/>
  <c r="DA14" i="30"/>
  <c r="DD14" i="30"/>
  <c r="DH14" i="30"/>
  <c r="DM14" i="30"/>
  <c r="DR14" i="30"/>
  <c r="DW14" i="30"/>
  <c r="L15" i="30"/>
  <c r="O15" i="30"/>
  <c r="S15" i="30"/>
  <c r="Y15" i="30"/>
  <c r="Z15" i="30"/>
  <c r="AA15" i="30"/>
  <c r="AB15" i="30"/>
  <c r="Y25" i="30"/>
  <c r="Y22" i="30"/>
  <c r="Y196" i="30"/>
  <c r="Z25" i="30"/>
  <c r="Z22" i="30"/>
  <c r="AE16" i="30"/>
  <c r="H91" i="59"/>
  <c r="AF16" i="30"/>
  <c r="CN16" i="30"/>
  <c r="CY16" i="30"/>
  <c r="CY18" i="30"/>
  <c r="DH16" i="30"/>
  <c r="F17" i="30"/>
  <c r="L17" i="30"/>
  <c r="O17" i="30"/>
  <c r="S17" i="30"/>
  <c r="AD17" i="30"/>
  <c r="CQ17" i="30"/>
  <c r="CZ17" i="30"/>
  <c r="DA17" i="30"/>
  <c r="DD17" i="30"/>
  <c r="DE17" i="30"/>
  <c r="DI17" i="30"/>
  <c r="DJ17" i="30"/>
  <c r="DK17" i="30"/>
  <c r="DL17" i="30"/>
  <c r="DN17" i="30"/>
  <c r="DO17" i="30"/>
  <c r="DP17" i="30"/>
  <c r="DQ17" i="30"/>
  <c r="L18" i="30"/>
  <c r="O18" i="30"/>
  <c r="S18" i="30"/>
  <c r="AD18" i="30"/>
  <c r="CT18" i="30"/>
  <c r="CU18" i="30"/>
  <c r="CZ18" i="30"/>
  <c r="DE18" i="30"/>
  <c r="DF18" i="30"/>
  <c r="DI18" i="30"/>
  <c r="DJ18" i="30"/>
  <c r="DK18" i="30"/>
  <c r="DL18" i="30"/>
  <c r="DN18" i="30"/>
  <c r="DO18" i="30"/>
  <c r="DP18" i="30"/>
  <c r="DQ18" i="30"/>
  <c r="F19" i="30"/>
  <c r="L19" i="30"/>
  <c r="O19" i="30"/>
  <c r="O20" i="30" s="1"/>
  <c r="S19" i="30"/>
  <c r="AC19" i="30"/>
  <c r="AC20" i="30" s="1"/>
  <c r="AD19" i="30"/>
  <c r="AD20" i="30" s="1"/>
  <c r="CJ19" i="30"/>
  <c r="CJ25" i="30" s="1"/>
  <c r="CK19" i="30"/>
  <c r="CL19" i="30"/>
  <c r="CM19" i="30"/>
  <c r="CX19" i="30"/>
  <c r="CY19" i="30"/>
  <c r="CY20" i="30" s="1"/>
  <c r="DP19" i="30"/>
  <c r="DF66" i="25" s="1"/>
  <c r="DQ19" i="30"/>
  <c r="CU20" i="30"/>
  <c r="CV20" i="30"/>
  <c r="CW20" i="30"/>
  <c r="CZ20" i="30"/>
  <c r="DA20" i="30"/>
  <c r="DE20" i="30"/>
  <c r="DF20" i="30"/>
  <c r="DI20" i="30"/>
  <c r="DJ20" i="30"/>
  <c r="DK20" i="30"/>
  <c r="DL20" i="30"/>
  <c r="DN20" i="30"/>
  <c r="DO20" i="30"/>
  <c r="AB22" i="30"/>
  <c r="AB34" i="30" s="1"/>
  <c r="AC206" i="30"/>
  <c r="CY206" i="30" s="1"/>
  <c r="CZ196" i="30"/>
  <c r="CZ22" i="30" s="1"/>
  <c r="DA196" i="30"/>
  <c r="DA22" i="30" s="1"/>
  <c r="AD206" i="30"/>
  <c r="DE206" i="30" s="1"/>
  <c r="DE196" i="30" s="1"/>
  <c r="DE22" i="30" s="1"/>
  <c r="AE206" i="30"/>
  <c r="DK206" i="30" s="1"/>
  <c r="AF206" i="30"/>
  <c r="DQ206" i="30" s="1"/>
  <c r="AG206" i="30"/>
  <c r="DU206" i="30"/>
  <c r="CJ22" i="30"/>
  <c r="CK22" i="30"/>
  <c r="CK25" i="30" s="1"/>
  <c r="CK29" i="30" s="1"/>
  <c r="CL22" i="30"/>
  <c r="CL25" i="30" s="1"/>
  <c r="CL29" i="30" s="1"/>
  <c r="CM22" i="30"/>
  <c r="CQ27" i="30"/>
  <c r="CQ206" i="30" s="1"/>
  <c r="CO27" i="30"/>
  <c r="CP27" i="30"/>
  <c r="CP22" i="30"/>
  <c r="CP23" i="30" s="1"/>
  <c r="CV27" i="30"/>
  <c r="CV206" i="30" s="1"/>
  <c r="CV196" i="30" s="1"/>
  <c r="CT27" i="30"/>
  <c r="CT206" i="30" s="1"/>
  <c r="CU27" i="30"/>
  <c r="CU206" i="30"/>
  <c r="CU22" i="30"/>
  <c r="S27" i="30"/>
  <c r="O27" i="30" s="1"/>
  <c r="CJ27" i="30"/>
  <c r="CN27" i="30" s="1"/>
  <c r="CK27" i="30"/>
  <c r="CL27" i="30"/>
  <c r="CM27" i="30"/>
  <c r="CZ27" i="30"/>
  <c r="DA27" i="30"/>
  <c r="AC31" i="30"/>
  <c r="AK31" i="30"/>
  <c r="AK218" i="30" s="1"/>
  <c r="Y32" i="30"/>
  <c r="Z32" i="30"/>
  <c r="AA32" i="30"/>
  <c r="AB32" i="30"/>
  <c r="B39" i="30"/>
  <c r="C39" i="30"/>
  <c r="D39" i="30"/>
  <c r="E39" i="30"/>
  <c r="H39" i="30"/>
  <c r="I39" i="30"/>
  <c r="J39" i="30"/>
  <c r="K39" i="30"/>
  <c r="M39" i="30"/>
  <c r="R39" i="30" s="1"/>
  <c r="N39" i="30"/>
  <c r="P39" i="30"/>
  <c r="BF39" i="30"/>
  <c r="BK39" i="30"/>
  <c r="BU39" i="30"/>
  <c r="BZ39" i="30"/>
  <c r="CE39" i="30"/>
  <c r="CJ39" i="30"/>
  <c r="CO39" i="30"/>
  <c r="CT39" i="30"/>
  <c r="CY39" i="30"/>
  <c r="DD39" i="30"/>
  <c r="DI39" i="30"/>
  <c r="C40" i="30"/>
  <c r="D40" i="30"/>
  <c r="E40" i="30"/>
  <c r="F40" i="30"/>
  <c r="H40" i="30"/>
  <c r="I40" i="30"/>
  <c r="J40" i="30"/>
  <c r="K40" i="30"/>
  <c r="L40" i="30"/>
  <c r="N40" i="30"/>
  <c r="O40" i="30"/>
  <c r="Q40" i="30"/>
  <c r="R40" i="30"/>
  <c r="S40" i="30"/>
  <c r="T40" i="30"/>
  <c r="U40" i="30"/>
  <c r="X40" i="30"/>
  <c r="Y40" i="30"/>
  <c r="Z40" i="30"/>
  <c r="AA40" i="30"/>
  <c r="AB40" i="30"/>
  <c r="AC40" i="30"/>
  <c r="AD40" i="30"/>
  <c r="AE40" i="30"/>
  <c r="AF40" i="30"/>
  <c r="AG40" i="30"/>
  <c r="AH40" i="30"/>
  <c r="AI40" i="30"/>
  <c r="AJ40" i="30"/>
  <c r="AK40" i="30"/>
  <c r="AL40" i="30"/>
  <c r="AM40" i="30"/>
  <c r="AN40" i="30"/>
  <c r="AO40" i="30"/>
  <c r="AP40" i="30"/>
  <c r="AQ40" i="30"/>
  <c r="AR40" i="30"/>
  <c r="AS40" i="30"/>
  <c r="AT40" i="30"/>
  <c r="AU40" i="30"/>
  <c r="AV40" i="30"/>
  <c r="BF40" i="30"/>
  <c r="BG40" i="30"/>
  <c r="BH40" i="30"/>
  <c r="BI40" i="30"/>
  <c r="BK40" i="30"/>
  <c r="BL40" i="30"/>
  <c r="BM40" i="30"/>
  <c r="BN40" i="30"/>
  <c r="BP40" i="30"/>
  <c r="BQ40" i="30"/>
  <c r="BR40" i="30"/>
  <c r="BS40" i="30"/>
  <c r="BU40" i="30"/>
  <c r="BV40" i="30"/>
  <c r="BW40" i="30"/>
  <c r="BX40" i="30"/>
  <c r="BZ40" i="30"/>
  <c r="CA40" i="30"/>
  <c r="CB40" i="30"/>
  <c r="CC40" i="30"/>
  <c r="CE40" i="30"/>
  <c r="CF40" i="30"/>
  <c r="CG40" i="30"/>
  <c r="CH40" i="30"/>
  <c r="CJ40" i="30"/>
  <c r="CK40" i="30"/>
  <c r="CL40" i="30"/>
  <c r="CM40" i="30"/>
  <c r="CO40" i="30"/>
  <c r="CP40" i="30"/>
  <c r="CQ40" i="30"/>
  <c r="CR40" i="30"/>
  <c r="CT40" i="30"/>
  <c r="CU40" i="30"/>
  <c r="CV40" i="30"/>
  <c r="CW40" i="30"/>
  <c r="CY40" i="30"/>
  <c r="CZ40" i="30"/>
  <c r="DA40" i="30"/>
  <c r="DB40" i="30"/>
  <c r="F42" i="30"/>
  <c r="L42" i="30"/>
  <c r="O42" i="30"/>
  <c r="M7" i="25" s="1"/>
  <c r="R42" i="30"/>
  <c r="T42" i="30"/>
  <c r="U42" i="30"/>
  <c r="U46" i="30" s="1"/>
  <c r="CO42" i="30"/>
  <c r="CP42" i="30"/>
  <c r="CQ42" i="30"/>
  <c r="CR42" i="30"/>
  <c r="AP128" i="59"/>
  <c r="BP42" i="30"/>
  <c r="BQ42" i="30"/>
  <c r="BV46" i="30" s="1"/>
  <c r="BR42" i="30"/>
  <c r="BR51" i="30" s="1"/>
  <c r="BS42" i="30"/>
  <c r="BS51" i="30" s="1"/>
  <c r="CX42" i="30"/>
  <c r="DC42" i="30"/>
  <c r="DH42" i="30"/>
  <c r="DM42" i="30"/>
  <c r="DR42" i="30"/>
  <c r="DS42" i="30"/>
  <c r="DS46" i="30" s="1"/>
  <c r="DT42" i="30"/>
  <c r="DT46" i="30" s="1"/>
  <c r="DU42" i="30"/>
  <c r="DV42" i="30"/>
  <c r="F43" i="30"/>
  <c r="K21" i="25" s="1"/>
  <c r="L43" i="30"/>
  <c r="L21" i="25"/>
  <c r="O43" i="30"/>
  <c r="R43" i="30"/>
  <c r="T43" i="30"/>
  <c r="Y43" i="30"/>
  <c r="O21" i="25" s="1"/>
  <c r="U43" i="30"/>
  <c r="Z43" i="30" s="1"/>
  <c r="CO43" i="30"/>
  <c r="CO47" i="30" s="1"/>
  <c r="CP43" i="30"/>
  <c r="CF21" i="25"/>
  <c r="CQ43" i="30"/>
  <c r="CG21" i="25" s="1"/>
  <c r="CR43" i="30"/>
  <c r="CR47" i="30"/>
  <c r="BP43" i="30"/>
  <c r="BU47" i="30"/>
  <c r="BQ43" i="30"/>
  <c r="BV47" i="30"/>
  <c r="BR43" i="30"/>
  <c r="BW47" i="30"/>
  <c r="BS43" i="30"/>
  <c r="CX43" i="30"/>
  <c r="DC43" i="30"/>
  <c r="DH43" i="30"/>
  <c r="DM43" i="30"/>
  <c r="DR43" i="30"/>
  <c r="AA44" i="30"/>
  <c r="BK44" i="30"/>
  <c r="BL44" i="30"/>
  <c r="BM44" i="30"/>
  <c r="BN44" i="30"/>
  <c r="BP44" i="30"/>
  <c r="BQ44" i="30"/>
  <c r="BR44" i="30"/>
  <c r="BS44" i="30"/>
  <c r="CW44" i="30"/>
  <c r="C45" i="30"/>
  <c r="C61" i="30"/>
  <c r="E45" i="30"/>
  <c r="J241" i="30"/>
  <c r="I45" i="30"/>
  <c r="I55" i="30"/>
  <c r="J45" i="30"/>
  <c r="K45" i="30"/>
  <c r="K48" i="30" s="1"/>
  <c r="N45" i="30"/>
  <c r="BU45" i="30"/>
  <c r="BV45" i="30"/>
  <c r="BW45" i="30"/>
  <c r="BX45" i="30"/>
  <c r="AB45" i="30"/>
  <c r="AC45" i="30"/>
  <c r="AD45" i="30"/>
  <c r="AD241" i="30"/>
  <c r="AE45" i="30"/>
  <c r="AF45" i="30"/>
  <c r="AG45" i="30"/>
  <c r="AH45" i="30"/>
  <c r="AI45" i="30"/>
  <c r="AJ45" i="30"/>
  <c r="AJ241" i="30" s="1"/>
  <c r="BP45" i="30"/>
  <c r="BU48" i="30" s="1"/>
  <c r="BQ45" i="30"/>
  <c r="BV48" i="30" s="1"/>
  <c r="BR45" i="30"/>
  <c r="BW48" i="30" s="1"/>
  <c r="BS45" i="30"/>
  <c r="BZ45" i="30"/>
  <c r="CA45" i="30"/>
  <c r="CB45" i="30"/>
  <c r="CC45" i="30"/>
  <c r="CC48" i="30"/>
  <c r="CE45" i="30"/>
  <c r="CE48" i="30"/>
  <c r="CF45" i="30"/>
  <c r="CF48" i="30" s="1"/>
  <c r="CG45" i="30"/>
  <c r="CH45" i="30"/>
  <c r="CH48" i="30"/>
  <c r="CJ45" i="30"/>
  <c r="CK45" i="30"/>
  <c r="CL45" i="30"/>
  <c r="CM45" i="30"/>
  <c r="CM48" i="30" s="1"/>
  <c r="CT45" i="30"/>
  <c r="CU45" i="30"/>
  <c r="CV45" i="30"/>
  <c r="CW45" i="30"/>
  <c r="CY45" i="30"/>
  <c r="CY48" i="30" s="1"/>
  <c r="CZ45" i="30"/>
  <c r="DA45" i="30"/>
  <c r="DB45" i="30"/>
  <c r="DD45" i="30"/>
  <c r="DE45" i="30"/>
  <c r="DF45" i="30"/>
  <c r="DF48" i="30"/>
  <c r="DG45" i="30"/>
  <c r="DI45" i="30"/>
  <c r="DI48" i="30" s="1"/>
  <c r="DJ45" i="30"/>
  <c r="DK45" i="30"/>
  <c r="DL45" i="30"/>
  <c r="DL48" i="30"/>
  <c r="DN45" i="30"/>
  <c r="DO45" i="30"/>
  <c r="DO48" i="30" s="1"/>
  <c r="DP45" i="30"/>
  <c r="DQ45" i="30"/>
  <c r="DQ48" i="30" s="1"/>
  <c r="K46" i="30"/>
  <c r="N46" i="30"/>
  <c r="AC46" i="30"/>
  <c r="AD46" i="30"/>
  <c r="AE46" i="30"/>
  <c r="AF46" i="30"/>
  <c r="AG46" i="30"/>
  <c r="AH46" i="30"/>
  <c r="AI46" i="30"/>
  <c r="AJ46" i="30"/>
  <c r="BZ46" i="30"/>
  <c r="CA46" i="30"/>
  <c r="CB46" i="30"/>
  <c r="CC46" i="30"/>
  <c r="CE46" i="30"/>
  <c r="CF46" i="30"/>
  <c r="CG46" i="30"/>
  <c r="CH46" i="30"/>
  <c r="CJ46" i="30"/>
  <c r="CK46" i="30"/>
  <c r="CL46" i="30"/>
  <c r="CM46" i="30"/>
  <c r="CY46" i="30"/>
  <c r="CZ46" i="30"/>
  <c r="DA46" i="30"/>
  <c r="DB46" i="30"/>
  <c r="DD46" i="30"/>
  <c r="DE46" i="30"/>
  <c r="DF46" i="30"/>
  <c r="DG46" i="30"/>
  <c r="DI46" i="30"/>
  <c r="DJ46" i="30"/>
  <c r="DK46" i="30"/>
  <c r="DL46" i="30"/>
  <c r="DN46" i="30"/>
  <c r="DO46" i="30"/>
  <c r="DP46" i="30"/>
  <c r="DQ46" i="30"/>
  <c r="K47" i="30"/>
  <c r="N47" i="30"/>
  <c r="R47" i="30"/>
  <c r="AC47" i="30"/>
  <c r="AD47" i="30"/>
  <c r="AE47" i="30"/>
  <c r="AF47" i="30"/>
  <c r="AG47" i="30"/>
  <c r="AH47" i="30"/>
  <c r="AI47" i="30"/>
  <c r="AJ47" i="30"/>
  <c r="BX47" i="30"/>
  <c r="BZ47" i="30"/>
  <c r="CA47" i="30"/>
  <c r="CB47" i="30"/>
  <c r="CC47" i="30"/>
  <c r="CE47" i="30"/>
  <c r="CF47" i="30"/>
  <c r="CG47" i="30"/>
  <c r="CH47" i="30"/>
  <c r="CJ47" i="30"/>
  <c r="CK47" i="30"/>
  <c r="CL47" i="30"/>
  <c r="CM47" i="30"/>
  <c r="CY47" i="30"/>
  <c r="CZ47" i="30"/>
  <c r="DA47" i="30"/>
  <c r="DB47" i="30"/>
  <c r="DD47" i="30"/>
  <c r="DE47" i="30"/>
  <c r="DF47" i="30"/>
  <c r="DG47" i="30"/>
  <c r="DI47" i="30"/>
  <c r="DJ47" i="30"/>
  <c r="DK47" i="30"/>
  <c r="DL47" i="30"/>
  <c r="DN47" i="30"/>
  <c r="DO47" i="30"/>
  <c r="DP47" i="30"/>
  <c r="DQ47" i="30"/>
  <c r="BK48" i="30"/>
  <c r="BL48" i="30"/>
  <c r="BM48" i="30"/>
  <c r="BN48" i="30"/>
  <c r="BU54" i="30"/>
  <c r="BV54" i="30"/>
  <c r="BV50" i="30"/>
  <c r="BW54" i="30"/>
  <c r="BX54" i="30"/>
  <c r="BX56" i="30" s="1"/>
  <c r="F51" i="30"/>
  <c r="L51" i="30"/>
  <c r="O51" i="30"/>
  <c r="R51" i="30"/>
  <c r="T51" i="30"/>
  <c r="CO51" i="30"/>
  <c r="CE9" i="25"/>
  <c r="CP51" i="30"/>
  <c r="CQ51" i="30"/>
  <c r="CR51" i="30"/>
  <c r="Z51" i="30"/>
  <c r="P9" i="25" s="1"/>
  <c r="BN51" i="30"/>
  <c r="CX51" i="30"/>
  <c r="DC51" i="30"/>
  <c r="DH51" i="30"/>
  <c r="DM51" i="30"/>
  <c r="DR51" i="30"/>
  <c r="DT51" i="30"/>
  <c r="DU51" i="30"/>
  <c r="DU63" i="30" s="1"/>
  <c r="DV51" i="30"/>
  <c r="DV63" i="30" s="1"/>
  <c r="F52" i="30"/>
  <c r="K23" i="25"/>
  <c r="L52" i="30"/>
  <c r="O52" i="30"/>
  <c r="O54" i="30"/>
  <c r="R52" i="30"/>
  <c r="R54" i="30"/>
  <c r="T52" i="30"/>
  <c r="CO52" i="30"/>
  <c r="CE23" i="25"/>
  <c r="CP52" i="30"/>
  <c r="AN161" i="59" s="1"/>
  <c r="CQ52" i="30"/>
  <c r="CR52" i="30"/>
  <c r="CR54" i="30"/>
  <c r="Z52" i="30"/>
  <c r="BK52" i="30"/>
  <c r="BK53" i="30"/>
  <c r="BP53" i="30"/>
  <c r="BL52" i="30"/>
  <c r="BM52" i="30"/>
  <c r="BM53" i="30"/>
  <c r="BR53" i="30"/>
  <c r="BP54" i="30"/>
  <c r="BP55" i="30"/>
  <c r="BQ54" i="30"/>
  <c r="CX52" i="30"/>
  <c r="DC52" i="30"/>
  <c r="DH52" i="30"/>
  <c r="DM52" i="30"/>
  <c r="DR52" i="30"/>
  <c r="DT52" i="30"/>
  <c r="DT64" i="30" s="1"/>
  <c r="DU52" i="30"/>
  <c r="DV52" i="30"/>
  <c r="F53" i="30"/>
  <c r="L53" i="30"/>
  <c r="O53" i="30"/>
  <c r="S53" i="30"/>
  <c r="Y53" i="30"/>
  <c r="Z53" i="30"/>
  <c r="AA53" i="30"/>
  <c r="CX53" i="30"/>
  <c r="DC53" i="30"/>
  <c r="DH53" i="30"/>
  <c r="DM53" i="30"/>
  <c r="DR53" i="30"/>
  <c r="DW53" i="30"/>
  <c r="N54" i="30"/>
  <c r="P54" i="30"/>
  <c r="U54" i="30"/>
  <c r="AB54" i="30"/>
  <c r="AB55" i="30" s="1"/>
  <c r="AC54" i="30"/>
  <c r="AD54" i="30"/>
  <c r="AE54" i="30"/>
  <c r="AE56" i="30" s="1"/>
  <c r="AF54" i="30"/>
  <c r="AF56" i="30"/>
  <c r="AG54" i="30"/>
  <c r="BF54" i="30"/>
  <c r="BG54" i="30"/>
  <c r="BL56" i="30"/>
  <c r="BH54" i="30"/>
  <c r="BM56" i="30" s="1"/>
  <c r="BI54" i="30"/>
  <c r="BZ54" i="30"/>
  <c r="CA54" i="30"/>
  <c r="CA55" i="30" s="1"/>
  <c r="CB54" i="30"/>
  <c r="CC54" i="30"/>
  <c r="CC55" i="30" s="1"/>
  <c r="CE54" i="30"/>
  <c r="CF54" i="30"/>
  <c r="CF55" i="30"/>
  <c r="CG54" i="30"/>
  <c r="CG56" i="30" s="1"/>
  <c r="CH54" i="30"/>
  <c r="CJ54" i="30"/>
  <c r="CK54" i="30"/>
  <c r="CL54" i="30"/>
  <c r="CL56" i="30"/>
  <c r="CM54" i="30"/>
  <c r="CM55" i="30" s="1"/>
  <c r="CT54" i="30"/>
  <c r="CT55" i="30"/>
  <c r="CU54" i="30"/>
  <c r="CU55" i="30" s="1"/>
  <c r="CV54" i="30"/>
  <c r="CV55" i="30"/>
  <c r="CW54" i="30"/>
  <c r="CW55" i="30" s="1"/>
  <c r="CY54" i="30"/>
  <c r="CZ54" i="30"/>
  <c r="CZ55" i="30"/>
  <c r="DA54" i="30"/>
  <c r="DA55" i="30" s="1"/>
  <c r="DB54" i="30"/>
  <c r="DD54" i="30"/>
  <c r="DD55" i="30" s="1"/>
  <c r="DE54" i="30"/>
  <c r="DE55" i="30"/>
  <c r="DF54" i="30"/>
  <c r="DF55" i="30" s="1"/>
  <c r="DG54" i="30"/>
  <c r="DL56" i="30"/>
  <c r="DI54" i="30"/>
  <c r="DI55" i="30" s="1"/>
  <c r="DJ54" i="30"/>
  <c r="DK54" i="30"/>
  <c r="DK55" i="30" s="1"/>
  <c r="DL54" i="30"/>
  <c r="DN54" i="30"/>
  <c r="DN55" i="30"/>
  <c r="DO54" i="30"/>
  <c r="DO55" i="30" s="1"/>
  <c r="DP54" i="30"/>
  <c r="DP56" i="30"/>
  <c r="DQ54" i="30"/>
  <c r="DS54" i="30"/>
  <c r="C55" i="30"/>
  <c r="M55" i="30"/>
  <c r="BK55" i="30"/>
  <c r="BL55" i="30"/>
  <c r="BM55" i="30"/>
  <c r="BN55" i="30"/>
  <c r="BN56" i="30"/>
  <c r="F60" i="30"/>
  <c r="I58" i="30"/>
  <c r="I63" i="30"/>
  <c r="I71" i="30" s="1"/>
  <c r="K58" i="30"/>
  <c r="L60" i="30"/>
  <c r="M58" i="30"/>
  <c r="N58" i="30"/>
  <c r="N63" i="30" s="1"/>
  <c r="P58" i="30"/>
  <c r="P60" i="30"/>
  <c r="BU60" i="30" s="1"/>
  <c r="T69" i="30"/>
  <c r="T67" i="30"/>
  <c r="T202" i="30"/>
  <c r="T192" i="30" s="1"/>
  <c r="CA69" i="30"/>
  <c r="T204" i="30"/>
  <c r="AC58" i="30"/>
  <c r="AC63" i="30" s="1"/>
  <c r="AD58" i="30"/>
  <c r="AD63" i="30"/>
  <c r="AE202" i="30"/>
  <c r="BM60" i="30"/>
  <c r="BP60" i="30"/>
  <c r="BQ60" i="30"/>
  <c r="BQ194" i="30"/>
  <c r="CU67" i="30"/>
  <c r="CU202" i="30" s="1"/>
  <c r="CU192" i="30" s="1"/>
  <c r="CU58" i="30" s="1"/>
  <c r="AC202" i="30"/>
  <c r="DA202" i="30" s="1"/>
  <c r="AD202" i="30"/>
  <c r="AF202" i="30"/>
  <c r="DN202" i="30" s="1"/>
  <c r="DS58" i="30"/>
  <c r="DS63" i="30"/>
  <c r="DT58" i="30"/>
  <c r="DU58" i="30"/>
  <c r="I59" i="30"/>
  <c r="I64" i="30"/>
  <c r="K59" i="30"/>
  <c r="BF59" i="30" s="1"/>
  <c r="M59" i="30"/>
  <c r="N59" i="30"/>
  <c r="N64" i="30" s="1"/>
  <c r="P59" i="30"/>
  <c r="AC59" i="30"/>
  <c r="AC64" i="30"/>
  <c r="AD59" i="30"/>
  <c r="AD64" i="30" s="1"/>
  <c r="AE203" i="30"/>
  <c r="DK203" i="30"/>
  <c r="AF203" i="30"/>
  <c r="DS203" i="30"/>
  <c r="DT203" i="30"/>
  <c r="DT68" i="30" s="1"/>
  <c r="DU203" i="30"/>
  <c r="DU68" i="30"/>
  <c r="DV203" i="30"/>
  <c r="DV193" i="30" s="1"/>
  <c r="AH68" i="30"/>
  <c r="AI203" i="30"/>
  <c r="EH193" i="30"/>
  <c r="EI193" i="30"/>
  <c r="EJ193" i="30"/>
  <c r="CH173" i="59"/>
  <c r="CH180" i="59" s="1"/>
  <c r="EK193" i="30"/>
  <c r="CI173" i="59" s="1"/>
  <c r="CI180" i="59" s="1"/>
  <c r="AC203" i="30"/>
  <c r="CY203" i="30"/>
  <c r="AD203" i="30"/>
  <c r="DE203" i="30" s="1"/>
  <c r="BF60" i="30"/>
  <c r="DM62" i="30"/>
  <c r="AL64" i="30"/>
  <c r="AL72" i="30" s="1"/>
  <c r="AM64" i="30"/>
  <c r="AM72" i="30"/>
  <c r="AN64" i="30"/>
  <c r="AN72" i="30" s="1"/>
  <c r="AO64" i="30"/>
  <c r="AO72" i="30"/>
  <c r="AP64" i="30"/>
  <c r="AP72" i="30" s="1"/>
  <c r="AQ64" i="30"/>
  <c r="AQ72" i="30"/>
  <c r="AR64" i="30"/>
  <c r="AR72" i="30" s="1"/>
  <c r="AS64" i="30"/>
  <c r="AS72" i="30"/>
  <c r="AT64" i="30"/>
  <c r="AU64" i="30"/>
  <c r="AU72" i="30"/>
  <c r="AV64" i="30"/>
  <c r="AV72" i="30" s="1"/>
  <c r="C65" i="30"/>
  <c r="E65" i="30"/>
  <c r="E73" i="30"/>
  <c r="I65" i="30"/>
  <c r="I73" i="30" s="1"/>
  <c r="K65" i="30"/>
  <c r="K73" i="30"/>
  <c r="M65" i="30"/>
  <c r="M73" i="30" s="1"/>
  <c r="BK65" i="30"/>
  <c r="BL65" i="30"/>
  <c r="BL73" i="30" s="1"/>
  <c r="BL80" i="30" s="1"/>
  <c r="E67" i="30"/>
  <c r="E68" i="30"/>
  <c r="F69" i="30"/>
  <c r="F67" i="30" s="1"/>
  <c r="I67" i="30"/>
  <c r="I68" i="30"/>
  <c r="I72" i="30" s="1"/>
  <c r="K67" i="30"/>
  <c r="K68" i="30" s="1"/>
  <c r="L69" i="30"/>
  <c r="L67" i="30" s="1"/>
  <c r="L68" i="30" s="1"/>
  <c r="N67" i="30"/>
  <c r="O69" i="30"/>
  <c r="O67" i="30" s="1"/>
  <c r="O68" i="30" s="1"/>
  <c r="P69" i="30"/>
  <c r="P80" i="30" s="1"/>
  <c r="R67" i="30"/>
  <c r="R68" i="30"/>
  <c r="S69" i="30"/>
  <c r="AI202" i="30"/>
  <c r="BF67" i="30"/>
  <c r="BF68" i="30"/>
  <c r="BG67" i="30"/>
  <c r="BG68" i="30" s="1"/>
  <c r="BH67" i="30"/>
  <c r="BH68" i="30"/>
  <c r="BI67" i="30"/>
  <c r="BI68" i="30" s="1"/>
  <c r="BK67" i="30"/>
  <c r="BL67" i="30"/>
  <c r="BM67" i="30"/>
  <c r="BN67" i="30"/>
  <c r="BN202" i="30" s="1"/>
  <c r="BP67" i="30"/>
  <c r="BQ67" i="30"/>
  <c r="BQ68" i="30" s="1"/>
  <c r="BR67" i="30"/>
  <c r="BR68" i="30"/>
  <c r="BS67" i="30"/>
  <c r="BS68" i="30" s="1"/>
  <c r="BU67" i="30"/>
  <c r="BU68" i="30"/>
  <c r="BU203" i="30" s="1"/>
  <c r="BV67" i="30"/>
  <c r="BW67" i="30"/>
  <c r="BW68" i="30"/>
  <c r="BW203" i="30" s="1"/>
  <c r="BX69" i="30"/>
  <c r="BX67" i="30" s="1"/>
  <c r="AG202" i="30"/>
  <c r="DT202" i="30" s="1"/>
  <c r="AG68" i="30"/>
  <c r="AJ203" i="30"/>
  <c r="AJ68" i="30"/>
  <c r="EL203" i="30"/>
  <c r="AK203" i="30"/>
  <c r="BL68" i="30"/>
  <c r="BL203" i="30"/>
  <c r="BP68" i="30"/>
  <c r="BV68" i="30"/>
  <c r="BV203" i="30" s="1"/>
  <c r="DV68" i="30"/>
  <c r="AC69" i="30"/>
  <c r="AD69" i="30"/>
  <c r="AE69" i="30"/>
  <c r="AE204" i="30"/>
  <c r="AF69" i="30"/>
  <c r="AF204" i="30" s="1"/>
  <c r="AT72" i="30"/>
  <c r="BK73" i="30"/>
  <c r="BK80" i="30"/>
  <c r="Y77" i="30"/>
  <c r="Y216" i="30" s="1"/>
  <c r="Y221" i="30" s="1"/>
  <c r="Z77" i="30"/>
  <c r="AF75" i="30"/>
  <c r="AF77" i="30" s="1"/>
  <c r="AG75" i="30"/>
  <c r="AG77" i="30"/>
  <c r="AI75" i="30"/>
  <c r="M77" i="30"/>
  <c r="N77" i="30" s="1"/>
  <c r="O77" i="30" s="1"/>
  <c r="P77" i="30"/>
  <c r="P78" i="30" s="1"/>
  <c r="R216" i="30"/>
  <c r="R77" i="30"/>
  <c r="T77" i="30"/>
  <c r="U216" i="30"/>
  <c r="X216" i="30"/>
  <c r="AA77" i="30"/>
  <c r="AA216" i="30"/>
  <c r="AA221" i="30" s="1"/>
  <c r="AB77" i="30"/>
  <c r="AB78" i="30"/>
  <c r="AC77" i="30"/>
  <c r="AD77" i="30"/>
  <c r="AD78" i="30" s="1"/>
  <c r="AE77" i="30"/>
  <c r="AE78" i="30" s="1"/>
  <c r="E80" i="30"/>
  <c r="I80" i="30"/>
  <c r="K80" i="30"/>
  <c r="M80" i="30"/>
  <c r="B84" i="30"/>
  <c r="C84" i="30"/>
  <c r="D84" i="30"/>
  <c r="E84" i="30"/>
  <c r="H84" i="30"/>
  <c r="I84" i="30"/>
  <c r="J84" i="30"/>
  <c r="K84" i="30"/>
  <c r="M84" i="30"/>
  <c r="N84" i="30"/>
  <c r="R84" i="30"/>
  <c r="P84" i="30"/>
  <c r="BF84" i="30"/>
  <c r="BK84" i="30"/>
  <c r="BU84" i="30"/>
  <c r="BZ84" i="30"/>
  <c r="CE84" i="30"/>
  <c r="CJ84" i="30"/>
  <c r="CO84" i="30"/>
  <c r="CT84" i="30"/>
  <c r="CY84" i="30"/>
  <c r="DD84" i="30"/>
  <c r="DI84" i="30"/>
  <c r="C85" i="30"/>
  <c r="D85" i="30"/>
  <c r="E85" i="30"/>
  <c r="F85" i="30"/>
  <c r="H85" i="30"/>
  <c r="I85" i="30"/>
  <c r="J85" i="30"/>
  <c r="K85" i="30"/>
  <c r="L85" i="30"/>
  <c r="N85" i="30"/>
  <c r="O85" i="30"/>
  <c r="Q85" i="30"/>
  <c r="R85" i="30"/>
  <c r="S85" i="30"/>
  <c r="T85" i="30"/>
  <c r="U85" i="30"/>
  <c r="X85" i="30"/>
  <c r="Y85" i="30"/>
  <c r="Z85" i="30"/>
  <c r="AA85" i="30"/>
  <c r="AB85" i="30"/>
  <c r="AC85" i="30"/>
  <c r="AD85" i="30"/>
  <c r="AE85" i="30"/>
  <c r="AF85" i="30"/>
  <c r="AG85" i="30"/>
  <c r="AH85" i="30"/>
  <c r="AI85" i="30"/>
  <c r="AJ85" i="30"/>
  <c r="AK85" i="30"/>
  <c r="AL85" i="30"/>
  <c r="AM85" i="30"/>
  <c r="AN85" i="30"/>
  <c r="AO85" i="30"/>
  <c r="AP85" i="30"/>
  <c r="AQ85" i="30"/>
  <c r="AR85" i="30"/>
  <c r="AS85" i="30"/>
  <c r="AT85" i="30"/>
  <c r="AU85" i="30"/>
  <c r="AV85" i="30"/>
  <c r="BF85" i="30"/>
  <c r="BG85" i="30"/>
  <c r="BH85" i="30"/>
  <c r="BI85" i="30"/>
  <c r="BK85" i="30"/>
  <c r="BL85" i="30"/>
  <c r="BM85" i="30"/>
  <c r="BN85" i="30"/>
  <c r="BP85" i="30"/>
  <c r="BQ85" i="30"/>
  <c r="BR85" i="30"/>
  <c r="BS85" i="30"/>
  <c r="BU85" i="30"/>
  <c r="BV85" i="30"/>
  <c r="BW85" i="30"/>
  <c r="BX85" i="30"/>
  <c r="BZ85" i="30"/>
  <c r="CA85" i="30"/>
  <c r="CB85" i="30"/>
  <c r="CC85" i="30"/>
  <c r="CE85" i="30"/>
  <c r="CF85" i="30"/>
  <c r="CG85" i="30"/>
  <c r="CH85" i="30"/>
  <c r="CJ85" i="30"/>
  <c r="CK85" i="30"/>
  <c r="CL85" i="30"/>
  <c r="CM85" i="30"/>
  <c r="CO85" i="30"/>
  <c r="CP85" i="30"/>
  <c r="CQ85" i="30"/>
  <c r="CR85" i="30"/>
  <c r="CT85" i="30"/>
  <c r="CU85" i="30"/>
  <c r="CV85" i="30"/>
  <c r="CW85" i="30"/>
  <c r="CY85" i="30"/>
  <c r="CZ85" i="30"/>
  <c r="DA85" i="30"/>
  <c r="DB85" i="30"/>
  <c r="DF85" i="30"/>
  <c r="DG85" i="30"/>
  <c r="EI85" i="30"/>
  <c r="EK85" i="30"/>
  <c r="EM85" i="30"/>
  <c r="C86" i="30"/>
  <c r="C109" i="30" s="1"/>
  <c r="C152" i="30" s="1"/>
  <c r="I152" i="30" s="1"/>
  <c r="I86" i="30"/>
  <c r="K86" i="30" s="1"/>
  <c r="N86" i="30"/>
  <c r="O86" i="30" s="1"/>
  <c r="BL86" i="30"/>
  <c r="BL90" i="30" s="1"/>
  <c r="BL91" i="30" s="1"/>
  <c r="BM86" i="30"/>
  <c r="BM120" i="30"/>
  <c r="BP86" i="30"/>
  <c r="BU86" i="30"/>
  <c r="BK87" i="30"/>
  <c r="E88" i="30"/>
  <c r="F88" i="30"/>
  <c r="K88" i="30"/>
  <c r="K237" i="30"/>
  <c r="BU88" i="30"/>
  <c r="BZ88" i="30"/>
  <c r="CJ88" i="30" s="1"/>
  <c r="BL88" i="30"/>
  <c r="BM88" i="30"/>
  <c r="BW88" i="30"/>
  <c r="CB88" i="30" s="1"/>
  <c r="BP88" i="30"/>
  <c r="BP90" i="30" s="1"/>
  <c r="DH88" i="30"/>
  <c r="DM88" i="30"/>
  <c r="DR88" i="30"/>
  <c r="DW88" i="30"/>
  <c r="A89" i="30"/>
  <c r="A91" i="30"/>
  <c r="A94" i="30" s="1"/>
  <c r="A96" i="30" s="1"/>
  <c r="BF90" i="30"/>
  <c r="BG90" i="30"/>
  <c r="BH90" i="30"/>
  <c r="BK90" i="30"/>
  <c r="C93" i="30"/>
  <c r="E93" i="30" s="1"/>
  <c r="I93" i="30"/>
  <c r="DE94" i="30"/>
  <c r="DE96" i="30" s="1"/>
  <c r="DP93" i="30"/>
  <c r="BN121" i="59" s="1"/>
  <c r="BS121" i="59" s="1"/>
  <c r="DU93" i="30" s="1"/>
  <c r="DU94" i="30" s="1"/>
  <c r="E95" i="30"/>
  <c r="F95" i="30"/>
  <c r="K95" i="30"/>
  <c r="L95" i="30"/>
  <c r="BL95" i="30"/>
  <c r="BM95" i="30"/>
  <c r="BG45" i="33" s="1"/>
  <c r="BP95" i="30"/>
  <c r="BU95" i="30"/>
  <c r="DF96" i="30"/>
  <c r="BK96" i="30"/>
  <c r="D97" i="30"/>
  <c r="E99" i="30"/>
  <c r="K99" i="30"/>
  <c r="L99" i="30" s="1"/>
  <c r="M99" i="30"/>
  <c r="O99" i="30"/>
  <c r="BK99" i="30"/>
  <c r="BK100" i="30" s="1"/>
  <c r="BL99" i="30"/>
  <c r="BM99" i="30"/>
  <c r="BM134" i="30"/>
  <c r="E101" i="30"/>
  <c r="K109" i="30"/>
  <c r="K107" i="30"/>
  <c r="BI107" i="30" s="1"/>
  <c r="M108" i="30"/>
  <c r="N109" i="30"/>
  <c r="N110" i="30" s="1"/>
  <c r="BM108" i="30"/>
  <c r="BN108" i="30" s="1"/>
  <c r="BN107" i="30"/>
  <c r="D103" i="30"/>
  <c r="H103" i="30"/>
  <c r="I103" i="30"/>
  <c r="P107" i="30"/>
  <c r="T109" i="30"/>
  <c r="U109" i="30"/>
  <c r="U110" i="30" s="1"/>
  <c r="U107" i="30"/>
  <c r="X109" i="30"/>
  <c r="CN109" i="30"/>
  <c r="Y108" i="30"/>
  <c r="B33" i="59"/>
  <c r="Y107" i="30"/>
  <c r="Z108" i="30"/>
  <c r="C33" i="59" s="1"/>
  <c r="AA108" i="30"/>
  <c r="D33" i="59" s="1"/>
  <c r="AC109" i="30"/>
  <c r="AC148" i="30" s="1"/>
  <c r="AD109" i="30"/>
  <c r="AD161" i="30" s="1"/>
  <c r="BU108" i="30"/>
  <c r="BV108" i="30"/>
  <c r="BW108" i="30"/>
  <c r="BR107" i="30"/>
  <c r="P108" i="30"/>
  <c r="BZ108" i="30"/>
  <c r="CA108" i="30"/>
  <c r="CB108" i="30"/>
  <c r="CO105" i="30"/>
  <c r="AM30" i="59" s="1"/>
  <c r="CP105" i="30"/>
  <c r="AN30" i="59" s="1"/>
  <c r="CQ105" i="30"/>
  <c r="AO30" i="59" s="1"/>
  <c r="CR105" i="30"/>
  <c r="AP30" i="59" s="1"/>
  <c r="CT105" i="30"/>
  <c r="CT109" i="30" s="1"/>
  <c r="CU105" i="30"/>
  <c r="CU106" i="30" s="1"/>
  <c r="CZ105" i="30"/>
  <c r="AX30" i="59" s="1"/>
  <c r="F105" i="30"/>
  <c r="L105" i="30"/>
  <c r="O105" i="30"/>
  <c r="CN105" i="30"/>
  <c r="BP107" i="30"/>
  <c r="BQ107" i="30"/>
  <c r="E108" i="30"/>
  <c r="BI108" i="30"/>
  <c r="BP108" i="30"/>
  <c r="BQ108" i="30"/>
  <c r="BR108" i="30"/>
  <c r="D109" i="30"/>
  <c r="BP109" i="30"/>
  <c r="BQ109" i="30"/>
  <c r="BR109" i="30"/>
  <c r="CS109" i="30"/>
  <c r="T110" i="30"/>
  <c r="Z110" i="30"/>
  <c r="AA110" i="30"/>
  <c r="AB110" i="30"/>
  <c r="BK110" i="30"/>
  <c r="BL110" i="30"/>
  <c r="BM110" i="30"/>
  <c r="BN110" i="30"/>
  <c r="BU110" i="30"/>
  <c r="BV110" i="30"/>
  <c r="BW110" i="30"/>
  <c r="BX110" i="30"/>
  <c r="BZ110" i="30"/>
  <c r="CA110" i="30"/>
  <c r="CB110" i="30"/>
  <c r="CC110" i="30"/>
  <c r="CE110" i="30"/>
  <c r="CF110" i="30"/>
  <c r="CG110" i="30"/>
  <c r="CH110" i="30"/>
  <c r="CJ110" i="30"/>
  <c r="CK110" i="30"/>
  <c r="CL110" i="30"/>
  <c r="CM110" i="30"/>
  <c r="CO110" i="30"/>
  <c r="CP110" i="30"/>
  <c r="CQ110" i="30"/>
  <c r="CR110" i="30"/>
  <c r="CV110" i="30"/>
  <c r="CW110" i="30"/>
  <c r="DA110" i="30"/>
  <c r="DB110" i="30"/>
  <c r="DD110" i="30"/>
  <c r="DE110" i="30"/>
  <c r="DF110" i="30"/>
  <c r="DG110" i="30"/>
  <c r="BK134" i="30"/>
  <c r="BR113" i="30"/>
  <c r="CU120" i="30"/>
  <c r="DN120" i="30"/>
  <c r="A114" i="30"/>
  <c r="A117" i="30" s="1"/>
  <c r="A124" i="30" s="1"/>
  <c r="A126" i="30" s="1"/>
  <c r="A128" i="30" s="1"/>
  <c r="A136" i="30" s="1"/>
  <c r="A139" i="30" s="1"/>
  <c r="BM114" i="30"/>
  <c r="E115" i="30"/>
  <c r="F115" i="30" s="1"/>
  <c r="K115" i="30"/>
  <c r="O115" i="30"/>
  <c r="R115" i="30"/>
  <c r="S115" i="30" s="1"/>
  <c r="Y115" i="30"/>
  <c r="B52" i="59"/>
  <c r="B53" i="59" s="1"/>
  <c r="Z115" i="30"/>
  <c r="AA115" i="30"/>
  <c r="AB115" i="30"/>
  <c r="E52" i="59"/>
  <c r="AE115" i="30"/>
  <c r="BN115" i="30"/>
  <c r="BP115" i="30"/>
  <c r="BQ115" i="30"/>
  <c r="BR115" i="30"/>
  <c r="BX115" i="30"/>
  <c r="CC115" i="30"/>
  <c r="CD115" i="30"/>
  <c r="CH115" i="30"/>
  <c r="CM115" i="30"/>
  <c r="CN115" i="30" s="1"/>
  <c r="CU115" i="30"/>
  <c r="DB115" i="30"/>
  <c r="AZ52" i="59" s="1"/>
  <c r="DG115" i="30"/>
  <c r="DH115" i="30"/>
  <c r="BF116" i="30"/>
  <c r="BG116" i="30"/>
  <c r="BH116" i="30"/>
  <c r="BM116" i="30"/>
  <c r="BM117" i="30" s="1"/>
  <c r="BF120" i="30"/>
  <c r="BG120" i="30"/>
  <c r="BH120" i="30"/>
  <c r="C123" i="30"/>
  <c r="E123" i="30" s="1"/>
  <c r="I123" i="30"/>
  <c r="K123" i="30" s="1"/>
  <c r="D125" i="30"/>
  <c r="K125" i="30"/>
  <c r="BI125" i="30" s="1"/>
  <c r="BL125" i="30"/>
  <c r="BF51" i="33" s="1"/>
  <c r="BP125" i="30"/>
  <c r="BP132" i="30" s="1"/>
  <c r="BK126" i="30"/>
  <c r="BF127" i="30"/>
  <c r="BG127" i="30"/>
  <c r="BH127" i="30"/>
  <c r="BF132" i="30"/>
  <c r="BG132" i="30"/>
  <c r="BH132" i="30"/>
  <c r="BK132" i="30"/>
  <c r="E134" i="30"/>
  <c r="K134" i="30"/>
  <c r="BF134" i="30"/>
  <c r="BG134" i="30"/>
  <c r="BH134" i="30"/>
  <c r="M134" i="30"/>
  <c r="O134" i="30"/>
  <c r="N135" i="30"/>
  <c r="E137" i="30"/>
  <c r="E138" i="30" s="1"/>
  <c r="K147" i="30"/>
  <c r="K145" i="30"/>
  <c r="BI145" i="30"/>
  <c r="N147" i="30"/>
  <c r="E37" i="25"/>
  <c r="A138" i="30"/>
  <c r="A141" i="30" s="1"/>
  <c r="D140" i="30"/>
  <c r="D141" i="30" s="1"/>
  <c r="I140" i="30"/>
  <c r="R145" i="30"/>
  <c r="T145" i="30" s="1"/>
  <c r="T147" i="30"/>
  <c r="G37" i="25"/>
  <c r="U147" i="30"/>
  <c r="U148" i="30" s="1"/>
  <c r="X147" i="30"/>
  <c r="Y156" i="30"/>
  <c r="Y154" i="30" s="1"/>
  <c r="Y146" i="30"/>
  <c r="B83" i="59"/>
  <c r="U156" i="30"/>
  <c r="Z156" i="30" s="1"/>
  <c r="Z151" i="30" s="1"/>
  <c r="Z146" i="30"/>
  <c r="C83" i="59"/>
  <c r="AA151" i="30"/>
  <c r="AA154" i="30"/>
  <c r="Q40" i="25"/>
  <c r="AA146" i="30"/>
  <c r="D83" i="59" s="1"/>
  <c r="AB147" i="30"/>
  <c r="AC149" i="30"/>
  <c r="BU146" i="30"/>
  <c r="BV146" i="30"/>
  <c r="BW146" i="30"/>
  <c r="P146" i="30"/>
  <c r="BX146" i="30"/>
  <c r="BX145" i="30"/>
  <c r="CC146" i="30"/>
  <c r="CD146" i="30"/>
  <c r="CO143" i="30"/>
  <c r="CP143" i="30"/>
  <c r="AN79" i="59" s="1"/>
  <c r="CQ143" i="30"/>
  <c r="AO79" i="59" s="1"/>
  <c r="CR143" i="30"/>
  <c r="AP79" i="59" s="1"/>
  <c r="CT143" i="30"/>
  <c r="AR79" i="59" s="1"/>
  <c r="CU143" i="30"/>
  <c r="AS79" i="59" s="1"/>
  <c r="CV147" i="30"/>
  <c r="CW147" i="30"/>
  <c r="CW148" i="30" s="1"/>
  <c r="CY143" i="30"/>
  <c r="CZ143" i="30"/>
  <c r="CZ144" i="30" s="1"/>
  <c r="DA143" i="30"/>
  <c r="F143" i="30"/>
  <c r="L143" i="30"/>
  <c r="O143" i="30"/>
  <c r="CN143" i="30"/>
  <c r="BN145" i="30"/>
  <c r="BP145" i="30"/>
  <c r="BQ145" i="30"/>
  <c r="BS145" i="30" s="1"/>
  <c r="BR145" i="30"/>
  <c r="DG145" i="30"/>
  <c r="DL145" i="30"/>
  <c r="DW145" i="30"/>
  <c r="E146" i="30"/>
  <c r="M146" i="30"/>
  <c r="BI146" i="30"/>
  <c r="BN146" i="30"/>
  <c r="BP146" i="30"/>
  <c r="BQ146" i="30"/>
  <c r="BR146" i="30"/>
  <c r="BS146" i="30" s="1"/>
  <c r="DC147" i="30"/>
  <c r="DH147" i="30"/>
  <c r="K148" i="30"/>
  <c r="M148" i="30"/>
  <c r="R148" i="30"/>
  <c r="AB148" i="30"/>
  <c r="BF148" i="30"/>
  <c r="BG148" i="30"/>
  <c r="BH148" i="30"/>
  <c r="BI148" i="30"/>
  <c r="BK148" i="30"/>
  <c r="BL148" i="30"/>
  <c r="BM148" i="30"/>
  <c r="BN148" i="30"/>
  <c r="BU148" i="30"/>
  <c r="BV148" i="30"/>
  <c r="BW148" i="30"/>
  <c r="BX148" i="30"/>
  <c r="BZ148" i="30"/>
  <c r="CA148" i="30"/>
  <c r="CB148" i="30"/>
  <c r="CC148" i="30"/>
  <c r="CE148" i="30"/>
  <c r="CF148" i="30"/>
  <c r="CG148" i="30"/>
  <c r="CH148" i="30"/>
  <c r="CJ148" i="30"/>
  <c r="CK148" i="30"/>
  <c r="CL148" i="30"/>
  <c r="CM148" i="30"/>
  <c r="CO148" i="30"/>
  <c r="CP148" i="30"/>
  <c r="CQ148" i="30"/>
  <c r="CY148" i="30"/>
  <c r="CZ148" i="30"/>
  <c r="DA148" i="30"/>
  <c r="DB148" i="30"/>
  <c r="DD148" i="30"/>
  <c r="DE148" i="30"/>
  <c r="DF148" i="30"/>
  <c r="DG148" i="30"/>
  <c r="AD149" i="30"/>
  <c r="BK149" i="30"/>
  <c r="BL149" i="30"/>
  <c r="BM149" i="30"/>
  <c r="BN149" i="30"/>
  <c r="BU149" i="30"/>
  <c r="BV149" i="30"/>
  <c r="BW149" i="30"/>
  <c r="BX149" i="30"/>
  <c r="BZ149" i="30"/>
  <c r="CA149" i="30"/>
  <c r="CB149" i="30"/>
  <c r="CC149" i="30"/>
  <c r="CE149" i="30"/>
  <c r="CF149" i="30"/>
  <c r="CG149" i="30"/>
  <c r="CH149" i="30"/>
  <c r="CJ149" i="30"/>
  <c r="CK149" i="30"/>
  <c r="CL149" i="30"/>
  <c r="CM149" i="30"/>
  <c r="CO149" i="30"/>
  <c r="CP149" i="30"/>
  <c r="CQ149" i="30"/>
  <c r="CT149" i="30"/>
  <c r="CU149" i="30"/>
  <c r="CY149" i="30"/>
  <c r="CZ149" i="30"/>
  <c r="DB149" i="30"/>
  <c r="DD149" i="30"/>
  <c r="DE149" i="30"/>
  <c r="DF149" i="30"/>
  <c r="DG149" i="30"/>
  <c r="E151" i="30"/>
  <c r="E195" i="30"/>
  <c r="O152" i="30"/>
  <c r="R152" i="30"/>
  <c r="S152" i="30" s="1"/>
  <c r="T205" i="30"/>
  <c r="T195" i="30" s="1"/>
  <c r="T151" i="30" s="1"/>
  <c r="U205" i="30"/>
  <c r="U195" i="30"/>
  <c r="X156" i="30"/>
  <c r="AB151" i="30"/>
  <c r="AB154" i="30" s="1"/>
  <c r="AC151" i="30"/>
  <c r="AC154" i="30" s="1"/>
  <c r="AD151" i="30"/>
  <c r="AD163" i="30"/>
  <c r="AE205" i="30"/>
  <c r="DI205" i="30"/>
  <c r="AF205" i="30"/>
  <c r="DO205" i="30"/>
  <c r="DO156" i="30" s="1"/>
  <c r="AB208" i="30"/>
  <c r="AC208" i="30" s="1"/>
  <c r="AG156" i="30"/>
  <c r="AG205" i="30" s="1"/>
  <c r="AH205" i="30"/>
  <c r="AH206" i="30"/>
  <c r="DX203" i="30"/>
  <c r="DY203" i="30"/>
  <c r="EB203" i="30" s="1"/>
  <c r="DZ203" i="30"/>
  <c r="EA203" i="30"/>
  <c r="EA193" i="30"/>
  <c r="BY173" i="59"/>
  <c r="AI205" i="30"/>
  <c r="AI206" i="30"/>
  <c r="EF206" i="30"/>
  <c r="AI209" i="30"/>
  <c r="EC193" i="30"/>
  <c r="ED193" i="30"/>
  <c r="EE193" i="30"/>
  <c r="CC173" i="59" s="1"/>
  <c r="EF193" i="30"/>
  <c r="CD173" i="59" s="1"/>
  <c r="AJ156" i="30"/>
  <c r="AK156" i="30" s="1"/>
  <c r="AJ206" i="30"/>
  <c r="AJ209" i="30"/>
  <c r="AK206" i="30"/>
  <c r="EN206" i="30" s="1"/>
  <c r="BU151" i="30"/>
  <c r="BU154" i="30" s="1"/>
  <c r="BV151" i="30"/>
  <c r="BV154" i="30"/>
  <c r="BL40" i="25"/>
  <c r="BZ156" i="30"/>
  <c r="CE156" i="30"/>
  <c r="CE205" i="30"/>
  <c r="CE195" i="30"/>
  <c r="CF156" i="30"/>
  <c r="CF205" i="30" s="1"/>
  <c r="CF195" i="30" s="1"/>
  <c r="CF151" i="30" s="1"/>
  <c r="CG156" i="30"/>
  <c r="CG205" i="30" s="1"/>
  <c r="CV156" i="30"/>
  <c r="CT205" i="30"/>
  <c r="CU205" i="30"/>
  <c r="CU151" i="30"/>
  <c r="CU154" i="30"/>
  <c r="AC205" i="30"/>
  <c r="AD205" i="30"/>
  <c r="DF205" i="30" s="1"/>
  <c r="BW154" i="30"/>
  <c r="CA154" i="30"/>
  <c r="CB154" i="30"/>
  <c r="K156" i="30"/>
  <c r="K205" i="30"/>
  <c r="BL156" i="30"/>
  <c r="BM156" i="30" s="1"/>
  <c r="BN156" i="30" s="1"/>
  <c r="P156" i="30"/>
  <c r="P205" i="30"/>
  <c r="S156" i="30"/>
  <c r="BP156" i="30"/>
  <c r="CA156" i="30"/>
  <c r="CB156" i="30"/>
  <c r="CB163" i="30"/>
  <c r="M160" i="30"/>
  <c r="P160" i="30"/>
  <c r="R217" i="30"/>
  <c r="S217" i="30"/>
  <c r="T160" i="30"/>
  <c r="T161" i="30"/>
  <c r="U160" i="30"/>
  <c r="U161" i="30"/>
  <c r="X160" i="30"/>
  <c r="X161" i="30"/>
  <c r="AB160" i="30"/>
  <c r="AB161" i="30" s="1"/>
  <c r="AF219" i="30"/>
  <c r="AG219" i="30"/>
  <c r="Y161" i="30"/>
  <c r="Z161" i="30"/>
  <c r="AA161" i="30"/>
  <c r="P39" i="20"/>
  <c r="P38" i="20" s="1"/>
  <c r="CA163" i="30"/>
  <c r="DD167" i="30"/>
  <c r="BB18" i="59" s="1"/>
  <c r="BB223" i="59" s="1"/>
  <c r="DE167" i="30"/>
  <c r="BC18" i="59" s="1"/>
  <c r="BC223" i="59" s="1"/>
  <c r="DF167" i="30"/>
  <c r="DG167" i="30"/>
  <c r="DI167" i="30"/>
  <c r="BG18" i="59" s="1"/>
  <c r="BG223" i="59" s="1"/>
  <c r="DJ167" i="30"/>
  <c r="DK167" i="30"/>
  <c r="BI18" i="59" s="1"/>
  <c r="DL167" i="30"/>
  <c r="DN167" i="30"/>
  <c r="BL18" i="59" s="1"/>
  <c r="BL19" i="59" s="1"/>
  <c r="DO167" i="30"/>
  <c r="BM18" i="59" s="1"/>
  <c r="DP167" i="30"/>
  <c r="BN18" i="59" s="1"/>
  <c r="DD169" i="30"/>
  <c r="BB63" i="59"/>
  <c r="DE169" i="30"/>
  <c r="BC63" i="59" s="1"/>
  <c r="BC65" i="59" s="1"/>
  <c r="DF169" i="30"/>
  <c r="BD63" i="59" s="1"/>
  <c r="DG169" i="30"/>
  <c r="DI169" i="30"/>
  <c r="BG63" i="59" s="1"/>
  <c r="BG65" i="59" s="1"/>
  <c r="DJ169" i="30"/>
  <c r="BH63" i="59" s="1"/>
  <c r="AD172" i="30"/>
  <c r="DD181" i="30"/>
  <c r="DE181" i="30"/>
  <c r="DF181" i="30"/>
  <c r="DG181" i="30"/>
  <c r="DI181" i="30"/>
  <c r="DJ181" i="30"/>
  <c r="B187" i="30"/>
  <c r="C187" i="30"/>
  <c r="D187" i="30"/>
  <c r="E187" i="30"/>
  <c r="H187" i="30"/>
  <c r="I187" i="30"/>
  <c r="J187" i="30"/>
  <c r="K187" i="30"/>
  <c r="M187" i="30"/>
  <c r="N187" i="30"/>
  <c r="P187" i="30"/>
  <c r="R187" i="30"/>
  <c r="BF187" i="30"/>
  <c r="BK187" i="30"/>
  <c r="BU187" i="30"/>
  <c r="BZ187" i="30"/>
  <c r="CE187" i="30"/>
  <c r="CT187" i="30"/>
  <c r="CY187" i="30"/>
  <c r="DD187" i="30"/>
  <c r="DI187" i="30"/>
  <c r="C188" i="30"/>
  <c r="D188" i="30"/>
  <c r="E188" i="30"/>
  <c r="F188" i="30"/>
  <c r="H188" i="30"/>
  <c r="I188" i="30"/>
  <c r="J188" i="30"/>
  <c r="K188" i="30"/>
  <c r="L188" i="30"/>
  <c r="N188" i="30"/>
  <c r="O188" i="30"/>
  <c r="Q188" i="30"/>
  <c r="R188" i="30"/>
  <c r="S188" i="30"/>
  <c r="T188" i="30"/>
  <c r="U188" i="30"/>
  <c r="X188" i="30"/>
  <c r="Y188" i="30"/>
  <c r="Z188" i="30"/>
  <c r="AA188" i="30"/>
  <c r="AB188" i="30"/>
  <c r="AC188" i="30"/>
  <c r="AD188" i="30"/>
  <c r="AE188" i="30"/>
  <c r="AF188" i="30"/>
  <c r="AG188" i="30"/>
  <c r="AH188" i="30"/>
  <c r="AI188" i="30"/>
  <c r="AJ188" i="30"/>
  <c r="AK188" i="30"/>
  <c r="AL188" i="30"/>
  <c r="AM188" i="30"/>
  <c r="AN188" i="30"/>
  <c r="AO188" i="30"/>
  <c r="AP188" i="30"/>
  <c r="AQ188" i="30"/>
  <c r="AR188" i="30"/>
  <c r="AS188" i="30"/>
  <c r="AT188" i="30"/>
  <c r="AU188" i="30"/>
  <c r="AV188" i="30"/>
  <c r="BF188" i="30"/>
  <c r="BG188" i="30"/>
  <c r="BH188" i="30"/>
  <c r="BI188" i="30"/>
  <c r="BK188" i="30"/>
  <c r="BL188" i="30"/>
  <c r="BM188" i="30"/>
  <c r="BN188" i="30"/>
  <c r="BP188" i="30"/>
  <c r="BQ188" i="30"/>
  <c r="BR188" i="30"/>
  <c r="BS188" i="30"/>
  <c r="BU188" i="30"/>
  <c r="BV188" i="30"/>
  <c r="BW188" i="30"/>
  <c r="BX188" i="30"/>
  <c r="BZ188" i="30"/>
  <c r="CA188" i="30"/>
  <c r="CB188" i="30"/>
  <c r="CC188" i="30"/>
  <c r="CE188" i="30"/>
  <c r="CF188" i="30"/>
  <c r="CG188" i="30"/>
  <c r="CH188" i="30"/>
  <c r="CJ188" i="30"/>
  <c r="CK188" i="30"/>
  <c r="CL188" i="30"/>
  <c r="CM188" i="30"/>
  <c r="CO188" i="30"/>
  <c r="CP188" i="30"/>
  <c r="CQ188" i="30"/>
  <c r="CR188" i="30"/>
  <c r="CT188" i="30"/>
  <c r="CU188" i="30"/>
  <c r="CV188" i="30"/>
  <c r="CW188" i="30"/>
  <c r="CY188" i="30"/>
  <c r="CZ188" i="30"/>
  <c r="DA188" i="30"/>
  <c r="DB188" i="30"/>
  <c r="DF188" i="30"/>
  <c r="DS188" i="30"/>
  <c r="EK188" i="30"/>
  <c r="EP188" i="30"/>
  <c r="DH191" i="30"/>
  <c r="DM191" i="30"/>
  <c r="AK193" i="30"/>
  <c r="EQ193" i="30" s="1"/>
  <c r="AL193" i="30"/>
  <c r="EV193" i="30"/>
  <c r="AP193" i="30"/>
  <c r="AQ193" i="30"/>
  <c r="AR193" i="30"/>
  <c r="AS193" i="30"/>
  <c r="AT193" i="30"/>
  <c r="AU193" i="30"/>
  <c r="AV193" i="30"/>
  <c r="B194" i="30"/>
  <c r="B199" i="30" s="1"/>
  <c r="C194" i="30"/>
  <c r="E194" i="30"/>
  <c r="F194" i="30" s="1"/>
  <c r="G194" i="30"/>
  <c r="G199" i="30" s="1"/>
  <c r="H194" i="30"/>
  <c r="I194" i="30"/>
  <c r="BK194" i="30"/>
  <c r="BL194" i="30"/>
  <c r="BP194" i="30"/>
  <c r="B195" i="30"/>
  <c r="C195" i="30"/>
  <c r="G195" i="30"/>
  <c r="H195" i="30"/>
  <c r="CA195" i="30"/>
  <c r="CB195" i="30"/>
  <c r="X196" i="30"/>
  <c r="CN196" i="30"/>
  <c r="DK197" i="30"/>
  <c r="BE31" i="85" s="1"/>
  <c r="DA53" i="25" s="1"/>
  <c r="U53" i="25" s="1"/>
  <c r="DC53" i="25" s="1"/>
  <c r="DL197" i="30"/>
  <c r="BF31" i="85" s="1"/>
  <c r="DB53" i="25" s="1"/>
  <c r="B198" i="30"/>
  <c r="C198" i="30"/>
  <c r="C199" i="30" s="1"/>
  <c r="E198" i="30"/>
  <c r="G198" i="30"/>
  <c r="K198" i="30"/>
  <c r="L198" i="30"/>
  <c r="M198" i="30"/>
  <c r="N198" i="30"/>
  <c r="P198" i="30"/>
  <c r="T198" i="30"/>
  <c r="U198" i="30"/>
  <c r="W198" i="30"/>
  <c r="CJ198" i="30"/>
  <c r="CK198" i="30"/>
  <c r="CL198" i="30"/>
  <c r="X198" i="30" s="1"/>
  <c r="CN198" i="30" s="1"/>
  <c r="Y205" i="30"/>
  <c r="Y206" i="30"/>
  <c r="T208" i="30"/>
  <c r="BZ208" i="30"/>
  <c r="Z206" i="30"/>
  <c r="U208" i="30"/>
  <c r="W208" i="30"/>
  <c r="Z208" i="30"/>
  <c r="AA205" i="30"/>
  <c r="AA206" i="30"/>
  <c r="X208" i="30"/>
  <c r="AA208" i="30"/>
  <c r="CV198" i="30"/>
  <c r="AB198" i="30" s="1"/>
  <c r="CW198" i="30"/>
  <c r="BK198" i="30"/>
  <c r="BL198" i="30"/>
  <c r="BZ198" i="30"/>
  <c r="CA198" i="30"/>
  <c r="CB198" i="30"/>
  <c r="CE198" i="30"/>
  <c r="CH198" i="30" s="1"/>
  <c r="CF198" i="30"/>
  <c r="CG198" i="30"/>
  <c r="CQ198" i="30"/>
  <c r="Q199" i="30"/>
  <c r="W202" i="30"/>
  <c r="AH202" i="30"/>
  <c r="DY202" i="30"/>
  <c r="BL202" i="30"/>
  <c r="BU202" i="30"/>
  <c r="BV202" i="30"/>
  <c r="W203" i="30"/>
  <c r="EV203" i="30"/>
  <c r="EQ203" i="30"/>
  <c r="E204" i="30"/>
  <c r="K204" i="30"/>
  <c r="BK204" i="30"/>
  <c r="BL204" i="30"/>
  <c r="BM204" i="30"/>
  <c r="BN204" i="30"/>
  <c r="N204" i="30"/>
  <c r="O204" i="30"/>
  <c r="R204" i="30"/>
  <c r="AC204" i="30"/>
  <c r="AD204" i="30"/>
  <c r="BF204" i="30"/>
  <c r="BG204" i="30"/>
  <c r="BH204" i="30"/>
  <c r="BI204" i="30"/>
  <c r="CU204" i="30"/>
  <c r="CU209" i="30" s="1"/>
  <c r="BB22" i="23" s="1"/>
  <c r="BB20" i="23" s="1"/>
  <c r="E205" i="30"/>
  <c r="F205" i="30" s="1"/>
  <c r="BK205" i="30"/>
  <c r="R205" i="30"/>
  <c r="S205" i="30"/>
  <c r="AB205" i="30"/>
  <c r="BF205" i="30"/>
  <c r="BG205" i="30"/>
  <c r="BH205" i="30"/>
  <c r="BI205" i="30"/>
  <c r="CB205" i="30"/>
  <c r="S206" i="30"/>
  <c r="W206" i="30"/>
  <c r="X206" i="30"/>
  <c r="CN206" i="30"/>
  <c r="AB206" i="30"/>
  <c r="DD207" i="30"/>
  <c r="DE207" i="30"/>
  <c r="DF207" i="30"/>
  <c r="DG207" i="30"/>
  <c r="E208" i="30"/>
  <c r="K208" i="30"/>
  <c r="L208" i="30" s="1"/>
  <c r="M208" i="30"/>
  <c r="N208" i="30"/>
  <c r="O208" i="30"/>
  <c r="P208" i="30"/>
  <c r="R208" i="30" s="1"/>
  <c r="BF208" i="30"/>
  <c r="BF209" i="30" s="1"/>
  <c r="BG208" i="30"/>
  <c r="BG209" i="30" s="1"/>
  <c r="BH208" i="30"/>
  <c r="BH209" i="30"/>
  <c r="BI208" i="30"/>
  <c r="BK208" i="30"/>
  <c r="BL208" i="30"/>
  <c r="BM208" i="30"/>
  <c r="BN208" i="30"/>
  <c r="BW208" i="30"/>
  <c r="CE208" i="30"/>
  <c r="CF208" i="30"/>
  <c r="CG208" i="30"/>
  <c r="CH208" i="30"/>
  <c r="CX208" i="30"/>
  <c r="F216" i="30"/>
  <c r="N216" i="30"/>
  <c r="Q216" i="30"/>
  <c r="S216" i="30"/>
  <c r="Z216" i="30"/>
  <c r="AB216" i="30"/>
  <c r="AB221" i="30" s="1"/>
  <c r="AC216" i="30"/>
  <c r="AC221" i="30"/>
  <c r="AD216" i="30"/>
  <c r="F217" i="30"/>
  <c r="L217" i="30"/>
  <c r="N217" i="30"/>
  <c r="O217" i="30" s="1"/>
  <c r="Q217" i="30"/>
  <c r="Q221" i="30"/>
  <c r="Y217" i="30"/>
  <c r="Z217" i="30"/>
  <c r="AA217" i="30"/>
  <c r="AD217" i="30"/>
  <c r="AE217" i="30"/>
  <c r="Y218" i="30"/>
  <c r="Z218" i="30"/>
  <c r="AA218" i="30"/>
  <c r="AD218" i="30"/>
  <c r="AD221" i="30"/>
  <c r="AF218" i="30"/>
  <c r="AG218" i="30"/>
  <c r="AH218" i="30"/>
  <c r="AI218" i="30"/>
  <c r="B220" i="30"/>
  <c r="F220" i="30" s="1"/>
  <c r="F221" i="30" s="1"/>
  <c r="B221" i="30"/>
  <c r="E221" i="30"/>
  <c r="G220" i="30"/>
  <c r="L220" i="30" s="1"/>
  <c r="L221" i="30" s="1"/>
  <c r="M220" i="30"/>
  <c r="N220" i="30" s="1"/>
  <c r="P220" i="30"/>
  <c r="T220" i="30"/>
  <c r="T221" i="30"/>
  <c r="U220" i="30"/>
  <c r="X220" i="30"/>
  <c r="Y220" i="30"/>
  <c r="B15" i="53"/>
  <c r="Z220" i="30"/>
  <c r="Z221" i="30" s="1"/>
  <c r="AA220" i="30"/>
  <c r="D15" i="53"/>
  <c r="AE221" i="30"/>
  <c r="AE220" i="30" s="1"/>
  <c r="AF221" i="30"/>
  <c r="AF220" i="30" s="1"/>
  <c r="AG221" i="30"/>
  <c r="AH221" i="30"/>
  <c r="AI221" i="30"/>
  <c r="M221" i="30"/>
  <c r="B228" i="30"/>
  <c r="G228" i="30"/>
  <c r="M228" i="30"/>
  <c r="J235" i="30"/>
  <c r="K235" i="30"/>
  <c r="J237" i="30"/>
  <c r="AB237" i="30"/>
  <c r="AD237" i="30"/>
  <c r="AE237" i="30"/>
  <c r="AF237" i="30"/>
  <c r="AG237" i="30"/>
  <c r="AH237" i="30"/>
  <c r="AI237" i="30"/>
  <c r="AO237" i="30"/>
  <c r="AP237" i="30"/>
  <c r="AQ237" i="30"/>
  <c r="AR237" i="30"/>
  <c r="AS237" i="30"/>
  <c r="AT237" i="30"/>
  <c r="AU237" i="30"/>
  <c r="AV237" i="30"/>
  <c r="J238" i="30"/>
  <c r="K238" i="30"/>
  <c r="J239" i="30"/>
  <c r="K239" i="30"/>
  <c r="N239" i="30"/>
  <c r="J240" i="30"/>
  <c r="N240" i="30"/>
  <c r="P240" i="30"/>
  <c r="Q240" i="30"/>
  <c r="R240" i="30"/>
  <c r="T240" i="30"/>
  <c r="U240" i="30"/>
  <c r="X240" i="30"/>
  <c r="Z240" i="30"/>
  <c r="AA240" i="30"/>
  <c r="AB240" i="30"/>
  <c r="AC240" i="30"/>
  <c r="AD240" i="30"/>
  <c r="AE240" i="30"/>
  <c r="AF240" i="30"/>
  <c r="AG240" i="30"/>
  <c r="AH240" i="30"/>
  <c r="AI240" i="30"/>
  <c r="AJ240" i="30"/>
  <c r="AK240" i="30"/>
  <c r="AL240" i="30"/>
  <c r="AM240" i="30"/>
  <c r="AO240" i="30"/>
  <c r="AP240" i="30"/>
  <c r="AQ240" i="30"/>
  <c r="AR240" i="30"/>
  <c r="AS240" i="30"/>
  <c r="AT240" i="30"/>
  <c r="AU240" i="30"/>
  <c r="AV240" i="30"/>
  <c r="AH241" i="30"/>
  <c r="C5" i="73"/>
  <c r="D5" i="73"/>
  <c r="E5" i="73"/>
  <c r="F5" i="73"/>
  <c r="G5" i="73"/>
  <c r="H5" i="73"/>
  <c r="I5" i="73"/>
  <c r="K5" i="73"/>
  <c r="L5" i="73"/>
  <c r="M5" i="73"/>
  <c r="N5" i="73"/>
  <c r="O5" i="73"/>
  <c r="P5" i="73"/>
  <c r="Q5" i="73"/>
  <c r="R5" i="73"/>
  <c r="S5" i="73"/>
  <c r="T5" i="73"/>
  <c r="BE75" i="73"/>
  <c r="C14" i="73"/>
  <c r="D14" i="73"/>
  <c r="E14" i="73"/>
  <c r="F14" i="73"/>
  <c r="C15" i="73"/>
  <c r="D15" i="73"/>
  <c r="E15" i="73"/>
  <c r="F15" i="73"/>
  <c r="BH35" i="73"/>
  <c r="BI35" i="73"/>
  <c r="BJ35" i="73"/>
  <c r="BH36" i="73"/>
  <c r="BI36" i="73"/>
  <c r="BJ36" i="73"/>
  <c r="AX125" i="73"/>
  <c r="AY125" i="73"/>
  <c r="AY126" i="73" s="1"/>
  <c r="AZ125" i="73"/>
  <c r="AZ126" i="73"/>
  <c r="AZ127" i="73" s="1"/>
  <c r="BA125" i="73"/>
  <c r="BA126" i="73" s="1"/>
  <c r="BA127" i="73" s="1"/>
  <c r="BC125" i="73"/>
  <c r="BC126" i="73" s="1"/>
  <c r="BD125" i="73"/>
  <c r="BD126" i="73" s="1"/>
  <c r="BF125" i="73"/>
  <c r="BF126" i="73" s="1"/>
  <c r="BF127" i="73" s="1"/>
  <c r="BH125" i="73"/>
  <c r="BH126" i="73" s="1"/>
  <c r="BH127" i="73" s="1"/>
  <c r="BJ125" i="73"/>
  <c r="BJ126" i="73" s="1"/>
  <c r="BJ127" i="73" s="1"/>
  <c r="BK125" i="73"/>
  <c r="BK126" i="73" s="1"/>
  <c r="BK127" i="73" s="1"/>
  <c r="BM125" i="73"/>
  <c r="BN125" i="73"/>
  <c r="BS125" i="73" s="1"/>
  <c r="BP125" i="73"/>
  <c r="F125" i="73"/>
  <c r="BE145" i="73"/>
  <c r="BH145" i="73"/>
  <c r="BH147" i="73" s="1"/>
  <c r="BI145" i="73"/>
  <c r="BI146" i="73" s="1"/>
  <c r="BJ145" i="73"/>
  <c r="M152" i="73"/>
  <c r="N152" i="73" s="1"/>
  <c r="O152" i="73" s="1"/>
  <c r="P152" i="73" s="1"/>
  <c r="Q152" i="73" s="1"/>
  <c r="R152" i="73" s="1"/>
  <c r="S152" i="73" s="1"/>
  <c r="T152" i="73" s="1"/>
  <c r="U152" i="73" s="1"/>
  <c r="V152" i="73" s="1"/>
  <c r="W152" i="73" s="1"/>
  <c r="AL1" i="59"/>
  <c r="AM2" i="59"/>
  <c r="AR2" i="59"/>
  <c r="AW2" i="59"/>
  <c r="BB2" i="59"/>
  <c r="BG2" i="59"/>
  <c r="BL2" i="59"/>
  <c r="BQ2" i="59"/>
  <c r="BV2" i="59"/>
  <c r="CA2" i="59"/>
  <c r="CF2" i="59"/>
  <c r="AV5" i="31" s="1"/>
  <c r="CK2" i="59"/>
  <c r="CP2" i="59"/>
  <c r="B185" i="59"/>
  <c r="C185" i="59"/>
  <c r="D185" i="59"/>
  <c r="E185" i="59"/>
  <c r="AR3" i="59"/>
  <c r="AS3" i="59"/>
  <c r="AT3" i="59"/>
  <c r="AU3" i="59"/>
  <c r="BV3" i="59"/>
  <c r="BV264" i="59" s="1"/>
  <c r="BW3" i="59"/>
  <c r="BW264" i="59" s="1"/>
  <c r="BX3" i="59"/>
  <c r="BX264" i="59" s="1"/>
  <c r="BY3" i="59"/>
  <c r="BY264" i="59" s="1"/>
  <c r="CA3" i="59"/>
  <c r="CB3" i="59"/>
  <c r="CC3" i="59"/>
  <c r="CC264" i="59" s="1"/>
  <c r="CD3" i="59"/>
  <c r="CD264" i="59" s="1"/>
  <c r="CF3" i="59"/>
  <c r="AV6" i="31" s="1"/>
  <c r="CG3" i="59"/>
  <c r="CH3" i="59"/>
  <c r="CI3" i="59"/>
  <c r="AY6" i="31" s="1"/>
  <c r="CK3" i="59"/>
  <c r="CL3" i="59"/>
  <c r="CM3" i="59"/>
  <c r="CN3" i="59"/>
  <c r="CN264" i="59" s="1"/>
  <c r="CP3" i="59"/>
  <c r="CQ3" i="59"/>
  <c r="CR3" i="59"/>
  <c r="BH6" i="31" s="1"/>
  <c r="CS3" i="59"/>
  <c r="CS264" i="59" s="1"/>
  <c r="AL5" i="59"/>
  <c r="AL7" i="59"/>
  <c r="BV9" i="59"/>
  <c r="AL8" i="59"/>
  <c r="AL9" i="59"/>
  <c r="E10" i="59"/>
  <c r="G10" i="59"/>
  <c r="H10" i="59"/>
  <c r="I10" i="59"/>
  <c r="J10" i="59"/>
  <c r="K10" i="59"/>
  <c r="L10" i="59"/>
  <c r="CF10" i="59"/>
  <c r="M10" i="59" s="1"/>
  <c r="T10" i="59"/>
  <c r="DD10" i="59" s="1"/>
  <c r="U10" i="59"/>
  <c r="DI10" i="59" s="1"/>
  <c r="V10" i="59"/>
  <c r="W10" i="59"/>
  <c r="X10" i="59"/>
  <c r="Y10" i="59"/>
  <c r="Z10" i="59"/>
  <c r="AA10" i="59"/>
  <c r="AB10" i="59"/>
  <c r="AL10" i="59"/>
  <c r="AZ10" i="59"/>
  <c r="BB10" i="59"/>
  <c r="BC10" i="59"/>
  <c r="BD10" i="59"/>
  <c r="BE10" i="59"/>
  <c r="BG10" i="59"/>
  <c r="BH10" i="59"/>
  <c r="BI10" i="59"/>
  <c r="BJ10" i="59"/>
  <c r="BL10" i="59"/>
  <c r="BM10" i="59"/>
  <c r="BN10" i="59"/>
  <c r="BO10" i="59"/>
  <c r="BQ10" i="59"/>
  <c r="BR10" i="59"/>
  <c r="BS10" i="59"/>
  <c r="BT10" i="59"/>
  <c r="BV10" i="59"/>
  <c r="BW10" i="59"/>
  <c r="BX10" i="59"/>
  <c r="BY10" i="59"/>
  <c r="CA10" i="59"/>
  <c r="CB10" i="59"/>
  <c r="CC10" i="59"/>
  <c r="CD10" i="59"/>
  <c r="AL11" i="59"/>
  <c r="AL12" i="59"/>
  <c r="AL13" i="59"/>
  <c r="AL15" i="59"/>
  <c r="AL16" i="59"/>
  <c r="B18" i="59"/>
  <c r="C18" i="59"/>
  <c r="D18" i="59"/>
  <c r="E18" i="59"/>
  <c r="F18" i="59"/>
  <c r="AL18" i="59"/>
  <c r="AM18" i="59"/>
  <c r="AN18" i="59"/>
  <c r="AO18" i="59"/>
  <c r="AP18" i="59"/>
  <c r="AR18" i="59"/>
  <c r="AS18" i="59"/>
  <c r="AT18" i="59"/>
  <c r="AU18" i="59"/>
  <c r="AW18" i="59"/>
  <c r="AX18" i="59"/>
  <c r="AY18" i="59"/>
  <c r="AZ18" i="59"/>
  <c r="BE18" i="59"/>
  <c r="BE223" i="59" s="1"/>
  <c r="AL19" i="59"/>
  <c r="CX25" i="59"/>
  <c r="AL24" i="59"/>
  <c r="AQ24" i="59"/>
  <c r="AV24" i="59"/>
  <c r="BA24" i="59"/>
  <c r="BF24" i="59"/>
  <c r="BK24" i="59"/>
  <c r="BP24" i="59"/>
  <c r="AL25" i="59"/>
  <c r="BV25" i="59"/>
  <c r="BW25" i="59"/>
  <c r="BX25" i="59"/>
  <c r="BY25" i="59"/>
  <c r="CP25" i="59"/>
  <c r="AL27" i="59"/>
  <c r="AL28" i="59"/>
  <c r="BL28" i="59"/>
  <c r="BM28" i="59"/>
  <c r="BN28" i="59"/>
  <c r="BO28" i="59"/>
  <c r="BQ28" i="59"/>
  <c r="BR28" i="59"/>
  <c r="BS28" i="59"/>
  <c r="BT28" i="59"/>
  <c r="BV28" i="59"/>
  <c r="BW28" i="59"/>
  <c r="BX28" i="59"/>
  <c r="BY28" i="59"/>
  <c r="CA28" i="59"/>
  <c r="CB28" i="59"/>
  <c r="CC28" i="59"/>
  <c r="CD28" i="59"/>
  <c r="CF28" i="59"/>
  <c r="CG28" i="59"/>
  <c r="CH28" i="59"/>
  <c r="CI28" i="59"/>
  <c r="CK28" i="59"/>
  <c r="CL28" i="59"/>
  <c r="CM28" i="59"/>
  <c r="CN28" i="59"/>
  <c r="AL30" i="59"/>
  <c r="AL31" i="59"/>
  <c r="E33" i="59"/>
  <c r="AL33" i="59"/>
  <c r="AM33" i="59"/>
  <c r="AN33" i="59"/>
  <c r="AO33" i="59"/>
  <c r="AP33" i="59"/>
  <c r="AQ33" i="59" s="1"/>
  <c r="AR33" i="59"/>
  <c r="AS33" i="59"/>
  <c r="AT33" i="59"/>
  <c r="AU33" i="59"/>
  <c r="AW33" i="59"/>
  <c r="AW83" i="59" s="1"/>
  <c r="CY146" i="30" s="1"/>
  <c r="AX33" i="59"/>
  <c r="BC33" i="59"/>
  <c r="BH33" i="59" s="1"/>
  <c r="BM33" i="59" s="1"/>
  <c r="BM241" i="59" s="1"/>
  <c r="BM224" i="59" s="1"/>
  <c r="AL34" i="59"/>
  <c r="AL36" i="59"/>
  <c r="AL37" i="59"/>
  <c r="BL37" i="59"/>
  <c r="BM37" i="59"/>
  <c r="BN37" i="59"/>
  <c r="BO37" i="59"/>
  <c r="BQ37" i="59"/>
  <c r="BR37" i="59"/>
  <c r="BS37" i="59"/>
  <c r="BT37" i="59"/>
  <c r="BV37" i="59"/>
  <c r="BW37" i="59"/>
  <c r="BX37" i="59"/>
  <c r="BY37" i="59"/>
  <c r="CA37" i="59"/>
  <c r="CB37" i="59"/>
  <c r="CC37" i="59"/>
  <c r="CD37" i="59"/>
  <c r="CF37" i="59"/>
  <c r="CH37" i="59"/>
  <c r="CI37" i="59"/>
  <c r="CK37" i="59"/>
  <c r="CM37" i="59"/>
  <c r="CN37" i="59"/>
  <c r="C39" i="59"/>
  <c r="G39" i="59"/>
  <c r="H39" i="59"/>
  <c r="K39" i="59"/>
  <c r="L39" i="59"/>
  <c r="M39" i="59"/>
  <c r="N39" i="59"/>
  <c r="AL39" i="59"/>
  <c r="AN39" i="59"/>
  <c r="AO39" i="59"/>
  <c r="AT39" i="59"/>
  <c r="AT40" i="59" s="1"/>
  <c r="AX39" i="59"/>
  <c r="AY39" i="59"/>
  <c r="AZ39" i="59"/>
  <c r="BB39" i="59"/>
  <c r="BC39" i="59"/>
  <c r="BD39" i="59"/>
  <c r="BG39" i="59"/>
  <c r="BH39" i="59"/>
  <c r="BI39" i="59"/>
  <c r="BI40" i="59" s="1"/>
  <c r="BJ39" i="59"/>
  <c r="BL39" i="59"/>
  <c r="BM39" i="59"/>
  <c r="BM232" i="59" s="1"/>
  <c r="BN39" i="59"/>
  <c r="BN232" i="59" s="1"/>
  <c r="BO39" i="59"/>
  <c r="BO232" i="59" s="1"/>
  <c r="AL40" i="59"/>
  <c r="BV40" i="59"/>
  <c r="BW40" i="59"/>
  <c r="BX40" i="59"/>
  <c r="BY40" i="59"/>
  <c r="CA40" i="59"/>
  <c r="CB40" i="59"/>
  <c r="CC40" i="59"/>
  <c r="CD40" i="59"/>
  <c r="CF40" i="59"/>
  <c r="CG40" i="59"/>
  <c r="CH40" i="59"/>
  <c r="CI40" i="59"/>
  <c r="CK40" i="59"/>
  <c r="CL40" i="59"/>
  <c r="CM40" i="59"/>
  <c r="CN40" i="59"/>
  <c r="B42" i="59"/>
  <c r="C42" i="59"/>
  <c r="D42" i="59"/>
  <c r="E42" i="59"/>
  <c r="G42" i="59"/>
  <c r="H42" i="59"/>
  <c r="I42" i="59"/>
  <c r="J42" i="59"/>
  <c r="K42" i="59"/>
  <c r="L42" i="59"/>
  <c r="M42" i="59"/>
  <c r="O42" i="59" s="1"/>
  <c r="N42" i="59"/>
  <c r="P42" i="59" s="1"/>
  <c r="Q42" i="59"/>
  <c r="R42" i="59"/>
  <c r="S42" i="59" s="1"/>
  <c r="T42" i="59"/>
  <c r="U42" i="59"/>
  <c r="V42" i="59"/>
  <c r="W42" i="59"/>
  <c r="X42" i="59"/>
  <c r="Y42" i="59"/>
  <c r="Z42" i="59"/>
  <c r="AA42" i="59"/>
  <c r="AB42" i="59"/>
  <c r="AL42" i="59"/>
  <c r="AM42" i="59"/>
  <c r="AN42" i="59"/>
  <c r="AP42" i="59"/>
  <c r="AR42" i="59"/>
  <c r="AS42" i="59"/>
  <c r="AY42" i="59"/>
  <c r="AZ42" i="59"/>
  <c r="BB42" i="59"/>
  <c r="BC42" i="59"/>
  <c r="BD42" i="59"/>
  <c r="BE42" i="59"/>
  <c r="BG42" i="59"/>
  <c r="BH42" i="59"/>
  <c r="BI42" i="59"/>
  <c r="BJ42" i="59"/>
  <c r="BL42" i="59"/>
  <c r="BM42" i="59"/>
  <c r="BN42" i="59"/>
  <c r="BO42" i="59"/>
  <c r="BQ42" i="59"/>
  <c r="BQ45" i="59" s="1"/>
  <c r="BR42" i="59"/>
  <c r="BS42" i="59"/>
  <c r="BS45" i="59" s="1"/>
  <c r="BS46" i="59" s="1"/>
  <c r="BT42" i="59"/>
  <c r="BT45" i="59" s="1"/>
  <c r="BV42" i="59"/>
  <c r="BV45" i="59" s="1"/>
  <c r="BW42" i="59"/>
  <c r="BW45" i="59" s="1"/>
  <c r="BX42" i="59"/>
  <c r="BX45" i="59" s="1"/>
  <c r="BY42" i="59"/>
  <c r="CA42" i="59"/>
  <c r="CA45" i="59" s="1"/>
  <c r="CB42" i="59"/>
  <c r="CB45" i="59" s="1"/>
  <c r="CB46" i="59" s="1"/>
  <c r="CC42" i="59"/>
  <c r="CC45" i="59" s="1"/>
  <c r="CD42" i="59"/>
  <c r="CD45" i="59" s="1"/>
  <c r="CF42" i="59"/>
  <c r="CF45" i="59" s="1"/>
  <c r="CG42" i="59"/>
  <c r="CG45" i="59" s="1"/>
  <c r="CG46" i="59" s="1"/>
  <c r="CH42" i="59"/>
  <c r="CH45" i="59" s="1"/>
  <c r="CI42" i="59"/>
  <c r="CI45" i="59" s="1"/>
  <c r="CI46" i="59" s="1"/>
  <c r="CK42" i="59"/>
  <c r="CK45" i="59" s="1"/>
  <c r="CL42" i="59"/>
  <c r="CL45" i="59" s="1"/>
  <c r="CM42" i="59"/>
  <c r="CM45" i="59" s="1"/>
  <c r="CN42" i="59"/>
  <c r="CN45" i="59" s="1"/>
  <c r="CP42" i="59"/>
  <c r="CQ42" i="59"/>
  <c r="CR42" i="59"/>
  <c r="CS42" i="59"/>
  <c r="O43" i="59"/>
  <c r="P43" i="59"/>
  <c r="AL43" i="59"/>
  <c r="AL45" i="59"/>
  <c r="AL46" i="59"/>
  <c r="BL46" i="59"/>
  <c r="BM46" i="59"/>
  <c r="BN46" i="59"/>
  <c r="BO46" i="59"/>
  <c r="AL48" i="59"/>
  <c r="AL49" i="59"/>
  <c r="AL50" i="59"/>
  <c r="AL51" i="59"/>
  <c r="C52" i="59"/>
  <c r="F52" i="59"/>
  <c r="F53" i="59" s="1"/>
  <c r="G52" i="59"/>
  <c r="CF52" i="59"/>
  <c r="CG52" i="59"/>
  <c r="CH52" i="59"/>
  <c r="CI52" i="59"/>
  <c r="CK52" i="59"/>
  <c r="CL52" i="59"/>
  <c r="CM52" i="59"/>
  <c r="CN52" i="59"/>
  <c r="CP52" i="59"/>
  <c r="CQ52" i="59"/>
  <c r="CR52" i="59"/>
  <c r="CS52" i="59"/>
  <c r="AL52" i="59"/>
  <c r="AM52" i="59"/>
  <c r="AN52" i="59"/>
  <c r="AO52" i="59"/>
  <c r="AR52" i="59"/>
  <c r="AT52" i="59"/>
  <c r="AW52" i="59"/>
  <c r="AX52" i="59"/>
  <c r="AY52" i="59"/>
  <c r="BB52" i="59"/>
  <c r="BC52" i="59"/>
  <c r="BD52" i="59"/>
  <c r="BE52" i="59"/>
  <c r="BG52" i="59"/>
  <c r="BH52" i="59"/>
  <c r="BI52" i="59"/>
  <c r="BL52" i="59"/>
  <c r="BM52" i="59"/>
  <c r="BN52" i="59"/>
  <c r="BQ52" i="59"/>
  <c r="BR52" i="59"/>
  <c r="BS52" i="59"/>
  <c r="BV52" i="59"/>
  <c r="BW52" i="59"/>
  <c r="BX52" i="59"/>
  <c r="BY52" i="59"/>
  <c r="CA52" i="59"/>
  <c r="CB52" i="59"/>
  <c r="CC52" i="59"/>
  <c r="CD52" i="59"/>
  <c r="AL53" i="59"/>
  <c r="AL54" i="59"/>
  <c r="AL55" i="59"/>
  <c r="AL56" i="59"/>
  <c r="AL57" i="59"/>
  <c r="BJ75" i="59"/>
  <c r="BO71" i="59"/>
  <c r="BQ71" i="59"/>
  <c r="J71" i="59" s="1"/>
  <c r="BU71" i="59" s="1"/>
  <c r="BV71" i="59"/>
  <c r="K71" i="59" s="1"/>
  <c r="BZ71" i="59" s="1"/>
  <c r="CD71" i="59"/>
  <c r="CE71" i="59" s="1"/>
  <c r="AL59" i="59"/>
  <c r="AL60" i="59"/>
  <c r="AL61" i="59"/>
  <c r="B63" i="59"/>
  <c r="C63" i="59"/>
  <c r="D63" i="59"/>
  <c r="E63" i="59"/>
  <c r="F63" i="59"/>
  <c r="AL63" i="59"/>
  <c r="AM63" i="59"/>
  <c r="AN63" i="59"/>
  <c r="AO63" i="59"/>
  <c r="AP63" i="59"/>
  <c r="AR63" i="59"/>
  <c r="AS63" i="59"/>
  <c r="AT63" i="59"/>
  <c r="AU63" i="59"/>
  <c r="AW63" i="59"/>
  <c r="AX63" i="59"/>
  <c r="BA63" i="59" s="1"/>
  <c r="AY63" i="59"/>
  <c r="AZ63" i="59"/>
  <c r="AL64" i="59"/>
  <c r="AL65" i="59"/>
  <c r="I71" i="59"/>
  <c r="BP71" i="59"/>
  <c r="AL71" i="59"/>
  <c r="AQ71" i="59"/>
  <c r="AV71" i="59"/>
  <c r="BA71" i="59"/>
  <c r="BF71" i="59"/>
  <c r="BK71" i="59"/>
  <c r="AL72" i="59"/>
  <c r="AL73" i="59"/>
  <c r="AL75" i="59"/>
  <c r="AL76" i="59"/>
  <c r="BL76" i="59"/>
  <c r="BM76" i="59"/>
  <c r="BN76" i="59"/>
  <c r="BQ76" i="59"/>
  <c r="BR76" i="59"/>
  <c r="BS76" i="59"/>
  <c r="BT76" i="59"/>
  <c r="BV76" i="59"/>
  <c r="BW76" i="59"/>
  <c r="BX76" i="59"/>
  <c r="BY76" i="59"/>
  <c r="CA76" i="59"/>
  <c r="CB76" i="59"/>
  <c r="CC76" i="59"/>
  <c r="CD76" i="59"/>
  <c r="CF76" i="59"/>
  <c r="CG76" i="59"/>
  <c r="CH76" i="59"/>
  <c r="CI76" i="59"/>
  <c r="CK76" i="59"/>
  <c r="CL76" i="59"/>
  <c r="CM76" i="59"/>
  <c r="CN76" i="59"/>
  <c r="AL77" i="59"/>
  <c r="BG77" i="59"/>
  <c r="BH77" i="59"/>
  <c r="BI77" i="59"/>
  <c r="BL77" i="59"/>
  <c r="BM77" i="59"/>
  <c r="BN77" i="59"/>
  <c r="BO77" i="59"/>
  <c r="BQ77" i="59"/>
  <c r="BR77" i="59"/>
  <c r="BS77" i="59"/>
  <c r="BT77" i="59"/>
  <c r="BV77" i="59"/>
  <c r="BW77" i="59"/>
  <c r="BX77" i="59"/>
  <c r="BY77" i="59"/>
  <c r="CA77" i="59"/>
  <c r="CB77" i="59"/>
  <c r="CC77" i="59"/>
  <c r="CD77" i="59"/>
  <c r="CF77" i="59"/>
  <c r="CG77" i="59"/>
  <c r="CH77" i="59"/>
  <c r="CI77" i="59"/>
  <c r="CK77" i="59"/>
  <c r="CL77" i="59"/>
  <c r="CM77" i="59"/>
  <c r="CN77" i="59"/>
  <c r="AL79" i="59"/>
  <c r="AL80" i="59"/>
  <c r="AL81" i="59"/>
  <c r="AL83" i="59"/>
  <c r="AM83" i="59"/>
  <c r="AN83" i="59"/>
  <c r="AO83" i="59"/>
  <c r="AP83" i="59"/>
  <c r="AR83" i="59"/>
  <c r="AS83" i="59"/>
  <c r="AT83" i="59"/>
  <c r="AU83" i="59"/>
  <c r="AL84" i="59"/>
  <c r="AL85" i="59"/>
  <c r="AL87" i="59"/>
  <c r="AL88" i="59"/>
  <c r="BL88" i="59"/>
  <c r="BM88" i="59"/>
  <c r="BN88" i="59"/>
  <c r="BO88" i="59"/>
  <c r="BQ88" i="59"/>
  <c r="BR88" i="59"/>
  <c r="BS88" i="59"/>
  <c r="BT88" i="59"/>
  <c r="BV88" i="59"/>
  <c r="BW88" i="59"/>
  <c r="BX88" i="59"/>
  <c r="BY88" i="59"/>
  <c r="CA88" i="59"/>
  <c r="CB88" i="59"/>
  <c r="CC88" i="59"/>
  <c r="CD88" i="59"/>
  <c r="CF88" i="59"/>
  <c r="CG88" i="59"/>
  <c r="CH88" i="59"/>
  <c r="CI88" i="59"/>
  <c r="CK88" i="59"/>
  <c r="CL88" i="59"/>
  <c r="CM88" i="59"/>
  <c r="CN88" i="59"/>
  <c r="AL89" i="59"/>
  <c r="BG89" i="59"/>
  <c r="BH89" i="59"/>
  <c r="BI89" i="59"/>
  <c r="BJ89" i="59"/>
  <c r="BL89" i="59"/>
  <c r="BM89" i="59"/>
  <c r="BN89" i="59"/>
  <c r="BO89" i="59"/>
  <c r="BQ89" i="59"/>
  <c r="BR89" i="59"/>
  <c r="BS89" i="59"/>
  <c r="BT89" i="59"/>
  <c r="BV89" i="59"/>
  <c r="BW89" i="59"/>
  <c r="BX89" i="59"/>
  <c r="BY89" i="59"/>
  <c r="CA89" i="59"/>
  <c r="CB89" i="59"/>
  <c r="CC89" i="59"/>
  <c r="CD89" i="59"/>
  <c r="CF89" i="59"/>
  <c r="CH89" i="59"/>
  <c r="CI89" i="59"/>
  <c r="CK89" i="59"/>
  <c r="CL89" i="59"/>
  <c r="CM89" i="59"/>
  <c r="CN89" i="59"/>
  <c r="E91" i="59"/>
  <c r="F91" i="59"/>
  <c r="G91" i="59"/>
  <c r="K91" i="59"/>
  <c r="K93" i="59" s="1"/>
  <c r="L91" i="59"/>
  <c r="M91" i="59"/>
  <c r="N91" i="59"/>
  <c r="P91" i="59" s="1"/>
  <c r="CK93" i="59"/>
  <c r="AL91" i="59"/>
  <c r="AM91" i="59"/>
  <c r="AN91" i="59"/>
  <c r="AO91" i="59"/>
  <c r="AR91" i="59"/>
  <c r="AS91" i="59"/>
  <c r="AW91" i="59"/>
  <c r="BB92" i="59" s="1"/>
  <c r="AX91" i="59"/>
  <c r="AY91" i="59"/>
  <c r="BB91" i="59"/>
  <c r="BC91" i="59"/>
  <c r="BC92" i="59" s="1"/>
  <c r="BD91" i="59"/>
  <c r="BD93" i="59" s="1"/>
  <c r="BE91" i="59"/>
  <c r="BG91" i="59"/>
  <c r="BG93" i="59" s="1"/>
  <c r="BH91" i="59"/>
  <c r="BH92" i="59" s="1"/>
  <c r="BI91" i="59"/>
  <c r="BJ91" i="59"/>
  <c r="BL91" i="59"/>
  <c r="BQ92" i="59" s="1"/>
  <c r="BM91" i="59"/>
  <c r="BR92" i="59" s="1"/>
  <c r="BN91" i="59"/>
  <c r="BO91" i="59"/>
  <c r="AL92" i="59"/>
  <c r="BV92" i="59"/>
  <c r="BW92" i="59"/>
  <c r="BX92" i="59"/>
  <c r="BY92" i="59"/>
  <c r="CA92" i="59"/>
  <c r="CB92" i="59"/>
  <c r="CC92" i="59"/>
  <c r="CD92" i="59"/>
  <c r="CF92" i="59"/>
  <c r="CG92" i="59"/>
  <c r="CH92" i="59"/>
  <c r="CI92" i="59"/>
  <c r="CK92" i="59"/>
  <c r="CL92" i="59"/>
  <c r="CM92" i="59"/>
  <c r="CN92" i="59"/>
  <c r="AL93" i="59"/>
  <c r="BQ93" i="59"/>
  <c r="BR93" i="59"/>
  <c r="BS93" i="59"/>
  <c r="BT93" i="59"/>
  <c r="BV93" i="59"/>
  <c r="BW93" i="59"/>
  <c r="BX93" i="59"/>
  <c r="BY93" i="59"/>
  <c r="CA93" i="59"/>
  <c r="CB93" i="59"/>
  <c r="CC93" i="59"/>
  <c r="CD93" i="59"/>
  <c r="CF93" i="59"/>
  <c r="CG93" i="59"/>
  <c r="CH93" i="59"/>
  <c r="CI93" i="59"/>
  <c r="CL93" i="59"/>
  <c r="CM93" i="59"/>
  <c r="CN93" i="59"/>
  <c r="B95" i="59"/>
  <c r="C95" i="59"/>
  <c r="D95" i="59"/>
  <c r="E95" i="59"/>
  <c r="E97" i="59" s="1"/>
  <c r="F95" i="59"/>
  <c r="G95" i="59"/>
  <c r="H95" i="59"/>
  <c r="I95" i="59"/>
  <c r="J95" i="59"/>
  <c r="K95" i="59"/>
  <c r="L95" i="59"/>
  <c r="M95" i="59"/>
  <c r="O95" i="59" s="1"/>
  <c r="N95" i="59"/>
  <c r="P95" i="59" s="1"/>
  <c r="Q95" i="59"/>
  <c r="R95" i="59"/>
  <c r="T95" i="59"/>
  <c r="U95" i="59"/>
  <c r="V95" i="59"/>
  <c r="W95" i="59"/>
  <c r="X95" i="59"/>
  <c r="Y95" i="59"/>
  <c r="Z95" i="59"/>
  <c r="AA95" i="59"/>
  <c r="AB95" i="59"/>
  <c r="AL95" i="59"/>
  <c r="AO95" i="59"/>
  <c r="AR95" i="59"/>
  <c r="AW95" i="59"/>
  <c r="AX95" i="59"/>
  <c r="AZ95" i="59"/>
  <c r="BB95" i="59"/>
  <c r="BC95" i="59"/>
  <c r="BD95" i="59"/>
  <c r="BE95" i="59"/>
  <c r="BG95" i="59"/>
  <c r="BH95" i="59"/>
  <c r="BI95" i="59"/>
  <c r="BJ95" i="59"/>
  <c r="BL95" i="59"/>
  <c r="BM95" i="59"/>
  <c r="BN95" i="59"/>
  <c r="BO95" i="59"/>
  <c r="BQ95" i="59"/>
  <c r="BQ99" i="59" s="1"/>
  <c r="BR95" i="59"/>
  <c r="BR99" i="59" s="1"/>
  <c r="BS95" i="59"/>
  <c r="BT95" i="59"/>
  <c r="BT99" i="59" s="1"/>
  <c r="BT100" i="59" s="1"/>
  <c r="BV95" i="59"/>
  <c r="BV99" i="59" s="1"/>
  <c r="BW95" i="59"/>
  <c r="BW99" i="59" s="1"/>
  <c r="BX95" i="59"/>
  <c r="BX99" i="59" s="1"/>
  <c r="BY95" i="59"/>
  <c r="BY99" i="59" s="1"/>
  <c r="CA95" i="59"/>
  <c r="CA99" i="59" s="1"/>
  <c r="CB95" i="59"/>
  <c r="CB99" i="59" s="1"/>
  <c r="CB310" i="59" s="1"/>
  <c r="CC95" i="59"/>
  <c r="CC99" i="59" s="1"/>
  <c r="CD95" i="59"/>
  <c r="CD99" i="59" s="1"/>
  <c r="CD101" i="59" s="1"/>
  <c r="CF95" i="59"/>
  <c r="CF99" i="59" s="1"/>
  <c r="CG95" i="59"/>
  <c r="CG99" i="59" s="1"/>
  <c r="CG100" i="59" s="1"/>
  <c r="CH95" i="59"/>
  <c r="CH99" i="59" s="1"/>
  <c r="CI95" i="59"/>
  <c r="CI99" i="59" s="1"/>
  <c r="CK95" i="59"/>
  <c r="CK99" i="59" s="1"/>
  <c r="CL95" i="59"/>
  <c r="CL99" i="59" s="1"/>
  <c r="CL101" i="59" s="1"/>
  <c r="CM95" i="59"/>
  <c r="CM99" i="59" s="1"/>
  <c r="CM100" i="59" s="1"/>
  <c r="CN95" i="59"/>
  <c r="CN99" i="59" s="1"/>
  <c r="CN101" i="59" s="1"/>
  <c r="CP95" i="59"/>
  <c r="CQ95" i="59"/>
  <c r="CR95" i="59"/>
  <c r="CR99" i="59" s="1"/>
  <c r="CR100" i="59" s="1"/>
  <c r="CS95" i="59"/>
  <c r="CS99" i="59" s="1"/>
  <c r="AL96" i="59"/>
  <c r="AL97" i="59"/>
  <c r="AL99" i="59"/>
  <c r="AL100" i="59"/>
  <c r="AL101" i="59"/>
  <c r="BL101" i="59"/>
  <c r="BM101" i="59"/>
  <c r="BN101" i="59"/>
  <c r="BO101" i="59"/>
  <c r="BR106" i="59"/>
  <c r="BS106" i="59" s="1"/>
  <c r="BW108" i="59"/>
  <c r="BG106" i="59"/>
  <c r="BH106" i="59"/>
  <c r="BH112" i="59" s="1"/>
  <c r="BI106" i="59"/>
  <c r="BI112" i="59" s="1"/>
  <c r="BJ105" i="59"/>
  <c r="BL106" i="59"/>
  <c r="BL112" i="59" s="1"/>
  <c r="BM106" i="59"/>
  <c r="BM112" i="59" s="1"/>
  <c r="BN106" i="59"/>
  <c r="BN112" i="59" s="1"/>
  <c r="CK105" i="59"/>
  <c r="CK111" i="59" s="1"/>
  <c r="CL108" i="59"/>
  <c r="CL105" i="59" s="1"/>
  <c r="CL111" i="59" s="1"/>
  <c r="CM108" i="59"/>
  <c r="CN108" i="59"/>
  <c r="CN105" i="59" s="1"/>
  <c r="CT106" i="59"/>
  <c r="CC108" i="59"/>
  <c r="CD108" i="59"/>
  <c r="CF105" i="59"/>
  <c r="CF111" i="59" s="1"/>
  <c r="CF112" i="59"/>
  <c r="CF113" i="59"/>
  <c r="CG105" i="59"/>
  <c r="CG111" i="59" s="1"/>
  <c r="CH105" i="59"/>
  <c r="CH111" i="59" s="1"/>
  <c r="CI105" i="59"/>
  <c r="CI111" i="59" s="1"/>
  <c r="N106" i="59"/>
  <c r="P106" i="59" s="1"/>
  <c r="N107" i="59"/>
  <c r="P107" i="59" s="1"/>
  <c r="BO108" i="59"/>
  <c r="BO111" i="59"/>
  <c r="BJ112" i="59"/>
  <c r="BO112" i="59"/>
  <c r="BQ112" i="59"/>
  <c r="BT112" i="59"/>
  <c r="CG112" i="59"/>
  <c r="CH112" i="59"/>
  <c r="CI112" i="59"/>
  <c r="CK112" i="59"/>
  <c r="CL112" i="59"/>
  <c r="CM112" i="59"/>
  <c r="CN112" i="59"/>
  <c r="CG113" i="59"/>
  <c r="CH113" i="59"/>
  <c r="CI113" i="59"/>
  <c r="CK113" i="59"/>
  <c r="CL113" i="59"/>
  <c r="CM113" i="59"/>
  <c r="CN113" i="59"/>
  <c r="AL118" i="59"/>
  <c r="AL120" i="59"/>
  <c r="AL121" i="59"/>
  <c r="BI121" i="59"/>
  <c r="BG128" i="59"/>
  <c r="BG123" i="59" s="1"/>
  <c r="BH128" i="59"/>
  <c r="BI128" i="59"/>
  <c r="BI123" i="59" s="1"/>
  <c r="BJ128" i="59"/>
  <c r="BL128" i="59"/>
  <c r="BL123" i="59" s="1"/>
  <c r="DN97" i="30" s="1"/>
  <c r="BM128" i="59"/>
  <c r="BN128" i="59"/>
  <c r="BN123" i="59" s="1"/>
  <c r="DP97" i="30" s="1"/>
  <c r="BO128" i="59"/>
  <c r="AL122" i="59"/>
  <c r="AL123" i="59"/>
  <c r="AL124" i="59"/>
  <c r="AL125" i="59"/>
  <c r="AL126" i="59"/>
  <c r="E128" i="59"/>
  <c r="F128" i="59"/>
  <c r="G128" i="59"/>
  <c r="H128" i="59"/>
  <c r="I128" i="59"/>
  <c r="BP128" i="59" s="1"/>
  <c r="J128" i="59"/>
  <c r="K128" i="59"/>
  <c r="BY128" i="59" s="1"/>
  <c r="L128" i="59"/>
  <c r="CD128" i="59" s="1"/>
  <c r="CD221" i="59" s="1"/>
  <c r="M128" i="59"/>
  <c r="CI128" i="59" s="1"/>
  <c r="AL128" i="59"/>
  <c r="AO128" i="59"/>
  <c r="AR128" i="59"/>
  <c r="AS128" i="59"/>
  <c r="AT128" i="59"/>
  <c r="AU128" i="59"/>
  <c r="AW128" i="59"/>
  <c r="AX128" i="59"/>
  <c r="AX129" i="59" s="1"/>
  <c r="AY128" i="59"/>
  <c r="AZ128" i="59"/>
  <c r="BB128" i="59"/>
  <c r="BB129" i="59" s="1"/>
  <c r="BC128" i="59"/>
  <c r="BC221" i="59" s="1"/>
  <c r="BD128" i="59"/>
  <c r="BD221" i="59" s="1"/>
  <c r="BE128" i="59"/>
  <c r="AL129" i="59"/>
  <c r="BV129" i="59"/>
  <c r="BW129" i="59"/>
  <c r="BX129" i="59"/>
  <c r="CA129" i="59"/>
  <c r="CB129" i="59"/>
  <c r="CC129" i="59"/>
  <c r="CF129" i="59"/>
  <c r="BC70" i="73" s="1"/>
  <c r="CG129" i="59"/>
  <c r="BD70" i="73" s="1"/>
  <c r="BD71" i="73" s="1"/>
  <c r="CH129" i="59"/>
  <c r="BE70" i="73" s="1"/>
  <c r="BE72" i="73" s="1"/>
  <c r="AL131" i="59"/>
  <c r="AL132" i="59"/>
  <c r="BL132" i="59"/>
  <c r="BM132" i="59"/>
  <c r="BN132" i="59"/>
  <c r="BO132" i="59"/>
  <c r="BQ132" i="59"/>
  <c r="BR132" i="59"/>
  <c r="BS132" i="59"/>
  <c r="BT132" i="59"/>
  <c r="BV132" i="59"/>
  <c r="BW132" i="59"/>
  <c r="BX132" i="59"/>
  <c r="BY132" i="59"/>
  <c r="CA132" i="59"/>
  <c r="CB132" i="59"/>
  <c r="CC132" i="59"/>
  <c r="CD132" i="59"/>
  <c r="CF132" i="59"/>
  <c r="CG132" i="59"/>
  <c r="CH132" i="59"/>
  <c r="CI132" i="59"/>
  <c r="CK132" i="59"/>
  <c r="CL132" i="59"/>
  <c r="CM132" i="59"/>
  <c r="CN132" i="59"/>
  <c r="AL134" i="59"/>
  <c r="AQ134" i="59"/>
  <c r="AV134" i="59"/>
  <c r="BA134" i="59"/>
  <c r="BF134" i="59"/>
  <c r="BK134" i="59"/>
  <c r="BP134" i="59"/>
  <c r="BU134" i="59"/>
  <c r="BZ134" i="59"/>
  <c r="CE134" i="59"/>
  <c r="CJ134" i="59"/>
  <c r="C135" i="59"/>
  <c r="D135" i="59"/>
  <c r="E135" i="59"/>
  <c r="F135" i="59"/>
  <c r="G135" i="59"/>
  <c r="H135" i="59"/>
  <c r="I135" i="59"/>
  <c r="J135" i="59"/>
  <c r="K135" i="59"/>
  <c r="L135" i="59"/>
  <c r="M135" i="59"/>
  <c r="AL135" i="59"/>
  <c r="AR135" i="59"/>
  <c r="AS135" i="59"/>
  <c r="AT135" i="59"/>
  <c r="AU135" i="59"/>
  <c r="AW135" i="59"/>
  <c r="AX135" i="59"/>
  <c r="AY135" i="59"/>
  <c r="AZ135" i="59"/>
  <c r="BB135" i="59"/>
  <c r="BC135" i="59"/>
  <c r="BD135" i="59"/>
  <c r="BE135" i="59"/>
  <c r="BG135" i="59"/>
  <c r="BH135" i="59"/>
  <c r="BI135" i="59"/>
  <c r="BJ135" i="59"/>
  <c r="BL135" i="59"/>
  <c r="BM135" i="59"/>
  <c r="BN135" i="59"/>
  <c r="BO135" i="59"/>
  <c r="BQ135" i="59"/>
  <c r="BR135" i="59"/>
  <c r="BS135" i="59"/>
  <c r="BT135" i="59"/>
  <c r="BV135" i="59"/>
  <c r="BW135" i="59"/>
  <c r="BX135" i="59"/>
  <c r="BY135" i="59"/>
  <c r="CA135" i="59"/>
  <c r="CB135" i="59"/>
  <c r="CC135" i="59"/>
  <c r="CD135" i="59"/>
  <c r="CF135" i="59"/>
  <c r="CG135" i="59"/>
  <c r="CH135" i="59"/>
  <c r="CI135" i="59"/>
  <c r="AL137" i="59"/>
  <c r="AQ137" i="59"/>
  <c r="AV137" i="59"/>
  <c r="BA137" i="59"/>
  <c r="BF137" i="59"/>
  <c r="BK137" i="59"/>
  <c r="BP137" i="59"/>
  <c r="BU137" i="59"/>
  <c r="BZ137" i="59"/>
  <c r="CE137" i="59"/>
  <c r="CJ137" i="59"/>
  <c r="AL138" i="59"/>
  <c r="B139" i="59"/>
  <c r="C139" i="59"/>
  <c r="D139" i="59"/>
  <c r="E139" i="59"/>
  <c r="G139" i="59"/>
  <c r="H139" i="59"/>
  <c r="I139" i="59"/>
  <c r="J139" i="59"/>
  <c r="K139" i="59"/>
  <c r="AL139" i="59"/>
  <c r="AM139" i="59"/>
  <c r="AN139" i="59"/>
  <c r="AO139" i="59"/>
  <c r="AP139" i="59"/>
  <c r="AR139" i="59"/>
  <c r="AS139" i="59"/>
  <c r="AT139" i="59"/>
  <c r="AU139" i="59"/>
  <c r="AW139" i="59"/>
  <c r="AX139" i="59"/>
  <c r="AY139" i="59"/>
  <c r="AZ139" i="59"/>
  <c r="BB139" i="59"/>
  <c r="BC139" i="59"/>
  <c r="BD139" i="59"/>
  <c r="BE139" i="59"/>
  <c r="BG139" i="59"/>
  <c r="BH139" i="59"/>
  <c r="BI139" i="59"/>
  <c r="BJ139" i="59"/>
  <c r="BL139" i="59"/>
  <c r="BM139" i="59"/>
  <c r="BN139" i="59"/>
  <c r="BO139" i="59"/>
  <c r="BQ139" i="59"/>
  <c r="BR139" i="59"/>
  <c r="BS139" i="59"/>
  <c r="BT139" i="59"/>
  <c r="AL140" i="59"/>
  <c r="AL141" i="59"/>
  <c r="E142" i="59"/>
  <c r="F142" i="59"/>
  <c r="G142" i="59"/>
  <c r="G222" i="59" s="1"/>
  <c r="H142" i="59"/>
  <c r="I142" i="59"/>
  <c r="J142" i="59"/>
  <c r="J143" i="59" s="1"/>
  <c r="K142" i="59"/>
  <c r="L143" i="59" s="1"/>
  <c r="L142" i="59"/>
  <c r="CD142" i="59" s="1"/>
  <c r="CD329" i="59" s="1"/>
  <c r="M142" i="59"/>
  <c r="AL142" i="59"/>
  <c r="AM142" i="59"/>
  <c r="AN142" i="59"/>
  <c r="AO142" i="59"/>
  <c r="AP142" i="59"/>
  <c r="AR142" i="59"/>
  <c r="AR143" i="59" s="1"/>
  <c r="AS142" i="59"/>
  <c r="AS143" i="59" s="1"/>
  <c r="AT142" i="59"/>
  <c r="AU142" i="59"/>
  <c r="AW142" i="59"/>
  <c r="AW143" i="59" s="1"/>
  <c r="AX142" i="59"/>
  <c r="AX143" i="59" s="1"/>
  <c r="AY142" i="59"/>
  <c r="AZ142" i="59"/>
  <c r="BB142" i="59"/>
  <c r="BB222" i="59" s="1"/>
  <c r="BG142" i="59"/>
  <c r="BC142" i="59"/>
  <c r="BC222" i="59" s="1"/>
  <c r="BD142" i="59"/>
  <c r="BE142" i="59"/>
  <c r="BE222" i="59" s="1"/>
  <c r="BH142" i="59"/>
  <c r="BH222" i="59" s="1"/>
  <c r="BI142" i="59"/>
  <c r="BJ142" i="59"/>
  <c r="BL142" i="59"/>
  <c r="BM142" i="59"/>
  <c r="BM222" i="59" s="1"/>
  <c r="BN142" i="59"/>
  <c r="BN222" i="59" s="1"/>
  <c r="BO142" i="59"/>
  <c r="CA329" i="59"/>
  <c r="AL143" i="59"/>
  <c r="CF143" i="59"/>
  <c r="CG143" i="59"/>
  <c r="CH143" i="59"/>
  <c r="AL145" i="59"/>
  <c r="CA145" i="59"/>
  <c r="CB145" i="59"/>
  <c r="CC145" i="59"/>
  <c r="CF145" i="59"/>
  <c r="CF165" i="59"/>
  <c r="CG145" i="59"/>
  <c r="CG146" i="59" s="1"/>
  <c r="CH145" i="59"/>
  <c r="CI145" i="59"/>
  <c r="CL145" i="59"/>
  <c r="CM145" i="59"/>
  <c r="CN145" i="59"/>
  <c r="BL146" i="59"/>
  <c r="BM146" i="59"/>
  <c r="BN146" i="59"/>
  <c r="BO146" i="59"/>
  <c r="CN146" i="59"/>
  <c r="AL148" i="59"/>
  <c r="BG157" i="59"/>
  <c r="BL158" i="59" s="1"/>
  <c r="BG153" i="59"/>
  <c r="BH157" i="59"/>
  <c r="BH159" i="59" s="1"/>
  <c r="BH153" i="59"/>
  <c r="BI157" i="59"/>
  <c r="BI153" i="59"/>
  <c r="BI149" i="59" s="1"/>
  <c r="BJ157" i="59"/>
  <c r="BJ159" i="59" s="1"/>
  <c r="BJ153" i="59"/>
  <c r="BL153" i="59"/>
  <c r="BM153" i="59"/>
  <c r="BN153" i="59"/>
  <c r="BS154" i="59" s="1"/>
  <c r="BO157" i="59"/>
  <c r="BO153" i="59"/>
  <c r="BT154" i="59" s="1"/>
  <c r="AL149" i="59"/>
  <c r="AL150" i="59"/>
  <c r="AL151" i="59"/>
  <c r="E153" i="59"/>
  <c r="F153" i="59"/>
  <c r="C221" i="60" s="1"/>
  <c r="G153" i="59"/>
  <c r="D221" i="60" s="1"/>
  <c r="H153" i="59"/>
  <c r="I153" i="59"/>
  <c r="J153" i="59"/>
  <c r="J154" i="59" s="1"/>
  <c r="AL153" i="59"/>
  <c r="AN153" i="59"/>
  <c r="AO153" i="59"/>
  <c r="AO155" i="59" s="1"/>
  <c r="AR153" i="59"/>
  <c r="AS153" i="59"/>
  <c r="AS154" i="59" s="1"/>
  <c r="AT153" i="59"/>
  <c r="AU153" i="59"/>
  <c r="AW153" i="59"/>
  <c r="AX153" i="59"/>
  <c r="AX154" i="59" s="1"/>
  <c r="AY153" i="59"/>
  <c r="AZ153" i="59"/>
  <c r="BB153" i="59"/>
  <c r="BC153" i="59"/>
  <c r="BH154" i="59" s="1"/>
  <c r="BD153" i="59"/>
  <c r="BE153" i="59"/>
  <c r="AL154" i="59"/>
  <c r="BV154" i="59"/>
  <c r="BW154" i="59"/>
  <c r="BX154" i="59"/>
  <c r="BY154" i="59"/>
  <c r="CA154" i="59"/>
  <c r="CB154" i="59"/>
  <c r="CC154" i="59"/>
  <c r="CH154" i="59"/>
  <c r="AL155" i="59"/>
  <c r="BQ155" i="59"/>
  <c r="BR155" i="59"/>
  <c r="BS155" i="59"/>
  <c r="BT155" i="59"/>
  <c r="BV155" i="59"/>
  <c r="BW155" i="59"/>
  <c r="BX155" i="59"/>
  <c r="CA155" i="59"/>
  <c r="CB155" i="59"/>
  <c r="CC155" i="59"/>
  <c r="CH155" i="59"/>
  <c r="AL157" i="59"/>
  <c r="AL158" i="59"/>
  <c r="BM158" i="59"/>
  <c r="BQ158" i="59"/>
  <c r="BR158" i="59"/>
  <c r="BS158" i="59"/>
  <c r="BV158" i="59"/>
  <c r="BW158" i="59"/>
  <c r="BX158" i="59"/>
  <c r="BY158" i="59"/>
  <c r="CA158" i="59"/>
  <c r="CB158" i="59"/>
  <c r="CC158" i="59"/>
  <c r="CD158" i="59"/>
  <c r="CF158" i="59"/>
  <c r="CG158" i="59"/>
  <c r="CH158" i="59"/>
  <c r="CI158" i="59"/>
  <c r="CK158" i="59"/>
  <c r="CL158" i="59"/>
  <c r="CM158" i="59"/>
  <c r="CN158" i="59"/>
  <c r="AL159" i="59"/>
  <c r="BL159" i="59"/>
  <c r="BM159" i="59"/>
  <c r="BN159" i="59"/>
  <c r="BQ159" i="59"/>
  <c r="BR159" i="59"/>
  <c r="BS159" i="59"/>
  <c r="BT159" i="59"/>
  <c r="BV159" i="59"/>
  <c r="BW159" i="59"/>
  <c r="BX159" i="59"/>
  <c r="BY159" i="59"/>
  <c r="CA159" i="59"/>
  <c r="CB159" i="59"/>
  <c r="CC159" i="59"/>
  <c r="CD159" i="59"/>
  <c r="CF159" i="59"/>
  <c r="CG159" i="59"/>
  <c r="CH159" i="59"/>
  <c r="CI159" i="59"/>
  <c r="CK159" i="59"/>
  <c r="CL159" i="59"/>
  <c r="CM159" i="59"/>
  <c r="CN159" i="59"/>
  <c r="E161" i="59"/>
  <c r="F161" i="59"/>
  <c r="G161" i="59"/>
  <c r="H162" i="59" s="1"/>
  <c r="H161" i="59"/>
  <c r="I161" i="59"/>
  <c r="J161" i="59"/>
  <c r="K161" i="59"/>
  <c r="BZ161" i="59" s="1"/>
  <c r="L161" i="59"/>
  <c r="AL161" i="59"/>
  <c r="AM161" i="59"/>
  <c r="AR161" i="59"/>
  <c r="AS161" i="59"/>
  <c r="AT161" i="59"/>
  <c r="AU161" i="59"/>
  <c r="AU163" i="59" s="1"/>
  <c r="AW161" i="59"/>
  <c r="AX161" i="59"/>
  <c r="AX162" i="59" s="1"/>
  <c r="AY161" i="59"/>
  <c r="AZ161" i="59"/>
  <c r="AZ163" i="59" s="1"/>
  <c r="BB161" i="59"/>
  <c r="BB162" i="59" s="1"/>
  <c r="BC161" i="59"/>
  <c r="BD161" i="59"/>
  <c r="BE161" i="59"/>
  <c r="BE162" i="59" s="1"/>
  <c r="BG161" i="59"/>
  <c r="BH161" i="59"/>
  <c r="BI161" i="59"/>
  <c r="BJ161" i="59"/>
  <c r="BL161" i="59"/>
  <c r="BQ162" i="59" s="1"/>
  <c r="BM161" i="59"/>
  <c r="BN161" i="59"/>
  <c r="BO161" i="59"/>
  <c r="BT162" i="59" s="1"/>
  <c r="CK162" i="59"/>
  <c r="N162" i="59" s="1"/>
  <c r="AL162" i="59"/>
  <c r="BV162" i="59"/>
  <c r="BW162" i="59"/>
  <c r="BX162" i="59"/>
  <c r="BY162" i="59"/>
  <c r="CA162" i="59"/>
  <c r="CB162" i="59"/>
  <c r="CC162" i="59"/>
  <c r="CD162" i="59"/>
  <c r="CF162" i="59"/>
  <c r="CG162" i="59"/>
  <c r="CH162" i="59"/>
  <c r="CI162" i="59"/>
  <c r="CP162" i="59"/>
  <c r="CK163" i="59"/>
  <c r="N163" i="59" s="1"/>
  <c r="AL163" i="59"/>
  <c r="CA163" i="59"/>
  <c r="CB163" i="59"/>
  <c r="CC163" i="59"/>
  <c r="CF163" i="59"/>
  <c r="CG163" i="59"/>
  <c r="CH163" i="59"/>
  <c r="CI163" i="59"/>
  <c r="CP163" i="59"/>
  <c r="AL165" i="59"/>
  <c r="BG165" i="59"/>
  <c r="BG167" i="59" s="1"/>
  <c r="BH165" i="59"/>
  <c r="BM166" i="59" s="1"/>
  <c r="BI165" i="59"/>
  <c r="BI167" i="59" s="1"/>
  <c r="BJ165" i="59"/>
  <c r="BO165" i="59"/>
  <c r="BO194" i="59" s="1"/>
  <c r="BO211" i="59" s="1"/>
  <c r="BQ165" i="59"/>
  <c r="BQ166" i="59" s="1"/>
  <c r="BR165" i="59"/>
  <c r="BR166" i="59" s="1"/>
  <c r="BS165" i="59"/>
  <c r="BS166" i="59" s="1"/>
  <c r="BT165" i="59"/>
  <c r="BV165" i="59"/>
  <c r="BV194" i="59" s="1"/>
  <c r="BW165" i="59"/>
  <c r="BW166" i="59" s="1"/>
  <c r="BX165" i="59"/>
  <c r="BX166" i="59" s="1"/>
  <c r="BY165" i="59"/>
  <c r="CA165" i="59"/>
  <c r="CB165" i="59"/>
  <c r="CC165" i="59"/>
  <c r="CD165" i="59"/>
  <c r="CG165" i="59"/>
  <c r="CH165" i="59"/>
  <c r="CM166" i="59" s="1"/>
  <c r="CI165" i="59"/>
  <c r="AL166" i="59"/>
  <c r="CN166" i="59"/>
  <c r="AL167" i="59"/>
  <c r="BL167" i="59"/>
  <c r="BM167" i="59"/>
  <c r="BN167" i="59"/>
  <c r="CF173" i="59"/>
  <c r="CA173" i="59"/>
  <c r="CK174" i="59"/>
  <c r="CK202" i="59" s="1"/>
  <c r="CL174" i="59"/>
  <c r="CM174" i="59"/>
  <c r="CM202" i="59" s="1"/>
  <c r="CN174" i="59"/>
  <c r="CN202" i="59" s="1"/>
  <c r="AL182" i="59"/>
  <c r="AL183" i="59"/>
  <c r="F185" i="59"/>
  <c r="G185" i="59"/>
  <c r="H185" i="59"/>
  <c r="I185" i="59"/>
  <c r="J185" i="59"/>
  <c r="K185" i="59"/>
  <c r="L185" i="59"/>
  <c r="M185" i="59"/>
  <c r="N185" i="59"/>
  <c r="Q185" i="59"/>
  <c r="R185" i="59"/>
  <c r="T185" i="59"/>
  <c r="U185" i="59"/>
  <c r="V185" i="59"/>
  <c r="W185" i="59"/>
  <c r="X185" i="59"/>
  <c r="Y185" i="59"/>
  <c r="Z185" i="59"/>
  <c r="AA185" i="59"/>
  <c r="AB185" i="59"/>
  <c r="AL187" i="59"/>
  <c r="BN187" i="59"/>
  <c r="BN210" i="59" s="1"/>
  <c r="H190" i="59"/>
  <c r="BK190" i="59" s="1"/>
  <c r="I190" i="59"/>
  <c r="BP190" i="59" s="1"/>
  <c r="J190" i="59"/>
  <c r="BU190" i="59" s="1"/>
  <c r="K190" i="59"/>
  <c r="AA78" i="25" s="1"/>
  <c r="L190" i="59"/>
  <c r="AB78" i="25" s="1"/>
  <c r="M190" i="59"/>
  <c r="AC78" i="25" s="1"/>
  <c r="AE78" i="25" s="1"/>
  <c r="N190" i="59"/>
  <c r="AD78" i="25" s="1"/>
  <c r="AF78" i="25" s="1"/>
  <c r="AL190" i="59"/>
  <c r="AM190" i="59"/>
  <c r="AN190" i="59"/>
  <c r="AO190" i="59"/>
  <c r="AR190" i="59"/>
  <c r="AS190" i="59"/>
  <c r="AT190" i="59"/>
  <c r="AW190" i="59"/>
  <c r="AX190" i="59"/>
  <c r="AY190" i="59"/>
  <c r="AZ190" i="59"/>
  <c r="BB190" i="59"/>
  <c r="BC190" i="59"/>
  <c r="BD190" i="59"/>
  <c r="BE190" i="59"/>
  <c r="B191" i="59"/>
  <c r="C191" i="59"/>
  <c r="D191" i="59"/>
  <c r="D192" i="59" s="1"/>
  <c r="E191" i="59"/>
  <c r="AL191" i="59"/>
  <c r="AL192" i="59"/>
  <c r="AL194" i="59"/>
  <c r="BN194" i="59"/>
  <c r="BN211" i="59" s="1"/>
  <c r="E195" i="59"/>
  <c r="G195" i="59"/>
  <c r="K195" i="59"/>
  <c r="AA83" i="25" s="1"/>
  <c r="CD195" i="59"/>
  <c r="L195" i="59" s="1"/>
  <c r="CF195" i="59"/>
  <c r="CG195" i="59"/>
  <c r="CP9" i="23" s="1"/>
  <c r="N195" i="59"/>
  <c r="AL195" i="59"/>
  <c r="BB195" i="59"/>
  <c r="BC195" i="59"/>
  <c r="BD195" i="59"/>
  <c r="BE195" i="59"/>
  <c r="BG195" i="59"/>
  <c r="BH195" i="59"/>
  <c r="BI195" i="59"/>
  <c r="BL195" i="59"/>
  <c r="BM195" i="59"/>
  <c r="BN195" i="59"/>
  <c r="BO195" i="59"/>
  <c r="BQ195" i="59"/>
  <c r="B196" i="59"/>
  <c r="C196" i="59"/>
  <c r="D196" i="59"/>
  <c r="E196" i="59"/>
  <c r="F196" i="59"/>
  <c r="G196" i="59"/>
  <c r="K196" i="59"/>
  <c r="BZ196" i="59" s="1"/>
  <c r="L196" i="59"/>
  <c r="AB84" i="25" s="1"/>
  <c r="M196" i="59"/>
  <c r="AC84" i="25" s="1"/>
  <c r="N196" i="59"/>
  <c r="CP196" i="59"/>
  <c r="CQ196" i="59"/>
  <c r="CR196" i="59"/>
  <c r="AL196" i="59"/>
  <c r="AR196" i="59"/>
  <c r="AS196" i="59"/>
  <c r="AT196" i="59"/>
  <c r="AU196" i="59"/>
  <c r="AW196" i="59"/>
  <c r="AY196" i="59"/>
  <c r="AZ196" i="59"/>
  <c r="BB196" i="59"/>
  <c r="BC196" i="59"/>
  <c r="BD196" i="59"/>
  <c r="BE196" i="59"/>
  <c r="BG196" i="59"/>
  <c r="BH196" i="59"/>
  <c r="BI196" i="59"/>
  <c r="BJ196" i="59"/>
  <c r="BL196" i="59"/>
  <c r="BM196" i="59"/>
  <c r="BN196" i="59"/>
  <c r="BO196" i="59"/>
  <c r="BQ196" i="59"/>
  <c r="BR196" i="59"/>
  <c r="BS196" i="59"/>
  <c r="BT196" i="59"/>
  <c r="K197" i="59"/>
  <c r="BZ197" i="59" s="1"/>
  <c r="L197" i="59"/>
  <c r="CE197" i="59" s="1"/>
  <c r="M197" i="59"/>
  <c r="CJ197" i="59" s="1"/>
  <c r="N197" i="59"/>
  <c r="AL197" i="59"/>
  <c r="AW197" i="59"/>
  <c r="AX197" i="59"/>
  <c r="AY197" i="59"/>
  <c r="AZ197" i="59"/>
  <c r="BG197" i="59"/>
  <c r="BH197" i="59"/>
  <c r="BI197" i="59"/>
  <c r="BJ197" i="59"/>
  <c r="AL198" i="59"/>
  <c r="AL199" i="59"/>
  <c r="AL200" i="59"/>
  <c r="G242" i="59"/>
  <c r="H242" i="59"/>
  <c r="H220" i="59" s="1"/>
  <c r="BM242" i="59"/>
  <c r="BM220" i="59" s="1"/>
  <c r="BC242" i="59"/>
  <c r="BC220" i="59" s="1"/>
  <c r="BH242" i="59"/>
  <c r="BH220" i="59" s="1"/>
  <c r="BV221" i="59"/>
  <c r="BW221" i="59"/>
  <c r="BX221" i="59"/>
  <c r="CA221" i="59"/>
  <c r="CB221" i="59"/>
  <c r="CC221" i="59"/>
  <c r="CF221" i="59"/>
  <c r="CG221" i="59"/>
  <c r="CH221" i="59"/>
  <c r="CF222" i="59"/>
  <c r="CG222" i="59"/>
  <c r="CH222" i="59"/>
  <c r="CI222" i="59"/>
  <c r="BL227" i="59"/>
  <c r="BQ227" i="59"/>
  <c r="CK227" i="59"/>
  <c r="BE227" i="59"/>
  <c r="BJ227" i="59"/>
  <c r="BL248" i="59"/>
  <c r="BQ248" i="59"/>
  <c r="CP232" i="59"/>
  <c r="Q232" i="59" s="1"/>
  <c r="CT232" i="59" s="1"/>
  <c r="CK232" i="59"/>
  <c r="CQ232" i="59"/>
  <c r="CL232" i="59"/>
  <c r="CR232" i="59"/>
  <c r="CM232" i="59"/>
  <c r="CN232" i="59"/>
  <c r="BQ232" i="59"/>
  <c r="BR232" i="59"/>
  <c r="J232" i="59" s="1"/>
  <c r="BU232" i="59" s="1"/>
  <c r="BS232" i="59"/>
  <c r="BT232" i="59"/>
  <c r="BV232" i="59"/>
  <c r="BW232" i="59"/>
  <c r="K232" i="59" s="1"/>
  <c r="BZ232" i="59" s="1"/>
  <c r="BX232" i="59"/>
  <c r="BY232" i="59"/>
  <c r="CA232" i="59"/>
  <c r="CB232" i="59"/>
  <c r="L232" i="59" s="1"/>
  <c r="CE232" i="59" s="1"/>
  <c r="CC232" i="59"/>
  <c r="CD232" i="59"/>
  <c r="CF232" i="59"/>
  <c r="CG232" i="59"/>
  <c r="CH232" i="59"/>
  <c r="CI232" i="59"/>
  <c r="G233" i="59"/>
  <c r="H233" i="59"/>
  <c r="BL233" i="59"/>
  <c r="BM233" i="59"/>
  <c r="BN233" i="59"/>
  <c r="BO233" i="59"/>
  <c r="BV233" i="59"/>
  <c r="BW233" i="59"/>
  <c r="BX233" i="59"/>
  <c r="BY233" i="59"/>
  <c r="H234" i="59"/>
  <c r="BQ234" i="59"/>
  <c r="BR234" i="59"/>
  <c r="BL237" i="59"/>
  <c r="BL250" i="59" s="1"/>
  <c r="BL245" i="59"/>
  <c r="BQ255" i="59" s="1"/>
  <c r="BQ245" i="59"/>
  <c r="BQ250" i="59" s="1"/>
  <c r="K248" i="59"/>
  <c r="BM250" i="59"/>
  <c r="BN250" i="59"/>
  <c r="BR250" i="59"/>
  <c r="BS250" i="59"/>
  <c r="A253" i="59"/>
  <c r="BR253" i="59"/>
  <c r="BS253" i="59"/>
  <c r="BT253" i="59"/>
  <c r="BW253" i="59"/>
  <c r="BX253" i="59"/>
  <c r="BY253" i="59"/>
  <c r="CA253" i="59"/>
  <c r="CB253" i="59"/>
  <c r="CC253" i="59"/>
  <c r="CD253" i="59"/>
  <c r="CF253" i="59"/>
  <c r="CG253" i="59"/>
  <c r="CH253" i="59"/>
  <c r="CI253" i="59"/>
  <c r="CL253" i="59"/>
  <c r="CM253" i="59"/>
  <c r="CN253" i="59"/>
  <c r="A254" i="59"/>
  <c r="BR254" i="59"/>
  <c r="BS254" i="59"/>
  <c r="BT254" i="59"/>
  <c r="BW254" i="59"/>
  <c r="BX254" i="59"/>
  <c r="BY254" i="59"/>
  <c r="CA254" i="59"/>
  <c r="CB254" i="59"/>
  <c r="CC254" i="59"/>
  <c r="CD254" i="59"/>
  <c r="CF254" i="59"/>
  <c r="CG254" i="59"/>
  <c r="CH254" i="59"/>
  <c r="CI254" i="59"/>
  <c r="CK254" i="59"/>
  <c r="CL254" i="59"/>
  <c r="CM254" i="59"/>
  <c r="CN254" i="59"/>
  <c r="A255" i="59"/>
  <c r="BR255" i="59"/>
  <c r="BS255" i="59"/>
  <c r="BT255" i="59"/>
  <c r="BW255" i="59"/>
  <c r="BX255" i="59"/>
  <c r="BY255" i="59"/>
  <c r="CA255" i="59"/>
  <c r="CB255" i="59"/>
  <c r="CC255" i="59"/>
  <c r="CD255" i="59"/>
  <c r="CF255" i="59"/>
  <c r="CG255" i="59"/>
  <c r="CH255" i="59"/>
  <c r="CI255" i="59"/>
  <c r="CK255" i="59"/>
  <c r="CL255" i="59"/>
  <c r="CM255" i="59"/>
  <c r="CN255" i="59"/>
  <c r="BV307" i="59"/>
  <c r="BW307" i="59"/>
  <c r="BX307" i="59"/>
  <c r="BY307" i="59"/>
  <c r="CA307" i="59"/>
  <c r="CB307" i="59"/>
  <c r="CC307" i="59"/>
  <c r="CD307" i="59"/>
  <c r="CF307" i="59"/>
  <c r="CG307" i="59"/>
  <c r="CH307" i="59"/>
  <c r="CI307" i="59"/>
  <c r="CK307" i="59"/>
  <c r="CL307" i="59"/>
  <c r="CM307" i="59"/>
  <c r="CN307" i="59"/>
  <c r="BV308" i="59"/>
  <c r="BW308" i="59"/>
  <c r="BX308" i="59"/>
  <c r="BY308" i="59"/>
  <c r="CA308" i="59"/>
  <c r="CB308" i="59"/>
  <c r="CC308" i="59"/>
  <c r="CD308" i="59"/>
  <c r="CF308" i="59"/>
  <c r="CH308" i="59"/>
  <c r="CI308" i="59"/>
  <c r="CK308" i="59"/>
  <c r="CM308" i="59"/>
  <c r="CN308" i="59"/>
  <c r="BV309" i="59"/>
  <c r="BW309" i="59"/>
  <c r="BX309" i="59"/>
  <c r="BY309" i="59"/>
  <c r="CA309" i="59"/>
  <c r="CB309" i="59"/>
  <c r="CC309" i="59"/>
  <c r="CD309" i="59"/>
  <c r="CF309" i="59"/>
  <c r="CG309" i="59"/>
  <c r="CH309" i="59"/>
  <c r="CI309" i="59"/>
  <c r="CK309" i="59"/>
  <c r="CL309" i="59"/>
  <c r="CM309" i="59"/>
  <c r="CN309" i="59"/>
  <c r="BV313" i="59"/>
  <c r="BW313" i="59"/>
  <c r="CA313" i="59"/>
  <c r="CB313" i="59"/>
  <c r="CC313" i="59"/>
  <c r="CF313" i="59"/>
  <c r="CG313" i="59"/>
  <c r="CH313" i="59"/>
  <c r="BV314" i="59"/>
  <c r="BW314" i="59"/>
  <c r="BX314" i="59"/>
  <c r="BY314" i="59"/>
  <c r="CA314" i="59"/>
  <c r="CB314" i="59"/>
  <c r="CC314" i="59"/>
  <c r="CD314" i="59"/>
  <c r="CF314" i="59"/>
  <c r="CG314" i="59"/>
  <c r="CH314" i="59"/>
  <c r="CI314" i="59"/>
  <c r="CK314" i="59"/>
  <c r="CL314" i="59"/>
  <c r="CM314" i="59"/>
  <c r="CN314" i="59"/>
  <c r="CF315" i="59"/>
  <c r="CG315" i="59"/>
  <c r="CH315" i="59"/>
  <c r="CK315" i="59"/>
  <c r="CL315" i="59"/>
  <c r="CM315" i="59"/>
  <c r="CN315" i="59"/>
  <c r="CA321" i="59"/>
  <c r="CB321" i="59"/>
  <c r="CC321" i="59"/>
  <c r="CD321" i="59"/>
  <c r="CF321" i="59"/>
  <c r="CG321" i="59"/>
  <c r="CH321" i="59"/>
  <c r="CI321" i="59"/>
  <c r="CK321" i="59"/>
  <c r="CL321" i="59"/>
  <c r="CM321" i="59"/>
  <c r="CN321" i="59"/>
  <c r="CA322" i="59"/>
  <c r="CB322" i="59"/>
  <c r="CC322" i="59"/>
  <c r="CD322" i="59"/>
  <c r="CF322" i="59"/>
  <c r="CH322" i="59"/>
  <c r="CI322" i="59"/>
  <c r="CK322" i="59"/>
  <c r="CM322" i="59"/>
  <c r="CN322" i="59"/>
  <c r="CA323" i="59"/>
  <c r="CB323" i="59"/>
  <c r="CC323" i="59"/>
  <c r="CD323" i="59"/>
  <c r="CF323" i="59"/>
  <c r="CG323" i="59"/>
  <c r="CH323" i="59"/>
  <c r="CI323" i="59"/>
  <c r="CK323" i="59"/>
  <c r="CL323" i="59"/>
  <c r="CM323" i="59"/>
  <c r="CN323" i="59"/>
  <c r="CA327" i="59"/>
  <c r="CB327" i="59"/>
  <c r="CC327" i="59"/>
  <c r="CH327" i="59"/>
  <c r="CA328" i="59"/>
  <c r="CB328" i="59"/>
  <c r="CC328" i="59"/>
  <c r="CD328" i="59"/>
  <c r="CF328" i="59"/>
  <c r="CG328" i="59"/>
  <c r="CH328" i="59"/>
  <c r="CI328" i="59"/>
  <c r="CK328" i="59"/>
  <c r="CL328" i="59"/>
  <c r="CM328" i="59"/>
  <c r="CN328" i="59"/>
  <c r="CF329" i="59"/>
  <c r="CG329" i="59"/>
  <c r="CH329" i="59"/>
  <c r="CK329" i="59"/>
  <c r="CL329" i="59"/>
  <c r="CM329" i="59"/>
  <c r="CN329" i="59"/>
  <c r="A1" i="25"/>
  <c r="DD4" i="25"/>
  <c r="DI4" i="25"/>
  <c r="DD5" i="25"/>
  <c r="DE5" i="25"/>
  <c r="DF5" i="25"/>
  <c r="DG5" i="25"/>
  <c r="DI5" i="25"/>
  <c r="DJ5" i="25"/>
  <c r="DK5" i="25"/>
  <c r="DL5" i="25"/>
  <c r="C7" i="25"/>
  <c r="D7" i="25"/>
  <c r="E7" i="25"/>
  <c r="H7" i="25"/>
  <c r="L7" i="25"/>
  <c r="R7" i="25"/>
  <c r="S7" i="25"/>
  <c r="T7" i="25"/>
  <c r="M558" i="23" s="1"/>
  <c r="U7" i="25"/>
  <c r="Y7" i="25"/>
  <c r="Z7" i="25"/>
  <c r="AA7" i="25"/>
  <c r="AA8" i="25" s="1"/>
  <c r="AB7" i="25"/>
  <c r="AC7" i="25"/>
  <c r="BA7" i="25"/>
  <c r="BB7" i="25"/>
  <c r="BC7" i="25"/>
  <c r="BD7" i="25"/>
  <c r="BF7" i="25"/>
  <c r="BG7" i="25"/>
  <c r="BH7" i="25"/>
  <c r="BI7" i="25"/>
  <c r="BK7" i="25"/>
  <c r="BL7" i="25"/>
  <c r="BM7" i="25"/>
  <c r="BN7" i="25"/>
  <c r="BP7" i="25"/>
  <c r="BQ7" i="25"/>
  <c r="BR7" i="25"/>
  <c r="BS7" i="25"/>
  <c r="BU7" i="25"/>
  <c r="BV7" i="25"/>
  <c r="BW7" i="25"/>
  <c r="BX7" i="25"/>
  <c r="BZ7" i="25"/>
  <c r="CA7" i="25"/>
  <c r="CB7" i="25"/>
  <c r="CC7" i="25"/>
  <c r="CG7" i="25"/>
  <c r="CJ7" i="25"/>
  <c r="CK7" i="25"/>
  <c r="CL7" i="25"/>
  <c r="CM7" i="25"/>
  <c r="CO7" i="25"/>
  <c r="CO8" i="25" s="1"/>
  <c r="CP7" i="25"/>
  <c r="CQ7" i="25"/>
  <c r="CR7" i="25"/>
  <c r="CT7" i="25"/>
  <c r="CU7" i="25"/>
  <c r="CV7" i="25"/>
  <c r="CW7" i="25"/>
  <c r="CY7" i="25"/>
  <c r="CY8" i="25" s="1"/>
  <c r="CZ7" i="25"/>
  <c r="DA7" i="25"/>
  <c r="DB7" i="25"/>
  <c r="DB8" i="25" s="1"/>
  <c r="DD7" i="25"/>
  <c r="DE7" i="25"/>
  <c r="DE8" i="25" s="1"/>
  <c r="DF7" i="25"/>
  <c r="DF8" i="25" s="1"/>
  <c r="DG7" i="25"/>
  <c r="DI7" i="25"/>
  <c r="DJ7" i="25"/>
  <c r="DK7" i="25"/>
  <c r="DK8" i="25" s="1"/>
  <c r="DL7" i="25"/>
  <c r="DL8" i="25" s="1"/>
  <c r="C9" i="25"/>
  <c r="C10" i="25" s="1"/>
  <c r="D9" i="25"/>
  <c r="E9" i="25"/>
  <c r="F9" i="25"/>
  <c r="H9" i="25"/>
  <c r="M9" i="25"/>
  <c r="R9" i="25"/>
  <c r="S9" i="25"/>
  <c r="T9" i="25"/>
  <c r="U9" i="25"/>
  <c r="X9" i="25" s="1"/>
  <c r="Y9" i="25"/>
  <c r="Z9" i="25"/>
  <c r="BA9" i="25"/>
  <c r="BB9" i="25"/>
  <c r="BC9" i="25"/>
  <c r="BC10" i="25" s="1"/>
  <c r="BD9" i="25"/>
  <c r="BF9" i="25"/>
  <c r="BF10" i="25" s="1"/>
  <c r="BG9" i="25"/>
  <c r="BH9" i="25"/>
  <c r="BH10" i="25" s="1"/>
  <c r="BK9" i="25"/>
  <c r="BK10" i="25" s="1"/>
  <c r="BL9" i="25"/>
  <c r="BM9" i="25"/>
  <c r="BN9" i="25"/>
  <c r="BP9" i="25"/>
  <c r="BQ9" i="25"/>
  <c r="BR9" i="25"/>
  <c r="BS9" i="25"/>
  <c r="BU9" i="25"/>
  <c r="BV9" i="25"/>
  <c r="BW9" i="25"/>
  <c r="BX9" i="25"/>
  <c r="BX10" i="25" s="1"/>
  <c r="BZ9" i="25"/>
  <c r="BZ10" i="25" s="1"/>
  <c r="CA9" i="25"/>
  <c r="CB9" i="25"/>
  <c r="CC9" i="25"/>
  <c r="CF9" i="25"/>
  <c r="CG9" i="25"/>
  <c r="CG10" i="25" s="1"/>
  <c r="CJ9" i="25"/>
  <c r="CK9" i="25"/>
  <c r="CL9" i="25"/>
  <c r="CM9" i="25"/>
  <c r="CM10" i="25" s="1"/>
  <c r="CO9" i="25"/>
  <c r="CP9" i="25"/>
  <c r="CQ9" i="25"/>
  <c r="CR9" i="25"/>
  <c r="CT9" i="25"/>
  <c r="CU9" i="25"/>
  <c r="CV9" i="25"/>
  <c r="CW9" i="25"/>
  <c r="CY9" i="25"/>
  <c r="CZ9" i="25"/>
  <c r="DA9" i="25"/>
  <c r="DB9" i="25"/>
  <c r="DD9" i="25"/>
  <c r="DE9" i="25"/>
  <c r="DF9" i="25"/>
  <c r="DG9" i="25"/>
  <c r="DG10" i="25" s="1"/>
  <c r="DI9" i="25"/>
  <c r="DJ9" i="25"/>
  <c r="DK9" i="25"/>
  <c r="DL9" i="25"/>
  <c r="C21" i="25"/>
  <c r="D21" i="25"/>
  <c r="D22" i="25" s="1"/>
  <c r="E21" i="25"/>
  <c r="G21" i="25"/>
  <c r="H21" i="25"/>
  <c r="M21" i="25"/>
  <c r="M22" i="25" s="1"/>
  <c r="R21" i="25"/>
  <c r="S21" i="25"/>
  <c r="T21" i="25"/>
  <c r="U21" i="25"/>
  <c r="U22" i="25" s="1"/>
  <c r="Y21" i="25"/>
  <c r="Z21" i="25"/>
  <c r="AA21" i="25"/>
  <c r="AB21" i="25"/>
  <c r="AC21" i="25"/>
  <c r="BA21" i="25"/>
  <c r="BB21" i="25"/>
  <c r="BC21" i="25"/>
  <c r="BD21" i="25"/>
  <c r="BF21" i="25"/>
  <c r="BG21" i="25"/>
  <c r="BH21" i="25"/>
  <c r="BI21" i="25"/>
  <c r="BK21" i="25"/>
  <c r="BL21" i="25"/>
  <c r="BM21" i="25"/>
  <c r="BN21" i="25"/>
  <c r="BP21" i="25"/>
  <c r="BQ21" i="25"/>
  <c r="BR21" i="25"/>
  <c r="BS21" i="25"/>
  <c r="BU21" i="25"/>
  <c r="BV21" i="25"/>
  <c r="BW21" i="25"/>
  <c r="BX21" i="25"/>
  <c r="BZ21" i="25"/>
  <c r="CA21" i="25"/>
  <c r="CB21" i="25"/>
  <c r="CC21" i="25"/>
  <c r="CE21" i="25"/>
  <c r="CH21" i="25"/>
  <c r="CJ21" i="25"/>
  <c r="CK21" i="25"/>
  <c r="CL21" i="25"/>
  <c r="CM21" i="25"/>
  <c r="CO21" i="25"/>
  <c r="CO22" i="25" s="1"/>
  <c r="CP21" i="25"/>
  <c r="CQ21" i="25"/>
  <c r="CR21" i="25"/>
  <c r="CT21" i="25"/>
  <c r="CU21" i="25"/>
  <c r="CV21" i="25"/>
  <c r="CW21" i="25"/>
  <c r="CY21" i="25"/>
  <c r="CZ21" i="25"/>
  <c r="DA21" i="25"/>
  <c r="DB21" i="25"/>
  <c r="DD21" i="25"/>
  <c r="DE21" i="25"/>
  <c r="DE22" i="25" s="1"/>
  <c r="DF21" i="25"/>
  <c r="DG21" i="25"/>
  <c r="DG22" i="25"/>
  <c r="C23" i="25"/>
  <c r="D23" i="25"/>
  <c r="E23" i="25"/>
  <c r="F23" i="25"/>
  <c r="G23" i="25"/>
  <c r="H23" i="25"/>
  <c r="L23" i="25"/>
  <c r="L24" i="25" s="1"/>
  <c r="M23" i="25"/>
  <c r="M24" i="25" s="1"/>
  <c r="R23" i="25"/>
  <c r="S23" i="25"/>
  <c r="T23" i="25"/>
  <c r="U23" i="25"/>
  <c r="Y23" i="25"/>
  <c r="Z23" i="25"/>
  <c r="AA23" i="25"/>
  <c r="AA24" i="25" s="1"/>
  <c r="AB23" i="25"/>
  <c r="AC23" i="25"/>
  <c r="BA23" i="25"/>
  <c r="BB23" i="25"/>
  <c r="BB24" i="25" s="1"/>
  <c r="BC23" i="25"/>
  <c r="BC24" i="25" s="1"/>
  <c r="BD23" i="25"/>
  <c r="BF23" i="25"/>
  <c r="BH23" i="25"/>
  <c r="BH24" i="25" s="1"/>
  <c r="BK23" i="25"/>
  <c r="BL23" i="25"/>
  <c r="BM23" i="25"/>
  <c r="BN23" i="25"/>
  <c r="BN24" i="25" s="1"/>
  <c r="BP23" i="25"/>
  <c r="BQ23" i="25"/>
  <c r="BR23" i="25"/>
  <c r="BS23" i="25"/>
  <c r="BU23" i="25"/>
  <c r="BV23" i="25"/>
  <c r="BW23" i="25"/>
  <c r="BX23" i="25"/>
  <c r="BX24" i="25" s="1"/>
  <c r="BZ23" i="25"/>
  <c r="CA23" i="25"/>
  <c r="CA24" i="25" s="1"/>
  <c r="CB23" i="25"/>
  <c r="CC23" i="25"/>
  <c r="CF23" i="25"/>
  <c r="CJ23" i="25"/>
  <c r="CK23" i="25"/>
  <c r="CL23" i="25"/>
  <c r="CM23" i="25"/>
  <c r="CO23" i="25"/>
  <c r="CO24" i="25" s="1"/>
  <c r="CP23" i="25"/>
  <c r="CQ23" i="25"/>
  <c r="CR23" i="25"/>
  <c r="CT23" i="25"/>
  <c r="CT24" i="25" s="1"/>
  <c r="CU23" i="25"/>
  <c r="CV23" i="25"/>
  <c r="CW23" i="25"/>
  <c r="CW24" i="25" s="1"/>
  <c r="CY23" i="25"/>
  <c r="CZ23" i="25"/>
  <c r="DA23" i="25"/>
  <c r="DB23" i="25"/>
  <c r="DB24" i="25" s="1"/>
  <c r="DD23" i="25"/>
  <c r="DE23" i="25"/>
  <c r="DF23" i="25"/>
  <c r="DG23" i="25"/>
  <c r="DG24" i="25" s="1"/>
  <c r="DI23" i="25"/>
  <c r="DJ23" i="25"/>
  <c r="DK23" i="25"/>
  <c r="DL23" i="25"/>
  <c r="D35" i="25"/>
  <c r="E35" i="25"/>
  <c r="F35" i="25"/>
  <c r="G35" i="25"/>
  <c r="I35" i="25"/>
  <c r="O35" i="25"/>
  <c r="P35" i="25"/>
  <c r="Q35" i="25"/>
  <c r="R35" i="25"/>
  <c r="K557" i="23" s="1"/>
  <c r="K507" i="23" s="1"/>
  <c r="T35" i="25"/>
  <c r="BA35" i="25"/>
  <c r="BB35" i="25"/>
  <c r="BC35" i="25"/>
  <c r="BD35" i="25"/>
  <c r="BF35" i="25"/>
  <c r="BG35" i="25"/>
  <c r="BH35" i="25"/>
  <c r="BH77" i="25" s="1"/>
  <c r="BI35" i="25"/>
  <c r="BK35" i="25"/>
  <c r="BL35" i="25"/>
  <c r="BM35" i="25"/>
  <c r="BN35" i="25"/>
  <c r="BP35" i="25"/>
  <c r="BQ35" i="25"/>
  <c r="BR35" i="25"/>
  <c r="BS35" i="25"/>
  <c r="BU35" i="25"/>
  <c r="BV35" i="25"/>
  <c r="BW35" i="25"/>
  <c r="BX35" i="25"/>
  <c r="BZ35" i="25"/>
  <c r="CA35" i="25"/>
  <c r="CB35" i="25"/>
  <c r="CC35" i="25"/>
  <c r="CE35" i="25"/>
  <c r="CF35" i="25"/>
  <c r="CG35" i="25"/>
  <c r="CH35" i="25"/>
  <c r="CL35" i="25"/>
  <c r="CM35" i="25"/>
  <c r="CO35" i="25"/>
  <c r="CP35" i="25"/>
  <c r="CQ35" i="25"/>
  <c r="CR35" i="25"/>
  <c r="CT35" i="25"/>
  <c r="CT36" i="25" s="1"/>
  <c r="CU35" i="25"/>
  <c r="CV35" i="25"/>
  <c r="CV36" i="25" s="1"/>
  <c r="CW35" i="25"/>
  <c r="D37" i="25"/>
  <c r="F37" i="25"/>
  <c r="H37" i="25"/>
  <c r="R37" i="25"/>
  <c r="S37" i="25"/>
  <c r="T37" i="25"/>
  <c r="BA37" i="25"/>
  <c r="BB37" i="25"/>
  <c r="BC37" i="25"/>
  <c r="BC82" i="25" s="1"/>
  <c r="BD37" i="25"/>
  <c r="BF37" i="25"/>
  <c r="BG37" i="25"/>
  <c r="BH37" i="25"/>
  <c r="BH82" i="25" s="1"/>
  <c r="BI37" i="25"/>
  <c r="BK37" i="25"/>
  <c r="BL37" i="25"/>
  <c r="BL38" i="25" s="1"/>
  <c r="BM37" i="25"/>
  <c r="BN37" i="25"/>
  <c r="BN38" i="25" s="1"/>
  <c r="BP37" i="25"/>
  <c r="BQ37" i="25"/>
  <c r="BQ38" i="25" s="1"/>
  <c r="BR37" i="25"/>
  <c r="BS37" i="25"/>
  <c r="BS82" i="25" s="1"/>
  <c r="BU37" i="25"/>
  <c r="BU82" i="25" s="1"/>
  <c r="BV37" i="25"/>
  <c r="BV38" i="25" s="1"/>
  <c r="BW37" i="25"/>
  <c r="BX37" i="25"/>
  <c r="BZ37" i="25"/>
  <c r="CA37" i="25"/>
  <c r="CA38" i="25" s="1"/>
  <c r="CB37" i="25"/>
  <c r="CC37" i="25"/>
  <c r="CE37" i="25"/>
  <c r="CF37" i="25"/>
  <c r="CF38" i="25" s="1"/>
  <c r="CG37" i="25"/>
  <c r="CJ37" i="25"/>
  <c r="CK37" i="25"/>
  <c r="CO37" i="25"/>
  <c r="CP37" i="25"/>
  <c r="CQ37" i="25"/>
  <c r="CQ38" i="25" s="1"/>
  <c r="CR37" i="25"/>
  <c r="CR38" i="25" s="1"/>
  <c r="CT37" i="25"/>
  <c r="CT38" i="25" s="1"/>
  <c r="CU37" i="25"/>
  <c r="CV37" i="25"/>
  <c r="CW37" i="25"/>
  <c r="BM40" i="25"/>
  <c r="BM42" i="25" s="1"/>
  <c r="BQ40" i="25"/>
  <c r="O44" i="25"/>
  <c r="P44" i="25"/>
  <c r="P46" i="25" s="1"/>
  <c r="Q44" i="25"/>
  <c r="BP44" i="25"/>
  <c r="BP46" i="25" s="1"/>
  <c r="R49" i="25"/>
  <c r="S49" i="25"/>
  <c r="T49" i="25"/>
  <c r="DA49" i="25"/>
  <c r="DB49" i="25"/>
  <c r="DB50" i="25" s="1"/>
  <c r="DD49" i="25"/>
  <c r="DD50" i="25" s="1"/>
  <c r="DE49" i="25"/>
  <c r="DE50" i="25"/>
  <c r="DF49" i="25"/>
  <c r="CY50" i="25"/>
  <c r="CZ50" i="25"/>
  <c r="R51" i="25"/>
  <c r="S51" i="25"/>
  <c r="T51" i="25"/>
  <c r="AD169" i="30"/>
  <c r="DA51" i="25"/>
  <c r="DA52" i="25" s="1"/>
  <c r="DB51" i="25"/>
  <c r="DB52" i="25" s="1"/>
  <c r="DD51" i="25"/>
  <c r="DN169" i="30" s="1"/>
  <c r="DE51" i="25"/>
  <c r="DF51" i="25"/>
  <c r="DP169" i="30" s="1"/>
  <c r="CT52" i="25"/>
  <c r="CU52" i="25"/>
  <c r="CV52" i="25"/>
  <c r="CW52" i="25"/>
  <c r="CY52" i="25"/>
  <c r="CZ52" i="25"/>
  <c r="CY53" i="25"/>
  <c r="CZ53" i="25"/>
  <c r="DJ197" i="30"/>
  <c r="AB53" i="25"/>
  <c r="CT53" i="25"/>
  <c r="CU53" i="25"/>
  <c r="CV53" i="25"/>
  <c r="CW53" i="25"/>
  <c r="R54" i="25"/>
  <c r="S54" i="25"/>
  <c r="T58" i="25"/>
  <c r="T57" i="25"/>
  <c r="CY54" i="25"/>
  <c r="DI176" i="30" s="1"/>
  <c r="CZ54" i="25"/>
  <c r="CZ56" i="25"/>
  <c r="CT54" i="25"/>
  <c r="DD176" i="30" s="1"/>
  <c r="CU54" i="25"/>
  <c r="CV54" i="25"/>
  <c r="DF176" i="30"/>
  <c r="CW54" i="25"/>
  <c r="CW56" i="25"/>
  <c r="CT56" i="25"/>
  <c r="R57" i="25"/>
  <c r="S57" i="25"/>
  <c r="Z57" i="25"/>
  <c r="AG179" i="30" s="1"/>
  <c r="AG207" i="30" s="1"/>
  <c r="R58" i="25"/>
  <c r="S58" i="25"/>
  <c r="CY59" i="25"/>
  <c r="CZ59" i="25"/>
  <c r="CT60" i="25"/>
  <c r="CU60" i="25"/>
  <c r="CV60" i="25"/>
  <c r="CW60" i="25"/>
  <c r="CY60" i="25"/>
  <c r="CZ60" i="25"/>
  <c r="O64" i="25"/>
  <c r="P64" i="25"/>
  <c r="Q64" i="25"/>
  <c r="J559" i="23" s="1"/>
  <c r="R64" i="25"/>
  <c r="CE64" i="25"/>
  <c r="CF64" i="25"/>
  <c r="CG64" i="25"/>
  <c r="CH64" i="25"/>
  <c r="CL64" i="25"/>
  <c r="CM64" i="25"/>
  <c r="CO64" i="25"/>
  <c r="CP64" i="25"/>
  <c r="CQ64" i="25"/>
  <c r="CR64" i="25"/>
  <c r="CT64" i="25"/>
  <c r="CU64" i="25"/>
  <c r="CV64" i="25"/>
  <c r="CW64" i="25"/>
  <c r="CW77" i="25" s="1"/>
  <c r="BE187" i="59" s="1"/>
  <c r="CY64" i="25"/>
  <c r="CZ64" i="25"/>
  <c r="DA64" i="25"/>
  <c r="DB64" i="25"/>
  <c r="DD64" i="25"/>
  <c r="DE64" i="25"/>
  <c r="DF64" i="25"/>
  <c r="DF65" i="25" s="1"/>
  <c r="DG64" i="25"/>
  <c r="DI64" i="25"/>
  <c r="DI65" i="25" s="1"/>
  <c r="DJ64" i="25"/>
  <c r="DJ65" i="25" s="1"/>
  <c r="DK64" i="25"/>
  <c r="DK65" i="25" s="1"/>
  <c r="DL64" i="25"/>
  <c r="K66" i="25"/>
  <c r="L66" i="25"/>
  <c r="N66" i="25"/>
  <c r="R66" i="25"/>
  <c r="S66" i="25"/>
  <c r="S82" i="25" s="1"/>
  <c r="F194" i="59" s="1"/>
  <c r="T66" i="25"/>
  <c r="W66" i="25" s="1"/>
  <c r="CE66" i="25"/>
  <c r="CF66" i="25"/>
  <c r="CG66" i="25"/>
  <c r="CH66" i="25"/>
  <c r="CJ66" i="25"/>
  <c r="CK66" i="25"/>
  <c r="CL66" i="25"/>
  <c r="CM66" i="25"/>
  <c r="CM67" i="25" s="1"/>
  <c r="CO66" i="25"/>
  <c r="CP66" i="25"/>
  <c r="CQ66" i="25"/>
  <c r="CT66" i="25"/>
  <c r="CU66" i="25"/>
  <c r="CV66" i="25"/>
  <c r="CW66" i="25"/>
  <c r="CY66" i="25"/>
  <c r="CY67" i="25" s="1"/>
  <c r="CZ66" i="25"/>
  <c r="DA66" i="25"/>
  <c r="DB66" i="25"/>
  <c r="DD66" i="25"/>
  <c r="DD67" i="25" s="1"/>
  <c r="DE66" i="25"/>
  <c r="DI66" i="25"/>
  <c r="DJ66" i="25"/>
  <c r="DK66" i="25"/>
  <c r="DL66" i="25"/>
  <c r="DL67" i="25" s="1"/>
  <c r="O73" i="25"/>
  <c r="P73" i="25"/>
  <c r="Q73" i="25"/>
  <c r="S78" i="25"/>
  <c r="CS78" i="25" s="1"/>
  <c r="T78" i="25"/>
  <c r="CY78" i="25"/>
  <c r="CZ78" i="25"/>
  <c r="DA78" i="25"/>
  <c r="DB78" i="25"/>
  <c r="X78" i="25"/>
  <c r="P80" i="25"/>
  <c r="Q80" i="25"/>
  <c r="R80" i="25"/>
  <c r="S80" i="25"/>
  <c r="T80" i="25"/>
  <c r="U80" i="25"/>
  <c r="S83" i="25"/>
  <c r="F6" i="53"/>
  <c r="DB83" i="25"/>
  <c r="U83" i="25" s="1"/>
  <c r="W83" i="25"/>
  <c r="Y83" i="25"/>
  <c r="I195" i="59" s="1"/>
  <c r="Z83" i="25"/>
  <c r="J195" i="59"/>
  <c r="CE83" i="25"/>
  <c r="AM195" i="59" s="1"/>
  <c r="CF83" i="25"/>
  <c r="AN195" i="59"/>
  <c r="CG83" i="25"/>
  <c r="AO195" i="59" s="1"/>
  <c r="CJ83" i="25"/>
  <c r="AR195" i="59"/>
  <c r="CK83" i="25"/>
  <c r="AS195" i="59"/>
  <c r="CL83" i="25"/>
  <c r="AT195" i="59" s="1"/>
  <c r="CM83" i="25"/>
  <c r="AU195" i="59"/>
  <c r="CO83" i="25"/>
  <c r="AW195" i="59" s="1"/>
  <c r="CP83" i="25"/>
  <c r="CQ83" i="25"/>
  <c r="AY195" i="59" s="1"/>
  <c r="CR83" i="25"/>
  <c r="CX83" i="25"/>
  <c r="U84" i="25"/>
  <c r="DC84" i="25" s="1"/>
  <c r="W84" i="25"/>
  <c r="Y84" i="25"/>
  <c r="DH84" i="25"/>
  <c r="Z84" i="25"/>
  <c r="CE84" i="25"/>
  <c r="AM196" i="59" s="1"/>
  <c r="CF84" i="25"/>
  <c r="AN196" i="59" s="1"/>
  <c r="CG84" i="25"/>
  <c r="AO196" i="59" s="1"/>
  <c r="CH84" i="25"/>
  <c r="CP84" i="25"/>
  <c r="AX196" i="59" s="1"/>
  <c r="CX84" i="25"/>
  <c r="O94" i="25"/>
  <c r="P94" i="25"/>
  <c r="Q94" i="25"/>
  <c r="R94" i="25"/>
  <c r="R95" i="25" s="1"/>
  <c r="S94" i="25"/>
  <c r="U85" i="25"/>
  <c r="O96" i="25"/>
  <c r="O97" i="25" s="1"/>
  <c r="P96" i="25"/>
  <c r="Q96" i="25"/>
  <c r="R96" i="25"/>
  <c r="R97" i="25" s="1"/>
  <c r="S96" i="25"/>
  <c r="S97" i="25" s="1"/>
  <c r="T96" i="25"/>
  <c r="U96" i="25"/>
  <c r="X96" i="25" s="1"/>
  <c r="C9" i="56"/>
  <c r="D9" i="56"/>
  <c r="E9" i="56"/>
  <c r="F9" i="56"/>
  <c r="G9" i="56"/>
  <c r="H9" i="56"/>
  <c r="I9" i="56"/>
  <c r="J9" i="56"/>
  <c r="K9" i="56"/>
  <c r="D51" i="62" s="1"/>
  <c r="N51" i="62" s="1"/>
  <c r="L9" i="56"/>
  <c r="E51" i="62" s="1"/>
  <c r="O51" i="62" s="1"/>
  <c r="C12" i="56"/>
  <c r="D12" i="56"/>
  <c r="E12" i="56"/>
  <c r="F12" i="56"/>
  <c r="G12" i="56"/>
  <c r="I12" i="56"/>
  <c r="M12" i="56"/>
  <c r="F15" i="56"/>
  <c r="G15" i="56"/>
  <c r="H15" i="56"/>
  <c r="C29" i="56"/>
  <c r="D29" i="56"/>
  <c r="E29" i="56"/>
  <c r="F29" i="56"/>
  <c r="J29" i="56"/>
  <c r="K29" i="56"/>
  <c r="F30" i="56"/>
  <c r="G30" i="56"/>
  <c r="H30" i="56"/>
  <c r="I30" i="56"/>
  <c r="I34" i="56" s="1"/>
  <c r="H5" i="23"/>
  <c r="I5" i="23"/>
  <c r="J5" i="23"/>
  <c r="K5" i="23"/>
  <c r="L5" i="23"/>
  <c r="M5" i="23"/>
  <c r="M473" i="23" s="1"/>
  <c r="N5" i="23"/>
  <c r="AU5" i="23"/>
  <c r="AU6" i="23"/>
  <c r="BA6" i="23"/>
  <c r="BB6" i="23"/>
  <c r="BC6" i="23"/>
  <c r="BD6" i="23"/>
  <c r="K15" i="23"/>
  <c r="K9" i="23"/>
  <c r="M9" i="23"/>
  <c r="P9" i="23" s="1"/>
  <c r="P12" i="23"/>
  <c r="Q12" i="23"/>
  <c r="BW12" i="23"/>
  <c r="T12" i="23"/>
  <c r="K49" i="53" s="1"/>
  <c r="U12" i="23"/>
  <c r="U71" i="23"/>
  <c r="V12" i="23"/>
  <c r="V71" i="23" s="1"/>
  <c r="CU12" i="23"/>
  <c r="CV12" i="23"/>
  <c r="AU7" i="23"/>
  <c r="AV10" i="23"/>
  <c r="AV13" i="23"/>
  <c r="AV9" i="23"/>
  <c r="AW10" i="23"/>
  <c r="AW13" i="23" s="1"/>
  <c r="AW17" i="23" s="1"/>
  <c r="AW9" i="23"/>
  <c r="AX10" i="23"/>
  <c r="AX13" i="23" s="1"/>
  <c r="AX17" i="23" s="1"/>
  <c r="AX9" i="23"/>
  <c r="AY10" i="23"/>
  <c r="AY13" i="23" s="1"/>
  <c r="AY9" i="23"/>
  <c r="BA10" i="23"/>
  <c r="BA13" i="23" s="1"/>
  <c r="BA17" i="23" s="1"/>
  <c r="BA9" i="23"/>
  <c r="BB10" i="23"/>
  <c r="BB13" i="23" s="1"/>
  <c r="BB9" i="23"/>
  <c r="BC10" i="23"/>
  <c r="BC13" i="23"/>
  <c r="BC9" i="23"/>
  <c r="BD10" i="23"/>
  <c r="BD13" i="23"/>
  <c r="BD9" i="23"/>
  <c r="BK9" i="23"/>
  <c r="BL9" i="23"/>
  <c r="BM12" i="23"/>
  <c r="BN12" i="23"/>
  <c r="BN71" i="23" s="1"/>
  <c r="BN73" i="23" s="1"/>
  <c r="BM9" i="23"/>
  <c r="BN9" i="23"/>
  <c r="BP9" i="23"/>
  <c r="BQ9" i="23"/>
  <c r="BR12" i="23"/>
  <c r="BT12" i="23"/>
  <c r="BR9" i="23"/>
  <c r="BU9" i="23"/>
  <c r="BV9" i="23"/>
  <c r="BW9" i="23"/>
  <c r="BX9" i="23"/>
  <c r="BZ9" i="23"/>
  <c r="CA12" i="23"/>
  <c r="CB12" i="23"/>
  <c r="CA9" i="23"/>
  <c r="CB9" i="23"/>
  <c r="CC9" i="23"/>
  <c r="CE9" i="23"/>
  <c r="CF12" i="23"/>
  <c r="CF9" i="23"/>
  <c r="CG9" i="23"/>
  <c r="CH9" i="23"/>
  <c r="CJ9" i="23"/>
  <c r="CK12" i="23"/>
  <c r="CK9" i="23"/>
  <c r="CL9" i="23"/>
  <c r="CP12" i="23"/>
  <c r="CQ12" i="23" s="1"/>
  <c r="CQ9" i="23"/>
  <c r="CR9" i="23"/>
  <c r="CT9" i="23"/>
  <c r="CU9" i="23"/>
  <c r="CV9" i="23"/>
  <c r="CW9" i="23"/>
  <c r="CY9" i="23"/>
  <c r="DA9" i="23"/>
  <c r="DB9" i="23"/>
  <c r="AU8" i="23"/>
  <c r="AU9" i="23"/>
  <c r="W12" i="23"/>
  <c r="AU10" i="23"/>
  <c r="AU11" i="23"/>
  <c r="AU12" i="23"/>
  <c r="BI12" i="23"/>
  <c r="BJ12" i="23"/>
  <c r="AU13" i="23"/>
  <c r="AU14" i="23"/>
  <c r="M15" i="23"/>
  <c r="Q15" i="23"/>
  <c r="BQ15" i="23"/>
  <c r="BQ62" i="23" s="1"/>
  <c r="BR15" i="23"/>
  <c r="BS15" i="23"/>
  <c r="P15" i="23"/>
  <c r="BV15" i="23"/>
  <c r="R15" i="23" s="1"/>
  <c r="BX15" i="23"/>
  <c r="BX62" i="23" s="1"/>
  <c r="S15" i="23"/>
  <c r="CD15" i="23"/>
  <c r="W15" i="23"/>
  <c r="Y15" i="23" s="1"/>
  <c r="X15" i="23"/>
  <c r="Z15" i="23"/>
  <c r="AU15" i="23"/>
  <c r="BC15" i="23"/>
  <c r="BD15" i="23"/>
  <c r="BJ15" i="23"/>
  <c r="CI15" i="23"/>
  <c r="K16" i="23"/>
  <c r="L16" i="23"/>
  <c r="BJ16" i="23"/>
  <c r="N16" i="23"/>
  <c r="Q16" i="23" s="1"/>
  <c r="P16" i="23"/>
  <c r="R16" i="23"/>
  <c r="U16" i="23"/>
  <c r="W16" i="23"/>
  <c r="CX16" i="23" s="1"/>
  <c r="X16" i="23"/>
  <c r="Z16" i="23"/>
  <c r="DC16" i="23" s="1"/>
  <c r="AU16" i="23"/>
  <c r="BY16" i="23"/>
  <c r="CD16" i="23"/>
  <c r="CI16" i="23"/>
  <c r="AU17" i="23"/>
  <c r="AU18" i="23"/>
  <c r="AU20" i="23"/>
  <c r="AU21" i="23"/>
  <c r="AU22" i="23"/>
  <c r="AU23" i="23"/>
  <c r="AU24" i="23"/>
  <c r="H28" i="23"/>
  <c r="H27" i="23" s="1"/>
  <c r="I31" i="23"/>
  <c r="I27" i="23"/>
  <c r="J31" i="23"/>
  <c r="J27" i="23" s="1"/>
  <c r="J418" i="23" s="1"/>
  <c r="K31" i="23"/>
  <c r="K27" i="23" s="1"/>
  <c r="L31" i="23"/>
  <c r="L27" i="23"/>
  <c r="M31" i="23"/>
  <c r="BP27" i="23"/>
  <c r="BP31" i="23" s="1"/>
  <c r="BQ27" i="23"/>
  <c r="BQ31" i="23"/>
  <c r="BR27" i="23"/>
  <c r="BR31" i="23" s="1"/>
  <c r="BS26" i="23"/>
  <c r="BS30" i="23"/>
  <c r="R28" i="23"/>
  <c r="R29" i="23" s="1"/>
  <c r="BZ27" i="23"/>
  <c r="BZ31" i="23"/>
  <c r="CA27" i="23"/>
  <c r="CA31" i="23" s="1"/>
  <c r="CB27" i="23"/>
  <c r="CB31" i="23"/>
  <c r="CC27" i="23"/>
  <c r="CC31" i="23" s="1"/>
  <c r="S28" i="23"/>
  <c r="CD28" i="23"/>
  <c r="T25" i="23"/>
  <c r="CI25" i="23" s="1"/>
  <c r="U25" i="23"/>
  <c r="CN25" i="23"/>
  <c r="V25" i="23"/>
  <c r="X25" i="23" s="1"/>
  <c r="W25" i="23"/>
  <c r="CT27" i="23"/>
  <c r="CV27" i="23"/>
  <c r="W422" i="23"/>
  <c r="Z422" i="23"/>
  <c r="Z321" i="23"/>
  <c r="L423" i="23"/>
  <c r="Z322" i="23"/>
  <c r="AA322" i="23"/>
  <c r="AC322" i="23"/>
  <c r="AD322" i="23" s="1"/>
  <c r="AE322" i="23" s="1"/>
  <c r="AF322" i="23" s="1"/>
  <c r="AG322" i="23" s="1"/>
  <c r="AH322" i="23" s="1"/>
  <c r="AI322" i="23" s="1"/>
  <c r="AJ322" i="23" s="1"/>
  <c r="AK322" i="23" s="1"/>
  <c r="AL322" i="23" s="1"/>
  <c r="AM322" i="23" s="1"/>
  <c r="L424" i="23"/>
  <c r="M424" i="23" s="1"/>
  <c r="Z323" i="23"/>
  <c r="AA323" i="23" s="1"/>
  <c r="L425" i="23"/>
  <c r="M425" i="23" s="1"/>
  <c r="Z324" i="23"/>
  <c r="AA324" i="23" s="1"/>
  <c r="AC324" i="23" s="1"/>
  <c r="AD324" i="23" s="1"/>
  <c r="AE324" i="23" s="1"/>
  <c r="AF324" i="23" s="1"/>
  <c r="AG324" i="23" s="1"/>
  <c r="AH324" i="23" s="1"/>
  <c r="AI324" i="23" s="1"/>
  <c r="AJ324" i="23" s="1"/>
  <c r="AK324" i="23" s="1"/>
  <c r="AL324" i="23" s="1"/>
  <c r="AM324" i="23" s="1"/>
  <c r="L426" i="23"/>
  <c r="M426" i="23" s="1"/>
  <c r="L427" i="23"/>
  <c r="M427" i="23" s="1"/>
  <c r="L428" i="23"/>
  <c r="M428" i="23" s="1"/>
  <c r="L429" i="23"/>
  <c r="M429" i="23" s="1"/>
  <c r="N429" i="23" s="1"/>
  <c r="L430" i="23"/>
  <c r="L431" i="23"/>
  <c r="M431" i="23" s="1"/>
  <c r="L432" i="23"/>
  <c r="L385" i="23" s="1"/>
  <c r="S433" i="23"/>
  <c r="T433" i="23" s="1"/>
  <c r="L434" i="23"/>
  <c r="M434" i="23" s="1"/>
  <c r="Z333" i="23"/>
  <c r="AA333" i="23" s="1"/>
  <c r="AC333" i="23" s="1"/>
  <c r="S435" i="23"/>
  <c r="T435" i="23" s="1"/>
  <c r="U435" i="23" s="1"/>
  <c r="Z334" i="23"/>
  <c r="AA334" i="23"/>
  <c r="AC334" i="23" s="1"/>
  <c r="AD334" i="23" s="1"/>
  <c r="S436" i="23"/>
  <c r="T436" i="23"/>
  <c r="T438" i="23"/>
  <c r="U438" i="23" s="1"/>
  <c r="L439" i="23"/>
  <c r="M439" i="23" s="1"/>
  <c r="L440" i="23"/>
  <c r="M440" i="23" s="1"/>
  <c r="L441" i="23"/>
  <c r="M441" i="23" s="1"/>
  <c r="L442" i="23"/>
  <c r="M442" i="23" s="1"/>
  <c r="T443" i="23"/>
  <c r="L444" i="23"/>
  <c r="M444" i="23" s="1"/>
  <c r="L445" i="23"/>
  <c r="M445" i="23" s="1"/>
  <c r="V446" i="23"/>
  <c r="W446" i="23" s="1"/>
  <c r="V447" i="23"/>
  <c r="W447" i="23" s="1"/>
  <c r="V448" i="23"/>
  <c r="W448" i="23" s="1"/>
  <c r="W401" i="23" s="1"/>
  <c r="CY402" i="23"/>
  <c r="Z450" i="23"/>
  <c r="Z451" i="23"/>
  <c r="Z452" i="23"/>
  <c r="Z406" i="23"/>
  <c r="CY406" i="23"/>
  <c r="CY408" i="23"/>
  <c r="CY409" i="23"/>
  <c r="CZ411" i="23"/>
  <c r="CY411" i="23"/>
  <c r="Z360" i="23"/>
  <c r="AA360" i="23" s="1"/>
  <c r="AC360" i="23" s="1"/>
  <c r="AD360" i="23" s="1"/>
  <c r="AF360" i="23" s="1"/>
  <c r="AG360" i="23" s="1"/>
  <c r="AH360" i="23" s="1"/>
  <c r="AI360" i="23" s="1"/>
  <c r="AJ360" i="23" s="1"/>
  <c r="AK360" i="23" s="1"/>
  <c r="AL360" i="23" s="1"/>
  <c r="AM360" i="23" s="1"/>
  <c r="L462" i="23"/>
  <c r="M462" i="23" s="1"/>
  <c r="W362" i="23"/>
  <c r="T463" i="23"/>
  <c r="U463" i="23" s="1"/>
  <c r="CZ402" i="23"/>
  <c r="CZ408" i="23"/>
  <c r="CZ409" i="23"/>
  <c r="Z265" i="23"/>
  <c r="U550" i="23"/>
  <c r="V550" i="23" s="1"/>
  <c r="W550" i="23" s="1"/>
  <c r="Z550" i="23" s="1"/>
  <c r="AA550" i="23" s="1"/>
  <c r="AC550" i="23" s="1"/>
  <c r="AD550" i="23" s="1"/>
  <c r="AE550" i="23" s="1"/>
  <c r="AF550" i="23" s="1"/>
  <c r="AG550" i="23" s="1"/>
  <c r="AH550" i="23" s="1"/>
  <c r="AI550" i="23" s="1"/>
  <c r="AJ550" i="23" s="1"/>
  <c r="AK550" i="23" s="1"/>
  <c r="AL550" i="23" s="1"/>
  <c r="AM550" i="23" s="1"/>
  <c r="AN550" i="23" s="1"/>
  <c r="U543" i="23"/>
  <c r="V543" i="23" s="1"/>
  <c r="W543" i="23" s="1"/>
  <c r="AD543" i="23" s="1"/>
  <c r="AE543" i="23" s="1"/>
  <c r="AF543" i="23" s="1"/>
  <c r="AG543" i="23" s="1"/>
  <c r="AH543" i="23" s="1"/>
  <c r="AI543" i="23" s="1"/>
  <c r="AJ543" i="23" s="1"/>
  <c r="AK543" i="23" s="1"/>
  <c r="AL543" i="23" s="1"/>
  <c r="AM543" i="23" s="1"/>
  <c r="T483" i="23"/>
  <c r="W191" i="23"/>
  <c r="W485" i="23" s="1"/>
  <c r="W492" i="23"/>
  <c r="W498" i="23"/>
  <c r="W500" i="23"/>
  <c r="W502" i="23"/>
  <c r="W504" i="23"/>
  <c r="W506" i="23"/>
  <c r="N513" i="23"/>
  <c r="N515" i="23"/>
  <c r="W508" i="23"/>
  <c r="W217" i="23"/>
  <c r="W510" i="23" s="1"/>
  <c r="U39" i="23"/>
  <c r="U675" i="23"/>
  <c r="U37" i="23"/>
  <c r="L10" i="56" s="1"/>
  <c r="V39" i="23"/>
  <c r="V675" i="23"/>
  <c r="V37" i="23"/>
  <c r="M10" i="56" s="1"/>
  <c r="M15" i="56" s="1"/>
  <c r="W39" i="23"/>
  <c r="CX39" i="23"/>
  <c r="AU25" i="23"/>
  <c r="CX25" i="23"/>
  <c r="P26" i="23"/>
  <c r="Q26" i="23"/>
  <c r="X26" i="23"/>
  <c r="Y26" i="23"/>
  <c r="AU26" i="23"/>
  <c r="BI26" i="23"/>
  <c r="BJ26" i="23"/>
  <c r="BN26" i="23"/>
  <c r="CD26" i="23"/>
  <c r="CI26" i="23"/>
  <c r="CE27" i="23"/>
  <c r="CE31" i="23" s="1"/>
  <c r="CF27" i="23"/>
  <c r="CF31" i="23"/>
  <c r="CG27" i="23"/>
  <c r="CG31" i="23" s="1"/>
  <c r="CH27" i="23"/>
  <c r="CH31" i="23"/>
  <c r="T28" i="23"/>
  <c r="CI28" i="23" s="1"/>
  <c r="CJ27" i="23"/>
  <c r="CJ31" i="23"/>
  <c r="CK27" i="23"/>
  <c r="CK31" i="23" s="1"/>
  <c r="CL27" i="23"/>
  <c r="CL31" i="23"/>
  <c r="CM27" i="23"/>
  <c r="CM31" i="23" s="1"/>
  <c r="U28" i="23"/>
  <c r="CN28" i="23"/>
  <c r="CO27" i="23"/>
  <c r="CO31" i="23" s="1"/>
  <c r="CP27" i="23"/>
  <c r="CQ27" i="23"/>
  <c r="CR27" i="23"/>
  <c r="CR31" i="23" s="1"/>
  <c r="AU27" i="23"/>
  <c r="BF27" i="23"/>
  <c r="BF31" i="23"/>
  <c r="BG27" i="23"/>
  <c r="BH27" i="23"/>
  <c r="BH31" i="23"/>
  <c r="BK27" i="23"/>
  <c r="BK31" i="23" s="1"/>
  <c r="BL27" i="23"/>
  <c r="BM27" i="23"/>
  <c r="BM31" i="23"/>
  <c r="P28" i="23"/>
  <c r="Q28" i="23"/>
  <c r="V28" i="23"/>
  <c r="X28" i="23"/>
  <c r="W28" i="23"/>
  <c r="CX28" i="23" s="1"/>
  <c r="Z28" i="23"/>
  <c r="K186" i="23"/>
  <c r="L265" i="23"/>
  <c r="L266" i="23"/>
  <c r="L247" i="23"/>
  <c r="L248" i="23"/>
  <c r="L258" i="23"/>
  <c r="L260" i="23"/>
  <c r="L281" i="23"/>
  <c r="L286" i="23"/>
  <c r="K222" i="23"/>
  <c r="L292" i="23" s="1"/>
  <c r="L291" i="23" s="1"/>
  <c r="L298" i="23" s="1"/>
  <c r="M265" i="23"/>
  <c r="M266" i="23"/>
  <c r="M267" i="23"/>
  <c r="M247" i="23"/>
  <c r="M248" i="23"/>
  <c r="M258" i="23"/>
  <c r="M260" i="23"/>
  <c r="M284" i="23"/>
  <c r="M286" i="23" s="1"/>
  <c r="M292" i="23"/>
  <c r="M291" i="23"/>
  <c r="M298" i="23"/>
  <c r="M296" i="23"/>
  <c r="N275" i="23"/>
  <c r="H11" i="56"/>
  <c r="N32" i="23"/>
  <c r="BP36" i="23"/>
  <c r="N36" i="23" s="1"/>
  <c r="N64" i="23" s="1"/>
  <c r="Q64" i="23" s="1"/>
  <c r="BR36" i="23"/>
  <c r="BS36" i="23"/>
  <c r="BP39" i="23"/>
  <c r="BQ38" i="23"/>
  <c r="BS38" i="23"/>
  <c r="N42" i="23"/>
  <c r="Q42" i="23"/>
  <c r="N43" i="23"/>
  <c r="Q43" i="23" s="1"/>
  <c r="N48" i="23"/>
  <c r="N247" i="23"/>
  <c r="N248" i="23"/>
  <c r="N255" i="23"/>
  <c r="N256" i="23"/>
  <c r="N281" i="23"/>
  <c r="N286" i="23" s="1"/>
  <c r="N284" i="23"/>
  <c r="N292" i="23"/>
  <c r="N296" i="23"/>
  <c r="N298" i="23"/>
  <c r="R275" i="23"/>
  <c r="R32" i="23"/>
  <c r="BV37" i="23"/>
  <c r="BV657" i="23" s="1"/>
  <c r="BW37" i="23"/>
  <c r="BU38" i="23"/>
  <c r="R42" i="23"/>
  <c r="BY42" i="23" s="1"/>
  <c r="R48" i="23"/>
  <c r="R247" i="23"/>
  <c r="R248" i="23"/>
  <c r="R255" i="23"/>
  <c r="R259" i="23"/>
  <c r="S259" i="23"/>
  <c r="T259" i="23"/>
  <c r="U259" i="23" s="1"/>
  <c r="V259" i="23" s="1"/>
  <c r="W259" i="23" s="1"/>
  <c r="AC259" i="23" s="1"/>
  <c r="R260" i="23"/>
  <c r="R281" i="23"/>
  <c r="R286" i="23" s="1"/>
  <c r="R292" i="23"/>
  <c r="CA32" i="23"/>
  <c r="CA62" i="23"/>
  <c r="S39" i="23"/>
  <c r="S42" i="23"/>
  <c r="CD42" i="23"/>
  <c r="S43" i="23"/>
  <c r="S260" i="23" s="1"/>
  <c r="S48" i="23"/>
  <c r="S247" i="23"/>
  <c r="S248" i="23"/>
  <c r="S255" i="23"/>
  <c r="S286" i="23"/>
  <c r="S292" i="23"/>
  <c r="S296" i="23"/>
  <c r="T275" i="23"/>
  <c r="K11" i="56" s="1"/>
  <c r="CH32" i="23"/>
  <c r="T39" i="23"/>
  <c r="T42" i="23"/>
  <c r="CI42" i="23" s="1"/>
  <c r="T48" i="23"/>
  <c r="T248" i="23"/>
  <c r="T284" i="23"/>
  <c r="T286" i="23" s="1"/>
  <c r="T320" i="23"/>
  <c r="U320" i="23"/>
  <c r="L321" i="23"/>
  <c r="M321" i="23" s="1"/>
  <c r="N321" i="23" s="1"/>
  <c r="R321" i="23" s="1"/>
  <c r="L322" i="23"/>
  <c r="M323" i="23"/>
  <c r="N323" i="23"/>
  <c r="N324" i="23"/>
  <c r="R324" i="23" s="1"/>
  <c r="S324" i="23" s="1"/>
  <c r="T324" i="23" s="1"/>
  <c r="U324" i="23" s="1"/>
  <c r="S327" i="23"/>
  <c r="S328" i="23"/>
  <c r="T328" i="23"/>
  <c r="S329" i="23"/>
  <c r="T329" i="23" s="1"/>
  <c r="U329" i="23" s="1"/>
  <c r="S330" i="23"/>
  <c r="T330" i="23" s="1"/>
  <c r="U330" i="23" s="1"/>
  <c r="S332" i="23"/>
  <c r="T332" i="23"/>
  <c r="U332" i="23" s="1"/>
  <c r="S337" i="23"/>
  <c r="T337" i="23" s="1"/>
  <c r="U337" i="23" s="1"/>
  <c r="S338" i="23"/>
  <c r="T338" i="23" s="1"/>
  <c r="U338" i="23" s="1"/>
  <c r="S339" i="23"/>
  <c r="T339" i="23"/>
  <c r="U339" i="23" s="1"/>
  <c r="S340" i="23"/>
  <c r="T340" i="23"/>
  <c r="U340" i="23" s="1"/>
  <c r="T342" i="23"/>
  <c r="U342" i="23" s="1"/>
  <c r="S360" i="23"/>
  <c r="T360" i="23"/>
  <c r="U360" i="23" s="1"/>
  <c r="V360" i="23" s="1"/>
  <c r="S331" i="23"/>
  <c r="T331" i="23" s="1"/>
  <c r="R333" i="23"/>
  <c r="S334" i="23"/>
  <c r="T334" i="23" s="1"/>
  <c r="T335" i="23"/>
  <c r="U335" i="23" s="1"/>
  <c r="T336" i="23"/>
  <c r="U336" i="23" s="1"/>
  <c r="T341" i="23"/>
  <c r="T133" i="23"/>
  <c r="U281" i="23"/>
  <c r="U286" i="23" s="1"/>
  <c r="U362" i="23"/>
  <c r="V281" i="23"/>
  <c r="V284" i="23"/>
  <c r="V362" i="23"/>
  <c r="V294" i="23"/>
  <c r="V690" i="23" s="1"/>
  <c r="W284" i="23"/>
  <c r="W286" i="23"/>
  <c r="W292" i="23"/>
  <c r="W294" i="23"/>
  <c r="AU28" i="23"/>
  <c r="BT28" i="23"/>
  <c r="I265" i="23"/>
  <c r="I275" i="23" s="1"/>
  <c r="C11" i="56" s="1"/>
  <c r="I266" i="23"/>
  <c r="I247" i="23"/>
  <c r="I248" i="23"/>
  <c r="F248" i="23" s="1"/>
  <c r="I280" i="23"/>
  <c r="I286" i="23"/>
  <c r="I284" i="23"/>
  <c r="I292" i="23"/>
  <c r="I298" i="23"/>
  <c r="J186" i="23"/>
  <c r="K29" i="23" s="1"/>
  <c r="M29" i="23"/>
  <c r="N29" i="23"/>
  <c r="AU29" i="23"/>
  <c r="P30" i="23"/>
  <c r="Q30" i="23"/>
  <c r="T30" i="23"/>
  <c r="CI30" i="23"/>
  <c r="U30" i="23"/>
  <c r="X30" i="23"/>
  <c r="Y30" i="23"/>
  <c r="AU30" i="23"/>
  <c r="BJ30" i="23"/>
  <c r="BN30" i="23"/>
  <c r="BY30" i="23"/>
  <c r="CD30" i="23"/>
  <c r="AU31" i="23"/>
  <c r="BG31" i="23"/>
  <c r="BL31" i="23"/>
  <c r="CV31" i="23"/>
  <c r="CW31" i="23"/>
  <c r="P32" i="23"/>
  <c r="P62" i="23"/>
  <c r="CJ32" i="23"/>
  <c r="CJ62" i="23" s="1"/>
  <c r="CL32" i="23"/>
  <c r="CL62" i="23"/>
  <c r="CM32" i="23"/>
  <c r="CM62" i="23" s="1"/>
  <c r="CR32" i="23"/>
  <c r="CV32" i="23"/>
  <c r="CV62" i="23"/>
  <c r="Z32" i="23"/>
  <c r="Z62" i="23" s="1"/>
  <c r="DC62" i="23" s="1"/>
  <c r="AU32" i="23"/>
  <c r="BF32" i="23"/>
  <c r="BG32" i="23"/>
  <c r="BG62" i="23"/>
  <c r="AU33" i="23"/>
  <c r="AU34" i="23"/>
  <c r="AU35" i="23"/>
  <c r="J36" i="23"/>
  <c r="J64" i="23"/>
  <c r="M36" i="23"/>
  <c r="P36" i="23" s="1"/>
  <c r="AU36" i="23"/>
  <c r="BY36" i="23"/>
  <c r="CD36" i="23"/>
  <c r="CI36" i="23"/>
  <c r="CN36" i="23"/>
  <c r="CS36" i="23"/>
  <c r="CX36" i="23"/>
  <c r="DC36" i="23"/>
  <c r="H656" i="23"/>
  <c r="H657" i="23"/>
  <c r="H660" i="23" s="1"/>
  <c r="H661" i="23" s="1"/>
  <c r="I37" i="23"/>
  <c r="J657" i="23"/>
  <c r="J37" i="23" s="1"/>
  <c r="K37" i="23"/>
  <c r="K38" i="23"/>
  <c r="L37" i="23"/>
  <c r="F10" i="56" s="1"/>
  <c r="M37" i="23"/>
  <c r="P37" i="23"/>
  <c r="S37" i="23"/>
  <c r="J10" i="56" s="1"/>
  <c r="J15" i="56" s="1"/>
  <c r="T37" i="23"/>
  <c r="T38" i="23"/>
  <c r="AU37" i="23"/>
  <c r="BN39" i="23"/>
  <c r="CA37" i="23"/>
  <c r="CE37" i="23"/>
  <c r="CF37" i="23"/>
  <c r="CF38" i="23" s="1"/>
  <c r="CG37" i="23"/>
  <c r="CJ37" i="23"/>
  <c r="CJ38" i="23" s="1"/>
  <c r="CK37" i="23"/>
  <c r="CL37" i="23"/>
  <c r="CL38" i="23"/>
  <c r="AU38" i="23"/>
  <c r="BF38" i="23"/>
  <c r="BZ38" i="23"/>
  <c r="CO38" i="23"/>
  <c r="CT38" i="23"/>
  <c r="P39" i="23"/>
  <c r="AU39" i="23"/>
  <c r="BI39" i="23"/>
  <c r="BJ39" i="23" s="1"/>
  <c r="AU40" i="23"/>
  <c r="AU41" i="23"/>
  <c r="P42" i="23"/>
  <c r="U42" i="23"/>
  <c r="CN42" i="23" s="1"/>
  <c r="V42" i="23"/>
  <c r="W42" i="23"/>
  <c r="CX42" i="23" s="1"/>
  <c r="AU42" i="23"/>
  <c r="BJ42" i="23"/>
  <c r="P43" i="23"/>
  <c r="W43" i="23"/>
  <c r="AU43" i="23"/>
  <c r="BJ43" i="23"/>
  <c r="BN43" i="23"/>
  <c r="BU43" i="23"/>
  <c r="BV43" i="23"/>
  <c r="BW43" i="23"/>
  <c r="BX43" i="23"/>
  <c r="BZ43" i="23"/>
  <c r="CA43" i="23"/>
  <c r="CB43" i="23"/>
  <c r="CC43" i="23"/>
  <c r="CE43" i="23"/>
  <c r="CF43" i="23"/>
  <c r="CG43" i="23"/>
  <c r="CH43" i="23"/>
  <c r="AU44" i="23"/>
  <c r="AU45" i="23"/>
  <c r="BH47" i="23"/>
  <c r="BH46" i="23"/>
  <c r="L46" i="23" s="1"/>
  <c r="M46" i="23"/>
  <c r="P46" i="23"/>
  <c r="Q46" i="23"/>
  <c r="T46" i="23"/>
  <c r="CI46" i="23" s="1"/>
  <c r="U46" i="23"/>
  <c r="CN46" i="23"/>
  <c r="CT46" i="23"/>
  <c r="CU46" i="23"/>
  <c r="CV46" i="23"/>
  <c r="CW46" i="23"/>
  <c r="Z46" i="23"/>
  <c r="AU46" i="23"/>
  <c r="BT46" i="23"/>
  <c r="BY46" i="23"/>
  <c r="CD46" i="23"/>
  <c r="I47" i="23"/>
  <c r="J47" i="23"/>
  <c r="K47" i="23"/>
  <c r="M47" i="23"/>
  <c r="P47" i="23" s="1"/>
  <c r="Q47" i="23"/>
  <c r="T47" i="23"/>
  <c r="CI47" i="23" s="1"/>
  <c r="U47" i="23"/>
  <c r="CN47" i="23"/>
  <c r="W47" i="23"/>
  <c r="CY48" i="23"/>
  <c r="DB48" i="23"/>
  <c r="AU47" i="23"/>
  <c r="BG47" i="23"/>
  <c r="BK47" i="23"/>
  <c r="BK48" i="23" s="1"/>
  <c r="BL47" i="23"/>
  <c r="BL48" i="23"/>
  <c r="BQ47" i="23"/>
  <c r="BQ48" i="23" s="1"/>
  <c r="BS47" i="23"/>
  <c r="BV47" i="23"/>
  <c r="BX47" i="23"/>
  <c r="BX48" i="23" s="1"/>
  <c r="CA47" i="23"/>
  <c r="CA48" i="23"/>
  <c r="CC47" i="23"/>
  <c r="H48" i="23"/>
  <c r="P48" i="23"/>
  <c r="Q48" i="23"/>
  <c r="U48" i="23"/>
  <c r="CN48" i="23"/>
  <c r="V48" i="23"/>
  <c r="W48" i="23"/>
  <c r="AU48" i="23"/>
  <c r="BM48" i="23"/>
  <c r="BN48" i="23"/>
  <c r="BP48" i="23"/>
  <c r="BR48" i="23"/>
  <c r="BU48" i="23"/>
  <c r="BW48" i="23"/>
  <c r="BZ48" i="23"/>
  <c r="CB48" i="23"/>
  <c r="AU49" i="23"/>
  <c r="AU50" i="23"/>
  <c r="P51" i="23"/>
  <c r="Q51" i="23"/>
  <c r="X51" i="23"/>
  <c r="Y51" i="23"/>
  <c r="AU51" i="23"/>
  <c r="BG51" i="23"/>
  <c r="BH51" i="23"/>
  <c r="BI51" i="23"/>
  <c r="BK51" i="23"/>
  <c r="BL51" i="23" s="1"/>
  <c r="BM51" i="23" s="1"/>
  <c r="BN51" i="23" s="1"/>
  <c r="BP51" i="23"/>
  <c r="BQ51" i="23" s="1"/>
  <c r="BU51" i="23"/>
  <c r="BV51" i="23"/>
  <c r="CO51" i="23"/>
  <c r="CQ51" i="23"/>
  <c r="CR51" i="23" s="1"/>
  <c r="CU51" i="23"/>
  <c r="CV51" i="23"/>
  <c r="CW51" i="23" s="1"/>
  <c r="AU52" i="23"/>
  <c r="AU53" i="23"/>
  <c r="H117" i="23"/>
  <c r="H54" i="23" s="1"/>
  <c r="I54" i="23"/>
  <c r="J54" i="23"/>
  <c r="K54" i="23"/>
  <c r="L54" i="23"/>
  <c r="M54" i="23"/>
  <c r="P54" i="23"/>
  <c r="N54" i="23"/>
  <c r="Q54" i="23" s="1"/>
  <c r="R54" i="23"/>
  <c r="S54" i="23"/>
  <c r="T54" i="23"/>
  <c r="U54" i="23"/>
  <c r="V54" i="23"/>
  <c r="W54" i="23"/>
  <c r="I128" i="23"/>
  <c r="I137" i="23" s="1"/>
  <c r="K142" i="23"/>
  <c r="N130" i="23"/>
  <c r="V133" i="23"/>
  <c r="W133" i="23"/>
  <c r="CY105" i="23"/>
  <c r="CW115" i="23"/>
  <c r="U105" i="23"/>
  <c r="CJ106" i="23"/>
  <c r="CK106" i="23"/>
  <c r="CL106" i="23"/>
  <c r="U106" i="23" s="1"/>
  <c r="CM106" i="23"/>
  <c r="CJ107" i="23"/>
  <c r="CK107" i="23"/>
  <c r="CL107" i="23"/>
  <c r="CM107" i="23"/>
  <c r="CJ105" i="23"/>
  <c r="CJ109" i="23"/>
  <c r="CK105" i="23" s="1"/>
  <c r="CK109" i="23" s="1"/>
  <c r="CL105" i="23" s="1"/>
  <c r="CL109" i="23" s="1"/>
  <c r="CM105" i="23" s="1"/>
  <c r="CM108" i="23" s="1"/>
  <c r="U108" i="23" s="1"/>
  <c r="CO106" i="23"/>
  <c r="V106" i="23" s="1"/>
  <c r="CP106" i="23"/>
  <c r="CQ106" i="23"/>
  <c r="CR106" i="23"/>
  <c r="CO107" i="23"/>
  <c r="CP107" i="23"/>
  <c r="CQ107" i="23"/>
  <c r="CR107" i="23"/>
  <c r="CO105" i="23"/>
  <c r="CO108" i="23" s="1"/>
  <c r="CP105" i="23"/>
  <c r="CP108" i="23"/>
  <c r="CQ105" i="23"/>
  <c r="CQ108" i="23" s="1"/>
  <c r="CR105" i="23"/>
  <c r="CR108" i="23"/>
  <c r="CT105" i="23"/>
  <c r="CT108" i="23" s="1"/>
  <c r="CU105" i="23"/>
  <c r="CU108" i="23"/>
  <c r="CV105" i="23"/>
  <c r="CV108" i="23" s="1"/>
  <c r="Z108" i="23"/>
  <c r="U111" i="23"/>
  <c r="U171" i="23"/>
  <c r="CJ115" i="23"/>
  <c r="CK111" i="23"/>
  <c r="CH115" i="23"/>
  <c r="CJ111" i="23" s="1"/>
  <c r="CJ113" i="23"/>
  <c r="CK115" i="23"/>
  <c r="CL111" i="23"/>
  <c r="CK113" i="23"/>
  <c r="CL115" i="23"/>
  <c r="CM111" i="23"/>
  <c r="CL113" i="23"/>
  <c r="CM115" i="23"/>
  <c r="CM113" i="23"/>
  <c r="CP171" i="23"/>
  <c r="CO115" i="23"/>
  <c r="CP111" i="23" s="1"/>
  <c r="CO113" i="23"/>
  <c r="CP115" i="23"/>
  <c r="CQ115" i="23"/>
  <c r="CQ113" i="23"/>
  <c r="CR115" i="23"/>
  <c r="CT111" i="23"/>
  <c r="W171" i="23"/>
  <c r="W113" i="23" s="1"/>
  <c r="CT115" i="23"/>
  <c r="CU111" i="23"/>
  <c r="CT113" i="23"/>
  <c r="CU115" i="23"/>
  <c r="CU113" i="23"/>
  <c r="CV113" i="23"/>
  <c r="CW113" i="23"/>
  <c r="AU54" i="23"/>
  <c r="BF54" i="23"/>
  <c r="BG54" i="23"/>
  <c r="BH54" i="23"/>
  <c r="BI54" i="23"/>
  <c r="BK54" i="23"/>
  <c r="BL54" i="23"/>
  <c r="BM54" i="23"/>
  <c r="BN54" i="23"/>
  <c r="BP54" i="23"/>
  <c r="BQ54" i="23"/>
  <c r="BR54" i="23"/>
  <c r="BS54" i="23"/>
  <c r="BU54" i="23"/>
  <c r="BV54" i="23"/>
  <c r="BW54" i="23"/>
  <c r="BX54" i="23"/>
  <c r="BZ54" i="23"/>
  <c r="CA54" i="23"/>
  <c r="CB54" i="23"/>
  <c r="CC54" i="23"/>
  <c r="CE54" i="23"/>
  <c r="CF54" i="23"/>
  <c r="CG54" i="23"/>
  <c r="CH54" i="23"/>
  <c r="CJ54" i="23"/>
  <c r="CK54" i="23"/>
  <c r="CL54" i="23"/>
  <c r="CM54" i="23"/>
  <c r="CO54" i="23"/>
  <c r="CP54" i="23"/>
  <c r="CQ54" i="23"/>
  <c r="CR54" i="23"/>
  <c r="AU55" i="23"/>
  <c r="AU56" i="23"/>
  <c r="I57" i="23"/>
  <c r="C18" i="56" s="1"/>
  <c r="J57" i="23"/>
  <c r="K57" i="23"/>
  <c r="E18" i="56"/>
  <c r="L57" i="23"/>
  <c r="M57" i="23"/>
  <c r="P57" i="23" s="1"/>
  <c r="N57" i="23"/>
  <c r="R57" i="23"/>
  <c r="S57" i="23"/>
  <c r="T57" i="23"/>
  <c r="K18" i="56"/>
  <c r="U57" i="23"/>
  <c r="V57" i="23"/>
  <c r="M18" i="56" s="1"/>
  <c r="O18" i="56" s="1"/>
  <c r="W57" i="23"/>
  <c r="N18" i="56"/>
  <c r="P18" i="56" s="1"/>
  <c r="AU57" i="23"/>
  <c r="BF57" i="23"/>
  <c r="BG57" i="23"/>
  <c r="BH57" i="23"/>
  <c r="BI57" i="23"/>
  <c r="BK57" i="23"/>
  <c r="BL57" i="23"/>
  <c r="BM57" i="23"/>
  <c r="BN57" i="23"/>
  <c r="BP57" i="23"/>
  <c r="BQ57" i="23"/>
  <c r="BR57" i="23"/>
  <c r="BS57" i="23"/>
  <c r="BU57" i="23"/>
  <c r="BV57" i="23"/>
  <c r="BW57" i="23"/>
  <c r="BX57" i="23"/>
  <c r="BZ57" i="23"/>
  <c r="BZ98" i="23"/>
  <c r="CA57" i="23"/>
  <c r="CB57" i="23"/>
  <c r="CC57" i="23"/>
  <c r="CC98" i="23"/>
  <c r="CE57" i="23"/>
  <c r="CF57" i="23"/>
  <c r="CG57" i="23"/>
  <c r="CH57" i="23"/>
  <c r="CJ57" i="23"/>
  <c r="CK57" i="23"/>
  <c r="CL57" i="23"/>
  <c r="CM57" i="23"/>
  <c r="CO57" i="23"/>
  <c r="CP57" i="23"/>
  <c r="CQ57" i="23"/>
  <c r="CR57" i="23"/>
  <c r="AU58" i="23"/>
  <c r="AU59" i="23"/>
  <c r="AU60" i="23"/>
  <c r="AU61" i="23"/>
  <c r="H62" i="23"/>
  <c r="I62" i="23"/>
  <c r="J62" i="23"/>
  <c r="K62" i="23"/>
  <c r="M62" i="23"/>
  <c r="AU62" i="23"/>
  <c r="BH62" i="23"/>
  <c r="BI62" i="23"/>
  <c r="BK62" i="23"/>
  <c r="BL62" i="23"/>
  <c r="BM62" i="23"/>
  <c r="BN62" i="23"/>
  <c r="BP62" i="23"/>
  <c r="BS62" i="23"/>
  <c r="BU62" i="23"/>
  <c r="BW62" i="23"/>
  <c r="BZ62" i="23"/>
  <c r="CB62" i="23"/>
  <c r="CC62" i="23"/>
  <c r="CE62" i="23"/>
  <c r="CF62" i="23"/>
  <c r="CG62" i="23"/>
  <c r="CK62" i="23"/>
  <c r="CO62" i="23"/>
  <c r="CP62" i="23"/>
  <c r="CQ62" i="23"/>
  <c r="CT62" i="23"/>
  <c r="CU62" i="23"/>
  <c r="CW62" i="23"/>
  <c r="K664" i="23"/>
  <c r="BF664" i="23" s="1"/>
  <c r="R664" i="23"/>
  <c r="AU63" i="23"/>
  <c r="H64" i="23"/>
  <c r="I64" i="23"/>
  <c r="K64" i="23"/>
  <c r="R64" i="23"/>
  <c r="S64" i="23"/>
  <c r="T64" i="23"/>
  <c r="U64" i="23"/>
  <c r="V64" i="23"/>
  <c r="W64" i="23"/>
  <c r="X64" i="23"/>
  <c r="Y64" i="23"/>
  <c r="Z64" i="23"/>
  <c r="AU64" i="23"/>
  <c r="BF64" i="23"/>
  <c r="BH64" i="23"/>
  <c r="BH674" i="23" s="1"/>
  <c r="BI64" i="23"/>
  <c r="BK64" i="23"/>
  <c r="BL64" i="23"/>
  <c r="BM64" i="23"/>
  <c r="BN64" i="23"/>
  <c r="BQ64" i="23"/>
  <c r="BR64" i="23"/>
  <c r="BS64" i="23"/>
  <c r="BU64" i="23"/>
  <c r="BV64" i="23"/>
  <c r="BW64" i="23"/>
  <c r="BX64" i="23"/>
  <c r="BZ64" i="23"/>
  <c r="CA64" i="23"/>
  <c r="CB64" i="23"/>
  <c r="CC64" i="23"/>
  <c r="CE64" i="23"/>
  <c r="CF64" i="23"/>
  <c r="CG64" i="23"/>
  <c r="CH64" i="23"/>
  <c r="CJ64" i="23"/>
  <c r="CK64" i="23"/>
  <c r="CL64" i="23"/>
  <c r="CM64" i="23"/>
  <c r="CO64" i="23"/>
  <c r="CP64" i="23"/>
  <c r="CQ64" i="23"/>
  <c r="CR64" i="23"/>
  <c r="CT64" i="23"/>
  <c r="CU64" i="23"/>
  <c r="CV64" i="23"/>
  <c r="CW64" i="23"/>
  <c r="CZ64" i="23"/>
  <c r="DA64" i="23"/>
  <c r="DB64" i="23"/>
  <c r="AU65" i="23"/>
  <c r="AU66" i="23"/>
  <c r="H125" i="23"/>
  <c r="I124" i="23"/>
  <c r="I67" i="23" s="1"/>
  <c r="I68" i="23" s="1"/>
  <c r="J124" i="23"/>
  <c r="J67" i="23" s="1"/>
  <c r="K124" i="23"/>
  <c r="K67" i="23"/>
  <c r="K68" i="23" s="1"/>
  <c r="L124" i="23"/>
  <c r="L67" i="23" s="1"/>
  <c r="L68" i="23" s="1"/>
  <c r="M67" i="23"/>
  <c r="N67" i="23"/>
  <c r="P67" i="23" s="1"/>
  <c r="R67" i="23"/>
  <c r="R68" i="23"/>
  <c r="S67" i="23"/>
  <c r="T67" i="23"/>
  <c r="U67" i="23"/>
  <c r="V67" i="23"/>
  <c r="V68" i="23" s="1"/>
  <c r="W67" i="23"/>
  <c r="W68" i="23" s="1"/>
  <c r="X67" i="23"/>
  <c r="X68" i="23" s="1"/>
  <c r="Y67" i="23"/>
  <c r="Y68" i="23" s="1"/>
  <c r="Z67" i="23"/>
  <c r="AU67" i="23"/>
  <c r="BF67" i="23"/>
  <c r="BF68" i="23" s="1"/>
  <c r="BG67" i="23"/>
  <c r="BG68" i="23"/>
  <c r="BK67" i="23"/>
  <c r="BL67" i="23"/>
  <c r="BM67" i="23"/>
  <c r="BM68" i="23"/>
  <c r="BN124" i="23"/>
  <c r="BN67" i="23" s="1"/>
  <c r="BP67" i="23"/>
  <c r="BP68" i="23"/>
  <c r="BQ67" i="23"/>
  <c r="BQ68" i="23" s="1"/>
  <c r="BR67" i="23"/>
  <c r="BS124" i="23"/>
  <c r="BS67" i="23" s="1"/>
  <c r="BS68" i="23" s="1"/>
  <c r="BU124" i="23"/>
  <c r="BV124" i="23"/>
  <c r="BZ124" i="23"/>
  <c r="BZ125" i="23"/>
  <c r="CE124" i="23"/>
  <c r="CF124" i="23"/>
  <c r="CJ124" i="23"/>
  <c r="CJ67" i="23"/>
  <c r="CO124" i="23"/>
  <c r="CP124" i="23"/>
  <c r="AU68" i="23"/>
  <c r="AU69" i="23"/>
  <c r="CI69" i="23"/>
  <c r="AU70" i="23"/>
  <c r="H73" i="23"/>
  <c r="H71" i="23"/>
  <c r="I72" i="23"/>
  <c r="I71" i="23" s="1"/>
  <c r="N71" i="23"/>
  <c r="T71" i="23"/>
  <c r="AU71" i="23"/>
  <c r="BF71" i="23"/>
  <c r="BF73" i="23"/>
  <c r="BG71" i="23"/>
  <c r="BG73" i="23"/>
  <c r="BH71" i="23"/>
  <c r="BH73" i="23"/>
  <c r="BI71" i="23"/>
  <c r="BI73" i="23"/>
  <c r="BK71" i="23"/>
  <c r="BK73" i="23"/>
  <c r="BL71" i="23"/>
  <c r="BL73" i="23"/>
  <c r="BM71" i="23"/>
  <c r="BM73" i="23"/>
  <c r="BP71" i="23"/>
  <c r="BP73" i="23"/>
  <c r="BQ71" i="23"/>
  <c r="BQ73" i="23"/>
  <c r="BR71" i="23"/>
  <c r="BR73" i="23"/>
  <c r="BS71" i="23"/>
  <c r="BS73" i="23"/>
  <c r="N72" i="23"/>
  <c r="N73" i="23" s="1"/>
  <c r="AU72" i="23"/>
  <c r="AU73" i="23"/>
  <c r="AU74" i="23"/>
  <c r="AU75" i="23"/>
  <c r="AU76" i="23"/>
  <c r="AU77" i="23"/>
  <c r="AU78" i="23"/>
  <c r="AU79" i="23"/>
  <c r="AU80" i="23"/>
  <c r="AU81" i="23"/>
  <c r="AU82" i="23"/>
  <c r="AU83" i="23"/>
  <c r="AU84" i="23"/>
  <c r="AU85" i="23"/>
  <c r="AU86" i="23"/>
  <c r="AU87" i="23"/>
  <c r="AU88" i="23"/>
  <c r="AU89" i="23"/>
  <c r="AU90" i="23"/>
  <c r="AU91" i="23"/>
  <c r="AU92" i="23"/>
  <c r="AU93" i="23"/>
  <c r="AU94" i="23"/>
  <c r="AU95" i="23"/>
  <c r="AU96" i="23"/>
  <c r="AU97" i="23"/>
  <c r="S100" i="23"/>
  <c r="AU98" i="23"/>
  <c r="BU664" i="23"/>
  <c r="BV664" i="23" s="1"/>
  <c r="BW664" i="23" s="1"/>
  <c r="CA98" i="23"/>
  <c r="CB98" i="23"/>
  <c r="AU100" i="23"/>
  <c r="A102" i="23"/>
  <c r="H103" i="23"/>
  <c r="I103" i="23"/>
  <c r="J103" i="23"/>
  <c r="K103" i="23"/>
  <c r="L103" i="23"/>
  <c r="M103" i="23"/>
  <c r="N103" i="23"/>
  <c r="R103" i="23"/>
  <c r="S103" i="23"/>
  <c r="T103" i="23"/>
  <c r="U103" i="23"/>
  <c r="V103" i="23"/>
  <c r="W103" i="23"/>
  <c r="Z103" i="23"/>
  <c r="H105" i="23"/>
  <c r="N105" i="23"/>
  <c r="R105" i="23"/>
  <c r="R108" i="23" s="1"/>
  <c r="S105" i="23"/>
  <c r="S108" i="23" s="1"/>
  <c r="T105" i="23"/>
  <c r="T108" i="23" s="1"/>
  <c r="BF105" i="23"/>
  <c r="BG105" i="23"/>
  <c r="BH105" i="23"/>
  <c r="BI105" i="23"/>
  <c r="BK105" i="23"/>
  <c r="BL105" i="23"/>
  <c r="BM105" i="23"/>
  <c r="BN105" i="23"/>
  <c r="BQ105" i="23"/>
  <c r="BR105" i="23"/>
  <c r="BR109" i="23" s="1"/>
  <c r="BP106" i="23"/>
  <c r="BP107" i="23"/>
  <c r="BQ106" i="23"/>
  <c r="BQ107" i="23"/>
  <c r="BQ108" i="23" s="1"/>
  <c r="BV105" i="23"/>
  <c r="BW105" i="23"/>
  <c r="BX105" i="23"/>
  <c r="BX109" i="23"/>
  <c r="CA105" i="23"/>
  <c r="CA109" i="23"/>
  <c r="CB105" i="23" s="1"/>
  <c r="CB108" i="23" s="1"/>
  <c r="CC105" i="23"/>
  <c r="CC108" i="23"/>
  <c r="CE105" i="23"/>
  <c r="CE109" i="23" s="1"/>
  <c r="CF105" i="23" s="1"/>
  <c r="CF109" i="23" s="1"/>
  <c r="CG105" i="23" s="1"/>
  <c r="CG109" i="23" s="1"/>
  <c r="CH105" i="23" s="1"/>
  <c r="CH108" i="23" s="1"/>
  <c r="CW105" i="23"/>
  <c r="BF106" i="23"/>
  <c r="BG106" i="23"/>
  <c r="BH106" i="23"/>
  <c r="BI106" i="23"/>
  <c r="BK106" i="23"/>
  <c r="BK108" i="23" s="1"/>
  <c r="BL106" i="23"/>
  <c r="BM106" i="23"/>
  <c r="BN106" i="23"/>
  <c r="BR106" i="23"/>
  <c r="BS106" i="23"/>
  <c r="BU106" i="23"/>
  <c r="BV106" i="23"/>
  <c r="BW106" i="23"/>
  <c r="BW108" i="23" s="1"/>
  <c r="BX106" i="23"/>
  <c r="BZ106" i="23"/>
  <c r="CA106" i="23"/>
  <c r="CB106" i="23"/>
  <c r="CC106" i="23"/>
  <c r="CE106" i="23"/>
  <c r="CF106" i="23"/>
  <c r="CG106" i="23"/>
  <c r="CH106" i="23"/>
  <c r="CT106" i="23"/>
  <c r="CU106" i="23"/>
  <c r="CV106" i="23"/>
  <c r="CW106" i="23"/>
  <c r="CY106" i="23"/>
  <c r="CZ106" i="23"/>
  <c r="S107" i="23"/>
  <c r="BF107" i="23"/>
  <c r="BG107" i="23"/>
  <c r="BH107" i="23"/>
  <c r="BI107" i="23"/>
  <c r="BK107" i="23"/>
  <c r="BL107" i="23"/>
  <c r="BM107" i="23"/>
  <c r="BM108" i="23" s="1"/>
  <c r="BN107" i="23"/>
  <c r="BR107" i="23"/>
  <c r="BS107" i="23"/>
  <c r="BU107" i="23"/>
  <c r="BV107" i="23"/>
  <c r="BW107" i="23"/>
  <c r="BX107" i="23"/>
  <c r="CE107" i="23"/>
  <c r="CF107" i="23"/>
  <c r="CG107" i="23"/>
  <c r="CH107" i="23"/>
  <c r="CT107" i="23"/>
  <c r="CU107" i="23"/>
  <c r="CV107" i="23"/>
  <c r="CW107" i="23"/>
  <c r="CY107" i="23"/>
  <c r="CZ107" i="23"/>
  <c r="DA107" i="23"/>
  <c r="H109" i="23"/>
  <c r="I108" i="23"/>
  <c r="J108" i="23"/>
  <c r="K108" i="23"/>
  <c r="L108" i="23"/>
  <c r="M108" i="23"/>
  <c r="BA109" i="23"/>
  <c r="BB109" i="23"/>
  <c r="BC109" i="23"/>
  <c r="BD109" i="23" s="1"/>
  <c r="BM110" i="23"/>
  <c r="BN110" i="23"/>
  <c r="H111" i="23"/>
  <c r="I111" i="23"/>
  <c r="I115" i="23"/>
  <c r="J111" i="23" s="1"/>
  <c r="J114" i="23" s="1"/>
  <c r="J115" i="23"/>
  <c r="L111" i="23"/>
  <c r="BF111" i="23"/>
  <c r="L115" i="23"/>
  <c r="M115" i="23"/>
  <c r="N115" i="23"/>
  <c r="R111" i="23" s="1"/>
  <c r="N126" i="23"/>
  <c r="R115" i="23"/>
  <c r="S115" i="23"/>
  <c r="BF115" i="23"/>
  <c r="BF114" i="23" s="1"/>
  <c r="BG115" i="23"/>
  <c r="BH115" i="23"/>
  <c r="BI111" i="23"/>
  <c r="BI115" i="23"/>
  <c r="BK111" i="23"/>
  <c r="BK115" i="23"/>
  <c r="BL111" i="23"/>
  <c r="BL115" i="23"/>
  <c r="BN111" i="23"/>
  <c r="BN115" i="23"/>
  <c r="BP115" i="23"/>
  <c r="BQ115" i="23"/>
  <c r="BR111" i="23"/>
  <c r="BV111" i="23"/>
  <c r="BW111" i="23"/>
  <c r="BX111" i="23"/>
  <c r="BX115" i="23"/>
  <c r="BZ111" i="23" s="1"/>
  <c r="BZ115" i="23"/>
  <c r="CA115" i="23"/>
  <c r="CB111" i="23"/>
  <c r="CC111" i="23"/>
  <c r="CC115" i="23"/>
  <c r="CE111" i="23"/>
  <c r="CE115" i="23"/>
  <c r="CF111" i="23" s="1"/>
  <c r="CF115" i="23"/>
  <c r="CG115" i="23"/>
  <c r="H112" i="23"/>
  <c r="N177" i="23"/>
  <c r="N112" i="23" s="1"/>
  <c r="R177" i="23"/>
  <c r="R112" i="23"/>
  <c r="T112" i="23"/>
  <c r="CH112" i="23" s="1"/>
  <c r="BG112" i="23"/>
  <c r="BH112" i="23"/>
  <c r="BI112" i="23" s="1"/>
  <c r="BK112" i="23"/>
  <c r="BL112" i="23"/>
  <c r="H113" i="23"/>
  <c r="I113" i="23"/>
  <c r="I114" i="23"/>
  <c r="J113" i="23"/>
  <c r="K113" i="23"/>
  <c r="L113" i="23"/>
  <c r="M113" i="23"/>
  <c r="BN113" i="23"/>
  <c r="N163" i="23"/>
  <c r="N171" i="23" s="1"/>
  <c r="N113" i="23" s="1"/>
  <c r="R163" i="23"/>
  <c r="R171" i="23" s="1"/>
  <c r="R113" i="23" s="1"/>
  <c r="S113" i="23"/>
  <c r="T171" i="23"/>
  <c r="T113" i="23" s="1"/>
  <c r="BQ171" i="23"/>
  <c r="BQ113" i="23"/>
  <c r="BR163" i="23"/>
  <c r="BS163" i="23" s="1"/>
  <c r="BS171" i="23" s="1"/>
  <c r="BS113" i="23" s="1"/>
  <c r="BU113" i="23"/>
  <c r="CE113" i="23"/>
  <c r="CF113" i="23"/>
  <c r="CG113" i="23"/>
  <c r="CH113" i="23"/>
  <c r="H115" i="23"/>
  <c r="H157" i="23" s="1"/>
  <c r="H156" i="23" s="1"/>
  <c r="BA115" i="23"/>
  <c r="BB115" i="23"/>
  <c r="BC115" i="23"/>
  <c r="BD115" i="23"/>
  <c r="AV117" i="23"/>
  <c r="AW117" i="23"/>
  <c r="AX117" i="23"/>
  <c r="AY117" i="23"/>
  <c r="AY123" i="23"/>
  <c r="BA117" i="23"/>
  <c r="BB117" i="23"/>
  <c r="BC117" i="23"/>
  <c r="BD117" i="23"/>
  <c r="BD123" i="23" s="1"/>
  <c r="BN119" i="23"/>
  <c r="BS119" i="23"/>
  <c r="BN120" i="23"/>
  <c r="BS120" i="23"/>
  <c r="BN121" i="23"/>
  <c r="BS121" i="23"/>
  <c r="I122" i="23"/>
  <c r="J122" i="23"/>
  <c r="K122" i="23"/>
  <c r="L122" i="23"/>
  <c r="M122" i="23"/>
  <c r="N122" i="23"/>
  <c r="R122" i="23"/>
  <c r="B39" i="63" s="1"/>
  <c r="S122" i="23"/>
  <c r="T122" i="23"/>
  <c r="T125" i="23" s="1"/>
  <c r="U122" i="23"/>
  <c r="E39" i="63"/>
  <c r="CP122" i="23"/>
  <c r="CQ122" i="23"/>
  <c r="CR122" i="23"/>
  <c r="BF122" i="23"/>
  <c r="BG122" i="23"/>
  <c r="BH122" i="23"/>
  <c r="BI122" i="23"/>
  <c r="BK122" i="23"/>
  <c r="BL122" i="23"/>
  <c r="BM122" i="23"/>
  <c r="BN122" i="23"/>
  <c r="BP122" i="23"/>
  <c r="BQ122" i="23"/>
  <c r="BR122" i="23"/>
  <c r="BS122" i="23"/>
  <c r="BU122" i="23"/>
  <c r="BV122" i="23"/>
  <c r="BW122" i="23"/>
  <c r="BX122" i="23"/>
  <c r="BZ122" i="23"/>
  <c r="CA122" i="23"/>
  <c r="CB122" i="23"/>
  <c r="CC122" i="23"/>
  <c r="CE122" i="23"/>
  <c r="CF122" i="23"/>
  <c r="CG122" i="23"/>
  <c r="CH122" i="23"/>
  <c r="CJ122" i="23"/>
  <c r="CK122" i="23"/>
  <c r="CL122" i="23"/>
  <c r="CM122" i="23"/>
  <c r="AV123" i="23"/>
  <c r="AW123" i="23"/>
  <c r="AX123" i="23"/>
  <c r="BA123" i="23"/>
  <c r="BB123" i="23"/>
  <c r="BC123" i="23"/>
  <c r="CE125" i="23"/>
  <c r="CJ125" i="23"/>
  <c r="R126" i="23"/>
  <c r="T126" i="23"/>
  <c r="I134" i="23"/>
  <c r="M149" i="23"/>
  <c r="N149" i="23"/>
  <c r="S149" i="23"/>
  <c r="V149" i="23"/>
  <c r="L151" i="23"/>
  <c r="L152" i="23" s="1"/>
  <c r="M166" i="23"/>
  <c r="M151" i="23"/>
  <c r="N151" i="23"/>
  <c r="R151" i="23"/>
  <c r="S151" i="23"/>
  <c r="CE166" i="23"/>
  <c r="CE167" i="23" s="1"/>
  <c r="CE168" i="23" s="1"/>
  <c r="CF166" i="23"/>
  <c r="CF167" i="23"/>
  <c r="CF168" i="23" s="1"/>
  <c r="CG166" i="23"/>
  <c r="CG168" i="23"/>
  <c r="T163" i="23"/>
  <c r="U163" i="23"/>
  <c r="CO163" i="23"/>
  <c r="BC145" i="73"/>
  <c r="CP163" i="23"/>
  <c r="CQ166" i="23"/>
  <c r="CQ167" i="23" s="1"/>
  <c r="CT166" i="23"/>
  <c r="CT168" i="23" s="1"/>
  <c r="CU166" i="23"/>
  <c r="CV166" i="23"/>
  <c r="CW163" i="23"/>
  <c r="CW166" i="23" s="1"/>
  <c r="S157" i="23"/>
  <c r="S156" i="23" s="1"/>
  <c r="T157" i="23"/>
  <c r="T156" i="23" s="1"/>
  <c r="U157" i="23"/>
  <c r="U156" i="23" s="1"/>
  <c r="U306" i="23" s="1"/>
  <c r="U158" i="23"/>
  <c r="V157" i="23"/>
  <c r="V158" i="23"/>
  <c r="V159" i="23"/>
  <c r="W157" i="23"/>
  <c r="W158" i="23"/>
  <c r="I157" i="23"/>
  <c r="J157" i="23"/>
  <c r="K157" i="23"/>
  <c r="L157" i="23"/>
  <c r="M157" i="23"/>
  <c r="M158" i="23" s="1"/>
  <c r="N157" i="23"/>
  <c r="N158" i="23"/>
  <c r="H29" i="56" s="1"/>
  <c r="R157" i="23"/>
  <c r="R158" i="23" s="1"/>
  <c r="T159" i="23"/>
  <c r="S163" i="23"/>
  <c r="S171" i="23" s="1"/>
  <c r="V163" i="23"/>
  <c r="V170" i="23"/>
  <c r="CJ166" i="23"/>
  <c r="CK166" i="23"/>
  <c r="CK168" i="23" s="1"/>
  <c r="CL166" i="23"/>
  <c r="CM166" i="23"/>
  <c r="CM167" i="23" s="1"/>
  <c r="BP171" i="23"/>
  <c r="L177" i="23"/>
  <c r="M177" i="23"/>
  <c r="A181" i="23"/>
  <c r="H184" i="23"/>
  <c r="I184" i="23"/>
  <c r="J184" i="23"/>
  <c r="L184" i="23"/>
  <c r="M184" i="23"/>
  <c r="N184" i="23"/>
  <c r="R184" i="23"/>
  <c r="S184" i="23"/>
  <c r="T184" i="23"/>
  <c r="U184" i="23"/>
  <c r="V184" i="23"/>
  <c r="W184" i="23"/>
  <c r="Z184" i="23"/>
  <c r="F187" i="23"/>
  <c r="G187" i="23"/>
  <c r="G193" i="23" s="1"/>
  <c r="F188" i="23"/>
  <c r="F189" i="23"/>
  <c r="I189" i="23"/>
  <c r="I481" i="23" s="1"/>
  <c r="F190" i="23"/>
  <c r="I190" i="23"/>
  <c r="I483" i="23"/>
  <c r="F191" i="23"/>
  <c r="I191" i="23" s="1"/>
  <c r="I485" i="23" s="1"/>
  <c r="S191" i="23"/>
  <c r="S485" i="23" s="1"/>
  <c r="T191" i="23"/>
  <c r="F192" i="23"/>
  <c r="I192" i="23"/>
  <c r="J192" i="23"/>
  <c r="J193" i="23"/>
  <c r="K192" i="23"/>
  <c r="B193" i="23"/>
  <c r="C193" i="23"/>
  <c r="D193" i="23"/>
  <c r="E193" i="23"/>
  <c r="L193" i="23"/>
  <c r="M193" i="23"/>
  <c r="N193" i="23"/>
  <c r="R193" i="23"/>
  <c r="W193" i="23"/>
  <c r="F195" i="23"/>
  <c r="J195" i="23"/>
  <c r="J197" i="23" s="1"/>
  <c r="K195" i="23"/>
  <c r="W569" i="23"/>
  <c r="W577" i="23"/>
  <c r="F196" i="23"/>
  <c r="I196" i="23"/>
  <c r="W570" i="23"/>
  <c r="B197" i="23"/>
  <c r="C197" i="23"/>
  <c r="D197" i="23"/>
  <c r="E197" i="23"/>
  <c r="G197" i="23"/>
  <c r="L197" i="23"/>
  <c r="M197" i="23"/>
  <c r="N197" i="23"/>
  <c r="R197" i="23"/>
  <c r="S197" i="23"/>
  <c r="T197" i="23"/>
  <c r="U197" i="23"/>
  <c r="V197" i="23"/>
  <c r="W197" i="23"/>
  <c r="F199" i="23"/>
  <c r="I199" i="23" s="1"/>
  <c r="F200" i="23"/>
  <c r="I200" i="23" s="1"/>
  <c r="I628" i="23" s="1"/>
  <c r="J616" i="23" s="1"/>
  <c r="W628" i="23"/>
  <c r="W621" i="23" s="1"/>
  <c r="Z616" i="23" s="1"/>
  <c r="L626" i="23"/>
  <c r="M623" i="23" s="1"/>
  <c r="M626" i="23" s="1"/>
  <c r="N623" i="23" s="1"/>
  <c r="N626" i="23" s="1"/>
  <c r="R623" i="23" s="1"/>
  <c r="R626" i="23" s="1"/>
  <c r="S623" i="23" s="1"/>
  <c r="S626" i="23" s="1"/>
  <c r="T623" i="23" s="1"/>
  <c r="T626" i="23" s="1"/>
  <c r="U623" i="23" s="1"/>
  <c r="U626" i="23" s="1"/>
  <c r="V623" i="23" s="1"/>
  <c r="V626" i="23" s="1"/>
  <c r="W623" i="23" s="1"/>
  <c r="W626" i="23" s="1"/>
  <c r="F201" i="23"/>
  <c r="I201" i="23"/>
  <c r="I599" i="23" s="1"/>
  <c r="I597" i="23" s="1"/>
  <c r="J601" i="23" s="1"/>
  <c r="J597" i="23"/>
  <c r="J598" i="23"/>
  <c r="K597" i="23"/>
  <c r="K598" i="23"/>
  <c r="K614" i="23"/>
  <c r="L597" i="23"/>
  <c r="L598" i="23"/>
  <c r="M597" i="23"/>
  <c r="M598" i="23"/>
  <c r="N610" i="23" s="1"/>
  <c r="N599" i="23"/>
  <c r="N201" i="23" s="1"/>
  <c r="N202" i="23" s="1"/>
  <c r="R599" i="23"/>
  <c r="R201" i="23" s="1"/>
  <c r="S601" i="23"/>
  <c r="S605" i="23"/>
  <c r="S606" i="23" s="1"/>
  <c r="S610" i="23"/>
  <c r="S612" i="23"/>
  <c r="T612" i="23"/>
  <c r="U612" i="23"/>
  <c r="V612" i="23"/>
  <c r="W612" i="23"/>
  <c r="Z612" i="23"/>
  <c r="AA612" i="23"/>
  <c r="AC612" i="23"/>
  <c r="AD612" i="23"/>
  <c r="AE612" i="23"/>
  <c r="AF612" i="23"/>
  <c r="AG612" i="23"/>
  <c r="AH612" i="23"/>
  <c r="AI612" i="23"/>
  <c r="AJ612" i="23"/>
  <c r="AK612" i="23"/>
  <c r="B202" i="23"/>
  <c r="C202" i="23"/>
  <c r="F202" i="23"/>
  <c r="I202" i="23" s="1"/>
  <c r="F203" i="23"/>
  <c r="G203" i="23"/>
  <c r="F204" i="23"/>
  <c r="G204" i="23"/>
  <c r="B205" i="23"/>
  <c r="C205" i="23"/>
  <c r="C207" i="23" s="1"/>
  <c r="D205" i="23"/>
  <c r="E205" i="23"/>
  <c r="E207" i="23"/>
  <c r="T205" i="23"/>
  <c r="U206" i="23"/>
  <c r="V206" i="23" s="1"/>
  <c r="V205" i="23" s="1"/>
  <c r="V492" i="23" s="1"/>
  <c r="F206" i="23"/>
  <c r="I206" i="23" s="1"/>
  <c r="F210" i="23"/>
  <c r="F211" i="23"/>
  <c r="I211" i="23" s="1"/>
  <c r="I500" i="23" s="1"/>
  <c r="F212" i="23"/>
  <c r="I212" i="23" s="1"/>
  <c r="I502" i="23" s="1"/>
  <c r="F213" i="23"/>
  <c r="I213" i="23" s="1"/>
  <c r="I504" i="23" s="1"/>
  <c r="F214" i="23"/>
  <c r="I214" i="23" s="1"/>
  <c r="F215" i="23"/>
  <c r="I215" i="23" s="1"/>
  <c r="I508" i="23" s="1"/>
  <c r="F216" i="23"/>
  <c r="I216" i="23"/>
  <c r="T216" i="23"/>
  <c r="U216" i="23" s="1"/>
  <c r="V216" i="23" s="1"/>
  <c r="W216" i="23" s="1"/>
  <c r="B217" i="23"/>
  <c r="C217" i="23"/>
  <c r="C219" i="23"/>
  <c r="D217" i="23"/>
  <c r="E217" i="23"/>
  <c r="E219" i="23"/>
  <c r="F217" i="23"/>
  <c r="I217" i="23" s="1"/>
  <c r="I510" i="23" s="1"/>
  <c r="L217" i="23"/>
  <c r="R218" i="23"/>
  <c r="R274" i="23"/>
  <c r="I11" i="56" s="1"/>
  <c r="T218" i="23"/>
  <c r="T217" i="23"/>
  <c r="U217" i="23"/>
  <c r="V217" i="23"/>
  <c r="F218" i="23"/>
  <c r="I218" i="23" s="1"/>
  <c r="G219" i="23"/>
  <c r="J219" i="23"/>
  <c r="K219" i="23"/>
  <c r="M219" i="23"/>
  <c r="N219" i="23"/>
  <c r="N239" i="23" s="1"/>
  <c r="S219" i="23"/>
  <c r="F221" i="23"/>
  <c r="I221" i="23"/>
  <c r="V221" i="23"/>
  <c r="W221" i="23"/>
  <c r="F222" i="23"/>
  <c r="I222" i="23"/>
  <c r="D223" i="23"/>
  <c r="E223" i="23"/>
  <c r="E228" i="23"/>
  <c r="F223" i="23"/>
  <c r="I223" i="23" s="1"/>
  <c r="F225" i="23"/>
  <c r="I225" i="23"/>
  <c r="I513" i="23"/>
  <c r="F226" i="23"/>
  <c r="I226" i="23" s="1"/>
  <c r="I515" i="23" s="1"/>
  <c r="F230" i="23"/>
  <c r="F231" i="23"/>
  <c r="G230" i="23"/>
  <c r="G231" i="23"/>
  <c r="B228" i="23"/>
  <c r="C228" i="23"/>
  <c r="F228" i="23"/>
  <c r="L228" i="23"/>
  <c r="L517" i="23" s="1"/>
  <c r="R228" i="23"/>
  <c r="R517" i="23"/>
  <c r="S228" i="23"/>
  <c r="S517" i="23" s="1"/>
  <c r="T228" i="23"/>
  <c r="T517" i="23"/>
  <c r="U229" i="23"/>
  <c r="V229" i="23" s="1"/>
  <c r="F229" i="23"/>
  <c r="I229" i="23"/>
  <c r="K229" i="23"/>
  <c r="R230" i="23"/>
  <c r="S230" i="23"/>
  <c r="C28" i="63"/>
  <c r="C29" i="63"/>
  <c r="W230" i="23"/>
  <c r="Z230" i="23" s="1"/>
  <c r="AA230" i="23" s="1"/>
  <c r="AC230" i="23" s="1"/>
  <c r="B232" i="23"/>
  <c r="C232" i="23"/>
  <c r="I232" i="23"/>
  <c r="F232" i="23" s="1"/>
  <c r="J232" i="23"/>
  <c r="G232" i="23" s="1"/>
  <c r="K232" i="23"/>
  <c r="U232" i="23"/>
  <c r="V232" i="23" s="1"/>
  <c r="W232" i="23" s="1"/>
  <c r="AD232" i="23" s="1"/>
  <c r="AE232" i="23" s="1"/>
  <c r="AF232" i="23" s="1"/>
  <c r="AG232" i="23" s="1"/>
  <c r="AH232" i="23" s="1"/>
  <c r="AI232" i="23" s="1"/>
  <c r="AJ232" i="23" s="1"/>
  <c r="AK232" i="23" s="1"/>
  <c r="AL232" i="23" s="1"/>
  <c r="AM232" i="23" s="1"/>
  <c r="F233" i="23"/>
  <c r="I233" i="23" s="1"/>
  <c r="D234" i="23"/>
  <c r="E234" i="23"/>
  <c r="I236" i="23"/>
  <c r="F236" i="23" s="1"/>
  <c r="F235" i="23"/>
  <c r="I235" i="23"/>
  <c r="G236" i="23"/>
  <c r="U235" i="23"/>
  <c r="V235" i="23" s="1"/>
  <c r="W235" i="23" s="1"/>
  <c r="U236" i="23"/>
  <c r="V236" i="23" s="1"/>
  <c r="B235" i="23"/>
  <c r="B237" i="23" s="1"/>
  <c r="C235" i="23"/>
  <c r="C237" i="23" s="1"/>
  <c r="R236" i="23"/>
  <c r="J237" i="23"/>
  <c r="L237" i="23"/>
  <c r="M237" i="23"/>
  <c r="M239" i="23" s="1"/>
  <c r="S237" i="23"/>
  <c r="T237" i="23"/>
  <c r="A242" i="23"/>
  <c r="H245" i="23"/>
  <c r="I245" i="23"/>
  <c r="J245" i="23"/>
  <c r="L245" i="23"/>
  <c r="M245" i="23"/>
  <c r="N245" i="23"/>
  <c r="R245" i="23"/>
  <c r="S245" i="23"/>
  <c r="T245" i="23"/>
  <c r="U245" i="23"/>
  <c r="V245" i="23"/>
  <c r="W245" i="23"/>
  <c r="Z245" i="23"/>
  <c r="F247" i="23"/>
  <c r="J247" i="23"/>
  <c r="G247" i="23" s="1"/>
  <c r="K247" i="23"/>
  <c r="U247" i="23"/>
  <c r="W247" i="23"/>
  <c r="W249" i="23" s="1"/>
  <c r="J248" i="23"/>
  <c r="G248" i="23" s="1"/>
  <c r="K248" i="23"/>
  <c r="U248" i="23"/>
  <c r="V248" i="23"/>
  <c r="W248" i="23"/>
  <c r="Z248" i="23"/>
  <c r="B249" i="23"/>
  <c r="C249" i="23"/>
  <c r="D249" i="23"/>
  <c r="D261" i="23"/>
  <c r="E249" i="23"/>
  <c r="E261" i="23" s="1"/>
  <c r="B250" i="23"/>
  <c r="C250" i="23"/>
  <c r="K253" i="23"/>
  <c r="J258" i="23"/>
  <c r="K258" i="23"/>
  <c r="U258" i="23"/>
  <c r="J260" i="23"/>
  <c r="K260" i="23"/>
  <c r="V260" i="23"/>
  <c r="R264" i="23"/>
  <c r="S264" i="23"/>
  <c r="T264" i="23"/>
  <c r="V264" i="23"/>
  <c r="I533" i="23"/>
  <c r="I534" i="23"/>
  <c r="I535" i="23"/>
  <c r="I536" i="23"/>
  <c r="K265" i="23"/>
  <c r="N265" i="23"/>
  <c r="R265" i="23"/>
  <c r="S265" i="23"/>
  <c r="T265" i="23"/>
  <c r="U265" i="23"/>
  <c r="V265" i="23"/>
  <c r="V267" i="23"/>
  <c r="W265" i="23"/>
  <c r="W267" i="23" s="1"/>
  <c r="N266" i="23"/>
  <c r="N267" i="23"/>
  <c r="R266" i="23"/>
  <c r="R267" i="23" s="1"/>
  <c r="U266" i="23"/>
  <c r="U267" i="23"/>
  <c r="B267" i="23"/>
  <c r="B275" i="23" s="1"/>
  <c r="C267" i="23"/>
  <c r="C275" i="23"/>
  <c r="R268" i="23"/>
  <c r="V268" i="23"/>
  <c r="U269" i="23"/>
  <c r="N270" i="23"/>
  <c r="R271" i="23"/>
  <c r="S271" i="23"/>
  <c r="T271" i="23"/>
  <c r="U271" i="23"/>
  <c r="V271" i="23"/>
  <c r="W271" i="23"/>
  <c r="R272" i="23"/>
  <c r="U272" i="23"/>
  <c r="W272" i="23"/>
  <c r="K273" i="23"/>
  <c r="D275" i="23"/>
  <c r="D277" i="23"/>
  <c r="E275" i="23"/>
  <c r="F275" i="23"/>
  <c r="G275" i="23"/>
  <c r="F279" i="23"/>
  <c r="F286" i="23" s="1"/>
  <c r="G279" i="23"/>
  <c r="G286" i="23"/>
  <c r="J280" i="23"/>
  <c r="J630" i="23" s="1"/>
  <c r="K280" i="23"/>
  <c r="K286" i="23"/>
  <c r="B284" i="23"/>
  <c r="C284" i="23"/>
  <c r="J284" i="23"/>
  <c r="J286" i="23"/>
  <c r="K284" i="23"/>
  <c r="B286" i="23"/>
  <c r="C286" i="23"/>
  <c r="D286" i="23"/>
  <c r="E286" i="23"/>
  <c r="K292" i="23"/>
  <c r="K291" i="23" s="1"/>
  <c r="K298" i="23" s="1"/>
  <c r="B292" i="23"/>
  <c r="C292" i="23"/>
  <c r="B293" i="23"/>
  <c r="B298" i="23" s="1"/>
  <c r="C293" i="23"/>
  <c r="C298" i="23"/>
  <c r="D298" i="23"/>
  <c r="E298" i="23"/>
  <c r="F298" i="23"/>
  <c r="G298" i="23"/>
  <c r="I306" i="23"/>
  <c r="J306" i="23"/>
  <c r="K306" i="23"/>
  <c r="L306" i="23"/>
  <c r="M306" i="23"/>
  <c r="N306" i="23"/>
  <c r="R306" i="23"/>
  <c r="M307" i="23"/>
  <c r="N307" i="23"/>
  <c r="N308" i="23"/>
  <c r="S307" i="23"/>
  <c r="T307" i="23"/>
  <c r="K33" i="56" s="1"/>
  <c r="J311" i="23"/>
  <c r="A314" i="23"/>
  <c r="H317" i="23"/>
  <c r="I317" i="23"/>
  <c r="J317" i="23"/>
  <c r="K317" i="23"/>
  <c r="L317" i="23"/>
  <c r="M317" i="23"/>
  <c r="N317" i="23"/>
  <c r="R317" i="23"/>
  <c r="S317" i="23"/>
  <c r="T317" i="23"/>
  <c r="U317" i="23"/>
  <c r="V317" i="23"/>
  <c r="W317" i="23"/>
  <c r="Z317" i="23"/>
  <c r="J360" i="23"/>
  <c r="K360" i="23"/>
  <c r="H362" i="23"/>
  <c r="S364" i="23"/>
  <c r="T364" i="23"/>
  <c r="U364" i="23" s="1"/>
  <c r="W364" i="23"/>
  <c r="Z366" i="23" s="1"/>
  <c r="H365" i="23"/>
  <c r="J365" i="23"/>
  <c r="J366" i="23" s="1"/>
  <c r="K365" i="23"/>
  <c r="K366" i="23" s="1"/>
  <c r="L365" i="23"/>
  <c r="L366" i="23" s="1"/>
  <c r="M365" i="23"/>
  <c r="M366" i="23" s="1"/>
  <c r="N365" i="23"/>
  <c r="N366" i="23" s="1"/>
  <c r="R365" i="23"/>
  <c r="R366" i="23" s="1"/>
  <c r="S365" i="23"/>
  <c r="S366" i="23" s="1"/>
  <c r="T365" i="23"/>
  <c r="U365" i="23"/>
  <c r="V365" i="23"/>
  <c r="V366" i="23" s="1"/>
  <c r="T366" i="23"/>
  <c r="U366" i="23"/>
  <c r="A374" i="23"/>
  <c r="A421" i="23" s="1"/>
  <c r="T374" i="23"/>
  <c r="U421" i="23"/>
  <c r="U374" i="23"/>
  <c r="CU374" i="23"/>
  <c r="CV374" i="23"/>
  <c r="K375" i="23"/>
  <c r="L422" i="23"/>
  <c r="L375" i="23" s="1"/>
  <c r="S422" i="23"/>
  <c r="S375" i="23"/>
  <c r="U422" i="23"/>
  <c r="W375" i="23"/>
  <c r="CT375" i="23" s="1"/>
  <c r="K376" i="23"/>
  <c r="K377" i="23"/>
  <c r="K378" i="23"/>
  <c r="L378" i="23"/>
  <c r="K379" i="23"/>
  <c r="L379" i="23"/>
  <c r="K380" i="23"/>
  <c r="L380" i="23"/>
  <c r="K381" i="23"/>
  <c r="L381" i="23"/>
  <c r="K382" i="23"/>
  <c r="L382" i="23"/>
  <c r="K383" i="23"/>
  <c r="K384" i="23"/>
  <c r="L384" i="23"/>
  <c r="K385" i="23"/>
  <c r="A386" i="23"/>
  <c r="A433" i="23"/>
  <c r="R386" i="23"/>
  <c r="S386" i="23"/>
  <c r="K387" i="23"/>
  <c r="L387" i="23"/>
  <c r="A388" i="23"/>
  <c r="A435" i="23" s="1"/>
  <c r="A389" i="23"/>
  <c r="A436" i="23" s="1"/>
  <c r="R389" i="23"/>
  <c r="S390" i="23"/>
  <c r="T390" i="23"/>
  <c r="W390" i="23"/>
  <c r="CT390" i="23"/>
  <c r="S391" i="23"/>
  <c r="T391" i="23"/>
  <c r="K392" i="23"/>
  <c r="L392" i="23"/>
  <c r="CT392" i="23"/>
  <c r="CU392" i="23"/>
  <c r="CV392" i="23"/>
  <c r="W392" i="23"/>
  <c r="CW392" i="23"/>
  <c r="K393" i="23"/>
  <c r="L393" i="23"/>
  <c r="CT393" i="23"/>
  <c r="CU393" i="23"/>
  <c r="CV393" i="23"/>
  <c r="W393" i="23"/>
  <c r="CX393" i="23" s="1"/>
  <c r="CW393" i="23"/>
  <c r="K394" i="23"/>
  <c r="L394" i="23"/>
  <c r="CT394" i="23"/>
  <c r="CU394" i="23"/>
  <c r="CV394" i="23"/>
  <c r="W394" i="23"/>
  <c r="CX394" i="23" s="1"/>
  <c r="CW394" i="23"/>
  <c r="K395" i="23"/>
  <c r="L395" i="23"/>
  <c r="S396" i="23"/>
  <c r="K397" i="23"/>
  <c r="L397" i="23"/>
  <c r="K398" i="23"/>
  <c r="L398" i="23"/>
  <c r="A399" i="23"/>
  <c r="R399" i="23"/>
  <c r="S399" i="23"/>
  <c r="T399" i="23"/>
  <c r="U399" i="23"/>
  <c r="V399" i="23"/>
  <c r="A400" i="23"/>
  <c r="R400" i="23"/>
  <c r="S400" i="23"/>
  <c r="T400" i="23"/>
  <c r="U400" i="23"/>
  <c r="V400" i="23"/>
  <c r="A401" i="23"/>
  <c r="R401" i="23"/>
  <c r="S401" i="23"/>
  <c r="T401" i="23"/>
  <c r="U401" i="23"/>
  <c r="V401" i="23"/>
  <c r="A402" i="23"/>
  <c r="CT402" i="23"/>
  <c r="W402" i="23"/>
  <c r="CX402" i="23" s="1"/>
  <c r="DA402" i="23"/>
  <c r="DB402" i="23"/>
  <c r="DC402" i="23"/>
  <c r="A403" i="23"/>
  <c r="CW403" i="23"/>
  <c r="CV403" i="23" s="1"/>
  <c r="W403" i="23" s="1"/>
  <c r="CX403" i="23" s="1"/>
  <c r="A404" i="23"/>
  <c r="CW404" i="23"/>
  <c r="CV404" i="23"/>
  <c r="W404" i="23" s="1"/>
  <c r="CX404" i="23" s="1"/>
  <c r="A405" i="23"/>
  <c r="CW405" i="23"/>
  <c r="CV405" i="23" s="1"/>
  <c r="W405" i="23" s="1"/>
  <c r="CX405" i="23" s="1"/>
  <c r="A406" i="23"/>
  <c r="CW406" i="23"/>
  <c r="CX406" i="23"/>
  <c r="DA406" i="23"/>
  <c r="DB406" i="23"/>
  <c r="A407" i="23"/>
  <c r="CW407" i="23"/>
  <c r="CX407" i="23" s="1"/>
  <c r="DA407" i="23"/>
  <c r="DB407" i="23"/>
  <c r="A408" i="23"/>
  <c r="CW408" i="23"/>
  <c r="CX408" i="23"/>
  <c r="DA408" i="23"/>
  <c r="DB408" i="23"/>
  <c r="A409" i="23"/>
  <c r="CW409" i="23"/>
  <c r="CX409" i="23" s="1"/>
  <c r="DA409" i="23"/>
  <c r="DB409" i="23"/>
  <c r="R411" i="23"/>
  <c r="S411" i="23"/>
  <c r="T411" i="23"/>
  <c r="U411" i="23"/>
  <c r="V411" i="23"/>
  <c r="W411" i="23"/>
  <c r="DA411" i="23"/>
  <c r="DB411" i="23"/>
  <c r="K416" i="23"/>
  <c r="L463" i="23"/>
  <c r="N416" i="23"/>
  <c r="R463" i="23"/>
  <c r="CU418" i="23"/>
  <c r="CV418" i="23"/>
  <c r="CW418" i="23"/>
  <c r="A446" i="23"/>
  <c r="A447" i="23"/>
  <c r="A448" i="23"/>
  <c r="A449" i="23"/>
  <c r="Z449" i="23"/>
  <c r="AA449" i="23" s="1"/>
  <c r="AC449" i="23" s="1"/>
  <c r="AD449" i="23" s="1"/>
  <c r="AE449" i="23" s="1"/>
  <c r="AF449" i="23" s="1"/>
  <c r="AG449" i="23" s="1"/>
  <c r="AH449" i="23" s="1"/>
  <c r="AI449" i="23" s="1"/>
  <c r="AJ449" i="23" s="1"/>
  <c r="AK449" i="23" s="1"/>
  <c r="AL449" i="23" s="1"/>
  <c r="AM449" i="23" s="1"/>
  <c r="AN449" i="23" s="1"/>
  <c r="A450" i="23"/>
  <c r="A451" i="23"/>
  <c r="A452" i="23"/>
  <c r="A453" i="23"/>
  <c r="A454" i="23"/>
  <c r="A455" i="23"/>
  <c r="A456" i="23"/>
  <c r="Z464" i="23"/>
  <c r="AA464" i="23" s="1"/>
  <c r="AC464" i="23" s="1"/>
  <c r="AD464" i="23" s="1"/>
  <c r="AE464" i="23" s="1"/>
  <c r="AF464" i="23" s="1"/>
  <c r="AG464" i="23" s="1"/>
  <c r="AH464" i="23" s="1"/>
  <c r="AI464" i="23" s="1"/>
  <c r="AJ464" i="23" s="1"/>
  <c r="AK464" i="23" s="1"/>
  <c r="AL464" i="23" s="1"/>
  <c r="AM464" i="23" s="1"/>
  <c r="AN464" i="23" s="1"/>
  <c r="A469" i="23"/>
  <c r="H472" i="23"/>
  <c r="I472" i="23"/>
  <c r="J472" i="23"/>
  <c r="K472" i="23"/>
  <c r="L472" i="23"/>
  <c r="M472" i="23"/>
  <c r="N472" i="23"/>
  <c r="R472" i="23"/>
  <c r="S472" i="23"/>
  <c r="T472" i="23"/>
  <c r="U472" i="23"/>
  <c r="V472" i="23"/>
  <c r="W472" i="23"/>
  <c r="Z472" i="23"/>
  <c r="H473" i="23"/>
  <c r="K473" i="23"/>
  <c r="L473" i="23"/>
  <c r="J552" i="23"/>
  <c r="J477" i="23" s="1"/>
  <c r="K552" i="23"/>
  <c r="L552" i="23"/>
  <c r="L477" i="23" s="1"/>
  <c r="M552" i="23"/>
  <c r="M477" i="23" s="1"/>
  <c r="M478" i="23" s="1"/>
  <c r="N552" i="23"/>
  <c r="R552" i="23"/>
  <c r="S552" i="23"/>
  <c r="S477" i="23" s="1"/>
  <c r="T552" i="23"/>
  <c r="T477" i="23"/>
  <c r="U552" i="23"/>
  <c r="U477" i="23" s="1"/>
  <c r="V552" i="23"/>
  <c r="J479" i="23"/>
  <c r="K479" i="23"/>
  <c r="L479" i="23"/>
  <c r="L480" i="23" s="1"/>
  <c r="M479" i="23"/>
  <c r="N479" i="23"/>
  <c r="R479" i="23"/>
  <c r="S479" i="23"/>
  <c r="T479" i="23"/>
  <c r="U479" i="23"/>
  <c r="V479" i="23"/>
  <c r="J481" i="23"/>
  <c r="K481" i="23"/>
  <c r="L481" i="23"/>
  <c r="L482" i="23" s="1"/>
  <c r="M481" i="23"/>
  <c r="N481" i="23"/>
  <c r="R481" i="23"/>
  <c r="S481" i="23"/>
  <c r="T481" i="23"/>
  <c r="U481" i="23"/>
  <c r="V481" i="23"/>
  <c r="W481" i="23"/>
  <c r="J483" i="23"/>
  <c r="K483" i="23"/>
  <c r="L483" i="23"/>
  <c r="M483" i="23"/>
  <c r="N483" i="23"/>
  <c r="R483" i="23"/>
  <c r="S483" i="23"/>
  <c r="J485" i="23"/>
  <c r="K485" i="23"/>
  <c r="L485" i="23"/>
  <c r="M485" i="23"/>
  <c r="N485" i="23"/>
  <c r="R485" i="23"/>
  <c r="I548" i="23"/>
  <c r="B550" i="23"/>
  <c r="I540" i="23"/>
  <c r="I541" i="23"/>
  <c r="J542" i="23"/>
  <c r="K542" i="23"/>
  <c r="K551" i="23"/>
  <c r="K554" i="23" s="1"/>
  <c r="K488" i="23" s="1"/>
  <c r="K489" i="23" s="1"/>
  <c r="L542" i="23"/>
  <c r="L551" i="23" s="1"/>
  <c r="M542" i="23"/>
  <c r="N542" i="23"/>
  <c r="T551" i="23"/>
  <c r="T554" i="23" s="1"/>
  <c r="U551" i="23"/>
  <c r="U554" i="23" s="1"/>
  <c r="V551" i="23"/>
  <c r="I490" i="23"/>
  <c r="J490" i="23"/>
  <c r="K490" i="23"/>
  <c r="K491" i="23" s="1"/>
  <c r="L490" i="23"/>
  <c r="M490" i="23"/>
  <c r="N490" i="23"/>
  <c r="R490" i="23"/>
  <c r="S490" i="23"/>
  <c r="T490" i="23"/>
  <c r="U490" i="23"/>
  <c r="V490" i="23"/>
  <c r="W490" i="23"/>
  <c r="Z490" i="23"/>
  <c r="J492" i="23"/>
  <c r="K492" i="23"/>
  <c r="L492" i="23"/>
  <c r="L493" i="23"/>
  <c r="M492" i="23"/>
  <c r="N492" i="23"/>
  <c r="R492" i="23"/>
  <c r="S492" i="23"/>
  <c r="J498" i="23"/>
  <c r="K498" i="23"/>
  <c r="L498" i="23"/>
  <c r="M498" i="23"/>
  <c r="N498" i="23"/>
  <c r="R498" i="23"/>
  <c r="S498" i="23"/>
  <c r="T498" i="23"/>
  <c r="U498" i="23"/>
  <c r="V498" i="23"/>
  <c r="J500" i="23"/>
  <c r="K500" i="23"/>
  <c r="L500" i="23"/>
  <c r="L501" i="23"/>
  <c r="M500" i="23"/>
  <c r="N500" i="23"/>
  <c r="R500" i="23"/>
  <c r="S500" i="23"/>
  <c r="T500" i="23"/>
  <c r="U500" i="23"/>
  <c r="V500" i="23"/>
  <c r="J502" i="23"/>
  <c r="K502" i="23"/>
  <c r="L502" i="23"/>
  <c r="M502" i="23"/>
  <c r="N502" i="23"/>
  <c r="R502" i="23"/>
  <c r="S502" i="23"/>
  <c r="T502" i="23"/>
  <c r="U502" i="23"/>
  <c r="V502" i="23"/>
  <c r="J504" i="23"/>
  <c r="K504" i="23"/>
  <c r="L504" i="23"/>
  <c r="L505" i="23" s="1"/>
  <c r="M504" i="23"/>
  <c r="N504" i="23"/>
  <c r="R504" i="23"/>
  <c r="S504" i="23"/>
  <c r="T504" i="23"/>
  <c r="U504" i="23"/>
  <c r="V504" i="23"/>
  <c r="J506" i="23"/>
  <c r="K506" i="23"/>
  <c r="L506" i="23"/>
  <c r="M506" i="23"/>
  <c r="N506" i="23"/>
  <c r="R506" i="23"/>
  <c r="S506" i="23"/>
  <c r="T506" i="23"/>
  <c r="U506" i="23"/>
  <c r="V506" i="23"/>
  <c r="I557" i="23"/>
  <c r="J508" i="23"/>
  <c r="K508" i="23"/>
  <c r="L508" i="23"/>
  <c r="M508" i="23"/>
  <c r="N508" i="23"/>
  <c r="R508" i="23"/>
  <c r="S508" i="23"/>
  <c r="T508" i="23"/>
  <c r="U508" i="23"/>
  <c r="V508" i="23"/>
  <c r="J510" i="23"/>
  <c r="K510" i="23"/>
  <c r="M510" i="23"/>
  <c r="N510" i="23"/>
  <c r="S510" i="23"/>
  <c r="U510" i="23"/>
  <c r="J513" i="23"/>
  <c r="K513" i="23"/>
  <c r="L513" i="23"/>
  <c r="L514" i="23"/>
  <c r="M513" i="23"/>
  <c r="J515" i="23"/>
  <c r="K515" i="23"/>
  <c r="L515" i="23"/>
  <c r="M515" i="23"/>
  <c r="J517" i="23"/>
  <c r="K517" i="23"/>
  <c r="K518" i="23"/>
  <c r="M517" i="23"/>
  <c r="N517" i="23"/>
  <c r="A530" i="23"/>
  <c r="H531" i="23"/>
  <c r="I531" i="23"/>
  <c r="J531" i="23"/>
  <c r="K531" i="23"/>
  <c r="L531" i="23"/>
  <c r="M531" i="23"/>
  <c r="N531" i="23"/>
  <c r="R531" i="23"/>
  <c r="S531" i="23"/>
  <c r="T531" i="23"/>
  <c r="U531" i="23"/>
  <c r="V531" i="23"/>
  <c r="W531" i="23"/>
  <c r="Z531" i="23"/>
  <c r="AA531" i="23"/>
  <c r="AC531" i="23"/>
  <c r="AD531" i="23"/>
  <c r="AE531" i="23"/>
  <c r="AF531" i="23"/>
  <c r="AG531" i="23"/>
  <c r="AH531" i="23"/>
  <c r="AI531" i="23"/>
  <c r="AJ531" i="23"/>
  <c r="AK531" i="23"/>
  <c r="J533" i="23"/>
  <c r="J534" i="23"/>
  <c r="J535" i="23"/>
  <c r="J536" i="23"/>
  <c r="B537" i="23"/>
  <c r="C537" i="23"/>
  <c r="D537" i="23"/>
  <c r="E537" i="23"/>
  <c r="F537" i="23"/>
  <c r="G537" i="23"/>
  <c r="B542" i="23"/>
  <c r="B551" i="23" s="1"/>
  <c r="B554" i="23" s="1"/>
  <c r="C542" i="23"/>
  <c r="D542" i="23"/>
  <c r="E542" i="23"/>
  <c r="E551" i="23" s="1"/>
  <c r="E554" i="23" s="1"/>
  <c r="F542" i="23"/>
  <c r="G542" i="23"/>
  <c r="G545" i="23"/>
  <c r="G551" i="23" s="1"/>
  <c r="U546" i="23"/>
  <c r="V546" i="23"/>
  <c r="I559" i="23"/>
  <c r="I560" i="23" s="1"/>
  <c r="C550" i="23"/>
  <c r="C551" i="23"/>
  <c r="C554" i="23"/>
  <c r="G552" i="23"/>
  <c r="L558" i="23"/>
  <c r="S558" i="23"/>
  <c r="T558" i="23"/>
  <c r="A565" i="23"/>
  <c r="H568" i="23"/>
  <c r="I568" i="23"/>
  <c r="J568" i="23"/>
  <c r="K568" i="23"/>
  <c r="L568" i="23"/>
  <c r="M568" i="23"/>
  <c r="N568" i="23"/>
  <c r="R568" i="23"/>
  <c r="S568" i="23"/>
  <c r="T568" i="23"/>
  <c r="U568" i="23"/>
  <c r="V568" i="23"/>
  <c r="W568" i="23"/>
  <c r="Z568" i="23"/>
  <c r="AA568" i="23"/>
  <c r="AC568" i="23"/>
  <c r="AD568" i="23"/>
  <c r="AE568" i="23"/>
  <c r="AF568" i="23"/>
  <c r="AG568" i="23"/>
  <c r="AH568" i="23"/>
  <c r="AI568" i="23"/>
  <c r="AJ568" i="23"/>
  <c r="AK568" i="23"/>
  <c r="J569" i="23"/>
  <c r="K573" i="23"/>
  <c r="L569" i="23"/>
  <c r="M569" i="23"/>
  <c r="N573" i="23" s="1"/>
  <c r="N569" i="23"/>
  <c r="R569" i="23"/>
  <c r="S569" i="23"/>
  <c r="T569" i="23"/>
  <c r="T577" i="23"/>
  <c r="U569" i="23"/>
  <c r="V569" i="23"/>
  <c r="J570" i="23"/>
  <c r="K570" i="23"/>
  <c r="L570" i="23"/>
  <c r="L586" i="23" s="1"/>
  <c r="M570" i="23"/>
  <c r="N570" i="23"/>
  <c r="N586" i="23"/>
  <c r="R570" i="23"/>
  <c r="S570" i="23"/>
  <c r="S586" i="23"/>
  <c r="T570" i="23"/>
  <c r="T586" i="23" s="1"/>
  <c r="U570" i="23"/>
  <c r="V570" i="23"/>
  <c r="J574" i="23"/>
  <c r="K574" i="23"/>
  <c r="L574" i="23"/>
  <c r="M574" i="23"/>
  <c r="N574" i="23"/>
  <c r="R574" i="23"/>
  <c r="S574" i="23"/>
  <c r="T574" i="23"/>
  <c r="U574" i="23"/>
  <c r="V574" i="23"/>
  <c r="W574" i="23"/>
  <c r="W576" i="23"/>
  <c r="J634" i="23"/>
  <c r="J633" i="23" s="1"/>
  <c r="K576" i="23"/>
  <c r="K638" i="23" s="1"/>
  <c r="L576" i="23"/>
  <c r="L638" i="23"/>
  <c r="M576" i="23"/>
  <c r="M638" i="23" s="1"/>
  <c r="V576" i="23"/>
  <c r="W578" i="23"/>
  <c r="A593" i="23"/>
  <c r="H596" i="23"/>
  <c r="I596" i="23"/>
  <c r="J596" i="23"/>
  <c r="K596" i="23"/>
  <c r="L596" i="23"/>
  <c r="M596" i="23"/>
  <c r="N596" i="23"/>
  <c r="R596" i="23"/>
  <c r="S596" i="23"/>
  <c r="T596" i="23"/>
  <c r="U596" i="23"/>
  <c r="V596" i="23"/>
  <c r="W596" i="23"/>
  <c r="Z596" i="23"/>
  <c r="AA596" i="23"/>
  <c r="AC596" i="23"/>
  <c r="AD596" i="23"/>
  <c r="AE596" i="23"/>
  <c r="AF596" i="23"/>
  <c r="AG596" i="23"/>
  <c r="AH596" i="23"/>
  <c r="AI596" i="23"/>
  <c r="AJ596" i="23"/>
  <c r="AK596" i="23"/>
  <c r="I598" i="23"/>
  <c r="R601" i="23"/>
  <c r="J605" i="23"/>
  <c r="N605" i="23"/>
  <c r="R605" i="23"/>
  <c r="M610" i="23"/>
  <c r="R610" i="23"/>
  <c r="J614" i="23"/>
  <c r="L614" i="23"/>
  <c r="M614" i="23"/>
  <c r="N614" i="23"/>
  <c r="R614" i="23"/>
  <c r="J628" i="23"/>
  <c r="K628" i="23"/>
  <c r="K621" i="23"/>
  <c r="L628" i="23"/>
  <c r="M628" i="23"/>
  <c r="M621" i="23"/>
  <c r="N628" i="23"/>
  <c r="N621" i="23"/>
  <c r="R616" i="23" s="1"/>
  <c r="R628" i="23"/>
  <c r="R621" i="23"/>
  <c r="S628" i="23"/>
  <c r="S621" i="23" s="1"/>
  <c r="T628" i="23"/>
  <c r="T621" i="23"/>
  <c r="U628" i="23"/>
  <c r="U621" i="23" s="1"/>
  <c r="V616" i="23" s="1"/>
  <c r="V628" i="23"/>
  <c r="V621" i="23"/>
  <c r="J617" i="23"/>
  <c r="J636" i="23" s="1"/>
  <c r="K617" i="23"/>
  <c r="K636" i="23"/>
  <c r="K619" i="23"/>
  <c r="I626" i="23"/>
  <c r="J626" i="23"/>
  <c r="K626" i="23"/>
  <c r="K630" i="23"/>
  <c r="L630" i="23"/>
  <c r="M630" i="23"/>
  <c r="N630" i="23"/>
  <c r="R630" i="23"/>
  <c r="K632" i="23"/>
  <c r="K633" i="23"/>
  <c r="L632" i="23"/>
  <c r="M634" i="23"/>
  <c r="N632" i="23"/>
  <c r="N633" i="23"/>
  <c r="L633" i="23"/>
  <c r="I634" i="23"/>
  <c r="I635" i="23"/>
  <c r="L636" i="23"/>
  <c r="M636" i="23"/>
  <c r="N636" i="23"/>
  <c r="R636" i="23"/>
  <c r="R639" i="23"/>
  <c r="J637" i="23"/>
  <c r="K637" i="23"/>
  <c r="L637" i="23"/>
  <c r="M637" i="23"/>
  <c r="N637" i="23"/>
  <c r="R637" i="23"/>
  <c r="N638" i="23"/>
  <c r="R638" i="23"/>
  <c r="L641" i="23"/>
  <c r="L643" i="23" s="1"/>
  <c r="L645" i="23" s="1"/>
  <c r="M641" i="23"/>
  <c r="R641" i="23"/>
  <c r="R643" i="23" s="1"/>
  <c r="R645" i="23" s="1"/>
  <c r="A654" i="23"/>
  <c r="H655" i="23"/>
  <c r="I655" i="23"/>
  <c r="J655" i="23"/>
  <c r="K655" i="23"/>
  <c r="L655" i="23"/>
  <c r="M655" i="23"/>
  <c r="N655" i="23"/>
  <c r="R655" i="23"/>
  <c r="S655" i="23"/>
  <c r="T655" i="23"/>
  <c r="U655" i="23"/>
  <c r="V655" i="23"/>
  <c r="W655" i="23"/>
  <c r="Z655" i="23"/>
  <c r="AA655" i="23"/>
  <c r="AC655" i="23"/>
  <c r="AD655" i="23"/>
  <c r="AE655" i="23"/>
  <c r="AF655" i="23"/>
  <c r="AG655" i="23"/>
  <c r="AH655" i="23"/>
  <c r="AI655" i="23"/>
  <c r="AJ655" i="23"/>
  <c r="AK655" i="23"/>
  <c r="I656" i="23"/>
  <c r="I660" i="23"/>
  <c r="I661" i="23" s="1"/>
  <c r="J656" i="23"/>
  <c r="K656" i="23"/>
  <c r="K660" i="23"/>
  <c r="K661" i="23" s="1"/>
  <c r="L656" i="23"/>
  <c r="M656" i="23"/>
  <c r="M660" i="23"/>
  <c r="M661" i="23" s="1"/>
  <c r="BF656" i="23"/>
  <c r="BG656" i="23"/>
  <c r="BH656" i="23"/>
  <c r="BU656" i="23"/>
  <c r="BV656" i="23"/>
  <c r="BW656" i="23"/>
  <c r="BX667" i="23"/>
  <c r="BX666" i="23" s="1"/>
  <c r="BU657" i="23"/>
  <c r="BW657" i="23"/>
  <c r="BX679" i="23"/>
  <c r="BF661" i="23"/>
  <c r="BG661" i="23"/>
  <c r="BH661" i="23"/>
  <c r="BI661" i="23"/>
  <c r="BK661" i="23"/>
  <c r="BL661" i="23"/>
  <c r="BM661" i="23"/>
  <c r="BN661" i="23"/>
  <c r="BP661" i="23"/>
  <c r="BQ661" i="23"/>
  <c r="BR661" i="23"/>
  <c r="BS661" i="23"/>
  <c r="BU661" i="23"/>
  <c r="BV661" i="23"/>
  <c r="BW661" i="23"/>
  <c r="BX661" i="23"/>
  <c r="R669" i="23"/>
  <c r="BS668" i="23"/>
  <c r="J668" i="23"/>
  <c r="K668" i="23"/>
  <c r="H675" i="23"/>
  <c r="H673" i="23" s="1"/>
  <c r="H674" i="23"/>
  <c r="I675" i="23"/>
  <c r="J675" i="23"/>
  <c r="K675" i="23"/>
  <c r="L675" i="23"/>
  <c r="M675" i="23"/>
  <c r="T675" i="23"/>
  <c r="W675" i="23"/>
  <c r="BF675" i="23"/>
  <c r="BF674" i="23"/>
  <c r="BG675" i="23"/>
  <c r="BH675" i="23"/>
  <c r="BI675" i="23"/>
  <c r="BI674" i="23"/>
  <c r="BK675" i="23"/>
  <c r="BL675" i="23"/>
  <c r="BM675" i="23"/>
  <c r="BN675" i="23"/>
  <c r="BQ675" i="23"/>
  <c r="BR675" i="23"/>
  <c r="BS675" i="23"/>
  <c r="BU675" i="23"/>
  <c r="BV675" i="23"/>
  <c r="BW675" i="23"/>
  <c r="BX675" i="23"/>
  <c r="R680" i="23"/>
  <c r="S678" i="23" s="1"/>
  <c r="S680" i="23" s="1"/>
  <c r="T678" i="23"/>
  <c r="T680" i="23" s="1"/>
  <c r="BU678" i="23"/>
  <c r="BU680" i="23" s="1"/>
  <c r="BV678" i="23"/>
  <c r="BV680" i="23"/>
  <c r="BW678" i="23" s="1"/>
  <c r="BW680" i="23" s="1"/>
  <c r="BX678" i="23" s="1"/>
  <c r="BU679" i="23"/>
  <c r="BV679" i="23"/>
  <c r="BW679" i="23"/>
  <c r="I689" i="23"/>
  <c r="J689" i="23"/>
  <c r="K689" i="23"/>
  <c r="L689" i="23"/>
  <c r="M689" i="23"/>
  <c r="N689" i="23"/>
  <c r="R689" i="23"/>
  <c r="S689" i="23"/>
  <c r="T689" i="23"/>
  <c r="U689" i="23"/>
  <c r="V689" i="23"/>
  <c r="W689" i="23"/>
  <c r="Z689" i="23"/>
  <c r="N690" i="23"/>
  <c r="R690" i="23"/>
  <c r="S690" i="23"/>
  <c r="W690" i="23"/>
  <c r="N696" i="23"/>
  <c r="V696" i="23"/>
  <c r="W696" i="23"/>
  <c r="Z696" i="23"/>
  <c r="AA696" i="23"/>
  <c r="AC696" i="23"/>
  <c r="AD696" i="23"/>
  <c r="AE696" i="23"/>
  <c r="AF696" i="23"/>
  <c r="AH696" i="23"/>
  <c r="AI696" i="23"/>
  <c r="AJ696" i="23"/>
  <c r="AK696" i="23"/>
  <c r="N8" i="62"/>
  <c r="O8" i="62"/>
  <c r="P8" i="62"/>
  <c r="Q8" i="62"/>
  <c r="R8" i="62"/>
  <c r="S8" i="62"/>
  <c r="T8" i="62"/>
  <c r="D9" i="62"/>
  <c r="E12" i="62"/>
  <c r="E10" i="62"/>
  <c r="F10" i="62"/>
  <c r="P10" i="62" s="1"/>
  <c r="N9" i="62"/>
  <c r="D11" i="62"/>
  <c r="N11" i="62" s="1"/>
  <c r="N10" i="62"/>
  <c r="Q10" i="62"/>
  <c r="U12" i="62"/>
  <c r="V12" i="62" s="1"/>
  <c r="E16" i="62"/>
  <c r="O16" i="62" s="1"/>
  <c r="F16" i="62"/>
  <c r="P16" i="62" s="1"/>
  <c r="G16" i="62"/>
  <c r="Q16" i="62" s="1"/>
  <c r="G17" i="62"/>
  <c r="Q17" i="62"/>
  <c r="I17" i="62"/>
  <c r="J17" i="62"/>
  <c r="E21" i="62"/>
  <c r="O21" i="62" s="1"/>
  <c r="F21" i="62"/>
  <c r="P21" i="62" s="1"/>
  <c r="G21" i="62"/>
  <c r="Q21" i="62" s="1"/>
  <c r="N22" i="62"/>
  <c r="O22" i="62"/>
  <c r="P22" i="62"/>
  <c r="Q22" i="62"/>
  <c r="R22" i="62"/>
  <c r="S22" i="62"/>
  <c r="T22" i="62"/>
  <c r="A1" i="60"/>
  <c r="C63" i="60"/>
  <c r="D63" i="60" s="1"/>
  <c r="E63" i="60" s="1"/>
  <c r="F63" i="60" s="1"/>
  <c r="G63" i="60" s="1"/>
  <c r="C74" i="63" s="1"/>
  <c r="C70" i="60"/>
  <c r="D70" i="60" s="1"/>
  <c r="E70" i="60" s="1"/>
  <c r="F70" i="60" s="1"/>
  <c r="G70" i="60" s="1"/>
  <c r="H70" i="60" s="1"/>
  <c r="I70" i="60" s="1"/>
  <c r="J70" i="60" s="1"/>
  <c r="K70" i="60" s="1"/>
  <c r="L70" i="60" s="1"/>
  <c r="M70" i="60" s="1"/>
  <c r="N70" i="60" s="1"/>
  <c r="O70" i="60" s="1"/>
  <c r="P70" i="60" s="1"/>
  <c r="Q70" i="60" s="1"/>
  <c r="R70" i="60" s="1"/>
  <c r="S70" i="60" s="1"/>
  <c r="T70" i="60" s="1"/>
  <c r="U70" i="60" s="1"/>
  <c r="V70" i="60" s="1"/>
  <c r="W70" i="60" s="1"/>
  <c r="X70" i="60" s="1"/>
  <c r="Y70" i="60" s="1"/>
  <c r="C93" i="60"/>
  <c r="D93" i="60" s="1"/>
  <c r="E93" i="60" s="1"/>
  <c r="F93" i="60" s="1"/>
  <c r="G93" i="60" s="1"/>
  <c r="H93" i="60" s="1"/>
  <c r="I93" i="60" s="1"/>
  <c r="J93" i="60" s="1"/>
  <c r="K93" i="60" s="1"/>
  <c r="L93" i="60" s="1"/>
  <c r="M93" i="60" s="1"/>
  <c r="N93" i="60" s="1"/>
  <c r="O93" i="60" s="1"/>
  <c r="P93" i="60" s="1"/>
  <c r="Q93" i="60" s="1"/>
  <c r="R93" i="60" s="1"/>
  <c r="S93" i="60" s="1"/>
  <c r="T93" i="60" s="1"/>
  <c r="U93" i="60" s="1"/>
  <c r="V93" i="60" s="1"/>
  <c r="W93" i="60" s="1"/>
  <c r="X93" i="60" s="1"/>
  <c r="Y93" i="60" s="1"/>
  <c r="B96" i="60"/>
  <c r="C96" i="60" s="1"/>
  <c r="D96" i="60" s="1"/>
  <c r="E96" i="60" s="1"/>
  <c r="F96" i="60" s="1"/>
  <c r="G96" i="60" s="1"/>
  <c r="H96" i="60" s="1"/>
  <c r="I96" i="60" s="1"/>
  <c r="J96" i="60" s="1"/>
  <c r="K96" i="60" s="1"/>
  <c r="L96" i="60" s="1"/>
  <c r="M96" i="60" s="1"/>
  <c r="N96" i="60" s="1"/>
  <c r="O96" i="60" s="1"/>
  <c r="P96" i="60" s="1"/>
  <c r="Q96" i="60" s="1"/>
  <c r="R96" i="60" s="1"/>
  <c r="S96" i="60" s="1"/>
  <c r="T96" i="60" s="1"/>
  <c r="U96" i="60" s="1"/>
  <c r="V96" i="60" s="1"/>
  <c r="W96" i="60" s="1"/>
  <c r="X96" i="60" s="1"/>
  <c r="Y96" i="60" s="1"/>
  <c r="B97" i="60"/>
  <c r="C97" i="60" s="1"/>
  <c r="D97" i="60" s="1"/>
  <c r="E97" i="60" s="1"/>
  <c r="F97" i="60" s="1"/>
  <c r="G97" i="60" s="1"/>
  <c r="H97" i="60" s="1"/>
  <c r="I97" i="60" s="1"/>
  <c r="J97" i="60" s="1"/>
  <c r="K97" i="60" s="1"/>
  <c r="L97" i="60" s="1"/>
  <c r="M97" i="60" s="1"/>
  <c r="N97" i="60" s="1"/>
  <c r="O97" i="60" s="1"/>
  <c r="P97" i="60" s="1"/>
  <c r="Q97" i="60" s="1"/>
  <c r="R97" i="60" s="1"/>
  <c r="S97" i="60" s="1"/>
  <c r="T97" i="60" s="1"/>
  <c r="U97" i="60" s="1"/>
  <c r="V97" i="60" s="1"/>
  <c r="W97" i="60" s="1"/>
  <c r="X97" i="60" s="1"/>
  <c r="Y97" i="60" s="1"/>
  <c r="C100" i="60"/>
  <c r="D100" i="60" s="1"/>
  <c r="E100" i="60" s="1"/>
  <c r="F100" i="60" s="1"/>
  <c r="G100" i="60" s="1"/>
  <c r="H100" i="60" s="1"/>
  <c r="I100" i="60" s="1"/>
  <c r="J100" i="60" s="1"/>
  <c r="K100" i="60" s="1"/>
  <c r="L100" i="60" s="1"/>
  <c r="M100" i="60" s="1"/>
  <c r="N100" i="60" s="1"/>
  <c r="O100" i="60" s="1"/>
  <c r="P100" i="60" s="1"/>
  <c r="Q100" i="60" s="1"/>
  <c r="R100" i="60" s="1"/>
  <c r="S100" i="60" s="1"/>
  <c r="T100" i="60" s="1"/>
  <c r="U100" i="60" s="1"/>
  <c r="V100" i="60" s="1"/>
  <c r="W100" i="60" s="1"/>
  <c r="X100" i="60" s="1"/>
  <c r="Y100" i="60" s="1"/>
  <c r="C122" i="60"/>
  <c r="D122" i="60" s="1"/>
  <c r="E122" i="60" s="1"/>
  <c r="F122" i="60" s="1"/>
  <c r="G122" i="60" s="1"/>
  <c r="H122" i="60" s="1"/>
  <c r="I122" i="60" s="1"/>
  <c r="J122" i="60" s="1"/>
  <c r="K122" i="60" s="1"/>
  <c r="L122" i="60" s="1"/>
  <c r="M122" i="60" s="1"/>
  <c r="N122" i="60" s="1"/>
  <c r="O122" i="60" s="1"/>
  <c r="P122" i="60" s="1"/>
  <c r="Q122" i="60" s="1"/>
  <c r="R122" i="60" s="1"/>
  <c r="S122" i="60" s="1"/>
  <c r="T122" i="60" s="1"/>
  <c r="U122" i="60" s="1"/>
  <c r="V122" i="60" s="1"/>
  <c r="W122" i="60" s="1"/>
  <c r="X122" i="60" s="1"/>
  <c r="Y122" i="60" s="1"/>
  <c r="B125" i="60"/>
  <c r="C125" i="60" s="1"/>
  <c r="D125" i="60" s="1"/>
  <c r="E125" i="60" s="1"/>
  <c r="F125" i="60" s="1"/>
  <c r="G125" i="60" s="1"/>
  <c r="H125" i="60" s="1"/>
  <c r="I125" i="60" s="1"/>
  <c r="J125" i="60" s="1"/>
  <c r="K125" i="60" s="1"/>
  <c r="L125" i="60" s="1"/>
  <c r="M125" i="60" s="1"/>
  <c r="N125" i="60" s="1"/>
  <c r="O125" i="60" s="1"/>
  <c r="P125" i="60" s="1"/>
  <c r="Q125" i="60" s="1"/>
  <c r="R125" i="60" s="1"/>
  <c r="S125" i="60" s="1"/>
  <c r="T125" i="60" s="1"/>
  <c r="U125" i="60" s="1"/>
  <c r="V125" i="60" s="1"/>
  <c r="W125" i="60" s="1"/>
  <c r="X125" i="60" s="1"/>
  <c r="Y125" i="60" s="1"/>
  <c r="B126" i="60"/>
  <c r="O73" i="33" s="1"/>
  <c r="P73" i="33" s="1"/>
  <c r="Q73" i="33" s="1"/>
  <c r="R73" i="33" s="1"/>
  <c r="S73" i="33" s="1"/>
  <c r="T73" i="33" s="1"/>
  <c r="U73" i="33" s="1"/>
  <c r="V73" i="33" s="1"/>
  <c r="W73" i="33" s="1"/>
  <c r="X73" i="33" s="1"/>
  <c r="Y73" i="33" s="1"/>
  <c r="Z73" i="33" s="1"/>
  <c r="AA73" i="33" s="1"/>
  <c r="AB73" i="33" s="1"/>
  <c r="AC73" i="33" s="1"/>
  <c r="AD73" i="33" s="1"/>
  <c r="AE73" i="33" s="1"/>
  <c r="AF73" i="33" s="1"/>
  <c r="AG73" i="33" s="1"/>
  <c r="AH73" i="33" s="1"/>
  <c r="AI73" i="33" s="1"/>
  <c r="AJ73" i="33" s="1"/>
  <c r="AK73" i="33" s="1"/>
  <c r="AL73" i="33" s="1"/>
  <c r="C129" i="60"/>
  <c r="D129" i="60" s="1"/>
  <c r="E129" i="60" s="1"/>
  <c r="F129" i="60" s="1"/>
  <c r="G129" i="60" s="1"/>
  <c r="H129" i="60" s="1"/>
  <c r="I129" i="60" s="1"/>
  <c r="J129" i="60" s="1"/>
  <c r="K129" i="60" s="1"/>
  <c r="L129" i="60" s="1"/>
  <c r="M129" i="60" s="1"/>
  <c r="N129" i="60" s="1"/>
  <c r="O129" i="60" s="1"/>
  <c r="P129" i="60" s="1"/>
  <c r="Q129" i="60" s="1"/>
  <c r="R129" i="60" s="1"/>
  <c r="S129" i="60" s="1"/>
  <c r="T129" i="60" s="1"/>
  <c r="U129" i="60" s="1"/>
  <c r="V129" i="60" s="1"/>
  <c r="W129" i="60" s="1"/>
  <c r="X129" i="60" s="1"/>
  <c r="Y129" i="60" s="1"/>
  <c r="C151" i="60"/>
  <c r="D151" i="60" s="1"/>
  <c r="E151" i="60" s="1"/>
  <c r="F151" i="60" s="1"/>
  <c r="G151" i="60" s="1"/>
  <c r="H151" i="60" s="1"/>
  <c r="I151" i="60" s="1"/>
  <c r="J151" i="60" s="1"/>
  <c r="K151" i="60" s="1"/>
  <c r="L151" i="60" s="1"/>
  <c r="M151" i="60" s="1"/>
  <c r="N151" i="60" s="1"/>
  <c r="O151" i="60" s="1"/>
  <c r="P151" i="60" s="1"/>
  <c r="Q151" i="60" s="1"/>
  <c r="R151" i="60" s="1"/>
  <c r="S151" i="60" s="1"/>
  <c r="T151" i="60" s="1"/>
  <c r="U151" i="60" s="1"/>
  <c r="V151" i="60" s="1"/>
  <c r="W151" i="60" s="1"/>
  <c r="X151" i="60" s="1"/>
  <c r="Y151" i="60" s="1"/>
  <c r="B154" i="60"/>
  <c r="F102" i="38" s="1"/>
  <c r="G102" i="38" s="1"/>
  <c r="H102" i="38" s="1"/>
  <c r="I102" i="38" s="1"/>
  <c r="J102" i="38" s="1"/>
  <c r="K102" i="38" s="1"/>
  <c r="L102" i="38" s="1"/>
  <c r="M102" i="38" s="1"/>
  <c r="N102" i="38" s="1"/>
  <c r="O102" i="38" s="1"/>
  <c r="P102" i="38" s="1"/>
  <c r="Q102" i="38" s="1"/>
  <c r="R102" i="38" s="1"/>
  <c r="S102" i="38" s="1"/>
  <c r="T102" i="38" s="1"/>
  <c r="U102" i="38" s="1"/>
  <c r="V102" i="38" s="1"/>
  <c r="W102" i="38" s="1"/>
  <c r="X102" i="38" s="1"/>
  <c r="Y102" i="38" s="1"/>
  <c r="Z102" i="38" s="1"/>
  <c r="AA102" i="38" s="1"/>
  <c r="AB102" i="38" s="1"/>
  <c r="AC102" i="38" s="1"/>
  <c r="B155" i="60"/>
  <c r="C155" i="60" s="1"/>
  <c r="D155" i="60" s="1"/>
  <c r="E155" i="60" s="1"/>
  <c r="F155" i="60" s="1"/>
  <c r="G155" i="60" s="1"/>
  <c r="H155" i="60" s="1"/>
  <c r="I155" i="60" s="1"/>
  <c r="J155" i="60" s="1"/>
  <c r="K155" i="60" s="1"/>
  <c r="L155" i="60" s="1"/>
  <c r="M155" i="60" s="1"/>
  <c r="N155" i="60" s="1"/>
  <c r="O155" i="60" s="1"/>
  <c r="P155" i="60" s="1"/>
  <c r="Q155" i="60" s="1"/>
  <c r="R155" i="60" s="1"/>
  <c r="S155" i="60" s="1"/>
  <c r="T155" i="60" s="1"/>
  <c r="U155" i="60" s="1"/>
  <c r="V155" i="60" s="1"/>
  <c r="W155" i="60" s="1"/>
  <c r="X155" i="60" s="1"/>
  <c r="Y155" i="60" s="1"/>
  <c r="B158" i="60"/>
  <c r="C158" i="60" s="1"/>
  <c r="D158" i="60" s="1"/>
  <c r="E158" i="60" s="1"/>
  <c r="F158" i="60" s="1"/>
  <c r="G158" i="60" s="1"/>
  <c r="H158" i="60" s="1"/>
  <c r="I158" i="60" s="1"/>
  <c r="J158" i="60" s="1"/>
  <c r="K158" i="60" s="1"/>
  <c r="L158" i="60" s="1"/>
  <c r="M158" i="60" s="1"/>
  <c r="N158" i="60" s="1"/>
  <c r="O158" i="60" s="1"/>
  <c r="P158" i="60" s="1"/>
  <c r="Q158" i="60" s="1"/>
  <c r="R158" i="60" s="1"/>
  <c r="S158" i="60" s="1"/>
  <c r="T158" i="60" s="1"/>
  <c r="U158" i="60" s="1"/>
  <c r="V158" i="60" s="1"/>
  <c r="W158" i="60" s="1"/>
  <c r="X158" i="60" s="1"/>
  <c r="Y158" i="60" s="1"/>
  <c r="C181" i="60"/>
  <c r="D181" i="60" s="1"/>
  <c r="E181" i="60" s="1"/>
  <c r="F181" i="60" s="1"/>
  <c r="G181" i="60" s="1"/>
  <c r="H181" i="60" s="1"/>
  <c r="I181" i="60" s="1"/>
  <c r="J181" i="60" s="1"/>
  <c r="K181" i="60" s="1"/>
  <c r="L181" i="60" s="1"/>
  <c r="M181" i="60" s="1"/>
  <c r="N181" i="60" s="1"/>
  <c r="O181" i="60" s="1"/>
  <c r="P181" i="60" s="1"/>
  <c r="Q181" i="60" s="1"/>
  <c r="R181" i="60" s="1"/>
  <c r="S181" i="60" s="1"/>
  <c r="T181" i="60" s="1"/>
  <c r="U181" i="60" s="1"/>
  <c r="V181" i="60" s="1"/>
  <c r="W181" i="60" s="1"/>
  <c r="X181" i="60" s="1"/>
  <c r="Y181" i="60" s="1"/>
  <c r="B184" i="60"/>
  <c r="C184" i="60" s="1"/>
  <c r="D184" i="60" s="1"/>
  <c r="E184" i="60" s="1"/>
  <c r="F184" i="60" s="1"/>
  <c r="G184" i="60" s="1"/>
  <c r="H184" i="60" s="1"/>
  <c r="I184" i="60" s="1"/>
  <c r="J184" i="60" s="1"/>
  <c r="K184" i="60" s="1"/>
  <c r="L184" i="60" s="1"/>
  <c r="M184" i="60" s="1"/>
  <c r="N184" i="60" s="1"/>
  <c r="O184" i="60" s="1"/>
  <c r="P184" i="60" s="1"/>
  <c r="Q184" i="60" s="1"/>
  <c r="R184" i="60" s="1"/>
  <c r="S184" i="60" s="1"/>
  <c r="T184" i="60" s="1"/>
  <c r="U184" i="60" s="1"/>
  <c r="V184" i="60" s="1"/>
  <c r="W184" i="60" s="1"/>
  <c r="X184" i="60" s="1"/>
  <c r="Y184" i="60" s="1"/>
  <c r="B185" i="60"/>
  <c r="Q89" i="20" s="1"/>
  <c r="R89" i="20" s="1"/>
  <c r="S89" i="20" s="1"/>
  <c r="T89" i="20" s="1"/>
  <c r="U89" i="20" s="1"/>
  <c r="V89" i="20" s="1"/>
  <c r="W89" i="20" s="1"/>
  <c r="X89" i="20" s="1"/>
  <c r="Y89" i="20" s="1"/>
  <c r="Z89" i="20" s="1"/>
  <c r="AA89" i="20" s="1"/>
  <c r="AB89" i="20" s="1"/>
  <c r="AC89" i="20" s="1"/>
  <c r="AD89" i="20" s="1"/>
  <c r="AE89" i="20" s="1"/>
  <c r="AF89" i="20" s="1"/>
  <c r="AG89" i="20" s="1"/>
  <c r="AH89" i="20" s="1"/>
  <c r="AI89" i="20" s="1"/>
  <c r="AJ89" i="20" s="1"/>
  <c r="AK89" i="20" s="1"/>
  <c r="AL89" i="20" s="1"/>
  <c r="AM89" i="20" s="1"/>
  <c r="AN89" i="20" s="1"/>
  <c r="B188" i="60"/>
  <c r="C211" i="60"/>
  <c r="D211" i="60" s="1"/>
  <c r="E211" i="60" s="1"/>
  <c r="F211" i="60" s="1"/>
  <c r="G211" i="60" s="1"/>
  <c r="H211" i="60" s="1"/>
  <c r="I211" i="60" s="1"/>
  <c r="J211" i="60" s="1"/>
  <c r="K211" i="60" s="1"/>
  <c r="L211" i="60" s="1"/>
  <c r="M211" i="60" s="1"/>
  <c r="N211" i="60" s="1"/>
  <c r="O211" i="60" s="1"/>
  <c r="P211" i="60" s="1"/>
  <c r="Q211" i="60" s="1"/>
  <c r="R211" i="60" s="1"/>
  <c r="S211" i="60" s="1"/>
  <c r="T211" i="60" s="1"/>
  <c r="U211" i="60" s="1"/>
  <c r="V211" i="60" s="1"/>
  <c r="W211" i="60" s="1"/>
  <c r="X211" i="60" s="1"/>
  <c r="B214" i="60"/>
  <c r="C214" i="60"/>
  <c r="D214" i="60" s="1"/>
  <c r="E214" i="60" s="1"/>
  <c r="F214" i="60" s="1"/>
  <c r="G214" i="60" s="1"/>
  <c r="H214" i="60" s="1"/>
  <c r="I214" i="60" s="1"/>
  <c r="J214" i="60" s="1"/>
  <c r="K214" i="60" s="1"/>
  <c r="L214" i="60" s="1"/>
  <c r="M214" i="60" s="1"/>
  <c r="N214" i="60" s="1"/>
  <c r="O214" i="60" s="1"/>
  <c r="P214" i="60" s="1"/>
  <c r="Q214" i="60" s="1"/>
  <c r="R214" i="60" s="1"/>
  <c r="S214" i="60" s="1"/>
  <c r="T214" i="60" s="1"/>
  <c r="U214" i="60" s="1"/>
  <c r="V214" i="60" s="1"/>
  <c r="W214" i="60" s="1"/>
  <c r="X214" i="60" s="1"/>
  <c r="B215" i="60"/>
  <c r="C215" i="60" s="1"/>
  <c r="D215" i="60" s="1"/>
  <c r="E215" i="60" s="1"/>
  <c r="F215" i="60" s="1"/>
  <c r="G215" i="60" s="1"/>
  <c r="H215" i="60" s="1"/>
  <c r="I215" i="60" s="1"/>
  <c r="J215" i="60" s="1"/>
  <c r="K215" i="60" s="1"/>
  <c r="L215" i="60" s="1"/>
  <c r="M215" i="60" s="1"/>
  <c r="N215" i="60" s="1"/>
  <c r="O215" i="60" s="1"/>
  <c r="P215" i="60" s="1"/>
  <c r="Q215" i="60" s="1"/>
  <c r="R215" i="60" s="1"/>
  <c r="S215" i="60" s="1"/>
  <c r="T215" i="60" s="1"/>
  <c r="U215" i="60" s="1"/>
  <c r="V215" i="60" s="1"/>
  <c r="W215" i="60" s="1"/>
  <c r="X215" i="60" s="1"/>
  <c r="C218" i="60"/>
  <c r="D218" i="60" s="1"/>
  <c r="C225" i="60"/>
  <c r="D225" i="60"/>
  <c r="E225" i="60"/>
  <c r="F225" i="60"/>
  <c r="G225" i="60"/>
  <c r="H225" i="60"/>
  <c r="C240" i="60"/>
  <c r="D240" i="60" s="1"/>
  <c r="E240" i="60" s="1"/>
  <c r="F240" i="60" s="1"/>
  <c r="G240" i="60" s="1"/>
  <c r="H240" i="60" s="1"/>
  <c r="I240" i="60" s="1"/>
  <c r="J240" i="60" s="1"/>
  <c r="K240" i="60" s="1"/>
  <c r="L240" i="60" s="1"/>
  <c r="M240" i="60" s="1"/>
  <c r="N240" i="60" s="1"/>
  <c r="O240" i="60" s="1"/>
  <c r="P240" i="60" s="1"/>
  <c r="Q240" i="60" s="1"/>
  <c r="R240" i="60" s="1"/>
  <c r="S240" i="60" s="1"/>
  <c r="T240" i="60" s="1"/>
  <c r="U240" i="60" s="1"/>
  <c r="V240" i="60" s="1"/>
  <c r="W240" i="60" s="1"/>
  <c r="X240" i="60" s="1"/>
  <c r="B243" i="60"/>
  <c r="C243" i="60" s="1"/>
  <c r="D243" i="60" s="1"/>
  <c r="E243" i="60" s="1"/>
  <c r="F243" i="60" s="1"/>
  <c r="G243" i="60" s="1"/>
  <c r="H243" i="60" s="1"/>
  <c r="I243" i="60" s="1"/>
  <c r="J243" i="60" s="1"/>
  <c r="B244" i="60"/>
  <c r="C244" i="60" s="1"/>
  <c r="D244" i="60" s="1"/>
  <c r="E244" i="60" s="1"/>
  <c r="F244" i="60" s="1"/>
  <c r="G244" i="60" s="1"/>
  <c r="H244" i="60" s="1"/>
  <c r="I244" i="60" s="1"/>
  <c r="J244" i="60" s="1"/>
  <c r="C245" i="60"/>
  <c r="D245" i="60" s="1"/>
  <c r="E245" i="60" s="1"/>
  <c r="F245" i="60" s="1"/>
  <c r="G245" i="60" s="1"/>
  <c r="H245" i="60" s="1"/>
  <c r="I245" i="60" s="1"/>
  <c r="J245" i="60" s="1"/>
  <c r="B247" i="60"/>
  <c r="C247" i="60" s="1"/>
  <c r="D247" i="60" s="1"/>
  <c r="E247" i="60" s="1"/>
  <c r="F247" i="60" s="1"/>
  <c r="G247" i="60" s="1"/>
  <c r="H247" i="60" s="1"/>
  <c r="I247" i="60" s="1"/>
  <c r="J247" i="60" s="1"/>
  <c r="C252" i="60"/>
  <c r="D252" i="60" s="1"/>
  <c r="C253" i="60"/>
  <c r="D253" i="60" s="1"/>
  <c r="E253" i="60" s="1"/>
  <c r="F253" i="60" s="1"/>
  <c r="G253" i="60" s="1"/>
  <c r="H253" i="60" s="1"/>
  <c r="I253" i="60" s="1"/>
  <c r="J253" i="60" s="1"/>
  <c r="C254" i="60"/>
  <c r="D254" i="60" s="1"/>
  <c r="E254" i="60" s="1"/>
  <c r="F254" i="60" s="1"/>
  <c r="G254" i="60" s="1"/>
  <c r="H254" i="60" s="1"/>
  <c r="I254" i="60" s="1"/>
  <c r="J254" i="60" s="1"/>
  <c r="B255" i="60"/>
  <c r="C269" i="60"/>
  <c r="D269" i="60" s="1"/>
  <c r="E269" i="60" s="1"/>
  <c r="F269" i="60" s="1"/>
  <c r="G269" i="60" s="1"/>
  <c r="H269" i="60" s="1"/>
  <c r="I269" i="60" s="1"/>
  <c r="J269" i="60" s="1"/>
  <c r="K269" i="60" s="1"/>
  <c r="L269" i="60" s="1"/>
  <c r="M269" i="60" s="1"/>
  <c r="N269" i="60" s="1"/>
  <c r="O269" i="60" s="1"/>
  <c r="P269" i="60" s="1"/>
  <c r="Q269" i="60" s="1"/>
  <c r="R269" i="60" s="1"/>
  <c r="S269" i="60" s="1"/>
  <c r="T269" i="60" s="1"/>
  <c r="U269" i="60" s="1"/>
  <c r="V269" i="60" s="1"/>
  <c r="W269" i="60" s="1"/>
  <c r="X269" i="60" s="1"/>
  <c r="Y269" i="60" s="1"/>
  <c r="C272" i="60"/>
  <c r="D272" i="60" s="1"/>
  <c r="E272" i="60" s="1"/>
  <c r="F272" i="60" s="1"/>
  <c r="G272" i="60" s="1"/>
  <c r="H272" i="60" s="1"/>
  <c r="I272" i="60" s="1"/>
  <c r="J272" i="60" s="1"/>
  <c r="K272" i="60" s="1"/>
  <c r="L272" i="60" s="1"/>
  <c r="M272" i="60" s="1"/>
  <c r="N272" i="60" s="1"/>
  <c r="O272" i="60" s="1"/>
  <c r="P272" i="60" s="1"/>
  <c r="Q272" i="60" s="1"/>
  <c r="R272" i="60" s="1"/>
  <c r="S272" i="60" s="1"/>
  <c r="T272" i="60" s="1"/>
  <c r="U272" i="60" s="1"/>
  <c r="V272" i="60" s="1"/>
  <c r="W272" i="60" s="1"/>
  <c r="X272" i="60" s="1"/>
  <c r="Y272" i="60" s="1"/>
  <c r="C276" i="60"/>
  <c r="D276" i="60" s="1"/>
  <c r="E276" i="60" s="1"/>
  <c r="F276" i="60" s="1"/>
  <c r="G276" i="60" s="1"/>
  <c r="H276" i="60" s="1"/>
  <c r="I276" i="60" s="1"/>
  <c r="J276" i="60" s="1"/>
  <c r="K276" i="60" s="1"/>
  <c r="L276" i="60" s="1"/>
  <c r="M276" i="60" s="1"/>
  <c r="N276" i="60" s="1"/>
  <c r="O276" i="60" s="1"/>
  <c r="P276" i="60" s="1"/>
  <c r="Q276" i="60" s="1"/>
  <c r="R276" i="60" s="1"/>
  <c r="S276" i="60" s="1"/>
  <c r="T276" i="60" s="1"/>
  <c r="U276" i="60" s="1"/>
  <c r="V276" i="60" s="1"/>
  <c r="W276" i="60" s="1"/>
  <c r="X276" i="60" s="1"/>
  <c r="Y276" i="60" s="1"/>
  <c r="C279" i="60"/>
  <c r="U294" i="60"/>
  <c r="C297" i="60"/>
  <c r="D297" i="60" s="1"/>
  <c r="E297" i="60" s="1"/>
  <c r="F297" i="60" s="1"/>
  <c r="G297" i="60" s="1"/>
  <c r="H297" i="60" s="1"/>
  <c r="I297" i="60" s="1"/>
  <c r="J297" i="60" s="1"/>
  <c r="K297" i="60" s="1"/>
  <c r="L297" i="60" s="1"/>
  <c r="M297" i="60" s="1"/>
  <c r="N297" i="60" s="1"/>
  <c r="O297" i="60" s="1"/>
  <c r="P297" i="60" s="1"/>
  <c r="Q297" i="60" s="1"/>
  <c r="R297" i="60" s="1"/>
  <c r="S297" i="60" s="1"/>
  <c r="T297" i="60" s="1"/>
  <c r="U297" i="60" s="1"/>
  <c r="V297" i="60" s="1"/>
  <c r="W297" i="60" s="1"/>
  <c r="X297" i="60" s="1"/>
  <c r="Y297" i="60" s="1"/>
  <c r="B300" i="60"/>
  <c r="C300" i="60" s="1"/>
  <c r="D300" i="60" s="1"/>
  <c r="E300" i="60" s="1"/>
  <c r="F300" i="60" s="1"/>
  <c r="G300" i="60" s="1"/>
  <c r="H300" i="60" s="1"/>
  <c r="I300" i="60" s="1"/>
  <c r="J300" i="60" s="1"/>
  <c r="K300" i="60" s="1"/>
  <c r="L300" i="60" s="1"/>
  <c r="M300" i="60" s="1"/>
  <c r="N300" i="60" s="1"/>
  <c r="O300" i="60" s="1"/>
  <c r="P300" i="60" s="1"/>
  <c r="Q300" i="60" s="1"/>
  <c r="R300" i="60" s="1"/>
  <c r="S300" i="60" s="1"/>
  <c r="T300" i="60" s="1"/>
  <c r="U300" i="60" s="1"/>
  <c r="V300" i="60" s="1"/>
  <c r="W300" i="60" s="1"/>
  <c r="X300" i="60" s="1"/>
  <c r="Y300" i="60" s="1"/>
  <c r="B301" i="60"/>
  <c r="C301" i="60" s="1"/>
  <c r="D301" i="60" s="1"/>
  <c r="E301" i="60" s="1"/>
  <c r="F301" i="60" s="1"/>
  <c r="G301" i="60" s="1"/>
  <c r="H301" i="60" s="1"/>
  <c r="I301" i="60" s="1"/>
  <c r="J301" i="60" s="1"/>
  <c r="K301" i="60" s="1"/>
  <c r="L301" i="60" s="1"/>
  <c r="M301" i="60" s="1"/>
  <c r="N301" i="60" s="1"/>
  <c r="O301" i="60" s="1"/>
  <c r="P301" i="60" s="1"/>
  <c r="Q301" i="60" s="1"/>
  <c r="R301" i="60" s="1"/>
  <c r="S301" i="60" s="1"/>
  <c r="T301" i="60" s="1"/>
  <c r="U301" i="60" s="1"/>
  <c r="V301" i="60" s="1"/>
  <c r="W301" i="60" s="1"/>
  <c r="X301" i="60" s="1"/>
  <c r="Y301" i="60" s="1"/>
  <c r="B304" i="60"/>
  <c r="C304" i="60" s="1"/>
  <c r="D304" i="60" s="1"/>
  <c r="E304" i="60" s="1"/>
  <c r="F304" i="60" s="1"/>
  <c r="G304" i="60" s="1"/>
  <c r="H304" i="60" s="1"/>
  <c r="I304" i="60" s="1"/>
  <c r="J304" i="60" s="1"/>
  <c r="K304" i="60" s="1"/>
  <c r="L304" i="60" s="1"/>
  <c r="M304" i="60" s="1"/>
  <c r="N304" i="60" s="1"/>
  <c r="O304" i="60" s="1"/>
  <c r="P304" i="60" s="1"/>
  <c r="Q304" i="60" s="1"/>
  <c r="R304" i="60" s="1"/>
  <c r="S304" i="60" s="1"/>
  <c r="T304" i="60" s="1"/>
  <c r="U304" i="60" s="1"/>
  <c r="V304" i="60" s="1"/>
  <c r="W304" i="60" s="1"/>
  <c r="X304" i="60" s="1"/>
  <c r="Y304" i="60" s="1"/>
  <c r="C331" i="60"/>
  <c r="D331" i="60" s="1"/>
  <c r="E331" i="60" s="1"/>
  <c r="F331" i="60" s="1"/>
  <c r="G331" i="60" s="1"/>
  <c r="H331" i="60" s="1"/>
  <c r="I331" i="60" s="1"/>
  <c r="J331" i="60" s="1"/>
  <c r="K331" i="60" s="1"/>
  <c r="L331" i="60" s="1"/>
  <c r="M331" i="60" s="1"/>
  <c r="N331" i="60" s="1"/>
  <c r="O331" i="60" s="1"/>
  <c r="P331" i="60" s="1"/>
  <c r="Q331" i="60" s="1"/>
  <c r="R331" i="60" s="1"/>
  <c r="S331" i="60" s="1"/>
  <c r="T331" i="60" s="1"/>
  <c r="U331" i="60" s="1"/>
  <c r="V331" i="60" s="1"/>
  <c r="W331" i="60" s="1"/>
  <c r="X331" i="60" s="1"/>
  <c r="Y331" i="60" s="1"/>
  <c r="B334" i="60"/>
  <c r="C334" i="60" s="1"/>
  <c r="D334" i="60" s="1"/>
  <c r="E334" i="60" s="1"/>
  <c r="F334" i="60" s="1"/>
  <c r="G334" i="60" s="1"/>
  <c r="H334" i="60" s="1"/>
  <c r="I334" i="60" s="1"/>
  <c r="J334" i="60" s="1"/>
  <c r="K334" i="60" s="1"/>
  <c r="L334" i="60" s="1"/>
  <c r="M334" i="60" s="1"/>
  <c r="N334" i="60" s="1"/>
  <c r="O334" i="60" s="1"/>
  <c r="P334" i="60" s="1"/>
  <c r="Q334" i="60" s="1"/>
  <c r="R334" i="60" s="1"/>
  <c r="S334" i="60" s="1"/>
  <c r="T334" i="60" s="1"/>
  <c r="U334" i="60" s="1"/>
  <c r="V334" i="60" s="1"/>
  <c r="W334" i="60" s="1"/>
  <c r="X334" i="60" s="1"/>
  <c r="Y334" i="60" s="1"/>
  <c r="B335" i="60"/>
  <c r="C335" i="60" s="1"/>
  <c r="D335" i="60" s="1"/>
  <c r="E335" i="60" s="1"/>
  <c r="F335" i="60" s="1"/>
  <c r="G335" i="60" s="1"/>
  <c r="H335" i="60" s="1"/>
  <c r="I335" i="60" s="1"/>
  <c r="J335" i="60" s="1"/>
  <c r="K335" i="60" s="1"/>
  <c r="L335" i="60" s="1"/>
  <c r="M335" i="60" s="1"/>
  <c r="N335" i="60" s="1"/>
  <c r="O335" i="60" s="1"/>
  <c r="P335" i="60" s="1"/>
  <c r="Q335" i="60" s="1"/>
  <c r="R335" i="60" s="1"/>
  <c r="S335" i="60" s="1"/>
  <c r="T335" i="60" s="1"/>
  <c r="U335" i="60" s="1"/>
  <c r="V335" i="60" s="1"/>
  <c r="W335" i="60" s="1"/>
  <c r="X335" i="60" s="1"/>
  <c r="Y335" i="60" s="1"/>
  <c r="B338" i="60"/>
  <c r="C338" i="60" s="1"/>
  <c r="D338" i="60" s="1"/>
  <c r="E338" i="60" s="1"/>
  <c r="F338" i="60" s="1"/>
  <c r="G338" i="60" s="1"/>
  <c r="H338" i="60" s="1"/>
  <c r="I338" i="60" s="1"/>
  <c r="J338" i="60" s="1"/>
  <c r="K338" i="60" s="1"/>
  <c r="L338" i="60" s="1"/>
  <c r="M338" i="60" s="1"/>
  <c r="N338" i="60" s="1"/>
  <c r="O338" i="60" s="1"/>
  <c r="P338" i="60" s="1"/>
  <c r="Q338" i="60" s="1"/>
  <c r="R338" i="60" s="1"/>
  <c r="S338" i="60" s="1"/>
  <c r="T338" i="60" s="1"/>
  <c r="U338" i="60" s="1"/>
  <c r="V338" i="60" s="1"/>
  <c r="W338" i="60" s="1"/>
  <c r="X338" i="60" s="1"/>
  <c r="Y338" i="60" s="1"/>
  <c r="C360" i="60"/>
  <c r="D360" i="60" s="1"/>
  <c r="E360" i="60" s="1"/>
  <c r="F360" i="60" s="1"/>
  <c r="G360" i="60" s="1"/>
  <c r="H360" i="60" s="1"/>
  <c r="I360" i="60" s="1"/>
  <c r="J360" i="60" s="1"/>
  <c r="K360" i="60" s="1"/>
  <c r="L360" i="60" s="1"/>
  <c r="M360" i="60" s="1"/>
  <c r="N360" i="60" s="1"/>
  <c r="O360" i="60" s="1"/>
  <c r="P360" i="60" s="1"/>
  <c r="Q360" i="60" s="1"/>
  <c r="R360" i="60" s="1"/>
  <c r="S360" i="60" s="1"/>
  <c r="T360" i="60" s="1"/>
  <c r="U360" i="60" s="1"/>
  <c r="V360" i="60" s="1"/>
  <c r="W360" i="60" s="1"/>
  <c r="X360" i="60" s="1"/>
  <c r="Y360" i="60" s="1"/>
  <c r="C364" i="60"/>
  <c r="D364" i="60" s="1"/>
  <c r="E364" i="60" s="1"/>
  <c r="F364" i="60" s="1"/>
  <c r="G364" i="60" s="1"/>
  <c r="H364" i="60" s="1"/>
  <c r="I364" i="60" s="1"/>
  <c r="J364" i="60" s="1"/>
  <c r="K364" i="60" s="1"/>
  <c r="L364" i="60" s="1"/>
  <c r="M364" i="60" s="1"/>
  <c r="N364" i="60" s="1"/>
  <c r="O364" i="60" s="1"/>
  <c r="P364" i="60" s="1"/>
  <c r="Q364" i="60" s="1"/>
  <c r="R364" i="60" s="1"/>
  <c r="S364" i="60" s="1"/>
  <c r="T364" i="60" s="1"/>
  <c r="U364" i="60" s="1"/>
  <c r="V364" i="60" s="1"/>
  <c r="W364" i="60" s="1"/>
  <c r="X364" i="60" s="1"/>
  <c r="Y364" i="60" s="1"/>
  <c r="C367" i="60"/>
  <c r="D367" i="60" s="1"/>
  <c r="E367" i="60" s="1"/>
  <c r="F367" i="60" s="1"/>
  <c r="G367" i="60" s="1"/>
  <c r="H367" i="60" s="1"/>
  <c r="I367" i="60" s="1"/>
  <c r="J367" i="60" s="1"/>
  <c r="K367" i="60" s="1"/>
  <c r="L367" i="60" s="1"/>
  <c r="M367" i="60" s="1"/>
  <c r="N367" i="60" s="1"/>
  <c r="O367" i="60" s="1"/>
  <c r="P367" i="60" s="1"/>
  <c r="Q367" i="60" s="1"/>
  <c r="R367" i="60" s="1"/>
  <c r="S367" i="60" s="1"/>
  <c r="T367" i="60" s="1"/>
  <c r="U367" i="60" s="1"/>
  <c r="V367" i="60" s="1"/>
  <c r="W367" i="60" s="1"/>
  <c r="X367" i="60" s="1"/>
  <c r="Y367" i="60" s="1"/>
  <c r="G17" i="63"/>
  <c r="H17" i="63"/>
  <c r="I17" i="63"/>
  <c r="J17" i="63"/>
  <c r="F23" i="63"/>
  <c r="G23" i="63"/>
  <c r="H23" i="63" s="1"/>
  <c r="I23" i="63" s="1"/>
  <c r="B28" i="63"/>
  <c r="B29" i="63"/>
  <c r="B30" i="63"/>
  <c r="D28" i="63"/>
  <c r="D16" i="62" s="1"/>
  <c r="N16" i="62" s="1"/>
  <c r="E28" i="63"/>
  <c r="F28" i="63"/>
  <c r="G28" i="63"/>
  <c r="D29" i="63"/>
  <c r="E29" i="63"/>
  <c r="E18" i="62" s="1"/>
  <c r="O18" i="62" s="1"/>
  <c r="F29" i="63"/>
  <c r="F18" i="62" s="1"/>
  <c r="P18" i="62" s="1"/>
  <c r="G29" i="63"/>
  <c r="G18" i="62" s="1"/>
  <c r="Q18" i="62" s="1"/>
  <c r="H29" i="63"/>
  <c r="H18" i="62" s="1"/>
  <c r="R18" i="62" s="1"/>
  <c r="I29" i="63"/>
  <c r="I18" i="62" s="1"/>
  <c r="F30" i="63"/>
  <c r="H30" i="63"/>
  <c r="B34" i="63"/>
  <c r="C34" i="63"/>
  <c r="D34" i="63"/>
  <c r="D21" i="62" s="1"/>
  <c r="N21" i="62" s="1"/>
  <c r="E34" i="63"/>
  <c r="F34" i="63"/>
  <c r="G34" i="63"/>
  <c r="B37" i="63"/>
  <c r="C37" i="63"/>
  <c r="D37" i="63"/>
  <c r="B38" i="63"/>
  <c r="D38" i="63"/>
  <c r="D40" i="63" s="1"/>
  <c r="C39" i="63"/>
  <c r="D39" i="63"/>
  <c r="B45" i="63"/>
  <c r="C46" i="63"/>
  <c r="C45" i="63" s="1"/>
  <c r="D46" i="63"/>
  <c r="D45" i="63" s="1"/>
  <c r="E46" i="63"/>
  <c r="E45" i="63" s="1"/>
  <c r="F46" i="63"/>
  <c r="F45" i="63" s="1"/>
  <c r="G46" i="63"/>
  <c r="J46" i="63" s="1"/>
  <c r="K46" i="63" s="1"/>
  <c r="L46" i="63" s="1"/>
  <c r="M46" i="63" s="1"/>
  <c r="B48" i="63"/>
  <c r="C48" i="63"/>
  <c r="D48" i="63"/>
  <c r="E48" i="63"/>
  <c r="F48" i="63"/>
  <c r="G48" i="63"/>
  <c r="H48" i="63"/>
  <c r="I48" i="63"/>
  <c r="J48" i="63"/>
  <c r="A49" i="63"/>
  <c r="A62" i="63"/>
  <c r="A50" i="63"/>
  <c r="A63" i="63"/>
  <c r="A51" i="63"/>
  <c r="A64" i="63"/>
  <c r="A52" i="63"/>
  <c r="A65" i="63"/>
  <c r="A53" i="63"/>
  <c r="A66" i="63"/>
  <c r="A54" i="63"/>
  <c r="A81" i="63" s="1"/>
  <c r="A55" i="63"/>
  <c r="A82" i="63" s="1"/>
  <c r="B82" i="63"/>
  <c r="C82" i="63"/>
  <c r="D82" i="63"/>
  <c r="E82" i="63"/>
  <c r="F82" i="63"/>
  <c r="A56" i="63"/>
  <c r="A58" i="63"/>
  <c r="G82" i="63"/>
  <c r="H82" i="63"/>
  <c r="I82" i="63"/>
  <c r="J82" i="63"/>
  <c r="A71" i="63"/>
  <c r="K82" i="63"/>
  <c r="A76" i="63"/>
  <c r="DA105" i="23"/>
  <c r="DC28" i="23"/>
  <c r="J576" i="23"/>
  <c r="J638" i="23"/>
  <c r="S573" i="23"/>
  <c r="N551" i="23"/>
  <c r="W156" i="23"/>
  <c r="W306" i="23"/>
  <c r="BR171" i="23"/>
  <c r="BR113" i="23"/>
  <c r="BM111" i="23"/>
  <c r="BH111" i="23"/>
  <c r="BH114" i="23"/>
  <c r="K111" i="23"/>
  <c r="K114" i="23" s="1"/>
  <c r="CO67" i="23"/>
  <c r="CO68" i="23"/>
  <c r="CE67" i="23"/>
  <c r="CE68" i="23" s="1"/>
  <c r="BU67" i="23"/>
  <c r="BU68" i="23"/>
  <c r="M38" i="23"/>
  <c r="BL38" i="23" s="1"/>
  <c r="BL37" i="23" s="1"/>
  <c r="BS37" i="23"/>
  <c r="M49" i="53"/>
  <c r="AC96" i="25"/>
  <c r="AE96" i="25" s="1"/>
  <c r="L49" i="53"/>
  <c r="AB96" i="25"/>
  <c r="J660" i="23"/>
  <c r="J661" i="23"/>
  <c r="T582" i="23"/>
  <c r="M582" i="23"/>
  <c r="R577" i="23"/>
  <c r="CT167" i="23"/>
  <c r="Q67" i="23"/>
  <c r="Q29" i="56"/>
  <c r="H7" i="53"/>
  <c r="H197" i="59"/>
  <c r="X85" i="25"/>
  <c r="DC85" i="25"/>
  <c r="F190" i="59"/>
  <c r="DC43" i="23"/>
  <c r="P95" i="25"/>
  <c r="X84" i="25"/>
  <c r="AY31" i="85"/>
  <c r="DE197" i="30"/>
  <c r="BM39" i="25"/>
  <c r="DD24" i="25"/>
  <c r="CY24" i="25"/>
  <c r="CJ24" i="25"/>
  <c r="BU24" i="25"/>
  <c r="Z24" i="25"/>
  <c r="H24" i="25"/>
  <c r="DD22" i="25"/>
  <c r="W21" i="25"/>
  <c r="DD10" i="25"/>
  <c r="CY10" i="25"/>
  <c r="CJ10" i="25"/>
  <c r="S10" i="25"/>
  <c r="CT8" i="25"/>
  <c r="AX31" i="85"/>
  <c r="DD197" i="30"/>
  <c r="BA31" i="85"/>
  <c r="DG197" i="30"/>
  <c r="CL24" i="25"/>
  <c r="BM24" i="25"/>
  <c r="S24" i="25"/>
  <c r="J196" i="59"/>
  <c r="F195" i="59"/>
  <c r="AD96" i="25"/>
  <c r="AF96" i="25" s="1"/>
  <c r="S95" i="25"/>
  <c r="CS84" i="25"/>
  <c r="CV56" i="25"/>
  <c r="BC31" i="85"/>
  <c r="DI197" i="30"/>
  <c r="AE197" i="30" s="1"/>
  <c r="DM197" i="30" s="1"/>
  <c r="CQ36" i="25"/>
  <c r="CZ24" i="25"/>
  <c r="CP22" i="25"/>
  <c r="CK10" i="25"/>
  <c r="BN166" i="59"/>
  <c r="BG159" i="59"/>
  <c r="N93" i="59"/>
  <c r="BG92" i="59"/>
  <c r="CJ39" i="59"/>
  <c r="R16" i="52"/>
  <c r="K279" i="60" s="1"/>
  <c r="G83" i="63" s="1"/>
  <c r="N40" i="59"/>
  <c r="CO91" i="59"/>
  <c r="BO76" i="59"/>
  <c r="O39" i="59"/>
  <c r="G221" i="30"/>
  <c r="H221" i="30"/>
  <c r="K221" i="30" s="1"/>
  <c r="L204" i="30"/>
  <c r="DX202" i="30"/>
  <c r="P27" i="32"/>
  <c r="AF160" i="30"/>
  <c r="AF217" i="30"/>
  <c r="AD154" i="30"/>
  <c r="AD158" i="30"/>
  <c r="T44" i="25" s="1"/>
  <c r="EK206" i="30"/>
  <c r="AJ205" i="30"/>
  <c r="EJ205" i="30"/>
  <c r="EC206" i="30"/>
  <c r="EA206" i="30"/>
  <c r="DN205" i="30"/>
  <c r="DN195" i="30" s="1"/>
  <c r="DN151" i="30" s="1"/>
  <c r="DK205" i="30"/>
  <c r="DK156" i="30"/>
  <c r="DJ205" i="30"/>
  <c r="DJ156" i="30" s="1"/>
  <c r="R151" i="30"/>
  <c r="T149" i="30"/>
  <c r="T148" i="30"/>
  <c r="CD147" i="30"/>
  <c r="Y151" i="30"/>
  <c r="L125" i="30"/>
  <c r="DC109" i="30"/>
  <c r="BQ88" i="30"/>
  <c r="BV88" i="30"/>
  <c r="CA88" i="30"/>
  <c r="Q62" i="33"/>
  <c r="S27" i="32"/>
  <c r="S39" i="20"/>
  <c r="O53" i="31"/>
  <c r="O27" i="32"/>
  <c r="BX108" i="30"/>
  <c r="CC108" i="30"/>
  <c r="BM100" i="30"/>
  <c r="DZ202" i="30"/>
  <c r="L62" i="33"/>
  <c r="N27" i="32"/>
  <c r="N39" i="20"/>
  <c r="J53" i="31"/>
  <c r="BR99" i="30"/>
  <c r="BN99" i="30"/>
  <c r="DA67" i="30"/>
  <c r="DA192" i="30"/>
  <c r="DA58" i="30" s="1"/>
  <c r="DA63" i="30" s="1"/>
  <c r="CY196" i="30"/>
  <c r="CY22" i="30" s="1"/>
  <c r="DB206" i="30"/>
  <c r="DC206" i="30" s="1"/>
  <c r="CY27" i="30"/>
  <c r="BF198" i="30"/>
  <c r="BG198" i="30" s="1"/>
  <c r="BH198" i="30" s="1"/>
  <c r="BI198" i="30" s="1"/>
  <c r="BS109" i="30"/>
  <c r="Z107" i="30"/>
  <c r="X107" i="30"/>
  <c r="R107" i="30"/>
  <c r="N88" i="30"/>
  <c r="BI88" i="30"/>
  <c r="L88" i="30"/>
  <c r="BL100" i="30"/>
  <c r="CY68" i="30"/>
  <c r="R60" i="30"/>
  <c r="S60" i="30"/>
  <c r="DN56" i="30"/>
  <c r="DI56" i="30"/>
  <c r="BK56" i="30"/>
  <c r="AC56" i="30"/>
  <c r="AG55" i="30"/>
  <c r="CP54" i="30"/>
  <c r="CP56" i="30"/>
  <c r="BQ51" i="30"/>
  <c r="BQ52" i="30" s="1"/>
  <c r="S51" i="30"/>
  <c r="DN48" i="30"/>
  <c r="U47" i="30"/>
  <c r="CP45" i="30"/>
  <c r="CP48" i="30"/>
  <c r="AA34" i="30"/>
  <c r="CP25" i="30"/>
  <c r="CP29" i="30" s="1"/>
  <c r="CF73" i="25" s="1"/>
  <c r="AA23" i="30"/>
  <c r="DD206" i="30"/>
  <c r="DD196" i="30" s="1"/>
  <c r="AE17" i="30"/>
  <c r="DR16" i="30"/>
  <c r="DB16" i="30"/>
  <c r="DG18" i="30" s="1"/>
  <c r="S12" i="30"/>
  <c r="C102" i="31"/>
  <c r="C103" i="31" s="1"/>
  <c r="E133" i="31"/>
  <c r="E107" i="31" s="1"/>
  <c r="DF56" i="30"/>
  <c r="AE55" i="30"/>
  <c r="CV46" i="30"/>
  <c r="CQ46" i="30"/>
  <c r="BW46" i="30"/>
  <c r="DH45" i="30"/>
  <c r="T45" i="30"/>
  <c r="Y42" i="30"/>
  <c r="B128" i="59" s="1"/>
  <c r="DF206" i="30"/>
  <c r="AF19" i="30"/>
  <c r="Y66" i="25" s="1"/>
  <c r="AF18" i="30"/>
  <c r="AF10" i="30"/>
  <c r="DR9" i="30"/>
  <c r="L7" i="52"/>
  <c r="DJ56" i="30"/>
  <c r="DE56" i="30"/>
  <c r="CZ56" i="30"/>
  <c r="CK56" i="30"/>
  <c r="CF56" i="30"/>
  <c r="CA56" i="30"/>
  <c r="BV56" i="30"/>
  <c r="AD56" i="30"/>
  <c r="CZ48" i="30"/>
  <c r="CW47" i="30"/>
  <c r="CU46" i="30"/>
  <c r="CP46" i="30"/>
  <c r="AB25" i="30"/>
  <c r="AB29" i="30"/>
  <c r="R73" i="25"/>
  <c r="DD20" i="30"/>
  <c r="AE19" i="30"/>
  <c r="U66" i="25" s="1"/>
  <c r="AE18" i="30"/>
  <c r="AF17" i="30"/>
  <c r="AE10" i="30"/>
  <c r="DM9" i="30"/>
  <c r="B28" i="31"/>
  <c r="C23" i="31"/>
  <c r="C31" i="31" s="1"/>
  <c r="E52" i="38"/>
  <c r="F52" i="38"/>
  <c r="G52" i="38"/>
  <c r="BG17" i="20"/>
  <c r="BG16" i="20" s="1"/>
  <c r="BG11" i="20" s="1"/>
  <c r="D67" i="38"/>
  <c r="D55" i="38"/>
  <c r="E55" i="38" s="1"/>
  <c r="F55" i="38" s="1"/>
  <c r="G55" i="38" s="1"/>
  <c r="H55" i="38" s="1"/>
  <c r="H50" i="38"/>
  <c r="I50" i="38"/>
  <c r="M24" i="40"/>
  <c r="N24" i="40" s="1"/>
  <c r="O24" i="40" s="1"/>
  <c r="P24" i="40" s="1"/>
  <c r="Q24" i="40" s="1"/>
  <c r="R24" i="40" s="1"/>
  <c r="S24" i="40" s="1"/>
  <c r="T24" i="40" s="1"/>
  <c r="U24" i="40" s="1"/>
  <c r="V24" i="40" s="1"/>
  <c r="W24" i="40" s="1"/>
  <c r="BN17" i="20"/>
  <c r="BN16" i="20" s="1"/>
  <c r="BN11" i="20" s="1"/>
  <c r="K32" i="40"/>
  <c r="L32" i="40"/>
  <c r="J27" i="40"/>
  <c r="I27" i="40" s="1"/>
  <c r="J24" i="40"/>
  <c r="I24" i="40"/>
  <c r="J13" i="40"/>
  <c r="I13" i="40" s="1"/>
  <c r="J9" i="40"/>
  <c r="I9" i="40"/>
  <c r="M8" i="40"/>
  <c r="N8" i="40" s="1"/>
  <c r="O8" i="40" s="1"/>
  <c r="AO89" i="41"/>
  <c r="P89" i="41" s="1"/>
  <c r="AK89" i="41"/>
  <c r="L89" i="41" s="1"/>
  <c r="Z71" i="41"/>
  <c r="AA71" i="41" s="1"/>
  <c r="P28" i="41"/>
  <c r="AO10" i="41"/>
  <c r="P10" i="41" s="1"/>
  <c r="AM10" i="41"/>
  <c r="N10" i="41" s="1"/>
  <c r="AK10" i="41"/>
  <c r="L10" i="41" s="1"/>
  <c r="K30" i="40"/>
  <c r="L9" i="40"/>
  <c r="M9" i="40" s="1"/>
  <c r="N9" i="40" s="1"/>
  <c r="O9" i="40" s="1"/>
  <c r="P9" i="40" s="1"/>
  <c r="Q9" i="40" s="1"/>
  <c r="R9" i="40" s="1"/>
  <c r="S9" i="40" s="1"/>
  <c r="T9" i="40" s="1"/>
  <c r="U9" i="40" s="1"/>
  <c r="V9" i="40" s="1"/>
  <c r="W9" i="40" s="1"/>
  <c r="AV89" i="41"/>
  <c r="W89" i="41" s="1"/>
  <c r="AP89" i="41"/>
  <c r="Q89" i="41" s="1"/>
  <c r="AP10" i="41"/>
  <c r="AN10" i="41"/>
  <c r="O10" i="41" s="1"/>
  <c r="BI74" i="85"/>
  <c r="CC17" i="85"/>
  <c r="CH17" i="85" s="1"/>
  <c r="CH19" i="85" s="1"/>
  <c r="BF14" i="85"/>
  <c r="AV14" i="85"/>
  <c r="K18" i="52"/>
  <c r="BH14" i="85"/>
  <c r="BC14" i="85"/>
  <c r="D17" i="52"/>
  <c r="L14" i="52"/>
  <c r="L13" i="52"/>
  <c r="J59" i="32"/>
  <c r="H59" i="32"/>
  <c r="F59" i="32"/>
  <c r="D59" i="32"/>
  <c r="D61" i="32"/>
  <c r="B59" i="32"/>
  <c r="P85" i="32"/>
  <c r="Q85" i="32"/>
  <c r="I17" i="32"/>
  <c r="J18" i="32"/>
  <c r="I79" i="32"/>
  <c r="I78" i="32"/>
  <c r="I88" i="32"/>
  <c r="H36" i="33"/>
  <c r="T241" i="30"/>
  <c r="D66" i="38"/>
  <c r="D81" i="38" s="1"/>
  <c r="E67" i="38"/>
  <c r="E66" i="38"/>
  <c r="E81" i="38"/>
  <c r="R80" i="30"/>
  <c r="T40" i="25"/>
  <c r="T39" i="25"/>
  <c r="W39" i="25" s="1"/>
  <c r="AA149" i="23"/>
  <c r="Z149" i="23"/>
  <c r="R69" i="25"/>
  <c r="R68" i="25" s="1"/>
  <c r="T78" i="30"/>
  <c r="Y163" i="30"/>
  <c r="DN156" i="30"/>
  <c r="DM19" i="30"/>
  <c r="DF27" i="30"/>
  <c r="DF196" i="30"/>
  <c r="DF22" i="30" s="1"/>
  <c r="R154" i="30"/>
  <c r="R158" i="30" s="1"/>
  <c r="F44" i="25" s="1"/>
  <c r="R163" i="30"/>
  <c r="R195" i="30"/>
  <c r="S195" i="30" s="1"/>
  <c r="N30" i="56"/>
  <c r="AC149" i="23"/>
  <c r="CP37" i="59"/>
  <c r="CP174" i="59"/>
  <c r="CP255" i="59"/>
  <c r="L248" i="59"/>
  <c r="CE248" i="59" s="1"/>
  <c r="N248" i="59"/>
  <c r="M248" i="59"/>
  <c r="CJ248" i="59" s="1"/>
  <c r="CP108" i="59"/>
  <c r="CP254" i="59"/>
  <c r="W8" i="23"/>
  <c r="AA475" i="23"/>
  <c r="AA503" i="23" s="1"/>
  <c r="AC503" i="23" s="1"/>
  <c r="AD503" i="23" s="1"/>
  <c r="AE503" i="23" s="1"/>
  <c r="AF503" i="23" s="1"/>
  <c r="AG503" i="23" s="1"/>
  <c r="AH503" i="23" s="1"/>
  <c r="AI503" i="23" s="1"/>
  <c r="AJ503" i="23" s="1"/>
  <c r="AK503" i="23" s="1"/>
  <c r="AL503" i="23" s="1"/>
  <c r="AM503" i="23" s="1"/>
  <c r="CY113" i="23"/>
  <c r="E86" i="30"/>
  <c r="E90" i="30" s="1"/>
  <c r="F95" i="31"/>
  <c r="K36" i="31"/>
  <c r="L36" i="31" s="1"/>
  <c r="M36" i="31" s="1"/>
  <c r="N36" i="31" s="1"/>
  <c r="O36" i="31" s="1"/>
  <c r="P36" i="31" s="1"/>
  <c r="Q36" i="31" s="1"/>
  <c r="R36" i="31" s="1"/>
  <c r="S36" i="31" s="1"/>
  <c r="T36" i="31" s="1"/>
  <c r="B23" i="31"/>
  <c r="B24" i="31" s="1"/>
  <c r="B90" i="31" s="1"/>
  <c r="N100" i="30"/>
  <c r="N302" i="59"/>
  <c r="U300" i="59"/>
  <c r="BF23" i="31"/>
  <c r="BK23" i="31" s="1"/>
  <c r="BP23" i="31" s="1"/>
  <c r="BD23" i="31"/>
  <c r="BI23" i="31" s="1"/>
  <c r="AC252" i="31"/>
  <c r="F31" i="31"/>
  <c r="D46" i="31"/>
  <c r="E46" i="31" s="1"/>
  <c r="E42" i="31" s="1"/>
  <c r="E43" i="31" s="1"/>
  <c r="P11" i="41"/>
  <c r="CZ406" i="23"/>
  <c r="BL17" i="20"/>
  <c r="BL16" i="20" s="1"/>
  <c r="BL11" i="20" s="1"/>
  <c r="BM17" i="20"/>
  <c r="BM16" i="20" s="1"/>
  <c r="K115" i="20"/>
  <c r="K25" i="20" s="1"/>
  <c r="BQ115" i="20"/>
  <c r="BR115" i="20" s="1"/>
  <c r="CT106" i="30"/>
  <c r="H76" i="20"/>
  <c r="H24" i="20" s="1"/>
  <c r="H114" i="20" s="1"/>
  <c r="Q74" i="20"/>
  <c r="E16" i="20"/>
  <c r="E11" i="20" s="1"/>
  <c r="T10" i="20"/>
  <c r="BF17" i="20"/>
  <c r="BF16" i="20" s="1"/>
  <c r="BU10" i="20"/>
  <c r="BS10" i="20"/>
  <c r="R10" i="20"/>
  <c r="G14" i="73"/>
  <c r="G15" i="73"/>
  <c r="G125" i="73"/>
  <c r="BE88" i="73"/>
  <c r="BF88" i="73"/>
  <c r="BF87" i="73"/>
  <c r="BC87" i="73"/>
  <c r="BC88" i="73"/>
  <c r="M132" i="73"/>
  <c r="BM166" i="39"/>
  <c r="X369" i="39"/>
  <c r="BF369" i="39"/>
  <c r="BE94" i="73"/>
  <c r="BF93" i="73"/>
  <c r="X7" i="52"/>
  <c r="Y7" i="52" s="1"/>
  <c r="Z7" i="52" s="1"/>
  <c r="AA7" i="52" s="1"/>
  <c r="AB7" i="52" s="1"/>
  <c r="AC7" i="52" s="1"/>
  <c r="AD7" i="52" s="1"/>
  <c r="AE7" i="52" s="1"/>
  <c r="CB17" i="20"/>
  <c r="L16" i="20"/>
  <c r="L136" i="20" s="1"/>
  <c r="CU18" i="20"/>
  <c r="CU25" i="20" s="1"/>
  <c r="A75" i="63"/>
  <c r="S321" i="23"/>
  <c r="T321" i="23" s="1"/>
  <c r="CW12" i="23"/>
  <c r="J38" i="23"/>
  <c r="D10" i="56"/>
  <c r="B219" i="23"/>
  <c r="B239" i="23"/>
  <c r="N29" i="56"/>
  <c r="M29" i="56"/>
  <c r="BK145" i="73"/>
  <c r="CG111" i="23"/>
  <c r="BG111" i="23"/>
  <c r="BG114" i="23"/>
  <c r="S111" i="23"/>
  <c r="M111" i="23"/>
  <c r="M114" i="23" s="1"/>
  <c r="CQ111" i="23"/>
  <c r="CY111" i="23"/>
  <c r="CE38" i="23"/>
  <c r="W29" i="23"/>
  <c r="H12" i="56"/>
  <c r="Y28" i="23"/>
  <c r="Z390" i="23"/>
  <c r="N49" i="53"/>
  <c r="BX12" i="23"/>
  <c r="R12" i="23"/>
  <c r="Y96" i="25"/>
  <c r="L9" i="23"/>
  <c r="L8" i="23" s="1"/>
  <c r="H196" i="59"/>
  <c r="BJ195" i="59"/>
  <c r="CL77" i="25"/>
  <c r="CL79" i="25" s="1"/>
  <c r="CQ65" i="25"/>
  <c r="DG176" i="30"/>
  <c r="AD179" i="30"/>
  <c r="AD167" i="30"/>
  <c r="BP77" i="25"/>
  <c r="H22" i="25"/>
  <c r="CQ8" i="25"/>
  <c r="CL8" i="25"/>
  <c r="S204" i="30"/>
  <c r="D194" i="30"/>
  <c r="ED202" i="30"/>
  <c r="BN191" i="59"/>
  <c r="F204" i="30"/>
  <c r="J610" i="23"/>
  <c r="M422" i="23"/>
  <c r="M375" i="23"/>
  <c r="CX43" i="23"/>
  <c r="BT43" i="23"/>
  <c r="BS9" i="23"/>
  <c r="CL67" i="25"/>
  <c r="CU36" i="25"/>
  <c r="E10" i="25"/>
  <c r="DD8" i="25"/>
  <c r="R198" i="30"/>
  <c r="S198" i="30"/>
  <c r="BU198" i="30"/>
  <c r="DA23" i="30"/>
  <c r="DA25" i="30"/>
  <c r="CQ69" i="25"/>
  <c r="CV111" i="23"/>
  <c r="BG112" i="59"/>
  <c r="D198" i="30"/>
  <c r="F198" i="30"/>
  <c r="B142" i="59"/>
  <c r="H52" i="59"/>
  <c r="AY33" i="59"/>
  <c r="AC241" i="30"/>
  <c r="AE216" i="30"/>
  <c r="BW202" i="30"/>
  <c r="DE188" i="30"/>
  <c r="AA163" i="30"/>
  <c r="R160" i="30"/>
  <c r="R161" i="30" s="1"/>
  <c r="I53" i="31" s="1"/>
  <c r="I52" i="31" s="1"/>
  <c r="AA152" i="30"/>
  <c r="E92" i="38" s="1"/>
  <c r="CQ156" i="30"/>
  <c r="CQ205" i="30"/>
  <c r="EO206" i="30"/>
  <c r="EJ206" i="30"/>
  <c r="DY193" i="30"/>
  <c r="BW173" i="59"/>
  <c r="BW174" i="59" s="1"/>
  <c r="BW202" i="59" s="1"/>
  <c r="DO195" i="30"/>
  <c r="DO151" i="30"/>
  <c r="CK156" i="30"/>
  <c r="CK205" i="30"/>
  <c r="CL156" i="30"/>
  <c r="DR145" i="30"/>
  <c r="DL115" i="30"/>
  <c r="BJ52" i="59"/>
  <c r="AF115" i="30"/>
  <c r="DH109" i="30"/>
  <c r="X110" i="30"/>
  <c r="F101" i="30"/>
  <c r="BM90" i="30"/>
  <c r="BM91" i="30" s="1"/>
  <c r="BQ86" i="30"/>
  <c r="BQ90" i="30" s="1"/>
  <c r="BQ91" i="30" s="1"/>
  <c r="BG60" i="30"/>
  <c r="BH60" i="30"/>
  <c r="DS193" i="30"/>
  <c r="BQ173" i="59"/>
  <c r="BQ174" i="59" s="1"/>
  <c r="BQ202" i="59" s="1"/>
  <c r="T194" i="30"/>
  <c r="DO56" i="30"/>
  <c r="DB56" i="30"/>
  <c r="BU56" i="30"/>
  <c r="CH55" i="30"/>
  <c r="Y52" i="30"/>
  <c r="O23" i="25" s="1"/>
  <c r="T47" i="30"/>
  <c r="BX46" i="30"/>
  <c r="DM45" i="30"/>
  <c r="X43" i="30"/>
  <c r="X47" i="30"/>
  <c r="AC18" i="30"/>
  <c r="DG17" i="30"/>
  <c r="DM16" i="30"/>
  <c r="L16" i="52"/>
  <c r="I16" i="52"/>
  <c r="J18" i="52" s="1"/>
  <c r="CT11" i="30"/>
  <c r="CJ64" i="25" s="1"/>
  <c r="DH9" i="30"/>
  <c r="CY9" i="30"/>
  <c r="AC9" i="30" s="1"/>
  <c r="B121" i="31"/>
  <c r="B123" i="31" s="1"/>
  <c r="B124" i="31" s="1"/>
  <c r="N20" i="31"/>
  <c r="N28" i="31" s="1"/>
  <c r="AE241" i="30"/>
  <c r="K240" i="30"/>
  <c r="O216" i="30"/>
  <c r="CA205" i="30"/>
  <c r="AC163" i="30"/>
  <c r="AC152" i="30"/>
  <c r="N47" i="31" s="1"/>
  <c r="R21" i="32"/>
  <c r="AD152" i="30"/>
  <c r="AD148" i="30"/>
  <c r="R110" i="30"/>
  <c r="W109" i="30"/>
  <c r="BQ99" i="30"/>
  <c r="BR95" i="30"/>
  <c r="BR88" i="30"/>
  <c r="E77" i="30"/>
  <c r="F77" i="30" s="1"/>
  <c r="DI203" i="30"/>
  <c r="CY202" i="30"/>
  <c r="CY67" i="30"/>
  <c r="DK56" i="30"/>
  <c r="DJ55" i="30"/>
  <c r="K55" i="30"/>
  <c r="S52" i="30"/>
  <c r="N23" i="25" s="1"/>
  <c r="CJ48" i="30"/>
  <c r="DS206" i="30"/>
  <c r="CT17" i="30"/>
  <c r="CU11" i="30"/>
  <c r="DL10" i="30"/>
  <c r="CT10" i="30"/>
  <c r="M93" i="31"/>
  <c r="CP115" i="20"/>
  <c r="CP25" i="20" s="1"/>
  <c r="BL205" i="30"/>
  <c r="BL209" i="30" s="1"/>
  <c r="EA202" i="30"/>
  <c r="AA195" i="30"/>
  <c r="P194" i="30"/>
  <c r="CH156" i="30"/>
  <c r="CH205" i="30" s="1"/>
  <c r="BQ156" i="30"/>
  <c r="CP156" i="30"/>
  <c r="CP205" i="30" s="1"/>
  <c r="N151" i="30"/>
  <c r="N154" i="30" s="1"/>
  <c r="U149" i="30"/>
  <c r="BM125" i="30"/>
  <c r="BW86" i="30"/>
  <c r="CB86" i="30" s="1"/>
  <c r="CB90" i="30" s="1"/>
  <c r="BP65" i="30"/>
  <c r="BP73" i="30"/>
  <c r="BP80" i="30" s="1"/>
  <c r="K64" i="30"/>
  <c r="K72" i="30" s="1"/>
  <c r="D30" i="25" s="1"/>
  <c r="D32" i="25" s="1"/>
  <c r="CZ202" i="30"/>
  <c r="CZ192" i="30"/>
  <c r="DG56" i="30"/>
  <c r="BX55" i="30"/>
  <c r="DV206" i="30"/>
  <c r="DV27" i="30" s="1"/>
  <c r="DT206" i="30"/>
  <c r="F22" i="38"/>
  <c r="J23" i="40"/>
  <c r="I23" i="40"/>
  <c r="AT105" i="41"/>
  <c r="AM91" i="41"/>
  <c r="V91" i="41" s="1"/>
  <c r="AK91" i="41"/>
  <c r="T91" i="41" s="1"/>
  <c r="AK69" i="41"/>
  <c r="Z69" i="41" s="1"/>
  <c r="S31" i="41"/>
  <c r="L22" i="41"/>
  <c r="D27" i="32"/>
  <c r="D26" i="32"/>
  <c r="J61" i="33"/>
  <c r="J44" i="33"/>
  <c r="I97" i="33"/>
  <c r="I103" i="33"/>
  <c r="AN69" i="41"/>
  <c r="AC69" i="41" s="1"/>
  <c r="AR69" i="41"/>
  <c r="O225" i="31"/>
  <c r="K18" i="40"/>
  <c r="G21" i="32"/>
  <c r="G20" i="32"/>
  <c r="G16" i="32" s="1"/>
  <c r="F21" i="32"/>
  <c r="F20" i="32" s="1"/>
  <c r="F16" i="32" s="1"/>
  <c r="L302" i="59"/>
  <c r="AO69" i="41"/>
  <c r="AP69" i="41"/>
  <c r="AE69" i="41"/>
  <c r="J14" i="40"/>
  <c r="I14" i="40" s="1"/>
  <c r="AM69" i="41"/>
  <c r="AB69" i="41" s="1"/>
  <c r="N93" i="31"/>
  <c r="CT12" i="30"/>
  <c r="T60" i="30"/>
  <c r="BZ60" i="30" s="1"/>
  <c r="AJ202" i="30"/>
  <c r="EI202" i="30"/>
  <c r="AK67" i="30"/>
  <c r="DA29" i="30"/>
  <c r="CQ73" i="25"/>
  <c r="AA689" i="23"/>
  <c r="B161" i="59"/>
  <c r="B163" i="59" s="1"/>
  <c r="CQ37" i="59"/>
  <c r="CQ28" i="59"/>
  <c r="CQ45" i="59"/>
  <c r="CQ181" i="59"/>
  <c r="CQ253" i="59"/>
  <c r="CR92" i="59"/>
  <c r="AD67" i="32"/>
  <c r="Q39" i="59"/>
  <c r="R40" i="59" s="1"/>
  <c r="DC32" i="23"/>
  <c r="CQ254" i="59"/>
  <c r="DD105" i="23"/>
  <c r="CQ255" i="59"/>
  <c r="CR174" i="59"/>
  <c r="CQ174" i="59"/>
  <c r="CQ114" i="59"/>
  <c r="CZ113" i="23"/>
  <c r="A68" i="63"/>
  <c r="CZ111" i="23"/>
  <c r="DA111" i="23"/>
  <c r="AK90" i="41"/>
  <c r="N90" i="41"/>
  <c r="AO90" i="41"/>
  <c r="R90" i="41" s="1"/>
  <c r="AN90" i="41"/>
  <c r="Q90" i="41" s="1"/>
  <c r="AL90" i="41"/>
  <c r="AN88" i="41"/>
  <c r="AW88" i="41"/>
  <c r="AS88" i="41"/>
  <c r="P88" i="41" s="1"/>
  <c r="AO88" i="41"/>
  <c r="L88" i="41" s="1"/>
  <c r="AV88" i="41"/>
  <c r="S88" i="41" s="1"/>
  <c r="AR88" i="41"/>
  <c r="O88" i="41" s="1"/>
  <c r="AK88" i="41"/>
  <c r="AL88" i="41"/>
  <c r="AP88" i="41"/>
  <c r="M88" i="41" s="1"/>
  <c r="AZ19" i="41"/>
  <c r="AT88" i="41"/>
  <c r="Q88" i="41" s="1"/>
  <c r="AQ88" i="41"/>
  <c r="N88" i="41" s="1"/>
  <c r="AR108" i="41"/>
  <c r="BE125" i="73" s="1"/>
  <c r="AT106" i="41"/>
  <c r="AV106" i="41" s="1"/>
  <c r="AW89" i="41"/>
  <c r="X89" i="41" s="1"/>
  <c r="X92" i="41" s="1"/>
  <c r="AM89" i="41"/>
  <c r="N89" i="41" s="1"/>
  <c r="AX89" i="41"/>
  <c r="Y89" i="41" s="1"/>
  <c r="AR89" i="41"/>
  <c r="S89" i="41" s="1"/>
  <c r="AN89" i="41"/>
  <c r="AS89" i="41"/>
  <c r="T89" i="41" s="1"/>
  <c r="AT89" i="41"/>
  <c r="U89" i="41" s="1"/>
  <c r="AL89" i="41"/>
  <c r="AU89" i="41"/>
  <c r="V89" i="41" s="1"/>
  <c r="AQ89" i="41"/>
  <c r="R89" i="41" s="1"/>
  <c r="AK9" i="41"/>
  <c r="AM88" i="41"/>
  <c r="AU88" i="41"/>
  <c r="R88" i="41" s="1"/>
  <c r="AM90" i="41"/>
  <c r="P90" i="41" s="1"/>
  <c r="N15" i="41"/>
  <c r="AZ18" i="41"/>
  <c r="Z75" i="41"/>
  <c r="AB80" i="41"/>
  <c r="AC80" i="41" s="1"/>
  <c r="AD80" i="41" s="1"/>
  <c r="AE80" i="41" s="1"/>
  <c r="AZ24" i="41"/>
  <c r="J66" i="38"/>
  <c r="J81" i="38" s="1"/>
  <c r="O28" i="41"/>
  <c r="U28" i="41" s="1"/>
  <c r="BP17" i="20"/>
  <c r="M82" i="20"/>
  <c r="BQ17" i="20"/>
  <c r="BR17" i="20"/>
  <c r="R115" i="20"/>
  <c r="S115" i="20" s="1"/>
  <c r="CO115" i="20"/>
  <c r="CJ115" i="20"/>
  <c r="CJ25" i="20" s="1"/>
  <c r="CK115" i="20"/>
  <c r="CK25" i="20" s="1"/>
  <c r="CQ115" i="20"/>
  <c r="CA17" i="20"/>
  <c r="BZ17" i="20"/>
  <c r="O82" i="20"/>
  <c r="CC17" i="20"/>
  <c r="CP24" i="20"/>
  <c r="CP29" i="20"/>
  <c r="H16" i="20"/>
  <c r="H11" i="20" s="1"/>
  <c r="H82" i="20"/>
  <c r="AA143" i="30"/>
  <c r="AA105" i="30"/>
  <c r="D30" i="59" s="1"/>
  <c r="P25" i="20"/>
  <c r="CY105" i="30"/>
  <c r="CY106" i="30" s="1"/>
  <c r="CR37" i="59"/>
  <c r="DA113" i="23"/>
  <c r="BF94" i="73"/>
  <c r="DM83" i="25"/>
  <c r="S9" i="23"/>
  <c r="CD9" i="23" s="1"/>
  <c r="CR255" i="59"/>
  <c r="CR308" i="59"/>
  <c r="CR322" i="59"/>
  <c r="CR89" i="59"/>
  <c r="CR88" i="59"/>
  <c r="K14" i="95"/>
  <c r="L14" i="95" s="1"/>
  <c r="M14" i="95" s="1"/>
  <c r="N14" i="95" s="1"/>
  <c r="O14" i="95" s="1"/>
  <c r="P14" i="95" s="1"/>
  <c r="Q14" i="95" s="1"/>
  <c r="CR45" i="59"/>
  <c r="CR28" i="59"/>
  <c r="CR229" i="59"/>
  <c r="CR253" i="59"/>
  <c r="CR254" i="59"/>
  <c r="CR114" i="59"/>
  <c r="CW115" i="59" s="1"/>
  <c r="L114" i="73"/>
  <c r="Y130" i="20"/>
  <c r="Y9" i="20"/>
  <c r="Y10" i="20" s="1"/>
  <c r="M114" i="73"/>
  <c r="N114" i="73"/>
  <c r="O114" i="73"/>
  <c r="CO301" i="59"/>
  <c r="Z67" i="32"/>
  <c r="U302" i="59"/>
  <c r="V223" i="31"/>
  <c r="AE231" i="31"/>
  <c r="AD235" i="31"/>
  <c r="AE235" i="31" s="1"/>
  <c r="AF235" i="31" s="1"/>
  <c r="AG235" i="31" s="1"/>
  <c r="AH235" i="31" s="1"/>
  <c r="AI235" i="31" s="1"/>
  <c r="AJ235" i="31" s="1"/>
  <c r="K171" i="31"/>
  <c r="D42" i="31"/>
  <c r="D43" i="31" s="1"/>
  <c r="T225" i="31"/>
  <c r="F171" i="31"/>
  <c r="J171" i="31"/>
  <c r="N171" i="31"/>
  <c r="R171" i="31"/>
  <c r="J6" i="23"/>
  <c r="EA188" i="30"/>
  <c r="DV85" i="30"/>
  <c r="AZ5" i="23"/>
  <c r="N473" i="23"/>
  <c r="DV188" i="30"/>
  <c r="BE93" i="73"/>
  <c r="BG99" i="59"/>
  <c r="BL100" i="59" s="1"/>
  <c r="D43" i="59"/>
  <c r="AY129" i="59"/>
  <c r="BQ40" i="59"/>
  <c r="BI221" i="59"/>
  <c r="CN107" i="30"/>
  <c r="BF137" i="30"/>
  <c r="BJ108" i="59"/>
  <c r="P45" i="25"/>
  <c r="CC24" i="25"/>
  <c r="BD24" i="25"/>
  <c r="Z22" i="25"/>
  <c r="DA10" i="25"/>
  <c r="CV10" i="25"/>
  <c r="CV8" i="25"/>
  <c r="CW8" i="25"/>
  <c r="CR8" i="25"/>
  <c r="CC77" i="25"/>
  <c r="BX77" i="25"/>
  <c r="BS77" i="25"/>
  <c r="BN77" i="25"/>
  <c r="BI77" i="25"/>
  <c r="AE7" i="25"/>
  <c r="V558" i="23"/>
  <c r="R558" i="23"/>
  <c r="Z8" i="25"/>
  <c r="DH7" i="25"/>
  <c r="K558" i="23"/>
  <c r="S8" i="25"/>
  <c r="D8" i="25"/>
  <c r="BH18" i="59"/>
  <c r="BH223" i="59" s="1"/>
  <c r="E18" i="52"/>
  <c r="C18" i="52"/>
  <c r="B17" i="52"/>
  <c r="W40" i="25"/>
  <c r="I163" i="59"/>
  <c r="CF67" i="25"/>
  <c r="DN85" i="30"/>
  <c r="DI40" i="30"/>
  <c r="DI85" i="30"/>
  <c r="DI188" i="30"/>
  <c r="DD40" i="30"/>
  <c r="DD85" i="30"/>
  <c r="DD188" i="30"/>
  <c r="DX187" i="30"/>
  <c r="P75" i="25"/>
  <c r="P74" i="25"/>
  <c r="CQ67" i="25"/>
  <c r="CV65" i="25"/>
  <c r="CV67" i="25"/>
  <c r="CE67" i="25"/>
  <c r="CG38" i="25"/>
  <c r="CB38" i="25"/>
  <c r="BB38" i="25"/>
  <c r="D38" i="25"/>
  <c r="CR10" i="25"/>
  <c r="CC10" i="25"/>
  <c r="BN82" i="25"/>
  <c r="BN10" i="25"/>
  <c r="ES188" i="30"/>
  <c r="ES85" i="30"/>
  <c r="DQ188" i="30"/>
  <c r="G24" i="25"/>
  <c r="DF10" i="25"/>
  <c r="E125" i="30"/>
  <c r="F125" i="30" s="1"/>
  <c r="D147" i="30"/>
  <c r="BD10" i="25"/>
  <c r="Y10" i="25"/>
  <c r="D18" i="52"/>
  <c r="CP38" i="25"/>
  <c r="BD38" i="25"/>
  <c r="CD35" i="25"/>
  <c r="CM24" i="25"/>
  <c r="BS24" i="25"/>
  <c r="CX23" i="25"/>
  <c r="Q74" i="25"/>
  <c r="CL36" i="25"/>
  <c r="CJ142" i="59"/>
  <c r="AA22" i="25"/>
  <c r="DH21" i="25"/>
  <c r="BQ82" i="25"/>
  <c r="CS7" i="25"/>
  <c r="CS309" i="59"/>
  <c r="DK40" i="30"/>
  <c r="DK188" i="30"/>
  <c r="DK85" i="30"/>
  <c r="CU65" i="25"/>
  <c r="CO38" i="25"/>
  <c r="N323" i="59"/>
  <c r="DE40" i="30"/>
  <c r="DE85" i="30"/>
  <c r="C13" i="52"/>
  <c r="C9" i="52" s="1"/>
  <c r="DC39" i="59"/>
  <c r="DC91" i="59" s="1"/>
  <c r="CS232" i="59"/>
  <c r="CS323" i="59"/>
  <c r="BZ39" i="59"/>
  <c r="C26" i="52"/>
  <c r="C7" i="52"/>
  <c r="BO40" i="73"/>
  <c r="BO42" i="73" s="1"/>
  <c r="BP99" i="30"/>
  <c r="F137" i="30"/>
  <c r="DL169" i="30"/>
  <c r="BJ63" i="59" s="1"/>
  <c r="EW84" i="30"/>
  <c r="D7" i="52"/>
  <c r="DX206" i="30"/>
  <c r="DU193" i="30"/>
  <c r="DU59" i="30"/>
  <c r="DU60" i="30" s="1"/>
  <c r="EY188" i="30"/>
  <c r="B82" i="20"/>
  <c r="L82" i="20"/>
  <c r="E221" i="60"/>
  <c r="B221" i="60"/>
  <c r="BO40" i="59"/>
  <c r="BT40" i="59"/>
  <c r="BL232" i="59"/>
  <c r="BC40" i="59"/>
  <c r="BL92" i="59"/>
  <c r="J577" i="23"/>
  <c r="J586" i="23"/>
  <c r="U573" i="23"/>
  <c r="K582" i="23"/>
  <c r="V421" i="23"/>
  <c r="V374" i="23" s="1"/>
  <c r="W421" i="23"/>
  <c r="W374" i="23" s="1"/>
  <c r="CM168" i="23"/>
  <c r="Z159" i="23"/>
  <c r="DC64" i="23"/>
  <c r="CX15" i="23"/>
  <c r="Y16" i="23"/>
  <c r="BO145" i="73"/>
  <c r="DA166" i="23"/>
  <c r="CS25" i="23"/>
  <c r="CZ166" i="23"/>
  <c r="CZ167" i="23"/>
  <c r="DE124" i="23"/>
  <c r="DE67" i="23"/>
  <c r="DE68" i="23" s="1"/>
  <c r="CY167" i="23"/>
  <c r="CZ418" i="23"/>
  <c r="BN145" i="73"/>
  <c r="P114" i="73"/>
  <c r="Z9" i="20"/>
  <c r="Z10" i="20" s="1"/>
  <c r="Z130" i="20"/>
  <c r="K19" i="73"/>
  <c r="P19" i="73"/>
  <c r="P21" i="73" s="1"/>
  <c r="Q19" i="73"/>
  <c r="Q21" i="73" s="1"/>
  <c r="R19" i="73"/>
  <c r="S19" i="73"/>
  <c r="T19" i="73"/>
  <c r="T18" i="73" s="1"/>
  <c r="U19" i="73"/>
  <c r="CO46" i="23"/>
  <c r="CP46" i="23"/>
  <c r="V46" i="23" s="1"/>
  <c r="CQ46" i="23"/>
  <c r="CR46" i="23"/>
  <c r="V47" i="23"/>
  <c r="K12" i="62"/>
  <c r="Z27" i="23"/>
  <c r="Z25" i="23"/>
  <c r="DC25" i="23" s="1"/>
  <c r="AN206" i="30"/>
  <c r="FB206" i="30" s="1"/>
  <c r="EX206" i="30"/>
  <c r="EZ206" i="30"/>
  <c r="Z690" i="23"/>
  <c r="J110" i="73"/>
  <c r="AA159" i="20"/>
  <c r="AA9" i="20"/>
  <c r="AA10" i="20" s="1"/>
  <c r="K135" i="30"/>
  <c r="AZ143" i="59"/>
  <c r="AU143" i="59"/>
  <c r="CS174" i="59"/>
  <c r="CS28" i="59"/>
  <c r="CS255" i="59"/>
  <c r="CS37" i="59"/>
  <c r="CS45" i="59"/>
  <c r="CS114" i="59"/>
  <c r="CS116" i="59" s="1"/>
  <c r="CS253" i="59"/>
  <c r="CS254" i="59"/>
  <c r="Z197" i="23"/>
  <c r="W554" i="23"/>
  <c r="W555" i="23"/>
  <c r="W553" i="23"/>
  <c r="BH9" i="23"/>
  <c r="BF9" i="23"/>
  <c r="DG9" i="23"/>
  <c r="Q248" i="59"/>
  <c r="Z68" i="23"/>
  <c r="H34" i="63"/>
  <c r="H21" i="62"/>
  <c r="R21" i="62" s="1"/>
  <c r="CS321" i="59"/>
  <c r="Z39" i="23"/>
  <c r="Z477" i="23"/>
  <c r="Z502" i="23"/>
  <c r="AA582" i="23"/>
  <c r="AA130" i="20"/>
  <c r="DE105" i="23"/>
  <c r="DF105" i="23"/>
  <c r="Z481" i="23"/>
  <c r="Z508" i="23"/>
  <c r="Z510" i="23"/>
  <c r="H28" i="63"/>
  <c r="H16" i="62"/>
  <c r="R16" i="62" s="1"/>
  <c r="BP134" i="30"/>
  <c r="BP135" i="30" s="1"/>
  <c r="DG409" i="23"/>
  <c r="BW145" i="59"/>
  <c r="BW167" i="59" s="1"/>
  <c r="CU232" i="59"/>
  <c r="CQ18" i="20"/>
  <c r="CQ29" i="20" s="1"/>
  <c r="CV105" i="30"/>
  <c r="CL116" i="20"/>
  <c r="Q196" i="59"/>
  <c r="AT104" i="41"/>
  <c r="AV104" i="41" s="1"/>
  <c r="AL23" i="41"/>
  <c r="O23" i="41" s="1"/>
  <c r="AL68" i="41"/>
  <c r="Z68" i="41" s="1"/>
  <c r="AQ69" i="41"/>
  <c r="AO68" i="41"/>
  <c r="AC68" i="41" s="1"/>
  <c r="CQ27" i="20"/>
  <c r="T29" i="56"/>
  <c r="R29" i="56"/>
  <c r="X22" i="31"/>
  <c r="BO22" i="31" s="1"/>
  <c r="CS77" i="59"/>
  <c r="CS93" i="59"/>
  <c r="CS92" i="59"/>
  <c r="DT43" i="30"/>
  <c r="DT47" i="30" s="1"/>
  <c r="BI143" i="59"/>
  <c r="CE36" i="59"/>
  <c r="CO36" i="59"/>
  <c r="N89" i="59"/>
  <c r="CO87" i="59"/>
  <c r="N112" i="59"/>
  <c r="P87" i="59"/>
  <c r="CE87" i="59"/>
  <c r="L89" i="59"/>
  <c r="CT36" i="59"/>
  <c r="M88" i="59"/>
  <c r="CJ87" i="59"/>
  <c r="O87" i="59"/>
  <c r="N88" i="59"/>
  <c r="BP36" i="59"/>
  <c r="J37" i="59"/>
  <c r="BU36" i="59"/>
  <c r="K37" i="59"/>
  <c r="L37" i="59"/>
  <c r="BZ36" i="59"/>
  <c r="BS99" i="30"/>
  <c r="F99" i="30"/>
  <c r="F103" i="30" s="1"/>
  <c r="BL134" i="30"/>
  <c r="BK36" i="59"/>
  <c r="I37" i="59"/>
  <c r="CR18" i="20"/>
  <c r="DB105" i="30" s="1"/>
  <c r="AZ30" i="59" s="1"/>
  <c r="BD33" i="59"/>
  <c r="BD83" i="59" s="1"/>
  <c r="DF146" i="30" s="1"/>
  <c r="BM40" i="73"/>
  <c r="BM42" i="73" s="1"/>
  <c r="DA67" i="25"/>
  <c r="CT65" i="25"/>
  <c r="CY65" i="25"/>
  <c r="DB22" i="25"/>
  <c r="CR22" i="25"/>
  <c r="BE63" i="59"/>
  <c r="BD18" i="59"/>
  <c r="DH167" i="30"/>
  <c r="BU96" i="30"/>
  <c r="BE5" i="23"/>
  <c r="BZ82" i="25"/>
  <c r="BZ24" i="25"/>
  <c r="W9" i="25"/>
  <c r="D10" i="25"/>
  <c r="BS40" i="59"/>
  <c r="CE38" i="25"/>
  <c r="BZ38" i="25"/>
  <c r="BH38" i="25"/>
  <c r="G38" i="25"/>
  <c r="DU188" i="30"/>
  <c r="DL40" i="30"/>
  <c r="DL85" i="30"/>
  <c r="DL188" i="30"/>
  <c r="L18" i="52"/>
  <c r="DE67" i="25"/>
  <c r="CN66" i="25"/>
  <c r="CO190" i="59"/>
  <c r="P190" i="59"/>
  <c r="T175" i="23"/>
  <c r="T294" i="23" s="1"/>
  <c r="T690" i="23" s="1"/>
  <c r="Q75" i="25"/>
  <c r="C24" i="25"/>
  <c r="BM82" i="25"/>
  <c r="Z10" i="25"/>
  <c r="Q97" i="25"/>
  <c r="BU77" i="25"/>
  <c r="BK77" i="25"/>
  <c r="BA10" i="25"/>
  <c r="BA77" i="25"/>
  <c r="EH187" i="30"/>
  <c r="EH84" i="30"/>
  <c r="EU188" i="30"/>
  <c r="BW38" i="25"/>
  <c r="DE24" i="25"/>
  <c r="E8" i="25"/>
  <c r="L79" i="38"/>
  <c r="K13" i="52"/>
  <c r="K9" i="52" s="1"/>
  <c r="K10" i="52" s="1"/>
  <c r="BW77" i="25"/>
  <c r="E36" i="25"/>
  <c r="D20" i="52"/>
  <c r="D23" i="52" s="1"/>
  <c r="D24" i="52" s="1"/>
  <c r="AR30" i="59"/>
  <c r="AR36" i="59" s="1"/>
  <c r="X10" i="31"/>
  <c r="BO10" i="31" s="1"/>
  <c r="Z374" i="23"/>
  <c r="DC374" i="23" s="1"/>
  <c r="CX232" i="59"/>
  <c r="R39" i="59"/>
  <c r="O89" i="41"/>
  <c r="R33" i="20"/>
  <c r="G92" i="38"/>
  <c r="T80" i="30"/>
  <c r="BM126" i="30"/>
  <c r="N99" i="31"/>
  <c r="P56" i="33"/>
  <c r="O47" i="31"/>
  <c r="CA60" i="30"/>
  <c r="CA194" i="30" s="1"/>
  <c r="CA199" i="30" s="1"/>
  <c r="DS196" i="30"/>
  <c r="DS22" i="30" s="1"/>
  <c r="E27" i="32"/>
  <c r="F27" i="32" s="1"/>
  <c r="F26" i="32" s="1"/>
  <c r="CY12" i="30"/>
  <c r="DT196" i="30"/>
  <c r="DT22" i="30" s="1"/>
  <c r="L47" i="31"/>
  <c r="P33" i="20"/>
  <c r="P32" i="20" s="1"/>
  <c r="N56" i="33"/>
  <c r="Y60" i="30"/>
  <c r="BG51" i="33"/>
  <c r="BH51" i="33" s="1"/>
  <c r="G86" i="38"/>
  <c r="BK40" i="73"/>
  <c r="BK42" i="73" s="1"/>
  <c r="B31" i="31"/>
  <c r="A79" i="63"/>
  <c r="A77" i="63"/>
  <c r="E26" i="25"/>
  <c r="E28" i="25" s="1"/>
  <c r="E12" i="25"/>
  <c r="V582" i="23"/>
  <c r="BZ95" i="30"/>
  <c r="BO51" i="33"/>
  <c r="V477" i="23"/>
  <c r="J571" i="23"/>
  <c r="W586" i="23"/>
  <c r="L307" i="23"/>
  <c r="S268" i="23"/>
  <c r="K237" i="23"/>
  <c r="U205" i="23"/>
  <c r="U492" i="23" s="1"/>
  <c r="Z582" i="23"/>
  <c r="CX171" i="23"/>
  <c r="U170" i="23"/>
  <c r="U159" i="23"/>
  <c r="L29" i="56"/>
  <c r="H114" i="23"/>
  <c r="BI113" i="23"/>
  <c r="BP64" i="23"/>
  <c r="M64" i="23"/>
  <c r="P64" i="23" s="1"/>
  <c r="I148" i="23"/>
  <c r="J128" i="23" s="1"/>
  <c r="U32" i="23"/>
  <c r="U62" i="23" s="1"/>
  <c r="CA82" i="25"/>
  <c r="CY56" i="25"/>
  <c r="T52" i="25"/>
  <c r="BU38" i="25"/>
  <c r="E24" i="25"/>
  <c r="BO167" i="59"/>
  <c r="CO39" i="59"/>
  <c r="AX126" i="73"/>
  <c r="BK209" i="30"/>
  <c r="DP168" i="30"/>
  <c r="L156" i="30"/>
  <c r="CU163" i="30"/>
  <c r="F134" i="30"/>
  <c r="F140" i="30"/>
  <c r="DC115" i="30"/>
  <c r="BQ95" i="30"/>
  <c r="BF45" i="33"/>
  <c r="BU90" i="30"/>
  <c r="BR86" i="30"/>
  <c r="BR90" i="30"/>
  <c r="BR91" i="30" s="1"/>
  <c r="X77" i="30"/>
  <c r="CB69" i="30"/>
  <c r="CB204" i="30"/>
  <c r="CB208" i="30" s="1"/>
  <c r="BZ69" i="30"/>
  <c r="S67" i="30"/>
  <c r="S68" i="30"/>
  <c r="DF203" i="30"/>
  <c r="DF193" i="30"/>
  <c r="DD203" i="30"/>
  <c r="CZ203" i="30"/>
  <c r="DA203" i="30"/>
  <c r="DT193" i="30"/>
  <c r="BR173" i="59" s="1"/>
  <c r="BR174" i="59" s="1"/>
  <c r="BR202" i="59" s="1"/>
  <c r="DQ202" i="30"/>
  <c r="DD202" i="30"/>
  <c r="DD204" i="30" s="1"/>
  <c r="U69" i="30"/>
  <c r="CG69" i="30" s="1"/>
  <c r="CG67" i="30" s="1"/>
  <c r="DQ55" i="30"/>
  <c r="DM54" i="30"/>
  <c r="BQ55" i="30"/>
  <c r="BX50" i="30"/>
  <c r="DG48" i="30"/>
  <c r="E55" i="30"/>
  <c r="CQ47" i="30"/>
  <c r="AL31" i="30"/>
  <c r="AL218" i="30" s="1"/>
  <c r="CW27" i="30"/>
  <c r="CO206" i="30"/>
  <c r="CU17" i="30"/>
  <c r="CY15" i="30"/>
  <c r="AM39" i="59"/>
  <c r="AR40" i="59" s="1"/>
  <c r="M99" i="31"/>
  <c r="C95" i="31"/>
  <c r="F82" i="20"/>
  <c r="BD17" i="20"/>
  <c r="AW17" i="20"/>
  <c r="AW16" i="20" s="1"/>
  <c r="AW11" i="20" s="1"/>
  <c r="V122" i="20"/>
  <c r="W122" i="20" s="1"/>
  <c r="AP8" i="41"/>
  <c r="M8" i="41" s="1"/>
  <c r="E62" i="32"/>
  <c r="I59" i="32"/>
  <c r="I61" i="32"/>
  <c r="G102" i="33"/>
  <c r="H44" i="33"/>
  <c r="BR125" i="73"/>
  <c r="BW125" i="73" s="1"/>
  <c r="BW126" i="73" s="1"/>
  <c r="BW127" i="73" s="1"/>
  <c r="BM126" i="73"/>
  <c r="BM127" i="73" s="1"/>
  <c r="C62" i="32"/>
  <c r="G59" i="32"/>
  <c r="G61" i="32"/>
  <c r="J46" i="33"/>
  <c r="L225" i="31"/>
  <c r="J225" i="31"/>
  <c r="H225" i="31"/>
  <c r="K601" i="23"/>
  <c r="I131" i="23"/>
  <c r="W361" i="23"/>
  <c r="AB241" i="30"/>
  <c r="CX54" i="30"/>
  <c r="CX45" i="30"/>
  <c r="N601" i="23"/>
  <c r="DL65" i="25"/>
  <c r="BP126" i="73"/>
  <c r="BP127" i="73" s="1"/>
  <c r="BU125" i="73"/>
  <c r="BU126" i="73" s="1"/>
  <c r="BU127" i="73" s="1"/>
  <c r="Z196" i="30"/>
  <c r="EI206" i="30"/>
  <c r="E61" i="30"/>
  <c r="E58" i="30" s="1"/>
  <c r="E63" i="30" s="1"/>
  <c r="C12" i="25" s="1"/>
  <c r="DH19" i="30"/>
  <c r="AE11" i="30"/>
  <c r="U64" i="25" s="1"/>
  <c r="BC17" i="20"/>
  <c r="BC16" i="20"/>
  <c r="BC11" i="20" s="1"/>
  <c r="BB17" i="20"/>
  <c r="BB16" i="20" s="1"/>
  <c r="BM165" i="39"/>
  <c r="DH409" i="23"/>
  <c r="CZ9" i="23"/>
  <c r="DA12" i="23"/>
  <c r="DB12" i="23" s="1"/>
  <c r="DB163" i="23"/>
  <c r="DB166" i="23" s="1"/>
  <c r="Z571" i="23"/>
  <c r="BO126" i="73"/>
  <c r="BO127" i="73" s="1"/>
  <c r="DB108" i="30"/>
  <c r="AC108" i="30"/>
  <c r="F33" i="59" s="1"/>
  <c r="CE69" i="30"/>
  <c r="CE204" i="30" s="1"/>
  <c r="CE209" i="30" s="1"/>
  <c r="U204" i="30"/>
  <c r="W204" i="30" s="1"/>
  <c r="U67" i="30"/>
  <c r="AZ33" i="59"/>
  <c r="AZ83" i="59" s="1"/>
  <c r="DB146" i="30" s="1"/>
  <c r="DA193" i="30"/>
  <c r="DA59" i="30"/>
  <c r="E26" i="32"/>
  <c r="CW206" i="30"/>
  <c r="CX27" i="30"/>
  <c r="DQ67" i="30"/>
  <c r="BZ204" i="30"/>
  <c r="BZ67" i="30"/>
  <c r="BZ202" i="30"/>
  <c r="I506" i="23"/>
  <c r="I507" i="23" s="1"/>
  <c r="F33" i="56"/>
  <c r="L690" i="23"/>
  <c r="L308" i="23"/>
  <c r="CW196" i="30"/>
  <c r="CW18" i="20"/>
  <c r="CQ24" i="20"/>
  <c r="DA105" i="30"/>
  <c r="DA106" i="30" s="1"/>
  <c r="CQ117" i="20"/>
  <c r="CV18" i="20"/>
  <c r="DA18" i="20" s="1"/>
  <c r="AO206" i="30"/>
  <c r="AA75" i="41"/>
  <c r="EK202" i="30"/>
  <c r="EK204" i="30"/>
  <c r="CX11" i="30"/>
  <c r="DT27" i="30"/>
  <c r="EH202" i="30"/>
  <c r="EH204" i="30"/>
  <c r="DM115" i="30"/>
  <c r="K266" i="23"/>
  <c r="K275" i="23" s="1"/>
  <c r="E11" i="56" s="1"/>
  <c r="D228" i="23"/>
  <c r="I228" i="23"/>
  <c r="I517" i="23" s="1"/>
  <c r="BH108" i="23"/>
  <c r="BV48" i="23"/>
  <c r="J12" i="56"/>
  <c r="M577" i="23"/>
  <c r="T571" i="23"/>
  <c r="BR37" i="23"/>
  <c r="U582" i="23"/>
  <c r="U577" i="23"/>
  <c r="U578" i="23"/>
  <c r="T43" i="23"/>
  <c r="T260" i="23"/>
  <c r="BP198" i="30"/>
  <c r="ED206" i="30"/>
  <c r="EE206" i="30"/>
  <c r="DX193" i="30"/>
  <c r="BV173" i="59"/>
  <c r="DG55" i="30"/>
  <c r="G42" i="31"/>
  <c r="I113" i="30" s="1"/>
  <c r="K113" i="30" s="1"/>
  <c r="G50" i="31"/>
  <c r="BF10" i="20"/>
  <c r="E8" i="56"/>
  <c r="D8" i="56"/>
  <c r="C8" i="56"/>
  <c r="DJ203" i="30"/>
  <c r="DS56" i="30"/>
  <c r="CM56" i="30"/>
  <c r="CH56" i="30"/>
  <c r="AH48" i="30"/>
  <c r="DC45" i="30"/>
  <c r="G82" i="20"/>
  <c r="Y51" i="30"/>
  <c r="AF48" i="30"/>
  <c r="S42" i="30"/>
  <c r="CU10" i="30"/>
  <c r="AX26" i="20"/>
  <c r="AX116" i="20" s="1"/>
  <c r="V130" i="20"/>
  <c r="J16" i="20"/>
  <c r="J11" i="20" s="1"/>
  <c r="J82" i="20"/>
  <c r="BA17" i="20"/>
  <c r="BA16" i="20" s="1"/>
  <c r="BA11" i="20" s="1"/>
  <c r="BN68" i="30"/>
  <c r="BN203" i="30" s="1"/>
  <c r="DP55" i="30"/>
  <c r="CY56" i="30"/>
  <c r="F6" i="52"/>
  <c r="F13" i="52" s="1"/>
  <c r="E23" i="31"/>
  <c r="E31" i="31" s="1"/>
  <c r="AZ17" i="85"/>
  <c r="AZ19" i="85" s="1"/>
  <c r="J26" i="85"/>
  <c r="AQ14" i="85"/>
  <c r="AQ20" i="85"/>
  <c r="E26" i="52"/>
  <c r="E20" i="52"/>
  <c r="E23" i="52" s="1"/>
  <c r="E24" i="52" s="1"/>
  <c r="AV23" i="85"/>
  <c r="AV24" i="85"/>
  <c r="BB11" i="85"/>
  <c r="BC46" i="33"/>
  <c r="BC52" i="33"/>
  <c r="AO17" i="85"/>
  <c r="AO20" i="85"/>
  <c r="AO21" i="85" s="1"/>
  <c r="AZ24" i="85"/>
  <c r="AZ14" i="85"/>
  <c r="Q171" i="31"/>
  <c r="CY31" i="23"/>
  <c r="AP206" i="30"/>
  <c r="U43" i="23"/>
  <c r="U260" i="23" s="1"/>
  <c r="K12" i="56"/>
  <c r="G43" i="31"/>
  <c r="G133" i="31"/>
  <c r="G135" i="31" s="1"/>
  <c r="CS25" i="59"/>
  <c r="R225" i="31"/>
  <c r="M171" i="31"/>
  <c r="M225" i="31"/>
  <c r="CJ35" i="25"/>
  <c r="CO36" i="25" s="1"/>
  <c r="CT148" i="30"/>
  <c r="CT110" i="30"/>
  <c r="CY110" i="30"/>
  <c r="BS143" i="59"/>
  <c r="BN143" i="59"/>
  <c r="N136" i="30"/>
  <c r="CU108" i="59"/>
  <c r="CU37" i="59"/>
  <c r="CU46" i="59"/>
  <c r="Q114" i="73"/>
  <c r="Q113" i="73"/>
  <c r="P113" i="73"/>
  <c r="R113" i="73"/>
  <c r="R114" i="73"/>
  <c r="CU254" i="59"/>
  <c r="CU255" i="59"/>
  <c r="S113" i="73"/>
  <c r="S114" i="73"/>
  <c r="CU77" i="59"/>
  <c r="T114" i="73"/>
  <c r="T113" i="73"/>
  <c r="U114" i="73"/>
  <c r="U113" i="73"/>
  <c r="CU253" i="59"/>
  <c r="CX309" i="59"/>
  <c r="CX92" i="59"/>
  <c r="CX323" i="59"/>
  <c r="CR77" i="59"/>
  <c r="CR76" i="59"/>
  <c r="CR307" i="59"/>
  <c r="CR321" i="59"/>
  <c r="CQ89" i="59"/>
  <c r="CS89" i="59"/>
  <c r="CQ76" i="59"/>
  <c r="CQ307" i="59"/>
  <c r="BI99" i="30"/>
  <c r="K136" i="30"/>
  <c r="DO40" i="30"/>
  <c r="DE6" i="20"/>
  <c r="DD5" i="20"/>
  <c r="CE112" i="23"/>
  <c r="CE114" i="23" s="1"/>
  <c r="DH402" i="23"/>
  <c r="M322" i="23"/>
  <c r="L377" i="23"/>
  <c r="H51" i="62"/>
  <c r="R51" i="62" s="1"/>
  <c r="U341" i="23"/>
  <c r="I6" i="23"/>
  <c r="I473" i="23"/>
  <c r="I509" i="23" s="1"/>
  <c r="BD77" i="25"/>
  <c r="Y24" i="25"/>
  <c r="CU38" i="25"/>
  <c r="BM77" i="25"/>
  <c r="S17" i="62"/>
  <c r="CA77" i="25"/>
  <c r="BF77" i="25"/>
  <c r="DE111" i="23"/>
  <c r="AM128" i="59"/>
  <c r="CE7" i="25"/>
  <c r="X42" i="30"/>
  <c r="CN42" i="30" s="1"/>
  <c r="CO46" i="30"/>
  <c r="CO45" i="30"/>
  <c r="CT46" i="30"/>
  <c r="CZ193" i="30"/>
  <c r="CZ68" i="30"/>
  <c r="CZ69" i="30" s="1"/>
  <c r="AX127" i="73"/>
  <c r="BZ96" i="30"/>
  <c r="CW38" i="25"/>
  <c r="BR82" i="25"/>
  <c r="BR38" i="25"/>
  <c r="Q46" i="25"/>
  <c r="Q36" i="25"/>
  <c r="J557" i="23"/>
  <c r="CP24" i="25"/>
  <c r="CK24" i="25"/>
  <c r="Z573" i="23"/>
  <c r="CU167" i="23"/>
  <c r="CU168" i="23"/>
  <c r="BP105" i="23"/>
  <c r="BP108" i="23" s="1"/>
  <c r="N108" i="23"/>
  <c r="W175" i="23"/>
  <c r="CS48" i="23"/>
  <c r="V247" i="23"/>
  <c r="CR62" i="23"/>
  <c r="V32" i="23"/>
  <c r="V62" i="23" s="1"/>
  <c r="Z157" i="23"/>
  <c r="Z156" i="23" s="1"/>
  <c r="Z54" i="23"/>
  <c r="DA168" i="23"/>
  <c r="DA167" i="23"/>
  <c r="P221" i="30"/>
  <c r="R220" i="30"/>
  <c r="F208" i="30"/>
  <c r="E209" i="30"/>
  <c r="BI209" i="30"/>
  <c r="E7" i="52"/>
  <c r="E17" i="52"/>
  <c r="E13" i="52"/>
  <c r="E9" i="52" s="1"/>
  <c r="E10" i="52" s="1"/>
  <c r="BZ68" i="30"/>
  <c r="BZ203" i="30" s="1"/>
  <c r="V128" i="20"/>
  <c r="V123" i="20"/>
  <c r="Z656" i="23"/>
  <c r="G22" i="38"/>
  <c r="H22" i="38" s="1"/>
  <c r="I22" i="38" s="1"/>
  <c r="J22" i="38" s="1"/>
  <c r="K22" i="38" s="1"/>
  <c r="L22" i="38" s="1"/>
  <c r="M22" i="38" s="1"/>
  <c r="N22" i="38" s="1"/>
  <c r="O22" i="38" s="1"/>
  <c r="CZ67" i="30"/>
  <c r="CZ204" i="30"/>
  <c r="M423" i="23"/>
  <c r="L376" i="23"/>
  <c r="BS27" i="23"/>
  <c r="BS31" i="23" s="1"/>
  <c r="BT26" i="23"/>
  <c r="G8" i="56"/>
  <c r="M27" i="23"/>
  <c r="M418" i="23" s="1"/>
  <c r="J25" i="23"/>
  <c r="N15" i="23"/>
  <c r="BT15" i="23" s="1"/>
  <c r="BR62" i="23"/>
  <c r="CX12" i="23"/>
  <c r="AX195" i="59"/>
  <c r="BG9" i="23"/>
  <c r="DB67" i="25"/>
  <c r="CT67" i="25"/>
  <c r="G11" i="20"/>
  <c r="CE67" i="30"/>
  <c r="CE68" i="30"/>
  <c r="CE203" i="30"/>
  <c r="CE193" i="30" s="1"/>
  <c r="J61" i="32"/>
  <c r="BF46" i="33"/>
  <c r="BK45" i="33"/>
  <c r="BK51" i="33" s="1"/>
  <c r="N511" i="23"/>
  <c r="CU56" i="30"/>
  <c r="M571" i="23"/>
  <c r="V573" i="23"/>
  <c r="DX205" i="30"/>
  <c r="EA205" i="30"/>
  <c r="DY205" i="30"/>
  <c r="DZ205" i="30"/>
  <c r="U221" i="30"/>
  <c r="U77" i="30"/>
  <c r="AF216" i="30"/>
  <c r="AF78" i="30"/>
  <c r="AG69" i="30"/>
  <c r="EE202" i="30"/>
  <c r="EE204" i="30"/>
  <c r="EF202" i="30"/>
  <c r="EF204" i="30" s="1"/>
  <c r="EC202" i="30"/>
  <c r="EG202" i="30"/>
  <c r="AK69" i="30"/>
  <c r="AK202" i="30"/>
  <c r="BR125" i="30"/>
  <c r="Y152" i="30"/>
  <c r="Y195" i="30"/>
  <c r="EI205" i="30"/>
  <c r="EK205" i="30"/>
  <c r="EH205" i="30"/>
  <c r="M616" i="23"/>
  <c r="L621" i="23"/>
  <c r="L416" i="23"/>
  <c r="M463" i="23"/>
  <c r="M416" i="23" s="1"/>
  <c r="DG65" i="25"/>
  <c r="CG67" i="25"/>
  <c r="CL65" i="25"/>
  <c r="BF24" i="25"/>
  <c r="D82" i="25"/>
  <c r="CZ22" i="25"/>
  <c r="CU22" i="25"/>
  <c r="CU24" i="25"/>
  <c r="CB143" i="59"/>
  <c r="BD143" i="59"/>
  <c r="BY45" i="59"/>
  <c r="K53" i="31"/>
  <c r="M62" i="33"/>
  <c r="O39" i="20"/>
  <c r="CY193" i="30"/>
  <c r="DR54" i="30"/>
  <c r="DQ56" i="30"/>
  <c r="DB367" i="39"/>
  <c r="DA354" i="39"/>
  <c r="X339" i="39"/>
  <c r="Y339" i="39"/>
  <c r="BG339" i="39" s="1"/>
  <c r="Y160" i="20"/>
  <c r="Z160" i="20" s="1"/>
  <c r="AA160" i="20" s="1"/>
  <c r="CQ77" i="59"/>
  <c r="CQ321" i="59"/>
  <c r="J621" i="23"/>
  <c r="J620" i="23" s="1"/>
  <c r="K616" i="23"/>
  <c r="G227" i="23"/>
  <c r="L219" i="23"/>
  <c r="L239" i="23" s="1"/>
  <c r="L510" i="23"/>
  <c r="CP113" i="23"/>
  <c r="CR171" i="23"/>
  <c r="V171" i="23" s="1"/>
  <c r="CS171" i="23" s="1"/>
  <c r="BT42" i="23"/>
  <c r="DC409" i="23"/>
  <c r="CO197" i="59"/>
  <c r="BZ86" i="30"/>
  <c r="BZ113" i="30"/>
  <c r="BU87" i="30"/>
  <c r="BU113" i="30"/>
  <c r="DB48" i="30"/>
  <c r="DB55" i="30"/>
  <c r="CK55" i="30"/>
  <c r="CK48" i="30"/>
  <c r="CB48" i="30"/>
  <c r="AJ48" i="30"/>
  <c r="AI241" i="30"/>
  <c r="AI48" i="30"/>
  <c r="AC48" i="30"/>
  <c r="AC55" i="30"/>
  <c r="AC78" i="30"/>
  <c r="AD48" i="30"/>
  <c r="AA175" i="20"/>
  <c r="T61" i="30"/>
  <c r="CB60" i="30"/>
  <c r="I52" i="59"/>
  <c r="AG115" i="30"/>
  <c r="BZ107" i="30"/>
  <c r="CA107" i="30"/>
  <c r="CF107" i="30" s="1"/>
  <c r="DK195" i="30"/>
  <c r="DK151" i="30" s="1"/>
  <c r="DK163" i="30" s="1"/>
  <c r="S582" i="23"/>
  <c r="S571" i="23"/>
  <c r="L484" i="23"/>
  <c r="W366" i="23"/>
  <c r="AD364" i="23"/>
  <c r="AE364" i="23" s="1"/>
  <c r="AF364" i="23" s="1"/>
  <c r="AG364" i="23" s="1"/>
  <c r="AH364" i="23" s="1"/>
  <c r="AI364" i="23" s="1"/>
  <c r="AJ364" i="23" s="1"/>
  <c r="AK364" i="23" s="1"/>
  <c r="AL364" i="23" s="1"/>
  <c r="AM364" i="23" s="1"/>
  <c r="AN364" i="23" s="1"/>
  <c r="CH111" i="23"/>
  <c r="BP111" i="23"/>
  <c r="T375" i="23"/>
  <c r="S656" i="23"/>
  <c r="S660" i="23"/>
  <c r="S661" i="23"/>
  <c r="CD39" i="23"/>
  <c r="S38" i="23"/>
  <c r="S675" i="23"/>
  <c r="AC24" i="25"/>
  <c r="CQ10" i="25"/>
  <c r="CL10" i="25"/>
  <c r="BS10" i="25"/>
  <c r="BI129" i="59"/>
  <c r="BM205" i="30"/>
  <c r="BM209" i="30" s="1"/>
  <c r="BR156" i="30"/>
  <c r="BR40" i="25"/>
  <c r="CB158" i="30"/>
  <c r="DA205" i="30"/>
  <c r="CY205" i="30"/>
  <c r="CZ205" i="30"/>
  <c r="CW156" i="30"/>
  <c r="CW205" i="30"/>
  <c r="CX205" i="30" s="1"/>
  <c r="CV205" i="30"/>
  <c r="AS52" i="59"/>
  <c r="CW115" i="30"/>
  <c r="AU52" i="59" s="1"/>
  <c r="CR115" i="30"/>
  <c r="AP52" i="59"/>
  <c r="D52" i="59"/>
  <c r="CE55" i="30"/>
  <c r="CE56" i="30"/>
  <c r="BZ56" i="30"/>
  <c r="BZ55" i="30"/>
  <c r="P23" i="25"/>
  <c r="Z54" i="30"/>
  <c r="C161" i="59"/>
  <c r="BW50" i="30"/>
  <c r="L25" i="40"/>
  <c r="K33" i="40"/>
  <c r="K35" i="40"/>
  <c r="J25" i="40"/>
  <c r="M26" i="41"/>
  <c r="AZ26" i="41"/>
  <c r="O17" i="41"/>
  <c r="CG308" i="59"/>
  <c r="CL308" i="59"/>
  <c r="CG322" i="59"/>
  <c r="CL322" i="59"/>
  <c r="M36" i="59"/>
  <c r="CG37" i="59"/>
  <c r="CL37" i="59"/>
  <c r="CG89" i="59"/>
  <c r="CQ168" i="23"/>
  <c r="T656" i="23"/>
  <c r="CI39" i="23"/>
  <c r="CQ22" i="25"/>
  <c r="BF65" i="30"/>
  <c r="BF73" i="30"/>
  <c r="BF80" i="30"/>
  <c r="BF194" i="30"/>
  <c r="DS68" i="30"/>
  <c r="DW203" i="30"/>
  <c r="BN52" i="30"/>
  <c r="BI23" i="25" s="1"/>
  <c r="BI24" i="25" s="1"/>
  <c r="BI9" i="25"/>
  <c r="BI10" i="25" s="1"/>
  <c r="CT47" i="30"/>
  <c r="BP51" i="30"/>
  <c r="BP52" i="30" s="1"/>
  <c r="BU46" i="30"/>
  <c r="F7" i="25"/>
  <c r="R46" i="30"/>
  <c r="CR27" i="30"/>
  <c r="CP206" i="30"/>
  <c r="I91" i="59"/>
  <c r="M16" i="52"/>
  <c r="M18" i="52" s="1"/>
  <c r="O69" i="25"/>
  <c r="Y19" i="30"/>
  <c r="AA19" i="30"/>
  <c r="Q69" i="25"/>
  <c r="Q71" i="25" s="1"/>
  <c r="CN11" i="30"/>
  <c r="M64" i="25"/>
  <c r="O12" i="30"/>
  <c r="AS39" i="59"/>
  <c r="CZ10" i="30"/>
  <c r="DY188" i="30"/>
  <c r="DY85" i="30"/>
  <c r="D24" i="38"/>
  <c r="BC90" i="85"/>
  <c r="L89" i="85"/>
  <c r="L92" i="85" s="1"/>
  <c r="BU32" i="85"/>
  <c r="AA57" i="25"/>
  <c r="AH179" i="30" s="1"/>
  <c r="BR32" i="85"/>
  <c r="Q32" i="85"/>
  <c r="BY32" i="85"/>
  <c r="BT32" i="85"/>
  <c r="BV32" i="85" s="1"/>
  <c r="BM102" i="85"/>
  <c r="BM104" i="85"/>
  <c r="C17" i="52"/>
  <c r="C20" i="52"/>
  <c r="C23" i="52" s="1"/>
  <c r="C24" i="52" s="1"/>
  <c r="K78" i="32"/>
  <c r="K88" i="32"/>
  <c r="Q225" i="31"/>
  <c r="H19" i="20"/>
  <c r="D219" i="23"/>
  <c r="D239" i="23"/>
  <c r="BV62" i="23"/>
  <c r="CT82" i="25"/>
  <c r="BB194" i="59" s="1"/>
  <c r="CQ77" i="25"/>
  <c r="AY187" i="59" s="1"/>
  <c r="M195" i="59"/>
  <c r="CJ195" i="59" s="1"/>
  <c r="BX126" i="59"/>
  <c r="BS108" i="30"/>
  <c r="BK91" i="30"/>
  <c r="BK68" i="30"/>
  <c r="BK203" i="30"/>
  <c r="BK202" i="30"/>
  <c r="DK202" i="30"/>
  <c r="DK204" i="30" s="1"/>
  <c r="DI202" i="30"/>
  <c r="DJ202" i="30"/>
  <c r="DJ204" i="30" s="1"/>
  <c r="BG23" i="25"/>
  <c r="BG24" i="25" s="1"/>
  <c r="BL53" i="30"/>
  <c r="BQ53" i="30" s="1"/>
  <c r="AP153" i="59"/>
  <c r="CH9" i="25"/>
  <c r="R45" i="30"/>
  <c r="BU55" i="30"/>
  <c r="U45" i="30"/>
  <c r="U48" i="30"/>
  <c r="Z42" i="30"/>
  <c r="C128" i="59" s="1"/>
  <c r="DC14" i="30"/>
  <c r="AY95" i="59"/>
  <c r="AD32" i="30"/>
  <c r="T64" i="25"/>
  <c r="CX64" i="25" s="1"/>
  <c r="DA8" i="30"/>
  <c r="AT42" i="59"/>
  <c r="AV111" i="41"/>
  <c r="AU14" i="85"/>
  <c r="AW8" i="85"/>
  <c r="BQ37" i="23"/>
  <c r="CP31" i="23"/>
  <c r="M161" i="30"/>
  <c r="N160" i="30"/>
  <c r="N161" i="30"/>
  <c r="H53" i="31"/>
  <c r="H52" i="31" s="1"/>
  <c r="EE205" i="30"/>
  <c r="AD110" i="30"/>
  <c r="AC110" i="30"/>
  <c r="AC161" i="30"/>
  <c r="N53" i="31" s="1"/>
  <c r="S35" i="25"/>
  <c r="CS35" i="25" s="1"/>
  <c r="CG173" i="59"/>
  <c r="CG174" i="59" s="1"/>
  <c r="CG202" i="59" s="1"/>
  <c r="AJ193" i="30"/>
  <c r="EL193" i="30"/>
  <c r="AH69" i="30"/>
  <c r="AH59" i="30"/>
  <c r="AH64" i="30" s="1"/>
  <c r="AH72" i="30" s="1"/>
  <c r="AA30" i="25" s="1"/>
  <c r="AA32" i="25" s="1"/>
  <c r="CG55" i="30"/>
  <c r="T54" i="30"/>
  <c r="T65" i="30" s="1"/>
  <c r="T73" i="30" s="1"/>
  <c r="G9" i="25"/>
  <c r="G82" i="25" s="1"/>
  <c r="F54" i="30"/>
  <c r="F65" i="30"/>
  <c r="F73" i="30"/>
  <c r="K9" i="25"/>
  <c r="BZ48" i="30"/>
  <c r="S43" i="30"/>
  <c r="S45" i="30"/>
  <c r="F21" i="25"/>
  <c r="F45" i="30"/>
  <c r="F61" i="30"/>
  <c r="K7" i="25"/>
  <c r="DH11" i="30"/>
  <c r="DG10" i="30"/>
  <c r="BE39" i="59"/>
  <c r="BE40" i="59" s="1"/>
  <c r="DJ85" i="30"/>
  <c r="DJ40" i="30"/>
  <c r="P188" i="30"/>
  <c r="P40" i="30"/>
  <c r="P85" i="30"/>
  <c r="CZ10" i="20"/>
  <c r="CY10" i="20"/>
  <c r="I21" i="85"/>
  <c r="I28" i="85"/>
  <c r="I29" i="85" s="1"/>
  <c r="AO39" i="85"/>
  <c r="AO14" i="85"/>
  <c r="AO38" i="85"/>
  <c r="X52" i="30"/>
  <c r="CN52" i="30"/>
  <c r="N322" i="23"/>
  <c r="CD54" i="30"/>
  <c r="U56" i="30"/>
  <c r="T55" i="30"/>
  <c r="Z46" i="30"/>
  <c r="AA16" i="30"/>
  <c r="AB18" i="30" s="1"/>
  <c r="Q66" i="25"/>
  <c r="CI66" i="25" s="1"/>
  <c r="T660" i="23"/>
  <c r="T661" i="23" s="1"/>
  <c r="CB194" i="30"/>
  <c r="CB199" i="30"/>
  <c r="CB211" i="30" s="1"/>
  <c r="CB65" i="30"/>
  <c r="CB73" i="30"/>
  <c r="CB80" i="30"/>
  <c r="CR113" i="23"/>
  <c r="CY59" i="30"/>
  <c r="CY64" i="30"/>
  <c r="BR132" i="30"/>
  <c r="J546" i="23"/>
  <c r="CT48" i="30"/>
  <c r="AH204" i="30"/>
  <c r="EA204" i="30" s="1"/>
  <c r="DI67" i="30"/>
  <c r="DI192" i="30"/>
  <c r="DI58" i="30"/>
  <c r="O66" i="25"/>
  <c r="O67" i="25" s="1"/>
  <c r="Y20" i="30"/>
  <c r="Y16" i="30"/>
  <c r="Y18" i="30" s="1"/>
  <c r="M25" i="40"/>
  <c r="CX115" i="30"/>
  <c r="CY156" i="30"/>
  <c r="CE107" i="30"/>
  <c r="C86" i="38"/>
  <c r="C92" i="38"/>
  <c r="L56" i="33"/>
  <c r="N33" i="20"/>
  <c r="J47" i="31"/>
  <c r="N21" i="32"/>
  <c r="AG204" i="30"/>
  <c r="DV204" i="30" s="1"/>
  <c r="BP45" i="33"/>
  <c r="CA95" i="30" s="1"/>
  <c r="BV95" i="30"/>
  <c r="BV96" i="30" s="1"/>
  <c r="R221" i="30"/>
  <c r="S220" i="30"/>
  <c r="S221" i="30" s="1"/>
  <c r="X32" i="23"/>
  <c r="X62" i="23"/>
  <c r="I33" i="85"/>
  <c r="I35" i="85" s="1"/>
  <c r="P62" i="33"/>
  <c r="R39" i="20"/>
  <c r="R27" i="32"/>
  <c r="DK67" i="30"/>
  <c r="O72" i="25"/>
  <c r="CR206" i="30"/>
  <c r="CS27" i="30"/>
  <c r="CX156" i="30"/>
  <c r="AH115" i="30"/>
  <c r="K52" i="59"/>
  <c r="J52" i="59"/>
  <c r="BU116" i="30"/>
  <c r="AL202" i="30"/>
  <c r="EU202" i="30" s="1"/>
  <c r="EU204" i="30" s="1"/>
  <c r="AL69" i="30"/>
  <c r="AL204" i="30" s="1"/>
  <c r="CE202" i="30"/>
  <c r="CE192" i="30"/>
  <c r="CE58" i="30"/>
  <c r="CE63" i="30" s="1"/>
  <c r="X45" i="30"/>
  <c r="X78" i="30"/>
  <c r="Y47" i="30"/>
  <c r="N21" i="25"/>
  <c r="R48" i="30"/>
  <c r="T48" i="30"/>
  <c r="R241" i="30"/>
  <c r="B83" i="63"/>
  <c r="CV195" i="30"/>
  <c r="BR44" i="25"/>
  <c r="EN202" i="30"/>
  <c r="EN204" i="30" s="1"/>
  <c r="EO202" i="30"/>
  <c r="EM202" i="30"/>
  <c r="EM204" i="30" s="1"/>
  <c r="EQ204" i="30" s="1"/>
  <c r="EP202" i="30"/>
  <c r="EP204" i="30"/>
  <c r="P27" i="23"/>
  <c r="P31" i="23" s="1"/>
  <c r="M25" i="23"/>
  <c r="BN25" i="23"/>
  <c r="BN27" i="23"/>
  <c r="BN31" i="23" s="1"/>
  <c r="DD125" i="23"/>
  <c r="DZ204" i="30"/>
  <c r="CV151" i="30"/>
  <c r="CV163" i="30"/>
  <c r="CT195" i="30"/>
  <c r="CT151" i="30" s="1"/>
  <c r="BP51" i="33"/>
  <c r="CA125" i="30" s="1"/>
  <c r="CR16" i="30"/>
  <c r="CR14" i="30" s="1"/>
  <c r="D91" i="59"/>
  <c r="AA17" i="30"/>
  <c r="AM69" i="30"/>
  <c r="AM204" i="30" s="1"/>
  <c r="AM202" i="30"/>
  <c r="EW202" i="30" s="1"/>
  <c r="EW204" i="30" s="1"/>
  <c r="N25" i="40"/>
  <c r="O25" i="40" s="1"/>
  <c r="P25" i="40" s="1"/>
  <c r="Q25" i="40" s="1"/>
  <c r="R25" i="40" s="1"/>
  <c r="S25" i="40" s="1"/>
  <c r="B91" i="59"/>
  <c r="AN69" i="30"/>
  <c r="AN204" i="30"/>
  <c r="AN202" i="30"/>
  <c r="AO69" i="30"/>
  <c r="AO204" i="30"/>
  <c r="AO202" i="30"/>
  <c r="AJ192" i="30"/>
  <c r="EI192" i="30" s="1"/>
  <c r="EH192" i="30"/>
  <c r="EH194" i="30" s="1"/>
  <c r="CC218" i="59"/>
  <c r="L106" i="31"/>
  <c r="M106" i="31" s="1"/>
  <c r="N106" i="31" s="1"/>
  <c r="O106" i="31" s="1"/>
  <c r="P106" i="31" s="1"/>
  <c r="Q106" i="31" s="1"/>
  <c r="R106" i="31" s="1"/>
  <c r="S106" i="31" s="1"/>
  <c r="T106" i="31" s="1"/>
  <c r="U106" i="31" s="1"/>
  <c r="K121" i="31"/>
  <c r="L121" i="31" s="1"/>
  <c r="L123" i="31" s="1"/>
  <c r="L124" i="31" s="1"/>
  <c r="S101" i="31"/>
  <c r="T101" i="31" s="1"/>
  <c r="AK192" i="30"/>
  <c r="EN192" i="30"/>
  <c r="EP192" i="30"/>
  <c r="CN171" i="59" s="1"/>
  <c r="EZ194" i="30"/>
  <c r="CV174" i="59"/>
  <c r="CV37" i="59"/>
  <c r="AB170" i="31"/>
  <c r="AC170" i="31"/>
  <c r="AD170" i="31"/>
  <c r="AE170" i="31"/>
  <c r="AF170" i="31"/>
  <c r="AG170" i="31"/>
  <c r="AH170" i="31"/>
  <c r="CV108" i="59"/>
  <c r="DE113" i="23"/>
  <c r="N50" i="53"/>
  <c r="EX188" i="30"/>
  <c r="EX85" i="30"/>
  <c r="BA5" i="31"/>
  <c r="H50" i="53"/>
  <c r="BH146" i="73"/>
  <c r="DT188" i="30"/>
  <c r="DT85" i="30"/>
  <c r="DF6" i="20"/>
  <c r="AS6" i="31"/>
  <c r="EO188" i="30"/>
  <c r="BM147" i="73"/>
  <c r="EM187" i="30"/>
  <c r="EM84" i="30"/>
  <c r="DS84" i="30"/>
  <c r="DS187" i="30"/>
  <c r="DS39" i="30"/>
  <c r="EZ188" i="30"/>
  <c r="EZ85" i="30"/>
  <c r="R195" i="59"/>
  <c r="CO24" i="59"/>
  <c r="CV255" i="59"/>
  <c r="CV45" i="59"/>
  <c r="DA46" i="59" s="1"/>
  <c r="CV253" i="59"/>
  <c r="CV114" i="59"/>
  <c r="CV116" i="59" s="1"/>
  <c r="CV254" i="59"/>
  <c r="CV321" i="59"/>
  <c r="CK25" i="59"/>
  <c r="CA233" i="59"/>
  <c r="AQ202" i="30"/>
  <c r="AQ69" i="30"/>
  <c r="AQ204" i="30"/>
  <c r="AP69" i="30"/>
  <c r="AP204" i="30" s="1"/>
  <c r="AP202" i="30"/>
  <c r="CM154" i="59"/>
  <c r="AK46" i="30"/>
  <c r="AL46" i="30"/>
  <c r="AL48" i="30"/>
  <c r="AR69" i="30"/>
  <c r="AR204" i="30" s="1"/>
  <c r="AR202" i="30"/>
  <c r="AK48" i="30"/>
  <c r="AD7" i="25"/>
  <c r="AF7" i="25" s="1"/>
  <c r="AG7" i="25"/>
  <c r="Z558" i="23" s="1"/>
  <c r="AL45" i="30"/>
  <c r="AL241" i="30" s="1"/>
  <c r="AK61" i="30"/>
  <c r="EW194" i="30"/>
  <c r="R171" i="59"/>
  <c r="R153" i="59" s="1"/>
  <c r="AS202" i="30"/>
  <c r="AS69" i="30"/>
  <c r="AS204" i="30"/>
  <c r="EX194" i="30"/>
  <c r="AT202" i="30"/>
  <c r="AT69" i="30"/>
  <c r="AT204" i="30"/>
  <c r="AU202" i="30"/>
  <c r="AU69" i="30"/>
  <c r="AU204" i="30" s="1"/>
  <c r="AL61" i="30"/>
  <c r="AV69" i="30"/>
  <c r="AV204" i="30" s="1"/>
  <c r="AV202" i="30"/>
  <c r="AW202" i="30"/>
  <c r="AW69" i="30"/>
  <c r="AW204" i="30" s="1"/>
  <c r="U17" i="62"/>
  <c r="T17" i="62"/>
  <c r="AA252" i="31"/>
  <c r="BI294" i="39"/>
  <c r="BI288" i="39"/>
  <c r="BI280" i="39"/>
  <c r="BF334" i="39"/>
  <c r="BI284" i="39"/>
  <c r="BO122" i="39"/>
  <c r="BK235" i="39"/>
  <c r="BE363" i="39"/>
  <c r="AE174" i="39"/>
  <c r="AF147" i="39"/>
  <c r="AG117" i="39" s="1"/>
  <c r="BP70" i="39"/>
  <c r="AA52" i="30"/>
  <c r="D161" i="59" s="1"/>
  <c r="E162" i="59" s="1"/>
  <c r="BX32" i="85"/>
  <c r="R32" i="85"/>
  <c r="CB32" i="85" s="1"/>
  <c r="CE32" i="85" s="1"/>
  <c r="CF32" i="85" s="1"/>
  <c r="CZ59" i="30"/>
  <c r="E59" i="30"/>
  <c r="E64" i="30"/>
  <c r="W488" i="23"/>
  <c r="W495" i="23" s="1"/>
  <c r="DS27" i="30"/>
  <c r="CL205" i="30"/>
  <c r="CL195" i="30" s="1"/>
  <c r="CL151" i="30" s="1"/>
  <c r="AT187" i="59"/>
  <c r="CF69" i="25"/>
  <c r="CF71" i="25" s="1"/>
  <c r="CP125" i="23"/>
  <c r="CQ124" i="23"/>
  <c r="CR124" i="23" s="1"/>
  <c r="CR125" i="23" s="1"/>
  <c r="AB57" i="25"/>
  <c r="AI179" i="30" s="1"/>
  <c r="AI207" i="30" s="1"/>
  <c r="BZ125" i="30"/>
  <c r="M14" i="52"/>
  <c r="AA107" i="30"/>
  <c r="AB107" i="30"/>
  <c r="CX107" i="30" s="1"/>
  <c r="CP67" i="23"/>
  <c r="CP68" i="23" s="1"/>
  <c r="BW32" i="85"/>
  <c r="DB19" i="30"/>
  <c r="CR66" i="25" s="1"/>
  <c r="CK167" i="23"/>
  <c r="CO125" i="23"/>
  <c r="AA96" i="25"/>
  <c r="T95" i="25"/>
  <c r="CR65" i="25"/>
  <c r="Z29" i="23"/>
  <c r="CO67" i="25"/>
  <c r="CP229" i="59"/>
  <c r="C15" i="53"/>
  <c r="DP205" i="30"/>
  <c r="DP195" i="30" s="1"/>
  <c r="DP151" i="30" s="1"/>
  <c r="O75" i="20"/>
  <c r="P75" i="20" s="1"/>
  <c r="L12" i="40"/>
  <c r="AQ8" i="41"/>
  <c r="BV55" i="30"/>
  <c r="Z576" i="23"/>
  <c r="Z286" i="23"/>
  <c r="N8" i="41"/>
  <c r="CS107" i="30"/>
  <c r="BQ107" i="59"/>
  <c r="BQ105" i="59" s="1"/>
  <c r="BQ111" i="59" s="1"/>
  <c r="CZ64" i="30"/>
  <c r="CQ67" i="23"/>
  <c r="CQ68" i="23" s="1"/>
  <c r="CQ125" i="23"/>
  <c r="S32" i="85"/>
  <c r="CG32" i="85" s="1"/>
  <c r="CD32" i="85"/>
  <c r="Q23" i="25"/>
  <c r="N14" i="52"/>
  <c r="O14" i="52" s="1"/>
  <c r="P14" i="52" s="1"/>
  <c r="BZ132" i="30"/>
  <c r="CN154" i="59"/>
  <c r="Z298" i="23"/>
  <c r="CP26" i="25"/>
  <c r="CP25" i="25" s="1"/>
  <c r="AH192" i="30"/>
  <c r="DY192" i="30" s="1"/>
  <c r="AH60" i="30"/>
  <c r="AH80" i="30"/>
  <c r="DX192" i="30"/>
  <c r="DX194" i="30" s="1"/>
  <c r="AI192" i="30"/>
  <c r="ED192" i="30" s="1"/>
  <c r="BC405" i="39"/>
  <c r="B16" i="38"/>
  <c r="CK405" i="39"/>
  <c r="BI293" i="39"/>
  <c r="X362" i="39"/>
  <c r="BF362" i="39"/>
  <c r="BF335" i="39"/>
  <c r="X344" i="39"/>
  <c r="Y344" i="39"/>
  <c r="BG344" i="39"/>
  <c r="X370" i="39"/>
  <c r="BF370" i="39" s="1"/>
  <c r="X337" i="39"/>
  <c r="Y337" i="39"/>
  <c r="BG337" i="39" s="1"/>
  <c r="BC412" i="39"/>
  <c r="X371" i="39"/>
  <c r="BF371" i="39"/>
  <c r="X361" i="39"/>
  <c r="BF361" i="39" s="1"/>
  <c r="X359" i="39"/>
  <c r="BF359" i="39"/>
  <c r="X341" i="39"/>
  <c r="Y341" i="39" s="1"/>
  <c r="BG341" i="39" s="1"/>
  <c r="BF341" i="39"/>
  <c r="BL197" i="39"/>
  <c r="BD410" i="39"/>
  <c r="AB248" i="39"/>
  <c r="BJ248" i="39"/>
  <c r="X358" i="39"/>
  <c r="BF358" i="39" s="1"/>
  <c r="AD201" i="39"/>
  <c r="BL201" i="39"/>
  <c r="X343" i="39"/>
  <c r="Y343" i="39" s="1"/>
  <c r="BG343" i="39" s="1"/>
  <c r="BF343" i="39"/>
  <c r="BM174" i="39"/>
  <c r="AC217" i="39"/>
  <c r="BK217" i="39"/>
  <c r="AD188" i="39"/>
  <c r="BL188" i="39" s="1"/>
  <c r="BK214" i="39"/>
  <c r="BQ46" i="39"/>
  <c r="X336" i="39"/>
  <c r="Y336" i="39" s="1"/>
  <c r="BG336" i="39" s="1"/>
  <c r="AD193" i="39"/>
  <c r="BL193" i="39"/>
  <c r="X333" i="39"/>
  <c r="BF333" i="39" s="1"/>
  <c r="BI291" i="39"/>
  <c r="W354" i="39"/>
  <c r="BE354" i="39" s="1"/>
  <c r="BI295" i="39"/>
  <c r="X346" i="39"/>
  <c r="Y346" i="39"/>
  <c r="BG346" i="39" s="1"/>
  <c r="BD360" i="39"/>
  <c r="BD405" i="39"/>
  <c r="BD338" i="39"/>
  <c r="BI285" i="39"/>
  <c r="AI58" i="39"/>
  <c r="AJ28" i="39"/>
  <c r="BR28" i="39"/>
  <c r="BN158" i="39"/>
  <c r="BI287" i="39"/>
  <c r="BO125" i="39"/>
  <c r="X366" i="39"/>
  <c r="BF366" i="39" s="1"/>
  <c r="X367" i="39"/>
  <c r="BF367" i="39"/>
  <c r="BH410" i="39"/>
  <c r="BH409" i="39" s="1"/>
  <c r="BH412" i="39"/>
  <c r="H14" i="38" s="1"/>
  <c r="H19" i="38" s="1"/>
  <c r="H21" i="38" s="1"/>
  <c r="BP95" i="39"/>
  <c r="BC410" i="39"/>
  <c r="BC409" i="39"/>
  <c r="B43" i="38"/>
  <c r="B53" i="38" s="1"/>
  <c r="X357" i="39"/>
  <c r="BF357" i="39"/>
  <c r="X365" i="39"/>
  <c r="BF365" i="39" s="1"/>
  <c r="BF410" i="39" s="1"/>
  <c r="X364" i="39"/>
  <c r="BF364" i="39"/>
  <c r="X363" i="39"/>
  <c r="BF363" i="39" s="1"/>
  <c r="CL405" i="39"/>
  <c r="X360" i="39"/>
  <c r="BF360" i="39" s="1"/>
  <c r="BH405" i="39"/>
  <c r="X342" i="39"/>
  <c r="Y342" i="39"/>
  <c r="BG342" i="39" s="1"/>
  <c r="X345" i="39"/>
  <c r="Y345" i="39" s="1"/>
  <c r="BG345" i="39" s="1"/>
  <c r="BJ256" i="39"/>
  <c r="BO115" i="39"/>
  <c r="CM405" i="39"/>
  <c r="CN405" i="39"/>
  <c r="BP89" i="39"/>
  <c r="X340" i="39"/>
  <c r="Y340" i="39"/>
  <c r="BG340" i="39"/>
  <c r="BI286" i="39"/>
  <c r="BI290" i="39"/>
  <c r="BP94" i="39"/>
  <c r="BQ48" i="39"/>
  <c r="W373" i="39"/>
  <c r="BW373" i="39"/>
  <c r="BL187" i="39"/>
  <c r="AE175" i="39"/>
  <c r="BM175" i="39" s="1"/>
  <c r="AC226" i="39"/>
  <c r="AD195" i="39"/>
  <c r="BL195" i="39" s="1"/>
  <c r="BJ258" i="39"/>
  <c r="BF339" i="39"/>
  <c r="AC218" i="39"/>
  <c r="BK218" i="39" s="1"/>
  <c r="BF346" i="39"/>
  <c r="BD412" i="39"/>
  <c r="C14" i="38" s="1"/>
  <c r="C19" i="38" s="1"/>
  <c r="C21" i="38" s="1"/>
  <c r="Y333" i="39"/>
  <c r="BG333" i="39"/>
  <c r="BF345" i="39"/>
  <c r="BE373" i="39"/>
  <c r="X373" i="39"/>
  <c r="BF373" i="39" s="1"/>
  <c r="BK226" i="39"/>
  <c r="AD456" i="23"/>
  <c r="AC454" i="23"/>
  <c r="AC453" i="23"/>
  <c r="AC406" i="23"/>
  <c r="AC437" i="23"/>
  <c r="BP81" i="39"/>
  <c r="BN147" i="39"/>
  <c r="W372" i="39"/>
  <c r="BW372" i="39"/>
  <c r="BW368" i="39"/>
  <c r="W368" i="39"/>
  <c r="BE368" i="39" s="1"/>
  <c r="BL203" i="39"/>
  <c r="BO126" i="39"/>
  <c r="AH92" i="39"/>
  <c r="BP92" i="39"/>
  <c r="BE372" i="39"/>
  <c r="X372" i="39"/>
  <c r="BF372" i="39" s="1"/>
  <c r="X368" i="39"/>
  <c r="BF368" i="39" s="1"/>
  <c r="R14" i="38"/>
  <c r="S14" i="38" s="1"/>
  <c r="Q16" i="38"/>
  <c r="DG8" i="25"/>
  <c r="BG82" i="25"/>
  <c r="DK192" i="30"/>
  <c r="F22" i="25"/>
  <c r="U194" i="30"/>
  <c r="CQ79" i="25"/>
  <c r="AY191" i="59" s="1"/>
  <c r="I23" i="25"/>
  <c r="Y194" i="30"/>
  <c r="EB205" i="30"/>
  <c r="CO48" i="30"/>
  <c r="B153" i="59"/>
  <c r="O9" i="25"/>
  <c r="Y54" i="30"/>
  <c r="DD67" i="30"/>
  <c r="DD192" i="30"/>
  <c r="CC60" i="30"/>
  <c r="CC194" i="30"/>
  <c r="AT30" i="59"/>
  <c r="CA65" i="30"/>
  <c r="CA73" i="30" s="1"/>
  <c r="CA80" i="30" s="1"/>
  <c r="AD8" i="25"/>
  <c r="AD207" i="30"/>
  <c r="T22" i="25"/>
  <c r="W22" i="25" s="1"/>
  <c r="BD82" i="25"/>
  <c r="CO82" i="25"/>
  <c r="AW194" i="59" s="1"/>
  <c r="BV77" i="25"/>
  <c r="BL77" i="25"/>
  <c r="BM38" i="25"/>
  <c r="BL10" i="25"/>
  <c r="BG10" i="25"/>
  <c r="DF25" i="30"/>
  <c r="DF29" i="30"/>
  <c r="CV73" i="25" s="1"/>
  <c r="DF23" i="30"/>
  <c r="DI195" i="30"/>
  <c r="DI151" i="30" s="1"/>
  <c r="DI163" i="30" s="1"/>
  <c r="DI156" i="30"/>
  <c r="BI38" i="25"/>
  <c r="BP24" i="25"/>
  <c r="BK24" i="25"/>
  <c r="BC77" i="25"/>
  <c r="U10" i="25"/>
  <c r="X10" i="25" s="1"/>
  <c r="CA208" i="30"/>
  <c r="H198" i="30"/>
  <c r="H199" i="30"/>
  <c r="Z34" i="30"/>
  <c r="Z23" i="30"/>
  <c r="DZ193" i="30"/>
  <c r="DQ205" i="30"/>
  <c r="DD48" i="30"/>
  <c r="DR45" i="30"/>
  <c r="D13" i="52"/>
  <c r="D9" i="52" s="1"/>
  <c r="D11" i="52" s="1"/>
  <c r="D26" i="52"/>
  <c r="Y23" i="30"/>
  <c r="S23" i="30" s="1"/>
  <c r="Y34" i="30"/>
  <c r="BK38" i="25"/>
  <c r="BQ24" i="25"/>
  <c r="BL24" i="25"/>
  <c r="T24" i="25"/>
  <c r="W24" i="25" s="1"/>
  <c r="CA10" i="25"/>
  <c r="BV10" i="25"/>
  <c r="BQ10" i="25"/>
  <c r="DC54" i="30"/>
  <c r="CP47" i="30"/>
  <c r="CU47" i="30"/>
  <c r="DI206" i="30"/>
  <c r="DI196" i="30" s="1"/>
  <c r="DI22" i="30" s="1"/>
  <c r="DJ206" i="30"/>
  <c r="P39" i="59"/>
  <c r="P40" i="59" s="1"/>
  <c r="BI171" i="59"/>
  <c r="BI178" i="59" s="1"/>
  <c r="DK58" i="30"/>
  <c r="DK63" i="30" s="1"/>
  <c r="Y65" i="30"/>
  <c r="Z56" i="30"/>
  <c r="CC65" i="30"/>
  <c r="DD58" i="30"/>
  <c r="DD63" i="30" s="1"/>
  <c r="CO86" i="25"/>
  <c r="AW198" i="59" s="1"/>
  <c r="CV69" i="25"/>
  <c r="CV68" i="25" s="1"/>
  <c r="DJ27" i="30"/>
  <c r="DJ196" i="30"/>
  <c r="DJ22" i="30" s="1"/>
  <c r="J198" i="30"/>
  <c r="BX173" i="59"/>
  <c r="AH193" i="30"/>
  <c r="K173" i="59"/>
  <c r="ET194" i="30"/>
  <c r="CV71" i="25"/>
  <c r="M518" i="23"/>
  <c r="M480" i="23"/>
  <c r="M484" i="23"/>
  <c r="M482" i="23"/>
  <c r="M514" i="23"/>
  <c r="M501" i="23"/>
  <c r="M486" i="23"/>
  <c r="DF113" i="23"/>
  <c r="ET97" i="30"/>
  <c r="BR70" i="73"/>
  <c r="BR71" i="73" s="1"/>
  <c r="BX218" i="59"/>
  <c r="DU97" i="30"/>
  <c r="BS151" i="59"/>
  <c r="EW97" i="30"/>
  <c r="CU126" i="59"/>
  <c r="BR45" i="73" s="1"/>
  <c r="E103" i="30"/>
  <c r="BV166" i="59"/>
  <c r="CW174" i="59"/>
  <c r="CN167" i="59"/>
  <c r="BD222" i="59"/>
  <c r="CB315" i="59"/>
  <c r="BW163" i="59"/>
  <c r="AT143" i="59"/>
  <c r="AY143" i="59"/>
  <c r="BI222" i="59"/>
  <c r="CH146" i="59"/>
  <c r="CB329" i="59"/>
  <c r="CM146" i="59"/>
  <c r="G6" i="53"/>
  <c r="ER97" i="30"/>
  <c r="ES97" i="30"/>
  <c r="EU97" i="30"/>
  <c r="EX97" i="30"/>
  <c r="E75" i="73"/>
  <c r="BN221" i="59"/>
  <c r="BS129" i="59"/>
  <c r="CE190" i="59"/>
  <c r="AG84" i="25"/>
  <c r="CT248" i="59"/>
  <c r="O196" i="59"/>
  <c r="AH83" i="25"/>
  <c r="AI83" i="25" s="1"/>
  <c r="AJ84" i="25"/>
  <c r="AH85" i="25"/>
  <c r="AI85" i="25" s="1"/>
  <c r="AG78" i="25"/>
  <c r="CW232" i="59"/>
  <c r="R232" i="59" s="1"/>
  <c r="S232" i="59" s="1"/>
  <c r="CY232" i="59" s="1"/>
  <c r="AH84" i="25"/>
  <c r="AI84" i="25" s="1"/>
  <c r="CT128" i="59"/>
  <c r="BO154" i="59"/>
  <c r="AN93" i="59"/>
  <c r="AK9" i="30"/>
  <c r="AA85" i="25"/>
  <c r="K7" i="53" s="1"/>
  <c r="AB85" i="25"/>
  <c r="L7" i="53" s="1"/>
  <c r="AC85" i="25"/>
  <c r="BZ190" i="59"/>
  <c r="O6" i="52"/>
  <c r="P7" i="52" s="1"/>
  <c r="Y300" i="59"/>
  <c r="H222" i="59"/>
  <c r="K129" i="59"/>
  <c r="F70" i="73" s="1"/>
  <c r="F71" i="73" s="1"/>
  <c r="BL6" i="31"/>
  <c r="BC155" i="59"/>
  <c r="BU128" i="59"/>
  <c r="G232" i="59"/>
  <c r="DS19" i="30"/>
  <c r="DS25" i="30" s="1"/>
  <c r="DS29" i="30" s="1"/>
  <c r="DI73" i="25" s="1"/>
  <c r="CF180" i="59"/>
  <c r="CF174" i="59"/>
  <c r="CF202" i="59" s="1"/>
  <c r="BR162" i="59"/>
  <c r="BM162" i="59"/>
  <c r="H154" i="59"/>
  <c r="BM154" i="59"/>
  <c r="BJ113" i="59"/>
  <c r="AR97" i="59"/>
  <c r="CR264" i="59"/>
  <c r="CW37" i="59"/>
  <c r="CW255" i="59"/>
  <c r="BT45" i="73"/>
  <c r="EY97" i="30"/>
  <c r="CW28" i="59"/>
  <c r="CW321" i="59"/>
  <c r="CW77" i="59"/>
  <c r="CW307" i="59"/>
  <c r="CW76" i="59"/>
  <c r="CW253" i="59"/>
  <c r="CW114" i="59"/>
  <c r="I5" i="95"/>
  <c r="J5" i="95" s="1"/>
  <c r="K5" i="95" s="1"/>
  <c r="L5" i="95" s="1"/>
  <c r="M5" i="95" s="1"/>
  <c r="N5" i="95" s="1"/>
  <c r="O5" i="95" s="1"/>
  <c r="P5" i="95" s="1"/>
  <c r="Q5" i="95" s="1"/>
  <c r="R5" i="95" s="1"/>
  <c r="S5" i="95" s="1"/>
  <c r="BV255" i="59"/>
  <c r="J248" i="59"/>
  <c r="R301" i="59"/>
  <c r="CF266" i="59"/>
  <c r="CC274" i="59"/>
  <c r="BI92" i="73"/>
  <c r="BN92" i="73" s="1"/>
  <c r="BS92" i="73" s="1"/>
  <c r="BX92" i="73" s="1"/>
  <c r="BJ86" i="73"/>
  <c r="BD93" i="73"/>
  <c r="BD94" i="73"/>
  <c r="BC94" i="73"/>
  <c r="BC93" i="73"/>
  <c r="CH269" i="59"/>
  <c r="CR285" i="59"/>
  <c r="CS285" i="59"/>
  <c r="BJ88" i="73"/>
  <c r="BJ87" i="73"/>
  <c r="BI94" i="73"/>
  <c r="CL266" i="59"/>
  <c r="BI93" i="73"/>
  <c r="CP285" i="59"/>
  <c r="CQ285" i="59"/>
  <c r="K225" i="31"/>
  <c r="E171" i="31"/>
  <c r="I171" i="31"/>
  <c r="V463" i="23"/>
  <c r="M395" i="23"/>
  <c r="N442" i="23"/>
  <c r="L554" i="23"/>
  <c r="L555" i="23"/>
  <c r="L553" i="23"/>
  <c r="AD189" i="39"/>
  <c r="BL189" i="39" s="1"/>
  <c r="BQ58" i="39"/>
  <c r="N440" i="23"/>
  <c r="M393" i="23"/>
  <c r="EO192" i="30"/>
  <c r="EM192" i="30"/>
  <c r="R582" i="23"/>
  <c r="S554" i="23"/>
  <c r="S488" i="23" s="1"/>
  <c r="CV168" i="23"/>
  <c r="N111" i="23"/>
  <c r="M126" i="23"/>
  <c r="BI108" i="23"/>
  <c r="BG108" i="23"/>
  <c r="BF108" i="23"/>
  <c r="T68" i="23"/>
  <c r="BK68" i="23"/>
  <c r="U107" i="23"/>
  <c r="N12" i="56"/>
  <c r="W260" i="23"/>
  <c r="V286" i="23"/>
  <c r="BW38" i="23"/>
  <c r="BX37" i="23"/>
  <c r="L275" i="23"/>
  <c r="F11" i="56" s="1"/>
  <c r="W656" i="23"/>
  <c r="W660" i="23"/>
  <c r="Z403" i="23"/>
  <c r="AA450" i="23"/>
  <c r="I196" i="59"/>
  <c r="D207" i="23"/>
  <c r="D240" i="23" s="1"/>
  <c r="G18" i="56"/>
  <c r="BJ51" i="23"/>
  <c r="T29" i="23"/>
  <c r="Z361" i="23"/>
  <c r="Z369" i="23"/>
  <c r="AA321" i="23"/>
  <c r="AC321" i="23" s="1"/>
  <c r="AD321" i="23" s="1"/>
  <c r="Y12" i="23"/>
  <c r="W71" i="23"/>
  <c r="CW67" i="25"/>
  <c r="DA50" i="25"/>
  <c r="DB10" i="25"/>
  <c r="BH167" i="59"/>
  <c r="BI124" i="23"/>
  <c r="BI67" i="23"/>
  <c r="BI68" i="23" s="1"/>
  <c r="BH124" i="23"/>
  <c r="BH67" i="23" s="1"/>
  <c r="BH68" i="23" s="1"/>
  <c r="BR68" i="23"/>
  <c r="T32" i="23"/>
  <c r="CH62" i="23"/>
  <c r="CS28" i="23"/>
  <c r="V29" i="23"/>
  <c r="Z405" i="23"/>
  <c r="DA405" i="23" s="1"/>
  <c r="AA452" i="23"/>
  <c r="DD65" i="25"/>
  <c r="AD71" i="30"/>
  <c r="T12" i="25"/>
  <c r="U113" i="23"/>
  <c r="CN171" i="23"/>
  <c r="U166" i="23"/>
  <c r="U151" i="23" s="1"/>
  <c r="Z404" i="23"/>
  <c r="DB404" i="23" s="1"/>
  <c r="AA451" i="23"/>
  <c r="AC451" i="23" s="1"/>
  <c r="DB65" i="25"/>
  <c r="CW65" i="25"/>
  <c r="W205" i="30"/>
  <c r="CA158" i="30"/>
  <c r="BQ44" i="25"/>
  <c r="BU156" i="30"/>
  <c r="CN147" i="30"/>
  <c r="M78" i="30"/>
  <c r="AJ69" i="30"/>
  <c r="AJ204" i="30" s="1"/>
  <c r="BN60" i="30"/>
  <c r="AG48" i="30"/>
  <c r="O45" i="30"/>
  <c r="L45" i="30"/>
  <c r="L61" i="30" s="1"/>
  <c r="CR46" i="30"/>
  <c r="AF11" i="30"/>
  <c r="Y10" i="30"/>
  <c r="CS7" i="30"/>
  <c r="ED188" i="30"/>
  <c r="I82" i="20"/>
  <c r="E23" i="38"/>
  <c r="F23" i="38" s="1"/>
  <c r="AK8" i="41"/>
  <c r="AO8" i="41"/>
  <c r="L8" i="41" s="1"/>
  <c r="BR98" i="85"/>
  <c r="BW98" i="85" s="1"/>
  <c r="CB98" i="85" s="1"/>
  <c r="CG98" i="85" s="1"/>
  <c r="CL98" i="85" s="1"/>
  <c r="CQ98" i="85" s="1"/>
  <c r="CV98" i="85" s="1"/>
  <c r="DA98" i="85" s="1"/>
  <c r="B20" i="52"/>
  <c r="B23" i="52" s="1"/>
  <c r="B24" i="52" s="1"/>
  <c r="BQ44" i="39"/>
  <c r="BQ51" i="39"/>
  <c r="AD355" i="23"/>
  <c r="AE355" i="23" s="1"/>
  <c r="ES192" i="30"/>
  <c r="ER192" i="30"/>
  <c r="CM9" i="23"/>
  <c r="CH23" i="25"/>
  <c r="AK16" i="30"/>
  <c r="AK19" i="30" s="1"/>
  <c r="AG241" i="30"/>
  <c r="K241" i="30"/>
  <c r="DG188" i="30"/>
  <c r="AI193" i="30"/>
  <c r="N148" i="30"/>
  <c r="N149" i="30"/>
  <c r="CU68" i="30"/>
  <c r="CU203" i="30"/>
  <c r="CU193" i="30" s="1"/>
  <c r="AM8" i="41"/>
  <c r="AZ71" i="85"/>
  <c r="AP14" i="85"/>
  <c r="DD167" i="23"/>
  <c r="BQ41" i="39"/>
  <c r="BQ45" i="39"/>
  <c r="AG111" i="39"/>
  <c r="CM37" i="25"/>
  <c r="CM82" i="25" s="1"/>
  <c r="AU194" i="59" s="1"/>
  <c r="EG203" i="30"/>
  <c r="K77" i="30"/>
  <c r="L77" i="30"/>
  <c r="G66" i="38"/>
  <c r="G81" i="38" s="1"/>
  <c r="AL8" i="41"/>
  <c r="AZ23" i="85"/>
  <c r="AS23" i="85"/>
  <c r="J51" i="33"/>
  <c r="N125" i="30"/>
  <c r="ES194" i="30"/>
  <c r="W195" i="30"/>
  <c r="CZ404" i="23"/>
  <c r="N395" i="23"/>
  <c r="R442" i="23"/>
  <c r="AF12" i="30"/>
  <c r="DR11" i="30"/>
  <c r="Y64" i="25"/>
  <c r="R559" i="23" s="1"/>
  <c r="AF32" i="30"/>
  <c r="W463" i="23"/>
  <c r="AH71" i="39"/>
  <c r="BP71" i="39"/>
  <c r="BO111" i="39"/>
  <c r="CY403" i="23"/>
  <c r="DB403" i="23"/>
  <c r="DA403" i="23"/>
  <c r="CZ403" i="23"/>
  <c r="L488" i="23"/>
  <c r="L489" i="23"/>
  <c r="J58" i="33"/>
  <c r="J59" i="33" s="1"/>
  <c r="ER194" i="30"/>
  <c r="BN194" i="30"/>
  <c r="BN65" i="30"/>
  <c r="BN73" i="30" s="1"/>
  <c r="BN80" i="30" s="1"/>
  <c r="BU163" i="30"/>
  <c r="BV156" i="30"/>
  <c r="BV163" i="30" s="1"/>
  <c r="BU205" i="30"/>
  <c r="Z368" i="23"/>
  <c r="S555" i="23"/>
  <c r="EM194" i="30"/>
  <c r="CK171" i="59"/>
  <c r="CK170" i="59" s="1"/>
  <c r="CY405" i="23"/>
  <c r="L173" i="59"/>
  <c r="L180" i="59" s="1"/>
  <c r="EG193" i="30"/>
  <c r="EU192" i="30"/>
  <c r="CS171" i="59" s="1"/>
  <c r="CS153" i="59" s="1"/>
  <c r="BP75" i="73" s="1"/>
  <c r="AA404" i="23"/>
  <c r="DD404" i="23" s="1"/>
  <c r="AC452" i="23"/>
  <c r="AC405" i="23" s="1"/>
  <c r="AA405" i="23"/>
  <c r="DE405" i="23" s="1"/>
  <c r="R37" i="23"/>
  <c r="BY37" i="23"/>
  <c r="BX38" i="23"/>
  <c r="CM171" i="59"/>
  <c r="CM178" i="59" s="1"/>
  <c r="EO194" i="30"/>
  <c r="R440" i="23"/>
  <c r="R393" i="23" s="1"/>
  <c r="N393" i="23"/>
  <c r="BW156" i="30"/>
  <c r="BW163" i="30" s="1"/>
  <c r="BV205" i="30"/>
  <c r="EU194" i="30"/>
  <c r="AL194" i="30" s="1"/>
  <c r="EV192" i="30"/>
  <c r="Z463" i="23"/>
  <c r="BW205" i="30"/>
  <c r="AD457" i="23"/>
  <c r="AE457" i="23" s="1"/>
  <c r="AF457" i="23" s="1"/>
  <c r="M120" i="73"/>
  <c r="N120" i="73"/>
  <c r="O120" i="73"/>
  <c r="DE418" i="23"/>
  <c r="DF418" i="23"/>
  <c r="CI43" i="23"/>
  <c r="DD193" i="30"/>
  <c r="DD194" i="30" s="1"/>
  <c r="DG206" i="30"/>
  <c r="DG27" i="30" s="1"/>
  <c r="DH27" i="30" s="1"/>
  <c r="DD68" i="30"/>
  <c r="EJ202" i="30"/>
  <c r="S553" i="23"/>
  <c r="CW411" i="23"/>
  <c r="CX411" i="23" s="1"/>
  <c r="W32" i="23"/>
  <c r="D39" i="31"/>
  <c r="D40" i="31" s="1"/>
  <c r="CA48" i="30"/>
  <c r="AX14" i="85"/>
  <c r="AX23" i="85"/>
  <c r="CY122" i="23"/>
  <c r="BJ51" i="33"/>
  <c r="BU125" i="30"/>
  <c r="CV122" i="23"/>
  <c r="T171" i="31"/>
  <c r="DE166" i="23"/>
  <c r="CZ122" i="23"/>
  <c r="AD458" i="23"/>
  <c r="AD411" i="23" s="1"/>
  <c r="X285" i="59"/>
  <c r="DA122" i="23"/>
  <c r="DG410" i="23"/>
  <c r="DH410" i="23" s="1"/>
  <c r="W285" i="59"/>
  <c r="AD149" i="23"/>
  <c r="AE149" i="23"/>
  <c r="DD69" i="30"/>
  <c r="DE167" i="23"/>
  <c r="EJ204" i="30"/>
  <c r="BW158" i="30"/>
  <c r="BM44" i="25" s="1"/>
  <c r="BX156" i="30"/>
  <c r="BY156" i="30" s="1"/>
  <c r="DQ156" i="30"/>
  <c r="BF336" i="39"/>
  <c r="B14" i="38"/>
  <c r="DG20" i="30"/>
  <c r="AC107" i="30"/>
  <c r="AD107" i="30" s="1"/>
  <c r="U60" i="30"/>
  <c r="U80" i="30" s="1"/>
  <c r="BF344" i="39"/>
  <c r="DI27" i="30"/>
  <c r="Q51" i="38"/>
  <c r="CC48" i="23"/>
  <c r="CD48" i="23"/>
  <c r="CD47" i="23"/>
  <c r="BT47" i="23"/>
  <c r="BS48" i="23"/>
  <c r="I38" i="23"/>
  <c r="C10" i="56"/>
  <c r="AY17" i="23"/>
  <c r="CD23" i="25"/>
  <c r="EO204" i="30"/>
  <c r="X48" i="30"/>
  <c r="R88" i="30"/>
  <c r="M88" i="30"/>
  <c r="O88" i="30"/>
  <c r="BN88" i="30"/>
  <c r="BS88" i="30"/>
  <c r="N121" i="30"/>
  <c r="N237" i="30"/>
  <c r="V553" i="23"/>
  <c r="V554" i="23"/>
  <c r="V488" i="23"/>
  <c r="I550" i="23"/>
  <c r="T553" i="23"/>
  <c r="BX108" i="23"/>
  <c r="BZ105" i="23"/>
  <c r="BZ108" i="23" s="1"/>
  <c r="CT122" i="23"/>
  <c r="W122" i="23" s="1"/>
  <c r="G39" i="63" s="1"/>
  <c r="CW111" i="23"/>
  <c r="M12" i="40"/>
  <c r="DN163" i="30"/>
  <c r="CY23" i="30"/>
  <c r="CY25" i="30"/>
  <c r="L605" i="23"/>
  <c r="M601" i="23"/>
  <c r="L599" i="23"/>
  <c r="L201" i="23"/>
  <c r="L202" i="23" s="1"/>
  <c r="BQ111" i="23"/>
  <c r="S125" i="23"/>
  <c r="C38" i="63"/>
  <c r="C40" i="63" s="1"/>
  <c r="S126" i="23"/>
  <c r="T111" i="23"/>
  <c r="S112" i="23"/>
  <c r="S133" i="23"/>
  <c r="S175" i="23"/>
  <c r="BB163" i="59"/>
  <c r="L40" i="59"/>
  <c r="CE39" i="59"/>
  <c r="M323" i="59"/>
  <c r="M40" i="59"/>
  <c r="L323" i="59"/>
  <c r="P6" i="52"/>
  <c r="P13" i="52" s="1"/>
  <c r="AX83" i="59"/>
  <c r="CZ146" i="30" s="1"/>
  <c r="AT6" i="31"/>
  <c r="AL156" i="30"/>
  <c r="AK205" i="30"/>
  <c r="EO205" i="30"/>
  <c r="CB173" i="59"/>
  <c r="CB180" i="59" s="1"/>
  <c r="ED205" i="30"/>
  <c r="EF205" i="30"/>
  <c r="EC205" i="30"/>
  <c r="EG205" i="30" s="1"/>
  <c r="BM68" i="30"/>
  <c r="BM203" i="30"/>
  <c r="BM202" i="30"/>
  <c r="N68" i="30"/>
  <c r="N72" i="30" s="1"/>
  <c r="E30" i="25" s="1"/>
  <c r="N71" i="30"/>
  <c r="E16" i="25" s="1"/>
  <c r="CZ23" i="30"/>
  <c r="CZ25" i="30"/>
  <c r="DQ20" i="30"/>
  <c r="DG66" i="25"/>
  <c r="CM25" i="30"/>
  <c r="CM29" i="30" s="1"/>
  <c r="P69" i="25"/>
  <c r="Z19" i="30"/>
  <c r="Z16" i="30" s="1"/>
  <c r="S36" i="25"/>
  <c r="CE77" i="25"/>
  <c r="CJ8" i="25"/>
  <c r="U202" i="30"/>
  <c r="U192" i="30" s="1"/>
  <c r="U68" i="30"/>
  <c r="U203" i="30"/>
  <c r="X64" i="25"/>
  <c r="DC64" i="25"/>
  <c r="N505" i="23"/>
  <c r="N486" i="23"/>
  <c r="N482" i="23"/>
  <c r="N501" i="23"/>
  <c r="N491" i="23"/>
  <c r="N518" i="23"/>
  <c r="AD69" i="41"/>
  <c r="DI68" i="30"/>
  <c r="DI204" i="30"/>
  <c r="DI193" i="30"/>
  <c r="ED204" i="30"/>
  <c r="CJ167" i="23"/>
  <c r="CJ168" i="23"/>
  <c r="BY9" i="25"/>
  <c r="H82" i="25"/>
  <c r="H10" i="25"/>
  <c r="ET202" i="30"/>
  <c r="ER202" i="30"/>
  <c r="CP171" i="59" s="1"/>
  <c r="CP153" i="59" s="1"/>
  <c r="CP154" i="59" s="1"/>
  <c r="ES202" i="30"/>
  <c r="F24" i="25"/>
  <c r="F55" i="30"/>
  <c r="AM9" i="30"/>
  <c r="T6" i="52" s="1"/>
  <c r="T20" i="52" s="1"/>
  <c r="AM22" i="30" s="1"/>
  <c r="J292" i="23"/>
  <c r="J291" i="23"/>
  <c r="J298" i="23" s="1"/>
  <c r="T485" i="23"/>
  <c r="DE65" i="25"/>
  <c r="CZ65" i="25"/>
  <c r="CZ67" i="25"/>
  <c r="CP67" i="25"/>
  <c r="CH67" i="25"/>
  <c r="CM65" i="25"/>
  <c r="K559" i="23"/>
  <c r="R65" i="25"/>
  <c r="R67" i="25"/>
  <c r="R71" i="25"/>
  <c r="P65" i="25"/>
  <c r="O71" i="25"/>
  <c r="O75" i="25"/>
  <c r="BQ42" i="25"/>
  <c r="BQ39" i="25"/>
  <c r="CJ82" i="25"/>
  <c r="CC82" i="25"/>
  <c r="CC38" i="25"/>
  <c r="BX38" i="25"/>
  <c r="BX82" i="25"/>
  <c r="BY37" i="25"/>
  <c r="BT37" i="25"/>
  <c r="BP82" i="25"/>
  <c r="BP38" i="25"/>
  <c r="BF38" i="25"/>
  <c r="BA38" i="25"/>
  <c r="BA82" i="25"/>
  <c r="R38" i="25"/>
  <c r="W35" i="25"/>
  <c r="W42" i="25" s="1"/>
  <c r="CX35" i="25"/>
  <c r="T42" i="25"/>
  <c r="M557" i="23"/>
  <c r="M507" i="23" s="1"/>
  <c r="T38" i="25"/>
  <c r="T77" i="25"/>
  <c r="G187" i="59" s="1"/>
  <c r="O46" i="25"/>
  <c r="P36" i="25"/>
  <c r="G36" i="25"/>
  <c r="F38" i="25"/>
  <c r="F36" i="25"/>
  <c r="DH23" i="25"/>
  <c r="DF24" i="25"/>
  <c r="DA24" i="25"/>
  <c r="CF82" i="25"/>
  <c r="AN194" i="59" s="1"/>
  <c r="EJ192" i="30"/>
  <c r="EZ202" i="30"/>
  <c r="EZ204" i="30"/>
  <c r="CS19" i="30"/>
  <c r="AB20" i="30"/>
  <c r="N7" i="25"/>
  <c r="CG204" i="30"/>
  <c r="DA204" i="30"/>
  <c r="DB203" i="30"/>
  <c r="DC203" i="30" s="1"/>
  <c r="DA68" i="30"/>
  <c r="DC68" i="30" s="1"/>
  <c r="AZ9" i="41"/>
  <c r="Q9" i="41"/>
  <c r="BZ65" i="30"/>
  <c r="BZ73" i="30"/>
  <c r="BZ80" i="30" s="1"/>
  <c r="BZ194" i="30"/>
  <c r="CD194" i="30" s="1"/>
  <c r="CB113" i="30"/>
  <c r="CL86" i="30"/>
  <c r="CL113" i="30"/>
  <c r="CG86" i="30"/>
  <c r="CU12" i="30"/>
  <c r="CK64" i="25"/>
  <c r="CZ12" i="30"/>
  <c r="S21" i="32"/>
  <c r="AE152" i="30"/>
  <c r="AF152" i="30"/>
  <c r="H86" i="38"/>
  <c r="H92" i="38"/>
  <c r="Q56" i="33"/>
  <c r="S33" i="20"/>
  <c r="AD173" i="30"/>
  <c r="AD236" i="30"/>
  <c r="G18" i="59"/>
  <c r="L11" i="20"/>
  <c r="Q10" i="41"/>
  <c r="A83" i="63"/>
  <c r="A69" i="63"/>
  <c r="N582" i="23"/>
  <c r="M586" i="23"/>
  <c r="W573" i="23"/>
  <c r="V577" i="23"/>
  <c r="V571" i="23"/>
  <c r="S577" i="23"/>
  <c r="T573" i="23"/>
  <c r="N484" i="23"/>
  <c r="R554" i="23"/>
  <c r="R555" i="23"/>
  <c r="R477" i="23"/>
  <c r="R553" i="23"/>
  <c r="J239" i="23"/>
  <c r="T492" i="23"/>
  <c r="K610" i="23"/>
  <c r="J599" i="23"/>
  <c r="J201" i="23" s="1"/>
  <c r="J202" i="23" s="1"/>
  <c r="K197" i="23"/>
  <c r="K569" i="23"/>
  <c r="CV167" i="23"/>
  <c r="H108" i="23"/>
  <c r="S68" i="23"/>
  <c r="J18" i="56"/>
  <c r="F18" i="56"/>
  <c r="CR111" i="23"/>
  <c r="CD43" i="23"/>
  <c r="BJ32" i="23"/>
  <c r="BF62" i="23"/>
  <c r="S333" i="23"/>
  <c r="T333" i="23" s="1"/>
  <c r="R388" i="23"/>
  <c r="T247" i="23"/>
  <c r="CI48" i="23"/>
  <c r="L29" i="23"/>
  <c r="K303" i="23"/>
  <c r="L300" i="23" s="1"/>
  <c r="K193" i="23"/>
  <c r="L383" i="23"/>
  <c r="M430" i="23"/>
  <c r="BT30" i="23"/>
  <c r="CG12" i="23"/>
  <c r="J6" i="53"/>
  <c r="DM84" i="25"/>
  <c r="N9" i="23"/>
  <c r="Q9" i="23" s="1"/>
  <c r="H195" i="59"/>
  <c r="X83" i="25"/>
  <c r="H6" i="53" s="1"/>
  <c r="H8" i="53" s="1"/>
  <c r="DC83" i="25"/>
  <c r="CU8" i="25"/>
  <c r="CX7" i="25"/>
  <c r="CZ8" i="25"/>
  <c r="CU77" i="25"/>
  <c r="CP8" i="25"/>
  <c r="CP77" i="25"/>
  <c r="CP79" i="25" s="1"/>
  <c r="CN7" i="25"/>
  <c r="CB10" i="25"/>
  <c r="CB77" i="25"/>
  <c r="BW10" i="25"/>
  <c r="BY7" i="25"/>
  <c r="U558" i="23"/>
  <c r="AC8" i="25"/>
  <c r="N558" i="23"/>
  <c r="DC7" i="25"/>
  <c r="X7" i="25"/>
  <c r="AZ154" i="59"/>
  <c r="M143" i="59"/>
  <c r="L329" i="59"/>
  <c r="BD129" i="59"/>
  <c r="CL37" i="25"/>
  <c r="CL38" i="25" s="1"/>
  <c r="CV149" i="30"/>
  <c r="DA149" i="30"/>
  <c r="CX147" i="30"/>
  <c r="CV148" i="30"/>
  <c r="I37" i="25"/>
  <c r="CD37" i="25" s="1"/>
  <c r="X149" i="30"/>
  <c r="X148" i="30"/>
  <c r="BI115" i="30"/>
  <c r="L115" i="30"/>
  <c r="CU15" i="30"/>
  <c r="AS95" i="59"/>
  <c r="CZ15" i="30"/>
  <c r="Y12" i="30"/>
  <c r="N64" i="25"/>
  <c r="N67" i="25"/>
  <c r="D39" i="59"/>
  <c r="H6" i="52"/>
  <c r="CS9" i="30"/>
  <c r="AB10" i="30"/>
  <c r="AO42" i="59"/>
  <c r="CV8" i="30"/>
  <c r="EH188" i="30"/>
  <c r="EH85" i="30"/>
  <c r="M40" i="30"/>
  <c r="M188" i="30"/>
  <c r="M85" i="30"/>
  <c r="O21" i="41"/>
  <c r="AZ21" i="41"/>
  <c r="E28" i="85"/>
  <c r="E33" i="85" s="1"/>
  <c r="J25" i="32"/>
  <c r="K25" i="32"/>
  <c r="J24" i="32"/>
  <c r="G36" i="33"/>
  <c r="G104" i="33"/>
  <c r="G39" i="33"/>
  <c r="DC42" i="23"/>
  <c r="CS308" i="59"/>
  <c r="CS88" i="59"/>
  <c r="CS322" i="59"/>
  <c r="CU89" i="59"/>
  <c r="BN53" i="30"/>
  <c r="BS53" i="30"/>
  <c r="BG171" i="59"/>
  <c r="DA156" i="30"/>
  <c r="DA195" i="30"/>
  <c r="DA151" i="30"/>
  <c r="AQ21" i="85"/>
  <c r="DM11" i="30"/>
  <c r="AE32" i="30"/>
  <c r="AE12" i="30"/>
  <c r="CB67" i="30"/>
  <c r="CB68" i="30"/>
  <c r="CB203" i="30"/>
  <c r="BG101" i="59"/>
  <c r="AV105" i="41"/>
  <c r="CU48" i="30"/>
  <c r="CP55" i="30"/>
  <c r="N9" i="25"/>
  <c r="S54" i="30"/>
  <c r="S65" i="30" s="1"/>
  <c r="S73" i="30" s="1"/>
  <c r="U571" i="23"/>
  <c r="U586" i="23"/>
  <c r="K586" i="23"/>
  <c r="L582" i="23"/>
  <c r="N520" i="23"/>
  <c r="N521" i="23"/>
  <c r="K480" i="23"/>
  <c r="K501" i="23"/>
  <c r="K509" i="23"/>
  <c r="K511" i="23"/>
  <c r="K484" i="23"/>
  <c r="K505" i="23"/>
  <c r="K514" i="23"/>
  <c r="CX392" i="23"/>
  <c r="I537" i="23"/>
  <c r="J265" i="23" s="1"/>
  <c r="J266" i="23" s="1"/>
  <c r="J275" i="23" s="1"/>
  <c r="D11" i="56" s="1"/>
  <c r="I210" i="23"/>
  <c r="CL167" i="23"/>
  <c r="CL168" i="23"/>
  <c r="CH163" i="23"/>
  <c r="CH166" i="23"/>
  <c r="T170" i="23"/>
  <c r="CF112" i="23"/>
  <c r="CF114" i="23" s="1"/>
  <c r="CG112" i="23"/>
  <c r="BN68" i="23"/>
  <c r="L18" i="56"/>
  <c r="U68" i="23"/>
  <c r="Q57" i="23"/>
  <c r="Q68" i="23"/>
  <c r="H18" i="56"/>
  <c r="N68" i="23"/>
  <c r="D18" i="56"/>
  <c r="CX48" i="23"/>
  <c r="Y48" i="23"/>
  <c r="CS42" i="23"/>
  <c r="X42" i="23"/>
  <c r="CG38" i="23"/>
  <c r="CH37" i="23"/>
  <c r="CI37" i="23"/>
  <c r="V438" i="23"/>
  <c r="K8" i="23"/>
  <c r="BE9" i="23"/>
  <c r="K6" i="23"/>
  <c r="L6" i="23"/>
  <c r="Q95" i="25"/>
  <c r="P97" i="25"/>
  <c r="G190" i="59"/>
  <c r="CX78" i="25"/>
  <c r="T60" i="25"/>
  <c r="T54" i="25"/>
  <c r="T56" i="25"/>
  <c r="AD181" i="30"/>
  <c r="AD182" i="30" s="1"/>
  <c r="DF197" i="30"/>
  <c r="AZ31" i="85"/>
  <c r="G22" i="25"/>
  <c r="DE10" i="25"/>
  <c r="DH9" i="25"/>
  <c r="CZ10" i="25"/>
  <c r="DC9" i="25"/>
  <c r="CU82" i="25"/>
  <c r="CU10" i="25"/>
  <c r="CP82" i="25"/>
  <c r="CP10" i="25"/>
  <c r="CS9" i="25"/>
  <c r="BR10" i="25"/>
  <c r="BM10" i="25"/>
  <c r="BB82" i="25"/>
  <c r="BB10" i="25"/>
  <c r="R10" i="25"/>
  <c r="CN9" i="25"/>
  <c r="R82" i="25"/>
  <c r="CF153" i="59"/>
  <c r="BC75" i="73" s="1"/>
  <c r="CO9" i="23"/>
  <c r="CE91" i="59"/>
  <c r="L93" i="59"/>
  <c r="M92" i="59"/>
  <c r="P16" i="52"/>
  <c r="I279" i="60" s="1"/>
  <c r="T199" i="30"/>
  <c r="CC198" i="30"/>
  <c r="CD198" i="30"/>
  <c r="P63" i="30"/>
  <c r="BU58" i="30"/>
  <c r="BU63" i="30"/>
  <c r="BK12" i="25"/>
  <c r="BF58" i="30"/>
  <c r="BF63" i="30"/>
  <c r="K63" i="30"/>
  <c r="CJ55" i="30"/>
  <c r="CJ56" i="30"/>
  <c r="AM153" i="59"/>
  <c r="AM155" i="59" s="1"/>
  <c r="CO54" i="30"/>
  <c r="X51" i="30"/>
  <c r="L54" i="30"/>
  <c r="L55" i="30"/>
  <c r="L9" i="25"/>
  <c r="BW56" i="30"/>
  <c r="CB56" i="30"/>
  <c r="BW55" i="30"/>
  <c r="CB55" i="30"/>
  <c r="CD45" i="30"/>
  <c r="CG48" i="30"/>
  <c r="CL48" i="30"/>
  <c r="CU25" i="30"/>
  <c r="CU23" i="30"/>
  <c r="G111" i="31"/>
  <c r="BK74" i="85"/>
  <c r="BP74" i="85" s="1"/>
  <c r="BU74" i="85" s="1"/>
  <c r="BZ74" i="85" s="1"/>
  <c r="CE74" i="85" s="1"/>
  <c r="CJ74" i="85" s="1"/>
  <c r="CO74" i="85" s="1"/>
  <c r="CT74" i="85" s="1"/>
  <c r="CY74" i="85" s="1"/>
  <c r="DD74" i="85" s="1"/>
  <c r="BF56" i="85"/>
  <c r="DU204" i="30"/>
  <c r="J30" i="40"/>
  <c r="I25" i="40"/>
  <c r="CZ195" i="30"/>
  <c r="CZ156" i="30"/>
  <c r="CJ86" i="30"/>
  <c r="L12" i="56"/>
  <c r="AB75" i="41"/>
  <c r="DF68" i="30"/>
  <c r="AZ89" i="41"/>
  <c r="M89" i="41"/>
  <c r="M92" i="41" s="1"/>
  <c r="O90" i="41"/>
  <c r="BN100" i="30"/>
  <c r="K482" i="23"/>
  <c r="M599" i="23"/>
  <c r="M201" i="23"/>
  <c r="M605" i="23"/>
  <c r="K599" i="23"/>
  <c r="K201" i="23"/>
  <c r="K202" i="23"/>
  <c r="K605" i="23"/>
  <c r="K604" i="23" s="1"/>
  <c r="L601" i="23"/>
  <c r="F197" i="23"/>
  <c r="I195" i="23"/>
  <c r="I187" i="23"/>
  <c r="I479" i="23"/>
  <c r="CR163" i="23"/>
  <c r="BD145" i="73"/>
  <c r="BD146" i="73" s="1"/>
  <c r="CP166" i="23"/>
  <c r="CA111" i="23"/>
  <c r="S98" i="23"/>
  <c r="CO111" i="23"/>
  <c r="V107" i="23"/>
  <c r="CM37" i="23"/>
  <c r="CM38" i="23"/>
  <c r="CK38" i="23"/>
  <c r="U443" i="23"/>
  <c r="V443" i="23" s="1"/>
  <c r="T396" i="23"/>
  <c r="CS83" i="25"/>
  <c r="AZ195" i="59"/>
  <c r="DE176" i="30"/>
  <c r="CU56" i="25"/>
  <c r="BW24" i="25"/>
  <c r="BY23" i="25"/>
  <c r="BW82" i="25"/>
  <c r="BR24" i="25"/>
  <c r="BT23" i="25"/>
  <c r="BF82" i="25"/>
  <c r="X23" i="25"/>
  <c r="U24" i="25"/>
  <c r="X24" i="25"/>
  <c r="DC23" i="25"/>
  <c r="DC21" i="25"/>
  <c r="DF22" i="25"/>
  <c r="DA22" i="25"/>
  <c r="CX21" i="25"/>
  <c r="CV77" i="25"/>
  <c r="CV24" i="25"/>
  <c r="CV22" i="25"/>
  <c r="CW22" i="25"/>
  <c r="CR24" i="25"/>
  <c r="CR77" i="25"/>
  <c r="AZ187" i="59"/>
  <c r="CS21" i="25"/>
  <c r="CM22" i="25"/>
  <c r="CM77" i="25"/>
  <c r="AB22" i="25"/>
  <c r="AB24" i="25"/>
  <c r="AC22" i="25"/>
  <c r="R77" i="25"/>
  <c r="R24" i="25"/>
  <c r="S22" i="25"/>
  <c r="CM105" i="59"/>
  <c r="CM111" i="59" s="1"/>
  <c r="BD92" i="59"/>
  <c r="DO203" i="30"/>
  <c r="DP203" i="30"/>
  <c r="DP68" i="30"/>
  <c r="DN203" i="30"/>
  <c r="DR203" i="30" s="1"/>
  <c r="DQ203" i="30"/>
  <c r="DQ68" i="30" s="1"/>
  <c r="DI12" i="25"/>
  <c r="DE202" i="30"/>
  <c r="DF202" i="30"/>
  <c r="X70" i="20"/>
  <c r="F61" i="32"/>
  <c r="E61" i="32"/>
  <c r="CN39" i="23"/>
  <c r="V656" i="23"/>
  <c r="V660" i="23"/>
  <c r="CV82" i="25"/>
  <c r="BD194" i="59" s="1"/>
  <c r="BG38" i="25"/>
  <c r="CJ22" i="25"/>
  <c r="BN158" i="59"/>
  <c r="BI159" i="59"/>
  <c r="Y110" i="30"/>
  <c r="BM65" i="30"/>
  <c r="BM73" i="30" s="1"/>
  <c r="BM80" i="30" s="1"/>
  <c r="BR60" i="30"/>
  <c r="BM194" i="30"/>
  <c r="CG23" i="25"/>
  <c r="CQ54" i="30"/>
  <c r="AO161" i="59"/>
  <c r="AO163" i="59" s="1"/>
  <c r="DP48" i="30"/>
  <c r="DK48" i="30"/>
  <c r="AF55" i="30"/>
  <c r="AF241" i="30"/>
  <c r="CF7" i="25"/>
  <c r="CK8" i="25" s="1"/>
  <c r="AN128" i="59"/>
  <c r="L12" i="30"/>
  <c r="K64" i="25"/>
  <c r="AX42" i="59"/>
  <c r="CZ8" i="30"/>
  <c r="BA24" i="85"/>
  <c r="BA25" i="85" s="1"/>
  <c r="BA14" i="85"/>
  <c r="BA23" i="85"/>
  <c r="BA71" i="85"/>
  <c r="K62" i="32"/>
  <c r="K59" i="32"/>
  <c r="BH86" i="73"/>
  <c r="CD153" i="59"/>
  <c r="BN129" i="59"/>
  <c r="BZ205" i="30"/>
  <c r="CD205" i="30" s="1"/>
  <c r="CC156" i="30"/>
  <c r="CC205" i="30"/>
  <c r="BZ151" i="30"/>
  <c r="N60" i="30"/>
  <c r="N55" i="30"/>
  <c r="N48" i="30"/>
  <c r="N241" i="30"/>
  <c r="E39" i="59"/>
  <c r="I6" i="52"/>
  <c r="BL242" i="59"/>
  <c r="BL220" i="59" s="1"/>
  <c r="BB242" i="59"/>
  <c r="BB220" i="59" s="1"/>
  <c r="BG242" i="59"/>
  <c r="BG220" i="59" s="1"/>
  <c r="C82" i="20"/>
  <c r="C16" i="20"/>
  <c r="AS14" i="85"/>
  <c r="F104" i="33"/>
  <c r="BV254" i="59"/>
  <c r="BK82" i="25"/>
  <c r="M204" i="30"/>
  <c r="DZ206" i="30"/>
  <c r="DY206" i="30"/>
  <c r="CO156" i="30"/>
  <c r="CJ156" i="30"/>
  <c r="CM156" i="30"/>
  <c r="CM205" i="30"/>
  <c r="BS115" i="30"/>
  <c r="BR116" i="30"/>
  <c r="X221" i="30"/>
  <c r="BU59" i="30"/>
  <c r="BU64" i="30" s="1"/>
  <c r="P64" i="30"/>
  <c r="G7" i="25"/>
  <c r="H8" i="25" s="1"/>
  <c r="T46" i="30"/>
  <c r="I39" i="59"/>
  <c r="M6" i="52"/>
  <c r="J49" i="33"/>
  <c r="N95" i="30"/>
  <c r="O95" i="30"/>
  <c r="N235" i="30"/>
  <c r="Z80" i="32"/>
  <c r="BP92" i="73"/>
  <c r="BU92" i="73" s="1"/>
  <c r="BZ92" i="73" s="1"/>
  <c r="CI266" i="59"/>
  <c r="DD31" i="23"/>
  <c r="DD418" i="23"/>
  <c r="BX48" i="30"/>
  <c r="BW107" i="30"/>
  <c r="BX107" i="30" s="1"/>
  <c r="AC159" i="23"/>
  <c r="BR117" i="30"/>
  <c r="L59" i="32"/>
  <c r="M59" i="32"/>
  <c r="M62" i="32"/>
  <c r="M64" i="32"/>
  <c r="M9" i="32" s="1"/>
  <c r="K61" i="32"/>
  <c r="BR194" i="30"/>
  <c r="M604" i="23"/>
  <c r="CZ151" i="30"/>
  <c r="L65" i="30"/>
  <c r="L73" i="30" s="1"/>
  <c r="BV58" i="30"/>
  <c r="CP86" i="25"/>
  <c r="AX194" i="59"/>
  <c r="AD176" i="30"/>
  <c r="I38" i="25"/>
  <c r="BT9" i="23"/>
  <c r="N8" i="23"/>
  <c r="N475" i="23" s="1"/>
  <c r="N503" i="23" s="1"/>
  <c r="S575" i="23"/>
  <c r="S584" i="23" s="1"/>
  <c r="S578" i="23"/>
  <c r="R56" i="33"/>
  <c r="AR194" i="59"/>
  <c r="AM187" i="59"/>
  <c r="CE79" i="25"/>
  <c r="CY29" i="30"/>
  <c r="CO73" i="25"/>
  <c r="CO75" i="25" s="1"/>
  <c r="CO69" i="25"/>
  <c r="M7" i="52"/>
  <c r="BZ154" i="30"/>
  <c r="BZ195" i="30"/>
  <c r="BZ199" i="30" s="1"/>
  <c r="BZ163" i="30"/>
  <c r="BH88" i="73"/>
  <c r="CV56" i="30"/>
  <c r="CQ56" i="30"/>
  <c r="DF67" i="30"/>
  <c r="DF69" i="30"/>
  <c r="DF204" i="30"/>
  <c r="DF192" i="30"/>
  <c r="DO68" i="30"/>
  <c r="DO193" i="30"/>
  <c r="DO59" i="30"/>
  <c r="CN51" i="30"/>
  <c r="I9" i="25"/>
  <c r="CD9" i="25" s="1"/>
  <c r="AA51" i="30"/>
  <c r="CS51" i="30" s="1"/>
  <c r="X54" i="30"/>
  <c r="CN37" i="25"/>
  <c r="CQ86" i="30"/>
  <c r="CV86" i="30" s="1"/>
  <c r="CG113" i="30"/>
  <c r="ET204" i="30"/>
  <c r="CR171" i="59"/>
  <c r="CR153" i="59" s="1"/>
  <c r="DI59" i="30"/>
  <c r="DI69" i="30"/>
  <c r="L604" i="23"/>
  <c r="L606" i="23"/>
  <c r="N12" i="40"/>
  <c r="B19" i="38"/>
  <c r="B21" i="38" s="1"/>
  <c r="AY13" i="31"/>
  <c r="I26" i="52"/>
  <c r="I7" i="52"/>
  <c r="CD156" i="30"/>
  <c r="DE192" i="30"/>
  <c r="DE67" i="30"/>
  <c r="DG202" i="30"/>
  <c r="DH202" i="30"/>
  <c r="AU187" i="59"/>
  <c r="BD187" i="59"/>
  <c r="CV79" i="25"/>
  <c r="CP168" i="23"/>
  <c r="CP167" i="23"/>
  <c r="CT56" i="30"/>
  <c r="CO56" i="30"/>
  <c r="CO55" i="30"/>
  <c r="K71" i="30"/>
  <c r="D16" i="25"/>
  <c r="D12" i="25"/>
  <c r="BC194" i="59"/>
  <c r="V578" i="23"/>
  <c r="DB68" i="30"/>
  <c r="DB193" i="30"/>
  <c r="AC193" i="30"/>
  <c r="DC193" i="30"/>
  <c r="ES204" i="30"/>
  <c r="CQ171" i="59"/>
  <c r="CQ153" i="59" s="1"/>
  <c r="BN75" i="73" s="1"/>
  <c r="P66" i="25"/>
  <c r="P67" i="25" s="1"/>
  <c r="CZ29" i="30"/>
  <c r="CP73" i="25"/>
  <c r="CP69" i="25"/>
  <c r="EM205" i="30"/>
  <c r="U61" i="30"/>
  <c r="Z60" i="30"/>
  <c r="Z65" i="30"/>
  <c r="CN266" i="59"/>
  <c r="BK93" i="73"/>
  <c r="BK94" i="73"/>
  <c r="CO205" i="30"/>
  <c r="CR156" i="30"/>
  <c r="CR205" i="30" s="1"/>
  <c r="CS205" i="30" s="1"/>
  <c r="O60" i="30"/>
  <c r="N80" i="30"/>
  <c r="N65" i="30"/>
  <c r="N73" i="30"/>
  <c r="BS60" i="30"/>
  <c r="CF10" i="25"/>
  <c r="M194" i="30"/>
  <c r="DN193" i="30"/>
  <c r="I569" i="23"/>
  <c r="J573" i="23"/>
  <c r="J575" i="23"/>
  <c r="J580" i="23" s="1"/>
  <c r="I20" i="52"/>
  <c r="CU29" i="30"/>
  <c r="CK73" i="25"/>
  <c r="CK69" i="25"/>
  <c r="L10" i="25"/>
  <c r="BG58" i="30"/>
  <c r="BH58" i="30"/>
  <c r="BH63" i="30" s="1"/>
  <c r="K475" i="23"/>
  <c r="K503" i="23" s="1"/>
  <c r="BB8" i="23"/>
  <c r="BB7" i="23" s="1"/>
  <c r="BA8" i="23"/>
  <c r="BC8" i="23"/>
  <c r="BD8" i="23"/>
  <c r="BD7" i="23" s="1"/>
  <c r="I498" i="23"/>
  <c r="CB202" i="30"/>
  <c r="H13" i="52"/>
  <c r="H20" i="52"/>
  <c r="H26" i="52"/>
  <c r="AX187" i="59"/>
  <c r="K571" i="23"/>
  <c r="K577" i="23"/>
  <c r="L573" i="23"/>
  <c r="CK65" i="25"/>
  <c r="CB116" i="30"/>
  <c r="M516" i="23"/>
  <c r="P71" i="25"/>
  <c r="AM156" i="30"/>
  <c r="AM205" i="30"/>
  <c r="AL205" i="30"/>
  <c r="ET205" i="30" s="1"/>
  <c r="CC112" i="23"/>
  <c r="CC114" i="23" s="1"/>
  <c r="CB112" i="23"/>
  <c r="BN89" i="30"/>
  <c r="R121" i="30"/>
  <c r="S88" i="30"/>
  <c r="P88" i="30"/>
  <c r="P121" i="30"/>
  <c r="T88" i="30"/>
  <c r="R237" i="30"/>
  <c r="BS194" i="30"/>
  <c r="T237" i="30"/>
  <c r="T121" i="30"/>
  <c r="Y88" i="30"/>
  <c r="U88" i="30"/>
  <c r="BG63" i="30"/>
  <c r="BB12" i="25"/>
  <c r="O80" i="30"/>
  <c r="O61" i="30"/>
  <c r="D11" i="25"/>
  <c r="DE58" i="30"/>
  <c r="DE63" i="30" s="1"/>
  <c r="Q9" i="25"/>
  <c r="CZ154" i="30"/>
  <c r="CZ163" i="30"/>
  <c r="CG114" i="30"/>
  <c r="CG116" i="30"/>
  <c r="CG117" i="30" s="1"/>
  <c r="Z194" i="30"/>
  <c r="DG67" i="30"/>
  <c r="DG192" i="30"/>
  <c r="DI64" i="30"/>
  <c r="X56" i="30"/>
  <c r="X55" i="30"/>
  <c r="CN54" i="30"/>
  <c r="BM173" i="59"/>
  <c r="BM180" i="59" s="1"/>
  <c r="DF58" i="30"/>
  <c r="AM191" i="59"/>
  <c r="BV63" i="30"/>
  <c r="BW58" i="30"/>
  <c r="BX58" i="30" s="1"/>
  <c r="BX63" i="30" s="1"/>
  <c r="BM5" i="23"/>
  <c r="CV80" i="25"/>
  <c r="BD191" i="59"/>
  <c r="O12" i="40"/>
  <c r="AO8" i="59"/>
  <c r="BP40" i="25"/>
  <c r="CO71" i="25"/>
  <c r="CO72" i="25"/>
  <c r="CO68" i="25"/>
  <c r="R8" i="23"/>
  <c r="S8" i="23" s="1"/>
  <c r="BU71" i="30"/>
  <c r="BK16" i="25" s="1"/>
  <c r="P12" i="40"/>
  <c r="N59" i="32"/>
  <c r="BK11" i="25"/>
  <c r="O58" i="30"/>
  <c r="O63" i="30"/>
  <c r="O59" i="30"/>
  <c r="O64" i="30" s="1"/>
  <c r="BG71" i="30"/>
  <c r="BB16" i="25"/>
  <c r="BB18" i="25" s="1"/>
  <c r="Y121" i="30"/>
  <c r="B10" i="59"/>
  <c r="Y89" i="30"/>
  <c r="BP43" i="25"/>
  <c r="BP42" i="25"/>
  <c r="BP39" i="25"/>
  <c r="DF63" i="30"/>
  <c r="DF71" i="30" s="1"/>
  <c r="CV16" i="25" s="1"/>
  <c r="CP40" i="25"/>
  <c r="CZ158" i="30"/>
  <c r="CP44" i="25"/>
  <c r="AE78" i="32"/>
  <c r="AF78" i="32" s="1"/>
  <c r="AG78" i="32" s="1"/>
  <c r="AH78" i="32" s="1"/>
  <c r="AI78" i="32" s="1"/>
  <c r="AJ78" i="32" s="1"/>
  <c r="AK78" i="32" s="1"/>
  <c r="AL78" i="32" s="1"/>
  <c r="AM78" i="32" s="1"/>
  <c r="AN78" i="32" s="1"/>
  <c r="AN205" i="30"/>
  <c r="DI72" i="30"/>
  <c r="CY30" i="25"/>
  <c r="CY26" i="25"/>
  <c r="CY28" i="25" s="1"/>
  <c r="BL12" i="25"/>
  <c r="BV71" i="30"/>
  <c r="BL16" i="25"/>
  <c r="BL18" i="25" s="1"/>
  <c r="AD192" i="30"/>
  <c r="DH192" i="30" s="1"/>
  <c r="U121" i="30"/>
  <c r="Z88" i="30"/>
  <c r="X88" i="30"/>
  <c r="U237" i="30"/>
  <c r="CV12" i="25"/>
  <c r="CV11" i="25" s="1"/>
  <c r="AA88" i="30"/>
  <c r="AA237" i="30" s="1"/>
  <c r="X121" i="30"/>
  <c r="X237" i="30"/>
  <c r="BL11" i="25"/>
  <c r="BL14" i="25"/>
  <c r="CY25" i="25"/>
  <c r="C10" i="59"/>
  <c r="AO205" i="30"/>
  <c r="Q12" i="40"/>
  <c r="CV14" i="25"/>
  <c r="R12" i="40"/>
  <c r="D10" i="59"/>
  <c r="AA121" i="30"/>
  <c r="S12" i="40"/>
  <c r="T12" i="40"/>
  <c r="U12" i="40" s="1"/>
  <c r="V12" i="40" s="1"/>
  <c r="W12" i="40" s="1"/>
  <c r="CS307" i="59"/>
  <c r="BK136" i="30"/>
  <c r="BG137" i="30"/>
  <c r="BF140" i="30"/>
  <c r="E140" i="30"/>
  <c r="BQ134" i="30"/>
  <c r="E141" i="30"/>
  <c r="AE353" i="23"/>
  <c r="AF353" i="23" s="1"/>
  <c r="AM351" i="23"/>
  <c r="AF345" i="23"/>
  <c r="AG345" i="23" s="1"/>
  <c r="AL338" i="23"/>
  <c r="AL337" i="23"/>
  <c r="AM337" i="23" s="1"/>
  <c r="BU248" i="59"/>
  <c r="BS6" i="31"/>
  <c r="BZ248" i="59"/>
  <c r="CE196" i="59"/>
  <c r="DA264" i="59"/>
  <c r="AS155" i="59"/>
  <c r="AA158" i="20"/>
  <c r="BK147" i="73"/>
  <c r="BK146" i="73"/>
  <c r="EN85" i="30"/>
  <c r="DN84" i="30"/>
  <c r="DN39" i="30"/>
  <c r="DQ85" i="30"/>
  <c r="DQ40" i="30"/>
  <c r="DG6" i="20"/>
  <c r="K493" i="23"/>
  <c r="K486" i="23"/>
  <c r="K10" i="62"/>
  <c r="L10" i="62" s="1"/>
  <c r="CU185" i="59"/>
  <c r="N6" i="23"/>
  <c r="M6" i="23"/>
  <c r="EW85" i="30"/>
  <c r="U112" i="23"/>
  <c r="U133" i="23"/>
  <c r="DD6" i="20"/>
  <c r="AX6" i="31"/>
  <c r="CH264" i="59"/>
  <c r="J162" i="59"/>
  <c r="I143" i="59"/>
  <c r="H143" i="59"/>
  <c r="AX155" i="59"/>
  <c r="BT129" i="59"/>
  <c r="E96" i="59"/>
  <c r="D97" i="59"/>
  <c r="E43" i="59"/>
  <c r="BL40" i="59"/>
  <c r="CC180" i="59"/>
  <c r="CC174" i="59"/>
  <c r="CC202" i="59" s="1"/>
  <c r="AM36" i="59"/>
  <c r="C162" i="59"/>
  <c r="AU155" i="59"/>
  <c r="AV13" i="31"/>
  <c r="CF274" i="59"/>
  <c r="CI274" i="59"/>
  <c r="BD163" i="59"/>
  <c r="AR162" i="59"/>
  <c r="CE161" i="59"/>
  <c r="M162" i="59"/>
  <c r="L315" i="59"/>
  <c r="L163" i="59"/>
  <c r="I162" i="59"/>
  <c r="H163" i="59"/>
  <c r="BD154" i="59"/>
  <c r="BD155" i="59"/>
  <c r="AY155" i="59"/>
  <c r="AY154" i="59"/>
  <c r="AT154" i="59"/>
  <c r="AT155" i="59"/>
  <c r="BL149" i="59"/>
  <c r="DN127" i="30" s="1"/>
  <c r="DS128" i="30" s="1"/>
  <c r="BQ154" i="59"/>
  <c r="BL154" i="59"/>
  <c r="BI155" i="59"/>
  <c r="BE221" i="59"/>
  <c r="BE129" i="59"/>
  <c r="BJ129" i="59"/>
  <c r="AZ129" i="59"/>
  <c r="AZ155" i="59"/>
  <c r="AT129" i="59"/>
  <c r="BT92" i="59"/>
  <c r="BO92" i="59"/>
  <c r="BO93" i="59"/>
  <c r="BO113" i="59"/>
  <c r="BJ93" i="59"/>
  <c r="BJ92" i="59"/>
  <c r="AY93" i="59"/>
  <c r="BC83" i="59"/>
  <c r="DE146" i="30" s="1"/>
  <c r="CM264" i="59"/>
  <c r="BC6" i="31"/>
  <c r="C97" i="59"/>
  <c r="BD40" i="59"/>
  <c r="BN88" i="73"/>
  <c r="AM338" i="23"/>
  <c r="AL336" i="23"/>
  <c r="AM336" i="23"/>
  <c r="AM158" i="20"/>
  <c r="AL158" i="20"/>
  <c r="CK82" i="25"/>
  <c r="AS194" i="59" s="1"/>
  <c r="BR77" i="25"/>
  <c r="CP42" i="25"/>
  <c r="CP39" i="25"/>
  <c r="P68" i="25"/>
  <c r="C10" i="52"/>
  <c r="D77" i="25"/>
  <c r="CP65" i="25"/>
  <c r="BV82" i="25"/>
  <c r="AB6" i="20"/>
  <c r="AB111" i="20" s="1"/>
  <c r="DD197" i="59"/>
  <c r="AJ85" i="25"/>
  <c r="Q7" i="53" s="1"/>
  <c r="BI673" i="23"/>
  <c r="FC205" i="30"/>
  <c r="FE205" i="30"/>
  <c r="DN59" i="30"/>
  <c r="CS156" i="30"/>
  <c r="AC75" i="41"/>
  <c r="BS95" i="30"/>
  <c r="CJ87" i="30"/>
  <c r="CF327" i="59"/>
  <c r="W438" i="23"/>
  <c r="Z438" i="23" s="1"/>
  <c r="EJ194" i="30"/>
  <c r="CH171" i="59"/>
  <c r="CH170" i="59" s="1"/>
  <c r="BL173" i="59"/>
  <c r="M95" i="30"/>
  <c r="CJ113" i="30"/>
  <c r="DN68" i="30"/>
  <c r="BV59" i="30"/>
  <c r="CI154" i="59"/>
  <c r="CD154" i="59"/>
  <c r="Y56" i="30"/>
  <c r="BG173" i="59"/>
  <c r="DI194" i="30"/>
  <c r="BN95" i="30"/>
  <c r="N96" i="30"/>
  <c r="CJ205" i="30"/>
  <c r="CN156" i="30"/>
  <c r="CL82" i="25"/>
  <c r="AE458" i="23"/>
  <c r="AF458" i="23" s="1"/>
  <c r="AG458" i="23" s="1"/>
  <c r="AH458" i="23" s="1"/>
  <c r="AI458" i="23" s="1"/>
  <c r="AJ458" i="23" s="1"/>
  <c r="DH206" i="30"/>
  <c r="DE168" i="23"/>
  <c r="DG196" i="30"/>
  <c r="DZ192" i="30"/>
  <c r="BV171" i="59"/>
  <c r="BV178" i="59" s="1"/>
  <c r="BW90" i="30"/>
  <c r="DV196" i="30"/>
  <c r="AI115" i="30"/>
  <c r="P7" i="25"/>
  <c r="T67" i="25"/>
  <c r="W67" i="25" s="1"/>
  <c r="W558" i="23"/>
  <c r="FE202" i="30"/>
  <c r="DC171" i="59"/>
  <c r="FE204" i="30"/>
  <c r="FD202" i="30"/>
  <c r="FD204" i="30" s="1"/>
  <c r="FB202" i="30"/>
  <c r="FB204" i="30"/>
  <c r="FC202" i="30"/>
  <c r="FC204" i="30"/>
  <c r="W64" i="25"/>
  <c r="FC206" i="30"/>
  <c r="M559" i="23"/>
  <c r="M560" i="23" s="1"/>
  <c r="M549" i="23" s="1"/>
  <c r="BR126" i="73"/>
  <c r="BR127" i="73" s="1"/>
  <c r="H61" i="32"/>
  <c r="F40" i="25"/>
  <c r="L80" i="30"/>
  <c r="P65" i="30"/>
  <c r="BQ65" i="30"/>
  <c r="BQ73" i="30"/>
  <c r="BQ80" i="30"/>
  <c r="CC56" i="30"/>
  <c r="D26" i="20"/>
  <c r="D116" i="20" s="1"/>
  <c r="C61" i="32"/>
  <c r="L20" i="30"/>
  <c r="DD18" i="30"/>
  <c r="CV16" i="30"/>
  <c r="DA10" i="30"/>
  <c r="FE194" i="30"/>
  <c r="BO123" i="39"/>
  <c r="AJ21" i="39"/>
  <c r="BR21" i="39" s="1"/>
  <c r="AA408" i="23"/>
  <c r="DG408" i="23" s="1"/>
  <c r="DD9" i="23"/>
  <c r="DA171" i="59"/>
  <c r="DA170" i="59" s="1"/>
  <c r="AN192" i="30"/>
  <c r="FC194" i="30"/>
  <c r="DG411" i="23"/>
  <c r="DH411" i="23" s="1"/>
  <c r="DC25" i="59"/>
  <c r="DB232" i="59"/>
  <c r="CZ25" i="59"/>
  <c r="FB85" i="30"/>
  <c r="FB188" i="30"/>
  <c r="DB171" i="59"/>
  <c r="DB170" i="59" s="1"/>
  <c r="DB149" i="59" s="1"/>
  <c r="DA232" i="59"/>
  <c r="FE188" i="30"/>
  <c r="CZ171" i="59"/>
  <c r="T171" i="59" s="1"/>
  <c r="T178" i="59" s="1"/>
  <c r="FB194" i="30"/>
  <c r="CZ232" i="59"/>
  <c r="F39" i="25"/>
  <c r="F42" i="25"/>
  <c r="AT194" i="59"/>
  <c r="CJ195" i="30"/>
  <c r="AD75" i="41"/>
  <c r="AE75" i="41" s="1"/>
  <c r="DN64" i="30"/>
  <c r="AN194" i="30"/>
  <c r="AN58" i="30" s="1"/>
  <c r="L52" i="59"/>
  <c r="AJ115" i="30"/>
  <c r="AE14" i="20"/>
  <c r="CV14" i="30"/>
  <c r="DA18" i="30"/>
  <c r="CV18" i="30"/>
  <c r="CW16" i="30"/>
  <c r="CW17" i="30" s="1"/>
  <c r="AT91" i="59"/>
  <c r="P73" i="30"/>
  <c r="I558" i="23"/>
  <c r="DV22" i="30"/>
  <c r="DG22" i="30"/>
  <c r="DG23" i="30" s="1"/>
  <c r="BW59" i="30"/>
  <c r="BW64" i="30"/>
  <c r="BV64" i="30"/>
  <c r="CJ116" i="30"/>
  <c r="CJ114" i="30"/>
  <c r="BW91" i="30"/>
  <c r="BX171" i="59"/>
  <c r="BX170" i="59" s="1"/>
  <c r="BX177" i="59" s="1"/>
  <c r="DZ194" i="30"/>
  <c r="AU91" i="59"/>
  <c r="CW18" i="30"/>
  <c r="AF14" i="20"/>
  <c r="BL26" i="25"/>
  <c r="BL25" i="25" s="1"/>
  <c r="BV72" i="30"/>
  <c r="BL30" i="25"/>
  <c r="BX59" i="30"/>
  <c r="BX64" i="30"/>
  <c r="BN26" i="25" s="1"/>
  <c r="DG25" i="30"/>
  <c r="CX16" i="30"/>
  <c r="CJ151" i="30"/>
  <c r="DA15" i="30"/>
  <c r="AT95" i="59"/>
  <c r="CV15" i="30"/>
  <c r="DQ115" i="30"/>
  <c r="AK115" i="30"/>
  <c r="AL115" i="30"/>
  <c r="AM115" i="30"/>
  <c r="AN115" i="30" s="1"/>
  <c r="AO115" i="30" s="1"/>
  <c r="DN72" i="30"/>
  <c r="DD30" i="25"/>
  <c r="DD26" i="25"/>
  <c r="BO52" i="59"/>
  <c r="DR115" i="30"/>
  <c r="CW69" i="25"/>
  <c r="CW68" i="25" s="1"/>
  <c r="CJ163" i="30"/>
  <c r="CJ154" i="30"/>
  <c r="CJ158" i="30"/>
  <c r="BZ44" i="25"/>
  <c r="BZ40" i="25"/>
  <c r="BZ42" i="25" s="1"/>
  <c r="BZ39" i="25"/>
  <c r="H69" i="95"/>
  <c r="H83" i="95" s="1"/>
  <c r="BC25" i="85"/>
  <c r="BC24" i="85" s="1"/>
  <c r="BC39" i="85" s="1"/>
  <c r="BC21" i="85"/>
  <c r="AQ25" i="85"/>
  <c r="AQ28" i="85" s="1"/>
  <c r="H21" i="85"/>
  <c r="AT14" i="85"/>
  <c r="BO98" i="85"/>
  <c r="BT98" i="85" s="1"/>
  <c r="BY98" i="85" s="1"/>
  <c r="BC17" i="85"/>
  <c r="AT24" i="85"/>
  <c r="AX17" i="85"/>
  <c r="AX19" i="85" s="1"/>
  <c r="DD52" i="25"/>
  <c r="G28" i="85"/>
  <c r="AY54" i="85"/>
  <c r="D28" i="85"/>
  <c r="AV25" i="85"/>
  <c r="AV26" i="85" s="1"/>
  <c r="K16" i="85"/>
  <c r="AW16" i="85" s="1"/>
  <c r="AZ25" i="85"/>
  <c r="AN17" i="85"/>
  <c r="AN20" i="85"/>
  <c r="BH71" i="85"/>
  <c r="AY71" i="85"/>
  <c r="AT23" i="85"/>
  <c r="AY14" i="85"/>
  <c r="BI104" i="85"/>
  <c r="BH50" i="85"/>
  <c r="AN39" i="85"/>
  <c r="E26" i="85"/>
  <c r="M32" i="85"/>
  <c r="X57" i="25" s="1"/>
  <c r="L12" i="85"/>
  <c r="L16" i="85"/>
  <c r="BB16" i="85" s="1"/>
  <c r="BA20" i="85"/>
  <c r="BA21" i="85" s="1"/>
  <c r="AN14" i="85"/>
  <c r="AT17" i="85"/>
  <c r="AT19" i="85" s="1"/>
  <c r="AT18" i="85" s="1"/>
  <c r="AV17" i="85"/>
  <c r="AV19" i="85" s="1"/>
  <c r="AV18" i="85" s="1"/>
  <c r="AV20" i="85" s="1"/>
  <c r="H26" i="85"/>
  <c r="D29" i="85"/>
  <c r="D33" i="85"/>
  <c r="AS20" i="85"/>
  <c r="BH57" i="85"/>
  <c r="CI17" i="85"/>
  <c r="O46" i="85"/>
  <c r="P46" i="85" s="1"/>
  <c r="Q46" i="85" s="1"/>
  <c r="CJ113" i="85"/>
  <c r="I26" i="85"/>
  <c r="CL113" i="85"/>
  <c r="T111" i="85"/>
  <c r="CM113" i="85"/>
  <c r="BC33" i="85"/>
  <c r="BC35" i="85" s="1"/>
  <c r="L31" i="85"/>
  <c r="W53" i="25" s="1"/>
  <c r="BD31" i="85"/>
  <c r="M31" i="85" s="1"/>
  <c r="X53" i="25" s="1"/>
  <c r="AI172" i="30"/>
  <c r="AI197" i="30" s="1"/>
  <c r="CO113" i="85"/>
  <c r="CN113" i="85"/>
  <c r="CT111" i="85"/>
  <c r="CS113" i="85"/>
  <c r="CS149" i="85" s="1"/>
  <c r="CR113" i="85"/>
  <c r="DE52" i="25"/>
  <c r="DO169" i="30"/>
  <c r="DK169" i="30"/>
  <c r="BJ18" i="59"/>
  <c r="BJ19" i="59" s="1"/>
  <c r="G29" i="85"/>
  <c r="G33" i="85"/>
  <c r="G35" i="85" s="1"/>
  <c r="AN21" i="85"/>
  <c r="AN28" i="85"/>
  <c r="AN33" i="85" s="1"/>
  <c r="AN35" i="85" s="1"/>
  <c r="L17" i="85"/>
  <c r="AT25" i="85"/>
  <c r="AS21" i="85"/>
  <c r="D35" i="85"/>
  <c r="CQ114" i="85"/>
  <c r="CQ120" i="85"/>
  <c r="CO119" i="85"/>
  <c r="CO120" i="85"/>
  <c r="CM119" i="85"/>
  <c r="CM120" i="85"/>
  <c r="CJ119" i="85"/>
  <c r="CJ137" i="85" s="1"/>
  <c r="CJ120" i="85"/>
  <c r="S120" i="85" s="1"/>
  <c r="S113" i="85"/>
  <c r="CI19" i="85"/>
  <c r="CL120" i="85"/>
  <c r="CL119" i="85"/>
  <c r="T113" i="85"/>
  <c r="CR120" i="85"/>
  <c r="CR131" i="85"/>
  <c r="CR119" i="85"/>
  <c r="CN120" i="85"/>
  <c r="CN119" i="85"/>
  <c r="U111" i="85"/>
  <c r="K102" i="73" s="1"/>
  <c r="CR114" i="85"/>
  <c r="CS114" i="85"/>
  <c r="CT113" i="85"/>
  <c r="AN29" i="85"/>
  <c r="CM125" i="85"/>
  <c r="CN125" i="85"/>
  <c r="CO125" i="85"/>
  <c r="CR125" i="85"/>
  <c r="T120" i="85"/>
  <c r="CJ125" i="85"/>
  <c r="S125" i="85" s="1"/>
  <c r="S119" i="85"/>
  <c r="S116" i="85"/>
  <c r="S117" i="85" s="1"/>
  <c r="CQ131" i="85"/>
  <c r="CL125" i="85"/>
  <c r="T125" i="85" s="1"/>
  <c r="CP125" i="85" s="1"/>
  <c r="T119" i="85"/>
  <c r="T116" i="85"/>
  <c r="T117" i="85" s="1"/>
  <c r="P69" i="95"/>
  <c r="P83" i="95" s="1"/>
  <c r="AJ158" i="20"/>
  <c r="M69" i="95"/>
  <c r="M83" i="95" s="1"/>
  <c r="AF158" i="20"/>
  <c r="L69" i="95"/>
  <c r="L83" i="95" s="1"/>
  <c r="O69" i="95"/>
  <c r="O83" i="95"/>
  <c r="AH158" i="20"/>
  <c r="C17" i="95"/>
  <c r="C19" i="95"/>
  <c r="D4" i="95"/>
  <c r="D6" i="95" s="1"/>
  <c r="G86" i="73" s="1"/>
  <c r="G88" i="73" s="1"/>
  <c r="C12" i="95"/>
  <c r="C13" i="95"/>
  <c r="C15" i="95" s="1"/>
  <c r="C20" i="95" s="1"/>
  <c r="F18" i="95"/>
  <c r="G18" i="95" s="1"/>
  <c r="FB4" i="30"/>
  <c r="FB84" i="30" s="1"/>
  <c r="CZ2" i="59"/>
  <c r="BP5" i="31" s="1"/>
  <c r="AL20" i="41"/>
  <c r="AM20" i="41"/>
  <c r="L20" i="41" s="1"/>
  <c r="B11" i="38" s="1"/>
  <c r="L30" i="38"/>
  <c r="K66" i="38"/>
  <c r="K81" i="38" s="1"/>
  <c r="T10" i="62"/>
  <c r="BM39" i="73"/>
  <c r="M30" i="38"/>
  <c r="M66" i="38" s="1"/>
  <c r="L66" i="38"/>
  <c r="L81" i="38" s="1"/>
  <c r="Q118" i="73"/>
  <c r="R118" i="73" s="1"/>
  <c r="P120" i="73"/>
  <c r="BD147" i="73"/>
  <c r="L126" i="73"/>
  <c r="M125" i="73"/>
  <c r="N125" i="73" s="1"/>
  <c r="L127" i="73"/>
  <c r="Q120" i="73"/>
  <c r="BZ125" i="73"/>
  <c r="AH30" i="31"/>
  <c r="M127" i="73"/>
  <c r="CA166" i="59"/>
  <c r="CR93" i="59"/>
  <c r="J69" i="95"/>
  <c r="J83" i="95" s="1"/>
  <c r="AK158" i="20"/>
  <c r="Q69" i="95"/>
  <c r="Q83" i="95" s="1"/>
  <c r="N69" i="95"/>
  <c r="N83" i="95" s="1"/>
  <c r="CM155" i="59"/>
  <c r="CA312" i="59"/>
  <c r="CS132" i="59"/>
  <c r="E4" i="95"/>
  <c r="K35" i="95"/>
  <c r="K41" i="95" s="1"/>
  <c r="K42" i="95" s="1"/>
  <c r="J41" i="95"/>
  <c r="J42" i="95" s="1"/>
  <c r="B13" i="95"/>
  <c r="B15" i="95" s="1"/>
  <c r="E12" i="95"/>
  <c r="E13" i="95" s="1"/>
  <c r="E15" i="95" s="1"/>
  <c r="E6" i="95"/>
  <c r="D12" i="95"/>
  <c r="D13" i="95" s="1"/>
  <c r="D15" i="95" s="1"/>
  <c r="C9" i="95"/>
  <c r="W8" i="32"/>
  <c r="K265" i="59"/>
  <c r="K273" i="59" s="1"/>
  <c r="K284" i="59" s="1"/>
  <c r="S12" i="31"/>
  <c r="R12" i="31"/>
  <c r="V8" i="32"/>
  <c r="J265" i="59"/>
  <c r="J273" i="59" s="1"/>
  <c r="J284" i="59" s="1"/>
  <c r="R14" i="95"/>
  <c r="S14" i="95" s="1"/>
  <c r="O36" i="95"/>
  <c r="P36" i="95" s="1"/>
  <c r="S100" i="73"/>
  <c r="V100" i="73"/>
  <c r="R100" i="73"/>
  <c r="T100" i="73"/>
  <c r="P100" i="73"/>
  <c r="DA285" i="59"/>
  <c r="DC285" i="59"/>
  <c r="J99" i="73"/>
  <c r="N100" i="73"/>
  <c r="L100" i="73"/>
  <c r="U191" i="31"/>
  <c r="W191" i="31"/>
  <c r="AF218" i="31"/>
  <c r="AH218" i="31" s="1"/>
  <c r="AJ218" i="31" s="1"/>
  <c r="Y191" i="31"/>
  <c r="X191" i="31"/>
  <c r="AF220" i="31"/>
  <c r="AH220" i="31" s="1"/>
  <c r="AJ220" i="31" s="1"/>
  <c r="N82" i="32"/>
  <c r="I104" i="33"/>
  <c r="J103" i="33"/>
  <c r="J97" i="33"/>
  <c r="K99" i="73"/>
  <c r="E218" i="60"/>
  <c r="F218" i="60" s="1"/>
  <c r="G218" i="60" s="1"/>
  <c r="H218" i="60" s="1"/>
  <c r="I218" i="60" s="1"/>
  <c r="J218" i="60" s="1"/>
  <c r="K218" i="60" s="1"/>
  <c r="L218" i="60" s="1"/>
  <c r="M218" i="60" s="1"/>
  <c r="N218" i="60" s="1"/>
  <c r="O218" i="60" s="1"/>
  <c r="P218" i="60" s="1"/>
  <c r="Q218" i="60" s="1"/>
  <c r="R218" i="60" s="1"/>
  <c r="S218" i="60" s="1"/>
  <c r="T218" i="60" s="1"/>
  <c r="U218" i="60" s="1"/>
  <c r="V218" i="60" s="1"/>
  <c r="W218" i="60" s="1"/>
  <c r="X218" i="60" s="1"/>
  <c r="O82" i="32"/>
  <c r="K97" i="33"/>
  <c r="J104" i="33"/>
  <c r="K103" i="33"/>
  <c r="H103" i="33"/>
  <c r="H102" i="33"/>
  <c r="H104" i="33" s="1"/>
  <c r="P82" i="32"/>
  <c r="K104" i="33"/>
  <c r="I102" i="33"/>
  <c r="I35" i="33"/>
  <c r="I33" i="33"/>
  <c r="M96" i="33"/>
  <c r="Q82" i="32"/>
  <c r="L104" i="33"/>
  <c r="I39" i="33"/>
  <c r="I36" i="33"/>
  <c r="N96" i="33"/>
  <c r="M97" i="33"/>
  <c r="I38" i="33"/>
  <c r="I34" i="33"/>
  <c r="J102" i="33"/>
  <c r="J35" i="33"/>
  <c r="J36" i="33" s="1"/>
  <c r="J33" i="33"/>
  <c r="J34" i="33" s="1"/>
  <c r="R82" i="32"/>
  <c r="K102" i="33"/>
  <c r="K35" i="33"/>
  <c r="K33" i="33"/>
  <c r="K34" i="33" s="1"/>
  <c r="O96" i="33"/>
  <c r="N97" i="33"/>
  <c r="S82" i="32"/>
  <c r="L102" i="33"/>
  <c r="L35" i="33" s="1"/>
  <c r="L33" i="33"/>
  <c r="L34" i="33" s="1"/>
  <c r="P96" i="33"/>
  <c r="Q96" i="33" s="1"/>
  <c r="O97" i="33"/>
  <c r="T82" i="32"/>
  <c r="M33" i="33"/>
  <c r="M34" i="33" s="1"/>
  <c r="P97" i="33"/>
  <c r="BM26" i="25"/>
  <c r="BW72" i="30"/>
  <c r="BM30" i="25" s="1"/>
  <c r="BM32" i="25" s="1"/>
  <c r="BZ43" i="25"/>
  <c r="BZ46" i="25"/>
  <c r="DD32" i="25"/>
  <c r="BL32" i="25"/>
  <c r="BL29" i="25"/>
  <c r="Z121" i="30"/>
  <c r="Z89" i="30"/>
  <c r="Z237" i="30"/>
  <c r="AA89" i="30"/>
  <c r="FD205" i="30"/>
  <c r="DH67" i="30"/>
  <c r="DO64" i="30"/>
  <c r="CL114" i="30"/>
  <c r="CL116" i="30"/>
  <c r="DI63" i="30"/>
  <c r="DI60" i="30"/>
  <c r="BV180" i="59"/>
  <c r="BV174" i="59"/>
  <c r="BV202" i="59" s="1"/>
  <c r="CW374" i="23"/>
  <c r="P8" i="40"/>
  <c r="Q8" i="40"/>
  <c r="I55" i="38"/>
  <c r="H52" i="38"/>
  <c r="T46" i="25"/>
  <c r="W44" i="25"/>
  <c r="W46" i="25" s="1"/>
  <c r="T43" i="25"/>
  <c r="W43" i="25" s="1"/>
  <c r="K23" i="63"/>
  <c r="E252" i="60"/>
  <c r="U616" i="23"/>
  <c r="U620" i="23"/>
  <c r="E239" i="23"/>
  <c r="E240" i="23" s="1"/>
  <c r="BP112" i="23"/>
  <c r="BQ112" i="23"/>
  <c r="BR112" i="23"/>
  <c r="BR115" i="23"/>
  <c r="BS111" i="23" s="1"/>
  <c r="BS105" i="23"/>
  <c r="L47" i="23"/>
  <c r="BJ46" i="23"/>
  <c r="U31" i="23"/>
  <c r="U436" i="23"/>
  <c r="L418" i="23"/>
  <c r="L25" i="23"/>
  <c r="BI25" i="23"/>
  <c r="BI27" i="23" s="1"/>
  <c r="BI31" i="23" s="1"/>
  <c r="BJ31" i="23" s="1"/>
  <c r="BD14" i="23"/>
  <c r="BD17" i="23"/>
  <c r="BD18" i="23" s="1"/>
  <c r="BB17" i="23"/>
  <c r="BB14" i="23"/>
  <c r="K516" i="23"/>
  <c r="K546" i="23"/>
  <c r="K560" i="23"/>
  <c r="K549" i="23" s="1"/>
  <c r="K543" i="23"/>
  <c r="CL324" i="59"/>
  <c r="O220" i="30"/>
  <c r="N221" i="30"/>
  <c r="Q27" i="32"/>
  <c r="Q39" i="20"/>
  <c r="M53" i="31"/>
  <c r="O62" i="33"/>
  <c r="CF163" i="30"/>
  <c r="CF154" i="30"/>
  <c r="DO163" i="30"/>
  <c r="F195" i="30"/>
  <c r="D195" i="30"/>
  <c r="D199" i="30" s="1"/>
  <c r="E199" i="30"/>
  <c r="E211" i="30"/>
  <c r="Q42" i="25"/>
  <c r="Q43" i="25"/>
  <c r="Z152" i="30"/>
  <c r="Z163" i="30"/>
  <c r="Z195" i="30"/>
  <c r="O40" i="25"/>
  <c r="Y147" i="30"/>
  <c r="CJ90" i="30"/>
  <c r="AI77" i="30"/>
  <c r="AI216" i="30"/>
  <c r="I225" i="60"/>
  <c r="BR171" i="59"/>
  <c r="DT67" i="30"/>
  <c r="DT69" i="30"/>
  <c r="T26" i="25"/>
  <c r="AD72" i="30"/>
  <c r="DN192" i="30"/>
  <c r="DN67" i="30"/>
  <c r="CU63" i="30"/>
  <c r="CA67" i="30"/>
  <c r="CA68" i="30" s="1"/>
  <c r="CA203" i="30" s="1"/>
  <c r="CA204" i="30"/>
  <c r="CE82" i="25"/>
  <c r="AM194" i="59" s="1"/>
  <c r="CE10" i="25"/>
  <c r="CG77" i="25"/>
  <c r="CL22" i="25"/>
  <c r="P21" i="25"/>
  <c r="Z47" i="30"/>
  <c r="Z45" i="30"/>
  <c r="C142" i="59"/>
  <c r="M10" i="25"/>
  <c r="M8" i="25"/>
  <c r="DW206" i="30"/>
  <c r="DU196" i="30"/>
  <c r="DU27" i="30"/>
  <c r="CW10" i="30"/>
  <c r="DB10" i="30"/>
  <c r="AU39" i="59"/>
  <c r="CW7" i="30"/>
  <c r="DC405" i="39"/>
  <c r="AC233" i="39"/>
  <c r="BJ262" i="39"/>
  <c r="AC228" i="39"/>
  <c r="BJ259" i="39"/>
  <c r="BP88" i="39"/>
  <c r="AI47" i="39"/>
  <c r="BQ47" i="39" s="1"/>
  <c r="AE350" i="23"/>
  <c r="AF350" i="23" s="1"/>
  <c r="AG350" i="23" s="1"/>
  <c r="AH350" i="23" s="1"/>
  <c r="AI350" i="23" s="1"/>
  <c r="AJ350" i="23" s="1"/>
  <c r="AK350" i="23" s="1"/>
  <c r="AL350" i="23" s="1"/>
  <c r="AM350" i="23" s="1"/>
  <c r="AD348" i="23"/>
  <c r="AD320" i="23"/>
  <c r="AE158" i="23"/>
  <c r="AD159" i="23"/>
  <c r="U29" i="56"/>
  <c r="CP75" i="25"/>
  <c r="CP74" i="25"/>
  <c r="BA12" i="25"/>
  <c r="BF71" i="30"/>
  <c r="BA16" i="25"/>
  <c r="BA18" i="25" s="1"/>
  <c r="DA154" i="30"/>
  <c r="DA163" i="30"/>
  <c r="O125" i="30"/>
  <c r="N132" i="30"/>
  <c r="BN125" i="30"/>
  <c r="BN132" i="30" s="1"/>
  <c r="N126" i="30"/>
  <c r="M125" i="30"/>
  <c r="BQ43" i="25"/>
  <c r="BQ46" i="25"/>
  <c r="W661" i="23"/>
  <c r="BD409" i="39"/>
  <c r="BD407" i="39"/>
  <c r="C16" i="38"/>
  <c r="C26" i="25"/>
  <c r="E72" i="30"/>
  <c r="C30" i="25"/>
  <c r="CL171" i="59"/>
  <c r="EQ192" i="30"/>
  <c r="EN194" i="30"/>
  <c r="CE194" i="30"/>
  <c r="CE199" i="30"/>
  <c r="CE211" i="30" s="1"/>
  <c r="CE59" i="30"/>
  <c r="S55" i="30"/>
  <c r="DF59" i="30"/>
  <c r="DF194" i="30"/>
  <c r="CZ58" i="30"/>
  <c r="CZ194" i="30"/>
  <c r="AD10" i="30"/>
  <c r="AC17" i="30"/>
  <c r="DC9" i="30"/>
  <c r="J6" i="52"/>
  <c r="F39" i="59"/>
  <c r="AC10" i="30"/>
  <c r="CQ195" i="30"/>
  <c r="CQ68" i="25"/>
  <c r="CQ72" i="25"/>
  <c r="CQ71" i="25"/>
  <c r="S61" i="30"/>
  <c r="CQ12" i="25"/>
  <c r="DA71" i="30"/>
  <c r="CQ16" i="25"/>
  <c r="CU390" i="23"/>
  <c r="CV390" i="23" s="1"/>
  <c r="CW390" i="23" s="1"/>
  <c r="CX390" i="23" s="1"/>
  <c r="BC147" i="73"/>
  <c r="BC146" i="73"/>
  <c r="BL114" i="23"/>
  <c r="BM112" i="23"/>
  <c r="BM114" i="23" s="1"/>
  <c r="R323" i="23"/>
  <c r="V375" i="23"/>
  <c r="AD259" i="23"/>
  <c r="AE259" i="23" s="1"/>
  <c r="AF259" i="23" s="1"/>
  <c r="AG259" i="23" s="1"/>
  <c r="AH259" i="23" s="1"/>
  <c r="AI259" i="23" s="1"/>
  <c r="AJ259" i="23" s="1"/>
  <c r="AK259" i="23" s="1"/>
  <c r="AL259" i="23" s="1"/>
  <c r="AM259" i="23" s="1"/>
  <c r="AC204" i="23"/>
  <c r="R429" i="23"/>
  <c r="R382" i="23"/>
  <c r="N382" i="23"/>
  <c r="S31" i="23"/>
  <c r="BQ198" i="30"/>
  <c r="BM198" i="30"/>
  <c r="CS208" i="30"/>
  <c r="O198" i="30"/>
  <c r="BS156" i="30"/>
  <c r="BN205" i="30"/>
  <c r="BN209" i="30"/>
  <c r="M156" i="30"/>
  <c r="N156" i="30"/>
  <c r="BL42" i="25"/>
  <c r="BL39" i="25"/>
  <c r="BF52" i="33"/>
  <c r="F123" i="30"/>
  <c r="F127" i="30" s="1"/>
  <c r="A149" i="30"/>
  <c r="A142" i="30"/>
  <c r="CL88" i="30"/>
  <c r="CL90" i="30"/>
  <c r="CC88" i="30"/>
  <c r="CG88" i="30"/>
  <c r="AG78" i="30"/>
  <c r="AG216" i="30"/>
  <c r="BX202" i="30"/>
  <c r="BX68" i="30"/>
  <c r="S80" i="30"/>
  <c r="S26" i="25"/>
  <c r="AC72" i="30"/>
  <c r="S12" i="25"/>
  <c r="AC71" i="30"/>
  <c r="O22" i="25"/>
  <c r="BR54" i="30"/>
  <c r="DQ27" i="30"/>
  <c r="DQ196" i="30"/>
  <c r="DQ22" i="30" s="1"/>
  <c r="J71" i="20"/>
  <c r="DB405" i="39"/>
  <c r="AC220" i="39"/>
  <c r="BJ250" i="39"/>
  <c r="AF146" i="39"/>
  <c r="BM172" i="39"/>
  <c r="AG118" i="39"/>
  <c r="BN142" i="39"/>
  <c r="M13" i="40"/>
  <c r="L18" i="40"/>
  <c r="P87" i="32"/>
  <c r="I18" i="32"/>
  <c r="H17" i="32"/>
  <c r="H79" i="32"/>
  <c r="H78" i="32" s="1"/>
  <c r="H88" i="32" s="1"/>
  <c r="H18" i="32"/>
  <c r="U60" i="32"/>
  <c r="V60" i="32" s="1"/>
  <c r="W60" i="32" s="1"/>
  <c r="X60" i="32" s="1"/>
  <c r="Y60" i="32" s="1"/>
  <c r="Z60" i="32" s="1"/>
  <c r="AA60" i="32" s="1"/>
  <c r="AB60" i="32" s="1"/>
  <c r="AC60" i="32" s="1"/>
  <c r="AE60" i="32" s="1"/>
  <c r="AF60" i="32" s="1"/>
  <c r="AG60" i="32" s="1"/>
  <c r="AH60" i="32" s="1"/>
  <c r="AI60" i="32" s="1"/>
  <c r="AJ60" i="32" s="1"/>
  <c r="AK60" i="32" s="1"/>
  <c r="AL60" i="32" s="1"/>
  <c r="AM60" i="32" s="1"/>
  <c r="T62" i="32"/>
  <c r="T64" i="32" s="1"/>
  <c r="T7" i="32" s="1"/>
  <c r="T9" i="32" s="1"/>
  <c r="K44" i="33"/>
  <c r="K51" i="33"/>
  <c r="R235" i="30"/>
  <c r="K46" i="33"/>
  <c r="K61" i="33"/>
  <c r="R95" i="30"/>
  <c r="K49" i="33"/>
  <c r="AJ23" i="39"/>
  <c r="BR23" i="39"/>
  <c r="BQ52" i="39"/>
  <c r="AJ24" i="39"/>
  <c r="BR24" i="39" s="1"/>
  <c r="BQ53" i="39"/>
  <c r="AI50" i="39"/>
  <c r="BQ50" i="39" s="1"/>
  <c r="BP91" i="39"/>
  <c r="J29" i="63"/>
  <c r="J18" i="62" s="1"/>
  <c r="BQ135" i="30"/>
  <c r="BL15" i="25"/>
  <c r="BB15" i="25"/>
  <c r="D18" i="25"/>
  <c r="J23" i="52"/>
  <c r="BK14" i="25"/>
  <c r="S56" i="33"/>
  <c r="U21" i="32"/>
  <c r="Q47" i="31"/>
  <c r="J92" i="38"/>
  <c r="F58" i="30"/>
  <c r="F63" i="30" s="1"/>
  <c r="F59" i="30"/>
  <c r="F64" i="30"/>
  <c r="BZ114" i="30"/>
  <c r="BZ116" i="30"/>
  <c r="V113" i="23"/>
  <c r="DA37" i="23"/>
  <c r="DA38" i="23" s="1"/>
  <c r="DB37" i="23"/>
  <c r="DB38" i="23" s="1"/>
  <c r="DA64" i="30"/>
  <c r="DA60" i="30"/>
  <c r="CQ75" i="25"/>
  <c r="F17" i="32"/>
  <c r="F79" i="32"/>
  <c r="F78" i="32"/>
  <c r="F88" i="32" s="1"/>
  <c r="E40" i="25"/>
  <c r="BH194" i="30"/>
  <c r="BH65" i="30"/>
  <c r="BH73" i="30" s="1"/>
  <c r="BH80" i="30" s="1"/>
  <c r="BI60" i="30"/>
  <c r="R85" i="32"/>
  <c r="R74" i="25"/>
  <c r="R75" i="25"/>
  <c r="CY69" i="30"/>
  <c r="L518" i="23"/>
  <c r="U219" i="23"/>
  <c r="W166" i="23"/>
  <c r="CW168" i="23"/>
  <c r="CW167" i="23"/>
  <c r="CT401" i="23"/>
  <c r="CU401" i="23" s="1"/>
  <c r="CV401" i="23" s="1"/>
  <c r="AC323" i="23"/>
  <c r="AC422" i="23"/>
  <c r="Z375" i="23"/>
  <c r="BC17" i="23"/>
  <c r="BC18" i="23" s="1"/>
  <c r="BC14" i="23"/>
  <c r="AV17" i="23"/>
  <c r="BA14" i="23"/>
  <c r="CE151" i="30"/>
  <c r="DU205" i="30"/>
  <c r="DV205" i="30"/>
  <c r="DS205" i="30"/>
  <c r="DS156" i="30" s="1"/>
  <c r="DT205" i="30"/>
  <c r="DT156" i="30" s="1"/>
  <c r="S40" i="25"/>
  <c r="AC158" i="30"/>
  <c r="A100" i="30"/>
  <c r="A102" i="30" s="1"/>
  <c r="A104" i="30" s="1"/>
  <c r="A98" i="30"/>
  <c r="BF64" i="30"/>
  <c r="BG59" i="30"/>
  <c r="R56" i="30"/>
  <c r="R65" i="30"/>
  <c r="T56" i="30"/>
  <c r="R55" i="30"/>
  <c r="CT196" i="30"/>
  <c r="CV22" i="30"/>
  <c r="CS206" i="30"/>
  <c r="CQ196" i="30"/>
  <c r="DK27" i="30"/>
  <c r="DL206" i="30"/>
  <c r="DM206" i="30" s="1"/>
  <c r="DK196" i="30"/>
  <c r="L114" i="20"/>
  <c r="BK114" i="20" s="1"/>
  <c r="E57" i="38"/>
  <c r="BE410" i="39"/>
  <c r="DA405" i="39"/>
  <c r="BI410" i="39"/>
  <c r="BJ255" i="39"/>
  <c r="AC224" i="39"/>
  <c r="BK224" i="39"/>
  <c r="AF151" i="39"/>
  <c r="BM177" i="39"/>
  <c r="AD194" i="39"/>
  <c r="BK225" i="39"/>
  <c r="BK410" i="39"/>
  <c r="AC221" i="39"/>
  <c r="BJ251" i="39"/>
  <c r="AG112" i="39"/>
  <c r="BN141" i="39"/>
  <c r="M23" i="40"/>
  <c r="L30" i="40"/>
  <c r="I30" i="40"/>
  <c r="O15" i="40"/>
  <c r="J33" i="40"/>
  <c r="J35" i="40" s="1"/>
  <c r="J18" i="40"/>
  <c r="I12" i="40"/>
  <c r="I33" i="40" s="1"/>
  <c r="I35" i="40" s="1"/>
  <c r="J38" i="40"/>
  <c r="P84" i="32"/>
  <c r="DB113" i="23"/>
  <c r="Z171" i="23"/>
  <c r="AB67" i="32"/>
  <c r="DD68" i="23"/>
  <c r="BP76" i="39"/>
  <c r="AI38" i="39"/>
  <c r="BQ32" i="39"/>
  <c r="AJ6" i="39"/>
  <c r="BR6" i="39" s="1"/>
  <c r="DD406" i="23"/>
  <c r="DF406" i="23"/>
  <c r="DG406" i="23"/>
  <c r="DE406" i="23"/>
  <c r="AE351" i="23"/>
  <c r="AF351" i="23" s="1"/>
  <c r="Z135" i="85"/>
  <c r="AA135" i="85"/>
  <c r="AA136" i="85"/>
  <c r="AB136" i="85" s="1"/>
  <c r="AC136" i="85" s="1"/>
  <c r="O59" i="32"/>
  <c r="N62" i="32"/>
  <c r="N64" i="32" s="1"/>
  <c r="N9" i="32" s="1"/>
  <c r="DG58" i="30"/>
  <c r="CK75" i="25"/>
  <c r="CO26" i="25"/>
  <c r="CY72" i="30"/>
  <c r="CO30" i="25"/>
  <c r="C14" i="25"/>
  <c r="C11" i="25"/>
  <c r="G79" i="32"/>
  <c r="G78" i="32" s="1"/>
  <c r="G88" i="32" s="1"/>
  <c r="G17" i="32"/>
  <c r="G18" i="32"/>
  <c r="O221" i="30"/>
  <c r="M32" i="40"/>
  <c r="L33" i="40"/>
  <c r="L35" i="40" s="1"/>
  <c r="L38" i="40"/>
  <c r="I365" i="23"/>
  <c r="I362" i="23"/>
  <c r="R202" i="23"/>
  <c r="R207" i="23" s="1"/>
  <c r="I29" i="56"/>
  <c r="S159" i="23"/>
  <c r="R159" i="23"/>
  <c r="T306" i="23"/>
  <c r="T308" i="23"/>
  <c r="K30" i="56"/>
  <c r="D56" i="62" s="1"/>
  <c r="N152" i="23"/>
  <c r="R149" i="23"/>
  <c r="N150" i="23"/>
  <c r="N153" i="23"/>
  <c r="N154" i="23" s="1"/>
  <c r="BR51" i="23"/>
  <c r="BS51" i="23" s="1"/>
  <c r="BT51" i="23" s="1"/>
  <c r="BU208" i="30"/>
  <c r="S208" i="30"/>
  <c r="S209" i="30"/>
  <c r="R209" i="30"/>
  <c r="BV208" i="30"/>
  <c r="CC208" i="30"/>
  <c r="CD208" i="30" s="1"/>
  <c r="BZ209" i="30"/>
  <c r="AG160" i="30"/>
  <c r="AG217" i="30" s="1"/>
  <c r="AH219" i="30"/>
  <c r="K209" i="30"/>
  <c r="L205" i="30"/>
  <c r="DF195" i="30"/>
  <c r="DF151" i="30" s="1"/>
  <c r="DF156" i="30"/>
  <c r="BK40" i="25"/>
  <c r="BU158" i="30"/>
  <c r="CY208" i="30"/>
  <c r="CY198" i="30"/>
  <c r="AD208" i="30"/>
  <c r="DA208" i="30"/>
  <c r="CZ208" i="30"/>
  <c r="AC209" i="30"/>
  <c r="R40" i="25"/>
  <c r="AB158" i="30"/>
  <c r="T152" i="30"/>
  <c r="CC151" i="30"/>
  <c r="T163" i="30"/>
  <c r="T154" i="30"/>
  <c r="E82" i="25"/>
  <c r="E39" i="25"/>
  <c r="E38" i="25"/>
  <c r="BU91" i="30"/>
  <c r="BP91" i="30"/>
  <c r="CH174" i="59"/>
  <c r="CH202" i="59" s="1"/>
  <c r="DK193" i="30"/>
  <c r="DK68" i="30"/>
  <c r="DK69" i="30" s="1"/>
  <c r="N194" i="30"/>
  <c r="T193" i="30"/>
  <c r="T58" i="30"/>
  <c r="Y192" i="30"/>
  <c r="CR56" i="30"/>
  <c r="CW56" i="30"/>
  <c r="O55" i="30"/>
  <c r="O65" i="30"/>
  <c r="O73" i="30"/>
  <c r="K24" i="25"/>
  <c r="L22" i="25"/>
  <c r="DE23" i="30"/>
  <c r="DE25" i="30"/>
  <c r="AR96" i="59"/>
  <c r="L65" i="25"/>
  <c r="M65" i="25"/>
  <c r="L67" i="25"/>
  <c r="R60" i="20"/>
  <c r="R62" i="20" s="1"/>
  <c r="R61" i="20" s="1"/>
  <c r="S59" i="20"/>
  <c r="R74" i="20"/>
  <c r="R76" i="20" s="1"/>
  <c r="R24" i="20" s="1"/>
  <c r="I67" i="38"/>
  <c r="I66" i="38"/>
  <c r="I81" i="38" s="1"/>
  <c r="H66" i="38"/>
  <c r="H81" i="38" s="1"/>
  <c r="BE338" i="39"/>
  <c r="X338" i="39"/>
  <c r="BI412" i="39"/>
  <c r="I14" i="38"/>
  <c r="BI405" i="39"/>
  <c r="BJ249" i="39"/>
  <c r="BJ412" i="39" s="1"/>
  <c r="J14" i="38" s="1"/>
  <c r="J19" i="38" s="1"/>
  <c r="AC219" i="39"/>
  <c r="T22" i="40"/>
  <c r="I38" i="40"/>
  <c r="I18" i="40"/>
  <c r="Q7" i="40"/>
  <c r="Q78" i="32"/>
  <c r="O86" i="32"/>
  <c r="M40" i="33"/>
  <c r="AK174" i="20"/>
  <c r="DG390" i="23"/>
  <c r="DF390" i="23"/>
  <c r="DE390" i="23"/>
  <c r="DD390" i="23"/>
  <c r="AD455" i="23"/>
  <c r="AE352" i="23"/>
  <c r="AF352" i="23" s="1"/>
  <c r="EY205" i="30"/>
  <c r="DB59" i="30"/>
  <c r="BX88" i="30"/>
  <c r="BX89" i="30" s="1"/>
  <c r="AA54" i="30"/>
  <c r="O65" i="25"/>
  <c r="N8" i="25"/>
  <c r="CK67" i="25"/>
  <c r="BK58" i="30"/>
  <c r="CF77" i="25"/>
  <c r="U65" i="30"/>
  <c r="U73" i="30"/>
  <c r="EN205" i="30"/>
  <c r="DA69" i="30"/>
  <c r="R488" i="23"/>
  <c r="DQ193" i="30"/>
  <c r="M17" i="52"/>
  <c r="BJ405" i="39"/>
  <c r="ER204" i="30"/>
  <c r="I86" i="38"/>
  <c r="P47" i="31"/>
  <c r="E187" i="59"/>
  <c r="DP193" i="30"/>
  <c r="CH38" i="23"/>
  <c r="CN45" i="30"/>
  <c r="N65" i="25"/>
  <c r="CG68" i="30"/>
  <c r="CG203" i="30" s="1"/>
  <c r="CG193" i="30" s="1"/>
  <c r="DA194" i="30"/>
  <c r="N10" i="25"/>
  <c r="T36" i="25"/>
  <c r="AM11" i="30"/>
  <c r="AH64" i="25" s="1"/>
  <c r="DL203" i="30"/>
  <c r="DM203" i="30"/>
  <c r="L557" i="23"/>
  <c r="CF171" i="59"/>
  <c r="DJ67" i="30"/>
  <c r="EQ202" i="30"/>
  <c r="BR120" i="30"/>
  <c r="DB20" i="30"/>
  <c r="R16" i="38"/>
  <c r="R17" i="38"/>
  <c r="DF124" i="23"/>
  <c r="S440" i="23"/>
  <c r="S393" i="23" s="1"/>
  <c r="AE180" i="39"/>
  <c r="CZ405" i="23"/>
  <c r="T16" i="25"/>
  <c r="AA26" i="25"/>
  <c r="CV70" i="25"/>
  <c r="EB193" i="30"/>
  <c r="DB205" i="30"/>
  <c r="W194" i="30"/>
  <c r="W199" i="30" s="1"/>
  <c r="BI82" i="25"/>
  <c r="AE167" i="39"/>
  <c r="BM167" i="39"/>
  <c r="EC192" i="30"/>
  <c r="CZ72" i="30"/>
  <c r="CP30" i="25" s="1"/>
  <c r="CC32" i="85"/>
  <c r="CR67" i="23"/>
  <c r="CR68" i="23" s="1"/>
  <c r="DC19" i="30"/>
  <c r="DP156" i="30"/>
  <c r="DR156" i="30"/>
  <c r="DB17" i="30"/>
  <c r="AZ91" i="59"/>
  <c r="AZ93" i="59" s="1"/>
  <c r="BT36" i="23"/>
  <c r="DL205" i="30"/>
  <c r="L511" i="23"/>
  <c r="FA192" i="30"/>
  <c r="DE125" i="23"/>
  <c r="N22" i="25"/>
  <c r="DS204" i="30"/>
  <c r="U375" i="23"/>
  <c r="M205" i="30"/>
  <c r="M209" i="30"/>
  <c r="CS115" i="30"/>
  <c r="Q72" i="25"/>
  <c r="AA42" i="30"/>
  <c r="I7" i="25"/>
  <c r="N423" i="23"/>
  <c r="CY195" i="30"/>
  <c r="O68" i="25"/>
  <c r="U55" i="30"/>
  <c r="DJ192" i="30"/>
  <c r="BL166" i="59"/>
  <c r="U553" i="23"/>
  <c r="L62" i="23"/>
  <c r="CQ82" i="25"/>
  <c r="CE86" i="30"/>
  <c r="BK38" i="23"/>
  <c r="BK37" i="23"/>
  <c r="BM38" i="23"/>
  <c r="BM37" i="23"/>
  <c r="BV198" i="30"/>
  <c r="CB150" i="59"/>
  <c r="D24" i="25"/>
  <c r="EC204" i="30"/>
  <c r="S389" i="23"/>
  <c r="W112" i="23"/>
  <c r="W571" i="23"/>
  <c r="R36" i="25"/>
  <c r="Z448" i="23"/>
  <c r="V112" i="23"/>
  <c r="F26" i="52"/>
  <c r="T209" i="30"/>
  <c r="V38" i="23"/>
  <c r="CY192" i="30"/>
  <c r="BK151" i="30"/>
  <c r="DD108" i="30"/>
  <c r="S29" i="23"/>
  <c r="DT194" i="30"/>
  <c r="BN126" i="73"/>
  <c r="BN127" i="73" s="1"/>
  <c r="K307" i="23"/>
  <c r="M382" i="23"/>
  <c r="G27" i="32"/>
  <c r="BG65" i="30"/>
  <c r="BG73" i="30"/>
  <c r="BG80" i="30" s="1"/>
  <c r="CV38" i="25"/>
  <c r="BV24" i="25"/>
  <c r="BC38" i="25"/>
  <c r="T10" i="25"/>
  <c r="W10" i="25" s="1"/>
  <c r="O197" i="59"/>
  <c r="M632" i="23"/>
  <c r="M633" i="23"/>
  <c r="BS173" i="59"/>
  <c r="DD205" i="30"/>
  <c r="CW36" i="25"/>
  <c r="CS37" i="25"/>
  <c r="BT35" i="25"/>
  <c r="Q45" i="25"/>
  <c r="CN43" i="30"/>
  <c r="I21" i="25"/>
  <c r="DS194" i="30"/>
  <c r="DD10" i="30"/>
  <c r="CX9" i="30"/>
  <c r="E21" i="32"/>
  <c r="M151" i="30"/>
  <c r="CN208" i="30"/>
  <c r="CY7" i="30"/>
  <c r="L27" i="30"/>
  <c r="O24" i="25"/>
  <c r="DL55" i="30"/>
  <c r="DE193" i="30"/>
  <c r="CE88" i="30"/>
  <c r="CO88" i="30"/>
  <c r="K132" i="30"/>
  <c r="CA38" i="23"/>
  <c r="Q65" i="25"/>
  <c r="DH83" i="25"/>
  <c r="L616" i="23"/>
  <c r="S10" i="20"/>
  <c r="BH17" i="20"/>
  <c r="BH16" i="20" s="1"/>
  <c r="BH11" i="20" s="1"/>
  <c r="Q60" i="20"/>
  <c r="Q62" i="20" s="1"/>
  <c r="Q61" i="20" s="1"/>
  <c r="DB27" i="30"/>
  <c r="DC27" i="30"/>
  <c r="AE20" i="30"/>
  <c r="K38" i="40"/>
  <c r="K39" i="40"/>
  <c r="R194" i="30"/>
  <c r="AB23" i="30"/>
  <c r="AD55" i="30"/>
  <c r="DU202" i="30"/>
  <c r="DP206" i="30"/>
  <c r="CR45" i="30"/>
  <c r="CR55" i="30"/>
  <c r="DH54" i="30"/>
  <c r="DA56" i="30"/>
  <c r="DD27" i="30"/>
  <c r="DN206" i="30"/>
  <c r="CV47" i="30"/>
  <c r="AG56" i="30"/>
  <c r="T68" i="30"/>
  <c r="T203" i="30"/>
  <c r="DJ195" i="30"/>
  <c r="L53" i="31"/>
  <c r="Z205" i="30"/>
  <c r="E22" i="25"/>
  <c r="CJ196" i="59"/>
  <c r="BP10" i="25"/>
  <c r="BV38" i="23"/>
  <c r="R38" i="23"/>
  <c r="J551" i="23"/>
  <c r="J554" i="23"/>
  <c r="A67" i="63"/>
  <c r="A78" i="63"/>
  <c r="BP675" i="23"/>
  <c r="M639" i="23"/>
  <c r="L610" i="23"/>
  <c r="R217" i="23"/>
  <c r="R219" i="23" s="1"/>
  <c r="CO166" i="23"/>
  <c r="U149" i="23"/>
  <c r="CK124" i="23"/>
  <c r="CA124" i="23"/>
  <c r="BV98" i="23"/>
  <c r="I18" i="56"/>
  <c r="I140" i="23"/>
  <c r="H123" i="23"/>
  <c r="Y42" i="23"/>
  <c r="CS39" i="23"/>
  <c r="CB37" i="23"/>
  <c r="CB38" i="23" s="1"/>
  <c r="K10" i="56"/>
  <c r="K15" i="56" s="1"/>
  <c r="G10" i="56"/>
  <c r="E10" i="56"/>
  <c r="CQ31" i="23"/>
  <c r="BY28" i="23"/>
  <c r="T327" i="23"/>
  <c r="S32" i="23"/>
  <c r="BP38" i="23"/>
  <c r="N38" i="23" s="1"/>
  <c r="BT38" i="23" s="1"/>
  <c r="Q36" i="23"/>
  <c r="Q32" i="23"/>
  <c r="Q62" i="23" s="1"/>
  <c r="U656" i="23"/>
  <c r="U660" i="23" s="1"/>
  <c r="U661" i="23" s="1"/>
  <c r="CZ407" i="23"/>
  <c r="DC407" i="23" s="1"/>
  <c r="M432" i="23"/>
  <c r="F8" i="56"/>
  <c r="DC15" i="23"/>
  <c r="CL12" i="23"/>
  <c r="CM12" i="23" s="1"/>
  <c r="R9" i="23"/>
  <c r="BY9" i="23" s="1"/>
  <c r="DJ176" i="30"/>
  <c r="W37" i="25"/>
  <c r="W38" i="25" s="1"/>
  <c r="BA24" i="25"/>
  <c r="CT22" i="25"/>
  <c r="X21" i="25"/>
  <c r="BU10" i="25"/>
  <c r="CR323" i="59"/>
  <c r="AA84" i="25"/>
  <c r="CG153" i="59"/>
  <c r="CG149" i="59" s="1"/>
  <c r="BJ222" i="59"/>
  <c r="O16" i="52"/>
  <c r="H279" i="60" s="1"/>
  <c r="Y208" i="30"/>
  <c r="DO188" i="30"/>
  <c r="DE205" i="30"/>
  <c r="AB152" i="30"/>
  <c r="AA147" i="30"/>
  <c r="R149" i="30"/>
  <c r="BH137" i="30"/>
  <c r="BL126" i="30"/>
  <c r="AB121" i="30"/>
  <c r="BI95" i="30"/>
  <c r="BN96" i="30" s="1"/>
  <c r="K93" i="30"/>
  <c r="BL113" i="30"/>
  <c r="AH77" i="30"/>
  <c r="DV202" i="30"/>
  <c r="DV67" i="30"/>
  <c r="DV69" i="30" s="1"/>
  <c r="P204" i="30"/>
  <c r="F68" i="30"/>
  <c r="AI68" i="30"/>
  <c r="DO202" i="30"/>
  <c r="CY55" i="30"/>
  <c r="CL55" i="30"/>
  <c r="AP161" i="59"/>
  <c r="C153" i="59"/>
  <c r="BU50" i="30"/>
  <c r="DA48" i="30"/>
  <c r="CQ45" i="30"/>
  <c r="CH7" i="25"/>
  <c r="CH10" i="25" s="1"/>
  <c r="CN22" i="30"/>
  <c r="DO206" i="30"/>
  <c r="DE27" i="30"/>
  <c r="DP20" i="30"/>
  <c r="G6" i="52"/>
  <c r="G20" i="52" s="1"/>
  <c r="D82" i="20"/>
  <c r="U66" i="20"/>
  <c r="BB8" i="85"/>
  <c r="DK406" i="23"/>
  <c r="DI67" i="23"/>
  <c r="Z116" i="85"/>
  <c r="DK9" i="23"/>
  <c r="AD255" i="23"/>
  <c r="CT190" i="59"/>
  <c r="DC264" i="59"/>
  <c r="AD57" i="25"/>
  <c r="AK179" i="30" s="1"/>
  <c r="AK207" i="30" s="1"/>
  <c r="EQ207" i="30" s="1"/>
  <c r="Q37" i="32"/>
  <c r="R37" i="32" s="1"/>
  <c r="S37" i="32" s="1"/>
  <c r="T37" i="32" s="1"/>
  <c r="U37" i="32" s="1"/>
  <c r="V37" i="32" s="1"/>
  <c r="W37" i="32" s="1"/>
  <c r="X37" i="32" s="1"/>
  <c r="Y37" i="32" s="1"/>
  <c r="Z37" i="32" s="1"/>
  <c r="AA37" i="32" s="1"/>
  <c r="AB37" i="32" s="1"/>
  <c r="AC37" i="32" s="1"/>
  <c r="O72" i="33"/>
  <c r="P72" i="33" s="1"/>
  <c r="EZ205" i="30"/>
  <c r="CP71" i="25"/>
  <c r="L62" i="32"/>
  <c r="L64" i="32" s="1"/>
  <c r="L9" i="32" s="1"/>
  <c r="CC195" i="30"/>
  <c r="CD195" i="30"/>
  <c r="D153" i="59"/>
  <c r="EV202" i="30"/>
  <c r="S388" i="23"/>
  <c r="AF193" i="30"/>
  <c r="DR193" i="30" s="1"/>
  <c r="EP205" i="30"/>
  <c r="EQ205" i="30" s="1"/>
  <c r="Z20" i="30"/>
  <c r="V555" i="23"/>
  <c r="M13" i="52"/>
  <c r="M9" i="52" s="1"/>
  <c r="T21" i="32"/>
  <c r="T33" i="20"/>
  <c r="DG203" i="30"/>
  <c r="F20" i="52"/>
  <c r="U78" i="30"/>
  <c r="BZ90" i="30"/>
  <c r="BZ91" i="30" s="1"/>
  <c r="DT204" i="30"/>
  <c r="X241" i="30"/>
  <c r="DJ193" i="30"/>
  <c r="Y46" i="30"/>
  <c r="AA20" i="30"/>
  <c r="Q68" i="25"/>
  <c r="EP194" i="30"/>
  <c r="S38" i="25"/>
  <c r="DL202" i="30"/>
  <c r="U241" i="30"/>
  <c r="DR205" i="30"/>
  <c r="DF404" i="23"/>
  <c r="DB405" i="23"/>
  <c r="J52" i="33"/>
  <c r="E71" i="30"/>
  <c r="C16" i="25"/>
  <c r="CW195" i="30"/>
  <c r="AB195" i="30"/>
  <c r="CX195" i="30" s="1"/>
  <c r="AG193" i="30"/>
  <c r="DT59" i="30"/>
  <c r="AE456" i="23"/>
  <c r="EE192" i="30"/>
  <c r="EF192" i="30"/>
  <c r="CT124" i="23"/>
  <c r="AC57" i="25"/>
  <c r="DC16" i="30"/>
  <c r="DU194" i="30"/>
  <c r="CV154" i="30"/>
  <c r="X46" i="30"/>
  <c r="L486" i="23"/>
  <c r="H33" i="56"/>
  <c r="P38" i="23"/>
  <c r="BN38" i="23"/>
  <c r="BN37" i="23"/>
  <c r="CS23" i="25"/>
  <c r="CX37" i="25"/>
  <c r="U575" i="23"/>
  <c r="CU23" i="20"/>
  <c r="I143" i="23"/>
  <c r="AB8" i="25"/>
  <c r="S193" i="23"/>
  <c r="W23" i="25"/>
  <c r="BL82" i="25"/>
  <c r="CU67" i="25"/>
  <c r="T82" i="25"/>
  <c r="G194" i="59" s="1"/>
  <c r="CT77" i="25"/>
  <c r="I6" i="53"/>
  <c r="U38" i="23"/>
  <c r="S274" i="23"/>
  <c r="J11" i="56" s="1"/>
  <c r="BN40" i="59"/>
  <c r="CW10" i="25"/>
  <c r="DA8" i="25"/>
  <c r="BH162" i="59"/>
  <c r="AA43" i="30"/>
  <c r="DS59" i="30"/>
  <c r="CZ390" i="23"/>
  <c r="DA390" i="23"/>
  <c r="AB163" i="30"/>
  <c r="CW46" i="30"/>
  <c r="AE48" i="30"/>
  <c r="DS202" i="30"/>
  <c r="DW202" i="30" s="1"/>
  <c r="BV86" i="30"/>
  <c r="CO77" i="25"/>
  <c r="CR12" i="23"/>
  <c r="CS12" i="23" s="1"/>
  <c r="DB196" i="30"/>
  <c r="K16" i="20"/>
  <c r="K19" i="20" s="1"/>
  <c r="AA10" i="30"/>
  <c r="BG46" i="33"/>
  <c r="P67" i="30"/>
  <c r="P68" i="30" s="1"/>
  <c r="P72" i="30" s="1"/>
  <c r="N78" i="30"/>
  <c r="N62" i="33"/>
  <c r="BZ91" i="59"/>
  <c r="Z154" i="30"/>
  <c r="P40" i="25" s="1"/>
  <c r="L92" i="59"/>
  <c r="T8" i="25"/>
  <c r="W8" i="25" s="1"/>
  <c r="BJ167" i="59"/>
  <c r="CO10" i="25"/>
  <c r="W159" i="23"/>
  <c r="N641" i="23"/>
  <c r="N643" i="23"/>
  <c r="N645" i="23" s="1"/>
  <c r="L509" i="23"/>
  <c r="V156" i="23"/>
  <c r="V306" i="23"/>
  <c r="U29" i="23"/>
  <c r="L15" i="56"/>
  <c r="H35" i="25"/>
  <c r="H38" i="25" s="1"/>
  <c r="CR309" i="59"/>
  <c r="L134" i="30"/>
  <c r="BC19" i="85"/>
  <c r="D225" i="31"/>
  <c r="DM411" i="23"/>
  <c r="DM410" i="23"/>
  <c r="DI406" i="23"/>
  <c r="DI105" i="23"/>
  <c r="DJ105" i="23" s="1"/>
  <c r="DL105" i="23" s="1"/>
  <c r="DL109" i="23" s="1"/>
  <c r="W170" i="23"/>
  <c r="BI58" i="30"/>
  <c r="BI63" i="30" s="1"/>
  <c r="CQ113" i="30"/>
  <c r="I92" i="38"/>
  <c r="F7" i="52"/>
  <c r="DJ68" i="30"/>
  <c r="Q67" i="25"/>
  <c r="CV72" i="25"/>
  <c r="DE404" i="23"/>
  <c r="J66" i="33"/>
  <c r="J67" i="33" s="1"/>
  <c r="R70" i="25"/>
  <c r="R61" i="30"/>
  <c r="R58" i="30" s="1"/>
  <c r="R63" i="30" s="1"/>
  <c r="CY204" i="30"/>
  <c r="CW82" i="25"/>
  <c r="DB202" i="30"/>
  <c r="DC202" i="30" s="1"/>
  <c r="DG108" i="30"/>
  <c r="BE33" i="59" s="1"/>
  <c r="BQ125" i="30"/>
  <c r="BQ132" i="30"/>
  <c r="K126" i="30"/>
  <c r="BG194" i="30"/>
  <c r="CY22" i="25"/>
  <c r="R72" i="25"/>
  <c r="L491" i="23"/>
  <c r="CT10" i="25"/>
  <c r="U8" i="25"/>
  <c r="CY17" i="30"/>
  <c r="F80" i="30"/>
  <c r="DE48" i="30"/>
  <c r="W7" i="25"/>
  <c r="CR36" i="25"/>
  <c r="DJ48" i="30"/>
  <c r="DP202" i="30"/>
  <c r="DR202" i="30" s="1"/>
  <c r="BZ67" i="23"/>
  <c r="BZ68" i="23" s="1"/>
  <c r="CT418" i="23"/>
  <c r="CT31" i="23"/>
  <c r="W298" i="23"/>
  <c r="W302" i="23"/>
  <c r="FC188" i="30"/>
  <c r="BY166" i="59"/>
  <c r="BV198" i="59"/>
  <c r="CE10" i="23" s="1"/>
  <c r="CE13" i="23" s="1"/>
  <c r="CW116" i="59"/>
  <c r="AW187" i="59"/>
  <c r="CO79" i="25"/>
  <c r="DS64" i="30"/>
  <c r="DS60" i="30"/>
  <c r="DS65" i="30" s="1"/>
  <c r="DS73" i="30" s="1"/>
  <c r="DS80" i="30" s="1"/>
  <c r="BB187" i="59"/>
  <c r="CT79" i="25"/>
  <c r="U580" i="23"/>
  <c r="U584" i="23"/>
  <c r="CU124" i="23"/>
  <c r="AF456" i="23"/>
  <c r="AG456" i="23" s="1"/>
  <c r="AH456" i="23" s="1"/>
  <c r="AI456" i="23" s="1"/>
  <c r="AJ456" i="23" s="1"/>
  <c r="AK456" i="23" s="1"/>
  <c r="AL456" i="23" s="1"/>
  <c r="AM456" i="23" s="1"/>
  <c r="AN456" i="23" s="1"/>
  <c r="AN409" i="23" s="1"/>
  <c r="BH173" i="59"/>
  <c r="BH180" i="59" s="1"/>
  <c r="DJ59" i="30"/>
  <c r="H7" i="52"/>
  <c r="BU204" i="30"/>
  <c r="P209" i="30"/>
  <c r="BV204" i="30"/>
  <c r="BV209" i="30" s="1"/>
  <c r="Q204" i="30"/>
  <c r="Q209" i="30"/>
  <c r="BW204" i="30"/>
  <c r="BW209" i="30" s="1"/>
  <c r="K97" i="30"/>
  <c r="BF93" i="30"/>
  <c r="BG93" i="30"/>
  <c r="L93" i="30"/>
  <c r="BH140" i="30"/>
  <c r="Y22" i="25"/>
  <c r="X22" i="25"/>
  <c r="CL124" i="23"/>
  <c r="CK67" i="23"/>
  <c r="CK68" i="23" s="1"/>
  <c r="CK125" i="23"/>
  <c r="DP27" i="30"/>
  <c r="DP196" i="30"/>
  <c r="DP22" i="30" s="1"/>
  <c r="CO86" i="30"/>
  <c r="CE90" i="30"/>
  <c r="CE91" i="30" s="1"/>
  <c r="CE113" i="30"/>
  <c r="CY151" i="30"/>
  <c r="DW204" i="30"/>
  <c r="CA171" i="59"/>
  <c r="EC194" i="30"/>
  <c r="T18" i="25"/>
  <c r="W18" i="25" s="1"/>
  <c r="W16" i="25"/>
  <c r="DG67" i="23"/>
  <c r="BJ407" i="39"/>
  <c r="BP58" i="30"/>
  <c r="BK59" i="30"/>
  <c r="BK64" i="30"/>
  <c r="BL58" i="30"/>
  <c r="BK63" i="30"/>
  <c r="R78" i="32"/>
  <c r="S74" i="20"/>
  <c r="T59" i="20"/>
  <c r="S60" i="20"/>
  <c r="CC154" i="30"/>
  <c r="CC163" i="30"/>
  <c r="R39" i="25"/>
  <c r="R41" i="25"/>
  <c r="R42" i="25"/>
  <c r="DA198" i="30"/>
  <c r="DA199" i="30"/>
  <c r="DA209" i="30"/>
  <c r="BH22" i="23" s="1"/>
  <c r="BH61" i="23" s="1"/>
  <c r="R150" i="23"/>
  <c r="R153" i="23" s="1"/>
  <c r="R154" i="23" s="1"/>
  <c r="R152" i="23"/>
  <c r="DH58" i="30"/>
  <c r="DG63" i="30"/>
  <c r="AB135" i="85"/>
  <c r="N23" i="40"/>
  <c r="M30" i="40"/>
  <c r="AD192" i="39"/>
  <c r="BK221" i="39"/>
  <c r="AG129" i="39"/>
  <c r="BN151" i="39"/>
  <c r="DK22" i="30"/>
  <c r="CO196" i="30"/>
  <c r="CQ22" i="30"/>
  <c r="S39" i="25"/>
  <c r="DV156" i="30"/>
  <c r="CE154" i="30"/>
  <c r="CE163" i="30"/>
  <c r="CZ375" i="23"/>
  <c r="CY375" i="23"/>
  <c r="DA375" i="23"/>
  <c r="DB375" i="23"/>
  <c r="DA72" i="30"/>
  <c r="CQ30" i="25" s="1"/>
  <c r="CQ26" i="25"/>
  <c r="R96" i="30"/>
  <c r="S95" i="30"/>
  <c r="P95" i="30"/>
  <c r="N13" i="40"/>
  <c r="M18" i="40"/>
  <c r="AG121" i="39"/>
  <c r="BN146" i="39"/>
  <c r="DQ25" i="30"/>
  <c r="DQ23" i="30"/>
  <c r="S11" i="25"/>
  <c r="S14" i="25"/>
  <c r="CC89" i="30"/>
  <c r="CQ18" i="25"/>
  <c r="CV17" i="25"/>
  <c r="C43" i="38"/>
  <c r="C53" i="38" s="1"/>
  <c r="BN126" i="30"/>
  <c r="CQ40" i="25"/>
  <c r="DA158" i="30"/>
  <c r="CQ44" i="25" s="1"/>
  <c r="AE159" i="23"/>
  <c r="AF158" i="23"/>
  <c r="V29" i="56"/>
  <c r="AU42" i="59"/>
  <c r="AU43" i="59" s="1"/>
  <c r="CX7" i="30"/>
  <c r="DB8" i="30"/>
  <c r="CW8" i="30"/>
  <c r="P24" i="25"/>
  <c r="W26" i="25"/>
  <c r="J225" i="60"/>
  <c r="BB21" i="23"/>
  <c r="BB23" i="23" s="1"/>
  <c r="BB18" i="23"/>
  <c r="L465" i="23"/>
  <c r="BI47" i="23"/>
  <c r="BJ47" i="23" s="1"/>
  <c r="DI71" i="30"/>
  <c r="CY16" i="25" s="1"/>
  <c r="CY12" i="25"/>
  <c r="CL117" i="30"/>
  <c r="DP67" i="30"/>
  <c r="DP69" i="30"/>
  <c r="DP192" i="30"/>
  <c r="BE194" i="59"/>
  <c r="DJ69" i="30"/>
  <c r="K11" i="20"/>
  <c r="BV113" i="30"/>
  <c r="CA86" i="30"/>
  <c r="BV90" i="30"/>
  <c r="BV91" i="30" s="1"/>
  <c r="U227" i="23"/>
  <c r="AF149" i="23"/>
  <c r="DL204" i="30"/>
  <c r="DL67" i="30"/>
  <c r="DM67" i="30" s="1"/>
  <c r="DM202" i="30"/>
  <c r="DL192" i="30"/>
  <c r="CH77" i="25"/>
  <c r="AP187" i="59" s="1"/>
  <c r="CM8" i="25"/>
  <c r="C154" i="59"/>
  <c r="DO192" i="30"/>
  <c r="DO67" i="30"/>
  <c r="DO69" i="30" s="1"/>
  <c r="CC37" i="23"/>
  <c r="CC38" i="23" s="1"/>
  <c r="BS171" i="59"/>
  <c r="DU67" i="30"/>
  <c r="R199" i="30"/>
  <c r="S194" i="30"/>
  <c r="AM10" i="59"/>
  <c r="AM54" i="59" s="1"/>
  <c r="CO90" i="30"/>
  <c r="CT88" i="30"/>
  <c r="L206" i="30"/>
  <c r="F27" i="30"/>
  <c r="F206" i="30" s="1"/>
  <c r="F209" i="30" s="1"/>
  <c r="M154" i="30"/>
  <c r="M158" i="30"/>
  <c r="M152" i="30"/>
  <c r="BS174" i="59"/>
  <c r="BS202" i="59" s="1"/>
  <c r="G26" i="32"/>
  <c r="H27" i="32"/>
  <c r="AD108" i="30"/>
  <c r="BB33" i="59"/>
  <c r="BB83" i="59" s="1"/>
  <c r="DD146" i="30" s="1"/>
  <c r="CY194" i="30"/>
  <c r="CY58" i="30"/>
  <c r="CO112" i="23"/>
  <c r="CQ112" i="23"/>
  <c r="BW198" i="30"/>
  <c r="DL156" i="30"/>
  <c r="DM156" i="30"/>
  <c r="DL195" i="30"/>
  <c r="DL151" i="30"/>
  <c r="DL163" i="30" s="1"/>
  <c r="DB195" i="30"/>
  <c r="DB151" i="30" s="1"/>
  <c r="DB156" i="30"/>
  <c r="DC156" i="30" s="1"/>
  <c r="BM180" i="39"/>
  <c r="AF155" i="39"/>
  <c r="N40" i="33"/>
  <c r="R7" i="40"/>
  <c r="I16" i="38"/>
  <c r="BI407" i="39"/>
  <c r="H16" i="38"/>
  <c r="H15" i="38" s="1"/>
  <c r="BI409" i="39"/>
  <c r="BZ58" i="30"/>
  <c r="BZ63" i="30"/>
  <c r="CB58" i="30"/>
  <c r="CB63" i="30" s="1"/>
  <c r="T63" i="30"/>
  <c r="Y58" i="30"/>
  <c r="Y63" i="30"/>
  <c r="CA58" i="30"/>
  <c r="CA63" i="30" s="1"/>
  <c r="T158" i="30"/>
  <c r="G40" i="25"/>
  <c r="CD154" i="30"/>
  <c r="DF208" i="30"/>
  <c r="DD208" i="30"/>
  <c r="DD198" i="30"/>
  <c r="DE208" i="30"/>
  <c r="DE198" i="30" s="1"/>
  <c r="AD209" i="30"/>
  <c r="AE208" i="30"/>
  <c r="BK44" i="25"/>
  <c r="BK46" i="25" s="1"/>
  <c r="L209" i="30"/>
  <c r="P71" i="30"/>
  <c r="Z113" i="23"/>
  <c r="DC171" i="23"/>
  <c r="P15" i="40"/>
  <c r="BH59" i="30"/>
  <c r="BG64" i="30"/>
  <c r="DW205" i="30"/>
  <c r="DU156" i="30"/>
  <c r="AA375" i="23"/>
  <c r="AC375" i="23"/>
  <c r="DI375" i="23" s="1"/>
  <c r="CD37" i="23"/>
  <c r="BI65" i="30"/>
  <c r="BI73" i="30" s="1"/>
  <c r="BI194" i="30"/>
  <c r="BZ117" i="30"/>
  <c r="CJ117" i="30"/>
  <c r="DP163" i="30"/>
  <c r="K52" i="33"/>
  <c r="K58" i="33"/>
  <c r="K59" i="33" s="1"/>
  <c r="R125" i="30"/>
  <c r="K66" i="33"/>
  <c r="K67" i="33" s="1"/>
  <c r="BR55" i="30"/>
  <c r="BR65" i="30"/>
  <c r="BR73" i="30" s="1"/>
  <c r="BR80" i="30" s="1"/>
  <c r="S30" i="25"/>
  <c r="AG220" i="30"/>
  <c r="CQ14" i="25"/>
  <c r="CQ11" i="25"/>
  <c r="CQ15" i="25"/>
  <c r="CV13" i="25"/>
  <c r="CQ151" i="30"/>
  <c r="G40" i="59"/>
  <c r="DF64" i="30"/>
  <c r="DF60" i="30"/>
  <c r="CE64" i="30"/>
  <c r="CE60" i="30"/>
  <c r="CE65" i="30" s="1"/>
  <c r="CE73" i="30" s="1"/>
  <c r="CE80" i="30" s="1"/>
  <c r="C28" i="25"/>
  <c r="C29" i="25"/>
  <c r="C25" i="25"/>
  <c r="BS125" i="30"/>
  <c r="BS132" i="30" s="1"/>
  <c r="BK228" i="39"/>
  <c r="AD196" i="39"/>
  <c r="DU22" i="30"/>
  <c r="AG196" i="30"/>
  <c r="DW196" i="30" s="1"/>
  <c r="CA202" i="30"/>
  <c r="DN69" i="30"/>
  <c r="AI78" i="30"/>
  <c r="Y148" i="30"/>
  <c r="O37" i="25"/>
  <c r="V436" i="23"/>
  <c r="L8" i="56"/>
  <c r="U27" i="23"/>
  <c r="CN31" i="23"/>
  <c r="K194" i="30"/>
  <c r="DB67" i="30"/>
  <c r="DB192" i="30"/>
  <c r="AC192" i="30"/>
  <c r="DC192" i="30" s="1"/>
  <c r="CY209" i="30"/>
  <c r="BF22" i="23" s="1"/>
  <c r="BF61" i="23" s="1"/>
  <c r="DB204" i="30"/>
  <c r="DB22" i="30"/>
  <c r="AC196" i="30"/>
  <c r="DC196" i="30"/>
  <c r="DS67" i="30"/>
  <c r="BQ171" i="59"/>
  <c r="Q21" i="25"/>
  <c r="D142" i="59"/>
  <c r="CS43" i="30"/>
  <c r="AB47" i="30"/>
  <c r="AA47" i="30"/>
  <c r="AJ179" i="30"/>
  <c r="AE57" i="25"/>
  <c r="DT60" i="30"/>
  <c r="AE255" i="23"/>
  <c r="CV48" i="30"/>
  <c r="CQ48" i="30"/>
  <c r="CQ55" i="30"/>
  <c r="AI59" i="30"/>
  <c r="AI69" i="30"/>
  <c r="AH78" i="30"/>
  <c r="AH216" i="30"/>
  <c r="Q37" i="25"/>
  <c r="AB149" i="30"/>
  <c r="CR147" i="30"/>
  <c r="CS147" i="30"/>
  <c r="AA148" i="30"/>
  <c r="DE195" i="30"/>
  <c r="DE151" i="30" s="1"/>
  <c r="DE156" i="30"/>
  <c r="CO167" i="23"/>
  <c r="CO168" i="23"/>
  <c r="J553" i="23"/>
  <c r="DE59" i="30"/>
  <c r="DE194" i="30"/>
  <c r="CY8" i="30"/>
  <c r="AW42" i="59"/>
  <c r="AW43" i="59" s="1"/>
  <c r="AC7" i="30"/>
  <c r="D21" i="32"/>
  <c r="E20" i="32"/>
  <c r="E16" i="32"/>
  <c r="DD156" i="30"/>
  <c r="DG205" i="30"/>
  <c r="DH205" i="30" s="1"/>
  <c r="BK163" i="30"/>
  <c r="BP151" i="30"/>
  <c r="BK154" i="30"/>
  <c r="BK195" i="30"/>
  <c r="BL151" i="30"/>
  <c r="Z401" i="23"/>
  <c r="DA401" i="23" s="1"/>
  <c r="AA448" i="23"/>
  <c r="AC448" i="23" s="1"/>
  <c r="CQ86" i="25"/>
  <c r="AY194" i="59"/>
  <c r="CD7" i="25"/>
  <c r="I8" i="25"/>
  <c r="I77" i="25"/>
  <c r="I10" i="25"/>
  <c r="DM205" i="30"/>
  <c r="T440" i="23"/>
  <c r="U440" i="23" s="1"/>
  <c r="V440" i="23" s="1"/>
  <c r="W440" i="23" s="1"/>
  <c r="Z440" i="23" s="1"/>
  <c r="L507" i="23"/>
  <c r="L516" i="23"/>
  <c r="L546" i="23"/>
  <c r="L543" i="23"/>
  <c r="BN173" i="59"/>
  <c r="DP59" i="30"/>
  <c r="CF79" i="25"/>
  <c r="AN191" i="59" s="1"/>
  <c r="AN187" i="59"/>
  <c r="AB56" i="30"/>
  <c r="CS54" i="30"/>
  <c r="AA56" i="30"/>
  <c r="DB64" i="30"/>
  <c r="DC64" i="30"/>
  <c r="U22" i="40"/>
  <c r="CU69" i="25"/>
  <c r="DE29" i="30"/>
  <c r="CU73" i="25" s="1"/>
  <c r="Y193" i="30"/>
  <c r="T59" i="30"/>
  <c r="BI173" i="59"/>
  <c r="DK59" i="30"/>
  <c r="DK194" i="30"/>
  <c r="CD163" i="30"/>
  <c r="R44" i="25"/>
  <c r="R43" i="25" s="1"/>
  <c r="DB208" i="30"/>
  <c r="DB198" i="30"/>
  <c r="BK42" i="25"/>
  <c r="BK39" i="25"/>
  <c r="BK43" i="25"/>
  <c r="M38" i="40"/>
  <c r="N32" i="40"/>
  <c r="M33" i="40"/>
  <c r="M35" i="40" s="1"/>
  <c r="M39" i="40" s="1"/>
  <c r="CO32" i="25"/>
  <c r="O62" i="32"/>
  <c r="O64" i="32" s="1"/>
  <c r="O9" i="32" s="1"/>
  <c r="P59" i="32"/>
  <c r="BQ38" i="39"/>
  <c r="AJ12" i="39"/>
  <c r="BR12" i="39"/>
  <c r="AH72" i="39"/>
  <c r="BO112" i="39"/>
  <c r="AE176" i="39"/>
  <c r="BL194" i="39"/>
  <c r="BL410" i="39" s="1"/>
  <c r="BL409" i="39" s="1"/>
  <c r="F57" i="38"/>
  <c r="DL196" i="30"/>
  <c r="DL22" i="30" s="1"/>
  <c r="DL27" i="30"/>
  <c r="CV23" i="30"/>
  <c r="CV25" i="30"/>
  <c r="BI132" i="30"/>
  <c r="W151" i="23"/>
  <c r="DC59" i="30"/>
  <c r="Q87" i="32"/>
  <c r="AH79" i="39"/>
  <c r="BO118" i="39"/>
  <c r="BK220" i="39"/>
  <c r="AD191" i="39"/>
  <c r="S429" i="23"/>
  <c r="T429" i="23"/>
  <c r="BN112" i="23"/>
  <c r="BN114" i="23"/>
  <c r="S58" i="30"/>
  <c r="S63" i="30"/>
  <c r="S59" i="30"/>
  <c r="S64" i="30"/>
  <c r="K7" i="52"/>
  <c r="J7" i="52"/>
  <c r="J17" i="52"/>
  <c r="J13" i="52"/>
  <c r="J9" i="52" s="1"/>
  <c r="CZ63" i="30"/>
  <c r="CZ60" i="30"/>
  <c r="Q14" i="52"/>
  <c r="C49" i="38"/>
  <c r="C51" i="38"/>
  <c r="BA15" i="25"/>
  <c r="BA14" i="25"/>
  <c r="BA11" i="25"/>
  <c r="Z78" i="30"/>
  <c r="Z55" i="30"/>
  <c r="Z241" i="30"/>
  <c r="Z61" i="30"/>
  <c r="AO187" i="59"/>
  <c r="CG79" i="25"/>
  <c r="DN58" i="30"/>
  <c r="BL171" i="59"/>
  <c r="BL178" i="59" s="1"/>
  <c r="DN194" i="30"/>
  <c r="BR170" i="59"/>
  <c r="BR177" i="59" s="1"/>
  <c r="O42" i="25"/>
  <c r="O43" i="25"/>
  <c r="D86" i="38"/>
  <c r="D92" i="38"/>
  <c r="O21" i="32"/>
  <c r="K47" i="31"/>
  <c r="O33" i="20"/>
  <c r="M56" i="33"/>
  <c r="CF158" i="30"/>
  <c r="BV44" i="25" s="1"/>
  <c r="BV40" i="25"/>
  <c r="DO72" i="30"/>
  <c r="DE30" i="25"/>
  <c r="DE26" i="25"/>
  <c r="DE28" i="25" s="1"/>
  <c r="CQ116" i="30"/>
  <c r="AO49" i="59"/>
  <c r="CQ114" i="30"/>
  <c r="M30" i="56"/>
  <c r="CL40" i="25"/>
  <c r="CV158" i="30"/>
  <c r="CL44" i="25" s="1"/>
  <c r="EE194" i="30"/>
  <c r="CC171" i="59"/>
  <c r="CC178" i="59" s="1"/>
  <c r="DW193" i="30"/>
  <c r="DG204" i="30"/>
  <c r="DG68" i="30"/>
  <c r="DG193" i="30"/>
  <c r="DH203" i="30"/>
  <c r="AA116" i="85"/>
  <c r="Z117" i="85"/>
  <c r="DO27" i="30"/>
  <c r="DO196" i="30"/>
  <c r="DO22" i="30" s="1"/>
  <c r="BL116" i="30"/>
  <c r="BQ113" i="30"/>
  <c r="BL114" i="30"/>
  <c r="Q21" i="32"/>
  <c r="Q33" i="20"/>
  <c r="F86" i="38"/>
  <c r="F92" i="38"/>
  <c r="O56" i="33"/>
  <c r="M47" i="31"/>
  <c r="N432" i="23"/>
  <c r="R432" i="23" s="1"/>
  <c r="M385" i="23"/>
  <c r="R510" i="23"/>
  <c r="DJ151" i="30"/>
  <c r="DJ163" i="30" s="1"/>
  <c r="DR206" i="30"/>
  <c r="DN27" i="30"/>
  <c r="DN196" i="30"/>
  <c r="CR48" i="30"/>
  <c r="CW48" i="30"/>
  <c r="CD21" i="25"/>
  <c r="I22" i="25"/>
  <c r="T211" i="30"/>
  <c r="AE192" i="30"/>
  <c r="DM192" i="30"/>
  <c r="BH171" i="59"/>
  <c r="BH178" i="59" s="1"/>
  <c r="DJ194" i="30"/>
  <c r="DJ58" i="30"/>
  <c r="CS42" i="30"/>
  <c r="AA46" i="30"/>
  <c r="AA45" i="30"/>
  <c r="AA55" i="30" s="1"/>
  <c r="D128" i="59"/>
  <c r="AB46" i="30"/>
  <c r="Q7" i="25"/>
  <c r="AA28" i="25"/>
  <c r="AA25" i="25"/>
  <c r="AA29" i="25"/>
  <c r="DL68" i="30"/>
  <c r="DM68" i="30" s="1"/>
  <c r="DL193" i="30"/>
  <c r="EV204" i="30"/>
  <c r="BO173" i="59"/>
  <c r="DQ59" i="30"/>
  <c r="AE455" i="23"/>
  <c r="AE408" i="23" s="1"/>
  <c r="AD408" i="23"/>
  <c r="P86" i="32"/>
  <c r="BK219" i="39"/>
  <c r="AD190" i="39"/>
  <c r="Y338" i="39"/>
  <c r="BG338" i="39"/>
  <c r="BF338" i="39"/>
  <c r="O194" i="30"/>
  <c r="BT194" i="30"/>
  <c r="CD151" i="30"/>
  <c r="CZ209" i="30"/>
  <c r="BG22" i="23" s="1"/>
  <c r="BG61" i="23" s="1"/>
  <c r="CZ198" i="30"/>
  <c r="AC198" i="30" s="1"/>
  <c r="CZ199" i="30"/>
  <c r="AI219" i="30"/>
  <c r="AJ219" i="30"/>
  <c r="AK219" i="30" s="1"/>
  <c r="AL219" i="30" s="1"/>
  <c r="AH160" i="30"/>
  <c r="AH217" i="30" s="1"/>
  <c r="AH220" i="30" s="1"/>
  <c r="K15" i="53" s="1"/>
  <c r="BX208" i="30"/>
  <c r="BY208" i="30" s="1"/>
  <c r="DC205" i="30"/>
  <c r="CO25" i="25"/>
  <c r="CO28" i="25"/>
  <c r="CO29" i="25"/>
  <c r="Q84" i="32"/>
  <c r="DM27" i="30"/>
  <c r="AB196" i="30"/>
  <c r="CX196" i="30" s="1"/>
  <c r="CT22" i="30"/>
  <c r="R73" i="30"/>
  <c r="Q65" i="30"/>
  <c r="Q73" i="30" s="1"/>
  <c r="BF72" i="30"/>
  <c r="BA30" i="25" s="1"/>
  <c r="BA26" i="25"/>
  <c r="BA25" i="25" s="1"/>
  <c r="S44" i="25"/>
  <c r="AD323" i="23"/>
  <c r="BP37" i="23"/>
  <c r="S85" i="32"/>
  <c r="E42" i="25"/>
  <c r="F41" i="25"/>
  <c r="DD209" i="30"/>
  <c r="BK22" i="23" s="1"/>
  <c r="BK61" i="23" s="1"/>
  <c r="DA65" i="30"/>
  <c r="DA73" i="30" s="1"/>
  <c r="DA80" i="30" s="1"/>
  <c r="DA61" i="30"/>
  <c r="K26" i="25"/>
  <c r="F72" i="30"/>
  <c r="K30" i="25" s="1"/>
  <c r="K29" i="63"/>
  <c r="AD272" i="23"/>
  <c r="AE223" i="23"/>
  <c r="AE272" i="23" s="1"/>
  <c r="S16" i="25"/>
  <c r="T17" i="25" s="1"/>
  <c r="W17" i="25" s="1"/>
  <c r="S25" i="25"/>
  <c r="S28" i="25"/>
  <c r="BX203" i="30"/>
  <c r="BX72" i="30"/>
  <c r="BN30" i="25" s="1"/>
  <c r="CQ88" i="30"/>
  <c r="CG90" i="30"/>
  <c r="CG91" i="30" s="1"/>
  <c r="BR198" i="30"/>
  <c r="BN198" i="30"/>
  <c r="S323" i="23"/>
  <c r="T323" i="23" s="1"/>
  <c r="AK194" i="30"/>
  <c r="BK233" i="39"/>
  <c r="AD199" i="39"/>
  <c r="CA209" i="30"/>
  <c r="CA211" i="30" s="1"/>
  <c r="CK12" i="25"/>
  <c r="CU71" i="30"/>
  <c r="CK16" i="25" s="1"/>
  <c r="T30" i="25"/>
  <c r="CJ91" i="30"/>
  <c r="CJ119" i="30"/>
  <c r="Z147" i="30"/>
  <c r="AA149" i="30"/>
  <c r="I52" i="38"/>
  <c r="I51" i="38" s="1"/>
  <c r="DI65" i="30"/>
  <c r="DI73" i="30"/>
  <c r="DI80" i="30"/>
  <c r="DI61" i="30"/>
  <c r="BM29" i="25"/>
  <c r="CZ211" i="30"/>
  <c r="BG20" i="23"/>
  <c r="K28" i="25"/>
  <c r="K25" i="25"/>
  <c r="BG405" i="39"/>
  <c r="BG412" i="39"/>
  <c r="G14" i="38" s="1"/>
  <c r="G15" i="38" s="1"/>
  <c r="BJ173" i="59"/>
  <c r="BJ174" i="59" s="1"/>
  <c r="DL59" i="30"/>
  <c r="DN22" i="30"/>
  <c r="AF196" i="30"/>
  <c r="DR196" i="30" s="1"/>
  <c r="DG59" i="30"/>
  <c r="DG194" i="30"/>
  <c r="S72" i="30"/>
  <c r="N30" i="25"/>
  <c r="N26" i="25"/>
  <c r="BP79" i="39"/>
  <c r="AI40" i="39"/>
  <c r="AA401" i="23"/>
  <c r="BP163" i="30"/>
  <c r="BP195" i="30"/>
  <c r="DC7" i="30"/>
  <c r="AC11" i="30"/>
  <c r="F42" i="59"/>
  <c r="DS71" i="30"/>
  <c r="DI16" i="25"/>
  <c r="DW67" i="30"/>
  <c r="DS69" i="30"/>
  <c r="DW69" i="30" s="1"/>
  <c r="AE168" i="39"/>
  <c r="BL196" i="39"/>
  <c r="BU26" i="25"/>
  <c r="CE72" i="30"/>
  <c r="BU30" i="25" s="1"/>
  <c r="R126" i="30"/>
  <c r="P125" i="30"/>
  <c r="P126" i="30" s="1"/>
  <c r="R132" i="30"/>
  <c r="S125" i="30"/>
  <c r="T71" i="30"/>
  <c r="G16" i="25"/>
  <c r="G18" i="25" s="1"/>
  <c r="G12" i="25"/>
  <c r="DP58" i="30"/>
  <c r="DP63" i="30" s="1"/>
  <c r="BN171" i="59"/>
  <c r="DP194" i="30"/>
  <c r="CQ41" i="25"/>
  <c r="CQ42" i="25"/>
  <c r="CQ39" i="25"/>
  <c r="BO121" i="39"/>
  <c r="AH83" i="39"/>
  <c r="CR196" i="30"/>
  <c r="CR22" i="30"/>
  <c r="CO22" i="30"/>
  <c r="BK72" i="30"/>
  <c r="BF30" i="25" s="1"/>
  <c r="BF26" i="25"/>
  <c r="BS198" i="30"/>
  <c r="BT198" i="30"/>
  <c r="AO10" i="59"/>
  <c r="AO54" i="59" s="1"/>
  <c r="CQ90" i="30"/>
  <c r="CQ91" i="30"/>
  <c r="CV88" i="30"/>
  <c r="AE169" i="39"/>
  <c r="BL190" i="39"/>
  <c r="DQ64" i="30"/>
  <c r="DL69" i="30"/>
  <c r="DJ63" i="30"/>
  <c r="DR27" i="30"/>
  <c r="BL117" i="30"/>
  <c r="DG69" i="30"/>
  <c r="CZ61" i="30"/>
  <c r="CZ65" i="30"/>
  <c r="CZ73" i="30" s="1"/>
  <c r="CZ80" i="30" s="1"/>
  <c r="S71" i="30"/>
  <c r="N16" i="25"/>
  <c r="N15" i="25" s="1"/>
  <c r="N12" i="25"/>
  <c r="S382" i="23"/>
  <c r="BL191" i="39"/>
  <c r="AE170" i="39"/>
  <c r="BM170" i="39" s="1"/>
  <c r="BM176" i="39"/>
  <c r="BM410" i="39" s="1"/>
  <c r="AF150" i="39"/>
  <c r="BN150" i="39" s="1"/>
  <c r="N33" i="40"/>
  <c r="N35" i="40" s="1"/>
  <c r="O32" i="40"/>
  <c r="N38" i="40"/>
  <c r="CU71" i="25"/>
  <c r="CU68" i="25"/>
  <c r="V22" i="40"/>
  <c r="T393" i="23"/>
  <c r="BM151" i="30"/>
  <c r="BQ151" i="30"/>
  <c r="BL195" i="30"/>
  <c r="BL199" i="30" s="1"/>
  <c r="BL211" i="30" s="1"/>
  <c r="BL154" i="30"/>
  <c r="BL163" i="30"/>
  <c r="DE60" i="30"/>
  <c r="DE64" i="30"/>
  <c r="Q39" i="25"/>
  <c r="Q38" i="25"/>
  <c r="AI64" i="30"/>
  <c r="AI60" i="30"/>
  <c r="L194" i="30"/>
  <c r="J194" i="30"/>
  <c r="CN27" i="23"/>
  <c r="U418" i="23"/>
  <c r="DI208" i="30"/>
  <c r="DK208" i="30"/>
  <c r="DJ208" i="30"/>
  <c r="AF208" i="30"/>
  <c r="G39" i="25"/>
  <c r="G42" i="25"/>
  <c r="G41" i="25"/>
  <c r="CY199" i="30"/>
  <c r="CY88" i="30"/>
  <c r="AR10" i="59"/>
  <c r="DM204" i="30"/>
  <c r="CY14" i="25"/>
  <c r="CY11" i="25"/>
  <c r="AE196" i="30"/>
  <c r="DM196" i="30" s="1"/>
  <c r="BQ58" i="30"/>
  <c r="BP59" i="30"/>
  <c r="BP64" i="30"/>
  <c r="BP72" i="30" s="1"/>
  <c r="BP63" i="30"/>
  <c r="BP71" i="30" s="1"/>
  <c r="AC195" i="30"/>
  <c r="DC195" i="30"/>
  <c r="CO113" i="30"/>
  <c r="CT86" i="30"/>
  <c r="CO87" i="30"/>
  <c r="AM8" i="59"/>
  <c r="BK93" i="30"/>
  <c r="BX204" i="30"/>
  <c r="D155" i="59"/>
  <c r="AE193" i="30"/>
  <c r="DM193" i="30" s="1"/>
  <c r="AE195" i="30"/>
  <c r="DM195" i="30" s="1"/>
  <c r="W30" i="25"/>
  <c r="T31" i="25"/>
  <c r="W31" i="25" s="1"/>
  <c r="T32" i="25"/>
  <c r="W32" i="25" s="1"/>
  <c r="R84" i="32"/>
  <c r="Q86" i="32"/>
  <c r="N385" i="23"/>
  <c r="BQ120" i="30"/>
  <c r="BQ116" i="30"/>
  <c r="BQ114" i="23"/>
  <c r="AO191" i="59"/>
  <c r="R14" i="52"/>
  <c r="CL69" i="25"/>
  <c r="CV29" i="30"/>
  <c r="CL73" i="25"/>
  <c r="R46" i="25"/>
  <c r="R45" i="25"/>
  <c r="DK64" i="30"/>
  <c r="DK60" i="30"/>
  <c r="AD193" i="30"/>
  <c r="DH193" i="30"/>
  <c r="J555" i="23"/>
  <c r="J488" i="23"/>
  <c r="AI80" i="30"/>
  <c r="AI204" i="30"/>
  <c r="AF255" i="23"/>
  <c r="AG255" i="23" s="1"/>
  <c r="AH255" i="23" s="1"/>
  <c r="AI255" i="23" s="1"/>
  <c r="AJ255" i="23" s="1"/>
  <c r="AK255" i="23" s="1"/>
  <c r="AL255" i="23" s="1"/>
  <c r="AM255" i="23" s="1"/>
  <c r="BS107" i="59"/>
  <c r="DF72" i="30"/>
  <c r="CV30" i="25"/>
  <c r="CV26" i="25"/>
  <c r="CQ163" i="30"/>
  <c r="CQ154" i="30"/>
  <c r="DD375" i="23"/>
  <c r="DF375" i="23"/>
  <c r="DG375" i="23"/>
  <c r="DE375" i="23"/>
  <c r="G33" i="59"/>
  <c r="DH108" i="30"/>
  <c r="BM171" i="59"/>
  <c r="DO58" i="30"/>
  <c r="DO194" i="30"/>
  <c r="BL192" i="39"/>
  <c r="AE171" i="39"/>
  <c r="BG101" i="30"/>
  <c r="BG131" i="30"/>
  <c r="BL93" i="30"/>
  <c r="BG97" i="30"/>
  <c r="DJ64" i="30"/>
  <c r="DJ60" i="30"/>
  <c r="AE59" i="30"/>
  <c r="CK11" i="25"/>
  <c r="CK14" i="25"/>
  <c r="BA28" i="25"/>
  <c r="CW22" i="30"/>
  <c r="CT25" i="30"/>
  <c r="CT23" i="30"/>
  <c r="CS45" i="30"/>
  <c r="AA78" i="30"/>
  <c r="AB48" i="30"/>
  <c r="AA241" i="30"/>
  <c r="AA48" i="30"/>
  <c r="AB116" i="85"/>
  <c r="AA117" i="85"/>
  <c r="DN63" i="30"/>
  <c r="DN60" i="30"/>
  <c r="Z75" i="30"/>
  <c r="Z76" i="30"/>
  <c r="CZ71" i="30"/>
  <c r="CP16" i="25"/>
  <c r="CP12" i="25"/>
  <c r="P62" i="32"/>
  <c r="CA59" i="30"/>
  <c r="CA64" i="30" s="1"/>
  <c r="Y59" i="30"/>
  <c r="Y64" i="30" s="1"/>
  <c r="BZ59" i="30"/>
  <c r="BZ64" i="30" s="1"/>
  <c r="CB59" i="30"/>
  <c r="CB64" i="30" s="1"/>
  <c r="T64" i="30"/>
  <c r="BH10" i="23"/>
  <c r="AY198" i="59"/>
  <c r="BK199" i="30"/>
  <c r="BK211" i="30" s="1"/>
  <c r="DG195" i="30"/>
  <c r="DG151" i="30" s="1"/>
  <c r="DG156" i="30"/>
  <c r="E17" i="32"/>
  <c r="E79" i="32"/>
  <c r="E78" i="32" s="1"/>
  <c r="E88" i="32" s="1"/>
  <c r="F18" i="32"/>
  <c r="CI21" i="25"/>
  <c r="Q22" i="25"/>
  <c r="R22" i="25"/>
  <c r="Q24" i="25"/>
  <c r="DB23" i="30"/>
  <c r="DB25" i="30"/>
  <c r="DB58" i="30"/>
  <c r="DB194" i="30"/>
  <c r="DB199" i="30" s="1"/>
  <c r="DR67" i="30"/>
  <c r="BG72" i="30"/>
  <c r="BB30" i="25"/>
  <c r="BB26" i="25"/>
  <c r="Q15" i="40"/>
  <c r="DF198" i="30"/>
  <c r="DF199" i="30" s="1"/>
  <c r="DF209" i="30"/>
  <c r="BM22" i="23" s="1"/>
  <c r="BM61" i="23" s="1"/>
  <c r="G44" i="25"/>
  <c r="I49" i="38"/>
  <c r="O40" i="33"/>
  <c r="AG113" i="39"/>
  <c r="BN155" i="39"/>
  <c r="BN151" i="30"/>
  <c r="CO91" i="30"/>
  <c r="R211" i="30"/>
  <c r="DL58" i="30"/>
  <c r="DL63" i="30"/>
  <c r="DL194" i="30"/>
  <c r="AE194" i="30"/>
  <c r="BJ171" i="59"/>
  <c r="AG149" i="23"/>
  <c r="CF86" i="30"/>
  <c r="CA90" i="30"/>
  <c r="CA91" i="30" s="1"/>
  <c r="CA113" i="30"/>
  <c r="CK86" i="30"/>
  <c r="K225" i="60"/>
  <c r="DG69" i="25"/>
  <c r="DG71" i="25" s="1"/>
  <c r="DQ29" i="30"/>
  <c r="DG73" i="25" s="1"/>
  <c r="O13" i="40"/>
  <c r="N18" i="40"/>
  <c r="CE158" i="30"/>
  <c r="BU44" i="25"/>
  <c r="BU40" i="25"/>
  <c r="DK23" i="30"/>
  <c r="DK25" i="30"/>
  <c r="BI107" i="59"/>
  <c r="AH96" i="39"/>
  <c r="BO129" i="39"/>
  <c r="BO410" i="39"/>
  <c r="N30" i="40"/>
  <c r="O23" i="40"/>
  <c r="BS40" i="25"/>
  <c r="CC158" i="30"/>
  <c r="BS44" i="25"/>
  <c r="BS46" i="25" s="1"/>
  <c r="BK71" i="30"/>
  <c r="BF16" i="25" s="1"/>
  <c r="BF12" i="25"/>
  <c r="CY154" i="30"/>
  <c r="CY163" i="30"/>
  <c r="BU209" i="30"/>
  <c r="BY204" i="30"/>
  <c r="DS72" i="30"/>
  <c r="DI30" i="25" s="1"/>
  <c r="DI26" i="25"/>
  <c r="P37" i="25"/>
  <c r="Z149" i="30"/>
  <c r="Z148" i="30"/>
  <c r="AE173" i="39"/>
  <c r="BL199" i="39"/>
  <c r="AK60" i="30"/>
  <c r="EQ194" i="30"/>
  <c r="S18" i="25"/>
  <c r="T85" i="32"/>
  <c r="W219" i="23"/>
  <c r="AE323" i="23"/>
  <c r="AF323" i="23" s="1"/>
  <c r="S46" i="25"/>
  <c r="S45" i="25"/>
  <c r="T45" i="25"/>
  <c r="N56" i="62"/>
  <c r="J558" i="23"/>
  <c r="Q8" i="25"/>
  <c r="CL39" i="25"/>
  <c r="CL42" i="25"/>
  <c r="CQ117" i="30"/>
  <c r="AO55" i="59"/>
  <c r="R87" i="32"/>
  <c r="G57" i="38"/>
  <c r="BP72" i="39"/>
  <c r="AI34" i="39"/>
  <c r="DB72" i="30"/>
  <c r="DC72" i="30" s="1"/>
  <c r="CR26" i="25"/>
  <c r="DP60" i="30"/>
  <c r="DP65" i="30" s="1"/>
  <c r="DP73" i="30" s="1"/>
  <c r="DP80" i="30" s="1"/>
  <c r="DP64" i="30"/>
  <c r="AF59" i="30"/>
  <c r="BF40" i="25"/>
  <c r="BK158" i="30"/>
  <c r="DH156" i="30"/>
  <c r="C21" i="32"/>
  <c r="D20" i="32"/>
  <c r="D16" i="32" s="1"/>
  <c r="AD194" i="30"/>
  <c r="CR149" i="30"/>
  <c r="CH37" i="25"/>
  <c r="CR148" i="30"/>
  <c r="CW149" i="30"/>
  <c r="DC204" i="30"/>
  <c r="DB69" i="30"/>
  <c r="DC69" i="30"/>
  <c r="DC67" i="30"/>
  <c r="O38" i="25"/>
  <c r="O39" i="25"/>
  <c r="O82" i="25"/>
  <c r="B194" i="59" s="1"/>
  <c r="DF65" i="30"/>
  <c r="DF73" i="30" s="1"/>
  <c r="DF80" i="30" s="1"/>
  <c r="DF61" i="30"/>
  <c r="AD422" i="23"/>
  <c r="AD375" i="23" s="1"/>
  <c r="BH64" i="30"/>
  <c r="BI59" i="30"/>
  <c r="BI64" i="30"/>
  <c r="DG208" i="30"/>
  <c r="H43" i="38"/>
  <c r="H53" i="38" s="1"/>
  <c r="S7" i="40"/>
  <c r="BX198" i="30"/>
  <c r="BY198" i="30"/>
  <c r="CY63" i="30"/>
  <c r="DC58" i="30"/>
  <c r="CY60" i="30"/>
  <c r="I27" i="32"/>
  <c r="H26" i="32"/>
  <c r="DU69" i="30"/>
  <c r="BV116" i="30"/>
  <c r="BV114" i="30"/>
  <c r="AJ78" i="30"/>
  <c r="CQ28" i="25"/>
  <c r="CQ25" i="25"/>
  <c r="DC375" i="23"/>
  <c r="CQ23" i="30"/>
  <c r="CQ25" i="30"/>
  <c r="CW12" i="25"/>
  <c r="DG71" i="30"/>
  <c r="DH63" i="30"/>
  <c r="T74" i="20"/>
  <c r="S78" i="32"/>
  <c r="BL63" i="30"/>
  <c r="BL59" i="30"/>
  <c r="BL64" i="30" s="1"/>
  <c r="BM58" i="30"/>
  <c r="CE114" i="30"/>
  <c r="CE116" i="30"/>
  <c r="CM124" i="23"/>
  <c r="CM125" i="23" s="1"/>
  <c r="CL67" i="23"/>
  <c r="CL68" i="23" s="1"/>
  <c r="CL125" i="23"/>
  <c r="L97" i="30"/>
  <c r="CZ124" i="23"/>
  <c r="CZ125" i="23"/>
  <c r="BK5" i="23"/>
  <c r="CO12" i="25"/>
  <c r="CY71" i="30"/>
  <c r="BD26" i="25"/>
  <c r="BI72" i="30"/>
  <c r="BD30" i="25" s="1"/>
  <c r="BD32" i="25" s="1"/>
  <c r="DH194" i="30"/>
  <c r="S87" i="32"/>
  <c r="O30" i="40"/>
  <c r="P23" i="40"/>
  <c r="BH13" i="23"/>
  <c r="BH17" i="23" s="1"/>
  <c r="BH18" i="23" s="1"/>
  <c r="G26" i="25"/>
  <c r="T72" i="30"/>
  <c r="G30" i="25" s="1"/>
  <c r="DO63" i="30"/>
  <c r="DO60" i="30"/>
  <c r="DO65" i="30" s="1"/>
  <c r="DO73" i="30" s="1"/>
  <c r="DO80" i="30" s="1"/>
  <c r="CU26" i="25"/>
  <c r="BQ163" i="30"/>
  <c r="BQ195" i="30"/>
  <c r="BQ199" i="30"/>
  <c r="BM169" i="39"/>
  <c r="AF144" i="39"/>
  <c r="BL107" i="59"/>
  <c r="DN25" i="30"/>
  <c r="DN23" i="30"/>
  <c r="CE117" i="30"/>
  <c r="CG69" i="25"/>
  <c r="CL70" i="25" s="1"/>
  <c r="CQ29" i="30"/>
  <c r="CG73" i="25" s="1"/>
  <c r="J27" i="32"/>
  <c r="I26" i="32"/>
  <c r="T7" i="40"/>
  <c r="BC26" i="25"/>
  <c r="BH72" i="30"/>
  <c r="BC30" i="25" s="1"/>
  <c r="BF44" i="25"/>
  <c r="BF46" i="25" s="1"/>
  <c r="BQ34" i="39"/>
  <c r="AJ8" i="39"/>
  <c r="BR8" i="39" s="1"/>
  <c r="AK59" i="30"/>
  <c r="AK80" i="30"/>
  <c r="CY158" i="30"/>
  <c r="CO40" i="25"/>
  <c r="P13" i="40"/>
  <c r="O18" i="40"/>
  <c r="CK113" i="30"/>
  <c r="BJ170" i="59"/>
  <c r="BH170" i="59" s="1"/>
  <c r="BJ178" i="59"/>
  <c r="BN154" i="30"/>
  <c r="BN195" i="30"/>
  <c r="BN199" i="30" s="1"/>
  <c r="BN211" i="30" s="1"/>
  <c r="BN163" i="30"/>
  <c r="CD158" i="30"/>
  <c r="R15" i="40"/>
  <c r="P64" i="32"/>
  <c r="P9" i="32"/>
  <c r="Q61" i="32"/>
  <c r="Q59" i="32" s="1"/>
  <c r="CP13" i="25"/>
  <c r="CP14" i="25"/>
  <c r="CP15" i="25"/>
  <c r="CP11" i="25"/>
  <c r="AB117" i="85"/>
  <c r="AC116" i="85"/>
  <c r="DJ65" i="30"/>
  <c r="DJ73" i="30" s="1"/>
  <c r="DJ80" i="30" s="1"/>
  <c r="DJ61" i="30"/>
  <c r="BG103" i="30"/>
  <c r="CV25" i="25"/>
  <c r="CV28" i="25"/>
  <c r="CV27" i="25"/>
  <c r="EG204" i="30"/>
  <c r="S14" i="52"/>
  <c r="BR58" i="30"/>
  <c r="BQ59" i="30"/>
  <c r="BQ64" i="30" s="1"/>
  <c r="BQ72" i="30" s="1"/>
  <c r="BQ63" i="30"/>
  <c r="BQ71" i="30" s="1"/>
  <c r="AC194" i="30"/>
  <c r="DJ198" i="30"/>
  <c r="DJ209" i="30"/>
  <c r="BQ22" i="23" s="1"/>
  <c r="BQ61" i="23" s="1"/>
  <c r="DE61" i="30"/>
  <c r="DE65" i="30"/>
  <c r="BM163" i="30"/>
  <c r="BM154" i="30"/>
  <c r="BM195" i="30"/>
  <c r="BR151" i="30"/>
  <c r="W22" i="40"/>
  <c r="P32" i="40"/>
  <c r="O33" i="40"/>
  <c r="O35" i="40" s="1"/>
  <c r="O38" i="40"/>
  <c r="DQ72" i="30"/>
  <c r="DG30" i="25"/>
  <c r="DG26" i="25"/>
  <c r="BF28" i="25"/>
  <c r="BF25" i="25"/>
  <c r="CS196" i="30"/>
  <c r="BS151" i="30"/>
  <c r="AJ13" i="39"/>
  <c r="BR13" i="39" s="1"/>
  <c r="BQ40" i="39"/>
  <c r="DL64" i="30"/>
  <c r="DL60" i="30"/>
  <c r="CM67" i="23"/>
  <c r="CM68" i="23"/>
  <c r="BL71" i="30"/>
  <c r="BG16" i="25"/>
  <c r="BG18" i="25" s="1"/>
  <c r="BG12" i="25"/>
  <c r="DG198" i="30"/>
  <c r="DH208" i="30"/>
  <c r="CH38" i="25"/>
  <c r="DF26" i="25"/>
  <c r="DP72" i="30"/>
  <c r="DF30" i="25"/>
  <c r="H57" i="38"/>
  <c r="CP86" i="30"/>
  <c r="CF113" i="30"/>
  <c r="CF87" i="30"/>
  <c r="BO113" i="39"/>
  <c r="AH73" i="39"/>
  <c r="P40" i="33"/>
  <c r="CW23" i="30"/>
  <c r="CW25" i="30"/>
  <c r="AE64" i="30"/>
  <c r="DM59" i="30"/>
  <c r="DO208" i="30"/>
  <c r="DR208" i="30" s="1"/>
  <c r="DP208" i="30"/>
  <c r="DN208" i="30"/>
  <c r="DQ208" i="30"/>
  <c r="DJ71" i="30"/>
  <c r="CZ16" i="25"/>
  <c r="CZ12" i="25"/>
  <c r="CR23" i="30"/>
  <c r="CR25" i="30"/>
  <c r="BU28" i="25"/>
  <c r="BU25" i="25"/>
  <c r="G16" i="38"/>
  <c r="BH407" i="39"/>
  <c r="CZ67" i="23"/>
  <c r="CZ68" i="23" s="1"/>
  <c r="BM63" i="30"/>
  <c r="BM59" i="30"/>
  <c r="BM64" i="30" s="1"/>
  <c r="BN58" i="30"/>
  <c r="T78" i="32"/>
  <c r="CW16" i="25"/>
  <c r="CY61" i="30"/>
  <c r="CY65" i="30"/>
  <c r="CY73" i="30" s="1"/>
  <c r="CY80" i="30" s="1"/>
  <c r="AE422" i="23"/>
  <c r="AF422" i="23" s="1"/>
  <c r="AG422" i="23" s="1"/>
  <c r="BF39" i="25"/>
  <c r="BF42" i="25"/>
  <c r="CR25" i="25"/>
  <c r="CR28" i="25"/>
  <c r="CS26" i="25"/>
  <c r="BM173" i="39"/>
  <c r="AF148" i="39"/>
  <c r="BN148" i="39"/>
  <c r="P38" i="25"/>
  <c r="P82" i="25"/>
  <c r="BF14" i="25"/>
  <c r="BF11" i="25"/>
  <c r="DK29" i="30"/>
  <c r="DA73" i="25" s="1"/>
  <c r="DA69" i="25"/>
  <c r="L225" i="60"/>
  <c r="CA116" i="30"/>
  <c r="CA114" i="30"/>
  <c r="G46" i="25"/>
  <c r="G45" i="25"/>
  <c r="BB28" i="25"/>
  <c r="BB25" i="25"/>
  <c r="DB63" i="30"/>
  <c r="DB60" i="30"/>
  <c r="AC60" i="30" s="1"/>
  <c r="CC59" i="30"/>
  <c r="CC64" i="30" s="1"/>
  <c r="CP18" i="25"/>
  <c r="DN65" i="30"/>
  <c r="DN73" i="30" s="1"/>
  <c r="DN80" i="30" s="1"/>
  <c r="CJ69" i="25"/>
  <c r="CT29" i="30"/>
  <c r="CZ26" i="25"/>
  <c r="DJ72" i="30"/>
  <c r="CZ30" i="25" s="1"/>
  <c r="CZ32" i="25" s="1"/>
  <c r="BG130" i="30"/>
  <c r="BG119" i="30"/>
  <c r="DK61" i="30"/>
  <c r="DK65" i="30"/>
  <c r="CL75" i="25"/>
  <c r="R86" i="32"/>
  <c r="AR8" i="59"/>
  <c r="CY86" i="30"/>
  <c r="CT87" i="30"/>
  <c r="CT113" i="30"/>
  <c r="CY211" i="30"/>
  <c r="BF20" i="23"/>
  <c r="DK198" i="30"/>
  <c r="DK209" i="30"/>
  <c r="BR22" i="23" s="1"/>
  <c r="BR61" i="23" s="1"/>
  <c r="AI61" i="30"/>
  <c r="CI37" i="25"/>
  <c r="BL158" i="30"/>
  <c r="BG44" i="25" s="1"/>
  <c r="BG40" i="25"/>
  <c r="N14" i="25"/>
  <c r="N11" i="25"/>
  <c r="DC11" i="30"/>
  <c r="AC32" i="30"/>
  <c r="AD12" i="30"/>
  <c r="AC12" i="30"/>
  <c r="S64" i="25"/>
  <c r="BP199" i="30"/>
  <c r="DG199" i="30"/>
  <c r="CW11" i="25"/>
  <c r="CW15" i="25"/>
  <c r="CW14" i="25"/>
  <c r="BV117" i="30"/>
  <c r="DL375" i="23"/>
  <c r="B21" i="32"/>
  <c r="B20" i="32" s="1"/>
  <c r="B16" i="32" s="1"/>
  <c r="C20" i="32"/>
  <c r="C16" i="32"/>
  <c r="AF64" i="30"/>
  <c r="DR59" i="30"/>
  <c r="CQ119" i="30"/>
  <c r="AC216" i="23"/>
  <c r="AD216" i="23" s="1"/>
  <c r="AE216" i="23" s="1"/>
  <c r="AF216" i="23" s="1"/>
  <c r="AG216" i="23" s="1"/>
  <c r="AH216" i="23" s="1"/>
  <c r="AI216" i="23" s="1"/>
  <c r="AJ216" i="23" s="1"/>
  <c r="AK216" i="23" s="1"/>
  <c r="AL216" i="23" s="1"/>
  <c r="AM216" i="23" s="1"/>
  <c r="Z219" i="23"/>
  <c r="BS42" i="25"/>
  <c r="AI54" i="39"/>
  <c r="AI57" i="39"/>
  <c r="BQ57" i="39" s="1"/>
  <c r="BP96" i="39"/>
  <c r="BP410" i="39" s="1"/>
  <c r="AH149" i="23"/>
  <c r="CR69" i="25"/>
  <c r="DB29" i="30"/>
  <c r="CR73" i="25" s="1"/>
  <c r="DN71" i="30"/>
  <c r="DD16" i="25" s="1"/>
  <c r="DD12" i="25"/>
  <c r="DG209" i="30"/>
  <c r="BN22" i="23" s="1"/>
  <c r="BN61" i="23" s="1"/>
  <c r="BN63" i="23" s="1"/>
  <c r="BN674" i="23" s="1"/>
  <c r="BN673" i="23" s="1"/>
  <c r="CX22" i="30"/>
  <c r="BL97" i="30"/>
  <c r="BL101" i="30"/>
  <c r="BQ93" i="30"/>
  <c r="BQ97" i="30" s="1"/>
  <c r="BV93" i="30"/>
  <c r="BV123" i="30" s="1"/>
  <c r="BL123" i="30"/>
  <c r="BM171" i="39"/>
  <c r="AF145" i="39"/>
  <c r="BN145" i="39"/>
  <c r="CQ158" i="30"/>
  <c r="CG44" i="25"/>
  <c r="CG40" i="25"/>
  <c r="BS113" i="59"/>
  <c r="DK72" i="30"/>
  <c r="DA30" i="25"/>
  <c r="DA26" i="25"/>
  <c r="CL68" i="25"/>
  <c r="CL71" i="25"/>
  <c r="CQ70" i="25"/>
  <c r="BQ117" i="30"/>
  <c r="S84" i="32"/>
  <c r="BU93" i="30"/>
  <c r="BK97" i="30"/>
  <c r="BK123" i="30"/>
  <c r="CO116" i="30"/>
  <c r="AM49" i="59"/>
  <c r="CO114" i="30"/>
  <c r="CT90" i="30"/>
  <c r="CT91" i="30"/>
  <c r="AW10" i="59"/>
  <c r="G43" i="25"/>
  <c r="DL208" i="30"/>
  <c r="DI198" i="30"/>
  <c r="DI209" i="30"/>
  <c r="BP22" i="23" s="1"/>
  <c r="BP61" i="23" s="1"/>
  <c r="U465" i="23"/>
  <c r="AI72" i="30"/>
  <c r="AB30" i="25" s="1"/>
  <c r="AB26" i="25"/>
  <c r="AB25" i="25" s="1"/>
  <c r="N18" i="25"/>
  <c r="AE58" i="30"/>
  <c r="BL405" i="39"/>
  <c r="BL412" i="39"/>
  <c r="L14" i="38" s="1"/>
  <c r="DA88" i="30"/>
  <c r="CV90" i="30"/>
  <c r="AT10" i="59"/>
  <c r="CO23" i="30"/>
  <c r="CO25" i="30"/>
  <c r="CS22" i="30"/>
  <c r="AI43" i="39"/>
  <c r="BP83" i="39"/>
  <c r="G15" i="25"/>
  <c r="G14" i="25"/>
  <c r="G11" i="25"/>
  <c r="AF143" i="39"/>
  <c r="BM168" i="39"/>
  <c r="N28" i="25"/>
  <c r="N25" i="25"/>
  <c r="DG60" i="30"/>
  <c r="DG64" i="30"/>
  <c r="S86" i="32"/>
  <c r="CA117" i="30"/>
  <c r="BH12" i="25"/>
  <c r="BM71" i="30"/>
  <c r="BH16" i="25" s="1"/>
  <c r="CW29" i="30"/>
  <c r="CM73" i="25" s="1"/>
  <c r="CM69" i="25"/>
  <c r="BN143" i="39"/>
  <c r="AG120" i="39"/>
  <c r="AJ16" i="39"/>
  <c r="BR16" i="39" s="1"/>
  <c r="BQ43" i="39"/>
  <c r="AY10" i="59"/>
  <c r="AY11" i="59" s="1"/>
  <c r="AB27" i="25"/>
  <c r="BG203" i="59"/>
  <c r="DI199" i="30"/>
  <c r="CG39" i="25"/>
  <c r="CG42" i="25"/>
  <c r="CL41" i="25"/>
  <c r="CA93" i="30"/>
  <c r="BG39" i="25"/>
  <c r="BG42" i="25"/>
  <c r="CJ68" i="25"/>
  <c r="CN69" i="25"/>
  <c r="CO70" i="25"/>
  <c r="CR12" i="25"/>
  <c r="DB71" i="30"/>
  <c r="CR16" i="25" s="1"/>
  <c r="C194" i="59"/>
  <c r="CW18" i="25"/>
  <c r="DO198" i="30"/>
  <c r="DM64" i="30"/>
  <c r="U26" i="25"/>
  <c r="AE72" i="30"/>
  <c r="Q40" i="33"/>
  <c r="AN8" i="59"/>
  <c r="AN12" i="59" s="1"/>
  <c r="AN57" i="59" s="1"/>
  <c r="CU86" i="30"/>
  <c r="CP113" i="30"/>
  <c r="DF25" i="25"/>
  <c r="DF29" i="25"/>
  <c r="DF27" i="25"/>
  <c r="DF28" i="25"/>
  <c r="DL72" i="30"/>
  <c r="DB30" i="25"/>
  <c r="DB26" i="25"/>
  <c r="BR163" i="30"/>
  <c r="BR195" i="30"/>
  <c r="BR59" i="30"/>
  <c r="BR64" i="30" s="1"/>
  <c r="BR72" i="30" s="1"/>
  <c r="BS58" i="30"/>
  <c r="BR63" i="30"/>
  <c r="BR71" i="30" s="1"/>
  <c r="BN158" i="30"/>
  <c r="BI44" i="25" s="1"/>
  <c r="BI46" i="25" s="1"/>
  <c r="BI40" i="25"/>
  <c r="Q13" i="40"/>
  <c r="P18" i="40"/>
  <c r="BC28" i="25"/>
  <c r="BC25" i="25"/>
  <c r="DC63" i="30"/>
  <c r="DL198" i="30"/>
  <c r="DL209" i="30"/>
  <c r="BS22" i="23" s="1"/>
  <c r="BS61" i="23" s="1"/>
  <c r="CZ14" i="25"/>
  <c r="CZ11" i="25"/>
  <c r="J26" i="32"/>
  <c r="K27" i="32"/>
  <c r="DN29" i="30"/>
  <c r="DD73" i="25" s="1"/>
  <c r="DD69" i="25"/>
  <c r="DG72" i="30"/>
  <c r="CW30" i="25"/>
  <c r="CW26" i="25"/>
  <c r="CS25" i="30"/>
  <c r="CE69" i="25"/>
  <c r="CO29" i="30"/>
  <c r="CO117" i="30"/>
  <c r="CO119" i="30"/>
  <c r="AM55" i="59"/>
  <c r="BQ101" i="30"/>
  <c r="BQ103" i="30" s="1"/>
  <c r="BL102" i="30"/>
  <c r="BL103" i="30"/>
  <c r="BL104" i="30" s="1"/>
  <c r="CR70" i="25"/>
  <c r="CR71" i="25"/>
  <c r="CW70" i="25"/>
  <c r="AJ25" i="39"/>
  <c r="BR25" i="39" s="1"/>
  <c r="BQ54" i="39"/>
  <c r="BQ410" i="39"/>
  <c r="DR64" i="30"/>
  <c r="Y26" i="25"/>
  <c r="AF72" i="30"/>
  <c r="S77" i="25"/>
  <c r="S65" i="25"/>
  <c r="T65" i="25"/>
  <c r="W65" i="25" s="1"/>
  <c r="L559" i="23"/>
  <c r="L560" i="23" s="1"/>
  <c r="L549" i="23" s="1"/>
  <c r="CS64" i="25"/>
  <c r="BI203" i="59"/>
  <c r="DK199" i="30"/>
  <c r="CJ73" i="25"/>
  <c r="CX29" i="30"/>
  <c r="DA70" i="25"/>
  <c r="DA68" i="25"/>
  <c r="DA71" i="25"/>
  <c r="U78" i="32"/>
  <c r="G49" i="38"/>
  <c r="G51" i="38"/>
  <c r="DN198" i="30"/>
  <c r="BP73" i="39"/>
  <c r="AI36" i="39"/>
  <c r="I57" i="38"/>
  <c r="Q32" i="40"/>
  <c r="P33" i="40"/>
  <c r="P35" i="40" s="1"/>
  <c r="P38" i="40"/>
  <c r="BH40" i="25"/>
  <c r="BM158" i="30"/>
  <c r="BH44" i="25" s="1"/>
  <c r="BH46" i="25" s="1"/>
  <c r="BT154" i="30"/>
  <c r="T14" i="52"/>
  <c r="AC117" i="85"/>
  <c r="AD116" i="85"/>
  <c r="X93" i="30"/>
  <c r="P26" i="32"/>
  <c r="X238" i="30"/>
  <c r="AA238" i="30"/>
  <c r="P75" i="32"/>
  <c r="P72" i="32"/>
  <c r="P73" i="32"/>
  <c r="P88" i="32"/>
  <c r="P74" i="32"/>
  <c r="P77" i="32"/>
  <c r="P76" i="32"/>
  <c r="CO42" i="25"/>
  <c r="CO39" i="25"/>
  <c r="DO71" i="30"/>
  <c r="DE16" i="25"/>
  <c r="DE12" i="25"/>
  <c r="G28" i="25"/>
  <c r="G25" i="25"/>
  <c r="G29" i="25"/>
  <c r="CO11" i="25"/>
  <c r="CO14" i="25"/>
  <c r="CS12" i="25"/>
  <c r="CY113" i="30"/>
  <c r="AW8" i="59"/>
  <c r="DD86" i="30"/>
  <c r="AM77" i="30"/>
  <c r="M225" i="60"/>
  <c r="CR29" i="30"/>
  <c r="CH73" i="25"/>
  <c r="CH69" i="25"/>
  <c r="DG25" i="25"/>
  <c r="DG28" i="25"/>
  <c r="DG27" i="25"/>
  <c r="BM199" i="30"/>
  <c r="BM211" i="30" s="1"/>
  <c r="M195" i="30"/>
  <c r="M199" i="30"/>
  <c r="BH203" i="59"/>
  <c r="DJ199" i="30"/>
  <c r="DC194" i="30"/>
  <c r="CK114" i="30"/>
  <c r="CK116" i="30"/>
  <c r="CG68" i="25"/>
  <c r="CG71" i="25"/>
  <c r="CG72" i="25"/>
  <c r="AG114" i="39"/>
  <c r="BN144" i="39"/>
  <c r="G32" i="25"/>
  <c r="Q23" i="40"/>
  <c r="P30" i="40"/>
  <c r="T87" i="32"/>
  <c r="CO16" i="25"/>
  <c r="CO15" i="25" s="1"/>
  <c r="DC71" i="30"/>
  <c r="DG65" i="30"/>
  <c r="DG73" i="30"/>
  <c r="DG80" i="30" s="1"/>
  <c r="DG61" i="30"/>
  <c r="CV91" i="30"/>
  <c r="AE63" i="30"/>
  <c r="AF58" i="30"/>
  <c r="AE60" i="30"/>
  <c r="DM58" i="30"/>
  <c r="CY90" i="30"/>
  <c r="CY91" i="30" s="1"/>
  <c r="BP123" i="30"/>
  <c r="BK127" i="30"/>
  <c r="BK124" i="30"/>
  <c r="BK113" i="30"/>
  <c r="BK137" i="30"/>
  <c r="BZ93" i="30"/>
  <c r="BU123" i="30"/>
  <c r="BU97" i="30"/>
  <c r="T84" i="32"/>
  <c r="T74" i="32"/>
  <c r="U74" i="32" s="1"/>
  <c r="V74" i="32" s="1"/>
  <c r="DA28" i="25"/>
  <c r="DA25" i="25"/>
  <c r="DA27" i="25"/>
  <c r="BL127" i="30"/>
  <c r="BQ123" i="30"/>
  <c r="BL137" i="30"/>
  <c r="BL124" i="30"/>
  <c r="BL98" i="30"/>
  <c r="BL119" i="30"/>
  <c r="DI13" i="25"/>
  <c r="DD15" i="25"/>
  <c r="DD14" i="25"/>
  <c r="DD11" i="25"/>
  <c r="DD13" i="25"/>
  <c r="AI149" i="23"/>
  <c r="C17" i="32"/>
  <c r="C79" i="32"/>
  <c r="C78" i="32"/>
  <c r="C88" i="32"/>
  <c r="BN20" i="23"/>
  <c r="DG211" i="30"/>
  <c r="DM208" i="30"/>
  <c r="CT116" i="30"/>
  <c r="AR49" i="59"/>
  <c r="CT114" i="30"/>
  <c r="CZ29" i="25"/>
  <c r="CZ28" i="25"/>
  <c r="CZ27" i="25"/>
  <c r="CZ25" i="25"/>
  <c r="DE27" i="25"/>
  <c r="CX25" i="30"/>
  <c r="DB61" i="30"/>
  <c r="DB65" i="30"/>
  <c r="DB73" i="30" s="1"/>
  <c r="DB80" i="30" s="1"/>
  <c r="BF43" i="25"/>
  <c r="BN63" i="30"/>
  <c r="BN59" i="30"/>
  <c r="BN64" i="30"/>
  <c r="DQ198" i="30"/>
  <c r="BO203" i="59"/>
  <c r="DP198" i="30"/>
  <c r="CF114" i="30"/>
  <c r="CF116" i="30"/>
  <c r="DF32" i="25"/>
  <c r="BG14" i="25"/>
  <c r="BG15" i="25"/>
  <c r="BG11" i="25"/>
  <c r="DL61" i="30"/>
  <c r="DL65" i="30"/>
  <c r="DL73" i="30" s="1"/>
  <c r="DL80" i="30" s="1"/>
  <c r="BS195" i="30"/>
  <c r="BS199" i="30"/>
  <c r="BS163" i="30"/>
  <c r="S15" i="40"/>
  <c r="CO44" i="25"/>
  <c r="CO43" i="25" s="1"/>
  <c r="U7" i="40"/>
  <c r="CU27" i="25"/>
  <c r="CU25" i="25"/>
  <c r="CU28" i="25"/>
  <c r="BD28" i="25"/>
  <c r="BD29" i="25"/>
  <c r="BD25" i="25"/>
  <c r="CF117" i="30"/>
  <c r="BU103" i="30"/>
  <c r="BU119" i="30"/>
  <c r="AF63" i="30"/>
  <c r="AG58" i="30"/>
  <c r="AF192" i="30"/>
  <c r="R32" i="40"/>
  <c r="AJ10" i="39"/>
  <c r="BR10" i="39"/>
  <c r="BQ36" i="39"/>
  <c r="DR72" i="30"/>
  <c r="Y30" i="25"/>
  <c r="CE68" i="25"/>
  <c r="CE71" i="25"/>
  <c r="CI69" i="25"/>
  <c r="BU124" i="30"/>
  <c r="BU127" i="30"/>
  <c r="AE71" i="30"/>
  <c r="U12" i="25"/>
  <c r="R23" i="40"/>
  <c r="Q30" i="40"/>
  <c r="AH74" i="39"/>
  <c r="BP74" i="39" s="1"/>
  <c r="BO114" i="39"/>
  <c r="N225" i="60"/>
  <c r="AO75" i="30"/>
  <c r="DI86" i="30"/>
  <c r="BB8" i="59"/>
  <c r="DD113" i="30"/>
  <c r="DD87" i="30"/>
  <c r="DD90" i="30"/>
  <c r="DD91" i="30"/>
  <c r="BH43" i="25"/>
  <c r="BH42" i="25"/>
  <c r="BH39" i="25"/>
  <c r="V78" i="32"/>
  <c r="Y28" i="25"/>
  <c r="Y29" i="25"/>
  <c r="DH26" i="25"/>
  <c r="Y25" i="25"/>
  <c r="BS63" i="30"/>
  <c r="BS71" i="30" s="1"/>
  <c r="BS59" i="30"/>
  <c r="BS64" i="30"/>
  <c r="BS72" i="30" s="1"/>
  <c r="CP114" i="30"/>
  <c r="AN49" i="59"/>
  <c r="CP116" i="30"/>
  <c r="R40" i="33"/>
  <c r="DM72" i="30"/>
  <c r="U30" i="25"/>
  <c r="CK93" i="30"/>
  <c r="CK123" i="30" s="1"/>
  <c r="CK124" i="30" s="1"/>
  <c r="CF93" i="30"/>
  <c r="CA123" i="30"/>
  <c r="T86" i="32"/>
  <c r="T76" i="32"/>
  <c r="U76" i="32" s="1"/>
  <c r="V76" i="32" s="1"/>
  <c r="W76" i="32" s="1"/>
  <c r="T15" i="40"/>
  <c r="BN71" i="30"/>
  <c r="BI16" i="25"/>
  <c r="BI12" i="25"/>
  <c r="BL130" i="30"/>
  <c r="BL128" i="30"/>
  <c r="BK139" i="30"/>
  <c r="BP137" i="30"/>
  <c r="BK140" i="30"/>
  <c r="P79" i="32"/>
  <c r="P16" i="32" s="1"/>
  <c r="CO74" i="25"/>
  <c r="CN73" i="25"/>
  <c r="R13" i="40"/>
  <c r="BR199" i="30"/>
  <c r="N195" i="30"/>
  <c r="BP20" i="23"/>
  <c r="DI211" i="30"/>
  <c r="CO46" i="25"/>
  <c r="BN203" i="59"/>
  <c r="CT117" i="30"/>
  <c r="AR55" i="59"/>
  <c r="AR56" i="59" s="1"/>
  <c r="CT119" i="30"/>
  <c r="BL139" i="30"/>
  <c r="BL140" i="30"/>
  <c r="BL138" i="30"/>
  <c r="BQ137" i="30"/>
  <c r="CE93" i="30"/>
  <c r="BZ123" i="30"/>
  <c r="CJ93" i="30"/>
  <c r="CJ123" i="30" s="1"/>
  <c r="BZ97" i="30"/>
  <c r="BK128" i="30"/>
  <c r="BK130" i="30"/>
  <c r="CO18" i="25"/>
  <c r="CH68" i="25"/>
  <c r="CH71" i="25"/>
  <c r="DE14" i="25"/>
  <c r="DE13" i="25"/>
  <c r="DE11" i="25"/>
  <c r="U14" i="52"/>
  <c r="F187" i="59"/>
  <c r="CS77" i="25"/>
  <c r="CW25" i="25"/>
  <c r="CW27" i="25"/>
  <c r="CW28" i="25"/>
  <c r="K26" i="32"/>
  <c r="L27" i="32"/>
  <c r="DB28" i="25"/>
  <c r="DB29" i="25"/>
  <c r="DB25" i="25"/>
  <c r="DB27" i="25"/>
  <c r="AS8" i="59"/>
  <c r="AS9" i="59" s="1"/>
  <c r="CU113" i="30"/>
  <c r="CZ86" i="30"/>
  <c r="DC26" i="25"/>
  <c r="U29" i="25"/>
  <c r="U27" i="25"/>
  <c r="U28" i="25"/>
  <c r="X28" i="25" s="1"/>
  <c r="U25" i="25"/>
  <c r="X26" i="25"/>
  <c r="X27" i="25" s="1"/>
  <c r="CJ72" i="25"/>
  <c r="CM72" i="25"/>
  <c r="CM71" i="25"/>
  <c r="CM68" i="25"/>
  <c r="CM70" i="25"/>
  <c r="BH14" i="25"/>
  <c r="BH11" i="25"/>
  <c r="AJ149" i="23"/>
  <c r="BR20" i="23"/>
  <c r="DK211" i="30"/>
  <c r="V7" i="40"/>
  <c r="BQ131" i="30"/>
  <c r="BQ127" i="30"/>
  <c r="BQ147" i="30"/>
  <c r="BQ148" i="30" s="1"/>
  <c r="BK116" i="30"/>
  <c r="BK114" i="30"/>
  <c r="BP113" i="30"/>
  <c r="BU114" i="30"/>
  <c r="BK120" i="30"/>
  <c r="BP127" i="30"/>
  <c r="AE80" i="30"/>
  <c r="DM60" i="30"/>
  <c r="AE65" i="30"/>
  <c r="AE61" i="30"/>
  <c r="CK117" i="30"/>
  <c r="BQ20" i="23"/>
  <c r="DJ211" i="30"/>
  <c r="CY114" i="30"/>
  <c r="AW49" i="59"/>
  <c r="CY116" i="30"/>
  <c r="AA93" i="30"/>
  <c r="AE116" i="85"/>
  <c r="AD117" i="85"/>
  <c r="BL203" i="59"/>
  <c r="AF198" i="30"/>
  <c r="CE73" i="25"/>
  <c r="CJ74" i="25" s="1"/>
  <c r="CS29" i="30"/>
  <c r="DD71" i="25"/>
  <c r="DD68" i="25"/>
  <c r="BJ203" i="59"/>
  <c r="DL199" i="30"/>
  <c r="BI42" i="25"/>
  <c r="BI39" i="25"/>
  <c r="BI43" i="25"/>
  <c r="DB32" i="25"/>
  <c r="BM203" i="59"/>
  <c r="CR11" i="25"/>
  <c r="CR14" i="25"/>
  <c r="CW13" i="25"/>
  <c r="CJ70" i="25"/>
  <c r="AE198" i="30"/>
  <c r="BO120" i="39"/>
  <c r="AH82" i="39"/>
  <c r="CM75" i="25"/>
  <c r="BS20" i="23"/>
  <c r="DL211" i="30"/>
  <c r="CY117" i="30"/>
  <c r="AW55" i="59"/>
  <c r="CY119" i="30"/>
  <c r="CO93" i="30"/>
  <c r="CE123" i="30"/>
  <c r="W78" i="32"/>
  <c r="O225" i="60"/>
  <c r="AP75" i="30"/>
  <c r="U16" i="25"/>
  <c r="BU128" i="30"/>
  <c r="BU130" i="30"/>
  <c r="BU140" i="30"/>
  <c r="AG63" i="30"/>
  <c r="AG192" i="30"/>
  <c r="D121" i="59"/>
  <c r="BQ128" i="30"/>
  <c r="BQ130" i="30"/>
  <c r="AK149" i="23"/>
  <c r="X29" i="25"/>
  <c r="AS49" i="59"/>
  <c r="AX50" i="59" s="1"/>
  <c r="CU114" i="30"/>
  <c r="CU116" i="30"/>
  <c r="BZ103" i="30"/>
  <c r="BZ104" i="30" s="1"/>
  <c r="CJ97" i="30"/>
  <c r="BZ98" i="30"/>
  <c r="CE97" i="30"/>
  <c r="BZ119" i="30"/>
  <c r="BQ138" i="30"/>
  <c r="BQ140" i="30"/>
  <c r="BQ141" i="30" s="1"/>
  <c r="S13" i="40"/>
  <c r="CF123" i="30"/>
  <c r="CP93" i="30"/>
  <c r="S40" i="33"/>
  <c r="DD114" i="30"/>
  <c r="DD116" i="30"/>
  <c r="BB49" i="59"/>
  <c r="R30" i="40"/>
  <c r="S23" i="40"/>
  <c r="Y32" i="25"/>
  <c r="AE117" i="85"/>
  <c r="AF116" i="85"/>
  <c r="BP120" i="30"/>
  <c r="BP116" i="30"/>
  <c r="BP147" i="30"/>
  <c r="BP154" i="30" s="1"/>
  <c r="BP158" i="30" s="1"/>
  <c r="AX8" i="59"/>
  <c r="AX51" i="59" s="1"/>
  <c r="DE86" i="30"/>
  <c r="CZ113" i="30"/>
  <c r="O195" i="30"/>
  <c r="BT195" i="30"/>
  <c r="N199" i="30"/>
  <c r="H52" i="53"/>
  <c r="H54" i="53" s="1"/>
  <c r="DM198" i="30"/>
  <c r="H11" i="53"/>
  <c r="H203" i="59"/>
  <c r="I203" i="59"/>
  <c r="I11" i="53"/>
  <c r="I52" i="53"/>
  <c r="DR198" i="30"/>
  <c r="AE73" i="30"/>
  <c r="DM65" i="30"/>
  <c r="BK117" i="30"/>
  <c r="BK119" i="30"/>
  <c r="X25" i="25"/>
  <c r="DC25" i="25"/>
  <c r="M27" i="32"/>
  <c r="M26" i="32" s="1"/>
  <c r="BK142" i="30"/>
  <c r="BI14" i="25"/>
  <c r="BI11" i="25"/>
  <c r="U15" i="40"/>
  <c r="U31" i="25"/>
  <c r="X30" i="25"/>
  <c r="X31" i="25" s="1"/>
  <c r="U32" i="25"/>
  <c r="X32" i="25" s="1"/>
  <c r="AN55" i="59"/>
  <c r="CP117" i="30"/>
  <c r="Y27" i="25"/>
  <c r="BB9" i="59"/>
  <c r="S32" i="40"/>
  <c r="Y12" i="25"/>
  <c r="AF71" i="30"/>
  <c r="BP82" i="39"/>
  <c r="AI42" i="39"/>
  <c r="CE75" i="25"/>
  <c r="BP128" i="30"/>
  <c r="W7" i="40"/>
  <c r="BZ124" i="30"/>
  <c r="BZ127" i="30"/>
  <c r="BL141" i="30"/>
  <c r="BP140" i="30"/>
  <c r="CA127" i="30"/>
  <c r="DI90" i="30"/>
  <c r="DI91" i="30"/>
  <c r="DI87" i="30"/>
  <c r="BG8" i="59"/>
  <c r="BG9" i="59" s="1"/>
  <c r="DN86" i="30"/>
  <c r="DI113" i="30"/>
  <c r="U13" i="25"/>
  <c r="U15" i="25"/>
  <c r="X12" i="25"/>
  <c r="U11" i="25"/>
  <c r="X11" i="25" s="1"/>
  <c r="U14" i="25"/>
  <c r="X14" i="25" s="1"/>
  <c r="DQ192" i="30"/>
  <c r="DR192" i="30"/>
  <c r="CA140" i="30"/>
  <c r="T32" i="40"/>
  <c r="CZ114" i="30"/>
  <c r="CZ116" i="30"/>
  <c r="AX49" i="59"/>
  <c r="BP117" i="30"/>
  <c r="BU117" i="30"/>
  <c r="DV192" i="30"/>
  <c r="DW192" i="30" s="1"/>
  <c r="AG60" i="30"/>
  <c r="BU141" i="30"/>
  <c r="BU142" i="30"/>
  <c r="P225" i="60"/>
  <c r="AQ75" i="30"/>
  <c r="X78" i="32"/>
  <c r="CE124" i="30"/>
  <c r="AW56" i="59"/>
  <c r="DI114" i="30"/>
  <c r="DI116" i="30"/>
  <c r="BG49" i="59"/>
  <c r="BG50" i="59" s="1"/>
  <c r="DE90" i="30"/>
  <c r="BC8" i="59"/>
  <c r="BC12" i="59" s="1"/>
  <c r="DJ86" i="30"/>
  <c r="DE113" i="30"/>
  <c r="DE87" i="30"/>
  <c r="BB51" i="59"/>
  <c r="T13" i="40"/>
  <c r="CJ103" i="30"/>
  <c r="CJ104" i="30" s="1"/>
  <c r="CJ95" i="30"/>
  <c r="AS51" i="59"/>
  <c r="CT93" i="30"/>
  <c r="CO123" i="30"/>
  <c r="AM121" i="59"/>
  <c r="X15" i="25"/>
  <c r="DN90" i="30"/>
  <c r="DN91" i="30"/>
  <c r="DN113" i="30"/>
  <c r="BL8" i="59"/>
  <c r="BQ8" i="59" s="1"/>
  <c r="BV8" i="59" s="1"/>
  <c r="BZ130" i="30"/>
  <c r="BZ128" i="30"/>
  <c r="BZ140" i="30"/>
  <c r="W14" i="52"/>
  <c r="BQ42" i="39"/>
  <c r="AJ15" i="39"/>
  <c r="BR15" i="39" s="1"/>
  <c r="Y16" i="25"/>
  <c r="V15" i="40"/>
  <c r="BB55" i="59"/>
  <c r="DD117" i="30"/>
  <c r="DD119" i="30"/>
  <c r="CU93" i="30"/>
  <c r="CP123" i="30"/>
  <c r="AN121" i="59"/>
  <c r="AG71" i="30"/>
  <c r="Z12" i="25"/>
  <c r="Y15" i="25"/>
  <c r="Y14" i="25"/>
  <c r="Y13" i="25"/>
  <c r="Y11" i="25"/>
  <c r="BT199" i="30"/>
  <c r="BP148" i="30"/>
  <c r="Y31" i="25"/>
  <c r="T23" i="40"/>
  <c r="S30" i="40"/>
  <c r="T40" i="33"/>
  <c r="CF124" i="30"/>
  <c r="CO97" i="30"/>
  <c r="CE103" i="30"/>
  <c r="CE104" i="30" s="1"/>
  <c r="CE95" i="30"/>
  <c r="CE119" i="30"/>
  <c r="CU117" i="30"/>
  <c r="AS55" i="59"/>
  <c r="AL149" i="23"/>
  <c r="AM149" i="23"/>
  <c r="U18" i="25"/>
  <c r="X18" i="25" s="1"/>
  <c r="X16" i="25"/>
  <c r="X17" i="25" s="1"/>
  <c r="U17" i="25"/>
  <c r="AO216" i="30"/>
  <c r="CO95" i="30"/>
  <c r="CO103" i="30"/>
  <c r="U40" i="33"/>
  <c r="U23" i="40"/>
  <c r="T30" i="40"/>
  <c r="X14" i="52"/>
  <c r="CT123" i="30"/>
  <c r="CY93" i="30"/>
  <c r="AR121" i="59"/>
  <c r="CT94" i="30"/>
  <c r="CJ96" i="30"/>
  <c r="CJ125" i="30"/>
  <c r="U13" i="40"/>
  <c r="AR75" i="30"/>
  <c r="Q225" i="60"/>
  <c r="BT171" i="59"/>
  <c r="BT170" i="59" s="1"/>
  <c r="DV58" i="30"/>
  <c r="AX55" i="59"/>
  <c r="CZ117" i="30"/>
  <c r="Z16" i="25"/>
  <c r="CP124" i="30"/>
  <c r="W15" i="40"/>
  <c r="DN114" i="30"/>
  <c r="DN116" i="30"/>
  <c r="BL49" i="59"/>
  <c r="DE114" i="30"/>
  <c r="DE116" i="30"/>
  <c r="BC49" i="59"/>
  <c r="BC50" i="59" s="1"/>
  <c r="DI119" i="30"/>
  <c r="BG55" i="59"/>
  <c r="DI117" i="30"/>
  <c r="CE125" i="30"/>
  <c r="CE96" i="30"/>
  <c r="CU94" i="30"/>
  <c r="AS121" i="59"/>
  <c r="CU123" i="30"/>
  <c r="CZ93" i="30"/>
  <c r="Y18" i="25"/>
  <c r="Y17" i="25"/>
  <c r="DJ90" i="30"/>
  <c r="DJ91" i="30"/>
  <c r="DO86" i="30"/>
  <c r="DJ113" i="30"/>
  <c r="BH8" i="59"/>
  <c r="AP216" i="30"/>
  <c r="U32" i="40"/>
  <c r="Z15" i="25"/>
  <c r="Z13" i="25"/>
  <c r="Z14" i="25"/>
  <c r="Z11" i="25"/>
  <c r="BZ142" i="30"/>
  <c r="BZ141" i="30"/>
  <c r="CO124" i="30"/>
  <c r="BC9" i="59"/>
  <c r="AG80" i="30"/>
  <c r="AG59" i="30"/>
  <c r="AG61" i="30"/>
  <c r="AG194" i="30"/>
  <c r="AG65" i="30"/>
  <c r="AG73" i="30" s="1"/>
  <c r="AG64" i="30"/>
  <c r="DO113" i="30"/>
  <c r="DO90" i="30"/>
  <c r="DO91" i="30"/>
  <c r="BM8" i="59"/>
  <c r="BM12" i="59" s="1"/>
  <c r="BM15" i="59" s="1"/>
  <c r="CZ123" i="30"/>
  <c r="AX121" i="59"/>
  <c r="DE93" i="30"/>
  <c r="BL55" i="59"/>
  <c r="DN117" i="30"/>
  <c r="DN119" i="30"/>
  <c r="V13" i="40"/>
  <c r="CT124" i="30"/>
  <c r="Y14" i="52"/>
  <c r="CU124" i="30"/>
  <c r="CE126" i="30"/>
  <c r="CE127" i="30"/>
  <c r="DE119" i="30"/>
  <c r="DE117" i="30"/>
  <c r="BC55" i="59"/>
  <c r="Z17" i="25"/>
  <c r="Z18" i="25"/>
  <c r="AQ216" i="30"/>
  <c r="CT95" i="30"/>
  <c r="AM122" i="59"/>
  <c r="AM123" i="59" s="1"/>
  <c r="CO96" i="30"/>
  <c r="CO125" i="30"/>
  <c r="DV194" i="30"/>
  <c r="DW194" i="30" s="1"/>
  <c r="V40" i="33"/>
  <c r="V32" i="40"/>
  <c r="DJ114" i="30"/>
  <c r="DJ116" i="30"/>
  <c r="BH49" i="59"/>
  <c r="DW58" i="30"/>
  <c r="R225" i="60"/>
  <c r="AS75" i="30"/>
  <c r="S225" i="60" s="1"/>
  <c r="CJ126" i="30"/>
  <c r="CY123" i="30"/>
  <c r="AW121" i="59"/>
  <c r="DD93" i="30"/>
  <c r="V23" i="40"/>
  <c r="U30" i="40"/>
  <c r="Z14" i="52"/>
  <c r="AA14" i="52" s="1"/>
  <c r="AB14" i="52" s="1"/>
  <c r="AC14" i="52" s="1"/>
  <c r="AD14" i="52" s="1"/>
  <c r="AE14" i="52" s="1"/>
  <c r="DO114" i="30"/>
  <c r="BM49" i="59"/>
  <c r="DO116" i="30"/>
  <c r="Z26" i="25"/>
  <c r="AG72" i="30"/>
  <c r="CY124" i="30"/>
  <c r="AR216" i="30"/>
  <c r="W40" i="33"/>
  <c r="CY95" i="30"/>
  <c r="CT97" i="30"/>
  <c r="CT125" i="30"/>
  <c r="AR122" i="59"/>
  <c r="AR125" i="59" s="1"/>
  <c r="W13" i="40"/>
  <c r="BC121" i="59"/>
  <c r="DE123" i="30"/>
  <c r="DJ93" i="30"/>
  <c r="W23" i="40"/>
  <c r="W30" i="40"/>
  <c r="V30" i="40"/>
  <c r="CO126" i="30"/>
  <c r="CO127" i="30"/>
  <c r="BB121" i="59"/>
  <c r="DI93" i="30"/>
  <c r="DD123" i="30"/>
  <c r="BH55" i="59"/>
  <c r="DJ117" i="30"/>
  <c r="DJ119" i="30"/>
  <c r="W32" i="40"/>
  <c r="CE128" i="30"/>
  <c r="CE140" i="30"/>
  <c r="CE141" i="30" s="1"/>
  <c r="CE130" i="30"/>
  <c r="CZ124" i="30"/>
  <c r="CT103" i="30"/>
  <c r="CT104" i="30" s="1"/>
  <c r="CT98" i="30"/>
  <c r="Z30" i="25"/>
  <c r="DO117" i="30"/>
  <c r="BM55" i="59"/>
  <c r="DO119" i="30"/>
  <c r="AS216" i="30"/>
  <c r="BH121" i="59"/>
  <c r="BH124" i="59" s="1"/>
  <c r="DO93" i="30"/>
  <c r="BM121" i="59" s="1"/>
  <c r="DD95" i="30"/>
  <c r="BB122" i="59" s="1"/>
  <c r="AW122" i="59"/>
  <c r="CY97" i="30"/>
  <c r="CY125" i="30"/>
  <c r="Z29" i="25"/>
  <c r="DD124" i="30"/>
  <c r="DE124" i="30"/>
  <c r="BH56" i="59"/>
  <c r="BG121" i="59"/>
  <c r="DN93" i="30"/>
  <c r="CO130" i="30"/>
  <c r="AM149" i="59"/>
  <c r="CO128" i="30"/>
  <c r="CT126" i="30"/>
  <c r="CT127" i="30"/>
  <c r="AR149" i="59" s="1"/>
  <c r="X40" i="33"/>
  <c r="BL121" i="59"/>
  <c r="BQ121" i="59" s="1"/>
  <c r="DS93" i="30" s="1"/>
  <c r="DS94" i="30" s="1"/>
  <c r="AT216" i="30"/>
  <c r="Y40" i="33"/>
  <c r="DD125" i="30"/>
  <c r="DD126" i="30" s="1"/>
  <c r="DD97" i="30"/>
  <c r="CY126" i="30"/>
  <c r="CY127" i="30"/>
  <c r="CY130" i="30" s="1"/>
  <c r="CY98" i="30"/>
  <c r="Z31" i="25"/>
  <c r="Z32" i="25"/>
  <c r="AA31" i="25"/>
  <c r="DD98" i="30"/>
  <c r="Z40" i="33"/>
  <c r="CY128" i="30"/>
  <c r="AW149" i="59"/>
  <c r="DD127" i="30"/>
  <c r="DD130" i="30" s="1"/>
  <c r="BL124" i="59"/>
  <c r="AU216" i="30"/>
  <c r="BB149" i="59"/>
  <c r="DD128" i="30"/>
  <c r="AA40" i="33"/>
  <c r="AV216" i="30"/>
  <c r="AW216" i="30"/>
  <c r="AB40" i="33"/>
  <c r="AC40" i="33"/>
  <c r="AX216" i="30"/>
  <c r="AD40" i="33"/>
  <c r="M156" i="31"/>
  <c r="AT75" i="30"/>
  <c r="AL216" i="30"/>
  <c r="AL78" i="30"/>
  <c r="AN219" i="30"/>
  <c r="AO219" i="30" s="1"/>
  <c r="AP219" i="30" s="1"/>
  <c r="AQ219" i="30" s="1"/>
  <c r="AR219" i="30" s="1"/>
  <c r="AS219" i="30" s="1"/>
  <c r="AT219" i="30" s="1"/>
  <c r="AU219" i="30" s="1"/>
  <c r="AV219" i="30" s="1"/>
  <c r="AW219" i="30" s="1"/>
  <c r="AX219" i="30" s="1"/>
  <c r="DJ409" i="23"/>
  <c r="DL409" i="23"/>
  <c r="DI409" i="23"/>
  <c r="BE154" i="59"/>
  <c r="BJ154" i="59"/>
  <c r="BE155" i="59"/>
  <c r="BL222" i="59"/>
  <c r="CN111" i="59"/>
  <c r="CN114" i="59" s="1"/>
  <c r="P7" i="53"/>
  <c r="AN155" i="59"/>
  <c r="I154" i="59"/>
  <c r="D75" i="73"/>
  <c r="F221" i="60"/>
  <c r="CF194" i="59"/>
  <c r="CF198" i="59" s="1"/>
  <c r="CO10" i="23" s="1"/>
  <c r="CO13" i="23" s="1"/>
  <c r="BO143" i="59"/>
  <c r="BG170" i="59"/>
  <c r="BG105" i="59" s="1"/>
  <c r="BG111" i="59" s="1"/>
  <c r="BI170" i="59"/>
  <c r="BR178" i="59"/>
  <c r="E163" i="59"/>
  <c r="AW155" i="59"/>
  <c r="BF142" i="59"/>
  <c r="AT11" i="59"/>
  <c r="I248" i="59"/>
  <c r="BP248" i="59" s="1"/>
  <c r="BS162" i="59"/>
  <c r="BJ163" i="59"/>
  <c r="BL162" i="59"/>
  <c r="CG155" i="59"/>
  <c r="BD75" i="73"/>
  <c r="G223" i="59"/>
  <c r="G243" i="59" s="1"/>
  <c r="M37" i="59"/>
  <c r="N308" i="59"/>
  <c r="M89" i="59"/>
  <c r="N322" i="59"/>
  <c r="M322" i="59"/>
  <c r="N37" i="59"/>
  <c r="M308" i="59"/>
  <c r="CJ36" i="59"/>
  <c r="BW180" i="59"/>
  <c r="BI33" i="59"/>
  <c r="BN33" i="59" s="1"/>
  <c r="BD224" i="59"/>
  <c r="P196" i="59"/>
  <c r="CO196" i="59"/>
  <c r="AD84" i="25"/>
  <c r="AF84" i="25" s="1"/>
  <c r="P195" i="59"/>
  <c r="AD83" i="25"/>
  <c r="CO195" i="59"/>
  <c r="BJ111" i="59"/>
  <c r="BJ99" i="59"/>
  <c r="BJ101" i="59" s="1"/>
  <c r="BJ77" i="59"/>
  <c r="CA150" i="59"/>
  <c r="Y285" i="59"/>
  <c r="S39" i="59"/>
  <c r="AD85" i="25"/>
  <c r="P197" i="59"/>
  <c r="BT158" i="59"/>
  <c r="BO158" i="59"/>
  <c r="BO159" i="59"/>
  <c r="CF149" i="59"/>
  <c r="CF150" i="59" s="1"/>
  <c r="CT196" i="59"/>
  <c r="CP253" i="59"/>
  <c r="CK253" i="59"/>
  <c r="CA180" i="59"/>
  <c r="CA174" i="59"/>
  <c r="CA202" i="59" s="1"/>
  <c r="BC162" i="59"/>
  <c r="BC163" i="59"/>
  <c r="G221" i="59"/>
  <c r="G129" i="59"/>
  <c r="BO123" i="59"/>
  <c r="BO218" i="59" s="1"/>
  <c r="BO155" i="59"/>
  <c r="BO129" i="59"/>
  <c r="BO221" i="59"/>
  <c r="BJ123" i="59"/>
  <c r="BJ218" i="59" s="1"/>
  <c r="BJ221" i="59"/>
  <c r="BJ155" i="59"/>
  <c r="N92" i="59"/>
  <c r="Q16" i="52"/>
  <c r="CJ91" i="59"/>
  <c r="O91" i="59"/>
  <c r="M93" i="59"/>
  <c r="AJ16" i="30"/>
  <c r="AJ19" i="30" s="1"/>
  <c r="G93" i="59"/>
  <c r="V196" i="59"/>
  <c r="BO149" i="59"/>
  <c r="BH149" i="59"/>
  <c r="L153" i="59"/>
  <c r="CK149" i="59"/>
  <c r="CK150" i="59" s="1"/>
  <c r="AV18" i="59"/>
  <c r="K153" i="59"/>
  <c r="AD66" i="25"/>
  <c r="AF66" i="25" s="1"/>
  <c r="BM87" i="73"/>
  <c r="BM88" i="73"/>
  <c r="DT11" i="30"/>
  <c r="DT12" i="30" s="1"/>
  <c r="DT10" i="30"/>
  <c r="DS18" i="30"/>
  <c r="DI67" i="25"/>
  <c r="CS324" i="59"/>
  <c r="CA324" i="59"/>
  <c r="CA310" i="59"/>
  <c r="BV101" i="59"/>
  <c r="CA46" i="59"/>
  <c r="BR8" i="59"/>
  <c r="BW8" i="59" s="1"/>
  <c r="CG310" i="59"/>
  <c r="CG324" i="59"/>
  <c r="BS126" i="59"/>
  <c r="BH30" i="59"/>
  <c r="BR129" i="59"/>
  <c r="CW170" i="59"/>
  <c r="BH59" i="59"/>
  <c r="DJ140" i="30" s="1"/>
  <c r="CV170" i="59"/>
  <c r="CV149" i="59" s="1"/>
  <c r="CU170" i="59"/>
  <c r="CU149" i="59" s="1"/>
  <c r="AG351" i="23"/>
  <c r="AD452" i="23"/>
  <c r="CY401" i="23"/>
  <c r="K575" i="23"/>
  <c r="K578" i="23"/>
  <c r="BA7" i="23"/>
  <c r="R322" i="23"/>
  <c r="S322" i="23" s="1"/>
  <c r="N431" i="23"/>
  <c r="M384" i="23"/>
  <c r="M380" i="23"/>
  <c r="N427" i="23"/>
  <c r="CZ401" i="23"/>
  <c r="M546" i="23"/>
  <c r="DB401" i="23"/>
  <c r="Q30" i="56"/>
  <c r="Z306" i="23"/>
  <c r="DD405" i="23"/>
  <c r="BI9" i="23"/>
  <c r="K620" i="23"/>
  <c r="J23" i="56"/>
  <c r="BS108" i="23"/>
  <c r="J207" i="23"/>
  <c r="J240" i="23" s="1"/>
  <c r="Z27" i="25"/>
  <c r="Z25" i="25"/>
  <c r="AA27" i="25"/>
  <c r="Z28" i="25"/>
  <c r="DE154" i="30"/>
  <c r="DE163" i="30"/>
  <c r="DG163" i="30"/>
  <c r="DG154" i="30"/>
  <c r="S15" i="25"/>
  <c r="AF8" i="25"/>
  <c r="AG8" i="25"/>
  <c r="CE72" i="25"/>
  <c r="C32" i="25"/>
  <c r="D31" i="25"/>
  <c r="G77" i="25"/>
  <c r="CP28" i="25"/>
  <c r="BD223" i="59"/>
  <c r="BJ9" i="23"/>
  <c r="I516" i="23"/>
  <c r="I482" i="23"/>
  <c r="BG77" i="25"/>
  <c r="BB77" i="25"/>
  <c r="CE24" i="25"/>
  <c r="DF67" i="25"/>
  <c r="J543" i="23"/>
  <c r="AF355" i="23"/>
  <c r="AG355" i="23" s="1"/>
  <c r="AH355" i="23" s="1"/>
  <c r="AD410" i="23"/>
  <c r="AF356" i="23"/>
  <c r="AN60" i="30"/>
  <c r="AN80" i="30"/>
  <c r="DT25" i="30"/>
  <c r="DT20" i="30"/>
  <c r="DU11" i="30"/>
  <c r="DU23" i="30" s="1"/>
  <c r="DU10" i="30"/>
  <c r="DU17" i="30"/>
  <c r="DT18" i="30"/>
  <c r="DT17" i="30"/>
  <c r="BN87" i="73"/>
  <c r="DB221" i="59"/>
  <c r="DA221" i="59"/>
  <c r="DA313" i="59"/>
  <c r="CZ313" i="59"/>
  <c r="CZ221" i="59"/>
  <c r="CB166" i="59"/>
  <c r="AU75" i="30"/>
  <c r="T225" i="60"/>
  <c r="AL84" i="25"/>
  <c r="W196" i="59"/>
  <c r="AM84" i="25" s="1"/>
  <c r="CX221" i="59"/>
  <c r="N7" i="53"/>
  <c r="AF85" i="25"/>
  <c r="H221" i="60"/>
  <c r="CE153" i="59"/>
  <c r="Z285" i="59"/>
  <c r="AA285" i="59"/>
  <c r="BT126" i="59"/>
  <c r="R431" i="23"/>
  <c r="N384" i="23"/>
  <c r="AH351" i="23"/>
  <c r="DL405" i="23"/>
  <c r="CW40" i="25"/>
  <c r="DG158" i="30"/>
  <c r="CW44" i="25" s="1"/>
  <c r="CU40" i="25"/>
  <c r="DE158" i="30"/>
  <c r="DB313" i="59"/>
  <c r="DB178" i="59"/>
  <c r="DA178" i="59"/>
  <c r="DC221" i="59"/>
  <c r="AM42" i="30"/>
  <c r="R129" i="59"/>
  <c r="DC178" i="59"/>
  <c r="DC313" i="59"/>
  <c r="U225" i="60"/>
  <c r="AV75" i="30"/>
  <c r="BR79" i="73"/>
  <c r="BR78" i="73"/>
  <c r="AI351" i="23"/>
  <c r="AJ351" i="23" s="1"/>
  <c r="S431" i="23"/>
  <c r="R384" i="23"/>
  <c r="CW39" i="25"/>
  <c r="CW42" i="25"/>
  <c r="CU39" i="25"/>
  <c r="CU41" i="25"/>
  <c r="CU42" i="25"/>
  <c r="CU44" i="25"/>
  <c r="L75" i="73"/>
  <c r="N221" i="60"/>
  <c r="J81" i="63" s="1"/>
  <c r="AN51" i="30"/>
  <c r="AJ9" i="25" s="1"/>
  <c r="DD153" i="59"/>
  <c r="AN42" i="30"/>
  <c r="AN45" i="30" s="1"/>
  <c r="AN241" i="30" s="1"/>
  <c r="DD128" i="59"/>
  <c r="AW75" i="30"/>
  <c r="V225" i="60"/>
  <c r="AB285" i="59"/>
  <c r="AC285" i="59"/>
  <c r="T431" i="23"/>
  <c r="U431" i="23" s="1"/>
  <c r="S384" i="23"/>
  <c r="CU45" i="25"/>
  <c r="CU46" i="25"/>
  <c r="CU43" i="25"/>
  <c r="AO42" i="30"/>
  <c r="AX75" i="30"/>
  <c r="X225" i="60"/>
  <c r="W225" i="60"/>
  <c r="V221" i="59"/>
  <c r="AP42" i="30"/>
  <c r="AO51" i="30"/>
  <c r="AK9" i="25" s="1"/>
  <c r="O221" i="60"/>
  <c r="DI178" i="59"/>
  <c r="AO60" i="30"/>
  <c r="AQ42" i="30"/>
  <c r="W221" i="59"/>
  <c r="AP51" i="30"/>
  <c r="AP63" i="30" s="1"/>
  <c r="P221" i="60"/>
  <c r="L81" i="63" s="1"/>
  <c r="AR42" i="30"/>
  <c r="AN7" i="25" s="1"/>
  <c r="AG558" i="23" s="1"/>
  <c r="X221" i="59"/>
  <c r="AO80" i="30"/>
  <c r="AP192" i="30"/>
  <c r="V171" i="59" s="1"/>
  <c r="V178" i="59" s="1"/>
  <c r="AP60" i="30"/>
  <c r="AQ51" i="30"/>
  <c r="AM9" i="25" s="1"/>
  <c r="Q221" i="60"/>
  <c r="M81" i="63" s="1"/>
  <c r="AP194" i="30"/>
  <c r="AP80" i="30"/>
  <c r="Y221" i="59"/>
  <c r="AS42" i="30"/>
  <c r="AS45" i="30" s="1"/>
  <c r="AS241" i="30" s="1"/>
  <c r="AQ192" i="30"/>
  <c r="W171" i="59"/>
  <c r="W178" i="59" s="1"/>
  <c r="AQ60" i="30"/>
  <c r="AR51" i="30"/>
  <c r="AR54" i="30" s="1"/>
  <c r="R221" i="60"/>
  <c r="N81" i="63" s="1"/>
  <c r="AR192" i="30"/>
  <c r="X171" i="59" s="1"/>
  <c r="X178" i="59" s="1"/>
  <c r="AR60" i="30"/>
  <c r="Z221" i="59"/>
  <c r="AT42" i="30"/>
  <c r="AP7" i="25" s="1"/>
  <c r="AI558" i="23" s="1"/>
  <c r="AQ194" i="30"/>
  <c r="AQ80" i="30"/>
  <c r="AS51" i="30"/>
  <c r="AS63" i="30" s="1"/>
  <c r="S221" i="60"/>
  <c r="AU42" i="30"/>
  <c r="AU45" i="30" s="1"/>
  <c r="AU241" i="30" s="1"/>
  <c r="AA221" i="59"/>
  <c r="AR194" i="30"/>
  <c r="AR80" i="30"/>
  <c r="AS192" i="30"/>
  <c r="Y171" i="59"/>
  <c r="Y178" i="59" s="1"/>
  <c r="AS60" i="30"/>
  <c r="AS80" i="30" s="1"/>
  <c r="AT51" i="30"/>
  <c r="AP9" i="25" s="1"/>
  <c r="T221" i="60"/>
  <c r="AT192" i="30"/>
  <c r="Z171" i="59"/>
  <c r="Z178" i="59" s="1"/>
  <c r="AT60" i="30"/>
  <c r="AS194" i="30"/>
  <c r="AV42" i="30"/>
  <c r="AR7" i="25" s="1"/>
  <c r="AK558" i="23" s="1"/>
  <c r="AB221" i="59"/>
  <c r="AU51" i="30"/>
  <c r="AU63" i="30" s="1"/>
  <c r="AQ12" i="25" s="1"/>
  <c r="U221" i="60"/>
  <c r="AT194" i="30"/>
  <c r="AT80" i="30"/>
  <c r="AU192" i="30"/>
  <c r="AA171" i="59"/>
  <c r="AA178" i="59" s="1"/>
  <c r="AU60" i="30"/>
  <c r="AU194" i="30" s="1"/>
  <c r="AC221" i="59"/>
  <c r="AW42" i="30"/>
  <c r="AW45" i="30" s="1"/>
  <c r="AW241" i="30" s="1"/>
  <c r="AV51" i="30"/>
  <c r="AR9" i="25" s="1"/>
  <c r="V221" i="60"/>
  <c r="X221" i="60"/>
  <c r="B223" i="60" s="1"/>
  <c r="AX42" i="30"/>
  <c r="AX45" i="30" s="1"/>
  <c r="AX241" i="30" s="1"/>
  <c r="AU80" i="30"/>
  <c r="AV192" i="30"/>
  <c r="AB171" i="59" s="1"/>
  <c r="AB178" i="59" s="1"/>
  <c r="AV60" i="30"/>
  <c r="AW51" i="30"/>
  <c r="AW63" i="30" s="1"/>
  <c r="AW71" i="30" s="1"/>
  <c r="AS16" i="25" s="1"/>
  <c r="W221" i="60"/>
  <c r="AX51" i="30"/>
  <c r="AT9" i="25" s="1"/>
  <c r="AV194" i="30"/>
  <c r="AV80" i="30"/>
  <c r="AW192" i="30"/>
  <c r="AC171" i="59" s="1"/>
  <c r="AC178" i="59" s="1"/>
  <c r="AW60" i="30"/>
  <c r="AX60" i="30"/>
  <c r="AX80" i="30"/>
  <c r="AX192" i="30"/>
  <c r="AD171" i="59"/>
  <c r="AD178" i="59" s="1"/>
  <c r="AW194" i="30"/>
  <c r="AW80" i="30"/>
  <c r="AX194" i="30"/>
  <c r="AG274" i="23"/>
  <c r="AH274" i="23"/>
  <c r="AI274" i="23"/>
  <c r="AJ274" i="23"/>
  <c r="AK274" i="23"/>
  <c r="AL274" i="23"/>
  <c r="AM274" i="23"/>
  <c r="AD274" i="23"/>
  <c r="AE274" i="23"/>
  <c r="AF274" i="23"/>
  <c r="CD123" i="59"/>
  <c r="EF97" i="30" s="1"/>
  <c r="CL100" i="59"/>
  <c r="DC232" i="59"/>
  <c r="T232" i="59" s="1"/>
  <c r="DD232" i="59" s="1"/>
  <c r="BC154" i="59"/>
  <c r="S195" i="59"/>
  <c r="CY195" i="59" s="1"/>
  <c r="AX54" i="30"/>
  <c r="AX65" i="30" s="1"/>
  <c r="AX73" i="30" s="1"/>
  <c r="AN9" i="25"/>
  <c r="W9" i="23"/>
  <c r="Y9" i="23" s="1"/>
  <c r="B81" i="63"/>
  <c r="AC235" i="23"/>
  <c r="AD235" i="23" s="1"/>
  <c r="AE235" i="23" s="1"/>
  <c r="AF235" i="23" s="1"/>
  <c r="AG235" i="23" s="1"/>
  <c r="AH235" i="23" s="1"/>
  <c r="AI235" i="23" s="1"/>
  <c r="AJ235" i="23" s="1"/>
  <c r="AK235" i="23" s="1"/>
  <c r="AL235" i="23" s="1"/>
  <c r="AM235" i="23" s="1"/>
  <c r="AN235" i="23" s="1"/>
  <c r="L78" i="73"/>
  <c r="L79" i="73"/>
  <c r="AD247" i="23"/>
  <c r="AE247" i="23"/>
  <c r="AF247" i="23"/>
  <c r="AG247" i="23"/>
  <c r="AH247" i="23"/>
  <c r="AI247" i="23"/>
  <c r="AJ247" i="23"/>
  <c r="AK247" i="23"/>
  <c r="AL247" i="23"/>
  <c r="AM247" i="23"/>
  <c r="CW29" i="25"/>
  <c r="CW32" i="25"/>
  <c r="DB31" i="25"/>
  <c r="AB29" i="25"/>
  <c r="AB32" i="25"/>
  <c r="AB31" i="25"/>
  <c r="BG26" i="25"/>
  <c r="BL72" i="30"/>
  <c r="BG30" i="25" s="1"/>
  <c r="BG32" i="25" s="1"/>
  <c r="O26" i="25"/>
  <c r="DI15" i="25"/>
  <c r="DI17" i="25"/>
  <c r="AA112" i="23"/>
  <c r="K32" i="25"/>
  <c r="K29" i="25"/>
  <c r="CL43" i="25"/>
  <c r="CL45" i="25"/>
  <c r="CL46" i="25"/>
  <c r="CQ45" i="25"/>
  <c r="O12" i="25"/>
  <c r="BZ71" i="30"/>
  <c r="BP16" i="25" s="1"/>
  <c r="BP12" i="25"/>
  <c r="BD12" i="25"/>
  <c r="BI71" i="30"/>
  <c r="BD16" i="25"/>
  <c r="BD18" i="25" s="1"/>
  <c r="EF194" i="30"/>
  <c r="EG192" i="30"/>
  <c r="CD171" i="59"/>
  <c r="CD170" i="59" s="1"/>
  <c r="M10" i="52"/>
  <c r="CG59" i="30"/>
  <c r="CG64" i="30"/>
  <c r="N26" i="32"/>
  <c r="N74" i="32"/>
  <c r="N72" i="32"/>
  <c r="T93" i="30"/>
  <c r="N75" i="32"/>
  <c r="N76" i="32"/>
  <c r="T238" i="30"/>
  <c r="N20" i="32"/>
  <c r="N10" i="32"/>
  <c r="N88" i="32"/>
  <c r="N73" i="32"/>
  <c r="N77" i="32"/>
  <c r="BT156" i="30"/>
  <c r="N158" i="30"/>
  <c r="N163" i="30"/>
  <c r="BT163" i="30" s="1"/>
  <c r="N205" i="30"/>
  <c r="O156" i="30"/>
  <c r="BI18" i="25"/>
  <c r="BI15" i="25"/>
  <c r="BH15" i="25"/>
  <c r="BH18" i="25"/>
  <c r="DA32" i="25"/>
  <c r="DF31" i="25"/>
  <c r="DA31" i="25"/>
  <c r="DA29" i="25"/>
  <c r="DC30" i="25"/>
  <c r="AC61" i="30"/>
  <c r="AC65" i="30"/>
  <c r="AC80" i="30"/>
  <c r="DC80" i="30" s="1"/>
  <c r="DC60" i="30"/>
  <c r="CZ18" i="25"/>
  <c r="CZ15" i="25"/>
  <c r="DG32" i="25"/>
  <c r="DG29" i="25"/>
  <c r="DG31" i="25"/>
  <c r="BU46" i="25"/>
  <c r="BU43" i="25"/>
  <c r="BQ26" i="25"/>
  <c r="CA72" i="30"/>
  <c r="BQ30" i="25" s="1"/>
  <c r="BQ32" i="25" s="1"/>
  <c r="CV31" i="25"/>
  <c r="CV29" i="25"/>
  <c r="CV32" i="25"/>
  <c r="BM405" i="39"/>
  <c r="BM412" i="39"/>
  <c r="M14" i="38" s="1"/>
  <c r="F52" i="53"/>
  <c r="F54" i="53" s="1"/>
  <c r="AC199" i="30"/>
  <c r="DC198" i="30"/>
  <c r="F11" i="53"/>
  <c r="CU74" i="25"/>
  <c r="CU72" i="25"/>
  <c r="CU75" i="25"/>
  <c r="DC151" i="30"/>
  <c r="DB154" i="30"/>
  <c r="DB163" i="30"/>
  <c r="DC163" i="30"/>
  <c r="P42" i="25"/>
  <c r="Q41" i="25"/>
  <c r="P39" i="25"/>
  <c r="P41" i="25"/>
  <c r="P43" i="25"/>
  <c r="I15" i="38"/>
  <c r="I19" i="38"/>
  <c r="I21" i="38" s="1"/>
  <c r="DM69" i="30"/>
  <c r="DK73" i="30"/>
  <c r="DF154" i="30"/>
  <c r="DF163" i="30"/>
  <c r="BR410" i="39"/>
  <c r="T13" i="32"/>
  <c r="T75" i="32"/>
  <c r="AE93" i="30"/>
  <c r="T77" i="32"/>
  <c r="U77" i="32"/>
  <c r="T20" i="32"/>
  <c r="AE238" i="30"/>
  <c r="T72" i="32"/>
  <c r="T88" i="32"/>
  <c r="T73" i="32"/>
  <c r="L36" i="33"/>
  <c r="K36" i="33"/>
  <c r="H92" i="73"/>
  <c r="H94" i="73" s="1"/>
  <c r="BN72" i="30"/>
  <c r="BI30" i="25" s="1"/>
  <c r="BI32" i="25" s="1"/>
  <c r="BI26" i="25"/>
  <c r="DE18" i="25"/>
  <c r="DE17" i="25"/>
  <c r="DE15" i="25"/>
  <c r="P39" i="40"/>
  <c r="DD75" i="25"/>
  <c r="DD72" i="25"/>
  <c r="CR15" i="25"/>
  <c r="CW17" i="25"/>
  <c r="CR18" i="25"/>
  <c r="CS16" i="25"/>
  <c r="CG46" i="25"/>
  <c r="CG43" i="25"/>
  <c r="B17" i="32"/>
  <c r="B79" i="32"/>
  <c r="B78" i="32" s="1"/>
  <c r="B88" i="32" s="1"/>
  <c r="C18" i="32"/>
  <c r="BS26" i="25"/>
  <c r="R59" i="32"/>
  <c r="Q62" i="32"/>
  <c r="Q64" i="32" s="1"/>
  <c r="Q9" i="32" s="1"/>
  <c r="AE199" i="30"/>
  <c r="DM194" i="30"/>
  <c r="BI20" i="23"/>
  <c r="BR26" i="25"/>
  <c r="CB72" i="30"/>
  <c r="BR30" i="25"/>
  <c r="BR32" i="25" s="1"/>
  <c r="H29" i="38"/>
  <c r="H56" i="38" s="1"/>
  <c r="N39" i="40"/>
  <c r="G29" i="38"/>
  <c r="N29" i="25"/>
  <c r="N32" i="25"/>
  <c r="BN32" i="25"/>
  <c r="BN29" i="25"/>
  <c r="DO25" i="30"/>
  <c r="DO23" i="30"/>
  <c r="BM107" i="59"/>
  <c r="BM113" i="59" s="1"/>
  <c r="DE32" i="25"/>
  <c r="DE29" i="25"/>
  <c r="DE31" i="25"/>
  <c r="DH30" i="25"/>
  <c r="O75" i="32"/>
  <c r="U238" i="30"/>
  <c r="P10" i="32"/>
  <c r="O76" i="32"/>
  <c r="O88" i="32"/>
  <c r="Z238" i="30"/>
  <c r="O10" i="32"/>
  <c r="O26" i="32"/>
  <c r="O74" i="32"/>
  <c r="O73" i="32"/>
  <c r="U93" i="30"/>
  <c r="O72" i="32"/>
  <c r="O77" i="32"/>
  <c r="R71" i="30"/>
  <c r="F16" i="25" s="1"/>
  <c r="F12" i="25"/>
  <c r="L72" i="32"/>
  <c r="L77" i="32"/>
  <c r="L76" i="32"/>
  <c r="L74" i="32"/>
  <c r="L20" i="32"/>
  <c r="N238" i="30"/>
  <c r="L75" i="32"/>
  <c r="L10" i="32"/>
  <c r="L83" i="32"/>
  <c r="N93" i="30"/>
  <c r="M10" i="32"/>
  <c r="L26" i="32"/>
  <c r="CP32" i="25"/>
  <c r="CP29" i="25"/>
  <c r="K19" i="38"/>
  <c r="J21" i="38"/>
  <c r="L39" i="40"/>
  <c r="F29" i="38"/>
  <c r="E29" i="38"/>
  <c r="E56" i="38" s="1"/>
  <c r="D29" i="38"/>
  <c r="D56" i="38" s="1"/>
  <c r="J39" i="40"/>
  <c r="Q36" i="95"/>
  <c r="R36" i="95" s="1"/>
  <c r="G92" i="73"/>
  <c r="G94" i="73" s="1"/>
  <c r="CM74" i="25"/>
  <c r="CH72" i="25"/>
  <c r="CI73" i="25"/>
  <c r="CH75" i="25"/>
  <c r="O39" i="40"/>
  <c r="I29" i="38"/>
  <c r="I56" i="38" s="1"/>
  <c r="BC32" i="25"/>
  <c r="BC29" i="25"/>
  <c r="D17" i="32"/>
  <c r="D79" i="32"/>
  <c r="D78" i="32" s="1"/>
  <c r="D88" i="32" s="1"/>
  <c r="E18" i="32"/>
  <c r="D18" i="32"/>
  <c r="DM63" i="30"/>
  <c r="DB12" i="25"/>
  <c r="DL71" i="30"/>
  <c r="BP26" i="25"/>
  <c r="BZ72" i="30"/>
  <c r="BP30" i="25" s="1"/>
  <c r="BF32" i="25"/>
  <c r="BF29" i="25"/>
  <c r="BU29" i="25"/>
  <c r="BU32" i="25"/>
  <c r="K56" i="53"/>
  <c r="AD198" i="30"/>
  <c r="DE199" i="30"/>
  <c r="BH20" i="23"/>
  <c r="DA211" i="30"/>
  <c r="C18" i="25"/>
  <c r="C15" i="25"/>
  <c r="D17" i="25"/>
  <c r="AC135" i="85"/>
  <c r="AD135" i="85" s="1"/>
  <c r="AE135" i="85" s="1"/>
  <c r="AF135" i="85" s="1"/>
  <c r="AD136" i="85"/>
  <c r="AE136" i="85" s="1"/>
  <c r="AF136" i="85" s="1"/>
  <c r="I39" i="40"/>
  <c r="B29" i="38"/>
  <c r="B56" i="38" s="1"/>
  <c r="C29" i="38"/>
  <c r="BK405" i="39"/>
  <c r="BK412" i="39"/>
  <c r="K14" i="38"/>
  <c r="BK409" i="39"/>
  <c r="K12" i="25"/>
  <c r="F71" i="30"/>
  <c r="K16" i="25"/>
  <c r="K18" i="25" s="1"/>
  <c r="CL91" i="30"/>
  <c r="CL119" i="30"/>
  <c r="R8" i="40"/>
  <c r="Q38" i="40"/>
  <c r="Q18" i="40"/>
  <c r="Q33" i="40"/>
  <c r="Q35" i="40" s="1"/>
  <c r="Q39" i="40" s="1"/>
  <c r="BO171" i="59"/>
  <c r="BO170" i="59" s="1"/>
  <c r="DC208" i="30"/>
  <c r="CC58" i="30"/>
  <c r="CC63" i="30" s="1"/>
  <c r="BI48" i="23"/>
  <c r="BJ48" i="23" s="1"/>
  <c r="BN28" i="25"/>
  <c r="BN25" i="25"/>
  <c r="J578" i="23"/>
  <c r="BK26" i="25"/>
  <c r="BU72" i="30"/>
  <c r="BK30" i="25" s="1"/>
  <c r="BK32" i="25" s="1"/>
  <c r="CM195" i="30"/>
  <c r="CP37" i="23"/>
  <c r="CP38" i="23"/>
  <c r="BU126" i="30"/>
  <c r="BU132" i="30"/>
  <c r="BZ126" i="30"/>
  <c r="EV194" i="30"/>
  <c r="AL60" i="30"/>
  <c r="E11" i="52"/>
  <c r="D10" i="52"/>
  <c r="BF405" i="39"/>
  <c r="BV125" i="30"/>
  <c r="BP54" i="33"/>
  <c r="AO207" i="30"/>
  <c r="J639" i="23"/>
  <c r="L478" i="23"/>
  <c r="S597" i="23"/>
  <c r="T601" i="23" s="1"/>
  <c r="T605" i="23" s="1"/>
  <c r="BW51" i="23"/>
  <c r="BX51" i="23"/>
  <c r="BY51" i="23"/>
  <c r="BZ51" i="23" s="1"/>
  <c r="CI100" i="59"/>
  <c r="E11" i="53"/>
  <c r="CX198" i="30"/>
  <c r="DK172" i="30"/>
  <c r="AE172" i="30" s="1"/>
  <c r="DN204" i="30"/>
  <c r="DP204" i="30"/>
  <c r="DQ204" i="30"/>
  <c r="DO204" i="30"/>
  <c r="DR204" i="30" s="1"/>
  <c r="DV59" i="30"/>
  <c r="BT173" i="59"/>
  <c r="C58" i="30"/>
  <c r="C63" i="30" s="1"/>
  <c r="C59" i="30"/>
  <c r="C64" i="30" s="1"/>
  <c r="O206" i="30"/>
  <c r="AR93" i="59"/>
  <c r="DQ58" i="30"/>
  <c r="DB209" i="30"/>
  <c r="DB211" i="30" s="1"/>
  <c r="O71" i="30"/>
  <c r="M16" i="25"/>
  <c r="M12" i="25"/>
  <c r="M78" i="32"/>
  <c r="R93" i="30"/>
  <c r="CG202" i="30"/>
  <c r="CG192" i="30"/>
  <c r="CF72" i="25"/>
  <c r="CI72" i="25"/>
  <c r="CF75" i="25"/>
  <c r="CK88" i="30"/>
  <c r="CF88" i="30"/>
  <c r="J606" i="23"/>
  <c r="J604" i="23"/>
  <c r="R114" i="23"/>
  <c r="BV67" i="23"/>
  <c r="BV68" i="23"/>
  <c r="BV125" i="23"/>
  <c r="BW124" i="23"/>
  <c r="U391" i="23"/>
  <c r="V391" i="23"/>
  <c r="T31" i="23"/>
  <c r="T27" i="23" s="1"/>
  <c r="T418" i="23" s="1"/>
  <c r="T465" i="23" s="1"/>
  <c r="M397" i="23"/>
  <c r="N444" i="23"/>
  <c r="R444" i="23"/>
  <c r="V435" i="23"/>
  <c r="U433" i="23"/>
  <c r="K25" i="23"/>
  <c r="K418" i="23"/>
  <c r="I25" i="23"/>
  <c r="I418" i="23"/>
  <c r="G63" i="59"/>
  <c r="DH169" i="30"/>
  <c r="BC127" i="73"/>
  <c r="BM136" i="30"/>
  <c r="BR134" i="30"/>
  <c r="BN134" i="30"/>
  <c r="CI174" i="59"/>
  <c r="CI202" i="59" s="1"/>
  <c r="BU194" i="30"/>
  <c r="BV60" i="30"/>
  <c r="DV64" i="30"/>
  <c r="DV72" i="30" s="1"/>
  <c r="CK22" i="25"/>
  <c r="CF24" i="25"/>
  <c r="CR30" i="25"/>
  <c r="CS30" i="25"/>
  <c r="U33" i="20"/>
  <c r="J86" i="38"/>
  <c r="BN93" i="73"/>
  <c r="CQ266" i="59"/>
  <c r="BN94" i="73"/>
  <c r="EI204" i="30"/>
  <c r="EL202" i="30"/>
  <c r="X205" i="30"/>
  <c r="CK195" i="30"/>
  <c r="N616" i="23"/>
  <c r="N620" i="23" s="1"/>
  <c r="M620" i="23"/>
  <c r="N31" i="23"/>
  <c r="H418" i="23"/>
  <c r="H25" i="23"/>
  <c r="CU158" i="30"/>
  <c r="CK40" i="25"/>
  <c r="CG195" i="30"/>
  <c r="CG209" i="30"/>
  <c r="BY180" i="59"/>
  <c r="BY174" i="59"/>
  <c r="BY202" i="59" s="1"/>
  <c r="Y145" i="30"/>
  <c r="U145" i="30"/>
  <c r="CC145" i="30"/>
  <c r="DE68" i="30"/>
  <c r="DE204" i="30"/>
  <c r="DW68" i="30"/>
  <c r="BU65" i="30"/>
  <c r="BU73" i="30"/>
  <c r="BU80" i="30" s="1"/>
  <c r="CY29" i="25"/>
  <c r="DC29" i="25" s="1"/>
  <c r="CY32" i="25"/>
  <c r="EX205" i="30"/>
  <c r="FA205" i="30" s="1"/>
  <c r="L207" i="23"/>
  <c r="L240" i="23" s="1"/>
  <c r="B49" i="38"/>
  <c r="B75" i="38" s="1"/>
  <c r="B51" i="38"/>
  <c r="B15" i="38"/>
  <c r="AH78" i="39"/>
  <c r="BO117" i="39"/>
  <c r="CE71" i="30"/>
  <c r="BU16" i="25"/>
  <c r="BU12" i="25"/>
  <c r="AR36" i="31"/>
  <c r="AT36" i="31"/>
  <c r="AY36" i="31" s="1"/>
  <c r="BD36" i="31" s="1"/>
  <c r="BI36" i="31" s="1"/>
  <c r="F43" i="25"/>
  <c r="F46" i="25"/>
  <c r="DD22" i="30"/>
  <c r="AD22" i="30" s="1"/>
  <c r="AD196" i="30"/>
  <c r="T578" i="23"/>
  <c r="T575" i="23"/>
  <c r="BV112" i="23"/>
  <c r="BV114" i="23"/>
  <c r="BW112" i="23"/>
  <c r="BW114" i="23"/>
  <c r="BX112" i="23"/>
  <c r="BX114" i="23"/>
  <c r="CF125" i="23"/>
  <c r="CF67" i="23"/>
  <c r="CF68" i="23"/>
  <c r="CG124" i="23"/>
  <c r="W108" i="23"/>
  <c r="H37" i="23"/>
  <c r="H38" i="23"/>
  <c r="Z446" i="23"/>
  <c r="AA446" i="23" s="1"/>
  <c r="W399" i="23"/>
  <c r="CK100" i="59"/>
  <c r="CF100" i="59"/>
  <c r="CA194" i="59"/>
  <c r="CA198" i="59" s="1"/>
  <c r="CJ10" i="23" s="1"/>
  <c r="CJ13" i="23" s="1"/>
  <c r="CJ17" i="23" s="1"/>
  <c r="CA101" i="59"/>
  <c r="CA100" i="59"/>
  <c r="DL172" i="30"/>
  <c r="DL173" i="30" s="1"/>
  <c r="BN19" i="59"/>
  <c r="BN223" i="59"/>
  <c r="BN243" i="59" s="1"/>
  <c r="BI223" i="59"/>
  <c r="BI19" i="59"/>
  <c r="CD174" i="59"/>
  <c r="CD202" i="59" s="1"/>
  <c r="CD180" i="59"/>
  <c r="U151" i="30"/>
  <c r="U199" i="30"/>
  <c r="BL45" i="33"/>
  <c r="BH45" i="33"/>
  <c r="BH46" i="33" s="1"/>
  <c r="BG52" i="33"/>
  <c r="R78" i="30"/>
  <c r="S77" i="30"/>
  <c r="BS54" i="30"/>
  <c r="I92" i="59"/>
  <c r="BT7" i="25"/>
  <c r="G8" i="25"/>
  <c r="BO54" i="33"/>
  <c r="DD59" i="30"/>
  <c r="DG404" i="23"/>
  <c r="BF337" i="39"/>
  <c r="F16" i="52"/>
  <c r="EY202" i="30"/>
  <c r="EY204" i="30" s="1"/>
  <c r="Y17" i="30"/>
  <c r="U209" i="30"/>
  <c r="BY47" i="23"/>
  <c r="CB24" i="25"/>
  <c r="B39" i="59"/>
  <c r="AG22" i="30"/>
  <c r="L23" i="52"/>
  <c r="L24" i="52" s="1"/>
  <c r="Q119" i="73"/>
  <c r="BH87" i="73"/>
  <c r="H39" i="63"/>
  <c r="EX202" i="30"/>
  <c r="BP145" i="73"/>
  <c r="X12" i="23"/>
  <c r="J62" i="20"/>
  <c r="J61" i="20" s="1"/>
  <c r="BN68" i="85"/>
  <c r="BS68" i="85" s="1"/>
  <c r="AD453" i="23"/>
  <c r="BF340" i="39"/>
  <c r="BF342" i="39"/>
  <c r="AH61" i="30"/>
  <c r="CX8" i="23"/>
  <c r="C185" i="60"/>
  <c r="D185" i="60" s="1"/>
  <c r="E185" i="60" s="1"/>
  <c r="F185" i="60" s="1"/>
  <c r="G185" i="60" s="1"/>
  <c r="H185" i="60" s="1"/>
  <c r="I185" i="60" s="1"/>
  <c r="J185" i="60" s="1"/>
  <c r="K185" i="60" s="1"/>
  <c r="L185" i="60" s="1"/>
  <c r="M185" i="60" s="1"/>
  <c r="N185" i="60" s="1"/>
  <c r="O185" i="60" s="1"/>
  <c r="P185" i="60" s="1"/>
  <c r="Q185" i="60" s="1"/>
  <c r="R185" i="60" s="1"/>
  <c r="S185" i="60" s="1"/>
  <c r="T185" i="60" s="1"/>
  <c r="U185" i="60" s="1"/>
  <c r="V185" i="60" s="1"/>
  <c r="W185" i="60" s="1"/>
  <c r="X185" i="60" s="1"/>
  <c r="Y185" i="60" s="1"/>
  <c r="BY32" i="23"/>
  <c r="BJ410" i="39"/>
  <c r="BJ409" i="39" s="1"/>
  <c r="J43" i="38" s="1"/>
  <c r="AA62" i="23"/>
  <c r="Z8" i="23"/>
  <c r="DY14" i="20"/>
  <c r="AC408" i="23"/>
  <c r="BZ98" i="73"/>
  <c r="BZ99" i="73" s="1"/>
  <c r="BZ100" i="73" s="1"/>
  <c r="N100" i="33"/>
  <c r="M102" i="33"/>
  <c r="AG158" i="20"/>
  <c r="AB158" i="20"/>
  <c r="AB43" i="23"/>
  <c r="DH43" i="23"/>
  <c r="R12" i="56"/>
  <c r="AC260" i="23"/>
  <c r="T12" i="56"/>
  <c r="K126" i="73"/>
  <c r="K127" i="73" s="1"/>
  <c r="M104" i="33"/>
  <c r="M35" i="33" s="1"/>
  <c r="M36" i="33" s="1"/>
  <c r="N103" i="33"/>
  <c r="AI158" i="20"/>
  <c r="P119" i="73"/>
  <c r="U100" i="73"/>
  <c r="R106" i="59"/>
  <c r="S106" i="59" s="1"/>
  <c r="AE453" i="23"/>
  <c r="AE406" i="23" s="1"/>
  <c r="AD406" i="23"/>
  <c r="DD64" i="30"/>
  <c r="DD60" i="30"/>
  <c r="DH59" i="30"/>
  <c r="Z399" i="23"/>
  <c r="CH124" i="23"/>
  <c r="CH125" i="23" s="1"/>
  <c r="CG125" i="23"/>
  <c r="CG67" i="23"/>
  <c r="CG68" i="23"/>
  <c r="T584" i="23"/>
  <c r="T580" i="23"/>
  <c r="BU18" i="25"/>
  <c r="CK44" i="25"/>
  <c r="N27" i="23"/>
  <c r="CI31" i="23"/>
  <c r="K8" i="56"/>
  <c r="CM88" i="30"/>
  <c r="CK90" i="30"/>
  <c r="CG194" i="30"/>
  <c r="CG199" i="30"/>
  <c r="CG211" i="30" s="1"/>
  <c r="CG58" i="30"/>
  <c r="N17" i="25"/>
  <c r="M18" i="25"/>
  <c r="K14" i="25"/>
  <c r="K11" i="25"/>
  <c r="K15" i="25"/>
  <c r="C56" i="38"/>
  <c r="BL20" i="23"/>
  <c r="BP28" i="25"/>
  <c r="BT26" i="25"/>
  <c r="BP25" i="25"/>
  <c r="DB16" i="25"/>
  <c r="Z93" i="30"/>
  <c r="X94" i="30"/>
  <c r="U94" i="30"/>
  <c r="G56" i="38"/>
  <c r="BR25" i="25"/>
  <c r="BR28" i="25"/>
  <c r="BR29" i="25"/>
  <c r="U73" i="32"/>
  <c r="O205" i="30"/>
  <c r="O209" i="30" s="1"/>
  <c r="N209" i="30"/>
  <c r="N211" i="30"/>
  <c r="N79" i="32"/>
  <c r="N16" i="32"/>
  <c r="DJ408" i="23"/>
  <c r="DK408" i="23"/>
  <c r="EX204" i="30"/>
  <c r="FA202" i="30"/>
  <c r="AG34" i="30"/>
  <c r="DW22" i="30"/>
  <c r="BW95" i="30"/>
  <c r="BM45" i="33"/>
  <c r="BL51" i="33"/>
  <c r="BQ45" i="33"/>
  <c r="CA211" i="59"/>
  <c r="AW36" i="31"/>
  <c r="BB36" i="31" s="1"/>
  <c r="BG36" i="31" s="1"/>
  <c r="BO412" i="39"/>
  <c r="O14" i="38" s="1"/>
  <c r="BO405" i="39"/>
  <c r="DE209" i="30"/>
  <c r="DE211" i="30" s="1"/>
  <c r="DH204" i="30"/>
  <c r="Z145" i="30"/>
  <c r="X145" i="30"/>
  <c r="CH145" i="30"/>
  <c r="X195" i="30"/>
  <c r="CP195" i="30"/>
  <c r="CK151" i="30"/>
  <c r="DQ63" i="30"/>
  <c r="DQ60" i="30"/>
  <c r="DR58" i="30"/>
  <c r="BT180" i="59"/>
  <c r="BT174" i="59"/>
  <c r="BT202" i="59" s="1"/>
  <c r="AL80" i="30"/>
  <c r="BK25" i="25"/>
  <c r="BK29" i="25"/>
  <c r="BK28" i="25"/>
  <c r="K43" i="38"/>
  <c r="K53" i="38" s="1"/>
  <c r="J53" i="38"/>
  <c r="DH198" i="30"/>
  <c r="G52" i="53"/>
  <c r="G54" i="53" s="1"/>
  <c r="G11" i="53"/>
  <c r="DB13" i="25"/>
  <c r="DB11" i="25"/>
  <c r="DB14" i="25"/>
  <c r="DB15" i="25"/>
  <c r="L79" i="32"/>
  <c r="L16" i="32"/>
  <c r="DE69" i="25"/>
  <c r="DO29" i="30"/>
  <c r="DE73" i="25" s="1"/>
  <c r="S59" i="32"/>
  <c r="R62" i="32"/>
  <c r="R64" i="32"/>
  <c r="R9" i="32" s="1"/>
  <c r="BS28" i="25"/>
  <c r="BS25" i="25"/>
  <c r="V77" i="32"/>
  <c r="CV40" i="25"/>
  <c r="DF158" i="30"/>
  <c r="DC154" i="30"/>
  <c r="DB158" i="30"/>
  <c r="CR40" i="25"/>
  <c r="AC73" i="30"/>
  <c r="DC73" i="30" s="1"/>
  <c r="DC65" i="30"/>
  <c r="BP14" i="25"/>
  <c r="BP15" i="25"/>
  <c r="BP11" i="25"/>
  <c r="AA133" i="23"/>
  <c r="I43" i="38"/>
  <c r="F17" i="52"/>
  <c r="F18" i="52"/>
  <c r="F23" i="52"/>
  <c r="F24" i="52" s="1"/>
  <c r="U211" i="30"/>
  <c r="DH196" i="30"/>
  <c r="BP78" i="39"/>
  <c r="AI39" i="39"/>
  <c r="BQ39" i="39" s="1"/>
  <c r="DE69" i="30"/>
  <c r="DH68" i="30"/>
  <c r="DE72" i="30"/>
  <c r="CU30" i="25" s="1"/>
  <c r="CG151" i="30"/>
  <c r="CH195" i="30"/>
  <c r="CQ274" i="59"/>
  <c r="BG13" i="31" s="1"/>
  <c r="CR32" i="25"/>
  <c r="CR29" i="25"/>
  <c r="BV65" i="30"/>
  <c r="BV73" i="30" s="1"/>
  <c r="BV80" i="30" s="1"/>
  <c r="BW60" i="30"/>
  <c r="BV194" i="30"/>
  <c r="BV199" i="30" s="1"/>
  <c r="BV211" i="30" s="1"/>
  <c r="BN135" i="30"/>
  <c r="N397" i="23"/>
  <c r="DV60" i="30"/>
  <c r="DW59" i="30"/>
  <c r="CA126" i="30"/>
  <c r="BV132" i="30"/>
  <c r="BV126" i="30"/>
  <c r="BS12" i="25"/>
  <c r="BH52" i="33"/>
  <c r="F56" i="38"/>
  <c r="DM199" i="30"/>
  <c r="J29" i="38"/>
  <c r="J56" i="38" s="1"/>
  <c r="BI29" i="25"/>
  <c r="BI25" i="25"/>
  <c r="BI28" i="25"/>
  <c r="U72" i="32"/>
  <c r="T79" i="32"/>
  <c r="H121" i="59"/>
  <c r="DL93" i="30"/>
  <c r="DM93" i="30" s="1"/>
  <c r="DK80" i="30"/>
  <c r="DM80" i="30" s="1"/>
  <c r="DM73" i="30"/>
  <c r="DC199" i="30"/>
  <c r="AC211" i="30"/>
  <c r="BM407" i="39"/>
  <c r="L16" i="38"/>
  <c r="BM409" i="39"/>
  <c r="BQ29" i="25"/>
  <c r="BQ28" i="25"/>
  <c r="BQ25" i="25"/>
  <c r="E44" i="25"/>
  <c r="E43" i="25" s="1"/>
  <c r="BT158" i="30"/>
  <c r="CG72" i="30"/>
  <c r="BW30" i="25" s="1"/>
  <c r="BW26" i="25"/>
  <c r="BP18" i="25"/>
  <c r="BG25" i="25"/>
  <c r="BG28" i="25"/>
  <c r="BG29" i="25"/>
  <c r="W74" i="32"/>
  <c r="N104" i="33"/>
  <c r="O103" i="33"/>
  <c r="N33" i="33"/>
  <c r="N34" i="33"/>
  <c r="O100" i="33"/>
  <c r="N102" i="33"/>
  <c r="DC8" i="23"/>
  <c r="Z475" i="23"/>
  <c r="Z503" i="23" s="1"/>
  <c r="BS65" i="30"/>
  <c r="BS73" i="30" s="1"/>
  <c r="BS80" i="30" s="1"/>
  <c r="BS55" i="30"/>
  <c r="U152" i="30"/>
  <c r="U163" i="30"/>
  <c r="U154" i="30"/>
  <c r="CH151" i="30"/>
  <c r="CT399" i="23"/>
  <c r="DD23" i="30"/>
  <c r="DD25" i="30"/>
  <c r="BU15" i="25"/>
  <c r="BU11" i="25"/>
  <c r="BU14" i="25"/>
  <c r="CD145" i="30"/>
  <c r="CP41" i="25"/>
  <c r="CK39" i="25"/>
  <c r="CK43" i="25"/>
  <c r="C40" i="59"/>
  <c r="CN205" i="30"/>
  <c r="BS93" i="73"/>
  <c r="BS94" i="73"/>
  <c r="BU199" i="30"/>
  <c r="BR135" i="30"/>
  <c r="BS134" i="30"/>
  <c r="V433" i="23"/>
  <c r="CP88" i="30"/>
  <c r="CH88" i="30"/>
  <c r="CF90" i="30"/>
  <c r="EL204" i="30"/>
  <c r="S93" i="30"/>
  <c r="S97" i="30" s="1"/>
  <c r="R97" i="30"/>
  <c r="R94" i="30"/>
  <c r="P93" i="30"/>
  <c r="P97" i="30" s="1"/>
  <c r="M14" i="25"/>
  <c r="M15" i="25"/>
  <c r="N13" i="25"/>
  <c r="M11" i="25"/>
  <c r="BI22" i="23"/>
  <c r="BI61" i="23" s="1"/>
  <c r="DC209" i="30"/>
  <c r="BF409" i="39"/>
  <c r="F16" i="38"/>
  <c r="F49" i="38" s="1"/>
  <c r="BG407" i="39"/>
  <c r="J584" i="23"/>
  <c r="R18" i="40"/>
  <c r="R33" i="40"/>
  <c r="R35" i="40" s="1"/>
  <c r="S8" i="40"/>
  <c r="S38" i="40" s="1"/>
  <c r="L5" i="38" s="1"/>
  <c r="R38" i="40"/>
  <c r="K5" i="38" s="1"/>
  <c r="K45" i="38" s="1"/>
  <c r="K58" i="38" s="1"/>
  <c r="BL407" i="39"/>
  <c r="BK407" i="39"/>
  <c r="K16" i="38"/>
  <c r="J16" i="38"/>
  <c r="J49" i="38" s="1"/>
  <c r="BP32" i="25"/>
  <c r="K21" i="38"/>
  <c r="L19" i="38"/>
  <c r="O93" i="30"/>
  <c r="O97" i="30" s="1"/>
  <c r="M93" i="30"/>
  <c r="N97" i="30"/>
  <c r="N94" i="30"/>
  <c r="F11" i="25"/>
  <c r="F13" i="25"/>
  <c r="F15" i="25"/>
  <c r="F14" i="25"/>
  <c r="G13" i="25"/>
  <c r="O79" i="32"/>
  <c r="O16" i="32" s="1"/>
  <c r="U75" i="32"/>
  <c r="T94" i="30"/>
  <c r="Y93" i="30"/>
  <c r="BD11" i="25"/>
  <c r="BD15" i="25"/>
  <c r="BD14" i="25"/>
  <c r="O13" i="25"/>
  <c r="O11" i="25"/>
  <c r="O27" i="25"/>
  <c r="O25" i="25"/>
  <c r="O28" i="25"/>
  <c r="CW31" i="25"/>
  <c r="M19" i="38"/>
  <c r="M21" i="38" s="1"/>
  <c r="L21" i="38"/>
  <c r="CU88" i="30"/>
  <c r="AN10" i="59"/>
  <c r="CR88" i="30"/>
  <c r="CS88" i="30"/>
  <c r="CP90" i="30"/>
  <c r="N35" i="33"/>
  <c r="N36" i="33" s="1"/>
  <c r="F45" i="25"/>
  <c r="BS11" i="25"/>
  <c r="BS14" i="25"/>
  <c r="CR44" i="25"/>
  <c r="DC158" i="30"/>
  <c r="AC238" i="30"/>
  <c r="R75" i="32"/>
  <c r="R76" i="32"/>
  <c r="R10" i="32"/>
  <c r="R26" i="32"/>
  <c r="R88" i="32"/>
  <c r="R73" i="32"/>
  <c r="R72" i="32"/>
  <c r="R77" i="32"/>
  <c r="R20" i="32"/>
  <c r="AC93" i="30"/>
  <c r="R74" i="32"/>
  <c r="AF60" i="30"/>
  <c r="DQ65" i="30"/>
  <c r="CO195" i="30"/>
  <c r="CP151" i="30"/>
  <c r="BM51" i="33"/>
  <c r="BM52" i="33" s="1"/>
  <c r="BW125" i="30"/>
  <c r="CK91" i="30"/>
  <c r="CK119" i="30"/>
  <c r="DB399" i="23"/>
  <c r="CY399" i="23"/>
  <c r="DA399" i="23"/>
  <c r="B121" i="59"/>
  <c r="Y94" i="30"/>
  <c r="J15" i="38"/>
  <c r="J17" i="38"/>
  <c r="J51" i="38"/>
  <c r="DH22" i="30"/>
  <c r="AD34" i="30"/>
  <c r="AD23" i="30"/>
  <c r="AD25" i="30"/>
  <c r="CU399" i="23"/>
  <c r="BW25" i="25"/>
  <c r="BW28" i="25"/>
  <c r="L43" i="38"/>
  <c r="U79" i="32"/>
  <c r="V72" i="32"/>
  <c r="DW60" i="30"/>
  <c r="BW194" i="30"/>
  <c r="BW65" i="30"/>
  <c r="BW73" i="30"/>
  <c r="BW80" i="30" s="1"/>
  <c r="BX60" i="30"/>
  <c r="BX65" i="30"/>
  <c r="BX73" i="30"/>
  <c r="BX80" i="30" s="1"/>
  <c r="I53" i="38"/>
  <c r="I75" i="38" s="1"/>
  <c r="X76" i="32"/>
  <c r="CV44" i="25"/>
  <c r="S62" i="32"/>
  <c r="S64" i="32"/>
  <c r="S9" i="32" s="1"/>
  <c r="T61" i="32"/>
  <c r="C47" i="73"/>
  <c r="C46" i="73" s="1"/>
  <c r="S61" i="32"/>
  <c r="DE75" i="25"/>
  <c r="DR63" i="30"/>
  <c r="DQ71" i="30"/>
  <c r="DG12" i="25"/>
  <c r="CN195" i="30"/>
  <c r="X151" i="30"/>
  <c r="BL22" i="23"/>
  <c r="BL61" i="23" s="1"/>
  <c r="DH209" i="30"/>
  <c r="BO409" i="39"/>
  <c r="BM46" i="33"/>
  <c r="BR45" i="33"/>
  <c r="BR46" i="33" s="1"/>
  <c r="CM89" i="30"/>
  <c r="CP45" i="25"/>
  <c r="DD61" i="30"/>
  <c r="DD65" i="30"/>
  <c r="DD73" i="30"/>
  <c r="DD80" i="30" s="1"/>
  <c r="AD60" i="30"/>
  <c r="T8" i="40"/>
  <c r="T33" i="40" s="1"/>
  <c r="T35" i="40" s="1"/>
  <c r="S33" i="40"/>
  <c r="S35" i="40" s="1"/>
  <c r="S39" i="40" s="1"/>
  <c r="BS135" i="30"/>
  <c r="X74" i="32"/>
  <c r="L15" i="38"/>
  <c r="L51" i="38"/>
  <c r="L49" i="38"/>
  <c r="L17" i="38"/>
  <c r="BJ121" i="59"/>
  <c r="CG154" i="30"/>
  <c r="CG163" i="30"/>
  <c r="DH69" i="30"/>
  <c r="DE73" i="30"/>
  <c r="DE80" i="30"/>
  <c r="BP412" i="39"/>
  <c r="P14" i="38" s="1"/>
  <c r="BP405" i="39"/>
  <c r="O16" i="38" s="1"/>
  <c r="O15" i="38" s="1"/>
  <c r="CV41" i="25"/>
  <c r="CV42" i="25"/>
  <c r="CV39" i="25"/>
  <c r="CV43" i="25"/>
  <c r="DE71" i="25"/>
  <c r="DE72" i="25"/>
  <c r="DE68" i="25"/>
  <c r="CM145" i="30"/>
  <c r="CN145" i="30" s="1"/>
  <c r="AA145" i="30"/>
  <c r="BX95" i="30"/>
  <c r="BX96" i="30" s="1"/>
  <c r="BW96" i="30"/>
  <c r="D59" i="73"/>
  <c r="D58" i="73" s="1"/>
  <c r="V73" i="32"/>
  <c r="DB17" i="25"/>
  <c r="DB18" i="25"/>
  <c r="CN88" i="30"/>
  <c r="CI27" i="23"/>
  <c r="Q27" i="23"/>
  <c r="Q31" i="23" s="1"/>
  <c r="CH67" i="23"/>
  <c r="CH68" i="23" s="1"/>
  <c r="DD72" i="30"/>
  <c r="CT26" i="25"/>
  <c r="CT25" i="25" s="1"/>
  <c r="DH64" i="30"/>
  <c r="AF453" i="23"/>
  <c r="K17" i="38"/>
  <c r="K51" i="38"/>
  <c r="K15" i="38"/>
  <c r="K49" i="38"/>
  <c r="W433" i="23"/>
  <c r="W386" i="23" s="1"/>
  <c r="CW386" i="23" s="1"/>
  <c r="V386" i="23"/>
  <c r="BU211" i="30"/>
  <c r="CH163" i="30"/>
  <c r="CH154" i="30"/>
  <c r="BX40" i="25" s="1"/>
  <c r="BX39" i="25" s="1"/>
  <c r="D64" i="73"/>
  <c r="D63" i="73" s="1"/>
  <c r="V75" i="32"/>
  <c r="W75" i="32" s="1"/>
  <c r="M97" i="30"/>
  <c r="F51" i="38"/>
  <c r="R98" i="30"/>
  <c r="CH89" i="30"/>
  <c r="DD29" i="30"/>
  <c r="CT73" i="25" s="1"/>
  <c r="CT69" i="25"/>
  <c r="H40" i="25"/>
  <c r="U158" i="30"/>
  <c r="H44" i="25"/>
  <c r="O102" i="33"/>
  <c r="P100" i="33"/>
  <c r="P103" i="33"/>
  <c r="Q103" i="33" s="1"/>
  <c r="Q104" i="33" s="1"/>
  <c r="Q35" i="33" s="1"/>
  <c r="O104" i="33"/>
  <c r="O35" i="33" s="1"/>
  <c r="O36" i="33" s="1"/>
  <c r="O33" i="33"/>
  <c r="O34" i="33" s="1"/>
  <c r="R397" i="23"/>
  <c r="S444" i="23"/>
  <c r="T444" i="23" s="1"/>
  <c r="CR42" i="25"/>
  <c r="CR39" i="25"/>
  <c r="CR43" i="25"/>
  <c r="CS40" i="25"/>
  <c r="CW41" i="25"/>
  <c r="W77" i="32"/>
  <c r="X77" i="32" s="1"/>
  <c r="L23" i="32"/>
  <c r="L18" i="32"/>
  <c r="L17" i="32"/>
  <c r="N123" i="30"/>
  <c r="CK154" i="30"/>
  <c r="CK163" i="30"/>
  <c r="BQ51" i="33"/>
  <c r="CB95" i="30"/>
  <c r="BQ46" i="33"/>
  <c r="L45" i="33"/>
  <c r="FA204" i="30"/>
  <c r="N23" i="32"/>
  <c r="N17" i="32"/>
  <c r="T123" i="30"/>
  <c r="Z94" i="30"/>
  <c r="C121" i="59"/>
  <c r="AA94" i="30"/>
  <c r="CG63" i="30"/>
  <c r="BW12" i="25" s="1"/>
  <c r="CG60" i="30"/>
  <c r="CG65" i="30"/>
  <c r="CG73" i="30"/>
  <c r="CG80" i="30" s="1"/>
  <c r="CK158" i="30"/>
  <c r="CA44" i="25" s="1"/>
  <c r="CA46" i="25" s="1"/>
  <c r="CA40" i="25"/>
  <c r="CA42" i="25" s="1"/>
  <c r="AG453" i="23"/>
  <c r="AF406" i="23"/>
  <c r="CG158" i="30"/>
  <c r="BW44" i="25" s="1"/>
  <c r="BW46" i="25" s="1"/>
  <c r="BW40" i="25"/>
  <c r="C48" i="73"/>
  <c r="C49" i="73" s="1"/>
  <c r="CV399" i="23"/>
  <c r="CW399" i="23" s="1"/>
  <c r="CX399" i="23" s="1"/>
  <c r="AF65" i="30"/>
  <c r="AF61" i="30"/>
  <c r="DR60" i="30"/>
  <c r="AF194" i="30"/>
  <c r="AF80" i="30"/>
  <c r="F121" i="59"/>
  <c r="CU90" i="30"/>
  <c r="AS10" i="59"/>
  <c r="AS11" i="59" s="1"/>
  <c r="CZ88" i="30"/>
  <c r="CZ90" i="30" s="1"/>
  <c r="CZ91" i="30" s="1"/>
  <c r="CW88" i="30"/>
  <c r="N19" i="38"/>
  <c r="N21" i="38" s="1"/>
  <c r="N24" i="32"/>
  <c r="L48" i="33"/>
  <c r="L49" i="33" s="1"/>
  <c r="T95" i="30"/>
  <c r="T235" i="30"/>
  <c r="L46" i="33"/>
  <c r="L43" i="33"/>
  <c r="M43" i="33" s="1"/>
  <c r="M45" i="33" s="1"/>
  <c r="M61" i="33" s="1"/>
  <c r="L61" i="33"/>
  <c r="BS45" i="33"/>
  <c r="L55" i="33"/>
  <c r="E64" i="73"/>
  <c r="E63" i="73" s="1"/>
  <c r="CG71" i="30"/>
  <c r="BW16" i="25" s="1"/>
  <c r="BW18" i="25" s="1"/>
  <c r="T131" i="30"/>
  <c r="H45" i="25"/>
  <c r="H46" i="25"/>
  <c r="D65" i="73"/>
  <c r="D66" i="73" s="1"/>
  <c r="CT30" i="25"/>
  <c r="DH72" i="30"/>
  <c r="E59" i="73"/>
  <c r="W73" i="32"/>
  <c r="F59" i="73" s="1"/>
  <c r="F58" i="73" s="1"/>
  <c r="CR145" i="30"/>
  <c r="CS145" i="30"/>
  <c r="BP409" i="39"/>
  <c r="BP407" i="39"/>
  <c r="Y74" i="32"/>
  <c r="U8" i="40"/>
  <c r="U33" i="40" s="1"/>
  <c r="T18" i="40"/>
  <c r="T38" i="40"/>
  <c r="X154" i="30"/>
  <c r="X152" i="30"/>
  <c r="X163" i="30"/>
  <c r="CM151" i="30"/>
  <c r="CN151" i="30"/>
  <c r="DG11" i="25"/>
  <c r="DG14" i="25"/>
  <c r="DG13" i="25"/>
  <c r="S75" i="32"/>
  <c r="C64" i="73" s="1"/>
  <c r="C63" i="73" s="1"/>
  <c r="S73" i="32"/>
  <c r="C59" i="73" s="1"/>
  <c r="C58" i="73" s="1"/>
  <c r="S88" i="32"/>
  <c r="S20" i="32"/>
  <c r="T10" i="32"/>
  <c r="Y76" i="32"/>
  <c r="Z76" i="32" s="1"/>
  <c r="BW199" i="30"/>
  <c r="BW211" i="30" s="1"/>
  <c r="BX194" i="30"/>
  <c r="BY194" i="30"/>
  <c r="W72" i="32"/>
  <c r="V79" i="32"/>
  <c r="M43" i="38"/>
  <c r="N43" i="38" s="1"/>
  <c r="L53" i="38"/>
  <c r="L75" i="38"/>
  <c r="AD29" i="30"/>
  <c r="T73" i="25" s="1"/>
  <c r="T69" i="25"/>
  <c r="DH25" i="30"/>
  <c r="BW132" i="30"/>
  <c r="BW126" i="30"/>
  <c r="BX125" i="30"/>
  <c r="BX132" i="30" s="1"/>
  <c r="CS44" i="25"/>
  <c r="CR46" i="25"/>
  <c r="CW45" i="25"/>
  <c r="CP91" i="30"/>
  <c r="CP119" i="30"/>
  <c r="Q100" i="33"/>
  <c r="Q102" i="33" s="1"/>
  <c r="P102" i="33"/>
  <c r="H41" i="25"/>
  <c r="H43" i="25"/>
  <c r="H42" i="25"/>
  <c r="H39" i="25"/>
  <c r="CT68" i="25"/>
  <c r="D60" i="73"/>
  <c r="D61" i="73" s="1"/>
  <c r="DG16" i="25"/>
  <c r="DG18" i="25" s="1"/>
  <c r="CP154" i="30"/>
  <c r="CP158" i="30" s="1"/>
  <c r="CF44" i="25" s="1"/>
  <c r="CP163" i="30"/>
  <c r="CR89" i="30"/>
  <c r="AP10" i="59"/>
  <c r="L25" i="32"/>
  <c r="L24" i="32"/>
  <c r="S397" i="23"/>
  <c r="M98" i="30"/>
  <c r="BQ54" i="33"/>
  <c r="CB125" i="30"/>
  <c r="CB126" i="30" s="1"/>
  <c r="N131" i="30"/>
  <c r="O123" i="30"/>
  <c r="O127" i="30" s="1"/>
  <c r="Z433" i="23"/>
  <c r="Z386" i="23" s="1"/>
  <c r="AD80" i="30"/>
  <c r="DH80" i="30" s="1"/>
  <c r="DH60" i="30"/>
  <c r="AD61" i="30"/>
  <c r="AD65" i="30"/>
  <c r="DH65" i="30" s="1"/>
  <c r="CV46" i="25"/>
  <c r="CV45" i="25"/>
  <c r="CR195" i="30"/>
  <c r="CS195" i="30"/>
  <c r="CO151" i="30"/>
  <c r="R79" i="32"/>
  <c r="R16" i="32"/>
  <c r="R23" i="32" s="1"/>
  <c r="R17" i="32"/>
  <c r="C103" i="60"/>
  <c r="AC123" i="30"/>
  <c r="BX126" i="30"/>
  <c r="M53" i="38"/>
  <c r="CM154" i="30"/>
  <c r="CM163" i="30"/>
  <c r="Y95" i="30"/>
  <c r="T96" i="30"/>
  <c r="T97" i="30"/>
  <c r="AX10" i="59"/>
  <c r="AX54" i="59" s="1"/>
  <c r="AF73" i="30"/>
  <c r="DR65" i="30"/>
  <c r="CA43" i="25"/>
  <c r="CA39" i="25"/>
  <c r="T39" i="40"/>
  <c r="DQ194" i="30"/>
  <c r="T71" i="25"/>
  <c r="W71" i="25" s="1"/>
  <c r="T68" i="25"/>
  <c r="W69" i="25"/>
  <c r="CT31" i="25"/>
  <c r="CU91" i="30"/>
  <c r="CU119" i="30"/>
  <c r="AH453" i="23"/>
  <c r="AG406" i="23"/>
  <c r="CO154" i="30"/>
  <c r="CO163" i="30"/>
  <c r="CR151" i="30"/>
  <c r="CS151" i="30"/>
  <c r="DG17" i="25"/>
  <c r="T72" i="25"/>
  <c r="W72" i="25" s="1"/>
  <c r="X72" i="32"/>
  <c r="Y72" i="32" s="1"/>
  <c r="I40" i="25"/>
  <c r="I39" i="25" s="1"/>
  <c r="V8" i="40"/>
  <c r="U38" i="40"/>
  <c r="U18" i="40"/>
  <c r="U35" i="40"/>
  <c r="U36" i="40" s="1"/>
  <c r="Z74" i="32"/>
  <c r="AE74" i="32" s="1"/>
  <c r="AF74" i="32" s="1"/>
  <c r="AG74" i="32" s="1"/>
  <c r="AH74" i="32" s="1"/>
  <c r="AI74" i="32" s="1"/>
  <c r="AJ74" i="32" s="1"/>
  <c r="AK74" i="32" s="1"/>
  <c r="AL74" i="32" s="1"/>
  <c r="AM74" i="32" s="1"/>
  <c r="AN74" i="32" s="1"/>
  <c r="Q33" i="33"/>
  <c r="Y77" i="32"/>
  <c r="BX42" i="25"/>
  <c r="E65" i="73"/>
  <c r="E66" i="73" s="1"/>
  <c r="AU10" i="59"/>
  <c r="DB89" i="30"/>
  <c r="CW89" i="30"/>
  <c r="CX88" i="30"/>
  <c r="Z77" i="32"/>
  <c r="W8" i="40"/>
  <c r="V18" i="40"/>
  <c r="V33" i="40"/>
  <c r="V35" i="40" s="1"/>
  <c r="V38" i="40"/>
  <c r="O5" i="38" s="1"/>
  <c r="CO158" i="30"/>
  <c r="CE40" i="25"/>
  <c r="Y96" i="30"/>
  <c r="B122" i="59"/>
  <c r="Y97" i="30"/>
  <c r="B123" i="59" s="1"/>
  <c r="B131" i="59" s="1"/>
  <c r="B145" i="59" s="1"/>
  <c r="U39" i="40"/>
  <c r="W68" i="25"/>
  <c r="T98" i="30"/>
  <c r="U95" i="30"/>
  <c r="Z95" i="30" s="1"/>
  <c r="CC40" i="25"/>
  <c r="CC42" i="25" s="1"/>
  <c r="CM158" i="30"/>
  <c r="CC44" i="25"/>
  <c r="CC46" i="25" s="1"/>
  <c r="CF46" i="25"/>
  <c r="CK45" i="25"/>
  <c r="R24" i="32"/>
  <c r="CR154" i="30"/>
  <c r="CS154" i="30"/>
  <c r="CR163" i="30"/>
  <c r="AI453" i="23"/>
  <c r="AJ453" i="23" s="1"/>
  <c r="AK453" i="23" s="1"/>
  <c r="AL453" i="23" s="1"/>
  <c r="AH406" i="23"/>
  <c r="N29" i="38"/>
  <c r="N56" i="38" s="1"/>
  <c r="AC131" i="30"/>
  <c r="W73" i="25"/>
  <c r="T75" i="25"/>
  <c r="W75" i="25" s="1"/>
  <c r="CS163" i="30"/>
  <c r="DE91" i="30"/>
  <c r="CZ119" i="30"/>
  <c r="AI406" i="23"/>
  <c r="CR158" i="30"/>
  <c r="CH44" i="25" s="1"/>
  <c r="CH40" i="25"/>
  <c r="CH39" i="25" s="1"/>
  <c r="CE44" i="25"/>
  <c r="CE43" i="25" s="1"/>
  <c r="CS158" i="30"/>
  <c r="W38" i="40"/>
  <c r="W18" i="40"/>
  <c r="W33" i="40"/>
  <c r="W35" i="40"/>
  <c r="AA77" i="32"/>
  <c r="CE39" i="25"/>
  <c r="CE42" i="25"/>
  <c r="CE46" i="25"/>
  <c r="X35" i="40"/>
  <c r="Y35" i="40" s="1"/>
  <c r="W39" i="40"/>
  <c r="X38" i="40"/>
  <c r="O146" i="73"/>
  <c r="O147" i="73"/>
  <c r="P145" i="73"/>
  <c r="N146" i="73"/>
  <c r="N147" i="73"/>
  <c r="G31" i="63"/>
  <c r="P9" i="56"/>
  <c r="Q100" i="73"/>
  <c r="CQ158" i="59"/>
  <c r="CD166" i="59"/>
  <c r="CD194" i="59"/>
  <c r="CD211" i="59" s="1"/>
  <c r="BT166" i="59"/>
  <c r="CL166" i="59"/>
  <c r="AK52" i="30"/>
  <c r="AK64" i="30" s="1"/>
  <c r="AK72" i="30" s="1"/>
  <c r="BV211" i="59"/>
  <c r="P147" i="73"/>
  <c r="P146" i="73"/>
  <c r="Q145" i="73"/>
  <c r="P49" i="53"/>
  <c r="AA71" i="23"/>
  <c r="AH96" i="25"/>
  <c r="AI96" i="25" s="1"/>
  <c r="Q146" i="73"/>
  <c r="R145" i="73"/>
  <c r="R146" i="73" s="1"/>
  <c r="Q147" i="73"/>
  <c r="R8" i="56"/>
  <c r="C125" i="31"/>
  <c r="BI134" i="30"/>
  <c r="BI135" i="30" s="1"/>
  <c r="CB107" i="30"/>
  <c r="BQ154" i="30"/>
  <c r="BQ158" i="30" s="1"/>
  <c r="BG140" i="30"/>
  <c r="BL136" i="30"/>
  <c r="BG138" i="30"/>
  <c r="CX174" i="59"/>
  <c r="DC170" i="59"/>
  <c r="F72" i="73"/>
  <c r="CK123" i="59"/>
  <c r="CG107" i="30"/>
  <c r="CC107" i="30"/>
  <c r="BG141" i="30"/>
  <c r="BL142" i="30"/>
  <c r="CH107" i="30"/>
  <c r="AE84" i="25"/>
  <c r="BV121" i="59"/>
  <c r="DX93" i="30" s="1"/>
  <c r="T9" i="23"/>
  <c r="N232" i="59"/>
  <c r="CO232" i="59" s="1"/>
  <c r="CN150" i="59"/>
  <c r="CD149" i="59"/>
  <c r="L149" i="59" s="1"/>
  <c r="CC150" i="59"/>
  <c r="P232" i="59"/>
  <c r="I366" i="23"/>
  <c r="W391" i="23"/>
  <c r="DF408" i="23"/>
  <c r="Z12" i="23"/>
  <c r="AG96" i="25" s="1"/>
  <c r="BS109" i="23"/>
  <c r="C30" i="63"/>
  <c r="T230" i="23"/>
  <c r="CN37" i="23"/>
  <c r="N37" i="23"/>
  <c r="Q37" i="23"/>
  <c r="BI114" i="23"/>
  <c r="R495" i="23"/>
  <c r="N480" i="23"/>
  <c r="C239" i="23"/>
  <c r="C240" i="23" s="1"/>
  <c r="G205" i="23"/>
  <c r="F205" i="23" s="1"/>
  <c r="I205" i="23" s="1"/>
  <c r="I492" i="23" s="1"/>
  <c r="I493" i="23" s="1"/>
  <c r="W575" i="23"/>
  <c r="W580" i="23"/>
  <c r="B207" i="23"/>
  <c r="I484" i="23"/>
  <c r="W168" i="23"/>
  <c r="BK114" i="23"/>
  <c r="V393" i="23"/>
  <c r="T114" i="23"/>
  <c r="V575" i="23"/>
  <c r="U396" i="23"/>
  <c r="K606" i="23"/>
  <c r="CG114" i="23"/>
  <c r="BF673" i="23"/>
  <c r="L651" i="23"/>
  <c r="L639" i="23"/>
  <c r="G554" i="23"/>
  <c r="N509" i="23"/>
  <c r="DC411" i="23"/>
  <c r="DC408" i="23"/>
  <c r="C261" i="23"/>
  <c r="C277" i="23"/>
  <c r="C302" i="23"/>
  <c r="K239" i="23"/>
  <c r="V122" i="23"/>
  <c r="F39" i="63"/>
  <c r="CX64" i="23"/>
  <c r="CJ68" i="23"/>
  <c r="U109" i="23"/>
  <c r="BT48" i="23"/>
  <c r="W46" i="23"/>
  <c r="BY43" i="23"/>
  <c r="CI38" i="23"/>
  <c r="W27" i="23"/>
  <c r="DF122" i="23"/>
  <c r="I39" i="63" s="1"/>
  <c r="BV108" i="23"/>
  <c r="BL68" i="23"/>
  <c r="J68" i="23"/>
  <c r="V108" i="23"/>
  <c r="AA407" i="23"/>
  <c r="DM402" i="23"/>
  <c r="DB386" i="23"/>
  <c r="CY386" i="23"/>
  <c r="CA51" i="23"/>
  <c r="CB51" i="23" s="1"/>
  <c r="T384" i="23"/>
  <c r="AD405" i="23"/>
  <c r="AE452" i="23"/>
  <c r="CX386" i="23"/>
  <c r="T606" i="23"/>
  <c r="T597" i="23"/>
  <c r="U601" i="23"/>
  <c r="U605" i="23" s="1"/>
  <c r="BT27" i="23"/>
  <c r="N25" i="23"/>
  <c r="N418" i="23"/>
  <c r="K465" i="23"/>
  <c r="W435" i="23"/>
  <c r="Z435" i="23" s="1"/>
  <c r="Z388" i="23" s="1"/>
  <c r="BW67" i="23"/>
  <c r="BW68" i="23"/>
  <c r="BX124" i="23"/>
  <c r="BX67" i="23" s="1"/>
  <c r="BX68" i="23" s="1"/>
  <c r="R427" i="23"/>
  <c r="N380" i="23"/>
  <c r="K580" i="23"/>
  <c r="K584" i="23"/>
  <c r="CW401" i="23"/>
  <c r="CX401" i="23" s="1"/>
  <c r="DG401" i="23"/>
  <c r="DD401" i="23"/>
  <c r="DE401" i="23"/>
  <c r="W436" i="23"/>
  <c r="Z436" i="23" s="1"/>
  <c r="AA436" i="23" s="1"/>
  <c r="DJ375" i="23"/>
  <c r="AF159" i="23"/>
  <c r="AG158" i="23"/>
  <c r="S62" i="23"/>
  <c r="CD32" i="23"/>
  <c r="H124" i="23"/>
  <c r="H67" i="23"/>
  <c r="H57" i="23"/>
  <c r="H68" i="23" s="1"/>
  <c r="H122" i="23"/>
  <c r="CB124" i="23"/>
  <c r="CA125" i="23"/>
  <c r="R39" i="23"/>
  <c r="BY38" i="23"/>
  <c r="AK458" i="23"/>
  <c r="AL458" i="23" s="1"/>
  <c r="AM458" i="23" s="1"/>
  <c r="CH167" i="23"/>
  <c r="CH168" i="23"/>
  <c r="T166" i="23"/>
  <c r="W62" i="23"/>
  <c r="CX62" i="23" s="1"/>
  <c r="Y32" i="23"/>
  <c r="Y62" i="23" s="1"/>
  <c r="CX32" i="23"/>
  <c r="Z71" i="23"/>
  <c r="Z416" i="23"/>
  <c r="AA463" i="23"/>
  <c r="DK405" i="23"/>
  <c r="DJ405" i="23"/>
  <c r="S442" i="23"/>
  <c r="R395" i="23"/>
  <c r="AC407" i="23"/>
  <c r="AD454" i="23"/>
  <c r="M465" i="23"/>
  <c r="BT37" i="23"/>
  <c r="Z31" i="23"/>
  <c r="BN146" i="73"/>
  <c r="BN147" i="73"/>
  <c r="I49" i="53"/>
  <c r="I50" i="53" s="1"/>
  <c r="BY12" i="23"/>
  <c r="S12" i="23"/>
  <c r="R573" i="23"/>
  <c r="R578" i="23"/>
  <c r="N571" i="23"/>
  <c r="N577" i="23"/>
  <c r="M573" i="23"/>
  <c r="L577" i="23"/>
  <c r="L571" i="23"/>
  <c r="M520" i="23"/>
  <c r="M521" i="23" s="1"/>
  <c r="K520" i="23"/>
  <c r="K521" i="23" s="1"/>
  <c r="L520" i="23"/>
  <c r="L521" i="23" s="1"/>
  <c r="J520" i="23"/>
  <c r="I491" i="23"/>
  <c r="U555" i="23"/>
  <c r="U488" i="23"/>
  <c r="T555" i="23"/>
  <c r="T488" i="23"/>
  <c r="T495" i="23" s="1"/>
  <c r="M551" i="23"/>
  <c r="M543" i="23"/>
  <c r="J495" i="23"/>
  <c r="N477" i="23"/>
  <c r="N554" i="23"/>
  <c r="G33" i="56"/>
  <c r="G34" i="56" s="1"/>
  <c r="M690" i="23"/>
  <c r="M308" i="23"/>
  <c r="I514" i="23"/>
  <c r="V510" i="23"/>
  <c r="V219" i="23"/>
  <c r="T510" i="23"/>
  <c r="T219" i="23"/>
  <c r="I570" i="23"/>
  <c r="I197" i="23"/>
  <c r="N207" i="23"/>
  <c r="N240" i="23" s="1"/>
  <c r="B240" i="23"/>
  <c r="T193" i="23"/>
  <c r="T268" i="23"/>
  <c r="I486" i="23"/>
  <c r="I188" i="23"/>
  <c r="I552" i="23" s="1"/>
  <c r="F193" i="23"/>
  <c r="F207" i="23" s="1"/>
  <c r="F552" i="23"/>
  <c r="F545" i="23"/>
  <c r="N159" i="23"/>
  <c r="G29" i="56"/>
  <c r="J30" i="56"/>
  <c r="J34" i="56" s="1"/>
  <c r="S306" i="23"/>
  <c r="S308" i="23" s="1"/>
  <c r="T168" i="23"/>
  <c r="N114" i="23"/>
  <c r="BS112" i="23"/>
  <c r="V105" i="23"/>
  <c r="V109" i="23"/>
  <c r="E9" i="62"/>
  <c r="O9" i="62" s="1"/>
  <c r="E37" i="63"/>
  <c r="CZ399" i="23"/>
  <c r="DC399" i="23" s="1"/>
  <c r="J145" i="73"/>
  <c r="J146" i="73" s="1"/>
  <c r="DI408" i="23"/>
  <c r="DL408" i="23"/>
  <c r="DL8" i="23"/>
  <c r="DH8" i="23"/>
  <c r="BT31" i="23"/>
  <c r="H8" i="56"/>
  <c r="L495" i="23"/>
  <c r="BH21" i="23"/>
  <c r="Q38" i="23"/>
  <c r="H10" i="56"/>
  <c r="DI405" i="23"/>
  <c r="DM405" i="23" s="1"/>
  <c r="W584" i="23"/>
  <c r="AG356" i="23"/>
  <c r="AH356" i="23" s="1"/>
  <c r="K555" i="23"/>
  <c r="N320" i="23"/>
  <c r="S580" i="23"/>
  <c r="DM409" i="23"/>
  <c r="BH14" i="23"/>
  <c r="DF401" i="23"/>
  <c r="CN12" i="23"/>
  <c r="AF455" i="23"/>
  <c r="W29" i="56"/>
  <c r="AE320" i="23"/>
  <c r="CA67" i="23"/>
  <c r="CA68" i="23" s="1"/>
  <c r="U393" i="23"/>
  <c r="U228" i="23"/>
  <c r="U517" i="23"/>
  <c r="V227" i="23"/>
  <c r="CU125" i="23"/>
  <c r="CU67" i="23"/>
  <c r="CU68" i="23"/>
  <c r="CV124" i="23"/>
  <c r="CN38" i="23"/>
  <c r="L30" i="56"/>
  <c r="E56" i="62" s="1"/>
  <c r="O56" i="62" s="1"/>
  <c r="CT125" i="23"/>
  <c r="CY124" i="23"/>
  <c r="CT67" i="23"/>
  <c r="K690" i="23"/>
  <c r="K308" i="23"/>
  <c r="CP112" i="23"/>
  <c r="CP114" i="23" s="1"/>
  <c r="CR112" i="23"/>
  <c r="CR114" i="23" s="1"/>
  <c r="CU112" i="23"/>
  <c r="CU114" i="23" s="1"/>
  <c r="CW112" i="23"/>
  <c r="CW114" i="23" s="1"/>
  <c r="CV112" i="23"/>
  <c r="CV114" i="23" s="1"/>
  <c r="CT112" i="23"/>
  <c r="CT114" i="23" s="1"/>
  <c r="R423" i="23"/>
  <c r="N376" i="23"/>
  <c r="DF125" i="23"/>
  <c r="DF67" i="23"/>
  <c r="DF68" i="23"/>
  <c r="R71" i="23"/>
  <c r="J8" i="56"/>
  <c r="S27" i="23"/>
  <c r="CD31" i="23"/>
  <c r="BC7" i="23"/>
  <c r="BE8" i="23"/>
  <c r="U12" i="56"/>
  <c r="AD260" i="23"/>
  <c r="AE43" i="23"/>
  <c r="AE260" i="23" s="1"/>
  <c r="CQ37" i="23"/>
  <c r="V661" i="23"/>
  <c r="I480" i="23"/>
  <c r="M202" i="23"/>
  <c r="M207" i="23" s="1"/>
  <c r="M240" i="23" s="1"/>
  <c r="CH12" i="23"/>
  <c r="CI12" i="23"/>
  <c r="M383" i="23"/>
  <c r="N430" i="23"/>
  <c r="U333" i="23"/>
  <c r="T388" i="23"/>
  <c r="K207" i="23"/>
  <c r="K240" i="23" s="1"/>
  <c r="DC12" i="23"/>
  <c r="AC404" i="23"/>
  <c r="AD451" i="23"/>
  <c r="CY404" i="23"/>
  <c r="DA404" i="23"/>
  <c r="M505" i="23"/>
  <c r="P25" i="23"/>
  <c r="BP114" i="23"/>
  <c r="M376" i="23"/>
  <c r="N553" i="23"/>
  <c r="CY37" i="23"/>
  <c r="Z661" i="23"/>
  <c r="CZ37" i="23"/>
  <c r="CZ38" i="23"/>
  <c r="I518" i="23"/>
  <c r="DB167" i="23"/>
  <c r="Z167" i="23" s="1"/>
  <c r="Z166" i="23"/>
  <c r="DB168" i="23"/>
  <c r="Z675" i="23"/>
  <c r="DC39" i="23"/>
  <c r="W167" i="23"/>
  <c r="F17" i="62"/>
  <c r="P17" i="62" s="1"/>
  <c r="F31" i="63"/>
  <c r="L660" i="23"/>
  <c r="L661" i="23"/>
  <c r="BI656" i="23"/>
  <c r="BA18" i="23"/>
  <c r="CJ112" i="23"/>
  <c r="CJ114" i="23" s="1"/>
  <c r="CK112" i="23"/>
  <c r="CK114" i="23" s="1"/>
  <c r="CM112" i="23"/>
  <c r="CM114" i="23" s="1"/>
  <c r="CL112" i="23"/>
  <c r="CL114" i="23" s="1"/>
  <c r="CO114" i="23"/>
  <c r="BF145" i="73"/>
  <c r="CR166" i="23"/>
  <c r="M606" i="23"/>
  <c r="S114" i="23"/>
  <c r="CA112" i="23"/>
  <c r="CA114" i="23" s="1"/>
  <c r="BZ112" i="23"/>
  <c r="BZ114" i="23" s="1"/>
  <c r="DG405" i="23"/>
  <c r="DF405" i="23"/>
  <c r="DC405" i="23"/>
  <c r="CI32" i="23"/>
  <c r="T62" i="23"/>
  <c r="AA403" i="23"/>
  <c r="AC450" i="23"/>
  <c r="CV37" i="23"/>
  <c r="CV38" i="23" s="1"/>
  <c r="CX38" i="23" s="1"/>
  <c r="CW37" i="23"/>
  <c r="CW38" i="23" s="1"/>
  <c r="CU37" i="23"/>
  <c r="AD282" i="23"/>
  <c r="AC689" i="23"/>
  <c r="DL406" i="23"/>
  <c r="DJ406" i="23"/>
  <c r="CH114" i="23"/>
  <c r="L620" i="23"/>
  <c r="BU26" i="23"/>
  <c r="BV26" i="23"/>
  <c r="N604" i="23"/>
  <c r="N606" i="23"/>
  <c r="J140" i="23"/>
  <c r="J131" i="23"/>
  <c r="J143" i="23"/>
  <c r="CX374" i="23"/>
  <c r="DB390" i="23"/>
  <c r="CY390" i="23"/>
  <c r="CQ114" i="23"/>
  <c r="Y8" i="23"/>
  <c r="W475" i="23"/>
  <c r="W503" i="23" s="1"/>
  <c r="M643" i="23"/>
  <c r="M645" i="23" s="1"/>
  <c r="M651" i="23"/>
  <c r="K639" i="23"/>
  <c r="W582" i="23"/>
  <c r="V586" i="23"/>
  <c r="R571" i="23"/>
  <c r="R586" i="23"/>
  <c r="K477" i="23"/>
  <c r="K553" i="23"/>
  <c r="K415" i="23"/>
  <c r="K417" i="23" s="1"/>
  <c r="K464" i="23" s="1"/>
  <c r="L415" i="23"/>
  <c r="D302" i="23"/>
  <c r="D303" i="23" s="1"/>
  <c r="E300" i="23" s="1"/>
  <c r="R237" i="23"/>
  <c r="R307" i="23"/>
  <c r="AD230" i="23"/>
  <c r="I501" i="23"/>
  <c r="F219" i="23"/>
  <c r="BY48" i="23"/>
  <c r="R606" i="23"/>
  <c r="R604" i="23"/>
  <c r="D551" i="23"/>
  <c r="D554" i="23"/>
  <c r="I542" i="23"/>
  <c r="I543" i="23"/>
  <c r="I549" i="23"/>
  <c r="S495" i="23"/>
  <c r="R308" i="23"/>
  <c r="E277" i="23"/>
  <c r="E302" i="23" s="1"/>
  <c r="N273" i="23"/>
  <c r="B261" i="23"/>
  <c r="B277" i="23"/>
  <c r="B302" i="23" s="1"/>
  <c r="B303" i="23" s="1"/>
  <c r="C300" i="23" s="1"/>
  <c r="C303" i="23" s="1"/>
  <c r="G207" i="23"/>
  <c r="CB114" i="23"/>
  <c r="L114" i="23"/>
  <c r="M68" i="23"/>
  <c r="N62" i="23"/>
  <c r="M275" i="23"/>
  <c r="V27" i="23"/>
  <c r="DC406" i="23"/>
  <c r="BS145" i="73"/>
  <c r="BS146" i="73" s="1"/>
  <c r="DF163" i="23"/>
  <c r="DD122" i="23"/>
  <c r="AC62" i="23"/>
  <c r="AX63" i="30"/>
  <c r="AX71" i="30" s="1"/>
  <c r="AT16" i="25" s="1"/>
  <c r="AS54" i="30"/>
  <c r="AS65" i="30" s="1"/>
  <c r="AS73" i="30" s="1"/>
  <c r="DM408" i="23"/>
  <c r="DG407" i="23"/>
  <c r="DE407" i="23"/>
  <c r="DD407" i="23"/>
  <c r="DF407" i="23"/>
  <c r="V584" i="23"/>
  <c r="V580" i="23"/>
  <c r="U230" i="23"/>
  <c r="E30" i="63" s="1"/>
  <c r="D30" i="63"/>
  <c r="DH12" i="23"/>
  <c r="W418" i="23"/>
  <c r="Y27" i="23"/>
  <c r="W31" i="23"/>
  <c r="N8" i="56" s="1"/>
  <c r="CX27" i="23"/>
  <c r="BS115" i="23"/>
  <c r="BU111" i="23" s="1"/>
  <c r="BU112" i="23" s="1"/>
  <c r="BU114" i="23" s="1"/>
  <c r="BU105" i="23"/>
  <c r="BU108" i="23" s="1"/>
  <c r="CT391" i="23"/>
  <c r="CU391" i="23" s="1"/>
  <c r="V418" i="23"/>
  <c r="V31" i="23"/>
  <c r="X27" i="23"/>
  <c r="CS27" i="23"/>
  <c r="G239" i="23"/>
  <c r="G237" i="23"/>
  <c r="G234" i="23" s="1"/>
  <c r="K478" i="23"/>
  <c r="K495" i="23"/>
  <c r="AD689" i="23"/>
  <c r="AE282" i="23"/>
  <c r="AC403" i="23"/>
  <c r="AD450" i="23"/>
  <c r="BF147" i="73"/>
  <c r="Z37" i="23"/>
  <c r="CY38" i="23"/>
  <c r="DL404" i="23"/>
  <c r="DJ404" i="23"/>
  <c r="DK404" i="23"/>
  <c r="DI404" i="23"/>
  <c r="V12" i="56"/>
  <c r="S25" i="23"/>
  <c r="CD25" i="23"/>
  <c r="CD27" i="23"/>
  <c r="S418" i="23"/>
  <c r="S465" i="23"/>
  <c r="CT68" i="23"/>
  <c r="V228" i="23"/>
  <c r="V517" i="23"/>
  <c r="AF320" i="23"/>
  <c r="AE375" i="23"/>
  <c r="R375" i="23"/>
  <c r="N369" i="23"/>
  <c r="N375" i="23"/>
  <c r="N368" i="23"/>
  <c r="L523" i="23"/>
  <c r="L496" i="23"/>
  <c r="W105" i="23"/>
  <c r="W109" i="23"/>
  <c r="F9" i="62"/>
  <c r="CS109" i="23"/>
  <c r="F37" i="63"/>
  <c r="E48" i="56"/>
  <c r="I545" i="23"/>
  <c r="F551" i="23"/>
  <c r="F554" i="23" s="1"/>
  <c r="J582" i="23"/>
  <c r="I571" i="23"/>
  <c r="N488" i="23"/>
  <c r="N489" i="23" s="1"/>
  <c r="N555" i="23"/>
  <c r="J523" i="23"/>
  <c r="L578" i="23"/>
  <c r="L575" i="23"/>
  <c r="N575" i="23"/>
  <c r="N578" i="23"/>
  <c r="S71" i="23"/>
  <c r="Z96" i="25"/>
  <c r="CC12" i="23"/>
  <c r="CD12" i="23"/>
  <c r="J49" i="53"/>
  <c r="Q8" i="56"/>
  <c r="DC31" i="23"/>
  <c r="Z465" i="23"/>
  <c r="DC418" i="23"/>
  <c r="DK407" i="23"/>
  <c r="DL407" i="23"/>
  <c r="DJ407" i="23"/>
  <c r="DI407" i="23"/>
  <c r="T442" i="23"/>
  <c r="S395" i="23"/>
  <c r="DB416" i="23"/>
  <c r="CZ416" i="23"/>
  <c r="CY416" i="23"/>
  <c r="DA416" i="23"/>
  <c r="T151" i="23"/>
  <c r="AD204" i="23"/>
  <c r="AE204" i="23" s="1"/>
  <c r="DH401" i="23"/>
  <c r="R380" i="23"/>
  <c r="S427" i="23"/>
  <c r="S380" i="23" s="1"/>
  <c r="Q25" i="23"/>
  <c r="BT25" i="23"/>
  <c r="AE405" i="23"/>
  <c r="AF452" i="23"/>
  <c r="BT145" i="73"/>
  <c r="DF166" i="23"/>
  <c r="G11" i="56"/>
  <c r="BU27" i="23"/>
  <c r="BU31" i="23"/>
  <c r="W37" i="23"/>
  <c r="CU38" i="23"/>
  <c r="DE403" i="23"/>
  <c r="DG403" i="23"/>
  <c r="DF403" i="23"/>
  <c r="DD403" i="23"/>
  <c r="CR167" i="23"/>
  <c r="V167" i="23"/>
  <c r="V166" i="23"/>
  <c r="CR168" i="23"/>
  <c r="V168" i="23"/>
  <c r="Z151" i="23"/>
  <c r="AE451" i="23"/>
  <c r="AE404" i="23" s="1"/>
  <c r="AD404" i="23"/>
  <c r="R430" i="23"/>
  <c r="N383" i="23"/>
  <c r="CR37" i="23"/>
  <c r="CR38" i="23"/>
  <c r="CS38" i="23"/>
  <c r="CQ38" i="23"/>
  <c r="R376" i="23"/>
  <c r="S423" i="23"/>
  <c r="CY125" i="23"/>
  <c r="CY67" i="23"/>
  <c r="CV125" i="23"/>
  <c r="CV67" i="23"/>
  <c r="CV68" i="23"/>
  <c r="CW124" i="23"/>
  <c r="DA124" i="23"/>
  <c r="AG455" i="23"/>
  <c r="BH77" i="23"/>
  <c r="BH79" i="23" s="1"/>
  <c r="BH75" i="23"/>
  <c r="BH23" i="23"/>
  <c r="BH34" i="23" s="1"/>
  <c r="N495" i="23"/>
  <c r="N478" i="23"/>
  <c r="M553" i="23"/>
  <c r="M554" i="23"/>
  <c r="M578" i="23"/>
  <c r="M575" i="23"/>
  <c r="AE454" i="23"/>
  <c r="AD407" i="23"/>
  <c r="AC463" i="23"/>
  <c r="AD463" i="23" s="1"/>
  <c r="AE463" i="23" s="1"/>
  <c r="AF463" i="23" s="1"/>
  <c r="AG463" i="23" s="1"/>
  <c r="AH463" i="23" s="1"/>
  <c r="AI463" i="23" s="1"/>
  <c r="AJ463" i="23" s="1"/>
  <c r="R656" i="23"/>
  <c r="R660" i="23"/>
  <c r="R661" i="23"/>
  <c r="R675" i="23"/>
  <c r="BY39" i="23"/>
  <c r="CC124" i="23"/>
  <c r="CB125" i="23"/>
  <c r="CB67" i="23"/>
  <c r="CB68" i="23" s="1"/>
  <c r="AH158" i="23"/>
  <c r="AG159" i="23"/>
  <c r="X29" i="56"/>
  <c r="N465" i="23"/>
  <c r="AT12" i="25"/>
  <c r="AT11" i="25" s="1"/>
  <c r="Y25" i="23"/>
  <c r="Y31" i="23"/>
  <c r="P8" i="56" s="1"/>
  <c r="Y418" i="23"/>
  <c r="W465" i="23"/>
  <c r="CX418" i="23"/>
  <c r="D17" i="62"/>
  <c r="N17" i="62" s="1"/>
  <c r="CC67" i="23"/>
  <c r="CC68" i="23"/>
  <c r="CC125" i="23"/>
  <c r="N496" i="23"/>
  <c r="N523" i="23"/>
  <c r="AH455" i="23"/>
  <c r="CW67" i="23"/>
  <c r="CW68" i="23" s="1"/>
  <c r="DB124" i="23"/>
  <c r="CW125" i="23"/>
  <c r="AF451" i="23"/>
  <c r="AF404" i="23" s="1"/>
  <c r="T427" i="23"/>
  <c r="U442" i="23"/>
  <c r="T395" i="23"/>
  <c r="L580" i="23"/>
  <c r="L584" i="23"/>
  <c r="CX109" i="23"/>
  <c r="Z105" i="23"/>
  <c r="Z109" i="23"/>
  <c r="G9" i="62"/>
  <c r="Q9" i="62" s="1"/>
  <c r="G37" i="63"/>
  <c r="L524" i="23"/>
  <c r="AG320" i="23"/>
  <c r="DI403" i="23"/>
  <c r="DK403" i="23"/>
  <c r="DJ403" i="23"/>
  <c r="DL403" i="23"/>
  <c r="CS31" i="23"/>
  <c r="M8" i="56"/>
  <c r="Y29" i="56"/>
  <c r="AI158" i="23"/>
  <c r="AH159" i="23"/>
  <c r="AF454" i="23"/>
  <c r="AE407" i="23"/>
  <c r="M584" i="23"/>
  <c r="M580" i="23"/>
  <c r="M555" i="23"/>
  <c r="M488" i="23"/>
  <c r="DA67" i="23"/>
  <c r="DA68" i="23"/>
  <c r="DA125" i="23"/>
  <c r="CY68" i="23"/>
  <c r="T423" i="23"/>
  <c r="S376" i="23"/>
  <c r="S430" i="23"/>
  <c r="S383" i="23" s="1"/>
  <c r="R383" i="23"/>
  <c r="V151" i="23"/>
  <c r="CX37" i="23"/>
  <c r="W38" i="23"/>
  <c r="N10" i="56"/>
  <c r="DF167" i="23"/>
  <c r="AA167" i="23" s="1"/>
  <c r="AA166" i="23"/>
  <c r="DF168" i="23"/>
  <c r="AA168" i="23"/>
  <c r="AG452" i="23"/>
  <c r="AH452" i="23" s="1"/>
  <c r="AF405" i="23"/>
  <c r="K50" i="53"/>
  <c r="N580" i="23"/>
  <c r="N584" i="23"/>
  <c r="I546" i="23"/>
  <c r="I551" i="23"/>
  <c r="P9" i="62"/>
  <c r="CX67" i="23"/>
  <c r="Q10" i="56"/>
  <c r="DC37" i="23"/>
  <c r="AD403" i="23"/>
  <c r="AE450" i="23"/>
  <c r="AF450" i="23" s="1"/>
  <c r="AG450" i="23" s="1"/>
  <c r="AH450" i="23" s="1"/>
  <c r="AI450" i="23" s="1"/>
  <c r="AJ450" i="23" s="1"/>
  <c r="AK450" i="23" s="1"/>
  <c r="AL450" i="23" s="1"/>
  <c r="AM450" i="23" s="1"/>
  <c r="AN450" i="23" s="1"/>
  <c r="AF282" i="23"/>
  <c r="AG282" i="23" s="1"/>
  <c r="AE689" i="23"/>
  <c r="K523" i="23"/>
  <c r="K524" i="23" s="1"/>
  <c r="K496" i="23"/>
  <c r="G240" i="23"/>
  <c r="X31" i="23"/>
  <c r="O8" i="56" s="1"/>
  <c r="X418" i="23"/>
  <c r="V465" i="23"/>
  <c r="K525" i="23"/>
  <c r="AF689" i="23"/>
  <c r="AG405" i="23"/>
  <c r="T430" i="23"/>
  <c r="T383" i="23" s="1"/>
  <c r="U423" i="23"/>
  <c r="V423" i="23" s="1"/>
  <c r="M495" i="23"/>
  <c r="M489" i="23"/>
  <c r="Z29" i="56"/>
  <c r="AI159" i="23"/>
  <c r="AJ158" i="23"/>
  <c r="V442" i="23"/>
  <c r="W442" i="23" s="1"/>
  <c r="Z442" i="23" s="1"/>
  <c r="Z395" i="23" s="1"/>
  <c r="CY395" i="23" s="1"/>
  <c r="U427" i="23"/>
  <c r="T380" i="23"/>
  <c r="AG451" i="23"/>
  <c r="AH451" i="23" s="1"/>
  <c r="N524" i="23"/>
  <c r="AA151" i="23"/>
  <c r="AG454" i="23"/>
  <c r="AH454" i="23" s="1"/>
  <c r="AH320" i="23"/>
  <c r="AI320" i="23" s="1"/>
  <c r="AJ320" i="23" s="1"/>
  <c r="AK320" i="23" s="1"/>
  <c r="AL320" i="23" s="1"/>
  <c r="AM320" i="23" s="1"/>
  <c r="L525" i="23"/>
  <c r="DC109" i="23"/>
  <c r="AA105" i="23"/>
  <c r="AA109" i="23" s="1"/>
  <c r="H37" i="63"/>
  <c r="H9" i="62"/>
  <c r="R9" i="62" s="1"/>
  <c r="DB67" i="23"/>
  <c r="DB125" i="23"/>
  <c r="AI455" i="23"/>
  <c r="AJ455" i="23" s="1"/>
  <c r="DB68" i="23"/>
  <c r="DC67" i="23"/>
  <c r="M496" i="23"/>
  <c r="M523" i="23"/>
  <c r="W228" i="23"/>
  <c r="W517" i="23" s="1"/>
  <c r="AG404" i="23"/>
  <c r="U380" i="23"/>
  <c r="V427" i="23"/>
  <c r="V380" i="23" s="1"/>
  <c r="AJ159" i="23"/>
  <c r="AA29" i="56"/>
  <c r="AK158" i="23"/>
  <c r="AB29" i="56"/>
  <c r="AK159" i="23"/>
  <c r="AL158" i="23"/>
  <c r="AM158" i="23" s="1"/>
  <c r="M524" i="23"/>
  <c r="M525" i="23"/>
  <c r="N525" i="23"/>
  <c r="AC29" i="56"/>
  <c r="AS36" i="31"/>
  <c r="AX36" i="31" s="1"/>
  <c r="BC36" i="31" s="1"/>
  <c r="BH36" i="31" s="1"/>
  <c r="AQ36" i="31"/>
  <c r="AV36" i="31" s="1"/>
  <c r="BM41" i="73"/>
  <c r="B103" i="31"/>
  <c r="BJ10" i="31"/>
  <c r="AO54" i="30"/>
  <c r="AO65" i="30" s="1"/>
  <c r="AO73" i="30" s="1"/>
  <c r="M232" i="59"/>
  <c r="O232" i="59" s="1"/>
  <c r="AT45" i="30"/>
  <c r="AT241" i="30" s="1"/>
  <c r="AL9" i="25"/>
  <c r="BX312" i="59"/>
  <c r="BX150" i="59"/>
  <c r="I9" i="62"/>
  <c r="BV27" i="23"/>
  <c r="BV31" i="23" s="1"/>
  <c r="BW26" i="23"/>
  <c r="Z389" i="23"/>
  <c r="Z38" i="23"/>
  <c r="AA435" i="23"/>
  <c r="R575" i="23"/>
  <c r="O49" i="53"/>
  <c r="U388" i="23"/>
  <c r="N39" i="23"/>
  <c r="Z393" i="23"/>
  <c r="CY393" i="23" s="1"/>
  <c r="AA440" i="23"/>
  <c r="T382" i="23"/>
  <c r="U429" i="23"/>
  <c r="CS37" i="23"/>
  <c r="AA399" i="23"/>
  <c r="DE399" i="23" s="1"/>
  <c r="AC446" i="23"/>
  <c r="AD446" i="23" s="1"/>
  <c r="AD399" i="23" s="1"/>
  <c r="U323" i="23"/>
  <c r="J148" i="23"/>
  <c r="K128" i="23" s="1"/>
  <c r="J137" i="23"/>
  <c r="J134" i="23"/>
  <c r="T616" i="23"/>
  <c r="T620" i="23" s="1"/>
  <c r="CD38" i="23"/>
  <c r="V620" i="23"/>
  <c r="W616" i="23"/>
  <c r="W620" i="23" s="1"/>
  <c r="S616" i="23"/>
  <c r="S620" i="23"/>
  <c r="R620" i="23"/>
  <c r="I10" i="56"/>
  <c r="U167" i="23"/>
  <c r="U168" i="23"/>
  <c r="CZ168" i="23"/>
  <c r="Z168" i="23" s="1"/>
  <c r="CG167" i="23"/>
  <c r="T167" i="23"/>
  <c r="K145" i="23"/>
  <c r="K148" i="23"/>
  <c r="L128" i="23" s="1"/>
  <c r="DF399" i="23"/>
  <c r="DG399" i="23"/>
  <c r="AC440" i="23"/>
  <c r="AD440" i="23" s="1"/>
  <c r="AA393" i="23"/>
  <c r="DE393" i="23" s="1"/>
  <c r="BT39" i="23"/>
  <c r="P50" i="53"/>
  <c r="O50" i="53"/>
  <c r="R580" i="23"/>
  <c r="R584" i="23"/>
  <c r="DB388" i="23"/>
  <c r="Z517" i="23"/>
  <c r="DC38" i="23"/>
  <c r="AM159" i="23"/>
  <c r="CZ389" i="23"/>
  <c r="DG68" i="23"/>
  <c r="L131" i="23"/>
  <c r="L148" i="23"/>
  <c r="L143" i="23"/>
  <c r="K146" i="23"/>
  <c r="L150" i="23"/>
  <c r="L153" i="23"/>
  <c r="L154" i="23" s="1"/>
  <c r="L146" i="23"/>
  <c r="M128" i="23"/>
  <c r="M148" i="23"/>
  <c r="M143" i="23"/>
  <c r="M131" i="23"/>
  <c r="M134" i="23"/>
  <c r="M140" i="23"/>
  <c r="M137" i="23"/>
  <c r="M152" i="23"/>
  <c r="M150" i="23"/>
  <c r="N128" i="23"/>
  <c r="M153" i="23"/>
  <c r="M154" i="23"/>
  <c r="N148" i="23"/>
  <c r="R128" i="23" s="1"/>
  <c r="N134" i="23"/>
  <c r="N140" i="23"/>
  <c r="N131" i="23"/>
  <c r="N137" i="23"/>
  <c r="N143" i="23"/>
  <c r="EZ97" i="30"/>
  <c r="BU45" i="73"/>
  <c r="CX218" i="59"/>
  <c r="CX132" i="59"/>
  <c r="CX145" i="59"/>
  <c r="CX28" i="59"/>
  <c r="CY301" i="59"/>
  <c r="CS187" i="59"/>
  <c r="CS210" i="59" s="1"/>
  <c r="BC71" i="73"/>
  <c r="BC72" i="73"/>
  <c r="CX37" i="59"/>
  <c r="CX45" i="59"/>
  <c r="CX46" i="59" s="1"/>
  <c r="CX255" i="59"/>
  <c r="R190" i="59"/>
  <c r="B109" i="95"/>
  <c r="C109" i="95"/>
  <c r="CS181" i="59" l="1"/>
  <c r="BG172" i="59"/>
  <c r="CN330" i="59"/>
  <c r="DB88" i="59"/>
  <c r="DB76" i="59"/>
  <c r="CG150" i="59"/>
  <c r="M149" i="59"/>
  <c r="CL149" i="59"/>
  <c r="N153" i="59"/>
  <c r="CL154" i="59"/>
  <c r="P93" i="59"/>
  <c r="P113" i="59"/>
  <c r="P92" i="59"/>
  <c r="CJ232" i="59"/>
  <c r="AU71" i="30"/>
  <c r="AQ16" i="25" s="1"/>
  <c r="CD178" i="59"/>
  <c r="CF151" i="59"/>
  <c r="CQ170" i="59"/>
  <c r="CR170" i="59"/>
  <c r="CV115" i="59"/>
  <c r="CM170" i="59"/>
  <c r="CM177" i="59" s="1"/>
  <c r="CM179" i="59" s="1"/>
  <c r="CM181" i="59" s="1"/>
  <c r="CM183" i="59" s="1"/>
  <c r="CG327" i="59"/>
  <c r="BM56" i="59"/>
  <c r="BL56" i="59"/>
  <c r="AY54" i="59"/>
  <c r="AR51" i="59"/>
  <c r="BH172" i="59"/>
  <c r="C143" i="59"/>
  <c r="CK154" i="59"/>
  <c r="AY53" i="59"/>
  <c r="AR53" i="59"/>
  <c r="N129" i="59"/>
  <c r="AQ9" i="25"/>
  <c r="AR63" i="30"/>
  <c r="CF154" i="59"/>
  <c r="BT178" i="59"/>
  <c r="BL50" i="59"/>
  <c r="BG51" i="59"/>
  <c r="AR12" i="59"/>
  <c r="CH178" i="59"/>
  <c r="H173" i="59"/>
  <c r="H180" i="59" s="1"/>
  <c r="CF155" i="59"/>
  <c r="BQ254" i="59"/>
  <c r="AC83" i="25"/>
  <c r="DM23" i="25"/>
  <c r="BF190" i="59"/>
  <c r="BG180" i="59"/>
  <c r="CS101" i="59"/>
  <c r="H92" i="59"/>
  <c r="Y85" i="25"/>
  <c r="AS50" i="59"/>
  <c r="AS7" i="25"/>
  <c r="AL558" i="23" s="1"/>
  <c r="AU54" i="30"/>
  <c r="AU65" i="30" s="1"/>
  <c r="AU73" i="30" s="1"/>
  <c r="AA9" i="23"/>
  <c r="AB9" i="23" s="1"/>
  <c r="AK17" i="30"/>
  <c r="M153" i="59"/>
  <c r="J221" i="60" s="1"/>
  <c r="CG154" i="59"/>
  <c r="BC124" i="59"/>
  <c r="BH50" i="59"/>
  <c r="AR9" i="59"/>
  <c r="CB174" i="59"/>
  <c r="CB202" i="59" s="1"/>
  <c r="BQ113" i="59"/>
  <c r="BR180" i="59"/>
  <c r="AU54" i="59"/>
  <c r="BO166" i="59"/>
  <c r="F129" i="59"/>
  <c r="BH155" i="59"/>
  <c r="F92" i="59"/>
  <c r="AN54" i="59"/>
  <c r="BL12" i="59"/>
  <c r="BK10" i="59"/>
  <c r="BM19" i="59"/>
  <c r="AO87" i="59"/>
  <c r="Z85" i="25"/>
  <c r="CD88" i="73"/>
  <c r="CD87" i="73"/>
  <c r="U384" i="23"/>
  <c r="V431" i="23"/>
  <c r="AD448" i="23"/>
  <c r="AC401" i="23"/>
  <c r="I3" i="95"/>
  <c r="Y216" i="31"/>
  <c r="E3" i="95"/>
  <c r="Y6" i="20" s="1"/>
  <c r="U216" i="31"/>
  <c r="AC393" i="23"/>
  <c r="DP411" i="23"/>
  <c r="DQ411" i="23"/>
  <c r="DO411" i="23"/>
  <c r="DN411" i="23"/>
  <c r="DR411" i="23"/>
  <c r="CX9" i="23"/>
  <c r="AC399" i="23"/>
  <c r="DL399" i="23" s="1"/>
  <c r="AE321" i="23"/>
  <c r="AC390" i="23"/>
  <c r="DJ390" i="23"/>
  <c r="DI390" i="23"/>
  <c r="DK390" i="23"/>
  <c r="G3" i="95"/>
  <c r="AA6" i="20" s="1"/>
  <c r="W216" i="31"/>
  <c r="DC416" i="23"/>
  <c r="AD333" i="23"/>
  <c r="F3" i="95"/>
  <c r="V216" i="31"/>
  <c r="DV43" i="30"/>
  <c r="DV47" i="30" s="1"/>
  <c r="BY145" i="59"/>
  <c r="BY167" i="59" s="1"/>
  <c r="BY163" i="59"/>
  <c r="BY143" i="59"/>
  <c r="BT163" i="59"/>
  <c r="DL21" i="25"/>
  <c r="DL22" i="25" s="1"/>
  <c r="BT145" i="59"/>
  <c r="BT167" i="59" s="1"/>
  <c r="BY315" i="59"/>
  <c r="K75" i="73"/>
  <c r="R155" i="59"/>
  <c r="AM51" i="30"/>
  <c r="AG231" i="31"/>
  <c r="AI231" i="31" s="1"/>
  <c r="AF231" i="31"/>
  <c r="AH231" i="31" s="1"/>
  <c r="AJ231" i="31" s="1"/>
  <c r="N3" i="95"/>
  <c r="AD247" i="31"/>
  <c r="J3" i="95"/>
  <c r="Z247" i="31"/>
  <c r="W30" i="31"/>
  <c r="BJ30" i="31" s="1"/>
  <c r="V30" i="31"/>
  <c r="BE30" i="31" s="1"/>
  <c r="O3" i="95"/>
  <c r="AI6" i="20" s="1"/>
  <c r="AI156" i="20" s="1"/>
  <c r="AI168" i="20" s="1"/>
  <c r="AE247" i="31"/>
  <c r="K3" i="95"/>
  <c r="AA247" i="31"/>
  <c r="S3" i="95"/>
  <c r="S26" i="95" s="1"/>
  <c r="AI247" i="31"/>
  <c r="Q3" i="95"/>
  <c r="Q26" i="95" s="1"/>
  <c r="AG247" i="31"/>
  <c r="M3" i="95"/>
  <c r="AC247" i="31"/>
  <c r="P3" i="95"/>
  <c r="P26" i="95" s="1"/>
  <c r="AF247" i="31"/>
  <c r="L3" i="95"/>
  <c r="AB247" i="31"/>
  <c r="R3" i="95"/>
  <c r="AH247" i="31"/>
  <c r="Y30" i="31"/>
  <c r="BT30" i="31" s="1"/>
  <c r="I147" i="30"/>
  <c r="E21" i="73"/>
  <c r="E124" i="31"/>
  <c r="D103" i="31"/>
  <c r="D33" i="31"/>
  <c r="D34" i="31" s="1"/>
  <c r="AU36" i="31"/>
  <c r="B33" i="31"/>
  <c r="B34" i="31" s="1"/>
  <c r="S171" i="31"/>
  <c r="I50" i="31"/>
  <c r="M20" i="73"/>
  <c r="M21" i="73"/>
  <c r="N18" i="73"/>
  <c r="N21" i="73"/>
  <c r="Z252" i="31"/>
  <c r="AB252" i="31"/>
  <c r="AE252" i="31"/>
  <c r="AD252" i="31"/>
  <c r="CY106" i="59"/>
  <c r="DH106" i="59"/>
  <c r="U106" i="59" s="1"/>
  <c r="BN218" i="59"/>
  <c r="EH97" i="30"/>
  <c r="BT71" i="73"/>
  <c r="CK126" i="59"/>
  <c r="BH45" i="73" s="1"/>
  <c r="DG24" i="59"/>
  <c r="DH24" i="59"/>
  <c r="M11" i="95"/>
  <c r="P11" i="95"/>
  <c r="H11" i="95"/>
  <c r="R11" i="95"/>
  <c r="K11" i="95"/>
  <c r="N11" i="95"/>
  <c r="N80" i="95"/>
  <c r="CR67" i="25"/>
  <c r="CS66" i="25"/>
  <c r="CR68" i="25"/>
  <c r="CW14" i="30"/>
  <c r="DB18" i="30"/>
  <c r="CO65" i="25"/>
  <c r="CJ65" i="25"/>
  <c r="CJ67" i="25"/>
  <c r="CJ71" i="25"/>
  <c r="CN64" i="25"/>
  <c r="CJ75" i="25"/>
  <c r="AN97" i="59"/>
  <c r="B93" i="59"/>
  <c r="AQ42" i="59"/>
  <c r="CW25" i="59"/>
  <c r="CR25" i="59"/>
  <c r="S24" i="59"/>
  <c r="P24" i="59"/>
  <c r="L24" i="59"/>
  <c r="CD24" i="59" s="1"/>
  <c r="BU24" i="59"/>
  <c r="AG171" i="31"/>
  <c r="AC171" i="31"/>
  <c r="CQ155" i="59"/>
  <c r="CQ154" i="59"/>
  <c r="CV313" i="59"/>
  <c r="C273" i="60"/>
  <c r="D273" i="60" s="1"/>
  <c r="E273" i="60" s="1"/>
  <c r="F273" i="60" s="1"/>
  <c r="G273" i="60" s="1"/>
  <c r="H273" i="60" s="1"/>
  <c r="I273" i="60" s="1"/>
  <c r="J273" i="60" s="1"/>
  <c r="K273" i="60" s="1"/>
  <c r="L273" i="60" s="1"/>
  <c r="M273" i="60" s="1"/>
  <c r="N273" i="60" s="1"/>
  <c r="O273" i="60" s="1"/>
  <c r="P273" i="60" s="1"/>
  <c r="Q273" i="60" s="1"/>
  <c r="R273" i="60" s="1"/>
  <c r="S273" i="60" s="1"/>
  <c r="T273" i="60" s="1"/>
  <c r="U273" i="60" s="1"/>
  <c r="V273" i="60" s="1"/>
  <c r="W273" i="60" s="1"/>
  <c r="X273" i="60" s="1"/>
  <c r="Y273" i="60" s="1"/>
  <c r="C67" i="60"/>
  <c r="D67" i="60" s="1"/>
  <c r="E67" i="60" s="1"/>
  <c r="F67" i="60" s="1"/>
  <c r="G67" i="60" s="1"/>
  <c r="H67" i="60" s="1"/>
  <c r="I67" i="60" s="1"/>
  <c r="J67" i="60" s="1"/>
  <c r="K67" i="60" s="1"/>
  <c r="L67" i="60" s="1"/>
  <c r="M67" i="60" s="1"/>
  <c r="N67" i="60" s="1"/>
  <c r="O67" i="60" s="1"/>
  <c r="P67" i="60" s="1"/>
  <c r="Q67" i="60" s="1"/>
  <c r="R67" i="60" s="1"/>
  <c r="S67" i="60" s="1"/>
  <c r="T67" i="60" s="1"/>
  <c r="U67" i="60" s="1"/>
  <c r="V67" i="60" s="1"/>
  <c r="W67" i="60" s="1"/>
  <c r="X67" i="60" s="1"/>
  <c r="Y67" i="60" s="1"/>
  <c r="Q88" i="20"/>
  <c r="R88" i="20" s="1"/>
  <c r="S88" i="20" s="1"/>
  <c r="T88" i="20" s="1"/>
  <c r="U88" i="20" s="1"/>
  <c r="V88" i="20" s="1"/>
  <c r="W88" i="20" s="1"/>
  <c r="X88" i="20" s="1"/>
  <c r="Y88" i="20" s="1"/>
  <c r="Z88" i="20" s="1"/>
  <c r="AA88" i="20" s="1"/>
  <c r="AB88" i="20" s="1"/>
  <c r="AC88" i="20" s="1"/>
  <c r="AD88" i="20" s="1"/>
  <c r="AE88" i="20" s="1"/>
  <c r="AF88" i="20" s="1"/>
  <c r="AG88" i="20" s="1"/>
  <c r="AH88" i="20" s="1"/>
  <c r="AI88" i="20" s="1"/>
  <c r="AJ88" i="20" s="1"/>
  <c r="AK88" i="20" s="1"/>
  <c r="AL88" i="20" s="1"/>
  <c r="AM88" i="20" s="1"/>
  <c r="AN88" i="20" s="1"/>
  <c r="R98" i="25"/>
  <c r="S98" i="25"/>
  <c r="EC84" i="30"/>
  <c r="DP85" i="30"/>
  <c r="DP188" i="30"/>
  <c r="BI147" i="73"/>
  <c r="N13" i="62"/>
  <c r="N57" i="62" s="1"/>
  <c r="C31" i="63"/>
  <c r="FB187" i="30"/>
  <c r="ET188" i="30"/>
  <c r="DU85" i="30"/>
  <c r="EE188" i="30"/>
  <c r="D13" i="62"/>
  <c r="D57" i="62" s="1"/>
  <c r="DB264" i="59"/>
  <c r="DZ85" i="30"/>
  <c r="CE142" i="30"/>
  <c r="BK121" i="59"/>
  <c r="CT128" i="30"/>
  <c r="E60" i="73"/>
  <c r="E61" i="73" s="1"/>
  <c r="E58" i="73"/>
  <c r="CT130" i="30"/>
  <c r="R29" i="38"/>
  <c r="Z35" i="40"/>
  <c r="S29" i="38"/>
  <c r="Y38" i="40"/>
  <c r="Q29" i="38"/>
  <c r="X39" i="40"/>
  <c r="D255" i="60"/>
  <c r="N53" i="38"/>
  <c r="O43" i="38"/>
  <c r="P22" i="38"/>
  <c r="K75" i="38"/>
  <c r="O19" i="38"/>
  <c r="J75" i="38"/>
  <c r="L45" i="38"/>
  <c r="L58" i="38" s="1"/>
  <c r="G19" i="38"/>
  <c r="G21" i="38" s="1"/>
  <c r="H49" i="38"/>
  <c r="C15" i="38"/>
  <c r="H51" i="38"/>
  <c r="O45" i="38"/>
  <c r="C75" i="38"/>
  <c r="H75" i="38"/>
  <c r="I17" i="38"/>
  <c r="E24" i="38"/>
  <c r="I43" i="31"/>
  <c r="R113" i="30"/>
  <c r="E44" i="31"/>
  <c r="I47" i="31"/>
  <c r="E39" i="31"/>
  <c r="I37" i="31"/>
  <c r="H171" i="31"/>
  <c r="O171" i="31"/>
  <c r="G107" i="31"/>
  <c r="P225" i="31"/>
  <c r="G225" i="31"/>
  <c r="M121" i="31"/>
  <c r="E95" i="31"/>
  <c r="I15" i="31"/>
  <c r="D95" i="31"/>
  <c r="J99" i="31"/>
  <c r="BE10" i="31"/>
  <c r="D171" i="31"/>
  <c r="J14" i="31"/>
  <c r="F107" i="31"/>
  <c r="F128" i="31"/>
  <c r="I96" i="31"/>
  <c r="K123" i="31"/>
  <c r="K124" i="31" s="1"/>
  <c r="Y193" i="31"/>
  <c r="U193" i="31"/>
  <c r="H47" i="31"/>
  <c r="H42" i="31"/>
  <c r="I44" i="31" s="1"/>
  <c r="R239" i="30"/>
  <c r="P18" i="73"/>
  <c r="L20" i="73"/>
  <c r="L21" i="73"/>
  <c r="AF223" i="23"/>
  <c r="AG223" i="23" s="1"/>
  <c r="AH223" i="23" s="1"/>
  <c r="AI223" i="23" s="1"/>
  <c r="AO33" i="85"/>
  <c r="AO35" i="85" s="1"/>
  <c r="AO29" i="85"/>
  <c r="J33" i="85"/>
  <c r="J29" i="85"/>
  <c r="F33" i="85"/>
  <c r="F29" i="85"/>
  <c r="AU25" i="85"/>
  <c r="K23" i="85"/>
  <c r="L23" i="85"/>
  <c r="AQ29" i="85"/>
  <c r="AQ33" i="85"/>
  <c r="AQ35" i="85" s="1"/>
  <c r="E35" i="85"/>
  <c r="E34" i="85"/>
  <c r="EF207" i="30"/>
  <c r="EE207" i="30"/>
  <c r="EC207" i="30"/>
  <c r="ED207" i="30"/>
  <c r="AX25" i="85"/>
  <c r="BC26" i="85" s="1"/>
  <c r="CI32" i="85"/>
  <c r="AT26" i="85"/>
  <c r="AY24" i="85"/>
  <c r="AY25" i="85" s="1"/>
  <c r="AY26" i="85" s="1"/>
  <c r="H33" i="85"/>
  <c r="AP20" i="85"/>
  <c r="E29" i="85"/>
  <c r="T32" i="85"/>
  <c r="AU24" i="85"/>
  <c r="DF50" i="25"/>
  <c r="J21" i="85"/>
  <c r="AU17" i="85"/>
  <c r="AU19" i="85" s="1"/>
  <c r="AU18" i="85" s="1"/>
  <c r="AU20" i="85" s="1"/>
  <c r="DK173" i="30"/>
  <c r="AJ180" i="30"/>
  <c r="AF57" i="25"/>
  <c r="CH32" i="85"/>
  <c r="CJ32" i="85" s="1"/>
  <c r="CK32" i="85" s="1"/>
  <c r="K17" i="85"/>
  <c r="U51" i="25"/>
  <c r="DC51" i="25" s="1"/>
  <c r="BJ56" i="85"/>
  <c r="AY17" i="85"/>
  <c r="AY20" i="85"/>
  <c r="AP17" i="85"/>
  <c r="K9" i="85"/>
  <c r="DA54" i="25"/>
  <c r="G34" i="85"/>
  <c r="I34" i="85"/>
  <c r="AP39" i="85"/>
  <c r="L18" i="85"/>
  <c r="L19" i="85" s="1"/>
  <c r="L13" i="85"/>
  <c r="K13" i="85"/>
  <c r="M86" i="85"/>
  <c r="BH51" i="85"/>
  <c r="BE56" i="85"/>
  <c r="BE57" i="85" s="1"/>
  <c r="BI102" i="85"/>
  <c r="BM101" i="85"/>
  <c r="BI56" i="85"/>
  <c r="BI57" i="85" s="1"/>
  <c r="M74" i="85"/>
  <c r="BI101" i="85"/>
  <c r="BH72" i="85"/>
  <c r="N98" i="85"/>
  <c r="AG10" i="31"/>
  <c r="O10" i="62"/>
  <c r="V24" i="73"/>
  <c r="A164" i="23"/>
  <c r="CP165" i="23" s="1"/>
  <c r="C18" i="73"/>
  <c r="U53" i="73"/>
  <c r="AJ101" i="33" s="1"/>
  <c r="T24" i="73"/>
  <c r="BX33" i="73"/>
  <c r="BZ144" i="73"/>
  <c r="DL163" i="23" s="1"/>
  <c r="M117" i="73"/>
  <c r="BO39" i="73"/>
  <c r="E18" i="73"/>
  <c r="S18" i="73"/>
  <c r="H18" i="73"/>
  <c r="V18" i="73"/>
  <c r="M18" i="73"/>
  <c r="V12" i="73"/>
  <c r="U46" i="73"/>
  <c r="AL61" i="32" s="1"/>
  <c r="S53" i="73"/>
  <c r="AH101" i="33" s="1"/>
  <c r="S12" i="73"/>
  <c r="R46" i="73"/>
  <c r="Q46" i="73"/>
  <c r="P24" i="73"/>
  <c r="O53" i="73"/>
  <c r="AD101" i="33" s="1"/>
  <c r="N24" i="73"/>
  <c r="BZ33" i="73"/>
  <c r="BW33" i="73"/>
  <c r="G46" i="73"/>
  <c r="X61" i="32" s="1"/>
  <c r="CD46" i="73"/>
  <c r="DG297" i="59" s="1"/>
  <c r="CE46" i="73"/>
  <c r="DH297" i="59" s="1"/>
  <c r="CC46" i="73"/>
  <c r="DF297" i="59" s="1"/>
  <c r="CB46" i="73"/>
  <c r="DE297" i="59" s="1"/>
  <c r="BN144" i="73"/>
  <c r="BT69" i="73"/>
  <c r="BZ39" i="73"/>
  <c r="BS23" i="31" s="1"/>
  <c r="R18" i="73"/>
  <c r="K18" i="73"/>
  <c r="V53" i="73"/>
  <c r="AK101" i="33" s="1"/>
  <c r="U24" i="73"/>
  <c r="T46" i="73"/>
  <c r="R24" i="73"/>
  <c r="P12" i="73"/>
  <c r="O24" i="73"/>
  <c r="BY33" i="73"/>
  <c r="BU33" i="73"/>
  <c r="BZ12" i="73"/>
  <c r="BI33" i="73"/>
  <c r="Q53" i="73"/>
  <c r="AF101" i="33" s="1"/>
  <c r="P53" i="73"/>
  <c r="AE101" i="33" s="1"/>
  <c r="D46" i="73"/>
  <c r="U61" i="32" s="1"/>
  <c r="U59" i="32" s="1"/>
  <c r="U62" i="32" s="1"/>
  <c r="U64" i="32" s="1"/>
  <c r="U86" i="32" s="1"/>
  <c r="N144" i="73"/>
  <c r="AE163" i="23" s="1"/>
  <c r="BZ53" i="73"/>
  <c r="DC125" i="59" s="1"/>
  <c r="U18" i="73"/>
  <c r="Q18" i="73"/>
  <c r="CE159" i="73"/>
  <c r="DQ664" i="23" s="1"/>
  <c r="DQ40" i="23" s="1"/>
  <c r="O18" i="73"/>
  <c r="V46" i="73"/>
  <c r="AM61" i="32" s="1"/>
  <c r="U12" i="73"/>
  <c r="S24" i="73"/>
  <c r="R12" i="73"/>
  <c r="Q12" i="73"/>
  <c r="O12" i="73"/>
  <c r="N46" i="73"/>
  <c r="BS33" i="73"/>
  <c r="BO33" i="73"/>
  <c r="BX93" i="73"/>
  <c r="BX94" i="73"/>
  <c r="CB100" i="73"/>
  <c r="CC100" i="73"/>
  <c r="CD100" i="73"/>
  <c r="CC99" i="73"/>
  <c r="CD99" i="73"/>
  <c r="CB99" i="73"/>
  <c r="BY40" i="73"/>
  <c r="C12" i="73"/>
  <c r="P8" i="31" s="1"/>
  <c r="P99" i="31" s="1"/>
  <c r="W53" i="73"/>
  <c r="AL101" i="33" s="1"/>
  <c r="W46" i="73"/>
  <c r="AN61" i="32" s="1"/>
  <c r="W18" i="73"/>
  <c r="BZ69" i="73"/>
  <c r="CD53" i="73"/>
  <c r="DG125" i="59" s="1"/>
  <c r="CD39" i="73"/>
  <c r="BW23" i="31" s="1"/>
  <c r="CD33" i="73"/>
  <c r="W24" i="73"/>
  <c r="W12" i="73"/>
  <c r="CC53" i="73"/>
  <c r="DF125" i="59" s="1"/>
  <c r="CC39" i="73"/>
  <c r="BV23" i="31" s="1"/>
  <c r="CC33" i="73"/>
  <c r="CB53" i="73"/>
  <c r="DE125" i="59" s="1"/>
  <c r="CB39" i="73"/>
  <c r="BU23" i="31" s="1"/>
  <c r="CB33" i="73"/>
  <c r="CE53" i="73"/>
  <c r="DH125" i="59" s="1"/>
  <c r="CE39" i="73"/>
  <c r="CE33" i="73"/>
  <c r="CD24" i="73"/>
  <c r="CD18" i="73"/>
  <c r="CD12" i="73"/>
  <c r="CC24" i="73"/>
  <c r="CC18" i="73"/>
  <c r="CC12" i="73"/>
  <c r="CB24" i="73"/>
  <c r="CB18" i="73"/>
  <c r="CB12" i="73"/>
  <c r="CE24" i="73"/>
  <c r="CE18" i="73"/>
  <c r="CE12" i="73"/>
  <c r="CB144" i="73"/>
  <c r="DN163" i="23" s="1"/>
  <c r="BY144" i="73"/>
  <c r="U21" i="73"/>
  <c r="L23" i="63"/>
  <c r="E20" i="60"/>
  <c r="F20" i="60" s="1"/>
  <c r="AJ344" i="23"/>
  <c r="T18" i="62"/>
  <c r="L29" i="63"/>
  <c r="AF272" i="23"/>
  <c r="AH272" i="23"/>
  <c r="F106" i="38"/>
  <c r="G106" i="38" s="1"/>
  <c r="H106" i="38" s="1"/>
  <c r="I106" i="38" s="1"/>
  <c r="J106" i="38" s="1"/>
  <c r="K106" i="38" s="1"/>
  <c r="L106" i="38" s="1"/>
  <c r="M106" i="38" s="1"/>
  <c r="N106" i="38" s="1"/>
  <c r="O106" i="38" s="1"/>
  <c r="P106" i="38" s="1"/>
  <c r="Q106" i="38" s="1"/>
  <c r="R106" i="38" s="1"/>
  <c r="S106" i="38" s="1"/>
  <c r="T106" i="38" s="1"/>
  <c r="U106" i="38" s="1"/>
  <c r="V106" i="38" s="1"/>
  <c r="W106" i="38" s="1"/>
  <c r="X106" i="38" s="1"/>
  <c r="Y106" i="38" s="1"/>
  <c r="Z106" i="38" s="1"/>
  <c r="AA106" i="38" s="1"/>
  <c r="AB106" i="38" s="1"/>
  <c r="AC106" i="38" s="1"/>
  <c r="C126" i="60"/>
  <c r="D126" i="60" s="1"/>
  <c r="E126" i="60" s="1"/>
  <c r="F126" i="60" s="1"/>
  <c r="G126" i="60" s="1"/>
  <c r="H126" i="60" s="1"/>
  <c r="I126" i="60" s="1"/>
  <c r="J126" i="60" s="1"/>
  <c r="K126" i="60" s="1"/>
  <c r="L126" i="60" s="1"/>
  <c r="M126" i="60" s="1"/>
  <c r="N126" i="60" s="1"/>
  <c r="O126" i="60" s="1"/>
  <c r="P126" i="60" s="1"/>
  <c r="Q126" i="60" s="1"/>
  <c r="R126" i="60" s="1"/>
  <c r="S126" i="60" s="1"/>
  <c r="T126" i="60" s="1"/>
  <c r="U126" i="60" s="1"/>
  <c r="V126" i="60" s="1"/>
  <c r="W126" i="60" s="1"/>
  <c r="X126" i="60" s="1"/>
  <c r="Y126" i="60" s="1"/>
  <c r="Q38" i="32"/>
  <c r="R38" i="32" s="1"/>
  <c r="S38" i="32" s="1"/>
  <c r="T38" i="32" s="1"/>
  <c r="U38" i="32" s="1"/>
  <c r="V38" i="32" s="1"/>
  <c r="W38" i="32" s="1"/>
  <c r="X38" i="32" s="1"/>
  <c r="Y38" i="32" s="1"/>
  <c r="Z38" i="32" s="1"/>
  <c r="AA38" i="32" s="1"/>
  <c r="AB38" i="32" s="1"/>
  <c r="AC38" i="32" s="1"/>
  <c r="AD38" i="32" s="1"/>
  <c r="AE38" i="32" s="1"/>
  <c r="AF38" i="32" s="1"/>
  <c r="AG38" i="32" s="1"/>
  <c r="AH38" i="32" s="1"/>
  <c r="AI38" i="32" s="1"/>
  <c r="AJ38" i="32" s="1"/>
  <c r="AK38" i="32" s="1"/>
  <c r="AL38" i="32" s="1"/>
  <c r="AM38" i="32" s="1"/>
  <c r="AN38" i="32" s="1"/>
  <c r="C255" i="60"/>
  <c r="O396" i="60"/>
  <c r="N403" i="60"/>
  <c r="O403" i="60" s="1"/>
  <c r="P403" i="60" s="1"/>
  <c r="N401" i="60"/>
  <c r="C154" i="60"/>
  <c r="D154" i="60" s="1"/>
  <c r="E154" i="60" s="1"/>
  <c r="F154" i="60" s="1"/>
  <c r="G154" i="60" s="1"/>
  <c r="H154" i="60" s="1"/>
  <c r="I154" i="60" s="1"/>
  <c r="J154" i="60" s="1"/>
  <c r="K154" i="60" s="1"/>
  <c r="L154" i="60" s="1"/>
  <c r="M154" i="60" s="1"/>
  <c r="N154" i="60" s="1"/>
  <c r="O154" i="60" s="1"/>
  <c r="P154" i="60" s="1"/>
  <c r="Q154" i="60" s="1"/>
  <c r="R154" i="60" s="1"/>
  <c r="S154" i="60" s="1"/>
  <c r="T154" i="60" s="1"/>
  <c r="U154" i="60" s="1"/>
  <c r="V154" i="60" s="1"/>
  <c r="W154" i="60" s="1"/>
  <c r="X154" i="60" s="1"/>
  <c r="Y154" i="60" s="1"/>
  <c r="E255" i="60"/>
  <c r="F252" i="60"/>
  <c r="H63" i="60"/>
  <c r="F103" i="38"/>
  <c r="G103" i="38" s="1"/>
  <c r="H103" i="38" s="1"/>
  <c r="I103" i="38" s="1"/>
  <c r="J103" i="38" s="1"/>
  <c r="K103" i="38" s="1"/>
  <c r="L103" i="38" s="1"/>
  <c r="M103" i="38" s="1"/>
  <c r="N103" i="38" s="1"/>
  <c r="O103" i="38" s="1"/>
  <c r="P103" i="38" s="1"/>
  <c r="Q103" i="38" s="1"/>
  <c r="R103" i="38" s="1"/>
  <c r="S103" i="38" s="1"/>
  <c r="T103" i="38" s="1"/>
  <c r="U103" i="38" s="1"/>
  <c r="V103" i="38" s="1"/>
  <c r="W103" i="38" s="1"/>
  <c r="X103" i="38" s="1"/>
  <c r="Y103" i="38" s="1"/>
  <c r="Z103" i="38" s="1"/>
  <c r="AA103" i="38" s="1"/>
  <c r="AB103" i="38" s="1"/>
  <c r="AC103" i="38" s="1"/>
  <c r="C66" i="60"/>
  <c r="D66" i="60" s="1"/>
  <c r="E66" i="60" s="1"/>
  <c r="F66" i="60" s="1"/>
  <c r="G66" i="60" s="1"/>
  <c r="H66" i="60" s="1"/>
  <c r="I66" i="60" s="1"/>
  <c r="J66" i="60" s="1"/>
  <c r="K66" i="60" s="1"/>
  <c r="L66" i="60" s="1"/>
  <c r="M66" i="60" s="1"/>
  <c r="N66" i="60" s="1"/>
  <c r="O66" i="60" s="1"/>
  <c r="P66" i="60" s="1"/>
  <c r="Q66" i="60" s="1"/>
  <c r="R66" i="60" s="1"/>
  <c r="S66" i="60" s="1"/>
  <c r="T66" i="60" s="1"/>
  <c r="U66" i="60" s="1"/>
  <c r="V66" i="60" s="1"/>
  <c r="W66" i="60" s="1"/>
  <c r="X66" i="60" s="1"/>
  <c r="Y66" i="60" s="1"/>
  <c r="AS12" i="25"/>
  <c r="AS15" i="25" s="1"/>
  <c r="CI9" i="23"/>
  <c r="I171" i="59"/>
  <c r="I178" i="59" s="1"/>
  <c r="BO177" i="59"/>
  <c r="BT88" i="73"/>
  <c r="H75" i="73"/>
  <c r="AG16" i="30"/>
  <c r="O128" i="59"/>
  <c r="CU313" i="59"/>
  <c r="BM75" i="73"/>
  <c r="BI93" i="59"/>
  <c r="BG162" i="59"/>
  <c r="I155" i="59"/>
  <c r="AN51" i="59"/>
  <c r="K281" i="59"/>
  <c r="K285" i="59" s="1"/>
  <c r="AR123" i="59"/>
  <c r="AW124" i="59"/>
  <c r="AX9" i="59"/>
  <c r="E129" i="59"/>
  <c r="BQ180" i="59"/>
  <c r="BE93" i="59"/>
  <c r="AP36" i="59"/>
  <c r="CI269" i="59"/>
  <c r="BC129" i="59"/>
  <c r="F192" i="59"/>
  <c r="E155" i="59"/>
  <c r="BN93" i="59"/>
  <c r="AT13" i="31"/>
  <c r="CV264" i="59"/>
  <c r="K180" i="59"/>
  <c r="G163" i="59"/>
  <c r="BH19" i="59"/>
  <c r="E54" i="59"/>
  <c r="AW54" i="30"/>
  <c r="AW65" i="30" s="1"/>
  <c r="AW73" i="30" s="1"/>
  <c r="BM223" i="59"/>
  <c r="BM243" i="59" s="1"/>
  <c r="F81" i="63"/>
  <c r="BO88" i="73"/>
  <c r="P128" i="59"/>
  <c r="Q129" i="59" s="1"/>
  <c r="J70" i="73" s="1"/>
  <c r="CP155" i="59"/>
  <c r="DS17" i="30"/>
  <c r="BI172" i="59"/>
  <c r="BI174" i="59" s="1"/>
  <c r="C163" i="59"/>
  <c r="BL51" i="59"/>
  <c r="BC51" i="59"/>
  <c r="D143" i="59"/>
  <c r="J173" i="59"/>
  <c r="J180" i="59" s="1"/>
  <c r="AE83" i="25"/>
  <c r="X9" i="23" s="1"/>
  <c r="BV170" i="59"/>
  <c r="BN155" i="59"/>
  <c r="L162" i="59"/>
  <c r="BJ40" i="59"/>
  <c r="BM92" i="59"/>
  <c r="AS129" i="59"/>
  <c r="BC93" i="59"/>
  <c r="K163" i="59"/>
  <c r="E92" i="59"/>
  <c r="C155" i="59"/>
  <c r="DV19" i="30"/>
  <c r="DS10" i="30"/>
  <c r="U78" i="25"/>
  <c r="DC78" i="25" s="1"/>
  <c r="DM9" i="25"/>
  <c r="BP195" i="59"/>
  <c r="K6" i="53"/>
  <c r="K8" i="53" s="1"/>
  <c r="BJ180" i="59"/>
  <c r="BA161" i="59"/>
  <c r="BB157" i="59"/>
  <c r="BB165" i="59" s="1"/>
  <c r="BG166" i="59" s="1"/>
  <c r="AV153" i="59"/>
  <c r="BM155" i="59"/>
  <c r="AR129" i="59"/>
  <c r="BK128" i="59"/>
  <c r="CB324" i="59"/>
  <c r="BH99" i="59"/>
  <c r="BF91" i="59"/>
  <c r="AS93" i="59"/>
  <c r="AR92" i="59"/>
  <c r="BF52" i="59"/>
  <c r="N52" i="59"/>
  <c r="P52" i="59" s="1"/>
  <c r="C53" i="59"/>
  <c r="BP10" i="59"/>
  <c r="AQ83" i="59"/>
  <c r="Y78" i="25"/>
  <c r="Z78" i="25"/>
  <c r="AG127" i="30"/>
  <c r="DW127" i="30" s="1"/>
  <c r="AS9" i="25"/>
  <c r="AS11" i="25" s="1"/>
  <c r="BJ117" i="59"/>
  <c r="BG174" i="59"/>
  <c r="BO87" i="73"/>
  <c r="CP170" i="59"/>
  <c r="N155" i="59"/>
  <c r="J281" i="59"/>
  <c r="J285" i="59" s="1"/>
  <c r="BL9" i="59"/>
  <c r="B54" i="59"/>
  <c r="CD274" i="59"/>
  <c r="G155" i="59"/>
  <c r="O17" i="52"/>
  <c r="BG158" i="59"/>
  <c r="BH117" i="59"/>
  <c r="BH101" i="59"/>
  <c r="DH85" i="25"/>
  <c r="I7" i="53"/>
  <c r="I8" i="53" s="1"/>
  <c r="F341" i="60" s="1"/>
  <c r="J197" i="59"/>
  <c r="BU197" i="59" s="1"/>
  <c r="J7" i="53"/>
  <c r="J8" i="53" s="1"/>
  <c r="G341" i="60" s="1"/>
  <c r="EZ98" i="30"/>
  <c r="K282" i="59"/>
  <c r="AQ63" i="30"/>
  <c r="AQ71" i="30" s="1"/>
  <c r="AM16" i="25" s="1"/>
  <c r="C124" i="59"/>
  <c r="BO178" i="59"/>
  <c r="BO179" i="59" s="1"/>
  <c r="H93" i="59"/>
  <c r="AH9" i="30"/>
  <c r="AH11" i="30" s="1"/>
  <c r="CL310" i="59"/>
  <c r="N16" i="52"/>
  <c r="DT23" i="30"/>
  <c r="P6" i="53"/>
  <c r="P8" i="53" s="1"/>
  <c r="M341" i="60" s="1"/>
  <c r="I85" i="63" s="1"/>
  <c r="DS20" i="30"/>
  <c r="AG9" i="30"/>
  <c r="AG10" i="30" s="1"/>
  <c r="BR6" i="31"/>
  <c r="CS170" i="59"/>
  <c r="Q170" i="59" s="1"/>
  <c r="CT170" i="59" s="1"/>
  <c r="Q171" i="59"/>
  <c r="CT171" i="59" s="1"/>
  <c r="DJ108" i="30"/>
  <c r="CD46" i="59"/>
  <c r="BN122" i="59"/>
  <c r="P20" i="52"/>
  <c r="AI22" i="30" s="1"/>
  <c r="AI196" i="30" s="1"/>
  <c r="N171" i="59"/>
  <c r="P171" i="59" s="1"/>
  <c r="BO162" i="59"/>
  <c r="CC170" i="59"/>
  <c r="CC177" i="59" s="1"/>
  <c r="CC179" i="59" s="1"/>
  <c r="CC181" i="59" s="1"/>
  <c r="CC183" i="59" s="1"/>
  <c r="AR50" i="59"/>
  <c r="BG154" i="59"/>
  <c r="AW50" i="59"/>
  <c r="BL113" i="59"/>
  <c r="CK178" i="59"/>
  <c r="CN274" i="59"/>
  <c r="BD13" i="31" s="1"/>
  <c r="AW13" i="31"/>
  <c r="AS92" i="59"/>
  <c r="BG221" i="59"/>
  <c r="O20" i="52"/>
  <c r="L129" i="59"/>
  <c r="G70" i="73" s="1"/>
  <c r="G71" i="73" s="1"/>
  <c r="BK153" i="59"/>
  <c r="BL221" i="59"/>
  <c r="AV128" i="59"/>
  <c r="BC34" i="59"/>
  <c r="BP196" i="59"/>
  <c r="AZ162" i="59"/>
  <c r="CI264" i="59"/>
  <c r="BF5" i="31"/>
  <c r="BM149" i="59"/>
  <c r="BR150" i="59" s="1"/>
  <c r="CG180" i="59"/>
  <c r="BD6" i="31"/>
  <c r="AS162" i="59"/>
  <c r="AN163" i="59"/>
  <c r="AT63" i="30"/>
  <c r="AT54" i="30"/>
  <c r="AT65" i="30" s="1"/>
  <c r="AT73" i="30" s="1"/>
  <c r="CG194" i="59"/>
  <c r="CG211" i="59" s="1"/>
  <c r="BK91" i="59"/>
  <c r="O13" i="52"/>
  <c r="O9" i="52" s="1"/>
  <c r="CD155" i="59"/>
  <c r="DW16" i="30"/>
  <c r="DH9" i="23"/>
  <c r="BH224" i="59"/>
  <c r="CB101" i="59"/>
  <c r="AQ18" i="59"/>
  <c r="CK177" i="59"/>
  <c r="BJ162" i="59"/>
  <c r="BM178" i="59"/>
  <c r="BS180" i="59"/>
  <c r="BN124" i="59"/>
  <c r="CG274" i="59"/>
  <c r="BC224" i="59"/>
  <c r="BI154" i="59"/>
  <c r="BL155" i="59"/>
  <c r="CF269" i="59"/>
  <c r="BL93" i="59"/>
  <c r="BQ129" i="59"/>
  <c r="C54" i="59"/>
  <c r="BR154" i="59"/>
  <c r="BK195" i="59"/>
  <c r="AQ13" i="31"/>
  <c r="BG155" i="59"/>
  <c r="BL129" i="59"/>
  <c r="AT53" i="59"/>
  <c r="DU19" i="30"/>
  <c r="BI6" i="31"/>
  <c r="BU196" i="59"/>
  <c r="AQ54" i="30"/>
  <c r="AQ65" i="30" s="1"/>
  <c r="AQ73" i="30" s="1"/>
  <c r="AG19" i="30"/>
  <c r="AG25" i="30" s="1"/>
  <c r="L313" i="59"/>
  <c r="DT54" i="30"/>
  <c r="BG59" i="59"/>
  <c r="DI140" i="30" s="1"/>
  <c r="AI9" i="30"/>
  <c r="AI11" i="30" s="1"/>
  <c r="AI12" i="30" s="1"/>
  <c r="AM157" i="59"/>
  <c r="AW123" i="59"/>
  <c r="AW131" i="59" s="1"/>
  <c r="AR124" i="59"/>
  <c r="AS56" i="59"/>
  <c r="AW9" i="59"/>
  <c r="AT54" i="59"/>
  <c r="AM51" i="59"/>
  <c r="BH174" i="59"/>
  <c r="D129" i="59"/>
  <c r="AV91" i="59"/>
  <c r="H232" i="59"/>
  <c r="M129" i="59"/>
  <c r="H70" i="73" s="1"/>
  <c r="AT36" i="59"/>
  <c r="AM93" i="59"/>
  <c r="DJ67" i="25"/>
  <c r="BX46" i="59"/>
  <c r="O18" i="52"/>
  <c r="G279" i="60"/>
  <c r="C83" i="63" s="1"/>
  <c r="J279" i="60"/>
  <c r="F83" i="63" s="1"/>
  <c r="AO45" i="30"/>
  <c r="AO241" i="30" s="1"/>
  <c r="BO151" i="59"/>
  <c r="AX13" i="31"/>
  <c r="AJ7" i="25"/>
  <c r="AC558" i="23" s="1"/>
  <c r="CB274" i="59"/>
  <c r="CS120" i="85"/>
  <c r="CS131" i="85" s="1"/>
  <c r="CT119" i="85"/>
  <c r="CT149" i="85"/>
  <c r="U149" i="85" s="1"/>
  <c r="CS119" i="85"/>
  <c r="CS125" i="85" s="1"/>
  <c r="CV111" i="85"/>
  <c r="CV113" i="85" s="1"/>
  <c r="CV149" i="85" s="1"/>
  <c r="AD29" i="56"/>
  <c r="AN158" i="23"/>
  <c r="BK8" i="85"/>
  <c r="BJ65" i="59"/>
  <c r="BZ32" i="85"/>
  <c r="CA32" i="85" s="1"/>
  <c r="AI208" i="30"/>
  <c r="CA31" i="85"/>
  <c r="DV207" i="30"/>
  <c r="DU207" i="30"/>
  <c r="DU179" i="30" s="1"/>
  <c r="DK57" i="25" s="1"/>
  <c r="DS207" i="30"/>
  <c r="DT207" i="30"/>
  <c r="AG208" i="30"/>
  <c r="AH207" i="30"/>
  <c r="AH180" i="30"/>
  <c r="AI180" i="30"/>
  <c r="DN170" i="30"/>
  <c r="BL63" i="59"/>
  <c r="DE57" i="25"/>
  <c r="DO179" i="30" s="1"/>
  <c r="BJ32" i="85"/>
  <c r="BN63" i="59"/>
  <c r="BN65" i="59" s="1"/>
  <c r="DP170" i="30"/>
  <c r="DB54" i="25"/>
  <c r="BL223" i="59"/>
  <c r="BL243" i="59" s="1"/>
  <c r="BL15" i="59"/>
  <c r="DN103" i="30" s="1"/>
  <c r="AE169" i="30"/>
  <c r="DF52" i="25"/>
  <c r="DD57" i="25"/>
  <c r="DN179" i="30" s="1"/>
  <c r="DL170" i="30"/>
  <c r="EF208" i="30"/>
  <c r="EF198" i="30" s="1"/>
  <c r="CD203" i="59" s="1"/>
  <c r="CD204" i="59" s="1"/>
  <c r="BJ223" i="59"/>
  <c r="U49" i="25"/>
  <c r="DB57" i="25"/>
  <c r="DL179" i="30" s="1"/>
  <c r="F50" i="95"/>
  <c r="BY89" i="85"/>
  <c r="CD89" i="85" s="1"/>
  <c r="CD104" i="85" s="1"/>
  <c r="BN74" i="85"/>
  <c r="BS74" i="85" s="1"/>
  <c r="BX74" i="85" s="1"/>
  <c r="CC74" i="85" s="1"/>
  <c r="CH74" i="85" s="1"/>
  <c r="CM74" i="85" s="1"/>
  <c r="CR74" i="85" s="1"/>
  <c r="CW74" i="85" s="1"/>
  <c r="DB74" i="85" s="1"/>
  <c r="BO104" i="85"/>
  <c r="N89" i="85"/>
  <c r="N104" i="85" s="1"/>
  <c r="BJ102" i="85"/>
  <c r="BH63" i="85"/>
  <c r="BJ104" i="85"/>
  <c r="BK52" i="85"/>
  <c r="BO102" i="85"/>
  <c r="L52" i="85"/>
  <c r="BF52" i="85"/>
  <c r="BF53" i="85" s="1"/>
  <c r="BF63" i="85"/>
  <c r="X122" i="20"/>
  <c r="W128" i="20"/>
  <c r="CI27" i="20"/>
  <c r="CV25" i="20"/>
  <c r="K76" i="20"/>
  <c r="K24" i="20" s="1"/>
  <c r="BI24" i="20" s="1"/>
  <c r="AV26" i="20"/>
  <c r="AV116" i="20" s="1"/>
  <c r="C11" i="20"/>
  <c r="C12" i="20" s="1"/>
  <c r="CW106" i="30"/>
  <c r="K12" i="20"/>
  <c r="BW17" i="20"/>
  <c r="N20" i="20"/>
  <c r="L19" i="20"/>
  <c r="S62" i="20"/>
  <c r="S61" i="20" s="1"/>
  <c r="W123" i="20"/>
  <c r="W129" i="20" s="1"/>
  <c r="P29" i="20"/>
  <c r="Y159" i="20"/>
  <c r="Y163" i="20" s="1"/>
  <c r="E82" i="20"/>
  <c r="X130" i="20"/>
  <c r="M62" i="20"/>
  <c r="M61" i="20" s="1"/>
  <c r="BK17" i="20"/>
  <c r="BK16" i="20" s="1"/>
  <c r="L20" i="20"/>
  <c r="F16" i="20"/>
  <c r="G19" i="20" s="1"/>
  <c r="F20" i="20"/>
  <c r="G20" i="20"/>
  <c r="S76" i="20"/>
  <c r="E19" i="20"/>
  <c r="BK10" i="20"/>
  <c r="P35" i="20"/>
  <c r="P36" i="20" s="1"/>
  <c r="P117" i="20"/>
  <c r="BU17" i="20"/>
  <c r="N76" i="20"/>
  <c r="N24" i="20" s="1"/>
  <c r="D16" i="20"/>
  <c r="D19" i="20" s="1"/>
  <c r="D20" i="20"/>
  <c r="CK9" i="20"/>
  <c r="CK10" i="20" s="1"/>
  <c r="P17" i="20"/>
  <c r="O20" i="20"/>
  <c r="L62" i="20"/>
  <c r="L61" i="20" s="1"/>
  <c r="BI17" i="20"/>
  <c r="K20" i="20"/>
  <c r="CI28" i="20"/>
  <c r="H110" i="73"/>
  <c r="BM11" i="20"/>
  <c r="BR11" i="20" s="1"/>
  <c r="BW11" i="20" s="1"/>
  <c r="CB11" i="20" s="1"/>
  <c r="CG12" i="20" s="1"/>
  <c r="BH26" i="20"/>
  <c r="BH116" i="20" s="1"/>
  <c r="BB26" i="20"/>
  <c r="BB116" i="20" s="1"/>
  <c r="AW26" i="20"/>
  <c r="AW116" i="20" s="1"/>
  <c r="C26" i="20"/>
  <c r="C116" i="20" s="1"/>
  <c r="BG26" i="20"/>
  <c r="BG116" i="20" s="1"/>
  <c r="BA26" i="20"/>
  <c r="BA116" i="20" s="1"/>
  <c r="AY25" i="20"/>
  <c r="AY115" i="20" s="1"/>
  <c r="CV24" i="20"/>
  <c r="F76" i="20"/>
  <c r="F24" i="20" s="1"/>
  <c r="F114" i="20" s="1"/>
  <c r="W71" i="20"/>
  <c r="V71" i="20"/>
  <c r="I16" i="20"/>
  <c r="I20" i="20"/>
  <c r="CO104" i="30"/>
  <c r="AM15" i="59"/>
  <c r="M11" i="20"/>
  <c r="L12" i="20"/>
  <c r="DK105" i="30"/>
  <c r="DF18" i="20"/>
  <c r="DP105" i="30" s="1"/>
  <c r="DA116" i="20"/>
  <c r="DA23" i="20"/>
  <c r="DA25" i="20"/>
  <c r="DA24" i="20"/>
  <c r="U59" i="20"/>
  <c r="T60" i="20"/>
  <c r="D11" i="20"/>
  <c r="D12" i="20" s="1"/>
  <c r="BW16" i="20"/>
  <c r="BW18" i="20" s="1"/>
  <c r="T121" i="20"/>
  <c r="U121" i="20" s="1"/>
  <c r="U130" i="20"/>
  <c r="K114" i="20"/>
  <c r="AA163" i="20"/>
  <c r="AB160" i="20"/>
  <c r="AB131" i="20" s="1"/>
  <c r="AA162" i="20"/>
  <c r="X71" i="20"/>
  <c r="Y70" i="20"/>
  <c r="Z70" i="20" s="1"/>
  <c r="Z71" i="20" s="1"/>
  <c r="K71" i="20"/>
  <c r="L67" i="20"/>
  <c r="M67" i="20" s="1"/>
  <c r="N67" i="20" s="1"/>
  <c r="O67" i="20" s="1"/>
  <c r="P67" i="20" s="1"/>
  <c r="Q67" i="20" s="1"/>
  <c r="R67" i="20" s="1"/>
  <c r="CY18" i="20"/>
  <c r="DD105" i="30"/>
  <c r="CT25" i="20"/>
  <c r="CT116" i="20"/>
  <c r="CT24" i="20"/>
  <c r="CT23" i="20"/>
  <c r="CU116" i="20"/>
  <c r="CU24" i="20"/>
  <c r="CU27" i="20" s="1"/>
  <c r="CU28" i="20" s="1"/>
  <c r="I76" i="20"/>
  <c r="I24" i="20" s="1"/>
  <c r="DF105" i="30"/>
  <c r="BB11" i="20"/>
  <c r="CO27" i="20"/>
  <c r="CH25" i="20"/>
  <c r="CI25" i="20" s="1"/>
  <c r="CO25" i="20"/>
  <c r="CZ18" i="20"/>
  <c r="AV17" i="20"/>
  <c r="AV16" i="20" s="1"/>
  <c r="AV11" i="20" s="1"/>
  <c r="BI16" i="20"/>
  <c r="BI11" i="20" s="1"/>
  <c r="BN12" i="20" s="1"/>
  <c r="U10" i="20"/>
  <c r="N62" i="20"/>
  <c r="N61" i="20" s="1"/>
  <c r="BC26" i="20"/>
  <c r="BC116" i="20" s="1"/>
  <c r="P65" i="20"/>
  <c r="O65" i="20" s="1"/>
  <c r="N65" i="20" s="1"/>
  <c r="BV17" i="20"/>
  <c r="AC173" i="20"/>
  <c r="AD173" i="20" s="1"/>
  <c r="AD175" i="20" s="1"/>
  <c r="DG10" i="20"/>
  <c r="DE105" i="30"/>
  <c r="BC30" i="59" s="1"/>
  <c r="BC36" i="59" s="1"/>
  <c r="BH37" i="59" s="1"/>
  <c r="BD16" i="20"/>
  <c r="J76" i="20"/>
  <c r="J24" i="20" s="1"/>
  <c r="CV116" i="20"/>
  <c r="CO29" i="20"/>
  <c r="BS17" i="20"/>
  <c r="N10" i="20"/>
  <c r="N82" i="20"/>
  <c r="BI25" i="20"/>
  <c r="I62" i="20"/>
  <c r="I61" i="20" s="1"/>
  <c r="AX17" i="20"/>
  <c r="AX16" i="20" s="1"/>
  <c r="AX11" i="20" s="1"/>
  <c r="BC12" i="20" s="1"/>
  <c r="AY17" i="20"/>
  <c r="AY16" i="20" s="1"/>
  <c r="AY11" i="20" s="1"/>
  <c r="CV23" i="20"/>
  <c r="CO117" i="20"/>
  <c r="CO24" i="20"/>
  <c r="P62" i="20"/>
  <c r="P61" i="20" s="1"/>
  <c r="BF26" i="20"/>
  <c r="BF116" i="20" s="1"/>
  <c r="AP81" i="59"/>
  <c r="AP87" i="59"/>
  <c r="AY30" i="59"/>
  <c r="AY31" i="59" s="1"/>
  <c r="AU30" i="59"/>
  <c r="AU31" i="59" s="1"/>
  <c r="CU109" i="30"/>
  <c r="CU148" i="30" s="1"/>
  <c r="AN87" i="59"/>
  <c r="Y92" i="41"/>
  <c r="Z89" i="41"/>
  <c r="T92" i="41"/>
  <c r="T99" i="41"/>
  <c r="J44" i="38" s="1"/>
  <c r="J61" i="38" s="1"/>
  <c r="AC76" i="41"/>
  <c r="S92" i="41"/>
  <c r="AZ31" i="41"/>
  <c r="S99" i="41"/>
  <c r="N92" i="41"/>
  <c r="AZ11" i="41"/>
  <c r="S16" i="38"/>
  <c r="S17" i="38" s="1"/>
  <c r="T14" i="38"/>
  <c r="M38" i="38"/>
  <c r="AE440" i="23"/>
  <c r="AD393" i="23"/>
  <c r="AH405" i="23"/>
  <c r="AI452" i="23"/>
  <c r="AJ452" i="23" s="1"/>
  <c r="N439" i="23"/>
  <c r="M392" i="23"/>
  <c r="R385" i="23"/>
  <c r="S432" i="23"/>
  <c r="M398" i="23"/>
  <c r="N445" i="23"/>
  <c r="DI393" i="23"/>
  <c r="DD399" i="23"/>
  <c r="W427" i="23"/>
  <c r="W380" i="23" s="1"/>
  <c r="CW380" i="23" s="1"/>
  <c r="CX380" i="23" s="1"/>
  <c r="U430" i="23"/>
  <c r="DH390" i="23"/>
  <c r="L417" i="23"/>
  <c r="L464" i="23" s="1"/>
  <c r="DG393" i="23"/>
  <c r="DL401" i="23"/>
  <c r="N426" i="23"/>
  <c r="M379" i="23"/>
  <c r="AH404" i="23"/>
  <c r="AI451" i="23"/>
  <c r="Z391" i="23"/>
  <c r="AA438" i="23"/>
  <c r="S475" i="23"/>
  <c r="S503" i="23" s="1"/>
  <c r="T8" i="23"/>
  <c r="W395" i="23"/>
  <c r="CT395" i="23" s="1"/>
  <c r="CU395" i="23" s="1"/>
  <c r="I505" i="23"/>
  <c r="R475" i="23"/>
  <c r="R503" i="23" s="1"/>
  <c r="Z447" i="23"/>
  <c r="W400" i="23"/>
  <c r="CT400" i="23" s="1"/>
  <c r="CU400" i="23" s="1"/>
  <c r="CV400" i="23" s="1"/>
  <c r="CW400" i="23" s="1"/>
  <c r="CX400" i="23" s="1"/>
  <c r="N424" i="23"/>
  <c r="M377" i="23"/>
  <c r="AM453" i="23"/>
  <c r="AL406" i="23"/>
  <c r="M381" i="23"/>
  <c r="N428" i="23"/>
  <c r="T397" i="23"/>
  <c r="U444" i="23"/>
  <c r="V396" i="23"/>
  <c r="W443" i="23"/>
  <c r="N434" i="23"/>
  <c r="M387" i="23"/>
  <c r="N425" i="23"/>
  <c r="M378" i="23"/>
  <c r="M415" i="23"/>
  <c r="N462" i="23"/>
  <c r="N441" i="23"/>
  <c r="M394" i="23"/>
  <c r="AE446" i="23"/>
  <c r="DQ375" i="23"/>
  <c r="DN375" i="23"/>
  <c r="DO375" i="23"/>
  <c r="DP375" i="23"/>
  <c r="DC403" i="23"/>
  <c r="Z427" i="23"/>
  <c r="DH406" i="23"/>
  <c r="DH399" i="23"/>
  <c r="I520" i="23"/>
  <c r="I521" i="23" s="1"/>
  <c r="I511" i="23"/>
  <c r="CV391" i="23"/>
  <c r="CW391" i="23" s="1"/>
  <c r="CV395" i="23"/>
  <c r="CW395" i="23" s="1"/>
  <c r="DH403" i="23"/>
  <c r="DC404" i="23"/>
  <c r="DC401" i="23"/>
  <c r="V390" i="23"/>
  <c r="U390" i="23"/>
  <c r="U334" i="23"/>
  <c r="V334" i="23" s="1"/>
  <c r="V389" i="23" s="1"/>
  <c r="T389" i="23"/>
  <c r="DF393" i="23"/>
  <c r="U395" i="23"/>
  <c r="V395" i="23"/>
  <c r="DI399" i="23"/>
  <c r="DJ399" i="23"/>
  <c r="DM403" i="23"/>
  <c r="I219" i="23"/>
  <c r="BL108" i="23"/>
  <c r="AN320" i="23"/>
  <c r="AN337" i="23"/>
  <c r="U321" i="23"/>
  <c r="T376" i="23"/>
  <c r="T322" i="23"/>
  <c r="U322" i="23" s="1"/>
  <c r="S361" i="23"/>
  <c r="AH345" i="23"/>
  <c r="T386" i="23"/>
  <c r="U386" i="23"/>
  <c r="AG323" i="23"/>
  <c r="CU375" i="23"/>
  <c r="CV375" i="23" s="1"/>
  <c r="CW375" i="23"/>
  <c r="CX375" i="23" s="1"/>
  <c r="DO393" i="23"/>
  <c r="DN393" i="23"/>
  <c r="DP393" i="23"/>
  <c r="DQ393" i="23"/>
  <c r="DD393" i="23"/>
  <c r="DK399" i="23"/>
  <c r="DK401" i="23"/>
  <c r="CZ391" i="23"/>
  <c r="DP407" i="23"/>
  <c r="DQ407" i="23"/>
  <c r="DO407" i="23"/>
  <c r="DN407" i="23"/>
  <c r="DQ404" i="23"/>
  <c r="DN404" i="23"/>
  <c r="DO404" i="23"/>
  <c r="DP404" i="23"/>
  <c r="DO410" i="23"/>
  <c r="DP410" i="23"/>
  <c r="DQ410" i="23"/>
  <c r="DN410" i="23"/>
  <c r="AC236" i="23"/>
  <c r="AD236" i="23" s="1"/>
  <c r="AE236" i="23" s="1"/>
  <c r="AF236" i="23" s="1"/>
  <c r="AG236" i="23" s="1"/>
  <c r="AH236" i="23" s="1"/>
  <c r="AI236" i="23" s="1"/>
  <c r="AJ236" i="23" s="1"/>
  <c r="AK236" i="23" s="1"/>
  <c r="AL236" i="23" s="1"/>
  <c r="AM236" i="23" s="1"/>
  <c r="AN236" i="23" s="1"/>
  <c r="W236" i="23"/>
  <c r="F227" i="23"/>
  <c r="I227" i="23" s="1"/>
  <c r="AN341" i="23"/>
  <c r="AN353" i="23"/>
  <c r="DP403" i="23"/>
  <c r="DQ403" i="23"/>
  <c r="DO403" i="23"/>
  <c r="DN403" i="23"/>
  <c r="DQ408" i="23"/>
  <c r="DN408" i="23"/>
  <c r="DO408" i="23"/>
  <c r="DP408" i="23"/>
  <c r="AF410" i="23"/>
  <c r="BN108" i="23"/>
  <c r="AN324" i="23"/>
  <c r="AN349" i="23"/>
  <c r="AN340" i="23"/>
  <c r="DP399" i="23"/>
  <c r="DQ399" i="23"/>
  <c r="DO399" i="23"/>
  <c r="DN399" i="23"/>
  <c r="DM404" i="23"/>
  <c r="DC390" i="23"/>
  <c r="DO405" i="23"/>
  <c r="DN405" i="23"/>
  <c r="DP405" i="23"/>
  <c r="DQ405" i="23"/>
  <c r="DO406" i="23"/>
  <c r="DP406" i="23"/>
  <c r="DQ406" i="23"/>
  <c r="DN406" i="23"/>
  <c r="K18" i="62"/>
  <c r="F28" i="60"/>
  <c r="E28" i="60" s="1"/>
  <c r="AN350" i="23"/>
  <c r="AN338" i="23"/>
  <c r="AN351" i="23"/>
  <c r="AN343" i="23"/>
  <c r="AN339" i="23"/>
  <c r="Q15" i="56"/>
  <c r="AN322" i="23"/>
  <c r="AN346" i="23"/>
  <c r="AN342" i="23"/>
  <c r="T294" i="60"/>
  <c r="AD41" i="32"/>
  <c r="AE41" i="32" s="1"/>
  <c r="AF41" i="32" s="1"/>
  <c r="AG41" i="32" s="1"/>
  <c r="AH41" i="32" s="1"/>
  <c r="AI41" i="32" s="1"/>
  <c r="AJ41" i="32" s="1"/>
  <c r="AK41" i="32" s="1"/>
  <c r="AL41" i="32" s="1"/>
  <c r="AM41" i="32" s="1"/>
  <c r="AN41" i="32" s="1"/>
  <c r="AD37" i="32"/>
  <c r="AE37" i="32" s="1"/>
  <c r="AF37" i="32" s="1"/>
  <c r="AG37" i="32" s="1"/>
  <c r="AH37" i="32" s="1"/>
  <c r="AI37" i="32" s="1"/>
  <c r="AJ37" i="32" s="1"/>
  <c r="AK37" i="32" s="1"/>
  <c r="AL37" i="32" s="1"/>
  <c r="AM37" i="32" s="1"/>
  <c r="AN37" i="32" s="1"/>
  <c r="G102" i="31"/>
  <c r="G128" i="31"/>
  <c r="B135" i="31"/>
  <c r="F129" i="31"/>
  <c r="AM23" i="30"/>
  <c r="FE206" i="30"/>
  <c r="AN207" i="30"/>
  <c r="FD206" i="30"/>
  <c r="EB206" i="30"/>
  <c r="J26" i="52"/>
  <c r="K27" i="52"/>
  <c r="EU206" i="30"/>
  <c r="ES206" i="30"/>
  <c r="ET206" i="30"/>
  <c r="AK208" i="30"/>
  <c r="EG206" i="30"/>
  <c r="EP206" i="30"/>
  <c r="EM206" i="30"/>
  <c r="CT72" i="25"/>
  <c r="CT74" i="25"/>
  <c r="CT75" i="25"/>
  <c r="DP25" i="30"/>
  <c r="AF22" i="30"/>
  <c r="BN107" i="59"/>
  <c r="I107" i="59" s="1"/>
  <c r="BP107" i="59" s="1"/>
  <c r="DP23" i="30"/>
  <c r="DW27" i="30"/>
  <c r="BT107" i="59"/>
  <c r="BT105" i="59" s="1"/>
  <c r="BT111" i="59" s="1"/>
  <c r="DL23" i="30"/>
  <c r="DL25" i="30"/>
  <c r="AE22" i="30"/>
  <c r="DA72" i="25"/>
  <c r="DA75" i="25"/>
  <c r="DA74" i="25"/>
  <c r="DG29" i="30"/>
  <c r="DC211" i="30"/>
  <c r="AC22" i="30"/>
  <c r="BR107" i="59"/>
  <c r="M23" i="52"/>
  <c r="M24" i="52" s="1"/>
  <c r="FD207" i="30"/>
  <c r="FC207" i="30"/>
  <c r="FC209" i="30" s="1"/>
  <c r="DJ22" i="23" s="1"/>
  <c r="DJ61" i="23" s="1"/>
  <c r="EY206" i="30"/>
  <c r="FA206" i="30" s="1"/>
  <c r="AQ206" i="30"/>
  <c r="EQ206" i="30"/>
  <c r="BF95" i="59"/>
  <c r="CD310" i="59"/>
  <c r="AO97" i="59"/>
  <c r="X66" i="25"/>
  <c r="U67" i="25"/>
  <c r="X67" i="25" s="1"/>
  <c r="DC66" i="25"/>
  <c r="CN25" i="30"/>
  <c r="CJ29" i="30"/>
  <c r="CN29" i="30" s="1"/>
  <c r="AF25" i="30"/>
  <c r="CN100" i="59"/>
  <c r="CS100" i="59"/>
  <c r="AP91" i="59"/>
  <c r="M66" i="25"/>
  <c r="M67" i="25" s="1"/>
  <c r="B279" i="60"/>
  <c r="CR82" i="25"/>
  <c r="K67" i="25"/>
  <c r="DR19" i="30"/>
  <c r="S20" i="30"/>
  <c r="BO100" i="59"/>
  <c r="CN194" i="59"/>
  <c r="CN211" i="59" s="1"/>
  <c r="CS310" i="59"/>
  <c r="S67" i="25"/>
  <c r="CN19" i="30"/>
  <c r="CS82" i="25"/>
  <c r="AF20" i="30"/>
  <c r="CS16" i="30"/>
  <c r="I23" i="52"/>
  <c r="I17" i="52"/>
  <c r="CR17" i="30"/>
  <c r="AP95" i="59"/>
  <c r="AQ95" i="59" s="1"/>
  <c r="CS14" i="30"/>
  <c r="Y67" i="25"/>
  <c r="FG206" i="30"/>
  <c r="FJ206" i="30"/>
  <c r="FH206" i="30"/>
  <c r="FI206" i="30"/>
  <c r="W32" i="85"/>
  <c r="DB32" i="85" s="1"/>
  <c r="FG207" i="30"/>
  <c r="FH207" i="30"/>
  <c r="FI207" i="30"/>
  <c r="FJ207" i="30"/>
  <c r="AB83" i="25"/>
  <c r="U9" i="23" s="1"/>
  <c r="CN9" i="23" s="1"/>
  <c r="CE195" i="59"/>
  <c r="CX187" i="59"/>
  <c r="CX210" i="59" s="1"/>
  <c r="AD285" i="59"/>
  <c r="AE285" i="59"/>
  <c r="DH39" i="59"/>
  <c r="T39" i="59"/>
  <c r="BQ253" i="59"/>
  <c r="CH316" i="59"/>
  <c r="CV187" i="59"/>
  <c r="CV210" i="59" s="1"/>
  <c r="T91" i="59"/>
  <c r="DG170" i="59"/>
  <c r="DG172" i="59" s="1"/>
  <c r="DG174" i="59" s="1"/>
  <c r="P112" i="59"/>
  <c r="CU116" i="59"/>
  <c r="CW93" i="59"/>
  <c r="DB92" i="59"/>
  <c r="DF170" i="59"/>
  <c r="DF172" i="59" s="1"/>
  <c r="DF174" i="59" s="1"/>
  <c r="DA149" i="59"/>
  <c r="DH300" i="59"/>
  <c r="DI300" i="59" s="1"/>
  <c r="BV253" i="59"/>
  <c r="CL202" i="59"/>
  <c r="CF114" i="59"/>
  <c r="CF116" i="59" s="1"/>
  <c r="BY87" i="73"/>
  <c r="BY88" i="73"/>
  <c r="DH25" i="59"/>
  <c r="DH233" i="59"/>
  <c r="CF126" i="59"/>
  <c r="DC172" i="59"/>
  <c r="DC174" i="59" s="1"/>
  <c r="DH170" i="59"/>
  <c r="DH172" i="59" s="1"/>
  <c r="DH174" i="59" s="1"/>
  <c r="N6" i="53"/>
  <c r="BP86" i="73"/>
  <c r="CU284" i="59"/>
  <c r="CW183" i="59"/>
  <c r="DB146" i="59"/>
  <c r="DG25" i="59"/>
  <c r="U24" i="59"/>
  <c r="DG233" i="59"/>
  <c r="DU71" i="30"/>
  <c r="DK16" i="25" s="1"/>
  <c r="DK15" i="25" s="1"/>
  <c r="DK12" i="25"/>
  <c r="DK11" i="25" s="1"/>
  <c r="AF83" i="25"/>
  <c r="BH72" i="73"/>
  <c r="R18" i="52"/>
  <c r="DV17" i="30"/>
  <c r="DV10" i="30"/>
  <c r="DU130" i="30"/>
  <c r="DU54" i="30"/>
  <c r="DU56" i="30" s="1"/>
  <c r="F11" i="20"/>
  <c r="T62" i="20"/>
  <c r="T61" i="20" s="1"/>
  <c r="E62" i="20"/>
  <c r="E61" i="20" s="1"/>
  <c r="H12" i="20"/>
  <c r="BK11" i="20"/>
  <c r="BP11" i="20" s="1"/>
  <c r="G62" i="20"/>
  <c r="G61" i="20" s="1"/>
  <c r="BD25" i="20"/>
  <c r="BN25" i="20"/>
  <c r="BK24" i="20"/>
  <c r="BL114" i="20"/>
  <c r="H66" i="20"/>
  <c r="I71" i="20"/>
  <c r="I11" i="20"/>
  <c r="J19" i="20"/>
  <c r="I19" i="20"/>
  <c r="AA127" i="20"/>
  <c r="Z159" i="20"/>
  <c r="Z163" i="20" s="1"/>
  <c r="I110" i="73"/>
  <c r="I112" i="73" s="1"/>
  <c r="BW115" i="20"/>
  <c r="BW25" i="20" s="1"/>
  <c r="W75" i="20"/>
  <c r="AV75" i="20"/>
  <c r="AW75" i="20" s="1"/>
  <c r="AX75" i="20" s="1"/>
  <c r="AY75" i="20" s="1"/>
  <c r="AZ75" i="20" s="1"/>
  <c r="BA75" i="20" s="1"/>
  <c r="BB75" i="20" s="1"/>
  <c r="BC75" i="20" s="1"/>
  <c r="BD75" i="20" s="1"/>
  <c r="BE75" i="20" s="1"/>
  <c r="S24" i="20"/>
  <c r="CW24" i="20" s="1"/>
  <c r="CW114" i="20" s="1"/>
  <c r="BL12" i="20"/>
  <c r="BQ11" i="20"/>
  <c r="O69" i="20"/>
  <c r="P71" i="20"/>
  <c r="D65" i="20"/>
  <c r="CJ12" i="20"/>
  <c r="T76" i="20"/>
  <c r="AA164" i="20"/>
  <c r="U54" i="20"/>
  <c r="BT17" i="20"/>
  <c r="AA131" i="20"/>
  <c r="C19" i="20"/>
  <c r="CQ25" i="20"/>
  <c r="BF11" i="20"/>
  <c r="BF12" i="20" s="1"/>
  <c r="O62" i="20"/>
  <c r="O61" i="20" s="1"/>
  <c r="D62" i="20"/>
  <c r="D61" i="20" s="1"/>
  <c r="BA12" i="20"/>
  <c r="CD17" i="20"/>
  <c r="AF117" i="85"/>
  <c r="AG116" i="85"/>
  <c r="Q56" i="38"/>
  <c r="I5" i="38"/>
  <c r="I44" i="38"/>
  <c r="I61" i="38" s="1"/>
  <c r="X81" i="41"/>
  <c r="Y81" i="41" s="1"/>
  <c r="Z81" i="41" s="1"/>
  <c r="AA81" i="41" s="1"/>
  <c r="AB81" i="41" s="1"/>
  <c r="AC81" i="41" s="1"/>
  <c r="AD81" i="41" s="1"/>
  <c r="AE81" i="41" s="1"/>
  <c r="AA73" i="41"/>
  <c r="X66" i="41"/>
  <c r="AZ66" i="41"/>
  <c r="AA72" i="41"/>
  <c r="J5" i="38"/>
  <c r="J45" i="38" s="1"/>
  <c r="J58" i="38" s="1"/>
  <c r="J77" i="38" s="1"/>
  <c r="S34" i="41"/>
  <c r="AZ14" i="41"/>
  <c r="AZ15" i="41"/>
  <c r="U92" i="41"/>
  <c r="N11" i="41"/>
  <c r="AP68" i="41"/>
  <c r="AD68" i="41" s="1"/>
  <c r="Z74" i="41"/>
  <c r="Q31" i="41"/>
  <c r="J10" i="38"/>
  <c r="AZ20" i="41"/>
  <c r="AZ90" i="41"/>
  <c r="AT108" i="41"/>
  <c r="AV108" i="41" s="1"/>
  <c r="E11" i="38"/>
  <c r="AR68" i="41"/>
  <c r="AQ68" i="41"/>
  <c r="AE68" i="41" s="1"/>
  <c r="AK68" i="41"/>
  <c r="Y68" i="41" s="1"/>
  <c r="AZ30" i="41"/>
  <c r="P92" i="41"/>
  <c r="L92" i="41"/>
  <c r="C10" i="38" s="1"/>
  <c r="C9" i="38" s="1"/>
  <c r="AZ23" i="41"/>
  <c r="AZ17" i="41"/>
  <c r="AM68" i="41"/>
  <c r="AA68" i="41" s="1"/>
  <c r="D10" i="38"/>
  <c r="D9" i="38" s="1"/>
  <c r="W92" i="41"/>
  <c r="N10" i="38" s="1"/>
  <c r="AN68" i="41"/>
  <c r="AB68" i="41" s="1"/>
  <c r="AL69" i="41"/>
  <c r="AA69" i="41" s="1"/>
  <c r="S62" i="41"/>
  <c r="S94" i="41" s="1"/>
  <c r="I28" i="38" s="1"/>
  <c r="I59" i="38" s="1"/>
  <c r="I78" i="38" s="1"/>
  <c r="X67" i="41"/>
  <c r="AZ67" i="41"/>
  <c r="W62" i="41"/>
  <c r="H125" i="73"/>
  <c r="BE126" i="73"/>
  <c r="BE127" i="73" s="1"/>
  <c r="Q92" i="41"/>
  <c r="G10" i="38" s="1"/>
  <c r="AZ10" i="41"/>
  <c r="M10" i="41"/>
  <c r="M62" i="41" s="1"/>
  <c r="M94" i="41" s="1"/>
  <c r="X62" i="41"/>
  <c r="AZ88" i="41"/>
  <c r="AZ28" i="41"/>
  <c r="R92" i="41"/>
  <c r="U62" i="41"/>
  <c r="Z62" i="41"/>
  <c r="L62" i="41"/>
  <c r="L99" i="41"/>
  <c r="N99" i="41"/>
  <c r="D44" i="38" s="1"/>
  <c r="D61" i="38" s="1"/>
  <c r="N62" i="41"/>
  <c r="M99" i="41"/>
  <c r="R99" i="41"/>
  <c r="H44" i="38" s="1"/>
  <c r="H61" i="38" s="1"/>
  <c r="Q99" i="41"/>
  <c r="G44" i="38" s="1"/>
  <c r="G61" i="38" s="1"/>
  <c r="M81" i="38"/>
  <c r="R62" i="41"/>
  <c r="O79" i="95"/>
  <c r="P80" i="95" s="1"/>
  <c r="O27" i="95"/>
  <c r="I27" i="95"/>
  <c r="J79" i="95"/>
  <c r="CI89" i="85"/>
  <c r="M65" i="85"/>
  <c r="M52" i="85" s="1"/>
  <c r="L71" i="85"/>
  <c r="M101" i="85"/>
  <c r="BA51" i="85"/>
  <c r="L50" i="85"/>
  <c r="M90" i="85"/>
  <c r="BF57" i="85"/>
  <c r="BK102" i="85"/>
  <c r="BT102" i="85"/>
  <c r="BD52" i="85"/>
  <c r="BD53" i="85" s="1"/>
  <c r="BK101" i="85"/>
  <c r="S20" i="73"/>
  <c r="AH171" i="31"/>
  <c r="O20" i="73"/>
  <c r="DK67" i="25"/>
  <c r="J39" i="63"/>
  <c r="BH673" i="23"/>
  <c r="R72" i="23"/>
  <c r="S72" i="23" s="1"/>
  <c r="S73" i="23" s="1"/>
  <c r="AF43" i="23"/>
  <c r="AE230" i="23"/>
  <c r="AF230" i="23" s="1"/>
  <c r="AC12" i="23"/>
  <c r="DQ12" i="23"/>
  <c r="AD12" i="23" s="1"/>
  <c r="DR12" i="23" s="1"/>
  <c r="AC8" i="23"/>
  <c r="DQ8" i="23"/>
  <c r="AR81" i="59"/>
  <c r="AR87" i="59"/>
  <c r="AR89" i="59" s="1"/>
  <c r="AR31" i="59"/>
  <c r="CU144" i="30"/>
  <c r="AS30" i="59"/>
  <c r="AX31" i="59" s="1"/>
  <c r="CT140" i="30"/>
  <c r="AR59" i="59" s="1"/>
  <c r="DI95" i="59"/>
  <c r="X196" i="59"/>
  <c r="W79" i="85"/>
  <c r="Y129" i="85"/>
  <c r="CQ24" i="25"/>
  <c r="CM36" i="25"/>
  <c r="BR121" i="59"/>
  <c r="DT93" i="30" s="1"/>
  <c r="DT94" i="30" s="1"/>
  <c r="BM124" i="59"/>
  <c r="L123" i="30"/>
  <c r="L127" i="30" s="1"/>
  <c r="K131" i="30"/>
  <c r="K127" i="30"/>
  <c r="K130" i="30" s="1"/>
  <c r="BI123" i="30"/>
  <c r="BI127" i="30" s="1"/>
  <c r="DH64" i="25"/>
  <c r="CM38" i="25"/>
  <c r="BH5" i="23"/>
  <c r="BH6" i="23" s="1"/>
  <c r="K23" i="52"/>
  <c r="DA65" i="25"/>
  <c r="DK179" i="30"/>
  <c r="AE179" i="30" s="1"/>
  <c r="U57" i="25"/>
  <c r="DA58" i="25"/>
  <c r="AW150" i="59"/>
  <c r="AR150" i="59"/>
  <c r="BB65" i="59"/>
  <c r="BG19" i="59"/>
  <c r="CX9" i="25"/>
  <c r="BD65" i="59"/>
  <c r="B13" i="52"/>
  <c r="B9" i="52" s="1"/>
  <c r="F93" i="30"/>
  <c r="F97" i="30" s="1"/>
  <c r="E97" i="30"/>
  <c r="K98" i="30" s="1"/>
  <c r="BD192" i="59"/>
  <c r="BF10" i="23"/>
  <c r="BF13" i="23" s="1"/>
  <c r="BF14" i="23" s="1"/>
  <c r="N24" i="25"/>
  <c r="C129" i="59"/>
  <c r="CK74" i="25"/>
  <c r="AD197" i="30"/>
  <c r="DH197" i="30" s="1"/>
  <c r="CX66" i="25"/>
  <c r="AW162" i="59"/>
  <c r="BF63" i="59"/>
  <c r="EG207" i="30"/>
  <c r="AY200" i="59"/>
  <c r="DD31" i="25"/>
  <c r="BV124" i="30"/>
  <c r="CA124" i="30"/>
  <c r="BV127" i="30"/>
  <c r="BQ98" i="30"/>
  <c r="P113" i="30"/>
  <c r="P116" i="30" s="1"/>
  <c r="R116" i="30"/>
  <c r="R119" i="30" s="1"/>
  <c r="Q77" i="25"/>
  <c r="CI7" i="25"/>
  <c r="R8" i="25"/>
  <c r="T25" i="25"/>
  <c r="W25" i="25" s="1"/>
  <c r="T28" i="25"/>
  <c r="W28" i="25" s="1"/>
  <c r="T29" i="25"/>
  <c r="W29" i="25" s="1"/>
  <c r="T27" i="25"/>
  <c r="W27" i="25" s="1"/>
  <c r="BI63" i="59"/>
  <c r="DK170" i="30"/>
  <c r="DM169" i="30"/>
  <c r="CK70" i="25"/>
  <c r="CK68" i="25"/>
  <c r="CK72" i="25"/>
  <c r="CK71" i="25"/>
  <c r="Y65" i="25"/>
  <c r="X65" i="25"/>
  <c r="Q70" i="25"/>
  <c r="P72" i="25"/>
  <c r="P70" i="25"/>
  <c r="DH66" i="25"/>
  <c r="DG68" i="25"/>
  <c r="DG67" i="25"/>
  <c r="I82" i="25"/>
  <c r="I24" i="25"/>
  <c r="AL9" i="30"/>
  <c r="CT39" i="59"/>
  <c r="Q40" i="59"/>
  <c r="BH65" i="59"/>
  <c r="P98" i="30"/>
  <c r="BV97" i="30"/>
  <c r="BQ119" i="30"/>
  <c r="BS39" i="25"/>
  <c r="BS43" i="25"/>
  <c r="BU42" i="25"/>
  <c r="BU39" i="25"/>
  <c r="AE151" i="30"/>
  <c r="S29" i="25"/>
  <c r="S32" i="25"/>
  <c r="I36" i="25"/>
  <c r="H36" i="25"/>
  <c r="H77" i="25"/>
  <c r="BY35" i="25"/>
  <c r="G7" i="52"/>
  <c r="G26" i="52"/>
  <c r="G13" i="52"/>
  <c r="S42" i="25"/>
  <c r="S41" i="25"/>
  <c r="T41" i="25"/>
  <c r="CL178" i="59"/>
  <c r="CL170" i="59"/>
  <c r="CL177" i="59" s="1"/>
  <c r="P77" i="25"/>
  <c r="P22" i="25"/>
  <c r="CI9" i="25"/>
  <c r="Q82" i="25"/>
  <c r="D194" i="59" s="1"/>
  <c r="Q10" i="25"/>
  <c r="CP72" i="25"/>
  <c r="CU70" i="25"/>
  <c r="D15" i="25"/>
  <c r="D14" i="25"/>
  <c r="D13" i="25"/>
  <c r="E40" i="59"/>
  <c r="F40" i="59"/>
  <c r="CG82" i="25"/>
  <c r="AO194" i="59" s="1"/>
  <c r="CG24" i="25"/>
  <c r="E194" i="59"/>
  <c r="CN82" i="25"/>
  <c r="E11" i="25"/>
  <c r="E13" i="25"/>
  <c r="E14" i="25"/>
  <c r="DU20" i="30"/>
  <c r="DU25" i="30"/>
  <c r="BE65" i="59"/>
  <c r="BJ64" i="59"/>
  <c r="AR151" i="59"/>
  <c r="DE25" i="25"/>
  <c r="CQ74" i="25"/>
  <c r="CL72" i="25"/>
  <c r="AJ207" i="30"/>
  <c r="AK180" i="30"/>
  <c r="D163" i="59"/>
  <c r="E143" i="59"/>
  <c r="CT80" i="25"/>
  <c r="BB191" i="59"/>
  <c r="BF5" i="23"/>
  <c r="BF6" i="23" s="1"/>
  <c r="AW191" i="59"/>
  <c r="AW200" i="59" s="1"/>
  <c r="E154" i="59"/>
  <c r="D154" i="59"/>
  <c r="CF170" i="59"/>
  <c r="CF177" i="59" s="1"/>
  <c r="CF178" i="59"/>
  <c r="BL28" i="25"/>
  <c r="CP43" i="25"/>
  <c r="CP46" i="25"/>
  <c r="CP68" i="25"/>
  <c r="I40" i="59"/>
  <c r="BR46" i="25"/>
  <c r="BT44" i="25"/>
  <c r="F10" i="25"/>
  <c r="F8" i="25"/>
  <c r="BR39" i="25"/>
  <c r="BR43" i="25"/>
  <c r="BT43" i="25" s="1"/>
  <c r="BT40" i="25"/>
  <c r="BR42" i="25"/>
  <c r="J560" i="23"/>
  <c r="J549" i="23" s="1"/>
  <c r="J516" i="23"/>
  <c r="J507" i="23"/>
  <c r="U65" i="25"/>
  <c r="N559" i="23"/>
  <c r="E131" i="30"/>
  <c r="K124" i="30"/>
  <c r="E127" i="30"/>
  <c r="E130" i="30" s="1"/>
  <c r="N98" i="30"/>
  <c r="CY39" i="59"/>
  <c r="BB32" i="25"/>
  <c r="BB29" i="25"/>
  <c r="BP93" i="30"/>
  <c r="BK101" i="30"/>
  <c r="BV39" i="25"/>
  <c r="BV42" i="25"/>
  <c r="BS170" i="59"/>
  <c r="BS177" i="59" s="1"/>
  <c r="BS178" i="59"/>
  <c r="BH93" i="30"/>
  <c r="BF101" i="30"/>
  <c r="BF97" i="30"/>
  <c r="BK98" i="30" s="1"/>
  <c r="BF131" i="30"/>
  <c r="BI93" i="30"/>
  <c r="BM25" i="25"/>
  <c r="BM28" i="25"/>
  <c r="DO170" i="30"/>
  <c r="BM63" i="59"/>
  <c r="BM64" i="59" s="1"/>
  <c r="DD25" i="25"/>
  <c r="DD29" i="25"/>
  <c r="DH29" i="25" s="1"/>
  <c r="DD28" i="25"/>
  <c r="DI27" i="25"/>
  <c r="DD27" i="25"/>
  <c r="BB14" i="25"/>
  <c r="BB11" i="25"/>
  <c r="I24" i="52"/>
  <c r="BG10" i="23"/>
  <c r="BG13" i="23" s="1"/>
  <c r="BG17" i="23" s="1"/>
  <c r="AX198" i="59"/>
  <c r="X8" i="25"/>
  <c r="Y8" i="25"/>
  <c r="BC187" i="59"/>
  <c r="CU79" i="25"/>
  <c r="CU80" i="25" s="1"/>
  <c r="CH24" i="25"/>
  <c r="CH82" i="25"/>
  <c r="AP194" i="59" s="1"/>
  <c r="T14" i="25"/>
  <c r="W14" i="25" s="1"/>
  <c r="T15" i="25"/>
  <c r="W15" i="25" s="1"/>
  <c r="W93" i="25" s="1"/>
  <c r="P22" i="23" s="1"/>
  <c r="P61" i="23" s="1"/>
  <c r="T11" i="25"/>
  <c r="T13" i="25"/>
  <c r="W13" i="25" s="1"/>
  <c r="W12" i="25"/>
  <c r="X13" i="25" s="1"/>
  <c r="K10" i="25"/>
  <c r="L8" i="25"/>
  <c r="AJ9" i="30"/>
  <c r="CO140" i="30"/>
  <c r="CO142" i="30" s="1"/>
  <c r="DD195" i="30"/>
  <c r="I13" i="52"/>
  <c r="I9" i="52" s="1"/>
  <c r="J11" i="52" s="1"/>
  <c r="G10" i="25"/>
  <c r="R78" i="25"/>
  <c r="F9" i="52"/>
  <c r="F11" i="52" s="1"/>
  <c r="N242" i="30"/>
  <c r="AM12" i="59"/>
  <c r="AM57" i="59" s="1"/>
  <c r="AQ128" i="59"/>
  <c r="DH176" i="30"/>
  <c r="DI25" i="25"/>
  <c r="CY140" i="30"/>
  <c r="AW59" i="59" s="1"/>
  <c r="AW75" i="59" s="1"/>
  <c r="S43" i="25"/>
  <c r="B155" i="59"/>
  <c r="F77" i="25"/>
  <c r="DI18" i="25"/>
  <c r="B40" i="63"/>
  <c r="H56" i="62"/>
  <c r="R56" i="62" s="1"/>
  <c r="N15" i="56"/>
  <c r="V114" i="23"/>
  <c r="F56" i="62"/>
  <c r="P56" i="62" s="1"/>
  <c r="B31" i="63"/>
  <c r="G51" i="62"/>
  <c r="Q51" i="62" s="1"/>
  <c r="K34" i="56"/>
  <c r="U175" i="23"/>
  <c r="U294" i="23" s="1"/>
  <c r="U690" i="23" s="1"/>
  <c r="G56" i="62"/>
  <c r="Q56" i="62" s="1"/>
  <c r="J473" i="23"/>
  <c r="J491" i="23" s="1"/>
  <c r="S12" i="56"/>
  <c r="DE112" i="23"/>
  <c r="DE114" i="23" s="1"/>
  <c r="DF112" i="23"/>
  <c r="DF114" i="23" s="1"/>
  <c r="DG112" i="23"/>
  <c r="DD112" i="23"/>
  <c r="DD114" i="23" s="1"/>
  <c r="AP54" i="30"/>
  <c r="AP65" i="30" s="1"/>
  <c r="AP73" i="30" s="1"/>
  <c r="CA187" i="59"/>
  <c r="CA210" i="59" s="1"/>
  <c r="T52" i="59"/>
  <c r="DD52" i="59" s="1"/>
  <c r="BU195" i="59"/>
  <c r="CH187" i="59"/>
  <c r="CH191" i="59" s="1"/>
  <c r="CH250" i="59" s="1"/>
  <c r="CH251" i="59" s="1"/>
  <c r="BG64" i="59"/>
  <c r="CP46" i="59"/>
  <c r="CK101" i="59"/>
  <c r="BB150" i="59"/>
  <c r="BF196" i="59"/>
  <c r="BF195" i="59"/>
  <c r="C192" i="59"/>
  <c r="BK95" i="59"/>
  <c r="AO93" i="59"/>
  <c r="Q52" i="59"/>
  <c r="M52" i="59"/>
  <c r="O52" i="59" s="1"/>
  <c r="CM46" i="59"/>
  <c r="BP42" i="59"/>
  <c r="AR43" i="59"/>
  <c r="CC187" i="59"/>
  <c r="CC191" i="59" s="1"/>
  <c r="CL5" i="23" s="1"/>
  <c r="CH46" i="59"/>
  <c r="AO12" i="59"/>
  <c r="AO57" i="59" s="1"/>
  <c r="CM187" i="59"/>
  <c r="CM210" i="59" s="1"/>
  <c r="L6" i="53"/>
  <c r="L8" i="53" s="1"/>
  <c r="L9" i="53" s="1"/>
  <c r="AP45" i="30"/>
  <c r="AP241" i="30" s="1"/>
  <c r="DM78" i="25"/>
  <c r="AT43" i="59"/>
  <c r="BA190" i="59"/>
  <c r="CC101" i="59"/>
  <c r="BP52" i="59"/>
  <c r="K268" i="59"/>
  <c r="BF18" i="59"/>
  <c r="K143" i="59"/>
  <c r="AQ45" i="30"/>
  <c r="AQ241" i="30" s="1"/>
  <c r="AK7" i="25"/>
  <c r="AD558" i="23" s="1"/>
  <c r="BK42" i="59"/>
  <c r="I232" i="59"/>
  <c r="BP232" i="59" s="1"/>
  <c r="AY40" i="59"/>
  <c r="BA18" i="59"/>
  <c r="BZ10" i="59"/>
  <c r="BB12" i="59"/>
  <c r="BB219" i="59" s="1"/>
  <c r="M173" i="59"/>
  <c r="M180" i="59" s="1"/>
  <c r="AU129" i="59"/>
  <c r="R52" i="59"/>
  <c r="S52" i="59" s="1"/>
  <c r="CY52" i="59" s="1"/>
  <c r="K26" i="95"/>
  <c r="G220" i="59"/>
  <c r="I26" i="95"/>
  <c r="AJ6" i="20"/>
  <c r="AJ111" i="20" s="1"/>
  <c r="CE60" i="85"/>
  <c r="CJ60" i="85" s="1"/>
  <c r="CO60" i="85" s="1"/>
  <c r="CT60" i="85" s="1"/>
  <c r="CY60" i="85" s="1"/>
  <c r="DD60" i="85" s="1"/>
  <c r="BP84" i="85"/>
  <c r="BU84" i="85" s="1"/>
  <c r="BZ84" i="85" s="1"/>
  <c r="CE84" i="85" s="1"/>
  <c r="DD39" i="59"/>
  <c r="AD171" i="31"/>
  <c r="F112" i="31"/>
  <c r="F113" i="31" s="1"/>
  <c r="CL114" i="59"/>
  <c r="CL116" i="59" s="1"/>
  <c r="AE166" i="23"/>
  <c r="AF166" i="23" s="1"/>
  <c r="AG166" i="23" s="1"/>
  <c r="AH166" i="23" s="1"/>
  <c r="AI166" i="23" s="1"/>
  <c r="AJ166" i="23" s="1"/>
  <c r="AK166" i="23" s="1"/>
  <c r="AL166" i="23" s="1"/>
  <c r="AM166" i="23" s="1"/>
  <c r="AN166" i="23" s="1"/>
  <c r="BT194" i="59"/>
  <c r="BT211" i="59" s="1"/>
  <c r="CA199" i="59"/>
  <c r="CU92" i="59"/>
  <c r="CU88" i="59"/>
  <c r="CW92" i="59"/>
  <c r="CW308" i="59"/>
  <c r="CP88" i="59"/>
  <c r="CW323" i="59"/>
  <c r="CR202" i="59"/>
  <c r="CW309" i="59"/>
  <c r="CP322" i="59"/>
  <c r="CU309" i="59"/>
  <c r="DC323" i="59"/>
  <c r="DC92" i="59"/>
  <c r="DC309" i="59"/>
  <c r="N105" i="59"/>
  <c r="P105" i="59" s="1"/>
  <c r="P108" i="59" s="1"/>
  <c r="CV323" i="59"/>
  <c r="CP307" i="59"/>
  <c r="CQ115" i="59"/>
  <c r="CS202" i="59"/>
  <c r="CI114" i="59"/>
  <c r="CQ323" i="59"/>
  <c r="CV309" i="59"/>
  <c r="J27" i="95"/>
  <c r="Q27" i="95"/>
  <c r="CK166" i="59"/>
  <c r="DA88" i="59"/>
  <c r="DA92" i="59"/>
  <c r="DA76" i="59"/>
  <c r="CU99" i="59"/>
  <c r="CU101" i="59" s="1"/>
  <c r="BY310" i="59"/>
  <c r="BG117" i="59"/>
  <c r="BY194" i="59"/>
  <c r="BY198" i="59" s="1"/>
  <c r="CH10" i="23" s="1"/>
  <c r="CH13" i="23" s="1"/>
  <c r="CH17" i="23" s="1"/>
  <c r="CD100" i="59"/>
  <c r="BH83" i="59"/>
  <c r="DJ146" i="30" s="1"/>
  <c r="F48" i="56"/>
  <c r="Q79" i="95"/>
  <c r="R80" i="95" s="1"/>
  <c r="L79" i="95"/>
  <c r="G79" i="95"/>
  <c r="L35" i="95"/>
  <c r="L41" i="95" s="1"/>
  <c r="L42" i="95" s="1"/>
  <c r="I42" i="95"/>
  <c r="S79" i="95"/>
  <c r="S27" i="95"/>
  <c r="S36" i="95"/>
  <c r="H18" i="95"/>
  <c r="G69" i="95"/>
  <c r="E69" i="95"/>
  <c r="B20" i="95"/>
  <c r="Q49" i="53"/>
  <c r="Q50" i="53" s="1"/>
  <c r="AC256" i="23"/>
  <c r="AJ96" i="25"/>
  <c r="AC71" i="23"/>
  <c r="DM12" i="23"/>
  <c r="K20" i="73"/>
  <c r="M126" i="73"/>
  <c r="N127" i="73"/>
  <c r="N126" i="73"/>
  <c r="O125" i="73"/>
  <c r="AI171" i="31"/>
  <c r="H93" i="73"/>
  <c r="AR13" i="31"/>
  <c r="CG269" i="59"/>
  <c r="G87" i="73"/>
  <c r="BI86" i="73"/>
  <c r="H86" i="73"/>
  <c r="H88" i="73" s="1"/>
  <c r="BJ93" i="73"/>
  <c r="CM266" i="59"/>
  <c r="BJ94" i="73"/>
  <c r="G93" i="73"/>
  <c r="BO92" i="73"/>
  <c r="BT92" i="73" s="1"/>
  <c r="BY92" i="73" s="1"/>
  <c r="BK87" i="73"/>
  <c r="BK88" i="73"/>
  <c r="DB285" i="59"/>
  <c r="AG14" i="20"/>
  <c r="M315" i="59"/>
  <c r="CH330" i="59"/>
  <c r="N315" i="59"/>
  <c r="DL26" i="25"/>
  <c r="DL25" i="25" s="1"/>
  <c r="M163" i="59"/>
  <c r="M329" i="59"/>
  <c r="CI194" i="59"/>
  <c r="CI206" i="59" s="1"/>
  <c r="CC312" i="59"/>
  <c r="BX151" i="59"/>
  <c r="CC326" i="59"/>
  <c r="CC151" i="59"/>
  <c r="EE97" i="30"/>
  <c r="EE98" i="30" s="1"/>
  <c r="CC126" i="59"/>
  <c r="DV97" i="30"/>
  <c r="DV130" i="30" s="1"/>
  <c r="CM114" i="59"/>
  <c r="CW202" i="59"/>
  <c r="N113" i="59"/>
  <c r="CV93" i="59"/>
  <c r="CV76" i="59"/>
  <c r="Q108" i="59"/>
  <c r="CT108" i="59" s="1"/>
  <c r="CP308" i="59"/>
  <c r="CU322" i="59"/>
  <c r="BO114" i="59"/>
  <c r="CU308" i="59"/>
  <c r="H106" i="59"/>
  <c r="BK106" i="59" s="1"/>
  <c r="CQ202" i="59"/>
  <c r="CF310" i="59"/>
  <c r="CJ71" i="59"/>
  <c r="CK324" i="59"/>
  <c r="CI116" i="59"/>
  <c r="CI324" i="59"/>
  <c r="CC46" i="59"/>
  <c r="DT86" i="30"/>
  <c r="DT90" i="30" s="1"/>
  <c r="DT91" i="30" s="1"/>
  <c r="CF324" i="59"/>
  <c r="CF101" i="59"/>
  <c r="CK310" i="59"/>
  <c r="CK46" i="59"/>
  <c r="CF46" i="59"/>
  <c r="CN324" i="59"/>
  <c r="CI310" i="59"/>
  <c r="CI101" i="59"/>
  <c r="BN241" i="59"/>
  <c r="BN224" i="59" s="1"/>
  <c r="BI30" i="59"/>
  <c r="BI83" i="59"/>
  <c r="BI84" i="59" s="1"/>
  <c r="BI224" i="59"/>
  <c r="DK108" i="30"/>
  <c r="BW89" i="85"/>
  <c r="BR102" i="85"/>
  <c r="BR104" i="85"/>
  <c r="BN65" i="85"/>
  <c r="BS65" i="85" s="1"/>
  <c r="BX65" i="85" s="1"/>
  <c r="CC65" i="85" s="1"/>
  <c r="CH65" i="85" s="1"/>
  <c r="CM65" i="85" s="1"/>
  <c r="CR65" i="85" s="1"/>
  <c r="CW65" i="85" s="1"/>
  <c r="DB65" i="85" s="1"/>
  <c r="BI8" i="85"/>
  <c r="BI52" i="85"/>
  <c r="BM74" i="85"/>
  <c r="BR74" i="85" s="1"/>
  <c r="BW74" i="85" s="1"/>
  <c r="CB74" i="85" s="1"/>
  <c r="CG74" i="85" s="1"/>
  <c r="CL74" i="85" s="1"/>
  <c r="CQ74" i="85" s="1"/>
  <c r="CV74" i="85" s="1"/>
  <c r="DA74" i="85" s="1"/>
  <c r="L95" i="85"/>
  <c r="BH52" i="85"/>
  <c r="BH53" i="85" s="1"/>
  <c r="CB146" i="59"/>
  <c r="DD171" i="59"/>
  <c r="C33" i="31"/>
  <c r="C34" i="31" s="1"/>
  <c r="C43" i="31"/>
  <c r="C44" i="31"/>
  <c r="BL36" i="31"/>
  <c r="BQ36" i="31" s="1"/>
  <c r="BV36" i="31" s="1"/>
  <c r="E47" i="31"/>
  <c r="D47" i="31" s="1"/>
  <c r="C47" i="31" s="1"/>
  <c r="B47" i="31" s="1"/>
  <c r="F46" i="31"/>
  <c r="F42" i="31" s="1"/>
  <c r="BN36" i="31"/>
  <c r="BS36" i="31" s="1"/>
  <c r="BX36" i="31" s="1"/>
  <c r="O20" i="31"/>
  <c r="O28" i="31" s="1"/>
  <c r="O99" i="31"/>
  <c r="O93" i="31"/>
  <c r="AB156" i="20"/>
  <c r="AB168" i="20" s="1"/>
  <c r="C129" i="31"/>
  <c r="BM36" i="31"/>
  <c r="BR36" i="31" s="1"/>
  <c r="BW36" i="31" s="1"/>
  <c r="C28" i="31"/>
  <c r="C20" i="31" s="1"/>
  <c r="J46" i="31"/>
  <c r="D44" i="31"/>
  <c r="CF187" i="59"/>
  <c r="CF191" i="59" s="1"/>
  <c r="AF411" i="23"/>
  <c r="AE411" i="23"/>
  <c r="AG457" i="23"/>
  <c r="AE410" i="23"/>
  <c r="AH411" i="23"/>
  <c r="AI356" i="23"/>
  <c r="AG411" i="23"/>
  <c r="AJ355" i="23"/>
  <c r="AK355" i="23" s="1"/>
  <c r="AL355" i="23" s="1"/>
  <c r="AM355" i="23" s="1"/>
  <c r="CM101" i="59"/>
  <c r="CB100" i="59"/>
  <c r="CM194" i="59"/>
  <c r="BW194" i="59"/>
  <c r="BW211" i="59" s="1"/>
  <c r="BJ202" i="59"/>
  <c r="BJ204" i="59" s="1"/>
  <c r="BJ214" i="59" s="1"/>
  <c r="I106" i="59"/>
  <c r="BP106" i="59" s="1"/>
  <c r="CP92" i="59"/>
  <c r="CP309" i="59"/>
  <c r="BR112" i="59"/>
  <c r="CU323" i="59"/>
  <c r="CP99" i="59"/>
  <c r="CP101" i="59" s="1"/>
  <c r="CP93" i="59"/>
  <c r="CG330" i="59"/>
  <c r="CB187" i="59"/>
  <c r="CB191" i="59" s="1"/>
  <c r="BX163" i="59"/>
  <c r="BH143" i="59"/>
  <c r="BX145" i="59"/>
  <c r="CC146" i="59" s="1"/>
  <c r="U20" i="73"/>
  <c r="R87" i="30"/>
  <c r="L18" i="73"/>
  <c r="V20" i="73"/>
  <c r="R120" i="30"/>
  <c r="E109" i="30"/>
  <c r="E152" i="30" s="1"/>
  <c r="F152" i="30" s="1"/>
  <c r="F86" i="30"/>
  <c r="V190" i="31"/>
  <c r="AA193" i="31"/>
  <c r="G18" i="73"/>
  <c r="V21" i="73"/>
  <c r="G20" i="73"/>
  <c r="C21" i="73"/>
  <c r="N101" i="30"/>
  <c r="D18" i="73"/>
  <c r="BO41" i="73"/>
  <c r="M86" i="30"/>
  <c r="K137" i="30"/>
  <c r="BI137" i="30" s="1"/>
  <c r="BI113" i="30"/>
  <c r="BI116" i="30" s="1"/>
  <c r="K116" i="30"/>
  <c r="K119" i="30" s="1"/>
  <c r="L113" i="30"/>
  <c r="L116" i="30" s="1"/>
  <c r="S113" i="30"/>
  <c r="S116" i="30" s="1"/>
  <c r="S119" i="30" s="1"/>
  <c r="N90" i="30"/>
  <c r="R91" i="30" s="1"/>
  <c r="BN86" i="30"/>
  <c r="BS86" i="30"/>
  <c r="BS90" i="30" s="1"/>
  <c r="D21" i="73"/>
  <c r="DC233" i="59"/>
  <c r="CY24" i="59"/>
  <c r="DB25" i="59"/>
  <c r="DA233" i="59"/>
  <c r="CY178" i="59"/>
  <c r="CM316" i="59"/>
  <c r="CD163" i="59"/>
  <c r="CM167" i="59"/>
  <c r="BH163" i="59"/>
  <c r="BC143" i="59"/>
  <c r="CB167" i="59"/>
  <c r="CI329" i="59"/>
  <c r="CL146" i="59"/>
  <c r="AX163" i="59"/>
  <c r="CG167" i="59"/>
  <c r="T222" i="59"/>
  <c r="DD222" i="59" s="1"/>
  <c r="CM25" i="59"/>
  <c r="BL57" i="59"/>
  <c r="BR9" i="59"/>
  <c r="CQ166" i="59"/>
  <c r="BK142" i="59"/>
  <c r="CK187" i="59"/>
  <c r="CK191" i="59" s="1"/>
  <c r="CU157" i="59"/>
  <c r="CU158" i="59" s="1"/>
  <c r="CQ149" i="59"/>
  <c r="CV151" i="59"/>
  <c r="CS155" i="59"/>
  <c r="CV179" i="59"/>
  <c r="CV181" i="59" s="1"/>
  <c r="CV183" i="59" s="1"/>
  <c r="CQ328" i="59"/>
  <c r="CS154" i="59"/>
  <c r="CU202" i="59"/>
  <c r="CX313" i="59"/>
  <c r="CF166" i="59"/>
  <c r="AM165" i="59"/>
  <c r="CD145" i="59"/>
  <c r="CI330" i="59" s="1"/>
  <c r="CD222" i="59"/>
  <c r="L222" i="59" s="1"/>
  <c r="CE222" i="59" s="1"/>
  <c r="BG222" i="59"/>
  <c r="BG163" i="59"/>
  <c r="CK330" i="59"/>
  <c r="CC315" i="59"/>
  <c r="BX315" i="59"/>
  <c r="AS163" i="59"/>
  <c r="CK167" i="59"/>
  <c r="CK146" i="59"/>
  <c r="DK21" i="25"/>
  <c r="BS163" i="59"/>
  <c r="CL167" i="59"/>
  <c r="CD143" i="59"/>
  <c r="CI143" i="59"/>
  <c r="CD315" i="59"/>
  <c r="BG143" i="59"/>
  <c r="CF167" i="59"/>
  <c r="BM163" i="59"/>
  <c r="CC143" i="59"/>
  <c r="CC329" i="59"/>
  <c r="Q222" i="59"/>
  <c r="CT222" i="59" s="1"/>
  <c r="R222" i="59"/>
  <c r="S222" i="59" s="1"/>
  <c r="CY222" i="59" s="1"/>
  <c r="CK316" i="59"/>
  <c r="CE142" i="59"/>
  <c r="CI315" i="59"/>
  <c r="DL24" i="25"/>
  <c r="BX143" i="59"/>
  <c r="BM143" i="59"/>
  <c r="DU43" i="30"/>
  <c r="DU47" i="30" s="1"/>
  <c r="BS145" i="59"/>
  <c r="BS146" i="59" s="1"/>
  <c r="M222" i="59"/>
  <c r="CJ222" i="59" s="1"/>
  <c r="N222" i="59"/>
  <c r="CO222" i="59" s="1"/>
  <c r="BR69" i="73"/>
  <c r="CQ327" i="59"/>
  <c r="EW98" i="30"/>
  <c r="BR72" i="73"/>
  <c r="CU145" i="59"/>
  <c r="CU183" i="59" s="1"/>
  <c r="CZ132" i="59"/>
  <c r="CL155" i="59"/>
  <c r="CU93" i="59"/>
  <c r="CZ92" i="59"/>
  <c r="AC190" i="31"/>
  <c r="H87" i="31"/>
  <c r="AF171" i="31"/>
  <c r="X193" i="31"/>
  <c r="AA190" i="31"/>
  <c r="AB190" i="31"/>
  <c r="BX125" i="73"/>
  <c r="BS126" i="73"/>
  <c r="BS127" i="73" s="1"/>
  <c r="P125" i="73"/>
  <c r="DJ113" i="23"/>
  <c r="F12" i="73"/>
  <c r="AE91" i="32"/>
  <c r="AH91" i="32" s="1"/>
  <c r="DU12" i="30"/>
  <c r="AG17" i="30"/>
  <c r="BM51" i="59"/>
  <c r="BM50" i="59"/>
  <c r="AW11" i="59"/>
  <c r="AW12" i="59"/>
  <c r="AR11" i="59"/>
  <c r="AR54" i="59"/>
  <c r="BQ170" i="59"/>
  <c r="J171" i="59"/>
  <c r="J178" i="59" s="1"/>
  <c r="BQ178" i="59"/>
  <c r="BG178" i="59"/>
  <c r="H171" i="59"/>
  <c r="H178" i="59" s="1"/>
  <c r="AS96" i="59"/>
  <c r="AS97" i="59"/>
  <c r="BF10" i="59"/>
  <c r="BN180" i="59"/>
  <c r="BN162" i="59"/>
  <c r="BP161" i="59"/>
  <c r="BN163" i="59"/>
  <c r="BI163" i="59"/>
  <c r="BI180" i="59"/>
  <c r="BI162" i="59"/>
  <c r="BK161" i="59"/>
  <c r="BF161" i="59"/>
  <c r="BD162" i="59"/>
  <c r="AY162" i="59"/>
  <c r="AY163" i="59"/>
  <c r="AT163" i="59"/>
  <c r="AT162" i="59"/>
  <c r="AV161" i="59"/>
  <c r="J163" i="59"/>
  <c r="K162" i="59"/>
  <c r="BU161" i="59"/>
  <c r="F163" i="59"/>
  <c r="F162" i="59"/>
  <c r="BB154" i="59"/>
  <c r="BF153" i="59"/>
  <c r="BB155" i="59"/>
  <c r="AW157" i="59"/>
  <c r="AW159" i="59" s="1"/>
  <c r="AW154" i="59"/>
  <c r="AR155" i="59"/>
  <c r="AR154" i="59"/>
  <c r="AR157" i="59"/>
  <c r="BU153" i="59"/>
  <c r="J155" i="59"/>
  <c r="G221" i="60"/>
  <c r="BA153" i="59"/>
  <c r="F154" i="59"/>
  <c r="F155" i="59"/>
  <c r="G154" i="59"/>
  <c r="AV10" i="59"/>
  <c r="AS12" i="59"/>
  <c r="AS57" i="59" s="1"/>
  <c r="BO174" i="59"/>
  <c r="BO202" i="59" s="1"/>
  <c r="BO204" i="59" s="1"/>
  <c r="BO214" i="59" s="1"/>
  <c r="BO180" i="59"/>
  <c r="CA170" i="59"/>
  <c r="CA177" i="59" s="1"/>
  <c r="CA178" i="59"/>
  <c r="BP91" i="59"/>
  <c r="I93" i="59"/>
  <c r="D53" i="59"/>
  <c r="E53" i="59"/>
  <c r="AS53" i="59"/>
  <c r="AX53" i="59"/>
  <c r="CL187" i="59"/>
  <c r="CL210" i="59" s="1"/>
  <c r="CL46" i="59"/>
  <c r="BW101" i="59"/>
  <c r="BW187" i="59"/>
  <c r="BR45" i="59"/>
  <c r="BW46" i="59" s="1"/>
  <c r="BU42" i="59"/>
  <c r="AX43" i="59"/>
  <c r="AV42" i="59"/>
  <c r="BZ42" i="59"/>
  <c r="BF42" i="59"/>
  <c r="C43" i="59"/>
  <c r="B97" i="59"/>
  <c r="BM40" i="59"/>
  <c r="BM93" i="59"/>
  <c r="BP39" i="59"/>
  <c r="BR40" i="59"/>
  <c r="BH93" i="59"/>
  <c r="BH40" i="59"/>
  <c r="BK39" i="59"/>
  <c r="BB93" i="59"/>
  <c r="BF39" i="59"/>
  <c r="AV33" i="59"/>
  <c r="BU10" i="59"/>
  <c r="CQ264" i="59"/>
  <c r="BB6" i="31"/>
  <c r="CL264" i="59"/>
  <c r="AW6" i="31"/>
  <c r="CG264" i="59"/>
  <c r="AR6" i="31"/>
  <c r="CB264" i="59"/>
  <c r="BH64" i="59"/>
  <c r="AN36" i="59"/>
  <c r="H192" i="59"/>
  <c r="H250" i="59"/>
  <c r="DA185" i="59"/>
  <c r="BQ6" i="31"/>
  <c r="AS54" i="59"/>
  <c r="BT87" i="73"/>
  <c r="BL59" i="59"/>
  <c r="I197" i="59"/>
  <c r="BP197" i="59" s="1"/>
  <c r="AW125" i="59"/>
  <c r="BH9" i="59"/>
  <c r="BM9" i="59"/>
  <c r="BH12" i="59"/>
  <c r="BM13" i="59" s="1"/>
  <c r="BB56" i="59"/>
  <c r="BG56" i="59"/>
  <c r="BC31" i="59"/>
  <c r="D83" i="63"/>
  <c r="AH16" i="30"/>
  <c r="AZ92" i="59"/>
  <c r="BE92" i="59"/>
  <c r="BL180" i="59"/>
  <c r="I173" i="59"/>
  <c r="I180" i="59" s="1"/>
  <c r="BG6" i="31"/>
  <c r="CN187" i="59"/>
  <c r="CN310" i="59"/>
  <c r="CS46" i="59"/>
  <c r="CN46" i="59"/>
  <c r="AX11" i="59"/>
  <c r="AQ7" i="25"/>
  <c r="AJ558" i="23" s="1"/>
  <c r="BQ12" i="59"/>
  <c r="BQ219" i="59" s="1"/>
  <c r="BB125" i="59"/>
  <c r="AQ91" i="59"/>
  <c r="AP93" i="59"/>
  <c r="AU92" i="59"/>
  <c r="T13" i="52"/>
  <c r="AU40" i="59"/>
  <c r="AU93" i="59"/>
  <c r="AZ40" i="59"/>
  <c r="AT92" i="59"/>
  <c r="AT93" i="59"/>
  <c r="AY92" i="59"/>
  <c r="BP153" i="59"/>
  <c r="BN149" i="59"/>
  <c r="BN150" i="59" s="1"/>
  <c r="BN154" i="59"/>
  <c r="F143" i="59"/>
  <c r="G143" i="59"/>
  <c r="BB221" i="59"/>
  <c r="BG129" i="59"/>
  <c r="BF128" i="59"/>
  <c r="AW129" i="59"/>
  <c r="BA128" i="59"/>
  <c r="C75" i="73"/>
  <c r="D77" i="73" s="1"/>
  <c r="H155" i="59"/>
  <c r="H129" i="59"/>
  <c r="C70" i="73" s="1"/>
  <c r="C71" i="73" s="1"/>
  <c r="I129" i="59"/>
  <c r="D70" i="73" s="1"/>
  <c r="D72" i="73" s="1"/>
  <c r="H221" i="59"/>
  <c r="BM123" i="59"/>
  <c r="BM221" i="59"/>
  <c r="I221" i="59" s="1"/>
  <c r="BM129" i="59"/>
  <c r="BH123" i="59"/>
  <c r="BH122" i="59" s="1"/>
  <c r="DJ95" i="30" s="1"/>
  <c r="DJ125" i="30" s="1"/>
  <c r="BH221" i="59"/>
  <c r="BH129" i="59"/>
  <c r="CM310" i="59"/>
  <c r="CM324" i="59"/>
  <c r="CH100" i="59"/>
  <c r="CH324" i="59"/>
  <c r="CH310" i="59"/>
  <c r="CH101" i="59"/>
  <c r="BS99" i="59"/>
  <c r="BS101" i="59" s="1"/>
  <c r="BU95" i="59"/>
  <c r="BA95" i="59"/>
  <c r="BZ95" i="59"/>
  <c r="C96" i="59"/>
  <c r="D96" i="59"/>
  <c r="BS92" i="59"/>
  <c r="BN92" i="59"/>
  <c r="BI113" i="59"/>
  <c r="BI92" i="59"/>
  <c r="BI99" i="59"/>
  <c r="BI101" i="59" s="1"/>
  <c r="AX92" i="59"/>
  <c r="AX93" i="59"/>
  <c r="F93" i="59"/>
  <c r="BA91" i="59"/>
  <c r="G92" i="59"/>
  <c r="AW54" i="59"/>
  <c r="AW53" i="59"/>
  <c r="CG187" i="59"/>
  <c r="CG101" i="59"/>
  <c r="BJ114" i="59"/>
  <c r="BJ116" i="59" s="1"/>
  <c r="BB192" i="59"/>
  <c r="AO51" i="59"/>
  <c r="BY101" i="59"/>
  <c r="BZ52" i="59"/>
  <c r="BK196" i="59"/>
  <c r="G162" i="59"/>
  <c r="AR131" i="59"/>
  <c r="AW132" i="59" s="1"/>
  <c r="BH51" i="59"/>
  <c r="BA42" i="59"/>
  <c r="BG40" i="59"/>
  <c r="BG12" i="59"/>
  <c r="BL13" i="59" s="1"/>
  <c r="BA187" i="59"/>
  <c r="BN178" i="59"/>
  <c r="EY98" i="30"/>
  <c r="BK197" i="59"/>
  <c r="BA196" i="59"/>
  <c r="AK20" i="30"/>
  <c r="AC66" i="25"/>
  <c r="BT198" i="59"/>
  <c r="AK18" i="30"/>
  <c r="DW9" i="30"/>
  <c r="BM219" i="59"/>
  <c r="BR12" i="59"/>
  <c r="DQ127" i="30"/>
  <c r="DV128" i="30" s="1"/>
  <c r="DM85" i="25"/>
  <c r="BO126" i="59"/>
  <c r="N18" i="52"/>
  <c r="CD198" i="59"/>
  <c r="CM10" i="23" s="1"/>
  <c r="CM13" i="23" s="1"/>
  <c r="CM17" i="23" s="1"/>
  <c r="D124" i="59"/>
  <c r="AJ17" i="30"/>
  <c r="AS43" i="59"/>
  <c r="AQ11" i="25"/>
  <c r="K70" i="73"/>
  <c r="K71" i="73" s="1"/>
  <c r="BM57" i="59"/>
  <c r="BI122" i="59"/>
  <c r="DK95" i="30" s="1"/>
  <c r="DK125" i="30" s="1"/>
  <c r="DK123" i="30" s="1"/>
  <c r="DK97" i="30"/>
  <c r="DP98" i="30" s="1"/>
  <c r="BI218" i="59"/>
  <c r="BN126" i="59"/>
  <c r="BQ100" i="59"/>
  <c r="BQ194" i="59"/>
  <c r="BQ198" i="59" s="1"/>
  <c r="BV100" i="59"/>
  <c r="DI74" i="25"/>
  <c r="DI75" i="25"/>
  <c r="DS12" i="30"/>
  <c r="DS23" i="30"/>
  <c r="BY313" i="59"/>
  <c r="BY123" i="59"/>
  <c r="K123" i="59" s="1"/>
  <c r="BY155" i="59"/>
  <c r="BZ128" i="59"/>
  <c r="CD327" i="59"/>
  <c r="BY129" i="59"/>
  <c r="BY221" i="59"/>
  <c r="K221" i="59" s="1"/>
  <c r="BZ221" i="59" s="1"/>
  <c r="DV23" i="30"/>
  <c r="DV12" i="30"/>
  <c r="AM7" i="25"/>
  <c r="AF558" i="23" s="1"/>
  <c r="AM48" i="30"/>
  <c r="DI69" i="25"/>
  <c r="AG11" i="30"/>
  <c r="AR57" i="59"/>
  <c r="BF194" i="59"/>
  <c r="AM163" i="59"/>
  <c r="H40" i="59"/>
  <c r="CA274" i="59"/>
  <c r="AN54" i="30"/>
  <c r="AN65" i="30" s="1"/>
  <c r="AN73" i="30" s="1"/>
  <c r="J39" i="59"/>
  <c r="CN269" i="59"/>
  <c r="E93" i="59"/>
  <c r="CD313" i="59"/>
  <c r="AQ52" i="59"/>
  <c r="E192" i="59"/>
  <c r="BO163" i="59"/>
  <c r="AK45" i="30"/>
  <c r="AK78" i="30" s="1"/>
  <c r="N6" i="52"/>
  <c r="N21" i="52" s="1"/>
  <c r="N8" i="53"/>
  <c r="BX178" i="59"/>
  <c r="BX179" i="59" s="1"/>
  <c r="AS13" i="31"/>
  <c r="DH78" i="25"/>
  <c r="BC57" i="59"/>
  <c r="CZ178" i="59"/>
  <c r="DD178" i="59" s="1"/>
  <c r="CZ170" i="59"/>
  <c r="CT120" i="85"/>
  <c r="CT114" i="85"/>
  <c r="U113" i="85"/>
  <c r="U119" i="85"/>
  <c r="CT125" i="85"/>
  <c r="U125" i="85" s="1"/>
  <c r="CU125" i="85" s="1"/>
  <c r="BR60" i="85"/>
  <c r="BM63" i="85"/>
  <c r="BY102" i="85"/>
  <c r="BK53" i="85"/>
  <c r="M96" i="85"/>
  <c r="N84" i="85"/>
  <c r="N85" i="85" s="1"/>
  <c r="G50" i="95"/>
  <c r="L105" i="73"/>
  <c r="DJ67" i="23"/>
  <c r="AK84" i="25"/>
  <c r="N146" i="31"/>
  <c r="R100" i="31"/>
  <c r="Q102" i="31"/>
  <c r="X101" i="31"/>
  <c r="C104" i="31"/>
  <c r="D128" i="31"/>
  <c r="D129" i="31" s="1"/>
  <c r="B129" i="31"/>
  <c r="C130" i="31" s="1"/>
  <c r="E135" i="31"/>
  <c r="E112" i="31" s="1"/>
  <c r="F108" i="31"/>
  <c r="C135" i="31"/>
  <c r="G112" i="31"/>
  <c r="D104" i="31"/>
  <c r="E128" i="31"/>
  <c r="E129" i="31" s="1"/>
  <c r="R103" i="30"/>
  <c r="AA111" i="20"/>
  <c r="AA156" i="20"/>
  <c r="AA168" i="20" s="1"/>
  <c r="S86" i="30"/>
  <c r="AE6" i="20"/>
  <c r="AE111" i="20" s="1"/>
  <c r="T20" i="73"/>
  <c r="BX86" i="30"/>
  <c r="BX87" i="30" s="1"/>
  <c r="P86" i="30"/>
  <c r="P90" i="30" s="1"/>
  <c r="J18" i="73"/>
  <c r="F18" i="73"/>
  <c r="F21" i="73"/>
  <c r="T21" i="73"/>
  <c r="J21" i="73"/>
  <c r="J242" i="30"/>
  <c r="U146" i="31"/>
  <c r="L127" i="31"/>
  <c r="H133" i="31"/>
  <c r="I134" i="31"/>
  <c r="H102" i="31"/>
  <c r="I101" i="31"/>
  <c r="G124" i="31"/>
  <c r="G129" i="31" s="1"/>
  <c r="G130" i="31" s="1"/>
  <c r="E103" i="31"/>
  <c r="BN136" i="30"/>
  <c r="AE107" i="30"/>
  <c r="AF107" i="30" s="1"/>
  <c r="AG107" i="30" s="1"/>
  <c r="AH107" i="30" s="1"/>
  <c r="AI107" i="30" s="1"/>
  <c r="AJ107" i="30" s="1"/>
  <c r="AK107" i="30" s="1"/>
  <c r="AL107" i="30" s="1"/>
  <c r="AM107" i="30" s="1"/>
  <c r="AN107" i="30" s="1"/>
  <c r="AO107" i="30" s="1"/>
  <c r="AP107" i="30" s="1"/>
  <c r="AQ107" i="30" s="1"/>
  <c r="AR107" i="30" s="1"/>
  <c r="AS107" i="30" s="1"/>
  <c r="AT107" i="30" s="1"/>
  <c r="AU107" i="30" s="1"/>
  <c r="AV107" i="30" s="1"/>
  <c r="AW107" i="30" s="1"/>
  <c r="AX107" i="30" s="1"/>
  <c r="DH107" i="30"/>
  <c r="BS107" i="30"/>
  <c r="DT72" i="30"/>
  <c r="DJ30" i="25" s="1"/>
  <c r="DJ26" i="25"/>
  <c r="DJ25" i="25" s="1"/>
  <c r="CL316" i="59"/>
  <c r="CI166" i="59"/>
  <c r="DU64" i="30"/>
  <c r="DW64" i="30" s="1"/>
  <c r="CC166" i="59"/>
  <c r="CN198" i="59"/>
  <c r="DW52" i="30"/>
  <c r="CK194" i="59"/>
  <c r="CK206" i="59" s="1"/>
  <c r="CC194" i="59"/>
  <c r="CC198" i="59" s="1"/>
  <c r="CF211" i="59"/>
  <c r="CB330" i="59"/>
  <c r="CB316" i="59"/>
  <c r="CH194" i="59"/>
  <c r="CH198" i="59" s="1"/>
  <c r="CG166" i="59"/>
  <c r="CC167" i="59"/>
  <c r="BQ211" i="59"/>
  <c r="BR194" i="59"/>
  <c r="BR198" i="59" s="1"/>
  <c r="CL330" i="59"/>
  <c r="CB194" i="59"/>
  <c r="CB211" i="59" s="1"/>
  <c r="CL194" i="59"/>
  <c r="CH167" i="59"/>
  <c r="CM330" i="59"/>
  <c r="CH166" i="59"/>
  <c r="AT15" i="25"/>
  <c r="BV151" i="59"/>
  <c r="BE71" i="73"/>
  <c r="BV122" i="59"/>
  <c r="DX95" i="30" s="1"/>
  <c r="CH312" i="59"/>
  <c r="CH147" i="59" s="1"/>
  <c r="CQ313" i="59"/>
  <c r="CL327" i="59"/>
  <c r="BQ151" i="59"/>
  <c r="CA121" i="59"/>
  <c r="CF121" i="59" s="1"/>
  <c r="EH93" i="30" s="1"/>
  <c r="AH7" i="25"/>
  <c r="AA558" i="23" s="1"/>
  <c r="CL123" i="59"/>
  <c r="CL218" i="59" s="1"/>
  <c r="CL313" i="59"/>
  <c r="DI10" i="25"/>
  <c r="CH151" i="59"/>
  <c r="DL12" i="25"/>
  <c r="DV71" i="30"/>
  <c r="DL16" i="25" s="1"/>
  <c r="DL17" i="25" s="1"/>
  <c r="AQ15" i="25"/>
  <c r="AO63" i="30"/>
  <c r="AV54" i="30"/>
  <c r="AV65" i="30" s="1"/>
  <c r="AV73" i="30" s="1"/>
  <c r="CH150" i="59"/>
  <c r="AN63" i="30"/>
  <c r="O149" i="59"/>
  <c r="BT150" i="59"/>
  <c r="N154" i="59"/>
  <c r="P153" i="59"/>
  <c r="DJ127" i="30"/>
  <c r="CL150" i="59"/>
  <c r="DW51" i="30"/>
  <c r="N149" i="59"/>
  <c r="N157" i="59" s="1"/>
  <c r="K149" i="59"/>
  <c r="K157" i="59" s="1"/>
  <c r="BQ150" i="59"/>
  <c r="J149" i="59"/>
  <c r="BT151" i="59"/>
  <c r="CH326" i="59"/>
  <c r="BY151" i="59"/>
  <c r="M157" i="59"/>
  <c r="I75" i="73"/>
  <c r="I77" i="73" s="1"/>
  <c r="I79" i="73" s="1"/>
  <c r="BH177" i="59"/>
  <c r="BH179" i="59" s="1"/>
  <c r="BH181" i="59" s="1"/>
  <c r="BH183" i="59" s="1"/>
  <c r="DV54" i="30"/>
  <c r="DI11" i="25"/>
  <c r="CD151" i="59"/>
  <c r="CM150" i="59"/>
  <c r="CH177" i="59"/>
  <c r="CH179" i="59" s="1"/>
  <c r="CH181" i="59" s="1"/>
  <c r="BT177" i="59"/>
  <c r="BT179" i="59" s="1"/>
  <c r="BT181" i="59" s="1"/>
  <c r="CU187" i="59"/>
  <c r="CU191" i="59" s="1"/>
  <c r="DD5" i="23" s="1"/>
  <c r="DX94" i="30"/>
  <c r="CD312" i="59"/>
  <c r="CQ314" i="59"/>
  <c r="DX97" i="30"/>
  <c r="CQ145" i="59"/>
  <c r="CQ167" i="59" s="1"/>
  <c r="CU132" i="59"/>
  <c r="CD218" i="59"/>
  <c r="DU46" i="30"/>
  <c r="AL7" i="25"/>
  <c r="AE558" i="23" s="1"/>
  <c r="CF312" i="59"/>
  <c r="CF147" i="59" s="1"/>
  <c r="BV218" i="59"/>
  <c r="BJ72" i="73"/>
  <c r="DZ98" i="30"/>
  <c r="CQ159" i="59"/>
  <c r="BR126" i="59"/>
  <c r="CK327" i="59"/>
  <c r="BW126" i="59"/>
  <c r="DT97" i="30"/>
  <c r="DT130" i="30" s="1"/>
  <c r="DK10" i="25"/>
  <c r="CB126" i="59"/>
  <c r="CH126" i="59"/>
  <c r="EJ97" i="30"/>
  <c r="DL10" i="25"/>
  <c r="BI75" i="73"/>
  <c r="BI77" i="73" s="1"/>
  <c r="CV132" i="59"/>
  <c r="CQ129" i="59"/>
  <c r="BN70" i="73" s="1"/>
  <c r="R218" i="59"/>
  <c r="S218" i="59" s="1"/>
  <c r="CY218" i="59" s="1"/>
  <c r="AK88" i="30"/>
  <c r="I11" i="31"/>
  <c r="R146" i="31"/>
  <c r="J93" i="31"/>
  <c r="I28" i="31"/>
  <c r="CA8" i="59"/>
  <c r="CA49" i="59" s="1"/>
  <c r="BV12" i="59"/>
  <c r="DS86" i="30"/>
  <c r="DS87" i="30" s="1"/>
  <c r="CQ25" i="59"/>
  <c r="BQ49" i="59"/>
  <c r="DB233" i="59"/>
  <c r="CV25" i="59"/>
  <c r="I233" i="59"/>
  <c r="BP233" i="59" s="1"/>
  <c r="N233" i="59"/>
  <c r="CO233" i="59" s="1"/>
  <c r="DX86" i="30"/>
  <c r="DO103" i="30"/>
  <c r="T24" i="59"/>
  <c r="BC219" i="59"/>
  <c r="AL88" i="30"/>
  <c r="AM88" i="30"/>
  <c r="DT87" i="30"/>
  <c r="DA25" i="59"/>
  <c r="K233" i="59"/>
  <c r="BZ233" i="59" s="1"/>
  <c r="R233" i="59"/>
  <c r="S233" i="59" s="1"/>
  <c r="CY233" i="59" s="1"/>
  <c r="DD71" i="59"/>
  <c r="CU250" i="59"/>
  <c r="CU251" i="59" s="1"/>
  <c r="CW187" i="59"/>
  <c r="CW191" i="59" s="1"/>
  <c r="CW250" i="59" s="1"/>
  <c r="CW251" i="59" s="1"/>
  <c r="AW151" i="59"/>
  <c r="CK326" i="59"/>
  <c r="BH75" i="73"/>
  <c r="BM77" i="73" s="1"/>
  <c r="BM78" i="73" s="1"/>
  <c r="CL326" i="59"/>
  <c r="AM45" i="30"/>
  <c r="CG312" i="59"/>
  <c r="CG147" i="59" s="1"/>
  <c r="BL218" i="59"/>
  <c r="BQ122" i="59"/>
  <c r="DS97" i="30"/>
  <c r="DS130" i="30" s="1"/>
  <c r="CG218" i="59"/>
  <c r="CK313" i="59"/>
  <c r="CY221" i="59"/>
  <c r="EC97" i="30"/>
  <c r="EH98" i="30" s="1"/>
  <c r="AT7" i="25"/>
  <c r="AM558" i="23" s="1"/>
  <c r="AR45" i="30"/>
  <c r="AR241" i="30" s="1"/>
  <c r="AM46" i="30"/>
  <c r="DP95" i="30"/>
  <c r="DP125" i="30" s="1"/>
  <c r="DP123" i="30" s="1"/>
  <c r="DP131" i="30" s="1"/>
  <c r="CF326" i="59"/>
  <c r="CG151" i="59"/>
  <c r="CP313" i="59"/>
  <c r="CP132" i="59"/>
  <c r="CK155" i="59"/>
  <c r="CA218" i="59"/>
  <c r="DM7" i="25"/>
  <c r="L221" i="59"/>
  <c r="CP145" i="59"/>
  <c r="J218" i="59"/>
  <c r="BU218" i="59" s="1"/>
  <c r="CK218" i="59"/>
  <c r="CP129" i="59"/>
  <c r="BM70" i="73" s="1"/>
  <c r="BM69" i="73" s="1"/>
  <c r="BW121" i="59"/>
  <c r="BW122" i="59" s="1"/>
  <c r="DY95" i="30" s="1"/>
  <c r="DK18" i="25"/>
  <c r="CP327" i="59"/>
  <c r="CA126" i="59"/>
  <c r="BI71" i="73"/>
  <c r="EX98" i="30"/>
  <c r="J123" i="59"/>
  <c r="BV126" i="59"/>
  <c r="CN128" i="59"/>
  <c r="CN123" i="59" s="1"/>
  <c r="CA151" i="59"/>
  <c r="CW132" i="59"/>
  <c r="CB8" i="59"/>
  <c r="ED86" i="30" s="1"/>
  <c r="ED90" i="30" s="1"/>
  <c r="BW49" i="59"/>
  <c r="BW12" i="59"/>
  <c r="DY86" i="30"/>
  <c r="DY90" i="30" s="1"/>
  <c r="P233" i="59"/>
  <c r="CL25" i="59"/>
  <c r="BV49" i="59"/>
  <c r="BM231" i="59"/>
  <c r="BL219" i="59"/>
  <c r="BR49" i="59"/>
  <c r="CC233" i="59"/>
  <c r="CB233" i="59"/>
  <c r="G87" i="31"/>
  <c r="G93" i="31"/>
  <c r="X146" i="31"/>
  <c r="AA30" i="31"/>
  <c r="G11" i="31"/>
  <c r="G95" i="31" s="1"/>
  <c r="L45" i="85"/>
  <c r="R20" i="73"/>
  <c r="N20" i="73"/>
  <c r="R21" i="73"/>
  <c r="H21" i="73"/>
  <c r="L87" i="31"/>
  <c r="U10" i="62"/>
  <c r="L12" i="62"/>
  <c r="V10" i="62" s="1"/>
  <c r="AE158" i="20"/>
  <c r="F69" i="95"/>
  <c r="AC158" i="20"/>
  <c r="K69" i="95"/>
  <c r="K83" i="95" s="1"/>
  <c r="I79" i="95"/>
  <c r="Z158" i="20"/>
  <c r="Z164" i="20" s="1"/>
  <c r="Y158" i="20"/>
  <c r="X164" i="20"/>
  <c r="R69" i="95"/>
  <c r="R83" i="95" s="1"/>
  <c r="U150" i="31"/>
  <c r="U157" i="31" s="1"/>
  <c r="AB193" i="31"/>
  <c r="AC151" i="23"/>
  <c r="AE171" i="31"/>
  <c r="AB171" i="31"/>
  <c r="V191" i="31"/>
  <c r="X190" i="31"/>
  <c r="O146" i="31"/>
  <c r="K45" i="85"/>
  <c r="S150" i="31"/>
  <c r="S157" i="31" s="1"/>
  <c r="L147" i="73"/>
  <c r="J72" i="23"/>
  <c r="CH114" i="59"/>
  <c r="CH116" i="59" s="1"/>
  <c r="CV88" i="59"/>
  <c r="CG114" i="59"/>
  <c r="CG116" i="59" s="1"/>
  <c r="H112" i="59"/>
  <c r="BK112" i="59" s="1"/>
  <c r="CW99" i="59"/>
  <c r="CW101" i="59" s="1"/>
  <c r="BP142" i="59"/>
  <c r="DV45" i="30"/>
  <c r="DV48" i="30" s="1"/>
  <c r="CS146" i="59"/>
  <c r="CI150" i="59"/>
  <c r="E77" i="73"/>
  <c r="E79" i="73" s="1"/>
  <c r="N178" i="59"/>
  <c r="BW150" i="59"/>
  <c r="BC84" i="59"/>
  <c r="BM100" i="59"/>
  <c r="H170" i="59"/>
  <c r="CO171" i="59"/>
  <c r="BI105" i="59"/>
  <c r="CR181" i="59"/>
  <c r="CW182" i="59" s="1"/>
  <c r="J71" i="73"/>
  <c r="J72" i="73"/>
  <c r="CS191" i="59"/>
  <c r="BD72" i="73"/>
  <c r="CS183" i="59"/>
  <c r="CV191" i="59"/>
  <c r="CK312" i="59"/>
  <c r="CK147" i="59" s="1"/>
  <c r="CP126" i="59"/>
  <c r="BM45" i="73" s="1"/>
  <c r="DL97" i="30"/>
  <c r="BW218" i="59"/>
  <c r="DJ10" i="25"/>
  <c r="BS69" i="73"/>
  <c r="DJ8" i="25"/>
  <c r="DU98" i="30"/>
  <c r="AO7" i="25"/>
  <c r="AH558" i="23" s="1"/>
  <c r="DV46" i="30"/>
  <c r="BS122" i="59"/>
  <c r="BQ126" i="59"/>
  <c r="BL151" i="59"/>
  <c r="DW42" i="30"/>
  <c r="ED97" i="30"/>
  <c r="EI98" i="30" s="1"/>
  <c r="CB312" i="59"/>
  <c r="DY97" i="30"/>
  <c r="CR132" i="59"/>
  <c r="CV146" i="59"/>
  <c r="CK151" i="59"/>
  <c r="BW312" i="59"/>
  <c r="BW151" i="59"/>
  <c r="BJ122" i="59"/>
  <c r="DL95" i="30" s="1"/>
  <c r="BS71" i="73"/>
  <c r="DQ97" i="30"/>
  <c r="BX121" i="59"/>
  <c r="I123" i="59"/>
  <c r="BP123" i="59" s="1"/>
  <c r="BL122" i="59"/>
  <c r="DN95" i="30" s="1"/>
  <c r="CB151" i="59"/>
  <c r="BJ75" i="73"/>
  <c r="BJ77" i="73" s="1"/>
  <c r="CM327" i="59"/>
  <c r="CG126" i="59"/>
  <c r="CR145" i="59"/>
  <c r="BR151" i="59"/>
  <c r="Q218" i="59"/>
  <c r="CT218" i="59" s="1"/>
  <c r="CX146" i="59"/>
  <c r="EM97" i="30"/>
  <c r="BR122" i="59"/>
  <c r="CG326" i="59"/>
  <c r="CB326" i="59"/>
  <c r="CM313" i="59"/>
  <c r="CR129" i="59"/>
  <c r="BO70" i="73" s="1"/>
  <c r="W71" i="59"/>
  <c r="Q233" i="59"/>
  <c r="CT233" i="59" s="1"/>
  <c r="O150" i="31"/>
  <c r="O157" i="31" s="1"/>
  <c r="CM206" i="59"/>
  <c r="BQ146" i="59"/>
  <c r="BQ167" i="59"/>
  <c r="BV167" i="59"/>
  <c r="BV316" i="59"/>
  <c r="BV187" i="59"/>
  <c r="CA330" i="59"/>
  <c r="BV146" i="59"/>
  <c r="AV142" i="59"/>
  <c r="CN316" i="59"/>
  <c r="BO222" i="59"/>
  <c r="I222" i="59" s="1"/>
  <c r="BP222" i="59" s="1"/>
  <c r="BL163" i="59"/>
  <c r="CF146" i="59"/>
  <c r="CA146" i="59"/>
  <c r="AQ142" i="59"/>
  <c r="CC330" i="59"/>
  <c r="BV143" i="59"/>
  <c r="BQ163" i="59"/>
  <c r="BB143" i="59"/>
  <c r="BW315" i="59"/>
  <c r="BW143" i="59"/>
  <c r="BR145" i="59"/>
  <c r="BV315" i="59"/>
  <c r="CA143" i="59"/>
  <c r="DJ21" i="25"/>
  <c r="DJ32" i="25" s="1"/>
  <c r="DS43" i="30"/>
  <c r="BV222" i="59"/>
  <c r="K222" i="59" s="1"/>
  <c r="BZ222" i="59" s="1"/>
  <c r="BQ222" i="59"/>
  <c r="J222" i="59" s="1"/>
  <c r="BU222" i="59" s="1"/>
  <c r="CI167" i="59"/>
  <c r="DT45" i="30"/>
  <c r="DT48" i="30" s="1"/>
  <c r="BE163" i="59"/>
  <c r="BE143" i="59"/>
  <c r="BT143" i="59"/>
  <c r="CF316" i="59"/>
  <c r="CF330" i="59"/>
  <c r="BQ143" i="59"/>
  <c r="BL143" i="59"/>
  <c r="CA167" i="59"/>
  <c r="DI21" i="25"/>
  <c r="CI187" i="59"/>
  <c r="CI191" i="59" s="1"/>
  <c r="CA315" i="59"/>
  <c r="BR143" i="59"/>
  <c r="BV163" i="59"/>
  <c r="AW145" i="59"/>
  <c r="BJ143" i="59"/>
  <c r="CA316" i="59"/>
  <c r="BA142" i="59"/>
  <c r="BU142" i="59"/>
  <c r="AR163" i="59"/>
  <c r="AW163" i="59"/>
  <c r="BZ142" i="59"/>
  <c r="BR163" i="59"/>
  <c r="H72" i="73"/>
  <c r="H71" i="73"/>
  <c r="CM123" i="59"/>
  <c r="J221" i="59"/>
  <c r="BU221" i="59" s="1"/>
  <c r="BH105" i="59"/>
  <c r="Q87" i="59"/>
  <c r="CU115" i="59"/>
  <c r="CV92" i="59"/>
  <c r="M112" i="59"/>
  <c r="CJ112" i="59" s="1"/>
  <c r="CW322" i="59"/>
  <c r="CW89" i="59"/>
  <c r="CQ92" i="59"/>
  <c r="CV322" i="59"/>
  <c r="CV307" i="59"/>
  <c r="CQ322" i="59"/>
  <c r="CU321" i="59"/>
  <c r="CP77" i="59"/>
  <c r="Q91" i="59"/>
  <c r="CQ309" i="59"/>
  <c r="CJ106" i="59"/>
  <c r="CW88" i="59"/>
  <c r="CV308" i="59"/>
  <c r="CV99" i="59"/>
  <c r="CQ88" i="59"/>
  <c r="CU76" i="59"/>
  <c r="CQ308" i="59"/>
  <c r="CP321" i="59"/>
  <c r="CX88" i="59"/>
  <c r="R91" i="59"/>
  <c r="CV77" i="59"/>
  <c r="CU307" i="59"/>
  <c r="CP202" i="59"/>
  <c r="CQ99" i="59"/>
  <c r="CQ310" i="59" s="1"/>
  <c r="EL88" i="30"/>
  <c r="AJ237" i="30"/>
  <c r="Q24" i="59"/>
  <c r="J233" i="59"/>
  <c r="BU233" i="59" s="1"/>
  <c r="P8" i="23"/>
  <c r="BH8" i="23"/>
  <c r="BH7" i="23" s="1"/>
  <c r="L475" i="23"/>
  <c r="L503" i="23" s="1"/>
  <c r="M8" i="23"/>
  <c r="E341" i="60"/>
  <c r="I9" i="53"/>
  <c r="H13" i="53"/>
  <c r="BH81" i="23"/>
  <c r="BH44" i="23"/>
  <c r="BH60" i="23" s="1"/>
  <c r="BG14" i="23"/>
  <c r="N493" i="23"/>
  <c r="N514" i="23"/>
  <c r="R514" i="23" s="1"/>
  <c r="S514" i="23" s="1"/>
  <c r="T514" i="23" s="1"/>
  <c r="U514" i="23" s="1"/>
  <c r="V514" i="23" s="1"/>
  <c r="W514" i="23" s="1"/>
  <c r="Z514" i="23" s="1"/>
  <c r="AD514" i="23" s="1"/>
  <c r="AE514" i="23" s="1"/>
  <c r="AF514" i="23" s="1"/>
  <c r="AG514" i="23" s="1"/>
  <c r="AH514" i="23" s="1"/>
  <c r="AI514" i="23" s="1"/>
  <c r="AJ514" i="23" s="1"/>
  <c r="AK514" i="23" s="1"/>
  <c r="AL514" i="23" s="1"/>
  <c r="AM514" i="23" s="1"/>
  <c r="AH282" i="23"/>
  <c r="AH689" i="23" s="1"/>
  <c r="AG689" i="23"/>
  <c r="AD62" i="41"/>
  <c r="AQ205" i="30"/>
  <c r="AQ207" i="30" s="1"/>
  <c r="AP205" i="30"/>
  <c r="AP207" i="30" s="1"/>
  <c r="X32" i="85" s="1"/>
  <c r="AL57" i="25" s="1"/>
  <c r="AP179" i="30" s="1"/>
  <c r="R10" i="62"/>
  <c r="AE62" i="41"/>
  <c r="AB71" i="41"/>
  <c r="AA62" i="41"/>
  <c r="AC62" i="41"/>
  <c r="AB62" i="41"/>
  <c r="Y62" i="41"/>
  <c r="P62" i="41"/>
  <c r="P99" i="41"/>
  <c r="F44" i="38" s="1"/>
  <c r="F61" i="38" s="1"/>
  <c r="T62" i="41"/>
  <c r="Q62" i="41"/>
  <c r="U94" i="41"/>
  <c r="O99" i="41"/>
  <c r="E44" i="38" s="1"/>
  <c r="E61" i="38" s="1"/>
  <c r="O62" i="41"/>
  <c r="O63" i="41" s="1"/>
  <c r="V62" i="41"/>
  <c r="H5" i="38"/>
  <c r="N30" i="38"/>
  <c r="AZ13" i="41"/>
  <c r="AZ8" i="41"/>
  <c r="AD151" i="23"/>
  <c r="CZ185" i="59"/>
  <c r="BP6" i="31"/>
  <c r="J50" i="53"/>
  <c r="BT147" i="73"/>
  <c r="BT146" i="73"/>
  <c r="I54" i="53"/>
  <c r="H15" i="53"/>
  <c r="H56" i="53"/>
  <c r="BO146" i="73"/>
  <c r="BO147" i="73"/>
  <c r="W96" i="25"/>
  <c r="T97" i="25"/>
  <c r="T98" i="25" s="1"/>
  <c r="CP264" i="59"/>
  <c r="BF6" i="31"/>
  <c r="CK264" i="59"/>
  <c r="BA6" i="31"/>
  <c r="CF264" i="59"/>
  <c r="CA264" i="59"/>
  <c r="AQ6" i="31"/>
  <c r="BJ146" i="73"/>
  <c r="BJ147" i="73"/>
  <c r="I145" i="73"/>
  <c r="BE144" i="73"/>
  <c r="BE147" i="73"/>
  <c r="H145" i="73"/>
  <c r="BE146" i="73"/>
  <c r="I56" i="53"/>
  <c r="I15" i="53"/>
  <c r="ER188" i="30"/>
  <c r="ER85" i="30"/>
  <c r="EC85" i="30"/>
  <c r="EC188" i="30"/>
  <c r="DX188" i="30"/>
  <c r="DX85" i="30"/>
  <c r="DS40" i="30"/>
  <c r="DS85" i="30"/>
  <c r="DN188" i="30"/>
  <c r="DN40" i="30"/>
  <c r="ER84" i="30"/>
  <c r="ER187" i="30"/>
  <c r="J147" i="73"/>
  <c r="L48" i="56"/>
  <c r="M48" i="56"/>
  <c r="J48" i="56"/>
  <c r="BM6" i="31"/>
  <c r="CW264" i="59"/>
  <c r="CW185" i="59"/>
  <c r="BR147" i="73"/>
  <c r="BR146" i="73"/>
  <c r="BP146" i="73"/>
  <c r="BP144" i="73"/>
  <c r="BP147" i="73"/>
  <c r="J15" i="53"/>
  <c r="J56" i="53"/>
  <c r="M50" i="53"/>
  <c r="L50" i="53"/>
  <c r="H17" i="62"/>
  <c r="R17" i="62" s="1"/>
  <c r="H31" i="63"/>
  <c r="D18" i="62"/>
  <c r="N18" i="62" s="1"/>
  <c r="D31" i="63"/>
  <c r="I48" i="56"/>
  <c r="EF188" i="30"/>
  <c r="EF85" i="30"/>
  <c r="G48" i="56"/>
  <c r="H48" i="56"/>
  <c r="FD85" i="30"/>
  <c r="FD188" i="30"/>
  <c r="O9" i="56"/>
  <c r="F51" i="62"/>
  <c r="P51" i="62" s="1"/>
  <c r="BS147" i="73"/>
  <c r="BS144" i="73"/>
  <c r="BF146" i="73"/>
  <c r="K48" i="56"/>
  <c r="P98" i="25"/>
  <c r="Q98" i="25"/>
  <c r="EJ85" i="30"/>
  <c r="Y156" i="20"/>
  <c r="Y111" i="20"/>
  <c r="BM146" i="73"/>
  <c r="CX185" i="59"/>
  <c r="CX264" i="59"/>
  <c r="BN6" i="31"/>
  <c r="R26" i="95"/>
  <c r="AL6" i="20"/>
  <c r="CU264" i="59"/>
  <c r="BK6" i="31"/>
  <c r="H34" i="56"/>
  <c r="V150" i="31"/>
  <c r="V157" i="31" s="1"/>
  <c r="R150" i="31"/>
  <c r="R157" i="31" s="1"/>
  <c r="N150" i="31"/>
  <c r="N157" i="31" s="1"/>
  <c r="AM194" i="30"/>
  <c r="CO14" i="23"/>
  <c r="CO17" i="23"/>
  <c r="BH83" i="23"/>
  <c r="BH85" i="23" s="1"/>
  <c r="I41" i="25"/>
  <c r="CM78" i="25"/>
  <c r="E190" i="59"/>
  <c r="BF75" i="73"/>
  <c r="CI221" i="59"/>
  <c r="M221" i="59" s="1"/>
  <c r="CI123" i="59"/>
  <c r="CI313" i="59"/>
  <c r="CI155" i="59"/>
  <c r="CJ128" i="59"/>
  <c r="BH40" i="23"/>
  <c r="BH663" i="23"/>
  <c r="CF199" i="59"/>
  <c r="BG122" i="59"/>
  <c r="BG218" i="59"/>
  <c r="DI97" i="30"/>
  <c r="BL126" i="59"/>
  <c r="CR79" i="25"/>
  <c r="BG5" i="23"/>
  <c r="AX191" i="59"/>
  <c r="DK127" i="30"/>
  <c r="DK130" i="30" s="1"/>
  <c r="BI151" i="59"/>
  <c r="BI177" i="59"/>
  <c r="BI179" i="59" s="1"/>
  <c r="CC324" i="59"/>
  <c r="CC100" i="59"/>
  <c r="CC310" i="59"/>
  <c r="BX101" i="59"/>
  <c r="BX194" i="59"/>
  <c r="BT46" i="59"/>
  <c r="BT187" i="59"/>
  <c r="BT191" i="59" s="1"/>
  <c r="BY46" i="59"/>
  <c r="K24" i="52"/>
  <c r="BH38" i="23"/>
  <c r="BH37" i="23" s="1"/>
  <c r="CC39" i="25"/>
  <c r="CA132" i="30"/>
  <c r="CA96" i="30"/>
  <c r="CA97" i="30"/>
  <c r="AT191" i="59"/>
  <c r="CL80" i="25"/>
  <c r="CQ80" i="25"/>
  <c r="CN21" i="25"/>
  <c r="BT21" i="25"/>
  <c r="CB82" i="25"/>
  <c r="BG149" i="59"/>
  <c r="AI64" i="25"/>
  <c r="AA559" i="23"/>
  <c r="AB28" i="25"/>
  <c r="AV194" i="59"/>
  <c r="CN23" i="25"/>
  <c r="BY21" i="25"/>
  <c r="CC95" i="30"/>
  <c r="BP29" i="25"/>
  <c r="O20" i="32"/>
  <c r="BQ77" i="25"/>
  <c r="CW71" i="25"/>
  <c r="BT101" i="59"/>
  <c r="C11" i="59"/>
  <c r="CI23" i="25"/>
  <c r="BA33" i="59"/>
  <c r="F82" i="25"/>
  <c r="BZ77" i="25"/>
  <c r="E77" i="25"/>
  <c r="AM54" i="30"/>
  <c r="AH9" i="25"/>
  <c r="M221" i="60"/>
  <c r="I81" i="63" s="1"/>
  <c r="I54" i="63" s="1"/>
  <c r="AA175" i="23"/>
  <c r="Z302" i="23"/>
  <c r="AF204" i="23"/>
  <c r="AG204" i="23" s="1"/>
  <c r="AH6" i="20"/>
  <c r="N26" i="95"/>
  <c r="AD6" i="20"/>
  <c r="Q72" i="33"/>
  <c r="R72" i="33" s="1"/>
  <c r="S72" i="33" s="1"/>
  <c r="T72" i="33" s="1"/>
  <c r="U72" i="33" s="1"/>
  <c r="V72" i="33" s="1"/>
  <c r="W72" i="33" s="1"/>
  <c r="X72" i="33" s="1"/>
  <c r="Y72" i="33" s="1"/>
  <c r="Z72" i="33" s="1"/>
  <c r="AA72" i="33" s="1"/>
  <c r="AB72" i="33" s="1"/>
  <c r="AC72" i="33" s="1"/>
  <c r="AD72" i="33" s="1"/>
  <c r="AE72" i="33" s="1"/>
  <c r="AF72" i="33" s="1"/>
  <c r="AG72" i="33" s="1"/>
  <c r="AH72" i="33" s="1"/>
  <c r="AI72" i="33" s="1"/>
  <c r="AJ72" i="33" s="1"/>
  <c r="AK72" i="33" s="1"/>
  <c r="AL72" i="33" s="1"/>
  <c r="J11" i="31"/>
  <c r="BN23" i="31"/>
  <c r="BP40" i="73"/>
  <c r="BD127" i="73"/>
  <c r="BR40" i="73"/>
  <c r="BR39" i="73" s="1"/>
  <c r="AY127" i="73"/>
  <c r="G127" i="73" s="1"/>
  <c r="G126" i="73"/>
  <c r="S118" i="73"/>
  <c r="R120" i="73"/>
  <c r="R119" i="73"/>
  <c r="BT40" i="73"/>
  <c r="R147" i="73"/>
  <c r="S145" i="73"/>
  <c r="BP94" i="73"/>
  <c r="BP93" i="73"/>
  <c r="BY125" i="73"/>
  <c r="BT126" i="73"/>
  <c r="BT127" i="73" s="1"/>
  <c r="BH94" i="73"/>
  <c r="BM92" i="73"/>
  <c r="BH93" i="73"/>
  <c r="CK266" i="59"/>
  <c r="T53" i="73"/>
  <c r="AI101" i="33" s="1"/>
  <c r="S46" i="73"/>
  <c r="T12" i="73"/>
  <c r="R53" i="73"/>
  <c r="AG101" i="33" s="1"/>
  <c r="Q24" i="73"/>
  <c r="P46" i="73"/>
  <c r="O46" i="73"/>
  <c r="N53" i="73"/>
  <c r="AC101" i="33" s="1"/>
  <c r="BT33" i="73"/>
  <c r="BR33" i="73"/>
  <c r="BZ24" i="73"/>
  <c r="K124" i="73"/>
  <c r="AA84" i="41" s="1"/>
  <c r="BM33" i="73"/>
  <c r="BK33" i="73"/>
  <c r="D12" i="73"/>
  <c r="BP33" i="73"/>
  <c r="BJ33" i="73"/>
  <c r="BX69" i="73"/>
  <c r="E46" i="73"/>
  <c r="V61" i="32" s="1"/>
  <c r="G12" i="73"/>
  <c r="BZ97" i="73"/>
  <c r="BU69" i="73"/>
  <c r="BN33" i="73"/>
  <c r="BH33" i="73"/>
  <c r="BY69" i="73"/>
  <c r="BW69" i="73"/>
  <c r="F46" i="73"/>
  <c r="W61" i="32" s="1"/>
  <c r="E12" i="73"/>
  <c r="L18" i="62"/>
  <c r="V18" i="62" s="1"/>
  <c r="S18" i="62"/>
  <c r="Z620" i="23"/>
  <c r="Z575" i="23"/>
  <c r="Z578" i="23"/>
  <c r="DM406" i="23"/>
  <c r="AG375" i="23"/>
  <c r="AF375" i="23"/>
  <c r="DD408" i="23"/>
  <c r="DH404" i="23"/>
  <c r="DH405" i="23"/>
  <c r="AH422" i="23"/>
  <c r="AI422" i="23" s="1"/>
  <c r="AJ422" i="23" s="1"/>
  <c r="DK375" i="23"/>
  <c r="DM375" i="23" s="1"/>
  <c r="DH375" i="23"/>
  <c r="AG352" i="23"/>
  <c r="AH352" i="23" s="1"/>
  <c r="AI352" i="23" s="1"/>
  <c r="AJ352" i="23" s="1"/>
  <c r="AK352" i="23" s="1"/>
  <c r="AL352" i="23" s="1"/>
  <c r="AM352" i="23" s="1"/>
  <c r="AF407" i="23"/>
  <c r="DM407" i="23"/>
  <c r="DH407" i="23"/>
  <c r="AE354" i="23"/>
  <c r="AE409" i="23" s="1"/>
  <c r="AD409" i="23"/>
  <c r="AG353" i="23"/>
  <c r="AG408" i="23" s="1"/>
  <c r="AF408" i="23"/>
  <c r="DE408" i="23"/>
  <c r="AJ406" i="23"/>
  <c r="AK406" i="23"/>
  <c r="AH337" i="23"/>
  <c r="AF348" i="23"/>
  <c r="AE403" i="23"/>
  <c r="D95" i="95"/>
  <c r="D109" i="95" s="1"/>
  <c r="D110" i="95" s="1"/>
  <c r="P150" i="31"/>
  <c r="P157" i="31" s="1"/>
  <c r="F95" i="95"/>
  <c r="F109" i="95" s="1"/>
  <c r="AD193" i="31"/>
  <c r="W190" i="31"/>
  <c r="K93" i="31"/>
  <c r="Y190" i="31"/>
  <c r="Z193" i="31"/>
  <c r="O45" i="85"/>
  <c r="Z190" i="31"/>
  <c r="E95" i="95"/>
  <c r="L93" i="31"/>
  <c r="AC193" i="31"/>
  <c r="G97" i="95"/>
  <c r="S21" i="73"/>
  <c r="H20" i="73"/>
  <c r="U194" i="31"/>
  <c r="V194" i="31"/>
  <c r="X111" i="20"/>
  <c r="X156" i="20"/>
  <c r="K151" i="30"/>
  <c r="K90" i="30"/>
  <c r="L86" i="30"/>
  <c r="K101" i="30"/>
  <c r="BI86" i="30"/>
  <c r="K120" i="30"/>
  <c r="N87" i="30"/>
  <c r="I109" i="30"/>
  <c r="I161" i="30" s="1"/>
  <c r="G53" i="31" s="1"/>
  <c r="G52" i="31" s="1"/>
  <c r="BK39" i="73"/>
  <c r="BK41" i="73"/>
  <c r="K9" i="53"/>
  <c r="H341" i="60"/>
  <c r="D85" i="63" s="1"/>
  <c r="K81" i="63"/>
  <c r="CV157" i="59"/>
  <c r="BO75" i="73"/>
  <c r="CR313" i="59"/>
  <c r="CR327" i="59"/>
  <c r="Q153" i="59"/>
  <c r="CR155" i="59"/>
  <c r="CW313" i="59"/>
  <c r="CR154" i="59"/>
  <c r="AI16" i="30"/>
  <c r="AJ18" i="30" s="1"/>
  <c r="E83" i="63"/>
  <c r="P18" i="52"/>
  <c r="P17" i="52"/>
  <c r="Q18" i="52"/>
  <c r="CL274" i="59"/>
  <c r="CL269" i="59"/>
  <c r="CQ269" i="59"/>
  <c r="Y302" i="59"/>
  <c r="AC300" i="59"/>
  <c r="AH67" i="32"/>
  <c r="AE85" i="25"/>
  <c r="M7" i="53"/>
  <c r="AP155" i="59"/>
  <c r="AU154" i="59"/>
  <c r="AQ153" i="59"/>
  <c r="CR187" i="59"/>
  <c r="CW46" i="59"/>
  <c r="CR101" i="59"/>
  <c r="CR324" i="59"/>
  <c r="CR310" i="59"/>
  <c r="CR46" i="59"/>
  <c r="CQ116" i="59"/>
  <c r="CQ46" i="59"/>
  <c r="AP196" i="59"/>
  <c r="AQ196" i="59" s="1"/>
  <c r="BV310" i="59"/>
  <c r="BQ46" i="59"/>
  <c r="BQ101" i="59"/>
  <c r="BQ187" i="59"/>
  <c r="BQ191" i="59" s="1"/>
  <c r="BV46" i="59"/>
  <c r="J107" i="59"/>
  <c r="BT113" i="59"/>
  <c r="AN84" i="25"/>
  <c r="Y196" i="59"/>
  <c r="D81" i="63"/>
  <c r="CW149" i="59"/>
  <c r="DB174" i="59"/>
  <c r="BG124" i="59"/>
  <c r="BB124" i="59"/>
  <c r="BB123" i="59"/>
  <c r="BM170" i="59"/>
  <c r="BL170" i="59"/>
  <c r="BN170" i="59"/>
  <c r="T221" i="59"/>
  <c r="DD221" i="59" s="1"/>
  <c r="CU151" i="59"/>
  <c r="AV45" i="30"/>
  <c r="AV241" i="30" s="1"/>
  <c r="BM30" i="59"/>
  <c r="BR33" i="59"/>
  <c r="DO108" i="30"/>
  <c r="CB210" i="59"/>
  <c r="O93" i="59"/>
  <c r="DT65" i="30"/>
  <c r="DT56" i="30"/>
  <c r="DT29" i="30"/>
  <c r="DJ73" i="25" s="1"/>
  <c r="DJ69" i="25"/>
  <c r="F75" i="73"/>
  <c r="F77" i="73" s="1"/>
  <c r="F79" i="73" s="1"/>
  <c r="AH51" i="30"/>
  <c r="K155" i="59"/>
  <c r="BZ153" i="59"/>
  <c r="K154" i="59"/>
  <c r="L327" i="59"/>
  <c r="G75" i="73"/>
  <c r="AI51" i="30"/>
  <c r="I221" i="60"/>
  <c r="L155" i="59"/>
  <c r="L154" i="59"/>
  <c r="N313" i="59"/>
  <c r="AJ51" i="30"/>
  <c r="M154" i="59"/>
  <c r="N327" i="59"/>
  <c r="O153" i="59"/>
  <c r="M327" i="59"/>
  <c r="CJ153" i="59"/>
  <c r="M155" i="59"/>
  <c r="AU162" i="59"/>
  <c r="AQ161" i="59"/>
  <c r="AP163" i="59"/>
  <c r="BN30" i="59"/>
  <c r="BS33" i="59"/>
  <c r="BN83" i="59"/>
  <c r="DP108" i="30"/>
  <c r="AS124" i="59"/>
  <c r="AX124" i="59"/>
  <c r="BC56" i="59"/>
  <c r="AX56" i="59"/>
  <c r="DN130" i="30"/>
  <c r="BY100" i="59"/>
  <c r="CD324" i="59"/>
  <c r="P23" i="52"/>
  <c r="BB50" i="59"/>
  <c r="AW51" i="59"/>
  <c r="BB224" i="59"/>
  <c r="BG33" i="59"/>
  <c r="AT96" i="59"/>
  <c r="AT97" i="59"/>
  <c r="AK11" i="30"/>
  <c r="R6" i="52"/>
  <c r="R20" i="52" s="1"/>
  <c r="AK22" i="30" s="1"/>
  <c r="DI8" i="25"/>
  <c r="DI14" i="25"/>
  <c r="CE128" i="59"/>
  <c r="CI327" i="59"/>
  <c r="CD129" i="59"/>
  <c r="CI129" i="59"/>
  <c r="BF70" i="73" s="1"/>
  <c r="R302" i="59"/>
  <c r="CY300" i="59"/>
  <c r="W300" i="59"/>
  <c r="BV150" i="59"/>
  <c r="BV312" i="59"/>
  <c r="CA326" i="59"/>
  <c r="CZ174" i="59"/>
  <c r="R170" i="59"/>
  <c r="S170" i="59" s="1"/>
  <c r="G241" i="59"/>
  <c r="G34" i="59"/>
  <c r="CV46" i="59"/>
  <c r="BR100" i="59"/>
  <c r="BW100" i="59"/>
  <c r="AG83" i="25"/>
  <c r="CT195" i="59"/>
  <c r="CK179" i="59"/>
  <c r="CK181" i="59" s="1"/>
  <c r="BF187" i="59"/>
  <c r="D54" i="59"/>
  <c r="D11" i="59"/>
  <c r="D40" i="59"/>
  <c r="D93" i="59"/>
  <c r="AQ39" i="59"/>
  <c r="J157" i="59"/>
  <c r="BX174" i="59"/>
  <c r="BX202" i="59" s="1"/>
  <c r="BX180" i="59"/>
  <c r="AS40" i="59"/>
  <c r="AV39" i="59"/>
  <c r="AX40" i="59"/>
  <c r="BD34" i="59"/>
  <c r="AY83" i="59"/>
  <c r="BK203" i="59"/>
  <c r="P9" i="52"/>
  <c r="P10" i="52" s="1"/>
  <c r="D162" i="59"/>
  <c r="CR116" i="59"/>
  <c r="AV63" i="59"/>
  <c r="AX36" i="59"/>
  <c r="AO36" i="59"/>
  <c r="AM97" i="59"/>
  <c r="AQ63" i="59"/>
  <c r="BA52" i="59"/>
  <c r="BV177" i="59"/>
  <c r="BV179" i="59" s="1"/>
  <c r="BV181" i="59" s="1"/>
  <c r="BV183" i="59" s="1"/>
  <c r="CV202" i="59"/>
  <c r="BK52" i="59"/>
  <c r="BJ149" i="59"/>
  <c r="AW92" i="59"/>
  <c r="AS87" i="59"/>
  <c r="CP181" i="59"/>
  <c r="R36" i="59"/>
  <c r="T106" i="59"/>
  <c r="BP203" i="59"/>
  <c r="P88" i="59"/>
  <c r="AV196" i="59"/>
  <c r="J129" i="59"/>
  <c r="E70" i="73" s="1"/>
  <c r="BP95" i="59"/>
  <c r="AN81" i="59"/>
  <c r="DJ31" i="25"/>
  <c r="O10" i="52"/>
  <c r="AS71" i="30"/>
  <c r="AO16" i="25" s="1"/>
  <c r="AO12" i="25"/>
  <c r="AV63" i="30"/>
  <c r="AO9" i="25"/>
  <c r="FA194" i="30"/>
  <c r="H112" i="73"/>
  <c r="D36" i="59"/>
  <c r="AQ30" i="59"/>
  <c r="AO81" i="59"/>
  <c r="AR37" i="59"/>
  <c r="CS143" i="30"/>
  <c r="CJ38" i="25"/>
  <c r="DD106" i="30"/>
  <c r="AW30" i="59"/>
  <c r="AZ36" i="59"/>
  <c r="CY103" i="30"/>
  <c r="CU110" i="30"/>
  <c r="CT144" i="30"/>
  <c r="DB106" i="30"/>
  <c r="CY144" i="30"/>
  <c r="AR15" i="59"/>
  <c r="CO141" i="30"/>
  <c r="AS80" i="59"/>
  <c r="CJ77" i="25"/>
  <c r="CS105" i="30"/>
  <c r="CK35" i="25"/>
  <c r="CZ110" i="30"/>
  <c r="D79" i="59"/>
  <c r="AM79" i="59"/>
  <c r="AT31" i="59"/>
  <c r="CX109" i="30"/>
  <c r="CJ36" i="25"/>
  <c r="CZ106" i="30"/>
  <c r="CV106" i="30"/>
  <c r="W150" i="31"/>
  <c r="W157" i="31" s="1"/>
  <c r="BS8" i="85"/>
  <c r="BX68" i="85"/>
  <c r="BK16" i="85"/>
  <c r="BP68" i="85"/>
  <c r="BU68" i="85" s="1"/>
  <c r="BZ68" i="85" s="1"/>
  <c r="CE68" i="85" s="1"/>
  <c r="BU89" i="85"/>
  <c r="BP104" i="85"/>
  <c r="N102" i="85"/>
  <c r="N99" i="85"/>
  <c r="O98" i="85"/>
  <c r="P98" i="85" s="1"/>
  <c r="Q98" i="85" s="1"/>
  <c r="BN8" i="85"/>
  <c r="BW104" i="85"/>
  <c r="M66" i="85"/>
  <c r="BK63" i="85"/>
  <c r="BA54" i="85"/>
  <c r="BA55" i="85" s="1"/>
  <c r="BK56" i="85"/>
  <c r="BK57" i="85" s="1"/>
  <c r="M87" i="85"/>
  <c r="BP98" i="85"/>
  <c r="M78" i="85"/>
  <c r="BK50" i="85"/>
  <c r="BK54" i="85" s="1"/>
  <c r="N90" i="85"/>
  <c r="M75" i="85"/>
  <c r="N74" i="85"/>
  <c r="BF71" i="85"/>
  <c r="BF72" i="85" s="1"/>
  <c r="BD63" i="85"/>
  <c r="M85" i="85"/>
  <c r="L87" i="85"/>
  <c r="L77" i="85"/>
  <c r="L63" i="85"/>
  <c r="M80" i="85"/>
  <c r="BJ57" i="85"/>
  <c r="M56" i="85"/>
  <c r="S44" i="85"/>
  <c r="T44" i="85" s="1"/>
  <c r="U44" i="85" s="1"/>
  <c r="V44" i="85" s="1"/>
  <c r="W44" i="85" s="1"/>
  <c r="X44" i="85" s="1"/>
  <c r="Y44" i="85" s="1"/>
  <c r="Z44" i="85" s="1"/>
  <c r="AA44" i="85" s="1"/>
  <c r="AB44" i="85" s="1"/>
  <c r="AC44" i="85" s="1"/>
  <c r="AD44" i="85" s="1"/>
  <c r="AE44" i="85" s="1"/>
  <c r="AF44" i="85" s="1"/>
  <c r="AG44" i="85" s="1"/>
  <c r="L56" i="85"/>
  <c r="BD50" i="85"/>
  <c r="BU65" i="85"/>
  <c r="BP63" i="85"/>
  <c r="BJ68" i="85"/>
  <c r="BE8" i="85"/>
  <c r="BN60" i="85"/>
  <c r="BI71" i="85"/>
  <c r="BI63" i="85"/>
  <c r="BI50" i="85"/>
  <c r="BW84" i="85"/>
  <c r="BR101" i="85"/>
  <c r="BJ60" i="85"/>
  <c r="BJ63" i="85" s="1"/>
  <c r="M60" i="85"/>
  <c r="BE63" i="85"/>
  <c r="BE71" i="85"/>
  <c r="BE72" i="85" s="1"/>
  <c r="BE50" i="85"/>
  <c r="BE51" i="85" s="1"/>
  <c r="BN102" i="85"/>
  <c r="O89" i="85"/>
  <c r="BS89" i="85"/>
  <c r="BN104" i="85"/>
  <c r="N65" i="85"/>
  <c r="BO65" i="85"/>
  <c r="BJ52" i="85"/>
  <c r="BC69" i="85"/>
  <c r="BF50" i="85"/>
  <c r="BK51" i="85" s="1"/>
  <c r="BE52" i="85"/>
  <c r="BO84" i="85"/>
  <c r="BN84" i="85"/>
  <c r="L68" i="85"/>
  <c r="BF8" i="85"/>
  <c r="BJ101" i="85"/>
  <c r="BC54" i="85"/>
  <c r="Q49" i="38"/>
  <c r="T146" i="31"/>
  <c r="V146" i="31"/>
  <c r="AD30" i="31"/>
  <c r="Q146" i="31"/>
  <c r="AG22" i="31"/>
  <c r="R148" i="23"/>
  <c r="S128" i="23" s="1"/>
  <c r="R140" i="23"/>
  <c r="R131" i="23"/>
  <c r="R137" i="23"/>
  <c r="R143" i="23"/>
  <c r="R134" i="23"/>
  <c r="M123" i="31"/>
  <c r="M124" i="31" s="1"/>
  <c r="N121" i="31"/>
  <c r="CZ395" i="23"/>
  <c r="DA395" i="23"/>
  <c r="DB395" i="23"/>
  <c r="AC105" i="23"/>
  <c r="DH109" i="23"/>
  <c r="I37" i="63"/>
  <c r="E31" i="63"/>
  <c r="E17" i="62"/>
  <c r="O17" i="62" s="1"/>
  <c r="W114" i="23"/>
  <c r="AC475" i="23"/>
  <c r="AC502" i="23" s="1"/>
  <c r="AC212" i="23" s="1"/>
  <c r="DM8" i="23"/>
  <c r="I477" i="23"/>
  <c r="I554" i="23"/>
  <c r="I553" i="23"/>
  <c r="CY388" i="23"/>
  <c r="DA388" i="23"/>
  <c r="CZ388" i="23"/>
  <c r="C110" i="95"/>
  <c r="DA393" i="23"/>
  <c r="DB393" i="23"/>
  <c r="CZ393" i="23"/>
  <c r="Q39" i="23"/>
  <c r="N656" i="23"/>
  <c r="N660" i="23" s="1"/>
  <c r="N661" i="23" s="1"/>
  <c r="N675" i="23"/>
  <c r="CY389" i="23"/>
  <c r="DB389" i="23"/>
  <c r="DA389" i="23"/>
  <c r="BX26" i="23"/>
  <c r="BX27" i="23" s="1"/>
  <c r="BX31" i="23" s="1"/>
  <c r="BW27" i="23"/>
  <c r="BW31" i="23" s="1"/>
  <c r="E125" i="31"/>
  <c r="D125" i="31"/>
  <c r="BA36" i="31"/>
  <c r="U36" i="31"/>
  <c r="AZ36" i="31" s="1"/>
  <c r="AK463" i="23"/>
  <c r="AJ405" i="23"/>
  <c r="AK452" i="23"/>
  <c r="W423" i="23"/>
  <c r="U606" i="23"/>
  <c r="U597" i="23"/>
  <c r="V601" i="23" s="1"/>
  <c r="V605" i="23" s="1"/>
  <c r="Q111" i="31"/>
  <c r="L140" i="23"/>
  <c r="L137" i="23"/>
  <c r="L134" i="23"/>
  <c r="V429" i="23"/>
  <c r="U382" i="23"/>
  <c r="R31" i="23"/>
  <c r="S9" i="62"/>
  <c r="AH407" i="23"/>
  <c r="AI454" i="23"/>
  <c r="U114" i="23"/>
  <c r="U115" i="23" s="1"/>
  <c r="K131" i="23"/>
  <c r="K140" i="23"/>
  <c r="K134" i="23"/>
  <c r="K143" i="23"/>
  <c r="K137" i="23"/>
  <c r="AC435" i="23"/>
  <c r="AA388" i="23"/>
  <c r="R49" i="53"/>
  <c r="AE12" i="23"/>
  <c r="AD256" i="23"/>
  <c r="AK96" i="25"/>
  <c r="AD71" i="23"/>
  <c r="AK455" i="23"/>
  <c r="E303" i="23"/>
  <c r="F239" i="23"/>
  <c r="AC436" i="23"/>
  <c r="AA389" i="23"/>
  <c r="CC51" i="23"/>
  <c r="CD51" i="23"/>
  <c r="CE51" i="23" s="1"/>
  <c r="V106" i="31"/>
  <c r="AA442" i="23"/>
  <c r="AL159" i="23"/>
  <c r="U376" i="23"/>
  <c r="AI405" i="23"/>
  <c r="AI375" i="23"/>
  <c r="AB159" i="20"/>
  <c r="K110" i="73"/>
  <c r="K112" i="73" s="1"/>
  <c r="R37" i="38"/>
  <c r="S37" i="38"/>
  <c r="O58" i="38"/>
  <c r="CC96" i="30"/>
  <c r="C122" i="59"/>
  <c r="C125" i="59" s="1"/>
  <c r="Z97" i="30"/>
  <c r="Z96" i="30"/>
  <c r="P29" i="38"/>
  <c r="O29" i="38"/>
  <c r="V36" i="40"/>
  <c r="V39" i="40"/>
  <c r="W36" i="40"/>
  <c r="CZ386" i="23"/>
  <c r="DA386" i="23"/>
  <c r="C60" i="73"/>
  <c r="C61" i="73" s="1"/>
  <c r="Y39" i="40"/>
  <c r="CI44" i="25"/>
  <c r="CH46" i="25"/>
  <c r="Z72" i="32"/>
  <c r="C65" i="73"/>
  <c r="C66" i="73" s="1"/>
  <c r="CH42" i="25"/>
  <c r="U96" i="30"/>
  <c r="Y98" i="30"/>
  <c r="U235" i="30"/>
  <c r="M55" i="33"/>
  <c r="I42" i="25"/>
  <c r="F60" i="73"/>
  <c r="F61" i="73" s="1"/>
  <c r="AD73" i="30"/>
  <c r="DH73" i="30" s="1"/>
  <c r="M48" i="33"/>
  <c r="AA433" i="23"/>
  <c r="CL65" i="85"/>
  <c r="CB96" i="30"/>
  <c r="W79" i="32"/>
  <c r="CX30" i="25"/>
  <c r="CY31" i="25"/>
  <c r="P33" i="33"/>
  <c r="P34" i="33" s="1"/>
  <c r="CX26" i="25"/>
  <c r="CT70" i="25"/>
  <c r="CT71" i="25"/>
  <c r="CX69" i="25"/>
  <c r="X75" i="32"/>
  <c r="F64" i="73"/>
  <c r="F63" i="73" s="1"/>
  <c r="S10" i="32"/>
  <c r="S74" i="32"/>
  <c r="S76" i="32"/>
  <c r="S26" i="32"/>
  <c r="S72" i="32"/>
  <c r="AD93" i="30"/>
  <c r="AD238" i="30"/>
  <c r="S77" i="32"/>
  <c r="CH43" i="25"/>
  <c r="U97" i="30"/>
  <c r="CC43" i="25"/>
  <c r="AX12" i="59"/>
  <c r="M44" i="33"/>
  <c r="M46" i="33"/>
  <c r="AU11" i="59"/>
  <c r="R103" i="33"/>
  <c r="M29" i="38"/>
  <c r="BW15" i="25"/>
  <c r="AC88" i="30"/>
  <c r="CF40" i="25"/>
  <c r="AQ10" i="59"/>
  <c r="AP54" i="59"/>
  <c r="P104" i="33"/>
  <c r="P35" i="33" s="1"/>
  <c r="P36" i="33" s="1"/>
  <c r="DR194" i="30"/>
  <c r="S36" i="40"/>
  <c r="BW14" i="25"/>
  <c r="BW11" i="25"/>
  <c r="R39" i="40"/>
  <c r="K10" i="38" s="1"/>
  <c r="K29" i="38"/>
  <c r="L29" i="38"/>
  <c r="Q34" i="33"/>
  <c r="CL95" i="30"/>
  <c r="CT28" i="25"/>
  <c r="CY27" i="25"/>
  <c r="O49" i="38"/>
  <c r="O51" i="38"/>
  <c r="BW32" i="25"/>
  <c r="BW29" i="25"/>
  <c r="BQ405" i="39"/>
  <c r="BQ412" i="39"/>
  <c r="Z235" i="30"/>
  <c r="L51" i="33"/>
  <c r="X73" i="32"/>
  <c r="X158" i="30"/>
  <c r="CT32" i="25"/>
  <c r="BW43" i="25"/>
  <c r="N43" i="33"/>
  <c r="CB132" i="30"/>
  <c r="DG15" i="25"/>
  <c r="BY40" i="25"/>
  <c r="CT29" i="25"/>
  <c r="CH158" i="30"/>
  <c r="BX44" i="25" s="1"/>
  <c r="BX46" i="25" s="1"/>
  <c r="L44" i="33"/>
  <c r="BW39" i="25"/>
  <c r="BW42" i="25"/>
  <c r="CT27" i="25"/>
  <c r="Y123" i="30"/>
  <c r="T36" i="40"/>
  <c r="O17" i="32"/>
  <c r="U123" i="30"/>
  <c r="P18" i="32"/>
  <c r="O23" i="32"/>
  <c r="O18" i="32"/>
  <c r="CU31" i="25"/>
  <c r="CU29" i="25"/>
  <c r="CU32" i="25"/>
  <c r="CZ31" i="25"/>
  <c r="Q26" i="32"/>
  <c r="Q76" i="32"/>
  <c r="Q73" i="32"/>
  <c r="Q20" i="32"/>
  <c r="AB93" i="30"/>
  <c r="Q75" i="32"/>
  <c r="AB238" i="30"/>
  <c r="Q72" i="32"/>
  <c r="Q74" i="32"/>
  <c r="Q10" i="32"/>
  <c r="Q88" i="32"/>
  <c r="Q77" i="32"/>
  <c r="CW46" i="25"/>
  <c r="CW43" i="25"/>
  <c r="AM131" i="59"/>
  <c r="AM151" i="59"/>
  <c r="CJ124" i="30"/>
  <c r="CJ127" i="30"/>
  <c r="X123" i="30"/>
  <c r="P17" i="32"/>
  <c r="N124" i="30"/>
  <c r="M123" i="30"/>
  <c r="S18" i="40"/>
  <c r="E46" i="25"/>
  <c r="DM172" i="30"/>
  <c r="BR412" i="39"/>
  <c r="BR405" i="39"/>
  <c r="N127" i="30"/>
  <c r="N130" i="30" s="1"/>
  <c r="G17" i="25"/>
  <c r="F18" i="25"/>
  <c r="F17" i="25"/>
  <c r="CX24" i="20"/>
  <c r="BG43" i="25"/>
  <c r="BG46" i="25"/>
  <c r="DI29" i="25"/>
  <c r="DI31" i="25"/>
  <c r="BF18" i="25"/>
  <c r="BF15" i="25"/>
  <c r="DG72" i="25"/>
  <c r="DG75" i="25"/>
  <c r="DF211" i="30"/>
  <c r="BM20" i="23"/>
  <c r="BV46" i="25"/>
  <c r="BV43" i="25"/>
  <c r="J10" i="52"/>
  <c r="K11" i="52"/>
  <c r="BM12" i="20"/>
  <c r="BH12" i="20"/>
  <c r="C223" i="60"/>
  <c r="D223" i="60" s="1"/>
  <c r="AE40" i="33"/>
  <c r="DD18" i="25"/>
  <c r="DD17" i="25"/>
  <c r="CG75" i="25"/>
  <c r="CL74" i="25"/>
  <c r="CK18" i="25"/>
  <c r="CK15" i="25"/>
  <c r="CP17" i="25"/>
  <c r="BE224" i="59"/>
  <c r="BE83" i="59"/>
  <c r="G83" i="59" s="1"/>
  <c r="BJ33" i="59"/>
  <c r="BE34" i="59"/>
  <c r="BF33" i="59"/>
  <c r="M211" i="30"/>
  <c r="AR65" i="30"/>
  <c r="AR73" i="30" s="1"/>
  <c r="BM72" i="30"/>
  <c r="BH30" i="25" s="1"/>
  <c r="BH32" i="25" s="1"/>
  <c r="BH26" i="25"/>
  <c r="DF12" i="25"/>
  <c r="DP71" i="30"/>
  <c r="BA29" i="25"/>
  <c r="BA32" i="25"/>
  <c r="BQ12" i="25"/>
  <c r="CA71" i="30"/>
  <c r="BQ16" i="25" s="1"/>
  <c r="BR12" i="25"/>
  <c r="CB71" i="30"/>
  <c r="BR16" i="25" s="1"/>
  <c r="BR18" i="25" s="1"/>
  <c r="CQ32" i="25"/>
  <c r="CQ29" i="25"/>
  <c r="CR75" i="25"/>
  <c r="CR74" i="25"/>
  <c r="CR72" i="25"/>
  <c r="CY18" i="25"/>
  <c r="CY15" i="25"/>
  <c r="CQ43" i="25"/>
  <c r="CQ46" i="25"/>
  <c r="R59" i="30"/>
  <c r="R64" i="30" s="1"/>
  <c r="DW156" i="30"/>
  <c r="R96" i="33"/>
  <c r="Q97" i="33"/>
  <c r="CJ143" i="85"/>
  <c r="S137" i="85"/>
  <c r="CI74" i="85"/>
  <c r="BK18" i="25"/>
  <c r="BK15" i="25"/>
  <c r="CU12" i="25"/>
  <c r="DE71" i="30"/>
  <c r="CU16" i="25" s="1"/>
  <c r="BZ211" i="30"/>
  <c r="Z18" i="30"/>
  <c r="C91" i="59"/>
  <c r="AA18" i="30"/>
  <c r="G16" i="52"/>
  <c r="Z17" i="30"/>
  <c r="CT12" i="25"/>
  <c r="DD71" i="30"/>
  <c r="Q75" i="20"/>
  <c r="Q76" i="20" s="1"/>
  <c r="P76" i="20"/>
  <c r="CL154" i="30"/>
  <c r="CN154" i="30" s="1"/>
  <c r="CL163" i="30"/>
  <c r="CN163" i="30" s="1"/>
  <c r="CT154" i="30"/>
  <c r="CT163" i="30"/>
  <c r="CW151" i="30"/>
  <c r="CX151" i="30" s="1"/>
  <c r="BR179" i="59"/>
  <c r="BR181" i="59" s="1"/>
  <c r="BR183" i="59" s="1"/>
  <c r="J24" i="52"/>
  <c r="H87" i="73"/>
  <c r="AV28" i="85"/>
  <c r="AV21" i="85"/>
  <c r="BB23" i="85"/>
  <c r="L38" i="85"/>
  <c r="AP115" i="30"/>
  <c r="DV115" i="30"/>
  <c r="BN12" i="25"/>
  <c r="BX71" i="30"/>
  <c r="BN16" i="25" s="1"/>
  <c r="BN18" i="25" s="1"/>
  <c r="BH71" i="30"/>
  <c r="BC16" i="25" s="1"/>
  <c r="BC18" i="25" s="1"/>
  <c r="BC12" i="25"/>
  <c r="M16" i="20"/>
  <c r="N11" i="20"/>
  <c r="CU59" i="30"/>
  <c r="CU194" i="30"/>
  <c r="CU199" i="30" s="1"/>
  <c r="CU211" i="30" s="1"/>
  <c r="O23" i="30"/>
  <c r="S22" i="30"/>
  <c r="BF412" i="39"/>
  <c r="F14" i="38" s="1"/>
  <c r="CN170" i="59"/>
  <c r="CN178" i="59"/>
  <c r="CD98" i="85"/>
  <c r="K18" i="85"/>
  <c r="AT20" i="85"/>
  <c r="CV18" i="25"/>
  <c r="CV15" i="25"/>
  <c r="M26" i="25"/>
  <c r="O72" i="30"/>
  <c r="M30" i="25" s="1"/>
  <c r="M75" i="32"/>
  <c r="M73" i="32"/>
  <c r="R238" i="30"/>
  <c r="R242" i="30" s="1"/>
  <c r="M77" i="32"/>
  <c r="M76" i="32"/>
  <c r="M72" i="32"/>
  <c r="M74" i="32"/>
  <c r="M20" i="32"/>
  <c r="E15" i="25"/>
  <c r="E17" i="25"/>
  <c r="E18" i="25"/>
  <c r="BM46" i="25"/>
  <c r="BM43" i="25"/>
  <c r="DJ25" i="30"/>
  <c r="DJ23" i="30"/>
  <c r="BH107" i="59"/>
  <c r="BG410" i="39"/>
  <c r="BG409" i="39" s="1"/>
  <c r="EI194" i="30"/>
  <c r="CG171" i="59"/>
  <c r="C23" i="95"/>
  <c r="K266" i="59"/>
  <c r="S13" i="31"/>
  <c r="S32" i="31" s="1"/>
  <c r="R46" i="85"/>
  <c r="EC197" i="30"/>
  <c r="ED197" i="30"/>
  <c r="EE197" i="30"/>
  <c r="AT8" i="59"/>
  <c r="DA86" i="30"/>
  <c r="CV113" i="30"/>
  <c r="BA26" i="85"/>
  <c r="BA28" i="85"/>
  <c r="DQ69" i="30"/>
  <c r="DQ73" i="30" s="1"/>
  <c r="DR68" i="30"/>
  <c r="U193" i="30"/>
  <c r="W192" i="30"/>
  <c r="U58" i="30"/>
  <c r="Z192" i="30"/>
  <c r="E31" i="25"/>
  <c r="E32" i="25"/>
  <c r="E29" i="25"/>
  <c r="G23" i="38"/>
  <c r="F24" i="38"/>
  <c r="L58" i="30"/>
  <c r="L63" i="30" s="1"/>
  <c r="L59" i="30"/>
  <c r="L64" i="30" s="1"/>
  <c r="DA12" i="25"/>
  <c r="DK71" i="30"/>
  <c r="BG107" i="59"/>
  <c r="DI23" i="30"/>
  <c r="DI25" i="30"/>
  <c r="CV74" i="25"/>
  <c r="CV75" i="25"/>
  <c r="CB171" i="59"/>
  <c r="ED194" i="30"/>
  <c r="BW171" i="59"/>
  <c r="DY194" i="30"/>
  <c r="AV52" i="59"/>
  <c r="AU53" i="59"/>
  <c r="AH14" i="20"/>
  <c r="E11" i="59"/>
  <c r="AB89" i="30"/>
  <c r="BW63" i="30"/>
  <c r="EU205" i="30"/>
  <c r="ES205" i="30"/>
  <c r="CP70" i="25"/>
  <c r="E40" i="31"/>
  <c r="BV158" i="30"/>
  <c r="W355" i="39"/>
  <c r="BE355" i="39" s="1"/>
  <c r="BE405" i="39" s="1"/>
  <c r="EA192" i="30"/>
  <c r="CS52" i="30"/>
  <c r="O76" i="20"/>
  <c r="CF68" i="25"/>
  <c r="EK192" i="30"/>
  <c r="H16" i="52"/>
  <c r="DX204" i="30"/>
  <c r="V92" i="41"/>
  <c r="O92" i="41"/>
  <c r="AD437" i="23"/>
  <c r="AF149" i="39"/>
  <c r="BN149" i="39" s="1"/>
  <c r="DY204" i="30"/>
  <c r="BT9" i="25"/>
  <c r="ER205" i="30"/>
  <c r="W209" i="30"/>
  <c r="W211" i="30" s="1"/>
  <c r="CB91" i="30"/>
  <c r="K242" i="30"/>
  <c r="CC199" i="30"/>
  <c r="CT27" i="20"/>
  <c r="CT28" i="20" s="1"/>
  <c r="EL205" i="30"/>
  <c r="DF24" i="20"/>
  <c r="DF25" i="20"/>
  <c r="E25" i="25"/>
  <c r="AM31" i="30"/>
  <c r="P20" i="73"/>
  <c r="AW39" i="59"/>
  <c r="BW113" i="30"/>
  <c r="L9" i="52"/>
  <c r="E86" i="38"/>
  <c r="Y45" i="30"/>
  <c r="BX680" i="23"/>
  <c r="C188" i="60"/>
  <c r="Q92" i="20"/>
  <c r="P68" i="23"/>
  <c r="DF23" i="20"/>
  <c r="X69" i="30"/>
  <c r="CF69" i="30"/>
  <c r="D26" i="25"/>
  <c r="O7" i="25"/>
  <c r="BA195" i="59"/>
  <c r="L17" i="52"/>
  <c r="P21" i="32"/>
  <c r="P20" i="32" s="1"/>
  <c r="P23" i="32" s="1"/>
  <c r="N639" i="23"/>
  <c r="J509" i="23"/>
  <c r="J511" i="23"/>
  <c r="J514" i="23"/>
  <c r="J482" i="23"/>
  <c r="J486" i="23"/>
  <c r="AV195" i="59"/>
  <c r="BY15" i="23"/>
  <c r="R62" i="23"/>
  <c r="M493" i="23"/>
  <c r="M511" i="23"/>
  <c r="M509" i="23"/>
  <c r="M491" i="23"/>
  <c r="BS38" i="25"/>
  <c r="BZ195" i="59"/>
  <c r="CG316" i="59"/>
  <c r="K62" i="20"/>
  <c r="K61" i="20" s="1"/>
  <c r="EB202" i="30"/>
  <c r="O90" i="30"/>
  <c r="P10" i="25"/>
  <c r="BX205" i="30"/>
  <c r="BX209" i="30" s="1"/>
  <c r="BY209" i="30" s="1"/>
  <c r="CX206" i="30"/>
  <c r="EH206" i="30"/>
  <c r="DD56" i="30"/>
  <c r="G103" i="31"/>
  <c r="G113" i="31" s="1"/>
  <c r="EI14" i="20"/>
  <c r="C22" i="38"/>
  <c r="DT63" i="30"/>
  <c r="U65" i="20"/>
  <c r="CK114" i="59"/>
  <c r="CP115" i="59" s="1"/>
  <c r="H103" i="31"/>
  <c r="P45" i="85"/>
  <c r="M45" i="85"/>
  <c r="AS24" i="85"/>
  <c r="AZ20" i="85"/>
  <c r="AX20" i="85"/>
  <c r="I41" i="33"/>
  <c r="J41" i="33" s="1"/>
  <c r="CV89" i="59"/>
  <c r="AV83" i="59"/>
  <c r="S69" i="95"/>
  <c r="S83" i="95" s="1"/>
  <c r="P99" i="73"/>
  <c r="M27" i="95"/>
  <c r="AI30" i="31"/>
  <c r="T150" i="31"/>
  <c r="T157" i="31" s="1"/>
  <c r="X150" i="31"/>
  <c r="BT10" i="31"/>
  <c r="BR68" i="85"/>
  <c r="BM8" i="85"/>
  <c r="W135" i="85"/>
  <c r="Z171" i="20"/>
  <c r="BD8" i="85"/>
  <c r="BH8" i="85"/>
  <c r="F79" i="95"/>
  <c r="F11" i="95" s="1"/>
  <c r="F4" i="95" s="1"/>
  <c r="Q221" i="59"/>
  <c r="CT221" i="59" s="1"/>
  <c r="N71" i="59"/>
  <c r="CR71" i="59"/>
  <c r="Q71" i="59" s="1"/>
  <c r="O112" i="59"/>
  <c r="DL167" i="23"/>
  <c r="Q20" i="73"/>
  <c r="I18" i="73"/>
  <c r="K21" i="73"/>
  <c r="I20" i="73"/>
  <c r="M157" i="31"/>
  <c r="U190" i="31"/>
  <c r="W193" i="31"/>
  <c r="V193" i="31"/>
  <c r="AA171" i="20"/>
  <c r="AV22" i="31"/>
  <c r="U22" i="31" s="1"/>
  <c r="Q150" i="31"/>
  <c r="Q157" i="31" s="1"/>
  <c r="AE193" i="31"/>
  <c r="Z191" i="31"/>
  <c r="X156" i="31"/>
  <c r="Q45" i="85"/>
  <c r="N45" i="85"/>
  <c r="J28" i="31"/>
  <c r="I93" i="31"/>
  <c r="AA172" i="20"/>
  <c r="H93" i="31"/>
  <c r="H11" i="31"/>
  <c r="S146" i="31"/>
  <c r="P146" i="31"/>
  <c r="U10" i="31"/>
  <c r="AD190" i="31"/>
  <c r="W146" i="31"/>
  <c r="AB42" i="23"/>
  <c r="CX191" i="59"/>
  <c r="CX250" i="59" s="1"/>
  <c r="CD206" i="59"/>
  <c r="BV206" i="59"/>
  <c r="CF206" i="59"/>
  <c r="CA206" i="59"/>
  <c r="CP158" i="59"/>
  <c r="CP165" i="59"/>
  <c r="CP328" i="59"/>
  <c r="CP314" i="59"/>
  <c r="CP149" i="59"/>
  <c r="CP159" i="59"/>
  <c r="CS166" i="59"/>
  <c r="CS314" i="59"/>
  <c r="CS159" i="59"/>
  <c r="CS158" i="59"/>
  <c r="CS149" i="59"/>
  <c r="CS165" i="59"/>
  <c r="CS328" i="59"/>
  <c r="BT206" i="59"/>
  <c r="CR314" i="59"/>
  <c r="CR165" i="59"/>
  <c r="CR328" i="59"/>
  <c r="CR149" i="59"/>
  <c r="CR159" i="59"/>
  <c r="CR158" i="59"/>
  <c r="DL30" i="25"/>
  <c r="AI127" i="30"/>
  <c r="M150" i="59"/>
  <c r="CE149" i="59"/>
  <c r="L157" i="59"/>
  <c r="CD150" i="59"/>
  <c r="CD326" i="59"/>
  <c r="CD177" i="59"/>
  <c r="CD179" i="59" s="1"/>
  <c r="CD181" i="59" s="1"/>
  <c r="AP71" i="30"/>
  <c r="AL16" i="25" s="1"/>
  <c r="AL12" i="25"/>
  <c r="CO149" i="59"/>
  <c r="P149" i="59"/>
  <c r="CJ14" i="23"/>
  <c r="CE17" i="23"/>
  <c r="CJ18" i="23" s="1"/>
  <c r="BV199" i="59"/>
  <c r="BQ114" i="59"/>
  <c r="CN116" i="59"/>
  <c r="CN115" i="59"/>
  <c r="CS115" i="59"/>
  <c r="BS105" i="59"/>
  <c r="BS112" i="59"/>
  <c r="J112" i="59" s="1"/>
  <c r="BU112" i="59" s="1"/>
  <c r="J106" i="59"/>
  <c r="K106" i="59" s="1"/>
  <c r="I112" i="59"/>
  <c r="CS76" i="59"/>
  <c r="BR85" i="59"/>
  <c r="BM83" i="59"/>
  <c r="BT85" i="59"/>
  <c r="CX253" i="59"/>
  <c r="CX254" i="59"/>
  <c r="AH78" i="25"/>
  <c r="S190" i="59"/>
  <c r="CY190" i="59" s="1"/>
  <c r="AP89" i="59" l="1"/>
  <c r="BX23" i="31"/>
  <c r="AR158" i="59"/>
  <c r="CJ157" i="59"/>
  <c r="BT146" i="59"/>
  <c r="BY316" i="59"/>
  <c r="BS167" i="59"/>
  <c r="CA191" i="59"/>
  <c r="CU210" i="59"/>
  <c r="BY146" i="59"/>
  <c r="AW13" i="59"/>
  <c r="Z23" i="31"/>
  <c r="M8" i="53"/>
  <c r="AR71" i="30"/>
  <c r="AN16" i="25" s="1"/>
  <c r="AN12" i="25"/>
  <c r="CJ149" i="59"/>
  <c r="AJ127" i="30"/>
  <c r="M6" i="53"/>
  <c r="V9" i="23"/>
  <c r="CS9" i="23" s="1"/>
  <c r="AK51" i="30"/>
  <c r="K221" i="60"/>
  <c r="G81" i="63" s="1"/>
  <c r="DL390" i="23"/>
  <c r="DM390" i="23" s="1"/>
  <c r="DJ401" i="23"/>
  <c r="DI401" i="23"/>
  <c r="DL393" i="23"/>
  <c r="DK393" i="23"/>
  <c r="DJ393" i="23"/>
  <c r="AC6" i="20"/>
  <c r="AE448" i="23"/>
  <c r="AD401" i="23"/>
  <c r="Z6" i="20"/>
  <c r="V384" i="23"/>
  <c r="W431" i="23"/>
  <c r="AF321" i="23"/>
  <c r="AG321" i="23" s="1"/>
  <c r="AH321" i="23" s="1"/>
  <c r="AI321" i="23" s="1"/>
  <c r="AJ321" i="23" s="1"/>
  <c r="AK321" i="23" s="1"/>
  <c r="AL321" i="23" s="1"/>
  <c r="AM321" i="23" s="1"/>
  <c r="AN321" i="23" s="1"/>
  <c r="BY187" i="59"/>
  <c r="AK6" i="20"/>
  <c r="AK156" i="20" s="1"/>
  <c r="AK168" i="20" s="1"/>
  <c r="U13" i="31"/>
  <c r="AZ13" i="31" s="1"/>
  <c r="L26" i="95"/>
  <c r="M26" i="95"/>
  <c r="AG6" i="20"/>
  <c r="AF6" i="20"/>
  <c r="AF156" i="20" s="1"/>
  <c r="AF168" i="20" s="1"/>
  <c r="J26" i="95"/>
  <c r="AM6" i="20"/>
  <c r="AM111" i="20" s="1"/>
  <c r="O26" i="95"/>
  <c r="AF193" i="31"/>
  <c r="D28" i="31"/>
  <c r="D20" i="31" s="1"/>
  <c r="AG193" i="31"/>
  <c r="DI106" i="59"/>
  <c r="CK115" i="59"/>
  <c r="CW324" i="59"/>
  <c r="AT37" i="59"/>
  <c r="G11" i="95"/>
  <c r="G80" i="95"/>
  <c r="J11" i="95"/>
  <c r="J80" i="95"/>
  <c r="I11" i="95"/>
  <c r="I80" i="95"/>
  <c r="S11" i="95"/>
  <c r="S80" i="95"/>
  <c r="T80" i="95"/>
  <c r="L11" i="95"/>
  <c r="L80" i="95"/>
  <c r="Q11" i="95"/>
  <c r="Q80" i="95"/>
  <c r="K80" i="95"/>
  <c r="H80" i="95"/>
  <c r="M80" i="95"/>
  <c r="O11" i="95"/>
  <c r="O80" i="95"/>
  <c r="DB15" i="30"/>
  <c r="AU95" i="59"/>
  <c r="CX14" i="30"/>
  <c r="L150" i="59"/>
  <c r="K150" i="59"/>
  <c r="BX187" i="59"/>
  <c r="BX191" i="59" s="1"/>
  <c r="BX316" i="59"/>
  <c r="BX167" i="59"/>
  <c r="CC316" i="59"/>
  <c r="BX146" i="59"/>
  <c r="BL231" i="59"/>
  <c r="U233" i="59"/>
  <c r="BG219" i="59"/>
  <c r="T233" i="59"/>
  <c r="DD233" i="59" s="1"/>
  <c r="BL61" i="59"/>
  <c r="DI24" i="59"/>
  <c r="H172" i="59"/>
  <c r="H174" i="59" s="1"/>
  <c r="CU314" i="59"/>
  <c r="CU166" i="59"/>
  <c r="P129" i="59"/>
  <c r="I70" i="73" s="1"/>
  <c r="I71" i="73" s="1"/>
  <c r="CN206" i="59"/>
  <c r="BO181" i="59"/>
  <c r="BO183" i="59" s="1"/>
  <c r="DU65" i="30"/>
  <c r="DU73" i="30" s="1"/>
  <c r="DU80" i="30" s="1"/>
  <c r="CG206" i="59"/>
  <c r="CC206" i="59"/>
  <c r="BW206" i="59"/>
  <c r="CG198" i="59"/>
  <c r="CP10" i="23" s="1"/>
  <c r="CP13" i="23" s="1"/>
  <c r="CP17" i="23" s="1"/>
  <c r="DF5" i="23"/>
  <c r="CW210" i="59"/>
  <c r="CA122" i="59"/>
  <c r="EC95" i="30" s="1"/>
  <c r="G72" i="73"/>
  <c r="AW126" i="59"/>
  <c r="Z38" i="40"/>
  <c r="AA35" i="40"/>
  <c r="Q22" i="38"/>
  <c r="P19" i="38"/>
  <c r="O21" i="38"/>
  <c r="P43" i="38"/>
  <c r="O53" i="38"/>
  <c r="O75" i="38"/>
  <c r="AS31" i="59"/>
  <c r="AJ156" i="20"/>
  <c r="AJ168" i="20" s="1"/>
  <c r="F39" i="31"/>
  <c r="E33" i="31"/>
  <c r="F130" i="31"/>
  <c r="N113" i="30"/>
  <c r="H43" i="31"/>
  <c r="H44" i="31"/>
  <c r="J37" i="31"/>
  <c r="J52" i="31"/>
  <c r="J96" i="31"/>
  <c r="T239" i="30"/>
  <c r="T242" i="30" s="1"/>
  <c r="T86" i="30"/>
  <c r="DP165" i="23"/>
  <c r="AG272" i="23"/>
  <c r="AJ223" i="23"/>
  <c r="AI272" i="23"/>
  <c r="BP8" i="85"/>
  <c r="DA56" i="25"/>
  <c r="DK176" i="30"/>
  <c r="AY19" i="85"/>
  <c r="BD17" i="85"/>
  <c r="BD16" i="85" s="1"/>
  <c r="H35" i="85"/>
  <c r="H34" i="85"/>
  <c r="K38" i="85"/>
  <c r="AW23" i="85"/>
  <c r="AU21" i="85"/>
  <c r="AU28" i="85"/>
  <c r="CN32" i="85"/>
  <c r="AG57" i="25"/>
  <c r="AL179" i="30" s="1"/>
  <c r="CM32" i="85"/>
  <c r="CL32" i="85"/>
  <c r="CO32" i="85" s="1"/>
  <c r="CP32" i="85" s="1"/>
  <c r="L24" i="85"/>
  <c r="AU26" i="85"/>
  <c r="AZ26" i="85"/>
  <c r="J35" i="85"/>
  <c r="J34" i="85"/>
  <c r="BI53" i="85"/>
  <c r="BY104" i="85"/>
  <c r="AW13" i="85"/>
  <c r="K14" i="85"/>
  <c r="L20" i="85"/>
  <c r="L21" i="85" s="1"/>
  <c r="L14" i="85"/>
  <c r="W49" i="25"/>
  <c r="W77" i="25" s="1"/>
  <c r="P5" i="23" s="1"/>
  <c r="BB13" i="85"/>
  <c r="AY28" i="85"/>
  <c r="AY21" i="85"/>
  <c r="AP28" i="85"/>
  <c r="AP21" i="85"/>
  <c r="F34" i="85"/>
  <c r="F35" i="85"/>
  <c r="CJ165" i="23"/>
  <c r="AG61" i="32"/>
  <c r="AJ61" i="32"/>
  <c r="AK61" i="32"/>
  <c r="AE61" i="32"/>
  <c r="AH61" i="32"/>
  <c r="AF61" i="32"/>
  <c r="AI61" i="32"/>
  <c r="AJ10" i="31"/>
  <c r="CZ165" i="23"/>
  <c r="S165" i="23"/>
  <c r="CR165" i="23"/>
  <c r="CF165" i="23"/>
  <c r="DL165" i="23"/>
  <c r="DL171" i="23" s="1"/>
  <c r="DL113" i="23" s="1"/>
  <c r="CU165" i="23"/>
  <c r="W165" i="23"/>
  <c r="AA165" i="23"/>
  <c r="CQ165" i="23"/>
  <c r="V59" i="32"/>
  <c r="V62" i="32" s="1"/>
  <c r="V64" i="32" s="1"/>
  <c r="AD165" i="23"/>
  <c r="DO165" i="23"/>
  <c r="CE165" i="23"/>
  <c r="Z165" i="23"/>
  <c r="U87" i="32"/>
  <c r="DB165" i="23"/>
  <c r="DJ165" i="23"/>
  <c r="BC144" i="73"/>
  <c r="BH144" i="73"/>
  <c r="BJ144" i="73"/>
  <c r="BO144" i="73"/>
  <c r="CC144" i="73"/>
  <c r="DO163" i="23" s="1"/>
  <c r="O144" i="73"/>
  <c r="AF163" i="23" s="1"/>
  <c r="L144" i="73"/>
  <c r="AC163" i="23" s="1"/>
  <c r="CV165" i="23"/>
  <c r="DF165" i="23"/>
  <c r="V165" i="23"/>
  <c r="R144" i="73"/>
  <c r="AI163" i="23" s="1"/>
  <c r="BM144" i="73"/>
  <c r="BF144" i="73"/>
  <c r="CH165" i="23"/>
  <c r="CG165" i="23"/>
  <c r="BU144" i="73"/>
  <c r="DE165" i="23"/>
  <c r="CT165" i="23"/>
  <c r="DN165" i="23"/>
  <c r="DN171" i="23" s="1"/>
  <c r="DN113" i="23" s="1"/>
  <c r="CD144" i="73"/>
  <c r="DP163" i="23" s="1"/>
  <c r="CM165" i="23"/>
  <c r="DD165" i="23"/>
  <c r="M144" i="73"/>
  <c r="AD163" i="23" s="1"/>
  <c r="CL165" i="23"/>
  <c r="U165" i="23"/>
  <c r="BT144" i="73"/>
  <c r="Q144" i="73"/>
  <c r="AH163" i="23" s="1"/>
  <c r="CK165" i="23"/>
  <c r="P144" i="73"/>
  <c r="AG163" i="23" s="1"/>
  <c r="BR144" i="73"/>
  <c r="J144" i="73"/>
  <c r="CW165" i="23"/>
  <c r="DK165" i="23"/>
  <c r="BW144" i="73"/>
  <c r="DQ165" i="23"/>
  <c r="DG165" i="23"/>
  <c r="BX144" i="73"/>
  <c r="CE144" i="73"/>
  <c r="DQ163" i="23" s="1"/>
  <c r="CO165" i="23"/>
  <c r="CY165" i="23"/>
  <c r="BI144" i="73"/>
  <c r="BK144" i="73"/>
  <c r="DI165" i="23"/>
  <c r="BD144" i="73"/>
  <c r="T165" i="23"/>
  <c r="DA165" i="23"/>
  <c r="AD293" i="23"/>
  <c r="U83" i="32"/>
  <c r="I111" i="73"/>
  <c r="AE293" i="23"/>
  <c r="H111" i="73"/>
  <c r="R117" i="73"/>
  <c r="BU91" i="73"/>
  <c r="CB159" i="73"/>
  <c r="DN664" i="23" s="1"/>
  <c r="DN40" i="23" s="1"/>
  <c r="W111" i="73"/>
  <c r="AN127" i="20" s="1"/>
  <c r="O111" i="73"/>
  <c r="AF127" i="20" s="1"/>
  <c r="R111" i="73"/>
  <c r="AI127" i="20" s="1"/>
  <c r="G117" i="73"/>
  <c r="X75" i="20" s="1"/>
  <c r="CC159" i="73"/>
  <c r="DO664" i="23" s="1"/>
  <c r="DO40" i="23" s="1"/>
  <c r="W159" i="73"/>
  <c r="AN664" i="23" s="1"/>
  <c r="CD159" i="73"/>
  <c r="DP664" i="23" s="1"/>
  <c r="DP40" i="23" s="1"/>
  <c r="H117" i="73"/>
  <c r="P20" i="31"/>
  <c r="P28" i="31" s="1"/>
  <c r="U85" i="32"/>
  <c r="U82" i="32"/>
  <c r="Q159" i="73"/>
  <c r="AH664" i="23" s="1"/>
  <c r="BY159" i="73"/>
  <c r="DK664" i="23" s="1"/>
  <c r="S159" i="73"/>
  <c r="AJ664" i="23" s="1"/>
  <c r="T159" i="73"/>
  <c r="AK664" i="23" s="1"/>
  <c r="BW159" i="73"/>
  <c r="DI664" i="23" s="1"/>
  <c r="M159" i="73"/>
  <c r="AD664" i="23" s="1"/>
  <c r="BX159" i="73"/>
  <c r="DJ664" i="23" s="1"/>
  <c r="N159" i="73"/>
  <c r="AE664" i="23" s="1"/>
  <c r="O159" i="73"/>
  <c r="AF664" i="23" s="1"/>
  <c r="V159" i="73"/>
  <c r="AM664" i="23" s="1"/>
  <c r="L159" i="73"/>
  <c r="AC664" i="23" s="1"/>
  <c r="BZ159" i="73"/>
  <c r="DL664" i="23" s="1"/>
  <c r="R159" i="73"/>
  <c r="AI664" i="23" s="1"/>
  <c r="U159" i="73"/>
  <c r="AL664" i="23" s="1"/>
  <c r="P159" i="73"/>
  <c r="AG664" i="23" s="1"/>
  <c r="U7" i="32"/>
  <c r="AF238" i="30" s="1"/>
  <c r="U84" i="32"/>
  <c r="K117" i="73"/>
  <c r="L111" i="73"/>
  <c r="AC127" i="20" s="1"/>
  <c r="AC121" i="20" s="1"/>
  <c r="AC159" i="20" s="1"/>
  <c r="P111" i="73"/>
  <c r="AG127" i="20" s="1"/>
  <c r="S111" i="73"/>
  <c r="AJ127" i="20" s="1"/>
  <c r="N117" i="73"/>
  <c r="M111" i="73"/>
  <c r="AD127" i="20" s="1"/>
  <c r="N111" i="73"/>
  <c r="AE127" i="20" s="1"/>
  <c r="Q111" i="73"/>
  <c r="AH127" i="20" s="1"/>
  <c r="V111" i="73"/>
  <c r="AM127" i="20" s="1"/>
  <c r="T111" i="73"/>
  <c r="AK127" i="20" s="1"/>
  <c r="P117" i="73"/>
  <c r="U111" i="73"/>
  <c r="AL127" i="20" s="1"/>
  <c r="J117" i="73"/>
  <c r="Q117" i="73"/>
  <c r="O117" i="73"/>
  <c r="I117" i="73"/>
  <c r="L117" i="73"/>
  <c r="W150" i="73"/>
  <c r="R150" i="73"/>
  <c r="L150" i="73"/>
  <c r="Q150" i="73"/>
  <c r="N150" i="73"/>
  <c r="S150" i="73"/>
  <c r="J150" i="73"/>
  <c r="O150" i="73"/>
  <c r="P150" i="73"/>
  <c r="U150" i="73"/>
  <c r="K150" i="73"/>
  <c r="M150" i="73"/>
  <c r="T150" i="73"/>
  <c r="V150" i="73"/>
  <c r="BY93" i="73"/>
  <c r="BY94" i="73"/>
  <c r="H127" i="73"/>
  <c r="BY42" i="73"/>
  <c r="BY41" i="73"/>
  <c r="BY39" i="73"/>
  <c r="M124" i="73"/>
  <c r="AC84" i="41" s="1"/>
  <c r="CE136" i="73"/>
  <c r="DH61" i="59" s="1"/>
  <c r="W97" i="73"/>
  <c r="T28" i="95" s="1"/>
  <c r="CD97" i="73"/>
  <c r="AE28" i="95" s="1"/>
  <c r="CE103" i="73"/>
  <c r="DD112" i="85" s="1"/>
  <c r="CC97" i="73"/>
  <c r="AD28" i="95" s="1"/>
  <c r="CD103" i="73"/>
  <c r="DC112" i="85" s="1"/>
  <c r="CB97" i="73"/>
  <c r="AC28" i="95" s="1"/>
  <c r="CC103" i="73"/>
  <c r="DB112" i="85" s="1"/>
  <c r="CC91" i="73"/>
  <c r="AD20" i="95" s="1"/>
  <c r="CD91" i="73"/>
  <c r="AE20" i="95" s="1"/>
  <c r="CB103" i="73"/>
  <c r="DA112" i="85" s="1"/>
  <c r="CE91" i="73"/>
  <c r="AF20" i="95" s="1"/>
  <c r="BY103" i="73"/>
  <c r="CE97" i="73"/>
  <c r="AF28" i="95" s="1"/>
  <c r="BX103" i="73"/>
  <c r="AF403" i="23"/>
  <c r="AK344" i="23"/>
  <c r="U18" i="62"/>
  <c r="O401" i="60"/>
  <c r="Q403" i="60"/>
  <c r="R403" i="60" s="1"/>
  <c r="S403" i="60" s="1"/>
  <c r="T403" i="60" s="1"/>
  <c r="U403" i="60" s="1"/>
  <c r="V403" i="60" s="1"/>
  <c r="W403" i="60" s="1"/>
  <c r="X403" i="60" s="1"/>
  <c r="Y403" i="60" s="1"/>
  <c r="I63" i="60"/>
  <c r="D74" i="63"/>
  <c r="G252" i="60"/>
  <c r="F255" i="60"/>
  <c r="DV20" i="30"/>
  <c r="DV25" i="30"/>
  <c r="AR126" i="59"/>
  <c r="J91" i="59"/>
  <c r="AG18" i="30"/>
  <c r="AU96" i="59"/>
  <c r="J9" i="53"/>
  <c r="I13" i="53"/>
  <c r="AP97" i="59"/>
  <c r="BR101" i="59"/>
  <c r="BN113" i="59"/>
  <c r="I113" i="59" s="1"/>
  <c r="BP113" i="59" s="1"/>
  <c r="CB12" i="59"/>
  <c r="AR14" i="31"/>
  <c r="AH12" i="30"/>
  <c r="AH10" i="30"/>
  <c r="AI10" i="30"/>
  <c r="DO127" i="30"/>
  <c r="DT128" i="30" s="1"/>
  <c r="AI34" i="30"/>
  <c r="AP12" i="25"/>
  <c r="AT71" i="30"/>
  <c r="AP16" i="25" s="1"/>
  <c r="BM150" i="59"/>
  <c r="AG29" i="30"/>
  <c r="Z73" i="25" s="1"/>
  <c r="Z69" i="25"/>
  <c r="BG15" i="59"/>
  <c r="AA64" i="25"/>
  <c r="DK14" i="25"/>
  <c r="AG20" i="30"/>
  <c r="AM12" i="25"/>
  <c r="AH32" i="30"/>
  <c r="EJ98" i="30"/>
  <c r="Z66" i="25"/>
  <c r="DM66" i="25" s="1"/>
  <c r="DW19" i="30"/>
  <c r="AH22" i="30"/>
  <c r="O23" i="52"/>
  <c r="CH192" i="59"/>
  <c r="CQ5" i="23"/>
  <c r="AK23" i="30"/>
  <c r="CM269" i="59"/>
  <c r="U116" i="85"/>
  <c r="U117" i="85" s="1"/>
  <c r="AN159" i="23"/>
  <c r="AE29" i="56"/>
  <c r="M53" i="85"/>
  <c r="EF209" i="30"/>
  <c r="CM22" i="23" s="1"/>
  <c r="CM61" i="23" s="1"/>
  <c r="EE208" i="30"/>
  <c r="EC208" i="30"/>
  <c r="ED208" i="30"/>
  <c r="ED209" i="30" s="1"/>
  <c r="DC49" i="25"/>
  <c r="AE167" i="30"/>
  <c r="AE170" i="30" s="1"/>
  <c r="U52" i="25"/>
  <c r="DB56" i="25"/>
  <c r="DL176" i="30"/>
  <c r="DB58" i="25"/>
  <c r="U54" i="25"/>
  <c r="DS179" i="30"/>
  <c r="BL65" i="59"/>
  <c r="BL64" i="59"/>
  <c r="DX207" i="30"/>
  <c r="DZ207" i="30"/>
  <c r="EA207" i="30"/>
  <c r="AH208" i="30"/>
  <c r="DY207" i="30"/>
  <c r="ED198" i="30"/>
  <c r="DS208" i="30"/>
  <c r="DS198" i="30" s="1"/>
  <c r="DU208" i="30"/>
  <c r="DV208" i="30"/>
  <c r="DV198" i="30" s="1"/>
  <c r="BT203" i="59" s="1"/>
  <c r="BT204" i="59" s="1"/>
  <c r="DT208" i="30"/>
  <c r="DT198" i="30" s="1"/>
  <c r="BR203" i="59" s="1"/>
  <c r="BR204" i="59" s="1"/>
  <c r="BR214" i="59" s="1"/>
  <c r="DW207" i="30"/>
  <c r="H63" i="59"/>
  <c r="BK32" i="85"/>
  <c r="DF57" i="25"/>
  <c r="DP179" i="30" s="1"/>
  <c r="DT179" i="30"/>
  <c r="DJ57" i="25" s="1"/>
  <c r="DV179" i="30"/>
  <c r="DL57" i="25" s="1"/>
  <c r="N101" i="85"/>
  <c r="N86" i="85"/>
  <c r="R74" i="85"/>
  <c r="N87" i="85"/>
  <c r="N95" i="85"/>
  <c r="N96" i="85" s="1"/>
  <c r="L54" i="85"/>
  <c r="K78" i="20"/>
  <c r="K80" i="20" s="1"/>
  <c r="CB16" i="20"/>
  <c r="CB18" i="20" s="1"/>
  <c r="CV27" i="20"/>
  <c r="CV28" i="20" s="1"/>
  <c r="CV29" i="20" s="1"/>
  <c r="BX17" i="20"/>
  <c r="BY17" i="20" s="1"/>
  <c r="X123" i="20"/>
  <c r="Y122" i="20"/>
  <c r="X128" i="20"/>
  <c r="CH115" i="20"/>
  <c r="F19" i="20"/>
  <c r="BI18" i="20"/>
  <c r="BI115" i="20" s="1"/>
  <c r="AC175" i="20"/>
  <c r="DA27" i="20"/>
  <c r="DA28" i="20" s="1"/>
  <c r="DA117" i="20" s="1"/>
  <c r="P82" i="20"/>
  <c r="P20" i="20"/>
  <c r="Q17" i="20"/>
  <c r="CH17" i="20"/>
  <c r="N16" i="20"/>
  <c r="CK11" i="20"/>
  <c r="CK12" i="20" s="1"/>
  <c r="X129" i="20"/>
  <c r="DP106" i="30"/>
  <c r="X72" i="20"/>
  <c r="X23" i="20" s="1"/>
  <c r="CL9" i="20"/>
  <c r="CL11" i="20" s="1"/>
  <c r="CL12" i="20" s="1"/>
  <c r="BR16" i="20"/>
  <c r="BR18" i="20" s="1"/>
  <c r="BW21" i="20" s="1"/>
  <c r="DE143" i="30"/>
  <c r="DE144" i="30" s="1"/>
  <c r="CU117" i="20"/>
  <c r="CU30" i="20"/>
  <c r="CU29" i="20"/>
  <c r="I113" i="73"/>
  <c r="I114" i="73" s="1"/>
  <c r="BH31" i="59"/>
  <c r="AZ31" i="59"/>
  <c r="AA70" i="20"/>
  <c r="BD11" i="20"/>
  <c r="BD12" i="20" s="1"/>
  <c r="BD18" i="20"/>
  <c r="BD21" i="20" s="1"/>
  <c r="CZ23" i="20"/>
  <c r="CZ116" i="20"/>
  <c r="CZ25" i="20"/>
  <c r="CZ24" i="20"/>
  <c r="DJ105" i="30"/>
  <c r="DJ106" i="30" s="1"/>
  <c r="DE18" i="20"/>
  <c r="BB12" i="20"/>
  <c r="BG12" i="20"/>
  <c r="CY25" i="20"/>
  <c r="CY24" i="20"/>
  <c r="DD18" i="20"/>
  <c r="CY23" i="20"/>
  <c r="DI105" i="30"/>
  <c r="DI106" i="30" s="1"/>
  <c r="CY116" i="20"/>
  <c r="Y71" i="20"/>
  <c r="AA165" i="20"/>
  <c r="AA177" i="20"/>
  <c r="AA179" i="20" s="1"/>
  <c r="DK143" i="30"/>
  <c r="DA29" i="20"/>
  <c r="CR24" i="20"/>
  <c r="CR114" i="20" s="1"/>
  <c r="BD30" i="59"/>
  <c r="BD36" i="59" s="1"/>
  <c r="BI37" i="59" s="1"/>
  <c r="DF106" i="30"/>
  <c r="R71" i="20"/>
  <c r="S67" i="20"/>
  <c r="AC162" i="20"/>
  <c r="U123" i="20"/>
  <c r="U127" i="20"/>
  <c r="V127" i="20"/>
  <c r="U74" i="20"/>
  <c r="U76" i="20" s="1"/>
  <c r="U24" i="20" s="1"/>
  <c r="V59" i="20"/>
  <c r="U60" i="20"/>
  <c r="U62" i="20" s="1"/>
  <c r="U61" i="20" s="1"/>
  <c r="U71" i="20"/>
  <c r="AB163" i="20"/>
  <c r="AB164" i="20" s="1"/>
  <c r="DE106" i="30"/>
  <c r="BI12" i="20"/>
  <c r="AY24" i="20"/>
  <c r="AY114" i="20" s="1"/>
  <c r="I114" i="20"/>
  <c r="BW113" i="20"/>
  <c r="Q71" i="20"/>
  <c r="R72" i="20" s="1"/>
  <c r="R23" i="20" s="1"/>
  <c r="AU36" i="59"/>
  <c r="AU37" i="59" s="1"/>
  <c r="CV117" i="20"/>
  <c r="CV30" i="20"/>
  <c r="J114" i="20"/>
  <c r="BD24" i="20"/>
  <c r="BB30" i="59"/>
  <c r="BB36" i="59" s="1"/>
  <c r="BG37" i="59" s="1"/>
  <c r="DD103" i="30"/>
  <c r="BB15" i="59" s="1"/>
  <c r="BG16" i="59" s="1"/>
  <c r="Y72" i="20"/>
  <c r="Y23" i="20" s="1"/>
  <c r="AB162" i="20"/>
  <c r="CB21" i="20"/>
  <c r="DK106" i="30"/>
  <c r="J78" i="20"/>
  <c r="J80" i="20" s="1"/>
  <c r="E12" i="20"/>
  <c r="BD31" i="59"/>
  <c r="AY36" i="59"/>
  <c r="AY37" i="59" s="1"/>
  <c r="Y164" i="20"/>
  <c r="S96" i="41"/>
  <c r="I45" i="38"/>
  <c r="I58" i="38" s="1"/>
  <c r="R94" i="41"/>
  <c r="I77" i="38"/>
  <c r="S100" i="41"/>
  <c r="Z92" i="41"/>
  <c r="AA89" i="41"/>
  <c r="Z94" i="41"/>
  <c r="P28" i="38" s="1"/>
  <c r="AD76" i="41"/>
  <c r="AE76" i="41" s="1"/>
  <c r="U14" i="38"/>
  <c r="T16" i="38"/>
  <c r="AG30" i="31"/>
  <c r="AJ22" i="31"/>
  <c r="T432" i="23"/>
  <c r="S385" i="23"/>
  <c r="V430" i="23"/>
  <c r="U383" i="23"/>
  <c r="R445" i="23"/>
  <c r="N398" i="23"/>
  <c r="DR375" i="23"/>
  <c r="N392" i="23"/>
  <c r="R439" i="23"/>
  <c r="AE393" i="23"/>
  <c r="AF440" i="23"/>
  <c r="T475" i="23"/>
  <c r="T503" i="23" s="1"/>
  <c r="U8" i="23"/>
  <c r="AJ451" i="23"/>
  <c r="AI404" i="23"/>
  <c r="AC438" i="23"/>
  <c r="AA391" i="23"/>
  <c r="AH375" i="23"/>
  <c r="CY391" i="23"/>
  <c r="DA391" i="23"/>
  <c r="DC391" i="23" s="1"/>
  <c r="DB391" i="23"/>
  <c r="R426" i="23"/>
  <c r="N379" i="23"/>
  <c r="R462" i="23"/>
  <c r="N415" i="23"/>
  <c r="V444" i="23"/>
  <c r="U397" i="23"/>
  <c r="M417" i="23"/>
  <c r="M464" i="23" s="1"/>
  <c r="AE399" i="23"/>
  <c r="AF446" i="23"/>
  <c r="R434" i="23"/>
  <c r="N387" i="23"/>
  <c r="AN453" i="23"/>
  <c r="AN406" i="23" s="1"/>
  <c r="AM406" i="23"/>
  <c r="R424" i="23"/>
  <c r="N377" i="23"/>
  <c r="Z380" i="23"/>
  <c r="AA427" i="23"/>
  <c r="Z443" i="23"/>
  <c r="W396" i="23"/>
  <c r="CT396" i="23" s="1"/>
  <c r="CU396" i="23" s="1"/>
  <c r="CV396" i="23" s="1"/>
  <c r="CW396" i="23" s="1"/>
  <c r="CX396" i="23" s="1"/>
  <c r="R428" i="23"/>
  <c r="N381" i="23"/>
  <c r="R441" i="23"/>
  <c r="N394" i="23"/>
  <c r="R425" i="23"/>
  <c r="N378" i="23"/>
  <c r="AA447" i="23"/>
  <c r="Z400" i="23"/>
  <c r="AE156" i="20"/>
  <c r="AE168" i="20" s="1"/>
  <c r="DC395" i="23"/>
  <c r="F237" i="23"/>
  <c r="F234" i="23" s="1"/>
  <c r="I234" i="23" s="1"/>
  <c r="CX391" i="23"/>
  <c r="U389" i="23"/>
  <c r="DR407" i="23"/>
  <c r="CX395" i="23"/>
  <c r="DM399" i="23"/>
  <c r="DH393" i="23"/>
  <c r="DR405" i="23"/>
  <c r="DR399" i="23"/>
  <c r="DR410" i="23"/>
  <c r="DR404" i="23"/>
  <c r="DR403" i="23"/>
  <c r="DR406" i="23"/>
  <c r="DR408" i="23"/>
  <c r="DR393" i="23"/>
  <c r="U361" i="23"/>
  <c r="CM14" i="23"/>
  <c r="DC393" i="23"/>
  <c r="DO409" i="23"/>
  <c r="DN409" i="23"/>
  <c r="DP409" i="23"/>
  <c r="DQ409" i="23"/>
  <c r="AN352" i="23"/>
  <c r="BH87" i="23"/>
  <c r="AI345" i="23"/>
  <c r="BH50" i="23"/>
  <c r="BH52" i="23" s="1"/>
  <c r="BH55" i="23" s="1"/>
  <c r="AI111" i="20"/>
  <c r="CU389" i="23"/>
  <c r="CV389" i="23"/>
  <c r="V333" i="23"/>
  <c r="CT389" i="23"/>
  <c r="T361" i="23"/>
  <c r="U416" i="23" s="1"/>
  <c r="V376" i="23"/>
  <c r="DC388" i="23"/>
  <c r="AG407" i="23"/>
  <c r="AN355" i="23"/>
  <c r="AH323" i="23"/>
  <c r="S294" i="60"/>
  <c r="AN151" i="23"/>
  <c r="AI23" i="30"/>
  <c r="EV206" i="30"/>
  <c r="V32" i="85"/>
  <c r="FB207" i="30"/>
  <c r="FB209" i="30" s="1"/>
  <c r="DI22" i="23" s="1"/>
  <c r="FE207" i="30"/>
  <c r="FD209" i="30"/>
  <c r="DK22" i="23" s="1"/>
  <c r="DK61" i="23" s="1"/>
  <c r="FE209" i="30"/>
  <c r="DL22" i="23" s="1"/>
  <c r="DL61" i="23" s="1"/>
  <c r="L27" i="52"/>
  <c r="K26" i="52"/>
  <c r="EE196" i="30"/>
  <c r="CC107" i="59" s="1"/>
  <c r="CC113" i="59" s="1"/>
  <c r="L107" i="59"/>
  <c r="L113" i="59" s="1"/>
  <c r="EC196" i="30"/>
  <c r="ED196" i="30"/>
  <c r="CB107" i="59" s="1"/>
  <c r="CB113" i="59" s="1"/>
  <c r="EN208" i="30"/>
  <c r="EM208" i="30"/>
  <c r="EP208" i="30"/>
  <c r="EP198" i="30" s="1"/>
  <c r="CN203" i="59" s="1"/>
  <c r="CN204" i="59" s="1"/>
  <c r="CN207" i="59" s="1"/>
  <c r="EO208" i="30"/>
  <c r="DB69" i="25"/>
  <c r="DL29" i="30"/>
  <c r="DB73" i="25" s="1"/>
  <c r="CW73" i="25"/>
  <c r="DH29" i="30"/>
  <c r="BR105" i="59"/>
  <c r="BR111" i="59" s="1"/>
  <c r="BR113" i="59"/>
  <c r="J113" i="59" s="1"/>
  <c r="BU113" i="59" s="1"/>
  <c r="DR22" i="30"/>
  <c r="AF23" i="30"/>
  <c r="AF34" i="30"/>
  <c r="DC22" i="30"/>
  <c r="AC25" i="30"/>
  <c r="AC23" i="30"/>
  <c r="AC34" i="30"/>
  <c r="AE25" i="30"/>
  <c r="DM22" i="30"/>
  <c r="AE23" i="30"/>
  <c r="AE34" i="30"/>
  <c r="DF69" i="25"/>
  <c r="DP29" i="30"/>
  <c r="DF73" i="25" s="1"/>
  <c r="DD32" i="85"/>
  <c r="DA32" i="85"/>
  <c r="CH206" i="59"/>
  <c r="CR86" i="25"/>
  <c r="AZ198" i="59" s="1"/>
  <c r="AZ194" i="59"/>
  <c r="BA194" i="59" s="1"/>
  <c r="Y69" i="25"/>
  <c r="AF29" i="30"/>
  <c r="DR25" i="30"/>
  <c r="AR206" i="30"/>
  <c r="AR207" i="30" s="1"/>
  <c r="FK207" i="30"/>
  <c r="DC32" i="85"/>
  <c r="AK57" i="25"/>
  <c r="AO179" i="30" s="1"/>
  <c r="FK206" i="30"/>
  <c r="FJ209" i="30"/>
  <c r="DQ22" i="23" s="1"/>
  <c r="DQ61" i="23" s="1"/>
  <c r="FG209" i="30"/>
  <c r="DE107" i="59"/>
  <c r="DE113" i="59" s="1"/>
  <c r="FI209" i="30"/>
  <c r="DP22" i="23" s="1"/>
  <c r="DP61" i="23" s="1"/>
  <c r="DG107" i="59"/>
  <c r="DG113" i="59" s="1"/>
  <c r="DF107" i="59"/>
  <c r="DF113" i="59" s="1"/>
  <c r="FH209" i="30"/>
  <c r="DO22" i="23" s="1"/>
  <c r="DO61" i="23" s="1"/>
  <c r="DH232" i="59"/>
  <c r="U232" i="59" s="1"/>
  <c r="DH91" i="59"/>
  <c r="U39" i="59"/>
  <c r="AO9" i="30" s="1"/>
  <c r="BS179" i="59"/>
  <c r="BS181" i="59" s="1"/>
  <c r="BS183" i="59" s="1"/>
  <c r="CV284" i="59"/>
  <c r="BR86" i="73"/>
  <c r="CU285" i="59"/>
  <c r="BU86" i="73"/>
  <c r="BP87" i="73"/>
  <c r="BP88" i="73"/>
  <c r="CZ149" i="59"/>
  <c r="DE170" i="59"/>
  <c r="CD85" i="73"/>
  <c r="AE8" i="95" s="1"/>
  <c r="T40" i="59"/>
  <c r="AN9" i="30"/>
  <c r="AO10" i="30" s="1"/>
  <c r="EC96" i="30"/>
  <c r="C72" i="73"/>
  <c r="BK12" i="20"/>
  <c r="AM59" i="59"/>
  <c r="AM61" i="59" s="1"/>
  <c r="CT142" i="30"/>
  <c r="J112" i="73"/>
  <c r="F12" i="20"/>
  <c r="G12" i="20"/>
  <c r="T24" i="20"/>
  <c r="C65" i="20"/>
  <c r="N69" i="20"/>
  <c r="O71" i="20"/>
  <c r="Q72" i="20" s="1"/>
  <c r="Q23" i="20" s="1"/>
  <c r="BP16" i="20"/>
  <c r="BP18" i="20" s="1"/>
  <c r="BU11" i="20"/>
  <c r="BL24" i="20"/>
  <c r="BM114" i="20"/>
  <c r="BQ16" i="20"/>
  <c r="BQ18" i="20" s="1"/>
  <c r="BV11" i="20"/>
  <c r="Z72" i="20"/>
  <c r="Z23" i="20" s="1"/>
  <c r="J12" i="20"/>
  <c r="I12" i="20"/>
  <c r="AA71" i="20"/>
  <c r="AB70" i="20"/>
  <c r="I78" i="20"/>
  <c r="K72" i="20"/>
  <c r="K23" i="20" s="1"/>
  <c r="H71" i="20"/>
  <c r="G66" i="20"/>
  <c r="AG117" i="85"/>
  <c r="R63" i="41"/>
  <c r="S63" i="41"/>
  <c r="U63" i="41"/>
  <c r="L94" i="41"/>
  <c r="L100" i="41" s="1"/>
  <c r="AZ68" i="41"/>
  <c r="AA74" i="41"/>
  <c r="AZ69" i="41"/>
  <c r="AA85" i="41"/>
  <c r="H126" i="73"/>
  <c r="B10" i="38"/>
  <c r="B9" i="38" s="1"/>
  <c r="AB72" i="41"/>
  <c r="W94" i="41"/>
  <c r="AB73" i="41"/>
  <c r="X94" i="41"/>
  <c r="X63" i="41"/>
  <c r="I10" i="38"/>
  <c r="H10" i="38"/>
  <c r="X85" i="41"/>
  <c r="N63" i="41"/>
  <c r="N94" i="41"/>
  <c r="C5" i="38"/>
  <c r="C44" i="38"/>
  <c r="C61" i="38" s="1"/>
  <c r="B44" i="38"/>
  <c r="B5" i="38"/>
  <c r="H45" i="38"/>
  <c r="M96" i="41"/>
  <c r="M100" i="41"/>
  <c r="C28" i="38"/>
  <c r="G28" i="31"/>
  <c r="CI104" i="85"/>
  <c r="CN89" i="85"/>
  <c r="AW60" i="59"/>
  <c r="DK113" i="23"/>
  <c r="T72" i="23"/>
  <c r="U72" i="23" s="1"/>
  <c r="R73" i="23"/>
  <c r="AG43" i="23"/>
  <c r="W12" i="56"/>
  <c r="AF260" i="23"/>
  <c r="CT141" i="30"/>
  <c r="CY142" i="30"/>
  <c r="AS36" i="59"/>
  <c r="AS37" i="59" s="1"/>
  <c r="AS81" i="59"/>
  <c r="BH54" i="85"/>
  <c r="BH55" i="85" s="1"/>
  <c r="X79" i="85"/>
  <c r="Y79" i="85" s="1"/>
  <c r="Z79" i="85" s="1"/>
  <c r="AA79" i="85" s="1"/>
  <c r="AB79" i="85" s="1"/>
  <c r="AC79" i="85" s="1"/>
  <c r="AD79" i="85" s="1"/>
  <c r="AE79" i="85" s="1"/>
  <c r="AF79" i="85" s="1"/>
  <c r="AG79" i="85" s="1"/>
  <c r="Z129" i="85"/>
  <c r="BM6" i="23"/>
  <c r="CL179" i="59"/>
  <c r="CL181" i="59" s="1"/>
  <c r="CQ182" i="59" s="1"/>
  <c r="AE207" i="30"/>
  <c r="DM179" i="30"/>
  <c r="AQ194" i="59"/>
  <c r="B10" i="52"/>
  <c r="C11" i="52"/>
  <c r="DA59" i="25"/>
  <c r="DA60" i="25"/>
  <c r="DK181" i="30"/>
  <c r="DK182" i="30" s="1"/>
  <c r="U58" i="25"/>
  <c r="CQ6" i="23"/>
  <c r="CC250" i="59"/>
  <c r="CC251" i="59" s="1"/>
  <c r="CF179" i="59"/>
  <c r="CF181" i="59" s="1"/>
  <c r="CF183" i="59" s="1"/>
  <c r="J151" i="59"/>
  <c r="BO206" i="59"/>
  <c r="BN100" i="59"/>
  <c r="CI82" i="25"/>
  <c r="BI181" i="59"/>
  <c r="BI183" i="59" s="1"/>
  <c r="BF17" i="23"/>
  <c r="BF18" i="23" s="1"/>
  <c r="I10" i="52"/>
  <c r="F10" i="52"/>
  <c r="BF8" i="23"/>
  <c r="BF7" i="23" s="1"/>
  <c r="AR13" i="59"/>
  <c r="DU45" i="30"/>
  <c r="DU48" i="30" s="1"/>
  <c r="T93" i="25"/>
  <c r="M22" i="23" s="1"/>
  <c r="BH84" i="59"/>
  <c r="AM27" i="59"/>
  <c r="AM45" i="59" s="1"/>
  <c r="AJ11" i="30"/>
  <c r="AK10" i="30"/>
  <c r="Q6" i="52"/>
  <c r="Q20" i="52" s="1"/>
  <c r="AJ22" i="30" s="1"/>
  <c r="BF103" i="30"/>
  <c r="BF141" i="30" s="1"/>
  <c r="BF138" i="30"/>
  <c r="AJ208" i="30"/>
  <c r="EJ207" i="30"/>
  <c r="EK207" i="30"/>
  <c r="EH207" i="30"/>
  <c r="EI207" i="30"/>
  <c r="BK6" i="23"/>
  <c r="BV103" i="30"/>
  <c r="BV104" i="30" s="1"/>
  <c r="BV98" i="30"/>
  <c r="BV119" i="30"/>
  <c r="AJ10" i="30"/>
  <c r="DD151" i="30"/>
  <c r="DD199" i="30"/>
  <c r="AD195" i="30"/>
  <c r="W11" i="25"/>
  <c r="W90" i="25" s="1"/>
  <c r="P20" i="23" s="1"/>
  <c r="T90" i="25"/>
  <c r="M20" i="23" s="1"/>
  <c r="BM59" i="59"/>
  <c r="BM65" i="59"/>
  <c r="BI97" i="30"/>
  <c r="BI119" i="30" s="1"/>
  <c r="BI131" i="30"/>
  <c r="BM93" i="30"/>
  <c r="BH97" i="30"/>
  <c r="BH131" i="30"/>
  <c r="BH101" i="30"/>
  <c r="AE163" i="30"/>
  <c r="DM163" i="30" s="1"/>
  <c r="DM151" i="30"/>
  <c r="Q78" i="25"/>
  <c r="D187" i="59"/>
  <c r="AQ187" i="59" s="1"/>
  <c r="CI77" i="25"/>
  <c r="BV128" i="30"/>
  <c r="BV140" i="30"/>
  <c r="CA128" i="30"/>
  <c r="BV130" i="30"/>
  <c r="BC191" i="59"/>
  <c r="BL5" i="23"/>
  <c r="BP101" i="30"/>
  <c r="BK103" i="30"/>
  <c r="BK138" i="30"/>
  <c r="BK102" i="30"/>
  <c r="CW79" i="25"/>
  <c r="C187" i="59"/>
  <c r="P78" i="25"/>
  <c r="C190" i="59" s="1"/>
  <c r="BN64" i="59"/>
  <c r="BI64" i="59"/>
  <c r="BI65" i="59"/>
  <c r="BF119" i="30"/>
  <c r="BF130" i="30"/>
  <c r="BP97" i="30"/>
  <c r="BP131" i="30"/>
  <c r="DU29" i="30"/>
  <c r="DK73" i="25" s="1"/>
  <c r="DK69" i="25"/>
  <c r="DW25" i="30"/>
  <c r="S6" i="52"/>
  <c r="S20" i="52" s="1"/>
  <c r="AL22" i="30" s="1"/>
  <c r="AL10" i="30"/>
  <c r="AM10" i="30"/>
  <c r="AL11" i="30"/>
  <c r="J518" i="23"/>
  <c r="J496" i="23"/>
  <c r="J484" i="23"/>
  <c r="J489" i="23"/>
  <c r="J480" i="23"/>
  <c r="J505" i="23"/>
  <c r="J493" i="23"/>
  <c r="J524" i="23"/>
  <c r="J478" i="23"/>
  <c r="J521" i="23"/>
  <c r="J501" i="23"/>
  <c r="CC210" i="59"/>
  <c r="CH210" i="59"/>
  <c r="BG13" i="59"/>
  <c r="AN89" i="59"/>
  <c r="BG57" i="59"/>
  <c r="I341" i="60"/>
  <c r="E85" i="63" s="1"/>
  <c r="DO128" i="30"/>
  <c r="BW310" i="59"/>
  <c r="CN221" i="59"/>
  <c r="N221" i="59" s="1"/>
  <c r="BI117" i="59"/>
  <c r="BR187" i="59"/>
  <c r="BR191" i="59" s="1"/>
  <c r="BR200" i="59" s="1"/>
  <c r="D71" i="73"/>
  <c r="I149" i="59"/>
  <c r="I151" i="59" s="1"/>
  <c r="CG8" i="59"/>
  <c r="CN155" i="59"/>
  <c r="BR46" i="59"/>
  <c r="AH8" i="25"/>
  <c r="CL191" i="59"/>
  <c r="CU5" i="23" s="1"/>
  <c r="CM274" i="59"/>
  <c r="BC13" i="31" s="1"/>
  <c r="CB49" i="59"/>
  <c r="CN327" i="59"/>
  <c r="CM191" i="59"/>
  <c r="BB27" i="59"/>
  <c r="BQ125" i="59"/>
  <c r="DJ97" i="30"/>
  <c r="DJ130" i="30" s="1"/>
  <c r="BB13" i="59"/>
  <c r="AQ14" i="31"/>
  <c r="BH218" i="59"/>
  <c r="CQ324" i="59"/>
  <c r="EC86" i="30"/>
  <c r="L218" i="59"/>
  <c r="CE218" i="59" s="1"/>
  <c r="BW198" i="59"/>
  <c r="BW199" i="59" s="1"/>
  <c r="AS13" i="59"/>
  <c r="CD316" i="59"/>
  <c r="CF8" i="59"/>
  <c r="DY91" i="30"/>
  <c r="BB57" i="59"/>
  <c r="AM237" i="30"/>
  <c r="EV88" i="30"/>
  <c r="BP221" i="59"/>
  <c r="CE221" i="59"/>
  <c r="EQ88" i="30"/>
  <c r="L137" i="30"/>
  <c r="L140" i="30" s="1"/>
  <c r="L147" i="30" s="1"/>
  <c r="L37" i="25" s="1"/>
  <c r="L82" i="25" s="1"/>
  <c r="K138" i="30"/>
  <c r="K139" i="30"/>
  <c r="K140" i="30"/>
  <c r="K142" i="30" s="1"/>
  <c r="J137" i="30"/>
  <c r="J140" i="30" s="1"/>
  <c r="Q8" i="31"/>
  <c r="Q99" i="31" s="1"/>
  <c r="Q103" i="31" s="1"/>
  <c r="P93" i="31"/>
  <c r="AZ10" i="31"/>
  <c r="AE190" i="31"/>
  <c r="G114" i="31"/>
  <c r="BS187" i="59"/>
  <c r="BS191" i="59" s="1"/>
  <c r="BX192" i="59" s="1"/>
  <c r="DT55" i="30"/>
  <c r="CD167" i="59"/>
  <c r="CI316" i="59"/>
  <c r="CI146" i="59"/>
  <c r="BH79" i="59"/>
  <c r="BH81" i="59" s="1"/>
  <c r="BR206" i="59"/>
  <c r="CB206" i="59"/>
  <c r="CU324" i="59"/>
  <c r="CU310" i="59"/>
  <c r="CK116" i="59"/>
  <c r="CQ101" i="59"/>
  <c r="CU100" i="59"/>
  <c r="BO115" i="59"/>
  <c r="CM115" i="59"/>
  <c r="CV324" i="59"/>
  <c r="CR115" i="59"/>
  <c r="CV310" i="59"/>
  <c r="CM116" i="59"/>
  <c r="BO116" i="59"/>
  <c r="CV101" i="59"/>
  <c r="N108" i="59"/>
  <c r="N150" i="59"/>
  <c r="CU328" i="59"/>
  <c r="CV182" i="59"/>
  <c r="BY206" i="59"/>
  <c r="BY211" i="59"/>
  <c r="BY199" i="59"/>
  <c r="BQ206" i="59"/>
  <c r="CD199" i="59"/>
  <c r="BQ200" i="59"/>
  <c r="M35" i="95"/>
  <c r="M41" i="95"/>
  <c r="M42" i="95" s="1"/>
  <c r="N35" i="95"/>
  <c r="C21" i="95"/>
  <c r="J266" i="59"/>
  <c r="K269" i="59" s="1"/>
  <c r="B23" i="95"/>
  <c r="B53" i="95" s="1"/>
  <c r="R13" i="31"/>
  <c r="I18" i="95"/>
  <c r="T73" i="23"/>
  <c r="O127" i="73"/>
  <c r="O126" i="73"/>
  <c r="BI88" i="73"/>
  <c r="BI87" i="73"/>
  <c r="CR266" i="59"/>
  <c r="BO93" i="73"/>
  <c r="BO94" i="73"/>
  <c r="AK237" i="30"/>
  <c r="DP126" i="30"/>
  <c r="BX206" i="59"/>
  <c r="DL27" i="25"/>
  <c r="CI211" i="59"/>
  <c r="CI198" i="59"/>
  <c r="CN199" i="59" s="1"/>
  <c r="DL28" i="25"/>
  <c r="P155" i="59"/>
  <c r="CN313" i="59"/>
  <c r="CS327" i="59"/>
  <c r="BN125" i="59"/>
  <c r="CL312" i="59"/>
  <c r="CL147" i="59" s="1"/>
  <c r="CQ126" i="59"/>
  <c r="BN45" i="73" s="1"/>
  <c r="J126" i="59"/>
  <c r="E45" i="73" s="1"/>
  <c r="CS129" i="59"/>
  <c r="BP70" i="73" s="1"/>
  <c r="BP71" i="73" s="1"/>
  <c r="CO128" i="59"/>
  <c r="CS313" i="59"/>
  <c r="CL126" i="59"/>
  <c r="BI45" i="73" s="1"/>
  <c r="I131" i="59"/>
  <c r="BP131" i="59" s="1"/>
  <c r="BK75" i="73"/>
  <c r="BK77" i="73" s="1"/>
  <c r="CN129" i="59"/>
  <c r="BK70" i="73" s="1"/>
  <c r="BK72" i="73" s="1"/>
  <c r="DP96" i="30"/>
  <c r="CF210" i="59"/>
  <c r="BI79" i="59"/>
  <c r="BI81" i="59" s="1"/>
  <c r="DK146" i="30"/>
  <c r="BH13" i="59"/>
  <c r="BH57" i="59"/>
  <c r="BI16" i="85"/>
  <c r="BI11" i="85"/>
  <c r="CB89" i="85"/>
  <c r="BW102" i="85"/>
  <c r="CR182" i="59"/>
  <c r="CM182" i="59"/>
  <c r="CW326" i="59"/>
  <c r="CW151" i="59"/>
  <c r="Q172" i="59"/>
  <c r="CW157" i="59"/>
  <c r="AK241" i="30"/>
  <c r="CU165" i="59"/>
  <c r="CU159" i="59"/>
  <c r="E130" i="31"/>
  <c r="D130" i="31"/>
  <c r="C87" i="31"/>
  <c r="C24" i="31"/>
  <c r="C113" i="30"/>
  <c r="F33" i="31"/>
  <c r="G44" i="31"/>
  <c r="F43" i="31"/>
  <c r="F44" i="31"/>
  <c r="AG410" i="23"/>
  <c r="AH457" i="23"/>
  <c r="AJ356" i="23"/>
  <c r="AK356" i="23" s="1"/>
  <c r="AI411" i="23"/>
  <c r="CM198" i="59"/>
  <c r="CM211" i="59"/>
  <c r="BS100" i="59"/>
  <c r="CW100" i="59"/>
  <c r="CP100" i="59"/>
  <c r="CP310" i="59"/>
  <c r="CP324" i="59"/>
  <c r="CK210" i="59"/>
  <c r="O101" i="30"/>
  <c r="P91" i="30"/>
  <c r="P103" i="30"/>
  <c r="P109" i="30" s="1"/>
  <c r="C35" i="25"/>
  <c r="C77" i="25" s="1"/>
  <c r="F90" i="30"/>
  <c r="F109" i="30"/>
  <c r="K35" i="25" s="1"/>
  <c r="K77" i="25" s="1"/>
  <c r="N103" i="30"/>
  <c r="M90" i="30"/>
  <c r="M101" i="30"/>
  <c r="M103" i="30" s="1"/>
  <c r="L119" i="30"/>
  <c r="BN90" i="30"/>
  <c r="BR42" i="73"/>
  <c r="CQ312" i="59"/>
  <c r="CQ147" i="59" s="1"/>
  <c r="CQ326" i="59"/>
  <c r="CQ150" i="59"/>
  <c r="CV326" i="59"/>
  <c r="EC93" i="30"/>
  <c r="EC94" i="30" s="1"/>
  <c r="AR145" i="59"/>
  <c r="AW146" i="59" s="1"/>
  <c r="BM126" i="59"/>
  <c r="CD126" i="59"/>
  <c r="H123" i="59"/>
  <c r="BH151" i="59"/>
  <c r="BX100" i="59"/>
  <c r="BX310" i="59"/>
  <c r="BQ13" i="59"/>
  <c r="AW57" i="59"/>
  <c r="R149" i="59"/>
  <c r="CH211" i="59"/>
  <c r="M165" i="59"/>
  <c r="CJ165" i="59" s="1"/>
  <c r="AH127" i="30"/>
  <c r="AH128" i="30" s="1"/>
  <c r="BZ149" i="59"/>
  <c r="CA179" i="59"/>
  <c r="CA181" i="59" s="1"/>
  <c r="CA182" i="59" s="1"/>
  <c r="BS194" i="59"/>
  <c r="BS211" i="59" s="1"/>
  <c r="CV150" i="59"/>
  <c r="CQ151" i="59"/>
  <c r="CV312" i="59"/>
  <c r="CV147" i="59" s="1"/>
  <c r="CH200" i="59"/>
  <c r="CH183" i="59"/>
  <c r="DK22" i="25"/>
  <c r="DK24" i="25"/>
  <c r="CD146" i="59"/>
  <c r="CD187" i="59"/>
  <c r="CD330" i="59"/>
  <c r="CT5" i="23"/>
  <c r="CK250" i="59"/>
  <c r="CK251" i="59" s="1"/>
  <c r="BC37" i="59"/>
  <c r="H28" i="31"/>
  <c r="Q125" i="73"/>
  <c r="P126" i="73"/>
  <c r="P127" i="73"/>
  <c r="AZ22" i="31"/>
  <c r="AE68" i="32"/>
  <c r="CG210" i="59"/>
  <c r="CG191" i="59"/>
  <c r="DP127" i="30"/>
  <c r="DP128" i="30" s="1"/>
  <c r="BS150" i="59"/>
  <c r="BN151" i="59"/>
  <c r="AH19" i="30"/>
  <c r="AH18" i="30"/>
  <c r="AH17" i="30"/>
  <c r="BL60" i="59"/>
  <c r="DN140" i="30"/>
  <c r="DN142" i="30" s="1"/>
  <c r="AR165" i="59"/>
  <c r="AR166" i="59" s="1"/>
  <c r="AR159" i="59"/>
  <c r="AW165" i="59"/>
  <c r="AW167" i="59" s="1"/>
  <c r="BB158" i="59"/>
  <c r="AW158" i="59"/>
  <c r="BW191" i="59"/>
  <c r="CB192" i="59" s="1"/>
  <c r="BW210" i="59"/>
  <c r="C81" i="63"/>
  <c r="BQ177" i="59"/>
  <c r="BQ179" i="59" s="1"/>
  <c r="BQ181" i="59" s="1"/>
  <c r="BQ183" i="59" s="1"/>
  <c r="J170" i="59"/>
  <c r="EC98" i="30"/>
  <c r="DO97" i="30"/>
  <c r="BM151" i="59"/>
  <c r="BM122" i="59"/>
  <c r="BR125" i="59" s="1"/>
  <c r="BM218" i="59"/>
  <c r="CN191" i="59"/>
  <c r="CS192" i="59" s="1"/>
  <c r="CN210" i="59"/>
  <c r="BH219" i="59"/>
  <c r="BH15" i="59"/>
  <c r="AI32" i="30"/>
  <c r="AB64" i="25"/>
  <c r="AB65" i="25" s="1"/>
  <c r="AO89" i="59"/>
  <c r="F78" i="73"/>
  <c r="H122" i="59"/>
  <c r="BR219" i="59"/>
  <c r="BR13" i="59"/>
  <c r="AQ36" i="59"/>
  <c r="DJ29" i="25"/>
  <c r="K72" i="73"/>
  <c r="AE66" i="25"/>
  <c r="P11" i="52"/>
  <c r="N17" i="52"/>
  <c r="N13" i="52"/>
  <c r="N9" i="52" s="1"/>
  <c r="N7" i="52"/>
  <c r="O7" i="52"/>
  <c r="N23" i="52"/>
  <c r="AG32" i="30"/>
  <c r="Z64" i="25"/>
  <c r="DW11" i="30"/>
  <c r="AG23" i="30"/>
  <c r="AG12" i="30"/>
  <c r="DI68" i="25"/>
  <c r="DI70" i="25"/>
  <c r="DI72" i="25"/>
  <c r="DI71" i="25"/>
  <c r="K341" i="60"/>
  <c r="G85" i="63" s="1"/>
  <c r="J93" i="59"/>
  <c r="BU39" i="59"/>
  <c r="K40" i="59"/>
  <c r="J40" i="59"/>
  <c r="EA97" i="30"/>
  <c r="BY218" i="59"/>
  <c r="K218" i="59" s="1"/>
  <c r="BY126" i="59"/>
  <c r="BY312" i="59"/>
  <c r="CT131" i="85"/>
  <c r="U131" i="85" s="1"/>
  <c r="U120" i="85"/>
  <c r="U126" i="85"/>
  <c r="N60" i="85"/>
  <c r="N62" i="85" s="1"/>
  <c r="BW60" i="85"/>
  <c r="BR63" i="85"/>
  <c r="O103" i="73"/>
  <c r="Y112" i="85" s="1"/>
  <c r="N106" i="73"/>
  <c r="N105" i="73"/>
  <c r="AD206" i="23"/>
  <c r="AE206" i="23" s="1"/>
  <c r="AF206" i="23" s="1"/>
  <c r="AG206" i="23" s="1"/>
  <c r="AH206" i="23" s="1"/>
  <c r="AI206" i="23" s="1"/>
  <c r="AJ206" i="23" s="1"/>
  <c r="AK206" i="23" s="1"/>
  <c r="AL206" i="23" s="1"/>
  <c r="AM206" i="23" s="1"/>
  <c r="AN206" i="23" s="1"/>
  <c r="DK67" i="23"/>
  <c r="DL124" i="23"/>
  <c r="DL67" i="23" s="1"/>
  <c r="I87" i="31"/>
  <c r="Y101" i="31"/>
  <c r="R102" i="31"/>
  <c r="S100" i="31"/>
  <c r="S90" i="30"/>
  <c r="P120" i="30"/>
  <c r="B6" i="38"/>
  <c r="S103" i="30"/>
  <c r="BX90" i="30"/>
  <c r="BR41" i="73"/>
  <c r="CB198" i="59"/>
  <c r="CB200" i="59" s="1"/>
  <c r="CC211" i="59"/>
  <c r="J134" i="31"/>
  <c r="I133" i="31"/>
  <c r="E104" i="31"/>
  <c r="F104" i="31"/>
  <c r="E113" i="31"/>
  <c r="F114" i="31" s="1"/>
  <c r="E108" i="31"/>
  <c r="F109" i="31" s="1"/>
  <c r="H128" i="31"/>
  <c r="H129" i="31" s="1"/>
  <c r="H130" i="31" s="1"/>
  <c r="H107" i="31"/>
  <c r="H108" i="31" s="1"/>
  <c r="H135" i="31"/>
  <c r="H112" i="31" s="1"/>
  <c r="H113" i="31" s="1"/>
  <c r="H114" i="31" s="1"/>
  <c r="J101" i="31"/>
  <c r="I102" i="31"/>
  <c r="I103" i="31" s="1"/>
  <c r="I104" i="31" s="1"/>
  <c r="M127" i="31"/>
  <c r="CZ323" i="59"/>
  <c r="CZ309" i="59"/>
  <c r="CL198" i="59"/>
  <c r="CL206" i="59"/>
  <c r="CQ10" i="23"/>
  <c r="CQ13" i="23" s="1"/>
  <c r="CH199" i="59"/>
  <c r="CL211" i="59"/>
  <c r="CW10" i="23"/>
  <c r="CL10" i="23"/>
  <c r="CL13" i="23" s="1"/>
  <c r="CL17" i="23" s="1"/>
  <c r="CC200" i="59"/>
  <c r="BR211" i="59"/>
  <c r="DJ27" i="25"/>
  <c r="BX181" i="59"/>
  <c r="BX183" i="59" s="1"/>
  <c r="CK198" i="59"/>
  <c r="CK211" i="59"/>
  <c r="DU72" i="30"/>
  <c r="DK26" i="25"/>
  <c r="DM26" i="25" s="1"/>
  <c r="DL18" i="25"/>
  <c r="BM79" i="73"/>
  <c r="BH77" i="73"/>
  <c r="BH78" i="73" s="1"/>
  <c r="DU55" i="30"/>
  <c r="CL151" i="59"/>
  <c r="EN97" i="30"/>
  <c r="DS90" i="30"/>
  <c r="DS91" i="30" s="1"/>
  <c r="AL237" i="30"/>
  <c r="BT183" i="59"/>
  <c r="BT182" i="59"/>
  <c r="DV65" i="30"/>
  <c r="DV73" i="30" s="1"/>
  <c r="DV80" i="30" s="1"/>
  <c r="DW54" i="30"/>
  <c r="DV56" i="30"/>
  <c r="AK12" i="25"/>
  <c r="AO71" i="30"/>
  <c r="AK16" i="25" s="1"/>
  <c r="AJ12" i="25"/>
  <c r="AN71" i="30"/>
  <c r="AJ16" i="25" s="1"/>
  <c r="DL11" i="25"/>
  <c r="DL15" i="25"/>
  <c r="DL14" i="25"/>
  <c r="DL13" i="25"/>
  <c r="I78" i="73"/>
  <c r="AK127" i="30"/>
  <c r="BU149" i="59"/>
  <c r="P178" i="59"/>
  <c r="CF122" i="59"/>
  <c r="EH95" i="30" s="1"/>
  <c r="EH96" i="30" s="1"/>
  <c r="CQ187" i="59"/>
  <c r="CQ191" i="59" s="1"/>
  <c r="BO77" i="73"/>
  <c r="BO76" i="73" s="1"/>
  <c r="CQ146" i="59"/>
  <c r="CQ330" i="59"/>
  <c r="CK121" i="59"/>
  <c r="CQ183" i="59"/>
  <c r="CQ316" i="59"/>
  <c r="DY98" i="30"/>
  <c r="CW310" i="59"/>
  <c r="BI78" i="73"/>
  <c r="BI79" i="73"/>
  <c r="BN72" i="73"/>
  <c r="BN71" i="73"/>
  <c r="BN69" i="73"/>
  <c r="BN77" i="73"/>
  <c r="BN76" i="73" s="1"/>
  <c r="D78" i="73"/>
  <c r="D79" i="73"/>
  <c r="BW125" i="59"/>
  <c r="CA12" i="59"/>
  <c r="CA13" i="59" s="1"/>
  <c r="BV13" i="59"/>
  <c r="BV219" i="59"/>
  <c r="BQ50" i="59"/>
  <c r="DS113" i="30"/>
  <c r="BQ55" i="59"/>
  <c r="G224" i="59"/>
  <c r="DD24" i="59"/>
  <c r="DX87" i="30"/>
  <c r="DX90" i="30"/>
  <c r="X71" i="59"/>
  <c r="Y71" i="59" s="1"/>
  <c r="T170" i="59"/>
  <c r="AO15" i="25"/>
  <c r="DY93" i="30"/>
  <c r="DY94" i="30" s="1"/>
  <c r="CB121" i="59"/>
  <c r="CU146" i="59"/>
  <c r="CP146" i="59"/>
  <c r="CP187" i="59"/>
  <c r="DS95" i="30"/>
  <c r="DX96" i="30" s="1"/>
  <c r="BV125" i="59"/>
  <c r="AM78" i="30"/>
  <c r="AM241" i="30"/>
  <c r="ED98" i="30"/>
  <c r="CA125" i="59"/>
  <c r="J131" i="59"/>
  <c r="BU123" i="59"/>
  <c r="DS98" i="30"/>
  <c r="DX98" i="30"/>
  <c r="AM55" i="30"/>
  <c r="BM72" i="73"/>
  <c r="BM71" i="73"/>
  <c r="CL115" i="59"/>
  <c r="CI24" i="59"/>
  <c r="CD25" i="59"/>
  <c r="CD233" i="59"/>
  <c r="L233" i="59" s="1"/>
  <c r="CE233" i="59" s="1"/>
  <c r="DY87" i="30"/>
  <c r="CE24" i="59"/>
  <c r="BR55" i="59"/>
  <c r="BR57" i="59" s="1"/>
  <c r="DT113" i="30"/>
  <c r="BV55" i="59"/>
  <c r="BV50" i="59"/>
  <c r="BW219" i="59"/>
  <c r="BW13" i="59"/>
  <c r="ED87" i="30"/>
  <c r="EC90" i="30"/>
  <c r="EC87" i="30"/>
  <c r="BW50" i="59"/>
  <c r="BW55" i="59"/>
  <c r="CA50" i="59"/>
  <c r="AQ42" i="31"/>
  <c r="CA55" i="59"/>
  <c r="ED91" i="30"/>
  <c r="AV14" i="31"/>
  <c r="CF12" i="59"/>
  <c r="EH86" i="30"/>
  <c r="CF49" i="59"/>
  <c r="CK8" i="59"/>
  <c r="AA191" i="31"/>
  <c r="J71" i="23"/>
  <c r="K72" i="23"/>
  <c r="H104" i="31"/>
  <c r="DA323" i="59"/>
  <c r="BQ210" i="59"/>
  <c r="DV55" i="30"/>
  <c r="CH182" i="59"/>
  <c r="E78" i="73"/>
  <c r="E76" i="73"/>
  <c r="BI111" i="59"/>
  <c r="BI114" i="59" s="1"/>
  <c r="BI116" i="59" s="1"/>
  <c r="BI108" i="59"/>
  <c r="BI202" i="59" s="1"/>
  <c r="BI204" i="59" s="1"/>
  <c r="BI214" i="59" s="1"/>
  <c r="CW146" i="59"/>
  <c r="CR146" i="59"/>
  <c r="CR183" i="59"/>
  <c r="CS250" i="59"/>
  <c r="CS251" i="59" s="1"/>
  <c r="DB5" i="23"/>
  <c r="DT95" i="30"/>
  <c r="DY96" i="30" s="1"/>
  <c r="DZ93" i="30"/>
  <c r="DZ94" i="30" s="1"/>
  <c r="CC121" i="59"/>
  <c r="BX122" i="59"/>
  <c r="DU95" i="30"/>
  <c r="DU96" i="30" s="1"/>
  <c r="BS125" i="59"/>
  <c r="CV250" i="59"/>
  <c r="CV251" i="59" s="1"/>
  <c r="DE5" i="23"/>
  <c r="BO71" i="73"/>
  <c r="BO72" i="73"/>
  <c r="BO69" i="73"/>
  <c r="ER98" i="30"/>
  <c r="EM98" i="30"/>
  <c r="DQ130" i="30"/>
  <c r="DQ98" i="30"/>
  <c r="DV98" i="30"/>
  <c r="K151" i="59"/>
  <c r="K126" i="59"/>
  <c r="F45" i="73" s="1"/>
  <c r="BZ123" i="59"/>
  <c r="K131" i="59"/>
  <c r="BJ79" i="73"/>
  <c r="BJ78" i="73"/>
  <c r="I72" i="73"/>
  <c r="BX210" i="59"/>
  <c r="CR5" i="23"/>
  <c r="CI250" i="59"/>
  <c r="CI251" i="59" s="1"/>
  <c r="BV210" i="59"/>
  <c r="BV191" i="59"/>
  <c r="BV192" i="59" s="1"/>
  <c r="DI22" i="25"/>
  <c r="DI24" i="25"/>
  <c r="DI32" i="25"/>
  <c r="DM21" i="25"/>
  <c r="DS47" i="30"/>
  <c r="DW43" i="30"/>
  <c r="DS45" i="30"/>
  <c r="BW146" i="59"/>
  <c r="BW316" i="59"/>
  <c r="BR167" i="59"/>
  <c r="BR146" i="59"/>
  <c r="CG5" i="23"/>
  <c r="CL6" i="23" s="1"/>
  <c r="BX250" i="59"/>
  <c r="BX251" i="59" s="1"/>
  <c r="CC192" i="59"/>
  <c r="DI28" i="25"/>
  <c r="DJ24" i="25"/>
  <c r="DJ28" i="25"/>
  <c r="DJ22" i="25"/>
  <c r="CI210" i="59"/>
  <c r="CA250" i="59"/>
  <c r="CA251" i="59" s="1"/>
  <c r="CJ5" i="23"/>
  <c r="CA200" i="59"/>
  <c r="CR126" i="59"/>
  <c r="BO45" i="73" s="1"/>
  <c r="CM126" i="59"/>
  <c r="BJ45" i="73" s="1"/>
  <c r="EO97" i="30"/>
  <c r="CM218" i="59"/>
  <c r="CM312" i="59"/>
  <c r="CM147" i="59" s="1"/>
  <c r="CM326" i="59"/>
  <c r="CM151" i="59"/>
  <c r="DA309" i="59"/>
  <c r="T16" i="52"/>
  <c r="M279" i="60" s="1"/>
  <c r="S91" i="59"/>
  <c r="CY91" i="59" s="1"/>
  <c r="R93" i="59"/>
  <c r="R92" i="59"/>
  <c r="AM16" i="30"/>
  <c r="AM19" i="30" s="1"/>
  <c r="R323" i="59"/>
  <c r="CV100" i="59"/>
  <c r="BH111" i="59"/>
  <c r="H105" i="59"/>
  <c r="BK105" i="59" s="1"/>
  <c r="Q93" i="59"/>
  <c r="Q323" i="59"/>
  <c r="S16" i="52"/>
  <c r="L279" i="60" s="1"/>
  <c r="AL16" i="30"/>
  <c r="AL19" i="30" s="1"/>
  <c r="Q92" i="59"/>
  <c r="Q113" i="59"/>
  <c r="CT91" i="59"/>
  <c r="CQ194" i="59"/>
  <c r="CQ211" i="59" s="1"/>
  <c r="CQ100" i="59"/>
  <c r="CT87" i="59"/>
  <c r="Q89" i="59"/>
  <c r="Q112" i="59"/>
  <c r="Q88" i="59"/>
  <c r="BT210" i="59"/>
  <c r="CT24" i="59"/>
  <c r="BK8" i="23"/>
  <c r="M475" i="23"/>
  <c r="M503" i="23" s="1"/>
  <c r="BL8" i="23"/>
  <c r="Q8" i="23"/>
  <c r="BM8" i="23"/>
  <c r="BG21" i="23"/>
  <c r="BG18" i="23"/>
  <c r="BH89" i="23"/>
  <c r="BH91" i="23" s="1"/>
  <c r="BH58" i="23"/>
  <c r="AH204" i="23"/>
  <c r="AI204" i="23" s="1"/>
  <c r="AI282" i="23"/>
  <c r="AD63" i="41"/>
  <c r="Y32" i="85"/>
  <c r="AM57" i="25" s="1"/>
  <c r="AQ179" i="30" s="1"/>
  <c r="AQ180" i="30" s="1"/>
  <c r="AR205" i="30"/>
  <c r="AC22" i="23"/>
  <c r="DI61" i="23"/>
  <c r="AE63" i="41"/>
  <c r="V63" i="41"/>
  <c r="W63" i="41"/>
  <c r="T94" i="41"/>
  <c r="T63" i="41"/>
  <c r="AA63" i="41"/>
  <c r="P94" i="41"/>
  <c r="P63" i="41"/>
  <c r="H58" i="38"/>
  <c r="H77" i="38" s="1"/>
  <c r="Y94" i="41"/>
  <c r="O28" i="38" s="1"/>
  <c r="Z63" i="41"/>
  <c r="Y63" i="41"/>
  <c r="AB63" i="41"/>
  <c r="AC63" i="41"/>
  <c r="AC71" i="41"/>
  <c r="V94" i="41"/>
  <c r="N38" i="38"/>
  <c r="N66" i="38"/>
  <c r="N81" i="38" s="1"/>
  <c r="O30" i="38"/>
  <c r="K28" i="38"/>
  <c r="K59" i="38" s="1"/>
  <c r="K78" i="38" s="1"/>
  <c r="U96" i="41"/>
  <c r="Q94" i="41"/>
  <c r="Q63" i="41"/>
  <c r="H28" i="38"/>
  <c r="H59" i="38" s="1"/>
  <c r="R96" i="41"/>
  <c r="R100" i="41"/>
  <c r="AE151" i="23"/>
  <c r="AL156" i="20"/>
  <c r="AL168" i="20" s="1"/>
  <c r="AL111" i="20"/>
  <c r="H144" i="73"/>
  <c r="H146" i="73"/>
  <c r="H147" i="73"/>
  <c r="I146" i="73"/>
  <c r="I144" i="73"/>
  <c r="I147" i="73"/>
  <c r="AM60" i="30"/>
  <c r="AM58" i="30"/>
  <c r="BL150" i="59"/>
  <c r="BG150" i="59"/>
  <c r="DI127" i="30"/>
  <c r="BG177" i="59"/>
  <c r="BG179" i="59" s="1"/>
  <c r="BG181" i="59" s="1"/>
  <c r="BG183" i="59" s="1"/>
  <c r="BG151" i="59"/>
  <c r="BC192" i="59"/>
  <c r="AX200" i="59"/>
  <c r="O221" i="59"/>
  <c r="CJ221" i="59"/>
  <c r="BX43" i="25"/>
  <c r="BY43" i="25" s="1"/>
  <c r="BK123" i="59"/>
  <c r="I126" i="59"/>
  <c r="D45" i="73" s="1"/>
  <c r="H218" i="59"/>
  <c r="H131" i="59"/>
  <c r="I132" i="59" s="1"/>
  <c r="AY192" i="59"/>
  <c r="AT192" i="59"/>
  <c r="BL6" i="23"/>
  <c r="BG6" i="23"/>
  <c r="BI5" i="23"/>
  <c r="BJ5" i="23" s="1"/>
  <c r="BG8" i="23"/>
  <c r="DN98" i="30"/>
  <c r="DI98" i="30"/>
  <c r="AU190" i="59"/>
  <c r="AV190" i="59" s="1"/>
  <c r="CM79" i="25"/>
  <c r="CR80" i="25" s="1"/>
  <c r="CK97" i="30"/>
  <c r="CA98" i="30"/>
  <c r="CF97" i="30"/>
  <c r="CA119" i="30"/>
  <c r="CA103" i="30"/>
  <c r="CA130" i="30"/>
  <c r="AZ191" i="59"/>
  <c r="BA191" i="59" s="1"/>
  <c r="CW80" i="25"/>
  <c r="EH94" i="30"/>
  <c r="BT200" i="59"/>
  <c r="BT250" i="59"/>
  <c r="BX198" i="59"/>
  <c r="BX211" i="59"/>
  <c r="BG125" i="59"/>
  <c r="DI95" i="30"/>
  <c r="DI125" i="30" s="1"/>
  <c r="BL125" i="59"/>
  <c r="BH670" i="23"/>
  <c r="BH671" i="23"/>
  <c r="CI126" i="59"/>
  <c r="CI218" i="59"/>
  <c r="M218" i="59" s="1"/>
  <c r="EK97" i="30"/>
  <c r="EK98" i="30" s="1"/>
  <c r="CI151" i="59"/>
  <c r="CI312" i="59"/>
  <c r="CI147" i="59" s="1"/>
  <c r="CI326" i="59"/>
  <c r="CO18" i="23"/>
  <c r="AD111" i="20"/>
  <c r="AD156" i="20"/>
  <c r="AD168" i="20" s="1"/>
  <c r="AH156" i="20"/>
  <c r="AH168" i="20" s="1"/>
  <c r="AH111" i="20"/>
  <c r="AM156" i="20"/>
  <c r="AM168" i="20" s="1"/>
  <c r="E96" i="95"/>
  <c r="J95" i="31"/>
  <c r="K11" i="31"/>
  <c r="G104" i="31"/>
  <c r="G96" i="95"/>
  <c r="G108" i="31"/>
  <c r="G109" i="31" s="1"/>
  <c r="E109" i="95"/>
  <c r="E110" i="95" s="1"/>
  <c r="BR92" i="73"/>
  <c r="BM94" i="73"/>
  <c r="CP266" i="59"/>
  <c r="BM93" i="73"/>
  <c r="BU40" i="73"/>
  <c r="G77" i="73"/>
  <c r="G79" i="73" s="1"/>
  <c r="J124" i="73"/>
  <c r="Z84" i="41" s="1"/>
  <c r="M130" i="73"/>
  <c r="I124" i="73"/>
  <c r="Y84" i="41" s="1"/>
  <c r="AY124" i="73"/>
  <c r="BH124" i="73"/>
  <c r="BZ124" i="73"/>
  <c r="BN124" i="73"/>
  <c r="BT124" i="73"/>
  <c r="BE124" i="73"/>
  <c r="H124" i="73"/>
  <c r="N130" i="73"/>
  <c r="O124" i="73"/>
  <c r="AE84" i="41" s="1"/>
  <c r="BW124" i="73"/>
  <c r="BP124" i="73"/>
  <c r="BC124" i="73"/>
  <c r="BY124" i="73"/>
  <c r="BM124" i="73"/>
  <c r="BK124" i="73"/>
  <c r="O130" i="73"/>
  <c r="N124" i="73"/>
  <c r="AD84" i="41" s="1"/>
  <c r="BI124" i="73"/>
  <c r="AX124" i="73"/>
  <c r="G124" i="73"/>
  <c r="M31" i="38" s="1"/>
  <c r="BR124" i="73"/>
  <c r="AZ124" i="73"/>
  <c r="BS124" i="73"/>
  <c r="BX124" i="73"/>
  <c r="L130" i="73"/>
  <c r="BD124" i="73"/>
  <c r="BO124" i="73"/>
  <c r="BF124" i="73"/>
  <c r="BA124" i="73"/>
  <c r="P124" i="73"/>
  <c r="BJ124" i="73"/>
  <c r="BU124" i="73"/>
  <c r="BZ76" i="73"/>
  <c r="Q76" i="73"/>
  <c r="R76" i="73"/>
  <c r="V76" i="73"/>
  <c r="BI69" i="73"/>
  <c r="K69" i="73"/>
  <c r="BS76" i="73"/>
  <c r="M69" i="73"/>
  <c r="V69" i="73"/>
  <c r="U69" i="73"/>
  <c r="BU76" i="73"/>
  <c r="BW76" i="73"/>
  <c r="N76" i="73"/>
  <c r="O76" i="73"/>
  <c r="P76" i="73"/>
  <c r="U76" i="73"/>
  <c r="BJ69" i="73"/>
  <c r="BT76" i="73"/>
  <c r="L76" i="73"/>
  <c r="S69" i="73"/>
  <c r="P69" i="73"/>
  <c r="H69" i="73"/>
  <c r="BR76" i="73"/>
  <c r="BX76" i="73"/>
  <c r="T76" i="73"/>
  <c r="BH69" i="73"/>
  <c r="O69" i="73"/>
  <c r="L69" i="73"/>
  <c r="T69" i="73"/>
  <c r="BY76" i="73"/>
  <c r="M76" i="73"/>
  <c r="S76" i="73"/>
  <c r="R69" i="73"/>
  <c r="N69" i="73"/>
  <c r="Q69" i="73"/>
  <c r="G69" i="73"/>
  <c r="F69" i="73"/>
  <c r="BJ76" i="73"/>
  <c r="BM76" i="73"/>
  <c r="BI76" i="73"/>
  <c r="C69" i="73"/>
  <c r="BD69" i="73"/>
  <c r="I76" i="73"/>
  <c r="D76" i="73"/>
  <c r="BE69" i="73"/>
  <c r="I69" i="73"/>
  <c r="D69" i="73"/>
  <c r="J69" i="73"/>
  <c r="BC69" i="73"/>
  <c r="CK274" i="59"/>
  <c r="BA13" i="31" s="1"/>
  <c r="CK269" i="59"/>
  <c r="BU93" i="73"/>
  <c r="BU94" i="73"/>
  <c r="BT41" i="73"/>
  <c r="BT42" i="73"/>
  <c r="BT39" i="73"/>
  <c r="K113" i="73"/>
  <c r="K114" i="73" s="1"/>
  <c r="K111" i="73"/>
  <c r="F76" i="73"/>
  <c r="L97" i="73"/>
  <c r="I28" i="95" s="1"/>
  <c r="BJ91" i="73"/>
  <c r="R97" i="73"/>
  <c r="O28" i="95" s="1"/>
  <c r="AA28" i="95"/>
  <c r="G85" i="73"/>
  <c r="D7" i="95" s="1"/>
  <c r="BI85" i="73"/>
  <c r="CL265" i="59" s="1"/>
  <c r="BF85" i="73"/>
  <c r="CI265" i="59" s="1"/>
  <c r="BW97" i="73"/>
  <c r="X28" i="95" s="1"/>
  <c r="BF91" i="73"/>
  <c r="BD85" i="73"/>
  <c r="CG265" i="59" s="1"/>
  <c r="BK85" i="73"/>
  <c r="CN265" i="59" s="1"/>
  <c r="BO85" i="73"/>
  <c r="CR265" i="59" s="1"/>
  <c r="AZ85" i="73"/>
  <c r="CC265" i="59" s="1"/>
  <c r="BT91" i="73"/>
  <c r="BK91" i="73"/>
  <c r="S97" i="73"/>
  <c r="P28" i="95" s="1"/>
  <c r="N97" i="73"/>
  <c r="K28" i="95" s="1"/>
  <c r="BN91" i="73"/>
  <c r="U97" i="73"/>
  <c r="R28" i="95" s="1"/>
  <c r="H85" i="73"/>
  <c r="H91" i="73"/>
  <c r="BH91" i="73"/>
  <c r="BU85" i="73"/>
  <c r="BC85" i="73"/>
  <c r="CF265" i="59" s="1"/>
  <c r="L103" i="73"/>
  <c r="BD91" i="73"/>
  <c r="BA91" i="73"/>
  <c r="BR85" i="73"/>
  <c r="BC91" i="73"/>
  <c r="BY97" i="73"/>
  <c r="Z28" i="95" s="1"/>
  <c r="BN85" i="73"/>
  <c r="CQ265" i="59" s="1"/>
  <c r="O97" i="73"/>
  <c r="L28" i="95" s="1"/>
  <c r="AZ91" i="73"/>
  <c r="AY85" i="73"/>
  <c r="CB265" i="59" s="1"/>
  <c r="BM91" i="73"/>
  <c r="J97" i="73"/>
  <c r="BP91" i="73"/>
  <c r="CS266" i="59" s="1"/>
  <c r="BJ85" i="73"/>
  <c r="CM265" i="59" s="1"/>
  <c r="M97" i="73"/>
  <c r="J28" i="95" s="1"/>
  <c r="BT85" i="73"/>
  <c r="BS91" i="73"/>
  <c r="T97" i="73"/>
  <c r="Q28" i="95" s="1"/>
  <c r="AX91" i="73"/>
  <c r="BY85" i="73"/>
  <c r="N103" i="73"/>
  <c r="X112" i="85" s="1"/>
  <c r="BE85" i="73"/>
  <c r="CH265" i="59" s="1"/>
  <c r="BI91" i="73"/>
  <c r="M103" i="73"/>
  <c r="BH85" i="73"/>
  <c r="CK265" i="59" s="1"/>
  <c r="BP85" i="73"/>
  <c r="CS265" i="59" s="1"/>
  <c r="P97" i="73"/>
  <c r="M28" i="95" s="1"/>
  <c r="M29" i="95" s="1"/>
  <c r="BW103" i="73"/>
  <c r="BX97" i="73"/>
  <c r="Y28" i="95" s="1"/>
  <c r="BO91" i="73"/>
  <c r="AY91" i="73"/>
  <c r="Q97" i="73"/>
  <c r="N28" i="95" s="1"/>
  <c r="BM85" i="73"/>
  <c r="CP265" i="59" s="1"/>
  <c r="BZ103" i="73"/>
  <c r="BA85" i="73"/>
  <c r="CD265" i="59" s="1"/>
  <c r="AX85" i="73"/>
  <c r="CA265" i="59" s="1"/>
  <c r="K97" i="73"/>
  <c r="H28" i="95" s="1"/>
  <c r="G91" i="73"/>
  <c r="D19" i="95" s="1"/>
  <c r="BX91" i="73"/>
  <c r="Y20" i="95" s="1"/>
  <c r="BE91" i="73"/>
  <c r="V97" i="73"/>
  <c r="S28" i="95" s="1"/>
  <c r="L124" i="73"/>
  <c r="AB84" i="41" s="1"/>
  <c r="S144" i="73"/>
  <c r="AJ163" i="23" s="1"/>
  <c r="S146" i="73"/>
  <c r="T145" i="73"/>
  <c r="S147" i="73"/>
  <c r="T118" i="73"/>
  <c r="S119" i="73"/>
  <c r="S120" i="73"/>
  <c r="S117" i="73"/>
  <c r="BP41" i="73"/>
  <c r="BP42" i="73"/>
  <c r="BP39" i="73"/>
  <c r="Z580" i="23"/>
  <c r="Z584" i="23"/>
  <c r="DH408" i="23"/>
  <c r="AK422" i="23"/>
  <c r="AJ375" i="23"/>
  <c r="AF354" i="23"/>
  <c r="AF409" i="23" s="1"/>
  <c r="AH353" i="23"/>
  <c r="AH408" i="23" s="1"/>
  <c r="AG348" i="23"/>
  <c r="F96" i="95"/>
  <c r="X157" i="31"/>
  <c r="F97" i="95"/>
  <c r="K87" i="31"/>
  <c r="K28" i="31"/>
  <c r="L90" i="30"/>
  <c r="M91" i="30"/>
  <c r="K91" i="30"/>
  <c r="N91" i="30"/>
  <c r="P119" i="30"/>
  <c r="BI120" i="30"/>
  <c r="BI90" i="30"/>
  <c r="BN87" i="30"/>
  <c r="K154" i="30"/>
  <c r="K152" i="30"/>
  <c r="L152" i="30" s="1"/>
  <c r="BF151" i="30"/>
  <c r="BI140" i="30"/>
  <c r="BI101" i="30"/>
  <c r="BI138" i="30" s="1"/>
  <c r="K103" i="30"/>
  <c r="K141" i="30" s="1"/>
  <c r="L101" i="30"/>
  <c r="L103" i="30" s="1"/>
  <c r="J101" i="30"/>
  <c r="J103" i="30" s="1"/>
  <c r="N102" i="30"/>
  <c r="I151" i="30"/>
  <c r="I148" i="30"/>
  <c r="N9" i="53"/>
  <c r="M9" i="53"/>
  <c r="J341" i="60"/>
  <c r="F85" i="63" s="1"/>
  <c r="D370" i="60"/>
  <c r="BF83" i="59"/>
  <c r="DH146" i="30" s="1"/>
  <c r="G85" i="59"/>
  <c r="R13" i="52"/>
  <c r="R9" i="52" s="1"/>
  <c r="R23" i="52"/>
  <c r="R17" i="52"/>
  <c r="R7" i="52"/>
  <c r="S7" i="52"/>
  <c r="DP146" i="30"/>
  <c r="BN79" i="59"/>
  <c r="BN84" i="59"/>
  <c r="BM177" i="59"/>
  <c r="BM179" i="59" s="1"/>
  <c r="BM181" i="59" s="1"/>
  <c r="BM172" i="59"/>
  <c r="BM174" i="59" s="1"/>
  <c r="EP97" i="30"/>
  <c r="CS126" i="59"/>
  <c r="BP45" i="73" s="1"/>
  <c r="CN151" i="59"/>
  <c r="CN218" i="59"/>
  <c r="CN312" i="59"/>
  <c r="CN147" i="59" s="1"/>
  <c r="CN126" i="59"/>
  <c r="BK45" i="73" s="1"/>
  <c r="CN326" i="59"/>
  <c r="CP183" i="59"/>
  <c r="CU182" i="59"/>
  <c r="CP182" i="59"/>
  <c r="BD84" i="59"/>
  <c r="F83" i="59"/>
  <c r="BA83" i="59" s="1"/>
  <c r="DA146" i="30"/>
  <c r="AC146" i="30" s="1"/>
  <c r="P24" i="52"/>
  <c r="DJ123" i="30"/>
  <c r="I145" i="59"/>
  <c r="DJ74" i="25"/>
  <c r="DJ75" i="25"/>
  <c r="H77" i="73"/>
  <c r="CK5" i="23"/>
  <c r="CB250" i="59"/>
  <c r="CB251" i="59" s="1"/>
  <c r="I170" i="59"/>
  <c r="BL177" i="59"/>
  <c r="BL179" i="59" s="1"/>
  <c r="BL181" i="59" s="1"/>
  <c r="BL172" i="59"/>
  <c r="BL174" i="59" s="1"/>
  <c r="BP69" i="73"/>
  <c r="S172" i="59"/>
  <c r="S174" i="59" s="1"/>
  <c r="CY174" i="59" s="1"/>
  <c r="CY170" i="59"/>
  <c r="BL33" i="59"/>
  <c r="DI108" i="30"/>
  <c r="BG30" i="59"/>
  <c r="BG31" i="59" s="1"/>
  <c r="BG224" i="59"/>
  <c r="BG226" i="59" s="1"/>
  <c r="BG228" i="59" s="1"/>
  <c r="BG83" i="59"/>
  <c r="AH63" i="30"/>
  <c r="AH54" i="30"/>
  <c r="AA9" i="25"/>
  <c r="AA10" i="25" s="1"/>
  <c r="DB323" i="59"/>
  <c r="AS88" i="59"/>
  <c r="R172" i="59"/>
  <c r="R174" i="59" s="1"/>
  <c r="E72" i="73"/>
  <c r="E71" i="73"/>
  <c r="E69" i="73"/>
  <c r="J165" i="59"/>
  <c r="BU157" i="59"/>
  <c r="AK32" i="30"/>
  <c r="AL12" i="30"/>
  <c r="AD64" i="25"/>
  <c r="CT172" i="59"/>
  <c r="Q174" i="59"/>
  <c r="BS83" i="59"/>
  <c r="DU108" i="30"/>
  <c r="BX33" i="59"/>
  <c r="BS30" i="59"/>
  <c r="BS241" i="59"/>
  <c r="BS224" i="59" s="1"/>
  <c r="AJ54" i="30"/>
  <c r="AC9" i="25"/>
  <c r="AJ63" i="30"/>
  <c r="E81" i="63"/>
  <c r="DN125" i="30"/>
  <c r="DT73" i="30"/>
  <c r="BW33" i="59"/>
  <c r="DT108" i="30"/>
  <c r="BR30" i="59"/>
  <c r="BR241" i="59"/>
  <c r="BR224" i="59" s="1"/>
  <c r="CR210" i="59"/>
  <c r="CR191" i="59"/>
  <c r="BB13" i="31"/>
  <c r="R45" i="33"/>
  <c r="AE95" i="30"/>
  <c r="BK122" i="59"/>
  <c r="K165" i="59"/>
  <c r="BZ157" i="59"/>
  <c r="K158" i="59"/>
  <c r="R37" i="59"/>
  <c r="S36" i="59"/>
  <c r="CY36" i="59" s="1"/>
  <c r="CK182" i="59"/>
  <c r="CK183" i="59"/>
  <c r="CO5" i="23"/>
  <c r="CF250" i="59"/>
  <c r="CF251" i="59" s="1"/>
  <c r="CF200" i="59"/>
  <c r="CK192" i="59"/>
  <c r="CF192" i="59"/>
  <c r="BB151" i="59"/>
  <c r="BB218" i="59"/>
  <c r="BB226" i="59" s="1"/>
  <c r="BB228" i="59" s="1"/>
  <c r="BG126" i="59"/>
  <c r="BB131" i="59"/>
  <c r="BB126" i="59"/>
  <c r="BK71" i="73"/>
  <c r="AL67" i="32"/>
  <c r="AC302" i="59"/>
  <c r="DB309" i="59"/>
  <c r="DD106" i="59"/>
  <c r="V106" i="59"/>
  <c r="W106" i="59" s="1"/>
  <c r="X106" i="59" s="1"/>
  <c r="Y106" i="59" s="1"/>
  <c r="Z106" i="59" s="1"/>
  <c r="AA106" i="59" s="1"/>
  <c r="AB106" i="59" s="1"/>
  <c r="AC106" i="59" s="1"/>
  <c r="AD106" i="59" s="1"/>
  <c r="AE106" i="59" s="1"/>
  <c r="DL127" i="30"/>
  <c r="BJ177" i="59"/>
  <c r="BJ179" i="59" s="1"/>
  <c r="BJ181" i="59" s="1"/>
  <c r="BO150" i="59"/>
  <c r="H149" i="59"/>
  <c r="BJ151" i="59"/>
  <c r="Z9" i="23"/>
  <c r="DC9" i="23" s="1"/>
  <c r="O6" i="53"/>
  <c r="AA300" i="59"/>
  <c r="AE300" i="59" s="1"/>
  <c r="W302" i="59"/>
  <c r="AF67" i="32"/>
  <c r="BF72" i="73"/>
  <c r="BF71" i="73"/>
  <c r="BF69" i="73"/>
  <c r="BN240" i="59"/>
  <c r="BN31" i="59"/>
  <c r="P154" i="59"/>
  <c r="O155" i="59"/>
  <c r="O157" i="59"/>
  <c r="O165" i="59" s="1"/>
  <c r="AI54" i="30"/>
  <c r="AI63" i="30"/>
  <c r="AB9" i="25"/>
  <c r="DJ68" i="25"/>
  <c r="DJ71" i="25"/>
  <c r="DJ72" i="25"/>
  <c r="DJ70" i="25"/>
  <c r="BM240" i="59"/>
  <c r="BM31" i="59"/>
  <c r="BN172" i="59"/>
  <c r="BN174" i="59" s="1"/>
  <c r="BN177" i="59"/>
  <c r="BN179" i="59" s="1"/>
  <c r="BN181" i="59" s="1"/>
  <c r="Z196" i="59"/>
  <c r="AO84" i="25"/>
  <c r="CO221" i="59"/>
  <c r="P221" i="59"/>
  <c r="AI17" i="30"/>
  <c r="AI19" i="30"/>
  <c r="AI18" i="30"/>
  <c r="AL51" i="30"/>
  <c r="CT153" i="59"/>
  <c r="Q155" i="59"/>
  <c r="L221" i="60"/>
  <c r="Q154" i="59"/>
  <c r="J75" i="73"/>
  <c r="Q178" i="59"/>
  <c r="R327" i="59"/>
  <c r="R154" i="59"/>
  <c r="Q327" i="59"/>
  <c r="CV165" i="59"/>
  <c r="CV166" i="59"/>
  <c r="CV314" i="59"/>
  <c r="CV158" i="59"/>
  <c r="CV328" i="59"/>
  <c r="CV159" i="59"/>
  <c r="BT114" i="59"/>
  <c r="AO11" i="25"/>
  <c r="DP124" i="30"/>
  <c r="DK131" i="30"/>
  <c r="AR12" i="25"/>
  <c r="AR11" i="25" s="1"/>
  <c r="AV71" i="30"/>
  <c r="AR16" i="25" s="1"/>
  <c r="T559" i="23"/>
  <c r="AA65" i="25"/>
  <c r="AH10" i="25"/>
  <c r="H113" i="73"/>
  <c r="H114" i="73" s="1"/>
  <c r="AW15" i="59"/>
  <c r="AW16" i="59" s="1"/>
  <c r="DD104" i="30"/>
  <c r="CY141" i="30"/>
  <c r="AW31" i="59"/>
  <c r="AW36" i="59"/>
  <c r="CY104" i="30"/>
  <c r="AR61" i="59"/>
  <c r="AR75" i="59"/>
  <c r="D81" i="59"/>
  <c r="AQ79" i="59"/>
  <c r="D87" i="59"/>
  <c r="AR16" i="59"/>
  <c r="AR27" i="59"/>
  <c r="CK77" i="25"/>
  <c r="CN77" i="25" s="1"/>
  <c r="CK46" i="25"/>
  <c r="CP36" i="25"/>
  <c r="CK42" i="25"/>
  <c r="CK36" i="25"/>
  <c r="CK38" i="25"/>
  <c r="AR187" i="59"/>
  <c r="CJ79" i="25"/>
  <c r="CN35" i="25"/>
  <c r="AR80" i="59"/>
  <c r="AM81" i="59"/>
  <c r="AM87" i="59"/>
  <c r="BD51" i="85"/>
  <c r="BD54" i="85"/>
  <c r="BD55" i="85" s="1"/>
  <c r="N56" i="85"/>
  <c r="N57" i="85" s="1"/>
  <c r="N75" i="85"/>
  <c r="O74" i="85"/>
  <c r="BX8" i="85"/>
  <c r="CC68" i="85"/>
  <c r="BZ89" i="85"/>
  <c r="BU104" i="85"/>
  <c r="BS9" i="85"/>
  <c r="BS16" i="85"/>
  <c r="BP102" i="85"/>
  <c r="BP101" i="85"/>
  <c r="BU98" i="85"/>
  <c r="BN16" i="85"/>
  <c r="BN9" i="85"/>
  <c r="BT65" i="85"/>
  <c r="O65" i="85"/>
  <c r="BS102" i="85"/>
  <c r="BS104" i="85"/>
  <c r="P89" i="85"/>
  <c r="BX89" i="85"/>
  <c r="BJ8" i="85"/>
  <c r="N8" i="85" s="1"/>
  <c r="BO68" i="85"/>
  <c r="BS84" i="85"/>
  <c r="BN101" i="85"/>
  <c r="O84" i="85"/>
  <c r="O87" i="85" s="1"/>
  <c r="O90" i="85"/>
  <c r="O104" i="85"/>
  <c r="O102" i="85"/>
  <c r="CB84" i="85"/>
  <c r="BW101" i="85"/>
  <c r="BP9" i="85"/>
  <c r="BP16" i="85"/>
  <c r="N61" i="85"/>
  <c r="BF11" i="85"/>
  <c r="BF16" i="85"/>
  <c r="BF9" i="85"/>
  <c r="BK9" i="85"/>
  <c r="BT84" i="85"/>
  <c r="BO101" i="85"/>
  <c r="N78" i="85"/>
  <c r="N80" i="85"/>
  <c r="N52" i="85"/>
  <c r="N66" i="85"/>
  <c r="M61" i="85"/>
  <c r="M50" i="85"/>
  <c r="M77" i="85"/>
  <c r="M62" i="85"/>
  <c r="M63" i="85"/>
  <c r="M64" i="85" s="1"/>
  <c r="BF51" i="85"/>
  <c r="BF54" i="85"/>
  <c r="BE53" i="85"/>
  <c r="BE54" i="85"/>
  <c r="BE55" i="85" s="1"/>
  <c r="BJ53" i="85"/>
  <c r="BO60" i="85"/>
  <c r="BT60" i="85" s="1"/>
  <c r="BY60" i="85" s="1"/>
  <c r="CD60" i="85" s="1"/>
  <c r="CI60" i="85" s="1"/>
  <c r="CN60" i="85" s="1"/>
  <c r="CS60" i="85" s="1"/>
  <c r="CX60" i="85" s="1"/>
  <c r="DC60" i="85" s="1"/>
  <c r="BJ71" i="85"/>
  <c r="BJ72" i="85" s="1"/>
  <c r="BJ50" i="85"/>
  <c r="BJ51" i="85" s="1"/>
  <c r="BI54" i="85"/>
  <c r="BI51" i="85"/>
  <c r="BS60" i="85"/>
  <c r="BN63" i="85"/>
  <c r="BE16" i="85"/>
  <c r="BE11" i="85"/>
  <c r="BE9" i="85"/>
  <c r="BZ65" i="85"/>
  <c r="BU63" i="85"/>
  <c r="BU8" i="85"/>
  <c r="P24" i="32"/>
  <c r="P25" i="32"/>
  <c r="F6" i="95"/>
  <c r="F12" i="95"/>
  <c r="G4" i="95"/>
  <c r="BE409" i="39"/>
  <c r="BE407" i="39"/>
  <c r="D16" i="38"/>
  <c r="BF407" i="39"/>
  <c r="E16" i="38"/>
  <c r="DQ80" i="30"/>
  <c r="DR80" i="30" s="1"/>
  <c r="DR73" i="30"/>
  <c r="BW68" i="85"/>
  <c r="BR8" i="85"/>
  <c r="B22" i="38"/>
  <c r="B24" i="38" s="1"/>
  <c r="B25" i="38" s="1"/>
  <c r="C24" i="38"/>
  <c r="C25" i="38" s="1"/>
  <c r="P8" i="25"/>
  <c r="O77" i="25"/>
  <c r="O8" i="25"/>
  <c r="O14" i="25"/>
  <c r="M11" i="52"/>
  <c r="L10" i="52"/>
  <c r="L11" i="52"/>
  <c r="L28" i="38"/>
  <c r="V96" i="41"/>
  <c r="EK194" i="30"/>
  <c r="CI171" i="59"/>
  <c r="M171" i="59" s="1"/>
  <c r="BY171" i="59"/>
  <c r="EA194" i="30"/>
  <c r="BW170" i="59"/>
  <c r="BW178" i="59"/>
  <c r="K171" i="59"/>
  <c r="K178" i="59" s="1"/>
  <c r="DA16" i="25"/>
  <c r="DA15" i="25" s="1"/>
  <c r="DC15" i="25" s="1"/>
  <c r="DM71" i="30"/>
  <c r="U59" i="30"/>
  <c r="Z193" i="30"/>
  <c r="W193" i="30"/>
  <c r="BA33" i="85"/>
  <c r="BA29" i="85"/>
  <c r="AT9" i="59"/>
  <c r="AT12" i="59"/>
  <c r="AT13" i="59" s="1"/>
  <c r="K267" i="59"/>
  <c r="K274" i="59"/>
  <c r="K275" i="59" s="1"/>
  <c r="EL192" i="30"/>
  <c r="BH113" i="59"/>
  <c r="BH108" i="59"/>
  <c r="BH202" i="59" s="1"/>
  <c r="CI98" i="85"/>
  <c r="CD102" i="85"/>
  <c r="F19" i="38"/>
  <c r="F21" i="38" s="1"/>
  <c r="F25" i="38" s="1"/>
  <c r="F15" i="38"/>
  <c r="S25" i="30"/>
  <c r="S196" i="30"/>
  <c r="S199" i="30" s="1"/>
  <c r="S211" i="30" s="1"/>
  <c r="N18" i="20"/>
  <c r="N19" i="20"/>
  <c r="N136" i="20"/>
  <c r="AQ115" i="30"/>
  <c r="V52" i="59"/>
  <c r="CJ40" i="25"/>
  <c r="CT158" i="30"/>
  <c r="Q24" i="20"/>
  <c r="Q78" i="20"/>
  <c r="BY205" i="30"/>
  <c r="C92" i="59"/>
  <c r="D92" i="59"/>
  <c r="C93" i="59"/>
  <c r="CN74" i="85"/>
  <c r="S74" i="85"/>
  <c r="CJ140" i="85"/>
  <c r="CJ174" i="85"/>
  <c r="CJ141" i="85"/>
  <c r="CJ158" i="85"/>
  <c r="CJ159" i="85"/>
  <c r="CJ160" i="85"/>
  <c r="CJ157" i="85"/>
  <c r="BQ18" i="25"/>
  <c r="E223" i="60"/>
  <c r="BR409" i="39"/>
  <c r="BR407" i="39"/>
  <c r="M127" i="30"/>
  <c r="M130" i="30" s="1"/>
  <c r="DI103" i="30"/>
  <c r="BL16" i="59"/>
  <c r="BG61" i="59"/>
  <c r="CJ128" i="30"/>
  <c r="CJ140" i="30"/>
  <c r="CJ130" i="30"/>
  <c r="U98" i="30"/>
  <c r="S79" i="32"/>
  <c r="S16" i="32" s="1"/>
  <c r="CQ65" i="85"/>
  <c r="M51" i="33"/>
  <c r="M49" i="33"/>
  <c r="O10" i="38"/>
  <c r="P10" i="38"/>
  <c r="F240" i="23"/>
  <c r="AE71" i="23"/>
  <c r="AE256" i="23"/>
  <c r="AF12" i="23"/>
  <c r="S49" i="53"/>
  <c r="AL96" i="25"/>
  <c r="AK405" i="23"/>
  <c r="AL452" i="23"/>
  <c r="BY26" i="23"/>
  <c r="N123" i="31"/>
  <c r="N124" i="31" s="1"/>
  <c r="O121" i="31"/>
  <c r="CT71" i="59"/>
  <c r="J38" i="33"/>
  <c r="J39" i="33" s="1"/>
  <c r="K41" i="33"/>
  <c r="K24" i="85"/>
  <c r="AS25" i="85"/>
  <c r="D28" i="25"/>
  <c r="E27" i="25"/>
  <c r="D25" i="25"/>
  <c r="D27" i="25"/>
  <c r="D29" i="25"/>
  <c r="BW116" i="30"/>
  <c r="BW114" i="30"/>
  <c r="CB114" i="30"/>
  <c r="BX113" i="30"/>
  <c r="AN31" i="30"/>
  <c r="AM32" i="30"/>
  <c r="EB204" i="30"/>
  <c r="AI194" i="30"/>
  <c r="CY69" i="25"/>
  <c r="DI29" i="30"/>
  <c r="DM25" i="30"/>
  <c r="DA13" i="25"/>
  <c r="DA11" i="25"/>
  <c r="DC11" i="25" s="1"/>
  <c r="DA14" i="25"/>
  <c r="DC12" i="25"/>
  <c r="G24" i="38"/>
  <c r="G25" i="38" s="1"/>
  <c r="H23" i="38"/>
  <c r="EF197" i="30"/>
  <c r="C53" i="95"/>
  <c r="C54" i="95" s="1"/>
  <c r="BY242" i="59"/>
  <c r="C24" i="95"/>
  <c r="AJ194" i="30"/>
  <c r="N31" i="25"/>
  <c r="M32" i="25"/>
  <c r="AT21" i="85"/>
  <c r="AT28" i="85"/>
  <c r="BE412" i="39"/>
  <c r="O22" i="30"/>
  <c r="L23" i="30"/>
  <c r="BS16" i="20"/>
  <c r="BT16" i="20" s="1"/>
  <c r="M18" i="20"/>
  <c r="M19" i="20"/>
  <c r="M136" i="20"/>
  <c r="M137" i="20" s="1"/>
  <c r="BN11" i="25"/>
  <c r="BN14" i="25"/>
  <c r="BN15" i="25"/>
  <c r="AV29" i="85"/>
  <c r="AV33" i="85"/>
  <c r="BQ14" i="25"/>
  <c r="BQ11" i="25"/>
  <c r="BQ15" i="25"/>
  <c r="BT12" i="25"/>
  <c r="DF16" i="25"/>
  <c r="DR71" i="30"/>
  <c r="AF40" i="33"/>
  <c r="AA123" i="30"/>
  <c r="X124" i="30"/>
  <c r="X131" i="30"/>
  <c r="U131" i="30"/>
  <c r="Z123" i="30"/>
  <c r="U124" i="30"/>
  <c r="Y131" i="30"/>
  <c r="L58" i="33"/>
  <c r="L59" i="33" s="1"/>
  <c r="T125" i="30"/>
  <c r="BR51" i="33"/>
  <c r="BS51" i="33" s="1"/>
  <c r="L52" i="33"/>
  <c r="L66" i="33"/>
  <c r="L67" i="33" s="1"/>
  <c r="P16" i="38"/>
  <c r="BQ409" i="39"/>
  <c r="P5" i="38" s="1"/>
  <c r="BQ407" i="39"/>
  <c r="CF39" i="25"/>
  <c r="CK41" i="25"/>
  <c r="CF42" i="25"/>
  <c r="CF43" i="25"/>
  <c r="CI43" i="25" s="1"/>
  <c r="CI40" i="25"/>
  <c r="M37" i="38"/>
  <c r="M56" i="38"/>
  <c r="N37" i="38"/>
  <c r="F65" i="73"/>
  <c r="F66" i="73" s="1"/>
  <c r="Z39" i="40"/>
  <c r="Q36" i="33"/>
  <c r="C123" i="59"/>
  <c r="Z98" i="30"/>
  <c r="AC442" i="23"/>
  <c r="AA395" i="23"/>
  <c r="W106" i="31"/>
  <c r="DG389" i="23"/>
  <c r="DE389" i="23"/>
  <c r="DF389" i="23"/>
  <c r="DD389" i="23"/>
  <c r="R50" i="53"/>
  <c r="R111" i="31"/>
  <c r="W376" i="23"/>
  <c r="Z423" i="23"/>
  <c r="AL463" i="23"/>
  <c r="BF36" i="31"/>
  <c r="BK36" i="31" s="1"/>
  <c r="V36" i="31"/>
  <c r="BE36" i="31" s="1"/>
  <c r="DC389" i="23"/>
  <c r="I555" i="23"/>
  <c r="I488" i="23"/>
  <c r="I489" i="23" s="1"/>
  <c r="AD475" i="23"/>
  <c r="AD502" i="23" s="1"/>
  <c r="AD212" i="23" s="1"/>
  <c r="AE8" i="23"/>
  <c r="J37" i="63"/>
  <c r="AD105" i="23"/>
  <c r="J9" i="62"/>
  <c r="AW14" i="31"/>
  <c r="EI86" i="30"/>
  <c r="CG49" i="59"/>
  <c r="CL8" i="59"/>
  <c r="CG12" i="59"/>
  <c r="S131" i="23"/>
  <c r="S148" i="23"/>
  <c r="S143" i="23"/>
  <c r="S137" i="23"/>
  <c r="S134" i="23"/>
  <c r="S140" i="23"/>
  <c r="CO71" i="59"/>
  <c r="P71" i="59"/>
  <c r="BH11" i="85"/>
  <c r="BH16" i="85"/>
  <c r="BH9" i="85"/>
  <c r="V135" i="85"/>
  <c r="W136" i="85" s="1"/>
  <c r="X136" i="85"/>
  <c r="AX21" i="85"/>
  <c r="BB20" i="85"/>
  <c r="AX28" i="85"/>
  <c r="W72" i="20"/>
  <c r="W23" i="20" s="1"/>
  <c r="CF204" i="30"/>
  <c r="CF209" i="30" s="1"/>
  <c r="CH69" i="30"/>
  <c r="CF67" i="30"/>
  <c r="R92" i="20"/>
  <c r="S92" i="20" s="1"/>
  <c r="T92" i="20" s="1"/>
  <c r="U92" i="20" s="1"/>
  <c r="V92" i="20" s="1"/>
  <c r="W92" i="20" s="1"/>
  <c r="X92" i="20" s="1"/>
  <c r="Y92" i="20" s="1"/>
  <c r="Z92" i="20" s="1"/>
  <c r="AA92" i="20" s="1"/>
  <c r="AB92" i="20" s="1"/>
  <c r="AC92" i="20" s="1"/>
  <c r="AD92" i="20" s="1"/>
  <c r="AE92" i="20" s="1"/>
  <c r="AF92" i="20" s="1"/>
  <c r="AG92" i="20" s="1"/>
  <c r="AH92" i="20" s="1"/>
  <c r="AI92" i="20" s="1"/>
  <c r="AJ92" i="20" s="1"/>
  <c r="AK92" i="20" s="1"/>
  <c r="AL92" i="20" s="1"/>
  <c r="AM92" i="20" s="1"/>
  <c r="AN92" i="20" s="1"/>
  <c r="Y48" i="30"/>
  <c r="Z48" i="30"/>
  <c r="Y78" i="30"/>
  <c r="Y61" i="30"/>
  <c r="AW93" i="59"/>
  <c r="BA39" i="59"/>
  <c r="BB40" i="59"/>
  <c r="AW40" i="59"/>
  <c r="BN410" i="39"/>
  <c r="BN405" i="39"/>
  <c r="BN412" i="39"/>
  <c r="N14" i="38" s="1"/>
  <c r="O94" i="41"/>
  <c r="E10" i="38"/>
  <c r="E9" i="38" s="1"/>
  <c r="H17" i="52"/>
  <c r="H23" i="52"/>
  <c r="H24" i="52" s="1"/>
  <c r="H9" i="52"/>
  <c r="I18" i="52"/>
  <c r="H18" i="52"/>
  <c r="O24" i="20"/>
  <c r="BL44" i="25"/>
  <c r="AI14" i="20"/>
  <c r="AH194" i="30"/>
  <c r="CB170" i="59"/>
  <c r="CB178" i="59"/>
  <c r="L171" i="59"/>
  <c r="L178" i="59" s="1"/>
  <c r="L26" i="25"/>
  <c r="M27" i="25" s="1"/>
  <c r="L72" i="30"/>
  <c r="L30" i="25" s="1"/>
  <c r="U63" i="30"/>
  <c r="Z58" i="30"/>
  <c r="Z63" i="30" s="1"/>
  <c r="CV114" i="30"/>
  <c r="CV116" i="30"/>
  <c r="AT49" i="59"/>
  <c r="S46" i="85"/>
  <c r="G43" i="38"/>
  <c r="F43" i="38"/>
  <c r="F5" i="38"/>
  <c r="G5" i="38"/>
  <c r="G45" i="38" s="1"/>
  <c r="DJ29" i="30"/>
  <c r="CZ73" i="25" s="1"/>
  <c r="CZ69" i="25"/>
  <c r="M79" i="32"/>
  <c r="M16" i="32" s="1"/>
  <c r="M25" i="25"/>
  <c r="M28" i="25"/>
  <c r="N27" i="25"/>
  <c r="M29" i="25"/>
  <c r="K19" i="85"/>
  <c r="K20" i="85"/>
  <c r="BC14" i="25"/>
  <c r="BC15" i="25"/>
  <c r="BC11" i="25"/>
  <c r="BT52" i="59"/>
  <c r="BU52" i="59" s="1"/>
  <c r="DW115" i="30"/>
  <c r="CW163" i="30"/>
  <c r="CW154" i="30"/>
  <c r="CB40" i="25"/>
  <c r="CL158" i="30"/>
  <c r="CB44" i="25" s="1"/>
  <c r="CB46" i="25" s="1"/>
  <c r="CT16" i="25"/>
  <c r="DH71" i="30"/>
  <c r="G23" i="52"/>
  <c r="G24" i="52" s="1"/>
  <c r="G9" i="52"/>
  <c r="G17" i="52"/>
  <c r="G18" i="52"/>
  <c r="CZ17" i="25"/>
  <c r="CU18" i="25"/>
  <c r="CU17" i="25"/>
  <c r="S96" i="33"/>
  <c r="R97" i="33"/>
  <c r="R72" i="30"/>
  <c r="F30" i="25" s="1"/>
  <c r="F26" i="25"/>
  <c r="DR69" i="30"/>
  <c r="DF14" i="25"/>
  <c r="DF13" i="25"/>
  <c r="DF15" i="25"/>
  <c r="DH15" i="25" s="1"/>
  <c r="DF11" i="25"/>
  <c r="DH12" i="25"/>
  <c r="DK13" i="25"/>
  <c r="BJ224" i="59"/>
  <c r="H33" i="59"/>
  <c r="DL108" i="30"/>
  <c r="BO33" i="59"/>
  <c r="BJ30" i="59"/>
  <c r="BJ83" i="59"/>
  <c r="AM159" i="59"/>
  <c r="AM145" i="59"/>
  <c r="AR132" i="59"/>
  <c r="E121" i="59"/>
  <c r="AB94" i="30"/>
  <c r="AC94" i="30"/>
  <c r="F10" i="38"/>
  <c r="CN158" i="30"/>
  <c r="I44" i="25"/>
  <c r="L56" i="38"/>
  <c r="L77" i="38" s="1"/>
  <c r="AC237" i="30"/>
  <c r="F10" i="59"/>
  <c r="AC89" i="30"/>
  <c r="DC88" i="30"/>
  <c r="AC121" i="30"/>
  <c r="G64" i="73"/>
  <c r="G63" i="73" s="1"/>
  <c r="Y75" i="32"/>
  <c r="AA386" i="23"/>
  <c r="AC433" i="23"/>
  <c r="O56" i="38"/>
  <c r="O77" i="38" s="1"/>
  <c r="O37" i="38"/>
  <c r="AB130" i="20"/>
  <c r="AB9" i="20"/>
  <c r="AC389" i="23"/>
  <c r="AD436" i="23"/>
  <c r="DD388" i="23"/>
  <c r="DE388" i="23"/>
  <c r="DG388" i="23"/>
  <c r="DF388" i="23"/>
  <c r="AJ454" i="23"/>
  <c r="AI407" i="23"/>
  <c r="V382" i="23"/>
  <c r="W429" i="23"/>
  <c r="V606" i="23"/>
  <c r="V597" i="23"/>
  <c r="W601" i="23" s="1"/>
  <c r="W605" i="23" s="1"/>
  <c r="I495" i="23"/>
  <c r="I478" i="23"/>
  <c r="CB50" i="59"/>
  <c r="AR42" i="31"/>
  <c r="CB55" i="59"/>
  <c r="DL168" i="23"/>
  <c r="AC168" i="23" s="1"/>
  <c r="AE168" i="23" s="1"/>
  <c r="AF168" i="23" s="1"/>
  <c r="AG168" i="23" s="1"/>
  <c r="AH168" i="23" s="1"/>
  <c r="AI168" i="23" s="1"/>
  <c r="AJ168" i="23" s="1"/>
  <c r="AK168" i="23" s="1"/>
  <c r="AL168" i="23" s="1"/>
  <c r="AM168" i="23" s="1"/>
  <c r="AN168" i="23" s="1"/>
  <c r="AC167" i="23"/>
  <c r="AE167" i="23" s="1"/>
  <c r="AF167" i="23" s="1"/>
  <c r="AG167" i="23" s="1"/>
  <c r="AH167" i="23" s="1"/>
  <c r="AI167" i="23" s="1"/>
  <c r="AJ167" i="23" s="1"/>
  <c r="AK167" i="23" s="1"/>
  <c r="AL167" i="23" s="1"/>
  <c r="AM167" i="23" s="1"/>
  <c r="AN167" i="23" s="1"/>
  <c r="F13" i="95"/>
  <c r="F15" i="95" s="1"/>
  <c r="BD13" i="85"/>
  <c r="BD9" i="85"/>
  <c r="M8" i="85"/>
  <c r="BI9" i="85"/>
  <c r="BM16" i="85"/>
  <c r="BM9" i="85"/>
  <c r="CJ84" i="85"/>
  <c r="AZ21" i="85"/>
  <c r="AZ28" i="85"/>
  <c r="DT71" i="30"/>
  <c r="DJ12" i="25"/>
  <c r="DW63" i="30"/>
  <c r="EL206" i="30"/>
  <c r="X68" i="30"/>
  <c r="X67" i="30"/>
  <c r="AA69" i="30"/>
  <c r="CO69" i="30"/>
  <c r="CR69" i="30"/>
  <c r="CL69" i="30"/>
  <c r="CJ69" i="30"/>
  <c r="CN69" i="30" s="1"/>
  <c r="CK69" i="30"/>
  <c r="Y69" i="30"/>
  <c r="CP69" i="30"/>
  <c r="CQ69" i="30"/>
  <c r="CM69" i="30"/>
  <c r="D188" i="60"/>
  <c r="DD143" i="30"/>
  <c r="CT117" i="20"/>
  <c r="CT29" i="20"/>
  <c r="CT30" i="20"/>
  <c r="EV205" i="30"/>
  <c r="AE437" i="23"/>
  <c r="M10" i="38"/>
  <c r="L10" i="38"/>
  <c r="BM12" i="25"/>
  <c r="BW71" i="30"/>
  <c r="BM16" i="25" s="1"/>
  <c r="BM18" i="25" s="1"/>
  <c r="EB192" i="30"/>
  <c r="BG113" i="59"/>
  <c r="H107" i="59"/>
  <c r="BG108" i="59"/>
  <c r="BG202" i="59" s="1"/>
  <c r="BG204" i="59" s="1"/>
  <c r="BG214" i="59" s="1"/>
  <c r="L12" i="25"/>
  <c r="L71" i="30"/>
  <c r="L16" i="25" s="1"/>
  <c r="DA113" i="30"/>
  <c r="DF86" i="30"/>
  <c r="AY8" i="59"/>
  <c r="DA90" i="30"/>
  <c r="DA91" i="30" s="1"/>
  <c r="CG170" i="59"/>
  <c r="CG178" i="59"/>
  <c r="O10" i="25"/>
  <c r="CN177" i="59"/>
  <c r="CN179" i="59" s="1"/>
  <c r="CN181" i="59" s="1"/>
  <c r="N170" i="59"/>
  <c r="Y55" i="30"/>
  <c r="CU64" i="30"/>
  <c r="CU60" i="30"/>
  <c r="CX163" i="30"/>
  <c r="P24" i="20"/>
  <c r="P78" i="20"/>
  <c r="CT13" i="25"/>
  <c r="CT14" i="25"/>
  <c r="CT11" i="25"/>
  <c r="CY13" i="25"/>
  <c r="CX12" i="25"/>
  <c r="CT15" i="25"/>
  <c r="CD199" i="30"/>
  <c r="CU14" i="25"/>
  <c r="CU13" i="25"/>
  <c r="CZ13" i="25"/>
  <c r="CU11" i="25"/>
  <c r="CU15" i="25"/>
  <c r="S143" i="85"/>
  <c r="BR14" i="25"/>
  <c r="BR11" i="25"/>
  <c r="BR15" i="25"/>
  <c r="BH29" i="25"/>
  <c r="BH28" i="25"/>
  <c r="BH25" i="25"/>
  <c r="DG146" i="30"/>
  <c r="AD146" i="30" s="1"/>
  <c r="BE84" i="59"/>
  <c r="Q79" i="32"/>
  <c r="Q16" i="32" s="1"/>
  <c r="O24" i="32"/>
  <c r="O25" i="32"/>
  <c r="N45" i="33"/>
  <c r="O43" i="33"/>
  <c r="CJ68" i="85"/>
  <c r="G59" i="73"/>
  <c r="G58" i="73" s="1"/>
  <c r="Y73" i="32"/>
  <c r="X79" i="32"/>
  <c r="X80" i="32" s="1"/>
  <c r="CL125" i="30"/>
  <c r="K56" i="38"/>
  <c r="K77" i="38" s="1"/>
  <c r="BY44" i="25"/>
  <c r="S103" i="33"/>
  <c r="R104" i="33"/>
  <c r="AX13" i="59"/>
  <c r="AX57" i="59"/>
  <c r="BC13" i="59"/>
  <c r="G121" i="59"/>
  <c r="AD94" i="30"/>
  <c r="AE94" i="30"/>
  <c r="DC386" i="23"/>
  <c r="Q37" i="38"/>
  <c r="P56" i="38"/>
  <c r="P37" i="38"/>
  <c r="CF51" i="23"/>
  <c r="CG51" i="23" s="1"/>
  <c r="CH51" i="23" s="1"/>
  <c r="CI51" i="23"/>
  <c r="CJ51" i="23" s="1"/>
  <c r="CK51" i="23" s="1"/>
  <c r="CL51" i="23" s="1"/>
  <c r="CM51" i="23" s="1"/>
  <c r="J307" i="23"/>
  <c r="I237" i="23"/>
  <c r="I239" i="23" s="1"/>
  <c r="I307" i="23"/>
  <c r="AL455" i="23"/>
  <c r="AD435" i="23"/>
  <c r="AC388" i="23"/>
  <c r="U126" i="23"/>
  <c r="E38" i="63"/>
  <c r="E40" i="63" s="1"/>
  <c r="U125" i="23"/>
  <c r="V111" i="23"/>
  <c r="V115" i="23" s="1"/>
  <c r="E11" i="62"/>
  <c r="CF125" i="59"/>
  <c r="R27" i="23"/>
  <c r="I8" i="56"/>
  <c r="BY31" i="23"/>
  <c r="CB13" i="59"/>
  <c r="CB219" i="59"/>
  <c r="I95" i="31"/>
  <c r="H95" i="31"/>
  <c r="AF190" i="31"/>
  <c r="AV30" i="31"/>
  <c r="U30" i="31" s="1"/>
  <c r="AZ30" i="31" s="1"/>
  <c r="BZ91" i="73"/>
  <c r="AA20" i="95" s="1"/>
  <c r="DH32" i="23"/>
  <c r="DH42" i="23"/>
  <c r="DG5" i="23"/>
  <c r="CX192" i="59"/>
  <c r="CX251" i="59"/>
  <c r="BT214" i="59"/>
  <c r="BT207" i="59"/>
  <c r="CS194" i="59"/>
  <c r="CS330" i="59"/>
  <c r="CS167" i="59"/>
  <c r="CS316" i="59"/>
  <c r="CW150" i="59"/>
  <c r="CR167" i="59"/>
  <c r="CR316" i="59"/>
  <c r="CR330" i="59"/>
  <c r="CR194" i="59"/>
  <c r="CR211" i="59" s="1"/>
  <c r="CR166" i="59"/>
  <c r="DA174" i="59"/>
  <c r="CS312" i="59"/>
  <c r="CS147" i="59" s="1"/>
  <c r="CS150" i="59"/>
  <c r="CS326" i="59"/>
  <c r="CS151" i="59"/>
  <c r="CP151" i="59"/>
  <c r="CP312" i="59"/>
  <c r="CP147" i="59" s="1"/>
  <c r="CU326" i="59"/>
  <c r="Q149" i="59"/>
  <c r="CU150" i="59"/>
  <c r="CP150" i="59"/>
  <c r="CU312" i="59"/>
  <c r="CU147" i="59" s="1"/>
  <c r="CP326" i="59"/>
  <c r="CW312" i="59"/>
  <c r="CW147" i="59" s="1"/>
  <c r="CW314" i="59"/>
  <c r="CW165" i="59"/>
  <c r="CR150" i="59"/>
  <c r="CR312" i="59"/>
  <c r="CR147" i="59" s="1"/>
  <c r="CR326" i="59"/>
  <c r="CR151" i="59"/>
  <c r="CP330" i="59"/>
  <c r="CP166" i="59"/>
  <c r="CP316" i="59"/>
  <c r="CP194" i="59"/>
  <c r="CP211" i="59" s="1"/>
  <c r="CP167" i="59"/>
  <c r="CU316" i="59"/>
  <c r="CU330" i="59"/>
  <c r="CN214" i="59"/>
  <c r="CD214" i="59"/>
  <c r="CD207" i="59"/>
  <c r="DL31" i="25"/>
  <c r="DL32" i="25"/>
  <c r="DL29" i="25"/>
  <c r="N158" i="59"/>
  <c r="CO157" i="59"/>
  <c r="N165" i="59"/>
  <c r="AJ128" i="30"/>
  <c r="AI128" i="30"/>
  <c r="P150" i="59"/>
  <c r="P157" i="59"/>
  <c r="CD183" i="59"/>
  <c r="M158" i="59"/>
  <c r="CE157" i="59"/>
  <c r="L158" i="59"/>
  <c r="L165" i="59"/>
  <c r="AM15" i="25"/>
  <c r="AM11" i="25"/>
  <c r="AL15" i="25"/>
  <c r="AL11" i="25"/>
  <c r="CM18" i="23"/>
  <c r="J105" i="59"/>
  <c r="J108" i="59" s="1"/>
  <c r="BS111" i="59"/>
  <c r="BQ116" i="59"/>
  <c r="BX106" i="59"/>
  <c r="BY106" i="59"/>
  <c r="L106" i="59"/>
  <c r="BV106" i="59"/>
  <c r="BW106" i="59"/>
  <c r="BP112" i="59"/>
  <c r="T92" i="59"/>
  <c r="BY85" i="59"/>
  <c r="BR83" i="59"/>
  <c r="BW85" i="59"/>
  <c r="DO146" i="30"/>
  <c r="BM84" i="59"/>
  <c r="BM79" i="59"/>
  <c r="R248" i="59"/>
  <c r="AI78" i="25"/>
  <c r="J150" i="59" l="1"/>
  <c r="BH226" i="59"/>
  <c r="BH228" i="59" s="1"/>
  <c r="AK128" i="30"/>
  <c r="AL23" i="30"/>
  <c r="V6" i="52"/>
  <c r="AO11" i="30"/>
  <c r="AO32" i="30" s="1"/>
  <c r="AD9" i="25"/>
  <c r="AK54" i="30"/>
  <c r="AK63" i="30"/>
  <c r="AN15" i="25"/>
  <c r="AN11" i="25"/>
  <c r="B55" i="60"/>
  <c r="AE401" i="23"/>
  <c r="AF448" i="23"/>
  <c r="Z431" i="23"/>
  <c r="W384" i="23"/>
  <c r="AC111" i="20"/>
  <c r="AC156" i="20"/>
  <c r="AC168" i="20" s="1"/>
  <c r="DM401" i="23"/>
  <c r="Z111" i="20"/>
  <c r="Z156" i="20"/>
  <c r="DP401" i="23"/>
  <c r="DN401" i="23"/>
  <c r="DQ401" i="23"/>
  <c r="DO401" i="23"/>
  <c r="DM393" i="23"/>
  <c r="BY191" i="59"/>
  <c r="BY210" i="59"/>
  <c r="CW159" i="59"/>
  <c r="AK111" i="20"/>
  <c r="AF111" i="20"/>
  <c r="AQ43" i="31"/>
  <c r="AG111" i="20"/>
  <c r="AG156" i="20"/>
  <c r="AG168" i="20" s="1"/>
  <c r="AR43" i="31"/>
  <c r="J147" i="30"/>
  <c r="J154" i="30" s="1"/>
  <c r="D24" i="31"/>
  <c r="D90" i="31" s="1"/>
  <c r="D87" i="31"/>
  <c r="BR114" i="59"/>
  <c r="BR116" i="59" s="1"/>
  <c r="BK69" i="73"/>
  <c r="BB45" i="59"/>
  <c r="BG46" i="59" s="1"/>
  <c r="CG199" i="59"/>
  <c r="T86" i="25"/>
  <c r="AU97" i="59"/>
  <c r="AV95" i="59"/>
  <c r="AJ30" i="31"/>
  <c r="CN208" i="59"/>
  <c r="CN212" i="59" s="1"/>
  <c r="CL183" i="59"/>
  <c r="AN165" i="23"/>
  <c r="T31" i="95"/>
  <c r="AB35" i="40"/>
  <c r="AC35" i="40" s="1"/>
  <c r="AD35" i="40" s="1"/>
  <c r="AA38" i="40"/>
  <c r="T29" i="38"/>
  <c r="Q19" i="38"/>
  <c r="P21" i="38"/>
  <c r="R22" i="38"/>
  <c r="Q43" i="38"/>
  <c r="P53" i="38"/>
  <c r="T90" i="30"/>
  <c r="Y86" i="30"/>
  <c r="CC86" i="30"/>
  <c r="T87" i="30"/>
  <c r="BN113" i="30"/>
  <c r="BS113" i="30"/>
  <c r="N114" i="30"/>
  <c r="O113" i="30"/>
  <c r="O116" i="30" s="1"/>
  <c r="N120" i="30"/>
  <c r="M113" i="30"/>
  <c r="N137" i="30"/>
  <c r="R114" i="30"/>
  <c r="N116" i="30"/>
  <c r="P114" i="30"/>
  <c r="E34" i="31"/>
  <c r="E28" i="31"/>
  <c r="E20" i="31" s="1"/>
  <c r="G39" i="31"/>
  <c r="F40" i="31"/>
  <c r="P104" i="30"/>
  <c r="DP171" i="23"/>
  <c r="DP113" i="23" s="1"/>
  <c r="AK223" i="23"/>
  <c r="AJ272" i="23"/>
  <c r="CK22" i="23"/>
  <c r="CK61" i="23" s="1"/>
  <c r="ED195" i="30"/>
  <c r="ED199" i="30" s="1"/>
  <c r="CK20" i="23" s="1"/>
  <c r="M16" i="85"/>
  <c r="BG16" i="85" s="1"/>
  <c r="AY33" i="85"/>
  <c r="AY35" i="85" s="1"/>
  <c r="AY29" i="85"/>
  <c r="AU33" i="85"/>
  <c r="AU29" i="85"/>
  <c r="AP29" i="85"/>
  <c r="AP33" i="85"/>
  <c r="AP35" i="85" s="1"/>
  <c r="BB24" i="85"/>
  <c r="L39" i="85"/>
  <c r="L25" i="85"/>
  <c r="AL207" i="30"/>
  <c r="AL180" i="30"/>
  <c r="N63" i="85"/>
  <c r="AC165" i="23"/>
  <c r="AE165" i="23"/>
  <c r="AE171" i="23" s="1"/>
  <c r="AE113" i="23" s="1"/>
  <c r="AH293" i="23"/>
  <c r="AI293" i="23"/>
  <c r="DO171" i="23"/>
  <c r="DO113" i="23" s="1"/>
  <c r="AG293" i="23"/>
  <c r="W59" i="32"/>
  <c r="X59" i="32" s="1"/>
  <c r="X62" i="32" s="1"/>
  <c r="P87" i="31"/>
  <c r="C34" i="73"/>
  <c r="C35" i="73" s="1"/>
  <c r="C36" i="73" s="1"/>
  <c r="DQ171" i="23"/>
  <c r="DQ113" i="23" s="1"/>
  <c r="AE23" i="95"/>
  <c r="AF293" i="23"/>
  <c r="AC293" i="23"/>
  <c r="AD121" i="20"/>
  <c r="AD159" i="20" s="1"/>
  <c r="AC131" i="20"/>
  <c r="L110" i="73"/>
  <c r="AF30" i="95"/>
  <c r="AD31" i="95"/>
  <c r="U9" i="32"/>
  <c r="AF93" i="30" s="1"/>
  <c r="AC171" i="23"/>
  <c r="AC113" i="23" s="1"/>
  <c r="W112" i="85"/>
  <c r="Q93" i="31"/>
  <c r="Q20" i="31"/>
  <c r="Q28" i="31" s="1"/>
  <c r="AF21" i="95"/>
  <c r="AD30" i="95"/>
  <c r="AE31" i="95"/>
  <c r="AE30" i="95"/>
  <c r="AF31" i="95"/>
  <c r="AD21" i="95"/>
  <c r="T29" i="95"/>
  <c r="T30" i="95"/>
  <c r="AG403" i="23"/>
  <c r="AL344" i="23"/>
  <c r="P401" i="60"/>
  <c r="G255" i="60"/>
  <c r="H252" i="60"/>
  <c r="E74" i="63"/>
  <c r="J63" i="60"/>
  <c r="AZ37" i="59"/>
  <c r="BU91" i="59"/>
  <c r="K92" i="59"/>
  <c r="J92" i="59"/>
  <c r="DL69" i="25"/>
  <c r="DV29" i="30"/>
  <c r="DL73" i="25" s="1"/>
  <c r="CL250" i="59"/>
  <c r="CL251" i="59" s="1"/>
  <c r="Z68" i="25"/>
  <c r="O24" i="52"/>
  <c r="AH34" i="30"/>
  <c r="AH196" i="30"/>
  <c r="Z72" i="25"/>
  <c r="AP11" i="25"/>
  <c r="AP15" i="25"/>
  <c r="AH23" i="30"/>
  <c r="BS192" i="59"/>
  <c r="AJ196" i="30"/>
  <c r="AJ34" i="30"/>
  <c r="AJ25" i="30"/>
  <c r="BP149" i="59"/>
  <c r="CY112" i="85"/>
  <c r="V112" i="85" s="1"/>
  <c r="S141" i="85"/>
  <c r="S152" i="85"/>
  <c r="DV209" i="30"/>
  <c r="CC22" i="23" s="1"/>
  <c r="CC61" i="23" s="1"/>
  <c r="EB207" i="30"/>
  <c r="EC198" i="30"/>
  <c r="CA203" i="59" s="1"/>
  <c r="CA204" i="59" s="1"/>
  <c r="EC209" i="30"/>
  <c r="EG208" i="30"/>
  <c r="EE198" i="30"/>
  <c r="CC203" i="59" s="1"/>
  <c r="CC204" i="59" s="1"/>
  <c r="EE209" i="30"/>
  <c r="CL22" i="23" s="1"/>
  <c r="CL61" i="23" s="1"/>
  <c r="BQ203" i="59"/>
  <c r="BQ204" i="59" s="1"/>
  <c r="DS209" i="30"/>
  <c r="BZ22" i="23" s="1"/>
  <c r="BZ61" i="23" s="1"/>
  <c r="DT209" i="30"/>
  <c r="CA22" i="23" s="1"/>
  <c r="CA61" i="23" s="1"/>
  <c r="DW208" i="30"/>
  <c r="EA208" i="30"/>
  <c r="EA198" i="30" s="1"/>
  <c r="BY203" i="59" s="1"/>
  <c r="BY204" i="59" s="1"/>
  <c r="DY208" i="30"/>
  <c r="DY198" i="30" s="1"/>
  <c r="BW203" i="59" s="1"/>
  <c r="BW204" i="59" s="1"/>
  <c r="BW214" i="59" s="1"/>
  <c r="DZ208" i="30"/>
  <c r="DX208" i="30"/>
  <c r="DX209" i="30" s="1"/>
  <c r="U56" i="25"/>
  <c r="DC54" i="25"/>
  <c r="AE176" i="30"/>
  <c r="DM176" i="30" s="1"/>
  <c r="BR207" i="59"/>
  <c r="CB203" i="59"/>
  <c r="CB204" i="59" s="1"/>
  <c r="DL181" i="30"/>
  <c r="DL182" i="30" s="1"/>
  <c r="DB59" i="25"/>
  <c r="DB60" i="25"/>
  <c r="H18" i="59"/>
  <c r="AE236" i="30"/>
  <c r="DM167" i="30"/>
  <c r="AE173" i="30"/>
  <c r="DG57" i="25"/>
  <c r="DQ179" i="30" s="1"/>
  <c r="N32" i="85"/>
  <c r="Y57" i="25" s="1"/>
  <c r="DU198" i="30"/>
  <c r="BS203" i="59" s="1"/>
  <c r="BS204" i="59" s="1"/>
  <c r="BS214" i="59" s="1"/>
  <c r="DU209" i="30"/>
  <c r="BK63" i="59"/>
  <c r="DI57" i="25"/>
  <c r="DM57" i="25" s="1"/>
  <c r="DW179" i="30"/>
  <c r="CU131" i="85"/>
  <c r="DF143" i="30"/>
  <c r="DF144" i="30" s="1"/>
  <c r="DA30" i="20"/>
  <c r="Z122" i="20"/>
  <c r="Y123" i="20"/>
  <c r="Y129" i="20" s="1"/>
  <c r="CB23" i="20"/>
  <c r="CB27" i="20" s="1"/>
  <c r="CB28" i="20" s="1"/>
  <c r="CB25" i="20"/>
  <c r="CB24" i="20"/>
  <c r="CB116" i="20"/>
  <c r="CG21" i="20"/>
  <c r="BN21" i="20"/>
  <c r="CL10" i="20"/>
  <c r="CS24" i="20"/>
  <c r="O78" i="20"/>
  <c r="U78" i="20"/>
  <c r="BD37" i="59"/>
  <c r="BI21" i="20"/>
  <c r="CM10" i="20"/>
  <c r="K79" i="20"/>
  <c r="BI31" i="59"/>
  <c r="BD115" i="20"/>
  <c r="CH16" i="20"/>
  <c r="CI17" i="20"/>
  <c r="AC163" i="20"/>
  <c r="AC164" i="20" s="1"/>
  <c r="BI117" i="20"/>
  <c r="BD114" i="20"/>
  <c r="CZ27" i="20"/>
  <c r="CZ28" i="20" s="1"/>
  <c r="DJ143" i="30" s="1"/>
  <c r="BR25" i="20"/>
  <c r="BR116" i="20"/>
  <c r="BR21" i="20"/>
  <c r="CM17" i="20"/>
  <c r="CM16" i="20" s="1"/>
  <c r="Q20" i="20"/>
  <c r="R17" i="20"/>
  <c r="Q82" i="20"/>
  <c r="BI114" i="20"/>
  <c r="AC165" i="20"/>
  <c r="AC177" i="20"/>
  <c r="AC179" i="20" s="1"/>
  <c r="W59" i="20"/>
  <c r="V60" i="20"/>
  <c r="V62" i="20" s="1"/>
  <c r="V61" i="20" s="1"/>
  <c r="V74" i="20"/>
  <c r="V76" i="20" s="1"/>
  <c r="U129" i="20"/>
  <c r="V129" i="20"/>
  <c r="R78" i="20"/>
  <c r="DN105" i="30"/>
  <c r="DN106" i="30" s="1"/>
  <c r="DD24" i="20"/>
  <c r="DD25" i="20"/>
  <c r="DD23" i="20"/>
  <c r="DE24" i="20"/>
  <c r="DE23" i="20"/>
  <c r="DO105" i="30"/>
  <c r="DO106" i="30" s="1"/>
  <c r="DE25" i="20"/>
  <c r="AB165" i="20"/>
  <c r="AB177" i="20"/>
  <c r="AB179" i="20" s="1"/>
  <c r="AD160" i="20"/>
  <c r="AD162" i="20" s="1"/>
  <c r="CZ29" i="20"/>
  <c r="CZ117" i="20"/>
  <c r="S71" i="20"/>
  <c r="T67" i="20"/>
  <c r="T71" i="20" s="1"/>
  <c r="CY27" i="20"/>
  <c r="CY28" i="20" s="1"/>
  <c r="BB31" i="59"/>
  <c r="AX37" i="59"/>
  <c r="P59" i="38"/>
  <c r="P78" i="38" s="1"/>
  <c r="AB89" i="41"/>
  <c r="AA92" i="41"/>
  <c r="T17" i="38"/>
  <c r="V14" i="38"/>
  <c r="U16" i="38"/>
  <c r="U17" i="38" s="1"/>
  <c r="AG440" i="23"/>
  <c r="AF393" i="23"/>
  <c r="V383" i="23"/>
  <c r="W430" i="23"/>
  <c r="R392" i="23"/>
  <c r="S439" i="23"/>
  <c r="R398" i="23"/>
  <c r="S445" i="23"/>
  <c r="U432" i="23"/>
  <c r="T385" i="23"/>
  <c r="N417" i="23"/>
  <c r="N464" i="23" s="1"/>
  <c r="R379" i="23"/>
  <c r="S426" i="23"/>
  <c r="AK451" i="23"/>
  <c r="AJ404" i="23"/>
  <c r="DG391" i="23"/>
  <c r="DE391" i="23"/>
  <c r="DD391" i="23"/>
  <c r="DF391" i="23"/>
  <c r="U475" i="23"/>
  <c r="U503" i="23" s="1"/>
  <c r="V8" i="23"/>
  <c r="AC391" i="23"/>
  <c r="AD438" i="23"/>
  <c r="AA380" i="23"/>
  <c r="AC427" i="23"/>
  <c r="R387" i="23"/>
  <c r="S434" i="23"/>
  <c r="S441" i="23"/>
  <c r="R394" i="23"/>
  <c r="S428" i="23"/>
  <c r="R381" i="23"/>
  <c r="DA380" i="23"/>
  <c r="DB380" i="23"/>
  <c r="CY380" i="23"/>
  <c r="CZ380" i="23"/>
  <c r="AG446" i="23"/>
  <c r="AF399" i="23"/>
  <c r="V397" i="23"/>
  <c r="W444" i="23"/>
  <c r="CZ400" i="23"/>
  <c r="DB400" i="23"/>
  <c r="CY400" i="23"/>
  <c r="DA400" i="23"/>
  <c r="S424" i="23"/>
  <c r="R377" i="23"/>
  <c r="AA400" i="23"/>
  <c r="AC447" i="23"/>
  <c r="R378" i="23"/>
  <c r="S425" i="23"/>
  <c r="Z396" i="23"/>
  <c r="AA443" i="23"/>
  <c r="S462" i="23"/>
  <c r="R415" i="23"/>
  <c r="BI8" i="23"/>
  <c r="BJ8" i="23" s="1"/>
  <c r="T369" i="23"/>
  <c r="DR409" i="23"/>
  <c r="AJ345" i="23"/>
  <c r="U368" i="23"/>
  <c r="T416" i="23"/>
  <c r="W389" i="23"/>
  <c r="CX389" i="23" s="1"/>
  <c r="U369" i="23"/>
  <c r="AI323" i="23"/>
  <c r="CU388" i="23"/>
  <c r="V388" i="23"/>
  <c r="CV388" i="23"/>
  <c r="CT388" i="23"/>
  <c r="V361" i="23"/>
  <c r="V416" i="23" s="1"/>
  <c r="T368" i="23"/>
  <c r="V368" i="23"/>
  <c r="DO390" i="23"/>
  <c r="DQ390" i="23"/>
  <c r="DP390" i="23"/>
  <c r="DN390" i="23"/>
  <c r="R294" i="60"/>
  <c r="AK12" i="30"/>
  <c r="AJ23" i="30"/>
  <c r="CX32" i="85"/>
  <c r="CV32" i="85"/>
  <c r="AJ57" i="25"/>
  <c r="AN179" i="30" s="1"/>
  <c r="AO180" i="30" s="1"/>
  <c r="CW32" i="85"/>
  <c r="CY32" i="85"/>
  <c r="L26" i="52"/>
  <c r="M27" i="52"/>
  <c r="CA107" i="59"/>
  <c r="EF196" i="30"/>
  <c r="EF195" i="30" s="1"/>
  <c r="EM198" i="30"/>
  <c r="EQ208" i="30"/>
  <c r="DE32" i="85"/>
  <c r="EP209" i="30"/>
  <c r="CW22" i="23" s="1"/>
  <c r="CW61" i="23" s="1"/>
  <c r="EN198" i="30"/>
  <c r="CL203" i="59" s="1"/>
  <c r="CL204" i="59" s="1"/>
  <c r="CL214" i="59" s="1"/>
  <c r="EN209" i="30"/>
  <c r="CU22" i="23" s="1"/>
  <c r="CU61" i="23" s="1"/>
  <c r="EO209" i="30"/>
  <c r="CV22" i="23" s="1"/>
  <c r="CV61" i="23" s="1"/>
  <c r="EO198" i="30"/>
  <c r="CM203" i="59" s="1"/>
  <c r="CM204" i="59" s="1"/>
  <c r="CM214" i="59" s="1"/>
  <c r="EM209" i="30"/>
  <c r="DB74" i="25"/>
  <c r="DG74" i="25"/>
  <c r="DB75" i="25"/>
  <c r="DF74" i="25"/>
  <c r="DF75" i="25"/>
  <c r="DC25" i="30"/>
  <c r="AC29" i="30"/>
  <c r="S69" i="25"/>
  <c r="CW74" i="25"/>
  <c r="CW75" i="25"/>
  <c r="CX73" i="25"/>
  <c r="CW72" i="25"/>
  <c r="DB71" i="25"/>
  <c r="DB72" i="25"/>
  <c r="DB70" i="25"/>
  <c r="DB68" i="25"/>
  <c r="DG70" i="25"/>
  <c r="DF71" i="25"/>
  <c r="DF68" i="25"/>
  <c r="DF70" i="25"/>
  <c r="DF72" i="25"/>
  <c r="U69" i="25"/>
  <c r="AE29" i="30"/>
  <c r="U73" i="25" s="1"/>
  <c r="AP180" i="30"/>
  <c r="CK10" i="23"/>
  <c r="CK13" i="23" s="1"/>
  <c r="CP14" i="23" s="1"/>
  <c r="Y73" i="25"/>
  <c r="DR29" i="30"/>
  <c r="Y71" i="25"/>
  <c r="Z70" i="25"/>
  <c r="DH69" i="25"/>
  <c r="Y68" i="25"/>
  <c r="DH68" i="25" s="1"/>
  <c r="AS206" i="30"/>
  <c r="DN22" i="23"/>
  <c r="FK209" i="30"/>
  <c r="AN67" i="32"/>
  <c r="AE302" i="59"/>
  <c r="U170" i="59"/>
  <c r="DI170" i="59" s="1"/>
  <c r="DE172" i="59"/>
  <c r="DE174" i="59" s="1"/>
  <c r="BZ86" i="73"/>
  <c r="BU87" i="73"/>
  <c r="BU88" i="73"/>
  <c r="CL192" i="59"/>
  <c r="U40" i="59"/>
  <c r="DI39" i="59"/>
  <c r="BR88" i="73"/>
  <c r="BR87" i="73"/>
  <c r="BW86" i="73"/>
  <c r="CB86" i="73" s="1"/>
  <c r="DH92" i="59"/>
  <c r="U91" i="59"/>
  <c r="AS89" i="59"/>
  <c r="AN11" i="30"/>
  <c r="AO12" i="30" s="1"/>
  <c r="AN10" i="30"/>
  <c r="U6" i="52"/>
  <c r="V7" i="52" s="1"/>
  <c r="BS86" i="73"/>
  <c r="CW284" i="59"/>
  <c r="CV285" i="59"/>
  <c r="BG28" i="59"/>
  <c r="AR60" i="59"/>
  <c r="AM75" i="59"/>
  <c r="AM99" i="59" s="1"/>
  <c r="J113" i="73"/>
  <c r="J114" i="73" s="1"/>
  <c r="J111" i="73"/>
  <c r="H78" i="20"/>
  <c r="I79" i="20" s="1"/>
  <c r="J72" i="20"/>
  <c r="J23" i="20" s="1"/>
  <c r="AB71" i="20"/>
  <c r="BU16" i="20"/>
  <c r="BZ11" i="20"/>
  <c r="B65" i="20"/>
  <c r="K113" i="20"/>
  <c r="K26" i="20"/>
  <c r="BI23" i="20"/>
  <c r="AA72" i="20"/>
  <c r="AA23" i="20" s="1"/>
  <c r="BP21" i="20"/>
  <c r="BP25" i="20"/>
  <c r="BP113" i="20"/>
  <c r="BP116" i="20"/>
  <c r="I80" i="20"/>
  <c r="J79" i="20"/>
  <c r="Y75" i="20"/>
  <c r="BV16" i="20"/>
  <c r="BV18" i="20" s="1"/>
  <c r="CA11" i="20"/>
  <c r="BM24" i="20"/>
  <c r="BN24" i="20" s="1"/>
  <c r="BN114" i="20"/>
  <c r="M69" i="20"/>
  <c r="N71" i="20"/>
  <c r="DB24" i="20"/>
  <c r="DC24" i="20" s="1"/>
  <c r="F66" i="20"/>
  <c r="G71" i="20"/>
  <c r="CB117" i="20"/>
  <c r="CG30" i="20"/>
  <c r="BQ116" i="20"/>
  <c r="BQ21" i="20"/>
  <c r="BQ25" i="20"/>
  <c r="C45" i="38"/>
  <c r="AC73" i="41"/>
  <c r="L96" i="41"/>
  <c r="B28" i="38"/>
  <c r="B59" i="38" s="1"/>
  <c r="AC72" i="41"/>
  <c r="W96" i="41"/>
  <c r="M28" i="38"/>
  <c r="M59" i="38" s="1"/>
  <c r="M78" i="38" s="1"/>
  <c r="AB74" i="41"/>
  <c r="N31" i="38"/>
  <c r="X95" i="41"/>
  <c r="N28" i="38"/>
  <c r="X96" i="41"/>
  <c r="C58" i="38"/>
  <c r="C77" i="38" s="1"/>
  <c r="C59" i="38"/>
  <c r="C78" i="38" s="1"/>
  <c r="B45" i="38"/>
  <c r="B58" i="38" s="1"/>
  <c r="B77" i="38" s="1"/>
  <c r="D28" i="38"/>
  <c r="D59" i="38" s="1"/>
  <c r="D78" i="38" s="1"/>
  <c r="N96" i="41"/>
  <c r="N100" i="41"/>
  <c r="B61" i="38"/>
  <c r="B78" i="38" s="1"/>
  <c r="AC31" i="95"/>
  <c r="AA30" i="95"/>
  <c r="AC30" i="95"/>
  <c r="N50" i="85"/>
  <c r="N77" i="85"/>
  <c r="CN104" i="85"/>
  <c r="CS89" i="85"/>
  <c r="Z8" i="95"/>
  <c r="Z9" i="95" s="1"/>
  <c r="AE9" i="95"/>
  <c r="V72" i="23"/>
  <c r="U73" i="23"/>
  <c r="AH43" i="23"/>
  <c r="X12" i="56"/>
  <c r="AG260" i="23"/>
  <c r="AG230" i="23"/>
  <c r="AH230" i="23" s="1"/>
  <c r="BF21" i="23"/>
  <c r="BF75" i="23" s="1"/>
  <c r="AJ12" i="30"/>
  <c r="BP77" i="73"/>
  <c r="BP78" i="73" s="1"/>
  <c r="BS210" i="59"/>
  <c r="CQ192" i="59"/>
  <c r="CG192" i="59"/>
  <c r="R104" i="30"/>
  <c r="D36" i="25"/>
  <c r="DC58" i="25"/>
  <c r="AE181" i="30"/>
  <c r="U60" i="25"/>
  <c r="DM207" i="30"/>
  <c r="AE209" i="30"/>
  <c r="T7" i="52"/>
  <c r="S13" i="52"/>
  <c r="BP98" i="30"/>
  <c r="BP130" i="30"/>
  <c r="BP119" i="30"/>
  <c r="BU98" i="30"/>
  <c r="BP138" i="30"/>
  <c r="BP103" i="30"/>
  <c r="CH78" i="25"/>
  <c r="D190" i="59"/>
  <c r="BH119" i="30"/>
  <c r="BH130" i="30"/>
  <c r="DH195" i="30"/>
  <c r="AD199" i="30"/>
  <c r="AL32" i="30"/>
  <c r="AM12" i="30"/>
  <c r="AG64" i="25"/>
  <c r="BW93" i="30"/>
  <c r="BM97" i="30"/>
  <c r="BR93" i="30"/>
  <c r="BN93" i="30"/>
  <c r="BM123" i="30"/>
  <c r="BM101" i="30"/>
  <c r="DO140" i="30"/>
  <c r="BM60" i="59"/>
  <c r="BM61" i="59"/>
  <c r="BK20" i="23"/>
  <c r="DD211" i="30"/>
  <c r="EL207" i="30"/>
  <c r="Q7" i="52"/>
  <c r="Q17" i="52"/>
  <c r="Q13" i="52"/>
  <c r="Q9" i="52" s="1"/>
  <c r="R11" i="52" s="1"/>
  <c r="Q23" i="52"/>
  <c r="DK68" i="25"/>
  <c r="DK72" i="25"/>
  <c r="DK70" i="25"/>
  <c r="DK71" i="25"/>
  <c r="BN5" i="23"/>
  <c r="BN8" i="23" s="1"/>
  <c r="BE191" i="59"/>
  <c r="BF191" i="59" s="1"/>
  <c r="BH103" i="30"/>
  <c r="BH141" i="30" s="1"/>
  <c r="BH138" i="30"/>
  <c r="M250" i="23"/>
  <c r="M583" i="23"/>
  <c r="DD154" i="30"/>
  <c r="DD163" i="30"/>
  <c r="DH163" i="30" s="1"/>
  <c r="DH151" i="30"/>
  <c r="EK208" i="30"/>
  <c r="EK198" i="30" s="1"/>
  <c r="CI203" i="59" s="1"/>
  <c r="CI204" i="59" s="1"/>
  <c r="CI214" i="59" s="1"/>
  <c r="EI208" i="30"/>
  <c r="EI198" i="30" s="1"/>
  <c r="CG203" i="59" s="1"/>
  <c r="CG204" i="59" s="1"/>
  <c r="EJ208" i="30"/>
  <c r="EJ198" i="30" s="1"/>
  <c r="CH203" i="59" s="1"/>
  <c r="CH204" i="59" s="1"/>
  <c r="EH208" i="30"/>
  <c r="DK75" i="25"/>
  <c r="DK74" i="25"/>
  <c r="BK104" i="30"/>
  <c r="BK141" i="30"/>
  <c r="BV142" i="30"/>
  <c r="CA142" i="30"/>
  <c r="BV141" i="30"/>
  <c r="BI130" i="30"/>
  <c r="EK209" i="30"/>
  <c r="CR22" i="23" s="1"/>
  <c r="CR61" i="23" s="1"/>
  <c r="AJ32" i="30"/>
  <c r="AC64" i="25"/>
  <c r="AC65" i="25" s="1"/>
  <c r="BP72" i="73"/>
  <c r="CB199" i="59"/>
  <c r="CF10" i="23"/>
  <c r="CF13" i="23" s="1"/>
  <c r="CF17" i="23" s="1"/>
  <c r="DO98" i="30"/>
  <c r="BV182" i="59"/>
  <c r="BQ182" i="59"/>
  <c r="BR210" i="59"/>
  <c r="I157" i="59"/>
  <c r="CM192" i="59"/>
  <c r="CM250" i="59"/>
  <c r="CM251" i="59" s="1"/>
  <c r="CV5" i="23"/>
  <c r="CV6" i="23" s="1"/>
  <c r="T172" i="59"/>
  <c r="DD172" i="59" s="1"/>
  <c r="K159" i="59"/>
  <c r="J159" i="59"/>
  <c r="CN200" i="59"/>
  <c r="R8" i="31"/>
  <c r="AV15" i="31"/>
  <c r="BW192" i="59"/>
  <c r="CI200" i="59"/>
  <c r="O35" i="95"/>
  <c r="N41" i="95"/>
  <c r="N42" i="95" s="1"/>
  <c r="BE242" i="59"/>
  <c r="BE220" i="59" s="1"/>
  <c r="BN242" i="59"/>
  <c r="BN244" i="59" s="1"/>
  <c r="BN246" i="59" s="1"/>
  <c r="BO242" i="59"/>
  <c r="BO220" i="59" s="1"/>
  <c r="BI242" i="59"/>
  <c r="BI220" i="59" s="1"/>
  <c r="BT242" i="59"/>
  <c r="BT220" i="59" s="1"/>
  <c r="R32" i="31"/>
  <c r="BJ242" i="59"/>
  <c r="BJ220" i="59" s="1"/>
  <c r="BD242" i="59"/>
  <c r="BD220" i="59" s="1"/>
  <c r="BS242" i="59"/>
  <c r="BS220" i="59" s="1"/>
  <c r="BR242" i="59"/>
  <c r="BR220" i="59" s="1"/>
  <c r="BQ242" i="59"/>
  <c r="J18" i="95"/>
  <c r="J267" i="59"/>
  <c r="K270" i="59" s="1"/>
  <c r="J274" i="59"/>
  <c r="J275" i="59" s="1"/>
  <c r="K276" i="59" s="1"/>
  <c r="D8" i="95"/>
  <c r="X8" i="32" s="1"/>
  <c r="CR269" i="59"/>
  <c r="CR274" i="59"/>
  <c r="BH13" i="31" s="1"/>
  <c r="BT94" i="73"/>
  <c r="BT93" i="73"/>
  <c r="CR10" i="23"/>
  <c r="CR13" i="23" s="1"/>
  <c r="CI199" i="59"/>
  <c r="CW328" i="59"/>
  <c r="CW166" i="59"/>
  <c r="CW158" i="59"/>
  <c r="CN192" i="59"/>
  <c r="CB104" i="85"/>
  <c r="CG89" i="85"/>
  <c r="CB102" i="85"/>
  <c r="BI18" i="85"/>
  <c r="BI20" i="85" s="1"/>
  <c r="BI105" i="85"/>
  <c r="BI12" i="85"/>
  <c r="BI92" i="85"/>
  <c r="BI95" i="85"/>
  <c r="BI96" i="85" s="1"/>
  <c r="CA183" i="59"/>
  <c r="CF182" i="59"/>
  <c r="R177" i="59"/>
  <c r="CU194" i="59"/>
  <c r="CU211" i="59" s="1"/>
  <c r="CU167" i="59"/>
  <c r="E113" i="30"/>
  <c r="C147" i="30"/>
  <c r="C154" i="30" s="1"/>
  <c r="F28" i="31"/>
  <c r="F20" i="31" s="1"/>
  <c r="F34" i="31"/>
  <c r="D25" i="31"/>
  <c r="C90" i="31"/>
  <c r="C25" i="31"/>
  <c r="AI457" i="23"/>
  <c r="AH410" i="23"/>
  <c r="AK411" i="23"/>
  <c r="AL356" i="23"/>
  <c r="AL411" i="23" s="1"/>
  <c r="AJ411" i="23"/>
  <c r="CV10" i="23"/>
  <c r="CM200" i="59"/>
  <c r="CM199" i="59"/>
  <c r="DN141" i="30"/>
  <c r="O103" i="30"/>
  <c r="O109" i="30"/>
  <c r="F151" i="30"/>
  <c r="CZ5" i="23"/>
  <c r="DE6" i="23" s="1"/>
  <c r="BS198" i="59"/>
  <c r="BX199" i="59" s="1"/>
  <c r="BS206" i="59"/>
  <c r="BX182" i="59"/>
  <c r="DW65" i="30"/>
  <c r="CC182" i="59"/>
  <c r="CD210" i="59"/>
  <c r="CD191" i="59"/>
  <c r="Y21" i="95"/>
  <c r="BR91" i="73"/>
  <c r="BW92" i="73"/>
  <c r="Q126" i="73"/>
  <c r="R125" i="73"/>
  <c r="Q127" i="73"/>
  <c r="Q124" i="73"/>
  <c r="T93" i="59"/>
  <c r="U16" i="52"/>
  <c r="N279" i="60" s="1"/>
  <c r="J83" i="63" s="1"/>
  <c r="T323" i="59"/>
  <c r="DD91" i="59"/>
  <c r="AN16" i="30"/>
  <c r="AK91" i="32"/>
  <c r="AH68" i="32"/>
  <c r="BM125" i="59"/>
  <c r="DO95" i="30"/>
  <c r="J177" i="59"/>
  <c r="J179" i="59" s="1"/>
  <c r="J172" i="59"/>
  <c r="AA66" i="25"/>
  <c r="AA67" i="25" s="1"/>
  <c r="AH25" i="30"/>
  <c r="AH20" i="30"/>
  <c r="CP5" i="23"/>
  <c r="CU6" i="23" s="1"/>
  <c r="CG250" i="59"/>
  <c r="CG251" i="59" s="1"/>
  <c r="DN96" i="30"/>
  <c r="BH79" i="73"/>
  <c r="DX91" i="30"/>
  <c r="CF5" i="23"/>
  <c r="CK6" i="23" s="1"/>
  <c r="BW200" i="59"/>
  <c r="BW250" i="59"/>
  <c r="BW251" i="59" s="1"/>
  <c r="AW166" i="59"/>
  <c r="BB166" i="59"/>
  <c r="BM16" i="59"/>
  <c r="DJ103" i="30"/>
  <c r="BH61" i="59"/>
  <c r="BM226" i="59"/>
  <c r="BM228" i="59" s="1"/>
  <c r="I218" i="59"/>
  <c r="BP218" i="59" s="1"/>
  <c r="DU128" i="30"/>
  <c r="DP130" i="30"/>
  <c r="AR167" i="59"/>
  <c r="BH76" i="73"/>
  <c r="CN250" i="59"/>
  <c r="CN251" i="59" s="1"/>
  <c r="CW5" i="23"/>
  <c r="DB6" i="23" s="1"/>
  <c r="DO130" i="30"/>
  <c r="DT98" i="30"/>
  <c r="CG200" i="59"/>
  <c r="K292" i="59"/>
  <c r="BZ218" i="59"/>
  <c r="BO79" i="73"/>
  <c r="U559" i="23"/>
  <c r="BO78" i="73"/>
  <c r="CA219" i="59"/>
  <c r="EA98" i="30"/>
  <c r="EF98" i="30"/>
  <c r="Z67" i="25"/>
  <c r="DM64" i="25"/>
  <c r="S559" i="23"/>
  <c r="Z75" i="25"/>
  <c r="Z65" i="25"/>
  <c r="Z71" i="25"/>
  <c r="N10" i="52"/>
  <c r="O11" i="52"/>
  <c r="N11" i="52"/>
  <c r="BH47" i="73"/>
  <c r="N24" i="52"/>
  <c r="H50" i="95"/>
  <c r="CB60" i="85"/>
  <c r="BW63" i="85"/>
  <c r="N64" i="85"/>
  <c r="P104" i="73"/>
  <c r="O105" i="73"/>
  <c r="O106" i="73"/>
  <c r="T100" i="31"/>
  <c r="S102" i="31"/>
  <c r="Z101" i="31"/>
  <c r="B8" i="38"/>
  <c r="B4" i="38"/>
  <c r="B42" i="38" s="1"/>
  <c r="B33" i="38" s="1"/>
  <c r="B32" i="38" s="1"/>
  <c r="B64" i="38" s="1"/>
  <c r="B80" i="38" s="1"/>
  <c r="B46" i="38"/>
  <c r="BX91" i="30"/>
  <c r="J102" i="31"/>
  <c r="J103" i="31" s="1"/>
  <c r="K101" i="31"/>
  <c r="I135" i="31"/>
  <c r="I112" i="31" s="1"/>
  <c r="I113" i="31" s="1"/>
  <c r="I107" i="31"/>
  <c r="I108" i="31" s="1"/>
  <c r="I109" i="31" s="1"/>
  <c r="I128" i="31"/>
  <c r="I129" i="31" s="1"/>
  <c r="I130" i="31" s="1"/>
  <c r="N127" i="31"/>
  <c r="J133" i="31"/>
  <c r="K134" i="31"/>
  <c r="CT10" i="23"/>
  <c r="CK200" i="59"/>
  <c r="CK199" i="59"/>
  <c r="CW13" i="23"/>
  <c r="CU10" i="23"/>
  <c r="CL200" i="59"/>
  <c r="CL199" i="59"/>
  <c r="DK25" i="25"/>
  <c r="DK28" i="25"/>
  <c r="DK27" i="25"/>
  <c r="DK30" i="25"/>
  <c r="DW72" i="30"/>
  <c r="CQ14" i="23"/>
  <c r="CQ17" i="23"/>
  <c r="CQ18" i="23" s="1"/>
  <c r="N218" i="59"/>
  <c r="P218" i="59" s="1"/>
  <c r="ES98" i="30"/>
  <c r="EN98" i="30"/>
  <c r="AJ15" i="25"/>
  <c r="AJ11" i="25"/>
  <c r="AK15" i="25"/>
  <c r="AK11" i="25"/>
  <c r="EM93" i="30"/>
  <c r="EM94" i="30" s="1"/>
  <c r="CQ250" i="59"/>
  <c r="CQ251" i="59" s="1"/>
  <c r="CK122" i="59"/>
  <c r="CK125" i="59" s="1"/>
  <c r="BH54" i="73" s="1"/>
  <c r="DS96" i="30"/>
  <c r="G76" i="73"/>
  <c r="CV192" i="59"/>
  <c r="CQ210" i="59"/>
  <c r="CP121" i="59"/>
  <c r="BM47" i="73" s="1"/>
  <c r="BN78" i="73"/>
  <c r="BN79" i="73"/>
  <c r="EC91" i="30"/>
  <c r="DS116" i="30"/>
  <c r="DS120" i="30"/>
  <c r="DS114" i="30"/>
  <c r="BQ57" i="59"/>
  <c r="BQ56" i="59"/>
  <c r="CB319" i="59"/>
  <c r="DI233" i="59"/>
  <c r="V24" i="59"/>
  <c r="DD170" i="59"/>
  <c r="BU131" i="59"/>
  <c r="J145" i="59"/>
  <c r="CG121" i="59"/>
  <c r="CB122" i="59"/>
  <c r="ED93" i="30"/>
  <c r="ED94" i="30" s="1"/>
  <c r="CP210" i="59"/>
  <c r="CP191" i="59"/>
  <c r="DG6" i="23"/>
  <c r="J132" i="59"/>
  <c r="CF50" i="59"/>
  <c r="AV42" i="31"/>
  <c r="AV43" i="31" s="1"/>
  <c r="CF55" i="59"/>
  <c r="CF319" i="59" s="1"/>
  <c r="BA14" i="31"/>
  <c r="CK12" i="59"/>
  <c r="CP8" i="59"/>
  <c r="CU8" i="59" s="1"/>
  <c r="CZ8" i="59" s="1"/>
  <c r="CK49" i="59"/>
  <c r="EM86" i="30"/>
  <c r="BW57" i="59"/>
  <c r="BW56" i="59"/>
  <c r="BW305" i="59"/>
  <c r="DT120" i="30"/>
  <c r="DT116" i="30"/>
  <c r="DT119" i="30" s="1"/>
  <c r="CA56" i="59"/>
  <c r="CA57" i="59"/>
  <c r="CA305" i="59"/>
  <c r="EH90" i="30"/>
  <c r="EH91" i="30" s="1"/>
  <c r="EH87" i="30"/>
  <c r="CA319" i="59"/>
  <c r="CI233" i="59"/>
  <c r="M233" i="59" s="1"/>
  <c r="M24" i="59"/>
  <c r="CN25" i="59"/>
  <c r="CF219" i="59"/>
  <c r="CF13" i="59"/>
  <c r="BV305" i="59"/>
  <c r="BV56" i="59"/>
  <c r="BV57" i="59"/>
  <c r="H109" i="31"/>
  <c r="K71" i="23"/>
  <c r="L72" i="23"/>
  <c r="L73" i="23" s="1"/>
  <c r="BH114" i="59"/>
  <c r="BH116" i="59" s="1"/>
  <c r="H111" i="59"/>
  <c r="BK111" i="59" s="1"/>
  <c r="DZ95" i="30"/>
  <c r="DZ96" i="30" s="1"/>
  <c r="BX125" i="59"/>
  <c r="CC122" i="59"/>
  <c r="CH121" i="59"/>
  <c r="EE93" i="30"/>
  <c r="EE94" i="30" s="1"/>
  <c r="K132" i="59"/>
  <c r="K145" i="59"/>
  <c r="BZ131" i="59"/>
  <c r="CA192" i="59"/>
  <c r="CK17" i="23"/>
  <c r="DS48" i="30"/>
  <c r="DW45" i="30"/>
  <c r="DS55" i="30"/>
  <c r="BV250" i="59"/>
  <c r="BV251" i="59" s="1"/>
  <c r="CE5" i="23"/>
  <c r="CJ6" i="23" s="1"/>
  <c r="BV200" i="59"/>
  <c r="ET98" i="30"/>
  <c r="EO98" i="30"/>
  <c r="AL18" i="30"/>
  <c r="AL17" i="30"/>
  <c r="AM17" i="30"/>
  <c r="AM18" i="30"/>
  <c r="S9" i="52"/>
  <c r="S10" i="52" s="1"/>
  <c r="H83" i="63"/>
  <c r="S23" i="52"/>
  <c r="S17" i="52"/>
  <c r="S18" i="52"/>
  <c r="I83" i="63"/>
  <c r="T18" i="52"/>
  <c r="T9" i="52"/>
  <c r="T23" i="52"/>
  <c r="T17" i="52"/>
  <c r="CT113" i="59"/>
  <c r="CT112" i="59"/>
  <c r="CQ197" i="59"/>
  <c r="CQ198" i="59" s="1"/>
  <c r="CQ206" i="59"/>
  <c r="Z71" i="59"/>
  <c r="BG23" i="23"/>
  <c r="BG34" i="23" s="1"/>
  <c r="BG77" i="23"/>
  <c r="BG79" i="23" s="1"/>
  <c r="BG75" i="23"/>
  <c r="BF77" i="23"/>
  <c r="BF79" i="23" s="1"/>
  <c r="AJ282" i="23"/>
  <c r="AJ204" i="23" s="1"/>
  <c r="AI689" i="23"/>
  <c r="AS205" i="30"/>
  <c r="AT156" i="30"/>
  <c r="Z32" i="85"/>
  <c r="AN57" i="25" s="1"/>
  <c r="AR179" i="30" s="1"/>
  <c r="AR180" i="30" s="1"/>
  <c r="AS207" i="30"/>
  <c r="AC251" i="23"/>
  <c r="AC61" i="23"/>
  <c r="AC63" i="23" s="1"/>
  <c r="AC674" i="23" s="1"/>
  <c r="DM22" i="23"/>
  <c r="AC611" i="23"/>
  <c r="O38" i="38"/>
  <c r="P30" i="38"/>
  <c r="O66" i="38"/>
  <c r="O81" i="38" s="1"/>
  <c r="G28" i="38"/>
  <c r="G59" i="38" s="1"/>
  <c r="G78" i="38" s="1"/>
  <c r="Q100" i="41"/>
  <c r="Q96" i="41"/>
  <c r="O59" i="38"/>
  <c r="O78" i="38" s="1"/>
  <c r="P36" i="38"/>
  <c r="H78" i="38"/>
  <c r="T96" i="41"/>
  <c r="T100" i="41"/>
  <c r="J28" i="38"/>
  <c r="AD71" i="41"/>
  <c r="P100" i="41"/>
  <c r="P96" i="41"/>
  <c r="F28" i="38"/>
  <c r="AF151" i="23"/>
  <c r="AF165" i="23"/>
  <c r="AM61" i="30"/>
  <c r="AM63" i="30"/>
  <c r="AM80" i="30"/>
  <c r="AM65" i="30"/>
  <c r="AM73" i="30" s="1"/>
  <c r="G78" i="73"/>
  <c r="CJ218" i="59"/>
  <c r="O218" i="59"/>
  <c r="CG10" i="23"/>
  <c r="CG13" i="23" s="1"/>
  <c r="CL14" i="23" s="1"/>
  <c r="BX200" i="59"/>
  <c r="CC199" i="59"/>
  <c r="CA104" i="30"/>
  <c r="CA141" i="30"/>
  <c r="CK95" i="30"/>
  <c r="CK103" i="30"/>
  <c r="CK104" i="30" s="1"/>
  <c r="BI6" i="23"/>
  <c r="BN6" i="23"/>
  <c r="DI123" i="30"/>
  <c r="DI126" i="30"/>
  <c r="AU191" i="59"/>
  <c r="AZ192" i="59" s="1"/>
  <c r="BG7" i="23"/>
  <c r="H145" i="59"/>
  <c r="BK131" i="59"/>
  <c r="AZ200" i="59"/>
  <c r="BE192" i="59"/>
  <c r="CP97" i="30"/>
  <c r="CF119" i="30"/>
  <c r="CF95" i="30"/>
  <c r="CF103" i="30"/>
  <c r="CF104" i="30" s="1"/>
  <c r="DI130" i="30"/>
  <c r="DI128" i="30"/>
  <c r="DN128" i="30"/>
  <c r="AC175" i="23"/>
  <c r="AC294" i="23" s="1"/>
  <c r="AC112" i="23"/>
  <c r="DI112" i="23" s="1"/>
  <c r="DI114" i="23" s="1"/>
  <c r="AC133" i="23"/>
  <c r="Z133" i="23"/>
  <c r="Z112" i="23"/>
  <c r="Z175" i="23"/>
  <c r="F110" i="95"/>
  <c r="K23" i="31"/>
  <c r="L11" i="31"/>
  <c r="K14" i="31"/>
  <c r="K95" i="31"/>
  <c r="AJ293" i="23"/>
  <c r="O31" i="95"/>
  <c r="N29" i="95"/>
  <c r="N30" i="95"/>
  <c r="CM273" i="59"/>
  <c r="CM281" i="59"/>
  <c r="CM268" i="59"/>
  <c r="CM267" i="59"/>
  <c r="R30" i="95"/>
  <c r="R29" i="95"/>
  <c r="S31" i="95"/>
  <c r="V7" i="32"/>
  <c r="V87" i="32"/>
  <c r="V86" i="32"/>
  <c r="V83" i="32"/>
  <c r="V84" i="32"/>
  <c r="V82" i="32"/>
  <c r="V85" i="32"/>
  <c r="D17" i="95"/>
  <c r="D20" i="95"/>
  <c r="CH268" i="59"/>
  <c r="CH281" i="59"/>
  <c r="CH267" i="59"/>
  <c r="CH273" i="59"/>
  <c r="AX12" i="31"/>
  <c r="CS269" i="59"/>
  <c r="CS274" i="59"/>
  <c r="BI13" i="31" s="1"/>
  <c r="L30" i="95"/>
  <c r="M31" i="95"/>
  <c r="L29" i="95"/>
  <c r="CN268" i="59"/>
  <c r="CN281" i="59"/>
  <c r="CN273" i="59"/>
  <c r="CN267" i="59"/>
  <c r="X30" i="95"/>
  <c r="Y31" i="95"/>
  <c r="Y85" i="41"/>
  <c r="BU42" i="73"/>
  <c r="BU41" i="73"/>
  <c r="BU39" i="73"/>
  <c r="T120" i="73"/>
  <c r="U118" i="73"/>
  <c r="T119" i="73"/>
  <c r="T117" i="73"/>
  <c r="CD242" i="59"/>
  <c r="CD220" i="59" s="1"/>
  <c r="AT12" i="31"/>
  <c r="AT32" i="31" s="1"/>
  <c r="CD273" i="59"/>
  <c r="CD281" i="59"/>
  <c r="CD267" i="59"/>
  <c r="CK273" i="59"/>
  <c r="CK267" i="59"/>
  <c r="CK281" i="59"/>
  <c r="CK268" i="59"/>
  <c r="Z30" i="95"/>
  <c r="AA31" i="95"/>
  <c r="P29" i="95"/>
  <c r="Q31" i="95"/>
  <c r="P30" i="95"/>
  <c r="CR273" i="59"/>
  <c r="CR268" i="59"/>
  <c r="CR292" i="59"/>
  <c r="CR267" i="59"/>
  <c r="CR281" i="59"/>
  <c r="I29" i="95"/>
  <c r="BR93" i="73"/>
  <c r="BR94" i="73"/>
  <c r="T147" i="73"/>
  <c r="T144" i="73"/>
  <c r="AK163" i="23" s="1"/>
  <c r="T146" i="73"/>
  <c r="U145" i="73"/>
  <c r="S29" i="95"/>
  <c r="S30" i="95"/>
  <c r="H31" i="95"/>
  <c r="X31" i="95"/>
  <c r="H29" i="95"/>
  <c r="H30" i="95"/>
  <c r="N31" i="95"/>
  <c r="M30" i="95"/>
  <c r="Q29" i="95"/>
  <c r="R31" i="95"/>
  <c r="Q30" i="95"/>
  <c r="CF273" i="59"/>
  <c r="CF281" i="59"/>
  <c r="CF267" i="59"/>
  <c r="CF268" i="59"/>
  <c r="AV12" i="31"/>
  <c r="H95" i="73"/>
  <c r="E19" i="95"/>
  <c r="CG281" i="59"/>
  <c r="AW12" i="31"/>
  <c r="CG267" i="59"/>
  <c r="CG273" i="59"/>
  <c r="CG268" i="59"/>
  <c r="AY12" i="31"/>
  <c r="AY32" i="31" s="1"/>
  <c r="CI273" i="59"/>
  <c r="CI268" i="59"/>
  <c r="CI281" i="59"/>
  <c r="CI267" i="59"/>
  <c r="O29" i="95"/>
  <c r="O30" i="95"/>
  <c r="P31" i="95"/>
  <c r="M62" i="38"/>
  <c r="M79" i="38" s="1"/>
  <c r="M39" i="38"/>
  <c r="N39" i="38"/>
  <c r="CP269" i="59"/>
  <c r="CP274" i="59"/>
  <c r="Q266" i="59"/>
  <c r="CT266" i="59" s="1"/>
  <c r="CT274" i="59" s="1"/>
  <c r="AB85" i="41"/>
  <c r="CA281" i="59"/>
  <c r="CA242" i="59"/>
  <c r="AQ12" i="31"/>
  <c r="CA267" i="59"/>
  <c r="CA273" i="59"/>
  <c r="CP292" i="59"/>
  <c r="Q265" i="59"/>
  <c r="CP273" i="59"/>
  <c r="CP281" i="59"/>
  <c r="CP267" i="59"/>
  <c r="CP268" i="59"/>
  <c r="Z31" i="95"/>
  <c r="Y30" i="95"/>
  <c r="CS281" i="59"/>
  <c r="CS267" i="59"/>
  <c r="CS292" i="59"/>
  <c r="CS273" i="59"/>
  <c r="CS268" i="59"/>
  <c r="K31" i="95"/>
  <c r="J29" i="95"/>
  <c r="CB273" i="59"/>
  <c r="AR12" i="31"/>
  <c r="CB267" i="59"/>
  <c r="CB281" i="59"/>
  <c r="CB242" i="59"/>
  <c r="CB220" i="59" s="1"/>
  <c r="CQ268" i="59"/>
  <c r="CQ267" i="59"/>
  <c r="CQ273" i="59"/>
  <c r="CQ292" i="59"/>
  <c r="CQ281" i="59"/>
  <c r="E7" i="95"/>
  <c r="H89" i="73"/>
  <c r="K30" i="95"/>
  <c r="K29" i="95"/>
  <c r="L31" i="95"/>
  <c r="CC267" i="59"/>
  <c r="AS12" i="31"/>
  <c r="CC273" i="59"/>
  <c r="CC281" i="59"/>
  <c r="CC242" i="59"/>
  <c r="CC220" i="59" s="1"/>
  <c r="CL268" i="59"/>
  <c r="CL273" i="59"/>
  <c r="CL267" i="59"/>
  <c r="CL281" i="59"/>
  <c r="M75" i="73"/>
  <c r="N75" i="73" s="1"/>
  <c r="O75" i="73" s="1"/>
  <c r="P75" i="73" s="1"/>
  <c r="Q75" i="73" s="1"/>
  <c r="R75" i="73" s="1"/>
  <c r="S75" i="73" s="1"/>
  <c r="T75" i="73" s="1"/>
  <c r="U75" i="73" s="1"/>
  <c r="V75" i="73" s="1"/>
  <c r="Z85" i="41"/>
  <c r="AA86" i="41" s="1"/>
  <c r="DH388" i="23"/>
  <c r="DH389" i="23"/>
  <c r="AL422" i="23"/>
  <c r="AK375" i="23"/>
  <c r="AG354" i="23"/>
  <c r="AG409" i="23" s="1"/>
  <c r="AI353" i="23"/>
  <c r="AI408" i="23" s="1"/>
  <c r="AH348" i="23"/>
  <c r="I154" i="30"/>
  <c r="I195" i="30"/>
  <c r="I199" i="30" s="1"/>
  <c r="K104" i="30"/>
  <c r="M104" i="30"/>
  <c r="N104" i="30"/>
  <c r="K158" i="30"/>
  <c r="D44" i="25" s="1"/>
  <c r="D40" i="25"/>
  <c r="L109" i="30"/>
  <c r="L151" i="30" s="1"/>
  <c r="L154" i="30" s="1"/>
  <c r="BI103" i="30"/>
  <c r="BF195" i="30"/>
  <c r="BF199" i="30" s="1"/>
  <c r="BF211" i="30" s="1"/>
  <c r="BG151" i="30"/>
  <c r="BF163" i="30"/>
  <c r="BF154" i="30"/>
  <c r="BN91" i="30"/>
  <c r="BS91" i="30"/>
  <c r="H81" i="63"/>
  <c r="AI55" i="30"/>
  <c r="AI56" i="30"/>
  <c r="AI65" i="30"/>
  <c r="AI73" i="30" s="1"/>
  <c r="BZ165" i="59"/>
  <c r="K166" i="59"/>
  <c r="R55" i="33"/>
  <c r="AE235" i="30"/>
  <c r="R43" i="33"/>
  <c r="R44" i="33" s="1"/>
  <c r="CR250" i="59"/>
  <c r="CR251" i="59" s="1"/>
  <c r="CR192" i="59"/>
  <c r="DA5" i="23"/>
  <c r="CW192" i="59"/>
  <c r="AJ71" i="30"/>
  <c r="AC16" i="25" s="1"/>
  <c r="AC12" i="25"/>
  <c r="BS79" i="59"/>
  <c r="BS84" i="59"/>
  <c r="DU146" i="30"/>
  <c r="BU165" i="59"/>
  <c r="I177" i="59"/>
  <c r="I179" i="59" s="1"/>
  <c r="I172" i="59"/>
  <c r="H78" i="73"/>
  <c r="H76" i="73"/>
  <c r="H79" i="73"/>
  <c r="EU98" i="30"/>
  <c r="EP98" i="30"/>
  <c r="BN81" i="59"/>
  <c r="BN80" i="59"/>
  <c r="J77" i="73"/>
  <c r="K77" i="73"/>
  <c r="AI25" i="30"/>
  <c r="AI20" i="30"/>
  <c r="AJ20" i="30"/>
  <c r="AB66" i="25"/>
  <c r="AP84" i="25"/>
  <c r="AA196" i="59"/>
  <c r="BM244" i="59"/>
  <c r="BM246" i="59" s="1"/>
  <c r="AB10" i="25"/>
  <c r="AA302" i="59"/>
  <c r="AJ67" i="32"/>
  <c r="DQ128" i="30"/>
  <c r="DL130" i="30"/>
  <c r="BB145" i="59"/>
  <c r="BB159" i="59"/>
  <c r="BG132" i="59"/>
  <c r="BB132" i="59"/>
  <c r="CT6" i="23"/>
  <c r="CO6" i="23"/>
  <c r="AK56" i="30"/>
  <c r="AJ55" i="30"/>
  <c r="AJ56" i="30"/>
  <c r="BX30" i="59"/>
  <c r="BX83" i="59"/>
  <c r="DZ108" i="30"/>
  <c r="CC33" i="59"/>
  <c r="BX241" i="59"/>
  <c r="BX224" i="59" s="1"/>
  <c r="AH71" i="30"/>
  <c r="AA16" i="25" s="1"/>
  <c r="AA12" i="25"/>
  <c r="AA11" i="25" s="1"/>
  <c r="BP145" i="59"/>
  <c r="BM182" i="59"/>
  <c r="BM183" i="59"/>
  <c r="BR182" i="59"/>
  <c r="R10" i="52"/>
  <c r="H224" i="59"/>
  <c r="BT116" i="59"/>
  <c r="BT115" i="59"/>
  <c r="AL54" i="30"/>
  <c r="AG9" i="25"/>
  <c r="AG10" i="25" s="1"/>
  <c r="AL63" i="30"/>
  <c r="BN183" i="59"/>
  <c r="BN182" i="59"/>
  <c r="BS182" i="59"/>
  <c r="AB12" i="25"/>
  <c r="AB11" i="25" s="1"/>
  <c r="AI71" i="30"/>
  <c r="AB16" i="25" s="1"/>
  <c r="H157" i="59"/>
  <c r="I150" i="59"/>
  <c r="H177" i="59"/>
  <c r="H179" i="59" s="1"/>
  <c r="H181" i="59" s="1"/>
  <c r="BK149" i="59"/>
  <c r="H151" i="59"/>
  <c r="DM95" i="30"/>
  <c r="AE97" i="30"/>
  <c r="BW241" i="59"/>
  <c r="CB33" i="59"/>
  <c r="DY108" i="30"/>
  <c r="BW30" i="59"/>
  <c r="BW224" i="59"/>
  <c r="AF64" i="25"/>
  <c r="AD67" i="25"/>
  <c r="W559" i="23"/>
  <c r="AD65" i="25"/>
  <c r="BK78" i="73"/>
  <c r="BK76" i="73"/>
  <c r="BK79" i="73"/>
  <c r="BG79" i="59"/>
  <c r="BG81" i="59" s="1"/>
  <c r="BG84" i="59"/>
  <c r="DI146" i="30"/>
  <c r="DN108" i="30"/>
  <c r="BL241" i="59"/>
  <c r="BL224" i="59" s="1"/>
  <c r="BL30" i="59"/>
  <c r="BQ33" i="59"/>
  <c r="BL83" i="59"/>
  <c r="BL183" i="59"/>
  <c r="BL182" i="59"/>
  <c r="DJ131" i="30"/>
  <c r="DJ124" i="30"/>
  <c r="CV316" i="59"/>
  <c r="CV167" i="59"/>
  <c r="CV194" i="59"/>
  <c r="CV211" i="59" s="1"/>
  <c r="CV330" i="59"/>
  <c r="CT178" i="59"/>
  <c r="BJ183" i="59"/>
  <c r="BO182" i="59"/>
  <c r="V13" i="31"/>
  <c r="BR240" i="59"/>
  <c r="DT105" i="30"/>
  <c r="BR31" i="59"/>
  <c r="DT80" i="30"/>
  <c r="DW80" i="30" s="1"/>
  <c r="DW73" i="30"/>
  <c r="DN123" i="30"/>
  <c r="DN126" i="30"/>
  <c r="AE9" i="25"/>
  <c r="AE10" i="25" s="1"/>
  <c r="AC10" i="25"/>
  <c r="BS234" i="59"/>
  <c r="BS240" i="59" s="1"/>
  <c r="BS31" i="59"/>
  <c r="DU105" i="30"/>
  <c r="DU106" i="30" s="1"/>
  <c r="CT174" i="59"/>
  <c r="Q202" i="59"/>
  <c r="AH65" i="30"/>
  <c r="AH73" i="30" s="1"/>
  <c r="AH56" i="30"/>
  <c r="AH55" i="30"/>
  <c r="CO218" i="59"/>
  <c r="R24" i="52"/>
  <c r="AR15" i="25"/>
  <c r="AW37" i="59"/>
  <c r="BB37" i="59"/>
  <c r="AW61" i="59"/>
  <c r="AW27" i="59"/>
  <c r="AW28" i="59" s="1"/>
  <c r="BB16" i="59"/>
  <c r="AM89" i="59"/>
  <c r="AR88" i="59"/>
  <c r="AR77" i="59"/>
  <c r="AR99" i="59"/>
  <c r="AW76" i="59"/>
  <c r="CJ80" i="25"/>
  <c r="AR191" i="59"/>
  <c r="CO80" i="25"/>
  <c r="CK79" i="25"/>
  <c r="AS187" i="59"/>
  <c r="AV187" i="59" s="1"/>
  <c r="AR28" i="59"/>
  <c r="AR45" i="59"/>
  <c r="AQ87" i="59"/>
  <c r="D89" i="59"/>
  <c r="O60" i="85"/>
  <c r="O50" i="85" s="1"/>
  <c r="O51" i="85" s="1"/>
  <c r="BI55" i="85"/>
  <c r="N51" i="85"/>
  <c r="BZ104" i="85"/>
  <c r="CE89" i="85"/>
  <c r="CH68" i="85"/>
  <c r="CC8" i="85"/>
  <c r="BO63" i="85"/>
  <c r="BZ98" i="85"/>
  <c r="BU102" i="85"/>
  <c r="BU101" i="85"/>
  <c r="BX16" i="85"/>
  <c r="BX9" i="85"/>
  <c r="P74" i="85"/>
  <c r="O56" i="85"/>
  <c r="O57" i="85" s="1"/>
  <c r="CE65" i="85"/>
  <c r="BZ63" i="85"/>
  <c r="BZ8" i="85"/>
  <c r="BJ54" i="85"/>
  <c r="BJ55" i="85" s="1"/>
  <c r="O86" i="85"/>
  <c r="O101" i="85"/>
  <c r="O85" i="85"/>
  <c r="BJ16" i="85"/>
  <c r="N16" i="85" s="1"/>
  <c r="BJ9" i="85"/>
  <c r="BJ11" i="85"/>
  <c r="CC89" i="85"/>
  <c r="BX102" i="85"/>
  <c r="Q89" i="85"/>
  <c r="BX104" i="85"/>
  <c r="BU9" i="85"/>
  <c r="BU16" i="85"/>
  <c r="BE92" i="85"/>
  <c r="M11" i="85"/>
  <c r="BE95" i="85"/>
  <c r="BE105" i="85"/>
  <c r="BE18" i="85"/>
  <c r="BE12" i="85"/>
  <c r="BX60" i="85"/>
  <c r="BS63" i="85"/>
  <c r="P60" i="85"/>
  <c r="BF55" i="85"/>
  <c r="BK55" i="85"/>
  <c r="N53" i="85"/>
  <c r="N54" i="85"/>
  <c r="BX84" i="85"/>
  <c r="BS101" i="85"/>
  <c r="P84" i="85"/>
  <c r="P87" i="85" s="1"/>
  <c r="P90" i="85"/>
  <c r="P104" i="85"/>
  <c r="P102" i="85"/>
  <c r="CG84" i="85"/>
  <c r="CB101" i="85"/>
  <c r="O78" i="85"/>
  <c r="O80" i="85"/>
  <c r="O52" i="85"/>
  <c r="O66" i="85"/>
  <c r="M51" i="85"/>
  <c r="M54" i="85"/>
  <c r="M55" i="85" s="1"/>
  <c r="BY84" i="85"/>
  <c r="BT101" i="85"/>
  <c r="BF92" i="85"/>
  <c r="BK92" i="85" s="1"/>
  <c r="BK11" i="85" s="1"/>
  <c r="BF12" i="85"/>
  <c r="BF105" i="85"/>
  <c r="BF18" i="85"/>
  <c r="BF20" i="85" s="1"/>
  <c r="BF95" i="85"/>
  <c r="BO8" i="85"/>
  <c r="BT68" i="85"/>
  <c r="BY65" i="85"/>
  <c r="BT63" i="85"/>
  <c r="P65" i="85"/>
  <c r="R418" i="23"/>
  <c r="R465" i="23" s="1"/>
  <c r="BY27" i="23"/>
  <c r="R25" i="23"/>
  <c r="BY25" i="23" s="1"/>
  <c r="E13" i="62"/>
  <c r="E57" i="62" s="1"/>
  <c r="O11" i="62"/>
  <c r="O13" i="62" s="1"/>
  <c r="O57" i="62" s="1"/>
  <c r="DI388" i="23"/>
  <c r="DK388" i="23"/>
  <c r="DJ388" i="23"/>
  <c r="DL388" i="23"/>
  <c r="J690" i="23"/>
  <c r="J308" i="23"/>
  <c r="G124" i="59"/>
  <c r="H124" i="59"/>
  <c r="CL126" i="30"/>
  <c r="G60" i="73"/>
  <c r="G61" i="73" s="1"/>
  <c r="AA235" i="30"/>
  <c r="X235" i="30"/>
  <c r="N61" i="33"/>
  <c r="N46" i="33"/>
  <c r="N44" i="33"/>
  <c r="X95" i="30"/>
  <c r="N55" i="33"/>
  <c r="P80" i="20"/>
  <c r="P79" i="20"/>
  <c r="CU61" i="30"/>
  <c r="CU65" i="30"/>
  <c r="CU73" i="30" s="1"/>
  <c r="CU80" i="30" s="1"/>
  <c r="CS182" i="59"/>
  <c r="CN183" i="59"/>
  <c r="O171" i="59"/>
  <c r="O178" i="59" s="1"/>
  <c r="M178" i="59"/>
  <c r="DA114" i="30"/>
  <c r="DA116" i="30"/>
  <c r="AY49" i="59"/>
  <c r="BK107" i="59"/>
  <c r="H108" i="59"/>
  <c r="AF437" i="23"/>
  <c r="AE390" i="23"/>
  <c r="Y73" i="30"/>
  <c r="Z69" i="30"/>
  <c r="Y204" i="30"/>
  <c r="Y209" i="30" s="1"/>
  <c r="Y199" i="30" s="1"/>
  <c r="Y68" i="30"/>
  <c r="Y80" i="30"/>
  <c r="Y67" i="30"/>
  <c r="CC69" i="30"/>
  <c r="X202" i="30"/>
  <c r="DJ11" i="25"/>
  <c r="DM12" i="25"/>
  <c r="DJ14" i="25"/>
  <c r="DJ13" i="25"/>
  <c r="M9" i="85"/>
  <c r="M81" i="85"/>
  <c r="M68" i="85"/>
  <c r="M69" i="85" s="1"/>
  <c r="BG8" i="85"/>
  <c r="Z429" i="23"/>
  <c r="W382" i="23"/>
  <c r="T91" i="25"/>
  <c r="M10" i="23"/>
  <c r="G198" i="59"/>
  <c r="T85" i="25"/>
  <c r="E124" i="59"/>
  <c r="F124" i="59"/>
  <c r="G27" i="25"/>
  <c r="F27" i="25"/>
  <c r="F25" i="25"/>
  <c r="F28" i="25"/>
  <c r="F29" i="25"/>
  <c r="CM40" i="25"/>
  <c r="CW158" i="30"/>
  <c r="CM44" i="25" s="1"/>
  <c r="CZ74" i="25"/>
  <c r="CZ75" i="25"/>
  <c r="DE74" i="25"/>
  <c r="G53" i="38"/>
  <c r="G75" i="38"/>
  <c r="P12" i="25"/>
  <c r="EB194" i="30"/>
  <c r="M16" i="38"/>
  <c r="N16" i="38"/>
  <c r="BN407" i="39"/>
  <c r="BO407" i="39"/>
  <c r="BN409" i="39"/>
  <c r="Y75" i="30"/>
  <c r="Y76" i="30"/>
  <c r="T128" i="23"/>
  <c r="S152" i="23"/>
  <c r="S150" i="23"/>
  <c r="AW42" i="31"/>
  <c r="AW43" i="31" s="1"/>
  <c r="CG55" i="59"/>
  <c r="CG319" i="59" s="1"/>
  <c r="CG50" i="59"/>
  <c r="AM463" i="23"/>
  <c r="AN463" i="23" s="1"/>
  <c r="T132" i="30"/>
  <c r="CC125" i="30"/>
  <c r="CD125" i="30" s="1"/>
  <c r="T126" i="30"/>
  <c r="T127" i="30"/>
  <c r="Y125" i="30"/>
  <c r="Z131" i="30"/>
  <c r="Z124" i="30"/>
  <c r="O25" i="30"/>
  <c r="O196" i="30"/>
  <c r="O199" i="30" s="1"/>
  <c r="O211" i="30" s="1"/>
  <c r="AT33" i="85"/>
  <c r="AT29" i="85"/>
  <c r="I23" i="38"/>
  <c r="H24" i="38"/>
  <c r="H25" i="38" s="1"/>
  <c r="CY73" i="25"/>
  <c r="CY72" i="25" s="1"/>
  <c r="DM29" i="30"/>
  <c r="CB117" i="30"/>
  <c r="BW117" i="30"/>
  <c r="K38" i="33"/>
  <c r="K39" i="33" s="1"/>
  <c r="L41" i="33"/>
  <c r="O123" i="31"/>
  <c r="O124" i="31" s="1"/>
  <c r="P121" i="31"/>
  <c r="M58" i="33"/>
  <c r="M59" i="33" s="1"/>
  <c r="M52" i="33"/>
  <c r="U125" i="30"/>
  <c r="M66" i="33"/>
  <c r="M67" i="33" s="1"/>
  <c r="CV65" i="85"/>
  <c r="CJ141" i="30"/>
  <c r="CJ142" i="30"/>
  <c r="F223" i="60"/>
  <c r="N114" i="20"/>
  <c r="BU114" i="20" s="1"/>
  <c r="N21" i="20"/>
  <c r="N116" i="20"/>
  <c r="N38" i="20"/>
  <c r="N32" i="20"/>
  <c r="Y105" i="30"/>
  <c r="N25" i="20"/>
  <c r="S29" i="30"/>
  <c r="N73" i="25" s="1"/>
  <c r="N69" i="25"/>
  <c r="K286" i="59"/>
  <c r="BY178" i="59"/>
  <c r="BY170" i="59"/>
  <c r="BY177" i="59" s="1"/>
  <c r="L59" i="38"/>
  <c r="L78" i="38" s="1"/>
  <c r="M36" i="38"/>
  <c r="B54" i="38"/>
  <c r="B76" i="38" s="1"/>
  <c r="D49" i="38"/>
  <c r="D51" i="38"/>
  <c r="I86" i="73"/>
  <c r="CS115" i="23"/>
  <c r="V126" i="23"/>
  <c r="F11" i="62"/>
  <c r="W111" i="23"/>
  <c r="W115" i="23" s="1"/>
  <c r="V125" i="23"/>
  <c r="F38" i="63"/>
  <c r="F40" i="63" s="1"/>
  <c r="AD388" i="23"/>
  <c r="AE435" i="23"/>
  <c r="T103" i="33"/>
  <c r="S104" i="33"/>
  <c r="CO68" i="85"/>
  <c r="P114" i="20"/>
  <c r="CE114" i="20" s="1"/>
  <c r="CK26" i="25"/>
  <c r="CU72" i="30"/>
  <c r="CK30" i="25" s="1"/>
  <c r="L18" i="25"/>
  <c r="M17" i="25"/>
  <c r="L17" i="25"/>
  <c r="H113" i="59"/>
  <c r="BG114" i="59"/>
  <c r="BG116" i="59" s="1"/>
  <c r="DD144" i="30"/>
  <c r="DD140" i="30"/>
  <c r="CM204" i="30"/>
  <c r="CM209" i="30" s="1"/>
  <c r="CK204" i="30"/>
  <c r="CK209" i="30" s="1"/>
  <c r="CK67" i="30"/>
  <c r="CK202" i="30" s="1"/>
  <c r="CK192" i="30" s="1"/>
  <c r="CR204" i="30"/>
  <c r="CR209" i="30" s="1"/>
  <c r="AY22" i="23" s="1"/>
  <c r="AY20" i="23" s="1"/>
  <c r="AY21" i="23" s="1"/>
  <c r="AY23" i="23" s="1"/>
  <c r="X203" i="30"/>
  <c r="DJ16" i="25"/>
  <c r="DJ15" i="25" s="1"/>
  <c r="DM15" i="25" s="1"/>
  <c r="DW71" i="30"/>
  <c r="CO84" i="85"/>
  <c r="I523" i="23"/>
  <c r="I496" i="23"/>
  <c r="AE436" i="23"/>
  <c r="AD389" i="23"/>
  <c r="M61" i="23"/>
  <c r="M251" i="23"/>
  <c r="M611" i="23"/>
  <c r="H64" i="73"/>
  <c r="H63" i="73" s="1"/>
  <c r="Z75" i="32"/>
  <c r="F11" i="59"/>
  <c r="F54" i="59"/>
  <c r="BA10" i="59"/>
  <c r="BO30" i="59"/>
  <c r="BO241" i="59"/>
  <c r="BT33" i="59"/>
  <c r="I33" i="59"/>
  <c r="DQ108" i="30"/>
  <c r="BO83" i="59"/>
  <c r="F32" i="25"/>
  <c r="F31" i="25"/>
  <c r="G31" i="25"/>
  <c r="CT18" i="25"/>
  <c r="CT17" i="25"/>
  <c r="CY17" i="25"/>
  <c r="CX16" i="25"/>
  <c r="G58" i="38"/>
  <c r="G77" i="38" s="1"/>
  <c r="T46" i="85"/>
  <c r="AT50" i="59"/>
  <c r="AT51" i="59"/>
  <c r="U71" i="30"/>
  <c r="H16" i="25" s="1"/>
  <c r="H12" i="25"/>
  <c r="BL46" i="25"/>
  <c r="BL43" i="25"/>
  <c r="CF202" i="30"/>
  <c r="CF192" i="30" s="1"/>
  <c r="CH67" i="30"/>
  <c r="CH202" i="30" s="1"/>
  <c r="AX29" i="85"/>
  <c r="AX33" i="85"/>
  <c r="EI87" i="30"/>
  <c r="EI90" i="30"/>
  <c r="EI91" i="30" s="1"/>
  <c r="T9" i="62"/>
  <c r="W36" i="31"/>
  <c r="BJ36" i="31" s="1"/>
  <c r="AA423" i="23"/>
  <c r="Z376" i="23"/>
  <c r="AA39" i="40"/>
  <c r="AG40" i="33"/>
  <c r="M116" i="20"/>
  <c r="S105" i="30"/>
  <c r="S109" i="30" s="1"/>
  <c r="M25" i="20"/>
  <c r="M21" i="20"/>
  <c r="M114" i="20"/>
  <c r="BP114" i="20" s="1"/>
  <c r="D14" i="38"/>
  <c r="D19" i="38" s="1"/>
  <c r="D21" i="38" s="1"/>
  <c r="D25" i="38" s="1"/>
  <c r="E14" i="38"/>
  <c r="E19" i="38" s="1"/>
  <c r="E21" i="38" s="1"/>
  <c r="E25" i="38" s="1"/>
  <c r="BY265" i="59"/>
  <c r="K242" i="59"/>
  <c r="BZ242" i="59" s="1"/>
  <c r="BX265" i="59"/>
  <c r="BW265" i="59"/>
  <c r="BY220" i="59"/>
  <c r="K220" i="59" s="1"/>
  <c r="BZ220" i="59" s="1"/>
  <c r="BY266" i="59"/>
  <c r="BV265" i="59"/>
  <c r="G54" i="38"/>
  <c r="G76" i="38" s="1"/>
  <c r="CY68" i="25"/>
  <c r="CY71" i="25"/>
  <c r="DC69" i="25"/>
  <c r="DD70" i="25"/>
  <c r="CY70" i="25"/>
  <c r="BX120" i="30"/>
  <c r="BX114" i="30"/>
  <c r="BX116" i="30"/>
  <c r="S50" i="53"/>
  <c r="N48" i="33"/>
  <c r="N51" i="33" s="1"/>
  <c r="CJ161" i="85"/>
  <c r="S75" i="85"/>
  <c r="CJ44" i="25"/>
  <c r="CX158" i="30"/>
  <c r="N137" i="20"/>
  <c r="BH204" i="59"/>
  <c r="BW266" i="59"/>
  <c r="BX266" i="59"/>
  <c r="BA35" i="85"/>
  <c r="BF34" i="85"/>
  <c r="BA34" i="85"/>
  <c r="U64" i="30"/>
  <c r="Z59" i="30"/>
  <c r="Z64" i="30" s="1"/>
  <c r="CI178" i="59"/>
  <c r="CI170" i="59"/>
  <c r="CI177" i="59" s="1"/>
  <c r="BR9" i="85"/>
  <c r="BR16" i="85"/>
  <c r="I690" i="23"/>
  <c r="I308" i="23"/>
  <c r="S160" i="85"/>
  <c r="S140" i="85"/>
  <c r="S174" i="85"/>
  <c r="S157" i="85"/>
  <c r="S158" i="85"/>
  <c r="S159" i="85"/>
  <c r="CG177" i="59"/>
  <c r="CG179" i="59" s="1"/>
  <c r="CG181" i="59" s="1"/>
  <c r="AY9" i="59"/>
  <c r="AY12" i="59"/>
  <c r="AY13" i="59" s="1"/>
  <c r="L11" i="25"/>
  <c r="L14" i="25"/>
  <c r="L15" i="25"/>
  <c r="L13" i="25"/>
  <c r="M13" i="25"/>
  <c r="BM15" i="25"/>
  <c r="BM11" i="25"/>
  <c r="BM14" i="25"/>
  <c r="CQ67" i="30"/>
  <c r="CQ202" i="30" s="1"/>
  <c r="CQ192" i="30" s="1"/>
  <c r="CQ204" i="30"/>
  <c r="CQ209" i="30" s="1"/>
  <c r="AX22" i="23" s="1"/>
  <c r="AX20" i="23" s="1"/>
  <c r="AX21" i="23" s="1"/>
  <c r="AX23" i="23" s="1"/>
  <c r="CJ67" i="30"/>
  <c r="CJ202" i="30" s="1"/>
  <c r="CJ192" i="30" s="1"/>
  <c r="CJ204" i="30"/>
  <c r="CJ68" i="30"/>
  <c r="CJ203" i="30" s="1"/>
  <c r="CJ193" i="30" s="1"/>
  <c r="CO67" i="30"/>
  <c r="CO202" i="30" s="1"/>
  <c r="CO204" i="30"/>
  <c r="CO209" i="30" s="1"/>
  <c r="AV22" i="23" s="1"/>
  <c r="AV20" i="23" s="1"/>
  <c r="AV21" i="23" s="1"/>
  <c r="AV23" i="23" s="1"/>
  <c r="CO68" i="30"/>
  <c r="CO203" i="30" s="1"/>
  <c r="AZ33" i="85"/>
  <c r="AZ29" i="85"/>
  <c r="M13" i="85"/>
  <c r="BD23" i="85"/>
  <c r="BI14" i="85"/>
  <c r="BD24" i="85"/>
  <c r="BD20" i="85"/>
  <c r="BD14" i="85"/>
  <c r="BD71" i="85"/>
  <c r="CB57" i="59"/>
  <c r="CB305" i="59"/>
  <c r="CB56" i="59"/>
  <c r="W606" i="23"/>
  <c r="W597" i="23"/>
  <c r="Z601" i="23" s="1"/>
  <c r="Z605" i="23" s="1"/>
  <c r="DI389" i="23"/>
  <c r="DK389" i="23"/>
  <c r="DJ389" i="23"/>
  <c r="DL389" i="23"/>
  <c r="AC386" i="23"/>
  <c r="AD433" i="23"/>
  <c r="G65" i="73"/>
  <c r="G66" i="73" s="1"/>
  <c r="I45" i="25"/>
  <c r="CD44" i="25"/>
  <c r="I46" i="25"/>
  <c r="I43" i="25"/>
  <c r="AM167" i="59"/>
  <c r="AR146" i="59"/>
  <c r="AM210" i="59"/>
  <c r="G10" i="52"/>
  <c r="G11" i="52"/>
  <c r="R123" i="30"/>
  <c r="M23" i="32"/>
  <c r="M18" i="32"/>
  <c r="M17" i="32"/>
  <c r="N18" i="32"/>
  <c r="F45" i="38"/>
  <c r="CV117" i="30"/>
  <c r="AT55" i="59"/>
  <c r="CV119" i="30"/>
  <c r="L32" i="25"/>
  <c r="L31" i="25"/>
  <c r="CB177" i="59"/>
  <c r="CB179" i="59" s="1"/>
  <c r="CB181" i="59" s="1"/>
  <c r="L170" i="59"/>
  <c r="AJ14" i="20"/>
  <c r="H10" i="52"/>
  <c r="H11" i="52"/>
  <c r="I11" i="52"/>
  <c r="O100" i="41"/>
  <c r="O96" i="41"/>
  <c r="E28" i="38"/>
  <c r="CF68" i="30"/>
  <c r="CF203" i="30" s="1"/>
  <c r="CF193" i="30" s="1"/>
  <c r="U135" i="85"/>
  <c r="CV135" i="85"/>
  <c r="CW135" i="85" s="1"/>
  <c r="CX135" i="85" s="1"/>
  <c r="CY135" i="85" s="1"/>
  <c r="BH18" i="85"/>
  <c r="BH92" i="85"/>
  <c r="BH12" i="85"/>
  <c r="BH105" i="85"/>
  <c r="BH95" i="85"/>
  <c r="BH96" i="85" s="1"/>
  <c r="CG219" i="59"/>
  <c r="CG13" i="59"/>
  <c r="AW15" i="31"/>
  <c r="CW376" i="23"/>
  <c r="CX376" i="23" s="1"/>
  <c r="S111" i="31"/>
  <c r="DD395" i="23"/>
  <c r="DE395" i="23"/>
  <c r="DF395" i="23"/>
  <c r="DG395" i="23"/>
  <c r="C131" i="59"/>
  <c r="C126" i="59"/>
  <c r="Q5" i="38"/>
  <c r="P45" i="38"/>
  <c r="AA131" i="30"/>
  <c r="AA124" i="30"/>
  <c r="AV35" i="85"/>
  <c r="AV34" i="85"/>
  <c r="BS18" i="20"/>
  <c r="BS11" i="20"/>
  <c r="BS12" i="20" s="1"/>
  <c r="M31" i="25"/>
  <c r="AS28" i="85"/>
  <c r="AX26" i="85"/>
  <c r="AS26" i="85"/>
  <c r="AM96" i="25"/>
  <c r="AG12" i="23"/>
  <c r="AF71" i="23"/>
  <c r="AF256" i="23"/>
  <c r="T49" i="53"/>
  <c r="P151" i="30"/>
  <c r="P161" i="30"/>
  <c r="CS74" i="85"/>
  <c r="T74" i="85"/>
  <c r="CX154" i="30"/>
  <c r="F54" i="38"/>
  <c r="F76" i="38" s="1"/>
  <c r="BV266" i="59"/>
  <c r="BW177" i="59"/>
  <c r="BW179" i="59" s="1"/>
  <c r="BW181" i="59" s="1"/>
  <c r="B187" i="59"/>
  <c r="O78" i="25"/>
  <c r="B190" i="59" s="1"/>
  <c r="CB68" i="85"/>
  <c r="BW8" i="85"/>
  <c r="E51" i="38"/>
  <c r="E49" i="38"/>
  <c r="D43" i="38"/>
  <c r="D53" i="38" s="1"/>
  <c r="D5" i="38"/>
  <c r="E43" i="38"/>
  <c r="E53" i="38" s="1"/>
  <c r="E5" i="38"/>
  <c r="H4" i="95"/>
  <c r="I4" i="95" s="1"/>
  <c r="G6" i="95"/>
  <c r="G12" i="95"/>
  <c r="G13" i="95" s="1"/>
  <c r="G15" i="95" s="1"/>
  <c r="AM455" i="23"/>
  <c r="Z73" i="32"/>
  <c r="H59" i="73"/>
  <c r="H58" i="73" s="1"/>
  <c r="Y79" i="32"/>
  <c r="Y80" i="32" s="1"/>
  <c r="P43" i="33"/>
  <c r="O45" i="33"/>
  <c r="Q17" i="32"/>
  <c r="B103" i="60"/>
  <c r="Q18" i="32"/>
  <c r="R18" i="32"/>
  <c r="AB123" i="30"/>
  <c r="Q23" i="32"/>
  <c r="CO170" i="59"/>
  <c r="N172" i="59"/>
  <c r="N177" i="59"/>
  <c r="N179" i="59" s="1"/>
  <c r="P170" i="59"/>
  <c r="BD8" i="59"/>
  <c r="DF113" i="30"/>
  <c r="DF87" i="30"/>
  <c r="DF90" i="30"/>
  <c r="DF91" i="30" s="1"/>
  <c r="DK86" i="30"/>
  <c r="E188" i="60"/>
  <c r="CP67" i="30"/>
  <c r="CP202" i="30" s="1"/>
  <c r="CP68" i="30"/>
  <c r="CP203" i="30" s="1"/>
  <c r="CP204" i="30"/>
  <c r="CP209" i="30" s="1"/>
  <c r="AW22" i="23" s="1"/>
  <c r="AW20" i="23" s="1"/>
  <c r="AW21" i="23" s="1"/>
  <c r="AW23" i="23" s="1"/>
  <c r="CL67" i="30"/>
  <c r="CL202" i="30" s="1"/>
  <c r="CL192" i="30" s="1"/>
  <c r="CL204" i="30"/>
  <c r="CL209" i="30" s="1"/>
  <c r="AA204" i="30"/>
  <c r="AA68" i="30"/>
  <c r="AA67" i="30"/>
  <c r="CS69" i="30"/>
  <c r="I92" i="73"/>
  <c r="AJ407" i="23"/>
  <c r="AK454" i="23"/>
  <c r="AB10" i="20"/>
  <c r="DD386" i="23"/>
  <c r="DE386" i="23"/>
  <c r="DF386" i="23"/>
  <c r="DG386" i="23"/>
  <c r="BJ84" i="59"/>
  <c r="H83" i="59"/>
  <c r="BJ79" i="59"/>
  <c r="DL146" i="30"/>
  <c r="H30" i="59"/>
  <c r="H241" i="59"/>
  <c r="BK33" i="59"/>
  <c r="AE108" i="30"/>
  <c r="DM108" i="30" s="1"/>
  <c r="H34" i="59"/>
  <c r="S97" i="33"/>
  <c r="T96" i="33"/>
  <c r="CB39" i="25"/>
  <c r="CB42" i="25"/>
  <c r="CB43" i="25"/>
  <c r="CD40" i="25"/>
  <c r="AW20" i="85"/>
  <c r="K21" i="85"/>
  <c r="CZ70" i="25"/>
  <c r="CZ71" i="25"/>
  <c r="CZ68" i="25"/>
  <c r="CZ72" i="25"/>
  <c r="DE70" i="25"/>
  <c r="F75" i="38"/>
  <c r="F53" i="38"/>
  <c r="L27" i="25"/>
  <c r="L25" i="25"/>
  <c r="L28" i="25"/>
  <c r="L29" i="25"/>
  <c r="CH204" i="30"/>
  <c r="CH209" i="30" s="1"/>
  <c r="N68" i="85"/>
  <c r="N69" i="85" s="1"/>
  <c r="N81" i="85"/>
  <c r="N9" i="85"/>
  <c r="BL8" i="85"/>
  <c r="CL49" i="59"/>
  <c r="BB14" i="31"/>
  <c r="CL12" i="59"/>
  <c r="EN86" i="30"/>
  <c r="CQ8" i="59"/>
  <c r="DR109" i="23"/>
  <c r="AE475" i="23"/>
  <c r="AE502" i="23" s="1"/>
  <c r="AE212" i="23" s="1"/>
  <c r="AF8" i="23"/>
  <c r="X106" i="31"/>
  <c r="AC395" i="23"/>
  <c r="AD442" i="23"/>
  <c r="Q17" i="38"/>
  <c r="P17" i="38"/>
  <c r="P15" i="38"/>
  <c r="P51" i="38"/>
  <c r="P49" i="38"/>
  <c r="BR52" i="33"/>
  <c r="BR54" i="33"/>
  <c r="DF18" i="25"/>
  <c r="DK17" i="25"/>
  <c r="DF17" i="25"/>
  <c r="DH16" i="25"/>
  <c r="L22" i="30"/>
  <c r="F23" i="30"/>
  <c r="F22" i="30" s="1"/>
  <c r="EL194" i="30"/>
  <c r="AJ60" i="30"/>
  <c r="EG197" i="30"/>
  <c r="EG194" i="30"/>
  <c r="K25" i="85"/>
  <c r="K39" i="85"/>
  <c r="AW24" i="85"/>
  <c r="AA95" i="41"/>
  <c r="Q31" i="38"/>
  <c r="AM452" i="23"/>
  <c r="AL405" i="23"/>
  <c r="S17" i="32"/>
  <c r="AD123" i="30"/>
  <c r="D103" i="60"/>
  <c r="S18" i="32"/>
  <c r="S23" i="32"/>
  <c r="DI109" i="30"/>
  <c r="DI104" i="30"/>
  <c r="DN104" i="30"/>
  <c r="DI141" i="30"/>
  <c r="Q79" i="20"/>
  <c r="R79" i="20"/>
  <c r="CJ43" i="25"/>
  <c r="CO41" i="25"/>
  <c r="CJ42" i="25"/>
  <c r="CJ39" i="25"/>
  <c r="CN40" i="25"/>
  <c r="CJ41" i="25"/>
  <c r="W52" i="59"/>
  <c r="AR115" i="30"/>
  <c r="CN98" i="85"/>
  <c r="CI102" i="85"/>
  <c r="DA18" i="25"/>
  <c r="DA17" i="25"/>
  <c r="DC16" i="25"/>
  <c r="C54" i="38"/>
  <c r="C76" i="38" s="1"/>
  <c r="AG190" i="31"/>
  <c r="AH193" i="31"/>
  <c r="AA21" i="95"/>
  <c r="DI232" i="59"/>
  <c r="CP206" i="59"/>
  <c r="CP197" i="59"/>
  <c r="CP198" i="59" s="1"/>
  <c r="CR197" i="59"/>
  <c r="CR198" i="59" s="1"/>
  <c r="CR206" i="59"/>
  <c r="CS211" i="59"/>
  <c r="CS206" i="59"/>
  <c r="CS197" i="59"/>
  <c r="Q177" i="59"/>
  <c r="CT149" i="59"/>
  <c r="AL127" i="30"/>
  <c r="Q157" i="59"/>
  <c r="CX150" i="59"/>
  <c r="CX157" i="59"/>
  <c r="CX326" i="59"/>
  <c r="CX312" i="59"/>
  <c r="CX147" i="59" s="1"/>
  <c r="CX151" i="59"/>
  <c r="Q150" i="59"/>
  <c r="CW194" i="59"/>
  <c r="CW211" i="59" s="1"/>
  <c r="CW316" i="59"/>
  <c r="CW167" i="59"/>
  <c r="CW330" i="59"/>
  <c r="U172" i="59"/>
  <c r="U174" i="59" s="1"/>
  <c r="CG17" i="23"/>
  <c r="L166" i="59"/>
  <c r="M166" i="59"/>
  <c r="CE165" i="59"/>
  <c r="N166" i="59"/>
  <c r="CO165" i="59"/>
  <c r="P158" i="59"/>
  <c r="P165" i="59"/>
  <c r="U17" i="52"/>
  <c r="U18" i="52"/>
  <c r="L112" i="59"/>
  <c r="CA106" i="59"/>
  <c r="CB106" i="59"/>
  <c r="CC106" i="59"/>
  <c r="BU108" i="59"/>
  <c r="BV112" i="59"/>
  <c r="BX112" i="59"/>
  <c r="BW112" i="59"/>
  <c r="BY112" i="59"/>
  <c r="BS114" i="59"/>
  <c r="J111" i="59"/>
  <c r="BM80" i="59"/>
  <c r="BM81" i="59"/>
  <c r="BW83" i="59"/>
  <c r="CB85" i="59"/>
  <c r="DT146" i="30"/>
  <c r="BR84" i="59"/>
  <c r="BR79" i="59"/>
  <c r="CD85" i="59"/>
  <c r="S248" i="59"/>
  <c r="CY248" i="59" s="1"/>
  <c r="V170" i="59" l="1"/>
  <c r="BB210" i="59"/>
  <c r="AD10" i="25"/>
  <c r="AF9" i="25"/>
  <c r="AF10" i="25" s="1"/>
  <c r="AK71" i="30"/>
  <c r="AD16" i="25" s="1"/>
  <c r="AD12" i="25"/>
  <c r="AK65" i="30"/>
  <c r="AK73" i="30" s="1"/>
  <c r="AK55" i="30"/>
  <c r="CB88" i="73"/>
  <c r="CB87" i="73"/>
  <c r="CE86" i="73"/>
  <c r="BZ87" i="73"/>
  <c r="BZ88" i="73"/>
  <c r="B68" i="60"/>
  <c r="N394" i="60"/>
  <c r="B365" i="60"/>
  <c r="C365" i="60" s="1"/>
  <c r="D365" i="60" s="1"/>
  <c r="E27" i="53"/>
  <c r="F27" i="53" s="1"/>
  <c r="G27" i="53" s="1"/>
  <c r="H27" i="53" s="1"/>
  <c r="B127" i="60"/>
  <c r="B216" i="60"/>
  <c r="E68" i="53"/>
  <c r="F68" i="53" s="1"/>
  <c r="B156" i="60"/>
  <c r="B302" i="60"/>
  <c r="C302" i="60" s="1"/>
  <c r="D302" i="60" s="1"/>
  <c r="E302" i="60" s="1"/>
  <c r="F302" i="60" s="1"/>
  <c r="G302" i="60" s="1"/>
  <c r="H302" i="60" s="1"/>
  <c r="I302" i="60" s="1"/>
  <c r="J302" i="60" s="1"/>
  <c r="K302" i="60" s="1"/>
  <c r="L302" i="60" s="1"/>
  <c r="M302" i="60" s="1"/>
  <c r="N302" i="60" s="1"/>
  <c r="O302" i="60" s="1"/>
  <c r="P302" i="60" s="1"/>
  <c r="Q302" i="60" s="1"/>
  <c r="R302" i="60" s="1"/>
  <c r="S302" i="60" s="1"/>
  <c r="T302" i="60" s="1"/>
  <c r="U302" i="60" s="1"/>
  <c r="V302" i="60" s="1"/>
  <c r="W302" i="60" s="1"/>
  <c r="X302" i="60" s="1"/>
  <c r="Y302" i="60" s="1"/>
  <c r="B274" i="60"/>
  <c r="B186" i="60"/>
  <c r="B336" i="60"/>
  <c r="C336" i="60" s="1"/>
  <c r="D336" i="60" s="1"/>
  <c r="E336" i="60" s="1"/>
  <c r="F336" i="60" s="1"/>
  <c r="G336" i="60" s="1"/>
  <c r="H336" i="60" s="1"/>
  <c r="I336" i="60" s="1"/>
  <c r="J336" i="60" s="1"/>
  <c r="K336" i="60" s="1"/>
  <c r="L336" i="60" s="1"/>
  <c r="M336" i="60" s="1"/>
  <c r="N336" i="60" s="1"/>
  <c r="O336" i="60" s="1"/>
  <c r="P336" i="60" s="1"/>
  <c r="Q336" i="60" s="1"/>
  <c r="R336" i="60" s="1"/>
  <c r="S336" i="60" s="1"/>
  <c r="T336" i="60" s="1"/>
  <c r="U336" i="60" s="1"/>
  <c r="V336" i="60" s="1"/>
  <c r="W336" i="60" s="1"/>
  <c r="X336" i="60" s="1"/>
  <c r="Y336" i="60" s="1"/>
  <c r="B98" i="60"/>
  <c r="DR401" i="23"/>
  <c r="CT384" i="23"/>
  <c r="CU384" i="23" s="1"/>
  <c r="CW384" i="23" s="1"/>
  <c r="CX384" i="23" s="1"/>
  <c r="AA431" i="23"/>
  <c r="Z384" i="23"/>
  <c r="AF401" i="23"/>
  <c r="AG448" i="23"/>
  <c r="AO16" i="30"/>
  <c r="AO17" i="30" s="1"/>
  <c r="CH5" i="23"/>
  <c r="BY250" i="59"/>
  <c r="BY251" i="59" s="1"/>
  <c r="BY200" i="59"/>
  <c r="BY192" i="59"/>
  <c r="AB191" i="31"/>
  <c r="AJ190" i="31"/>
  <c r="T32" i="95"/>
  <c r="BP76" i="73"/>
  <c r="CI207" i="59"/>
  <c r="AB38" i="40"/>
  <c r="AC38" i="40" s="1"/>
  <c r="AD38" i="40" s="1"/>
  <c r="T37" i="38"/>
  <c r="U29" i="38"/>
  <c r="P75" i="38"/>
  <c r="N62" i="38"/>
  <c r="N79" i="38" s="1"/>
  <c r="D45" i="38"/>
  <c r="E15" i="38"/>
  <c r="R43" i="38"/>
  <c r="Q53" i="38"/>
  <c r="Q75" i="38" s="1"/>
  <c r="S22" i="38"/>
  <c r="R19" i="38"/>
  <c r="Q21" i="38"/>
  <c r="DK144" i="30"/>
  <c r="G33" i="31"/>
  <c r="H39" i="31"/>
  <c r="G40" i="31"/>
  <c r="O137" i="30"/>
  <c r="O140" i="30" s="1"/>
  <c r="N140" i="30"/>
  <c r="N139" i="30"/>
  <c r="N138" i="30"/>
  <c r="O119" i="30"/>
  <c r="O147" i="30"/>
  <c r="M37" i="25" s="1"/>
  <c r="M82" i="25" s="1"/>
  <c r="E87" i="31"/>
  <c r="E24" i="31"/>
  <c r="M116" i="30"/>
  <c r="M119" i="30" s="1"/>
  <c r="M137" i="30"/>
  <c r="M140" i="30" s="1"/>
  <c r="BS116" i="30"/>
  <c r="BS117" i="30" s="1"/>
  <c r="BS120" i="30"/>
  <c r="B8" i="59"/>
  <c r="Y90" i="30"/>
  <c r="Y103" i="30" s="1"/>
  <c r="Y87" i="30"/>
  <c r="B9" i="59" s="1"/>
  <c r="CC90" i="30"/>
  <c r="CC91" i="30" s="1"/>
  <c r="CC87" i="30"/>
  <c r="R117" i="30"/>
  <c r="P117" i="30"/>
  <c r="N119" i="30"/>
  <c r="BN116" i="30"/>
  <c r="BN117" i="30" s="1"/>
  <c r="BN114" i="30"/>
  <c r="BN120" i="30"/>
  <c r="T103" i="30"/>
  <c r="T104" i="30" s="1"/>
  <c r="T91" i="30"/>
  <c r="AL223" i="23"/>
  <c r="AK272" i="23"/>
  <c r="L28" i="85"/>
  <c r="BB25" i="85"/>
  <c r="M17" i="85"/>
  <c r="AU35" i="85"/>
  <c r="AU34" i="85"/>
  <c r="ES207" i="30"/>
  <c r="ET207" i="30"/>
  <c r="EV207" i="30" s="1"/>
  <c r="ER207" i="30"/>
  <c r="EU207" i="30"/>
  <c r="AL208" i="30"/>
  <c r="U88" i="32"/>
  <c r="R20" i="31"/>
  <c r="R28" i="31" s="1"/>
  <c r="W62" i="32"/>
  <c r="W64" i="32" s="1"/>
  <c r="W84" i="32" s="1"/>
  <c r="M110" i="73"/>
  <c r="AE121" i="20"/>
  <c r="AF121" i="20" s="1"/>
  <c r="C33" i="73"/>
  <c r="Q87" i="31"/>
  <c r="D34" i="73"/>
  <c r="AD171" i="23"/>
  <c r="AD113" i="23" s="1"/>
  <c r="AS32" i="31"/>
  <c r="AW32" i="31"/>
  <c r="T12" i="31"/>
  <c r="AU12" i="31" s="1"/>
  <c r="AX32" i="31"/>
  <c r="U20" i="32"/>
  <c r="AC234" i="23"/>
  <c r="U10" i="32"/>
  <c r="U16" i="32"/>
  <c r="U23" i="32" s="1"/>
  <c r="U13" i="32"/>
  <c r="U14" i="32" s="1"/>
  <c r="H34" i="95"/>
  <c r="J31" i="95"/>
  <c r="K32" i="95" s="1"/>
  <c r="CB94" i="73"/>
  <c r="CB91" i="73"/>
  <c r="AC20" i="95" s="1"/>
  <c r="D9" i="95"/>
  <c r="J30" i="95"/>
  <c r="L265" i="59"/>
  <c r="L273" i="59" s="1"/>
  <c r="L284" i="59" s="1"/>
  <c r="I31" i="95"/>
  <c r="I30" i="95"/>
  <c r="AH403" i="23"/>
  <c r="AM344" i="23"/>
  <c r="Q401" i="60"/>
  <c r="F74" i="63"/>
  <c r="K63" i="60"/>
  <c r="H255" i="60"/>
  <c r="I252" i="60"/>
  <c r="AN32" i="30"/>
  <c r="ER93" i="30"/>
  <c r="DN109" i="30"/>
  <c r="DD35" i="25" s="1"/>
  <c r="DD77" i="25" s="1"/>
  <c r="BL187" i="59" s="1"/>
  <c r="BL210" i="59" s="1"/>
  <c r="J167" i="59"/>
  <c r="DW29" i="30"/>
  <c r="DL74" i="25"/>
  <c r="DL75" i="25"/>
  <c r="DM73" i="25"/>
  <c r="DL68" i="25"/>
  <c r="DM68" i="25" s="1"/>
  <c r="DL70" i="25"/>
  <c r="DL72" i="25"/>
  <c r="DM72" i="25" s="1"/>
  <c r="DL71" i="25"/>
  <c r="DM69" i="25"/>
  <c r="DZ196" i="30"/>
  <c r="BX107" i="59" s="1"/>
  <c r="EA196" i="30"/>
  <c r="BY107" i="59" s="1"/>
  <c r="DX196" i="30"/>
  <c r="DY196" i="30"/>
  <c r="BW107" i="59" s="1"/>
  <c r="K107" i="59"/>
  <c r="K113" i="59" s="1"/>
  <c r="AN19" i="30"/>
  <c r="EH196" i="30"/>
  <c r="EK196" i="30"/>
  <c r="EJ196" i="30"/>
  <c r="M107" i="59"/>
  <c r="EI196" i="30"/>
  <c r="H65" i="59"/>
  <c r="AC69" i="25"/>
  <c r="AJ29" i="30"/>
  <c r="AC73" i="25" s="1"/>
  <c r="EE195" i="30"/>
  <c r="EE199" i="30" s="1"/>
  <c r="CL20" i="23" s="1"/>
  <c r="CL21" i="23" s="1"/>
  <c r="CL23" i="23" s="1"/>
  <c r="EC195" i="30"/>
  <c r="EC199" i="30" s="1"/>
  <c r="CJ20" i="23" s="1"/>
  <c r="CJ21" i="23" s="1"/>
  <c r="AI198" i="30"/>
  <c r="L52" i="53" s="1"/>
  <c r="L54" i="53" s="1"/>
  <c r="CZ32" i="85"/>
  <c r="EG209" i="30"/>
  <c r="CJ22" i="23"/>
  <c r="CJ61" i="23" s="1"/>
  <c r="EA209" i="30"/>
  <c r="CH22" i="23" s="1"/>
  <c r="CH61" i="23" s="1"/>
  <c r="CA207" i="59"/>
  <c r="CA214" i="59"/>
  <c r="CC207" i="59"/>
  <c r="CC214" i="59"/>
  <c r="CE22" i="23"/>
  <c r="CE61" i="23" s="1"/>
  <c r="CB207" i="59"/>
  <c r="CB214" i="59"/>
  <c r="DZ209" i="30"/>
  <c r="CG22" i="23" s="1"/>
  <c r="CG61" i="23" s="1"/>
  <c r="DZ198" i="30"/>
  <c r="BX203" i="59" s="1"/>
  <c r="BX204" i="59" s="1"/>
  <c r="AG198" i="30"/>
  <c r="BK18" i="59"/>
  <c r="H223" i="59"/>
  <c r="H243" i="59" s="1"/>
  <c r="H19" i="59"/>
  <c r="BY214" i="59"/>
  <c r="BY207" i="59"/>
  <c r="BW207" i="59"/>
  <c r="AF179" i="30"/>
  <c r="DH57" i="25"/>
  <c r="BQ214" i="59"/>
  <c r="BQ207" i="59"/>
  <c r="DW209" i="30"/>
  <c r="CB22" i="23"/>
  <c r="CB61" i="23" s="1"/>
  <c r="L11" i="53"/>
  <c r="L13" i="53" s="1"/>
  <c r="L203" i="59"/>
  <c r="CE203" i="59" s="1"/>
  <c r="DX198" i="30"/>
  <c r="EB208" i="30"/>
  <c r="DY209" i="30"/>
  <c r="CF22" i="23" s="1"/>
  <c r="CF61" i="23" s="1"/>
  <c r="O63" i="85"/>
  <c r="O64" i="85" s="1"/>
  <c r="AA122" i="20"/>
  <c r="Z123" i="20"/>
  <c r="AD163" i="20"/>
  <c r="AD164" i="20" s="1"/>
  <c r="DT106" i="30"/>
  <c r="DO109" i="30"/>
  <c r="DE35" i="25" s="1"/>
  <c r="DE77" i="25" s="1"/>
  <c r="CZ30" i="20"/>
  <c r="CN17" i="20"/>
  <c r="P16" i="20"/>
  <c r="CH11" i="20"/>
  <c r="R20" i="20"/>
  <c r="CQ17" i="20"/>
  <c r="CQ16" i="20" s="1"/>
  <c r="CQ11" i="20" s="1"/>
  <c r="CQ12" i="20" s="1"/>
  <c r="CO17" i="20"/>
  <c r="CO16" i="20" s="1"/>
  <c r="R82" i="20"/>
  <c r="CP17" i="20"/>
  <c r="CP16" i="20" s="1"/>
  <c r="CP11" i="20" s="1"/>
  <c r="CP12" i="20" s="1"/>
  <c r="S17" i="20"/>
  <c r="CR17" i="20"/>
  <c r="CR16" i="20" s="1"/>
  <c r="CR11" i="20" s="1"/>
  <c r="AD131" i="20"/>
  <c r="CM11" i="20"/>
  <c r="Q16" i="20"/>
  <c r="AD165" i="20"/>
  <c r="AD177" i="20"/>
  <c r="AD179" i="20" s="1"/>
  <c r="V72" i="20"/>
  <c r="V23" i="20" s="1"/>
  <c r="T78" i="20"/>
  <c r="S72" i="20"/>
  <c r="S23" i="20" s="1"/>
  <c r="S78" i="20"/>
  <c r="S79" i="20" s="1"/>
  <c r="U72" i="20"/>
  <c r="U23" i="20" s="1"/>
  <c r="DG23" i="20" s="1"/>
  <c r="DG24" i="20"/>
  <c r="X59" i="20"/>
  <c r="W74" i="20"/>
  <c r="W76" i="20" s="1"/>
  <c r="W60" i="20"/>
  <c r="W62" i="20" s="1"/>
  <c r="W61" i="20" s="1"/>
  <c r="CY117" i="20"/>
  <c r="DI143" i="30"/>
  <c r="DI144" i="30" s="1"/>
  <c r="CY29" i="20"/>
  <c r="CY30" i="20"/>
  <c r="DJ144" i="30"/>
  <c r="DJ147" i="30"/>
  <c r="T72" i="20"/>
  <c r="T23" i="20" s="1"/>
  <c r="DB23" i="20" s="1"/>
  <c r="DC23" i="20" s="1"/>
  <c r="V78" i="20"/>
  <c r="V79" i="20" s="1"/>
  <c r="V24" i="20"/>
  <c r="Q10" i="38"/>
  <c r="AA94" i="41"/>
  <c r="Q28" i="38" s="1"/>
  <c r="AB92" i="41"/>
  <c r="AC89" i="41"/>
  <c r="W14" i="38"/>
  <c r="W16" i="38" s="1"/>
  <c r="V16" i="38"/>
  <c r="V17" i="38" s="1"/>
  <c r="AI193" i="31"/>
  <c r="AK68" i="32"/>
  <c r="AN91" i="32"/>
  <c r="AN68" i="32" s="1"/>
  <c r="DH391" i="23"/>
  <c r="T445" i="23"/>
  <c r="S398" i="23"/>
  <c r="Z430" i="23"/>
  <c r="W383" i="23"/>
  <c r="CW383" i="23" s="1"/>
  <c r="CX383" i="23" s="1"/>
  <c r="S392" i="23"/>
  <c r="T439" i="23"/>
  <c r="V432" i="23"/>
  <c r="U385" i="23"/>
  <c r="AH440" i="23"/>
  <c r="AG393" i="23"/>
  <c r="DL391" i="23"/>
  <c r="DI391" i="23"/>
  <c r="DM391" i="23" s="1"/>
  <c r="DK391" i="23"/>
  <c r="DJ391" i="23"/>
  <c r="DC400" i="23"/>
  <c r="T426" i="23"/>
  <c r="S379" i="23"/>
  <c r="V475" i="23"/>
  <c r="V503" i="23" s="1"/>
  <c r="X8" i="23"/>
  <c r="AK404" i="23"/>
  <c r="AL451" i="23"/>
  <c r="DC380" i="23"/>
  <c r="AE438" i="23"/>
  <c r="AD391" i="23"/>
  <c r="AC443" i="23"/>
  <c r="AA396" i="23"/>
  <c r="AC400" i="23"/>
  <c r="AD447" i="23"/>
  <c r="AH446" i="23"/>
  <c r="AG399" i="23"/>
  <c r="T441" i="23"/>
  <c r="S394" i="23"/>
  <c r="AC380" i="23"/>
  <c r="AD427" i="23"/>
  <c r="AM405" i="23"/>
  <c r="AN452" i="23"/>
  <c r="AN405" i="23" s="1"/>
  <c r="T462" i="23"/>
  <c r="S415" i="23"/>
  <c r="CZ396" i="23"/>
  <c r="CY396" i="23"/>
  <c r="DB396" i="23"/>
  <c r="DA396" i="23"/>
  <c r="DD400" i="23"/>
  <c r="DF400" i="23"/>
  <c r="DE400" i="23"/>
  <c r="DG400" i="23"/>
  <c r="Z444" i="23"/>
  <c r="W397" i="23"/>
  <c r="CW397" i="23" s="1"/>
  <c r="CX397" i="23" s="1"/>
  <c r="DG380" i="23"/>
  <c r="DF380" i="23"/>
  <c r="DD380" i="23"/>
  <c r="DE380" i="23"/>
  <c r="AM408" i="23"/>
  <c r="AN455" i="23"/>
  <c r="AN408" i="23" s="1"/>
  <c r="T425" i="23"/>
  <c r="S378" i="23"/>
  <c r="T424" i="23"/>
  <c r="S377" i="23"/>
  <c r="S381" i="23"/>
  <c r="T428" i="23"/>
  <c r="T434" i="23"/>
  <c r="S387" i="23"/>
  <c r="T292" i="23"/>
  <c r="T296" i="23" s="1"/>
  <c r="T298" i="23" s="1"/>
  <c r="W369" i="23"/>
  <c r="BF23" i="23"/>
  <c r="BF34" i="23" s="1"/>
  <c r="BF81" i="23" s="1"/>
  <c r="W368" i="23"/>
  <c r="U292" i="23"/>
  <c r="U296" i="23" s="1"/>
  <c r="U298" i="23" s="1"/>
  <c r="U302" i="23" s="1"/>
  <c r="DO388" i="23"/>
  <c r="DN388" i="23"/>
  <c r="DP388" i="23"/>
  <c r="DQ388" i="23"/>
  <c r="AJ323" i="23"/>
  <c r="DO389" i="23"/>
  <c r="DP389" i="23"/>
  <c r="DQ389" i="23"/>
  <c r="DN389" i="23"/>
  <c r="DN61" i="23"/>
  <c r="AD22" i="23"/>
  <c r="W388" i="23"/>
  <c r="CX388" i="23" s="1"/>
  <c r="DM388" i="23"/>
  <c r="DR390" i="23"/>
  <c r="W416" i="23"/>
  <c r="CT416" i="23" s="1"/>
  <c r="CU416" i="23" s="1"/>
  <c r="CV416" i="23" s="1"/>
  <c r="CW416" i="23" s="1"/>
  <c r="CX416" i="23" s="1"/>
  <c r="V369" i="23"/>
  <c r="V292" i="23" s="1"/>
  <c r="V296" i="23" s="1"/>
  <c r="V298" i="23" s="1"/>
  <c r="V302" i="23" s="1"/>
  <c r="AK345" i="23"/>
  <c r="Q294" i="60"/>
  <c r="CK14" i="23"/>
  <c r="CL207" i="59"/>
  <c r="CL208" i="59" s="1"/>
  <c r="CL34" i="23"/>
  <c r="CD107" i="59"/>
  <c r="CD113" i="59" s="1"/>
  <c r="EG196" i="30"/>
  <c r="CA113" i="59"/>
  <c r="N27" i="52"/>
  <c r="M26" i="52"/>
  <c r="CM207" i="59"/>
  <c r="CM208" i="59" s="1"/>
  <c r="CM212" i="59" s="1"/>
  <c r="CT22" i="23"/>
  <c r="CT61" i="23" s="1"/>
  <c r="EQ209" i="30"/>
  <c r="AK198" i="30"/>
  <c r="CK203" i="59"/>
  <c r="CK204" i="59" s="1"/>
  <c r="S71" i="25"/>
  <c r="T70" i="25"/>
  <c r="W70" i="25" s="1"/>
  <c r="CS69" i="25"/>
  <c r="S70" i="25"/>
  <c r="S68" i="25"/>
  <c r="S90" i="25" s="1"/>
  <c r="L20" i="23" s="1"/>
  <c r="U74" i="25"/>
  <c r="X73" i="25"/>
  <c r="X74" i="25" s="1"/>
  <c r="U75" i="25"/>
  <c r="X75" i="25" s="1"/>
  <c r="S73" i="25"/>
  <c r="DC29" i="30"/>
  <c r="X69" i="25"/>
  <c r="U71" i="25"/>
  <c r="X71" i="25" s="1"/>
  <c r="U72" i="25"/>
  <c r="X72" i="25" s="1"/>
  <c r="U70" i="25"/>
  <c r="U68" i="25"/>
  <c r="X68" i="25" s="1"/>
  <c r="DH73" i="25"/>
  <c r="Y75" i="25"/>
  <c r="Z74" i="25"/>
  <c r="Y72" i="25"/>
  <c r="DH72" i="25" s="1"/>
  <c r="AT206" i="30"/>
  <c r="U13" i="52"/>
  <c r="U9" i="52" s="1"/>
  <c r="U10" i="52" s="1"/>
  <c r="U7" i="52"/>
  <c r="U20" i="52"/>
  <c r="AN22" i="30" s="1"/>
  <c r="AN23" i="30" s="1"/>
  <c r="V16" i="52"/>
  <c r="O279" i="60" s="1"/>
  <c r="CW285" i="59"/>
  <c r="CX284" i="59"/>
  <c r="CX285" i="59" s="1"/>
  <c r="AN12" i="30"/>
  <c r="AJ64" i="25"/>
  <c r="BW87" i="73"/>
  <c r="BW88" i="73"/>
  <c r="BW85" i="73"/>
  <c r="X8" i="95" s="1"/>
  <c r="X9" i="95" s="1"/>
  <c r="BX86" i="73"/>
  <c r="CC86" i="73" s="1"/>
  <c r="BS85" i="73"/>
  <c r="BS87" i="73"/>
  <c r="BS88" i="73"/>
  <c r="BZ85" i="73"/>
  <c r="AA8" i="95" s="1"/>
  <c r="AR76" i="59"/>
  <c r="AM77" i="59"/>
  <c r="E66" i="20"/>
  <c r="F71" i="20"/>
  <c r="L69" i="20"/>
  <c r="L71" i="20" s="1"/>
  <c r="M71" i="20"/>
  <c r="BV21" i="20"/>
  <c r="BV113" i="20"/>
  <c r="BV25" i="20"/>
  <c r="K116" i="20"/>
  <c r="BI26" i="20"/>
  <c r="BI116" i="20" s="1"/>
  <c r="BZ16" i="20"/>
  <c r="BZ18" i="20" s="1"/>
  <c r="CE12" i="20"/>
  <c r="Z75" i="20"/>
  <c r="BU18" i="20"/>
  <c r="BX16" i="20"/>
  <c r="AB72" i="20"/>
  <c r="AB23" i="20" s="1"/>
  <c r="J113" i="20"/>
  <c r="BD23" i="20"/>
  <c r="J26" i="20"/>
  <c r="I72" i="20"/>
  <c r="I23" i="20" s="1"/>
  <c r="G78" i="20"/>
  <c r="H79" i="20" s="1"/>
  <c r="N78" i="20"/>
  <c r="P72" i="20"/>
  <c r="P23" i="20" s="1"/>
  <c r="CA16" i="20"/>
  <c r="CA18" i="20" s="1"/>
  <c r="CF12" i="20"/>
  <c r="BI113" i="20"/>
  <c r="H80" i="20"/>
  <c r="AD73" i="41"/>
  <c r="AE73" i="41" s="1"/>
  <c r="AD72" i="41"/>
  <c r="AE72" i="41" s="1"/>
  <c r="AB86" i="41"/>
  <c r="AC74" i="41"/>
  <c r="AC85" i="41" s="1"/>
  <c r="N36" i="38"/>
  <c r="N59" i="38"/>
  <c r="N78" i="38" s="1"/>
  <c r="O36" i="38"/>
  <c r="CX89" i="85"/>
  <c r="CS104" i="85"/>
  <c r="O62" i="85"/>
  <c r="O61" i="85"/>
  <c r="V73" i="23"/>
  <c r="W72" i="23"/>
  <c r="AI43" i="23"/>
  <c r="Y12" i="56"/>
  <c r="AH260" i="23"/>
  <c r="AN18" i="30"/>
  <c r="DI174" i="59"/>
  <c r="DI172" i="59"/>
  <c r="DA65" i="85"/>
  <c r="AB130" i="85"/>
  <c r="CW7" i="23"/>
  <c r="BP79" i="73"/>
  <c r="DM181" i="30"/>
  <c r="AE182" i="30"/>
  <c r="DM209" i="30"/>
  <c r="AE211" i="30"/>
  <c r="DM211" i="30" s="1"/>
  <c r="EL208" i="30"/>
  <c r="DD158" i="30"/>
  <c r="CT40" i="25"/>
  <c r="DH154" i="30"/>
  <c r="Q24" i="52"/>
  <c r="BN94" i="30"/>
  <c r="BN97" i="30"/>
  <c r="BN101" i="30"/>
  <c r="BU104" i="30"/>
  <c r="BP141" i="30"/>
  <c r="EH198" i="30"/>
  <c r="EH209" i="30"/>
  <c r="M579" i="23"/>
  <c r="M585" i="23"/>
  <c r="Q10" i="52"/>
  <c r="Q11" i="52"/>
  <c r="DO142" i="30"/>
  <c r="DO141" i="30"/>
  <c r="BR97" i="30"/>
  <c r="BS93" i="30"/>
  <c r="BS97" i="30" s="1"/>
  <c r="EJ209" i="30"/>
  <c r="CQ22" i="23" s="1"/>
  <c r="CQ61" i="23" s="1"/>
  <c r="AE64" i="25"/>
  <c r="AE67" i="25" s="1"/>
  <c r="V559" i="23"/>
  <c r="AC67" i="25"/>
  <c r="CH214" i="59"/>
  <c r="CH207" i="59"/>
  <c r="EI209" i="30"/>
  <c r="CP22" i="23" s="1"/>
  <c r="CP61" i="23" s="1"/>
  <c r="BM102" i="30"/>
  <c r="BR101" i="30"/>
  <c r="BM103" i="30"/>
  <c r="BM104" i="30" s="1"/>
  <c r="BM98" i="30"/>
  <c r="BM119" i="30"/>
  <c r="Z559" i="23"/>
  <c r="AH65" i="25"/>
  <c r="AD211" i="30"/>
  <c r="DH211" i="30" s="1"/>
  <c r="DH199" i="30"/>
  <c r="CG207" i="59"/>
  <c r="CG214" i="59"/>
  <c r="BM137" i="30"/>
  <c r="BR123" i="30"/>
  <c r="BM127" i="30"/>
  <c r="BM124" i="30"/>
  <c r="BN123" i="30"/>
  <c r="BW123" i="30"/>
  <c r="CB93" i="30"/>
  <c r="BW97" i="30"/>
  <c r="BX93" i="30"/>
  <c r="CH79" i="25"/>
  <c r="AP190" i="59"/>
  <c r="AQ190" i="59" s="1"/>
  <c r="S153" i="23"/>
  <c r="S154" i="23" s="1"/>
  <c r="CP122" i="59"/>
  <c r="S11" i="52"/>
  <c r="CU124" i="59"/>
  <c r="CU121" i="59" s="1"/>
  <c r="CP296" i="59"/>
  <c r="T174" i="59"/>
  <c r="DD174" i="59" s="1"/>
  <c r="I165" i="59"/>
  <c r="BP157" i="59"/>
  <c r="I159" i="59"/>
  <c r="J158" i="59"/>
  <c r="J286" i="59"/>
  <c r="BK145" i="59"/>
  <c r="K167" i="59"/>
  <c r="CS294" i="59"/>
  <c r="R93" i="31"/>
  <c r="S8" i="31"/>
  <c r="R99" i="31"/>
  <c r="R103" i="31" s="1"/>
  <c r="R104" i="31" s="1"/>
  <c r="AQ32" i="31"/>
  <c r="BA15" i="31"/>
  <c r="AR32" i="31"/>
  <c r="AN17" i="30"/>
  <c r="R179" i="59"/>
  <c r="O41" i="95"/>
  <c r="O42" i="95" s="1"/>
  <c r="P35" i="95"/>
  <c r="K18" i="95"/>
  <c r="BQ220" i="59"/>
  <c r="J220" i="59" s="1"/>
  <c r="BU220" i="59" s="1"/>
  <c r="J242" i="59"/>
  <c r="BU242" i="59" s="1"/>
  <c r="I242" i="59"/>
  <c r="BN220" i="59"/>
  <c r="I220" i="59" s="1"/>
  <c r="BP220" i="59" s="1"/>
  <c r="E8" i="95"/>
  <c r="D23" i="95"/>
  <c r="BY91" i="73"/>
  <c r="CR14" i="23"/>
  <c r="CR17" i="23"/>
  <c r="CR18" i="23" s="1"/>
  <c r="CZ6" i="23"/>
  <c r="ER94" i="30"/>
  <c r="BI25" i="85"/>
  <c r="BI24" i="85" s="1"/>
  <c r="BI21" i="85"/>
  <c r="BN92" i="85"/>
  <c r="BI93" i="85"/>
  <c r="CG104" i="85"/>
  <c r="CG102" i="85"/>
  <c r="CL89" i="85"/>
  <c r="CU206" i="59"/>
  <c r="CU198" i="59"/>
  <c r="CU199" i="59" s="1"/>
  <c r="F87" i="31"/>
  <c r="F24" i="31"/>
  <c r="K114" i="30"/>
  <c r="F113" i="30"/>
  <c r="F116" i="30" s="1"/>
  <c r="E116" i="30"/>
  <c r="E119" i="30" s="1"/>
  <c r="E147" i="30"/>
  <c r="AJ457" i="23"/>
  <c r="AI410" i="23"/>
  <c r="AM411" i="23"/>
  <c r="AM356" i="23"/>
  <c r="AN411" i="23" s="1"/>
  <c r="CV13" i="23"/>
  <c r="CV7" i="23"/>
  <c r="M35" i="25"/>
  <c r="O151" i="30"/>
  <c r="O148" i="30"/>
  <c r="EM95" i="30"/>
  <c r="EM96" i="30" s="1"/>
  <c r="BS207" i="59"/>
  <c r="BS200" i="59"/>
  <c r="CM5" i="23"/>
  <c r="CD250" i="59"/>
  <c r="CD251" i="59" s="1"/>
  <c r="CD200" i="59"/>
  <c r="CD192" i="59"/>
  <c r="CI192" i="59"/>
  <c r="CW6" i="23"/>
  <c r="CP6" i="23"/>
  <c r="I241" i="59"/>
  <c r="BP241" i="59" s="1"/>
  <c r="BW93" i="73"/>
  <c r="BW94" i="73"/>
  <c r="R126" i="73"/>
  <c r="R127" i="73"/>
  <c r="S125" i="73"/>
  <c r="R124" i="73"/>
  <c r="R32" i="95"/>
  <c r="CR282" i="59"/>
  <c r="AA69" i="25"/>
  <c r="AH29" i="30"/>
  <c r="AA73" i="25" s="1"/>
  <c r="DT96" i="30"/>
  <c r="DO125" i="30"/>
  <c r="DO96" i="30"/>
  <c r="CQ282" i="59"/>
  <c r="DJ109" i="30"/>
  <c r="DJ141" i="30"/>
  <c r="DO104" i="30"/>
  <c r="BU172" i="59"/>
  <c r="J174" i="59"/>
  <c r="J181" i="59"/>
  <c r="BU181" i="59" s="1"/>
  <c r="BU179" i="59"/>
  <c r="K170" i="59"/>
  <c r="K172" i="59" s="1"/>
  <c r="DM97" i="30"/>
  <c r="CZ12" i="59"/>
  <c r="BP14" i="31"/>
  <c r="CZ49" i="59"/>
  <c r="CG60" i="85"/>
  <c r="CB63" i="85"/>
  <c r="P105" i="73"/>
  <c r="Q104" i="73"/>
  <c r="P106" i="73"/>
  <c r="P103" i="73"/>
  <c r="Z112" i="85" s="1"/>
  <c r="AA101" i="31"/>
  <c r="U100" i="31"/>
  <c r="T102" i="31"/>
  <c r="BI141" i="30"/>
  <c r="I114" i="31"/>
  <c r="K133" i="31"/>
  <c r="L134" i="31"/>
  <c r="J104" i="31"/>
  <c r="O127" i="31"/>
  <c r="J128" i="31"/>
  <c r="J129" i="31" s="1"/>
  <c r="J130" i="31" s="1"/>
  <c r="J135" i="31"/>
  <c r="J112" i="31" s="1"/>
  <c r="J113" i="31" s="1"/>
  <c r="J114" i="31" s="1"/>
  <c r="J107" i="31"/>
  <c r="J108" i="31" s="1"/>
  <c r="J109" i="31" s="1"/>
  <c r="K102" i="31"/>
  <c r="K103" i="31" s="1"/>
  <c r="L101" i="31"/>
  <c r="CU13" i="23"/>
  <c r="CU7" i="23"/>
  <c r="DK32" i="25"/>
  <c r="DK31" i="25"/>
  <c r="DM30" i="25"/>
  <c r="CT13" i="23"/>
  <c r="CT7" i="23"/>
  <c r="W10" i="23"/>
  <c r="DK29" i="25"/>
  <c r="DM29" i="25" s="1"/>
  <c r="CW14" i="23"/>
  <c r="CW17" i="23"/>
  <c r="DS117" i="30"/>
  <c r="DS119" i="30"/>
  <c r="W24" i="59"/>
  <c r="V233" i="59"/>
  <c r="CP192" i="59"/>
  <c r="CY5" i="23"/>
  <c r="CP250" i="59"/>
  <c r="CP251" i="59" s="1"/>
  <c r="CU192" i="59"/>
  <c r="CL121" i="59"/>
  <c r="EI93" i="30"/>
  <c r="EI94" i="30" s="1"/>
  <c r="CG122" i="59"/>
  <c r="CB125" i="59"/>
  <c r="ED95" i="30"/>
  <c r="ED96" i="30" s="1"/>
  <c r="J146" i="59"/>
  <c r="BU145" i="59"/>
  <c r="BA42" i="31"/>
  <c r="BA43" i="31" s="1"/>
  <c r="CK50" i="59"/>
  <c r="CK55" i="59"/>
  <c r="O24" i="59"/>
  <c r="CJ24" i="59"/>
  <c r="BF14" i="31"/>
  <c r="BF15" i="31" s="1"/>
  <c r="CP49" i="59"/>
  <c r="CP12" i="59"/>
  <c r="ER86" i="30"/>
  <c r="CF57" i="59"/>
  <c r="CF305" i="59"/>
  <c r="CF56" i="59"/>
  <c r="CJ233" i="59"/>
  <c r="O233" i="59"/>
  <c r="CK219" i="59"/>
  <c r="CK13" i="59"/>
  <c r="EM87" i="30"/>
  <c r="EM90" i="30"/>
  <c r="EM91" i="30" s="1"/>
  <c r="P32" i="95"/>
  <c r="CH122" i="59"/>
  <c r="EJ93" i="30"/>
  <c r="EJ94" i="30" s="1"/>
  <c r="CM121" i="59"/>
  <c r="BZ145" i="59"/>
  <c r="K146" i="59"/>
  <c r="EE95" i="30"/>
  <c r="EE96" i="30" s="1"/>
  <c r="CC125" i="59"/>
  <c r="CP18" i="23"/>
  <c r="CK18" i="23"/>
  <c r="CK21" i="23"/>
  <c r="CK23" i="23" s="1"/>
  <c r="H183" i="59"/>
  <c r="I146" i="59"/>
  <c r="CZ10" i="23"/>
  <c r="CQ199" i="59"/>
  <c r="CQ200" i="59"/>
  <c r="T24" i="52"/>
  <c r="S24" i="52"/>
  <c r="T10" i="52"/>
  <c r="T11" i="52"/>
  <c r="AM20" i="30"/>
  <c r="AH66" i="25"/>
  <c r="CD106" i="59"/>
  <c r="CE106" i="59" s="1"/>
  <c r="AG66" i="25"/>
  <c r="AG67" i="25" s="1"/>
  <c r="AL20" i="30"/>
  <c r="AA71" i="59"/>
  <c r="S32" i="95"/>
  <c r="BF663" i="23"/>
  <c r="BF83" i="23"/>
  <c r="BF85" i="23" s="1"/>
  <c r="BG81" i="23"/>
  <c r="BG38" i="23"/>
  <c r="BG44" i="23"/>
  <c r="BG40" i="23"/>
  <c r="BG83" i="23"/>
  <c r="BG85" i="23" s="1"/>
  <c r="BG663" i="23"/>
  <c r="BG37" i="23"/>
  <c r="AK282" i="23"/>
  <c r="AK204" i="23" s="1"/>
  <c r="AJ689" i="23"/>
  <c r="AU156" i="30"/>
  <c r="AT205" i="30"/>
  <c r="AS209" i="30"/>
  <c r="AT207" i="30"/>
  <c r="AA32" i="85"/>
  <c r="AO57" i="25" s="1"/>
  <c r="AS179" i="30" s="1"/>
  <c r="AS180" i="30" s="1"/>
  <c r="AE71" i="41"/>
  <c r="F59" i="38"/>
  <c r="F78" i="38" s="1"/>
  <c r="J59" i="38"/>
  <c r="J78" i="38" s="1"/>
  <c r="P38" i="38"/>
  <c r="Q30" i="38"/>
  <c r="P66" i="38"/>
  <c r="P81" i="38" s="1"/>
  <c r="AF171" i="23"/>
  <c r="AF113" i="23" s="1"/>
  <c r="AG151" i="23"/>
  <c r="AG165" i="23"/>
  <c r="AG171" i="23" s="1"/>
  <c r="AG113" i="23" s="1"/>
  <c r="AH12" i="25"/>
  <c r="AM71" i="30"/>
  <c r="AH16" i="25" s="1"/>
  <c r="AH18" i="25" s="1"/>
  <c r="Q158" i="59"/>
  <c r="CI179" i="59"/>
  <c r="CI181" i="59" s="1"/>
  <c r="CI183" i="59" s="1"/>
  <c r="DC68" i="25"/>
  <c r="CP95" i="30"/>
  <c r="CP103" i="30"/>
  <c r="CF125" i="30"/>
  <c r="CF96" i="30"/>
  <c r="DI124" i="30"/>
  <c r="DI131" i="30"/>
  <c r="CK96" i="30"/>
  <c r="CK125" i="30"/>
  <c r="DK112" i="23"/>
  <c r="DK114" i="23" s="1"/>
  <c r="DJ112" i="23"/>
  <c r="DJ114" i="23" s="1"/>
  <c r="DB112" i="23"/>
  <c r="DB114" i="23" s="1"/>
  <c r="CY112" i="23"/>
  <c r="CY114" i="23" s="1"/>
  <c r="CZ112" i="23"/>
  <c r="CZ114" i="23" s="1"/>
  <c r="DA112" i="23"/>
  <c r="DA114" i="23" s="1"/>
  <c r="AD133" i="23"/>
  <c r="AD112" i="23"/>
  <c r="AD175" i="23"/>
  <c r="AD294" i="23" s="1"/>
  <c r="AC690" i="23"/>
  <c r="M11" i="31"/>
  <c r="L14" i="31"/>
  <c r="L95" i="31"/>
  <c r="L23" i="31"/>
  <c r="L24" i="31" s="1"/>
  <c r="K31" i="31"/>
  <c r="K33" i="31" s="1"/>
  <c r="K24" i="31"/>
  <c r="K90" i="31" s="1"/>
  <c r="Z239" i="30"/>
  <c r="Z242" i="30" s="1"/>
  <c r="K15" i="31"/>
  <c r="U86" i="30"/>
  <c r="K46" i="31"/>
  <c r="K37" i="31"/>
  <c r="K96" i="31"/>
  <c r="U239" i="30"/>
  <c r="K52" i="31"/>
  <c r="M32" i="95"/>
  <c r="CA275" i="59"/>
  <c r="CA284" i="59"/>
  <c r="CI270" i="59"/>
  <c r="CI242" i="59"/>
  <c r="CI220" i="59" s="1"/>
  <c r="AV32" i="31"/>
  <c r="U12" i="31"/>
  <c r="AZ12" i="31" s="1"/>
  <c r="AV16" i="31"/>
  <c r="CF284" i="59"/>
  <c r="CF275" i="59"/>
  <c r="CK285" i="59"/>
  <c r="CK292" i="59"/>
  <c r="CK296" i="59"/>
  <c r="CK282" i="59"/>
  <c r="AW16" i="31"/>
  <c r="CL285" i="59"/>
  <c r="CL282" i="59"/>
  <c r="CL292" i="59"/>
  <c r="CC284" i="59"/>
  <c r="CC275" i="59"/>
  <c r="CC286" i="59" s="1"/>
  <c r="CQ270" i="59"/>
  <c r="CQ220" i="59"/>
  <c r="CQ242" i="59"/>
  <c r="CS282" i="59"/>
  <c r="CP242" i="59"/>
  <c r="CP220" i="59"/>
  <c r="CP270" i="59"/>
  <c r="CP294" i="59"/>
  <c r="CA220" i="59"/>
  <c r="L220" i="59" s="1"/>
  <c r="CE220" i="59" s="1"/>
  <c r="L242" i="59"/>
  <c r="CI284" i="59"/>
  <c r="CI275" i="59"/>
  <c r="CI286" i="59" s="1"/>
  <c r="CG242" i="59"/>
  <c r="CG220" i="59" s="1"/>
  <c r="CG270" i="59"/>
  <c r="CF292" i="59"/>
  <c r="CF282" i="59"/>
  <c r="CF296" i="59"/>
  <c r="CF285" i="59"/>
  <c r="AK293" i="23"/>
  <c r="CR294" i="59"/>
  <c r="Q32" i="95"/>
  <c r="CW111" i="85"/>
  <c r="CD284" i="59"/>
  <c r="CD275" i="59"/>
  <c r="CD286" i="59" s="1"/>
  <c r="O31" i="38"/>
  <c r="Y95" i="41"/>
  <c r="Y96" i="41" s="1"/>
  <c r="Y97" i="41" s="1"/>
  <c r="Y86" i="41"/>
  <c r="CN270" i="59"/>
  <c r="CN242" i="59"/>
  <c r="CN220" i="59" s="1"/>
  <c r="CH292" i="59"/>
  <c r="CH285" i="59"/>
  <c r="CH282" i="59"/>
  <c r="CH296" i="59"/>
  <c r="CM242" i="59"/>
  <c r="CM220" i="59" s="1"/>
  <c r="CM270" i="59"/>
  <c r="CL242" i="59"/>
  <c r="CL220" i="59" s="1"/>
  <c r="CL270" i="59"/>
  <c r="Q281" i="59"/>
  <c r="CP282" i="59"/>
  <c r="CA292" i="59"/>
  <c r="CA285" i="59"/>
  <c r="BW91" i="73"/>
  <c r="CN284" i="59"/>
  <c r="BD12" i="31"/>
  <c r="BD32" i="31" s="1"/>
  <c r="CN275" i="59"/>
  <c r="CN278" i="59" s="1"/>
  <c r="Z86" i="41"/>
  <c r="Z95" i="41"/>
  <c r="Z96" i="41" s="1"/>
  <c r="P31" i="38"/>
  <c r="CL284" i="59"/>
  <c r="BB12" i="31"/>
  <c r="BB32" i="31" s="1"/>
  <c r="CL275" i="59"/>
  <c r="CL278" i="59" s="1"/>
  <c r="CH270" i="59"/>
  <c r="CQ294" i="59"/>
  <c r="CB275" i="59"/>
  <c r="CB284" i="59"/>
  <c r="Q273" i="59"/>
  <c r="BF12" i="31"/>
  <c r="CP275" i="59"/>
  <c r="CP278" i="59" s="1"/>
  <c r="CP188" i="59"/>
  <c r="CP189" i="59" s="1"/>
  <c r="CI282" i="59"/>
  <c r="CI292" i="59"/>
  <c r="CI285" i="59"/>
  <c r="CG292" i="59"/>
  <c r="CG285" i="59"/>
  <c r="CG296" i="59"/>
  <c r="CG282" i="59"/>
  <c r="U146" i="73"/>
  <c r="U144" i="73"/>
  <c r="AL163" i="23" s="1"/>
  <c r="U147" i="73"/>
  <c r="V145" i="73"/>
  <c r="W145" i="73" s="1"/>
  <c r="BH12" i="31"/>
  <c r="BH32" i="31" s="1"/>
  <c r="CR188" i="59"/>
  <c r="CR189" i="59" s="1"/>
  <c r="CR275" i="59"/>
  <c r="CK242" i="59"/>
  <c r="CK270" i="59"/>
  <c r="I121" i="59"/>
  <c r="DQ93" i="30"/>
  <c r="AF94" i="30"/>
  <c r="CN292" i="59"/>
  <c r="CN282" i="59"/>
  <c r="CN285" i="59"/>
  <c r="CH275" i="59"/>
  <c r="CH284" i="59"/>
  <c r="CM282" i="59"/>
  <c r="CM292" i="59"/>
  <c r="CM285" i="59"/>
  <c r="O32" i="95"/>
  <c r="CS275" i="59"/>
  <c r="BI12" i="31"/>
  <c r="BI32" i="31" s="1"/>
  <c r="CS188" i="59"/>
  <c r="CS189" i="59" s="1"/>
  <c r="CC285" i="59"/>
  <c r="CC292" i="59"/>
  <c r="L32" i="95"/>
  <c r="BG12" i="31"/>
  <c r="BG32" i="31" s="1"/>
  <c r="CQ275" i="59"/>
  <c r="CQ278" i="59" s="1"/>
  <c r="CQ188" i="59"/>
  <c r="CQ189" i="59" s="1"/>
  <c r="CB292" i="59"/>
  <c r="CB285" i="59"/>
  <c r="CS220" i="59"/>
  <c r="CS270" i="59"/>
  <c r="CS242" i="59"/>
  <c r="CT265" i="59"/>
  <c r="Q292" i="59"/>
  <c r="CT292" i="59" s="1"/>
  <c r="Q267" i="59"/>
  <c r="AB95" i="41"/>
  <c r="R31" i="38"/>
  <c r="BF13" i="31"/>
  <c r="W13" i="31" s="1"/>
  <c r="Q274" i="59"/>
  <c r="CG284" i="59"/>
  <c r="CG275" i="59"/>
  <c r="CG290" i="59" s="1"/>
  <c r="E17" i="95"/>
  <c r="E20" i="95"/>
  <c r="CF242" i="59"/>
  <c r="CF270" i="59"/>
  <c r="N32" i="95"/>
  <c r="CR220" i="59"/>
  <c r="CR270" i="59"/>
  <c r="CR242" i="59"/>
  <c r="CK284" i="59"/>
  <c r="CK275" i="59"/>
  <c r="CK278" i="59" s="1"/>
  <c r="BA12" i="31"/>
  <c r="CD292" i="59"/>
  <c r="CD285" i="59"/>
  <c r="X69" i="32"/>
  <c r="X64" i="32"/>
  <c r="V118" i="73"/>
  <c r="W118" i="73" s="1"/>
  <c r="U119" i="73"/>
  <c r="U120" i="73"/>
  <c r="U117" i="73"/>
  <c r="CH242" i="59"/>
  <c r="CH220" i="59" s="1"/>
  <c r="L266" i="59"/>
  <c r="D21" i="95"/>
  <c r="T13" i="31"/>
  <c r="AU13" i="31" s="1"/>
  <c r="AG238" i="30"/>
  <c r="V9" i="32"/>
  <c r="CM275" i="59"/>
  <c r="CM284" i="59"/>
  <c r="BC12" i="31"/>
  <c r="BC32" i="31" s="1"/>
  <c r="DM389" i="23"/>
  <c r="DH386" i="23"/>
  <c r="AM422" i="23"/>
  <c r="AL375" i="23"/>
  <c r="DH395" i="23"/>
  <c r="AH354" i="23"/>
  <c r="AH409" i="23" s="1"/>
  <c r="AJ353" i="23"/>
  <c r="AJ408" i="23" s="1"/>
  <c r="AI348" i="23"/>
  <c r="L35" i="25"/>
  <c r="L148" i="30"/>
  <c r="BF158" i="30"/>
  <c r="BA44" i="25" s="1"/>
  <c r="BA46" i="25" s="1"/>
  <c r="BA40" i="25"/>
  <c r="D42" i="25"/>
  <c r="D39" i="25"/>
  <c r="E41" i="25"/>
  <c r="D43" i="25"/>
  <c r="D46" i="25"/>
  <c r="E45" i="25"/>
  <c r="L158" i="30"/>
  <c r="L44" i="25" s="1"/>
  <c r="L40" i="25"/>
  <c r="BH151" i="30"/>
  <c r="BI151" i="30" s="1"/>
  <c r="BG154" i="30"/>
  <c r="BG163" i="30"/>
  <c r="BG195" i="30"/>
  <c r="BL226" i="59"/>
  <c r="BL228" i="59" s="1"/>
  <c r="BL240" i="59"/>
  <c r="BL31" i="59"/>
  <c r="J79" i="73"/>
  <c r="J78" i="73"/>
  <c r="J76" i="73"/>
  <c r="BS81" i="59"/>
  <c r="BS80" i="59"/>
  <c r="DU143" i="30"/>
  <c r="DN131" i="30"/>
  <c r="DN124" i="30"/>
  <c r="DY105" i="30"/>
  <c r="DY106" i="30" s="1"/>
  <c r="BW234" i="59"/>
  <c r="BW240" i="59" s="1"/>
  <c r="BW31" i="59"/>
  <c r="H159" i="59"/>
  <c r="H165" i="59"/>
  <c r="BK157" i="59"/>
  <c r="I158" i="59"/>
  <c r="AL56" i="30"/>
  <c r="AM56" i="30"/>
  <c r="AL55" i="30"/>
  <c r="AL65" i="30"/>
  <c r="AL73" i="30" s="1"/>
  <c r="CH33" i="59"/>
  <c r="CC83" i="59"/>
  <c r="EE108" i="30"/>
  <c r="CC30" i="59"/>
  <c r="CC241" i="59"/>
  <c r="CC224" i="59" s="1"/>
  <c r="DZ105" i="30"/>
  <c r="DZ106" i="30" s="1"/>
  <c r="BX234" i="59"/>
  <c r="BX240" i="59" s="1"/>
  <c r="BX31" i="59"/>
  <c r="AQ84" i="25"/>
  <c r="AB196" i="59"/>
  <c r="BP179" i="59"/>
  <c r="I181" i="59"/>
  <c r="AC13" i="25"/>
  <c r="AE12" i="25"/>
  <c r="AC14" i="25"/>
  <c r="AC15" i="25"/>
  <c r="AD13" i="25"/>
  <c r="AC11" i="25"/>
  <c r="CT202" i="59"/>
  <c r="AF67" i="25"/>
  <c r="AG65" i="25"/>
  <c r="AF65" i="25"/>
  <c r="M170" i="59"/>
  <c r="O170" i="59" s="1"/>
  <c r="BO224" i="59"/>
  <c r="I224" i="59" s="1"/>
  <c r="DN146" i="30"/>
  <c r="BL79" i="59"/>
  <c r="BL84" i="59"/>
  <c r="AB18" i="25"/>
  <c r="AB17" i="25"/>
  <c r="AA14" i="25"/>
  <c r="AA15" i="25"/>
  <c r="AA13" i="25"/>
  <c r="AI29" i="30"/>
  <c r="AB73" i="25" s="1"/>
  <c r="AB69" i="25"/>
  <c r="AB68" i="25" s="1"/>
  <c r="AD17" i="25"/>
  <c r="AC17" i="25"/>
  <c r="AE16" i="25"/>
  <c r="AC18" i="25"/>
  <c r="BX79" i="59"/>
  <c r="BX84" i="59"/>
  <c r="I174" i="59"/>
  <c r="BP174" i="59" s="1"/>
  <c r="BP172" i="59"/>
  <c r="DA6" i="23"/>
  <c r="DF6" i="23"/>
  <c r="AE146" i="30"/>
  <c r="BE13" i="31"/>
  <c r="CV198" i="59"/>
  <c r="CV206" i="59"/>
  <c r="BQ30" i="59"/>
  <c r="BV33" i="59"/>
  <c r="DS108" i="30"/>
  <c r="BQ241" i="59"/>
  <c r="BQ224" i="59" s="1"/>
  <c r="BQ83" i="59"/>
  <c r="DD79" i="25"/>
  <c r="CB30" i="59"/>
  <c r="ED108" i="30"/>
  <c r="CB241" i="59"/>
  <c r="CB224" i="59" s="1"/>
  <c r="CG33" i="59"/>
  <c r="AB14" i="25"/>
  <c r="AB15" i="25"/>
  <c r="AB13" i="25"/>
  <c r="AG12" i="25"/>
  <c r="AL71" i="30"/>
  <c r="AG16" i="25" s="1"/>
  <c r="AA18" i="25"/>
  <c r="AA17" i="25"/>
  <c r="BB146" i="59"/>
  <c r="BB167" i="59"/>
  <c r="BG146" i="59"/>
  <c r="AB67" i="25"/>
  <c r="K76" i="73"/>
  <c r="K79" i="73"/>
  <c r="K78" i="73"/>
  <c r="AW77" i="59"/>
  <c r="BB28" i="59"/>
  <c r="AW45" i="59"/>
  <c r="AR192" i="59"/>
  <c r="AW192" i="59"/>
  <c r="AS191" i="59"/>
  <c r="AV191" i="59" s="1"/>
  <c r="CK80" i="25"/>
  <c r="CP80" i="25"/>
  <c r="AR100" i="59"/>
  <c r="AR211" i="59"/>
  <c r="AR101" i="59"/>
  <c r="AR210" i="59"/>
  <c r="AR46" i="59"/>
  <c r="AM211" i="59"/>
  <c r="AM101" i="59"/>
  <c r="O77" i="85"/>
  <c r="CE98" i="85"/>
  <c r="BZ101" i="85"/>
  <c r="BZ102" i="85"/>
  <c r="CE104" i="85"/>
  <c r="CJ89" i="85"/>
  <c r="CC9" i="85"/>
  <c r="CC16" i="85"/>
  <c r="Q74" i="85"/>
  <c r="P56" i="85"/>
  <c r="P57" i="85" s="1"/>
  <c r="CM68" i="85"/>
  <c r="CH8" i="85"/>
  <c r="BF21" i="85"/>
  <c r="BF25" i="85"/>
  <c r="BP92" i="85"/>
  <c r="P85" i="85"/>
  <c r="P86" i="85"/>
  <c r="P101" i="85"/>
  <c r="N55" i="85"/>
  <c r="P50" i="85"/>
  <c r="P51" i="85" s="1"/>
  <c r="P62" i="85"/>
  <c r="P61" i="85"/>
  <c r="P77" i="85"/>
  <c r="BE20" i="85"/>
  <c r="M18" i="85"/>
  <c r="M19" i="85" s="1"/>
  <c r="CC104" i="85"/>
  <c r="CH89" i="85"/>
  <c r="R89" i="85"/>
  <c r="CC102" i="85"/>
  <c r="BZ9" i="85"/>
  <c r="BZ16" i="85"/>
  <c r="CD65" i="85"/>
  <c r="Q65" i="85"/>
  <c r="BY63" i="85"/>
  <c r="BJ95" i="85"/>
  <c r="BJ96" i="85" s="1"/>
  <c r="BJ92" i="85"/>
  <c r="BJ105" i="85"/>
  <c r="BJ18" i="85"/>
  <c r="BJ20" i="85" s="1"/>
  <c r="BJ12" i="85"/>
  <c r="BY68" i="85"/>
  <c r="BT8" i="85"/>
  <c r="CD84" i="85"/>
  <c r="BY101" i="85"/>
  <c r="O53" i="85"/>
  <c r="O54" i="85"/>
  <c r="O55" i="85" s="1"/>
  <c r="BX101" i="85"/>
  <c r="CC84" i="85"/>
  <c r="Q84" i="85"/>
  <c r="Q87" i="85" s="1"/>
  <c r="CC60" i="85"/>
  <c r="Q60" i="85"/>
  <c r="BX63" i="85"/>
  <c r="Q90" i="85"/>
  <c r="Q104" i="85"/>
  <c r="Q102" i="85"/>
  <c r="CJ65" i="85"/>
  <c r="CE63" i="85"/>
  <c r="CE8" i="85"/>
  <c r="P52" i="85"/>
  <c r="P78" i="85"/>
  <c r="P63" i="85"/>
  <c r="P64" i="85" s="1"/>
  <c r="P80" i="85"/>
  <c r="P66" i="85"/>
  <c r="BO16" i="85"/>
  <c r="O16" i="85" s="1"/>
  <c r="BO9" i="85"/>
  <c r="O8" i="85"/>
  <c r="CL84" i="85"/>
  <c r="CG101" i="85"/>
  <c r="BG11" i="85"/>
  <c r="M105" i="85"/>
  <c r="M12" i="85"/>
  <c r="M92" i="85"/>
  <c r="M93" i="85" s="1"/>
  <c r="X125" i="30"/>
  <c r="N52" i="33"/>
  <c r="N66" i="33"/>
  <c r="N67" i="33" s="1"/>
  <c r="N58" i="33"/>
  <c r="N59" i="33" s="1"/>
  <c r="DL395" i="23"/>
  <c r="DI395" i="23"/>
  <c r="DK395" i="23"/>
  <c r="DJ395" i="23"/>
  <c r="BB42" i="31"/>
  <c r="BB43" i="31" s="1"/>
  <c r="CL50" i="59"/>
  <c r="CL55" i="59"/>
  <c r="H60" i="73"/>
  <c r="H61" i="73" s="1"/>
  <c r="CG68" i="85"/>
  <c r="CB8" i="85"/>
  <c r="M23" i="85"/>
  <c r="BD25" i="85"/>
  <c r="BD28" i="85" s="1"/>
  <c r="CJ59" i="30"/>
  <c r="CJ64" i="30" s="1"/>
  <c r="CO193" i="30"/>
  <c r="CO59" i="30" s="1"/>
  <c r="CO64" i="30" s="1"/>
  <c r="H26" i="25"/>
  <c r="U72" i="30"/>
  <c r="H30" i="25" s="1"/>
  <c r="BX274" i="59"/>
  <c r="CC269" i="59"/>
  <c r="BV281" i="59"/>
  <c r="BV273" i="59"/>
  <c r="BV267" i="59"/>
  <c r="CA268" i="59"/>
  <c r="BX273" i="59"/>
  <c r="BX281" i="59"/>
  <c r="BX267" i="59"/>
  <c r="CC268" i="59"/>
  <c r="D76" i="38"/>
  <c r="D54" i="38"/>
  <c r="N35" i="25"/>
  <c r="S151" i="30"/>
  <c r="AB39" i="40"/>
  <c r="AC39" i="40" s="1"/>
  <c r="BP36" i="31"/>
  <c r="BU36" i="31" s="1"/>
  <c r="X36" i="31"/>
  <c r="BO36" i="31" s="1"/>
  <c r="BH20" i="85"/>
  <c r="DQ146" i="30"/>
  <c r="BO79" i="59"/>
  <c r="BO84" i="59"/>
  <c r="I83" i="59"/>
  <c r="I64" i="73"/>
  <c r="I63" i="73" s="1"/>
  <c r="AA75" i="32"/>
  <c r="CT84" i="85"/>
  <c r="CK58" i="30"/>
  <c r="CK194" i="30"/>
  <c r="CK199" i="30" s="1"/>
  <c r="CK211" i="30" s="1"/>
  <c r="CP192" i="30"/>
  <c r="DD142" i="30"/>
  <c r="DD141" i="30"/>
  <c r="DI142" i="30"/>
  <c r="BB59" i="59"/>
  <c r="CK28" i="25"/>
  <c r="CK29" i="25"/>
  <c r="CK25" i="25"/>
  <c r="CP27" i="25"/>
  <c r="CE24" i="20"/>
  <c r="CF114" i="20"/>
  <c r="D15" i="38"/>
  <c r="O74" i="25"/>
  <c r="N75" i="25"/>
  <c r="H54" i="38"/>
  <c r="H76" i="38"/>
  <c r="X192" i="30"/>
  <c r="Y203" i="30"/>
  <c r="Y72" i="30"/>
  <c r="O30" i="25" s="1"/>
  <c r="H202" i="59"/>
  <c r="BK108" i="59"/>
  <c r="CM95" i="30"/>
  <c r="X97" i="30"/>
  <c r="AA95" i="30"/>
  <c r="X96" i="30"/>
  <c r="CN95" i="30"/>
  <c r="Y106" i="31"/>
  <c r="AG8" i="23"/>
  <c r="AF475" i="23"/>
  <c r="AF502" i="23" s="1"/>
  <c r="AF212" i="23" s="1"/>
  <c r="AJ80" i="30"/>
  <c r="AJ65" i="30"/>
  <c r="AJ73" i="30" s="1"/>
  <c r="AJ59" i="30"/>
  <c r="AJ64" i="30" s="1"/>
  <c r="AJ61" i="30"/>
  <c r="AA203" i="30"/>
  <c r="AB68" i="30"/>
  <c r="BD12" i="59"/>
  <c r="BD9" i="59"/>
  <c r="U74" i="85"/>
  <c r="CX74" i="85"/>
  <c r="AS33" i="85"/>
  <c r="AX34" i="85" s="1"/>
  <c r="AS29" i="85"/>
  <c r="BS21" i="20"/>
  <c r="BS116" i="20"/>
  <c r="T111" i="31"/>
  <c r="EN87" i="30"/>
  <c r="EN90" i="30"/>
  <c r="EN91" i="30" s="1"/>
  <c r="F188" i="60"/>
  <c r="Q25" i="32"/>
  <c r="Q24" i="32"/>
  <c r="R25" i="32"/>
  <c r="Q43" i="33"/>
  <c r="Q45" i="33" s="1"/>
  <c r="P45" i="33"/>
  <c r="BD21" i="85"/>
  <c r="CJ209" i="30"/>
  <c r="X204" i="30"/>
  <c r="CD269" i="59"/>
  <c r="BY274" i="59"/>
  <c r="BQ114" i="20"/>
  <c r="BP24" i="20"/>
  <c r="U46" i="85"/>
  <c r="Z125" i="30"/>
  <c r="U132" i="30"/>
  <c r="U126" i="30"/>
  <c r="U127" i="30"/>
  <c r="Q121" i="31"/>
  <c r="P123" i="31"/>
  <c r="P124" i="31" s="1"/>
  <c r="M69" i="25"/>
  <c r="O29" i="30"/>
  <c r="M73" i="25" s="1"/>
  <c r="Y132" i="30"/>
  <c r="Y126" i="30"/>
  <c r="Y127" i="30"/>
  <c r="CC132" i="30"/>
  <c r="CC126" i="30"/>
  <c r="BM48" i="73"/>
  <c r="BM49" i="73"/>
  <c r="G197" i="59"/>
  <c r="W85" i="25"/>
  <c r="CV85" i="25"/>
  <c r="CU85" i="25"/>
  <c r="CT85" i="25"/>
  <c r="G7" i="53"/>
  <c r="G8" i="53" s="1"/>
  <c r="M13" i="23"/>
  <c r="M7" i="23"/>
  <c r="M474" i="23" s="1"/>
  <c r="M499" i="23" s="1"/>
  <c r="CW382" i="23"/>
  <c r="CX382" i="23" s="1"/>
  <c r="Y211" i="30"/>
  <c r="Y198" i="30"/>
  <c r="AG437" i="23"/>
  <c r="AF390" i="23"/>
  <c r="CS98" i="85"/>
  <c r="CN102" i="85"/>
  <c r="CY35" i="25"/>
  <c r="DI110" i="30"/>
  <c r="Q62" i="38"/>
  <c r="Q79" i="38" s="1"/>
  <c r="EF199" i="30"/>
  <c r="CM20" i="23" s="1"/>
  <c r="CM21" i="23" s="1"/>
  <c r="CM23" i="23" s="1"/>
  <c r="L25" i="30"/>
  <c r="L196" i="30"/>
  <c r="K9" i="62"/>
  <c r="K37" i="63"/>
  <c r="F36" i="60" s="1"/>
  <c r="AE105" i="23"/>
  <c r="CL13" i="59"/>
  <c r="CL219" i="59"/>
  <c r="CH68" i="30"/>
  <c r="CH203" i="30" s="1"/>
  <c r="H85" i="59"/>
  <c r="E370" i="60"/>
  <c r="BK83" i="59"/>
  <c r="DM146" i="30" s="1"/>
  <c r="I93" i="73"/>
  <c r="I94" i="73"/>
  <c r="I91" i="73"/>
  <c r="CL68" i="30"/>
  <c r="CL203" i="30" s="1"/>
  <c r="CL193" i="30" s="1"/>
  <c r="CL59" i="30" s="1"/>
  <c r="CL64" i="30" s="1"/>
  <c r="N181" i="59"/>
  <c r="CO179" i="59"/>
  <c r="AB131" i="30"/>
  <c r="AB124" i="30"/>
  <c r="AC124" i="30"/>
  <c r="H6" i="95"/>
  <c r="H12" i="95"/>
  <c r="H13" i="95" s="1"/>
  <c r="H15" i="95" s="1"/>
  <c r="E75" i="38"/>
  <c r="P163" i="30"/>
  <c r="BX151" i="30"/>
  <c r="P195" i="30"/>
  <c r="P58" i="38"/>
  <c r="P77" i="38" s="1"/>
  <c r="C132" i="59"/>
  <c r="C145" i="59"/>
  <c r="T135" i="85"/>
  <c r="U136" i="85" s="1"/>
  <c r="L172" i="59"/>
  <c r="L177" i="59"/>
  <c r="L179" i="59" s="1"/>
  <c r="P123" i="30"/>
  <c r="R124" i="30"/>
  <c r="R131" i="30"/>
  <c r="R127" i="30"/>
  <c r="S123" i="30"/>
  <c r="T124" i="30"/>
  <c r="Z606" i="23"/>
  <c r="Z597" i="23"/>
  <c r="AA601" i="23" s="1"/>
  <c r="AA605" i="23" s="1"/>
  <c r="AA606" i="23" s="1"/>
  <c r="CO192" i="30"/>
  <c r="CJ58" i="30"/>
  <c r="CJ194" i="30"/>
  <c r="CJ46" i="25"/>
  <c r="CO45" i="25"/>
  <c r="CN44" i="25"/>
  <c r="CJ45" i="25"/>
  <c r="BY273" i="59"/>
  <c r="BY281" i="59"/>
  <c r="BY267" i="59"/>
  <c r="CD268" i="59"/>
  <c r="AC423" i="23"/>
  <c r="AA376" i="23"/>
  <c r="CF58" i="30"/>
  <c r="CH192" i="30"/>
  <c r="CF194" i="30"/>
  <c r="CF199" i="30" s="1"/>
  <c r="CF211" i="30" s="1"/>
  <c r="H17" i="25"/>
  <c r="H18" i="25"/>
  <c r="I34" i="59"/>
  <c r="AF108" i="30"/>
  <c r="DR108" i="30" s="1"/>
  <c r="I30" i="59"/>
  <c r="BP33" i="59"/>
  <c r="BO234" i="59"/>
  <c r="I234" i="59" s="1"/>
  <c r="BO31" i="59"/>
  <c r="M612" i="23"/>
  <c r="M607" i="23"/>
  <c r="I524" i="23"/>
  <c r="J525" i="23"/>
  <c r="DM16" i="25"/>
  <c r="DJ17" i="25"/>
  <c r="DJ18" i="25"/>
  <c r="T104" i="33"/>
  <c r="U103" i="33"/>
  <c r="AE388" i="23"/>
  <c r="AF435" i="23"/>
  <c r="Z111" i="23"/>
  <c r="W125" i="23"/>
  <c r="W126" i="23"/>
  <c r="G38" i="63"/>
  <c r="G40" i="63" s="1"/>
  <c r="CX115" i="23"/>
  <c r="G11" i="62"/>
  <c r="Y106" i="30"/>
  <c r="B31" i="59" s="1"/>
  <c r="B30" i="59"/>
  <c r="T130" i="30"/>
  <c r="T128" i="30"/>
  <c r="N17" i="38"/>
  <c r="N49" i="38"/>
  <c r="N15" i="38"/>
  <c r="N51" i="38"/>
  <c r="N75" i="38" s="1"/>
  <c r="O17" i="38"/>
  <c r="CM39" i="25"/>
  <c r="CM42" i="25"/>
  <c r="CM43" i="25"/>
  <c r="CR41" i="25"/>
  <c r="CM41" i="25"/>
  <c r="G200" i="59"/>
  <c r="Z382" i="23"/>
  <c r="AA429" i="23"/>
  <c r="CM67" i="30"/>
  <c r="Y202" i="30"/>
  <c r="CC67" i="30"/>
  <c r="Y71" i="30"/>
  <c r="O16" i="25" s="1"/>
  <c r="Z80" i="30"/>
  <c r="Z73" i="30"/>
  <c r="Z204" i="30"/>
  <c r="Z209" i="30" s="1"/>
  <c r="Z199" i="30" s="1"/>
  <c r="Z67" i="30"/>
  <c r="Z68" i="30"/>
  <c r="Z203" i="30" s="1"/>
  <c r="AY50" i="59"/>
  <c r="AY51" i="59"/>
  <c r="K26" i="85"/>
  <c r="AW25" i="85"/>
  <c r="L26" i="85"/>
  <c r="CQ49" i="59"/>
  <c r="BG14" i="31"/>
  <c r="ES86" i="30"/>
  <c r="CQ12" i="59"/>
  <c r="CV8" i="59"/>
  <c r="DA8" i="59" s="1"/>
  <c r="CL194" i="30"/>
  <c r="CL199" i="30" s="1"/>
  <c r="CL58" i="30"/>
  <c r="DK90" i="30"/>
  <c r="DK91" i="30" s="1"/>
  <c r="DK113" i="30"/>
  <c r="DP86" i="30"/>
  <c r="BI8" i="59"/>
  <c r="DK87" i="30"/>
  <c r="AB235" i="30"/>
  <c r="AB95" i="30"/>
  <c r="O46" i="33"/>
  <c r="O61" i="33"/>
  <c r="O44" i="33"/>
  <c r="O55" i="33"/>
  <c r="BW183" i="59"/>
  <c r="BW182" i="59"/>
  <c r="BH56" i="73"/>
  <c r="BH53" i="73"/>
  <c r="BH55" i="73"/>
  <c r="DI386" i="23"/>
  <c r="DL386" i="23"/>
  <c r="DK386" i="23"/>
  <c r="DJ386" i="23"/>
  <c r="AZ35" i="85"/>
  <c r="BE34" i="85"/>
  <c r="AZ34" i="85"/>
  <c r="F25" i="30"/>
  <c r="F196" i="30"/>
  <c r="F199" i="30" s="1"/>
  <c r="F211" i="30" s="1"/>
  <c r="U96" i="33"/>
  <c r="T97" i="33"/>
  <c r="BJ81" i="59"/>
  <c r="H79" i="59"/>
  <c r="AL454" i="23"/>
  <c r="AK407" i="23"/>
  <c r="AA209" i="30"/>
  <c r="CS204" i="30"/>
  <c r="P172" i="59"/>
  <c r="P174" i="59" s="1"/>
  <c r="P202" i="59" s="1"/>
  <c r="P177" i="59"/>
  <c r="AA73" i="32"/>
  <c r="I59" i="73"/>
  <c r="I58" i="73" s="1"/>
  <c r="Z79" i="32"/>
  <c r="J86" i="73"/>
  <c r="D58" i="38"/>
  <c r="D77" i="38" s="1"/>
  <c r="CA269" i="59"/>
  <c r="BV274" i="59"/>
  <c r="AK14" i="20"/>
  <c r="F58" i="38"/>
  <c r="F77" i="38" s="1"/>
  <c r="M25" i="32"/>
  <c r="M24" i="32"/>
  <c r="N25" i="32"/>
  <c r="X49" i="25"/>
  <c r="BG13" i="85"/>
  <c r="M14" i="85"/>
  <c r="M71" i="85"/>
  <c r="M20" i="85"/>
  <c r="CQ58" i="30"/>
  <c r="S161" i="85"/>
  <c r="S170" i="85" s="1"/>
  <c r="CB269" i="59"/>
  <c r="BW274" i="59"/>
  <c r="N49" i="33"/>
  <c r="O48" i="33"/>
  <c r="O51" i="33" s="1"/>
  <c r="BT18" i="20"/>
  <c r="CY376" i="23"/>
  <c r="DB376" i="23"/>
  <c r="DA376" i="23"/>
  <c r="CZ376" i="23"/>
  <c r="AX35" i="85"/>
  <c r="BC34" i="85"/>
  <c r="H13" i="25"/>
  <c r="H14" i="25"/>
  <c r="H11" i="25"/>
  <c r="H15" i="25"/>
  <c r="H65" i="73"/>
  <c r="H66" i="73" s="1"/>
  <c r="I88" i="73"/>
  <c r="I87" i="73"/>
  <c r="I85" i="73"/>
  <c r="BW116" i="20"/>
  <c r="BV116" i="20"/>
  <c r="BU116" i="20"/>
  <c r="G223" i="60"/>
  <c r="H223" i="60" s="1"/>
  <c r="AE72" i="32"/>
  <c r="AF72" i="32" s="1"/>
  <c r="AG72" i="32" s="1"/>
  <c r="AH72" i="32" s="1"/>
  <c r="AI72" i="32" s="1"/>
  <c r="AJ72" i="32" s="1"/>
  <c r="AK72" i="32" s="1"/>
  <c r="AL72" i="32" s="1"/>
  <c r="AM72" i="32" s="1"/>
  <c r="AN72" i="32" s="1"/>
  <c r="I24" i="38"/>
  <c r="I25" i="38" s="1"/>
  <c r="J23" i="38"/>
  <c r="ER95" i="30"/>
  <c r="CP125" i="59"/>
  <c r="BM54" i="73" s="1"/>
  <c r="CM46" i="25"/>
  <c r="CR45" i="25"/>
  <c r="CM45" i="25"/>
  <c r="CC73" i="30"/>
  <c r="CC80" i="30" s="1"/>
  <c r="CC204" i="30"/>
  <c r="CC68" i="30"/>
  <c r="AS115" i="30"/>
  <c r="X52" i="59"/>
  <c r="S24" i="32"/>
  <c r="S25" i="32"/>
  <c r="AD124" i="30"/>
  <c r="AD131" i="30"/>
  <c r="AE442" i="23"/>
  <c r="AD395" i="23"/>
  <c r="BB15" i="31"/>
  <c r="K28" i="85"/>
  <c r="T18" i="20"/>
  <c r="BK30" i="59"/>
  <c r="H240" i="59"/>
  <c r="H245" i="59" s="1"/>
  <c r="AB67" i="30"/>
  <c r="AA202" i="30"/>
  <c r="CL211" i="30"/>
  <c r="BD49" i="59"/>
  <c r="DF116" i="30"/>
  <c r="DF114" i="30"/>
  <c r="CO172" i="59"/>
  <c r="N174" i="59"/>
  <c r="J92" i="73"/>
  <c r="E45" i="38"/>
  <c r="BW16" i="85"/>
  <c r="BW9" i="85"/>
  <c r="T75" i="85"/>
  <c r="T50" i="53"/>
  <c r="AG71" i="23"/>
  <c r="AG256" i="23"/>
  <c r="U49" i="53"/>
  <c r="AH12" i="23"/>
  <c r="AN96" i="25"/>
  <c r="Q45" i="38"/>
  <c r="R5" i="38"/>
  <c r="BM92" i="85"/>
  <c r="BH93" i="85"/>
  <c r="V136" i="85"/>
  <c r="CF59" i="30"/>
  <c r="CF64" i="30" s="1"/>
  <c r="CH193" i="30"/>
  <c r="CH59" i="30" s="1"/>
  <c r="CH64" i="30" s="1"/>
  <c r="E59" i="38"/>
  <c r="E78" i="38" s="1"/>
  <c r="CB183" i="59"/>
  <c r="CB182" i="59"/>
  <c r="AT56" i="59"/>
  <c r="AT57" i="59"/>
  <c r="CD43" i="25"/>
  <c r="AD386" i="23"/>
  <c r="AE433" i="23"/>
  <c r="BD72" i="85"/>
  <c r="BI72" i="85"/>
  <c r="CQ68" i="30"/>
  <c r="CQ203" i="30" s="1"/>
  <c r="CQ193" i="30" s="1"/>
  <c r="CQ59" i="30" s="1"/>
  <c r="CQ64" i="30" s="1"/>
  <c r="CG182" i="59"/>
  <c r="CG183" i="59"/>
  <c r="CL182" i="59"/>
  <c r="P26" i="25"/>
  <c r="Z72" i="30"/>
  <c r="P30" i="25" s="1"/>
  <c r="BH214" i="59"/>
  <c r="CJ172" i="85"/>
  <c r="CJ176" i="85"/>
  <c r="CJ178" i="85" s="1"/>
  <c r="BX117" i="30"/>
  <c r="DC72" i="25"/>
  <c r="BW281" i="59"/>
  <c r="BW273" i="59"/>
  <c r="BW267" i="59"/>
  <c r="CB268" i="59"/>
  <c r="E54" i="38"/>
  <c r="E76" i="38" s="1"/>
  <c r="BS25" i="20"/>
  <c r="BS115" i="20" s="1"/>
  <c r="AH40" i="33"/>
  <c r="N17" i="85"/>
  <c r="BL16" i="85"/>
  <c r="DV108" i="30"/>
  <c r="BY33" i="59"/>
  <c r="BT241" i="59"/>
  <c r="J241" i="59" s="1"/>
  <c r="BU241" i="59" s="1"/>
  <c r="J33" i="59"/>
  <c r="BT83" i="59"/>
  <c r="AF436" i="23"/>
  <c r="AE389" i="23"/>
  <c r="CK68" i="30"/>
  <c r="CK203" i="30" s="1"/>
  <c r="CK193" i="30" s="1"/>
  <c r="BK113" i="59"/>
  <c r="H114" i="59"/>
  <c r="BK114" i="59" s="1"/>
  <c r="CK32" i="25"/>
  <c r="CP31" i="25"/>
  <c r="CT68" i="85"/>
  <c r="F13" i="62"/>
  <c r="F57" i="62" s="1"/>
  <c r="P11" i="62"/>
  <c r="P13" i="62" s="1"/>
  <c r="P57" i="62" s="1"/>
  <c r="D75" i="38"/>
  <c r="BY179" i="59"/>
  <c r="BY181" i="59" s="1"/>
  <c r="N71" i="25"/>
  <c r="N68" i="25"/>
  <c r="N72" i="25"/>
  <c r="N70" i="25"/>
  <c r="O70" i="25"/>
  <c r="BV114" i="20"/>
  <c r="BU24" i="20"/>
  <c r="M41" i="33"/>
  <c r="L38" i="33"/>
  <c r="L39" i="33" s="1"/>
  <c r="AO218" i="30"/>
  <c r="AP31" i="30"/>
  <c r="CY75" i="25"/>
  <c r="DD74" i="25"/>
  <c r="DC73" i="25"/>
  <c r="CY74" i="25"/>
  <c r="AY34" i="85"/>
  <c r="AT34" i="85"/>
  <c r="AT35" i="85"/>
  <c r="CG57" i="59"/>
  <c r="CG56" i="59"/>
  <c r="CG305" i="59"/>
  <c r="T134" i="23"/>
  <c r="T148" i="23"/>
  <c r="T131" i="23"/>
  <c r="T137" i="23"/>
  <c r="N5" i="38"/>
  <c r="N45" i="38" s="1"/>
  <c r="M5" i="38"/>
  <c r="M45" i="38" s="1"/>
  <c r="M17" i="38"/>
  <c r="M49" i="38"/>
  <c r="M75" i="38" s="1"/>
  <c r="M15" i="38"/>
  <c r="M51" i="38"/>
  <c r="P11" i="25"/>
  <c r="P13" i="25"/>
  <c r="P14" i="25"/>
  <c r="CR67" i="30"/>
  <c r="AY55" i="59"/>
  <c r="DA117" i="30"/>
  <c r="DA119" i="30"/>
  <c r="AH190" i="31"/>
  <c r="CX179" i="59"/>
  <c r="CX181" i="59" s="1"/>
  <c r="CT157" i="59"/>
  <c r="Q165" i="59"/>
  <c r="Q197" i="59"/>
  <c r="CW198" i="59"/>
  <c r="CW206" i="59"/>
  <c r="AL128" i="30"/>
  <c r="V172" i="59"/>
  <c r="V174" i="59" s="1"/>
  <c r="W170" i="59"/>
  <c r="CX314" i="59"/>
  <c r="CX158" i="59"/>
  <c r="CX166" i="59"/>
  <c r="CX328" i="59"/>
  <c r="CX159" i="59"/>
  <c r="CX165" i="59"/>
  <c r="CX194" i="59" s="1"/>
  <c r="Q179" i="59"/>
  <c r="CT177" i="59"/>
  <c r="CP199" i="59"/>
  <c r="CY10" i="23"/>
  <c r="CP200" i="59"/>
  <c r="R150" i="59"/>
  <c r="AM127" i="30"/>
  <c r="S149" i="59"/>
  <c r="R157" i="59"/>
  <c r="CS198" i="59"/>
  <c r="CR200" i="59"/>
  <c r="DA10" i="23"/>
  <c r="CR199" i="59"/>
  <c r="CL18" i="23"/>
  <c r="P166" i="59"/>
  <c r="CA105" i="59"/>
  <c r="CA111" i="59" s="1"/>
  <c r="CA112" i="59"/>
  <c r="BU111" i="59"/>
  <c r="J114" i="59"/>
  <c r="CC112" i="59"/>
  <c r="CC105" i="59"/>
  <c r="CC111" i="59" s="1"/>
  <c r="BS116" i="59"/>
  <c r="V17" i="52"/>
  <c r="CB105" i="59"/>
  <c r="CB111" i="59" s="1"/>
  <c r="CB112" i="59"/>
  <c r="U11" i="52"/>
  <c r="CI85" i="59"/>
  <c r="CG85" i="59"/>
  <c r="CB83" i="59"/>
  <c r="BW79" i="59"/>
  <c r="BW84" i="59"/>
  <c r="DT143" i="30"/>
  <c r="BR81" i="59"/>
  <c r="BR80" i="59"/>
  <c r="BF44" i="23" l="1"/>
  <c r="BF40" i="23"/>
  <c r="AO19" i="30"/>
  <c r="AD15" i="25"/>
  <c r="AD11" i="25"/>
  <c r="AF12" i="25"/>
  <c r="AD14" i="25"/>
  <c r="AF16" i="25"/>
  <c r="AF18" i="25" s="1"/>
  <c r="AD18" i="25"/>
  <c r="AI195" i="30"/>
  <c r="CC87" i="73"/>
  <c r="CC88" i="73"/>
  <c r="CE88" i="73"/>
  <c r="CE87" i="73"/>
  <c r="AO18" i="30"/>
  <c r="AO20" i="30"/>
  <c r="I39" i="52"/>
  <c r="C274" i="60"/>
  <c r="D274" i="60" s="1"/>
  <c r="E274" i="60" s="1"/>
  <c r="F274" i="60" s="1"/>
  <c r="G274" i="60" s="1"/>
  <c r="H274" i="60" s="1"/>
  <c r="I274" i="60" s="1"/>
  <c r="J274" i="60" s="1"/>
  <c r="K274" i="60" s="1"/>
  <c r="L274" i="60" s="1"/>
  <c r="M274" i="60" s="1"/>
  <c r="N274" i="60" s="1"/>
  <c r="O274" i="60" s="1"/>
  <c r="P274" i="60" s="1"/>
  <c r="Q274" i="60" s="1"/>
  <c r="R274" i="60" s="1"/>
  <c r="S274" i="60" s="1"/>
  <c r="T274" i="60" s="1"/>
  <c r="U274" i="60" s="1"/>
  <c r="V274" i="60" s="1"/>
  <c r="W274" i="60" s="1"/>
  <c r="X274" i="60" s="1"/>
  <c r="Y274" i="60" s="1"/>
  <c r="Q90" i="20"/>
  <c r="R90" i="20" s="1"/>
  <c r="S90" i="20" s="1"/>
  <c r="T90" i="20" s="1"/>
  <c r="U90" i="20" s="1"/>
  <c r="V90" i="20" s="1"/>
  <c r="W90" i="20" s="1"/>
  <c r="X90" i="20" s="1"/>
  <c r="Y90" i="20" s="1"/>
  <c r="Z90" i="20" s="1"/>
  <c r="AA90" i="20" s="1"/>
  <c r="AB90" i="20" s="1"/>
  <c r="AC90" i="20" s="1"/>
  <c r="AD90" i="20" s="1"/>
  <c r="AE90" i="20" s="1"/>
  <c r="AF90" i="20" s="1"/>
  <c r="AG90" i="20" s="1"/>
  <c r="AH90" i="20" s="1"/>
  <c r="AI90" i="20" s="1"/>
  <c r="AJ90" i="20" s="1"/>
  <c r="AK90" i="20" s="1"/>
  <c r="AL90" i="20" s="1"/>
  <c r="AM90" i="20" s="1"/>
  <c r="AN90" i="20" s="1"/>
  <c r="C186" i="60"/>
  <c r="D186" i="60" s="1"/>
  <c r="E186" i="60" s="1"/>
  <c r="F186" i="60" s="1"/>
  <c r="G186" i="60" s="1"/>
  <c r="H186" i="60" s="1"/>
  <c r="I186" i="60" s="1"/>
  <c r="J186" i="60" s="1"/>
  <c r="K186" i="60" s="1"/>
  <c r="L186" i="60" s="1"/>
  <c r="M186" i="60" s="1"/>
  <c r="N186" i="60" s="1"/>
  <c r="O186" i="60" s="1"/>
  <c r="P186" i="60" s="1"/>
  <c r="Q186" i="60" s="1"/>
  <c r="R186" i="60" s="1"/>
  <c r="S186" i="60" s="1"/>
  <c r="T186" i="60" s="1"/>
  <c r="U186" i="60" s="1"/>
  <c r="V186" i="60" s="1"/>
  <c r="W186" i="60" s="1"/>
  <c r="X186" i="60" s="1"/>
  <c r="Y186" i="60" s="1"/>
  <c r="G68" i="53"/>
  <c r="F58" i="53"/>
  <c r="F60" i="53" s="1"/>
  <c r="E365" i="60"/>
  <c r="F365" i="60" s="1"/>
  <c r="G365" i="60" s="1"/>
  <c r="H365" i="60" s="1"/>
  <c r="I365" i="60" s="1"/>
  <c r="J365" i="60" s="1"/>
  <c r="K365" i="60" s="1"/>
  <c r="L365" i="60" s="1"/>
  <c r="M365" i="60" s="1"/>
  <c r="N365" i="60" s="1"/>
  <c r="O365" i="60" s="1"/>
  <c r="P365" i="60" s="1"/>
  <c r="Q365" i="60" s="1"/>
  <c r="R365" i="60" s="1"/>
  <c r="S365" i="60" s="1"/>
  <c r="T365" i="60" s="1"/>
  <c r="U365" i="60" s="1"/>
  <c r="V365" i="60" s="1"/>
  <c r="W365" i="60" s="1"/>
  <c r="X365" i="60" s="1"/>
  <c r="Y365" i="60" s="1"/>
  <c r="D369" i="60"/>
  <c r="O394" i="60"/>
  <c r="N398" i="60"/>
  <c r="N402" i="60"/>
  <c r="Q39" i="32"/>
  <c r="C98" i="60"/>
  <c r="D98" i="60" s="1"/>
  <c r="E98" i="60" s="1"/>
  <c r="F98" i="60" s="1"/>
  <c r="G98" i="60" s="1"/>
  <c r="H98" i="60" s="1"/>
  <c r="I98" i="60" s="1"/>
  <c r="J98" i="60" s="1"/>
  <c r="K98" i="60" s="1"/>
  <c r="L98" i="60" s="1"/>
  <c r="M98" i="60" s="1"/>
  <c r="N98" i="60" s="1"/>
  <c r="O98" i="60" s="1"/>
  <c r="P98" i="60" s="1"/>
  <c r="Q98" i="60" s="1"/>
  <c r="R98" i="60" s="1"/>
  <c r="S98" i="60" s="1"/>
  <c r="T98" i="60" s="1"/>
  <c r="U98" i="60" s="1"/>
  <c r="V98" i="60" s="1"/>
  <c r="W98" i="60" s="1"/>
  <c r="X98" i="60" s="1"/>
  <c r="Y98" i="60" s="1"/>
  <c r="O74" i="33"/>
  <c r="P74" i="33" s="1"/>
  <c r="Q74" i="33" s="1"/>
  <c r="R74" i="33" s="1"/>
  <c r="S74" i="33" s="1"/>
  <c r="T74" i="33" s="1"/>
  <c r="U74" i="33" s="1"/>
  <c r="V74" i="33" s="1"/>
  <c r="W74" i="33" s="1"/>
  <c r="X74" i="33" s="1"/>
  <c r="Y74" i="33" s="1"/>
  <c r="Z74" i="33" s="1"/>
  <c r="AA74" i="33" s="1"/>
  <c r="AB74" i="33" s="1"/>
  <c r="AC74" i="33" s="1"/>
  <c r="AD74" i="33" s="1"/>
  <c r="AE74" i="33" s="1"/>
  <c r="AF74" i="33" s="1"/>
  <c r="AG74" i="33" s="1"/>
  <c r="AH74" i="33" s="1"/>
  <c r="AI74" i="33" s="1"/>
  <c r="AJ74" i="33" s="1"/>
  <c r="AK74" i="33" s="1"/>
  <c r="AL74" i="33" s="1"/>
  <c r="C127" i="60"/>
  <c r="D127" i="60" s="1"/>
  <c r="E127" i="60" s="1"/>
  <c r="F127" i="60" s="1"/>
  <c r="G127" i="60" s="1"/>
  <c r="H127" i="60" s="1"/>
  <c r="I127" i="60" s="1"/>
  <c r="J127" i="60" s="1"/>
  <c r="K127" i="60" s="1"/>
  <c r="L127" i="60" s="1"/>
  <c r="M127" i="60" s="1"/>
  <c r="N127" i="60" s="1"/>
  <c r="O127" i="60" s="1"/>
  <c r="P127" i="60" s="1"/>
  <c r="Q127" i="60" s="1"/>
  <c r="R127" i="60" s="1"/>
  <c r="S127" i="60" s="1"/>
  <c r="T127" i="60" s="1"/>
  <c r="U127" i="60" s="1"/>
  <c r="V127" i="60" s="1"/>
  <c r="W127" i="60" s="1"/>
  <c r="X127" i="60" s="1"/>
  <c r="Y127" i="60" s="1"/>
  <c r="M65" i="31"/>
  <c r="N65" i="31" s="1"/>
  <c r="O65" i="31" s="1"/>
  <c r="P65" i="31" s="1"/>
  <c r="Q65" i="31" s="1"/>
  <c r="R65" i="31" s="1"/>
  <c r="S65" i="31" s="1"/>
  <c r="T65" i="31" s="1"/>
  <c r="U65" i="31" s="1"/>
  <c r="V65" i="31" s="1"/>
  <c r="W65" i="31" s="1"/>
  <c r="X65" i="31" s="1"/>
  <c r="Y65" i="31" s="1"/>
  <c r="Z65" i="31" s="1"/>
  <c r="AA65" i="31" s="1"/>
  <c r="AB65" i="31" s="1"/>
  <c r="AC65" i="31" s="1"/>
  <c r="AD65" i="31" s="1"/>
  <c r="AE65" i="31" s="1"/>
  <c r="AF65" i="31" s="1"/>
  <c r="AG65" i="31" s="1"/>
  <c r="AH65" i="31" s="1"/>
  <c r="AI65" i="31" s="1"/>
  <c r="AJ65" i="31" s="1"/>
  <c r="C68" i="60"/>
  <c r="D68" i="60" s="1"/>
  <c r="E68" i="60" s="1"/>
  <c r="F68" i="60" s="1"/>
  <c r="G68" i="60" s="1"/>
  <c r="H68" i="60" s="1"/>
  <c r="I68" i="60" s="1"/>
  <c r="J68" i="60" s="1"/>
  <c r="K68" i="60" s="1"/>
  <c r="L68" i="60" s="1"/>
  <c r="M68" i="60" s="1"/>
  <c r="N68" i="60" s="1"/>
  <c r="O68" i="60" s="1"/>
  <c r="P68" i="60" s="1"/>
  <c r="Q68" i="60" s="1"/>
  <c r="R68" i="60" s="1"/>
  <c r="S68" i="60" s="1"/>
  <c r="T68" i="60" s="1"/>
  <c r="U68" i="60" s="1"/>
  <c r="V68" i="60" s="1"/>
  <c r="W68" i="60" s="1"/>
  <c r="X68" i="60" s="1"/>
  <c r="Y68" i="60" s="1"/>
  <c r="C216" i="60"/>
  <c r="B220" i="60"/>
  <c r="B224" i="60"/>
  <c r="F104" i="38"/>
  <c r="G104" i="38" s="1"/>
  <c r="H104" i="38" s="1"/>
  <c r="I104" i="38" s="1"/>
  <c r="J104" i="38" s="1"/>
  <c r="K104" i="38" s="1"/>
  <c r="L104" i="38" s="1"/>
  <c r="M104" i="38" s="1"/>
  <c r="N104" i="38" s="1"/>
  <c r="O104" i="38" s="1"/>
  <c r="P104" i="38" s="1"/>
  <c r="Q104" i="38" s="1"/>
  <c r="R104" i="38" s="1"/>
  <c r="S104" i="38" s="1"/>
  <c r="T104" i="38" s="1"/>
  <c r="U104" i="38" s="1"/>
  <c r="V104" i="38" s="1"/>
  <c r="W104" i="38" s="1"/>
  <c r="X104" i="38" s="1"/>
  <c r="Y104" i="38" s="1"/>
  <c r="Z104" i="38" s="1"/>
  <c r="AA104" i="38" s="1"/>
  <c r="AB104" i="38" s="1"/>
  <c r="AC104" i="38" s="1"/>
  <c r="C156" i="60"/>
  <c r="D156" i="60" s="1"/>
  <c r="E156" i="60" s="1"/>
  <c r="F156" i="60" s="1"/>
  <c r="G156" i="60" s="1"/>
  <c r="H156" i="60" s="1"/>
  <c r="I156" i="60" s="1"/>
  <c r="J156" i="60" s="1"/>
  <c r="K156" i="60" s="1"/>
  <c r="L156" i="60" s="1"/>
  <c r="M156" i="60" s="1"/>
  <c r="N156" i="60" s="1"/>
  <c r="O156" i="60" s="1"/>
  <c r="P156" i="60" s="1"/>
  <c r="Q156" i="60" s="1"/>
  <c r="R156" i="60" s="1"/>
  <c r="S156" i="60" s="1"/>
  <c r="T156" i="60" s="1"/>
  <c r="U156" i="60" s="1"/>
  <c r="V156" i="60" s="1"/>
  <c r="W156" i="60" s="1"/>
  <c r="X156" i="60" s="1"/>
  <c r="Y156" i="60" s="1"/>
  <c r="I27" i="53"/>
  <c r="H17" i="53"/>
  <c r="H19" i="53" s="1"/>
  <c r="E340" i="60" s="1"/>
  <c r="AD234" i="23"/>
  <c r="DA384" i="23"/>
  <c r="DB384" i="23"/>
  <c r="CZ384" i="23"/>
  <c r="CY384" i="23"/>
  <c r="DC384" i="23" s="1"/>
  <c r="AC431" i="23"/>
  <c r="AA384" i="23"/>
  <c r="AG401" i="23"/>
  <c r="AH448" i="23"/>
  <c r="O154" i="30"/>
  <c r="AC191" i="31"/>
  <c r="AJ193" i="31"/>
  <c r="V18" i="52"/>
  <c r="DN110" i="30"/>
  <c r="CZ121" i="59"/>
  <c r="N110" i="73"/>
  <c r="V10" i="38"/>
  <c r="AD39" i="40"/>
  <c r="W10" i="38" s="1"/>
  <c r="X10" i="38" s="1"/>
  <c r="Y10" i="38" s="1"/>
  <c r="Z10" i="38" s="1"/>
  <c r="AA10" i="38" s="1"/>
  <c r="AB10" i="38" s="1"/>
  <c r="AC10" i="38" s="1"/>
  <c r="U37" i="38"/>
  <c r="S19" i="38"/>
  <c r="R21" i="38"/>
  <c r="T22" i="38"/>
  <c r="S43" i="38"/>
  <c r="Y36" i="31"/>
  <c r="Z36" i="31"/>
  <c r="BY36" i="31" s="1"/>
  <c r="E90" i="31"/>
  <c r="E25" i="31"/>
  <c r="H40" i="31"/>
  <c r="I39" i="31"/>
  <c r="H33" i="31"/>
  <c r="B12" i="59"/>
  <c r="Y91" i="30"/>
  <c r="B13" i="59" s="1"/>
  <c r="N142" i="30"/>
  <c r="N141" i="30"/>
  <c r="G24" i="31"/>
  <c r="G34" i="31"/>
  <c r="G31" i="31"/>
  <c r="E34" i="73"/>
  <c r="E35" i="73" s="1"/>
  <c r="E36" i="73" s="1"/>
  <c r="R87" i="31"/>
  <c r="AL272" i="23"/>
  <c r="AM223" i="23"/>
  <c r="ER208" i="30"/>
  <c r="ER198" i="30" s="1"/>
  <c r="EU208" i="30"/>
  <c r="EU198" i="30" s="1"/>
  <c r="CS203" i="59" s="1"/>
  <c r="CS204" i="59" s="1"/>
  <c r="CS214" i="59" s="1"/>
  <c r="ET208" i="30"/>
  <c r="ET198" i="30" s="1"/>
  <c r="CR203" i="59" s="1"/>
  <c r="CR204" i="59" s="1"/>
  <c r="ES208" i="30"/>
  <c r="ET209" i="30"/>
  <c r="DA22" i="23" s="1"/>
  <c r="DA61" i="23" s="1"/>
  <c r="L33" i="85"/>
  <c r="L35" i="85" s="1"/>
  <c r="L29" i="85"/>
  <c r="W51" i="25"/>
  <c r="BB28" i="85"/>
  <c r="S20" i="31"/>
  <c r="S28" i="31" s="1"/>
  <c r="W87" i="32"/>
  <c r="W83" i="32"/>
  <c r="W85" i="32"/>
  <c r="W7" i="32"/>
  <c r="W9" i="32" s="1"/>
  <c r="W86" i="32"/>
  <c r="W82" i="32"/>
  <c r="U17" i="32"/>
  <c r="L281" i="59"/>
  <c r="L292" i="59" s="1"/>
  <c r="AE159" i="20"/>
  <c r="BM46" i="73"/>
  <c r="U32" i="31"/>
  <c r="AZ32" i="31" s="1"/>
  <c r="D35" i="73"/>
  <c r="D36" i="73" s="1"/>
  <c r="AF123" i="30"/>
  <c r="AF131" i="30" s="1"/>
  <c r="F103" i="60"/>
  <c r="B76" i="63" s="1"/>
  <c r="L268" i="59"/>
  <c r="G82" i="73"/>
  <c r="L267" i="59"/>
  <c r="L270" i="59" s="1"/>
  <c r="M265" i="59"/>
  <c r="M268" i="59" s="1"/>
  <c r="Q39" i="38"/>
  <c r="Y8" i="32"/>
  <c r="E9" i="95"/>
  <c r="W120" i="73"/>
  <c r="W119" i="73"/>
  <c r="W117" i="73"/>
  <c r="X20" i="95"/>
  <c r="X23" i="95" s="1"/>
  <c r="X24" i="95" s="1"/>
  <c r="AC21" i="95"/>
  <c r="AI403" i="23"/>
  <c r="AN344" i="23"/>
  <c r="X17" i="38"/>
  <c r="W17" i="38"/>
  <c r="R401" i="60"/>
  <c r="J252" i="60"/>
  <c r="J255" i="60" s="1"/>
  <c r="I255" i="60"/>
  <c r="G74" i="63"/>
  <c r="L63" i="60"/>
  <c r="K177" i="59"/>
  <c r="K179" i="59" s="1"/>
  <c r="K181" i="59" s="1"/>
  <c r="CL212" i="59"/>
  <c r="BW113" i="59"/>
  <c r="BW105" i="59"/>
  <c r="CP297" i="59"/>
  <c r="BM50" i="73" s="1"/>
  <c r="BV107" i="59"/>
  <c r="EB196" i="30"/>
  <c r="BY113" i="59"/>
  <c r="BY105" i="59"/>
  <c r="EL196" i="30"/>
  <c r="BX113" i="59"/>
  <c r="BX105" i="59"/>
  <c r="CC213" i="59"/>
  <c r="O107" i="59"/>
  <c r="O113" i="59" s="1"/>
  <c r="M113" i="59"/>
  <c r="CJ113" i="59" s="1"/>
  <c r="CJ107" i="59"/>
  <c r="AE73" i="25"/>
  <c r="AC75" i="25"/>
  <c r="CE113" i="59"/>
  <c r="AC68" i="25"/>
  <c r="AC71" i="25"/>
  <c r="AE69" i="25"/>
  <c r="AC72" i="25"/>
  <c r="DO110" i="30"/>
  <c r="EG198" i="30"/>
  <c r="CJ23" i="23"/>
  <c r="CA213" i="59" s="1"/>
  <c r="BV203" i="59"/>
  <c r="BV204" i="59" s="1"/>
  <c r="AH198" i="30"/>
  <c r="J52" i="53"/>
  <c r="J54" i="53" s="1"/>
  <c r="J11" i="53"/>
  <c r="J13" i="53" s="1"/>
  <c r="DW198" i="30"/>
  <c r="J203" i="59"/>
  <c r="BU203" i="59" s="1"/>
  <c r="AF207" i="30"/>
  <c r="AG180" i="30"/>
  <c r="BX207" i="59"/>
  <c r="BX214" i="59"/>
  <c r="EB209" i="30"/>
  <c r="BT25" i="20"/>
  <c r="Z129" i="20"/>
  <c r="AB122" i="20"/>
  <c r="AA123" i="20"/>
  <c r="CO11" i="20"/>
  <c r="CO12" i="20" s="1"/>
  <c r="R16" i="20"/>
  <c r="CN16" i="20"/>
  <c r="Q19" i="20"/>
  <c r="Q136" i="20"/>
  <c r="Q11" i="20"/>
  <c r="Q18" i="20"/>
  <c r="CS17" i="20"/>
  <c r="CM12" i="20"/>
  <c r="CR12" i="20"/>
  <c r="G235" i="59"/>
  <c r="G237" i="59" s="1"/>
  <c r="G259" i="59" s="1"/>
  <c r="S20" i="20"/>
  <c r="CT17" i="20"/>
  <c r="CT16" i="20" s="1"/>
  <c r="S82" i="20"/>
  <c r="CU17" i="20"/>
  <c r="CU16" i="20" s="1"/>
  <c r="CU11" i="20" s="1"/>
  <c r="CU12" i="20" s="1"/>
  <c r="T17" i="20"/>
  <c r="CW17" i="20"/>
  <c r="CW16" i="20" s="1"/>
  <c r="CW11" i="20" s="1"/>
  <c r="CW12" i="20" s="1"/>
  <c r="CV17" i="20"/>
  <c r="CV16" i="20" s="1"/>
  <c r="CV11" i="20" s="1"/>
  <c r="CV12" i="20" s="1"/>
  <c r="CI16" i="20"/>
  <c r="P11" i="20"/>
  <c r="P136" i="20"/>
  <c r="T79" i="20"/>
  <c r="U79" i="20"/>
  <c r="DJ149" i="30"/>
  <c r="DJ154" i="30"/>
  <c r="CZ37" i="25"/>
  <c r="CZ82" i="25" s="1"/>
  <c r="W24" i="20"/>
  <c r="W78" i="20"/>
  <c r="W79" i="20" s="1"/>
  <c r="Y59" i="20"/>
  <c r="X74" i="20"/>
  <c r="X76" i="20" s="1"/>
  <c r="X60" i="20"/>
  <c r="X62" i="20" s="1"/>
  <c r="X61" i="20" s="1"/>
  <c r="CW23" i="20"/>
  <c r="CW113" i="20" s="1"/>
  <c r="BI27" i="20"/>
  <c r="DI147" i="30"/>
  <c r="R10" i="38"/>
  <c r="AB94" i="41"/>
  <c r="R28" i="38" s="1"/>
  <c r="Q59" i="38"/>
  <c r="Q78" i="38" s="1"/>
  <c r="Q36" i="38"/>
  <c r="AB96" i="41"/>
  <c r="AD89" i="41"/>
  <c r="AC92" i="41"/>
  <c r="AA96" i="41"/>
  <c r="AA97" i="41" s="1"/>
  <c r="DH380" i="23"/>
  <c r="W432" i="23"/>
  <c r="V385" i="23"/>
  <c r="Z383" i="23"/>
  <c r="AA430" i="23"/>
  <c r="U439" i="23"/>
  <c r="T392" i="23"/>
  <c r="DH400" i="23"/>
  <c r="AH393" i="23"/>
  <c r="AI440" i="23"/>
  <c r="U445" i="23"/>
  <c r="T398" i="23"/>
  <c r="DM386" i="23"/>
  <c r="AE391" i="23"/>
  <c r="AF438" i="23"/>
  <c r="AL404" i="23"/>
  <c r="AM451" i="23"/>
  <c r="DO391" i="23"/>
  <c r="DN391" i="23"/>
  <c r="DP391" i="23"/>
  <c r="DQ391" i="23"/>
  <c r="U426" i="23"/>
  <c r="T379" i="23"/>
  <c r="U434" i="23"/>
  <c r="T387" i="23"/>
  <c r="U425" i="23"/>
  <c r="T378" i="23"/>
  <c r="Z397" i="23"/>
  <c r="AA444" i="23"/>
  <c r="DG396" i="23"/>
  <c r="DD396" i="23"/>
  <c r="DE396" i="23"/>
  <c r="DF396" i="23"/>
  <c r="T394" i="23"/>
  <c r="U441" i="23"/>
  <c r="AD443" i="23"/>
  <c r="AC396" i="23"/>
  <c r="T377" i="23"/>
  <c r="U424" i="23"/>
  <c r="T415" i="23"/>
  <c r="U462" i="23"/>
  <c r="AE427" i="23"/>
  <c r="AD380" i="23"/>
  <c r="AE447" i="23"/>
  <c r="AD400" i="23"/>
  <c r="DP386" i="23"/>
  <c r="DN386" i="23"/>
  <c r="DQ386" i="23"/>
  <c r="DO386" i="23"/>
  <c r="AM375" i="23"/>
  <c r="AN422" i="23"/>
  <c r="AN375" i="23" s="1"/>
  <c r="U428" i="23"/>
  <c r="T381" i="23"/>
  <c r="DC396" i="23"/>
  <c r="DK380" i="23"/>
  <c r="DL380" i="23"/>
  <c r="DJ380" i="23"/>
  <c r="DI380" i="23"/>
  <c r="AH399" i="23"/>
  <c r="AI446" i="23"/>
  <c r="DJ400" i="23"/>
  <c r="DI400" i="23"/>
  <c r="DC376" i="23"/>
  <c r="DR389" i="23"/>
  <c r="DR388" i="23"/>
  <c r="AL345" i="23"/>
  <c r="AK323" i="23"/>
  <c r="DP395" i="23"/>
  <c r="DQ395" i="23"/>
  <c r="DO395" i="23"/>
  <c r="DN395" i="23"/>
  <c r="AC114" i="23"/>
  <c r="DP112" i="23"/>
  <c r="DN112" i="23"/>
  <c r="DO112" i="23"/>
  <c r="P294" i="60"/>
  <c r="W146" i="73"/>
  <c r="W144" i="73"/>
  <c r="AN163" i="23" s="1"/>
  <c r="W147" i="73"/>
  <c r="Y74" i="25"/>
  <c r="CE107" i="59"/>
  <c r="O27" i="52"/>
  <c r="N26" i="52"/>
  <c r="CL44" i="23"/>
  <c r="CL40" i="23"/>
  <c r="N11" i="53"/>
  <c r="N13" i="53" s="1"/>
  <c r="N203" i="59"/>
  <c r="N52" i="53"/>
  <c r="N54" i="53" s="1"/>
  <c r="EQ198" i="30"/>
  <c r="CK214" i="59"/>
  <c r="CK207" i="59"/>
  <c r="X70" i="25"/>
  <c r="Y70" i="25"/>
  <c r="S72" i="25"/>
  <c r="S93" i="25" s="1"/>
  <c r="CS73" i="25"/>
  <c r="S74" i="25"/>
  <c r="S75" i="25"/>
  <c r="T74" i="25"/>
  <c r="W74" i="25" s="1"/>
  <c r="BJ20" i="23"/>
  <c r="L250" i="23"/>
  <c r="L583" i="23"/>
  <c r="U23" i="52"/>
  <c r="AT209" i="30"/>
  <c r="AU206" i="30"/>
  <c r="AA9" i="95"/>
  <c r="AA23" i="95"/>
  <c r="AA24" i="95" s="1"/>
  <c r="DC271" i="59" s="1"/>
  <c r="V13" i="52"/>
  <c r="V9" i="52" s="1"/>
  <c r="V20" i="52"/>
  <c r="AO22" i="30" s="1"/>
  <c r="AO23" i="30" s="1"/>
  <c r="W6" i="52"/>
  <c r="CE85" i="73"/>
  <c r="AF8" i="95" s="1"/>
  <c r="BX88" i="73"/>
  <c r="BX87" i="73"/>
  <c r="BX85" i="73"/>
  <c r="Y8" i="95" s="1"/>
  <c r="CB85" i="73"/>
  <c r="AC8" i="95" s="1"/>
  <c r="AJ65" i="25"/>
  <c r="AC559" i="23"/>
  <c r="AK64" i="25"/>
  <c r="G80" i="20"/>
  <c r="BU25" i="20"/>
  <c r="BU27" i="20" s="1"/>
  <c r="BU28" i="20" s="1"/>
  <c r="BU113" i="20"/>
  <c r="BU21" i="20"/>
  <c r="AA75" i="20"/>
  <c r="AC72" i="20"/>
  <c r="AC23" i="20" s="1"/>
  <c r="M78" i="20"/>
  <c r="O72" i="20"/>
  <c r="O23" i="20" s="1"/>
  <c r="CA25" i="20"/>
  <c r="CA24" i="20"/>
  <c r="CA23" i="20"/>
  <c r="CA116" i="20"/>
  <c r="CA21" i="20"/>
  <c r="CF21" i="20"/>
  <c r="I26" i="20"/>
  <c r="I116" i="20" s="1"/>
  <c r="I113" i="20"/>
  <c r="AY23" i="20"/>
  <c r="L78" i="20"/>
  <c r="N72" i="20"/>
  <c r="N23" i="20" s="1"/>
  <c r="L72" i="20"/>
  <c r="L23" i="20" s="1"/>
  <c r="M72" i="20"/>
  <c r="M23" i="20" s="1"/>
  <c r="P113" i="20"/>
  <c r="CH23" i="20"/>
  <c r="CH113" i="20" s="1"/>
  <c r="P26" i="20"/>
  <c r="J116" i="20"/>
  <c r="BD26" i="20"/>
  <c r="BD116" i="20" s="1"/>
  <c r="BZ24" i="20"/>
  <c r="BZ116" i="20"/>
  <c r="BZ25" i="20"/>
  <c r="BZ21" i="20"/>
  <c r="CE21" i="20"/>
  <c r="BZ23" i="20"/>
  <c r="F78" i="20"/>
  <c r="G79" i="20" s="1"/>
  <c r="H72" i="20"/>
  <c r="H23" i="20" s="1"/>
  <c r="N79" i="20"/>
  <c r="O79" i="20"/>
  <c r="N80" i="20"/>
  <c r="BD113" i="20"/>
  <c r="BY16" i="20"/>
  <c r="BX11" i="20"/>
  <c r="BX18" i="20"/>
  <c r="AD71" i="20"/>
  <c r="AE70" i="20"/>
  <c r="D66" i="20"/>
  <c r="E71" i="20"/>
  <c r="S31" i="38"/>
  <c r="AC95" i="41"/>
  <c r="AC86" i="41"/>
  <c r="AD74" i="41"/>
  <c r="Z97" i="41"/>
  <c r="X34" i="95"/>
  <c r="AC34" i="95"/>
  <c r="AF34" i="95"/>
  <c r="AE34" i="95"/>
  <c r="AD34" i="95"/>
  <c r="DC89" i="85"/>
  <c r="DC104" i="85" s="1"/>
  <c r="CX104" i="85"/>
  <c r="Z20" i="95"/>
  <c r="Z21" i="95" s="1"/>
  <c r="AE21" i="95"/>
  <c r="AE24" i="95"/>
  <c r="DG271" i="59" s="1"/>
  <c r="Z72" i="23"/>
  <c r="W73" i="23"/>
  <c r="AI260" i="23"/>
  <c r="Z12" i="56"/>
  <c r="AJ43" i="23"/>
  <c r="AI230" i="23"/>
  <c r="AN20" i="30"/>
  <c r="V74" i="85"/>
  <c r="DC74" i="85"/>
  <c r="W74" i="85" s="1"/>
  <c r="AC130" i="85"/>
  <c r="BX97" i="30"/>
  <c r="BX94" i="30"/>
  <c r="BN127" i="30"/>
  <c r="BN131" i="30"/>
  <c r="BN124" i="30"/>
  <c r="BM138" i="30"/>
  <c r="BM139" i="30"/>
  <c r="BM140" i="30"/>
  <c r="BR137" i="30"/>
  <c r="BN137" i="30"/>
  <c r="BS98" i="30"/>
  <c r="BS119" i="30"/>
  <c r="CO22" i="23"/>
  <c r="CO61" i="23" s="1"/>
  <c r="EL209" i="30"/>
  <c r="BW103" i="30"/>
  <c r="BW98" i="30"/>
  <c r="BW119" i="30"/>
  <c r="BR103" i="30"/>
  <c r="BS101" i="30"/>
  <c r="BS103" i="30" s="1"/>
  <c r="BR98" i="30"/>
  <c r="BR119" i="30"/>
  <c r="CF203" i="59"/>
  <c r="CF204" i="59" s="1"/>
  <c r="AJ198" i="30"/>
  <c r="BN103" i="30"/>
  <c r="BN104" i="30" s="1"/>
  <c r="BN102" i="30"/>
  <c r="CT42" i="25"/>
  <c r="CT39" i="25"/>
  <c r="CT41" i="25"/>
  <c r="CX40" i="25"/>
  <c r="CL93" i="30"/>
  <c r="CB123" i="30"/>
  <c r="CG93" i="30"/>
  <c r="CC93" i="30"/>
  <c r="CB97" i="30"/>
  <c r="BM128" i="30"/>
  <c r="BM130" i="30"/>
  <c r="BN98" i="30"/>
  <c r="BN119" i="30"/>
  <c r="DH158" i="30"/>
  <c r="CT44" i="25"/>
  <c r="CT43" i="25" s="1"/>
  <c r="AP191" i="59"/>
  <c r="CM80" i="25"/>
  <c r="BW127" i="30"/>
  <c r="BW124" i="30"/>
  <c r="BR147" i="30"/>
  <c r="BS123" i="30"/>
  <c r="BR127" i="30"/>
  <c r="BR131" i="30"/>
  <c r="AE75" i="25"/>
  <c r="AD690" i="23"/>
  <c r="EW93" i="30"/>
  <c r="EW94" i="30" s="1"/>
  <c r="CU122" i="59"/>
  <c r="EW95" i="30" s="1"/>
  <c r="EW96" i="30" s="1"/>
  <c r="BP165" i="59"/>
  <c r="J166" i="59"/>
  <c r="I167" i="59"/>
  <c r="Q166" i="59"/>
  <c r="BP234" i="59"/>
  <c r="BP224" i="59"/>
  <c r="CD294" i="59"/>
  <c r="CR293" i="59"/>
  <c r="CP293" i="59"/>
  <c r="CQ293" i="59"/>
  <c r="CB294" i="59"/>
  <c r="CC294" i="59"/>
  <c r="CA294" i="59"/>
  <c r="C146" i="59"/>
  <c r="CE242" i="59"/>
  <c r="ER96" i="30"/>
  <c r="BQ14" i="31"/>
  <c r="DA12" i="59"/>
  <c r="DA49" i="59"/>
  <c r="T8" i="31"/>
  <c r="S99" i="31"/>
  <c r="S103" i="31" s="1"/>
  <c r="S104" i="31" s="1"/>
  <c r="S93" i="31"/>
  <c r="BP242" i="59"/>
  <c r="H260" i="59"/>
  <c r="AI190" i="31"/>
  <c r="CD105" i="59"/>
  <c r="CD111" i="59" s="1"/>
  <c r="CD112" i="59"/>
  <c r="CE112" i="59" s="1"/>
  <c r="AJ66" i="25"/>
  <c r="AJ67" i="25" s="1"/>
  <c r="Y34" i="95"/>
  <c r="Q35" i="95"/>
  <c r="P41" i="95"/>
  <c r="P42" i="95" s="1"/>
  <c r="L18" i="95"/>
  <c r="D53" i="95"/>
  <c r="D54" i="95" s="1"/>
  <c r="D24" i="95"/>
  <c r="G83" i="73" s="1"/>
  <c r="E23" i="95"/>
  <c r="CQ279" i="59"/>
  <c r="CW18" i="23"/>
  <c r="CL102" i="85"/>
  <c r="CL104" i="85"/>
  <c r="CQ89" i="85"/>
  <c r="BN11" i="85"/>
  <c r="BS92" i="85"/>
  <c r="BN24" i="85"/>
  <c r="BI39" i="85"/>
  <c r="DD10" i="23"/>
  <c r="CU200" i="59"/>
  <c r="BB16" i="31"/>
  <c r="K149" i="30"/>
  <c r="C37" i="25"/>
  <c r="E148" i="30"/>
  <c r="E154" i="30"/>
  <c r="C40" i="25" s="1"/>
  <c r="F90" i="31"/>
  <c r="G25" i="31"/>
  <c r="F25" i="31"/>
  <c r="F147" i="30"/>
  <c r="F119" i="30"/>
  <c r="AK457" i="23"/>
  <c r="AJ410" i="23"/>
  <c r="CV17" i="23"/>
  <c r="CV18" i="23" s="1"/>
  <c r="CV14" i="23"/>
  <c r="R39" i="38"/>
  <c r="M40" i="25"/>
  <c r="M41" i="25" s="1"/>
  <c r="O158" i="30"/>
  <c r="M44" i="25" s="1"/>
  <c r="M46" i="25" s="1"/>
  <c r="M77" i="25"/>
  <c r="M38" i="25"/>
  <c r="CI182" i="59"/>
  <c r="J183" i="59"/>
  <c r="M172" i="59"/>
  <c r="M174" i="59" s="1"/>
  <c r="CM6" i="23"/>
  <c r="CR6" i="23"/>
  <c r="U242" i="30"/>
  <c r="T125" i="73"/>
  <c r="S126" i="73"/>
  <c r="S127" i="73"/>
  <c r="S124" i="73"/>
  <c r="CS276" i="59"/>
  <c r="CS278" i="59"/>
  <c r="CS279" i="59" s="1"/>
  <c r="CP279" i="59"/>
  <c r="DO123" i="30"/>
  <c r="DO126" i="30"/>
  <c r="DJ110" i="30"/>
  <c r="CZ35" i="25"/>
  <c r="DJ148" i="30"/>
  <c r="CR286" i="59"/>
  <c r="CR278" i="59"/>
  <c r="BM187" i="59"/>
  <c r="BM210" i="59" s="1"/>
  <c r="DE79" i="25"/>
  <c r="AA74" i="25"/>
  <c r="AA75" i="25"/>
  <c r="CM276" i="59"/>
  <c r="CM278" i="59"/>
  <c r="BU174" i="59"/>
  <c r="J202" i="59"/>
  <c r="AA68" i="25"/>
  <c r="AA70" i="25"/>
  <c r="AA72" i="25"/>
  <c r="AA71" i="25"/>
  <c r="CG276" i="59"/>
  <c r="BP42" i="31"/>
  <c r="B36" i="59"/>
  <c r="CL60" i="85"/>
  <c r="CG63" i="85"/>
  <c r="Q105" i="73"/>
  <c r="Q103" i="73"/>
  <c r="AA112" i="85" s="1"/>
  <c r="R104" i="73"/>
  <c r="Q106" i="73"/>
  <c r="V100" i="31"/>
  <c r="U102" i="31"/>
  <c r="AB101" i="31"/>
  <c r="K107" i="31"/>
  <c r="K108" i="31" s="1"/>
  <c r="K135" i="31"/>
  <c r="K112" i="31" s="1"/>
  <c r="K128" i="31"/>
  <c r="K129" i="31" s="1"/>
  <c r="K130" i="31" s="1"/>
  <c r="L102" i="31"/>
  <c r="L103" i="31" s="1"/>
  <c r="M101" i="31"/>
  <c r="K113" i="31"/>
  <c r="K114" i="31" s="1"/>
  <c r="K104" i="31"/>
  <c r="P127" i="31"/>
  <c r="M134" i="31"/>
  <c r="L133" i="31"/>
  <c r="W13" i="23"/>
  <c r="CX10" i="23"/>
  <c r="CT17" i="23"/>
  <c r="CT18" i="23" s="1"/>
  <c r="CT14" i="23"/>
  <c r="CU14" i="23"/>
  <c r="CU17" i="23"/>
  <c r="CU18" i="23" s="1"/>
  <c r="W233" i="59"/>
  <c r="X24" i="59"/>
  <c r="M177" i="59"/>
  <c r="M179" i="59" s="1"/>
  <c r="M181" i="59" s="1"/>
  <c r="BI47" i="73"/>
  <c r="BI49" i="73" s="1"/>
  <c r="EN93" i="30"/>
  <c r="EN94" i="30" s="1"/>
  <c r="CL122" i="59"/>
  <c r="CL296" i="59"/>
  <c r="CL297" i="59" s="1"/>
  <c r="BI50" i="73" s="1"/>
  <c r="CQ121" i="59"/>
  <c r="CG125" i="59"/>
  <c r="EI95" i="30"/>
  <c r="EI96" i="30" s="1"/>
  <c r="CY6" i="23"/>
  <c r="DD6" i="23"/>
  <c r="EW86" i="30"/>
  <c r="CU49" i="59"/>
  <c r="CZ50" i="59" s="1"/>
  <c r="CU12" i="59"/>
  <c r="CZ13" i="59" s="1"/>
  <c r="BK14" i="31"/>
  <c r="BK15" i="31" s="1"/>
  <c r="CK305" i="59"/>
  <c r="CK57" i="59"/>
  <c r="CK319" i="59"/>
  <c r="CK56" i="59"/>
  <c r="ER90" i="30"/>
  <c r="ER91" i="30" s="1"/>
  <c r="ER87" i="30"/>
  <c r="CP219" i="59"/>
  <c r="CP290" i="59" s="1"/>
  <c r="CP13" i="59"/>
  <c r="BF42" i="31"/>
  <c r="BF43" i="31" s="1"/>
  <c r="CP55" i="59"/>
  <c r="CP319" i="59" s="1"/>
  <c r="CP50" i="59"/>
  <c r="BJ47" i="73"/>
  <c r="BJ48" i="73" s="1"/>
  <c r="EO93" i="30"/>
  <c r="EO94" i="30" s="1"/>
  <c r="CM122" i="59"/>
  <c r="CR121" i="59"/>
  <c r="CM296" i="59"/>
  <c r="CM297" i="59" s="1"/>
  <c r="EJ95" i="30"/>
  <c r="EJ96" i="30" s="1"/>
  <c r="CH125" i="59"/>
  <c r="CK34" i="23"/>
  <c r="CB213" i="59"/>
  <c r="CN182" i="59"/>
  <c r="CZ13" i="23"/>
  <c r="CZ7" i="23"/>
  <c r="AI66" i="25"/>
  <c r="AH67" i="25"/>
  <c r="AB71" i="59"/>
  <c r="BT224" i="59"/>
  <c r="J224" i="59" s="1"/>
  <c r="BG36" i="23"/>
  <c r="BI37" i="23"/>
  <c r="BJ37" i="23" s="1"/>
  <c r="BG50" i="23"/>
  <c r="BG52" i="23" s="1"/>
  <c r="BG55" i="23" s="1"/>
  <c r="BG58" i="23"/>
  <c r="BG60" i="23"/>
  <c r="BG87" i="23"/>
  <c r="BG89" i="23"/>
  <c r="BG91" i="23" s="1"/>
  <c r="BF60" i="23"/>
  <c r="BF50" i="23"/>
  <c r="BF52" i="23" s="1"/>
  <c r="BF55" i="23" s="1"/>
  <c r="BF58" i="23"/>
  <c r="BF87" i="23"/>
  <c r="BF89" i="23"/>
  <c r="BF91" i="23" s="1"/>
  <c r="BG671" i="23"/>
  <c r="BG670" i="23"/>
  <c r="BF665" i="23"/>
  <c r="BF666" i="23" s="1"/>
  <c r="BF667" i="23" s="1"/>
  <c r="BF669" i="23" s="1"/>
  <c r="BF671" i="23"/>
  <c r="BF670" i="23"/>
  <c r="AL282" i="23"/>
  <c r="AK689" i="23"/>
  <c r="AB32" i="85"/>
  <c r="AP57" i="25" s="1"/>
  <c r="AT179" i="30" s="1"/>
  <c r="AT180" i="30" s="1"/>
  <c r="AU207" i="30"/>
  <c r="AV156" i="30"/>
  <c r="AU205" i="30"/>
  <c r="Q66" i="38"/>
  <c r="Q81" i="38" s="1"/>
  <c r="Q38" i="38"/>
  <c r="R30" i="38"/>
  <c r="AH151" i="23"/>
  <c r="AH165" i="23"/>
  <c r="AH171" i="23" s="1"/>
  <c r="AH113" i="23" s="1"/>
  <c r="AH11" i="25"/>
  <c r="AH14" i="25"/>
  <c r="AH15" i="25"/>
  <c r="CK126" i="30"/>
  <c r="CK127" i="30"/>
  <c r="AN15" i="59"/>
  <c r="AN27" i="59" s="1"/>
  <c r="AN45" i="59" s="1"/>
  <c r="CP104" i="30"/>
  <c r="CF126" i="30"/>
  <c r="CF127" i="30"/>
  <c r="CP125" i="30"/>
  <c r="CP96" i="30"/>
  <c r="AN122" i="59"/>
  <c r="AN123" i="59" s="1"/>
  <c r="AN131" i="59" s="1"/>
  <c r="AN145" i="59" s="1"/>
  <c r="CU95" i="30"/>
  <c r="Z114" i="23"/>
  <c r="DL112" i="23"/>
  <c r="DL115" i="23" s="1"/>
  <c r="DL117" i="23" s="1"/>
  <c r="DL123" i="23" s="1"/>
  <c r="DL48" i="23" s="1"/>
  <c r="L90" i="31"/>
  <c r="L25" i="31"/>
  <c r="U90" i="30"/>
  <c r="U87" i="30"/>
  <c r="Z86" i="30"/>
  <c r="V86" i="30"/>
  <c r="CH86" i="30"/>
  <c r="K34" i="31"/>
  <c r="L46" i="31"/>
  <c r="L52" i="31"/>
  <c r="L15" i="31"/>
  <c r="X86" i="30"/>
  <c r="L96" i="31"/>
  <c r="X239" i="30"/>
  <c r="L37" i="31"/>
  <c r="AA239" i="30"/>
  <c r="AA242" i="30" s="1"/>
  <c r="L31" i="31"/>
  <c r="L33" i="31" s="1"/>
  <c r="M95" i="31"/>
  <c r="M14" i="31"/>
  <c r="N11" i="31"/>
  <c r="M23" i="31"/>
  <c r="M24" i="31" s="1"/>
  <c r="BF16" i="31"/>
  <c r="CH276" i="59"/>
  <c r="V13" i="32"/>
  <c r="V14" i="32" s="1"/>
  <c r="V16" i="32"/>
  <c r="V10" i="32"/>
  <c r="V88" i="32"/>
  <c r="V20" i="32"/>
  <c r="AG93" i="30"/>
  <c r="L274" i="59"/>
  <c r="L275" i="59" s="1"/>
  <c r="L269" i="59"/>
  <c r="X87" i="32"/>
  <c r="X83" i="32"/>
  <c r="X82" i="32"/>
  <c r="X85" i="32"/>
  <c r="X84" i="32"/>
  <c r="X7" i="32"/>
  <c r="X86" i="32"/>
  <c r="BA32" i="31"/>
  <c r="V32" i="31" s="1"/>
  <c r="BE32" i="31" s="1"/>
  <c r="BA16" i="31"/>
  <c r="V12" i="31"/>
  <c r="CQ286" i="59"/>
  <c r="CQ276" i="59"/>
  <c r="CS293" i="59"/>
  <c r="CN294" i="59"/>
  <c r="CN293" i="59"/>
  <c r="CR276" i="59"/>
  <c r="CT273" i="59"/>
  <c r="CT275" i="59" s="1"/>
  <c r="Q275" i="59"/>
  <c r="Q284" i="59"/>
  <c r="Q188" i="59"/>
  <c r="P62" i="38"/>
  <c r="P79" i="38" s="1"/>
  <c r="P39" i="38"/>
  <c r="CT281" i="59"/>
  <c r="Q285" i="59"/>
  <c r="CF294" i="59"/>
  <c r="CF293" i="59"/>
  <c r="CI276" i="59"/>
  <c r="Q242" i="59"/>
  <c r="U24" i="32"/>
  <c r="CK290" i="59"/>
  <c r="CK276" i="59"/>
  <c r="CF220" i="59"/>
  <c r="M220" i="59" s="1"/>
  <c r="M242" i="59"/>
  <c r="M273" i="59"/>
  <c r="AL293" i="23"/>
  <c r="CI294" i="59"/>
  <c r="CI293" i="59"/>
  <c r="CX111" i="85"/>
  <c r="CY111" i="85" s="1"/>
  <c r="Q294" i="59"/>
  <c r="CT294" i="59" s="1"/>
  <c r="CF286" i="59"/>
  <c r="CF290" i="59"/>
  <c r="CF276" i="59"/>
  <c r="CH286" i="59"/>
  <c r="M266" i="59"/>
  <c r="E21" i="95"/>
  <c r="T32" i="31"/>
  <c r="AU32" i="31" s="1"/>
  <c r="CM294" i="59"/>
  <c r="CR295" i="59" s="1"/>
  <c r="CM293" i="59"/>
  <c r="DR93" i="30"/>
  <c r="DQ94" i="30"/>
  <c r="BO121" i="59"/>
  <c r="BP121" i="59" s="1"/>
  <c r="CK220" i="59"/>
  <c r="N220" i="59" s="1"/>
  <c r="N242" i="59"/>
  <c r="CP286" i="59"/>
  <c r="CP276" i="59"/>
  <c r="CB290" i="59"/>
  <c r="CG291" i="59" s="1"/>
  <c r="CB286" i="59"/>
  <c r="X21" i="95"/>
  <c r="CM286" i="59"/>
  <c r="CH293" i="59"/>
  <c r="CH294" i="59"/>
  <c r="CV119" i="85"/>
  <c r="CV120" i="85"/>
  <c r="CV131" i="85" s="1"/>
  <c r="CV114" i="85"/>
  <c r="CG286" i="59"/>
  <c r="CK297" i="59"/>
  <c r="BH50" i="73" s="1"/>
  <c r="CA290" i="59"/>
  <c r="CA286" i="59"/>
  <c r="BJ13" i="31"/>
  <c r="V117" i="73"/>
  <c r="V119" i="73"/>
  <c r="V120" i="73"/>
  <c r="CS286" i="59"/>
  <c r="I124" i="59"/>
  <c r="CK286" i="59"/>
  <c r="V144" i="73"/>
  <c r="AM163" i="23" s="1"/>
  <c r="V146" i="73"/>
  <c r="V147" i="73"/>
  <c r="CG294" i="59"/>
  <c r="CG293" i="59"/>
  <c r="W12" i="31"/>
  <c r="BF32" i="31"/>
  <c r="W32" i="31" s="1"/>
  <c r="BJ32" i="31" s="1"/>
  <c r="CL286" i="59"/>
  <c r="CL276" i="59"/>
  <c r="CN276" i="59"/>
  <c r="CN286" i="59"/>
  <c r="O62" i="38"/>
  <c r="O79" i="38" s="1"/>
  <c r="O39" i="38"/>
  <c r="CW113" i="85"/>
  <c r="CW149" i="85" s="1"/>
  <c r="Q220" i="59"/>
  <c r="CT220" i="59" s="1"/>
  <c r="CL293" i="59"/>
  <c r="CL294" i="59"/>
  <c r="CQ295" i="59" s="1"/>
  <c r="CK294" i="59"/>
  <c r="CK293" i="59"/>
  <c r="DM395" i="23"/>
  <c r="AI354" i="23"/>
  <c r="AI409" i="23" s="1"/>
  <c r="AK353" i="23"/>
  <c r="AL408" i="23" s="1"/>
  <c r="AJ348" i="23"/>
  <c r="BH163" i="30"/>
  <c r="BH154" i="30"/>
  <c r="BH195" i="30"/>
  <c r="BH199" i="30" s="1"/>
  <c r="BH211" i="30" s="1"/>
  <c r="L77" i="25"/>
  <c r="L36" i="25"/>
  <c r="L38" i="25"/>
  <c r="M36" i="25"/>
  <c r="BG199" i="30"/>
  <c r="BG211" i="30" s="1"/>
  <c r="L39" i="25"/>
  <c r="L42" i="25"/>
  <c r="L43" i="25"/>
  <c r="L46" i="25"/>
  <c r="BA42" i="25"/>
  <c r="BA39" i="25"/>
  <c r="BA43" i="25"/>
  <c r="BG158" i="30"/>
  <c r="BB44" i="25" s="1"/>
  <c r="BB46" i="25" s="1"/>
  <c r="BB40" i="25"/>
  <c r="BI154" i="30"/>
  <c r="BI163" i="30"/>
  <c r="BI195" i="30"/>
  <c r="BI199" i="30" s="1"/>
  <c r="BI211" i="30" s="1"/>
  <c r="AG11" i="25"/>
  <c r="AG13" i="25"/>
  <c r="AG14" i="25"/>
  <c r="AG15" i="25"/>
  <c r="AH13" i="25"/>
  <c r="ED105" i="30"/>
  <c r="ED106" i="30" s="1"/>
  <c r="CB234" i="59"/>
  <c r="CB31" i="59"/>
  <c r="AR84" i="25"/>
  <c r="AC196" i="59"/>
  <c r="EE105" i="30"/>
  <c r="EE106" i="30" s="1"/>
  <c r="CC234" i="59"/>
  <c r="CC31" i="59"/>
  <c r="BL244" i="59"/>
  <c r="BL246" i="59" s="1"/>
  <c r="BO240" i="59"/>
  <c r="I240" i="59" s="1"/>
  <c r="AF146" i="30"/>
  <c r="AG18" i="25"/>
  <c r="AH17" i="25"/>
  <c r="BQ79" i="59"/>
  <c r="DS146" i="30"/>
  <c r="BQ84" i="59"/>
  <c r="BV30" i="59"/>
  <c r="CA33" i="59"/>
  <c r="BV241" i="59"/>
  <c r="BV224" i="59" s="1"/>
  <c r="BV83" i="59"/>
  <c r="DX108" i="30"/>
  <c r="BL81" i="59"/>
  <c r="BL80" i="59"/>
  <c r="CH30" i="59"/>
  <c r="CH241" i="59"/>
  <c r="CH224" i="59" s="1"/>
  <c r="EJ108" i="30"/>
  <c r="CM33" i="59"/>
  <c r="CH83" i="59"/>
  <c r="BQ240" i="59"/>
  <c r="BQ31" i="59"/>
  <c r="DS105" i="30"/>
  <c r="DS106" i="30" s="1"/>
  <c r="CL33" i="59"/>
  <c r="EI108" i="30"/>
  <c r="CG30" i="59"/>
  <c r="CG241" i="59"/>
  <c r="CG224" i="59" s="1"/>
  <c r="BL191" i="59"/>
  <c r="BQ192" i="59" s="1"/>
  <c r="BU5" i="23"/>
  <c r="AE18" i="25"/>
  <c r="AB75" i="25"/>
  <c r="AB74" i="25"/>
  <c r="AC74" i="25"/>
  <c r="AE15" i="25"/>
  <c r="AF13" i="25"/>
  <c r="AE14" i="25"/>
  <c r="AE11" i="25"/>
  <c r="BX81" i="59"/>
  <c r="BX80" i="59"/>
  <c r="AC70" i="25"/>
  <c r="AB70" i="25"/>
  <c r="AB71" i="25"/>
  <c r="AB72" i="25"/>
  <c r="CV200" i="59"/>
  <c r="DE10" i="23"/>
  <c r="CV199" i="59"/>
  <c r="BP181" i="59"/>
  <c r="J182" i="59"/>
  <c r="I183" i="59"/>
  <c r="I182" i="59"/>
  <c r="CC79" i="59"/>
  <c r="CC84" i="59"/>
  <c r="I166" i="59"/>
  <c r="BK165" i="59"/>
  <c r="H167" i="59"/>
  <c r="AW46" i="59"/>
  <c r="AW210" i="59"/>
  <c r="BB46" i="59"/>
  <c r="AX192" i="59"/>
  <c r="AS192" i="59"/>
  <c r="R75" i="85"/>
  <c r="Q56" i="85"/>
  <c r="Q57" i="85" s="1"/>
  <c r="CH16" i="85"/>
  <c r="CH9" i="85"/>
  <c r="CM8" i="85"/>
  <c r="CR68" i="85"/>
  <c r="CO89" i="85"/>
  <c r="CJ104" i="85"/>
  <c r="CJ98" i="85"/>
  <c r="CE102" i="85"/>
  <c r="R98" i="85"/>
  <c r="CE101" i="85"/>
  <c r="BQ8" i="85"/>
  <c r="O68" i="85"/>
  <c r="O69" i="85" s="1"/>
  <c r="O9" i="85"/>
  <c r="O81" i="85"/>
  <c r="P54" i="85"/>
  <c r="P55" i="85" s="1"/>
  <c r="P53" i="85"/>
  <c r="CH84" i="85"/>
  <c r="CC101" i="85"/>
  <c r="R84" i="85"/>
  <c r="R87" i="85" s="1"/>
  <c r="BJ93" i="85"/>
  <c r="BO92" i="85"/>
  <c r="CI65" i="85"/>
  <c r="R65" i="85"/>
  <c r="CD63" i="85"/>
  <c r="BK18" i="85"/>
  <c r="N18" i="85" s="1"/>
  <c r="BK105" i="85"/>
  <c r="BK12" i="85"/>
  <c r="BK95" i="85"/>
  <c r="BK96" i="85" s="1"/>
  <c r="BK13" i="85"/>
  <c r="N11" i="85"/>
  <c r="CE16" i="85"/>
  <c r="CE9" i="85"/>
  <c r="Q50" i="85"/>
  <c r="Q51" i="85" s="1"/>
  <c r="Q61" i="85"/>
  <c r="Q62" i="85"/>
  <c r="Q77" i="85"/>
  <c r="CD101" i="85"/>
  <c r="CI84" i="85"/>
  <c r="CH60" i="85"/>
  <c r="CC63" i="85"/>
  <c r="R60" i="85"/>
  <c r="BT16" i="85"/>
  <c r="P16" i="85" s="1"/>
  <c r="BT9" i="85"/>
  <c r="P8" i="85"/>
  <c r="BJ25" i="85"/>
  <c r="BJ21" i="85"/>
  <c r="R90" i="85"/>
  <c r="R104" i="85"/>
  <c r="BE21" i="85"/>
  <c r="BE25" i="85"/>
  <c r="BF24" i="85"/>
  <c r="BF39" i="85" s="1"/>
  <c r="BF26" i="85"/>
  <c r="CQ84" i="85"/>
  <c r="CL101" i="85"/>
  <c r="O17" i="85"/>
  <c r="BQ16" i="85"/>
  <c r="CO65" i="85"/>
  <c r="CJ63" i="85"/>
  <c r="CJ8" i="85"/>
  <c r="Q85" i="85"/>
  <c r="Q86" i="85"/>
  <c r="Q101" i="85"/>
  <c r="CD68" i="85"/>
  <c r="BY8" i="85"/>
  <c r="Q52" i="85"/>
  <c r="Q63" i="85"/>
  <c r="Q64" i="85" s="1"/>
  <c r="Q80" i="85"/>
  <c r="Q66" i="85"/>
  <c r="Q78" i="85"/>
  <c r="CH102" i="85"/>
  <c r="S89" i="85"/>
  <c r="CH104" i="85"/>
  <c r="CM89" i="85"/>
  <c r="BU92" i="85"/>
  <c r="BP11" i="85"/>
  <c r="CR202" i="30"/>
  <c r="CR68" i="30"/>
  <c r="CR203" i="30" s="1"/>
  <c r="AP218" i="30"/>
  <c r="AQ31" i="30"/>
  <c r="BV24" i="20"/>
  <c r="BV27" i="20" s="1"/>
  <c r="BV28" i="20" s="1"/>
  <c r="BW114" i="20"/>
  <c r="BW24" i="20" s="1"/>
  <c r="BW27" i="20" s="1"/>
  <c r="BW28" i="20" s="1"/>
  <c r="BM11" i="85"/>
  <c r="BR92" i="85"/>
  <c r="M21" i="85"/>
  <c r="BG20" i="85"/>
  <c r="J59" i="73"/>
  <c r="J58" i="73" s="1"/>
  <c r="AA79" i="32"/>
  <c r="AA80" i="32" s="1"/>
  <c r="K69" i="25"/>
  <c r="F29" i="30"/>
  <c r="K73" i="25" s="1"/>
  <c r="K75" i="25" s="1"/>
  <c r="CM202" i="30"/>
  <c r="CM68" i="30"/>
  <c r="B15" i="59"/>
  <c r="Y104" i="30"/>
  <c r="B16" i="59" s="1"/>
  <c r="C6" i="38"/>
  <c r="I31" i="59"/>
  <c r="U18" i="20"/>
  <c r="BP30" i="59"/>
  <c r="CF63" i="30"/>
  <c r="CF60" i="30"/>
  <c r="CF65" i="30" s="1"/>
  <c r="CF73" i="30" s="1"/>
  <c r="CF80" i="30" s="1"/>
  <c r="BY285" i="59"/>
  <c r="BY292" i="59"/>
  <c r="CD282" i="59"/>
  <c r="I95" i="73"/>
  <c r="F19" i="95"/>
  <c r="CM34" i="23"/>
  <c r="CD213" i="59"/>
  <c r="CY36" i="25"/>
  <c r="CY77" i="25"/>
  <c r="DD36" i="25"/>
  <c r="O83" i="25"/>
  <c r="B11" i="53"/>
  <c r="O90" i="25"/>
  <c r="H20" i="23" s="1"/>
  <c r="CW85" i="25"/>
  <c r="CX85" i="25" s="1"/>
  <c r="V46" i="85"/>
  <c r="V75" i="85"/>
  <c r="CM96" i="30"/>
  <c r="CY84" i="85"/>
  <c r="DD84" i="85" s="1"/>
  <c r="BO81" i="59"/>
  <c r="I79" i="59"/>
  <c r="BO80" i="59"/>
  <c r="CL56" i="59"/>
  <c r="CL57" i="59"/>
  <c r="CL305" i="59"/>
  <c r="CB114" i="59"/>
  <c r="CB116" i="59" s="1"/>
  <c r="M58" i="38"/>
  <c r="M77" i="38" s="1"/>
  <c r="U128" i="23"/>
  <c r="T152" i="23"/>
  <c r="T150" i="23"/>
  <c r="CY68" i="85"/>
  <c r="DD68" i="85" s="1"/>
  <c r="AI40" i="33"/>
  <c r="BW284" i="59"/>
  <c r="BW275" i="59"/>
  <c r="BW286" i="59" s="1"/>
  <c r="P28" i="25"/>
  <c r="P25" i="25"/>
  <c r="P27" i="25"/>
  <c r="P29" i="25"/>
  <c r="AF433" i="23"/>
  <c r="AE386" i="23"/>
  <c r="CF72" i="30"/>
  <c r="BV30" i="25" s="1"/>
  <c r="BV32" i="25" s="1"/>
  <c r="BV26" i="25"/>
  <c r="U50" i="53"/>
  <c r="DF119" i="30"/>
  <c r="BD55" i="59"/>
  <c r="DF117" i="30"/>
  <c r="CS67" i="30"/>
  <c r="CD202" i="30"/>
  <c r="CC209" i="30"/>
  <c r="CQ194" i="30"/>
  <c r="CQ199" i="30" s="1"/>
  <c r="CQ211" i="30" s="1"/>
  <c r="M72" i="85"/>
  <c r="AE143" i="30"/>
  <c r="H81" i="59"/>
  <c r="BK79" i="59"/>
  <c r="H87" i="59"/>
  <c r="CV49" i="59"/>
  <c r="EX86" i="30"/>
  <c r="CV12" i="59"/>
  <c r="BL14" i="31"/>
  <c r="CQ50" i="59"/>
  <c r="CQ55" i="59"/>
  <c r="CQ319" i="59" s="1"/>
  <c r="BG42" i="31"/>
  <c r="BG43" i="31" s="1"/>
  <c r="Z202" i="30"/>
  <c r="Z71" i="30"/>
  <c r="P16" i="25" s="1"/>
  <c r="O17" i="25"/>
  <c r="O18" i="25"/>
  <c r="O15" i="25"/>
  <c r="AC429" i="23"/>
  <c r="AA382" i="23"/>
  <c r="Q11" i="62"/>
  <c r="Q13" i="62" s="1"/>
  <c r="Q57" i="62" s="1"/>
  <c r="G13" i="62"/>
  <c r="G57" i="62" s="1"/>
  <c r="DD376" i="23"/>
  <c r="DG376" i="23"/>
  <c r="DF376" i="23"/>
  <c r="DE376" i="23"/>
  <c r="BY284" i="59"/>
  <c r="BY275" i="59"/>
  <c r="CD276" i="59" s="1"/>
  <c r="CJ63" i="30"/>
  <c r="CJ60" i="30"/>
  <c r="CE172" i="59"/>
  <c r="L174" i="59"/>
  <c r="CE174" i="59" s="1"/>
  <c r="H40" i="95"/>
  <c r="H43" i="95" s="1"/>
  <c r="H37" i="95"/>
  <c r="K86" i="73"/>
  <c r="U9" i="62"/>
  <c r="CX98" i="85"/>
  <c r="DC98" i="85" s="1"/>
  <c r="CS102" i="85"/>
  <c r="M363" i="23"/>
  <c r="M17" i="23"/>
  <c r="G7" i="56"/>
  <c r="G14" i="56" s="1"/>
  <c r="Q123" i="31"/>
  <c r="Q124" i="31" s="1"/>
  <c r="R121" i="31"/>
  <c r="BP27" i="20"/>
  <c r="BP28" i="20" s="1"/>
  <c r="AC235" i="30"/>
  <c r="P46" i="33"/>
  <c r="P61" i="33"/>
  <c r="P55" i="33"/>
  <c r="AC95" i="30"/>
  <c r="P44" i="33"/>
  <c r="G188" i="60"/>
  <c r="U75" i="85"/>
  <c r="CS68" i="30"/>
  <c r="Z106" i="31"/>
  <c r="CG114" i="20"/>
  <c r="CG24" i="20" s="1"/>
  <c r="CG26" i="20" s="1"/>
  <c r="CG116" i="20" s="1"/>
  <c r="CF24" i="20"/>
  <c r="CF26" i="20" s="1"/>
  <c r="CF116" i="20" s="1"/>
  <c r="CK63" i="30"/>
  <c r="J64" i="73"/>
  <c r="J63" i="73" s="1"/>
  <c r="N77" i="25"/>
  <c r="O36" i="25"/>
  <c r="N36" i="25"/>
  <c r="CC270" i="59"/>
  <c r="CA270" i="59"/>
  <c r="H31" i="25"/>
  <c r="H32" i="25"/>
  <c r="BZ26" i="25"/>
  <c r="CJ72" i="30"/>
  <c r="BZ30" i="25" s="1"/>
  <c r="BZ32" i="25" s="1"/>
  <c r="CB16" i="85"/>
  <c r="CB9" i="85"/>
  <c r="CB270" i="59"/>
  <c r="P31" i="25"/>
  <c r="P32" i="25"/>
  <c r="BX26" i="25"/>
  <c r="CH72" i="30"/>
  <c r="BX30" i="25" s="1"/>
  <c r="BX32" i="25" s="1"/>
  <c r="V49" i="53"/>
  <c r="AO96" i="25"/>
  <c r="AH256" i="23"/>
  <c r="AH71" i="23"/>
  <c r="AI12" i="23"/>
  <c r="E58" i="38"/>
  <c r="E77" i="38" s="1"/>
  <c r="CS202" i="30"/>
  <c r="T80" i="20"/>
  <c r="T16" i="20"/>
  <c r="T32" i="20"/>
  <c r="AE105" i="30"/>
  <c r="T25" i="20"/>
  <c r="T113" i="20"/>
  <c r="Y52" i="59"/>
  <c r="AT115" i="30"/>
  <c r="S172" i="85"/>
  <c r="S176" i="85"/>
  <c r="S178" i="85" s="1"/>
  <c r="X50" i="25"/>
  <c r="AL14" i="20"/>
  <c r="J87" i="73"/>
  <c r="J85" i="73"/>
  <c r="J88" i="73"/>
  <c r="AL407" i="23"/>
  <c r="AM454" i="23"/>
  <c r="AB125" i="30"/>
  <c r="B132" i="60"/>
  <c r="O52" i="33"/>
  <c r="O58" i="33"/>
  <c r="BG15" i="31"/>
  <c r="BG16" i="31"/>
  <c r="CJ199" i="30"/>
  <c r="CJ211" i="30" s="1"/>
  <c r="R130" i="30"/>
  <c r="R128" i="30"/>
  <c r="R140" i="30"/>
  <c r="CR135" i="85"/>
  <c r="BC197" i="59"/>
  <c r="CU86" i="25"/>
  <c r="CE26" i="25"/>
  <c r="CO72" i="30"/>
  <c r="CE30" i="25" s="1"/>
  <c r="CE32" i="25" s="1"/>
  <c r="CA114" i="59"/>
  <c r="N58" i="38"/>
  <c r="N77" i="38" s="1"/>
  <c r="BY183" i="59"/>
  <c r="BY182" i="59"/>
  <c r="CD182" i="59"/>
  <c r="AF389" i="23"/>
  <c r="AG436" i="23"/>
  <c r="BT84" i="59"/>
  <c r="J83" i="59"/>
  <c r="DV146" i="30"/>
  <c r="BT79" i="59"/>
  <c r="EA108" i="30"/>
  <c r="BY241" i="59"/>
  <c r="CD33" i="59"/>
  <c r="K33" i="59"/>
  <c r="BY83" i="59"/>
  <c r="BW285" i="59"/>
  <c r="BW292" i="59"/>
  <c r="CB282" i="59"/>
  <c r="AF159" i="20"/>
  <c r="O110" i="73"/>
  <c r="AG121" i="20"/>
  <c r="CG26" i="25"/>
  <c r="CQ72" i="30"/>
  <c r="CG30" i="25" s="1"/>
  <c r="CG32" i="25" s="1"/>
  <c r="R45" i="38"/>
  <c r="S5" i="38"/>
  <c r="BZ179" i="59"/>
  <c r="J93" i="73"/>
  <c r="J94" i="73"/>
  <c r="J91" i="73"/>
  <c r="CO174" i="59"/>
  <c r="N202" i="59"/>
  <c r="BD51" i="59"/>
  <c r="BD50" i="59"/>
  <c r="AB69" i="30"/>
  <c r="AB202" i="30"/>
  <c r="AB58" i="30"/>
  <c r="K29" i="85"/>
  <c r="K33" i="85"/>
  <c r="AW28" i="85"/>
  <c r="BM55" i="73"/>
  <c r="BM56" i="73"/>
  <c r="BM53" i="73"/>
  <c r="O49" i="33"/>
  <c r="P48" i="33"/>
  <c r="P51" i="33" s="1"/>
  <c r="CQ63" i="30"/>
  <c r="CQ60" i="30"/>
  <c r="AA199" i="30"/>
  <c r="CS209" i="30"/>
  <c r="BI9" i="59"/>
  <c r="BI12" i="59"/>
  <c r="CL63" i="30"/>
  <c r="CL60" i="30"/>
  <c r="CQ13" i="59"/>
  <c r="CQ219" i="59"/>
  <c r="Z211" i="30"/>
  <c r="Z198" i="30"/>
  <c r="CC202" i="30"/>
  <c r="CC71" i="30"/>
  <c r="BS16" i="25" s="1"/>
  <c r="DB382" i="23"/>
  <c r="CY382" i="23"/>
  <c r="CZ382" i="23"/>
  <c r="DA382" i="23"/>
  <c r="Z115" i="23"/>
  <c r="U104" i="33"/>
  <c r="V103" i="33"/>
  <c r="AC376" i="23"/>
  <c r="AD423" i="23"/>
  <c r="CO58" i="30"/>
  <c r="CO194" i="30"/>
  <c r="CO199" i="30" s="1"/>
  <c r="CO211" i="30" s="1"/>
  <c r="K92" i="73"/>
  <c r="CB26" i="25"/>
  <c r="CL72" i="30"/>
  <c r="CB30" i="25" s="1"/>
  <c r="CB32" i="25" s="1"/>
  <c r="CL319" i="59"/>
  <c r="AE109" i="23"/>
  <c r="L69" i="25"/>
  <c r="L29" i="30"/>
  <c r="L73" i="25" s="1"/>
  <c r="M74" i="25" s="1"/>
  <c r="H9" i="53"/>
  <c r="G13" i="53"/>
  <c r="G17" i="53" s="1"/>
  <c r="G19" i="53" s="1"/>
  <c r="D340" i="60" s="1"/>
  <c r="D341" i="60"/>
  <c r="BD197" i="59"/>
  <c r="CV86" i="25"/>
  <c r="M75" i="25"/>
  <c r="Z126" i="30"/>
  <c r="Z132" i="30"/>
  <c r="Z127" i="30"/>
  <c r="BR114" i="20"/>
  <c r="BR24" i="20" s="1"/>
  <c r="BR27" i="20" s="1"/>
  <c r="BR28" i="20" s="1"/>
  <c r="BR30" i="20" s="1"/>
  <c r="BQ24" i="20"/>
  <c r="BQ27" i="20" s="1"/>
  <c r="BQ28" i="20" s="1"/>
  <c r="BQ30" i="20" s="1"/>
  <c r="BD33" i="85"/>
  <c r="BD29" i="85"/>
  <c r="AD95" i="30"/>
  <c r="Q55" i="33"/>
  <c r="AD235" i="30"/>
  <c r="Q61" i="33"/>
  <c r="Q46" i="33"/>
  <c r="Q44" i="33"/>
  <c r="R46" i="33"/>
  <c r="O177" i="59"/>
  <c r="O179" i="59" s="1"/>
  <c r="O181" i="59" s="1"/>
  <c r="O172" i="59"/>
  <c r="O174" i="59" s="1"/>
  <c r="U111" i="31"/>
  <c r="AB59" i="30"/>
  <c r="AB203" i="30"/>
  <c r="AJ72" i="30"/>
  <c r="AC30" i="25" s="1"/>
  <c r="AC26" i="25"/>
  <c r="AA96" i="30"/>
  <c r="AA97" i="30"/>
  <c r="D122" i="59"/>
  <c r="H204" i="59"/>
  <c r="H214" i="59" s="1"/>
  <c r="BK202" i="59"/>
  <c r="X58" i="30"/>
  <c r="AA192" i="30"/>
  <c r="CE26" i="20"/>
  <c r="I65" i="73"/>
  <c r="I66" i="73" s="1"/>
  <c r="I84" i="59"/>
  <c r="I85" i="59"/>
  <c r="F370" i="60"/>
  <c r="BP83" i="59"/>
  <c r="DR146" i="30" s="1"/>
  <c r="BT36" i="31"/>
  <c r="AA36" i="31"/>
  <c r="AB36" i="31" s="1"/>
  <c r="AC36" i="31" s="1"/>
  <c r="AD36" i="31" s="1"/>
  <c r="AE36" i="31" s="1"/>
  <c r="AF36" i="31" s="1"/>
  <c r="AG36" i="31" s="1"/>
  <c r="AH36" i="31" s="1"/>
  <c r="AI36" i="31" s="1"/>
  <c r="AJ36" i="31" s="1"/>
  <c r="BX292" i="59"/>
  <c r="CC282" i="59"/>
  <c r="BX285" i="59"/>
  <c r="BV284" i="59"/>
  <c r="BV275" i="59"/>
  <c r="BV286" i="59" s="1"/>
  <c r="H29" i="25"/>
  <c r="BY26" i="25"/>
  <c r="H28" i="25"/>
  <c r="H25" i="25"/>
  <c r="H27" i="25"/>
  <c r="BD26" i="85"/>
  <c r="BI26" i="85"/>
  <c r="CL68" i="85"/>
  <c r="CG8" i="85"/>
  <c r="AA125" i="30"/>
  <c r="CM125" i="30"/>
  <c r="CN125" i="30" s="1"/>
  <c r="X126" i="30"/>
  <c r="X132" i="30"/>
  <c r="X127" i="30"/>
  <c r="CC203" i="30"/>
  <c r="CC72" i="30"/>
  <c r="BS30" i="25" s="1"/>
  <c r="I54" i="38"/>
  <c r="I76" i="38" s="1"/>
  <c r="F7" i="95"/>
  <c r="I89" i="73"/>
  <c r="V96" i="33"/>
  <c r="U97" i="33"/>
  <c r="DK116" i="30"/>
  <c r="DK114" i="30"/>
  <c r="BI49" i="59"/>
  <c r="AA597" i="23"/>
  <c r="AC601" i="23" s="1"/>
  <c r="AC605" i="23" s="1"/>
  <c r="L181" i="59"/>
  <c r="CE179" i="59"/>
  <c r="BX154" i="30"/>
  <c r="BX163" i="30"/>
  <c r="J4" i="95"/>
  <c r="I6" i="95"/>
  <c r="L86" i="73" s="1"/>
  <c r="I12" i="95"/>
  <c r="I13" i="95" s="1"/>
  <c r="I15" i="95" s="1"/>
  <c r="Z34" i="95"/>
  <c r="AA34" i="95"/>
  <c r="CN204" i="30"/>
  <c r="X209" i="30"/>
  <c r="CN209" i="30" s="1"/>
  <c r="AS34" i="85"/>
  <c r="AS35" i="85"/>
  <c r="BD219" i="59"/>
  <c r="BD13" i="59"/>
  <c r="AY56" i="59"/>
  <c r="AY57" i="59"/>
  <c r="N41" i="33"/>
  <c r="M38" i="33"/>
  <c r="M39" i="33" s="1"/>
  <c r="CP193" i="30"/>
  <c r="CP59" i="30" s="1"/>
  <c r="CP64" i="30" s="1"/>
  <c r="CK59" i="30"/>
  <c r="CK64" i="30" s="1"/>
  <c r="BU33" i="59"/>
  <c r="J34" i="59"/>
  <c r="J30" i="59"/>
  <c r="AG108" i="30"/>
  <c r="DW108" i="30" s="1"/>
  <c r="Q58" i="38"/>
  <c r="Q77" i="38" s="1"/>
  <c r="K174" i="59"/>
  <c r="BZ172" i="59"/>
  <c r="AE395" i="23"/>
  <c r="AF442" i="23"/>
  <c r="CN67" i="30"/>
  <c r="J24" i="38"/>
  <c r="J25" i="38" s="1"/>
  <c r="K23" i="38"/>
  <c r="I60" i="73"/>
  <c r="I61" i="73" s="1"/>
  <c r="P179" i="59"/>
  <c r="P181" i="59" s="1"/>
  <c r="E122" i="59"/>
  <c r="AB96" i="30"/>
  <c r="AB97" i="30"/>
  <c r="BN8" i="59"/>
  <c r="DP113" i="30"/>
  <c r="DP90" i="30"/>
  <c r="DP91" i="30" s="1"/>
  <c r="ES87" i="30"/>
  <c r="ES90" i="30"/>
  <c r="ES91" i="30" s="1"/>
  <c r="AF388" i="23"/>
  <c r="AG435" i="23"/>
  <c r="CH194" i="30"/>
  <c r="CH199" i="30" s="1"/>
  <c r="CH211" i="30" s="1"/>
  <c r="CH58" i="30"/>
  <c r="CD270" i="59"/>
  <c r="S127" i="30"/>
  <c r="Y124" i="30"/>
  <c r="BX123" i="30"/>
  <c r="P127" i="30"/>
  <c r="P124" i="30"/>
  <c r="S135" i="85"/>
  <c r="T136" i="85"/>
  <c r="CL135" i="85"/>
  <c r="P199" i="30"/>
  <c r="P211" i="30" s="1"/>
  <c r="Q211" i="30" s="1"/>
  <c r="BX195" i="30"/>
  <c r="CO181" i="59"/>
  <c r="CL290" i="59"/>
  <c r="CL291" i="59" s="1"/>
  <c r="EG195" i="30"/>
  <c r="AI151" i="30"/>
  <c r="AI163" i="30" s="1"/>
  <c r="AI199" i="30"/>
  <c r="L105" i="59"/>
  <c r="L108" i="59" s="1"/>
  <c r="L202" i="59" s="1"/>
  <c r="AG390" i="23"/>
  <c r="AH437" i="23"/>
  <c r="CT86" i="25"/>
  <c r="BB197" i="59"/>
  <c r="Y130" i="30"/>
  <c r="B149" i="59"/>
  <c r="Y128" i="30"/>
  <c r="B150" i="59" s="1"/>
  <c r="M71" i="25"/>
  <c r="M68" i="25"/>
  <c r="M72" i="25"/>
  <c r="U130" i="30"/>
  <c r="J128" i="30" s="1"/>
  <c r="U128" i="30"/>
  <c r="CS203" i="30"/>
  <c r="AH8" i="23"/>
  <c r="AG475" i="23"/>
  <c r="AG502" i="23" s="1"/>
  <c r="AG212" i="23" s="1"/>
  <c r="X98" i="30"/>
  <c r="O32" i="25"/>
  <c r="O31" i="25"/>
  <c r="O29" i="25"/>
  <c r="N74" i="25"/>
  <c r="BB75" i="59"/>
  <c r="BB61" i="59"/>
  <c r="BB60" i="59"/>
  <c r="BG60" i="59"/>
  <c r="CP194" i="30"/>
  <c r="CP199" i="30" s="1"/>
  <c r="CP211" i="30" s="1"/>
  <c r="CP58" i="30"/>
  <c r="BH21" i="85"/>
  <c r="BH25" i="85"/>
  <c r="BX275" i="59"/>
  <c r="CC276" i="59" s="1"/>
  <c r="BX284" i="59"/>
  <c r="BV285" i="59"/>
  <c r="BV292" i="59"/>
  <c r="CA282" i="59"/>
  <c r="BG23" i="85"/>
  <c r="M38" i="85"/>
  <c r="CW200" i="59"/>
  <c r="CW199" i="59"/>
  <c r="DF10" i="23"/>
  <c r="R165" i="59"/>
  <c r="R158" i="59"/>
  <c r="CY13" i="23"/>
  <c r="CY7" i="23"/>
  <c r="CX330" i="59"/>
  <c r="CX167" i="59"/>
  <c r="CX316" i="59"/>
  <c r="CT165" i="59"/>
  <c r="CX183" i="59"/>
  <c r="CX182" i="59"/>
  <c r="CY149" i="59"/>
  <c r="S157" i="59"/>
  <c r="AM128" i="30"/>
  <c r="S177" i="59"/>
  <c r="R181" i="59"/>
  <c r="CT179" i="59"/>
  <c r="Q181" i="59"/>
  <c r="DA13" i="23"/>
  <c r="DA7" i="23"/>
  <c r="DB10" i="23"/>
  <c r="CS200" i="59"/>
  <c r="CS199" i="59"/>
  <c r="X170" i="59"/>
  <c r="W172" i="59"/>
  <c r="W174" i="59" s="1"/>
  <c r="AG85" i="25"/>
  <c r="O7" i="53" s="1"/>
  <c r="O8" i="53" s="1"/>
  <c r="CT197" i="59"/>
  <c r="K83" i="63"/>
  <c r="BU114" i="59"/>
  <c r="DI91" i="59"/>
  <c r="CC114" i="59"/>
  <c r="CG83" i="59"/>
  <c r="CL85" i="59"/>
  <c r="BW81" i="59"/>
  <c r="BW80" i="59"/>
  <c r="CB84" i="59"/>
  <c r="CB79" i="59"/>
  <c r="CN85" i="59"/>
  <c r="AF17" i="25" l="1"/>
  <c r="AG17" i="25"/>
  <c r="F369" i="60"/>
  <c r="L285" i="59"/>
  <c r="AF15" i="25"/>
  <c r="AF14" i="25"/>
  <c r="AF11" i="25"/>
  <c r="C224" i="60"/>
  <c r="B226" i="60"/>
  <c r="R39" i="32"/>
  <c r="Q29" i="32"/>
  <c r="Q31" i="32" s="1"/>
  <c r="P394" i="60"/>
  <c r="O398" i="60"/>
  <c r="E369" i="60"/>
  <c r="H68" i="53"/>
  <c r="G58" i="53"/>
  <c r="G60" i="53" s="1"/>
  <c r="J27" i="53"/>
  <c r="K27" i="53" s="1"/>
  <c r="L27" i="53" s="1"/>
  <c r="I17" i="53"/>
  <c r="I19" i="53" s="1"/>
  <c r="F340" i="60" s="1"/>
  <c r="D216" i="60"/>
  <c r="C220" i="60"/>
  <c r="O402" i="60"/>
  <c r="N404" i="60"/>
  <c r="J39" i="52"/>
  <c r="I29" i="52"/>
  <c r="I31" i="52" s="1"/>
  <c r="AH401" i="23"/>
  <c r="AI448" i="23"/>
  <c r="DR391" i="23"/>
  <c r="DG384" i="23"/>
  <c r="DD384" i="23"/>
  <c r="DH384" i="23" s="1"/>
  <c r="DF384" i="23"/>
  <c r="DE384" i="23"/>
  <c r="DL47" i="23"/>
  <c r="AC48" i="23"/>
  <c r="AD431" i="23"/>
  <c r="AC384" i="23"/>
  <c r="AF233" i="31"/>
  <c r="CZ122" i="59"/>
  <c r="DE122" i="59" s="1"/>
  <c r="FG95" i="30" s="1"/>
  <c r="H82" i="73"/>
  <c r="CS207" i="59"/>
  <c r="CS212" i="59" s="1"/>
  <c r="CJ172" i="59"/>
  <c r="S87" i="31"/>
  <c r="S39" i="38"/>
  <c r="T43" i="38"/>
  <c r="U22" i="38"/>
  <c r="T19" i="38"/>
  <c r="S21" i="38"/>
  <c r="G90" i="31"/>
  <c r="G23" i="31"/>
  <c r="G89" i="31" s="1"/>
  <c r="I40" i="31"/>
  <c r="J39" i="31"/>
  <c r="I33" i="31"/>
  <c r="H24" i="31"/>
  <c r="H34" i="31"/>
  <c r="H31" i="31"/>
  <c r="F34" i="73"/>
  <c r="F35" i="73" s="1"/>
  <c r="F36" i="73" s="1"/>
  <c r="AH238" i="30"/>
  <c r="AN223" i="23"/>
  <c r="AN272" i="23" s="1"/>
  <c r="AM272" i="23"/>
  <c r="EU209" i="30"/>
  <c r="DB22" i="23" s="1"/>
  <c r="DB61" i="23" s="1"/>
  <c r="CR214" i="59"/>
  <c r="CR207" i="59"/>
  <c r="CR212" i="59" s="1"/>
  <c r="W82" i="25"/>
  <c r="W86" i="25" s="1"/>
  <c r="W52" i="25"/>
  <c r="W54" i="25"/>
  <c r="EV208" i="30"/>
  <c r="CP203" i="59"/>
  <c r="CP204" i="59" s="1"/>
  <c r="ES209" i="30"/>
  <c r="CZ22" i="23" s="1"/>
  <c r="CZ61" i="23" s="1"/>
  <c r="ES198" i="30"/>
  <c r="CQ203" i="59" s="1"/>
  <c r="CQ204" i="59" s="1"/>
  <c r="ER209" i="30"/>
  <c r="T20" i="31"/>
  <c r="T87" i="31" s="1"/>
  <c r="L282" i="59"/>
  <c r="M267" i="59"/>
  <c r="M281" i="59"/>
  <c r="M282" i="59" s="1"/>
  <c r="H83" i="73"/>
  <c r="D33" i="73"/>
  <c r="E33" i="73"/>
  <c r="E53" i="95"/>
  <c r="E54" i="95" s="1"/>
  <c r="CG295" i="59"/>
  <c r="AB97" i="41"/>
  <c r="CF295" i="59"/>
  <c r="AN293" i="23"/>
  <c r="AN171" i="23"/>
  <c r="AN113" i="23" s="1"/>
  <c r="AJ403" i="23"/>
  <c r="S401" i="60"/>
  <c r="H74" i="63"/>
  <c r="M63" i="60"/>
  <c r="CH295" i="59"/>
  <c r="CU125" i="59"/>
  <c r="BR54" i="73" s="1"/>
  <c r="BR56" i="73" s="1"/>
  <c r="BW111" i="59"/>
  <c r="BW114" i="59" s="1"/>
  <c r="CB115" i="59" s="1"/>
  <c r="BW104" i="59"/>
  <c r="BV113" i="59"/>
  <c r="BZ113" i="59" s="1"/>
  <c r="BV105" i="59"/>
  <c r="BX111" i="59"/>
  <c r="BX114" i="59" s="1"/>
  <c r="BX104" i="59"/>
  <c r="BY111" i="59"/>
  <c r="BY114" i="59" s="1"/>
  <c r="BY104" i="59"/>
  <c r="CJ34" i="23"/>
  <c r="CJ44" i="23" s="1"/>
  <c r="AE68" i="25"/>
  <c r="AE72" i="25"/>
  <c r="AE71" i="25"/>
  <c r="DN207" i="30"/>
  <c r="DO207" i="30"/>
  <c r="DP207" i="30"/>
  <c r="DQ207" i="30"/>
  <c r="DQ209" i="30" s="1"/>
  <c r="BX22" i="23" s="1"/>
  <c r="BX61" i="23" s="1"/>
  <c r="AF209" i="30"/>
  <c r="V111" i="85"/>
  <c r="DA111" i="85"/>
  <c r="DA113" i="85" s="1"/>
  <c r="DA149" i="85" s="1"/>
  <c r="K52" i="53"/>
  <c r="K54" i="53" s="1"/>
  <c r="K11" i="53"/>
  <c r="K13" i="53" s="1"/>
  <c r="EB198" i="30"/>
  <c r="K203" i="59"/>
  <c r="BZ203" i="59" s="1"/>
  <c r="BV207" i="59"/>
  <c r="BV214" i="59"/>
  <c r="Q137" i="20"/>
  <c r="CX17" i="20"/>
  <c r="AB123" i="20"/>
  <c r="AC122" i="20"/>
  <c r="AA129" i="20"/>
  <c r="CN18" i="20"/>
  <c r="Q38" i="20"/>
  <c r="Q25" i="20"/>
  <c r="Q113" i="20"/>
  <c r="AB105" i="30"/>
  <c r="Q32" i="20"/>
  <c r="Q21" i="20"/>
  <c r="Q114" i="20"/>
  <c r="Q80" i="20"/>
  <c r="T82" i="20"/>
  <c r="T20" i="20"/>
  <c r="H235" i="59"/>
  <c r="H237" i="59" s="1"/>
  <c r="CY17" i="20"/>
  <c r="U17" i="20"/>
  <c r="CX23" i="20"/>
  <c r="Q12" i="20"/>
  <c r="CS16" i="20"/>
  <c r="R11" i="20"/>
  <c r="R12" i="20" s="1"/>
  <c r="R19" i="20"/>
  <c r="R136" i="20"/>
  <c r="R137" i="20" s="1"/>
  <c r="R18" i="20"/>
  <c r="CT11" i="20"/>
  <c r="CT12" i="20" s="1"/>
  <c r="S16" i="20"/>
  <c r="Y60" i="20"/>
  <c r="Y62" i="20" s="1"/>
  <c r="Y61" i="20" s="1"/>
  <c r="Y74" i="20"/>
  <c r="Y76" i="20" s="1"/>
  <c r="Z59" i="20"/>
  <c r="DJ158" i="30"/>
  <c r="CZ44" i="25" s="1"/>
  <c r="CZ45" i="25" s="1"/>
  <c r="CZ40" i="25"/>
  <c r="CZ42" i="25" s="1"/>
  <c r="DI154" i="30"/>
  <c r="DI148" i="30"/>
  <c r="DI149" i="30"/>
  <c r="CY37" i="25"/>
  <c r="X78" i="20"/>
  <c r="X79" i="20" s="1"/>
  <c r="X24" i="20"/>
  <c r="CZ86" i="25"/>
  <c r="CZ87" i="25" s="1"/>
  <c r="BH194" i="59"/>
  <c r="AD92" i="41"/>
  <c r="AE89" i="41"/>
  <c r="AE92" i="41" s="1"/>
  <c r="R36" i="38"/>
  <c r="AC94" i="41"/>
  <c r="S28" i="38" s="1"/>
  <c r="S10" i="38"/>
  <c r="DM400" i="23"/>
  <c r="DM380" i="23"/>
  <c r="CZ383" i="23"/>
  <c r="CY383" i="23"/>
  <c r="DA383" i="23"/>
  <c r="DB383" i="23"/>
  <c r="V445" i="23"/>
  <c r="U398" i="23"/>
  <c r="AI393" i="23"/>
  <c r="AJ440" i="23"/>
  <c r="V439" i="23"/>
  <c r="U392" i="23"/>
  <c r="Z432" i="23"/>
  <c r="W385" i="23"/>
  <c r="AC430" i="23"/>
  <c r="AA383" i="23"/>
  <c r="DH396" i="23"/>
  <c r="V426" i="23"/>
  <c r="U379" i="23"/>
  <c r="AG438" i="23"/>
  <c r="AF391" i="23"/>
  <c r="AM404" i="23"/>
  <c r="AN451" i="23"/>
  <c r="AN404" i="23" s="1"/>
  <c r="AI399" i="23"/>
  <c r="AJ446" i="23"/>
  <c r="AE380" i="23"/>
  <c r="AF427" i="23"/>
  <c r="T417" i="23"/>
  <c r="T464" i="23" s="1"/>
  <c r="V425" i="23"/>
  <c r="U378" i="23"/>
  <c r="DQ400" i="23"/>
  <c r="DN400" i="23"/>
  <c r="DO400" i="23"/>
  <c r="DP400" i="23"/>
  <c r="V462" i="23"/>
  <c r="U415" i="23"/>
  <c r="DK396" i="23"/>
  <c r="DJ396" i="23"/>
  <c r="DL396" i="23"/>
  <c r="DI396" i="23"/>
  <c r="U394" i="23"/>
  <c r="V441" i="23"/>
  <c r="AC444" i="23"/>
  <c r="AA397" i="23"/>
  <c r="U381" i="23"/>
  <c r="V428" i="23"/>
  <c r="AE400" i="23"/>
  <c r="AF447" i="23"/>
  <c r="AE443" i="23"/>
  <c r="AD396" i="23"/>
  <c r="CY397" i="23"/>
  <c r="DB397" i="23"/>
  <c r="DA397" i="23"/>
  <c r="CZ397" i="23"/>
  <c r="DC397" i="23" s="1"/>
  <c r="V434" i="23"/>
  <c r="U387" i="23"/>
  <c r="AM407" i="23"/>
  <c r="AN454" i="23"/>
  <c r="AN407" i="23" s="1"/>
  <c r="DR386" i="23"/>
  <c r="DO380" i="23"/>
  <c r="DP380" i="23"/>
  <c r="DN380" i="23"/>
  <c r="DQ380" i="23"/>
  <c r="V424" i="23"/>
  <c r="U377" i="23"/>
  <c r="U417" i="23" s="1"/>
  <c r="DQ112" i="23"/>
  <c r="DR395" i="23"/>
  <c r="AK408" i="23"/>
  <c r="AL323" i="23"/>
  <c r="AM345" i="23"/>
  <c r="O294" i="60"/>
  <c r="CL98" i="23"/>
  <c r="CL100" i="23" s="1"/>
  <c r="CL50" i="23"/>
  <c r="CL52" i="23" s="1"/>
  <c r="CL55" i="23" s="1"/>
  <c r="CL58" i="23"/>
  <c r="CL60" i="23"/>
  <c r="O26" i="52"/>
  <c r="P27" i="52"/>
  <c r="CG115" i="59"/>
  <c r="P203" i="59"/>
  <c r="P204" i="59" s="1"/>
  <c r="CO203" i="59"/>
  <c r="CK208" i="59"/>
  <c r="P208" i="59" s="1"/>
  <c r="L22" i="23"/>
  <c r="S86" i="25"/>
  <c r="L579" i="23"/>
  <c r="L585" i="23"/>
  <c r="V23" i="52"/>
  <c r="U24" i="52"/>
  <c r="AV206" i="30"/>
  <c r="V11" i="52"/>
  <c r="V10" i="52"/>
  <c r="Y9" i="95"/>
  <c r="Y23" i="95"/>
  <c r="Y24" i="95" s="1"/>
  <c r="DA271" i="59" s="1"/>
  <c r="AC23" i="95"/>
  <c r="AC24" i="95" s="1"/>
  <c r="DE271" i="59" s="1"/>
  <c r="AC9" i="95"/>
  <c r="X6" i="52"/>
  <c r="AP9" i="30"/>
  <c r="W13" i="52"/>
  <c r="W20" i="52"/>
  <c r="AP22" i="30" s="1"/>
  <c r="W16" i="52"/>
  <c r="P279" i="60" s="1"/>
  <c r="H15" i="60" s="1"/>
  <c r="AK65" i="25"/>
  <c r="AD559" i="23"/>
  <c r="AF23" i="95"/>
  <c r="AF24" i="95" s="1"/>
  <c r="DH271" i="59" s="1"/>
  <c r="AF9" i="95"/>
  <c r="CC85" i="73"/>
  <c r="AD8" i="95" s="1"/>
  <c r="BZ27" i="20"/>
  <c r="BZ28" i="20" s="1"/>
  <c r="BZ117" i="20" s="1"/>
  <c r="BX24" i="20"/>
  <c r="BY24" i="20" s="1"/>
  <c r="BD27" i="20"/>
  <c r="BD28" i="20" s="1"/>
  <c r="BD117" i="20" s="1"/>
  <c r="CI23" i="20"/>
  <c r="C66" i="20"/>
  <c r="D71" i="20"/>
  <c r="BX12" i="20"/>
  <c r="CC11" i="20"/>
  <c r="F80" i="20"/>
  <c r="BX23" i="20"/>
  <c r="N113" i="20"/>
  <c r="BR113" i="20" s="1"/>
  <c r="N27" i="20"/>
  <c r="N28" i="20" s="1"/>
  <c r="AY113" i="20"/>
  <c r="AY26" i="20"/>
  <c r="AY116" i="20" s="1"/>
  <c r="AF70" i="20"/>
  <c r="AE71" i="20"/>
  <c r="CE30" i="20"/>
  <c r="L80" i="20"/>
  <c r="L79" i="20"/>
  <c r="CC23" i="20"/>
  <c r="AB75" i="20"/>
  <c r="BX25" i="20"/>
  <c r="BX115" i="20" s="1"/>
  <c r="AD72" i="20"/>
  <c r="AD23" i="20" s="1"/>
  <c r="BI30" i="20"/>
  <c r="P116" i="20"/>
  <c r="Q26" i="20"/>
  <c r="BS23" i="20"/>
  <c r="BT23" i="20" s="1"/>
  <c r="M113" i="20"/>
  <c r="BQ113" i="20" s="1"/>
  <c r="M27" i="20"/>
  <c r="M28" i="20" s="1"/>
  <c r="M79" i="20"/>
  <c r="M80" i="20"/>
  <c r="E78" i="20"/>
  <c r="G72" i="20"/>
  <c r="G23" i="20" s="1"/>
  <c r="BY18" i="20"/>
  <c r="BX116" i="20"/>
  <c r="BX21" i="20"/>
  <c r="H113" i="20"/>
  <c r="H26" i="20"/>
  <c r="H116" i="20" s="1"/>
  <c r="L26" i="20"/>
  <c r="L113" i="20"/>
  <c r="BK113" i="20" s="1"/>
  <c r="CA27" i="20"/>
  <c r="CA28" i="20" s="1"/>
  <c r="CC24" i="20"/>
  <c r="AE74" i="41"/>
  <c r="AE85" i="41" s="1"/>
  <c r="AD85" i="41"/>
  <c r="K85" i="73"/>
  <c r="H7" i="95" s="1"/>
  <c r="K87" i="73"/>
  <c r="K88" i="73"/>
  <c r="AE37" i="95"/>
  <c r="AE40" i="95"/>
  <c r="AE43" i="95" s="1"/>
  <c r="DG266" i="59" s="1"/>
  <c r="DG274" i="59" s="1"/>
  <c r="BW13" i="31" s="1"/>
  <c r="AF37" i="95"/>
  <c r="AF40" i="95"/>
  <c r="AF43" i="95" s="1"/>
  <c r="DH266" i="59" s="1"/>
  <c r="AC40" i="95"/>
  <c r="AC43" i="95" s="1"/>
  <c r="AC37" i="95"/>
  <c r="K91" i="73"/>
  <c r="H19" i="95" s="1"/>
  <c r="K94" i="73"/>
  <c r="K93" i="73"/>
  <c r="AD40" i="95"/>
  <c r="AD43" i="95" s="1"/>
  <c r="DF266" i="59" s="1"/>
  <c r="AD37" i="95"/>
  <c r="Z23" i="95"/>
  <c r="Z24" i="95" s="1"/>
  <c r="Z73" i="23"/>
  <c r="AA72" i="23"/>
  <c r="AJ230" i="23"/>
  <c r="AJ260" i="23"/>
  <c r="AA12" i="56"/>
  <c r="AK43" i="23"/>
  <c r="DC102" i="85"/>
  <c r="W75" i="85"/>
  <c r="AD130" i="85"/>
  <c r="CZ125" i="59"/>
  <c r="BW54" i="73" s="1"/>
  <c r="BW56" i="73" s="1"/>
  <c r="M45" i="25"/>
  <c r="CD114" i="59"/>
  <c r="CD115" i="59" s="1"/>
  <c r="BR148" i="30"/>
  <c r="BR154" i="30"/>
  <c r="BR158" i="30" s="1"/>
  <c r="AQ191" i="59"/>
  <c r="AU192" i="59"/>
  <c r="CB119" i="30"/>
  <c r="CB98" i="30"/>
  <c r="CB103" i="30"/>
  <c r="CB104" i="30" s="1"/>
  <c r="CG97" i="30"/>
  <c r="CL123" i="30"/>
  <c r="CM93" i="30"/>
  <c r="CN93" i="30" s="1"/>
  <c r="CL97" i="30"/>
  <c r="M203" i="59"/>
  <c r="EL198" i="30"/>
  <c r="M52" i="53"/>
  <c r="M54" i="53" s="1"/>
  <c r="M11" i="53"/>
  <c r="M13" i="53" s="1"/>
  <c r="BM142" i="30"/>
  <c r="BM141" i="30"/>
  <c r="CC94" i="30"/>
  <c r="CC97" i="30"/>
  <c r="CF214" i="59"/>
  <c r="CF207" i="59"/>
  <c r="BN128" i="30"/>
  <c r="BN130" i="30"/>
  <c r="BR130" i="30"/>
  <c r="BR128" i="30"/>
  <c r="BW128" i="30"/>
  <c r="BW130" i="30"/>
  <c r="BW140" i="30"/>
  <c r="CQ93" i="30"/>
  <c r="CH93" i="30"/>
  <c r="CG123" i="30"/>
  <c r="BW104" i="30"/>
  <c r="BN140" i="30"/>
  <c r="BN139" i="30"/>
  <c r="BN138" i="30"/>
  <c r="BS127" i="30"/>
  <c r="BS131" i="30"/>
  <c r="CT46" i="25"/>
  <c r="CT45" i="25"/>
  <c r="CX44" i="25"/>
  <c r="CB124" i="30"/>
  <c r="CB127" i="30"/>
  <c r="CC123" i="30"/>
  <c r="BR140" i="30"/>
  <c r="BR141" i="30" s="1"/>
  <c r="BR138" i="30"/>
  <c r="BS137" i="30"/>
  <c r="BX98" i="30"/>
  <c r="BX103" i="30"/>
  <c r="BX104" i="30" s="1"/>
  <c r="BX119" i="30"/>
  <c r="CI295" i="59"/>
  <c r="BQ42" i="31"/>
  <c r="BQ43" i="31" s="1"/>
  <c r="DA55" i="59"/>
  <c r="DA57" i="59" s="1"/>
  <c r="CT242" i="59"/>
  <c r="BU224" i="59"/>
  <c r="CJ220" i="59"/>
  <c r="CJ179" i="59"/>
  <c r="AR8" i="31"/>
  <c r="AW8" i="31" s="1"/>
  <c r="BB8" i="31" s="1"/>
  <c r="AQ8" i="31"/>
  <c r="AV8" i="31" s="1"/>
  <c r="T99" i="31"/>
  <c r="T103" i="31" s="1"/>
  <c r="T104" i="31" s="1"/>
  <c r="T93" i="31"/>
  <c r="AS8" i="31"/>
  <c r="AX8" i="31" s="1"/>
  <c r="BC8" i="31" s="1"/>
  <c r="AT8" i="31"/>
  <c r="AY8" i="31" s="1"/>
  <c r="BD8" i="31" s="1"/>
  <c r="CA116" i="59"/>
  <c r="Q41" i="95"/>
  <c r="Q42" i="95" s="1"/>
  <c r="R35" i="95"/>
  <c r="M18" i="95"/>
  <c r="N18" i="95" s="1"/>
  <c r="O18" i="95" s="1"/>
  <c r="P18" i="95" s="1"/>
  <c r="Q18" i="95" s="1"/>
  <c r="R18" i="95" s="1"/>
  <c r="S18" i="95" s="1"/>
  <c r="E24" i="95"/>
  <c r="CX265" i="59"/>
  <c r="CV265" i="59"/>
  <c r="CU265" i="59"/>
  <c r="O220" i="59"/>
  <c r="CR279" i="59"/>
  <c r="BN13" i="85"/>
  <c r="BN39" i="85" s="1"/>
  <c r="BN18" i="85"/>
  <c r="BN105" i="85"/>
  <c r="BN95" i="85"/>
  <c r="BN96" i="85" s="1"/>
  <c r="BN12" i="85"/>
  <c r="CV89" i="85"/>
  <c r="DA89" i="85" s="1"/>
  <c r="CQ102" i="85"/>
  <c r="CQ104" i="85"/>
  <c r="BS24" i="85"/>
  <c r="BX92" i="85"/>
  <c r="BS11" i="85"/>
  <c r="DD13" i="23"/>
  <c r="DD17" i="23" s="1"/>
  <c r="DD7" i="23"/>
  <c r="C82" i="25"/>
  <c r="C38" i="25"/>
  <c r="C39" i="25"/>
  <c r="K37" i="25"/>
  <c r="F148" i="30"/>
  <c r="F154" i="30"/>
  <c r="K40" i="25" s="1"/>
  <c r="C42" i="25"/>
  <c r="C43" i="25"/>
  <c r="D41" i="25"/>
  <c r="DC382" i="23"/>
  <c r="AL457" i="23"/>
  <c r="AK410" i="23"/>
  <c r="M39" i="25"/>
  <c r="M42" i="25"/>
  <c r="M43" i="25"/>
  <c r="K241" i="59"/>
  <c r="BZ241" i="59" s="1"/>
  <c r="X242" i="30"/>
  <c r="U125" i="73"/>
  <c r="T127" i="73"/>
  <c r="T126" i="73"/>
  <c r="T124" i="73"/>
  <c r="DE36" i="25"/>
  <c r="CZ36" i="25"/>
  <c r="CZ77" i="25"/>
  <c r="CZ38" i="25"/>
  <c r="DO124" i="30"/>
  <c r="DQ123" i="30"/>
  <c r="DO131" i="30"/>
  <c r="J204" i="59"/>
  <c r="BU204" i="59" s="1"/>
  <c r="BU202" i="59"/>
  <c r="Q286" i="59"/>
  <c r="Q278" i="59"/>
  <c r="BM191" i="59"/>
  <c r="BV5" i="23"/>
  <c r="CZ271" i="59"/>
  <c r="B27" i="59"/>
  <c r="B45" i="59" s="1"/>
  <c r="CY113" i="85"/>
  <c r="CY149" i="85" s="1"/>
  <c r="CX113" i="85"/>
  <c r="CX114" i="85" s="1"/>
  <c r="N19" i="85"/>
  <c r="CQ60" i="85"/>
  <c r="CL63" i="85"/>
  <c r="R103" i="73"/>
  <c r="AB112" i="85" s="1"/>
  <c r="S104" i="73"/>
  <c r="R106" i="73"/>
  <c r="R105" i="73"/>
  <c r="AC101" i="31"/>
  <c r="W100" i="31"/>
  <c r="V102" i="31"/>
  <c r="K109" i="31"/>
  <c r="L107" i="31"/>
  <c r="L108" i="31" s="1"/>
  <c r="L109" i="31" s="1"/>
  <c r="L135" i="31"/>
  <c r="L112" i="31" s="1"/>
  <c r="L113" i="31" s="1"/>
  <c r="L114" i="31" s="1"/>
  <c r="L128" i="31"/>
  <c r="L129" i="31" s="1"/>
  <c r="L130" i="31" s="1"/>
  <c r="Q127" i="31"/>
  <c r="L104" i="31"/>
  <c r="M133" i="31"/>
  <c r="N134" i="31"/>
  <c r="N101" i="31"/>
  <c r="M102" i="31"/>
  <c r="M103" i="31" s="1"/>
  <c r="W371" i="23"/>
  <c r="W173" i="23" s="1"/>
  <c r="W370" i="23"/>
  <c r="W17" i="23"/>
  <c r="N7" i="56"/>
  <c r="W363" i="23"/>
  <c r="CX13" i="23"/>
  <c r="AG146" i="30"/>
  <c r="DW146" i="30" s="1"/>
  <c r="Y24" i="59"/>
  <c r="X233" i="59"/>
  <c r="BY224" i="59"/>
  <c r="K224" i="59" s="1"/>
  <c r="BI48" i="73"/>
  <c r="BI46" i="73" s="1"/>
  <c r="BN47" i="73"/>
  <c r="CQ296" i="59"/>
  <c r="CQ297" i="59" s="1"/>
  <c r="BN50" i="73" s="1"/>
  <c r="CV121" i="59"/>
  <c r="CQ122" i="59"/>
  <c r="ES93" i="30"/>
  <c r="ES94" i="30" s="1"/>
  <c r="CL125" i="59"/>
  <c r="BI54" i="73" s="1"/>
  <c r="EN95" i="30"/>
  <c r="EN96" i="30" s="1"/>
  <c r="CP57" i="59"/>
  <c r="CP56" i="59"/>
  <c r="CP305" i="59"/>
  <c r="CU13" i="59"/>
  <c r="CU219" i="59"/>
  <c r="BK42" i="31"/>
  <c r="BK43" i="31" s="1"/>
  <c r="CU55" i="59"/>
  <c r="CU319" i="59" s="1"/>
  <c r="CU50" i="59"/>
  <c r="EW87" i="30"/>
  <c r="EW90" i="30"/>
  <c r="EW91" i="30" s="1"/>
  <c r="AD191" i="31"/>
  <c r="BO47" i="73"/>
  <c r="BO48" i="73" s="1"/>
  <c r="ET93" i="30"/>
  <c r="ET94" i="30" s="1"/>
  <c r="CW121" i="59"/>
  <c r="CR122" i="59"/>
  <c r="CR296" i="59"/>
  <c r="CR297" i="59" s="1"/>
  <c r="BO50" i="73" s="1"/>
  <c r="EO95" i="30"/>
  <c r="EO96" i="30" s="1"/>
  <c r="CM125" i="59"/>
  <c r="BJ54" i="73" s="1"/>
  <c r="CP291" i="59"/>
  <c r="CE108" i="59"/>
  <c r="CK44" i="23"/>
  <c r="CK40" i="23"/>
  <c r="CZ17" i="23"/>
  <c r="CZ18" i="23" s="1"/>
  <c r="CZ14" i="23"/>
  <c r="CF115" i="59"/>
  <c r="AC71" i="59"/>
  <c r="L36" i="23"/>
  <c r="BG64" i="23"/>
  <c r="BG674" i="23" s="1"/>
  <c r="BG673" i="23" s="1"/>
  <c r="AL689" i="23"/>
  <c r="AM282" i="23"/>
  <c r="AM689" i="23" s="1"/>
  <c r="AL204" i="23"/>
  <c r="AM204" i="23" s="1"/>
  <c r="AU209" i="30"/>
  <c r="AV205" i="30"/>
  <c r="AW156" i="30"/>
  <c r="AC32" i="85"/>
  <c r="AQ57" i="25" s="1"/>
  <c r="AU179" i="30" s="1"/>
  <c r="AU180" i="30" s="1"/>
  <c r="AV207" i="30"/>
  <c r="R38" i="38"/>
  <c r="S30" i="38"/>
  <c r="AI165" i="23"/>
  <c r="AI171" i="23" s="1"/>
  <c r="AI113" i="23" s="1"/>
  <c r="AI151" i="23"/>
  <c r="CE105" i="59"/>
  <c r="BJ50" i="73"/>
  <c r="CU125" i="30"/>
  <c r="CZ95" i="30"/>
  <c r="CU97" i="30"/>
  <c r="AS122" i="59"/>
  <c r="BY30" i="25"/>
  <c r="AN210" i="59"/>
  <c r="CP127" i="30"/>
  <c r="CP126" i="30"/>
  <c r="CF140" i="30"/>
  <c r="CF128" i="30"/>
  <c r="CF130" i="30"/>
  <c r="CK128" i="30"/>
  <c r="CK140" i="30"/>
  <c r="CK130" i="30"/>
  <c r="AE175" i="23"/>
  <c r="AE294" i="23" s="1"/>
  <c r="AE112" i="23"/>
  <c r="AE133" i="23"/>
  <c r="AB86" i="30"/>
  <c r="M52" i="31"/>
  <c r="AB239" i="30"/>
  <c r="M15" i="31"/>
  <c r="M46" i="31"/>
  <c r="M37" i="31"/>
  <c r="M158" i="31"/>
  <c r="M159" i="31" s="1"/>
  <c r="M96" i="31"/>
  <c r="CH90" i="30"/>
  <c r="CH91" i="30" s="1"/>
  <c r="CH87" i="30"/>
  <c r="U91" i="30"/>
  <c r="U103" i="30"/>
  <c r="U104" i="30" s="1"/>
  <c r="M31" i="31"/>
  <c r="M33" i="31" s="1"/>
  <c r="M90" i="31"/>
  <c r="M25" i="31"/>
  <c r="L34" i="31"/>
  <c r="X87" i="30"/>
  <c r="W86" i="30"/>
  <c r="AA86" i="30"/>
  <c r="CM86" i="30"/>
  <c r="X90" i="30"/>
  <c r="Z90" i="30"/>
  <c r="Z87" i="30"/>
  <c r="C8" i="59"/>
  <c r="C9" i="59" s="1"/>
  <c r="N95" i="31"/>
  <c r="N23" i="31"/>
  <c r="N24" i="31" s="1"/>
  <c r="O11" i="31"/>
  <c r="Q11" i="31" s="1"/>
  <c r="N14" i="31"/>
  <c r="CK291" i="59"/>
  <c r="BJ49" i="73"/>
  <c r="BJ46" i="73" s="1"/>
  <c r="CM295" i="59"/>
  <c r="AM293" i="23"/>
  <c r="P242" i="59"/>
  <c r="CO242" i="59"/>
  <c r="CF291" i="59"/>
  <c r="O242" i="59"/>
  <c r="CJ242" i="59"/>
  <c r="W88" i="32"/>
  <c r="W10" i="32"/>
  <c r="W13" i="32"/>
  <c r="W14" i="32" s="1"/>
  <c r="W20" i="32"/>
  <c r="W16" i="32"/>
  <c r="AH93" i="30"/>
  <c r="AG94" i="30"/>
  <c r="J121" i="59"/>
  <c r="V23" i="32"/>
  <c r="G103" i="60"/>
  <c r="C76" i="63" s="1"/>
  <c r="V18" i="32"/>
  <c r="AG123" i="30"/>
  <c r="V17" i="32"/>
  <c r="CW119" i="85"/>
  <c r="CW114" i="85"/>
  <c r="CW120" i="85"/>
  <c r="CW131" i="85" s="1"/>
  <c r="CO220" i="59"/>
  <c r="P220" i="59"/>
  <c r="L294" i="59"/>
  <c r="L293" i="59"/>
  <c r="M270" i="59"/>
  <c r="CT188" i="59"/>
  <c r="Q189" i="59"/>
  <c r="AA12" i="32"/>
  <c r="CK295" i="59"/>
  <c r="N294" i="59"/>
  <c r="CL295" i="59"/>
  <c r="BH48" i="73"/>
  <c r="BH49" i="73"/>
  <c r="BO122" i="59"/>
  <c r="BO124" i="59"/>
  <c r="M274" i="59"/>
  <c r="M275" i="59" s="1"/>
  <c r="M276" i="59" s="1"/>
  <c r="M269" i="59"/>
  <c r="M284" i="59"/>
  <c r="BJ12" i="31"/>
  <c r="CV137" i="85"/>
  <c r="CV125" i="85"/>
  <c r="CV143" i="85" s="1"/>
  <c r="CV152" i="85" s="1"/>
  <c r="CP295" i="59"/>
  <c r="CS295" i="59"/>
  <c r="CN295" i="59"/>
  <c r="BE12" i="31"/>
  <c r="AI238" i="30"/>
  <c r="X9" i="32"/>
  <c r="L276" i="59"/>
  <c r="L286" i="59"/>
  <c r="DH376" i="23"/>
  <c r="AJ354" i="23"/>
  <c r="AJ409" i="23" s="1"/>
  <c r="AK348" i="23"/>
  <c r="BD40" i="25"/>
  <c r="BI158" i="30"/>
  <c r="BD44" i="25" s="1"/>
  <c r="BD46" i="25" s="1"/>
  <c r="BC40" i="25"/>
  <c r="BH158" i="30"/>
  <c r="BC44" i="25" s="1"/>
  <c r="BC46" i="25" s="1"/>
  <c r="BB39" i="25"/>
  <c r="BB42" i="25"/>
  <c r="BB43" i="25"/>
  <c r="K195" i="30"/>
  <c r="BV84" i="59"/>
  <c r="BV79" i="59"/>
  <c r="AD196" i="59"/>
  <c r="AS84" i="25"/>
  <c r="BY286" i="59"/>
  <c r="CC81" i="59"/>
  <c r="CC80" i="59"/>
  <c r="DE13" i="23"/>
  <c r="DE7" i="23"/>
  <c r="CG31" i="59"/>
  <c r="DL18" i="20"/>
  <c r="EI105" i="30"/>
  <c r="EI106" i="30" s="1"/>
  <c r="CG234" i="59"/>
  <c r="CH79" i="59"/>
  <c r="CH84" i="59"/>
  <c r="CM30" i="59"/>
  <c r="EO108" i="30"/>
  <c r="CM83" i="59"/>
  <c r="CM241" i="59"/>
  <c r="CM224" i="59" s="1"/>
  <c r="CR33" i="59"/>
  <c r="DM18" i="20"/>
  <c r="CH31" i="59"/>
  <c r="EJ105" i="30"/>
  <c r="EJ106" i="30" s="1"/>
  <c r="CH234" i="59"/>
  <c r="EC108" i="30"/>
  <c r="CA30" i="59"/>
  <c r="CF33" i="59"/>
  <c r="CA241" i="59"/>
  <c r="CA224" i="59" s="1"/>
  <c r="CA83" i="59"/>
  <c r="DS143" i="30"/>
  <c r="BQ80" i="59"/>
  <c r="BQ81" i="59"/>
  <c r="EN108" i="30"/>
  <c r="CL241" i="59"/>
  <c r="CL224" i="59" s="1"/>
  <c r="CQ33" i="59"/>
  <c r="CL30" i="59"/>
  <c r="BV234" i="59"/>
  <c r="BV240" i="59" s="1"/>
  <c r="BV31" i="59"/>
  <c r="DX105" i="30"/>
  <c r="DX106" i="30" s="1"/>
  <c r="R56" i="85"/>
  <c r="R57" i="85" s="1"/>
  <c r="R99" i="85"/>
  <c r="CT89" i="85"/>
  <c r="CO104" i="85"/>
  <c r="R102" i="85"/>
  <c r="CW68" i="85"/>
  <c r="CR8" i="85"/>
  <c r="CO98" i="85"/>
  <c r="CJ102" i="85"/>
  <c r="CJ101" i="85"/>
  <c r="S98" i="85"/>
  <c r="S102" i="85" s="1"/>
  <c r="CM16" i="85"/>
  <c r="CM9" i="85"/>
  <c r="BP18" i="85"/>
  <c r="BP12" i="85"/>
  <c r="BP95" i="85"/>
  <c r="BP96" i="85" s="1"/>
  <c r="BP105" i="85"/>
  <c r="BP13" i="85"/>
  <c r="S104" i="85"/>
  <c r="S90" i="85"/>
  <c r="CI68" i="85"/>
  <c r="CD8" i="85"/>
  <c r="CJ16" i="85"/>
  <c r="CJ9" i="85"/>
  <c r="BJ26" i="85"/>
  <c r="BJ24" i="85"/>
  <c r="P17" i="85"/>
  <c r="BV16" i="85"/>
  <c r="N13" i="85"/>
  <c r="BK71" i="85"/>
  <c r="BK72" i="85" s="1"/>
  <c r="DQ167" i="30"/>
  <c r="BK20" i="85"/>
  <c r="BK14" i="85"/>
  <c r="BK23" i="85"/>
  <c r="DG49" i="25"/>
  <c r="DG50" i="25" s="1"/>
  <c r="BO11" i="85"/>
  <c r="O11" i="85" s="1"/>
  <c r="BT92" i="85"/>
  <c r="CM84" i="85"/>
  <c r="CH101" i="85"/>
  <c r="S84" i="85"/>
  <c r="S87" i="85" s="1"/>
  <c r="BZ92" i="85"/>
  <c r="BU11" i="85"/>
  <c r="BE26" i="85"/>
  <c r="BE24" i="85"/>
  <c r="BV8" i="85"/>
  <c r="P68" i="85"/>
  <c r="P69" i="85" s="1"/>
  <c r="P81" i="85"/>
  <c r="P9" i="85"/>
  <c r="R61" i="85"/>
  <c r="R77" i="85"/>
  <c r="R62" i="85"/>
  <c r="R50" i="85"/>
  <c r="R51" i="85" s="1"/>
  <c r="CM104" i="85"/>
  <c r="CM102" i="85"/>
  <c r="CR89" i="85"/>
  <c r="T89" i="85"/>
  <c r="Q54" i="85"/>
  <c r="Q55" i="85" s="1"/>
  <c r="Q53" i="85"/>
  <c r="CT65" i="85"/>
  <c r="CO63" i="85"/>
  <c r="CO8" i="85"/>
  <c r="CV84" i="85"/>
  <c r="CQ101" i="85"/>
  <c r="CI101" i="85"/>
  <c r="CN84" i="85"/>
  <c r="R63" i="85"/>
  <c r="R64" i="85" s="1"/>
  <c r="R52" i="85"/>
  <c r="R66" i="85"/>
  <c r="R80" i="85"/>
  <c r="R78" i="85"/>
  <c r="R85" i="85"/>
  <c r="R101" i="85"/>
  <c r="R86" i="85"/>
  <c r="BY16" i="85"/>
  <c r="Q16" i="85" s="1"/>
  <c r="BY9" i="85"/>
  <c r="Q8" i="85"/>
  <c r="CM60" i="85"/>
  <c r="CH63" i="85"/>
  <c r="S60" i="85"/>
  <c r="N92" i="85"/>
  <c r="N93" i="85" s="1"/>
  <c r="N105" i="85"/>
  <c r="N12" i="85"/>
  <c r="BL11" i="85"/>
  <c r="CN65" i="85"/>
  <c r="CI63" i="85"/>
  <c r="S65" i="85"/>
  <c r="P58" i="33"/>
  <c r="C132" i="60"/>
  <c r="P52" i="33"/>
  <c r="AC125" i="30"/>
  <c r="CP63" i="30"/>
  <c r="CP60" i="30"/>
  <c r="CJ181" i="59"/>
  <c r="M182" i="59"/>
  <c r="B157" i="59"/>
  <c r="B151" i="59"/>
  <c r="BB198" i="59"/>
  <c r="CT87" i="25"/>
  <c r="BK10" i="23"/>
  <c r="N182" i="59"/>
  <c r="BX124" i="30"/>
  <c r="BX131" i="30"/>
  <c r="BX127" i="30"/>
  <c r="CC124" i="30"/>
  <c r="BN9" i="59"/>
  <c r="BN12" i="59"/>
  <c r="BS8" i="59"/>
  <c r="BX114" i="20"/>
  <c r="BX27" i="20"/>
  <c r="BX28" i="20" s="1"/>
  <c r="Z37" i="95"/>
  <c r="DB265" i="59" s="1"/>
  <c r="Z40" i="95"/>
  <c r="Z43" i="95" s="1"/>
  <c r="DB266" i="59" s="1"/>
  <c r="K4" i="95"/>
  <c r="J6" i="95"/>
  <c r="J12" i="95"/>
  <c r="J13" i="95" s="1"/>
  <c r="J15" i="95" s="1"/>
  <c r="BI50" i="59"/>
  <c r="BI51" i="59"/>
  <c r="W96" i="33"/>
  <c r="V97" i="33"/>
  <c r="BR55" i="73"/>
  <c r="CG9" i="85"/>
  <c r="CG16" i="85"/>
  <c r="AD96" i="30"/>
  <c r="AE96" i="30"/>
  <c r="G122" i="59"/>
  <c r="AD97" i="30"/>
  <c r="BD34" i="85"/>
  <c r="BD35" i="85"/>
  <c r="L74" i="25"/>
  <c r="L75" i="25"/>
  <c r="CO63" i="30"/>
  <c r="CO60" i="30"/>
  <c r="CL61" i="30"/>
  <c r="CL65" i="30"/>
  <c r="CL73" i="30" s="1"/>
  <c r="CL80" i="30" s="1"/>
  <c r="K35" i="85"/>
  <c r="K34" i="85"/>
  <c r="L34" i="85"/>
  <c r="AB63" i="30"/>
  <c r="AG159" i="20"/>
  <c r="AH121" i="20"/>
  <c r="P110" i="73"/>
  <c r="K83" i="59"/>
  <c r="BY79" i="59"/>
  <c r="BY84" i="59"/>
  <c r="J84" i="59"/>
  <c r="G370" i="60"/>
  <c r="G369" i="60" s="1"/>
  <c r="BU83" i="59"/>
  <c r="J85" i="59"/>
  <c r="CE28" i="25"/>
  <c r="CE29" i="25"/>
  <c r="CE25" i="25"/>
  <c r="BL10" i="23"/>
  <c r="CU87" i="25"/>
  <c r="BC198" i="59"/>
  <c r="J65" i="73"/>
  <c r="J66" i="73" s="1"/>
  <c r="CK60" i="30"/>
  <c r="AA106" i="31"/>
  <c r="H46" i="95"/>
  <c r="CW265" i="59"/>
  <c r="BP240" i="59"/>
  <c r="O93" i="25"/>
  <c r="BL15" i="31"/>
  <c r="BV28" i="25"/>
  <c r="BV29" i="25"/>
  <c r="BV25" i="25"/>
  <c r="AJ40" i="33"/>
  <c r="U137" i="23"/>
  <c r="U131" i="23"/>
  <c r="U148" i="23"/>
  <c r="U134" i="23"/>
  <c r="I81" i="59"/>
  <c r="AF143" i="30"/>
  <c r="I87" i="59"/>
  <c r="BP79" i="59"/>
  <c r="I80" i="59"/>
  <c r="X74" i="85"/>
  <c r="CW86" i="25"/>
  <c r="BE197" i="59"/>
  <c r="BF197" i="59" s="1"/>
  <c r="CM40" i="23"/>
  <c r="CM44" i="23"/>
  <c r="U21" i="20"/>
  <c r="U16" i="20"/>
  <c r="U25" i="20"/>
  <c r="DG25" i="20" s="1"/>
  <c r="U32" i="20"/>
  <c r="AF105" i="30"/>
  <c r="U113" i="20"/>
  <c r="U80" i="20"/>
  <c r="CM203" i="30"/>
  <c r="CN68" i="30"/>
  <c r="J60" i="73"/>
  <c r="J61" i="73" s="1"/>
  <c r="BB77" i="59"/>
  <c r="BG76" i="59"/>
  <c r="BB76" i="59"/>
  <c r="AI437" i="23"/>
  <c r="AH390" i="23"/>
  <c r="EG199" i="30"/>
  <c r="AI211" i="30"/>
  <c r="EG211" i="30" s="1"/>
  <c r="CH63" i="30"/>
  <c r="CH60" i="30"/>
  <c r="CH65" i="30" s="1"/>
  <c r="CH73" i="30" s="1"/>
  <c r="CH80" i="30" s="1"/>
  <c r="AB98" i="30"/>
  <c r="E123" i="59"/>
  <c r="E125" i="59"/>
  <c r="L23" i="38"/>
  <c r="K24" i="38"/>
  <c r="K25" i="38" s="1"/>
  <c r="CA26" i="25"/>
  <c r="CK72" i="30"/>
  <c r="CA30" i="25" s="1"/>
  <c r="CA32" i="25" s="1"/>
  <c r="BU117" i="20"/>
  <c r="BU30" i="20"/>
  <c r="BZ30" i="20"/>
  <c r="L92" i="73"/>
  <c r="L93" i="73"/>
  <c r="L94" i="73"/>
  <c r="CE181" i="59"/>
  <c r="L182" i="59"/>
  <c r="BS29" i="25"/>
  <c r="BT29" i="25" s="1"/>
  <c r="BS32" i="25"/>
  <c r="BT30" i="25"/>
  <c r="FB95" i="30"/>
  <c r="FB96" i="30" s="1"/>
  <c r="CQ68" i="85"/>
  <c r="CL8" i="85"/>
  <c r="D125" i="59"/>
  <c r="V111" i="31"/>
  <c r="Z128" i="30"/>
  <c r="C149" i="59"/>
  <c r="Z130" i="30"/>
  <c r="CV87" i="25"/>
  <c r="BM10" i="23"/>
  <c r="BD198" i="59"/>
  <c r="L71" i="25"/>
  <c r="L68" i="25"/>
  <c r="L70" i="25"/>
  <c r="L72" i="25"/>
  <c r="CB25" i="25"/>
  <c r="CB29" i="25"/>
  <c r="CB28" i="25"/>
  <c r="H11" i="62"/>
  <c r="H38" i="63"/>
  <c r="H40" i="63" s="1"/>
  <c r="DC115" i="23"/>
  <c r="Z125" i="23"/>
  <c r="Z126" i="23"/>
  <c r="AA111" i="23"/>
  <c r="P83" i="25"/>
  <c r="C11" i="53"/>
  <c r="CQ290" i="59"/>
  <c r="CQ291" i="59" s="1"/>
  <c r="CB12" i="25"/>
  <c r="CL71" i="30"/>
  <c r="CB16" i="25" s="1"/>
  <c r="CB18" i="25" s="1"/>
  <c r="AA211" i="30"/>
  <c r="CQ61" i="30"/>
  <c r="CQ65" i="30"/>
  <c r="CQ73" i="30" s="1"/>
  <c r="CQ80" i="30" s="1"/>
  <c r="N204" i="59"/>
  <c r="CO204" i="59" s="1"/>
  <c r="CO202" i="59"/>
  <c r="K34" i="59"/>
  <c r="K30" i="59"/>
  <c r="AH108" i="30"/>
  <c r="EB108" i="30" s="1"/>
  <c r="BZ33" i="59"/>
  <c r="CQ143" i="85"/>
  <c r="CQ141" i="85" s="1"/>
  <c r="I223" i="60"/>
  <c r="T11" i="20"/>
  <c r="T136" i="20"/>
  <c r="T19" i="20"/>
  <c r="W49" i="53"/>
  <c r="AP96" i="25"/>
  <c r="AJ12" i="23"/>
  <c r="AI256" i="23"/>
  <c r="AI71" i="23"/>
  <c r="V50" i="53"/>
  <c r="BX29" i="25"/>
  <c r="BX28" i="25"/>
  <c r="BX25" i="25"/>
  <c r="BZ25" i="25"/>
  <c r="BZ29" i="25"/>
  <c r="BZ28" i="25"/>
  <c r="BX286" i="59"/>
  <c r="H188" i="60"/>
  <c r="W91" i="25"/>
  <c r="W94" i="25" s="1"/>
  <c r="W97" i="25" s="1"/>
  <c r="P10" i="23"/>
  <c r="BP30" i="20"/>
  <c r="BP117" i="20"/>
  <c r="CX102" i="85"/>
  <c r="CU266" i="59"/>
  <c r="CV266" i="59"/>
  <c r="CW266" i="59"/>
  <c r="CX266" i="59"/>
  <c r="CV219" i="59"/>
  <c r="CV13" i="59"/>
  <c r="T28" i="20"/>
  <c r="BD57" i="59"/>
  <c r="BD56" i="59"/>
  <c r="W46" i="85"/>
  <c r="BG187" i="59"/>
  <c r="BG210" i="59" s="1"/>
  <c r="CY79" i="25"/>
  <c r="BY294" i="59"/>
  <c r="CD295" i="59" s="1"/>
  <c r="CD293" i="59"/>
  <c r="CM192" i="30"/>
  <c r="CN202" i="30"/>
  <c r="K68" i="25"/>
  <c r="K72" i="25"/>
  <c r="K71" i="25"/>
  <c r="AB79" i="32"/>
  <c r="AB80" i="32" s="1"/>
  <c r="AR31" i="30"/>
  <c r="AQ218" i="30"/>
  <c r="AI8" i="23"/>
  <c r="AH475" i="23"/>
  <c r="AH502" i="23" s="1"/>
  <c r="AH212" i="23" s="1"/>
  <c r="BV294" i="59"/>
  <c r="CA295" i="59" s="1"/>
  <c r="CA293" i="59"/>
  <c r="BH24" i="85"/>
  <c r="BH26" i="85"/>
  <c r="M70" i="25"/>
  <c r="CL137" i="85"/>
  <c r="CM135" i="85"/>
  <c r="P182" i="59"/>
  <c r="J54" i="38"/>
  <c r="J76" i="38" s="1"/>
  <c r="J26" i="38"/>
  <c r="AG442" i="23"/>
  <c r="AF395" i="23"/>
  <c r="BT30" i="59"/>
  <c r="BU30" i="59" s="1"/>
  <c r="V18" i="20"/>
  <c r="J31" i="59"/>
  <c r="CF26" i="25"/>
  <c r="CP72" i="30"/>
  <c r="CF30" i="25" s="1"/>
  <c r="AA37" i="95"/>
  <c r="DC265" i="59" s="1"/>
  <c r="AA40" i="95"/>
  <c r="AA43" i="95" s="1"/>
  <c r="DC266" i="59" s="1"/>
  <c r="L88" i="73"/>
  <c r="L87" i="73"/>
  <c r="DK117" i="30"/>
  <c r="BI55" i="59"/>
  <c r="DK119" i="30"/>
  <c r="F8" i="95"/>
  <c r="X128" i="30"/>
  <c r="X130" i="30"/>
  <c r="CM126" i="30"/>
  <c r="CM132" i="30"/>
  <c r="BY29" i="25"/>
  <c r="CH24" i="20"/>
  <c r="X63" i="30"/>
  <c r="AA58" i="30"/>
  <c r="AC28" i="25"/>
  <c r="AC25" i="25"/>
  <c r="AC29" i="25"/>
  <c r="AC27" i="25"/>
  <c r="AB64" i="30"/>
  <c r="L37" i="63"/>
  <c r="AF105" i="23"/>
  <c r="L9" i="62"/>
  <c r="AE423" i="23"/>
  <c r="AD376" i="23"/>
  <c r="BI13" i="59"/>
  <c r="BI219" i="59"/>
  <c r="BI15" i="59"/>
  <c r="CG12" i="25"/>
  <c r="CQ71" i="30"/>
  <c r="CG16" i="25" s="1"/>
  <c r="CG18" i="25" s="1"/>
  <c r="Q48" i="33"/>
  <c r="P49" i="33"/>
  <c r="CV69" i="30"/>
  <c r="AB204" i="30"/>
  <c r="CT69" i="30"/>
  <c r="CW69" i="30" s="1"/>
  <c r="S45" i="38"/>
  <c r="T5" i="38"/>
  <c r="BW294" i="59"/>
  <c r="CB295" i="59" s="1"/>
  <c r="CB293" i="59"/>
  <c r="EF108" i="30"/>
  <c r="CD241" i="59"/>
  <c r="CI33" i="59"/>
  <c r="L33" i="59"/>
  <c r="CD83" i="59"/>
  <c r="DV143" i="30"/>
  <c r="BT80" i="59"/>
  <c r="J79" i="59"/>
  <c r="AH436" i="23"/>
  <c r="AG389" i="23"/>
  <c r="CS135" i="85"/>
  <c r="CR137" i="85"/>
  <c r="J89" i="73"/>
  <c r="G7" i="95"/>
  <c r="AM14" i="20"/>
  <c r="AN14" i="20" s="1"/>
  <c r="Z52" i="59"/>
  <c r="AU115" i="30"/>
  <c r="DB25" i="20"/>
  <c r="DC25" i="20" s="1"/>
  <c r="G31" i="56"/>
  <c r="G19" i="56"/>
  <c r="G16" i="56"/>
  <c r="G35" i="56"/>
  <c r="CJ61" i="30"/>
  <c r="CJ65" i="30"/>
  <c r="CJ73" i="30" s="1"/>
  <c r="CJ80" i="30" s="1"/>
  <c r="DE382" i="23"/>
  <c r="DF382" i="23"/>
  <c r="DD382" i="23"/>
  <c r="DG382" i="23"/>
  <c r="CQ305" i="59"/>
  <c r="CQ56" i="59"/>
  <c r="CQ57" i="59"/>
  <c r="EX90" i="30"/>
  <c r="EX91" i="30" s="1"/>
  <c r="EX87" i="30"/>
  <c r="BK87" i="59"/>
  <c r="H89" i="59"/>
  <c r="BW290" i="59"/>
  <c r="CB291" i="59" s="1"/>
  <c r="CB276" i="59"/>
  <c r="T153" i="23"/>
  <c r="T154" i="23" s="1"/>
  <c r="F17" i="95"/>
  <c r="F20" i="95"/>
  <c r="BV12" i="25"/>
  <c r="CF71" i="30"/>
  <c r="BV16" i="25" s="1"/>
  <c r="C4" i="38"/>
  <c r="C42" i="38" s="1"/>
  <c r="C33" i="38" s="1"/>
  <c r="C32" i="38" s="1"/>
  <c r="C8" i="38"/>
  <c r="C46" i="38"/>
  <c r="BW92" i="85"/>
  <c r="BR11" i="85"/>
  <c r="BW117" i="20"/>
  <c r="BW30" i="20"/>
  <c r="CB30" i="20"/>
  <c r="BY195" i="30"/>
  <c r="BX199" i="30"/>
  <c r="P128" i="30"/>
  <c r="P130" i="30"/>
  <c r="AG388" i="23"/>
  <c r="AH435" i="23"/>
  <c r="BN49" i="59"/>
  <c r="DP116" i="30"/>
  <c r="DP114" i="30"/>
  <c r="BZ174" i="59"/>
  <c r="O41" i="33"/>
  <c r="N38" i="33"/>
  <c r="N39" i="33" s="1"/>
  <c r="Y37" i="95"/>
  <c r="DA265" i="59" s="1"/>
  <c r="Y40" i="95"/>
  <c r="Y43" i="95" s="1"/>
  <c r="DA266" i="59" s="1"/>
  <c r="X37" i="95"/>
  <c r="X40" i="95"/>
  <c r="X43" i="95" s="1"/>
  <c r="BN40" i="25"/>
  <c r="BY154" i="30"/>
  <c r="BX158" i="30"/>
  <c r="AC597" i="23"/>
  <c r="AC606" i="23"/>
  <c r="AC607" i="23" s="1"/>
  <c r="M117" i="20"/>
  <c r="BL117" i="20" s="1"/>
  <c r="BQ117" i="20" s="1"/>
  <c r="M30" i="20"/>
  <c r="S143" i="30"/>
  <c r="AA126" i="30"/>
  <c r="AA132" i="30"/>
  <c r="AA127" i="30"/>
  <c r="BV290" i="59"/>
  <c r="CA291" i="59" s="1"/>
  <c r="CA276" i="59"/>
  <c r="BX294" i="59"/>
  <c r="CC295" i="59" s="1"/>
  <c r="CC293" i="59"/>
  <c r="CE116" i="20"/>
  <c r="CH26" i="20"/>
  <c r="CH116" i="20" s="1"/>
  <c r="D123" i="59"/>
  <c r="AA98" i="30"/>
  <c r="AC31" i="25"/>
  <c r="AC32" i="25"/>
  <c r="N117" i="20"/>
  <c r="BM117" i="20" s="1"/>
  <c r="Y143" i="30"/>
  <c r="N35" i="20"/>
  <c r="N36" i="20" s="1"/>
  <c r="BY28" i="20"/>
  <c r="N30" i="20"/>
  <c r="DK376" i="23"/>
  <c r="DL376" i="23"/>
  <c r="DI376" i="23"/>
  <c r="DJ376" i="23"/>
  <c r="V104" i="33"/>
  <c r="W103" i="33"/>
  <c r="BS15" i="25"/>
  <c r="BT15" i="25" s="1"/>
  <c r="BS18" i="25"/>
  <c r="BT16" i="25"/>
  <c r="J95" i="73"/>
  <c r="G19" i="95"/>
  <c r="BZ181" i="59"/>
  <c r="K183" i="59"/>
  <c r="K182" i="59"/>
  <c r="CG28" i="25"/>
  <c r="CG29" i="25"/>
  <c r="CG25" i="25"/>
  <c r="P90" i="25"/>
  <c r="I20" i="23" s="1"/>
  <c r="I250" i="23" s="1"/>
  <c r="F250" i="23" s="1"/>
  <c r="CJ174" i="59"/>
  <c r="S140" i="30"/>
  <c r="B72" i="38"/>
  <c r="P140" i="30"/>
  <c r="R141" i="30"/>
  <c r="R142" i="30"/>
  <c r="O64" i="33"/>
  <c r="O66" i="33" s="1"/>
  <c r="O59" i="33"/>
  <c r="AB132" i="30"/>
  <c r="AB126" i="30"/>
  <c r="AB127" i="30"/>
  <c r="DL105" i="30"/>
  <c r="AE75" i="32"/>
  <c r="AF75" i="32" s="1"/>
  <c r="AG75" i="32" s="1"/>
  <c r="AH75" i="32" s="1"/>
  <c r="AI75" i="32" s="1"/>
  <c r="AJ75" i="32" s="1"/>
  <c r="AK75" i="32" s="1"/>
  <c r="AL75" i="32" s="1"/>
  <c r="AM75" i="32" s="1"/>
  <c r="AN75" i="32" s="1"/>
  <c r="CK71" i="30"/>
  <c r="CA16" i="25" s="1"/>
  <c r="CA18" i="25" s="1"/>
  <c r="CA12" i="25"/>
  <c r="F122" i="59"/>
  <c r="AC96" i="30"/>
  <c r="AC97" i="30"/>
  <c r="BS24" i="20"/>
  <c r="BT24" i="20" s="1"/>
  <c r="R123" i="31"/>
  <c r="R124" i="31" s="1"/>
  <c r="S121" i="31"/>
  <c r="M21" i="23"/>
  <c r="M23" i="23" s="1"/>
  <c r="M34" i="23" s="1"/>
  <c r="CJ71" i="30"/>
  <c r="BZ16" i="25" s="1"/>
  <c r="BZ18" i="25" s="1"/>
  <c r="BZ12" i="25"/>
  <c r="AD429" i="23"/>
  <c r="AC382" i="23"/>
  <c r="P18" i="25"/>
  <c r="P17" i="25"/>
  <c r="P15" i="25"/>
  <c r="P93" i="25" s="1"/>
  <c r="CV50" i="59"/>
  <c r="BL42" i="31"/>
  <c r="BL43" i="31" s="1"/>
  <c r="CV55" i="59"/>
  <c r="CD209" i="30"/>
  <c r="CC211" i="30"/>
  <c r="CD211" i="30" s="1"/>
  <c r="AG433" i="23"/>
  <c r="AF386" i="23"/>
  <c r="H9" i="23"/>
  <c r="H8" i="23" s="1"/>
  <c r="H475" i="23" s="1"/>
  <c r="B195" i="59"/>
  <c r="B6" i="53"/>
  <c r="BM105" i="85"/>
  <c r="BM18" i="85"/>
  <c r="BM12" i="85"/>
  <c r="BM95" i="85"/>
  <c r="BM96" i="85" s="1"/>
  <c r="BM13" i="85"/>
  <c r="CA30" i="20"/>
  <c r="BV117" i="20"/>
  <c r="BV30" i="20"/>
  <c r="CV138" i="85"/>
  <c r="Y170" i="59"/>
  <c r="X172" i="59"/>
  <c r="X174" i="59" s="1"/>
  <c r="R166" i="59"/>
  <c r="DB13" i="23"/>
  <c r="DB7" i="23"/>
  <c r="S165" i="59"/>
  <c r="CY165" i="59" s="1"/>
  <c r="CY157" i="59"/>
  <c r="CY17" i="23"/>
  <c r="CY14" i="23"/>
  <c r="CT181" i="59"/>
  <c r="Q182" i="59"/>
  <c r="R182" i="59"/>
  <c r="L341" i="60"/>
  <c r="H85" i="63" s="1"/>
  <c r="O9" i="53"/>
  <c r="P9" i="53"/>
  <c r="DA17" i="23"/>
  <c r="DA14" i="23"/>
  <c r="CY177" i="59"/>
  <c r="S179" i="59"/>
  <c r="DF7" i="23"/>
  <c r="DF13" i="23"/>
  <c r="L204" i="59"/>
  <c r="CE202" i="59"/>
  <c r="U323" i="59"/>
  <c r="U92" i="59"/>
  <c r="U93" i="59"/>
  <c r="AK66" i="25"/>
  <c r="D46" i="60" s="1"/>
  <c r="CH115" i="59"/>
  <c r="CC116" i="59"/>
  <c r="CS85" i="59"/>
  <c r="CB81" i="59"/>
  <c r="CB80" i="59"/>
  <c r="CQ85" i="59"/>
  <c r="CL83" i="59"/>
  <c r="CG79" i="59"/>
  <c r="CG84" i="59"/>
  <c r="M292" i="59" l="1"/>
  <c r="M293" i="59" s="1"/>
  <c r="K17" i="53"/>
  <c r="K19" i="53" s="1"/>
  <c r="H340" i="60" s="1"/>
  <c r="P402" i="60"/>
  <c r="O404" i="60"/>
  <c r="Q394" i="60"/>
  <c r="P398" i="60"/>
  <c r="I68" i="53"/>
  <c r="H58" i="53"/>
  <c r="H60" i="53" s="1"/>
  <c r="D224" i="60"/>
  <c r="C226" i="60"/>
  <c r="I32" i="52"/>
  <c r="B278" i="60"/>
  <c r="M27" i="53"/>
  <c r="N27" i="53" s="1"/>
  <c r="L17" i="53"/>
  <c r="B102" i="60"/>
  <c r="Q32" i="32"/>
  <c r="J17" i="53"/>
  <c r="J19" i="53" s="1"/>
  <c r="G340" i="60" s="1"/>
  <c r="K39" i="52"/>
  <c r="J29" i="52"/>
  <c r="J31" i="52" s="1"/>
  <c r="E216" i="60"/>
  <c r="D220" i="60"/>
  <c r="S39" i="32"/>
  <c r="R29" i="32"/>
  <c r="R31" i="32" s="1"/>
  <c r="AD384" i="23"/>
  <c r="AE431" i="23"/>
  <c r="AC247" i="23"/>
  <c r="DM48" i="23"/>
  <c r="DL46" i="23"/>
  <c r="AC46" i="23" s="1"/>
  <c r="DM46" i="23" s="1"/>
  <c r="AC47" i="23"/>
  <c r="DM47" i="23" s="1"/>
  <c r="AI401" i="23"/>
  <c r="AJ448" i="23"/>
  <c r="DM396" i="23"/>
  <c r="DJ384" i="23"/>
  <c r="DI384" i="23"/>
  <c r="DL384" i="23"/>
  <c r="DK384" i="23"/>
  <c r="DM384" i="23" s="1"/>
  <c r="AH233" i="31"/>
  <c r="BR53" i="73"/>
  <c r="DB121" i="59"/>
  <c r="DA121" i="59"/>
  <c r="G34" i="73"/>
  <c r="G35" i="73" s="1"/>
  <c r="G36" i="73" s="1"/>
  <c r="T28" i="31"/>
  <c r="V22" i="38"/>
  <c r="U43" i="38"/>
  <c r="U19" i="38"/>
  <c r="T21" i="38"/>
  <c r="K39" i="31"/>
  <c r="J40" i="31"/>
  <c r="H90" i="31"/>
  <c r="H25" i="31"/>
  <c r="H23" i="31"/>
  <c r="H89" i="31" s="1"/>
  <c r="I34" i="31"/>
  <c r="I24" i="31"/>
  <c r="I31" i="31"/>
  <c r="CY22" i="23"/>
  <c r="EV209" i="30"/>
  <c r="CP214" i="59"/>
  <c r="CP207" i="59"/>
  <c r="CP212" i="59" s="1"/>
  <c r="CQ214" i="59"/>
  <c r="CQ207" i="59"/>
  <c r="CQ212" i="59" s="1"/>
  <c r="W56" i="25"/>
  <c r="W58" i="25"/>
  <c r="W60" i="25" s="1"/>
  <c r="AL198" i="30"/>
  <c r="M285" i="59"/>
  <c r="L102" i="73"/>
  <c r="F33" i="73"/>
  <c r="K95" i="73"/>
  <c r="AR20" i="31"/>
  <c r="AR28" i="31" s="1"/>
  <c r="AS20" i="31"/>
  <c r="AS28" i="31" s="1"/>
  <c r="BH46" i="73"/>
  <c r="AQ20" i="31"/>
  <c r="AQ28" i="31" s="1"/>
  <c r="AU8" i="31"/>
  <c r="AK403" i="23"/>
  <c r="T401" i="60"/>
  <c r="N63" i="60"/>
  <c r="I74" i="63"/>
  <c r="AT84" i="25"/>
  <c r="AE196" i="59"/>
  <c r="AU84" i="25" s="1"/>
  <c r="BX116" i="59"/>
  <c r="BX115" i="59"/>
  <c r="BY116" i="59"/>
  <c r="BY115" i="59"/>
  <c r="CJ40" i="23"/>
  <c r="CC115" i="59"/>
  <c r="BV111" i="59"/>
  <c r="BV114" i="59" s="1"/>
  <c r="BV104" i="59"/>
  <c r="BW115" i="59"/>
  <c r="BW116" i="59"/>
  <c r="CX268" i="59"/>
  <c r="FG96" i="30"/>
  <c r="DB274" i="59"/>
  <c r="BR13" i="31" s="1"/>
  <c r="H8" i="95"/>
  <c r="I37" i="95"/>
  <c r="I34" i="95" s="1"/>
  <c r="I40" i="95" s="1"/>
  <c r="CX119" i="85"/>
  <c r="CV154" i="85"/>
  <c r="CV153" i="85"/>
  <c r="CX120" i="85"/>
  <c r="CX131" i="85" s="1"/>
  <c r="CX149" i="85"/>
  <c r="V149" i="85" s="1"/>
  <c r="V150" i="85" s="1"/>
  <c r="V113" i="85"/>
  <c r="V114" i="85" s="1"/>
  <c r="DR207" i="30"/>
  <c r="CJ100" i="23"/>
  <c r="CJ98" i="23" s="1"/>
  <c r="CJ58" i="23"/>
  <c r="CJ60" i="23"/>
  <c r="CJ50" i="23"/>
  <c r="CJ52" i="23" s="1"/>
  <c r="CJ55" i="23" s="1"/>
  <c r="DA114" i="85"/>
  <c r="DA119" i="85"/>
  <c r="DA120" i="85"/>
  <c r="DP209" i="30"/>
  <c r="BW22" i="23" s="1"/>
  <c r="BW61" i="23" s="1"/>
  <c r="DP197" i="30"/>
  <c r="DO197" i="30"/>
  <c r="DO209" i="30"/>
  <c r="BV22" i="23" s="1"/>
  <c r="BV61" i="23" s="1"/>
  <c r="DB111" i="85"/>
  <c r="DN209" i="30"/>
  <c r="BU22" i="23" s="1"/>
  <c r="BU61" i="23" s="1"/>
  <c r="DN197" i="30"/>
  <c r="BD30" i="20"/>
  <c r="CZ46" i="25"/>
  <c r="AD122" i="20"/>
  <c r="H259" i="59"/>
  <c r="H238" i="59"/>
  <c r="CL114" i="20"/>
  <c r="CL24" i="20" s="1"/>
  <c r="CK114" i="20"/>
  <c r="CK24" i="20" s="1"/>
  <c r="CJ114" i="20"/>
  <c r="CJ24" i="20" s="1"/>
  <c r="CO113" i="20"/>
  <c r="CO23" i="20" s="1"/>
  <c r="CQ113" i="20"/>
  <c r="CQ23" i="20" s="1"/>
  <c r="CQ26" i="20" s="1"/>
  <c r="CQ116" i="20" s="1"/>
  <c r="CK113" i="20"/>
  <c r="CK23" i="20" s="1"/>
  <c r="CL113" i="20"/>
  <c r="CL23" i="20" s="1"/>
  <c r="CP113" i="20"/>
  <c r="CP23" i="20" s="1"/>
  <c r="CP26" i="20" s="1"/>
  <c r="CP116" i="20" s="1"/>
  <c r="CJ113" i="20"/>
  <c r="CJ23" i="20" s="1"/>
  <c r="S136" i="20"/>
  <c r="S137" i="20" s="1"/>
  <c r="S18" i="20"/>
  <c r="CX16" i="20"/>
  <c r="S19" i="20"/>
  <c r="S11" i="20"/>
  <c r="S12" i="20" s="1"/>
  <c r="CM25" i="20"/>
  <c r="CM115" i="20" s="1"/>
  <c r="U20" i="20"/>
  <c r="V17" i="20"/>
  <c r="I235" i="59"/>
  <c r="DG17" i="20"/>
  <c r="DF17" i="20"/>
  <c r="DF16" i="20" s="1"/>
  <c r="DF11" i="20" s="1"/>
  <c r="DD17" i="20"/>
  <c r="DD16" i="20" s="1"/>
  <c r="DD11" i="20" s="1"/>
  <c r="U82" i="20"/>
  <c r="DE17" i="20"/>
  <c r="DE16" i="20" s="1"/>
  <c r="DE11" i="20" s="1"/>
  <c r="R38" i="20"/>
  <c r="R21" i="20"/>
  <c r="R25" i="20"/>
  <c r="R32" i="20"/>
  <c r="AC105" i="30"/>
  <c r="CS18" i="20"/>
  <c r="R113" i="20"/>
  <c r="R80" i="20"/>
  <c r="CZ17" i="20"/>
  <c r="CY16" i="20"/>
  <c r="CX105" i="30"/>
  <c r="E30" i="59"/>
  <c r="AB106" i="30"/>
  <c r="CY40" i="25"/>
  <c r="CY39" i="25" s="1"/>
  <c r="DI158" i="30"/>
  <c r="CY44" i="25" s="1"/>
  <c r="Z74" i="20"/>
  <c r="Z76" i="20" s="1"/>
  <c r="AA59" i="20"/>
  <c r="Z60" i="20"/>
  <c r="Z62" i="20" s="1"/>
  <c r="Z61" i="20" s="1"/>
  <c r="BH211" i="59"/>
  <c r="BH206" i="59"/>
  <c r="CY82" i="25"/>
  <c r="CY38" i="25"/>
  <c r="Y24" i="20"/>
  <c r="Y78" i="20"/>
  <c r="Y79" i="20" s="1"/>
  <c r="BH198" i="59"/>
  <c r="BH207" i="59" s="1"/>
  <c r="BQ10" i="23"/>
  <c r="BQ13" i="23" s="1"/>
  <c r="BQ17" i="23" s="1"/>
  <c r="BQ21" i="23" s="1"/>
  <c r="CZ39" i="25"/>
  <c r="CZ41" i="25"/>
  <c r="CZ43" i="25"/>
  <c r="AC96" i="41"/>
  <c r="AC97" i="41" s="1"/>
  <c r="S36" i="38"/>
  <c r="AE94" i="41"/>
  <c r="U28" i="38" s="1"/>
  <c r="U10" i="38"/>
  <c r="AD94" i="41"/>
  <c r="T28" i="38" s="1"/>
  <c r="T10" i="38"/>
  <c r="AC383" i="23"/>
  <c r="AD430" i="23"/>
  <c r="DC383" i="23"/>
  <c r="V392" i="23"/>
  <c r="W439" i="23"/>
  <c r="Z439" i="23" s="1"/>
  <c r="V398" i="23"/>
  <c r="W445" i="23"/>
  <c r="DR400" i="23"/>
  <c r="CT385" i="23"/>
  <c r="CU385" i="23" s="1"/>
  <c r="CV385" i="23" s="1"/>
  <c r="AJ393" i="23"/>
  <c r="AK440" i="23"/>
  <c r="DD383" i="23"/>
  <c r="DG383" i="23"/>
  <c r="DE383" i="23"/>
  <c r="DF383" i="23"/>
  <c r="Z385" i="23"/>
  <c r="AA432" i="23"/>
  <c r="AG391" i="23"/>
  <c r="AH438" i="23"/>
  <c r="V379" i="23"/>
  <c r="W426" i="23"/>
  <c r="DR380" i="23"/>
  <c r="W434" i="23"/>
  <c r="V387" i="23"/>
  <c r="AF400" i="23"/>
  <c r="AG447" i="23"/>
  <c r="DF397" i="23"/>
  <c r="DG397" i="23"/>
  <c r="DE397" i="23"/>
  <c r="DD397" i="23"/>
  <c r="V394" i="23"/>
  <c r="W441" i="23"/>
  <c r="Z441" i="23" s="1"/>
  <c r="V415" i="23"/>
  <c r="W462" i="23"/>
  <c r="AD444" i="23"/>
  <c r="AC397" i="23"/>
  <c r="AJ399" i="23"/>
  <c r="AK446" i="23"/>
  <c r="W424" i="23"/>
  <c r="V377" i="23"/>
  <c r="DO396" i="23"/>
  <c r="DP396" i="23"/>
  <c r="DQ396" i="23"/>
  <c r="DN396" i="23"/>
  <c r="W428" i="23"/>
  <c r="V381" i="23"/>
  <c r="AF443" i="23"/>
  <c r="AE396" i="23"/>
  <c r="W425" i="23"/>
  <c r="V378" i="23"/>
  <c r="AG427" i="23"/>
  <c r="AF380" i="23"/>
  <c r="DM376" i="23"/>
  <c r="AM323" i="23"/>
  <c r="DO376" i="23"/>
  <c r="DN376" i="23"/>
  <c r="DP376" i="23"/>
  <c r="DQ376" i="23"/>
  <c r="AN345" i="23"/>
  <c r="N294" i="60"/>
  <c r="CK212" i="59"/>
  <c r="P26" i="52"/>
  <c r="Q27" i="52"/>
  <c r="CI115" i="59"/>
  <c r="F198" i="59"/>
  <c r="S85" i="25"/>
  <c r="L10" i="23"/>
  <c r="CS86" i="25"/>
  <c r="S91" i="25"/>
  <c r="T92" i="25" s="1"/>
  <c r="T87" i="25"/>
  <c r="L611" i="23"/>
  <c r="BJ22" i="23"/>
  <c r="L61" i="23"/>
  <c r="L251" i="23"/>
  <c r="CD116" i="59"/>
  <c r="V24" i="52"/>
  <c r="AW206" i="30"/>
  <c r="AP16" i="30"/>
  <c r="AP19" i="30" s="1"/>
  <c r="W9" i="52"/>
  <c r="X16" i="52"/>
  <c r="Q279" i="60" s="1"/>
  <c r="L83" i="63"/>
  <c r="W17" i="52"/>
  <c r="W23" i="52"/>
  <c r="W18" i="52"/>
  <c r="AD9" i="95"/>
  <c r="AD23" i="95"/>
  <c r="AD24" i="95" s="1"/>
  <c r="DF271" i="59" s="1"/>
  <c r="AP10" i="30"/>
  <c r="V39" i="59"/>
  <c r="AP11" i="30"/>
  <c r="AP23" i="30" s="1"/>
  <c r="Y6" i="52"/>
  <c r="X20" i="52"/>
  <c r="AQ22" i="30" s="1"/>
  <c r="X13" i="52"/>
  <c r="AQ9" i="30"/>
  <c r="K89" i="73"/>
  <c r="DB273" i="59"/>
  <c r="DB296" i="59"/>
  <c r="DB271" i="59"/>
  <c r="BY25" i="20"/>
  <c r="CI26" i="20"/>
  <c r="BL113" i="20"/>
  <c r="BK23" i="20"/>
  <c r="BK26" i="20" s="1"/>
  <c r="BK116" i="20" s="1"/>
  <c r="AC75" i="20"/>
  <c r="AF71" i="20"/>
  <c r="AG70" i="20"/>
  <c r="L116" i="20"/>
  <c r="G113" i="20"/>
  <c r="G26" i="20"/>
  <c r="G116" i="20" s="1"/>
  <c r="BY23" i="20"/>
  <c r="BX113" i="20"/>
  <c r="D78" i="20"/>
  <c r="E79" i="20" s="1"/>
  <c r="F72" i="20"/>
  <c r="F23" i="20" s="1"/>
  <c r="S147" i="30"/>
  <c r="N37" i="25" s="1"/>
  <c r="CA117" i="20"/>
  <c r="CF30" i="20"/>
  <c r="E80" i="20"/>
  <c r="F79" i="20"/>
  <c r="B66" i="20"/>
  <c r="B71" i="20" s="1"/>
  <c r="B78" i="20" s="1"/>
  <c r="B80" i="20" s="1"/>
  <c r="C71" i="20"/>
  <c r="Q116" i="20"/>
  <c r="Q27" i="20"/>
  <c r="CC16" i="20"/>
  <c r="CH12" i="20"/>
  <c r="AE72" i="20"/>
  <c r="AE23" i="20" s="1"/>
  <c r="AD95" i="41"/>
  <c r="T31" i="38"/>
  <c r="AD86" i="41"/>
  <c r="U31" i="38"/>
  <c r="AE86" i="41"/>
  <c r="AE95" i="41"/>
  <c r="M87" i="73"/>
  <c r="M88" i="73"/>
  <c r="M86" i="73"/>
  <c r="N86" i="73" s="1"/>
  <c r="N87" i="73" s="1"/>
  <c r="J43" i="95"/>
  <c r="DE266" i="59"/>
  <c r="AE46" i="95"/>
  <c r="DG265" i="59"/>
  <c r="DG268" i="59" s="1"/>
  <c r="DH269" i="59"/>
  <c r="DH274" i="59"/>
  <c r="BX13" i="31" s="1"/>
  <c r="AD46" i="95"/>
  <c r="DF265" i="59"/>
  <c r="DF268" i="59" s="1"/>
  <c r="AF46" i="95"/>
  <c r="DH265" i="59"/>
  <c r="M92" i="73"/>
  <c r="N92" i="73" s="1"/>
  <c r="N93" i="73" s="1"/>
  <c r="M93" i="73"/>
  <c r="M94" i="73"/>
  <c r="DF269" i="59"/>
  <c r="DF274" i="59"/>
  <c r="BV13" i="31" s="1"/>
  <c r="AC46" i="95"/>
  <c r="J37" i="95"/>
  <c r="AG37" i="95" s="1"/>
  <c r="DE265" i="59"/>
  <c r="DG269" i="59"/>
  <c r="AC72" i="23"/>
  <c r="AA73" i="23"/>
  <c r="AL43" i="23"/>
  <c r="AB12" i="56"/>
  <c r="AK260" i="23"/>
  <c r="AK230" i="23"/>
  <c r="CV101" i="85"/>
  <c r="DA84" i="85"/>
  <c r="DA104" i="85"/>
  <c r="DA102" i="85"/>
  <c r="CW8" i="85"/>
  <c r="CW16" i="85" s="1"/>
  <c r="DB68" i="85"/>
  <c r="DB8" i="85" s="1"/>
  <c r="AE130" i="85"/>
  <c r="BW55" i="73"/>
  <c r="BW53" i="73"/>
  <c r="BS140" i="30"/>
  <c r="BS141" i="30" s="1"/>
  <c r="BS138" i="30"/>
  <c r="CC131" i="30"/>
  <c r="CC127" i="30"/>
  <c r="CC130" i="30" s="1"/>
  <c r="CC103" i="30"/>
  <c r="CC104" i="30" s="1"/>
  <c r="CC98" i="30"/>
  <c r="CL124" i="30"/>
  <c r="CM123" i="30"/>
  <c r="CL127" i="30"/>
  <c r="CB128" i="30"/>
  <c r="CB130" i="30"/>
  <c r="CB140" i="30"/>
  <c r="BS147" i="30"/>
  <c r="CG124" i="30"/>
  <c r="CH123" i="30"/>
  <c r="CJ203" i="59"/>
  <c r="O203" i="59"/>
  <c r="BN141" i="30"/>
  <c r="BN142" i="30"/>
  <c r="CH94" i="30"/>
  <c r="CL98" i="30"/>
  <c r="CL103" i="30"/>
  <c r="CL104" i="30" s="1"/>
  <c r="CG119" i="30"/>
  <c r="CG95" i="30"/>
  <c r="CG103" i="30"/>
  <c r="CG104" i="30" s="1"/>
  <c r="BS128" i="30"/>
  <c r="BS130" i="30"/>
  <c r="AO121" i="59"/>
  <c r="CR93" i="30"/>
  <c r="CS93" i="30" s="1"/>
  <c r="CQ123" i="30"/>
  <c r="CV93" i="30"/>
  <c r="BW142" i="30"/>
  <c r="BW141" i="30"/>
  <c r="CM94" i="30"/>
  <c r="CM97" i="30"/>
  <c r="CN97" i="30" s="1"/>
  <c r="AE690" i="23"/>
  <c r="AE234" i="23"/>
  <c r="CX292" i="59"/>
  <c r="DA56" i="59"/>
  <c r="F32" i="62"/>
  <c r="P32" i="62" s="1"/>
  <c r="BZ224" i="59"/>
  <c r="BK13" i="73"/>
  <c r="BI8" i="31"/>
  <c r="BA8" i="31"/>
  <c r="U8" i="31"/>
  <c r="BJ13" i="73"/>
  <c r="BH8" i="31"/>
  <c r="BG8" i="31"/>
  <c r="BI13" i="73"/>
  <c r="DD14" i="23"/>
  <c r="R41" i="95"/>
  <c r="R42" i="95" s="1"/>
  <c r="S35" i="95"/>
  <c r="S41" i="95" s="1"/>
  <c r="S42" i="95" s="1"/>
  <c r="DA296" i="59"/>
  <c r="DF296" i="59" s="1"/>
  <c r="CV292" i="59"/>
  <c r="BS18" i="85"/>
  <c r="BS13" i="85"/>
  <c r="BS39" i="85" s="1"/>
  <c r="BS105" i="85"/>
  <c r="BS12" i="85"/>
  <c r="BS95" i="85"/>
  <c r="BS96" i="85" s="1"/>
  <c r="CV102" i="85"/>
  <c r="CV104" i="85"/>
  <c r="BX11" i="85"/>
  <c r="CC92" i="85"/>
  <c r="BX24" i="85"/>
  <c r="BN20" i="85"/>
  <c r="BN14" i="85"/>
  <c r="BN23" i="85"/>
  <c r="BN25" i="85" s="1"/>
  <c r="BN26" i="85" s="1"/>
  <c r="BN71" i="85"/>
  <c r="BN72" i="85" s="1"/>
  <c r="BR18" i="59"/>
  <c r="K42" i="25"/>
  <c r="K43" i="25"/>
  <c r="L41" i="25"/>
  <c r="K38" i="25"/>
  <c r="K82" i="25"/>
  <c r="K39" i="25"/>
  <c r="AL410" i="23"/>
  <c r="AM457" i="23"/>
  <c r="CU296" i="59"/>
  <c r="AB242" i="30"/>
  <c r="U127" i="73"/>
  <c r="U124" i="73"/>
  <c r="V125" i="73"/>
  <c r="W125" i="73" s="1"/>
  <c r="U126" i="73"/>
  <c r="CZ79" i="25"/>
  <c r="BH187" i="59"/>
  <c r="BH210" i="59" s="1"/>
  <c r="L241" i="59"/>
  <c r="CE241" i="59" s="1"/>
  <c r="BR192" i="59"/>
  <c r="DQ131" i="30"/>
  <c r="DQ125" i="30"/>
  <c r="AF125" i="30" s="1"/>
  <c r="DR125" i="30" s="1"/>
  <c r="DR123" i="30"/>
  <c r="BT81" i="59"/>
  <c r="T12" i="20"/>
  <c r="CX17" i="23"/>
  <c r="B210" i="59"/>
  <c r="CY114" i="85"/>
  <c r="CY119" i="85"/>
  <c r="CY120" i="85"/>
  <c r="CY131" i="85" s="1"/>
  <c r="CV60" i="85"/>
  <c r="CQ63" i="85"/>
  <c r="S106" i="73"/>
  <c r="S105" i="73"/>
  <c r="T104" i="73"/>
  <c r="S103" i="73"/>
  <c r="AC112" i="85" s="1"/>
  <c r="X100" i="31"/>
  <c r="W102" i="31"/>
  <c r="AD101" i="31"/>
  <c r="M107" i="31"/>
  <c r="M108" i="31" s="1"/>
  <c r="M109" i="31" s="1"/>
  <c r="M135" i="31"/>
  <c r="M112" i="31" s="1"/>
  <c r="M128" i="31"/>
  <c r="M129" i="31" s="1"/>
  <c r="M130" i="31" s="1"/>
  <c r="N133" i="31"/>
  <c r="O134" i="31"/>
  <c r="M113" i="31"/>
  <c r="M114" i="31" s="1"/>
  <c r="M104" i="31"/>
  <c r="O101" i="31"/>
  <c r="N102" i="31"/>
  <c r="N103" i="31" s="1"/>
  <c r="R127" i="31"/>
  <c r="BT47" i="73"/>
  <c r="Z24" i="59"/>
  <c r="Y233" i="59"/>
  <c r="BS47" i="73"/>
  <c r="BI55" i="73"/>
  <c r="BI56" i="73"/>
  <c r="BI53" i="73"/>
  <c r="CV122" i="59"/>
  <c r="EX93" i="30"/>
  <c r="EX94" i="30" s="1"/>
  <c r="BO49" i="73"/>
  <c r="BO46" i="73" s="1"/>
  <c r="BN49" i="73"/>
  <c r="BN48" i="73"/>
  <c r="CQ125" i="59"/>
  <c r="BN54" i="73" s="1"/>
  <c r="ES95" i="30"/>
  <c r="ES96" i="30" s="1"/>
  <c r="CU305" i="59"/>
  <c r="CU56" i="59"/>
  <c r="CU57" i="59"/>
  <c r="AF191" i="31"/>
  <c r="AE191" i="31"/>
  <c r="ET95" i="30"/>
  <c r="ET96" i="30" s="1"/>
  <c r="CR125" i="59"/>
  <c r="BO54" i="73" s="1"/>
  <c r="BJ53" i="73"/>
  <c r="BJ55" i="73"/>
  <c r="BJ56" i="73"/>
  <c r="EY93" i="30"/>
  <c r="EY94" i="30" s="1"/>
  <c r="CW122" i="59"/>
  <c r="CK98" i="23"/>
  <c r="CK100" i="23" s="1"/>
  <c r="CK60" i="23"/>
  <c r="CK50" i="23"/>
  <c r="CK52" i="23" s="1"/>
  <c r="CK55" i="23" s="1"/>
  <c r="CK58" i="23"/>
  <c r="AD71" i="59"/>
  <c r="L38" i="23"/>
  <c r="BI38" i="23" s="1"/>
  <c r="BJ38" i="23" s="1"/>
  <c r="L64" i="23"/>
  <c r="BJ36" i="23"/>
  <c r="BR47" i="73"/>
  <c r="AW205" i="30"/>
  <c r="AX156" i="30"/>
  <c r="AX205" i="30" s="1"/>
  <c r="AV209" i="30"/>
  <c r="AD32" i="85"/>
  <c r="AR57" i="25" s="1"/>
  <c r="AV179" i="30" s="1"/>
  <c r="AV180" i="30" s="1"/>
  <c r="AW207" i="30"/>
  <c r="S38" i="38"/>
  <c r="T30" i="38"/>
  <c r="AJ151" i="23"/>
  <c r="AJ165" i="23"/>
  <c r="AJ171" i="23" s="1"/>
  <c r="AJ113" i="23" s="1"/>
  <c r="CK142" i="30"/>
  <c r="CK141" i="30"/>
  <c r="CF142" i="30"/>
  <c r="CF141" i="30"/>
  <c r="CU126" i="30"/>
  <c r="CU127" i="30"/>
  <c r="AS125" i="59"/>
  <c r="AS123" i="59"/>
  <c r="CP128" i="30"/>
  <c r="CP130" i="30"/>
  <c r="AN149" i="59"/>
  <c r="CP140" i="30"/>
  <c r="CU98" i="30"/>
  <c r="CU103" i="30"/>
  <c r="CZ97" i="30"/>
  <c r="AX122" i="59"/>
  <c r="CZ125" i="30"/>
  <c r="DE95" i="30"/>
  <c r="AD601" i="23"/>
  <c r="AD605" i="23" s="1"/>
  <c r="O14" i="31"/>
  <c r="O95" i="31"/>
  <c r="P11" i="31"/>
  <c r="D9" i="73" s="1"/>
  <c r="O23" i="31"/>
  <c r="CR86" i="30"/>
  <c r="D8" i="59"/>
  <c r="AA90" i="30"/>
  <c r="AA87" i="30"/>
  <c r="CS86" i="30"/>
  <c r="M34" i="31"/>
  <c r="N25" i="31"/>
  <c r="N90" i="31"/>
  <c r="C12" i="59"/>
  <c r="Z91" i="30"/>
  <c r="N31" i="31"/>
  <c r="N33" i="31" s="1"/>
  <c r="X91" i="30"/>
  <c r="X103" i="30"/>
  <c r="N37" i="31"/>
  <c r="AC239" i="30"/>
  <c r="N15" i="31"/>
  <c r="N158" i="31"/>
  <c r="N159" i="31" s="1"/>
  <c r="AC86" i="30"/>
  <c r="N52" i="31"/>
  <c r="N46" i="31"/>
  <c r="N96" i="31"/>
  <c r="CN86" i="30"/>
  <c r="CM90" i="30"/>
  <c r="CN90" i="30" s="1"/>
  <c r="CM87" i="30"/>
  <c r="CW86" i="30"/>
  <c r="CX86" i="30" s="1"/>
  <c r="W87" i="30"/>
  <c r="AB87" i="30"/>
  <c r="E8" i="59"/>
  <c r="AB90" i="30"/>
  <c r="X13" i="32"/>
  <c r="X14" i="32" s="1"/>
  <c r="X88" i="32"/>
  <c r="X16" i="32"/>
  <c r="X10" i="32"/>
  <c r="AI93" i="30"/>
  <c r="W18" i="32"/>
  <c r="H103" i="60"/>
  <c r="D76" i="63" s="1"/>
  <c r="W17" i="32"/>
  <c r="AH123" i="30"/>
  <c r="W23" i="32"/>
  <c r="X50" i="95"/>
  <c r="M286" i="59"/>
  <c r="CW137" i="85"/>
  <c r="CW138" i="85" s="1"/>
  <c r="CW125" i="85"/>
  <c r="J124" i="59"/>
  <c r="BT121" i="59"/>
  <c r="BU121" i="59" s="1"/>
  <c r="CT189" i="59"/>
  <c r="V24" i="32"/>
  <c r="V25" i="32"/>
  <c r="BO125" i="59"/>
  <c r="I122" i="59"/>
  <c r="DQ95" i="30"/>
  <c r="Q295" i="59"/>
  <c r="CX125" i="85"/>
  <c r="CX137" i="85"/>
  <c r="AG131" i="30"/>
  <c r="AG124" i="30"/>
  <c r="AG125" i="30"/>
  <c r="K121" i="59"/>
  <c r="AH94" i="30"/>
  <c r="DH382" i="23"/>
  <c r="AK354" i="23"/>
  <c r="AK409" i="23" s="1"/>
  <c r="AL348" i="23"/>
  <c r="J195" i="30"/>
  <c r="J199" i="30" s="1"/>
  <c r="L195" i="30"/>
  <c r="L199" i="30" s="1"/>
  <c r="L211" i="30" s="1"/>
  <c r="K199" i="30"/>
  <c r="K211" i="30" s="1"/>
  <c r="BC43" i="25"/>
  <c r="BC42" i="25"/>
  <c r="BC39" i="25"/>
  <c r="BD39" i="25"/>
  <c r="BD43" i="25"/>
  <c r="BD42" i="25"/>
  <c r="CR83" i="59"/>
  <c r="CR30" i="59"/>
  <c r="ET108" i="30"/>
  <c r="CW33" i="59"/>
  <c r="CR241" i="59"/>
  <c r="CR224" i="59" s="1"/>
  <c r="DE17" i="23"/>
  <c r="DE14" i="23"/>
  <c r="CQ241" i="59"/>
  <c r="CQ224" i="59" s="1"/>
  <c r="ES108" i="30"/>
  <c r="CQ30" i="59"/>
  <c r="CQ234" i="59" s="1"/>
  <c r="CV33" i="59"/>
  <c r="CM79" i="59"/>
  <c r="CM84" i="59"/>
  <c r="CF241" i="59"/>
  <c r="CF224" i="59" s="1"/>
  <c r="CK33" i="59"/>
  <c r="EH108" i="30"/>
  <c r="CF30" i="59"/>
  <c r="CF83" i="59"/>
  <c r="CM234" i="59"/>
  <c r="EO105" i="30"/>
  <c r="EO106" i="30" s="1"/>
  <c r="CM31" i="59"/>
  <c r="DR18" i="20"/>
  <c r="BV80" i="59"/>
  <c r="BV81" i="59"/>
  <c r="CA84" i="59"/>
  <c r="CA79" i="59"/>
  <c r="CL234" i="59"/>
  <c r="DQ18" i="20"/>
  <c r="EN105" i="30"/>
  <c r="EN106" i="30" s="1"/>
  <c r="CL31" i="59"/>
  <c r="EC105" i="30"/>
  <c r="EC106" i="30" s="1"/>
  <c r="CA234" i="59"/>
  <c r="CA31" i="59"/>
  <c r="CH80" i="59"/>
  <c r="CH81" i="59"/>
  <c r="DM105" i="30"/>
  <c r="S56" i="85"/>
  <c r="S57" i="85" s="1"/>
  <c r="S99" i="85"/>
  <c r="CR16" i="85"/>
  <c r="CR9" i="85"/>
  <c r="CW9" i="85"/>
  <c r="CY89" i="85"/>
  <c r="CT104" i="85"/>
  <c r="CT98" i="85"/>
  <c r="CO102" i="85"/>
  <c r="T98" i="85"/>
  <c r="T102" i="85" s="1"/>
  <c r="CO101" i="85"/>
  <c r="S63" i="85"/>
  <c r="S64" i="85" s="1"/>
  <c r="S66" i="85"/>
  <c r="S52" i="85"/>
  <c r="S80" i="85"/>
  <c r="S78" i="85"/>
  <c r="S61" i="85"/>
  <c r="S62" i="85"/>
  <c r="S77" i="85"/>
  <c r="S50" i="85"/>
  <c r="S51" i="85" s="1"/>
  <c r="CS84" i="85"/>
  <c r="CN101" i="85"/>
  <c r="CO16" i="85"/>
  <c r="CO9" i="85"/>
  <c r="BU95" i="85"/>
  <c r="BU96" i="85" s="1"/>
  <c r="BU18" i="85"/>
  <c r="BU105" i="85"/>
  <c r="BU12" i="85"/>
  <c r="BU13" i="85"/>
  <c r="CR84" i="85"/>
  <c r="T84" i="85"/>
  <c r="T87" i="85" s="1"/>
  <c r="CM101" i="85"/>
  <c r="N23" i="85"/>
  <c r="BJ39" i="85"/>
  <c r="BK24" i="85"/>
  <c r="BK25" i="85" s="1"/>
  <c r="BO24" i="85"/>
  <c r="T104" i="85"/>
  <c r="T90" i="85"/>
  <c r="BZ11" i="85"/>
  <c r="CE92" i="85"/>
  <c r="BY92" i="85"/>
  <c r="BT11" i="85"/>
  <c r="P11" i="85" s="1"/>
  <c r="N71" i="85"/>
  <c r="N72" i="85" s="1"/>
  <c r="BL13" i="85"/>
  <c r="Y49" i="25"/>
  <c r="N20" i="85"/>
  <c r="N14" i="85"/>
  <c r="CD9" i="85"/>
  <c r="CD16" i="85"/>
  <c r="R16" i="85" s="1"/>
  <c r="R8" i="85"/>
  <c r="CS65" i="85"/>
  <c r="CN63" i="85"/>
  <c r="T65" i="85"/>
  <c r="CR60" i="85"/>
  <c r="T60" i="85"/>
  <c r="CM63" i="85"/>
  <c r="Q17" i="85"/>
  <c r="CA16" i="85"/>
  <c r="R53" i="85"/>
  <c r="R54" i="85"/>
  <c r="R55" i="85" s="1"/>
  <c r="CY65" i="85"/>
  <c r="DD65" i="85" s="1"/>
  <c r="CT63" i="85"/>
  <c r="CT8" i="85"/>
  <c r="U89" i="85"/>
  <c r="CR102" i="85"/>
  <c r="CW89" i="85"/>
  <c r="DB89" i="85" s="1"/>
  <c r="CR104" i="85"/>
  <c r="BE39" i="85"/>
  <c r="M24" i="85"/>
  <c r="S85" i="85"/>
  <c r="S86" i="85"/>
  <c r="S101" i="85"/>
  <c r="BO95" i="85"/>
  <c r="BO96" i="85" s="1"/>
  <c r="BO18" i="85"/>
  <c r="O18" i="85" s="1"/>
  <c r="BO12" i="85"/>
  <c r="BO105" i="85"/>
  <c r="BO13" i="85"/>
  <c r="BK21" i="85"/>
  <c r="CN68" i="85"/>
  <c r="CI8" i="85"/>
  <c r="R11" i="31"/>
  <c r="Q14" i="31"/>
  <c r="Q9" i="85"/>
  <c r="CA8" i="85"/>
  <c r="Q68" i="85"/>
  <c r="Q69" i="85" s="1"/>
  <c r="Q81" i="85"/>
  <c r="DQ168" i="30"/>
  <c r="BO18" i="59"/>
  <c r="BP23" i="85"/>
  <c r="BP20" i="85"/>
  <c r="BP14" i="85"/>
  <c r="BP71" i="85"/>
  <c r="BP72" i="85" s="1"/>
  <c r="BT18" i="59"/>
  <c r="CW204" i="30"/>
  <c r="CW209" i="30" s="1"/>
  <c r="BD22" i="23" s="1"/>
  <c r="BD20" i="23" s="1"/>
  <c r="BD21" i="23" s="1"/>
  <c r="BD23" i="23" s="1"/>
  <c r="CX69" i="30"/>
  <c r="AH433" i="23"/>
  <c r="AG386" i="23"/>
  <c r="I22" i="23"/>
  <c r="P86" i="25"/>
  <c r="AD382" i="23"/>
  <c r="AE429" i="23"/>
  <c r="BZ11" i="25"/>
  <c r="BZ14" i="25"/>
  <c r="BZ15" i="25"/>
  <c r="AC98" i="30"/>
  <c r="F123" i="59"/>
  <c r="O67" i="33"/>
  <c r="B131" i="60"/>
  <c r="B73" i="38"/>
  <c r="B70" i="38"/>
  <c r="B68" i="38" s="1"/>
  <c r="D149" i="59"/>
  <c r="AA128" i="30"/>
  <c r="AA130" i="30"/>
  <c r="BN44" i="25"/>
  <c r="BN46" i="25" s="1"/>
  <c r="BY158" i="30"/>
  <c r="I43" i="95"/>
  <c r="CZ266" i="59"/>
  <c r="P41" i="33"/>
  <c r="O38" i="33"/>
  <c r="O39" i="33" s="1"/>
  <c r="AH388" i="23"/>
  <c r="AI435" i="23"/>
  <c r="C85" i="38"/>
  <c r="C91" i="38"/>
  <c r="BV11" i="25"/>
  <c r="BV14" i="25"/>
  <c r="BV15" i="25"/>
  <c r="J87" i="59"/>
  <c r="AG143" i="30"/>
  <c r="J81" i="59"/>
  <c r="BU79" i="59"/>
  <c r="J80" i="59"/>
  <c r="L83" i="59"/>
  <c r="CD79" i="59"/>
  <c r="CD84" i="59"/>
  <c r="U5" i="38"/>
  <c r="T45" i="38"/>
  <c r="DK103" i="30"/>
  <c r="AF423" i="23"/>
  <c r="AE376" i="23"/>
  <c r="H17" i="95"/>
  <c r="H20" i="95"/>
  <c r="AF109" i="23"/>
  <c r="AB72" i="30"/>
  <c r="R26" i="25"/>
  <c r="AG105" i="30"/>
  <c r="V21" i="20"/>
  <c r="V32" i="20"/>
  <c r="V16" i="20"/>
  <c r="V80" i="20"/>
  <c r="V25" i="20"/>
  <c r="V113" i="20"/>
  <c r="BH39" i="85"/>
  <c r="N24" i="85"/>
  <c r="BM24" i="85"/>
  <c r="CM58" i="30"/>
  <c r="CR192" i="30"/>
  <c r="CN192" i="30"/>
  <c r="X46" i="85"/>
  <c r="T117" i="20"/>
  <c r="E191" i="60"/>
  <c r="T26" i="20"/>
  <c r="T35" i="20"/>
  <c r="T29" i="20"/>
  <c r="CX274" i="59"/>
  <c r="BN13" i="31" s="1"/>
  <c r="CX269" i="59"/>
  <c r="P13" i="23"/>
  <c r="P17" i="23" s="1"/>
  <c r="P21" i="23" s="1"/>
  <c r="P23" i="23" s="1"/>
  <c r="P34" i="23" s="1"/>
  <c r="P7" i="23"/>
  <c r="T148" i="20"/>
  <c r="T137" i="20"/>
  <c r="T135" i="20"/>
  <c r="T147" i="20" s="1"/>
  <c r="U147" i="20" s="1"/>
  <c r="T134" i="20"/>
  <c r="T146" i="20" s="1"/>
  <c r="U146" i="20" s="1"/>
  <c r="J223" i="60"/>
  <c r="CB11" i="25"/>
  <c r="CB15" i="25"/>
  <c r="CB14" i="25"/>
  <c r="BD199" i="59"/>
  <c r="BD200" i="59"/>
  <c r="C151" i="59"/>
  <c r="C157" i="59"/>
  <c r="C150" i="59"/>
  <c r="CL16" i="85"/>
  <c r="CL9" i="85"/>
  <c r="E131" i="59"/>
  <c r="E126" i="59"/>
  <c r="CM193" i="30"/>
  <c r="CM194" i="30" s="1"/>
  <c r="CN203" i="30"/>
  <c r="AF106" i="30"/>
  <c r="BE198" i="59"/>
  <c r="BF198" i="59" s="1"/>
  <c r="BN10" i="23"/>
  <c r="CW87" i="25"/>
  <c r="U28" i="20"/>
  <c r="AF144" i="30"/>
  <c r="BC200" i="59"/>
  <c r="BC199" i="59"/>
  <c r="H370" i="60"/>
  <c r="H369" i="60" s="1"/>
  <c r="AH146" i="30"/>
  <c r="K85" i="59"/>
  <c r="BZ83" i="59"/>
  <c r="X96" i="33"/>
  <c r="W97" i="33"/>
  <c r="DB269" i="59"/>
  <c r="BX117" i="20"/>
  <c r="BX8" i="59"/>
  <c r="BS12" i="59"/>
  <c r="BS49" i="59"/>
  <c r="DU86" i="30"/>
  <c r="CX86" i="25"/>
  <c r="CF12" i="25"/>
  <c r="CP71" i="30"/>
  <c r="CF16" i="25" s="1"/>
  <c r="BQ18" i="59"/>
  <c r="BM14" i="85"/>
  <c r="BM20" i="85"/>
  <c r="BM71" i="85"/>
  <c r="BM72" i="85" s="1"/>
  <c r="BM23" i="85"/>
  <c r="CV56" i="59"/>
  <c r="CV57" i="59"/>
  <c r="CV305" i="59"/>
  <c r="M40" i="23"/>
  <c r="M663" i="23"/>
  <c r="M44" i="23"/>
  <c r="BS114" i="20"/>
  <c r="BS27" i="20"/>
  <c r="CA15" i="25"/>
  <c r="CA11" i="25"/>
  <c r="CA14" i="25"/>
  <c r="D126" i="59"/>
  <c r="D131" i="59"/>
  <c r="X46" i="95"/>
  <c r="CZ265" i="59"/>
  <c r="N266" i="59"/>
  <c r="F21" i="95"/>
  <c r="G8" i="95"/>
  <c r="L30" i="59"/>
  <c r="L34" i="59"/>
  <c r="AI108" i="30"/>
  <c r="EG108" i="30" s="1"/>
  <c r="CE33" i="59"/>
  <c r="AB209" i="30"/>
  <c r="Q49" i="33"/>
  <c r="R48" i="33"/>
  <c r="Q51" i="33"/>
  <c r="BI226" i="59"/>
  <c r="BI228" i="59" s="1"/>
  <c r="V9" i="62"/>
  <c r="AA63" i="30"/>
  <c r="DC274" i="59"/>
  <c r="BS13" i="31" s="1"/>
  <c r="DC269" i="59"/>
  <c r="CF32" i="25"/>
  <c r="CK31" i="25"/>
  <c r="AH442" i="23"/>
  <c r="AG395" i="23"/>
  <c r="BG191" i="59"/>
  <c r="BP5" i="23"/>
  <c r="DD80" i="25"/>
  <c r="CY80" i="25"/>
  <c r="CW269" i="59"/>
  <c r="CW274" i="59"/>
  <c r="BM13" i="31" s="1"/>
  <c r="W50" i="53"/>
  <c r="C195" i="59"/>
  <c r="I9" i="23"/>
  <c r="I8" i="23" s="1"/>
  <c r="I475" i="23" s="1"/>
  <c r="I503" i="23" s="1"/>
  <c r="C6" i="53"/>
  <c r="BM13" i="23"/>
  <c r="BM7" i="23"/>
  <c r="W111" i="31"/>
  <c r="CV68" i="85"/>
  <c r="CQ8" i="85"/>
  <c r="CA28" i="25"/>
  <c r="CA25" i="25"/>
  <c r="CA29" i="25"/>
  <c r="K54" i="38"/>
  <c r="K76" i="38"/>
  <c r="K26" i="38"/>
  <c r="CM60" i="23"/>
  <c r="CM50" i="23"/>
  <c r="CM52" i="23" s="1"/>
  <c r="CM55" i="23" s="1"/>
  <c r="CM58" i="23"/>
  <c r="CM98" i="23"/>
  <c r="CM100" i="23" s="1"/>
  <c r="CU281" i="59"/>
  <c r="CU267" i="59"/>
  <c r="R265" i="59"/>
  <c r="CU268" i="59"/>
  <c r="CU292" i="59"/>
  <c r="CU273" i="59"/>
  <c r="R12" i="25"/>
  <c r="AB71" i="30"/>
  <c r="BY27" i="20"/>
  <c r="C54" i="73"/>
  <c r="G125" i="59"/>
  <c r="H125" i="59"/>
  <c r="Z46" i="95"/>
  <c r="BN219" i="59"/>
  <c r="BN15" i="59"/>
  <c r="BN13" i="59"/>
  <c r="BX128" i="30"/>
  <c r="BX130" i="30"/>
  <c r="BX140" i="30"/>
  <c r="CC128" i="30"/>
  <c r="BK13" i="23"/>
  <c r="BK7" i="23"/>
  <c r="B165" i="59"/>
  <c r="B159" i="59"/>
  <c r="BQ11" i="85"/>
  <c r="O92" i="85"/>
  <c r="O93" i="85" s="1"/>
  <c r="O95" i="85"/>
  <c r="O96" i="85" s="1"/>
  <c r="O13" i="85"/>
  <c r="O12" i="85"/>
  <c r="O105" i="85"/>
  <c r="E149" i="59"/>
  <c r="AB130" i="30"/>
  <c r="K128" i="30" s="1"/>
  <c r="AB128" i="30"/>
  <c r="G17" i="95"/>
  <c r="G20" i="95"/>
  <c r="X103" i="33"/>
  <c r="W104" i="33"/>
  <c r="BN39" i="25"/>
  <c r="BN42" i="25"/>
  <c r="DA274" i="59"/>
  <c r="BQ13" i="31" s="1"/>
  <c r="DA269" i="59"/>
  <c r="DP117" i="30"/>
  <c r="BN55" i="59"/>
  <c r="DP119" i="30"/>
  <c r="BX211" i="30"/>
  <c r="BY211" i="30" s="1"/>
  <c r="BY199" i="30"/>
  <c r="BR18" i="85"/>
  <c r="BR12" i="85"/>
  <c r="BR95" i="85"/>
  <c r="BR96" i="85" s="1"/>
  <c r="BR105" i="85"/>
  <c r="BR13" i="85"/>
  <c r="C64" i="38"/>
  <c r="C80" i="38" s="1"/>
  <c r="M310" i="23"/>
  <c r="G21" i="56"/>
  <c r="M309" i="23"/>
  <c r="CR143" i="85"/>
  <c r="CR141" i="85" s="1"/>
  <c r="CN33" i="59"/>
  <c r="EK108" i="30"/>
  <c r="CI241" i="59"/>
  <c r="M33" i="59"/>
  <c r="CI83" i="59"/>
  <c r="X71" i="30"/>
  <c r="I12" i="25"/>
  <c r="L85" i="73"/>
  <c r="AA46" i="95"/>
  <c r="CF25" i="25"/>
  <c r="CF28" i="25"/>
  <c r="CF29" i="25"/>
  <c r="CK27" i="25"/>
  <c r="DV105" i="30"/>
  <c r="BT31" i="59"/>
  <c r="BT234" i="59"/>
  <c r="J234" i="59" s="1"/>
  <c r="CN135" i="85"/>
  <c r="CM137" i="85"/>
  <c r="AJ8" i="23"/>
  <c r="AI475" i="23"/>
  <c r="AI502" i="23" s="1"/>
  <c r="AI212" i="23" s="1"/>
  <c r="AS31" i="30"/>
  <c r="AR218" i="30"/>
  <c r="CV319" i="59"/>
  <c r="CV274" i="59"/>
  <c r="BL13" i="31" s="1"/>
  <c r="CV269" i="59"/>
  <c r="L91" i="73"/>
  <c r="M23" i="38"/>
  <c r="L24" i="38"/>
  <c r="L25" i="38" s="1"/>
  <c r="BX12" i="25"/>
  <c r="CH71" i="30"/>
  <c r="BX16" i="25" s="1"/>
  <c r="BX18" i="25" s="1"/>
  <c r="AI390" i="23"/>
  <c r="AJ437" i="23"/>
  <c r="Y74" i="85"/>
  <c r="CX273" i="59"/>
  <c r="CX188" i="59" s="1"/>
  <c r="CX189" i="59" s="1"/>
  <c r="CX281" i="59"/>
  <c r="CX282" i="59" s="1"/>
  <c r="CX267" i="59"/>
  <c r="CV281" i="59"/>
  <c r="CV282" i="59" s="1"/>
  <c r="CV273" i="59"/>
  <c r="CV268" i="59"/>
  <c r="CV267" i="59"/>
  <c r="CV296" i="59"/>
  <c r="AB106" i="31"/>
  <c r="BL13" i="23"/>
  <c r="BL7" i="23"/>
  <c r="CO65" i="30"/>
  <c r="CO73" i="30" s="1"/>
  <c r="CO80" i="30" s="1"/>
  <c r="CO61" i="30"/>
  <c r="AD98" i="30"/>
  <c r="G123" i="59"/>
  <c r="AE98" i="30"/>
  <c r="L4" i="95"/>
  <c r="K6" i="95"/>
  <c r="K12" i="95"/>
  <c r="K13" i="95" s="1"/>
  <c r="K15" i="95" s="1"/>
  <c r="K34" i="95"/>
  <c r="P59" i="33"/>
  <c r="P64" i="33"/>
  <c r="P66" i="33" s="1"/>
  <c r="DL382" i="23"/>
  <c r="DI382" i="23"/>
  <c r="DK382" i="23"/>
  <c r="DJ382" i="23"/>
  <c r="S123" i="31"/>
  <c r="S124" i="31" s="1"/>
  <c r="T121" i="31"/>
  <c r="F125" i="59"/>
  <c r="P142" i="30"/>
  <c r="P147" i="30"/>
  <c r="B79" i="59"/>
  <c r="Y144" i="30"/>
  <c r="B80" i="59" s="1"/>
  <c r="Y46" i="95"/>
  <c r="BN50" i="59"/>
  <c r="BN51" i="59"/>
  <c r="BW11" i="85"/>
  <c r="CB92" i="85"/>
  <c r="BV18" i="25"/>
  <c r="AA52" i="59"/>
  <c r="AV115" i="30"/>
  <c r="CT135" i="85"/>
  <c r="CT137" i="85" s="1"/>
  <c r="CS137" i="85"/>
  <c r="AI436" i="23"/>
  <c r="AH389" i="23"/>
  <c r="CD224" i="59"/>
  <c r="L224" i="59" s="1"/>
  <c r="CT67" i="30"/>
  <c r="CT204" i="30"/>
  <c r="CT209" i="30" s="1"/>
  <c r="BA22" i="23" s="1"/>
  <c r="BA20" i="23" s="1"/>
  <c r="BA21" i="23" s="1"/>
  <c r="BA23" i="23" s="1"/>
  <c r="CT68" i="30"/>
  <c r="CV68" i="30"/>
  <c r="CV203" i="30" s="1"/>
  <c r="CV193" i="30" s="1"/>
  <c r="CV59" i="30" s="1"/>
  <c r="CV64" i="30" s="1"/>
  <c r="CV67" i="30"/>
  <c r="CV202" i="30" s="1"/>
  <c r="CV192" i="30" s="1"/>
  <c r="CV204" i="30"/>
  <c r="CV209" i="30" s="1"/>
  <c r="BC22" i="23" s="1"/>
  <c r="BC20" i="23" s="1"/>
  <c r="BC21" i="23" s="1"/>
  <c r="BC23" i="23" s="1"/>
  <c r="CG11" i="25"/>
  <c r="CG14" i="25"/>
  <c r="CG15" i="25"/>
  <c r="CH114" i="20"/>
  <c r="CI24" i="20"/>
  <c r="N265" i="59"/>
  <c r="F9" i="95"/>
  <c r="F23" i="95"/>
  <c r="Z8" i="32"/>
  <c r="BI57" i="59"/>
  <c r="BI59" i="59"/>
  <c r="BI56" i="59"/>
  <c r="CL143" i="85"/>
  <c r="CQ144" i="85" s="1"/>
  <c r="AC79" i="32"/>
  <c r="CU274" i="59"/>
  <c r="CU269" i="59"/>
  <c r="R266" i="59"/>
  <c r="I188" i="60"/>
  <c r="AK12" i="23"/>
  <c r="AQ96" i="25"/>
  <c r="AJ256" i="23"/>
  <c r="X49" i="53"/>
  <c r="AJ71" i="23"/>
  <c r="CQ160" i="85"/>
  <c r="CQ140" i="85"/>
  <c r="CQ157" i="85"/>
  <c r="CQ158" i="85"/>
  <c r="CQ174" i="85"/>
  <c r="CQ159" i="85"/>
  <c r="W18" i="20"/>
  <c r="BY30" i="59"/>
  <c r="BZ30" i="59" s="1"/>
  <c r="K31" i="59"/>
  <c r="H13" i="62"/>
  <c r="R11" i="62"/>
  <c r="R13" i="62" s="1"/>
  <c r="R57" i="62" s="1"/>
  <c r="U19" i="20"/>
  <c r="U11" i="20"/>
  <c r="U136" i="20"/>
  <c r="I88" i="59"/>
  <c r="BP87" i="59"/>
  <c r="I89" i="59"/>
  <c r="U152" i="23"/>
  <c r="U150" i="23"/>
  <c r="V128" i="23"/>
  <c r="AK40" i="33"/>
  <c r="O86" i="25"/>
  <c r="H22" i="23"/>
  <c r="H61" i="23" s="1"/>
  <c r="H63" i="23" s="1"/>
  <c r="CW292" i="59"/>
  <c r="CW268" i="59"/>
  <c r="CW281" i="59"/>
  <c r="CW282" i="59" s="1"/>
  <c r="CW273" i="59"/>
  <c r="CW267" i="59"/>
  <c r="CW296" i="59"/>
  <c r="CK61" i="30"/>
  <c r="CK65" i="30"/>
  <c r="CK73" i="30" s="1"/>
  <c r="CK80" i="30" s="1"/>
  <c r="K79" i="59"/>
  <c r="BY80" i="59"/>
  <c r="AH159" i="20"/>
  <c r="Q110" i="73"/>
  <c r="AI121" i="20"/>
  <c r="CE12" i="25"/>
  <c r="CO71" i="30"/>
  <c r="CE16" i="25" s="1"/>
  <c r="CE18" i="25" s="1"/>
  <c r="BB200" i="59"/>
  <c r="BB199" i="59"/>
  <c r="CP61" i="30"/>
  <c r="CP65" i="30"/>
  <c r="CP73" i="30" s="1"/>
  <c r="CP80" i="30" s="1"/>
  <c r="AC126" i="30"/>
  <c r="AC127" i="30"/>
  <c r="AC132" i="30"/>
  <c r="S181" i="59"/>
  <c r="CY181" i="59" s="1"/>
  <c r="CY179" i="59"/>
  <c r="DA18" i="23"/>
  <c r="DB14" i="23"/>
  <c r="DB17" i="23"/>
  <c r="DB18" i="23" s="1"/>
  <c r="Z170" i="59"/>
  <c r="Y172" i="59"/>
  <c r="Y174" i="59" s="1"/>
  <c r="DF14" i="23"/>
  <c r="DF17" i="23"/>
  <c r="CY18" i="23"/>
  <c r="DD18" i="23"/>
  <c r="L214" i="59"/>
  <c r="CE204" i="59"/>
  <c r="AK67" i="25"/>
  <c r="CL79" i="59"/>
  <c r="CL84" i="59"/>
  <c r="CQ83" i="59"/>
  <c r="CV85" i="59"/>
  <c r="CG81" i="59"/>
  <c r="CG80" i="59"/>
  <c r="CX85" i="59"/>
  <c r="M294" i="59" l="1"/>
  <c r="M295" i="59" s="1"/>
  <c r="T39" i="32"/>
  <c r="U39" i="32" s="1"/>
  <c r="S29" i="32"/>
  <c r="S31" i="32" s="1"/>
  <c r="L39" i="52"/>
  <c r="K29" i="52"/>
  <c r="K31" i="52" s="1"/>
  <c r="E224" i="60"/>
  <c r="D226" i="60"/>
  <c r="R394" i="60"/>
  <c r="Q398" i="60"/>
  <c r="F216" i="60"/>
  <c r="E220" i="60"/>
  <c r="O27" i="53"/>
  <c r="P27" i="53" s="1"/>
  <c r="Q27" i="53" s="1"/>
  <c r="R27" i="53" s="1"/>
  <c r="S27" i="53" s="1"/>
  <c r="T27" i="53" s="1"/>
  <c r="U27" i="53" s="1"/>
  <c r="V27" i="53" s="1"/>
  <c r="W27" i="53" s="1"/>
  <c r="X27" i="53" s="1"/>
  <c r="Y27" i="53" s="1"/>
  <c r="Z27" i="53" s="1"/>
  <c r="AA27" i="53" s="1"/>
  <c r="AB27" i="53" s="1"/>
  <c r="N17" i="53"/>
  <c r="M17" i="53"/>
  <c r="J68" i="53"/>
  <c r="I58" i="53"/>
  <c r="I60" i="53" s="1"/>
  <c r="Q402" i="60"/>
  <c r="P404" i="60"/>
  <c r="R32" i="32"/>
  <c r="C102" i="60"/>
  <c r="C278" i="60"/>
  <c r="J32" i="52"/>
  <c r="DH397" i="23"/>
  <c r="AJ401" i="23"/>
  <c r="AK448" i="23"/>
  <c r="AE384" i="23"/>
  <c r="AF431" i="23"/>
  <c r="CW385" i="23"/>
  <c r="CX385" i="23" s="1"/>
  <c r="DN384" i="23"/>
  <c r="DQ384" i="23"/>
  <c r="DO384" i="23"/>
  <c r="DP384" i="23"/>
  <c r="DR384" i="23" s="1"/>
  <c r="AJ233" i="31"/>
  <c r="DE18" i="23"/>
  <c r="DA122" i="59"/>
  <c r="DF122" i="59" s="1"/>
  <c r="FH95" i="30" s="1"/>
  <c r="DB122" i="59"/>
  <c r="DG122" i="59" s="1"/>
  <c r="FI95" i="30" s="1"/>
  <c r="AE71" i="59"/>
  <c r="AV20" i="31"/>
  <c r="AV28" i="31" s="1"/>
  <c r="AX20" i="31"/>
  <c r="BC20" i="31" s="1"/>
  <c r="AC80" i="32"/>
  <c r="V43" i="38"/>
  <c r="W43" i="38" s="1"/>
  <c r="X43" i="38" s="1"/>
  <c r="Y43" i="38" s="1"/>
  <c r="Z43" i="38" s="1"/>
  <c r="AA43" i="38" s="1"/>
  <c r="AB43" i="38" s="1"/>
  <c r="AC43" i="38" s="1"/>
  <c r="V19" i="38"/>
  <c r="U21" i="38"/>
  <c r="W22" i="38"/>
  <c r="I25" i="31"/>
  <c r="I90" i="31"/>
  <c r="I23" i="31"/>
  <c r="I89" i="31" s="1"/>
  <c r="J89" i="31" s="1"/>
  <c r="J23" i="31" s="1"/>
  <c r="L39" i="31"/>
  <c r="K40" i="31"/>
  <c r="K42" i="31"/>
  <c r="O86" i="73"/>
  <c r="O87" i="73" s="1"/>
  <c r="N88" i="73"/>
  <c r="O92" i="73"/>
  <c r="O93" i="73" s="1"/>
  <c r="Q203" i="59"/>
  <c r="EV198" i="30"/>
  <c r="O11" i="53"/>
  <c r="O13" i="53" s="1"/>
  <c r="O52" i="53"/>
  <c r="O54" i="53" s="1"/>
  <c r="CY61" i="23"/>
  <c r="Z22" i="23"/>
  <c r="AT20" i="31"/>
  <c r="AY20" i="31" s="1"/>
  <c r="AW20" i="31"/>
  <c r="AW28" i="31" s="1"/>
  <c r="BN46" i="73"/>
  <c r="G33" i="73"/>
  <c r="W126" i="73"/>
  <c r="W127" i="73"/>
  <c r="W124" i="73"/>
  <c r="AL403" i="23"/>
  <c r="U401" i="60"/>
  <c r="O63" i="60"/>
  <c r="J74" i="63"/>
  <c r="DB275" i="59"/>
  <c r="DB278" i="59" s="1"/>
  <c r="BV116" i="59"/>
  <c r="BV115" i="59"/>
  <c r="CA115" i="59"/>
  <c r="CX294" i="59"/>
  <c r="CX295" i="59" s="1"/>
  <c r="DH268" i="59"/>
  <c r="J34" i="95"/>
  <c r="J40" i="95" s="1"/>
  <c r="V131" i="85"/>
  <c r="CZ131" i="85" s="1"/>
  <c r="V119" i="85"/>
  <c r="V116" i="85" s="1"/>
  <c r="V117" i="85" s="1"/>
  <c r="CX143" i="85"/>
  <c r="CX152" i="85" s="1"/>
  <c r="V120" i="85"/>
  <c r="DA131" i="85"/>
  <c r="DR209" i="30"/>
  <c r="BI31" i="85"/>
  <c r="DO199" i="30"/>
  <c r="BM105" i="59"/>
  <c r="DA125" i="85"/>
  <c r="DA137" i="85"/>
  <c r="DA138" i="85" s="1"/>
  <c r="DC111" i="85"/>
  <c r="BN105" i="59"/>
  <c r="DP199" i="30"/>
  <c r="BJ31" i="85"/>
  <c r="DN199" i="30"/>
  <c r="BH31" i="85"/>
  <c r="BL105" i="59"/>
  <c r="DB113" i="85"/>
  <c r="DB149" i="85" s="1"/>
  <c r="CL141" i="85"/>
  <c r="CL27" i="20"/>
  <c r="CL28" i="20" s="1"/>
  <c r="CV143" i="30" s="1"/>
  <c r="DG16" i="20"/>
  <c r="DH16" i="20" s="1"/>
  <c r="BH199" i="59"/>
  <c r="CN25" i="20"/>
  <c r="AE122" i="20"/>
  <c r="CY11" i="20"/>
  <c r="CY12" i="20" s="1"/>
  <c r="BN235" i="59"/>
  <c r="BL235" i="59"/>
  <c r="BL236" i="59" s="1"/>
  <c r="BL238" i="59" s="1"/>
  <c r="BM235" i="59"/>
  <c r="BM236" i="59" s="1"/>
  <c r="BM238" i="59" s="1"/>
  <c r="CO26" i="20"/>
  <c r="CO116" i="20" s="1"/>
  <c r="CR23" i="20"/>
  <c r="CR113" i="20" s="1"/>
  <c r="CS23" i="20"/>
  <c r="Y149" i="30"/>
  <c r="E36" i="59"/>
  <c r="AV30" i="59"/>
  <c r="E31" i="59"/>
  <c r="DA17" i="20"/>
  <c r="CZ16" i="20"/>
  <c r="CZ11" i="20" s="1"/>
  <c r="CZ12" i="20" s="1"/>
  <c r="DC105" i="30"/>
  <c r="AC106" i="30"/>
  <c r="F30" i="59"/>
  <c r="V20" i="20"/>
  <c r="J235" i="59"/>
  <c r="W17" i="20"/>
  <c r="V82" i="20"/>
  <c r="S38" i="20"/>
  <c r="S80" i="20"/>
  <c r="AD105" i="30"/>
  <c r="CX18" i="20"/>
  <c r="S113" i="20"/>
  <c r="T21" i="20"/>
  <c r="S21" i="20"/>
  <c r="S32" i="20"/>
  <c r="S25" i="20"/>
  <c r="CM24" i="20"/>
  <c r="CM114" i="20" s="1"/>
  <c r="DH17" i="20"/>
  <c r="CK26" i="20"/>
  <c r="CK116" i="20" s="1"/>
  <c r="CR25" i="20"/>
  <c r="CR115" i="20" s="1"/>
  <c r="CS25" i="20"/>
  <c r="DE12" i="20"/>
  <c r="CM23" i="20"/>
  <c r="CJ26" i="20"/>
  <c r="CL30" i="20"/>
  <c r="CL29" i="20"/>
  <c r="CL117" i="20"/>
  <c r="S148" i="30"/>
  <c r="CY45" i="25"/>
  <c r="CY46" i="25"/>
  <c r="BQ77" i="23"/>
  <c r="BQ79" i="23" s="1"/>
  <c r="BQ75" i="23"/>
  <c r="BQ23" i="23"/>
  <c r="BG194" i="59"/>
  <c r="CY86" i="25"/>
  <c r="AB59" i="20"/>
  <c r="AA60" i="20"/>
  <c r="AA62" i="20" s="1"/>
  <c r="AA61" i="20" s="1"/>
  <c r="AA74" i="20"/>
  <c r="AA76" i="20" s="1"/>
  <c r="CY41" i="25"/>
  <c r="CY43" i="25"/>
  <c r="CY42" i="25"/>
  <c r="S154" i="30"/>
  <c r="S158" i="30" s="1"/>
  <c r="N44" i="25" s="1"/>
  <c r="Z24" i="20"/>
  <c r="Z78" i="20"/>
  <c r="Z79" i="20" s="1"/>
  <c r="V5" i="38"/>
  <c r="U45" i="38"/>
  <c r="AE96" i="41"/>
  <c r="AD96" i="41"/>
  <c r="AD97" i="41" s="1"/>
  <c r="U36" i="38"/>
  <c r="T36" i="38"/>
  <c r="AH191" i="31"/>
  <c r="AL440" i="23"/>
  <c r="AK393" i="23"/>
  <c r="Z445" i="23"/>
  <c r="W398" i="23"/>
  <c r="CW398" i="23" s="1"/>
  <c r="CX398" i="23" s="1"/>
  <c r="AA385" i="23"/>
  <c r="AC432" i="23"/>
  <c r="AE430" i="23"/>
  <c r="AD383" i="23"/>
  <c r="DR396" i="23"/>
  <c r="DB385" i="23"/>
  <c r="CY385" i="23"/>
  <c r="CZ385" i="23"/>
  <c r="DA385" i="23"/>
  <c r="DH383" i="23"/>
  <c r="Z392" i="23"/>
  <c r="AA439" i="23"/>
  <c r="DI383" i="23"/>
  <c r="DJ383" i="23"/>
  <c r="DL383" i="23"/>
  <c r="DK383" i="23"/>
  <c r="W379" i="23"/>
  <c r="CW379" i="23" s="1"/>
  <c r="CX379" i="23" s="1"/>
  <c r="Z426" i="23"/>
  <c r="AH391" i="23"/>
  <c r="AI438" i="23"/>
  <c r="DP382" i="23"/>
  <c r="DN382" i="23"/>
  <c r="DQ382" i="23"/>
  <c r="DO382" i="23"/>
  <c r="Z424" i="23"/>
  <c r="W377" i="23"/>
  <c r="AD397" i="23"/>
  <c r="AE444" i="23"/>
  <c r="AG380" i="23"/>
  <c r="AH427" i="23"/>
  <c r="AF396" i="23"/>
  <c r="AG443" i="23"/>
  <c r="Z428" i="23"/>
  <c r="W381" i="23"/>
  <c r="CW381" i="23" s="1"/>
  <c r="CX381" i="23" s="1"/>
  <c r="AL446" i="23"/>
  <c r="AK399" i="23"/>
  <c r="W415" i="23"/>
  <c r="Z462" i="23"/>
  <c r="Z434" i="23"/>
  <c r="W387" i="23"/>
  <c r="AH447" i="23"/>
  <c r="AG400" i="23"/>
  <c r="AM410" i="23"/>
  <c r="AN457" i="23"/>
  <c r="AN410" i="23" s="1"/>
  <c r="W378" i="23"/>
  <c r="CW378" i="23" s="1"/>
  <c r="CX378" i="23" s="1"/>
  <c r="Z425" i="23"/>
  <c r="V417" i="23"/>
  <c r="DL397" i="23"/>
  <c r="DJ397" i="23"/>
  <c r="DK397" i="23"/>
  <c r="DI397" i="23"/>
  <c r="Z394" i="23"/>
  <c r="AA441" i="23"/>
  <c r="DR376" i="23"/>
  <c r="DM382" i="23"/>
  <c r="AN323" i="23"/>
  <c r="M294" i="60"/>
  <c r="AL230" i="23"/>
  <c r="R27" i="52"/>
  <c r="Q26" i="52"/>
  <c r="L7" i="23"/>
  <c r="BI10" i="23"/>
  <c r="BI13" i="23" s="1"/>
  <c r="L13" i="23"/>
  <c r="F197" i="59"/>
  <c r="BA197" i="59" s="1"/>
  <c r="F7" i="53"/>
  <c r="F8" i="53" s="1"/>
  <c r="L607" i="23"/>
  <c r="L612" i="23"/>
  <c r="BA198" i="59"/>
  <c r="F200" i="59"/>
  <c r="G199" i="59"/>
  <c r="AY206" i="30"/>
  <c r="AX206" i="30"/>
  <c r="AL64" i="25"/>
  <c r="AP12" i="30"/>
  <c r="AP32" i="30"/>
  <c r="V232" i="59"/>
  <c r="V40" i="59"/>
  <c r="Y16" i="52"/>
  <c r="R279" i="60" s="1"/>
  <c r="N83" i="63" s="1"/>
  <c r="M83" i="63"/>
  <c r="X18" i="52"/>
  <c r="X17" i="52"/>
  <c r="X23" i="52"/>
  <c r="X9" i="52"/>
  <c r="AQ16" i="30"/>
  <c r="AQ19" i="30" s="1"/>
  <c r="AQ10" i="30"/>
  <c r="W39" i="59"/>
  <c r="AQ11" i="30"/>
  <c r="AQ23" i="30" s="1"/>
  <c r="W24" i="52"/>
  <c r="W10" i="52"/>
  <c r="W11" i="52"/>
  <c r="Y13" i="52"/>
  <c r="AR9" i="30"/>
  <c r="Y20" i="52"/>
  <c r="AR22" i="30" s="1"/>
  <c r="Z6" i="52"/>
  <c r="AP18" i="30"/>
  <c r="V91" i="59"/>
  <c r="AP17" i="30"/>
  <c r="O16" i="20"/>
  <c r="CC18" i="20"/>
  <c r="AD75" i="20"/>
  <c r="AD76" i="20" s="1"/>
  <c r="AG71" i="20"/>
  <c r="AH70" i="20"/>
  <c r="E72" i="20"/>
  <c r="E23" i="20" s="1"/>
  <c r="C78" i="20"/>
  <c r="D79" i="20" s="1"/>
  <c r="F113" i="20"/>
  <c r="F26" i="20"/>
  <c r="F116" i="20" s="1"/>
  <c r="AF72" i="20"/>
  <c r="AF23" i="20" s="1"/>
  <c r="BL23" i="20"/>
  <c r="BL26" i="20" s="1"/>
  <c r="BL116" i="20" s="1"/>
  <c r="BM113" i="20"/>
  <c r="D80" i="20"/>
  <c r="U39" i="38"/>
  <c r="T39" i="38"/>
  <c r="DF121" i="59"/>
  <c r="DF124" i="59" s="1"/>
  <c r="DF267" i="59"/>
  <c r="DF281" i="59"/>
  <c r="DF273" i="59"/>
  <c r="DG281" i="59"/>
  <c r="DG273" i="59"/>
  <c r="DG267" i="59"/>
  <c r="DE267" i="59"/>
  <c r="DE281" i="59"/>
  <c r="DE273" i="59"/>
  <c r="U265" i="59"/>
  <c r="DI265" i="59" s="1"/>
  <c r="DH273" i="59"/>
  <c r="DH281" i="59"/>
  <c r="DH267" i="59"/>
  <c r="DE269" i="59"/>
  <c r="DE274" i="59"/>
  <c r="U266" i="59"/>
  <c r="DI266" i="59" s="1"/>
  <c r="DB9" i="85"/>
  <c r="AG43" i="95"/>
  <c r="DB297" i="59"/>
  <c r="BY50" i="73" s="1"/>
  <c r="DG296" i="59"/>
  <c r="DG121" i="59" s="1"/>
  <c r="CD50" i="73" s="1"/>
  <c r="CZ273" i="59"/>
  <c r="DE268" i="59"/>
  <c r="AD72" i="23"/>
  <c r="AC73" i="23"/>
  <c r="AM43" i="23"/>
  <c r="AN43" i="23" s="1"/>
  <c r="AN260" i="23" s="1"/>
  <c r="AL260" i="23"/>
  <c r="AC12" i="56"/>
  <c r="DB104" i="85"/>
  <c r="DB102" i="85"/>
  <c r="CY104" i="85"/>
  <c r="DD89" i="85"/>
  <c r="W89" i="85" s="1"/>
  <c r="W104" i="85" s="1"/>
  <c r="DB16" i="85"/>
  <c r="DD63" i="85"/>
  <c r="DD8" i="85"/>
  <c r="CV63" i="85"/>
  <c r="DA60" i="85"/>
  <c r="DA101" i="85"/>
  <c r="CV8" i="85"/>
  <c r="CV9" i="85" s="1"/>
  <c r="DA68" i="85"/>
  <c r="DA8" i="85" s="1"/>
  <c r="BS148" i="30"/>
  <c r="BS154" i="30"/>
  <c r="BS158" i="30" s="1"/>
  <c r="CM124" i="30"/>
  <c r="CM131" i="30"/>
  <c r="CM127" i="30"/>
  <c r="CM98" i="30"/>
  <c r="CQ124" i="30"/>
  <c r="CR123" i="30"/>
  <c r="CS123" i="30" s="1"/>
  <c r="CH95" i="30"/>
  <c r="CG96" i="30"/>
  <c r="CQ95" i="30"/>
  <c r="CG125" i="30"/>
  <c r="CB142" i="30"/>
  <c r="CB141" i="30"/>
  <c r="CN123" i="30"/>
  <c r="AP121" i="59"/>
  <c r="AQ121" i="59" s="1"/>
  <c r="CR94" i="30"/>
  <c r="CH131" i="30"/>
  <c r="CH124" i="30"/>
  <c r="CV94" i="30"/>
  <c r="DA93" i="30"/>
  <c r="AT121" i="59"/>
  <c r="CV123" i="30"/>
  <c r="CW93" i="30"/>
  <c r="CL128" i="30"/>
  <c r="CL130" i="30"/>
  <c r="CL140" i="30"/>
  <c r="BU234" i="59"/>
  <c r="CE224" i="59"/>
  <c r="B167" i="59"/>
  <c r="BL8" i="31"/>
  <c r="BN13" i="73"/>
  <c r="BH13" i="73"/>
  <c r="BF8" i="31"/>
  <c r="V8" i="31"/>
  <c r="BI14" i="73"/>
  <c r="BI15" i="73"/>
  <c r="BM8" i="31"/>
  <c r="BO13" i="73"/>
  <c r="BN8" i="31"/>
  <c r="BP13" i="73"/>
  <c r="AZ8" i="31"/>
  <c r="H13" i="73"/>
  <c r="U93" i="31"/>
  <c r="U99" i="31"/>
  <c r="U103" i="31" s="1"/>
  <c r="U104" i="31" s="1"/>
  <c r="BJ14" i="73"/>
  <c r="BJ15" i="73"/>
  <c r="BK14" i="73"/>
  <c r="BK15" i="73"/>
  <c r="BK12" i="73" s="1"/>
  <c r="AF127" i="30"/>
  <c r="DR127" i="30" s="1"/>
  <c r="DA297" i="59"/>
  <c r="BX50" i="73" s="1"/>
  <c r="BR15" i="59"/>
  <c r="BR223" i="59"/>
  <c r="BR226" i="59" s="1"/>
  <c r="BR228" i="59" s="1"/>
  <c r="DJ49" i="25"/>
  <c r="DJ50" i="25" s="1"/>
  <c r="BR19" i="59"/>
  <c r="DT167" i="30"/>
  <c r="DT168" i="30" s="1"/>
  <c r="BN21" i="85"/>
  <c r="BN28" i="85"/>
  <c r="BX13" i="85"/>
  <c r="BX39" i="85" s="1"/>
  <c r="BX12" i="85"/>
  <c r="BX105" i="85"/>
  <c r="BX95" i="85"/>
  <c r="BX96" i="85" s="1"/>
  <c r="BX18" i="85"/>
  <c r="CC24" i="85"/>
  <c r="BW18" i="59"/>
  <c r="BS20" i="85"/>
  <c r="BS71" i="85"/>
  <c r="BS72" i="85" s="1"/>
  <c r="BS23" i="85"/>
  <c r="BS25" i="85" s="1"/>
  <c r="BS26" i="85" s="1"/>
  <c r="BS14" i="85"/>
  <c r="CH92" i="85"/>
  <c r="CC11" i="85"/>
  <c r="CZ296" i="59"/>
  <c r="AG126" i="30"/>
  <c r="M241" i="59"/>
  <c r="O241" i="59" s="1"/>
  <c r="Q95" i="31"/>
  <c r="H57" i="62"/>
  <c r="AC242" i="30"/>
  <c r="V124" i="73"/>
  <c r="V126" i="73"/>
  <c r="V127" i="73"/>
  <c r="BQ5" i="23"/>
  <c r="BH191" i="59"/>
  <c r="CZ80" i="25"/>
  <c r="DE80" i="25"/>
  <c r="C13" i="59"/>
  <c r="U12" i="20"/>
  <c r="CY137" i="85"/>
  <c r="CY125" i="85"/>
  <c r="V125" i="85" s="1"/>
  <c r="T105" i="73"/>
  <c r="U104" i="73"/>
  <c r="T106" i="73"/>
  <c r="T103" i="73"/>
  <c r="AD112" i="85" s="1"/>
  <c r="CV140" i="85"/>
  <c r="X53" i="95"/>
  <c r="AE101" i="31"/>
  <c r="Y100" i="31"/>
  <c r="X102" i="31"/>
  <c r="N104" i="31"/>
  <c r="P101" i="31"/>
  <c r="P102" i="31" s="1"/>
  <c r="P103" i="31" s="1"/>
  <c r="O102" i="31"/>
  <c r="O103" i="31" s="1"/>
  <c r="P134" i="31"/>
  <c r="O133" i="31"/>
  <c r="S127" i="31"/>
  <c r="N135" i="31"/>
  <c r="N112" i="31" s="1"/>
  <c r="N113" i="31" s="1"/>
  <c r="N114" i="31" s="1"/>
  <c r="N107" i="31"/>
  <c r="N108" i="31" s="1"/>
  <c r="N109" i="31" s="1"/>
  <c r="N128" i="31"/>
  <c r="N129" i="31" s="1"/>
  <c r="N130" i="31" s="1"/>
  <c r="BN43" i="25"/>
  <c r="U100" i="23"/>
  <c r="CN100" i="23" s="1"/>
  <c r="AA24" i="59"/>
  <c r="Z233" i="59"/>
  <c r="FC95" i="30"/>
  <c r="CV125" i="59"/>
  <c r="BS54" i="73" s="1"/>
  <c r="EX95" i="30"/>
  <c r="EX96" i="30" s="1"/>
  <c r="BN55" i="73"/>
  <c r="BN53" i="73"/>
  <c r="BN56" i="73"/>
  <c r="AG191" i="31"/>
  <c r="FD95" i="30"/>
  <c r="CW125" i="59"/>
  <c r="BT54" i="73" s="1"/>
  <c r="EY95" i="30"/>
  <c r="EY96" i="30" s="1"/>
  <c r="BO55" i="73"/>
  <c r="BO53" i="73"/>
  <c r="BO56" i="73"/>
  <c r="N295" i="59"/>
  <c r="BY81" i="59"/>
  <c r="AE32" i="85"/>
  <c r="AS57" i="25" s="1"/>
  <c r="AW179" i="30" s="1"/>
  <c r="AW180" i="30" s="1"/>
  <c r="AX207" i="30"/>
  <c r="AW209" i="30"/>
  <c r="U30" i="38"/>
  <c r="T38" i="38"/>
  <c r="AK151" i="23"/>
  <c r="AK165" i="23"/>
  <c r="AK171" i="23" s="1"/>
  <c r="AK113" i="23" s="1"/>
  <c r="BY16" i="25"/>
  <c r="CZ98" i="30"/>
  <c r="CZ103" i="30"/>
  <c r="CP142" i="30"/>
  <c r="AN59" i="59"/>
  <c r="CP141" i="30"/>
  <c r="AS131" i="59"/>
  <c r="AS126" i="59"/>
  <c r="CI224" i="59"/>
  <c r="M224" i="59" s="1"/>
  <c r="CJ224" i="59" s="1"/>
  <c r="DE97" i="30"/>
  <c r="BC122" i="59"/>
  <c r="DE125" i="30"/>
  <c r="AN157" i="59"/>
  <c r="AN151" i="59"/>
  <c r="CU130" i="30"/>
  <c r="CU128" i="30"/>
  <c r="AS149" i="59"/>
  <c r="CU140" i="30"/>
  <c r="CZ127" i="30"/>
  <c r="CZ126" i="30"/>
  <c r="CU104" i="30"/>
  <c r="AS15" i="59"/>
  <c r="AX125" i="59"/>
  <c r="AX123" i="59"/>
  <c r="AD597" i="23"/>
  <c r="AE601" i="23" s="1"/>
  <c r="AE605" i="23" s="1"/>
  <c r="AD606" i="23"/>
  <c r="AF175" i="23"/>
  <c r="AF294" i="23" s="1"/>
  <c r="AF112" i="23"/>
  <c r="AF133" i="23"/>
  <c r="O31" i="31"/>
  <c r="O33" i="31" s="1"/>
  <c r="P23" i="31"/>
  <c r="O24" i="31"/>
  <c r="E12" i="59"/>
  <c r="AB91" i="30"/>
  <c r="AB103" i="30"/>
  <c r="AU8" i="59"/>
  <c r="CW90" i="30"/>
  <c r="DB86" i="30"/>
  <c r="DC86" i="30" s="1"/>
  <c r="AC90" i="30"/>
  <c r="F8" i="59"/>
  <c r="F9" i="59" s="1"/>
  <c r="AC87" i="30"/>
  <c r="X104" i="30"/>
  <c r="AA103" i="30"/>
  <c r="D12" i="59"/>
  <c r="AA91" i="30"/>
  <c r="P14" i="31"/>
  <c r="Q15" i="31" s="1"/>
  <c r="C9" i="73"/>
  <c r="C25" i="73"/>
  <c r="P95" i="31"/>
  <c r="E9" i="59"/>
  <c r="D9" i="59"/>
  <c r="D25" i="73"/>
  <c r="D26" i="73" s="1"/>
  <c r="CM103" i="30"/>
  <c r="CM104" i="30" s="1"/>
  <c r="CM91" i="30"/>
  <c r="N34" i="31"/>
  <c r="CW87" i="30"/>
  <c r="CR90" i="30"/>
  <c r="CS90" i="30" s="1"/>
  <c r="CR87" i="30"/>
  <c r="AP8" i="59"/>
  <c r="AP12" i="59" s="1"/>
  <c r="AD239" i="30"/>
  <c r="AD86" i="30"/>
  <c r="O52" i="31"/>
  <c r="O158" i="31"/>
  <c r="O159" i="31" s="1"/>
  <c r="O96" i="31"/>
  <c r="O15" i="31"/>
  <c r="O46" i="31"/>
  <c r="O37" i="31"/>
  <c r="CV144" i="85"/>
  <c r="T51" i="33"/>
  <c r="CV159" i="85"/>
  <c r="CV141" i="85"/>
  <c r="CV174" i="85"/>
  <c r="CV157" i="85"/>
  <c r="CV160" i="85"/>
  <c r="CV158" i="85"/>
  <c r="W25" i="32"/>
  <c r="W24" i="32"/>
  <c r="AH131" i="30"/>
  <c r="AH125" i="30"/>
  <c r="AH124" i="30"/>
  <c r="L121" i="59"/>
  <c r="AI94" i="30"/>
  <c r="DQ96" i="30"/>
  <c r="AF95" i="30"/>
  <c r="DQ132" i="30"/>
  <c r="CW143" i="85"/>
  <c r="Y50" i="95"/>
  <c r="Y53" i="95" s="1"/>
  <c r="K124" i="59"/>
  <c r="BY121" i="59"/>
  <c r="Z50" i="95"/>
  <c r="Z53" i="95" s="1"/>
  <c r="BP122" i="59"/>
  <c r="S45" i="33"/>
  <c r="S48" i="33" s="1"/>
  <c r="I125" i="59"/>
  <c r="D54" i="73"/>
  <c r="BT122" i="59"/>
  <c r="BT124" i="59"/>
  <c r="DV93" i="30"/>
  <c r="X18" i="32"/>
  <c r="I103" i="60"/>
  <c r="E76" i="63" s="1"/>
  <c r="X17" i="32"/>
  <c r="AI123" i="30"/>
  <c r="AL354" i="23"/>
  <c r="AM409" i="23" s="1"/>
  <c r="AM348" i="23"/>
  <c r="DK18" i="20"/>
  <c r="EH105" i="30"/>
  <c r="EH106" i="30" s="1"/>
  <c r="CF31" i="59"/>
  <c r="CF234" i="59"/>
  <c r="CR84" i="59"/>
  <c r="CR79" i="59"/>
  <c r="CF79" i="59"/>
  <c r="CF84" i="59"/>
  <c r="CQ31" i="59"/>
  <c r="ES105" i="30"/>
  <c r="ES106" i="30" s="1"/>
  <c r="DV18" i="20"/>
  <c r="ET105" i="30"/>
  <c r="ET106" i="30" s="1"/>
  <c r="CR234" i="59"/>
  <c r="CR31" i="59"/>
  <c r="DW18" i="20"/>
  <c r="CW30" i="59"/>
  <c r="CW83" i="59"/>
  <c r="CW241" i="59"/>
  <c r="CW224" i="59" s="1"/>
  <c r="DB33" i="59"/>
  <c r="EY108" i="30"/>
  <c r="CA81" i="59"/>
  <c r="CA80" i="59"/>
  <c r="CM81" i="59"/>
  <c r="CM80" i="59"/>
  <c r="CP33" i="59"/>
  <c r="CK30" i="59"/>
  <c r="CK241" i="59"/>
  <c r="CK224" i="59" s="1"/>
  <c r="EM108" i="30"/>
  <c r="CK83" i="59"/>
  <c r="DA33" i="59"/>
  <c r="CV30" i="59"/>
  <c r="EX108" i="30"/>
  <c r="CV241" i="59"/>
  <c r="CV224" i="59" s="1"/>
  <c r="T56" i="85"/>
  <c r="T57" i="85" s="1"/>
  <c r="T99" i="85"/>
  <c r="CY98" i="85"/>
  <c r="DD98" i="85" s="1"/>
  <c r="CT102" i="85"/>
  <c r="U98" i="85"/>
  <c r="CT101" i="85"/>
  <c r="O19" i="85"/>
  <c r="BQ18" i="85"/>
  <c r="BK26" i="85"/>
  <c r="BK28" i="85"/>
  <c r="CI9" i="85"/>
  <c r="CI16" i="85"/>
  <c r="S16" i="85" s="1"/>
  <c r="S8" i="85"/>
  <c r="BO20" i="85"/>
  <c r="BO71" i="85"/>
  <c r="BO72" i="85" s="1"/>
  <c r="BO23" i="85"/>
  <c r="BO25" i="85" s="1"/>
  <c r="BO26" i="85" s="1"/>
  <c r="BS18" i="59"/>
  <c r="BS15" i="59" s="1"/>
  <c r="DK35" i="25" s="1"/>
  <c r="BO14" i="85"/>
  <c r="BG24" i="85"/>
  <c r="M39" i="85"/>
  <c r="M25" i="85"/>
  <c r="CY63" i="85"/>
  <c r="CY8" i="85"/>
  <c r="T52" i="85"/>
  <c r="T66" i="85"/>
  <c r="T63" i="85"/>
  <c r="T64" i="85" s="1"/>
  <c r="T80" i="85"/>
  <c r="T78" i="85"/>
  <c r="BL20" i="85"/>
  <c r="N21" i="85"/>
  <c r="BT12" i="85"/>
  <c r="BT95" i="85"/>
  <c r="BT96" i="85" s="1"/>
  <c r="BT18" i="85"/>
  <c r="P18" i="85" s="1"/>
  <c r="BT105" i="85"/>
  <c r="BT13" i="85"/>
  <c r="CW84" i="85"/>
  <c r="DB84" i="85" s="1"/>
  <c r="DB101" i="85" s="1"/>
  <c r="U84" i="85"/>
  <c r="U87" i="85" s="1"/>
  <c r="CR101" i="85"/>
  <c r="BU20" i="85"/>
  <c r="BP21" i="85"/>
  <c r="CN8" i="85"/>
  <c r="CS68" i="85"/>
  <c r="U90" i="85"/>
  <c r="U104" i="85"/>
  <c r="U102" i="85"/>
  <c r="CF16" i="85"/>
  <c r="R17" i="85"/>
  <c r="AF167" i="30"/>
  <c r="DH49" i="25"/>
  <c r="Y50" i="25"/>
  <c r="BY11" i="85"/>
  <c r="Q11" i="85" s="1"/>
  <c r="CD92" i="85"/>
  <c r="BT24" i="85"/>
  <c r="BO39" i="85"/>
  <c r="BL23" i="85"/>
  <c r="N38" i="85"/>
  <c r="BU23" i="85"/>
  <c r="BU71" i="85"/>
  <c r="BU72" i="85" s="1"/>
  <c r="BY18" i="59"/>
  <c r="BY19" i="59" s="1"/>
  <c r="BU14" i="85"/>
  <c r="S53" i="85"/>
  <c r="S54" i="85"/>
  <c r="S55" i="85" s="1"/>
  <c r="BT19" i="59"/>
  <c r="DL49" i="25"/>
  <c r="DL50" i="25" s="1"/>
  <c r="DV167" i="30"/>
  <c r="DV168" i="30" s="1"/>
  <c r="BT223" i="59"/>
  <c r="BT243" i="59" s="1"/>
  <c r="AF86" i="30"/>
  <c r="AF239" i="30"/>
  <c r="Q37" i="31"/>
  <c r="Q46" i="31"/>
  <c r="Q158" i="31"/>
  <c r="Q159" i="31" s="1"/>
  <c r="E25" i="73"/>
  <c r="R14" i="31"/>
  <c r="R95" i="31"/>
  <c r="S11" i="31"/>
  <c r="E9" i="73"/>
  <c r="CT16" i="85"/>
  <c r="CT9" i="85"/>
  <c r="T61" i="85"/>
  <c r="T77" i="85"/>
  <c r="T62" i="85"/>
  <c r="T50" i="85"/>
  <c r="T51" i="85" s="1"/>
  <c r="CX65" i="85"/>
  <c r="CS63" i="85"/>
  <c r="U65" i="85"/>
  <c r="CE11" i="85"/>
  <c r="CJ92" i="85"/>
  <c r="BP24" i="85"/>
  <c r="BP25" i="85" s="1"/>
  <c r="BK39" i="85"/>
  <c r="CS101" i="85"/>
  <c r="CX84" i="85"/>
  <c r="DC84" i="85" s="1"/>
  <c r="DC101" i="85" s="1"/>
  <c r="BO223" i="59"/>
  <c r="I223" i="59" s="1"/>
  <c r="BP223" i="59" s="1"/>
  <c r="BO19" i="59"/>
  <c r="V89" i="85"/>
  <c r="CW102" i="85"/>
  <c r="CW104" i="85"/>
  <c r="CW60" i="85"/>
  <c r="DB60" i="85" s="1"/>
  <c r="DB63" i="85" s="1"/>
  <c r="U60" i="85"/>
  <c r="CR63" i="85"/>
  <c r="R68" i="85"/>
  <c r="R69" i="85" s="1"/>
  <c r="R81" i="85"/>
  <c r="R9" i="85"/>
  <c r="CF8" i="85"/>
  <c r="BZ95" i="85"/>
  <c r="BZ96" i="85" s="1"/>
  <c r="BZ105" i="85"/>
  <c r="BZ18" i="85"/>
  <c r="BZ12" i="85"/>
  <c r="BZ13" i="85"/>
  <c r="T86" i="85"/>
  <c r="T85" i="85"/>
  <c r="T101" i="85"/>
  <c r="CM199" i="30"/>
  <c r="CM211" i="30" s="1"/>
  <c r="X194" i="30"/>
  <c r="J46" i="95"/>
  <c r="BM12" i="31"/>
  <c r="CW188" i="59"/>
  <c r="CW189" i="59" s="1"/>
  <c r="CW275" i="59"/>
  <c r="X50" i="53"/>
  <c r="DK140" i="30"/>
  <c r="BI61" i="59"/>
  <c r="F53" i="95"/>
  <c r="F24" i="95"/>
  <c r="I82" i="73"/>
  <c r="I83" i="73" s="1"/>
  <c r="AJ436" i="23"/>
  <c r="AI389" i="23"/>
  <c r="B81" i="59"/>
  <c r="B87" i="59"/>
  <c r="B89" i="59" s="1"/>
  <c r="BL17" i="23"/>
  <c r="BL14" i="23"/>
  <c r="BQ14" i="23"/>
  <c r="CV220" i="59"/>
  <c r="CV270" i="59"/>
  <c r="CV242" i="59"/>
  <c r="N23" i="38"/>
  <c r="M24" i="38"/>
  <c r="M25" i="38" s="1"/>
  <c r="I19" i="95"/>
  <c r="L95" i="73"/>
  <c r="CM143" i="85"/>
  <c r="CM141" i="85" s="1"/>
  <c r="I7" i="95"/>
  <c r="L89" i="73"/>
  <c r="I16" i="25"/>
  <c r="CI84" i="59"/>
  <c r="M83" i="59"/>
  <c r="CI79" i="59"/>
  <c r="G21" i="95"/>
  <c r="BN16" i="59"/>
  <c r="DP103" i="30"/>
  <c r="BN231" i="59"/>
  <c r="R16" i="25"/>
  <c r="R273" i="59"/>
  <c r="CU275" i="59"/>
  <c r="CU188" i="59"/>
  <c r="CU189" i="59" s="1"/>
  <c r="BK12" i="31"/>
  <c r="CU270" i="59"/>
  <c r="CU242" i="59"/>
  <c r="CU220" i="59"/>
  <c r="Q12" i="25"/>
  <c r="R13" i="25" s="1"/>
  <c r="AA71" i="30"/>
  <c r="G23" i="95"/>
  <c r="G9" i="95"/>
  <c r="AA8" i="32"/>
  <c r="CO266" i="59"/>
  <c r="N269" i="59"/>
  <c r="N274" i="59"/>
  <c r="Q269" i="59"/>
  <c r="D132" i="59"/>
  <c r="D145" i="59"/>
  <c r="BS28" i="20"/>
  <c r="BT27" i="20"/>
  <c r="CF18" i="25"/>
  <c r="CK17" i="25"/>
  <c r="BS55" i="59"/>
  <c r="BS50" i="59"/>
  <c r="DU113" i="30"/>
  <c r="U117" i="20"/>
  <c r="U30" i="20"/>
  <c r="F191" i="60"/>
  <c r="B79" i="63" s="1"/>
  <c r="U26" i="20"/>
  <c r="U35" i="20"/>
  <c r="U29" i="20"/>
  <c r="V146" i="20"/>
  <c r="U134" i="20"/>
  <c r="U140" i="20" s="1"/>
  <c r="CM63" i="30"/>
  <c r="CN58" i="30"/>
  <c r="BR24" i="85"/>
  <c r="BM39" i="85"/>
  <c r="V11" i="20"/>
  <c r="V19" i="20"/>
  <c r="V136" i="20"/>
  <c r="R30" i="25"/>
  <c r="R29" i="25" s="1"/>
  <c r="J89" i="59"/>
  <c r="J88" i="59"/>
  <c r="BU87" i="59"/>
  <c r="Q41" i="33"/>
  <c r="P38" i="33"/>
  <c r="P39" i="33" s="1"/>
  <c r="CZ274" i="59"/>
  <c r="CZ269" i="59"/>
  <c r="T266" i="59"/>
  <c r="B69" i="38"/>
  <c r="B82" i="38"/>
  <c r="B83" i="38" s="1"/>
  <c r="I61" i="23"/>
  <c r="I63" i="23" s="1"/>
  <c r="I674" i="23" s="1"/>
  <c r="I673" i="23" s="1"/>
  <c r="I251" i="23"/>
  <c r="F251" i="23" s="1"/>
  <c r="AI433" i="23"/>
  <c r="AH386" i="23"/>
  <c r="B198" i="59"/>
  <c r="O91" i="25"/>
  <c r="O85" i="25"/>
  <c r="H10" i="23"/>
  <c r="U142" i="20"/>
  <c r="U137" i="20"/>
  <c r="U148" i="20"/>
  <c r="U154" i="20" s="1"/>
  <c r="BY31" i="59"/>
  <c r="BY234" i="59"/>
  <c r="K234" i="59" s="1"/>
  <c r="EA105" i="30"/>
  <c r="EA106" i="30" s="1"/>
  <c r="J188" i="60"/>
  <c r="BK13" i="31"/>
  <c r="R274" i="59"/>
  <c r="AE73" i="32"/>
  <c r="AD79" i="32"/>
  <c r="CV58" i="30"/>
  <c r="CV194" i="30"/>
  <c r="CV199" i="30" s="1"/>
  <c r="CV211" i="30" s="1"/>
  <c r="CT202" i="30"/>
  <c r="CW67" i="30"/>
  <c r="CS143" i="85"/>
  <c r="CX138" i="85"/>
  <c r="AB52" i="59"/>
  <c r="AW115" i="30"/>
  <c r="DA273" i="59"/>
  <c r="DA188" i="59" s="1"/>
  <c r="DA189" i="59" s="1"/>
  <c r="DA281" i="59"/>
  <c r="DA267" i="59"/>
  <c r="DA268" i="59"/>
  <c r="U121" i="31"/>
  <c r="T123" i="31"/>
  <c r="T124" i="31" s="1"/>
  <c r="AC106" i="31"/>
  <c r="CV294" i="59"/>
  <c r="CV293" i="59"/>
  <c r="CX220" i="59"/>
  <c r="CX242" i="59"/>
  <c r="CX270" i="59"/>
  <c r="BN12" i="31"/>
  <c r="CX275" i="59"/>
  <c r="M91" i="73"/>
  <c r="AK8" i="23"/>
  <c r="AJ475" i="23"/>
  <c r="AJ502" i="23" s="1"/>
  <c r="AJ212" i="23" s="1"/>
  <c r="CN137" i="85"/>
  <c r="CO135" i="85"/>
  <c r="CO137" i="85" s="1"/>
  <c r="M85" i="73"/>
  <c r="O33" i="59"/>
  <c r="M30" i="59"/>
  <c r="M34" i="59"/>
  <c r="CJ33" i="59"/>
  <c r="AJ108" i="30"/>
  <c r="EL108" i="30" s="1"/>
  <c r="EP108" i="30"/>
  <c r="CS33" i="59"/>
  <c r="N33" i="59"/>
  <c r="CN241" i="59"/>
  <c r="CN83" i="59"/>
  <c r="BV18" i="59"/>
  <c r="BR23" i="85"/>
  <c r="BR20" i="85"/>
  <c r="BR14" i="85"/>
  <c r="BR71" i="85"/>
  <c r="BR72" i="85" s="1"/>
  <c r="Z49" i="25"/>
  <c r="O71" i="85"/>
  <c r="O72" i="85" s="1"/>
  <c r="O14" i="85"/>
  <c r="O20" i="85"/>
  <c r="BQ13" i="85"/>
  <c r="BN226" i="59"/>
  <c r="BN228" i="59" s="1"/>
  <c r="R15" i="25"/>
  <c r="R11" i="25"/>
  <c r="R14" i="25"/>
  <c r="S13" i="25"/>
  <c r="AB8" i="32"/>
  <c r="H9" i="95"/>
  <c r="H23" i="95"/>
  <c r="CU294" i="59"/>
  <c r="CU293" i="59"/>
  <c r="CU282" i="59"/>
  <c r="R281" i="59"/>
  <c r="CQ9" i="85"/>
  <c r="CQ16" i="85"/>
  <c r="X111" i="31"/>
  <c r="BP8" i="23"/>
  <c r="BU6" i="23"/>
  <c r="BP6" i="23"/>
  <c r="CX209" i="30"/>
  <c r="BM25" i="85"/>
  <c r="BM26" i="85" s="1"/>
  <c r="DI49" i="25"/>
  <c r="DI50" i="25" s="1"/>
  <c r="BQ15" i="59"/>
  <c r="BQ223" i="59"/>
  <c r="BQ243" i="59" s="1"/>
  <c r="BQ19" i="59"/>
  <c r="DS167" i="30"/>
  <c r="DS168" i="30" s="1"/>
  <c r="CF14" i="25"/>
  <c r="CK13" i="25"/>
  <c r="CF15" i="25"/>
  <c r="CF11" i="25"/>
  <c r="BS219" i="59"/>
  <c r="BS13" i="59"/>
  <c r="U135" i="20"/>
  <c r="U141" i="20" s="1"/>
  <c r="V147" i="20"/>
  <c r="P44" i="23"/>
  <c r="P40" i="23"/>
  <c r="Y46" i="85"/>
  <c r="N39" i="85"/>
  <c r="N25" i="85"/>
  <c r="BL24" i="85"/>
  <c r="AG105" i="23"/>
  <c r="AJ435" i="23"/>
  <c r="AI388" i="23"/>
  <c r="AB43" i="95"/>
  <c r="AF429" i="23"/>
  <c r="AE382" i="23"/>
  <c r="AC130" i="30"/>
  <c r="AC128" i="30"/>
  <c r="F149" i="59"/>
  <c r="CE15" i="25"/>
  <c r="CE11" i="25"/>
  <c r="CE14" i="25"/>
  <c r="CW297" i="59"/>
  <c r="BT50" i="73" s="1"/>
  <c r="V134" i="23"/>
  <c r="V148" i="23"/>
  <c r="V137" i="23"/>
  <c r="V131" i="23"/>
  <c r="W21" i="20"/>
  <c r="W16" i="20"/>
  <c r="W32" i="20"/>
  <c r="W80" i="20"/>
  <c r="W25" i="20"/>
  <c r="AH105" i="30"/>
  <c r="W113" i="20"/>
  <c r="CL158" i="85"/>
  <c r="CL174" i="85"/>
  <c r="CL159" i="85"/>
  <c r="CL140" i="85"/>
  <c r="CL160" i="85"/>
  <c r="CL157" i="85"/>
  <c r="N273" i="59"/>
  <c r="N267" i="59"/>
  <c r="N281" i="59"/>
  <c r="N268" i="59"/>
  <c r="Q268" i="59"/>
  <c r="CL26" i="25"/>
  <c r="CV72" i="30"/>
  <c r="CL30" i="25" s="1"/>
  <c r="CT143" i="85"/>
  <c r="CG92" i="85"/>
  <c r="CB11" i="85"/>
  <c r="P154" i="30"/>
  <c r="P158" i="30" s="1"/>
  <c r="P149" i="30"/>
  <c r="P148" i="30"/>
  <c r="C131" i="60"/>
  <c r="P67" i="33"/>
  <c r="K37" i="95"/>
  <c r="K40" i="95"/>
  <c r="K43" i="95" s="1"/>
  <c r="M4" i="95"/>
  <c r="L12" i="95"/>
  <c r="L13" i="95" s="1"/>
  <c r="L15" i="95" s="1"/>
  <c r="L6" i="95"/>
  <c r="L34" i="95"/>
  <c r="G218" i="59"/>
  <c r="G131" i="59"/>
  <c r="G126" i="59"/>
  <c r="H126" i="59"/>
  <c r="C45" i="73" s="1"/>
  <c r="CX293" i="59"/>
  <c r="BX14" i="25"/>
  <c r="BX15" i="25"/>
  <c r="BY15" i="25" s="1"/>
  <c r="BX11" i="25"/>
  <c r="DC273" i="59"/>
  <c r="DC268" i="59"/>
  <c r="DC281" i="59"/>
  <c r="DC267" i="59"/>
  <c r="M160" i="23"/>
  <c r="P95" i="85"/>
  <c r="P96" i="85" s="1"/>
  <c r="P12" i="85"/>
  <c r="BV11" i="85"/>
  <c r="P13" i="85"/>
  <c r="P105" i="85"/>
  <c r="P92" i="85"/>
  <c r="P93" i="85" s="1"/>
  <c r="E151" i="59"/>
  <c r="E150" i="59"/>
  <c r="E157" i="59"/>
  <c r="BX141" i="30"/>
  <c r="BX142" i="30"/>
  <c r="DB268" i="59"/>
  <c r="DB188" i="59"/>
  <c r="DB189" i="59" s="1"/>
  <c r="DB281" i="59"/>
  <c r="DB267" i="59"/>
  <c r="Q52" i="33"/>
  <c r="Q58" i="33"/>
  <c r="AD125" i="30"/>
  <c r="D132" i="60"/>
  <c r="CX204" i="30"/>
  <c r="X18" i="20"/>
  <c r="CD30" i="59"/>
  <c r="CE30" i="59" s="1"/>
  <c r="L31" i="59"/>
  <c r="CZ281" i="59"/>
  <c r="CZ267" i="59"/>
  <c r="CZ268" i="59"/>
  <c r="T265" i="59"/>
  <c r="M58" i="23"/>
  <c r="M50" i="23"/>
  <c r="M52" i="23" s="1"/>
  <c r="M60" i="23"/>
  <c r="DZ86" i="30"/>
  <c r="BX12" i="59"/>
  <c r="CC8" i="59"/>
  <c r="BX49" i="59"/>
  <c r="X97" i="33"/>
  <c r="Y96" i="33"/>
  <c r="BN13" i="23"/>
  <c r="BN7" i="23"/>
  <c r="K223" i="60"/>
  <c r="T36" i="20"/>
  <c r="T41" i="20"/>
  <c r="AG423" i="23"/>
  <c r="AF376" i="23"/>
  <c r="DK109" i="30"/>
  <c r="L79" i="59"/>
  <c r="CD80" i="59"/>
  <c r="U137" i="85"/>
  <c r="AI159" i="20"/>
  <c r="R110" i="73"/>
  <c r="AJ121" i="20"/>
  <c r="K80" i="59"/>
  <c r="K81" i="59"/>
  <c r="AH143" i="30"/>
  <c r="K87" i="59"/>
  <c r="BZ79" i="59"/>
  <c r="CW220" i="59"/>
  <c r="CW270" i="59"/>
  <c r="CW242" i="59"/>
  <c r="CW294" i="59"/>
  <c r="CW293" i="59"/>
  <c r="U153" i="23"/>
  <c r="U154" i="23" s="1"/>
  <c r="CQ161" i="85"/>
  <c r="CQ170" i="85" s="1"/>
  <c r="AK256" i="23"/>
  <c r="Y49" i="53"/>
  <c r="AR96" i="25"/>
  <c r="AK71" i="23"/>
  <c r="AL12" i="23"/>
  <c r="CY266" i="59"/>
  <c r="R269" i="59"/>
  <c r="CT203" i="30"/>
  <c r="BW18" i="85"/>
  <c r="BW95" i="85"/>
  <c r="BW96" i="85" s="1"/>
  <c r="BW105" i="85"/>
  <c r="BW12" i="85"/>
  <c r="BW13" i="85"/>
  <c r="AE597" i="23"/>
  <c r="AF601" i="23" s="1"/>
  <c r="AF605" i="23" s="1"/>
  <c r="AF597" i="23" s="1"/>
  <c r="AE606" i="23"/>
  <c r="CV297" i="59"/>
  <c r="BS50" i="73" s="1"/>
  <c r="BL12" i="31"/>
  <c r="CV188" i="59"/>
  <c r="CV189" i="59" s="1"/>
  <c r="CV275" i="59"/>
  <c r="CV278" i="59" s="1"/>
  <c r="CV279" i="59" s="1"/>
  <c r="Z74" i="85"/>
  <c r="AK437" i="23"/>
  <c r="AJ390" i="23"/>
  <c r="L26" i="38"/>
  <c r="L54" i="38"/>
  <c r="L76" i="38" s="1"/>
  <c r="AS218" i="30"/>
  <c r="AT31" i="30"/>
  <c r="BT240" i="59"/>
  <c r="I15" i="25"/>
  <c r="I11" i="25"/>
  <c r="I14" i="25"/>
  <c r="I13" i="25"/>
  <c r="CR140" i="85"/>
  <c r="CR158" i="85"/>
  <c r="CR174" i="85"/>
  <c r="CR159" i="85"/>
  <c r="CR157" i="85"/>
  <c r="CR160" i="85"/>
  <c r="BN56" i="59"/>
  <c r="BN57" i="59"/>
  <c r="BN59" i="59"/>
  <c r="Y103" i="33"/>
  <c r="X104" i="33"/>
  <c r="BK17" i="23"/>
  <c r="BK14" i="23"/>
  <c r="C53" i="73"/>
  <c r="R101" i="33" s="1"/>
  <c r="R100" i="33" s="1"/>
  <c r="C55" i="73"/>
  <c r="C56" i="73" s="1"/>
  <c r="BW47" i="73"/>
  <c r="CU297" i="59"/>
  <c r="BR50" i="73" s="1"/>
  <c r="CY265" i="59"/>
  <c r="R292" i="59"/>
  <c r="R268" i="59"/>
  <c r="R267" i="59"/>
  <c r="BM17" i="23"/>
  <c r="BM14" i="23"/>
  <c r="BL192" i="59"/>
  <c r="BG192" i="59"/>
  <c r="AI442" i="23"/>
  <c r="AH395" i="23"/>
  <c r="R49" i="33"/>
  <c r="R51" i="33"/>
  <c r="I46" i="95"/>
  <c r="AB37" i="95"/>
  <c r="M670" i="23"/>
  <c r="M664" i="23"/>
  <c r="M671" i="23"/>
  <c r="BM21" i="85"/>
  <c r="DU87" i="30"/>
  <c r="DU90" i="30"/>
  <c r="DU91" i="30" s="1"/>
  <c r="D80" i="63"/>
  <c r="BE199" i="59"/>
  <c r="BE200" i="59"/>
  <c r="CM59" i="30"/>
  <c r="CM64" i="30" s="1"/>
  <c r="CR193" i="30"/>
  <c r="CR59" i="30" s="1"/>
  <c r="CR64" i="30" s="1"/>
  <c r="E145" i="59"/>
  <c r="E132" i="59"/>
  <c r="C159" i="59"/>
  <c r="C165" i="59"/>
  <c r="C158" i="59"/>
  <c r="T133" i="20"/>
  <c r="T145" i="20" s="1"/>
  <c r="DB26" i="20"/>
  <c r="DC26" i="20" s="1"/>
  <c r="T116" i="20"/>
  <c r="T27" i="20"/>
  <c r="CR194" i="30"/>
  <c r="CR58" i="30"/>
  <c r="CS192" i="30"/>
  <c r="AG106" i="30"/>
  <c r="DW105" i="30"/>
  <c r="R28" i="25"/>
  <c r="R25" i="25"/>
  <c r="S27" i="25"/>
  <c r="H21" i="95"/>
  <c r="CE83" i="59"/>
  <c r="L84" i="59"/>
  <c r="L85" i="59"/>
  <c r="AI146" i="30"/>
  <c r="I370" i="60"/>
  <c r="I369" i="60" s="1"/>
  <c r="V28" i="20"/>
  <c r="DW143" i="30"/>
  <c r="AG144" i="30"/>
  <c r="BY12" i="25"/>
  <c r="D157" i="59"/>
  <c r="D151" i="59"/>
  <c r="D150" i="59"/>
  <c r="F126" i="59"/>
  <c r="F131" i="59"/>
  <c r="P91" i="25"/>
  <c r="P92" i="25" s="1"/>
  <c r="P87" i="25"/>
  <c r="I10" i="23"/>
  <c r="C198" i="59"/>
  <c r="P85" i="25"/>
  <c r="N82" i="25"/>
  <c r="N38" i="25"/>
  <c r="DF18" i="23"/>
  <c r="Z172" i="59"/>
  <c r="Z174" i="59" s="1"/>
  <c r="AA170" i="59"/>
  <c r="DC85" i="59"/>
  <c r="DH85" i="59" s="1"/>
  <c r="DA85" i="59"/>
  <c r="DF85" i="59" s="1"/>
  <c r="CV83" i="59"/>
  <c r="CQ79" i="59"/>
  <c r="CQ84" i="59"/>
  <c r="CL80" i="59"/>
  <c r="CL81" i="59"/>
  <c r="DG18" i="20" l="1"/>
  <c r="DG11" i="20"/>
  <c r="FI96" i="30"/>
  <c r="FH96" i="30"/>
  <c r="O17" i="53"/>
  <c r="DA125" i="59"/>
  <c r="BX54" i="73" s="1"/>
  <c r="AD24" i="20"/>
  <c r="AD78" i="20"/>
  <c r="K68" i="53"/>
  <c r="J58" i="53"/>
  <c r="J60" i="53" s="1"/>
  <c r="M39" i="52"/>
  <c r="L29" i="52"/>
  <c r="L31" i="52" s="1"/>
  <c r="D278" i="60"/>
  <c r="K32" i="52"/>
  <c r="S394" i="60"/>
  <c r="R398" i="60"/>
  <c r="F220" i="60"/>
  <c r="G216" i="60"/>
  <c r="S32" i="32"/>
  <c r="D102" i="60"/>
  <c r="R402" i="60"/>
  <c r="Q404" i="60"/>
  <c r="F224" i="60"/>
  <c r="E226" i="60"/>
  <c r="V39" i="32"/>
  <c r="U29" i="32"/>
  <c r="AK401" i="23"/>
  <c r="AL448" i="23"/>
  <c r="AG431" i="23"/>
  <c r="AF384" i="23"/>
  <c r="DB125" i="59"/>
  <c r="BY54" i="73" s="1"/>
  <c r="BR243" i="59"/>
  <c r="BR244" i="59" s="1"/>
  <c r="BR246" i="59" s="1"/>
  <c r="BB20" i="31"/>
  <c r="BG20" i="31" s="1"/>
  <c r="AX28" i="31"/>
  <c r="AT28" i="31"/>
  <c r="AU28" i="31" s="1"/>
  <c r="AU20" i="31"/>
  <c r="BA20" i="31"/>
  <c r="BF20" i="31" s="1"/>
  <c r="BI12" i="73"/>
  <c r="V45" i="38"/>
  <c r="W5" i="38"/>
  <c r="W19" i="38"/>
  <c r="V21" i="38"/>
  <c r="X22" i="38"/>
  <c r="CQ30" i="20"/>
  <c r="J24" i="31"/>
  <c r="J31" i="31"/>
  <c r="J33" i="31" s="1"/>
  <c r="N40" i="25"/>
  <c r="N39" i="25" s="1"/>
  <c r="M39" i="31"/>
  <c r="L40" i="31"/>
  <c r="L42" i="31"/>
  <c r="K49" i="31"/>
  <c r="K50" i="31" s="1"/>
  <c r="U113" i="30"/>
  <c r="K43" i="31"/>
  <c r="P86" i="73"/>
  <c r="Q86" i="73" s="1"/>
  <c r="R86" i="73" s="1"/>
  <c r="S86" i="73" s="1"/>
  <c r="T86" i="73" s="1"/>
  <c r="U86" i="73" s="1"/>
  <c r="V86" i="73" s="1"/>
  <c r="W86" i="73" s="1"/>
  <c r="P92" i="73"/>
  <c r="AF130" i="85"/>
  <c r="AG130" i="85"/>
  <c r="Z611" i="23"/>
  <c r="Z607" i="23" s="1"/>
  <c r="DC22" i="23"/>
  <c r="Z251" i="23"/>
  <c r="Z61" i="23"/>
  <c r="DC61" i="23" s="1"/>
  <c r="CT203" i="59"/>
  <c r="Q204" i="59"/>
  <c r="CT204" i="59" s="1"/>
  <c r="CV16" i="85"/>
  <c r="BJ12" i="73"/>
  <c r="CC50" i="73"/>
  <c r="F54" i="95"/>
  <c r="BR8" i="31"/>
  <c r="BU13" i="73"/>
  <c r="BU14" i="73" s="1"/>
  <c r="AE97" i="41"/>
  <c r="AM403" i="23"/>
  <c r="V401" i="60"/>
  <c r="K74" i="63"/>
  <c r="P63" i="60"/>
  <c r="DE270" i="59"/>
  <c r="AB46" i="95"/>
  <c r="DH270" i="59"/>
  <c r="DF270" i="59"/>
  <c r="AG46" i="95"/>
  <c r="CT141" i="85"/>
  <c r="CT152" i="85"/>
  <c r="CT154" i="85" s="1"/>
  <c r="CS141" i="85"/>
  <c r="CS152" i="85"/>
  <c r="CS154" i="85" s="1"/>
  <c r="CW144" i="85"/>
  <c r="CW152" i="85"/>
  <c r="CX153" i="85"/>
  <c r="CX154" i="85"/>
  <c r="DP211" i="30"/>
  <c r="BW20" i="23"/>
  <c r="BN108" i="59"/>
  <c r="BN202" i="59" s="1"/>
  <c r="BN111" i="59"/>
  <c r="BN114" i="59" s="1"/>
  <c r="I105" i="59"/>
  <c r="BL111" i="59"/>
  <c r="BL108" i="59"/>
  <c r="BL202" i="59" s="1"/>
  <c r="BL204" i="59" s="1"/>
  <c r="DD111" i="85"/>
  <c r="W111" i="85" s="1"/>
  <c r="DA143" i="85"/>
  <c r="DA152" i="85" s="1"/>
  <c r="AC50" i="95"/>
  <c r="AC53" i="95" s="1"/>
  <c r="DE53" i="25"/>
  <c r="BI33" i="85"/>
  <c r="BU20" i="23"/>
  <c r="DN211" i="30"/>
  <c r="BM108" i="59"/>
  <c r="BM202" i="59" s="1"/>
  <c r="BM204" i="59" s="1"/>
  <c r="BM111" i="59"/>
  <c r="BM114" i="59" s="1"/>
  <c r="DB119" i="85"/>
  <c r="DB114" i="85"/>
  <c r="DB120" i="85"/>
  <c r="BV20" i="23"/>
  <c r="DO211" i="30"/>
  <c r="DD53" i="25"/>
  <c r="BH33" i="85"/>
  <c r="DF53" i="25"/>
  <c r="BK31" i="85"/>
  <c r="DG53" i="25" s="1"/>
  <c r="DQ172" i="30" s="1"/>
  <c r="DQ173" i="30" s="1"/>
  <c r="BJ33" i="85"/>
  <c r="DC113" i="85"/>
  <c r="DC149" i="85" s="1"/>
  <c r="CR161" i="85"/>
  <c r="CR170" i="85" s="1"/>
  <c r="CW141" i="85"/>
  <c r="BO235" i="59"/>
  <c r="BP235" i="59" s="1"/>
  <c r="AF122" i="20"/>
  <c r="CJ116" i="20"/>
  <c r="CM26" i="20"/>
  <c r="CM116" i="20" s="1"/>
  <c r="DD12" i="20"/>
  <c r="E37" i="59"/>
  <c r="AV36" i="59"/>
  <c r="CN23" i="20"/>
  <c r="CM113" i="20"/>
  <c r="CM27" i="20"/>
  <c r="CN24" i="20"/>
  <c r="G30" i="59"/>
  <c r="DG105" i="30"/>
  <c r="AD106" i="30"/>
  <c r="AE106" i="30"/>
  <c r="W20" i="20"/>
  <c r="X17" i="20"/>
  <c r="K235" i="59"/>
  <c r="W82" i="20"/>
  <c r="BA30" i="59"/>
  <c r="F31" i="59"/>
  <c r="F36" i="59"/>
  <c r="DA16" i="20"/>
  <c r="DB17" i="20"/>
  <c r="DC17" i="20"/>
  <c r="BS235" i="59"/>
  <c r="BQ235" i="59"/>
  <c r="BR235" i="59"/>
  <c r="AT79" i="59"/>
  <c r="CV144" i="30"/>
  <c r="DA144" i="30"/>
  <c r="CW25" i="20"/>
  <c r="CW115" i="20" s="1"/>
  <c r="AA24" i="20"/>
  <c r="AA78" i="20"/>
  <c r="AA79" i="20" s="1"/>
  <c r="BG211" i="59"/>
  <c r="BG206" i="59"/>
  <c r="BH213" i="59"/>
  <c r="BQ34" i="23"/>
  <c r="AB60" i="20"/>
  <c r="AB62" i="20" s="1"/>
  <c r="AB61" i="20" s="1"/>
  <c r="AB74" i="20"/>
  <c r="AB76" i="20" s="1"/>
  <c r="BP10" i="23"/>
  <c r="BP13" i="23" s="1"/>
  <c r="BG198" i="59"/>
  <c r="CY87" i="25"/>
  <c r="AJ191" i="31"/>
  <c r="AI191" i="31"/>
  <c r="AC439" i="23"/>
  <c r="AA392" i="23"/>
  <c r="DC385" i="23"/>
  <c r="DP383" i="23"/>
  <c r="DQ383" i="23"/>
  <c r="DN383" i="23"/>
  <c r="DO383" i="23"/>
  <c r="CY392" i="23"/>
  <c r="DB392" i="23"/>
  <c r="DA392" i="23"/>
  <c r="CZ392" i="23"/>
  <c r="DC392" i="23" s="1"/>
  <c r="AE383" i="23"/>
  <c r="AF430" i="23"/>
  <c r="AA445" i="23"/>
  <c r="Z398" i="23"/>
  <c r="AD432" i="23"/>
  <c r="AC385" i="23"/>
  <c r="DR383" i="23"/>
  <c r="DM383" i="23"/>
  <c r="DD385" i="23"/>
  <c r="DG385" i="23"/>
  <c r="DF385" i="23"/>
  <c r="DE385" i="23"/>
  <c r="AM440" i="23"/>
  <c r="AL393" i="23"/>
  <c r="AA426" i="23"/>
  <c r="Z379" i="23"/>
  <c r="DM397" i="23"/>
  <c r="AJ438" i="23"/>
  <c r="AI391" i="23"/>
  <c r="AI447" i="23"/>
  <c r="AH400" i="23"/>
  <c r="Z387" i="23"/>
  <c r="AA434" i="23"/>
  <c r="AM446" i="23"/>
  <c r="AL399" i="23"/>
  <c r="AF444" i="23"/>
  <c r="AE397" i="23"/>
  <c r="AA462" i="23"/>
  <c r="Z415" i="23"/>
  <c r="AI427" i="23"/>
  <c r="AH380" i="23"/>
  <c r="DO397" i="23"/>
  <c r="DN397" i="23"/>
  <c r="DP397" i="23"/>
  <c r="DQ397" i="23"/>
  <c r="AC441" i="23"/>
  <c r="AA394" i="23"/>
  <c r="AA425" i="23"/>
  <c r="Z378" i="23"/>
  <c r="CT415" i="23"/>
  <c r="CU415" i="23" s="1"/>
  <c r="CV415" i="23" s="1"/>
  <c r="Z381" i="23"/>
  <c r="AA428" i="23"/>
  <c r="CW377" i="23"/>
  <c r="CX377" i="23" s="1"/>
  <c r="DR382" i="23"/>
  <c r="DB394" i="23"/>
  <c r="CY394" i="23"/>
  <c r="CZ394" i="23"/>
  <c r="DA394" i="23"/>
  <c r="CT387" i="23"/>
  <c r="AH443" i="23"/>
  <c r="AG396" i="23"/>
  <c r="AA424" i="23"/>
  <c r="Z377" i="23"/>
  <c r="AN348" i="23"/>
  <c r="AL409" i="23"/>
  <c r="L294" i="60"/>
  <c r="DF123" i="59"/>
  <c r="DF149" i="59" s="1"/>
  <c r="FH93" i="30"/>
  <c r="FI93" i="30"/>
  <c r="BJ10" i="23"/>
  <c r="S27" i="52"/>
  <c r="R26" i="52"/>
  <c r="BJ13" i="23"/>
  <c r="L17" i="23"/>
  <c r="L363" i="23"/>
  <c r="F7" i="56"/>
  <c r="F14" i="56" s="1"/>
  <c r="M14" i="23"/>
  <c r="C341" i="60"/>
  <c r="F13" i="53"/>
  <c r="F17" i="53" s="1"/>
  <c r="F19" i="53" s="1"/>
  <c r="C340" i="60" s="1"/>
  <c r="G9" i="53"/>
  <c r="BI14" i="23"/>
  <c r="BI17" i="23"/>
  <c r="L474" i="23"/>
  <c r="L499" i="23" s="1"/>
  <c r="BI7" i="23"/>
  <c r="BJ7" i="23" s="1"/>
  <c r="AF32" i="85"/>
  <c r="AT57" i="25" s="1"/>
  <c r="AX179" i="30" s="1"/>
  <c r="AX180" i="30" s="1"/>
  <c r="AY207" i="30"/>
  <c r="DA30" i="59"/>
  <c r="EF18" i="20" s="1"/>
  <c r="DF33" i="59"/>
  <c r="FH108" i="30" s="1"/>
  <c r="V92" i="59"/>
  <c r="V323" i="59"/>
  <c r="V93" i="59"/>
  <c r="W40" i="59"/>
  <c r="W232" i="59"/>
  <c r="X24" i="52"/>
  <c r="AR16" i="30"/>
  <c r="AR19" i="30" s="1"/>
  <c r="Z16" i="52"/>
  <c r="S279" i="60" s="1"/>
  <c r="Y17" i="52"/>
  <c r="Y18" i="52"/>
  <c r="Y9" i="52"/>
  <c r="Y23" i="52"/>
  <c r="AP34" i="30"/>
  <c r="AP196" i="30"/>
  <c r="V107" i="59" s="1"/>
  <c r="V113" i="59" s="1"/>
  <c r="DB30" i="59"/>
  <c r="DG33" i="59"/>
  <c r="FI108" i="30" s="1"/>
  <c r="DB83" i="59"/>
  <c r="DB79" i="59" s="1"/>
  <c r="AR11" i="30"/>
  <c r="AR23" i="30" s="1"/>
  <c r="X39" i="59"/>
  <c r="AR10" i="30"/>
  <c r="AQ18" i="30"/>
  <c r="W91" i="59"/>
  <c r="AQ17" i="30"/>
  <c r="AP20" i="30"/>
  <c r="AP25" i="30"/>
  <c r="AL69" i="25" s="1"/>
  <c r="AL66" i="25"/>
  <c r="Z20" i="52"/>
  <c r="AS22" i="30" s="1"/>
  <c r="AS9" i="30"/>
  <c r="AA6" i="52"/>
  <c r="Z13" i="52"/>
  <c r="AQ12" i="30"/>
  <c r="AM64" i="25"/>
  <c r="AQ32" i="30"/>
  <c r="X10" i="52"/>
  <c r="X11" i="52"/>
  <c r="AE559" i="23"/>
  <c r="AL65" i="25"/>
  <c r="C80" i="20"/>
  <c r="C79" i="20"/>
  <c r="E26" i="20"/>
  <c r="E116" i="20" s="1"/>
  <c r="E113" i="20"/>
  <c r="BM23" i="20"/>
  <c r="BN113" i="20"/>
  <c r="AI70" i="20"/>
  <c r="AH71" i="20"/>
  <c r="AH72" i="20" s="1"/>
  <c r="AH23" i="20" s="1"/>
  <c r="AE75" i="20"/>
  <c r="CC116" i="20"/>
  <c r="CC114" i="20"/>
  <c r="CH21" i="20"/>
  <c r="CC21" i="20"/>
  <c r="CC113" i="20"/>
  <c r="AG72" i="20"/>
  <c r="AG23" i="20" s="1"/>
  <c r="O11" i="20"/>
  <c r="P19" i="20"/>
  <c r="O136" i="20"/>
  <c r="O19" i="20"/>
  <c r="CD16" i="20"/>
  <c r="O18" i="20"/>
  <c r="CY138" i="85"/>
  <c r="CX157" i="85"/>
  <c r="O23" i="85"/>
  <c r="O38" i="85" s="1"/>
  <c r="W85" i="73"/>
  <c r="W87" i="73"/>
  <c r="W88" i="73"/>
  <c r="U281" i="59"/>
  <c r="DG270" i="59"/>
  <c r="DB270" i="59"/>
  <c r="BU13" i="31"/>
  <c r="Z13" i="31" s="1"/>
  <c r="BY13" i="31" s="1"/>
  <c r="U274" i="59"/>
  <c r="DH275" i="59"/>
  <c r="BX12" i="31"/>
  <c r="BX32" i="31" s="1"/>
  <c r="DH188" i="59"/>
  <c r="DE242" i="59"/>
  <c r="DE220" i="59"/>
  <c r="DF188" i="59"/>
  <c r="BV12" i="31"/>
  <c r="BV32" i="31" s="1"/>
  <c r="DF275" i="59"/>
  <c r="DG220" i="59"/>
  <c r="DG242" i="59"/>
  <c r="DH242" i="59"/>
  <c r="DH220" i="59"/>
  <c r="DH286" i="59"/>
  <c r="DE188" i="59"/>
  <c r="DE275" i="59"/>
  <c r="DE278" i="59" s="1"/>
  <c r="BU12" i="31"/>
  <c r="U273" i="59"/>
  <c r="U284" i="59" s="1"/>
  <c r="U285" i="59" s="1"/>
  <c r="BW12" i="31"/>
  <c r="BW32" i="31" s="1"/>
  <c r="DG188" i="59"/>
  <c r="DG275" i="59"/>
  <c r="DG276" i="59" s="1"/>
  <c r="DF242" i="59"/>
  <c r="DF220" i="59"/>
  <c r="DA9" i="85"/>
  <c r="DC282" i="59"/>
  <c r="DH282" i="59"/>
  <c r="CZ297" i="59"/>
  <c r="BW50" i="73" s="1"/>
  <c r="DE296" i="59"/>
  <c r="DE121" i="59" s="1"/>
  <c r="DA282" i="59"/>
  <c r="DF282" i="59"/>
  <c r="DG124" i="59"/>
  <c r="DG123" i="59"/>
  <c r="T281" i="59"/>
  <c r="DE282" i="59"/>
  <c r="DB282" i="59"/>
  <c r="DG282" i="59"/>
  <c r="AE72" i="23"/>
  <c r="AD73" i="23"/>
  <c r="AM260" i="23"/>
  <c r="AD12" i="56"/>
  <c r="AM230" i="23"/>
  <c r="AN230" i="23" s="1"/>
  <c r="DC65" i="85"/>
  <c r="V65" i="85"/>
  <c r="V60" i="85"/>
  <c r="DD102" i="85"/>
  <c r="DD101" i="85"/>
  <c r="W98" i="85"/>
  <c r="W84" i="85"/>
  <c r="DD16" i="85"/>
  <c r="DD9" i="85"/>
  <c r="DA16" i="85"/>
  <c r="W60" i="85"/>
  <c r="DA63" i="85"/>
  <c r="DD104" i="85"/>
  <c r="CJ241" i="59"/>
  <c r="CX93" i="30"/>
  <c r="CW94" i="30"/>
  <c r="AU121" i="59"/>
  <c r="AV121" i="59" s="1"/>
  <c r="CQ97" i="30"/>
  <c r="AO122" i="59"/>
  <c r="CQ125" i="30"/>
  <c r="CR95" i="30"/>
  <c r="CV95" i="30"/>
  <c r="CL142" i="30"/>
  <c r="CL141" i="30"/>
  <c r="CV124" i="30"/>
  <c r="CW123" i="30"/>
  <c r="AT124" i="59"/>
  <c r="CH96" i="30"/>
  <c r="CH97" i="30"/>
  <c r="CM130" i="30"/>
  <c r="CM128" i="30"/>
  <c r="CN127" i="30"/>
  <c r="DA94" i="30"/>
  <c r="DF93" i="30"/>
  <c r="DB93" i="30"/>
  <c r="DC93" i="30" s="1"/>
  <c r="AY121" i="59"/>
  <c r="DA123" i="30"/>
  <c r="CH125" i="30"/>
  <c r="CG126" i="30"/>
  <c r="CG127" i="30"/>
  <c r="CR131" i="30"/>
  <c r="CR124" i="30"/>
  <c r="AF690" i="23"/>
  <c r="AF234" i="23"/>
  <c r="B200" i="59"/>
  <c r="BZ234" i="59"/>
  <c r="BK8" i="31"/>
  <c r="BM13" i="73"/>
  <c r="W8" i="31"/>
  <c r="H14" i="73"/>
  <c r="H15" i="73" s="1"/>
  <c r="H12" i="73" s="1"/>
  <c r="BH14" i="73"/>
  <c r="BH15" i="73"/>
  <c r="BO14" i="73"/>
  <c r="BO15" i="73"/>
  <c r="BN15" i="73"/>
  <c r="BN14" i="73"/>
  <c r="BP15" i="73"/>
  <c r="BP14" i="73"/>
  <c r="BT13" i="73"/>
  <c r="V99" i="31"/>
  <c r="V103" i="31" s="1"/>
  <c r="V104" i="31" s="1"/>
  <c r="BE8" i="31"/>
  <c r="V93" i="31"/>
  <c r="I13" i="73"/>
  <c r="BQ8" i="31"/>
  <c r="BS13" i="73"/>
  <c r="AG128" i="30"/>
  <c r="AD80" i="32"/>
  <c r="BW223" i="59"/>
  <c r="BW19" i="59"/>
  <c r="BW15" i="59"/>
  <c r="BN29" i="85"/>
  <c r="BR63" i="59"/>
  <c r="CC105" i="85"/>
  <c r="CC12" i="85"/>
  <c r="CC95" i="85"/>
  <c r="CC96" i="85" s="1"/>
  <c r="CC13" i="85"/>
  <c r="CC39" i="85" s="1"/>
  <c r="CC18" i="85"/>
  <c r="CH24" i="85"/>
  <c r="CH11" i="85"/>
  <c r="CM92" i="85"/>
  <c r="BS28" i="85"/>
  <c r="BS21" i="85"/>
  <c r="BX71" i="85"/>
  <c r="BX72" i="85" s="1"/>
  <c r="BX23" i="85"/>
  <c r="BX25" i="85" s="1"/>
  <c r="BX26" i="85" s="1"/>
  <c r="CB18" i="59"/>
  <c r="BX20" i="85"/>
  <c r="BX14" i="85"/>
  <c r="BR16" i="59"/>
  <c r="DJ35" i="25"/>
  <c r="DT103" i="30"/>
  <c r="BR231" i="59"/>
  <c r="BY47" i="73"/>
  <c r="BX47" i="73"/>
  <c r="BX48" i="73" s="1"/>
  <c r="AD242" i="30"/>
  <c r="V137" i="85"/>
  <c r="CZ137" i="85" s="1"/>
  <c r="CW276" i="59"/>
  <c r="CW278" i="59"/>
  <c r="CW279" i="59" s="1"/>
  <c r="CX276" i="59"/>
  <c r="CX278" i="59"/>
  <c r="CX279" i="59" s="1"/>
  <c r="CU286" i="59"/>
  <c r="CU278" i="59"/>
  <c r="CU279" i="59" s="1"/>
  <c r="BH192" i="59"/>
  <c r="BH200" i="59"/>
  <c r="BM192" i="59"/>
  <c r="BQ6" i="23"/>
  <c r="BQ8" i="23"/>
  <c r="BQ7" i="23" s="1"/>
  <c r="BV6" i="23"/>
  <c r="V12" i="20"/>
  <c r="CY143" i="85"/>
  <c r="CY152" i="85" s="1"/>
  <c r="AA50" i="95"/>
  <c r="AA53" i="95" s="1"/>
  <c r="BM28" i="85"/>
  <c r="BQ63" i="59" s="1"/>
  <c r="CR176" i="85"/>
  <c r="CR178" i="85" s="1"/>
  <c r="CR144" i="85"/>
  <c r="U106" i="73"/>
  <c r="U105" i="73"/>
  <c r="V104" i="73"/>
  <c r="W104" i="73" s="1"/>
  <c r="U103" i="73"/>
  <c r="AE112" i="85" s="1"/>
  <c r="Z100" i="31"/>
  <c r="Y102" i="31"/>
  <c r="AF101" i="31"/>
  <c r="Q134" i="31"/>
  <c r="P133" i="31"/>
  <c r="O135" i="31"/>
  <c r="O112" i="31" s="1"/>
  <c r="O113" i="31" s="1"/>
  <c r="O114" i="31" s="1"/>
  <c r="O107" i="31"/>
  <c r="O108" i="31" s="1"/>
  <c r="O109" i="31" s="1"/>
  <c r="O128" i="31"/>
  <c r="O129" i="31" s="1"/>
  <c r="O130" i="31" s="1"/>
  <c r="T127" i="31"/>
  <c r="O104" i="31"/>
  <c r="P104" i="31"/>
  <c r="Q104" i="31"/>
  <c r="FC96" i="30"/>
  <c r="D24" i="73"/>
  <c r="O224" i="59"/>
  <c r="AA233" i="59"/>
  <c r="AB24" i="59"/>
  <c r="FD96" i="30"/>
  <c r="BS56" i="73"/>
  <c r="BS53" i="73"/>
  <c r="BS55" i="73"/>
  <c r="BN32" i="31"/>
  <c r="BL32" i="31"/>
  <c r="BM32" i="31"/>
  <c r="BT55" i="73"/>
  <c r="BT56" i="73"/>
  <c r="BT53" i="73"/>
  <c r="N241" i="59"/>
  <c r="P241" i="59" s="1"/>
  <c r="DA83" i="59"/>
  <c r="DA84" i="59" s="1"/>
  <c r="CW286" i="59"/>
  <c r="R275" i="59"/>
  <c r="AX209" i="30"/>
  <c r="U38" i="38"/>
  <c r="AL151" i="23"/>
  <c r="AL165" i="23"/>
  <c r="AL171" i="23" s="1"/>
  <c r="AL113" i="23" s="1"/>
  <c r="CN103" i="30"/>
  <c r="DE103" i="30"/>
  <c r="DE98" i="30"/>
  <c r="DJ98" i="30"/>
  <c r="AX131" i="59"/>
  <c r="AX126" i="59"/>
  <c r="AX149" i="59"/>
  <c r="CZ128" i="30"/>
  <c r="CZ130" i="30"/>
  <c r="CZ140" i="30"/>
  <c r="AN165" i="59"/>
  <c r="AN167" i="59" s="1"/>
  <c r="AN159" i="59"/>
  <c r="AS132" i="59"/>
  <c r="AS145" i="59"/>
  <c r="AS146" i="59" s="1"/>
  <c r="AX15" i="59"/>
  <c r="CZ104" i="30"/>
  <c r="AS16" i="59"/>
  <c r="AS27" i="59"/>
  <c r="AS59" i="59"/>
  <c r="CU142" i="30"/>
  <c r="CU141" i="30"/>
  <c r="DE127" i="30"/>
  <c r="DE126" i="30"/>
  <c r="DJ126" i="30"/>
  <c r="AS157" i="59"/>
  <c r="AS150" i="59"/>
  <c r="AS151" i="59"/>
  <c r="BC125" i="59"/>
  <c r="BC123" i="59"/>
  <c r="BH125" i="59"/>
  <c r="AN75" i="59"/>
  <c r="AN61" i="59"/>
  <c r="P96" i="31"/>
  <c r="P158" i="31"/>
  <c r="P159" i="31" s="1"/>
  <c r="P46" i="31"/>
  <c r="P15" i="31"/>
  <c r="P37" i="31"/>
  <c r="AE239" i="30"/>
  <c r="AE86" i="30"/>
  <c r="D15" i="59"/>
  <c r="E6" i="38"/>
  <c r="AV8" i="59"/>
  <c r="AU12" i="59"/>
  <c r="AU13" i="59" s="1"/>
  <c r="AU9" i="59"/>
  <c r="D27" i="73"/>
  <c r="AQ8" i="59"/>
  <c r="AC91" i="30"/>
  <c r="F12" i="59"/>
  <c r="AC103" i="30"/>
  <c r="AB104" i="30"/>
  <c r="E15" i="59"/>
  <c r="F6" i="38"/>
  <c r="O90" i="31"/>
  <c r="O25" i="31"/>
  <c r="C26" i="73"/>
  <c r="C27" i="73"/>
  <c r="C24" i="73"/>
  <c r="DB87" i="30"/>
  <c r="AZ8" i="59"/>
  <c r="DB90" i="30"/>
  <c r="DB91" i="30" s="1"/>
  <c r="P31" i="31"/>
  <c r="P33" i="31" s="1"/>
  <c r="P89" i="31"/>
  <c r="P24" i="31"/>
  <c r="C40" i="73"/>
  <c r="C39" i="73" s="1"/>
  <c r="Q23" i="31"/>
  <c r="Q96" i="31"/>
  <c r="AD87" i="30"/>
  <c r="G8" i="59"/>
  <c r="G9" i="59" s="1"/>
  <c r="AD90" i="30"/>
  <c r="DG86" i="30"/>
  <c r="CW91" i="30"/>
  <c r="CR91" i="30"/>
  <c r="E13" i="59"/>
  <c r="D13" i="59"/>
  <c r="AQ12" i="59"/>
  <c r="CX90" i="30"/>
  <c r="O34" i="31"/>
  <c r="BW48" i="73"/>
  <c r="BW49" i="73"/>
  <c r="AF235" i="30"/>
  <c r="S43" i="33"/>
  <c r="S44" i="33" s="1"/>
  <c r="S55" i="33"/>
  <c r="S46" i="33"/>
  <c r="V126" i="85"/>
  <c r="CZ125" i="85"/>
  <c r="I50" i="95"/>
  <c r="AH126" i="30"/>
  <c r="U51" i="33"/>
  <c r="H132" i="60" s="1"/>
  <c r="D77" i="63" s="1"/>
  <c r="DV94" i="30"/>
  <c r="DW93" i="30"/>
  <c r="EA93" i="30"/>
  <c r="BY122" i="59"/>
  <c r="BY124" i="59"/>
  <c r="CV161" i="85"/>
  <c r="CV170" i="85" s="1"/>
  <c r="D55" i="73"/>
  <c r="D56" i="73" s="1"/>
  <c r="CX140" i="85"/>
  <c r="CX158" i="85"/>
  <c r="CX160" i="85"/>
  <c r="CX141" i="85"/>
  <c r="CX159" i="85"/>
  <c r="CX174" i="85"/>
  <c r="BZ121" i="59"/>
  <c r="CW140" i="85"/>
  <c r="CW174" i="85"/>
  <c r="CW158" i="85"/>
  <c r="CW159" i="85"/>
  <c r="CW157" i="85"/>
  <c r="CW160" i="85"/>
  <c r="AF96" i="30"/>
  <c r="DR95" i="30"/>
  <c r="AF97" i="30"/>
  <c r="AF132" i="30"/>
  <c r="L124" i="59"/>
  <c r="CD121" i="59"/>
  <c r="CE121" i="59" s="1"/>
  <c r="L296" i="59"/>
  <c r="BH20" i="31"/>
  <c r="BC28" i="31"/>
  <c r="AI124" i="30"/>
  <c r="AI125" i="30"/>
  <c r="AI131" i="30"/>
  <c r="J122" i="59"/>
  <c r="DV95" i="30"/>
  <c r="DV96" i="30" s="1"/>
  <c r="BT125" i="59"/>
  <c r="BD20" i="31"/>
  <c r="AY28" i="31"/>
  <c r="U28" i="31" s="1"/>
  <c r="AZ28" i="31" s="1"/>
  <c r="U20" i="31"/>
  <c r="G132" i="60"/>
  <c r="C77" i="63" s="1"/>
  <c r="CK84" i="59"/>
  <c r="CK79" i="59"/>
  <c r="DB84" i="59"/>
  <c r="FD108" i="30"/>
  <c r="DB241" i="59"/>
  <c r="DB224" i="59" s="1"/>
  <c r="CD81" i="59"/>
  <c r="EX105" i="30"/>
  <c r="EX106" i="30" s="1"/>
  <c r="CV31" i="59"/>
  <c r="EA18" i="20"/>
  <c r="CV234" i="59"/>
  <c r="CW31" i="59"/>
  <c r="EB18" i="20"/>
  <c r="CW234" i="59"/>
  <c r="EY105" i="30"/>
  <c r="EY106" i="30" s="1"/>
  <c r="DW21" i="20"/>
  <c r="DV21" i="20"/>
  <c r="CK31" i="59"/>
  <c r="CK234" i="59"/>
  <c r="DP18" i="20"/>
  <c r="EM105" i="30"/>
  <c r="EM106" i="30" s="1"/>
  <c r="FC108" i="30"/>
  <c r="DA241" i="59"/>
  <c r="DA224" i="59" s="1"/>
  <c r="CR81" i="59"/>
  <c r="CR80" i="59"/>
  <c r="CN224" i="59"/>
  <c r="N224" i="59" s="1"/>
  <c r="P224" i="59" s="1"/>
  <c r="CP241" i="59"/>
  <c r="CP224" i="59" s="1"/>
  <c r="ER108" i="30"/>
  <c r="CP83" i="59"/>
  <c r="CP30" i="59"/>
  <c r="CU33" i="59"/>
  <c r="CW79" i="59"/>
  <c r="CW84" i="59"/>
  <c r="CF81" i="59"/>
  <c r="CF80" i="59"/>
  <c r="CX286" i="59"/>
  <c r="P19" i="85"/>
  <c r="BV18" i="85"/>
  <c r="BO243" i="59"/>
  <c r="I243" i="59" s="1"/>
  <c r="CY102" i="85"/>
  <c r="CY101" i="85"/>
  <c r="V98" i="85"/>
  <c r="U56" i="85"/>
  <c r="U57" i="85" s="1"/>
  <c r="U99" i="85"/>
  <c r="BP26" i="85"/>
  <c r="BP28" i="85"/>
  <c r="BZ20" i="85"/>
  <c r="BZ21" i="85" s="1"/>
  <c r="U61" i="85"/>
  <c r="U62" i="85"/>
  <c r="U77" i="85"/>
  <c r="U50" i="85"/>
  <c r="U51" i="85" s="1"/>
  <c r="V90" i="85"/>
  <c r="V104" i="85"/>
  <c r="V102" i="85"/>
  <c r="CE12" i="85"/>
  <c r="CE105" i="85"/>
  <c r="CE18" i="85"/>
  <c r="CE95" i="85"/>
  <c r="CE96" i="85" s="1"/>
  <c r="CE13" i="85"/>
  <c r="F9" i="73"/>
  <c r="S95" i="31"/>
  <c r="S14" i="31"/>
  <c r="T11" i="31"/>
  <c r="F25" i="73"/>
  <c r="CD11" i="85"/>
  <c r="R11" i="85" s="1"/>
  <c r="CI92" i="85"/>
  <c r="I18" i="59"/>
  <c r="AF236" i="30"/>
  <c r="CN9" i="85"/>
  <c r="CN16" i="85"/>
  <c r="T16" i="85" s="1"/>
  <c r="T8" i="85"/>
  <c r="U86" i="85"/>
  <c r="U85" i="85"/>
  <c r="U101" i="85"/>
  <c r="M28" i="85"/>
  <c r="BG25" i="85"/>
  <c r="M26" i="85"/>
  <c r="BS223" i="59"/>
  <c r="BS243" i="59" s="1"/>
  <c r="J243" i="59" s="1"/>
  <c r="DU167" i="30"/>
  <c r="DU168" i="30" s="1"/>
  <c r="DK49" i="25"/>
  <c r="DK50" i="25" s="1"/>
  <c r="BS19" i="59"/>
  <c r="CK8" i="85"/>
  <c r="S68" i="85"/>
  <c r="S69" i="85" s="1"/>
  <c r="S9" i="85"/>
  <c r="S81" i="85"/>
  <c r="BK33" i="85"/>
  <c r="DG51" i="25"/>
  <c r="BK29" i="85"/>
  <c r="CW63" i="85"/>
  <c r="U52" i="85"/>
  <c r="U66" i="85"/>
  <c r="U80" i="85"/>
  <c r="U63" i="85"/>
  <c r="U64" i="85" s="1"/>
  <c r="U78" i="85"/>
  <c r="AF90" i="30"/>
  <c r="DQ86" i="30"/>
  <c r="I8" i="59"/>
  <c r="BY223" i="59"/>
  <c r="BY243" i="59" s="1"/>
  <c r="BY105" i="85"/>
  <c r="BY12" i="85"/>
  <c r="BY95" i="85"/>
  <c r="BY96" i="85" s="1"/>
  <c r="BY18" i="85"/>
  <c r="BY13" i="85"/>
  <c r="V84" i="85"/>
  <c r="V87" i="85" s="1"/>
  <c r="CW101" i="85"/>
  <c r="T53" i="85"/>
  <c r="T54" i="85"/>
  <c r="T55" i="85" s="1"/>
  <c r="BZ14" i="85"/>
  <c r="BZ71" i="85"/>
  <c r="BZ72" i="85" s="1"/>
  <c r="BU24" i="85"/>
  <c r="BU25" i="85" s="1"/>
  <c r="BU26" i="85" s="1"/>
  <c r="BP39" i="85"/>
  <c r="R15" i="31"/>
  <c r="R46" i="31"/>
  <c r="R37" i="31"/>
  <c r="AG239" i="30"/>
  <c r="AG86" i="30"/>
  <c r="R158" i="31"/>
  <c r="R159" i="31" s="1"/>
  <c r="R96" i="31"/>
  <c r="BU21" i="85"/>
  <c r="BT14" i="85"/>
  <c r="BX18" i="59"/>
  <c r="BX15" i="59" s="1"/>
  <c r="BT23" i="85"/>
  <c r="BT25" i="85" s="1"/>
  <c r="BT26" i="85" s="1"/>
  <c r="BT71" i="85"/>
  <c r="BT72" i="85" s="1"/>
  <c r="BT20" i="85"/>
  <c r="CY16" i="85"/>
  <c r="CY9" i="85"/>
  <c r="S17" i="85"/>
  <c r="CK16" i="85"/>
  <c r="O24" i="85"/>
  <c r="BQ24" i="85" s="1"/>
  <c r="CX101" i="85"/>
  <c r="CO92" i="85"/>
  <c r="CJ11" i="85"/>
  <c r="CX63" i="85"/>
  <c r="E26" i="73"/>
  <c r="E24" i="73"/>
  <c r="E27" i="73"/>
  <c r="BY24" i="85"/>
  <c r="BT39" i="85"/>
  <c r="CS8" i="85"/>
  <c r="CX68" i="85"/>
  <c r="BO21" i="85"/>
  <c r="BO28" i="85"/>
  <c r="FB93" i="30"/>
  <c r="FB94" i="30" s="1"/>
  <c r="BQ244" i="59"/>
  <c r="BQ246" i="59" s="1"/>
  <c r="V30" i="20"/>
  <c r="V117" i="20"/>
  <c r="V35" i="20"/>
  <c r="V26" i="20"/>
  <c r="V29" i="20"/>
  <c r="G191" i="60"/>
  <c r="C79" i="63" s="1"/>
  <c r="C166" i="59"/>
  <c r="C167" i="59"/>
  <c r="AE125" i="30"/>
  <c r="R58" i="33"/>
  <c r="R52" i="33"/>
  <c r="E132" i="60"/>
  <c r="R270" i="59"/>
  <c r="BR48" i="73"/>
  <c r="BR49" i="73"/>
  <c r="R102" i="33"/>
  <c r="R35" i="33" s="1"/>
  <c r="R36" i="33" s="1"/>
  <c r="R33" i="33"/>
  <c r="R34" i="33" s="1"/>
  <c r="BT244" i="59"/>
  <c r="BT246" i="59" s="1"/>
  <c r="J240" i="59"/>
  <c r="CV276" i="59"/>
  <c r="CV290" i="59"/>
  <c r="CV291" i="59" s="1"/>
  <c r="BS48" i="73"/>
  <c r="BS49" i="73"/>
  <c r="BW71" i="85"/>
  <c r="BW72" i="85" s="1"/>
  <c r="CA18" i="59"/>
  <c r="BW20" i="85"/>
  <c r="BW23" i="85"/>
  <c r="BW14" i="85"/>
  <c r="CW295" i="59"/>
  <c r="K112" i="59"/>
  <c r="BZ112" i="59" s="1"/>
  <c r="L322" i="59"/>
  <c r="K88" i="59"/>
  <c r="L308" i="59"/>
  <c r="L88" i="59"/>
  <c r="BZ87" i="59"/>
  <c r="K89" i="59"/>
  <c r="DZ90" i="30"/>
  <c r="DZ91" i="30" s="1"/>
  <c r="DZ87" i="30"/>
  <c r="T273" i="59"/>
  <c r="CZ275" i="59"/>
  <c r="CZ188" i="59"/>
  <c r="CZ189" i="59" s="1"/>
  <c r="BP12" i="31"/>
  <c r="G145" i="59"/>
  <c r="G132" i="59"/>
  <c r="H132" i="59"/>
  <c r="K46" i="95"/>
  <c r="K38" i="95"/>
  <c r="CQ31" i="25"/>
  <c r="CL32" i="25"/>
  <c r="CL31" i="25"/>
  <c r="N285" i="59"/>
  <c r="N282" i="59"/>
  <c r="N292" i="59"/>
  <c r="Q282" i="59"/>
  <c r="CL161" i="85"/>
  <c r="DQ105" i="30"/>
  <c r="DG114" i="20"/>
  <c r="DG113" i="20"/>
  <c r="DH18" i="20"/>
  <c r="DG115" i="20"/>
  <c r="V150" i="23"/>
  <c r="V152" i="23"/>
  <c r="W128" i="23"/>
  <c r="AG109" i="23"/>
  <c r="DS103" i="30"/>
  <c r="DI35" i="25"/>
  <c r="BQ16" i="59"/>
  <c r="BQ231" i="59"/>
  <c r="CY281" i="59"/>
  <c r="R282" i="59"/>
  <c r="R285" i="59"/>
  <c r="H24" i="95"/>
  <c r="K82" i="73"/>
  <c r="H53" i="95"/>
  <c r="R90" i="25"/>
  <c r="K20" i="23" s="1"/>
  <c r="Z50" i="25"/>
  <c r="AG167" i="30"/>
  <c r="BR25" i="85"/>
  <c r="BR26" i="85" s="1"/>
  <c r="CN84" i="59"/>
  <c r="CN79" i="59"/>
  <c r="N83" i="59"/>
  <c r="EU108" i="30"/>
  <c r="CX33" i="59"/>
  <c r="CS241" i="59"/>
  <c r="Q33" i="59"/>
  <c r="CS83" i="59"/>
  <c r="CO143" i="85"/>
  <c r="CO141" i="85" s="1"/>
  <c r="CV295" i="59"/>
  <c r="CW202" i="30"/>
  <c r="CW192" i="30" s="1"/>
  <c r="CW68" i="30"/>
  <c r="CV63" i="30"/>
  <c r="CV60" i="30"/>
  <c r="T137" i="85"/>
  <c r="BK16" i="31"/>
  <c r="X13" i="31"/>
  <c r="B197" i="59"/>
  <c r="B7" i="53"/>
  <c r="B8" i="53" s="1"/>
  <c r="B13" i="53" s="1"/>
  <c r="BP13" i="31"/>
  <c r="T274" i="59"/>
  <c r="DD274" i="59" s="1"/>
  <c r="BW24" i="85"/>
  <c r="BR39" i="85"/>
  <c r="DU114" i="30"/>
  <c r="DU120" i="30"/>
  <c r="DU116" i="30"/>
  <c r="BS117" i="20"/>
  <c r="BT28" i="20"/>
  <c r="BX30" i="20"/>
  <c r="D146" i="59"/>
  <c r="Q16" i="25"/>
  <c r="Q15" i="25" s="1"/>
  <c r="CY273" i="59"/>
  <c r="R188" i="59"/>
  <c r="R284" i="59"/>
  <c r="DP104" i="30"/>
  <c r="DP109" i="30"/>
  <c r="O23" i="38"/>
  <c r="N24" i="38"/>
  <c r="N25" i="38" s="1"/>
  <c r="CV286" i="59"/>
  <c r="C197" i="59"/>
  <c r="C7" i="53"/>
  <c r="C8" i="53" s="1"/>
  <c r="E80" i="63"/>
  <c r="DB27" i="20"/>
  <c r="CR72" i="30"/>
  <c r="CH30" i="25" s="1"/>
  <c r="CH32" i="25" s="1"/>
  <c r="CH26" i="25"/>
  <c r="S49" i="33"/>
  <c r="S51" i="33"/>
  <c r="AJ442" i="23"/>
  <c r="AI395" i="23"/>
  <c r="BK21" i="23"/>
  <c r="BK18" i="23"/>
  <c r="Z103" i="33"/>
  <c r="Y104" i="33"/>
  <c r="BN60" i="59"/>
  <c r="DP140" i="30"/>
  <c r="BN61" i="59"/>
  <c r="AU31" i="30"/>
  <c r="AT218" i="30"/>
  <c r="AL437" i="23"/>
  <c r="AK390" i="23"/>
  <c r="AA74" i="85"/>
  <c r="AF606" i="23"/>
  <c r="AG601" i="23"/>
  <c r="AG605" i="23" s="1"/>
  <c r="Q95" i="85"/>
  <c r="Q96" i="85" s="1"/>
  <c r="Q105" i="85"/>
  <c r="CA11" i="85"/>
  <c r="Q12" i="85"/>
  <c r="Q92" i="85"/>
  <c r="Q93" i="85" s="1"/>
  <c r="Q13" i="85"/>
  <c r="Y50" i="53"/>
  <c r="AH144" i="30"/>
  <c r="W28" i="20"/>
  <c r="S110" i="73"/>
  <c r="AK121" i="20"/>
  <c r="AJ159" i="20"/>
  <c r="CU137" i="85"/>
  <c r="U143" i="85"/>
  <c r="U152" i="85" s="1"/>
  <c r="DK110" i="30"/>
  <c r="DA35" i="25"/>
  <c r="BX55" i="59"/>
  <c r="BX50" i="59"/>
  <c r="M246" i="23"/>
  <c r="M249" i="23" s="1"/>
  <c r="M261" i="23" s="1"/>
  <c r="M277" i="23" s="1"/>
  <c r="M55" i="23"/>
  <c r="M98" i="23"/>
  <c r="Q64" i="33"/>
  <c r="Q66" i="33" s="1"/>
  <c r="Q59" i="33"/>
  <c r="DB242" i="59"/>
  <c r="DB220" i="59"/>
  <c r="E165" i="59"/>
  <c r="E158" i="59"/>
  <c r="E159" i="59"/>
  <c r="BS12" i="31"/>
  <c r="DC188" i="59"/>
  <c r="DC275" i="59"/>
  <c r="CL27" i="25"/>
  <c r="CL29" i="25"/>
  <c r="CL25" i="25"/>
  <c r="CQ27" i="25"/>
  <c r="CL28" i="25"/>
  <c r="N270" i="59"/>
  <c r="Q270" i="59"/>
  <c r="BT49" i="73"/>
  <c r="BT48" i="73"/>
  <c r="AJ388" i="23"/>
  <c r="AK435" i="23"/>
  <c r="Z46" i="85"/>
  <c r="P58" i="23"/>
  <c r="P60" i="23"/>
  <c r="P50" i="23"/>
  <c r="P52" i="23" s="1"/>
  <c r="P55" i="23" s="1"/>
  <c r="Y111" i="31"/>
  <c r="R93" i="25"/>
  <c r="O21" i="85"/>
  <c r="BQ20" i="85"/>
  <c r="BV223" i="59"/>
  <c r="BV243" i="59" s="1"/>
  <c r="BV19" i="59"/>
  <c r="BV15" i="59"/>
  <c r="Y18" i="20"/>
  <c r="M31" i="59"/>
  <c r="O30" i="59"/>
  <c r="O36" i="59" s="1"/>
  <c r="O89" i="59" s="1"/>
  <c r="CI30" i="59"/>
  <c r="CJ30" i="59" s="1"/>
  <c r="M89" i="73"/>
  <c r="J7" i="95"/>
  <c r="CN143" i="85"/>
  <c r="CN141" i="85" s="1"/>
  <c r="N94" i="73"/>
  <c r="N91" i="73"/>
  <c r="AD106" i="31"/>
  <c r="BQ12" i="31"/>
  <c r="DA275" i="59"/>
  <c r="CX67" i="30"/>
  <c r="AI386" i="23"/>
  <c r="AJ433" i="23"/>
  <c r="W146" i="20"/>
  <c r="V134" i="20"/>
  <c r="V140" i="20" s="1"/>
  <c r="U41" i="20"/>
  <c r="U36" i="20"/>
  <c r="U37" i="20"/>
  <c r="Q14" i="25"/>
  <c r="Q11" i="25"/>
  <c r="Q13" i="25"/>
  <c r="X12" i="31"/>
  <c r="BK32" i="31"/>
  <c r="M79" i="59"/>
  <c r="CI80" i="59"/>
  <c r="I18" i="25"/>
  <c r="I17" i="25"/>
  <c r="AK436" i="23"/>
  <c r="AJ389" i="23"/>
  <c r="C200" i="59"/>
  <c r="C199" i="59"/>
  <c r="F145" i="59"/>
  <c r="F132" i="59"/>
  <c r="D158" i="59"/>
  <c r="D165" i="59"/>
  <c r="D159" i="59"/>
  <c r="CR60" i="30"/>
  <c r="CR63" i="30"/>
  <c r="CS58" i="30"/>
  <c r="CC26" i="25"/>
  <c r="CM72" i="30"/>
  <c r="CC30" i="25" s="1"/>
  <c r="CC32" i="25" s="1"/>
  <c r="CU63" i="23"/>
  <c r="CM63" i="23"/>
  <c r="CM65" i="23" s="1"/>
  <c r="CM69" i="23" s="1"/>
  <c r="CG63" i="23"/>
  <c r="CT63" i="23"/>
  <c r="BK63" i="23"/>
  <c r="BK674" i="23" s="1"/>
  <c r="BK673" i="23" s="1"/>
  <c r="BL63" i="23"/>
  <c r="BL674" i="23" s="1"/>
  <c r="BL673" i="23" s="1"/>
  <c r="BH664" i="23"/>
  <c r="CR63" i="23"/>
  <c r="M668" i="23"/>
  <c r="CQ63" i="23"/>
  <c r="CJ63" i="23"/>
  <c r="CJ65" i="23" s="1"/>
  <c r="CJ69" i="23" s="1"/>
  <c r="BP63" i="23"/>
  <c r="BP674" i="23" s="1"/>
  <c r="BP673" i="23" s="1"/>
  <c r="CK63" i="23"/>
  <c r="CK65" i="23" s="1"/>
  <c r="CK69" i="23" s="1"/>
  <c r="CL63" i="23"/>
  <c r="CL65" i="23" s="1"/>
  <c r="CL69" i="23" s="1"/>
  <c r="CA63" i="23"/>
  <c r="CW63" i="23"/>
  <c r="BS63" i="23"/>
  <c r="BS674" i="23" s="1"/>
  <c r="BS673" i="23" s="1"/>
  <c r="BM63" i="23"/>
  <c r="BM674" i="23" s="1"/>
  <c r="BM673" i="23" s="1"/>
  <c r="BQ63" i="23"/>
  <c r="BQ674" i="23" s="1"/>
  <c r="BQ673" i="23" s="1"/>
  <c r="BR63" i="23"/>
  <c r="BR674" i="23" s="1"/>
  <c r="BR673" i="23" s="1"/>
  <c r="BZ63" i="23"/>
  <c r="CV63" i="23"/>
  <c r="BK664" i="23"/>
  <c r="CP63" i="23"/>
  <c r="CH63" i="23"/>
  <c r="M665" i="23"/>
  <c r="M666" i="23" s="1"/>
  <c r="M667" i="23" s="1"/>
  <c r="CC63" i="23"/>
  <c r="CB63" i="23"/>
  <c r="CO63" i="23"/>
  <c r="CF63" i="23"/>
  <c r="M63" i="23"/>
  <c r="CE63" i="23"/>
  <c r="BV63" i="23"/>
  <c r="BV674" i="23" s="1"/>
  <c r="BV673" i="23" s="1"/>
  <c r="BX63" i="23"/>
  <c r="BX674" i="23" s="1"/>
  <c r="BX673" i="23" s="1"/>
  <c r="BW63" i="23"/>
  <c r="BW674" i="23" s="1"/>
  <c r="BW673" i="23" s="1"/>
  <c r="BU63" i="23"/>
  <c r="BU674" i="23" s="1"/>
  <c r="BU673" i="23" s="1"/>
  <c r="BM21" i="23"/>
  <c r="BM18" i="23"/>
  <c r="R293" i="59"/>
  <c r="CY292" i="59"/>
  <c r="AM12" i="23"/>
  <c r="AN12" i="23" s="1"/>
  <c r="AB49" i="53" s="1"/>
  <c r="E72" i="53" s="1"/>
  <c r="Z49" i="53"/>
  <c r="AL71" i="23"/>
  <c r="AS96" i="25"/>
  <c r="AL256" i="23"/>
  <c r="O45" i="25"/>
  <c r="N46" i="25"/>
  <c r="N45" i="25"/>
  <c r="L223" i="60"/>
  <c r="BN17" i="23"/>
  <c r="BN14" i="23"/>
  <c r="CC49" i="59"/>
  <c r="AS14" i="31"/>
  <c r="CH8" i="59"/>
  <c r="CC12" i="59"/>
  <c r="EE86" i="30"/>
  <c r="CZ270" i="59"/>
  <c r="CZ220" i="59"/>
  <c r="CZ242" i="59"/>
  <c r="CD234" i="59"/>
  <c r="L234" i="59" s="1"/>
  <c r="EF105" i="30"/>
  <c r="EF106" i="30" s="1"/>
  <c r="CD31" i="59"/>
  <c r="CV162" i="85"/>
  <c r="DC270" i="59"/>
  <c r="DC220" i="59"/>
  <c r="DC242" i="59"/>
  <c r="L37" i="95"/>
  <c r="L40" i="95"/>
  <c r="L43" i="95" s="1"/>
  <c r="N4" i="95"/>
  <c r="M6" i="95"/>
  <c r="M12" i="95"/>
  <c r="M13" i="95" s="1"/>
  <c r="M15" i="95" s="1"/>
  <c r="M34" i="95"/>
  <c r="CB105" i="85"/>
  <c r="CB12" i="85"/>
  <c r="CB18" i="85"/>
  <c r="CB95" i="85"/>
  <c r="CB96" i="85" s="1"/>
  <c r="CB13" i="85"/>
  <c r="N284" i="59"/>
  <c r="N275" i="59"/>
  <c r="CO273" i="59"/>
  <c r="F157" i="59"/>
  <c r="F151" i="59"/>
  <c r="F150" i="59"/>
  <c r="N26" i="85"/>
  <c r="BL25" i="85"/>
  <c r="N28" i="85"/>
  <c r="W147" i="20"/>
  <c r="V135" i="20"/>
  <c r="V141" i="20" s="1"/>
  <c r="AK108" i="30"/>
  <c r="CO33" i="59"/>
  <c r="N34" i="59"/>
  <c r="N30" i="59"/>
  <c r="P33" i="59"/>
  <c r="N85" i="73"/>
  <c r="K7" i="95" s="1"/>
  <c r="AC52" i="59"/>
  <c r="AX115" i="30"/>
  <c r="AD52" i="59" s="1"/>
  <c r="CT192" i="30"/>
  <c r="CX202" i="30"/>
  <c r="AF73" i="32"/>
  <c r="AE79" i="32"/>
  <c r="AE80" i="32" s="1"/>
  <c r="K188" i="60"/>
  <c r="BY240" i="59"/>
  <c r="T269" i="59"/>
  <c r="DD266" i="59"/>
  <c r="R41" i="33"/>
  <c r="Q38" i="33"/>
  <c r="Q39" i="33" s="1"/>
  <c r="R32" i="25"/>
  <c r="S31" i="25"/>
  <c r="CM71" i="30"/>
  <c r="CC12" i="25"/>
  <c r="CN63" i="30"/>
  <c r="DF26" i="20"/>
  <c r="U116" i="20"/>
  <c r="DE26" i="20"/>
  <c r="DD26" i="20"/>
  <c r="U27" i="20"/>
  <c r="DG26" i="20"/>
  <c r="BS56" i="59"/>
  <c r="BS57" i="59"/>
  <c r="J82" i="73"/>
  <c r="J83" i="73" s="1"/>
  <c r="G24" i="95"/>
  <c r="G53" i="95"/>
  <c r="R220" i="59"/>
  <c r="S220" i="59" s="1"/>
  <c r="CY220" i="59" s="1"/>
  <c r="R18" i="25"/>
  <c r="S17" i="25"/>
  <c r="R17" i="25"/>
  <c r="CJ83" i="59"/>
  <c r="J370" i="60"/>
  <c r="AJ146" i="30"/>
  <c r="M85" i="59"/>
  <c r="O83" i="59"/>
  <c r="O85" i="59" s="1"/>
  <c r="M84" i="59"/>
  <c r="I17" i="95"/>
  <c r="I20" i="95"/>
  <c r="BL21" i="23"/>
  <c r="BL18" i="23"/>
  <c r="BQ18" i="23"/>
  <c r="X199" i="30"/>
  <c r="X193" i="30"/>
  <c r="CN194" i="30"/>
  <c r="X60" i="30"/>
  <c r="I13" i="23"/>
  <c r="I7" i="23"/>
  <c r="I474" i="23" s="1"/>
  <c r="I499" i="23" s="1"/>
  <c r="E146" i="59"/>
  <c r="FC93" i="30"/>
  <c r="FC94" i="30" s="1"/>
  <c r="CT193" i="30"/>
  <c r="N41" i="25"/>
  <c r="L81" i="59"/>
  <c r="AI143" i="30"/>
  <c r="CE79" i="59"/>
  <c r="L80" i="59"/>
  <c r="AH423" i="23"/>
  <c r="AG376" i="23"/>
  <c r="Z96" i="33"/>
  <c r="Y97" i="33"/>
  <c r="BX13" i="59"/>
  <c r="BX219" i="59"/>
  <c r="DD265" i="59"/>
  <c r="T268" i="59"/>
  <c r="T267" i="59"/>
  <c r="CZ282" i="59"/>
  <c r="X16" i="20"/>
  <c r="AI105" i="30"/>
  <c r="X21" i="20"/>
  <c r="X25" i="20"/>
  <c r="Y25" i="20" s="1"/>
  <c r="X113" i="20"/>
  <c r="X80" i="20"/>
  <c r="AD126" i="30"/>
  <c r="AD132" i="30"/>
  <c r="AD127" i="30"/>
  <c r="BR12" i="31"/>
  <c r="AA49" i="25"/>
  <c r="P14" i="85"/>
  <c r="BV13" i="85"/>
  <c r="P71" i="85"/>
  <c r="P72" i="85" s="1"/>
  <c r="P20" i="85"/>
  <c r="BL16" i="31"/>
  <c r="K44" i="95"/>
  <c r="CL92" i="85"/>
  <c r="CG11" i="85"/>
  <c r="CT159" i="85"/>
  <c r="CT157" i="85"/>
  <c r="CT160" i="85"/>
  <c r="CT174" i="85"/>
  <c r="CT158" i="85"/>
  <c r="CT140" i="85"/>
  <c r="CT144" i="85"/>
  <c r="AH106" i="30"/>
  <c r="EB105" i="30"/>
  <c r="W19" i="20"/>
  <c r="W136" i="20"/>
  <c r="W11" i="20"/>
  <c r="AG429" i="23"/>
  <c r="AF382" i="23"/>
  <c r="BS231" i="59"/>
  <c r="DU103" i="30"/>
  <c r="BS16" i="59"/>
  <c r="BQ226" i="59"/>
  <c r="BQ228" i="59" s="1"/>
  <c r="CU295" i="59"/>
  <c r="R294" i="59"/>
  <c r="BR28" i="85"/>
  <c r="BR21" i="85"/>
  <c r="AL8" i="23"/>
  <c r="AK475" i="23"/>
  <c r="AK502" i="23" s="1"/>
  <c r="AK212" i="23" s="1"/>
  <c r="M95" i="73"/>
  <c r="J19" i="95"/>
  <c r="U123" i="31"/>
  <c r="V121" i="31"/>
  <c r="DA270" i="59"/>
  <c r="DA242" i="59"/>
  <c r="DA220" i="59"/>
  <c r="CS158" i="85"/>
  <c r="CS157" i="85"/>
  <c r="CS140" i="85"/>
  <c r="CS174" i="85"/>
  <c r="CS159" i="85"/>
  <c r="CS144" i="85"/>
  <c r="CS160" i="85"/>
  <c r="CX144" i="85"/>
  <c r="U133" i="20"/>
  <c r="H13" i="23"/>
  <c r="H17" i="23" s="1"/>
  <c r="H21" i="23" s="1"/>
  <c r="H7" i="23"/>
  <c r="H474" i="23" s="1"/>
  <c r="V142" i="20"/>
  <c r="V137" i="20"/>
  <c r="V148" i="20"/>
  <c r="V154" i="20" s="1"/>
  <c r="CM60" i="30"/>
  <c r="R242" i="59"/>
  <c r="CU276" i="59"/>
  <c r="CU290" i="59"/>
  <c r="CU291" i="59" s="1"/>
  <c r="BN236" i="59"/>
  <c r="BN238" i="59" s="1"/>
  <c r="I8" i="95"/>
  <c r="CM174" i="85"/>
  <c r="CM157" i="85"/>
  <c r="CM158" i="85"/>
  <c r="CM140" i="85"/>
  <c r="CM160" i="85"/>
  <c r="CM159" i="85"/>
  <c r="M26" i="38"/>
  <c r="M54" i="38"/>
  <c r="M76" i="38" s="1"/>
  <c r="DK141" i="30"/>
  <c r="DK147" i="30"/>
  <c r="AA172" i="59"/>
  <c r="AA174" i="59" s="1"/>
  <c r="AB170" i="59"/>
  <c r="CV84" i="59"/>
  <c r="CV79" i="59"/>
  <c r="CQ80" i="59"/>
  <c r="CQ81" i="59"/>
  <c r="BX56" i="73" l="1"/>
  <c r="BX53" i="73"/>
  <c r="BX55" i="73"/>
  <c r="S402" i="60"/>
  <c r="R404" i="60"/>
  <c r="H216" i="60"/>
  <c r="G220" i="60"/>
  <c r="E278" i="60"/>
  <c r="L32" i="52"/>
  <c r="W39" i="32"/>
  <c r="V29" i="32"/>
  <c r="N39" i="52"/>
  <c r="M29" i="52"/>
  <c r="M31" i="52" s="1"/>
  <c r="G224" i="60"/>
  <c r="F226" i="60"/>
  <c r="T394" i="60"/>
  <c r="S398" i="60"/>
  <c r="L68" i="53"/>
  <c r="K58" i="53"/>
  <c r="K60" i="53" s="1"/>
  <c r="DR397" i="23"/>
  <c r="AG384" i="23"/>
  <c r="AH431" i="23"/>
  <c r="AM448" i="23"/>
  <c r="AL401" i="23"/>
  <c r="BY55" i="73"/>
  <c r="BY56" i="73"/>
  <c r="BY53" i="73"/>
  <c r="CZ33" i="59"/>
  <c r="DE33" i="59" s="1"/>
  <c r="FG108" i="30" s="1"/>
  <c r="BB28" i="31"/>
  <c r="BA28" i="31"/>
  <c r="V20" i="31"/>
  <c r="BE20" i="31" s="1"/>
  <c r="BS46" i="73"/>
  <c r="BW46" i="73"/>
  <c r="FI97" i="30"/>
  <c r="DG149" i="59"/>
  <c r="FH97" i="30"/>
  <c r="X19" i="38"/>
  <c r="W21" i="38"/>
  <c r="X5" i="38"/>
  <c r="W45" i="38"/>
  <c r="Y22" i="38"/>
  <c r="BR236" i="59"/>
  <c r="BR238" i="59" s="1"/>
  <c r="N42" i="25"/>
  <c r="O41" i="25"/>
  <c r="N39" i="31"/>
  <c r="M40" i="31"/>
  <c r="M42" i="31"/>
  <c r="N43" i="25"/>
  <c r="L44" i="31"/>
  <c r="L49" i="31"/>
  <c r="L50" i="31" s="1"/>
  <c r="X113" i="30"/>
  <c r="L43" i="31"/>
  <c r="J34" i="31"/>
  <c r="J42" i="31"/>
  <c r="U116" i="30"/>
  <c r="U120" i="30"/>
  <c r="CH113" i="30"/>
  <c r="Z113" i="30"/>
  <c r="J90" i="31"/>
  <c r="J25" i="31"/>
  <c r="K25" i="31"/>
  <c r="P24" i="85"/>
  <c r="BN12" i="73"/>
  <c r="BU15" i="73"/>
  <c r="BU12" i="73" s="1"/>
  <c r="BP12" i="73"/>
  <c r="BT46" i="73"/>
  <c r="D53" i="73"/>
  <c r="S101" i="33" s="1"/>
  <c r="S100" i="33" s="1"/>
  <c r="S102" i="33" s="1"/>
  <c r="S35" i="33" s="1"/>
  <c r="S36" i="33" s="1"/>
  <c r="BO12" i="73"/>
  <c r="BR46" i="73"/>
  <c r="BH12" i="73"/>
  <c r="DH276" i="59"/>
  <c r="FG93" i="30"/>
  <c r="FG94" i="30" s="1"/>
  <c r="CB50" i="73"/>
  <c r="DE276" i="59"/>
  <c r="BY13" i="73"/>
  <c r="BW8" i="31"/>
  <c r="BX13" i="73"/>
  <c r="BX15" i="73" s="1"/>
  <c r="BV8" i="31"/>
  <c r="AN403" i="23"/>
  <c r="W401" i="60"/>
  <c r="L74" i="63"/>
  <c r="Q63" i="60"/>
  <c r="DA31" i="59"/>
  <c r="BT235" i="59"/>
  <c r="BU235" i="59" s="1"/>
  <c r="AL67" i="25"/>
  <c r="D49" i="60"/>
  <c r="FH94" i="30"/>
  <c r="DF131" i="59"/>
  <c r="DF132" i="59" s="1"/>
  <c r="DF150" i="59"/>
  <c r="DF218" i="59"/>
  <c r="DF292" i="59" s="1"/>
  <c r="DF126" i="59"/>
  <c r="CC45" i="73" s="1"/>
  <c r="CW153" i="85"/>
  <c r="CW154" i="85"/>
  <c r="CY153" i="85"/>
  <c r="CY154" i="85"/>
  <c r="DA154" i="85"/>
  <c r="DA153" i="85"/>
  <c r="U154" i="85"/>
  <c r="BM214" i="59"/>
  <c r="CR172" i="85"/>
  <c r="DD113" i="85"/>
  <c r="DD149" i="85" s="1"/>
  <c r="W149" i="85" s="1"/>
  <c r="W150" i="85" s="1"/>
  <c r="N31" i="85"/>
  <c r="BL214" i="59"/>
  <c r="BI35" i="85"/>
  <c r="BI34" i="85"/>
  <c r="DA141" i="85"/>
  <c r="DA157" i="85"/>
  <c r="DA159" i="85"/>
  <c r="DA174" i="85"/>
  <c r="DA160" i="85"/>
  <c r="DA158" i="85"/>
  <c r="DA144" i="85"/>
  <c r="W106" i="73"/>
  <c r="W105" i="73"/>
  <c r="W103" i="73"/>
  <c r="AG112" i="85" s="1"/>
  <c r="DD54" i="25"/>
  <c r="DN172" i="30"/>
  <c r="DN173" i="30" s="1"/>
  <c r="DB131" i="85"/>
  <c r="DO172" i="30"/>
  <c r="DO173" i="30" s="1"/>
  <c r="DE54" i="25"/>
  <c r="BL114" i="59"/>
  <c r="I111" i="59"/>
  <c r="BN206" i="59"/>
  <c r="BN204" i="59"/>
  <c r="BN214" i="59" s="1"/>
  <c r="BJ34" i="85"/>
  <c r="BJ35" i="85"/>
  <c r="DP172" i="30"/>
  <c r="DP173" i="30" s="1"/>
  <c r="DF54" i="25"/>
  <c r="DA140" i="85"/>
  <c r="I108" i="59"/>
  <c r="BP105" i="59"/>
  <c r="BH35" i="85"/>
  <c r="BH34" i="85"/>
  <c r="BR115" i="59"/>
  <c r="BM115" i="59"/>
  <c r="BM116" i="59"/>
  <c r="BN115" i="59"/>
  <c r="BS115" i="59"/>
  <c r="BN116" i="59"/>
  <c r="DC114" i="85"/>
  <c r="DC119" i="85"/>
  <c r="DC120" i="85"/>
  <c r="DC131" i="85" s="1"/>
  <c r="Y53" i="25"/>
  <c r="O31" i="85"/>
  <c r="P31" i="85" s="1"/>
  <c r="DB137" i="85"/>
  <c r="DB125" i="85"/>
  <c r="M102" i="73"/>
  <c r="X111" i="85"/>
  <c r="U141" i="85"/>
  <c r="BM29" i="85"/>
  <c r="O39" i="85"/>
  <c r="BQ23" i="85"/>
  <c r="AG122" i="20"/>
  <c r="G240" i="59"/>
  <c r="G245" i="59" s="1"/>
  <c r="G260" i="59" s="1"/>
  <c r="H31" i="59"/>
  <c r="G31" i="59"/>
  <c r="G36" i="59"/>
  <c r="DA11" i="20"/>
  <c r="DB16" i="20"/>
  <c r="DB18" i="20" s="1"/>
  <c r="DB28" i="20" s="1"/>
  <c r="CX25" i="20"/>
  <c r="AT87" i="59"/>
  <c r="AT80" i="59"/>
  <c r="AT81" i="59"/>
  <c r="BA36" i="59"/>
  <c r="F37" i="59"/>
  <c r="BW235" i="59"/>
  <c r="BV235" i="59"/>
  <c r="BX235" i="59"/>
  <c r="CM28" i="20"/>
  <c r="CN27" i="20"/>
  <c r="CN26" i="20"/>
  <c r="X20" i="20"/>
  <c r="Y17" i="20"/>
  <c r="DM17" i="20"/>
  <c r="DL17" i="20"/>
  <c r="L235" i="59"/>
  <c r="DK17" i="20"/>
  <c r="X82" i="20"/>
  <c r="DH105" i="30"/>
  <c r="DL106" i="30"/>
  <c r="DG106" i="30"/>
  <c r="BE30" i="59"/>
  <c r="BF30" i="59" s="1"/>
  <c r="BG199" i="59"/>
  <c r="BG207" i="59"/>
  <c r="BG200" i="59"/>
  <c r="AC76" i="20"/>
  <c r="AC60" i="20"/>
  <c r="AC62" i="20" s="1"/>
  <c r="AC61" i="20" s="1"/>
  <c r="BP17" i="23"/>
  <c r="BP14" i="23"/>
  <c r="BQ663" i="23"/>
  <c r="BQ44" i="23"/>
  <c r="BQ40" i="23"/>
  <c r="BQ83" i="23"/>
  <c r="BQ85" i="23" s="1"/>
  <c r="BQ81" i="23"/>
  <c r="AB24" i="20"/>
  <c r="AB78" i="20"/>
  <c r="AB79" i="20" s="1"/>
  <c r="BP7" i="23"/>
  <c r="DH385" i="23"/>
  <c r="DB398" i="23"/>
  <c r="DA398" i="23"/>
  <c r="CZ398" i="23"/>
  <c r="CY398" i="23"/>
  <c r="AC445" i="23"/>
  <c r="AA398" i="23"/>
  <c r="DL385" i="23"/>
  <c r="DK385" i="23"/>
  <c r="DI385" i="23"/>
  <c r="DJ385" i="23"/>
  <c r="DM385" i="23" s="1"/>
  <c r="AF383" i="23"/>
  <c r="AG430" i="23"/>
  <c r="DE392" i="23"/>
  <c r="DF392" i="23"/>
  <c r="DH392" i="23" s="1"/>
  <c r="DG392" i="23"/>
  <c r="DD392" i="23"/>
  <c r="AM393" i="23"/>
  <c r="AN440" i="23"/>
  <c r="AN393" i="23" s="1"/>
  <c r="AE432" i="23"/>
  <c r="AD385" i="23"/>
  <c r="AC392" i="23"/>
  <c r="AD439" i="23"/>
  <c r="AK438" i="23"/>
  <c r="AJ391" i="23"/>
  <c r="DC394" i="23"/>
  <c r="DB379" i="23"/>
  <c r="CZ379" i="23"/>
  <c r="CY379" i="23"/>
  <c r="DA379" i="23"/>
  <c r="AC426" i="23"/>
  <c r="AA379" i="23"/>
  <c r="AA381" i="23"/>
  <c r="AC428" i="23"/>
  <c r="DA378" i="23"/>
  <c r="CY378" i="23"/>
  <c r="DB378" i="23"/>
  <c r="CZ378" i="23"/>
  <c r="AA415" i="23"/>
  <c r="AC462" i="23"/>
  <c r="AA387" i="23"/>
  <c r="AC434" i="23"/>
  <c r="AH396" i="23"/>
  <c r="AI443" i="23"/>
  <c r="CY381" i="23"/>
  <c r="CZ381" i="23"/>
  <c r="DA381" i="23"/>
  <c r="DB381" i="23"/>
  <c r="AC425" i="23"/>
  <c r="AA378" i="23"/>
  <c r="AF397" i="23"/>
  <c r="AG444" i="23"/>
  <c r="DA387" i="23"/>
  <c r="CZ387" i="23"/>
  <c r="DB387" i="23"/>
  <c r="CY387" i="23"/>
  <c r="CY377" i="23"/>
  <c r="DA377" i="23"/>
  <c r="DB377" i="23"/>
  <c r="CZ377" i="23"/>
  <c r="CW415" i="23"/>
  <c r="CX415" i="23" s="1"/>
  <c r="DF394" i="23"/>
  <c r="DG394" i="23"/>
  <c r="DE394" i="23"/>
  <c r="DD394" i="23"/>
  <c r="AJ427" i="23"/>
  <c r="AI380" i="23"/>
  <c r="AC424" i="23"/>
  <c r="AA377" i="23"/>
  <c r="CU387" i="23"/>
  <c r="CT417" i="23"/>
  <c r="AD441" i="23"/>
  <c r="AC394" i="23"/>
  <c r="DA415" i="23"/>
  <c r="CY415" i="23"/>
  <c r="CZ415" i="23"/>
  <c r="DB415" i="23"/>
  <c r="AN446" i="23"/>
  <c r="AN399" i="23" s="1"/>
  <c r="AM399" i="23"/>
  <c r="AJ447" i="23"/>
  <c r="AI400" i="23"/>
  <c r="K294" i="60"/>
  <c r="AU96" i="25"/>
  <c r="AN71" i="23"/>
  <c r="AN256" i="23"/>
  <c r="AN690" i="23" s="1"/>
  <c r="T27" i="52"/>
  <c r="S26" i="52"/>
  <c r="F19" i="56"/>
  <c r="G20" i="56" s="1"/>
  <c r="F31" i="56"/>
  <c r="F16" i="56"/>
  <c r="F21" i="56" s="1"/>
  <c r="BI21" i="23"/>
  <c r="BI18" i="23"/>
  <c r="L21" i="23"/>
  <c r="BJ17" i="23"/>
  <c r="M18" i="23"/>
  <c r="AG32" i="85"/>
  <c r="AU57" i="25" s="1"/>
  <c r="AY179" i="30" s="1"/>
  <c r="AY180" i="30" s="1"/>
  <c r="AY209" i="30"/>
  <c r="Y39" i="59"/>
  <c r="AS10" i="30"/>
  <c r="AS11" i="30"/>
  <c r="AS23" i="30" s="1"/>
  <c r="AP29" i="30"/>
  <c r="AL73" i="25" s="1"/>
  <c r="AL75" i="25" s="1"/>
  <c r="W323" i="59"/>
  <c r="W92" i="59"/>
  <c r="W93" i="59"/>
  <c r="DG83" i="59"/>
  <c r="DG84" i="59" s="1"/>
  <c r="DG241" i="59"/>
  <c r="DG224" i="59" s="1"/>
  <c r="AQ34" i="30"/>
  <c r="AQ196" i="30"/>
  <c r="W107" i="59" s="1"/>
  <c r="W113" i="59" s="1"/>
  <c r="X232" i="59"/>
  <c r="X40" i="59"/>
  <c r="DB234" i="59"/>
  <c r="EG18" i="20"/>
  <c r="Y24" i="52"/>
  <c r="Z9" i="52"/>
  <c r="AS16" i="30"/>
  <c r="AS19" i="30" s="1"/>
  <c r="Z23" i="52"/>
  <c r="Z18" i="52"/>
  <c r="Z17" i="52"/>
  <c r="AA16" i="52"/>
  <c r="T279" i="60" s="1"/>
  <c r="AB6" i="52"/>
  <c r="AT9" i="30"/>
  <c r="AA20" i="52"/>
  <c r="AT22" i="30" s="1"/>
  <c r="AA13" i="52"/>
  <c r="AR12" i="30"/>
  <c r="AN64" i="25"/>
  <c r="AR32" i="30"/>
  <c r="Y11" i="52"/>
  <c r="Y10" i="52"/>
  <c r="X91" i="59"/>
  <c r="AR18" i="30"/>
  <c r="AR17" i="30"/>
  <c r="DF241" i="59"/>
  <c r="DF224" i="59" s="1"/>
  <c r="DF83" i="59"/>
  <c r="DF84" i="59" s="1"/>
  <c r="AF559" i="23"/>
  <c r="AM65" i="25"/>
  <c r="AM66" i="25"/>
  <c r="AM67" i="25" s="1"/>
  <c r="AQ20" i="30"/>
  <c r="AQ25" i="30"/>
  <c r="DB80" i="59"/>
  <c r="DB81" i="59"/>
  <c r="BY49" i="73"/>
  <c r="U220" i="59"/>
  <c r="DI220" i="59" s="1"/>
  <c r="O25" i="20"/>
  <c r="O38" i="20"/>
  <c r="O113" i="20"/>
  <c r="BS113" i="20" s="1"/>
  <c r="O21" i="20"/>
  <c r="P21" i="20"/>
  <c r="O114" i="20"/>
  <c r="O116" i="20"/>
  <c r="CD18" i="20"/>
  <c r="O80" i="20"/>
  <c r="Z105" i="30"/>
  <c r="O32" i="20"/>
  <c r="BM26" i="20"/>
  <c r="BN23" i="20"/>
  <c r="O12" i="20"/>
  <c r="P12" i="20"/>
  <c r="AJ70" i="20"/>
  <c r="AI71" i="20"/>
  <c r="P137" i="20"/>
  <c r="O137" i="20"/>
  <c r="AF75" i="20"/>
  <c r="CY144" i="85"/>
  <c r="O25" i="85"/>
  <c r="BQ25" i="85" s="1"/>
  <c r="DG286" i="59"/>
  <c r="DF286" i="59"/>
  <c r="U282" i="59"/>
  <c r="T7" i="95"/>
  <c r="U242" i="59"/>
  <c r="DI242" i="59" s="1"/>
  <c r="BU32" i="31"/>
  <c r="Z32" i="31" s="1"/>
  <c r="Z12" i="31"/>
  <c r="BY12" i="31" s="1"/>
  <c r="DE286" i="59"/>
  <c r="DA286" i="59"/>
  <c r="DF276" i="59"/>
  <c r="DG131" i="59"/>
  <c r="DG145" i="59" s="1"/>
  <c r="DG218" i="59"/>
  <c r="DG292" i="59" s="1"/>
  <c r="DG294" i="59" s="1"/>
  <c r="DG126" i="59"/>
  <c r="CD45" i="73" s="1"/>
  <c r="DE124" i="59"/>
  <c r="DE123" i="59"/>
  <c r="AE73" i="23"/>
  <c r="AF72" i="23"/>
  <c r="W86" i="85"/>
  <c r="W85" i="85"/>
  <c r="W61" i="85"/>
  <c r="W62" i="85"/>
  <c r="W77" i="85"/>
  <c r="W99" i="85"/>
  <c r="W101" i="85"/>
  <c r="W102" i="85"/>
  <c r="CX8" i="85"/>
  <c r="DC68" i="85"/>
  <c r="DC8" i="85" s="1"/>
  <c r="DC63" i="85"/>
  <c r="W65" i="85"/>
  <c r="M669" i="23"/>
  <c r="BP669" i="23" s="1"/>
  <c r="CH126" i="30"/>
  <c r="CH132" i="30"/>
  <c r="CH127" i="30"/>
  <c r="CW131" i="30"/>
  <c r="CW124" i="30"/>
  <c r="CW95" i="30"/>
  <c r="DA95" i="30"/>
  <c r="CV125" i="30"/>
  <c r="AT122" i="59"/>
  <c r="CV97" i="30"/>
  <c r="CQ98" i="30"/>
  <c r="CQ103" i="30"/>
  <c r="AZ121" i="59"/>
  <c r="DB94" i="30"/>
  <c r="CS95" i="30"/>
  <c r="AP122" i="59"/>
  <c r="AP123" i="59" s="1"/>
  <c r="AP131" i="59" s="1"/>
  <c r="AP145" i="59" s="1"/>
  <c r="CR97" i="30"/>
  <c r="CS97" i="30" s="1"/>
  <c r="CR96" i="30"/>
  <c r="AU124" i="59"/>
  <c r="CG130" i="30"/>
  <c r="CG128" i="30"/>
  <c r="CG140" i="30"/>
  <c r="DA124" i="30"/>
  <c r="DB123" i="30"/>
  <c r="DC123" i="30" s="1"/>
  <c r="DF123" i="30"/>
  <c r="DK94" i="30"/>
  <c r="BD121" i="59"/>
  <c r="DF94" i="30"/>
  <c r="DG93" i="30"/>
  <c r="CH98" i="30"/>
  <c r="CH103" i="30"/>
  <c r="CH104" i="30" s="1"/>
  <c r="CQ126" i="30"/>
  <c r="CR125" i="30"/>
  <c r="CQ127" i="30"/>
  <c r="AY124" i="59"/>
  <c r="BA121" i="59"/>
  <c r="CX123" i="30"/>
  <c r="AO123" i="59"/>
  <c r="G54" i="95"/>
  <c r="S242" i="59"/>
  <c r="CY242" i="59" s="1"/>
  <c r="CE234" i="59"/>
  <c r="BS14" i="73"/>
  <c r="BS15" i="73"/>
  <c r="BT15" i="73"/>
  <c r="BT14" i="73"/>
  <c r="BJ8" i="31"/>
  <c r="W93" i="31"/>
  <c r="W99" i="31"/>
  <c r="W103" i="31" s="1"/>
  <c r="W104" i="31" s="1"/>
  <c r="J13" i="73"/>
  <c r="BM15" i="73"/>
  <c r="BM14" i="73"/>
  <c r="I14" i="73"/>
  <c r="I15" i="73" s="1"/>
  <c r="I12" i="73" s="1"/>
  <c r="BP8" i="31"/>
  <c r="BR13" i="73"/>
  <c r="BU243" i="59"/>
  <c r="K47" i="95"/>
  <c r="BY48" i="73"/>
  <c r="FD93" i="30"/>
  <c r="FD94" i="30" s="1"/>
  <c r="V138" i="85"/>
  <c r="CO241" i="59"/>
  <c r="DJ77" i="25"/>
  <c r="DJ79" i="25" s="1"/>
  <c r="DJ36" i="25"/>
  <c r="BS29" i="85"/>
  <c r="BW63" i="59"/>
  <c r="DT104" i="30"/>
  <c r="DT109" i="30"/>
  <c r="DT110" i="30" s="1"/>
  <c r="BX21" i="85"/>
  <c r="BX28" i="85"/>
  <c r="CB15" i="59"/>
  <c r="CB223" i="59"/>
  <c r="CB19" i="59"/>
  <c r="DY103" i="30"/>
  <c r="BW16" i="59"/>
  <c r="BW231" i="59"/>
  <c r="BS226" i="59"/>
  <c r="BS228" i="59" s="1"/>
  <c r="CM11" i="85"/>
  <c r="CR92" i="85"/>
  <c r="CM24" i="85"/>
  <c r="J223" i="59"/>
  <c r="BU223" i="59" s="1"/>
  <c r="CH18" i="85"/>
  <c r="CH12" i="85"/>
  <c r="CH95" i="85"/>
  <c r="CH96" i="85" s="1"/>
  <c r="CH13" i="85"/>
  <c r="CH39" i="85" s="1"/>
  <c r="CH105" i="85"/>
  <c r="CC23" i="85"/>
  <c r="CC25" i="85" s="1"/>
  <c r="CC26" i="85" s="1"/>
  <c r="CC71" i="85"/>
  <c r="CC72" i="85" s="1"/>
  <c r="CG18" i="59"/>
  <c r="CC20" i="85"/>
  <c r="CC14" i="85"/>
  <c r="BR65" i="59"/>
  <c r="DT169" i="30"/>
  <c r="DT170" i="30" s="1"/>
  <c r="DJ51" i="25"/>
  <c r="DJ52" i="25" s="1"/>
  <c r="BR64" i="59"/>
  <c r="BR59" i="59"/>
  <c r="BW243" i="59"/>
  <c r="BW244" i="59" s="1"/>
  <c r="BW246" i="59" s="1"/>
  <c r="BW226" i="59"/>
  <c r="BW228" i="59" s="1"/>
  <c r="AE242" i="30"/>
  <c r="AD244" i="30"/>
  <c r="V143" i="85"/>
  <c r="BX49" i="73"/>
  <c r="BX46" i="73" s="1"/>
  <c r="DB276" i="59"/>
  <c r="CZ276" i="59"/>
  <c r="CZ278" i="59"/>
  <c r="R276" i="59"/>
  <c r="R278" i="59"/>
  <c r="R279" i="59" s="1"/>
  <c r="DC276" i="59"/>
  <c r="DC278" i="59"/>
  <c r="DA276" i="59"/>
  <c r="DA278" i="59"/>
  <c r="DC27" i="20"/>
  <c r="W12" i="20"/>
  <c r="U160" i="85"/>
  <c r="U159" i="85"/>
  <c r="CU159" i="85" s="1"/>
  <c r="CY140" i="85"/>
  <c r="CY160" i="85"/>
  <c r="V160" i="85" s="1"/>
  <c r="CY174" i="85"/>
  <c r="V174" i="85" s="1"/>
  <c r="CZ174" i="85" s="1"/>
  <c r="CY159" i="85"/>
  <c r="V159" i="85" s="1"/>
  <c r="CY158" i="85"/>
  <c r="CY157" i="85"/>
  <c r="V157" i="85" s="1"/>
  <c r="U157" i="85"/>
  <c r="CY141" i="85"/>
  <c r="U174" i="85"/>
  <c r="CU174" i="85" s="1"/>
  <c r="U158" i="85"/>
  <c r="U166" i="85" s="1"/>
  <c r="P23" i="85"/>
  <c r="BV23" i="85" s="1"/>
  <c r="BY20" i="85"/>
  <c r="BY21" i="85" s="1"/>
  <c r="V106" i="73"/>
  <c r="V105" i="73"/>
  <c r="V103" i="73"/>
  <c r="AF112" i="85" s="1"/>
  <c r="AG101" i="31"/>
  <c r="AH101" i="31" s="1"/>
  <c r="AA100" i="31"/>
  <c r="Z102" i="31"/>
  <c r="U127" i="31"/>
  <c r="P135" i="31"/>
  <c r="P112" i="31" s="1"/>
  <c r="P113" i="31" s="1"/>
  <c r="P114" i="31" s="1"/>
  <c r="P107" i="31"/>
  <c r="P108" i="31" s="1"/>
  <c r="P109" i="31" s="1"/>
  <c r="P128" i="31"/>
  <c r="P129" i="31" s="1"/>
  <c r="P130" i="31" s="1"/>
  <c r="Q133" i="31"/>
  <c r="R134" i="31"/>
  <c r="CO224" i="59"/>
  <c r="V133" i="20"/>
  <c r="V139" i="20" s="1"/>
  <c r="Q241" i="59"/>
  <c r="CT241" i="59" s="1"/>
  <c r="AC24" i="59"/>
  <c r="AB233" i="59"/>
  <c r="DM49" i="25"/>
  <c r="X32" i="31"/>
  <c r="BO32" i="31" s="1"/>
  <c r="R286" i="59"/>
  <c r="BS32" i="31"/>
  <c r="BQ32" i="31"/>
  <c r="BR32" i="31"/>
  <c r="AF242" i="30"/>
  <c r="BO244" i="59"/>
  <c r="I244" i="59" s="1"/>
  <c r="BP244" i="59" s="1"/>
  <c r="DC286" i="59"/>
  <c r="AM151" i="23"/>
  <c r="AM165" i="23"/>
  <c r="AM171" i="23" s="1"/>
  <c r="AM113" i="23" s="1"/>
  <c r="CS224" i="59"/>
  <c r="Q224" i="59" s="1"/>
  <c r="DE140" i="30"/>
  <c r="DE128" i="30"/>
  <c r="DE130" i="30"/>
  <c r="DJ128" i="30"/>
  <c r="BC149" i="59"/>
  <c r="AS45" i="59"/>
  <c r="AS28" i="59"/>
  <c r="AX59" i="59"/>
  <c r="CZ141" i="30"/>
  <c r="CZ142" i="30"/>
  <c r="BC15" i="59"/>
  <c r="DJ104" i="30"/>
  <c r="DE104" i="30"/>
  <c r="AN77" i="59"/>
  <c r="AN99" i="59"/>
  <c r="BC131" i="59"/>
  <c r="BC218" i="59"/>
  <c r="BC226" i="59" s="1"/>
  <c r="BC228" i="59" s="1"/>
  <c r="BC126" i="59"/>
  <c r="BH126" i="59"/>
  <c r="AS158" i="59"/>
  <c r="AS165" i="59"/>
  <c r="AS159" i="59"/>
  <c r="AX145" i="59"/>
  <c r="AX146" i="59" s="1"/>
  <c r="AX132" i="59"/>
  <c r="AS75" i="59"/>
  <c r="AS76" i="59" s="1"/>
  <c r="AS60" i="59"/>
  <c r="AS61" i="59"/>
  <c r="AX27" i="59"/>
  <c r="AX16" i="59"/>
  <c r="AX150" i="59"/>
  <c r="AX157" i="59"/>
  <c r="AX151" i="59"/>
  <c r="AG175" i="23"/>
  <c r="AG294" i="23" s="1"/>
  <c r="AG112" i="23"/>
  <c r="AG133" i="23"/>
  <c r="DH86" i="30"/>
  <c r="BE8" i="59"/>
  <c r="DG90" i="30"/>
  <c r="DG91" i="30" s="1"/>
  <c r="DG87" i="30"/>
  <c r="C41" i="73"/>
  <c r="C42" i="73"/>
  <c r="F46" i="38"/>
  <c r="F4" i="38"/>
  <c r="F42" i="38" s="1"/>
  <c r="F33" i="38" s="1"/>
  <c r="F32" i="38" s="1"/>
  <c r="DC90" i="30"/>
  <c r="D27" i="59"/>
  <c r="AV12" i="59"/>
  <c r="G12" i="59"/>
  <c r="AD103" i="30"/>
  <c r="AD91" i="30"/>
  <c r="P25" i="31"/>
  <c r="P90" i="31"/>
  <c r="BA8" i="59"/>
  <c r="AZ9" i="59"/>
  <c r="AZ12" i="59"/>
  <c r="AZ13" i="59" s="1"/>
  <c r="E16" i="59"/>
  <c r="E27" i="59"/>
  <c r="F13" i="59"/>
  <c r="H8" i="59"/>
  <c r="H9" i="59" s="1"/>
  <c r="AE90" i="30"/>
  <c r="AE87" i="30"/>
  <c r="DL86" i="30"/>
  <c r="DQ87" i="30" s="1"/>
  <c r="AF87" i="30"/>
  <c r="Q89" i="31"/>
  <c r="D40" i="73"/>
  <c r="D39" i="73" s="1"/>
  <c r="R23" i="31"/>
  <c r="Q24" i="31"/>
  <c r="Q31" i="31"/>
  <c r="Q33" i="31" s="1"/>
  <c r="P34" i="31"/>
  <c r="AC104" i="30"/>
  <c r="F15" i="59"/>
  <c r="G6" i="38"/>
  <c r="E8" i="38"/>
  <c r="F8" i="38" s="1"/>
  <c r="F9" i="38" s="1"/>
  <c r="F11" i="38" s="1"/>
  <c r="E46" i="38"/>
  <c r="E4" i="38"/>
  <c r="E42" i="38" s="1"/>
  <c r="E33" i="38" s="1"/>
  <c r="E32" i="38" s="1"/>
  <c r="E64" i="38" s="1"/>
  <c r="E80" i="38" s="1"/>
  <c r="CW161" i="85"/>
  <c r="CW170" i="85" s="1"/>
  <c r="Y13" i="31"/>
  <c r="BT13" i="31" s="1"/>
  <c r="BD28" i="31"/>
  <c r="BI20" i="31"/>
  <c r="W20" i="31" s="1"/>
  <c r="CD124" i="59"/>
  <c r="CI121" i="59"/>
  <c r="EF93" i="30"/>
  <c r="CD122" i="59"/>
  <c r="EA95" i="30"/>
  <c r="EA96" i="30" s="1"/>
  <c r="K122" i="59"/>
  <c r="BY125" i="59"/>
  <c r="I51" i="95"/>
  <c r="AB50" i="95"/>
  <c r="E54" i="73"/>
  <c r="BU122" i="59"/>
  <c r="T45" i="33"/>
  <c r="J125" i="59"/>
  <c r="AI126" i="30"/>
  <c r="V51" i="33"/>
  <c r="I132" i="60" s="1"/>
  <c r="E77" i="63" s="1"/>
  <c r="BM20" i="31"/>
  <c r="BH28" i="31"/>
  <c r="BL20" i="31"/>
  <c r="BG28" i="31"/>
  <c r="CX161" i="85"/>
  <c r="CX170" i="85" s="1"/>
  <c r="EB93" i="30"/>
  <c r="EA94" i="30"/>
  <c r="U87" i="31"/>
  <c r="H34" i="73"/>
  <c r="AZ20" i="31"/>
  <c r="DR97" i="30"/>
  <c r="AF98" i="30"/>
  <c r="AF130" i="30"/>
  <c r="BK20" i="31"/>
  <c r="BF28" i="31"/>
  <c r="CP79" i="59"/>
  <c r="CP84" i="59"/>
  <c r="CK80" i="59"/>
  <c r="CK81" i="59"/>
  <c r="CU83" i="59"/>
  <c r="CU241" i="59"/>
  <c r="CU224" i="59" s="1"/>
  <c r="CU30" i="59"/>
  <c r="EW108" i="30"/>
  <c r="EB21" i="20"/>
  <c r="EA21" i="20"/>
  <c r="CZ286" i="59"/>
  <c r="CW81" i="59"/>
  <c r="CW80" i="59"/>
  <c r="ER105" i="30"/>
  <c r="ER106" i="30" s="1"/>
  <c r="CP31" i="59"/>
  <c r="CP234" i="59"/>
  <c r="DU18" i="20"/>
  <c r="DK77" i="25"/>
  <c r="DK79" i="25" s="1"/>
  <c r="CB5" i="23" s="1"/>
  <c r="V56" i="85"/>
  <c r="V57" i="85" s="1"/>
  <c r="V99" i="85"/>
  <c r="CJ95" i="85"/>
  <c r="CJ96" i="85" s="1"/>
  <c r="CJ12" i="85"/>
  <c r="CJ18" i="85"/>
  <c r="CJ105" i="85"/>
  <c r="CJ13" i="85"/>
  <c r="BT21" i="85"/>
  <c r="BT28" i="85"/>
  <c r="U53" i="85"/>
  <c r="U54" i="85"/>
  <c r="U55" i="85" s="1"/>
  <c r="V61" i="85"/>
  <c r="V77" i="85"/>
  <c r="V62" i="85"/>
  <c r="V50" i="85"/>
  <c r="V51" i="85" s="1"/>
  <c r="BK35" i="85"/>
  <c r="BK34" i="85"/>
  <c r="CD105" i="85"/>
  <c r="CD12" i="85"/>
  <c r="CD18" i="85"/>
  <c r="CD95" i="85"/>
  <c r="CD96" i="85" s="1"/>
  <c r="CD13" i="85"/>
  <c r="S46" i="31"/>
  <c r="S15" i="31"/>
  <c r="S96" i="31"/>
  <c r="AH239" i="30"/>
  <c r="S158" i="31"/>
  <c r="S159" i="31" s="1"/>
  <c r="S37" i="31"/>
  <c r="AH86" i="30"/>
  <c r="BO29" i="85"/>
  <c r="BS63" i="59"/>
  <c r="BY39" i="85"/>
  <c r="CD24" i="85"/>
  <c r="CT92" i="85"/>
  <c r="CT11" i="85" s="1"/>
  <c r="CO11" i="85"/>
  <c r="BU28" i="85"/>
  <c r="BZ24" i="85"/>
  <c r="Q24" i="85" s="1"/>
  <c r="BU39" i="85"/>
  <c r="BY23" i="85"/>
  <c r="BY25" i="85" s="1"/>
  <c r="BY26" i="85" s="1"/>
  <c r="CC18" i="59"/>
  <c r="CC15" i="59" s="1"/>
  <c r="BY14" i="85"/>
  <c r="BY71" i="85"/>
  <c r="BY72" i="85" s="1"/>
  <c r="DR86" i="30"/>
  <c r="DQ90" i="30"/>
  <c r="BO8" i="59"/>
  <c r="M33" i="85"/>
  <c r="X51" i="25"/>
  <c r="M29" i="85"/>
  <c r="E307" i="60"/>
  <c r="BG28" i="85"/>
  <c r="CP8" i="85"/>
  <c r="T68" i="85"/>
  <c r="T69" i="85" s="1"/>
  <c r="T81" i="85"/>
  <c r="T9" i="85"/>
  <c r="Q18" i="85"/>
  <c r="Q20" i="85" s="1"/>
  <c r="CX16" i="85"/>
  <c r="V16" i="85" s="1"/>
  <c r="CX9" i="85"/>
  <c r="V8" i="85"/>
  <c r="V68" i="85" s="1"/>
  <c r="V66" i="85"/>
  <c r="V80" i="85"/>
  <c r="V78" i="85"/>
  <c r="V52" i="85"/>
  <c r="V63" i="85"/>
  <c r="AG87" i="30"/>
  <c r="J8" i="59"/>
  <c r="AG90" i="30"/>
  <c r="I12" i="59"/>
  <c r="BS244" i="59"/>
  <c r="BS246" i="59" s="1"/>
  <c r="BU246" i="59" s="1"/>
  <c r="I19" i="59"/>
  <c r="BP18" i="59"/>
  <c r="F26" i="73"/>
  <c r="F24" i="73"/>
  <c r="F27" i="73"/>
  <c r="BT63" i="59"/>
  <c r="BP29" i="85"/>
  <c r="CS16" i="85"/>
  <c r="U16" i="85" s="1"/>
  <c r="CS9" i="85"/>
  <c r="U8" i="85"/>
  <c r="BX19" i="59"/>
  <c r="BX223" i="59"/>
  <c r="BX243" i="59" s="1"/>
  <c r="V101" i="85"/>
  <c r="V85" i="85"/>
  <c r="V86" i="85"/>
  <c r="BP243" i="59"/>
  <c r="DQ169" i="30"/>
  <c r="DG52" i="25"/>
  <c r="DG54" i="25"/>
  <c r="T17" i="85"/>
  <c r="CP16" i="85"/>
  <c r="CI11" i="85"/>
  <c r="S11" i="85" s="1"/>
  <c r="CN92" i="85"/>
  <c r="CN11" i="85" s="1"/>
  <c r="AQ11" i="31"/>
  <c r="T14" i="31"/>
  <c r="AR11" i="31"/>
  <c r="AS11" i="31"/>
  <c r="AX11" i="31" s="1"/>
  <c r="BC11" i="31" s="1"/>
  <c r="BJ25" i="73" s="1"/>
  <c r="AT11" i="31"/>
  <c r="G9" i="73"/>
  <c r="G10" i="73"/>
  <c r="T95" i="31"/>
  <c r="G25" i="73"/>
  <c r="CE20" i="85"/>
  <c r="CE21" i="85" s="1"/>
  <c r="CE71" i="85"/>
  <c r="CE72" i="85" s="1"/>
  <c r="CI18" i="59"/>
  <c r="CE14" i="85"/>
  <c r="CU160" i="85"/>
  <c r="U168" i="85"/>
  <c r="DA37" i="25"/>
  <c r="DK148" i="30"/>
  <c r="DK154" i="30"/>
  <c r="DK149" i="30"/>
  <c r="CM61" i="30"/>
  <c r="CM65" i="30"/>
  <c r="CM73" i="30" s="1"/>
  <c r="CM80" i="30" s="1"/>
  <c r="CS161" i="85"/>
  <c r="CS170" i="85" s="1"/>
  <c r="R295" i="59"/>
  <c r="CY294" i="59"/>
  <c r="DU104" i="30"/>
  <c r="DU109" i="30"/>
  <c r="DU110" i="30" s="1"/>
  <c r="AH429" i="23"/>
  <c r="AG382" i="23"/>
  <c r="CG12" i="85"/>
  <c r="CG18" i="85"/>
  <c r="CG105" i="85"/>
  <c r="CG95" i="85"/>
  <c r="CG96" i="85" s="1"/>
  <c r="CG13" i="85"/>
  <c r="EG105" i="30"/>
  <c r="AI106" i="30"/>
  <c r="T270" i="59"/>
  <c r="DD267" i="59"/>
  <c r="BX290" i="59"/>
  <c r="AI144" i="30"/>
  <c r="X28" i="20"/>
  <c r="I363" i="23"/>
  <c r="C7" i="56"/>
  <c r="C14" i="56" s="1"/>
  <c r="C19" i="56" s="1"/>
  <c r="I17" i="23"/>
  <c r="I14" i="23"/>
  <c r="CN199" i="30"/>
  <c r="X211" i="30"/>
  <c r="CN211" i="30" s="1"/>
  <c r="DD27" i="20"/>
  <c r="DD116" i="20"/>
  <c r="S41" i="33"/>
  <c r="R38" i="33"/>
  <c r="R39" i="33" s="1"/>
  <c r="AB192" i="30"/>
  <c r="CX192" i="30" s="1"/>
  <c r="CT58" i="30"/>
  <c r="CT194" i="30"/>
  <c r="O85" i="73"/>
  <c r="O88" i="73"/>
  <c r="N29" i="85"/>
  <c r="N33" i="85"/>
  <c r="F307" i="60"/>
  <c r="B84" i="63" s="1"/>
  <c r="Y51" i="25"/>
  <c r="BL28" i="85"/>
  <c r="N276" i="59"/>
  <c r="Q276" i="59"/>
  <c r="L46" i="95"/>
  <c r="L38" i="95"/>
  <c r="T220" i="59"/>
  <c r="Z50" i="53"/>
  <c r="BH668" i="23"/>
  <c r="BN668" i="23"/>
  <c r="CR61" i="30"/>
  <c r="CR65" i="30"/>
  <c r="CR73" i="30" s="1"/>
  <c r="CR80" i="30" s="1"/>
  <c r="CI81" i="59"/>
  <c r="O91" i="73"/>
  <c r="O94" i="73"/>
  <c r="Y21" i="20"/>
  <c r="Y80" i="20"/>
  <c r="Y16" i="20"/>
  <c r="AJ105" i="30"/>
  <c r="Y113" i="20"/>
  <c r="BV231" i="59"/>
  <c r="DX103" i="30"/>
  <c r="BV16" i="59"/>
  <c r="AK388" i="23"/>
  <c r="AL435" i="23"/>
  <c r="M302" i="23"/>
  <c r="M288" i="23"/>
  <c r="BX57" i="59"/>
  <c r="BX305" i="59"/>
  <c r="BX56" i="59"/>
  <c r="U140" i="85"/>
  <c r="CU143" i="85"/>
  <c r="AB74" i="85"/>
  <c r="DU119" i="30"/>
  <c r="DU117" i="30"/>
  <c r="BW39" i="85"/>
  <c r="CB24" i="85"/>
  <c r="CW203" i="30"/>
  <c r="CX68" i="30"/>
  <c r="CO159" i="85"/>
  <c r="CO160" i="85"/>
  <c r="CO174" i="85"/>
  <c r="CO158" i="85"/>
  <c r="CO157" i="85"/>
  <c r="CO140" i="85"/>
  <c r="CN80" i="59"/>
  <c r="N79" i="59"/>
  <c r="W148" i="23"/>
  <c r="W134" i="23"/>
  <c r="W137" i="23"/>
  <c r="W131" i="23"/>
  <c r="DQ106" i="30"/>
  <c r="DR105" i="30"/>
  <c r="DV106" i="30"/>
  <c r="BW25" i="85"/>
  <c r="BW26" i="85" s="1"/>
  <c r="V37" i="20"/>
  <c r="V36" i="20"/>
  <c r="V41" i="20"/>
  <c r="FB97" i="30"/>
  <c r="FB98" i="30" s="1"/>
  <c r="BW45" i="73"/>
  <c r="CZ218" i="59"/>
  <c r="CZ292" i="59" s="1"/>
  <c r="CM161" i="85"/>
  <c r="H23" i="23"/>
  <c r="H34" i="23" s="1"/>
  <c r="H75" i="23"/>
  <c r="H77" i="23"/>
  <c r="H79" i="23" s="1"/>
  <c r="AM8" i="23"/>
  <c r="AL475" i="23"/>
  <c r="AL502" i="23" s="1"/>
  <c r="AL212" i="23" s="1"/>
  <c r="BR29" i="85"/>
  <c r="BV63" i="59"/>
  <c r="BS236" i="59"/>
  <c r="BS238" i="59" s="1"/>
  <c r="CQ92" i="85"/>
  <c r="CL11" i="85"/>
  <c r="BV20" i="85"/>
  <c r="P21" i="85"/>
  <c r="AH167" i="30"/>
  <c r="AA50" i="25"/>
  <c r="X19" i="20"/>
  <c r="X136" i="20"/>
  <c r="X11" i="20"/>
  <c r="AI423" i="23"/>
  <c r="AH376" i="23"/>
  <c r="CT59" i="30"/>
  <c r="X61" i="30"/>
  <c r="X65" i="30"/>
  <c r="AA60" i="30"/>
  <c r="CN60" i="30"/>
  <c r="X80" i="30"/>
  <c r="F80" i="63"/>
  <c r="J369" i="60"/>
  <c r="DE116" i="20"/>
  <c r="DE27" i="20"/>
  <c r="DE28" i="20" s="1"/>
  <c r="CC11" i="25"/>
  <c r="CC14" i="25"/>
  <c r="CD12" i="25"/>
  <c r="L188" i="60"/>
  <c r="N89" i="73"/>
  <c r="P34" i="59"/>
  <c r="EQ108" i="30"/>
  <c r="T242" i="59"/>
  <c r="DD242" i="59" s="1"/>
  <c r="EE90" i="30"/>
  <c r="EE91" i="30" s="1"/>
  <c r="EE87" i="30"/>
  <c r="CC55" i="59"/>
  <c r="AS42" i="31"/>
  <c r="AS43" i="31" s="1"/>
  <c r="CC50" i="59"/>
  <c r="M223" i="60"/>
  <c r="AT96" i="25"/>
  <c r="AM71" i="23"/>
  <c r="AA49" i="53"/>
  <c r="AB50" i="53" s="1"/>
  <c r="AM256" i="23"/>
  <c r="W63" i="23"/>
  <c r="F146" i="59"/>
  <c r="X146" i="20"/>
  <c r="W134" i="20"/>
  <c r="W140" i="20" s="1"/>
  <c r="N95" i="73"/>
  <c r="K19" i="95"/>
  <c r="CI234" i="59"/>
  <c r="M234" i="59" s="1"/>
  <c r="EK105" i="30"/>
  <c r="EK106" i="30" s="1"/>
  <c r="DN18" i="20"/>
  <c r="CI31" i="59"/>
  <c r="DB286" i="59"/>
  <c r="Q67" i="33"/>
  <c r="D131" i="60"/>
  <c r="Q14" i="85"/>
  <c r="AB49" i="25"/>
  <c r="CA13" i="85"/>
  <c r="Q71" i="85"/>
  <c r="Q72" i="85" s="1"/>
  <c r="AV31" i="30"/>
  <c r="AU218" i="30"/>
  <c r="BK23" i="23"/>
  <c r="BK34" i="23" s="1"/>
  <c r="BK75" i="23"/>
  <c r="BK76" i="23" s="1"/>
  <c r="BK77" i="23"/>
  <c r="C13" i="53"/>
  <c r="C9" i="53"/>
  <c r="DP110" i="30"/>
  <c r="DF35" i="25"/>
  <c r="T143" i="85"/>
  <c r="CP137" i="85"/>
  <c r="CW58" i="30"/>
  <c r="Q83" i="59"/>
  <c r="CS79" i="59"/>
  <c r="CS84" i="59"/>
  <c r="CX30" i="59"/>
  <c r="EZ108" i="30"/>
  <c r="DC33" i="59"/>
  <c r="CX241" i="59"/>
  <c r="R33" i="59"/>
  <c r="CX83" i="59"/>
  <c r="K583" i="23"/>
  <c r="K250" i="23"/>
  <c r="H54" i="95"/>
  <c r="DI77" i="25"/>
  <c r="DI79" i="25" s="1"/>
  <c r="DI36" i="25"/>
  <c r="N293" i="59"/>
  <c r="Q293" i="59"/>
  <c r="DD273" i="59"/>
  <c r="T284" i="59"/>
  <c r="T285" i="59" s="1"/>
  <c r="T188" i="59"/>
  <c r="T275" i="59"/>
  <c r="T278" i="59" s="1"/>
  <c r="CQ172" i="85"/>
  <c r="CQ176" i="85"/>
  <c r="CQ178" i="85" s="1"/>
  <c r="BW21" i="85"/>
  <c r="BU240" i="59"/>
  <c r="P39" i="85"/>
  <c r="BV24" i="85"/>
  <c r="U139" i="20"/>
  <c r="U145" i="20"/>
  <c r="U151" i="20" s="1"/>
  <c r="V123" i="31"/>
  <c r="W121" i="31"/>
  <c r="J17" i="95"/>
  <c r="J20" i="95"/>
  <c r="W137" i="20"/>
  <c r="W142" i="20"/>
  <c r="W148" i="20"/>
  <c r="W154" i="20" s="1"/>
  <c r="CT161" i="85"/>
  <c r="CT170" i="85" s="1"/>
  <c r="Y115" i="20"/>
  <c r="Z25" i="20"/>
  <c r="DD281" i="59"/>
  <c r="T282" i="59"/>
  <c r="FC97" i="30"/>
  <c r="FC98" i="30" s="1"/>
  <c r="DA218" i="59"/>
  <c r="DA292" i="59" s="1"/>
  <c r="BX45" i="73"/>
  <c r="BL75" i="23"/>
  <c r="BL77" i="23"/>
  <c r="BL23" i="23"/>
  <c r="BL34" i="23" s="1"/>
  <c r="DG27" i="20"/>
  <c r="DG28" i="20" s="1"/>
  <c r="DG116" i="20"/>
  <c r="CC16" i="25"/>
  <c r="CN71" i="30"/>
  <c r="Z18" i="20"/>
  <c r="N31" i="59"/>
  <c r="CF18" i="59"/>
  <c r="CB71" i="85"/>
  <c r="CB72" i="85" s="1"/>
  <c r="CB20" i="85"/>
  <c r="CB23" i="85"/>
  <c r="CB14" i="85"/>
  <c r="M37" i="95"/>
  <c r="M40" i="95"/>
  <c r="M43" i="95" s="1"/>
  <c r="N12" i="95"/>
  <c r="N13" i="95" s="1"/>
  <c r="N15" i="95" s="1"/>
  <c r="O4" i="95"/>
  <c r="N6" i="95"/>
  <c r="N34" i="95"/>
  <c r="CC13" i="59"/>
  <c r="CC219" i="59"/>
  <c r="BM77" i="23"/>
  <c r="BM23" i="23"/>
  <c r="BM34" i="23" s="1"/>
  <c r="BM75" i="23"/>
  <c r="BM76" i="23" s="1"/>
  <c r="P63" i="23"/>
  <c r="P65" i="23" s="1"/>
  <c r="P69" i="23" s="1"/>
  <c r="M674" i="23"/>
  <c r="M673" i="23" s="1"/>
  <c r="BL664" i="23"/>
  <c r="BI664" i="23"/>
  <c r="BH665" i="23"/>
  <c r="BH666" i="23" s="1"/>
  <c r="BH667" i="23" s="1"/>
  <c r="CC28" i="25"/>
  <c r="CC29" i="25"/>
  <c r="CC25" i="25"/>
  <c r="AL436" i="23"/>
  <c r="AK389" i="23"/>
  <c r="CJ79" i="59"/>
  <c r="AJ143" i="30"/>
  <c r="O79" i="59"/>
  <c r="O81" i="59" s="1"/>
  <c r="M80" i="59"/>
  <c r="M81" i="59"/>
  <c r="BO12" i="31"/>
  <c r="AK433" i="23"/>
  <c r="AJ386" i="23"/>
  <c r="J8" i="95"/>
  <c r="AD8" i="32" s="1"/>
  <c r="BV226" i="59"/>
  <c r="BV228" i="59" s="1"/>
  <c r="K22" i="23"/>
  <c r="R86" i="25"/>
  <c r="E166" i="59"/>
  <c r="E167" i="59"/>
  <c r="G23" i="56"/>
  <c r="M100" i="23"/>
  <c r="U138" i="85"/>
  <c r="AK159" i="20"/>
  <c r="AL121" i="20"/>
  <c r="T110" i="73"/>
  <c r="AM437" i="23"/>
  <c r="AL390" i="23"/>
  <c r="AK442" i="23"/>
  <c r="AJ395" i="23"/>
  <c r="N26" i="38"/>
  <c r="N54" i="38"/>
  <c r="N76" i="38" s="1"/>
  <c r="S188" i="59"/>
  <c r="CY188" i="59" s="1"/>
  <c r="AB12" i="32"/>
  <c r="R189" i="59"/>
  <c r="CV61" i="30"/>
  <c r="CV65" i="30"/>
  <c r="CV73" i="30" s="1"/>
  <c r="CV80" i="30" s="1"/>
  <c r="Q30" i="59"/>
  <c r="Q34" i="59"/>
  <c r="CT33" i="59"/>
  <c r="AL108" i="30"/>
  <c r="P25" i="85"/>
  <c r="P38" i="85"/>
  <c r="Q38" i="85" s="1"/>
  <c r="Q23" i="85" s="1"/>
  <c r="K83" i="73"/>
  <c r="DS104" i="30"/>
  <c r="DS109" i="30"/>
  <c r="DS110" i="30" s="1"/>
  <c r="AH105" i="23"/>
  <c r="V153" i="23"/>
  <c r="V154" i="23" s="1"/>
  <c r="BP32" i="31"/>
  <c r="Y12" i="31"/>
  <c r="M65" i="23"/>
  <c r="M69" i="23" s="1"/>
  <c r="G26" i="56" s="1"/>
  <c r="CQ162" i="85"/>
  <c r="CA19" i="59"/>
  <c r="CA15" i="59"/>
  <c r="CA223" i="59"/>
  <c r="CA243" i="59" s="1"/>
  <c r="R59" i="33"/>
  <c r="R64" i="33"/>
  <c r="AC8" i="32"/>
  <c r="I9" i="95"/>
  <c r="AB8" i="95"/>
  <c r="I23" i="95"/>
  <c r="G149" i="59"/>
  <c r="AD128" i="30"/>
  <c r="AD130" i="30"/>
  <c r="DZ103" i="30"/>
  <c r="BX231" i="59"/>
  <c r="BX16" i="59"/>
  <c r="Z97" i="33"/>
  <c r="AA96" i="33"/>
  <c r="CU157" i="85"/>
  <c r="U165" i="85"/>
  <c r="DS169" i="30"/>
  <c r="DI51" i="25"/>
  <c r="BQ65" i="59"/>
  <c r="BQ64" i="59"/>
  <c r="BQ59" i="59"/>
  <c r="CN193" i="30"/>
  <c r="AA193" i="30"/>
  <c r="CS193" i="30" s="1"/>
  <c r="X59" i="30"/>
  <c r="I21" i="95"/>
  <c r="AB20" i="95"/>
  <c r="DF27" i="20"/>
  <c r="DF28" i="20" s="1"/>
  <c r="DF116" i="20"/>
  <c r="BY244" i="59"/>
  <c r="BY246" i="59" s="1"/>
  <c r="K240" i="59"/>
  <c r="AG73" i="32"/>
  <c r="AF79" i="32"/>
  <c r="AF80" i="32" s="1"/>
  <c r="X147" i="20"/>
  <c r="W135" i="20"/>
  <c r="W141" i="20" s="1"/>
  <c r="F165" i="59"/>
  <c r="F159" i="59"/>
  <c r="F158" i="59"/>
  <c r="CF11" i="85"/>
  <c r="R92" i="85"/>
  <c r="R93" i="85" s="1"/>
  <c r="R13" i="85"/>
  <c r="R105" i="85"/>
  <c r="R12" i="85"/>
  <c r="R95" i="85"/>
  <c r="R96" i="85" s="1"/>
  <c r="L44" i="95"/>
  <c r="EJ86" i="30"/>
  <c r="AX14" i="31"/>
  <c r="CH12" i="59"/>
  <c r="CM8" i="59"/>
  <c r="CH49" i="59"/>
  <c r="BN21" i="23"/>
  <c r="BN18" i="23"/>
  <c r="CH12" i="25"/>
  <c r="CR71" i="30"/>
  <c r="CS63" i="30"/>
  <c r="D166" i="59"/>
  <c r="D167" i="59"/>
  <c r="AE106" i="31"/>
  <c r="CN159" i="85"/>
  <c r="T159" i="85" s="1"/>
  <c r="CN174" i="85"/>
  <c r="T174" i="85" s="1"/>
  <c r="CP174" i="85" s="1"/>
  <c r="CN157" i="85"/>
  <c r="CN140" i="85"/>
  <c r="CN158" i="85"/>
  <c r="T158" i="85" s="1"/>
  <c r="CN160" i="85"/>
  <c r="T160" i="85" s="1"/>
  <c r="BV244" i="59"/>
  <c r="Z111" i="31"/>
  <c r="AA46" i="85"/>
  <c r="N286" i="59"/>
  <c r="DA77" i="25"/>
  <c r="DA36" i="25"/>
  <c r="H191" i="60"/>
  <c r="D79" i="63" s="1"/>
  <c r="W30" i="20"/>
  <c r="W35" i="20"/>
  <c r="W29" i="20"/>
  <c r="W26" i="20"/>
  <c r="W117" i="20"/>
  <c r="AG606" i="23"/>
  <c r="AG597" i="23"/>
  <c r="AH601" i="23" s="1"/>
  <c r="AH605" i="23" s="1"/>
  <c r="DP142" i="30"/>
  <c r="DP141" i="30"/>
  <c r="AA103" i="33"/>
  <c r="Z104" i="33"/>
  <c r="F132" i="60"/>
  <c r="B77" i="63" s="1"/>
  <c r="S52" i="33"/>
  <c r="S58" i="33"/>
  <c r="CH28" i="25"/>
  <c r="CH29" i="25"/>
  <c r="CH25" i="25"/>
  <c r="P23" i="38"/>
  <c r="O24" i="38"/>
  <c r="O25" i="38" s="1"/>
  <c r="Q18" i="25"/>
  <c r="Q17" i="25"/>
  <c r="BO13" i="31"/>
  <c r="CL12" i="25"/>
  <c r="CV71" i="30"/>
  <c r="CL16" i="25" s="1"/>
  <c r="K370" i="60"/>
  <c r="K369" i="60" s="1"/>
  <c r="AK146" i="30"/>
  <c r="N84" i="59"/>
  <c r="N85" i="59"/>
  <c r="CO83" i="59"/>
  <c r="P83" i="59"/>
  <c r="AG168" i="30"/>
  <c r="DW167" i="30"/>
  <c r="J18" i="59"/>
  <c r="AG236" i="30"/>
  <c r="BQ236" i="59"/>
  <c r="BQ238" i="59" s="1"/>
  <c r="CL172" i="85"/>
  <c r="CL176" i="85"/>
  <c r="CL178" i="85" s="1"/>
  <c r="G146" i="59"/>
  <c r="H146" i="59"/>
  <c r="DL125" i="30"/>
  <c r="DM125" i="30" s="1"/>
  <c r="AE126" i="30"/>
  <c r="AF126" i="30"/>
  <c r="AE132" i="30"/>
  <c r="V116" i="20"/>
  <c r="V27" i="20"/>
  <c r="AC170" i="59"/>
  <c r="AB172" i="59"/>
  <c r="AB174" i="59" s="1"/>
  <c r="CX322" i="59"/>
  <c r="CX308" i="59"/>
  <c r="CV81" i="59"/>
  <c r="CV80" i="59"/>
  <c r="CZ30" i="59" l="1"/>
  <c r="V145" i="20"/>
  <c r="V151" i="20" s="1"/>
  <c r="I34" i="73"/>
  <c r="AQ122" i="59"/>
  <c r="V158" i="85"/>
  <c r="CZ158" i="85" s="1"/>
  <c r="CY156" i="85"/>
  <c r="M68" i="53"/>
  <c r="L58" i="53"/>
  <c r="H224" i="60"/>
  <c r="G226" i="60"/>
  <c r="X39" i="32"/>
  <c r="Y39" i="32" s="1"/>
  <c r="Z39" i="32" s="1"/>
  <c r="AA39" i="32" s="1"/>
  <c r="AB39" i="32" s="1"/>
  <c r="AC39" i="32" s="1"/>
  <c r="AD39" i="32" s="1"/>
  <c r="AE39" i="32" s="1"/>
  <c r="AF39" i="32" s="1"/>
  <c r="AG39" i="32" s="1"/>
  <c r="AH39" i="32" s="1"/>
  <c r="AI39" i="32" s="1"/>
  <c r="AJ39" i="32" s="1"/>
  <c r="AK39" i="32" s="1"/>
  <c r="AL39" i="32" s="1"/>
  <c r="AM39" i="32" s="1"/>
  <c r="AN39" i="32" s="1"/>
  <c r="W29" i="32"/>
  <c r="U394" i="60"/>
  <c r="T398" i="60"/>
  <c r="O39" i="52"/>
  <c r="N29" i="52"/>
  <c r="N31" i="52" s="1"/>
  <c r="F278" i="60"/>
  <c r="M32" i="52"/>
  <c r="I216" i="60"/>
  <c r="H220" i="60"/>
  <c r="T402" i="60"/>
  <c r="S404" i="60"/>
  <c r="AM401" i="23"/>
  <c r="AN448" i="23"/>
  <c r="AN401" i="23" s="1"/>
  <c r="AI431" i="23"/>
  <c r="AH384" i="23"/>
  <c r="DD220" i="59"/>
  <c r="DH33" i="59"/>
  <c r="FJ108" i="30" s="1"/>
  <c r="BU8" i="31"/>
  <c r="V87" i="31"/>
  <c r="V28" i="31"/>
  <c r="BE28" i="31" s="1"/>
  <c r="DE149" i="59"/>
  <c r="DG157" i="59"/>
  <c r="DG165" i="59" s="1"/>
  <c r="FG97" i="30"/>
  <c r="FG98" i="30" s="1"/>
  <c r="Y5" i="38"/>
  <c r="X45" i="38"/>
  <c r="Z22" i="38"/>
  <c r="Y19" i="38"/>
  <c r="X21" i="38"/>
  <c r="CH116" i="30"/>
  <c r="CH120" i="30"/>
  <c r="J44" i="31"/>
  <c r="J49" i="31"/>
  <c r="J50" i="31" s="1"/>
  <c r="J43" i="31"/>
  <c r="T113" i="30"/>
  <c r="K44" i="31"/>
  <c r="U119" i="30"/>
  <c r="U140" i="30"/>
  <c r="O39" i="31"/>
  <c r="N40" i="31"/>
  <c r="N42" i="31"/>
  <c r="Z120" i="30"/>
  <c r="C49" i="59"/>
  <c r="Z116" i="30"/>
  <c r="X116" i="30"/>
  <c r="X120" i="30"/>
  <c r="CM113" i="30"/>
  <c r="CN113" i="30" s="1"/>
  <c r="AA113" i="30"/>
  <c r="X114" i="30"/>
  <c r="B73" i="60"/>
  <c r="AB113" i="30"/>
  <c r="M49" i="31"/>
  <c r="M44" i="31"/>
  <c r="M43" i="31"/>
  <c r="O28" i="85"/>
  <c r="O26" i="85"/>
  <c r="BW28" i="85"/>
  <c r="BW33" i="85" s="1"/>
  <c r="S33" i="33"/>
  <c r="S34" i="33" s="1"/>
  <c r="BS12" i="73"/>
  <c r="DG132" i="59"/>
  <c r="BT12" i="73"/>
  <c r="DF151" i="59"/>
  <c r="BM12" i="73"/>
  <c r="BY46" i="73"/>
  <c r="BX14" i="73"/>
  <c r="BX12" i="73" s="1"/>
  <c r="BY14" i="73"/>
  <c r="BY15" i="73"/>
  <c r="AG20" i="95"/>
  <c r="J23" i="95"/>
  <c r="X401" i="60"/>
  <c r="R63" i="60"/>
  <c r="M74" i="63"/>
  <c r="BW236" i="59"/>
  <c r="BW238" i="59" s="1"/>
  <c r="DF177" i="59"/>
  <c r="DF179" i="59" s="1"/>
  <c r="DF181" i="59" s="1"/>
  <c r="BY235" i="59"/>
  <c r="BZ235" i="59" s="1"/>
  <c r="FH98" i="30"/>
  <c r="DF145" i="59"/>
  <c r="DF157" i="59"/>
  <c r="DF159" i="59" s="1"/>
  <c r="DD120" i="85"/>
  <c r="DD131" i="85" s="1"/>
  <c r="W131" i="85" s="1"/>
  <c r="DE131" i="85" s="1"/>
  <c r="V152" i="85"/>
  <c r="U144" i="85"/>
  <c r="T152" i="85"/>
  <c r="W113" i="85"/>
  <c r="W114" i="85" s="1"/>
  <c r="DD114" i="85"/>
  <c r="K243" i="59"/>
  <c r="BZ243" i="59" s="1"/>
  <c r="DD119" i="85"/>
  <c r="W119" i="85" s="1"/>
  <c r="AA53" i="25"/>
  <c r="AH172" i="30" s="1"/>
  <c r="AH197" i="30" s="1"/>
  <c r="BS31" i="85"/>
  <c r="BS33" i="85" s="1"/>
  <c r="BR31" i="85"/>
  <c r="BR33" i="85" s="1"/>
  <c r="AF172" i="30"/>
  <c r="DH53" i="25"/>
  <c r="DA161" i="85"/>
  <c r="DA170" i="85" s="1"/>
  <c r="BU31" i="85"/>
  <c r="BU33" i="85" s="1"/>
  <c r="BU35" i="85" s="1"/>
  <c r="X113" i="85"/>
  <c r="X149" i="85" s="1"/>
  <c r="X150" i="85" s="1"/>
  <c r="N102" i="73"/>
  <c r="Y111" i="85"/>
  <c r="DB143" i="85"/>
  <c r="DD56" i="25"/>
  <c r="DD58" i="25"/>
  <c r="DN176" i="30"/>
  <c r="DE56" i="25"/>
  <c r="DE58" i="25"/>
  <c r="DO176" i="30"/>
  <c r="BT31" i="85"/>
  <c r="BT33" i="85" s="1"/>
  <c r="BT35" i="85" s="1"/>
  <c r="DB138" i="85"/>
  <c r="DC137" i="85"/>
  <c r="DC125" i="85"/>
  <c r="I202" i="59"/>
  <c r="BP108" i="59"/>
  <c r="BP111" i="59"/>
  <c r="I114" i="59"/>
  <c r="DF278" i="59"/>
  <c r="DF279" i="59" s="1"/>
  <c r="BO31" i="85"/>
  <c r="BO33" i="85" s="1"/>
  <c r="BP31" i="85"/>
  <c r="BP33" i="85" s="1"/>
  <c r="BP35" i="85" s="1"/>
  <c r="BM31" i="85"/>
  <c r="Z53" i="25"/>
  <c r="AG172" i="30" s="1"/>
  <c r="BN31" i="85"/>
  <c r="BN33" i="85" s="1"/>
  <c r="DF56" i="25"/>
  <c r="DF58" i="25"/>
  <c r="DP176" i="30"/>
  <c r="BL116" i="59"/>
  <c r="BQ115" i="59"/>
  <c r="BL115" i="59"/>
  <c r="AD50" i="95"/>
  <c r="AD53" i="95" s="1"/>
  <c r="U161" i="85"/>
  <c r="U170" i="85" s="1"/>
  <c r="U167" i="85"/>
  <c r="CU158" i="85"/>
  <c r="AH122" i="20"/>
  <c r="DL143" i="30"/>
  <c r="DM143" i="30" s="1"/>
  <c r="DC28" i="20"/>
  <c r="DB117" i="20"/>
  <c r="DB29" i="20"/>
  <c r="CF235" i="59"/>
  <c r="CF240" i="59" s="1"/>
  <c r="DP17" i="20"/>
  <c r="DK16" i="20"/>
  <c r="DK11" i="20" s="1"/>
  <c r="Y20" i="20"/>
  <c r="DN17" i="20"/>
  <c r="CI235" i="59" s="1"/>
  <c r="CI240" i="59" s="1"/>
  <c r="M235" i="59"/>
  <c r="Z17" i="20"/>
  <c r="Y82" i="20"/>
  <c r="DO17" i="20"/>
  <c r="CB235" i="59"/>
  <c r="CB240" i="59" s="1"/>
  <c r="CC235" i="59"/>
  <c r="CC240" i="59" s="1"/>
  <c r="CA235" i="59"/>
  <c r="CA240" i="59" s="1"/>
  <c r="CA244" i="59" s="1"/>
  <c r="CA246" i="59" s="1"/>
  <c r="CM117" i="20"/>
  <c r="CM30" i="20"/>
  <c r="CM29" i="20"/>
  <c r="CW143" i="30"/>
  <c r="DC16" i="20"/>
  <c r="DB11" i="20"/>
  <c r="DQ17" i="20"/>
  <c r="CG235" i="59"/>
  <c r="CG240" i="59" s="1"/>
  <c r="DL16" i="20"/>
  <c r="DL11" i="20" s="1"/>
  <c r="AT88" i="59"/>
  <c r="AT89" i="59"/>
  <c r="DA12" i="20"/>
  <c r="DF12" i="20"/>
  <c r="G37" i="59"/>
  <c r="H37" i="59"/>
  <c r="DB115" i="20"/>
  <c r="DB21" i="20"/>
  <c r="DB113" i="20"/>
  <c r="DB114" i="20"/>
  <c r="DC18" i="20"/>
  <c r="DB116" i="20"/>
  <c r="DG21" i="20"/>
  <c r="BE36" i="59"/>
  <c r="BE31" i="59"/>
  <c r="BJ31" i="59"/>
  <c r="CH235" i="59"/>
  <c r="CH240" i="59" s="1"/>
  <c r="DR17" i="20"/>
  <c r="DM16" i="20"/>
  <c r="DM11" i="20" s="1"/>
  <c r="BQ58" i="23"/>
  <c r="BQ87" i="23"/>
  <c r="BQ50" i="23"/>
  <c r="BQ52" i="23" s="1"/>
  <c r="BQ55" i="23" s="1"/>
  <c r="BQ60" i="23"/>
  <c r="BQ65" i="23" s="1"/>
  <c r="BQ69" i="23" s="1"/>
  <c r="BQ95" i="23" s="1"/>
  <c r="BQ97" i="23" s="1"/>
  <c r="BQ89" i="23"/>
  <c r="BQ91" i="23" s="1"/>
  <c r="AE59" i="20"/>
  <c r="AE74" i="20" s="1"/>
  <c r="AD60" i="20"/>
  <c r="AD62" i="20" s="1"/>
  <c r="AD61" i="20" s="1"/>
  <c r="AC78" i="20"/>
  <c r="AC79" i="20" s="1"/>
  <c r="AC24" i="20"/>
  <c r="BP21" i="23"/>
  <c r="BP18" i="23"/>
  <c r="DC378" i="23"/>
  <c r="DI392" i="23"/>
  <c r="DL392" i="23"/>
  <c r="DK392" i="23"/>
  <c r="DM392" i="23" s="1"/>
  <c r="DJ392" i="23"/>
  <c r="DN385" i="23"/>
  <c r="DO385" i="23"/>
  <c r="DP385" i="23"/>
  <c r="DQ385" i="23"/>
  <c r="DG398" i="23"/>
  <c r="DF398" i="23"/>
  <c r="DE398" i="23"/>
  <c r="DD398" i="23"/>
  <c r="DH398" i="23" s="1"/>
  <c r="DC415" i="23"/>
  <c r="AF432" i="23"/>
  <c r="AE385" i="23"/>
  <c r="AH430" i="23"/>
  <c r="AG383" i="23"/>
  <c r="AC398" i="23"/>
  <c r="AD445" i="23"/>
  <c r="AD392" i="23"/>
  <c r="AE439" i="23"/>
  <c r="DC398" i="23"/>
  <c r="DH394" i="23"/>
  <c r="AD426" i="23"/>
  <c r="AC379" i="23"/>
  <c r="DC377" i="23"/>
  <c r="DC379" i="23"/>
  <c r="DC381" i="23"/>
  <c r="DA417" i="23"/>
  <c r="DD379" i="23"/>
  <c r="DF379" i="23"/>
  <c r="DG379" i="23"/>
  <c r="DE379" i="23"/>
  <c r="AK391" i="23"/>
  <c r="AL438" i="23"/>
  <c r="DB417" i="23"/>
  <c r="AJ443" i="23"/>
  <c r="AI396" i="23"/>
  <c r="AC415" i="23"/>
  <c r="AD462" i="23"/>
  <c r="DG381" i="23"/>
  <c r="DF381" i="23"/>
  <c r="DE381" i="23"/>
  <c r="DD381" i="23"/>
  <c r="AK447" i="23"/>
  <c r="AJ400" i="23"/>
  <c r="DL394" i="23"/>
  <c r="DK394" i="23"/>
  <c r="DJ394" i="23"/>
  <c r="DI394" i="23"/>
  <c r="CV387" i="23"/>
  <c r="CV417" i="23" s="1"/>
  <c r="CU417" i="23"/>
  <c r="DD378" i="23"/>
  <c r="DE378" i="23"/>
  <c r="DF378" i="23"/>
  <c r="DG378" i="23"/>
  <c r="DG415" i="23"/>
  <c r="DE415" i="23"/>
  <c r="DF415" i="23"/>
  <c r="DD415" i="23"/>
  <c r="AM390" i="23"/>
  <c r="AN437" i="23"/>
  <c r="AN390" i="23" s="1"/>
  <c r="AE441" i="23"/>
  <c r="AD394" i="23"/>
  <c r="DF377" i="23"/>
  <c r="DG377" i="23"/>
  <c r="DD377" i="23"/>
  <c r="DE377" i="23"/>
  <c r="CY417" i="23"/>
  <c r="AD425" i="23"/>
  <c r="AC378" i="23"/>
  <c r="AC387" i="23"/>
  <c r="AD434" i="23"/>
  <c r="AD424" i="23"/>
  <c r="AC377" i="23"/>
  <c r="AJ380" i="23"/>
  <c r="AK427" i="23"/>
  <c r="CZ417" i="23"/>
  <c r="DC387" i="23"/>
  <c r="AH444" i="23"/>
  <c r="AG397" i="23"/>
  <c r="DF387" i="23"/>
  <c r="DE387" i="23"/>
  <c r="DG387" i="23"/>
  <c r="DD387" i="23"/>
  <c r="AD428" i="23"/>
  <c r="AC381" i="23"/>
  <c r="BK669" i="23"/>
  <c r="J294" i="60"/>
  <c r="FI94" i="30"/>
  <c r="AM475" i="23"/>
  <c r="AM502" i="23" s="1"/>
  <c r="AM212" i="23" s="1"/>
  <c r="AN8" i="23"/>
  <c r="AN475" i="23" s="1"/>
  <c r="AN502" i="23" s="1"/>
  <c r="AN212" i="23" s="1"/>
  <c r="U27" i="52"/>
  <c r="T26" i="52"/>
  <c r="BI23" i="23"/>
  <c r="BI34" i="23" s="1"/>
  <c r="BI77" i="23"/>
  <c r="BI79" i="23" s="1"/>
  <c r="BI75" i="23"/>
  <c r="L75" i="23"/>
  <c r="L77" i="23"/>
  <c r="L79" i="23" s="1"/>
  <c r="L23" i="23"/>
  <c r="BJ21" i="23"/>
  <c r="DG150" i="59"/>
  <c r="X323" i="59"/>
  <c r="X93" i="59"/>
  <c r="X92" i="59"/>
  <c r="AR34" i="30"/>
  <c r="AR196" i="30"/>
  <c r="X107" i="59" s="1"/>
  <c r="X113" i="59" s="1"/>
  <c r="AA18" i="52"/>
  <c r="AA23" i="52"/>
  <c r="AB16" i="52"/>
  <c r="U279" i="60" s="1"/>
  <c r="AA9" i="52"/>
  <c r="AT16" i="30"/>
  <c r="AT19" i="30" s="1"/>
  <c r="AA17" i="52"/>
  <c r="DG151" i="59"/>
  <c r="AR20" i="30"/>
  <c r="AR25" i="30"/>
  <c r="AN66" i="25"/>
  <c r="AN67" i="25" s="1"/>
  <c r="AS18" i="30"/>
  <c r="Y91" i="59"/>
  <c r="AS17" i="30"/>
  <c r="DE241" i="59"/>
  <c r="DE224" i="59" s="1"/>
  <c r="DE83" i="59"/>
  <c r="AS12" i="30"/>
  <c r="AO64" i="25"/>
  <c r="AS32" i="30"/>
  <c r="AQ29" i="30"/>
  <c r="AM73" i="25" s="1"/>
  <c r="AM69" i="25"/>
  <c r="AG559" i="23"/>
  <c r="AN65" i="25"/>
  <c r="Z39" i="59"/>
  <c r="AT11" i="30"/>
  <c r="AT23" i="30" s="1"/>
  <c r="AT10" i="30"/>
  <c r="Z10" i="52"/>
  <c r="Z11" i="52"/>
  <c r="DH241" i="59"/>
  <c r="DH224" i="59" s="1"/>
  <c r="AB20" i="52"/>
  <c r="AU22" i="30" s="1"/>
  <c r="AC6" i="52"/>
  <c r="AU9" i="30"/>
  <c r="AB13" i="52"/>
  <c r="Z24" i="52"/>
  <c r="AL72" i="25"/>
  <c r="AL68" i="25"/>
  <c r="AL71" i="25"/>
  <c r="Y232" i="59"/>
  <c r="Y40" i="59"/>
  <c r="DG177" i="59"/>
  <c r="DG179" i="59" s="1"/>
  <c r="DG181" i="59" s="1"/>
  <c r="DG183" i="59" s="1"/>
  <c r="AG75" i="20"/>
  <c r="AI72" i="20"/>
  <c r="AI23" i="20" s="1"/>
  <c r="AK70" i="20"/>
  <c r="AJ71" i="20"/>
  <c r="BM116" i="20"/>
  <c r="BN26" i="20"/>
  <c r="BN116" i="20" s="1"/>
  <c r="Z106" i="30"/>
  <c r="C30" i="59"/>
  <c r="Z103" i="30"/>
  <c r="AA106" i="30"/>
  <c r="CC25" i="20"/>
  <c r="O27" i="20"/>
  <c r="O28" i="20" s="1"/>
  <c r="CV176" i="85"/>
  <c r="CV178" i="85" s="1"/>
  <c r="CV172" i="85"/>
  <c r="DE218" i="59"/>
  <c r="DE131" i="59"/>
  <c r="DE126" i="59"/>
  <c r="CB45" i="73" s="1"/>
  <c r="DA279" i="59"/>
  <c r="DB279" i="59"/>
  <c r="DF293" i="59"/>
  <c r="DF294" i="59"/>
  <c r="AG8" i="95"/>
  <c r="DC279" i="59"/>
  <c r="CZ279" i="59"/>
  <c r="DE279" i="59"/>
  <c r="AG72" i="23"/>
  <c r="AF73" i="23"/>
  <c r="DC16" i="85"/>
  <c r="W16" i="85" s="1"/>
  <c r="W8" i="85"/>
  <c r="W9" i="85" s="1"/>
  <c r="DC9" i="85"/>
  <c r="W66" i="85"/>
  <c r="W80" i="85"/>
  <c r="W78" i="85"/>
  <c r="BH669" i="23"/>
  <c r="DG94" i="30"/>
  <c r="BE121" i="59"/>
  <c r="BF121" i="59" s="1"/>
  <c r="DL94" i="30"/>
  <c r="DK124" i="30"/>
  <c r="DF124" i="30"/>
  <c r="DG123" i="30"/>
  <c r="AZ124" i="59"/>
  <c r="AO15" i="59"/>
  <c r="AO27" i="59" s="1"/>
  <c r="AO45" i="59" s="1"/>
  <c r="CQ104" i="30"/>
  <c r="CV98" i="30"/>
  <c r="CV103" i="30"/>
  <c r="CX95" i="30"/>
  <c r="CW96" i="30"/>
  <c r="CW97" i="30"/>
  <c r="AU122" i="59"/>
  <c r="AV122" i="59" s="1"/>
  <c r="CH128" i="30"/>
  <c r="CH130" i="30"/>
  <c r="AO131" i="59"/>
  <c r="AQ123" i="59"/>
  <c r="CG142" i="30"/>
  <c r="CG141" i="30"/>
  <c r="AT125" i="59"/>
  <c r="AT123" i="59"/>
  <c r="CQ140" i="30"/>
  <c r="AO149" i="59"/>
  <c r="CQ128" i="30"/>
  <c r="CQ130" i="30"/>
  <c r="BI124" i="59"/>
  <c r="BD124" i="59"/>
  <c r="DB131" i="30"/>
  <c r="DB124" i="30"/>
  <c r="CW125" i="30"/>
  <c r="CV126" i="30"/>
  <c r="CV127" i="30"/>
  <c r="CS125" i="30"/>
  <c r="CR132" i="30"/>
  <c r="CR126" i="30"/>
  <c r="CR127" i="30"/>
  <c r="DH93" i="30"/>
  <c r="CR98" i="30"/>
  <c r="CR103" i="30"/>
  <c r="DB95" i="30"/>
  <c r="DA125" i="30"/>
  <c r="AY122" i="59"/>
  <c r="DF95" i="30"/>
  <c r="DA97" i="30"/>
  <c r="AG690" i="23"/>
  <c r="AG234" i="23"/>
  <c r="CZ294" i="59"/>
  <c r="CT224" i="59"/>
  <c r="J14" i="73"/>
  <c r="J15" i="73" s="1"/>
  <c r="J12" i="73" s="1"/>
  <c r="BR14" i="73"/>
  <c r="BR15" i="73"/>
  <c r="BW13" i="73"/>
  <c r="AE244" i="30"/>
  <c r="L47" i="95"/>
  <c r="DB126" i="59"/>
  <c r="BY45" i="73" s="1"/>
  <c r="FD97" i="30"/>
  <c r="DB218" i="59"/>
  <c r="V144" i="85"/>
  <c r="V141" i="85"/>
  <c r="V165" i="85"/>
  <c r="CZ157" i="85"/>
  <c r="DA293" i="59"/>
  <c r="R241" i="59"/>
  <c r="S241" i="59" s="1"/>
  <c r="CY241" i="59" s="1"/>
  <c r="DY109" i="30"/>
  <c r="DY110" i="30" s="1"/>
  <c r="DY104" i="30"/>
  <c r="CR24" i="85"/>
  <c r="CB63" i="59"/>
  <c r="BX29" i="85"/>
  <c r="BX33" i="85"/>
  <c r="BX35" i="85" s="1"/>
  <c r="CC28" i="85"/>
  <c r="CC21" i="85"/>
  <c r="CW92" i="85"/>
  <c r="CR11" i="85"/>
  <c r="CB243" i="59"/>
  <c r="CB226" i="59"/>
  <c r="CB228" i="59" s="1"/>
  <c r="BR60" i="59"/>
  <c r="BR61" i="59"/>
  <c r="DT140" i="30"/>
  <c r="DJ37" i="25"/>
  <c r="BW64" i="59"/>
  <c r="BW59" i="59"/>
  <c r="BW65" i="59"/>
  <c r="CG15" i="59"/>
  <c r="CG19" i="59"/>
  <c r="CG223" i="59"/>
  <c r="CL18" i="59"/>
  <c r="CH20" i="85"/>
  <c r="CH14" i="85"/>
  <c r="CH23" i="85"/>
  <c r="CH25" i="85" s="1"/>
  <c r="CH26" i="85" s="1"/>
  <c r="CH71" i="85"/>
  <c r="CH72" i="85" s="1"/>
  <c r="CM13" i="85"/>
  <c r="CM39" i="85" s="1"/>
  <c r="CM12" i="85"/>
  <c r="CM105" i="85"/>
  <c r="CM18" i="85"/>
  <c r="CM95" i="85"/>
  <c r="CM96" i="85" s="1"/>
  <c r="ED103" i="30"/>
  <c r="CB16" i="59"/>
  <c r="CB231" i="59"/>
  <c r="CB236" i="59" s="1"/>
  <c r="CB238" i="59" s="1"/>
  <c r="DJ80" i="25"/>
  <c r="CA5" i="23"/>
  <c r="BH11" i="31"/>
  <c r="BM11" i="31" s="1"/>
  <c r="BR11" i="31" s="1"/>
  <c r="BA12" i="59"/>
  <c r="AE243" i="30"/>
  <c r="F64" i="38"/>
  <c r="F80" i="38" s="1"/>
  <c r="AF91" i="30"/>
  <c r="CZ143" i="85"/>
  <c r="V140" i="85"/>
  <c r="DA326" i="59"/>
  <c r="I245" i="59"/>
  <c r="BP245" i="59" s="1"/>
  <c r="T286" i="59"/>
  <c r="T276" i="59"/>
  <c r="T279" i="59"/>
  <c r="X12" i="20"/>
  <c r="AF243" i="30"/>
  <c r="CY161" i="85"/>
  <c r="CY170" i="85" s="1"/>
  <c r="CZ160" i="85"/>
  <c r="V168" i="85"/>
  <c r="V167" i="85"/>
  <c r="CZ159" i="85"/>
  <c r="T141" i="85"/>
  <c r="AB100" i="31"/>
  <c r="AA102" i="31"/>
  <c r="Q107" i="31"/>
  <c r="Q108" i="31" s="1"/>
  <c r="Q109" i="31" s="1"/>
  <c r="Q135" i="31"/>
  <c r="Q112" i="31" s="1"/>
  <c r="Q113" i="31" s="1"/>
  <c r="Q114" i="31" s="1"/>
  <c r="Q128" i="31"/>
  <c r="Q129" i="31" s="1"/>
  <c r="Q130" i="31" s="1"/>
  <c r="V127" i="31"/>
  <c r="S134" i="31"/>
  <c r="R133" i="31"/>
  <c r="I9" i="59"/>
  <c r="BO246" i="59"/>
  <c r="AC233" i="59"/>
  <c r="AD24" i="59"/>
  <c r="AE24" i="59" s="1"/>
  <c r="AE233" i="59" s="1"/>
  <c r="Y32" i="31"/>
  <c r="BT32" i="31" s="1"/>
  <c r="BC31" i="31"/>
  <c r="DH90" i="30"/>
  <c r="AX158" i="59"/>
  <c r="AX165" i="59"/>
  <c r="AX159" i="59"/>
  <c r="BC27" i="59"/>
  <c r="BH16" i="59"/>
  <c r="BC16" i="59"/>
  <c r="AS166" i="59"/>
  <c r="AS167" i="59"/>
  <c r="AS46" i="59"/>
  <c r="AS210" i="59"/>
  <c r="AS99" i="59"/>
  <c r="AS77" i="59"/>
  <c r="BH132" i="59"/>
  <c r="BC145" i="59"/>
  <c r="BC132" i="59"/>
  <c r="BC151" i="59"/>
  <c r="BH150" i="59"/>
  <c r="BC157" i="59"/>
  <c r="BC150" i="59"/>
  <c r="DE141" i="30"/>
  <c r="DJ142" i="30"/>
  <c r="BC59" i="59"/>
  <c r="DE142" i="30"/>
  <c r="AX28" i="59"/>
  <c r="AX45" i="59"/>
  <c r="AN211" i="59"/>
  <c r="AN101" i="59"/>
  <c r="AX75" i="59"/>
  <c r="AX60" i="59"/>
  <c r="AX61" i="59"/>
  <c r="G4" i="38"/>
  <c r="G42" i="38" s="1"/>
  <c r="G33" i="38" s="1"/>
  <c r="G32" i="38" s="1"/>
  <c r="G46" i="38"/>
  <c r="G9" i="38"/>
  <c r="G11" i="38" s="1"/>
  <c r="E91" i="38"/>
  <c r="E85" i="38"/>
  <c r="F27" i="59"/>
  <c r="F16" i="59"/>
  <c r="Q34" i="31"/>
  <c r="H12" i="59"/>
  <c r="AE91" i="30"/>
  <c r="E45" i="59"/>
  <c r="E28" i="59"/>
  <c r="D45" i="59"/>
  <c r="D41" i="73"/>
  <c r="D42" i="73"/>
  <c r="F47" i="38"/>
  <c r="F85" i="38"/>
  <c r="F91" i="38"/>
  <c r="Q25" i="31"/>
  <c r="D30" i="73"/>
  <c r="Q90" i="31"/>
  <c r="AD104" i="30"/>
  <c r="G15" i="59"/>
  <c r="H6" i="38"/>
  <c r="BF8" i="59"/>
  <c r="BE12" i="59"/>
  <c r="BF12" i="59" s="1"/>
  <c r="BE9" i="59"/>
  <c r="R89" i="31"/>
  <c r="R24" i="31"/>
  <c r="R31" i="31"/>
  <c r="R33" i="31" s="1"/>
  <c r="S23" i="31"/>
  <c r="E40" i="73"/>
  <c r="E39" i="73" s="1"/>
  <c r="DM86" i="30"/>
  <c r="DL87" i="30"/>
  <c r="DL90" i="30"/>
  <c r="DL91" i="30" s="1"/>
  <c r="BJ8" i="59"/>
  <c r="BO9" i="59" s="1"/>
  <c r="G219" i="59"/>
  <c r="G13" i="59"/>
  <c r="CW162" i="85"/>
  <c r="BK28" i="31"/>
  <c r="BP20" i="31"/>
  <c r="BU20" i="31" s="1"/>
  <c r="BM28" i="31"/>
  <c r="BR20" i="31"/>
  <c r="T48" i="33"/>
  <c r="T49" i="33" s="1"/>
  <c r="AG235" i="30"/>
  <c r="AG242" i="30" s="1"/>
  <c r="T55" i="33"/>
  <c r="T58" i="33" s="1"/>
  <c r="T46" i="33"/>
  <c r="AG95" i="30"/>
  <c r="T43" i="33"/>
  <c r="T44" i="33" s="1"/>
  <c r="T52" i="33"/>
  <c r="U45" i="33"/>
  <c r="K125" i="59"/>
  <c r="BZ122" i="59"/>
  <c r="F54" i="73"/>
  <c r="EK93" i="30"/>
  <c r="EK94" i="30" s="1"/>
  <c r="M121" i="59"/>
  <c r="CN121" i="59"/>
  <c r="BK47" i="73" s="1"/>
  <c r="CI296" i="59"/>
  <c r="CI122" i="59"/>
  <c r="W87" i="31"/>
  <c r="BJ20" i="31"/>
  <c r="J34" i="73"/>
  <c r="I35" i="73"/>
  <c r="I36" i="73" s="1"/>
  <c r="BQ20" i="31"/>
  <c r="BL28" i="31"/>
  <c r="E55" i="73"/>
  <c r="E56" i="73" s="1"/>
  <c r="E53" i="73" s="1"/>
  <c r="T101" i="33" s="1"/>
  <c r="T100" i="33" s="1"/>
  <c r="T102" i="33" s="1"/>
  <c r="T35" i="33" s="1"/>
  <c r="T36" i="33" s="1"/>
  <c r="EF95" i="30"/>
  <c r="EF96" i="30" s="1"/>
  <c r="L122" i="59"/>
  <c r="CD125" i="59"/>
  <c r="BN20" i="31"/>
  <c r="BS20" i="31" s="1"/>
  <c r="BX20" i="31" s="1"/>
  <c r="BI28" i="31"/>
  <c r="W28" i="31" s="1"/>
  <c r="BJ28" i="31" s="1"/>
  <c r="H35" i="73"/>
  <c r="H36" i="73" s="1"/>
  <c r="EF94" i="30"/>
  <c r="EG93" i="30"/>
  <c r="CX224" i="59"/>
  <c r="R224" i="59" s="1"/>
  <c r="CU79" i="59"/>
  <c r="CU84" i="59"/>
  <c r="CP81" i="59"/>
  <c r="CP80" i="59"/>
  <c r="DZ18" i="20"/>
  <c r="EW105" i="30"/>
  <c r="EW106" i="30" s="1"/>
  <c r="CU234" i="59"/>
  <c r="CU240" i="59" s="1"/>
  <c r="CU31" i="59"/>
  <c r="J244" i="59"/>
  <c r="BU244" i="59" s="1"/>
  <c r="K223" i="59"/>
  <c r="BZ223" i="59" s="1"/>
  <c r="DU21" i="20"/>
  <c r="CZ241" i="59"/>
  <c r="CZ224" i="59" s="1"/>
  <c r="FB108" i="30"/>
  <c r="CZ83" i="59"/>
  <c r="CZ84" i="59" s="1"/>
  <c r="DO18" i="20"/>
  <c r="BX226" i="59"/>
  <c r="BX228" i="59" s="1"/>
  <c r="BY28" i="85"/>
  <c r="BY29" i="85" s="1"/>
  <c r="W56" i="85"/>
  <c r="W57" i="85" s="1"/>
  <c r="X98" i="85"/>
  <c r="G27" i="73"/>
  <c r="G26" i="73"/>
  <c r="G24" i="73"/>
  <c r="AU11" i="31"/>
  <c r="AY11" i="31"/>
  <c r="AV11" i="31"/>
  <c r="AQ9" i="31"/>
  <c r="U9" i="85"/>
  <c r="CU8" i="85"/>
  <c r="U81" i="85"/>
  <c r="U68" i="85"/>
  <c r="U69" i="85" s="1"/>
  <c r="AS9" i="31"/>
  <c r="CC63" i="59"/>
  <c r="CC59" i="59" s="1"/>
  <c r="V53" i="85"/>
  <c r="V54" i="85"/>
  <c r="V55" i="85" s="1"/>
  <c r="CZ8" i="85"/>
  <c r="V9" i="85"/>
  <c r="V81" i="85"/>
  <c r="BU29" i="85"/>
  <c r="BY63" i="59"/>
  <c r="CD20" i="85"/>
  <c r="R18" i="85"/>
  <c r="CI223" i="59"/>
  <c r="CI243" i="59" s="1"/>
  <c r="CS92" i="85"/>
  <c r="CS11" i="85" s="1"/>
  <c r="DG56" i="25"/>
  <c r="DQ176" i="30"/>
  <c r="DG58" i="25"/>
  <c r="Q19" i="85"/>
  <c r="CA18" i="85"/>
  <c r="BO12" i="59"/>
  <c r="BP12" i="59" s="1"/>
  <c r="CO18" i="85"/>
  <c r="CO105" i="85"/>
  <c r="CO12" i="85"/>
  <c r="CO95" i="85"/>
  <c r="CO96" i="85" s="1"/>
  <c r="CO13" i="85"/>
  <c r="DU169" i="30"/>
  <c r="DU170" i="30" s="1"/>
  <c r="DK51" i="25"/>
  <c r="DK52" i="25" s="1"/>
  <c r="BS64" i="59"/>
  <c r="BS65" i="59"/>
  <c r="BS59" i="59"/>
  <c r="X60" i="85"/>
  <c r="W50" i="85"/>
  <c r="W51" i="85" s="1"/>
  <c r="BP8" i="59"/>
  <c r="BX63" i="59"/>
  <c r="BT29" i="85"/>
  <c r="AR9" i="31"/>
  <c r="AW11" i="31"/>
  <c r="CI12" i="85"/>
  <c r="CI18" i="85"/>
  <c r="S18" i="85" s="1"/>
  <c r="CI105" i="85"/>
  <c r="CI95" i="85"/>
  <c r="CI96" i="85" s="1"/>
  <c r="CI13" i="85"/>
  <c r="X84" i="85"/>
  <c r="BX244" i="59"/>
  <c r="K244" i="59" s="1"/>
  <c r="DL51" i="25"/>
  <c r="DL52" i="25" s="1"/>
  <c r="DV169" i="30"/>
  <c r="DV170" i="30" s="1"/>
  <c r="BT65" i="59"/>
  <c r="J12" i="59"/>
  <c r="AG91" i="30"/>
  <c r="X52" i="25"/>
  <c r="X54" i="25"/>
  <c r="CE24" i="85"/>
  <c r="R24" i="85" s="1"/>
  <c r="BZ39" i="85"/>
  <c r="CY92" i="85"/>
  <c r="CD71" i="85"/>
  <c r="CD72" i="85" s="1"/>
  <c r="CD14" i="85"/>
  <c r="CH18" i="59"/>
  <c r="CH15" i="59" s="1"/>
  <c r="CD23" i="85"/>
  <c r="CD25" i="85" s="1"/>
  <c r="CD26" i="85" s="1"/>
  <c r="T15" i="31"/>
  <c r="AI86" i="30"/>
  <c r="T96" i="31"/>
  <c r="AI239" i="30"/>
  <c r="T37" i="31"/>
  <c r="T158" i="31"/>
  <c r="T159" i="31" s="1"/>
  <c r="BO63" i="59"/>
  <c r="DQ170" i="30"/>
  <c r="U17" i="85"/>
  <c r="CU16" i="85"/>
  <c r="BT8" i="59"/>
  <c r="J9" i="59"/>
  <c r="V64" i="85"/>
  <c r="V17" i="85"/>
  <c r="CZ16" i="85"/>
  <c r="M35" i="85"/>
  <c r="M34" i="85"/>
  <c r="E306" i="60"/>
  <c r="DR90" i="30"/>
  <c r="CC223" i="59"/>
  <c r="CC243" i="59" s="1"/>
  <c r="CC19" i="59"/>
  <c r="CD39" i="85"/>
  <c r="CI24" i="85"/>
  <c r="K8" i="59"/>
  <c r="AH90" i="30"/>
  <c r="AH87" i="30"/>
  <c r="CJ14" i="85"/>
  <c r="CJ20" i="85"/>
  <c r="CJ21" i="85" s="1"/>
  <c r="CN18" i="59"/>
  <c r="CJ71" i="85"/>
  <c r="CJ72" i="85" s="1"/>
  <c r="T168" i="85"/>
  <c r="CP160" i="85"/>
  <c r="CP158" i="85"/>
  <c r="T166" i="85"/>
  <c r="CP159" i="85"/>
  <c r="T167" i="85"/>
  <c r="CQ17" i="25"/>
  <c r="CL18" i="25"/>
  <c r="CL17" i="25"/>
  <c r="CG6" i="23"/>
  <c r="DQ126" i="30"/>
  <c r="DL123" i="30"/>
  <c r="DL132" i="30"/>
  <c r="BU18" i="59"/>
  <c r="J19" i="59"/>
  <c r="G80" i="63"/>
  <c r="O26" i="38"/>
  <c r="O54" i="38"/>
  <c r="O76" i="38"/>
  <c r="AA104" i="33"/>
  <c r="W116" i="20"/>
  <c r="W27" i="20"/>
  <c r="AA111" i="31"/>
  <c r="CN161" i="85"/>
  <c r="CH16" i="25"/>
  <c r="CS71" i="30"/>
  <c r="AX42" i="31"/>
  <c r="AX43" i="31" s="1"/>
  <c r="CH55" i="59"/>
  <c r="CH319" i="59" s="1"/>
  <c r="CH50" i="59"/>
  <c r="EJ87" i="30"/>
  <c r="EJ90" i="30"/>
  <c r="EJ91" i="30" s="1"/>
  <c r="F166" i="59"/>
  <c r="F167" i="59"/>
  <c r="BZ240" i="59"/>
  <c r="DF117" i="20"/>
  <c r="DF30" i="20"/>
  <c r="DP143" i="30"/>
  <c r="DF29" i="20"/>
  <c r="AB96" i="33"/>
  <c r="AA97" i="33"/>
  <c r="DZ104" i="30"/>
  <c r="DZ109" i="30"/>
  <c r="DZ110" i="30" s="1"/>
  <c r="CA16" i="59"/>
  <c r="CA231" i="59"/>
  <c r="EC103" i="30"/>
  <c r="BT12" i="31"/>
  <c r="T157" i="85"/>
  <c r="T161" i="85" s="1"/>
  <c r="BV25" i="85"/>
  <c r="P26" i="85"/>
  <c r="AA18" i="20"/>
  <c r="CS30" i="59"/>
  <c r="CX31" i="59" s="1"/>
  <c r="K611" i="23"/>
  <c r="K61" i="23"/>
  <c r="K63" i="23" s="1"/>
  <c r="K674" i="23" s="1"/>
  <c r="K673" i="23" s="1"/>
  <c r="K251" i="23"/>
  <c r="J9" i="95"/>
  <c r="AL389" i="23"/>
  <c r="AM436" i="23"/>
  <c r="BM44" i="23"/>
  <c r="BM81" i="23"/>
  <c r="BM82" i="23" s="1"/>
  <c r="BM663" i="23"/>
  <c r="BM40" i="23"/>
  <c r="BM83" i="23"/>
  <c r="CC290" i="59"/>
  <c r="CC291" i="59" s="1"/>
  <c r="M44" i="95"/>
  <c r="CB21" i="85"/>
  <c r="Z80" i="20"/>
  <c r="Z21" i="20"/>
  <c r="Z16" i="20"/>
  <c r="P30" i="59"/>
  <c r="Q31" i="59" s="1"/>
  <c r="Z113" i="20"/>
  <c r="AK105" i="30"/>
  <c r="DA150" i="59"/>
  <c r="DA151" i="59"/>
  <c r="DA157" i="59"/>
  <c r="DA312" i="59"/>
  <c r="DA147" i="59" s="1"/>
  <c r="J21" i="95"/>
  <c r="BZ5" i="23"/>
  <c r="DI80" i="25"/>
  <c r="EC18" i="20"/>
  <c r="EZ105" i="30"/>
  <c r="CX234" i="59"/>
  <c r="AV218" i="30"/>
  <c r="AW31" i="30"/>
  <c r="CN80" i="30"/>
  <c r="CT64" i="30"/>
  <c r="P28" i="85"/>
  <c r="CZ326" i="59"/>
  <c r="CZ312" i="59"/>
  <c r="CZ147" i="59" s="1"/>
  <c r="CZ157" i="59"/>
  <c r="CZ150" i="59"/>
  <c r="CZ151" i="59"/>
  <c r="CO161" i="85"/>
  <c r="CW193" i="30"/>
  <c r="CX203" i="30"/>
  <c r="CB39" i="85"/>
  <c r="CG24" i="85"/>
  <c r="AM435" i="23"/>
  <c r="AL388" i="23"/>
  <c r="AJ106" i="30"/>
  <c r="EL105" i="30"/>
  <c r="P91" i="73"/>
  <c r="P93" i="73"/>
  <c r="P94" i="73"/>
  <c r="DH51" i="25"/>
  <c r="Y54" i="25"/>
  <c r="AF169" i="30"/>
  <c r="Y52" i="25"/>
  <c r="L7" i="95"/>
  <c r="O89" i="73"/>
  <c r="CT63" i="30"/>
  <c r="CT60" i="30"/>
  <c r="CX58" i="30"/>
  <c r="X117" i="20"/>
  <c r="X26" i="20"/>
  <c r="I191" i="60"/>
  <c r="E79" i="63" s="1"/>
  <c r="X29" i="20"/>
  <c r="X30" i="20"/>
  <c r="CS162" i="85"/>
  <c r="CX162" i="85"/>
  <c r="AH597" i="23"/>
  <c r="AI601" i="23" s="1"/>
  <c r="AI605" i="23" s="1"/>
  <c r="AH606" i="23"/>
  <c r="EO86" i="30"/>
  <c r="BC14" i="31"/>
  <c r="CM12" i="59"/>
  <c r="CM49" i="59"/>
  <c r="CR8" i="59"/>
  <c r="AJ144" i="30"/>
  <c r="Y28" i="20"/>
  <c r="BM79" i="23"/>
  <c r="BM78" i="23"/>
  <c r="M38" i="95"/>
  <c r="M46" i="95"/>
  <c r="BL40" i="23"/>
  <c r="BL83" i="23"/>
  <c r="BL81" i="23"/>
  <c r="BL663" i="23"/>
  <c r="BL665" i="23" s="1"/>
  <c r="BL44" i="23"/>
  <c r="CT162" i="85"/>
  <c r="DB132" i="59"/>
  <c r="FE108" i="30"/>
  <c r="T33" i="59"/>
  <c r="DC241" i="59"/>
  <c r="DC83" i="59"/>
  <c r="BK663" i="23"/>
  <c r="BK665" i="23" s="1"/>
  <c r="BK81" i="23"/>
  <c r="BK82" i="23" s="1"/>
  <c r="BK40" i="23"/>
  <c r="BK83" i="23"/>
  <c r="BK44" i="23"/>
  <c r="Q21" i="85"/>
  <c r="CA20" i="85"/>
  <c r="F72" i="53"/>
  <c r="G72" i="53" s="1"/>
  <c r="H72" i="53" s="1"/>
  <c r="I72" i="53" s="1"/>
  <c r="J72" i="53" s="1"/>
  <c r="K72" i="53" s="1"/>
  <c r="L72" i="53" s="1"/>
  <c r="M72" i="53" s="1"/>
  <c r="N72" i="53" s="1"/>
  <c r="O72" i="53" s="1"/>
  <c r="P72" i="53" s="1"/>
  <c r="Q72" i="53" s="1"/>
  <c r="R72" i="53" s="1"/>
  <c r="S72" i="53" s="1"/>
  <c r="T72" i="53" s="1"/>
  <c r="U72" i="53" s="1"/>
  <c r="V72" i="53" s="1"/>
  <c r="W72" i="53" s="1"/>
  <c r="X72" i="53" s="1"/>
  <c r="Y72" i="53" s="1"/>
  <c r="Z72" i="53" s="1"/>
  <c r="AA72" i="53" s="1"/>
  <c r="AB72" i="53" s="1"/>
  <c r="AA50" i="53"/>
  <c r="CC56" i="59"/>
  <c r="CC57" i="59"/>
  <c r="CC305" i="59"/>
  <c r="AI376" i="23"/>
  <c r="AJ423" i="23"/>
  <c r="CL12" i="85"/>
  <c r="CL95" i="85"/>
  <c r="CL96" i="85" s="1"/>
  <c r="CL105" i="85"/>
  <c r="CL18" i="85"/>
  <c r="T11" i="85"/>
  <c r="CL13" i="85"/>
  <c r="H663" i="23"/>
  <c r="H83" i="23"/>
  <c r="H85" i="23" s="1"/>
  <c r="H40" i="23"/>
  <c r="H44" i="23"/>
  <c r="H81" i="23"/>
  <c r="CR162" i="85"/>
  <c r="AC74" i="85"/>
  <c r="DX109" i="30"/>
  <c r="DX110" i="30" s="1"/>
  <c r="DX104" i="30"/>
  <c r="P88" i="73"/>
  <c r="P87" i="73"/>
  <c r="P85" i="73"/>
  <c r="DD28" i="20"/>
  <c r="DH27" i="20"/>
  <c r="CG23" i="85"/>
  <c r="CG71" i="85"/>
  <c r="CG72" i="85" s="1"/>
  <c r="CK18" i="59"/>
  <c r="CG20" i="85"/>
  <c r="CG14" i="85"/>
  <c r="AI429" i="23"/>
  <c r="AH382" i="23"/>
  <c r="DA40" i="25"/>
  <c r="DA39" i="25" s="1"/>
  <c r="DK158" i="30"/>
  <c r="DA44" i="25" s="1"/>
  <c r="DI52" i="25"/>
  <c r="G151" i="59"/>
  <c r="G150" i="59"/>
  <c r="G157" i="59"/>
  <c r="H150" i="59"/>
  <c r="EV108" i="30"/>
  <c r="S189" i="59"/>
  <c r="CY189" i="59" s="1"/>
  <c r="G25" i="56"/>
  <c r="CC16" i="59"/>
  <c r="CC231" i="59"/>
  <c r="EE103" i="30"/>
  <c r="O34" i="95"/>
  <c r="O12" i="95"/>
  <c r="O13" i="95" s="1"/>
  <c r="O15" i="95" s="1"/>
  <c r="P4" i="95"/>
  <c r="O6" i="95"/>
  <c r="CC18" i="25"/>
  <c r="CD16" i="25"/>
  <c r="W133" i="20"/>
  <c r="CL15" i="25"/>
  <c r="CQ13" i="25"/>
  <c r="CL13" i="25"/>
  <c r="CL14" i="25"/>
  <c r="CL11" i="25"/>
  <c r="Q23" i="38"/>
  <c r="P24" i="38"/>
  <c r="P25" i="38" s="1"/>
  <c r="W36" i="20"/>
  <c r="W41" i="20"/>
  <c r="W37" i="20"/>
  <c r="DA79" i="25"/>
  <c r="BI187" i="59"/>
  <c r="BI210" i="59" s="1"/>
  <c r="AB46" i="85"/>
  <c r="BV246" i="59"/>
  <c r="BL669" i="23"/>
  <c r="BK667" i="23"/>
  <c r="BK666" i="23" s="1"/>
  <c r="CH219" i="59"/>
  <c r="CH13" i="59"/>
  <c r="R71" i="85"/>
  <c r="R72" i="85" s="1"/>
  <c r="R20" i="85"/>
  <c r="AC49" i="25"/>
  <c r="R14" i="85"/>
  <c r="R31" i="85" s="1"/>
  <c r="CF13" i="85"/>
  <c r="Y147" i="20"/>
  <c r="X135" i="20"/>
  <c r="X141" i="20" s="1"/>
  <c r="DI37" i="25"/>
  <c r="BQ61" i="59"/>
  <c r="BQ60" i="59"/>
  <c r="DS140" i="30"/>
  <c r="DS170" i="30"/>
  <c r="AH109" i="23"/>
  <c r="U110" i="73"/>
  <c r="AM121" i="20"/>
  <c r="AN121" i="20" s="1"/>
  <c r="AL159" i="20"/>
  <c r="CC319" i="59"/>
  <c r="CF19" i="59"/>
  <c r="CF223" i="59"/>
  <c r="CF243" i="59" s="1"/>
  <c r="CF15" i="59"/>
  <c r="BL79" i="23"/>
  <c r="BL78" i="23"/>
  <c r="BQ78" i="23"/>
  <c r="W123" i="31"/>
  <c r="X121" i="31"/>
  <c r="DD275" i="59"/>
  <c r="CX79" i="59"/>
  <c r="CX81" i="59" s="1"/>
  <c r="R83" i="59"/>
  <c r="CX84" i="59"/>
  <c r="Q79" i="59"/>
  <c r="CS80" i="59"/>
  <c r="T140" i="85"/>
  <c r="CP143" i="85"/>
  <c r="DF77" i="25"/>
  <c r="DF79" i="25" s="1"/>
  <c r="DF36" i="25"/>
  <c r="DK36" i="25"/>
  <c r="CJ234" i="59"/>
  <c r="O234" i="59"/>
  <c r="Y146" i="20"/>
  <c r="X134" i="20"/>
  <c r="X140" i="20" s="1"/>
  <c r="N223" i="60"/>
  <c r="CC15" i="25"/>
  <c r="CD15" i="25" s="1"/>
  <c r="AA61" i="30"/>
  <c r="AA65" i="30"/>
  <c r="CS60" i="30"/>
  <c r="AA194" i="30"/>
  <c r="AA80" i="30"/>
  <c r="CS80" i="30" s="1"/>
  <c r="CV92" i="85"/>
  <c r="CQ11" i="85"/>
  <c r="CQ13" i="85" s="1"/>
  <c r="CQ14" i="85" s="1"/>
  <c r="BR35" i="85"/>
  <c r="CZ145" i="59"/>
  <c r="CZ146" i="59" s="1"/>
  <c r="BV236" i="59"/>
  <c r="BV238" i="59" s="1"/>
  <c r="Y136" i="20"/>
  <c r="Y11" i="20"/>
  <c r="Y19" i="20"/>
  <c r="N34" i="85"/>
  <c r="F306" i="60"/>
  <c r="N35" i="85"/>
  <c r="CK11" i="85"/>
  <c r="S105" i="85"/>
  <c r="S95" i="85"/>
  <c r="S96" i="85" s="1"/>
  <c r="S92" i="85"/>
  <c r="S93" i="85" s="1"/>
  <c r="S13" i="85"/>
  <c r="S12" i="85"/>
  <c r="CH11" i="25"/>
  <c r="CH14" i="25"/>
  <c r="CH15" i="25"/>
  <c r="CI15" i="25" s="1"/>
  <c r="CI12" i="25"/>
  <c r="P84" i="59"/>
  <c r="P85" i="59"/>
  <c r="S64" i="33"/>
  <c r="S59" i="33"/>
  <c r="AF106" i="31"/>
  <c r="BP667" i="23"/>
  <c r="BQ669" i="23"/>
  <c r="BN23" i="23"/>
  <c r="BN34" i="23" s="1"/>
  <c r="BN77" i="23"/>
  <c r="BN75" i="23"/>
  <c r="AX15" i="31"/>
  <c r="AX16" i="31"/>
  <c r="AX9" i="31"/>
  <c r="AH73" i="32"/>
  <c r="AG79" i="32"/>
  <c r="AG80" i="32" s="1"/>
  <c r="AA59" i="30"/>
  <c r="X64" i="30"/>
  <c r="CN59" i="30"/>
  <c r="BX236" i="59"/>
  <c r="BX238" i="59" s="1"/>
  <c r="AB23" i="95"/>
  <c r="I24" i="95"/>
  <c r="T271" i="59" s="1"/>
  <c r="I53" i="95"/>
  <c r="L82" i="73"/>
  <c r="L83" i="73" s="1"/>
  <c r="CA226" i="59"/>
  <c r="CA228" i="59" s="1"/>
  <c r="G28" i="56"/>
  <c r="Q25" i="85"/>
  <c r="BZ23" i="85"/>
  <c r="CA23" i="85" s="1"/>
  <c r="AL442" i="23"/>
  <c r="AK395" i="23"/>
  <c r="R91" i="25"/>
  <c r="R85" i="25"/>
  <c r="E198" i="59"/>
  <c r="K10" i="23"/>
  <c r="S87" i="25"/>
  <c r="AL433" i="23"/>
  <c r="AK386" i="23"/>
  <c r="BM664" i="23"/>
  <c r="N37" i="95"/>
  <c r="N40" i="95"/>
  <c r="N43" i="95" s="1"/>
  <c r="CB25" i="85"/>
  <c r="CB26" i="85" s="1"/>
  <c r="DG117" i="20"/>
  <c r="DG29" i="20"/>
  <c r="DG30" i="20"/>
  <c r="DQ143" i="30"/>
  <c r="BL76" i="23"/>
  <c r="BQ76" i="23"/>
  <c r="DA145" i="59"/>
  <c r="DA146" i="59" s="1"/>
  <c r="DA132" i="59"/>
  <c r="AA25" i="20"/>
  <c r="Z115" i="20"/>
  <c r="DD188" i="59"/>
  <c r="AC12" i="32"/>
  <c r="K579" i="23"/>
  <c r="K585" i="23"/>
  <c r="R34" i="59"/>
  <c r="S33" i="59"/>
  <c r="AM108" i="30"/>
  <c r="R30" i="59"/>
  <c r="L370" i="60"/>
  <c r="AL146" i="30"/>
  <c r="Q85" i="59"/>
  <c r="Q84" i="59"/>
  <c r="CT83" i="59"/>
  <c r="CW63" i="30"/>
  <c r="BK78" i="23"/>
  <c r="BK79" i="23"/>
  <c r="AB50" i="25"/>
  <c r="AI167" i="30"/>
  <c r="K20" i="95"/>
  <c r="K17" i="95"/>
  <c r="W674" i="23"/>
  <c r="W673" i="23" s="1"/>
  <c r="CX63" i="23"/>
  <c r="K8" i="95"/>
  <c r="M188" i="60"/>
  <c r="DO143" i="30"/>
  <c r="DE30" i="20"/>
  <c r="DE117" i="20"/>
  <c r="DE29" i="20"/>
  <c r="CN65" i="30"/>
  <c r="X73" i="30"/>
  <c r="CN73" i="30" s="1"/>
  <c r="X142" i="20"/>
  <c r="X137" i="20"/>
  <c r="X148" i="20"/>
  <c r="X154" i="20" s="1"/>
  <c r="AH168" i="30"/>
  <c r="AH236" i="30"/>
  <c r="K18" i="59"/>
  <c r="BV59" i="59"/>
  <c r="BV64" i="59"/>
  <c r="BV65" i="59"/>
  <c r="Z128" i="23"/>
  <c r="W152" i="23"/>
  <c r="W150" i="23"/>
  <c r="CO79" i="59"/>
  <c r="N81" i="59"/>
  <c r="P79" i="59"/>
  <c r="AK143" i="30"/>
  <c r="N80" i="59"/>
  <c r="Q39" i="85"/>
  <c r="CA24" i="85"/>
  <c r="AG173" i="30"/>
  <c r="AG197" i="30"/>
  <c r="BQ28" i="85"/>
  <c r="G307" i="60"/>
  <c r="C84" i="63" s="1"/>
  <c r="O33" i="85"/>
  <c r="Z51" i="25"/>
  <c r="O29" i="85"/>
  <c r="L19" i="95"/>
  <c r="O95" i="73"/>
  <c r="CT199" i="30"/>
  <c r="CT211" i="30" s="1"/>
  <c r="S38" i="33"/>
  <c r="S39" i="33" s="1"/>
  <c r="T41" i="33"/>
  <c r="I21" i="23"/>
  <c r="I18" i="23"/>
  <c r="DA82" i="25"/>
  <c r="DA38" i="25"/>
  <c r="BJ26" i="73"/>
  <c r="BJ27" i="73"/>
  <c r="BJ24" i="73"/>
  <c r="AC172" i="59"/>
  <c r="AC174" i="59" s="1"/>
  <c r="AD170" i="59"/>
  <c r="U33" i="59" l="1"/>
  <c r="DH83" i="59"/>
  <c r="V166" i="85"/>
  <c r="EE18" i="20"/>
  <c r="EE16" i="20" s="1"/>
  <c r="EE11" i="20" s="1"/>
  <c r="EJ11" i="20" s="1"/>
  <c r="CZ234" i="59"/>
  <c r="V161" i="85"/>
  <c r="V170" i="85" s="1"/>
  <c r="V176" i="85" s="1"/>
  <c r="G278" i="60"/>
  <c r="N32" i="52"/>
  <c r="U402" i="60"/>
  <c r="T404" i="60"/>
  <c r="V394" i="60"/>
  <c r="U398" i="60"/>
  <c r="I224" i="60"/>
  <c r="H226" i="60"/>
  <c r="J216" i="60"/>
  <c r="I220" i="60"/>
  <c r="P39" i="52"/>
  <c r="O29" i="52"/>
  <c r="O31" i="52" s="1"/>
  <c r="N68" i="53"/>
  <c r="M58" i="53"/>
  <c r="DR385" i="23"/>
  <c r="DM394" i="23"/>
  <c r="AJ431" i="23"/>
  <c r="AI384" i="23"/>
  <c r="DH381" i="23"/>
  <c r="CB244" i="59"/>
  <c r="CB246" i="59" s="1"/>
  <c r="U224" i="59"/>
  <c r="BU28" i="31"/>
  <c r="DG159" i="59"/>
  <c r="S63" i="60"/>
  <c r="T63" i="60" s="1"/>
  <c r="U63" i="60" s="1"/>
  <c r="V63" i="60" s="1"/>
  <c r="W63" i="60" s="1"/>
  <c r="X63" i="60" s="1"/>
  <c r="Y63" i="60" s="1"/>
  <c r="N74" i="63"/>
  <c r="AA22" i="38"/>
  <c r="Z19" i="38"/>
  <c r="Y21" i="38"/>
  <c r="Y45" i="38"/>
  <c r="Z5" i="38"/>
  <c r="T114" i="30"/>
  <c r="CC113" i="30"/>
  <c r="CM114" i="30" s="1"/>
  <c r="T116" i="30"/>
  <c r="Y113" i="30"/>
  <c r="T120" i="30"/>
  <c r="U114" i="30"/>
  <c r="P39" i="31"/>
  <c r="O40" i="31"/>
  <c r="O42" i="31"/>
  <c r="U141" i="30"/>
  <c r="AB116" i="30"/>
  <c r="CW113" i="30"/>
  <c r="AB120" i="30"/>
  <c r="AB114" i="30"/>
  <c r="E49" i="59"/>
  <c r="CX113" i="30"/>
  <c r="AA114" i="30"/>
  <c r="CR113" i="30"/>
  <c r="D49" i="59"/>
  <c r="AA116" i="30"/>
  <c r="AA120" i="30"/>
  <c r="Z119" i="30"/>
  <c r="C55" i="59"/>
  <c r="N43" i="31"/>
  <c r="C73" i="60"/>
  <c r="AC113" i="30"/>
  <c r="N49" i="31"/>
  <c r="N44" i="31"/>
  <c r="CH119" i="30"/>
  <c r="M50" i="31"/>
  <c r="M55" i="31"/>
  <c r="M57" i="31" s="1"/>
  <c r="X117" i="30"/>
  <c r="X119" i="30"/>
  <c r="X140" i="30"/>
  <c r="CH140" i="30"/>
  <c r="CH141" i="30" s="1"/>
  <c r="CM120" i="30"/>
  <c r="CM116" i="30"/>
  <c r="C51" i="59"/>
  <c r="BW29" i="85"/>
  <c r="AH173" i="30"/>
  <c r="CA63" i="59"/>
  <c r="CA64" i="59" s="1"/>
  <c r="I33" i="73"/>
  <c r="H33" i="73"/>
  <c r="BY12" i="73"/>
  <c r="BR12" i="73"/>
  <c r="DD125" i="85"/>
  <c r="W125" i="85" s="1"/>
  <c r="DF183" i="59"/>
  <c r="DD137" i="85"/>
  <c r="J24" i="95"/>
  <c r="U271" i="59" s="1"/>
  <c r="BQ28" i="31"/>
  <c r="BV20" i="31"/>
  <c r="BV28" i="31" s="1"/>
  <c r="Y401" i="60"/>
  <c r="BQ93" i="23"/>
  <c r="M240" i="59"/>
  <c r="O240" i="59" s="1"/>
  <c r="AD172" i="59"/>
  <c r="AD174" i="59" s="1"/>
  <c r="AE170" i="59"/>
  <c r="AE172" i="59" s="1"/>
  <c r="AE174" i="59" s="1"/>
  <c r="FD98" i="30"/>
  <c r="FI98" i="30"/>
  <c r="DF165" i="59"/>
  <c r="DF167" i="59" s="1"/>
  <c r="DF166" i="59"/>
  <c r="BS34" i="85"/>
  <c r="W120" i="85"/>
  <c r="BS35" i="85"/>
  <c r="DB141" i="85"/>
  <c r="DB152" i="85"/>
  <c r="V162" i="85"/>
  <c r="CU161" i="85"/>
  <c r="V154" i="85"/>
  <c r="V153" i="85"/>
  <c r="T154" i="85"/>
  <c r="W116" i="85"/>
  <c r="W117" i="85" s="1"/>
  <c r="BH31" i="31"/>
  <c r="AE50" i="95"/>
  <c r="AE53" i="95" s="1"/>
  <c r="DG278" i="59"/>
  <c r="DG279" i="59" s="1"/>
  <c r="BU34" i="85"/>
  <c r="BT34" i="85"/>
  <c r="BV31" i="85"/>
  <c r="DF60" i="25"/>
  <c r="DF59" i="25"/>
  <c r="DP181" i="30"/>
  <c r="DP182" i="30" s="1"/>
  <c r="BP114" i="59"/>
  <c r="I115" i="59"/>
  <c r="J115" i="59"/>
  <c r="Y113" i="85"/>
  <c r="Y149" i="85" s="1"/>
  <c r="Y150" i="85" s="1"/>
  <c r="O102" i="73"/>
  <c r="Z111" i="85"/>
  <c r="BQ31" i="85"/>
  <c r="BM33" i="85"/>
  <c r="I204" i="59"/>
  <c r="BP202" i="59"/>
  <c r="DO181" i="30"/>
  <c r="DO182" i="30" s="1"/>
  <c r="DE59" i="25"/>
  <c r="DE60" i="25"/>
  <c r="DN181" i="30"/>
  <c r="DN182" i="30" s="1"/>
  <c r="DD60" i="25"/>
  <c r="DD59" i="25"/>
  <c r="DB140" i="85"/>
  <c r="DB158" i="85"/>
  <c r="DB160" i="85"/>
  <c r="DB157" i="85"/>
  <c r="DB174" i="85"/>
  <c r="DB159" i="85"/>
  <c r="DB144" i="85"/>
  <c r="X119" i="85"/>
  <c r="X120" i="85"/>
  <c r="X131" i="85" s="1"/>
  <c r="X114" i="85"/>
  <c r="AF197" i="30"/>
  <c r="DQ197" i="30" s="1"/>
  <c r="DQ195" i="30" s="1"/>
  <c r="AF173" i="30"/>
  <c r="AG174" i="30" s="1"/>
  <c r="BP34" i="85"/>
  <c r="BN34" i="85"/>
  <c r="BN35" i="85"/>
  <c r="BO35" i="85"/>
  <c r="BO34" i="85"/>
  <c r="DC138" i="85"/>
  <c r="DC143" i="85"/>
  <c r="DA162" i="85"/>
  <c r="V69" i="85"/>
  <c r="DN16" i="20"/>
  <c r="AI122" i="20"/>
  <c r="AU79" i="59"/>
  <c r="CW144" i="30"/>
  <c r="Z20" i="20"/>
  <c r="AA17" i="20"/>
  <c r="DS17" i="20"/>
  <c r="CN235" i="59" s="1"/>
  <c r="N235" i="59"/>
  <c r="Z82" i="20"/>
  <c r="CD235" i="59"/>
  <c r="CD240" i="59" s="1"/>
  <c r="L240" i="59" s="1"/>
  <c r="CE240" i="59" s="1"/>
  <c r="CJ235" i="59"/>
  <c r="CK235" i="59"/>
  <c r="CK240" i="59" s="1"/>
  <c r="DU17" i="20"/>
  <c r="DP16" i="20"/>
  <c r="DB12" i="20"/>
  <c r="DG12" i="20"/>
  <c r="DW17" i="20"/>
  <c r="CM235" i="59"/>
  <c r="CM240" i="59" s="1"/>
  <c r="DR16" i="20"/>
  <c r="BF36" i="59"/>
  <c r="BJ37" i="59"/>
  <c r="BE37" i="59"/>
  <c r="DV17" i="20"/>
  <c r="CL235" i="59"/>
  <c r="CL240" i="59" s="1"/>
  <c r="DQ16" i="20"/>
  <c r="AD79" i="20"/>
  <c r="BP75" i="23"/>
  <c r="BP76" i="23" s="1"/>
  <c r="BP77" i="23"/>
  <c r="BP23" i="23"/>
  <c r="AE60" i="20"/>
  <c r="AE62" i="20" s="1"/>
  <c r="AE61" i="20" s="1"/>
  <c r="AF59" i="20"/>
  <c r="AE76" i="20"/>
  <c r="BR28" i="31"/>
  <c r="BW20" i="31"/>
  <c r="DN392" i="23"/>
  <c r="DO392" i="23"/>
  <c r="DP392" i="23"/>
  <c r="DQ392" i="23"/>
  <c r="DR392" i="23"/>
  <c r="AH383" i="23"/>
  <c r="AI430" i="23"/>
  <c r="AE445" i="23"/>
  <c r="AD398" i="23"/>
  <c r="DK398" i="23"/>
  <c r="DJ398" i="23"/>
  <c r="DI398" i="23"/>
  <c r="DL398" i="23"/>
  <c r="AG432" i="23"/>
  <c r="AF385" i="23"/>
  <c r="DH377" i="23"/>
  <c r="DH379" i="23"/>
  <c r="AF439" i="23"/>
  <c r="AE392" i="23"/>
  <c r="CW387" i="23"/>
  <c r="CX387" i="23" s="1"/>
  <c r="DH387" i="23"/>
  <c r="DI379" i="23"/>
  <c r="DK379" i="23"/>
  <c r="DJ379" i="23"/>
  <c r="DL379" i="23"/>
  <c r="DH415" i="23"/>
  <c r="AL391" i="23"/>
  <c r="AM438" i="23"/>
  <c r="AD379" i="23"/>
  <c r="AE426" i="23"/>
  <c r="AM388" i="23"/>
  <c r="AN435" i="23"/>
  <c r="AN388" i="23" s="1"/>
  <c r="AK380" i="23"/>
  <c r="AL427" i="23"/>
  <c r="AE434" i="23"/>
  <c r="AD387" i="23"/>
  <c r="Z417" i="23"/>
  <c r="DC417" i="23" s="1"/>
  <c r="AJ396" i="23"/>
  <c r="AK443" i="23"/>
  <c r="DI381" i="23"/>
  <c r="DK381" i="23"/>
  <c r="DJ381" i="23"/>
  <c r="DL381" i="23"/>
  <c r="AI444" i="23"/>
  <c r="AH397" i="23"/>
  <c r="DJ387" i="23"/>
  <c r="DI387" i="23"/>
  <c r="AD415" i="23"/>
  <c r="AE462" i="23"/>
  <c r="AM389" i="23"/>
  <c r="AN436" i="23"/>
  <c r="AN389" i="23" s="1"/>
  <c r="AD381" i="23"/>
  <c r="AE428" i="23"/>
  <c r="DI377" i="23"/>
  <c r="DJ377" i="23"/>
  <c r="DL377" i="23"/>
  <c r="DK377" i="23"/>
  <c r="DL378" i="23"/>
  <c r="DJ378" i="23"/>
  <c r="DI378" i="23"/>
  <c r="DK378" i="23"/>
  <c r="DN394" i="23"/>
  <c r="DO394" i="23"/>
  <c r="DP394" i="23"/>
  <c r="DQ394" i="23"/>
  <c r="DI415" i="23"/>
  <c r="DJ415" i="23"/>
  <c r="DL415" i="23"/>
  <c r="DK415" i="23"/>
  <c r="AD377" i="23"/>
  <c r="AE424" i="23"/>
  <c r="AE425" i="23"/>
  <c r="AD378" i="23"/>
  <c r="AE394" i="23"/>
  <c r="AF441" i="23"/>
  <c r="DH378" i="23"/>
  <c r="AL447" i="23"/>
  <c r="AK400" i="23"/>
  <c r="BN76" i="23"/>
  <c r="I294" i="60"/>
  <c r="V27" i="52"/>
  <c r="U26" i="52"/>
  <c r="L34" i="23"/>
  <c r="BJ23" i="23"/>
  <c r="BI44" i="23"/>
  <c r="BI40" i="23"/>
  <c r="BI83" i="23"/>
  <c r="BI85" i="23" s="1"/>
  <c r="BI81" i="23"/>
  <c r="BI663" i="23"/>
  <c r="AD6" i="52"/>
  <c r="AV9" i="30"/>
  <c r="AC20" i="52"/>
  <c r="AV22" i="30" s="1"/>
  <c r="AC13" i="52"/>
  <c r="AM71" i="25"/>
  <c r="AM68" i="25"/>
  <c r="AM72" i="25"/>
  <c r="AM70" i="25"/>
  <c r="AO65" i="25"/>
  <c r="AH559" i="23"/>
  <c r="U241" i="59"/>
  <c r="AA11" i="52"/>
  <c r="AA10" i="52"/>
  <c r="DF158" i="59"/>
  <c r="DH84" i="59"/>
  <c r="AM74" i="25"/>
  <c r="AM75" i="25"/>
  <c r="U34" i="59"/>
  <c r="DI33" i="59"/>
  <c r="AO66" i="25"/>
  <c r="AO67" i="25" s="1"/>
  <c r="AS20" i="30"/>
  <c r="AS25" i="30"/>
  <c r="AB23" i="52"/>
  <c r="AU16" i="30"/>
  <c r="AU19" i="30" s="1"/>
  <c r="AB17" i="52"/>
  <c r="AC16" i="52"/>
  <c r="V279" i="60" s="1"/>
  <c r="AB9" i="52"/>
  <c r="AB18" i="52"/>
  <c r="AP64" i="25"/>
  <c r="AT12" i="30"/>
  <c r="AT32" i="30"/>
  <c r="AS196" i="30"/>
  <c r="Y107" i="59" s="1"/>
  <c r="Y113" i="59" s="1"/>
  <c r="AS34" i="30"/>
  <c r="DE84" i="59"/>
  <c r="U83" i="59"/>
  <c r="AT17" i="30"/>
  <c r="Z91" i="59"/>
  <c r="AT18" i="30"/>
  <c r="AA24" i="52"/>
  <c r="AU10" i="30"/>
  <c r="AA39" i="59"/>
  <c r="AU11" i="30"/>
  <c r="AU23" i="30" s="1"/>
  <c r="Z232" i="59"/>
  <c r="Z40" i="59"/>
  <c r="Y323" i="59"/>
  <c r="Y93" i="59"/>
  <c r="Y92" i="59"/>
  <c r="AN69" i="25"/>
  <c r="AR29" i="30"/>
  <c r="AN73" i="25" s="1"/>
  <c r="DF146" i="59"/>
  <c r="AG23" i="95"/>
  <c r="C31" i="59"/>
  <c r="C36" i="59"/>
  <c r="D31" i="59"/>
  <c r="AJ72" i="20"/>
  <c r="AJ23" i="20" s="1"/>
  <c r="BN27" i="20"/>
  <c r="BN28" i="20" s="1"/>
  <c r="AN159" i="20"/>
  <c r="W110" i="73"/>
  <c r="AL70" i="20"/>
  <c r="AK71" i="20"/>
  <c r="AK72" i="20" s="1"/>
  <c r="AK23" i="20" s="1"/>
  <c r="P30" i="20"/>
  <c r="O117" i="20"/>
  <c r="BN117" i="20" s="1"/>
  <c r="Z143" i="30"/>
  <c r="O30" i="20"/>
  <c r="O35" i="20"/>
  <c r="CC115" i="20"/>
  <c r="CC27" i="20"/>
  <c r="CC28" i="20" s="1"/>
  <c r="D6" i="38"/>
  <c r="C15" i="59"/>
  <c r="Z104" i="30"/>
  <c r="AA104" i="30"/>
  <c r="AH75" i="20"/>
  <c r="CY172" i="85"/>
  <c r="CX172" i="85"/>
  <c r="CX176" i="85"/>
  <c r="CX178" i="85" s="1"/>
  <c r="BX34" i="85"/>
  <c r="W17" i="85"/>
  <c r="X17" i="85" s="1"/>
  <c r="Y17" i="85" s="1"/>
  <c r="Z17" i="85" s="1"/>
  <c r="BY25" i="73"/>
  <c r="DE132" i="59"/>
  <c r="DE145" i="59"/>
  <c r="DE146" i="59" s="1"/>
  <c r="DE292" i="59"/>
  <c r="DE177" i="59"/>
  <c r="DE179" i="59" s="1"/>
  <c r="DE181" i="59" s="1"/>
  <c r="DE151" i="59"/>
  <c r="DE150" i="59"/>
  <c r="DE157" i="59"/>
  <c r="AG73" i="23"/>
  <c r="AH72" i="23"/>
  <c r="DG146" i="59"/>
  <c r="DG167" i="59"/>
  <c r="DB292" i="59"/>
  <c r="CV11" i="85"/>
  <c r="CV105" i="85" s="1"/>
  <c r="DA92" i="85"/>
  <c r="DA11" i="85" s="1"/>
  <c r="CW11" i="85"/>
  <c r="CW12" i="85" s="1"/>
  <c r="DB92" i="85"/>
  <c r="DB11" i="85" s="1"/>
  <c r="CY11" i="85"/>
  <c r="CY18" i="85" s="1"/>
  <c r="DD92" i="85"/>
  <c r="DD11" i="85" s="1"/>
  <c r="DF97" i="30"/>
  <c r="BD122" i="59"/>
  <c r="DF125" i="30"/>
  <c r="DG95" i="30"/>
  <c r="AZ122" i="59"/>
  <c r="BA122" i="59" s="1"/>
  <c r="DB96" i="30"/>
  <c r="DB97" i="30"/>
  <c r="DB98" i="30" s="1"/>
  <c r="CR104" i="30"/>
  <c r="CS103" i="30"/>
  <c r="AP15" i="59"/>
  <c r="CS127" i="30"/>
  <c r="CR130" i="30"/>
  <c r="AP149" i="59"/>
  <c r="AQ149" i="59" s="1"/>
  <c r="CR128" i="30"/>
  <c r="CW126" i="30"/>
  <c r="CW132" i="30"/>
  <c r="CW127" i="30"/>
  <c r="CX127" i="30" s="1"/>
  <c r="AO151" i="59"/>
  <c r="AO157" i="59"/>
  <c r="AY125" i="59"/>
  <c r="AY123" i="59"/>
  <c r="CV140" i="30"/>
  <c r="CV130" i="30"/>
  <c r="CV128" i="30"/>
  <c r="AT149" i="59"/>
  <c r="CQ141" i="30"/>
  <c r="CQ142" i="30"/>
  <c r="AO59" i="59"/>
  <c r="AT126" i="59"/>
  <c r="AT131" i="59"/>
  <c r="AO145" i="59"/>
  <c r="AQ145" i="59" s="1"/>
  <c r="AQ131" i="59"/>
  <c r="AU125" i="59"/>
  <c r="AU123" i="59"/>
  <c r="AV123" i="59" s="1"/>
  <c r="AT15" i="59"/>
  <c r="CV104" i="30"/>
  <c r="DC95" i="30"/>
  <c r="CX97" i="30"/>
  <c r="CW98" i="30"/>
  <c r="CW103" i="30"/>
  <c r="CX103" i="30" s="1"/>
  <c r="DH123" i="30"/>
  <c r="DG124" i="30"/>
  <c r="DG131" i="30"/>
  <c r="BE124" i="59"/>
  <c r="BJ124" i="59"/>
  <c r="DC97" i="30"/>
  <c r="DA103" i="30"/>
  <c r="DA98" i="30"/>
  <c r="DB125" i="30"/>
  <c r="DA126" i="30"/>
  <c r="DA127" i="30"/>
  <c r="CX125" i="30"/>
  <c r="S224" i="59"/>
  <c r="CY224" i="59" s="1"/>
  <c r="BO25" i="73"/>
  <c r="BO24" i="73" s="1"/>
  <c r="BW14" i="73"/>
  <c r="BW15" i="73"/>
  <c r="G227" i="59"/>
  <c r="G258" i="59" s="1"/>
  <c r="AR21" i="31"/>
  <c r="AW21" i="31" s="1"/>
  <c r="AQ21" i="31"/>
  <c r="AV21" i="31" s="1"/>
  <c r="M47" i="95"/>
  <c r="DB151" i="59"/>
  <c r="DB157" i="59"/>
  <c r="DB312" i="59"/>
  <c r="DB147" i="59" s="1"/>
  <c r="DB150" i="59"/>
  <c r="DB326" i="59"/>
  <c r="CY162" i="85"/>
  <c r="CY176" i="85"/>
  <c r="CY178" i="85" s="1"/>
  <c r="DA294" i="59"/>
  <c r="DA295" i="59" s="1"/>
  <c r="ED109" i="30"/>
  <c r="ED110" i="30" s="1"/>
  <c r="ED104" i="30"/>
  <c r="CW105" i="85"/>
  <c r="CW24" i="85"/>
  <c r="CF6" i="23"/>
  <c r="CA6" i="23"/>
  <c r="BW306" i="59"/>
  <c r="BW60" i="59"/>
  <c r="BW61" i="59"/>
  <c r="M18" i="59"/>
  <c r="CM23" i="85"/>
  <c r="CM25" i="85" s="1"/>
  <c r="CM26" i="85" s="1"/>
  <c r="CM14" i="85"/>
  <c r="CQ223" i="59"/>
  <c r="CQ226" i="59" s="1"/>
  <c r="CQ228" i="59" s="1"/>
  <c r="CM71" i="85"/>
  <c r="CM72" i="85" s="1"/>
  <c r="CM20" i="85"/>
  <c r="CQ18" i="59"/>
  <c r="CH28" i="85"/>
  <c r="CH21" i="85"/>
  <c r="CG16" i="59"/>
  <c r="EI103" i="30"/>
  <c r="CG231" i="59"/>
  <c r="CG236" i="59" s="1"/>
  <c r="CG238" i="59" s="1"/>
  <c r="DJ82" i="25"/>
  <c r="DJ86" i="25" s="1"/>
  <c r="CA10" i="23" s="1"/>
  <c r="CA13" i="23" s="1"/>
  <c r="DJ38" i="25"/>
  <c r="CG243" i="59"/>
  <c r="CG244" i="59" s="1"/>
  <c r="CG246" i="59" s="1"/>
  <c r="CG226" i="59"/>
  <c r="CG228" i="59" s="1"/>
  <c r="CR95" i="85"/>
  <c r="CR96" i="85" s="1"/>
  <c r="CR12" i="85"/>
  <c r="CR105" i="85"/>
  <c r="CR18" i="85"/>
  <c r="CR13" i="85"/>
  <c r="CL223" i="59"/>
  <c r="CL15" i="59"/>
  <c r="CL19" i="59"/>
  <c r="DT142" i="30"/>
  <c r="DT141" i="30"/>
  <c r="DT147" i="30"/>
  <c r="DT148" i="30" s="1"/>
  <c r="CC29" i="85"/>
  <c r="CG63" i="59"/>
  <c r="CB59" i="59"/>
  <c r="CB65" i="59"/>
  <c r="CB64" i="59"/>
  <c r="CS81" i="59"/>
  <c r="G64" i="38"/>
  <c r="G80" i="38" s="1"/>
  <c r="T33" i="33"/>
  <c r="T34" i="33" s="1"/>
  <c r="CI244" i="59"/>
  <c r="CI246" i="59" s="1"/>
  <c r="CY33" i="59"/>
  <c r="G27" i="59"/>
  <c r="G45" i="59" s="1"/>
  <c r="R234" i="59"/>
  <c r="Y12" i="20"/>
  <c r="J13" i="59"/>
  <c r="AG243" i="30"/>
  <c r="I13" i="59"/>
  <c r="BY33" i="85"/>
  <c r="AC100" i="31"/>
  <c r="AB102" i="31"/>
  <c r="S133" i="31"/>
  <c r="T134" i="31"/>
  <c r="R135" i="31"/>
  <c r="R112" i="31" s="1"/>
  <c r="R113" i="31" s="1"/>
  <c r="R114" i="31" s="1"/>
  <c r="R107" i="31"/>
  <c r="R108" i="31" s="1"/>
  <c r="R109" i="31" s="1"/>
  <c r="R128" i="31"/>
  <c r="R129" i="31" s="1"/>
  <c r="R130" i="31" s="1"/>
  <c r="W127" i="31"/>
  <c r="CZ328" i="59"/>
  <c r="AD233" i="59"/>
  <c r="K23" i="95"/>
  <c r="CZ179" i="59"/>
  <c r="CZ181" i="59" s="1"/>
  <c r="DA179" i="59"/>
  <c r="DA181" i="59" s="1"/>
  <c r="DB179" i="59"/>
  <c r="DB181" i="59" s="1"/>
  <c r="DG182" i="59" s="1"/>
  <c r="X133" i="20"/>
  <c r="X145" i="20" s="1"/>
  <c r="J245" i="59"/>
  <c r="BU245" i="59" s="1"/>
  <c r="T241" i="59"/>
  <c r="DD241" i="59" s="1"/>
  <c r="AS100" i="59"/>
  <c r="AS211" i="59"/>
  <c r="AS101" i="59"/>
  <c r="BC45" i="59"/>
  <c r="BH28" i="59"/>
  <c r="BC28" i="59"/>
  <c r="AX76" i="59"/>
  <c r="AX77" i="59"/>
  <c r="AX210" i="59"/>
  <c r="AX46" i="59"/>
  <c r="BC61" i="59"/>
  <c r="BC60" i="59"/>
  <c r="BC75" i="59"/>
  <c r="BH60" i="59"/>
  <c r="BC165" i="59"/>
  <c r="BC158" i="59"/>
  <c r="BH158" i="59"/>
  <c r="BC159" i="59"/>
  <c r="BH146" i="59"/>
  <c r="BC146" i="59"/>
  <c r="G16" i="59"/>
  <c r="AX166" i="59"/>
  <c r="AX167" i="59"/>
  <c r="AH112" i="23"/>
  <c r="AH175" i="23"/>
  <c r="AH294" i="23" s="1"/>
  <c r="AH133" i="23"/>
  <c r="E41" i="73"/>
  <c r="E42" i="73"/>
  <c r="H4" i="38"/>
  <c r="H42" i="38" s="1"/>
  <c r="H9" i="38"/>
  <c r="H11" i="38" s="1"/>
  <c r="E210" i="59"/>
  <c r="E46" i="59"/>
  <c r="T23" i="31"/>
  <c r="S24" i="31"/>
  <c r="S31" i="31"/>
  <c r="S33" i="31" s="1"/>
  <c r="S89" i="31"/>
  <c r="F40" i="73"/>
  <c r="F39" i="73" s="1"/>
  <c r="DM90" i="30"/>
  <c r="DQ91" i="30"/>
  <c r="R34" i="31"/>
  <c r="D210" i="59"/>
  <c r="BK8" i="59"/>
  <c r="BJ12" i="59"/>
  <c r="BK12" i="59" s="1"/>
  <c r="BJ9" i="59"/>
  <c r="R25" i="31"/>
  <c r="R90" i="31"/>
  <c r="E30" i="73"/>
  <c r="E31" i="73" s="1"/>
  <c r="BE13" i="59"/>
  <c r="BE219" i="59"/>
  <c r="H13" i="59"/>
  <c r="H219" i="59"/>
  <c r="H227" i="59" s="1"/>
  <c r="F45" i="59"/>
  <c r="F28" i="59"/>
  <c r="G85" i="38"/>
  <c r="G91" i="38"/>
  <c r="G47" i="38"/>
  <c r="CW176" i="85"/>
  <c r="CW178" i="85" s="1"/>
  <c r="CW172" i="85"/>
  <c r="CJ121" i="59"/>
  <c r="M296" i="59"/>
  <c r="M297" i="59" s="1"/>
  <c r="AJ93" i="30"/>
  <c r="M124" i="59"/>
  <c r="O121" i="59"/>
  <c r="T64" i="33"/>
  <c r="T59" i="33"/>
  <c r="V45" i="33"/>
  <c r="CE122" i="59"/>
  <c r="L125" i="59"/>
  <c r="G54" i="73"/>
  <c r="J35" i="73"/>
  <c r="J36" i="73" s="1"/>
  <c r="EK95" i="30"/>
  <c r="EK96" i="30" s="1"/>
  <c r="CI125" i="59"/>
  <c r="M122" i="59"/>
  <c r="U46" i="33"/>
  <c r="U52" i="33"/>
  <c r="AH235" i="30"/>
  <c r="AH242" i="30" s="1"/>
  <c r="U55" i="33"/>
  <c r="U58" i="33" s="1"/>
  <c r="U48" i="33"/>
  <c r="U49" i="33" s="1"/>
  <c r="AH95" i="30"/>
  <c r="Y20" i="31"/>
  <c r="BP28" i="31"/>
  <c r="F55" i="73"/>
  <c r="F56" i="73" s="1"/>
  <c r="F53" i="73" s="1"/>
  <c r="U101" i="33" s="1"/>
  <c r="U100" i="33" s="1"/>
  <c r="U102" i="33" s="1"/>
  <c r="U35" i="33" s="1"/>
  <c r="U36" i="33" s="1"/>
  <c r="U43" i="33" s="1"/>
  <c r="AG96" i="30"/>
  <c r="DW95" i="30"/>
  <c r="AG97" i="30"/>
  <c r="AG132" i="30"/>
  <c r="CN296" i="59"/>
  <c r="CN297" i="59" s="1"/>
  <c r="BK50" i="73" s="1"/>
  <c r="CS121" i="59"/>
  <c r="CN122" i="59"/>
  <c r="N121" i="59"/>
  <c r="EP93" i="30"/>
  <c r="EP94" i="30" s="1"/>
  <c r="X20" i="31"/>
  <c r="CU80" i="59"/>
  <c r="CU81" i="59"/>
  <c r="DZ21" i="20"/>
  <c r="DZ16" i="20"/>
  <c r="BX246" i="59"/>
  <c r="BZ244" i="59"/>
  <c r="K245" i="59"/>
  <c r="BZ245" i="59" s="1"/>
  <c r="Y98" i="85"/>
  <c r="X56" i="85"/>
  <c r="X57" i="85" s="1"/>
  <c r="CC244" i="59"/>
  <c r="CC246" i="59" s="1"/>
  <c r="S19" i="85"/>
  <c r="CK18" i="85"/>
  <c r="CC226" i="59"/>
  <c r="CC228" i="59" s="1"/>
  <c r="CH223" i="59"/>
  <c r="CH243" i="59" s="1"/>
  <c r="CH19" i="59"/>
  <c r="CT18" i="85"/>
  <c r="CT105" i="85"/>
  <c r="CT12" i="85"/>
  <c r="CT95" i="85"/>
  <c r="CT96" i="85" s="1"/>
  <c r="CT13" i="85"/>
  <c r="CT14" i="85" s="1"/>
  <c r="Y60" i="85"/>
  <c r="X77" i="85"/>
  <c r="X62" i="85"/>
  <c r="X50" i="85"/>
  <c r="X51" i="85" s="1"/>
  <c r="BY64" i="59"/>
  <c r="BY65" i="59"/>
  <c r="CC65" i="59"/>
  <c r="CC64" i="59"/>
  <c r="BA11" i="31"/>
  <c r="U11" i="31"/>
  <c r="AV9" i="31"/>
  <c r="CN19" i="59"/>
  <c r="CN223" i="59"/>
  <c r="CN243" i="59" s="1"/>
  <c r="AH91" i="30"/>
  <c r="K12" i="59"/>
  <c r="BT64" i="59"/>
  <c r="BO64" i="59"/>
  <c r="BO65" i="59"/>
  <c r="BS61" i="59"/>
  <c r="DU140" i="30"/>
  <c r="DK37" i="25"/>
  <c r="BS60" i="59"/>
  <c r="AS21" i="31"/>
  <c r="AS29" i="31" s="1"/>
  <c r="BD11" i="31"/>
  <c r="AY31" i="31"/>
  <c r="BY8" i="59"/>
  <c r="BZ8" i="59" s="1"/>
  <c r="K9" i="59"/>
  <c r="CE39" i="85"/>
  <c r="CJ24" i="85"/>
  <c r="CI23" i="85"/>
  <c r="CI25" i="85" s="1"/>
  <c r="CI26" i="85" s="1"/>
  <c r="CI14" i="85"/>
  <c r="CI71" i="85"/>
  <c r="CI72" i="85" s="1"/>
  <c r="CI20" i="85"/>
  <c r="CM18" i="59"/>
  <c r="CM15" i="59" s="1"/>
  <c r="BX65" i="59"/>
  <c r="BX64" i="59"/>
  <c r="BX59" i="59"/>
  <c r="CC306" i="59" s="1"/>
  <c r="CO20" i="85"/>
  <c r="CO21" i="85" s="1"/>
  <c r="CO71" i="85"/>
  <c r="CO72" i="85" s="1"/>
  <c r="CO14" i="85"/>
  <c r="CS223" i="59"/>
  <c r="CS18" i="59"/>
  <c r="U11" i="85"/>
  <c r="CX92" i="85"/>
  <c r="CF18" i="85"/>
  <c r="R19" i="85"/>
  <c r="CN24" i="85"/>
  <c r="CI39" i="85"/>
  <c r="BU8" i="59"/>
  <c r="DV86" i="30"/>
  <c r="BT12" i="59"/>
  <c r="BT9" i="59"/>
  <c r="L8" i="59"/>
  <c r="AI87" i="30"/>
  <c r="AI90" i="30"/>
  <c r="CY95" i="85"/>
  <c r="CY13" i="85"/>
  <c r="X58" i="25"/>
  <c r="X55" i="25"/>
  <c r="X56" i="25"/>
  <c r="X86" i="85"/>
  <c r="X101" i="85"/>
  <c r="Y84" i="85"/>
  <c r="AW9" i="31"/>
  <c r="BB11" i="31"/>
  <c r="BO219" i="59"/>
  <c r="BO15" i="59"/>
  <c r="DQ181" i="30"/>
  <c r="DQ182" i="30" s="1"/>
  <c r="DG60" i="25"/>
  <c r="DG59" i="25"/>
  <c r="CN18" i="85"/>
  <c r="T18" i="85" s="1"/>
  <c r="CN105" i="85"/>
  <c r="CN12" i="85"/>
  <c r="CN95" i="85"/>
  <c r="CN96" i="85" s="1"/>
  <c r="CN13" i="85"/>
  <c r="CD21" i="85"/>
  <c r="CD28" i="85"/>
  <c r="CF244" i="59"/>
  <c r="CF246" i="59" s="1"/>
  <c r="I23" i="23"/>
  <c r="I34" i="23" s="1"/>
  <c r="I77" i="23"/>
  <c r="I75" i="23"/>
  <c r="I76" i="23" s="1"/>
  <c r="Z137" i="23"/>
  <c r="Z134" i="23"/>
  <c r="Z148" i="23"/>
  <c r="Z131" i="23"/>
  <c r="K9" i="95"/>
  <c r="AE8" i="32"/>
  <c r="V265" i="59"/>
  <c r="L18" i="59"/>
  <c r="AI168" i="30"/>
  <c r="AI236" i="30"/>
  <c r="AI173" i="30"/>
  <c r="AI174" i="30" s="1"/>
  <c r="R31" i="59"/>
  <c r="S30" i="59"/>
  <c r="AB25" i="20"/>
  <c r="AA115" i="20"/>
  <c r="N44" i="95"/>
  <c r="K13" i="23"/>
  <c r="K7" i="23"/>
  <c r="BE10" i="23"/>
  <c r="Q26" i="85"/>
  <c r="AF195" i="30"/>
  <c r="DQ151" i="30"/>
  <c r="DQ199" i="30"/>
  <c r="BX20" i="23" s="1"/>
  <c r="CQ18" i="85"/>
  <c r="CQ12" i="85"/>
  <c r="CQ105" i="85"/>
  <c r="CQ95" i="85"/>
  <c r="CQ96" i="85" s="1"/>
  <c r="CS65" i="30"/>
  <c r="AA73" i="30"/>
  <c r="CS73" i="30" s="1"/>
  <c r="O223" i="60"/>
  <c r="CT79" i="59"/>
  <c r="Q81" i="59"/>
  <c r="Q80" i="59"/>
  <c r="AL143" i="30"/>
  <c r="X123" i="31"/>
  <c r="Y121" i="31"/>
  <c r="EH103" i="30"/>
  <c r="CF231" i="59"/>
  <c r="CF16" i="59"/>
  <c r="AM159" i="20"/>
  <c r="V110" i="73"/>
  <c r="DI38" i="25"/>
  <c r="DI82" i="25"/>
  <c r="DI86" i="25" s="1"/>
  <c r="BZ10" i="23" s="1"/>
  <c r="BZ13" i="23" s="1"/>
  <c r="CD31" i="85"/>
  <c r="AC53" i="25"/>
  <c r="CB31" i="85"/>
  <c r="CC31" i="85"/>
  <c r="CC33" i="85" s="1"/>
  <c r="AC46" i="85"/>
  <c r="R23" i="38"/>
  <c r="Q24" i="38"/>
  <c r="Q25" i="38" s="1"/>
  <c r="O37" i="95"/>
  <c r="O40" i="95"/>
  <c r="O43" i="95" s="1"/>
  <c r="CC236" i="59"/>
  <c r="CC238" i="59" s="1"/>
  <c r="DA43" i="25"/>
  <c r="DA41" i="25"/>
  <c r="DA42" i="25"/>
  <c r="CG21" i="85"/>
  <c r="P89" i="73"/>
  <c r="M7" i="95"/>
  <c r="CM172" i="85"/>
  <c r="CM176" i="85"/>
  <c r="CM178" i="85" s="1"/>
  <c r="CP11" i="85"/>
  <c r="T13" i="85"/>
  <c r="T95" i="85"/>
  <c r="T96" i="85" s="1"/>
  <c r="T105" i="85"/>
  <c r="T12" i="85"/>
  <c r="T92" i="85"/>
  <c r="T93" i="85" s="1"/>
  <c r="BK89" i="23"/>
  <c r="BK60" i="23"/>
  <c r="BK65" i="23" s="1"/>
  <c r="BK69" i="23" s="1"/>
  <c r="BK50" i="23"/>
  <c r="BK52" i="23" s="1"/>
  <c r="BK87" i="23"/>
  <c r="BK88" i="23" s="1"/>
  <c r="BK58" i="23"/>
  <c r="BK656" i="23"/>
  <c r="Y117" i="20"/>
  <c r="Y26" i="20"/>
  <c r="J191" i="60"/>
  <c r="F79" i="63" s="1"/>
  <c r="Y30" i="20"/>
  <c r="Y29" i="20"/>
  <c r="CW8" i="59"/>
  <c r="DB8" i="59" s="1"/>
  <c r="ET86" i="30"/>
  <c r="CR49" i="59"/>
  <c r="CR12" i="59"/>
  <c r="BH14" i="31"/>
  <c r="EO87" i="30"/>
  <c r="EO90" i="30"/>
  <c r="EO91" i="30" s="1"/>
  <c r="X27" i="20"/>
  <c r="X116" i="20"/>
  <c r="L8" i="95"/>
  <c r="CF24" i="85"/>
  <c r="R39" i="85"/>
  <c r="CW59" i="30"/>
  <c r="AB193" i="30"/>
  <c r="CX193" i="30" s="1"/>
  <c r="CW194" i="30"/>
  <c r="H307" i="60"/>
  <c r="D84" i="63" s="1"/>
  <c r="BV28" i="85"/>
  <c r="P33" i="85"/>
  <c r="P29" i="85"/>
  <c r="AA51" i="25"/>
  <c r="M82" i="73"/>
  <c r="M83" i="73" s="1"/>
  <c r="K612" i="23"/>
  <c r="K607" i="23"/>
  <c r="CP157" i="85"/>
  <c r="T165" i="85"/>
  <c r="EC109" i="30"/>
  <c r="EC110" i="30" s="1"/>
  <c r="EC104" i="30"/>
  <c r="Z54" i="25"/>
  <c r="AG169" i="30"/>
  <c r="Z52" i="25"/>
  <c r="DM51" i="25"/>
  <c r="DU197" i="30"/>
  <c r="DT197" i="30"/>
  <c r="DS197" i="30"/>
  <c r="BV61" i="59"/>
  <c r="BV306" i="59"/>
  <c r="BV60" i="59"/>
  <c r="DO144" i="30"/>
  <c r="DO147" i="30"/>
  <c r="DT144" i="30"/>
  <c r="CW71" i="30"/>
  <c r="CM16" i="25" s="1"/>
  <c r="CM12" i="25"/>
  <c r="FA108" i="30"/>
  <c r="N46" i="95"/>
  <c r="N38" i="95"/>
  <c r="AL386" i="23"/>
  <c r="AM433" i="23"/>
  <c r="E200" i="59"/>
  <c r="F199" i="59"/>
  <c r="AM442" i="23"/>
  <c r="AL395" i="23"/>
  <c r="X72" i="30"/>
  <c r="I26" i="25"/>
  <c r="CN64" i="30"/>
  <c r="BN79" i="23"/>
  <c r="BN78" i="23"/>
  <c r="AG106" i="31"/>
  <c r="CV18" i="85"/>
  <c r="BW5" i="23"/>
  <c r="DF80" i="25"/>
  <c r="DK80" i="25"/>
  <c r="DS142" i="30"/>
  <c r="DS141" i="30"/>
  <c r="DS147" i="30"/>
  <c r="AC50" i="25"/>
  <c r="AE49" i="25"/>
  <c r="AJ167" i="30"/>
  <c r="BM669" i="23"/>
  <c r="BM667" i="23" s="1"/>
  <c r="BM666" i="23" s="1"/>
  <c r="BL667" i="23"/>
  <c r="BL666" i="23" s="1"/>
  <c r="BL656" i="23" s="1"/>
  <c r="W145" i="20"/>
  <c r="W151" i="20" s="1"/>
  <c r="W139" i="20"/>
  <c r="AH174" i="30"/>
  <c r="CK223" i="59"/>
  <c r="CK19" i="59"/>
  <c r="CK15" i="59"/>
  <c r="Q85" i="73"/>
  <c r="Q88" i="73"/>
  <c r="Q87" i="73"/>
  <c r="Q92" i="73"/>
  <c r="BK85" i="23"/>
  <c r="BK84" i="23"/>
  <c r="T34" i="59"/>
  <c r="V34" i="59" s="1"/>
  <c r="W34" i="59" s="1"/>
  <c r="X34" i="59" s="1"/>
  <c r="Y34" i="59" s="1"/>
  <c r="Z34" i="59" s="1"/>
  <c r="AA34" i="59" s="1"/>
  <c r="AB34" i="59" s="1"/>
  <c r="AC34" i="59" s="1"/>
  <c r="AD34" i="59" s="1"/>
  <c r="AE34" i="59" s="1"/>
  <c r="AN108" i="30"/>
  <c r="DD33" i="59"/>
  <c r="BL82" i="23"/>
  <c r="BQ82" i="23"/>
  <c r="BC42" i="31"/>
  <c r="BC43" i="31" s="1"/>
  <c r="CM55" i="59"/>
  <c r="CM319" i="59" s="1"/>
  <c r="CM50" i="59"/>
  <c r="AI597" i="23"/>
  <c r="AJ601" i="23" s="1"/>
  <c r="AJ605" i="23" s="1"/>
  <c r="AI606" i="23"/>
  <c r="CT61" i="30"/>
  <c r="CT65" i="30"/>
  <c r="CT73" i="30" s="1"/>
  <c r="CT80" i="30" s="1"/>
  <c r="CL24" i="85"/>
  <c r="S24" i="85"/>
  <c r="CG39" i="85"/>
  <c r="CO176" i="85"/>
  <c r="CO178" i="85" s="1"/>
  <c r="CO172" i="85"/>
  <c r="CZ158" i="59"/>
  <c r="CZ159" i="59"/>
  <c r="CZ166" i="59"/>
  <c r="CZ314" i="59"/>
  <c r="CZ165" i="59"/>
  <c r="AW218" i="30"/>
  <c r="AX31" i="30"/>
  <c r="CE6" i="23"/>
  <c r="BZ6" i="23"/>
  <c r="CN30" i="59"/>
  <c r="CS31" i="59" s="1"/>
  <c r="P31" i="59"/>
  <c r="P36" i="59"/>
  <c r="CB28" i="85"/>
  <c r="BM85" i="23"/>
  <c r="BM84" i="23"/>
  <c r="BM58" i="23"/>
  <c r="BM87" i="23"/>
  <c r="BM88" i="23" s="1"/>
  <c r="BM89" i="23"/>
  <c r="BM50" i="23"/>
  <c r="BM52" i="23" s="1"/>
  <c r="BM60" i="23"/>
  <c r="BM65" i="23" s="1"/>
  <c r="BM69" i="23" s="1"/>
  <c r="AL105" i="30"/>
  <c r="AA16" i="20"/>
  <c r="AA80" i="20"/>
  <c r="AA21" i="20"/>
  <c r="AA113" i="20"/>
  <c r="CA236" i="59"/>
  <c r="CA238" i="59" s="1"/>
  <c r="AB111" i="31"/>
  <c r="BI194" i="59"/>
  <c r="DA86" i="25"/>
  <c r="O34" i="85"/>
  <c r="G306" i="60"/>
  <c r="O35" i="85"/>
  <c r="BQ33" i="85"/>
  <c r="AK144" i="30"/>
  <c r="Z28" i="20"/>
  <c r="W153" i="23"/>
  <c r="W154" i="23" s="1"/>
  <c r="H80" i="63"/>
  <c r="L369" i="60"/>
  <c r="BM665" i="23"/>
  <c r="BN664" i="23"/>
  <c r="CL85" i="25"/>
  <c r="CM85" i="25"/>
  <c r="E7" i="53"/>
  <c r="E8" i="53" s="1"/>
  <c r="E197" i="59"/>
  <c r="CK85" i="25"/>
  <c r="CJ85" i="25"/>
  <c r="AA64" i="30"/>
  <c r="CS59" i="30"/>
  <c r="AI73" i="32"/>
  <c r="AH79" i="32"/>
  <c r="AH80" i="32" s="1"/>
  <c r="BN81" i="23"/>
  <c r="BN82" i="23" s="1"/>
  <c r="BN40" i="23"/>
  <c r="BN83" i="23"/>
  <c r="BN663" i="23"/>
  <c r="BN44" i="23"/>
  <c r="BR669" i="23"/>
  <c r="BR667" i="23" s="1"/>
  <c r="BQ667" i="23"/>
  <c r="Y137" i="20"/>
  <c r="Y148" i="20"/>
  <c r="Y154" i="20" s="1"/>
  <c r="Y142" i="20"/>
  <c r="CS194" i="30"/>
  <c r="AA198" i="30"/>
  <c r="Z146" i="20"/>
  <c r="Y134" i="20"/>
  <c r="Y140" i="20" s="1"/>
  <c r="M370" i="60"/>
  <c r="AM146" i="30"/>
  <c r="R84" i="59"/>
  <c r="S83" i="59"/>
  <c r="CY83" i="59" s="1"/>
  <c r="R85" i="59"/>
  <c r="Z147" i="20"/>
  <c r="Y135" i="20"/>
  <c r="Y141" i="20" s="1"/>
  <c r="CF20" i="85"/>
  <c r="R21" i="85"/>
  <c r="CH231" i="59"/>
  <c r="CH16" i="59"/>
  <c r="EJ103" i="30"/>
  <c r="DA80" i="25"/>
  <c r="BR5" i="23"/>
  <c r="BI191" i="59"/>
  <c r="DB79" i="25"/>
  <c r="DC79" i="25" s="1"/>
  <c r="P54" i="38"/>
  <c r="P76" i="38"/>
  <c r="P26" i="38"/>
  <c r="P12" i="95"/>
  <c r="P13" i="95" s="1"/>
  <c r="P15" i="95" s="1"/>
  <c r="P6" i="95"/>
  <c r="Q4" i="95"/>
  <c r="P34" i="95"/>
  <c r="EE104" i="30"/>
  <c r="EE109" i="30"/>
  <c r="EE110" i="30" s="1"/>
  <c r="G158" i="59"/>
  <c r="G159" i="59"/>
  <c r="G165" i="59"/>
  <c r="H158" i="59"/>
  <c r="DZ197" i="30"/>
  <c r="DZ195" i="30" s="1"/>
  <c r="DZ199" i="30" s="1"/>
  <c r="CG20" i="23" s="1"/>
  <c r="CG21" i="23" s="1"/>
  <c r="CG23" i="23" s="1"/>
  <c r="DX197" i="30"/>
  <c r="DX195" i="30" s="1"/>
  <c r="DY197" i="30"/>
  <c r="DY195" i="30" s="1"/>
  <c r="DY199" i="30" s="1"/>
  <c r="CF20" i="23" s="1"/>
  <c r="CF21" i="23" s="1"/>
  <c r="CF23" i="23" s="1"/>
  <c r="EA197" i="30"/>
  <c r="EA195" i="30" s="1"/>
  <c r="EA199" i="30" s="1"/>
  <c r="CH20" i="23" s="1"/>
  <c r="CH21" i="23" s="1"/>
  <c r="CH23" i="23" s="1"/>
  <c r="AI382" i="23"/>
  <c r="AJ429" i="23"/>
  <c r="U172" i="85"/>
  <c r="U176" i="85"/>
  <c r="CU170" i="85"/>
  <c r="AD74" i="85"/>
  <c r="H665" i="23"/>
  <c r="H666" i="23" s="1"/>
  <c r="H667" i="23" s="1"/>
  <c r="H669" i="23" s="1"/>
  <c r="H670" i="23"/>
  <c r="H671" i="23"/>
  <c r="CC61" i="59"/>
  <c r="T83" i="59"/>
  <c r="DC84" i="59"/>
  <c r="DC224" i="59"/>
  <c r="T224" i="59" s="1"/>
  <c r="DD224" i="59" s="1"/>
  <c r="BW35" i="85"/>
  <c r="BW34" i="85"/>
  <c r="BL84" i="23"/>
  <c r="BL85" i="23"/>
  <c r="BQ84" i="23"/>
  <c r="CM13" i="59"/>
  <c r="CM219" i="59"/>
  <c r="CS176" i="85"/>
  <c r="CS178" i="85" s="1"/>
  <c r="CS172" i="85"/>
  <c r="CT71" i="30"/>
  <c r="CJ12" i="25"/>
  <c r="CX63" i="30"/>
  <c r="I63" i="59"/>
  <c r="AF170" i="30"/>
  <c r="CZ293" i="59"/>
  <c r="CJ26" i="25"/>
  <c r="CT72" i="30"/>
  <c r="AK106" i="30"/>
  <c r="Z136" i="20"/>
  <c r="Z19" i="20"/>
  <c r="Z11" i="20"/>
  <c r="DP147" i="30"/>
  <c r="DP144" i="30"/>
  <c r="DU144" i="30"/>
  <c r="CH18" i="25"/>
  <c r="CI16" i="25"/>
  <c r="T38" i="33"/>
  <c r="T39" i="33" s="1"/>
  <c r="U41" i="33"/>
  <c r="L17" i="95"/>
  <c r="L20" i="95"/>
  <c r="P81" i="59"/>
  <c r="P80" i="59"/>
  <c r="K19" i="59"/>
  <c r="BZ18" i="59"/>
  <c r="N188" i="60"/>
  <c r="V266" i="59"/>
  <c r="K21" i="95"/>
  <c r="DV144" i="30"/>
  <c r="DQ144" i="30"/>
  <c r="S92" i="25"/>
  <c r="BZ25" i="85"/>
  <c r="BZ38" i="85"/>
  <c r="CE38" i="85" s="1"/>
  <c r="AB53" i="95"/>
  <c r="I54" i="95"/>
  <c r="S71" i="85"/>
  <c r="S72" i="85" s="1"/>
  <c r="AD49" i="25"/>
  <c r="S20" i="85"/>
  <c r="S14" i="85"/>
  <c r="S31" i="85" s="1"/>
  <c r="CK13" i="85"/>
  <c r="CX80" i="59"/>
  <c r="R79" i="59"/>
  <c r="CF226" i="59"/>
  <c r="CF228" i="59" s="1"/>
  <c r="AI105" i="23"/>
  <c r="CH290" i="59"/>
  <c r="CH291" i="59" s="1"/>
  <c r="DA46" i="25"/>
  <c r="DA45" i="25"/>
  <c r="CG25" i="85"/>
  <c r="CG26" i="85" s="1"/>
  <c r="DH28" i="20"/>
  <c r="DD117" i="20"/>
  <c r="DD30" i="20"/>
  <c r="DN143" i="30"/>
  <c r="DD29" i="20"/>
  <c r="H50" i="23"/>
  <c r="H52" i="23" s="1"/>
  <c r="H60" i="23"/>
  <c r="H65" i="23" s="1"/>
  <c r="H69" i="23" s="1"/>
  <c r="H93" i="23" s="1"/>
  <c r="H95" i="23" s="1"/>
  <c r="H87" i="23"/>
  <c r="H89" i="23"/>
  <c r="H91" i="23" s="1"/>
  <c r="CP18" i="59"/>
  <c r="CP223" i="59"/>
  <c r="CL14" i="85"/>
  <c r="CL20" i="85"/>
  <c r="CL71" i="85"/>
  <c r="CL72" i="85" s="1"/>
  <c r="CL23" i="85"/>
  <c r="AK423" i="23"/>
  <c r="AJ376" i="23"/>
  <c r="Q28" i="85"/>
  <c r="CT176" i="85"/>
  <c r="CT178" i="85" s="1"/>
  <c r="CT172" i="85"/>
  <c r="BL58" i="23"/>
  <c r="BL87" i="23"/>
  <c r="BL60" i="23"/>
  <c r="BL65" i="23" s="1"/>
  <c r="BL69" i="23" s="1"/>
  <c r="BL89" i="23"/>
  <c r="BL50" i="23"/>
  <c r="BL52" i="23" s="1"/>
  <c r="BC15" i="31"/>
  <c r="BC16" i="31"/>
  <c r="BC9" i="31"/>
  <c r="Y56" i="25"/>
  <c r="Y58" i="25"/>
  <c r="DH54" i="25"/>
  <c r="Y55" i="25"/>
  <c r="AF176" i="30"/>
  <c r="P95" i="73"/>
  <c r="M19" i="95"/>
  <c r="DB159" i="59"/>
  <c r="U269" i="59"/>
  <c r="DA328" i="59"/>
  <c r="DA159" i="59"/>
  <c r="DA314" i="59"/>
  <c r="DA166" i="59"/>
  <c r="DA158" i="59"/>
  <c r="DA165" i="59"/>
  <c r="U268" i="59"/>
  <c r="DI273" i="59"/>
  <c r="U267" i="59"/>
  <c r="CT30" i="59"/>
  <c r="DX18" i="20"/>
  <c r="EU105" i="30"/>
  <c r="CS234" i="59"/>
  <c r="Q234" i="59" s="1"/>
  <c r="AB97" i="33"/>
  <c r="AC96" i="33"/>
  <c r="CH305" i="59"/>
  <c r="CH57" i="59"/>
  <c r="CH56" i="59"/>
  <c r="CN172" i="85"/>
  <c r="CN176" i="85"/>
  <c r="CN178" i="85" s="1"/>
  <c r="DL124" i="30"/>
  <c r="DQ124" i="30"/>
  <c r="DL131" i="30"/>
  <c r="AE123" i="30"/>
  <c r="BM31" i="31"/>
  <c r="BT25" i="73"/>
  <c r="CJ240" i="59" l="1"/>
  <c r="CZ161" i="85"/>
  <c r="EE21" i="20"/>
  <c r="Q39" i="52"/>
  <c r="P29" i="52"/>
  <c r="P31" i="52" s="1"/>
  <c r="H278" i="60"/>
  <c r="O32" i="52"/>
  <c r="V402" i="60"/>
  <c r="U404" i="60"/>
  <c r="J224" i="60"/>
  <c r="I226" i="60"/>
  <c r="O68" i="53"/>
  <c r="N58" i="53"/>
  <c r="K216" i="60"/>
  <c r="J220" i="60"/>
  <c r="W394" i="60"/>
  <c r="V398" i="60"/>
  <c r="AJ384" i="23"/>
  <c r="AK431" i="23"/>
  <c r="DM398" i="23"/>
  <c r="Z21" i="38"/>
  <c r="AA19" i="38"/>
  <c r="Z45" i="38"/>
  <c r="AA5" i="38"/>
  <c r="AB22" i="38"/>
  <c r="Q39" i="31"/>
  <c r="P40" i="31"/>
  <c r="P42" i="31"/>
  <c r="AC120" i="30"/>
  <c r="F49" i="59"/>
  <c r="AC114" i="30"/>
  <c r="AC116" i="30"/>
  <c r="DB113" i="30"/>
  <c r="DC113" i="30" s="1"/>
  <c r="D51" i="59"/>
  <c r="D50" i="59"/>
  <c r="E51" i="59"/>
  <c r="E50" i="59"/>
  <c r="E55" i="59"/>
  <c r="AB117" i="30"/>
  <c r="AB119" i="30"/>
  <c r="Y120" i="30"/>
  <c r="B49" i="59"/>
  <c r="Y116" i="30"/>
  <c r="Y114" i="30"/>
  <c r="B50" i="59" s="1"/>
  <c r="Z114" i="30"/>
  <c r="CS113" i="30"/>
  <c r="AP49" i="59"/>
  <c r="AP51" i="59" s="1"/>
  <c r="CR120" i="30"/>
  <c r="CR114" i="30"/>
  <c r="CR116" i="30"/>
  <c r="T140" i="30"/>
  <c r="T119" i="30"/>
  <c r="T117" i="30"/>
  <c r="U117" i="30"/>
  <c r="CM140" i="30"/>
  <c r="CN140" i="30" s="1"/>
  <c r="CM119" i="30"/>
  <c r="CN116" i="30"/>
  <c r="M58" i="31"/>
  <c r="B72" i="60"/>
  <c r="CC116" i="30"/>
  <c r="CM117" i="30" s="1"/>
  <c r="CC114" i="30"/>
  <c r="CC120" i="30"/>
  <c r="CH114" i="30"/>
  <c r="X141" i="30"/>
  <c r="X142" i="30"/>
  <c r="N55" i="31"/>
  <c r="N57" i="31" s="1"/>
  <c r="N50" i="31"/>
  <c r="C57" i="59"/>
  <c r="D55" i="59"/>
  <c r="AA119" i="30"/>
  <c r="AA140" i="30"/>
  <c r="AA117" i="30"/>
  <c r="CW114" i="30"/>
  <c r="CW116" i="30"/>
  <c r="CW140" i="30" s="1"/>
  <c r="CW120" i="30"/>
  <c r="AU49" i="59"/>
  <c r="AV49" i="59" s="1"/>
  <c r="O49" i="31"/>
  <c r="AD113" i="30"/>
  <c r="D73" i="60"/>
  <c r="O44" i="31"/>
  <c r="O43" i="31"/>
  <c r="CA65" i="59"/>
  <c r="CA59" i="59"/>
  <c r="CA60" i="59" s="1"/>
  <c r="J33" i="73"/>
  <c r="AF50" i="95"/>
  <c r="AF53" i="95" s="1"/>
  <c r="BW12" i="73"/>
  <c r="DH278" i="59"/>
  <c r="DH279" i="59" s="1"/>
  <c r="DD143" i="85"/>
  <c r="DD152" i="85" s="1"/>
  <c r="DD138" i="85"/>
  <c r="AR29" i="31"/>
  <c r="DG293" i="59"/>
  <c r="FF108" i="30"/>
  <c r="DI267" i="59"/>
  <c r="DB154" i="85"/>
  <c r="DB153" i="85"/>
  <c r="DC140" i="85"/>
  <c r="DC152" i="85"/>
  <c r="V171" i="85"/>
  <c r="V172" i="85"/>
  <c r="DR197" i="30"/>
  <c r="DC141" i="85"/>
  <c r="Z113" i="85"/>
  <c r="Z149" i="85" s="1"/>
  <c r="Z150" i="85" s="1"/>
  <c r="AA111" i="85"/>
  <c r="P102" i="73"/>
  <c r="DC159" i="85"/>
  <c r="DC157" i="85"/>
  <c r="DC160" i="85"/>
  <c r="DC174" i="85"/>
  <c r="DC158" i="85"/>
  <c r="DC144" i="85"/>
  <c r="X125" i="85"/>
  <c r="X137" i="85"/>
  <c r="BM34" i="85"/>
  <c r="BM35" i="85"/>
  <c r="BR34" i="85"/>
  <c r="DA176" i="85"/>
  <c r="DA178" i="85" s="1"/>
  <c r="DA172" i="85"/>
  <c r="DB161" i="85"/>
  <c r="DB170" i="85" s="1"/>
  <c r="Y114" i="85"/>
  <c r="Y119" i="85"/>
  <c r="Y120" i="85"/>
  <c r="Y131" i="85" s="1"/>
  <c r="Y132" i="85" s="1"/>
  <c r="CZ170" i="85"/>
  <c r="CW13" i="85"/>
  <c r="DA18" i="59" s="1"/>
  <c r="CW18" i="85"/>
  <c r="CV13" i="85"/>
  <c r="CZ18" i="59" s="1"/>
  <c r="CZ15" i="59" s="1"/>
  <c r="CV95" i="85"/>
  <c r="CV96" i="85" s="1"/>
  <c r="CY105" i="85"/>
  <c r="CV12" i="85"/>
  <c r="AQ29" i="31"/>
  <c r="CY12" i="85"/>
  <c r="AJ122" i="20"/>
  <c r="DN11" i="20"/>
  <c r="DO16" i="20"/>
  <c r="DP11" i="20"/>
  <c r="DP12" i="20" s="1"/>
  <c r="DP19" i="20"/>
  <c r="CO235" i="59"/>
  <c r="DQ11" i="20"/>
  <c r="DQ12" i="20" s="1"/>
  <c r="DQ19" i="20"/>
  <c r="EB17" i="20"/>
  <c r="CR235" i="59"/>
  <c r="CR240" i="59" s="1"/>
  <c r="DW16" i="20"/>
  <c r="DZ20" i="20"/>
  <c r="CP235" i="59"/>
  <c r="CP240" i="59" s="1"/>
  <c r="DU16" i="20"/>
  <c r="DT17" i="20"/>
  <c r="CE235" i="59"/>
  <c r="EA17" i="20"/>
  <c r="CQ235" i="59"/>
  <c r="CQ240" i="59" s="1"/>
  <c r="DV16" i="20"/>
  <c r="DR11" i="20"/>
  <c r="DR12" i="20" s="1"/>
  <c r="DR19" i="20"/>
  <c r="AA20" i="20"/>
  <c r="Q235" i="59"/>
  <c r="AB17" i="20"/>
  <c r="AA82" i="20"/>
  <c r="DX17" i="20"/>
  <c r="CS235" i="59" s="1"/>
  <c r="CS240" i="59" s="1"/>
  <c r="DY17" i="20"/>
  <c r="E79" i="59"/>
  <c r="AU87" i="59"/>
  <c r="AU80" i="59"/>
  <c r="AU81" i="59"/>
  <c r="AE78" i="20"/>
  <c r="AE79" i="20" s="1"/>
  <c r="AE24" i="20"/>
  <c r="BP79" i="23"/>
  <c r="BP78" i="23"/>
  <c r="AF74" i="20"/>
  <c r="AF76" i="20" s="1"/>
  <c r="AF60" i="20"/>
  <c r="AF62" i="20" s="1"/>
  <c r="AF61" i="20" s="1"/>
  <c r="AG59" i="20"/>
  <c r="BP34" i="23"/>
  <c r="BG213" i="59"/>
  <c r="Z20" i="31"/>
  <c r="BW28" i="31"/>
  <c r="DR394" i="23"/>
  <c r="AE398" i="23"/>
  <c r="AF445" i="23"/>
  <c r="DM387" i="23"/>
  <c r="AG439" i="23"/>
  <c r="AF392" i="23"/>
  <c r="AH432" i="23"/>
  <c r="AG385" i="23"/>
  <c r="AI383" i="23"/>
  <c r="AJ430" i="23"/>
  <c r="DO398" i="23"/>
  <c r="DP398" i="23"/>
  <c r="DQ398" i="23"/>
  <c r="DN398" i="23"/>
  <c r="DR398" i="23" s="1"/>
  <c r="DM415" i="23"/>
  <c r="DM381" i="23"/>
  <c r="DM377" i="23"/>
  <c r="CW417" i="23"/>
  <c r="W417" i="23" s="1"/>
  <c r="CX417" i="23" s="1"/>
  <c r="AF426" i="23"/>
  <c r="AE379" i="23"/>
  <c r="DO379" i="23"/>
  <c r="DP379" i="23"/>
  <c r="DQ379" i="23"/>
  <c r="DN379" i="23"/>
  <c r="DM379" i="23"/>
  <c r="AN438" i="23"/>
  <c r="AN391" i="23" s="1"/>
  <c r="AM391" i="23"/>
  <c r="AM386" i="23"/>
  <c r="AN433" i="23"/>
  <c r="AN386" i="23" s="1"/>
  <c r="AM447" i="23"/>
  <c r="AL400" i="23"/>
  <c r="DO378" i="23"/>
  <c r="DN378" i="23"/>
  <c r="DP378" i="23"/>
  <c r="DQ378" i="23"/>
  <c r="DM378" i="23"/>
  <c r="DQ387" i="23"/>
  <c r="DN387" i="23"/>
  <c r="DO387" i="23"/>
  <c r="DP387" i="23"/>
  <c r="AM395" i="23"/>
  <c r="AN442" i="23"/>
  <c r="AN395" i="23" s="1"/>
  <c r="AF425" i="23"/>
  <c r="AE378" i="23"/>
  <c r="AE381" i="23"/>
  <c r="AF428" i="23"/>
  <c r="AF462" i="23"/>
  <c r="AE415" i="23"/>
  <c r="AL443" i="23"/>
  <c r="AK396" i="23"/>
  <c r="AE387" i="23"/>
  <c r="AF434" i="23"/>
  <c r="AF394" i="23"/>
  <c r="AG441" i="23"/>
  <c r="AE377" i="23"/>
  <c r="AF424" i="23"/>
  <c r="DO381" i="23"/>
  <c r="DP381" i="23"/>
  <c r="DQ381" i="23"/>
  <c r="DN381" i="23"/>
  <c r="DQ415" i="23"/>
  <c r="DN415" i="23"/>
  <c r="DO415" i="23"/>
  <c r="DP415" i="23"/>
  <c r="AM427" i="23"/>
  <c r="AL380" i="23"/>
  <c r="DO377" i="23"/>
  <c r="DP377" i="23"/>
  <c r="DQ377" i="23"/>
  <c r="DN377" i="23"/>
  <c r="AJ444" i="23"/>
  <c r="AI397" i="23"/>
  <c r="H294" i="60"/>
  <c r="V26" i="52"/>
  <c r="W27" i="52"/>
  <c r="BI671" i="23"/>
  <c r="BI670" i="23"/>
  <c r="BI665" i="23"/>
  <c r="BI58" i="23"/>
  <c r="BI89" i="23"/>
  <c r="BI91" i="23" s="1"/>
  <c r="BI87" i="23"/>
  <c r="BI50" i="23"/>
  <c r="BI52" i="23" s="1"/>
  <c r="BI55" i="23" s="1"/>
  <c r="BI60" i="23"/>
  <c r="L83" i="23"/>
  <c r="L85" i="23" s="1"/>
  <c r="L44" i="23"/>
  <c r="L40" i="23"/>
  <c r="L81" i="23"/>
  <c r="BJ34" i="23"/>
  <c r="L663" i="23"/>
  <c r="M243" i="59"/>
  <c r="O243" i="59" s="1"/>
  <c r="AQ64" i="25"/>
  <c r="AU12" i="30"/>
  <c r="AU32" i="30"/>
  <c r="Z92" i="59"/>
  <c r="Z93" i="59"/>
  <c r="Z323" i="59"/>
  <c r="AB10" i="52"/>
  <c r="AB11" i="52"/>
  <c r="AB24" i="52"/>
  <c r="AB39" i="59"/>
  <c r="AV11" i="30"/>
  <c r="AV23" i="30" s="1"/>
  <c r="AV10" i="30"/>
  <c r="AN75" i="25"/>
  <c r="AN74" i="25"/>
  <c r="AA232" i="59"/>
  <c r="AA40" i="59"/>
  <c r="AC18" i="52"/>
  <c r="AD16" i="52"/>
  <c r="W279" i="60" s="1"/>
  <c r="AV16" i="30"/>
  <c r="AV19" i="30" s="1"/>
  <c r="AC9" i="52"/>
  <c r="AC17" i="52"/>
  <c r="AC23" i="52"/>
  <c r="AW9" i="30"/>
  <c r="AD20" i="52"/>
  <c r="AW22" i="30" s="1"/>
  <c r="AD13" i="52"/>
  <c r="AE6" i="52"/>
  <c r="AF6" i="52" s="1"/>
  <c r="AY9" i="30" s="1"/>
  <c r="DA182" i="59"/>
  <c r="DF182" i="59"/>
  <c r="AN68" i="25"/>
  <c r="AN70" i="25"/>
  <c r="AN72" i="25"/>
  <c r="AN71" i="25"/>
  <c r="AP66" i="25"/>
  <c r="AP67" i="25" s="1"/>
  <c r="AT20" i="30"/>
  <c r="AT25" i="30"/>
  <c r="AP65" i="25"/>
  <c r="AI559" i="23"/>
  <c r="AO69" i="25"/>
  <c r="AS29" i="30"/>
  <c r="AO73" i="25" s="1"/>
  <c r="DB12" i="59"/>
  <c r="DB49" i="59"/>
  <c r="BR14" i="31"/>
  <c r="BR9" i="31" s="1"/>
  <c r="U85" i="59"/>
  <c r="V85" i="59" s="1"/>
  <c r="W85" i="59" s="1"/>
  <c r="X85" i="59" s="1"/>
  <c r="Y85" i="59" s="1"/>
  <c r="Z85" i="59" s="1"/>
  <c r="AA85" i="59" s="1"/>
  <c r="AB85" i="59" s="1"/>
  <c r="AC85" i="59" s="1"/>
  <c r="AD85" i="59" s="1"/>
  <c r="AE85" i="59" s="1"/>
  <c r="AO146" i="30"/>
  <c r="AT34" i="30"/>
  <c r="AT196" i="30"/>
  <c r="Z107" i="59" s="1"/>
  <c r="Z113" i="59" s="1"/>
  <c r="AU18" i="30"/>
  <c r="AU17" i="30"/>
  <c r="AA91" i="59"/>
  <c r="C27" i="59"/>
  <c r="D16" i="59"/>
  <c r="C16" i="59"/>
  <c r="O36" i="20"/>
  <c r="P37" i="20"/>
  <c r="O37" i="20"/>
  <c r="AI75" i="20"/>
  <c r="D4" i="38"/>
  <c r="D42" i="38" s="1"/>
  <c r="D33" i="38" s="1"/>
  <c r="D32" i="38" s="1"/>
  <c r="D64" i="38" s="1"/>
  <c r="D80" i="38" s="1"/>
  <c r="D46" i="38"/>
  <c r="D8" i="38"/>
  <c r="BN30" i="20"/>
  <c r="BS30" i="20"/>
  <c r="D37" i="59"/>
  <c r="C37" i="59"/>
  <c r="CH30" i="20"/>
  <c r="CC117" i="20"/>
  <c r="CC30" i="20"/>
  <c r="C79" i="59"/>
  <c r="AA144" i="30"/>
  <c r="Z144" i="30"/>
  <c r="Z140" i="30"/>
  <c r="AM70" i="20"/>
  <c r="AL71" i="20"/>
  <c r="AL72" i="20" s="1"/>
  <c r="AL23" i="20" s="1"/>
  <c r="CW95" i="85"/>
  <c r="CW96" i="85" s="1"/>
  <c r="BO26" i="73"/>
  <c r="BO27" i="73"/>
  <c r="BY27" i="73"/>
  <c r="BY26" i="73"/>
  <c r="BY24" i="73"/>
  <c r="DE182" i="59"/>
  <c r="DE183" i="59"/>
  <c r="DE165" i="59"/>
  <c r="DE167" i="59" s="1"/>
  <c r="DE166" i="59"/>
  <c r="DE158" i="59"/>
  <c r="DE159" i="59"/>
  <c r="DE293" i="59"/>
  <c r="DE294" i="59"/>
  <c r="DE295" i="59" s="1"/>
  <c r="DF295" i="59"/>
  <c r="AI72" i="23"/>
  <c r="AH73" i="23"/>
  <c r="DB294" i="59"/>
  <c r="DB293" i="59"/>
  <c r="DG158" i="59"/>
  <c r="DG166" i="59"/>
  <c r="DI274" i="59"/>
  <c r="DI281" i="59"/>
  <c r="DB18" i="85"/>
  <c r="DB105" i="85"/>
  <c r="DB95" i="85"/>
  <c r="DB13" i="85"/>
  <c r="DF223" i="59" s="1"/>
  <c r="DB12" i="85"/>
  <c r="BR31" i="31"/>
  <c r="BW11" i="31"/>
  <c r="BW31" i="31" s="1"/>
  <c r="DD12" i="85"/>
  <c r="DD18" i="85"/>
  <c r="DD95" i="85"/>
  <c r="DD96" i="85" s="1"/>
  <c r="DD13" i="85"/>
  <c r="DH223" i="59" s="1"/>
  <c r="DD105" i="85"/>
  <c r="DA18" i="85"/>
  <c r="DA105" i="85"/>
  <c r="DA95" i="85"/>
  <c r="DA13" i="85"/>
  <c r="DE223" i="59" s="1"/>
  <c r="CY96" i="85"/>
  <c r="CX11" i="85"/>
  <c r="CX18" i="85" s="1"/>
  <c r="V18" i="85" s="1"/>
  <c r="DC92" i="85"/>
  <c r="DC11" i="85" s="1"/>
  <c r="DA12" i="85"/>
  <c r="M19" i="59"/>
  <c r="AT157" i="59"/>
  <c r="AT150" i="59"/>
  <c r="AT151" i="59"/>
  <c r="AY126" i="59"/>
  <c r="AY131" i="59"/>
  <c r="AO165" i="59"/>
  <c r="AO159" i="59"/>
  <c r="DH95" i="30"/>
  <c r="DL96" i="30"/>
  <c r="DG97" i="30"/>
  <c r="BE122" i="59"/>
  <c r="DG96" i="30"/>
  <c r="DA140" i="30"/>
  <c r="AY149" i="59"/>
  <c r="DA128" i="30"/>
  <c r="DA130" i="30"/>
  <c r="AY15" i="59"/>
  <c r="DA104" i="30"/>
  <c r="DB103" i="30"/>
  <c r="AU15" i="59"/>
  <c r="AV15" i="59" s="1"/>
  <c r="CW104" i="30"/>
  <c r="DF126" i="30"/>
  <c r="DG125" i="30"/>
  <c r="DH125" i="30" s="1"/>
  <c r="DK126" i="30"/>
  <c r="DF127" i="30"/>
  <c r="AT16" i="59"/>
  <c r="AT27" i="59"/>
  <c r="AO75" i="59"/>
  <c r="AO61" i="59"/>
  <c r="AP27" i="59"/>
  <c r="AQ15" i="59"/>
  <c r="BD125" i="59"/>
  <c r="BI125" i="59"/>
  <c r="BD123" i="59"/>
  <c r="DC125" i="30"/>
  <c r="DB132" i="30"/>
  <c r="DB126" i="30"/>
  <c r="DB127" i="30"/>
  <c r="DC127" i="30" s="1"/>
  <c r="AU131" i="59"/>
  <c r="AU126" i="59"/>
  <c r="AT145" i="59"/>
  <c r="AT132" i="59"/>
  <c r="CV142" i="30"/>
  <c r="AT59" i="59"/>
  <c r="CV141" i="30"/>
  <c r="AO210" i="59"/>
  <c r="AU149" i="59"/>
  <c r="CW128" i="30"/>
  <c r="CW130" i="30"/>
  <c r="AP157" i="59"/>
  <c r="AP151" i="59"/>
  <c r="AZ125" i="59"/>
  <c r="AZ123" i="59"/>
  <c r="DF98" i="30"/>
  <c r="DF103" i="30"/>
  <c r="DK98" i="30"/>
  <c r="DH97" i="30"/>
  <c r="AH690" i="23"/>
  <c r="AH234" i="23"/>
  <c r="X139" i="20"/>
  <c r="N18" i="59"/>
  <c r="CT234" i="59"/>
  <c r="CJ18" i="59"/>
  <c r="G248" i="59"/>
  <c r="G261" i="59" s="1"/>
  <c r="G262" i="59" s="1"/>
  <c r="S234" i="59"/>
  <c r="O18" i="59"/>
  <c r="G210" i="59"/>
  <c r="DA14" i="85"/>
  <c r="CW39" i="85"/>
  <c r="DB24" i="85"/>
  <c r="DB328" i="59"/>
  <c r="N47" i="95"/>
  <c r="DB158" i="59"/>
  <c r="DB314" i="59"/>
  <c r="DB165" i="59"/>
  <c r="DB316" i="59" s="1"/>
  <c r="DB166" i="59"/>
  <c r="G28" i="59"/>
  <c r="CB60" i="59"/>
  <c r="CB306" i="59"/>
  <c r="CB61" i="59"/>
  <c r="CB320" i="59"/>
  <c r="CL243" i="59"/>
  <c r="CL244" i="59" s="1"/>
  <c r="CL246" i="59" s="1"/>
  <c r="CL226" i="59"/>
  <c r="CL228" i="59" s="1"/>
  <c r="CW14" i="85"/>
  <c r="CW20" i="85"/>
  <c r="CW23" i="85"/>
  <c r="CW25" i="85" s="1"/>
  <c r="DA223" i="59"/>
  <c r="CG59" i="59"/>
  <c r="CG65" i="59"/>
  <c r="CG64" i="59"/>
  <c r="CL63" i="59"/>
  <c r="CH29" i="85"/>
  <c r="EN103" i="30"/>
  <c r="CL16" i="59"/>
  <c r="CL231" i="59"/>
  <c r="CL236" i="59" s="1"/>
  <c r="CL238" i="59" s="1"/>
  <c r="CM28" i="85"/>
  <c r="CM21" i="85"/>
  <c r="CR14" i="85"/>
  <c r="CV223" i="59"/>
  <c r="CR23" i="85"/>
  <c r="CR25" i="85" s="1"/>
  <c r="CR26" i="85" s="1"/>
  <c r="CR71" i="85"/>
  <c r="CR72" i="85" s="1"/>
  <c r="CV18" i="59"/>
  <c r="CR20" i="85"/>
  <c r="CF14" i="23"/>
  <c r="CA17" i="23"/>
  <c r="CF18" i="23" s="1"/>
  <c r="EI109" i="30"/>
  <c r="EI110" i="30" s="1"/>
  <c r="EI104" i="30"/>
  <c r="CQ15" i="59"/>
  <c r="CQ19" i="59"/>
  <c r="CQ243" i="59"/>
  <c r="CR39" i="85"/>
  <c r="H228" i="59"/>
  <c r="X151" i="20"/>
  <c r="U33" i="33"/>
  <c r="U34" i="33" s="1"/>
  <c r="CY30" i="59"/>
  <c r="AH243" i="30"/>
  <c r="Z12" i="20"/>
  <c r="BP47" i="73"/>
  <c r="CX121" i="59"/>
  <c r="CH226" i="59"/>
  <c r="CH228" i="59" s="1"/>
  <c r="M223" i="59"/>
  <c r="CD33" i="85"/>
  <c r="CD35" i="85" s="1"/>
  <c r="BY35" i="85"/>
  <c r="BY34" i="85"/>
  <c r="AD100" i="31"/>
  <c r="AC102" i="31"/>
  <c r="K255" i="59"/>
  <c r="X127" i="31"/>
  <c r="T133" i="31"/>
  <c r="U134" i="31"/>
  <c r="S135" i="31"/>
  <c r="S112" i="31" s="1"/>
  <c r="S113" i="31" s="1"/>
  <c r="S114" i="31" s="1"/>
  <c r="S107" i="31"/>
  <c r="S108" i="31" s="1"/>
  <c r="S109" i="31" s="1"/>
  <c r="S128" i="31"/>
  <c r="S129" i="31" s="1"/>
  <c r="S130" i="31" s="1"/>
  <c r="BO13" i="59"/>
  <c r="DA183" i="59"/>
  <c r="CZ183" i="59"/>
  <c r="DB182" i="59"/>
  <c r="DB183" i="59"/>
  <c r="CC60" i="59"/>
  <c r="BH46" i="59"/>
  <c r="BC210" i="59"/>
  <c r="BC46" i="59"/>
  <c r="BN669" i="23"/>
  <c r="BN667" i="23" s="1"/>
  <c r="BH76" i="59"/>
  <c r="BC77" i="59"/>
  <c r="BC76" i="59"/>
  <c r="BM656" i="23"/>
  <c r="BM671" i="23" s="1"/>
  <c r="BC167" i="59"/>
  <c r="BC166" i="59"/>
  <c r="BH166" i="59"/>
  <c r="G46" i="59"/>
  <c r="F210" i="59"/>
  <c r="F46" i="59"/>
  <c r="S34" i="31"/>
  <c r="H46" i="38"/>
  <c r="H33" i="38"/>
  <c r="H32" i="38" s="1"/>
  <c r="BJ13" i="59"/>
  <c r="BJ219" i="59"/>
  <c r="BJ226" i="59" s="1"/>
  <c r="BJ228" i="59" s="1"/>
  <c r="BJ15" i="59"/>
  <c r="BO16" i="59" s="1"/>
  <c r="S90" i="31"/>
  <c r="F30" i="73"/>
  <c r="F31" i="73" s="1"/>
  <c r="S25" i="31"/>
  <c r="H248" i="59"/>
  <c r="H258" i="59"/>
  <c r="F42" i="73"/>
  <c r="F41" i="73"/>
  <c r="T89" i="31"/>
  <c r="AR23" i="31"/>
  <c r="AS23" i="31"/>
  <c r="AS24" i="31" s="1"/>
  <c r="G40" i="73"/>
  <c r="G39" i="73" s="1"/>
  <c r="AQ23" i="31"/>
  <c r="T24" i="31"/>
  <c r="T31" i="31"/>
  <c r="T33" i="31" s="1"/>
  <c r="K34" i="73"/>
  <c r="BO20" i="31"/>
  <c r="CO121" i="59"/>
  <c r="AK93" i="30"/>
  <c r="N124" i="59"/>
  <c r="P121" i="59"/>
  <c r="N296" i="59"/>
  <c r="N297" i="59" s="1"/>
  <c r="Y9" i="32"/>
  <c r="AJ94" i="30"/>
  <c r="EL93" i="30"/>
  <c r="CN125" i="59"/>
  <c r="BK54" i="73" s="1"/>
  <c r="EP95" i="30"/>
  <c r="EP96" i="30" s="1"/>
  <c r="N122" i="59"/>
  <c r="N123" i="59" s="1"/>
  <c r="U59" i="33"/>
  <c r="U64" i="33"/>
  <c r="O122" i="59"/>
  <c r="H54" i="73"/>
  <c r="AJ95" i="30"/>
  <c r="CJ122" i="59"/>
  <c r="M125" i="59"/>
  <c r="V48" i="33"/>
  <c r="V49" i="33" s="1"/>
  <c r="AI235" i="30"/>
  <c r="AI242" i="30" s="1"/>
  <c r="V52" i="33"/>
  <c r="V46" i="33"/>
  <c r="AI95" i="30"/>
  <c r="Q121" i="59"/>
  <c r="CS122" i="59"/>
  <c r="CS296" i="59"/>
  <c r="CS297" i="59" s="1"/>
  <c r="BP50" i="73" s="1"/>
  <c r="EU93" i="30"/>
  <c r="EU94" i="30" s="1"/>
  <c r="DW97" i="30"/>
  <c r="AG130" i="30"/>
  <c r="AG98" i="30"/>
  <c r="BT20" i="31"/>
  <c r="L34" i="73"/>
  <c r="G55" i="73"/>
  <c r="G56" i="73" s="1"/>
  <c r="G53" i="73" s="1"/>
  <c r="V101" i="33" s="1"/>
  <c r="V100" i="33" s="1"/>
  <c r="V33" i="33" s="1"/>
  <c r="BK48" i="73"/>
  <c r="BK49" i="73"/>
  <c r="AH96" i="30"/>
  <c r="AH97" i="30"/>
  <c r="AH132" i="30"/>
  <c r="EB95" i="30"/>
  <c r="M123" i="59"/>
  <c r="CZ182" i="59"/>
  <c r="DZ11" i="20"/>
  <c r="EE12" i="20" s="1"/>
  <c r="V33" i="59"/>
  <c r="DY18" i="20"/>
  <c r="CP18" i="85"/>
  <c r="T19" i="85"/>
  <c r="Z98" i="85"/>
  <c r="Y56" i="85"/>
  <c r="Y57" i="85" s="1"/>
  <c r="AV29" i="31"/>
  <c r="BA21" i="31"/>
  <c r="DQ103" i="30"/>
  <c r="BO231" i="59"/>
  <c r="I15" i="59"/>
  <c r="L12" i="59"/>
  <c r="AI91" i="30"/>
  <c r="BU12" i="59"/>
  <c r="BT13" i="59"/>
  <c r="BT219" i="59"/>
  <c r="BT15" i="59"/>
  <c r="CN39" i="85"/>
  <c r="CS24" i="85"/>
  <c r="CS18" i="85"/>
  <c r="CS12" i="85"/>
  <c r="CS105" i="85"/>
  <c r="CS95" i="85"/>
  <c r="CS96" i="85" s="1"/>
  <c r="CS13" i="85"/>
  <c r="CS14" i="85" s="1"/>
  <c r="DK82" i="25"/>
  <c r="DK86" i="25" s="1"/>
  <c r="CB10" i="23" s="1"/>
  <c r="CB13" i="23" s="1"/>
  <c r="DK38" i="25"/>
  <c r="CE31" i="85"/>
  <c r="CF31" i="85" s="1"/>
  <c r="U18" i="85"/>
  <c r="U19" i="85" s="1"/>
  <c r="CN14" i="85"/>
  <c r="CN23" i="85"/>
  <c r="CN25" i="85" s="1"/>
  <c r="CN26" i="85" s="1"/>
  <c r="CN71" i="85"/>
  <c r="CN72" i="85" s="1"/>
  <c r="CR223" i="59"/>
  <c r="Q223" i="59" s="1"/>
  <c r="CR18" i="59"/>
  <c r="Q18" i="59" s="1"/>
  <c r="CN20" i="85"/>
  <c r="Y101" i="85"/>
  <c r="Z84" i="85"/>
  <c r="Y86" i="85"/>
  <c r="DV90" i="30"/>
  <c r="DV87" i="30"/>
  <c r="DW86" i="30"/>
  <c r="CS19" i="59"/>
  <c r="CS243" i="59"/>
  <c r="BY9" i="59"/>
  <c r="BY12" i="59"/>
  <c r="BZ12" i="59" s="1"/>
  <c r="EA86" i="30"/>
  <c r="DU147" i="30"/>
  <c r="DU148" i="30" s="1"/>
  <c r="DU141" i="30"/>
  <c r="DU142" i="30"/>
  <c r="AW29" i="31"/>
  <c r="BB21" i="31"/>
  <c r="CT71" i="85"/>
  <c r="CT72" i="85" s="1"/>
  <c r="CT20" i="85"/>
  <c r="CT21" i="85" s="1"/>
  <c r="CX223" i="59"/>
  <c r="CX18" i="59"/>
  <c r="AT21" i="31"/>
  <c r="BO226" i="59"/>
  <c r="I226" i="59" s="1"/>
  <c r="BP226" i="59" s="1"/>
  <c r="I219" i="59"/>
  <c r="X59" i="25"/>
  <c r="X60" i="25"/>
  <c r="L9" i="59"/>
  <c r="CD8" i="59"/>
  <c r="CE8" i="59" s="1"/>
  <c r="CM19" i="59"/>
  <c r="CM223" i="59"/>
  <c r="CM243" i="59" s="1"/>
  <c r="CM244" i="59" s="1"/>
  <c r="CM246" i="59" s="1"/>
  <c r="AZ11" i="31"/>
  <c r="U95" i="31"/>
  <c r="H25" i="73"/>
  <c r="CD29" i="85"/>
  <c r="CH63" i="59"/>
  <c r="BI25" i="73"/>
  <c r="BB9" i="31"/>
  <c r="BG11" i="31"/>
  <c r="CY20" i="85"/>
  <c r="CY21" i="85" s="1"/>
  <c r="CY14" i="85"/>
  <c r="CY71" i="85"/>
  <c r="DC223" i="59"/>
  <c r="DC18" i="59"/>
  <c r="BX60" i="59"/>
  <c r="CC320" i="59"/>
  <c r="BX306" i="59"/>
  <c r="BX61" i="59"/>
  <c r="CI21" i="85"/>
  <c r="CI28" i="85"/>
  <c r="CJ39" i="85"/>
  <c r="CO24" i="85"/>
  <c r="T24" i="85" s="1"/>
  <c r="BK25" i="73"/>
  <c r="BD31" i="31"/>
  <c r="BI11" i="31"/>
  <c r="BN11" i="31" s="1"/>
  <c r="AX21" i="31"/>
  <c r="K13" i="59"/>
  <c r="V11" i="31"/>
  <c r="BA31" i="31"/>
  <c r="BA9" i="31"/>
  <c r="BH25" i="73"/>
  <c r="BF11" i="31"/>
  <c r="Z60" i="85"/>
  <c r="Y77" i="85"/>
  <c r="Y62" i="85"/>
  <c r="Y50" i="85"/>
  <c r="Y51" i="85" s="1"/>
  <c r="CH244" i="59"/>
  <c r="CH246" i="59" s="1"/>
  <c r="AD53" i="25"/>
  <c r="CG31" i="85"/>
  <c r="CH31" i="85"/>
  <c r="CH33" i="85" s="1"/>
  <c r="CI31" i="85"/>
  <c r="AD96" i="33"/>
  <c r="AC97" i="33"/>
  <c r="DA330" i="59"/>
  <c r="DA167" i="59"/>
  <c r="DA316" i="59"/>
  <c r="BJ19" i="73"/>
  <c r="BL55" i="23"/>
  <c r="BL98" i="23"/>
  <c r="BL100" i="23" s="1"/>
  <c r="CL25" i="85"/>
  <c r="CL26" i="85" s="1"/>
  <c r="CP226" i="59"/>
  <c r="CP228" i="59" s="1"/>
  <c r="BZ26" i="85"/>
  <c r="BZ28" i="85"/>
  <c r="CA28" i="85" s="1"/>
  <c r="O188" i="60"/>
  <c r="CJ30" i="25"/>
  <c r="CJ29" i="25" s="1"/>
  <c r="EO103" i="30"/>
  <c r="CM231" i="59"/>
  <c r="CM16" i="59"/>
  <c r="AE74" i="85"/>
  <c r="AF74" i="85" s="1"/>
  <c r="AG74" i="85" s="1"/>
  <c r="EB197" i="30"/>
  <c r="CG34" i="23"/>
  <c r="BX213" i="59"/>
  <c r="G167" i="59"/>
  <c r="G166" i="59"/>
  <c r="H166" i="59"/>
  <c r="BJ191" i="59"/>
  <c r="BJ192" i="59" s="1"/>
  <c r="DB80" i="25"/>
  <c r="BS5" i="23"/>
  <c r="BS6" i="23" s="1"/>
  <c r="Z134" i="20"/>
  <c r="AA146" i="20"/>
  <c r="BN89" i="23"/>
  <c r="BN87" i="23"/>
  <c r="BN88" i="23" s="1"/>
  <c r="BN60" i="23"/>
  <c r="BN65" i="23" s="1"/>
  <c r="BN69" i="23" s="1"/>
  <c r="BN58" i="23"/>
  <c r="BN50" i="23"/>
  <c r="BN52" i="23" s="1"/>
  <c r="E13" i="53"/>
  <c r="E17" i="53" s="1"/>
  <c r="E19" i="53" s="1"/>
  <c r="B340" i="60" s="1"/>
  <c r="B341" i="60"/>
  <c r="F9" i="53"/>
  <c r="BI211" i="59"/>
  <c r="BI206" i="59"/>
  <c r="CB29" i="85"/>
  <c r="CB33" i="85"/>
  <c r="CF63" i="59"/>
  <c r="CM57" i="59"/>
  <c r="CM305" i="59"/>
  <c r="CM56" i="59"/>
  <c r="CA306" i="59"/>
  <c r="AA17" i="85"/>
  <c r="Q91" i="73"/>
  <c r="Q94" i="73"/>
  <c r="Q93" i="73"/>
  <c r="Q89" i="73"/>
  <c r="N7" i="95"/>
  <c r="AJ168" i="30"/>
  <c r="AJ236" i="30"/>
  <c r="I30" i="25"/>
  <c r="CN72" i="30"/>
  <c r="CM17" i="25"/>
  <c r="CR17" i="25"/>
  <c r="CM18" i="25"/>
  <c r="DU172" i="30"/>
  <c r="DU195" i="30"/>
  <c r="J63" i="59"/>
  <c r="AG170" i="30"/>
  <c r="AG171" i="30" s="1"/>
  <c r="DW169" i="30"/>
  <c r="CW64" i="30"/>
  <c r="CX59" i="30"/>
  <c r="CW60" i="30"/>
  <c r="ET87" i="30"/>
  <c r="ET90" i="30"/>
  <c r="ET91" i="30" s="1"/>
  <c r="AG49" i="25"/>
  <c r="T71" i="85"/>
  <c r="T72" i="85" s="1"/>
  <c r="T20" i="85"/>
  <c r="T14" i="85"/>
  <c r="T31" i="85" s="1"/>
  <c r="CP13" i="85"/>
  <c r="M8" i="95"/>
  <c r="AJ172" i="30"/>
  <c r="AE53" i="25"/>
  <c r="AL144" i="30"/>
  <c r="AA28" i="20"/>
  <c r="P223" i="60"/>
  <c r="CU11" i="85"/>
  <c r="U105" i="85"/>
  <c r="U12" i="85"/>
  <c r="U13" i="85"/>
  <c r="U95" i="85"/>
  <c r="U96" i="85" s="1"/>
  <c r="U92" i="85"/>
  <c r="U93" i="85" s="1"/>
  <c r="K474" i="23"/>
  <c r="K499" i="23" s="1"/>
  <c r="BE7" i="23"/>
  <c r="V268" i="59"/>
  <c r="V281" i="59"/>
  <c r="V282" i="59" s="1"/>
  <c r="V273" i="59"/>
  <c r="V267" i="59"/>
  <c r="DM123" i="30"/>
  <c r="AF124" i="30"/>
  <c r="AE124" i="30"/>
  <c r="AE127" i="30"/>
  <c r="T16" i="32"/>
  <c r="AE131" i="30"/>
  <c r="U270" i="59"/>
  <c r="Y59" i="25"/>
  <c r="Y60" i="25"/>
  <c r="DH58" i="25"/>
  <c r="AF181" i="30"/>
  <c r="AF182" i="30" s="1"/>
  <c r="BL91" i="23"/>
  <c r="BL90" i="23"/>
  <c r="BQ90" i="23"/>
  <c r="CP19" i="59"/>
  <c r="CP243" i="59"/>
  <c r="CP15" i="59"/>
  <c r="DN147" i="30"/>
  <c r="DN144" i="30"/>
  <c r="DS144" i="30"/>
  <c r="DR143" i="30"/>
  <c r="R81" i="59"/>
  <c r="S79" i="59"/>
  <c r="CY79" i="59" s="1"/>
  <c r="R80" i="59"/>
  <c r="AM143" i="30"/>
  <c r="R87" i="59"/>
  <c r="CK20" i="85"/>
  <c r="S21" i="85"/>
  <c r="U44" i="33"/>
  <c r="L21" i="95"/>
  <c r="W266" i="59"/>
  <c r="EF21" i="20"/>
  <c r="CJ28" i="25"/>
  <c r="CJ27" i="25"/>
  <c r="CJ25" i="25"/>
  <c r="CO27" i="25"/>
  <c r="CJ14" i="25"/>
  <c r="CO13" i="25"/>
  <c r="CJ13" i="25"/>
  <c r="CJ11" i="25"/>
  <c r="CN12" i="25"/>
  <c r="CM290" i="59"/>
  <c r="CM291" i="59" s="1"/>
  <c r="BY213" i="59"/>
  <c r="CH34" i="23"/>
  <c r="CH236" i="59"/>
  <c r="CH238" i="59" s="1"/>
  <c r="D11" i="53"/>
  <c r="Q83" i="25"/>
  <c r="CR198" i="30"/>
  <c r="CR199" i="30" s="1"/>
  <c r="Y133" i="20"/>
  <c r="AJ73" i="32"/>
  <c r="AI79" i="32"/>
  <c r="AI80" i="32" s="1"/>
  <c r="AR197" i="59"/>
  <c r="CJ86" i="25"/>
  <c r="CM86" i="25"/>
  <c r="AU197" i="59"/>
  <c r="AC111" i="31"/>
  <c r="AA11" i="20"/>
  <c r="AA19" i="20"/>
  <c r="AA136" i="20"/>
  <c r="BM95" i="23"/>
  <c r="BM93" i="23"/>
  <c r="P37" i="59"/>
  <c r="Q322" i="59"/>
  <c r="Q37" i="59"/>
  <c r="P89" i="59"/>
  <c r="Q308" i="59"/>
  <c r="AX218" i="30"/>
  <c r="R87" i="73"/>
  <c r="R85" i="73"/>
  <c r="R88" i="73"/>
  <c r="R92" i="73"/>
  <c r="CK16" i="59"/>
  <c r="EM103" i="30"/>
  <c r="CK231" i="59"/>
  <c r="CK226" i="59"/>
  <c r="CK228" i="59" s="1"/>
  <c r="BN666" i="23"/>
  <c r="DS148" i="30"/>
  <c r="DV197" i="30"/>
  <c r="Z55" i="25"/>
  <c r="Z58" i="25"/>
  <c r="AG176" i="30"/>
  <c r="Z56" i="25"/>
  <c r="AH169" i="30"/>
  <c r="AA52" i="25"/>
  <c r="AA54" i="25"/>
  <c r="BH15" i="31"/>
  <c r="BH16" i="31"/>
  <c r="BH9" i="31"/>
  <c r="CW49" i="59"/>
  <c r="EY86" i="30"/>
  <c r="CW12" i="59"/>
  <c r="BM14" i="31"/>
  <c r="BR16" i="31" s="1"/>
  <c r="Y27" i="20"/>
  <c r="Y116" i="20"/>
  <c r="BK55" i="23"/>
  <c r="BK98" i="23"/>
  <c r="BK100" i="23" s="1"/>
  <c r="O44" i="95"/>
  <c r="Q54" i="38"/>
  <c r="Q76" i="38" s="1"/>
  <c r="Q26" i="38"/>
  <c r="AD46" i="85"/>
  <c r="BZ17" i="23"/>
  <c r="CE14" i="23"/>
  <c r="CF236" i="59"/>
  <c r="CF238" i="59" s="1"/>
  <c r="DQ163" i="30"/>
  <c r="AF151" i="30"/>
  <c r="K17" i="23"/>
  <c r="K363" i="23"/>
  <c r="E7" i="56"/>
  <c r="E14" i="56" s="1"/>
  <c r="E19" i="56" s="1"/>
  <c r="L14" i="23"/>
  <c r="M20" i="95"/>
  <c r="M17" i="95"/>
  <c r="EG21" i="20"/>
  <c r="BL93" i="23"/>
  <c r="BL95" i="23"/>
  <c r="CL21" i="85"/>
  <c r="AI109" i="23"/>
  <c r="AD50" i="25"/>
  <c r="AK167" i="30"/>
  <c r="AF49" i="25"/>
  <c r="AF50" i="25" s="1"/>
  <c r="V274" i="59"/>
  <c r="AA13" i="31" s="1"/>
  <c r="V269" i="59"/>
  <c r="CJ16" i="25"/>
  <c r="CJ15" i="25" s="1"/>
  <c r="CX71" i="30"/>
  <c r="U178" i="85"/>
  <c r="CU176" i="85"/>
  <c r="AJ382" i="23"/>
  <c r="AK429" i="23"/>
  <c r="CF34" i="23"/>
  <c r="BW213" i="59"/>
  <c r="P37" i="95"/>
  <c r="P40" i="95"/>
  <c r="P43" i="95" s="1"/>
  <c r="BI192" i="59"/>
  <c r="BN192" i="59"/>
  <c r="Z135" i="20"/>
  <c r="AA147" i="20"/>
  <c r="M369" i="60"/>
  <c r="I80" i="63"/>
  <c r="BN85" i="23"/>
  <c r="BN84" i="23"/>
  <c r="AS197" i="59"/>
  <c r="CK86" i="25"/>
  <c r="AT197" i="59"/>
  <c r="CL86" i="25"/>
  <c r="BM55" i="23"/>
  <c r="BM98" i="23"/>
  <c r="BM100" i="23" s="1"/>
  <c r="CZ330" i="59"/>
  <c r="CZ316" i="59"/>
  <c r="CZ167" i="59"/>
  <c r="CK24" i="85"/>
  <c r="S39" i="85"/>
  <c r="AJ606" i="23"/>
  <c r="AJ597" i="23"/>
  <c r="AK601" i="23" s="1"/>
  <c r="AK605" i="23" s="1"/>
  <c r="AH106" i="31"/>
  <c r="DO149" i="30"/>
  <c r="DO154" i="30"/>
  <c r="DE37" i="25"/>
  <c r="DO148" i="30"/>
  <c r="DS172" i="30"/>
  <c r="DS195" i="30"/>
  <c r="CP161" i="85"/>
  <c r="U162" i="85"/>
  <c r="CW199" i="30"/>
  <c r="CW211" i="30" s="1"/>
  <c r="AB194" i="30"/>
  <c r="CR219" i="59"/>
  <c r="CR13" i="59"/>
  <c r="BK671" i="23"/>
  <c r="BK670" i="23"/>
  <c r="BK93" i="23"/>
  <c r="BK95" i="23"/>
  <c r="CG28" i="85"/>
  <c r="O38" i="95"/>
  <c r="O46" i="95"/>
  <c r="CC35" i="85"/>
  <c r="CC34" i="85"/>
  <c r="Z121" i="31"/>
  <c r="Y123" i="31"/>
  <c r="AF199" i="30"/>
  <c r="DR195" i="30"/>
  <c r="CA25" i="85"/>
  <c r="AC25" i="20"/>
  <c r="AD25" i="20" s="1"/>
  <c r="AE25" i="20" s="1"/>
  <c r="AF25" i="20" s="1"/>
  <c r="AG25" i="20" s="1"/>
  <c r="AH25" i="20" s="1"/>
  <c r="AI25" i="20" s="1"/>
  <c r="AJ25" i="20" s="1"/>
  <c r="L19" i="59"/>
  <c r="CD18" i="59"/>
  <c r="CE18" i="59" s="1"/>
  <c r="Z150" i="23"/>
  <c r="Z152" i="23"/>
  <c r="AA128" i="23"/>
  <c r="I79" i="23"/>
  <c r="I78" i="23"/>
  <c r="DX16" i="20"/>
  <c r="U188" i="59"/>
  <c r="AD12" i="32" s="1"/>
  <c r="U275" i="59"/>
  <c r="EZ106" i="30"/>
  <c r="BL88" i="23"/>
  <c r="BQ88" i="23"/>
  <c r="Q33" i="85"/>
  <c r="Q29" i="85"/>
  <c r="I307" i="60"/>
  <c r="E84" i="63" s="1"/>
  <c r="AB51" i="25"/>
  <c r="AK376" i="23"/>
  <c r="AL423" i="23"/>
  <c r="H58" i="23"/>
  <c r="H55" i="23"/>
  <c r="CJ38" i="85"/>
  <c r="CE23" i="85"/>
  <c r="BL671" i="23"/>
  <c r="BL670" i="23"/>
  <c r="V41" i="33"/>
  <c r="U38" i="33"/>
  <c r="U39" i="33" s="1"/>
  <c r="DP148" i="30"/>
  <c r="DP154" i="30"/>
  <c r="DP149" i="30"/>
  <c r="DF37" i="25"/>
  <c r="Z137" i="20"/>
  <c r="Z142" i="20"/>
  <c r="Z148" i="20"/>
  <c r="Z154" i="20" s="1"/>
  <c r="CZ295" i="59"/>
  <c r="I65" i="59"/>
  <c r="I64" i="59"/>
  <c r="BP63" i="59"/>
  <c r="DD83" i="59"/>
  <c r="T85" i="59"/>
  <c r="N370" i="60"/>
  <c r="N369" i="60" s="1"/>
  <c r="T84" i="59"/>
  <c r="AN146" i="30"/>
  <c r="AH195" i="30"/>
  <c r="DX199" i="30"/>
  <c r="CE20" i="23" s="1"/>
  <c r="CE21" i="23" s="1"/>
  <c r="CE23" i="23" s="1"/>
  <c r="Q6" i="95"/>
  <c r="R4" i="95"/>
  <c r="Q12" i="95"/>
  <c r="Q13" i="95" s="1"/>
  <c r="Q15" i="95" s="1"/>
  <c r="Q34" i="95"/>
  <c r="BR8" i="23"/>
  <c r="BR6" i="23"/>
  <c r="EJ109" i="30"/>
  <c r="EJ110" i="30" s="1"/>
  <c r="EJ104" i="30"/>
  <c r="CS64" i="30"/>
  <c r="AA72" i="30"/>
  <c r="Q26" i="25"/>
  <c r="CZ176" i="85"/>
  <c r="V177" i="85"/>
  <c r="V178" i="85"/>
  <c r="BN665" i="23"/>
  <c r="Z30" i="20"/>
  <c r="Z117" i="20"/>
  <c r="K191" i="60"/>
  <c r="G79" i="63" s="1"/>
  <c r="Z26" i="20"/>
  <c r="Z29" i="20"/>
  <c r="BR10" i="23"/>
  <c r="BR13" i="23" s="1"/>
  <c r="BI198" i="59"/>
  <c r="DA87" i="25"/>
  <c r="AL106" i="30"/>
  <c r="EV105" i="30"/>
  <c r="BM90" i="23"/>
  <c r="BM91" i="23"/>
  <c r="DS18" i="20"/>
  <c r="EP105" i="30"/>
  <c r="CN31" i="59"/>
  <c r="CN234" i="59"/>
  <c r="N234" i="59" s="1"/>
  <c r="CO30" i="59"/>
  <c r="CN81" i="59"/>
  <c r="CL39" i="85"/>
  <c r="CQ24" i="85"/>
  <c r="CK243" i="59"/>
  <c r="BW6" i="23"/>
  <c r="CB6" i="23"/>
  <c r="I28" i="25"/>
  <c r="I25" i="25"/>
  <c r="CD26" i="25"/>
  <c r="I29" i="25"/>
  <c r="CD29" i="25" s="1"/>
  <c r="I27" i="25"/>
  <c r="CM14" i="25"/>
  <c r="CM15" i="25"/>
  <c r="CM13" i="25"/>
  <c r="CR13" i="25"/>
  <c r="CM11" i="25"/>
  <c r="DT172" i="30"/>
  <c r="DT195" i="30"/>
  <c r="EC21" i="20"/>
  <c r="BV33" i="85"/>
  <c r="H306" i="60"/>
  <c r="P34" i="85"/>
  <c r="P35" i="85"/>
  <c r="L9" i="95"/>
  <c r="W265" i="59"/>
  <c r="AF8" i="32"/>
  <c r="L23" i="95"/>
  <c r="CR55" i="59"/>
  <c r="CR319" i="59" s="1"/>
  <c r="CR50" i="59"/>
  <c r="BH42" i="31"/>
  <c r="BH43" i="31" s="1"/>
  <c r="BK91" i="23"/>
  <c r="BK90" i="23"/>
  <c r="R24" i="38"/>
  <c r="R25" i="38" s="1"/>
  <c r="R26" i="38" s="1"/>
  <c r="S23" i="38"/>
  <c r="EH104" i="30"/>
  <c r="EH109" i="30"/>
  <c r="EH110" i="30" s="1"/>
  <c r="CU223" i="59"/>
  <c r="CQ23" i="85"/>
  <c r="CQ71" i="85"/>
  <c r="CQ72" i="85" s="1"/>
  <c r="CQ20" i="85"/>
  <c r="CU18" i="59"/>
  <c r="K24" i="95"/>
  <c r="V271" i="59" s="1"/>
  <c r="N82" i="73"/>
  <c r="N83" i="73" s="1"/>
  <c r="I81" i="23"/>
  <c r="I82" i="23" s="1"/>
  <c r="I40" i="23"/>
  <c r="I663" i="23"/>
  <c r="I44" i="23"/>
  <c r="I83" i="23"/>
  <c r="BT26" i="73"/>
  <c r="BT27" i="73"/>
  <c r="BT24" i="73"/>
  <c r="CA61" i="59" l="1"/>
  <c r="CA320" i="59"/>
  <c r="AK25" i="20"/>
  <c r="AL25" i="20" s="1"/>
  <c r="AM25" i="20" s="1"/>
  <c r="AN25" i="20" s="1"/>
  <c r="I278" i="60"/>
  <c r="P32" i="52"/>
  <c r="K224" i="60"/>
  <c r="J226" i="60"/>
  <c r="W402" i="60"/>
  <c r="V404" i="60"/>
  <c r="R39" i="52"/>
  <c r="Q29" i="52"/>
  <c r="Q31" i="52" s="1"/>
  <c r="X394" i="60"/>
  <c r="W398" i="60"/>
  <c r="P68" i="53"/>
  <c r="Q68" i="53" s="1"/>
  <c r="R68" i="53" s="1"/>
  <c r="S68" i="53" s="1"/>
  <c r="T68" i="53" s="1"/>
  <c r="U68" i="53" s="1"/>
  <c r="V68" i="53" s="1"/>
  <c r="W68" i="53" s="1"/>
  <c r="X68" i="53" s="1"/>
  <c r="Y68" i="53" s="1"/>
  <c r="Z68" i="53" s="1"/>
  <c r="AA68" i="53" s="1"/>
  <c r="AB68" i="53" s="1"/>
  <c r="O58" i="53"/>
  <c r="L216" i="60"/>
  <c r="K220" i="60"/>
  <c r="DR378" i="23"/>
  <c r="DR379" i="23"/>
  <c r="AK384" i="23"/>
  <c r="AL431" i="23"/>
  <c r="R121" i="59"/>
  <c r="R296" i="59" s="1"/>
  <c r="DD140" i="85"/>
  <c r="AA45" i="38"/>
  <c r="AB5" i="38"/>
  <c r="AB19" i="38"/>
  <c r="AA21" i="38"/>
  <c r="AC22" i="38"/>
  <c r="CQ244" i="59"/>
  <c r="CQ246" i="59" s="1"/>
  <c r="O55" i="31"/>
  <c r="O57" i="31" s="1"/>
  <c r="O50" i="31"/>
  <c r="D56" i="59"/>
  <c r="D57" i="59"/>
  <c r="C72" i="60"/>
  <c r="N58" i="31"/>
  <c r="CX116" i="30"/>
  <c r="AC117" i="30"/>
  <c r="AC119" i="30"/>
  <c r="F55" i="59"/>
  <c r="P44" i="31"/>
  <c r="E73" i="60"/>
  <c r="P43" i="31"/>
  <c r="P49" i="31"/>
  <c r="AE113" i="30"/>
  <c r="AU50" i="59"/>
  <c r="AU51" i="59"/>
  <c r="CM141" i="30"/>
  <c r="T141" i="30"/>
  <c r="T142" i="30"/>
  <c r="U142" i="30"/>
  <c r="Y117" i="30"/>
  <c r="B56" i="59" s="1"/>
  <c r="Y140" i="30"/>
  <c r="Z142" i="30" s="1"/>
  <c r="B55" i="59"/>
  <c r="Y119" i="30"/>
  <c r="Z117" i="30"/>
  <c r="AA141" i="30"/>
  <c r="D59" i="59"/>
  <c r="E72" i="38"/>
  <c r="CS116" i="30"/>
  <c r="CR117" i="30"/>
  <c r="CR140" i="30"/>
  <c r="CS140" i="30" s="1"/>
  <c r="CR119" i="30"/>
  <c r="AP55" i="59"/>
  <c r="AP57" i="59" s="1"/>
  <c r="B51" i="59"/>
  <c r="C50" i="59"/>
  <c r="F50" i="59"/>
  <c r="F51" i="59"/>
  <c r="R39" i="31"/>
  <c r="Q40" i="31"/>
  <c r="Q42" i="31"/>
  <c r="AD114" i="30"/>
  <c r="DG113" i="30"/>
  <c r="G49" i="59"/>
  <c r="AD120" i="30"/>
  <c r="AD116" i="30"/>
  <c r="AU55" i="59"/>
  <c r="AV55" i="59" s="1"/>
  <c r="CW119" i="30"/>
  <c r="CW117" i="30"/>
  <c r="CC140" i="30"/>
  <c r="CC117" i="30"/>
  <c r="CC119" i="30"/>
  <c r="CH117" i="30"/>
  <c r="E56" i="59"/>
  <c r="E57" i="59"/>
  <c r="AQ49" i="59"/>
  <c r="DB114" i="30"/>
  <c r="DB120" i="30"/>
  <c r="AZ49" i="59"/>
  <c r="BA49" i="59" s="1"/>
  <c r="DB116" i="30"/>
  <c r="DC116" i="30" s="1"/>
  <c r="CV20" i="85"/>
  <c r="CX105" i="85"/>
  <c r="CV14" i="85"/>
  <c r="CX95" i="85"/>
  <c r="CV71" i="85"/>
  <c r="CX12" i="85"/>
  <c r="CZ223" i="59"/>
  <c r="CZ243" i="59" s="1"/>
  <c r="CV23" i="85"/>
  <c r="CX13" i="85"/>
  <c r="CX71" i="85" s="1"/>
  <c r="DD141" i="85"/>
  <c r="DD144" i="85"/>
  <c r="DD158" i="85"/>
  <c r="W158" i="85" s="1"/>
  <c r="DD157" i="85"/>
  <c r="W157" i="85" s="1"/>
  <c r="DE157" i="85" s="1"/>
  <c r="BK46" i="73"/>
  <c r="DD160" i="85"/>
  <c r="W160" i="85" s="1"/>
  <c r="DE160" i="85" s="1"/>
  <c r="DD174" i="85"/>
  <c r="W174" i="85" s="1"/>
  <c r="DE174" i="85" s="1"/>
  <c r="DD159" i="85"/>
  <c r="W159" i="85" s="1"/>
  <c r="DE159" i="85" s="1"/>
  <c r="AE39" i="59"/>
  <c r="AY11" i="30"/>
  <c r="CO18" i="59"/>
  <c r="DC154" i="85"/>
  <c r="DC153" i="85"/>
  <c r="DD153" i="85"/>
  <c r="DD154" i="85"/>
  <c r="BY20" i="31"/>
  <c r="M34" i="73"/>
  <c r="CW71" i="85"/>
  <c r="CW72" i="85" s="1"/>
  <c r="DA96" i="85"/>
  <c r="X143" i="85"/>
  <c r="K50" i="95"/>
  <c r="DB162" i="85"/>
  <c r="Z114" i="85"/>
  <c r="Z120" i="85"/>
  <c r="Z131" i="85" s="1"/>
  <c r="Z132" i="85" s="1"/>
  <c r="Z119" i="85"/>
  <c r="Y125" i="85"/>
  <c r="Y137" i="85"/>
  <c r="DC161" i="85"/>
  <c r="DC170" i="85" s="1"/>
  <c r="AA113" i="85"/>
  <c r="AA149" i="85" s="1"/>
  <c r="AA150" i="85" s="1"/>
  <c r="Q102" i="73"/>
  <c r="AB111" i="85"/>
  <c r="DB14" i="85"/>
  <c r="CJ243" i="59"/>
  <c r="CU18" i="85"/>
  <c r="N19" i="59"/>
  <c r="P18" i="59"/>
  <c r="P19" i="59" s="1"/>
  <c r="DB96" i="85"/>
  <c r="AK122" i="20"/>
  <c r="E81" i="59"/>
  <c r="E80" i="59"/>
  <c r="E87" i="59"/>
  <c r="AB143" i="30"/>
  <c r="AV79" i="59"/>
  <c r="DU11" i="20"/>
  <c r="DU12" i="20" s="1"/>
  <c r="DU19" i="20"/>
  <c r="DZ19" i="20"/>
  <c r="AB20" i="20"/>
  <c r="AB82" i="20"/>
  <c r="R235" i="59"/>
  <c r="S235" i="59" s="1"/>
  <c r="EC17" i="20"/>
  <c r="ED17" i="20" s="1"/>
  <c r="EF17" i="20"/>
  <c r="EA20" i="20"/>
  <c r="CV235" i="59"/>
  <c r="CV240" i="59" s="1"/>
  <c r="EA16" i="20"/>
  <c r="EG17" i="20"/>
  <c r="EB20" i="20"/>
  <c r="CW235" i="59"/>
  <c r="CW240" i="59" s="1"/>
  <c r="EB16" i="20"/>
  <c r="CT235" i="59"/>
  <c r="AU89" i="59"/>
  <c r="AU88" i="59"/>
  <c r="DV11" i="20"/>
  <c r="DV12" i="20" s="1"/>
  <c r="DV19" i="20"/>
  <c r="DW11" i="20"/>
  <c r="DW12" i="20" s="1"/>
  <c r="DW19" i="20"/>
  <c r="BP663" i="23"/>
  <c r="BP40" i="23"/>
  <c r="BP83" i="23"/>
  <c r="BP81" i="23"/>
  <c r="BP82" i="23" s="1"/>
  <c r="BP44" i="23"/>
  <c r="AH59" i="20"/>
  <c r="AG60" i="20"/>
  <c r="AG62" i="20" s="1"/>
  <c r="AG61" i="20" s="1"/>
  <c r="AG74" i="20"/>
  <c r="AG76" i="20" s="1"/>
  <c r="AF24" i="20"/>
  <c r="AF78" i="20"/>
  <c r="AF79" i="20" s="1"/>
  <c r="AH385" i="23"/>
  <c r="AI432" i="23"/>
  <c r="AF398" i="23"/>
  <c r="AG445" i="23"/>
  <c r="DR387" i="23"/>
  <c r="AJ383" i="23"/>
  <c r="AK430" i="23"/>
  <c r="AH439" i="23"/>
  <c r="AG392" i="23"/>
  <c r="DR377" i="23"/>
  <c r="DR381" i="23"/>
  <c r="DR415" i="23"/>
  <c r="AF379" i="23"/>
  <c r="AG426" i="23"/>
  <c r="AM380" i="23"/>
  <c r="AN427" i="23"/>
  <c r="AN380" i="23" s="1"/>
  <c r="AG462" i="23"/>
  <c r="AF415" i="23"/>
  <c r="AJ397" i="23"/>
  <c r="AK444" i="23"/>
  <c r="AG394" i="23"/>
  <c r="AH441" i="23"/>
  <c r="AG428" i="23"/>
  <c r="AF381" i="23"/>
  <c r="AN447" i="23"/>
  <c r="AN400" i="23" s="1"/>
  <c r="AM400" i="23"/>
  <c r="BM670" i="23"/>
  <c r="AM443" i="23"/>
  <c r="AL396" i="23"/>
  <c r="AG425" i="23"/>
  <c r="AF378" i="23"/>
  <c r="AF377" i="23"/>
  <c r="AG424" i="23"/>
  <c r="AF387" i="23"/>
  <c r="AG434" i="23"/>
  <c r="BN656" i="23"/>
  <c r="G294" i="60"/>
  <c r="X27" i="52"/>
  <c r="W26" i="52"/>
  <c r="L664" i="23"/>
  <c r="L671" i="23"/>
  <c r="L670" i="23"/>
  <c r="L89" i="23"/>
  <c r="L91" i="23" s="1"/>
  <c r="L60" i="23"/>
  <c r="L50" i="23"/>
  <c r="L58" i="23"/>
  <c r="L87" i="23"/>
  <c r="BJ44" i="23"/>
  <c r="AF13" i="52"/>
  <c r="AF20" i="52"/>
  <c r="AY22" i="30" s="1"/>
  <c r="DB50" i="59"/>
  <c r="DB55" i="59"/>
  <c r="AC39" i="59"/>
  <c r="AW11" i="30"/>
  <c r="AW23" i="30" s="1"/>
  <c r="AW10" i="30"/>
  <c r="AV18" i="30"/>
  <c r="AB91" i="59"/>
  <c r="AV17" i="30"/>
  <c r="AB232" i="59"/>
  <c r="AB40" i="59"/>
  <c r="AJ559" i="23"/>
  <c r="AQ65" i="25"/>
  <c r="AU25" i="30"/>
  <c r="AQ66" i="25"/>
  <c r="AQ67" i="25" s="1"/>
  <c r="AU20" i="30"/>
  <c r="DB13" i="59"/>
  <c r="AC24" i="52"/>
  <c r="AU196" i="30"/>
  <c r="AA107" i="59" s="1"/>
  <c r="AA113" i="59" s="1"/>
  <c r="AU34" i="30"/>
  <c r="AO74" i="25"/>
  <c r="AO75" i="25"/>
  <c r="AP69" i="25"/>
  <c r="AT29" i="30"/>
  <c r="AP73" i="25" s="1"/>
  <c r="AD18" i="52"/>
  <c r="AD9" i="52"/>
  <c r="AD23" i="52"/>
  <c r="AW16" i="30"/>
  <c r="AW19" i="30" s="1"/>
  <c r="AD17" i="52"/>
  <c r="AE16" i="52"/>
  <c r="AA93" i="59"/>
  <c r="AA92" i="59"/>
  <c r="AA323" i="59"/>
  <c r="AO68" i="25"/>
  <c r="AO71" i="25"/>
  <c r="AO72" i="25"/>
  <c r="AO70" i="25"/>
  <c r="AE20" i="52"/>
  <c r="AX22" i="30" s="1"/>
  <c r="AX9" i="30"/>
  <c r="AY10" i="30" s="1"/>
  <c r="AE13" i="52"/>
  <c r="AC10" i="52"/>
  <c r="AC11" i="52"/>
  <c r="AR64" i="25"/>
  <c r="AV12" i="30"/>
  <c r="AV32" i="30"/>
  <c r="AJ75" i="20"/>
  <c r="C45" i="59"/>
  <c r="C28" i="59"/>
  <c r="D28" i="59"/>
  <c r="AM71" i="20"/>
  <c r="AM72" i="20" s="1"/>
  <c r="AM23" i="20" s="1"/>
  <c r="AN70" i="20"/>
  <c r="AN71" i="20" s="1"/>
  <c r="C81" i="59"/>
  <c r="C87" i="59"/>
  <c r="D80" i="59"/>
  <c r="C80" i="59"/>
  <c r="D72" i="38"/>
  <c r="C59" i="59"/>
  <c r="Z141" i="30"/>
  <c r="AA142" i="30"/>
  <c r="D91" i="38"/>
  <c r="D85" i="38"/>
  <c r="D47" i="38"/>
  <c r="E47" i="38"/>
  <c r="CD34" i="85"/>
  <c r="DI275" i="59"/>
  <c r="U278" i="59"/>
  <c r="U279" i="59" s="1"/>
  <c r="DI188" i="59"/>
  <c r="AJ72" i="23"/>
  <c r="AI73" i="23"/>
  <c r="DB295" i="59"/>
  <c r="DG295" i="59"/>
  <c r="CZ231" i="59"/>
  <c r="DE15" i="59"/>
  <c r="DH18" i="59"/>
  <c r="DD71" i="85"/>
  <c r="DD72" i="85" s="1"/>
  <c r="DD14" i="85"/>
  <c r="DD20" i="85"/>
  <c r="DB71" i="85"/>
  <c r="DF18" i="59"/>
  <c r="DB20" i="85"/>
  <c r="DB21" i="85" s="1"/>
  <c r="DB23" i="85"/>
  <c r="DB25" i="85" s="1"/>
  <c r="DC18" i="85"/>
  <c r="W18" i="85" s="1"/>
  <c r="DC95" i="85"/>
  <c r="DC96" i="85" s="1"/>
  <c r="DC105" i="85"/>
  <c r="DC13" i="85"/>
  <c r="DG223" i="59" s="1"/>
  <c r="U223" i="59" s="1"/>
  <c r="DA71" i="85"/>
  <c r="DE18" i="59"/>
  <c r="DA23" i="85"/>
  <c r="DA20" i="85"/>
  <c r="DA21" i="85" s="1"/>
  <c r="W11" i="85"/>
  <c r="DC12" i="85"/>
  <c r="V11" i="85"/>
  <c r="V19" i="85" s="1"/>
  <c r="EZ93" i="30"/>
  <c r="EZ94" i="30" s="1"/>
  <c r="AQ157" i="59"/>
  <c r="AP159" i="59"/>
  <c r="AP165" i="59"/>
  <c r="AP167" i="59" s="1"/>
  <c r="AV149" i="59"/>
  <c r="AU157" i="59"/>
  <c r="AV157" i="59" s="1"/>
  <c r="AU151" i="59"/>
  <c r="AU150" i="59"/>
  <c r="AO77" i="59"/>
  <c r="AO99" i="59"/>
  <c r="AZ15" i="59"/>
  <c r="BA15" i="59" s="1"/>
  <c r="DB104" i="30"/>
  <c r="AO167" i="59"/>
  <c r="AZ131" i="59"/>
  <c r="BA131" i="59" s="1"/>
  <c r="AZ126" i="59"/>
  <c r="AU59" i="59"/>
  <c r="CW141" i="30"/>
  <c r="AU145" i="59"/>
  <c r="AU146" i="59" s="1"/>
  <c r="AU132" i="59"/>
  <c r="BF122" i="59"/>
  <c r="BJ125" i="59"/>
  <c r="BE125" i="59"/>
  <c r="BE123" i="59"/>
  <c r="BA123" i="59"/>
  <c r="AV131" i="59"/>
  <c r="DB130" i="30"/>
  <c r="DB128" i="30"/>
  <c r="AZ149" i="59"/>
  <c r="BA149" i="59" s="1"/>
  <c r="BI126" i="59"/>
  <c r="BD126" i="59"/>
  <c r="BD218" i="59"/>
  <c r="BD226" i="59" s="1"/>
  <c r="BD228" i="59" s="1"/>
  <c r="BD131" i="59"/>
  <c r="AP45" i="59"/>
  <c r="AQ27" i="59"/>
  <c r="AT45" i="59"/>
  <c r="AT28" i="59"/>
  <c r="DG126" i="30"/>
  <c r="DG132" i="30"/>
  <c r="DL126" i="30"/>
  <c r="DG127" i="30"/>
  <c r="AU27" i="59"/>
  <c r="AU16" i="59"/>
  <c r="AY16" i="59"/>
  <c r="AY27" i="59"/>
  <c r="AY157" i="59"/>
  <c r="AY151" i="59"/>
  <c r="AY150" i="59"/>
  <c r="DG98" i="30"/>
  <c r="DL98" i="30"/>
  <c r="AY145" i="59"/>
  <c r="AY132" i="59"/>
  <c r="AT159" i="59"/>
  <c r="AT165" i="59"/>
  <c r="AT158" i="59"/>
  <c r="DF104" i="30"/>
  <c r="DK104" i="30"/>
  <c r="BD15" i="59"/>
  <c r="DG103" i="30"/>
  <c r="AT61" i="59"/>
  <c r="AT60" i="59"/>
  <c r="AT75" i="59"/>
  <c r="AT146" i="59"/>
  <c r="DF130" i="30"/>
  <c r="DK128" i="30"/>
  <c r="DF128" i="30"/>
  <c r="BD149" i="59"/>
  <c r="DF140" i="30"/>
  <c r="DH127" i="30"/>
  <c r="DC103" i="30"/>
  <c r="AY59" i="59"/>
  <c r="DA141" i="30"/>
  <c r="DA142" i="30"/>
  <c r="CY234" i="59"/>
  <c r="CW26" i="85"/>
  <c r="CT223" i="59"/>
  <c r="DB39" i="85"/>
  <c r="BI19" i="73"/>
  <c r="BI20" i="73" s="1"/>
  <c r="CJ223" i="59"/>
  <c r="BH19" i="73"/>
  <c r="DB330" i="59"/>
  <c r="O47" i="95"/>
  <c r="DB167" i="59"/>
  <c r="DA19" i="59"/>
  <c r="DA15" i="59"/>
  <c r="AO108" i="30"/>
  <c r="CV15" i="59"/>
  <c r="CV243" i="59"/>
  <c r="CV19" i="59"/>
  <c r="CG306" i="59"/>
  <c r="CG60" i="59"/>
  <c r="CG61" i="59"/>
  <c r="BD137" i="73" s="1"/>
  <c r="CG320" i="59"/>
  <c r="CW21" i="85"/>
  <c r="CW28" i="85"/>
  <c r="CV226" i="59"/>
  <c r="CL64" i="59"/>
  <c r="CL65" i="59"/>
  <c r="CL59" i="59"/>
  <c r="DA243" i="59"/>
  <c r="CR21" i="85"/>
  <c r="CR28" i="85"/>
  <c r="ES103" i="30"/>
  <c r="CQ231" i="59"/>
  <c r="CQ236" i="59" s="1"/>
  <c r="CQ238" i="59" s="1"/>
  <c r="CQ16" i="59"/>
  <c r="CM29" i="85"/>
  <c r="CQ63" i="59"/>
  <c r="EN104" i="30"/>
  <c r="EN109" i="30"/>
  <c r="EN110" i="30" s="1"/>
  <c r="H261" i="59"/>
  <c r="H262" i="59" s="1"/>
  <c r="O223" i="59"/>
  <c r="V34" i="33"/>
  <c r="H64" i="38"/>
  <c r="H80" i="38" s="1"/>
  <c r="U276" i="59"/>
  <c r="AI243" i="30"/>
  <c r="AA12" i="20"/>
  <c r="L13" i="59"/>
  <c r="CR15" i="59"/>
  <c r="CR16" i="59" s="1"/>
  <c r="CX96" i="85"/>
  <c r="CI33" i="85"/>
  <c r="CI35" i="85" s="1"/>
  <c r="CY72" i="85"/>
  <c r="CL28" i="85"/>
  <c r="CL29" i="85" s="1"/>
  <c r="AE100" i="31"/>
  <c r="AD102" i="31"/>
  <c r="U133" i="31"/>
  <c r="V134" i="31"/>
  <c r="T107" i="31"/>
  <c r="T108" i="31" s="1"/>
  <c r="T109" i="31" s="1"/>
  <c r="T135" i="31"/>
  <c r="T112" i="31" s="1"/>
  <c r="T113" i="31" s="1"/>
  <c r="T114" i="31" s="1"/>
  <c r="T128" i="31"/>
  <c r="T129" i="31" s="1"/>
  <c r="T130" i="31" s="1"/>
  <c r="U130" i="31" s="1"/>
  <c r="Y127" i="31"/>
  <c r="BK191" i="59"/>
  <c r="CX122" i="59"/>
  <c r="R122" i="59" s="1"/>
  <c r="BT5" i="23"/>
  <c r="V102" i="33"/>
  <c r="V35" i="33" s="1"/>
  <c r="V36" i="33" s="1"/>
  <c r="V43" i="33" s="1"/>
  <c r="V44" i="33" s="1"/>
  <c r="N223" i="59"/>
  <c r="CO223" i="59" s="1"/>
  <c r="CM226" i="59"/>
  <c r="CM228" i="59" s="1"/>
  <c r="AV197" i="59"/>
  <c r="CX296" i="59"/>
  <c r="BU47" i="73"/>
  <c r="AI133" i="23"/>
  <c r="AI112" i="23"/>
  <c r="AI175" i="23"/>
  <c r="AI294" i="23" s="1"/>
  <c r="AI690" i="23" s="1"/>
  <c r="AQ31" i="31"/>
  <c r="AT23" i="31"/>
  <c r="AT31" i="31" s="1"/>
  <c r="AV23" i="31"/>
  <c r="AQ24" i="31"/>
  <c r="G42" i="73"/>
  <c r="G41" i="73"/>
  <c r="H15" i="59"/>
  <c r="DL103" i="30"/>
  <c r="DQ104" i="30" s="1"/>
  <c r="T34" i="31"/>
  <c r="AS31" i="31"/>
  <c r="AS33" i="31" s="1"/>
  <c r="AX23" i="31"/>
  <c r="H85" i="38"/>
  <c r="H91" i="38"/>
  <c r="H47" i="38"/>
  <c r="G30" i="73"/>
  <c r="G31" i="73" s="1"/>
  <c r="T90" i="31"/>
  <c r="T25" i="31"/>
  <c r="AR24" i="31"/>
  <c r="AW23" i="31"/>
  <c r="AR31" i="31"/>
  <c r="AR33" i="31" s="1"/>
  <c r="AR34" i="31" s="1"/>
  <c r="EB97" i="30"/>
  <c r="AH130" i="30"/>
  <c r="AH98" i="30"/>
  <c r="BP49" i="73"/>
  <c r="BP48" i="73"/>
  <c r="EG95" i="30"/>
  <c r="AI97" i="30"/>
  <c r="AI132" i="30"/>
  <c r="AI96" i="30"/>
  <c r="H55" i="73"/>
  <c r="H56" i="73" s="1"/>
  <c r="H53" i="73" s="1"/>
  <c r="W101" i="33" s="1"/>
  <c r="W100" i="33" s="1"/>
  <c r="W33" i="33" s="1"/>
  <c r="W34" i="33" s="1"/>
  <c r="BK55" i="73"/>
  <c r="BK56" i="73"/>
  <c r="Q122" i="59"/>
  <c r="CS125" i="59"/>
  <c r="BP54" i="73" s="1"/>
  <c r="EU95" i="30"/>
  <c r="EU96" i="30" s="1"/>
  <c r="N312" i="59"/>
  <c r="N326" i="59"/>
  <c r="N131" i="59"/>
  <c r="N126" i="59"/>
  <c r="CO123" i="59"/>
  <c r="N151" i="59"/>
  <c r="Q296" i="59"/>
  <c r="AL93" i="30"/>
  <c r="Q124" i="59"/>
  <c r="CT121" i="59"/>
  <c r="CO122" i="59"/>
  <c r="I54" i="73"/>
  <c r="P122" i="59"/>
  <c r="N125" i="59"/>
  <c r="AK95" i="30"/>
  <c r="AK97" i="30" s="1"/>
  <c r="P124" i="59"/>
  <c r="AK94" i="30"/>
  <c r="EQ93" i="30"/>
  <c r="Z9" i="32"/>
  <c r="M151" i="59"/>
  <c r="CJ123" i="59"/>
  <c r="M131" i="59"/>
  <c r="L35" i="73"/>
  <c r="L36" i="73" s="1"/>
  <c r="AJ97" i="30"/>
  <c r="W45" i="33"/>
  <c r="EL95" i="30"/>
  <c r="AJ96" i="30"/>
  <c r="Y88" i="32"/>
  <c r="Y13" i="32"/>
  <c r="Y14" i="32" s="1"/>
  <c r="Y10" i="32"/>
  <c r="Y7" i="32"/>
  <c r="Y16" i="32"/>
  <c r="K35" i="73"/>
  <c r="K36" i="73" s="1"/>
  <c r="CJ31" i="85"/>
  <c r="CK31" i="85" s="1"/>
  <c r="DC243" i="59"/>
  <c r="BO228" i="59"/>
  <c r="AA98" i="85"/>
  <c r="Z56" i="85"/>
  <c r="Z57" i="85" s="1"/>
  <c r="CZ18" i="85"/>
  <c r="BC21" i="31"/>
  <c r="AX29" i="31"/>
  <c r="BK24" i="73"/>
  <c r="BK27" i="73"/>
  <c r="BK26" i="73"/>
  <c r="M244" i="59"/>
  <c r="BB29" i="31"/>
  <c r="BG21" i="31"/>
  <c r="BP15" i="59"/>
  <c r="I27" i="59"/>
  <c r="AF103" i="30"/>
  <c r="CV72" i="85"/>
  <c r="AA60" i="85"/>
  <c r="Z77" i="85"/>
  <c r="Z62" i="85"/>
  <c r="Z50" i="85"/>
  <c r="Z51" i="85" s="1"/>
  <c r="CO39" i="85"/>
  <c r="CT24" i="85"/>
  <c r="U24" i="85" s="1"/>
  <c r="CX23" i="85"/>
  <c r="DB18" i="59"/>
  <c r="DB15" i="59" s="1"/>
  <c r="BI24" i="73"/>
  <c r="BI26" i="73"/>
  <c r="BI27" i="73"/>
  <c r="CI8" i="59"/>
  <c r="CD9" i="59"/>
  <c r="CD12" i="59"/>
  <c r="CD15" i="59" s="1"/>
  <c r="AT14" i="31"/>
  <c r="EF86" i="30"/>
  <c r="Z86" i="85"/>
  <c r="Z101" i="85"/>
  <c r="AA84" i="85"/>
  <c r="CN21" i="85"/>
  <c r="CN28" i="85"/>
  <c r="DL35" i="25"/>
  <c r="BT16" i="59"/>
  <c r="J15" i="59"/>
  <c r="BT231" i="59"/>
  <c r="DV103" i="30"/>
  <c r="I231" i="59"/>
  <c r="BO236" i="59"/>
  <c r="I236" i="59" s="1"/>
  <c r="BP236" i="59" s="1"/>
  <c r="BF9" i="31"/>
  <c r="BF31" i="31"/>
  <c r="BM25" i="73"/>
  <c r="BK11" i="31"/>
  <c r="W11" i="31"/>
  <c r="BE11" i="31"/>
  <c r="V95" i="31"/>
  <c r="I25" i="73"/>
  <c r="BU25" i="73"/>
  <c r="BI31" i="31"/>
  <c r="BP25" i="73"/>
  <c r="CH65" i="59"/>
  <c r="CH64" i="59"/>
  <c r="CH59" i="59"/>
  <c r="I227" i="59"/>
  <c r="BP219" i="59"/>
  <c r="AY21" i="31"/>
  <c r="AU21" i="31"/>
  <c r="DC19" i="59"/>
  <c r="CX243" i="59"/>
  <c r="CX19" i="59"/>
  <c r="EB86" i="30"/>
  <c r="EA90" i="30"/>
  <c r="EA87" i="30"/>
  <c r="CR243" i="59"/>
  <c r="Q243" i="59" s="1"/>
  <c r="CR19" i="59"/>
  <c r="CB17" i="23"/>
  <c r="CG18" i="23" s="1"/>
  <c r="CG14" i="23"/>
  <c r="CS71" i="85"/>
  <c r="CS72" i="85" s="1"/>
  <c r="CS20" i="85"/>
  <c r="CS23" i="85"/>
  <c r="CS25" i="85" s="1"/>
  <c r="CS26" i="85" s="1"/>
  <c r="CW223" i="59"/>
  <c r="R223" i="59" s="1"/>
  <c r="CW18" i="59"/>
  <c r="R18" i="59" s="1"/>
  <c r="J219" i="59"/>
  <c r="BT226" i="59"/>
  <c r="J226" i="59" s="1"/>
  <c r="BU226" i="59" s="1"/>
  <c r="DQ109" i="30"/>
  <c r="BH27" i="73"/>
  <c r="BH24" i="73"/>
  <c r="BH26" i="73"/>
  <c r="CM63" i="59"/>
  <c r="CI29" i="85"/>
  <c r="BN25" i="73"/>
  <c r="BG9" i="31"/>
  <c r="BL11" i="31"/>
  <c r="H26" i="73"/>
  <c r="H27" i="73"/>
  <c r="H24" i="73"/>
  <c r="BY13" i="59"/>
  <c r="BY15" i="59"/>
  <c r="BY219" i="59"/>
  <c r="DW90" i="30"/>
  <c r="DV91" i="30"/>
  <c r="CS39" i="85"/>
  <c r="CX24" i="85"/>
  <c r="BA29" i="31"/>
  <c r="BA33" i="31" s="1"/>
  <c r="BF21" i="31"/>
  <c r="BA24" i="31"/>
  <c r="AG53" i="25"/>
  <c r="AL172" i="30" s="1"/>
  <c r="CM31" i="85"/>
  <c r="CM33" i="85" s="1"/>
  <c r="CN31" i="85"/>
  <c r="CL31" i="85"/>
  <c r="L24" i="95"/>
  <c r="W271" i="59" s="1"/>
  <c r="O82" i="73"/>
  <c r="O83" i="73" s="1"/>
  <c r="DS16" i="20"/>
  <c r="DX19" i="20" s="1"/>
  <c r="DT18" i="20"/>
  <c r="BR14" i="23"/>
  <c r="BR17" i="23"/>
  <c r="BR7" i="23"/>
  <c r="BN670" i="23"/>
  <c r="BN671" i="23"/>
  <c r="Z141" i="20"/>
  <c r="AD111" i="31"/>
  <c r="CT18" i="59"/>
  <c r="CZ19" i="59"/>
  <c r="N8" i="95"/>
  <c r="CB34" i="85"/>
  <c r="CB35" i="85"/>
  <c r="CG44" i="23"/>
  <c r="CG40" i="23"/>
  <c r="CM236" i="59"/>
  <c r="CM238" i="59" s="1"/>
  <c r="I85" i="23"/>
  <c r="I84" i="23"/>
  <c r="CR57" i="59"/>
  <c r="CR305" i="59"/>
  <c r="CR56" i="59"/>
  <c r="W273" i="59"/>
  <c r="W268" i="59"/>
  <c r="W281" i="59"/>
  <c r="W282" i="59" s="1"/>
  <c r="W267" i="59"/>
  <c r="DT151" i="30"/>
  <c r="DT199" i="30"/>
  <c r="CA20" i="23" s="1"/>
  <c r="CA21" i="23" s="1"/>
  <c r="CA23" i="23" s="1"/>
  <c r="N243" i="59"/>
  <c r="CK244" i="59"/>
  <c r="CK246" i="59" s="1"/>
  <c r="CV24" i="85"/>
  <c r="DA24" i="85" s="1"/>
  <c r="CQ39" i="85"/>
  <c r="EP106" i="30"/>
  <c r="EQ105" i="30"/>
  <c r="BI207" i="59"/>
  <c r="BI200" i="59"/>
  <c r="BI199" i="59"/>
  <c r="Z116" i="20"/>
  <c r="Z27" i="20"/>
  <c r="R6" i="95"/>
  <c r="R12" i="95"/>
  <c r="R13" i="95" s="1"/>
  <c r="R15" i="95" s="1"/>
  <c r="S4" i="95"/>
  <c r="T4" i="95" s="1"/>
  <c r="R34" i="95"/>
  <c r="EB195" i="30"/>
  <c r="AH151" i="30"/>
  <c r="AH163" i="30" s="1"/>
  <c r="K105" i="59"/>
  <c r="K108" i="59" s="1"/>
  <c r="AH199" i="30"/>
  <c r="Z133" i="20"/>
  <c r="DF40" i="25"/>
  <c r="DP158" i="30"/>
  <c r="DF44" i="25" s="1"/>
  <c r="CE25" i="85"/>
  <c r="R23" i="85"/>
  <c r="AB52" i="25"/>
  <c r="AB54" i="25"/>
  <c r="AI169" i="30"/>
  <c r="Q35" i="85"/>
  <c r="Q34" i="85"/>
  <c r="I306" i="60"/>
  <c r="BY32" i="31"/>
  <c r="Z153" i="23"/>
  <c r="Z154" i="23" s="1"/>
  <c r="CG29" i="85"/>
  <c r="CK63" i="59"/>
  <c r="CG33" i="85"/>
  <c r="CR290" i="59"/>
  <c r="CR291" i="59" s="1"/>
  <c r="CR226" i="59"/>
  <c r="CR228" i="59" s="1"/>
  <c r="DS173" i="30"/>
  <c r="DI53" i="25"/>
  <c r="DS176" i="30"/>
  <c r="DS181" i="30" s="1"/>
  <c r="DS182" i="30" s="1"/>
  <c r="CJ18" i="25"/>
  <c r="CJ17" i="25"/>
  <c r="CO17" i="25"/>
  <c r="CN16" i="25"/>
  <c r="AK236" i="30"/>
  <c r="AK168" i="30"/>
  <c r="BQ94" i="23"/>
  <c r="M21" i="95"/>
  <c r="X266" i="59"/>
  <c r="DR151" i="30"/>
  <c r="AF163" i="30"/>
  <c r="DR163" i="30" s="1"/>
  <c r="CW13" i="59"/>
  <c r="CW219" i="59"/>
  <c r="K63" i="59"/>
  <c r="AH170" i="30"/>
  <c r="AH171" i="30" s="1"/>
  <c r="AG181" i="30"/>
  <c r="Z60" i="25"/>
  <c r="Z59" i="25"/>
  <c r="O7" i="95"/>
  <c r="R89" i="73"/>
  <c r="AA142" i="20"/>
  <c r="AA137" i="20"/>
  <c r="AA148" i="20"/>
  <c r="AA154" i="20" s="1"/>
  <c r="CS198" i="30"/>
  <c r="W269" i="59"/>
  <c r="W274" i="59"/>
  <c r="AB13" i="31" s="1"/>
  <c r="R112" i="59"/>
  <c r="R322" i="59"/>
  <c r="S87" i="59"/>
  <c r="CY87" i="59" s="1"/>
  <c r="R308" i="59"/>
  <c r="R88" i="59"/>
  <c r="R89" i="59"/>
  <c r="CP231" i="59"/>
  <c r="CP16" i="59"/>
  <c r="ER103" i="30"/>
  <c r="AE130" i="30"/>
  <c r="AF128" i="30"/>
  <c r="AE128" i="30"/>
  <c r="DM127" i="30"/>
  <c r="AA30" i="20"/>
  <c r="L191" i="60"/>
  <c r="H79" i="63" s="1"/>
  <c r="AA117" i="20"/>
  <c r="AA26" i="20"/>
  <c r="AA29" i="20"/>
  <c r="AG50" i="25"/>
  <c r="AL167" i="30"/>
  <c r="CW72" i="30"/>
  <c r="CM26" i="25"/>
  <c r="CX64" i="30"/>
  <c r="BU63" i="59"/>
  <c r="J64" i="59"/>
  <c r="J65" i="59"/>
  <c r="CV21" i="85"/>
  <c r="CF64" i="59"/>
  <c r="CF65" i="59"/>
  <c r="CF59" i="59"/>
  <c r="Z140" i="20"/>
  <c r="AK172" i="30"/>
  <c r="AF53" i="25"/>
  <c r="I87" i="23"/>
  <c r="I88" i="23" s="1"/>
  <c r="I58" i="23"/>
  <c r="I60" i="23"/>
  <c r="I65" i="23" s="1"/>
  <c r="I69" i="23" s="1"/>
  <c r="I50" i="23"/>
  <c r="I52" i="23" s="1"/>
  <c r="I89" i="23"/>
  <c r="CQ25" i="85"/>
  <c r="CQ26" i="85" s="1"/>
  <c r="CO234" i="59"/>
  <c r="P234" i="59"/>
  <c r="Q27" i="25"/>
  <c r="Q25" i="25"/>
  <c r="Q90" i="25" s="1"/>
  <c r="J20" i="23" s="1"/>
  <c r="Q28" i="25"/>
  <c r="CI26" i="25"/>
  <c r="R27" i="25"/>
  <c r="CO38" i="85"/>
  <c r="CJ23" i="85"/>
  <c r="BK97" i="23"/>
  <c r="AS198" i="59"/>
  <c r="CP87" i="25"/>
  <c r="CF40" i="23"/>
  <c r="CF44" i="23"/>
  <c r="F20" i="56"/>
  <c r="S87" i="73"/>
  <c r="S85" i="73"/>
  <c r="S88" i="73"/>
  <c r="S92" i="73"/>
  <c r="Y139" i="20"/>
  <c r="Y145" i="20"/>
  <c r="Y151" i="20" s="1"/>
  <c r="DU151" i="30"/>
  <c r="DU199" i="30"/>
  <c r="CB20" i="23" s="1"/>
  <c r="BN95" i="23"/>
  <c r="BN93" i="23"/>
  <c r="AE96" i="33"/>
  <c r="AD97" i="33"/>
  <c r="I670" i="23"/>
  <c r="I665" i="23"/>
  <c r="I666" i="23" s="1"/>
  <c r="I667" i="23" s="1"/>
  <c r="I669" i="23" s="1"/>
  <c r="I671" i="23"/>
  <c r="CU243" i="59"/>
  <c r="CU19" i="59"/>
  <c r="CU15" i="59"/>
  <c r="CU226" i="59"/>
  <c r="CS72" i="30"/>
  <c r="Q30" i="25"/>
  <c r="Q29" i="25" s="1"/>
  <c r="Q37" i="95"/>
  <c r="Q40" i="95"/>
  <c r="Q43" i="95" s="1"/>
  <c r="DF38" i="25"/>
  <c r="DF82" i="25"/>
  <c r="DF86" i="25" s="1"/>
  <c r="AM423" i="23"/>
  <c r="AL376" i="23"/>
  <c r="DX11" i="20"/>
  <c r="AA137" i="23"/>
  <c r="AA148" i="23"/>
  <c r="AA131" i="23"/>
  <c r="AA134" i="23"/>
  <c r="AF211" i="30"/>
  <c r="DR199" i="30"/>
  <c r="AA121" i="31"/>
  <c r="Z123" i="31"/>
  <c r="CR231" i="59"/>
  <c r="AB199" i="30"/>
  <c r="CX194" i="30"/>
  <c r="CP170" i="85"/>
  <c r="T172" i="85"/>
  <c r="T176" i="85"/>
  <c r="DE38" i="25"/>
  <c r="DE82" i="25"/>
  <c r="AP108" i="30"/>
  <c r="W33" i="59"/>
  <c r="V241" i="59"/>
  <c r="V224" i="59" s="1"/>
  <c r="V83" i="59"/>
  <c r="P44" i="95"/>
  <c r="AL429" i="23"/>
  <c r="AK382" i="23"/>
  <c r="FD105" i="30"/>
  <c r="FD106" i="30" s="1"/>
  <c r="DB31" i="59"/>
  <c r="AE46" i="85"/>
  <c r="CW55" i="59"/>
  <c r="BM42" i="31"/>
  <c r="BM43" i="31" s="1"/>
  <c r="CW50" i="59"/>
  <c r="AA55" i="25"/>
  <c r="AA56" i="25"/>
  <c r="AH176" i="30"/>
  <c r="AH177" i="30" s="1"/>
  <c r="AA58" i="25"/>
  <c r="DV172" i="30"/>
  <c r="DW172" i="30" s="1"/>
  <c r="DV195" i="30"/>
  <c r="AG195" i="30" s="1"/>
  <c r="CK236" i="59"/>
  <c r="CK238" i="59" s="1"/>
  <c r="R91" i="73"/>
  <c r="R94" i="73"/>
  <c r="R93" i="73"/>
  <c r="AU198" i="59"/>
  <c r="CR87" i="25"/>
  <c r="AK73" i="32"/>
  <c r="AJ79" i="32"/>
  <c r="AJ80" i="32" s="1"/>
  <c r="CR211" i="30"/>
  <c r="CS211" i="30" s="1"/>
  <c r="CS199" i="30"/>
  <c r="FC105" i="30"/>
  <c r="FC106" i="30" s="1"/>
  <c r="DA234" i="59"/>
  <c r="CP244" i="59"/>
  <c r="U286" i="59"/>
  <c r="CS244" i="59"/>
  <c r="CS246" i="59" s="1"/>
  <c r="Q240" i="59"/>
  <c r="V242" i="59"/>
  <c r="V220" i="59"/>
  <c r="V270" i="59"/>
  <c r="AG8" i="32"/>
  <c r="M9" i="95"/>
  <c r="X265" i="59"/>
  <c r="M23" i="95"/>
  <c r="CP20" i="85"/>
  <c r="T21" i="85"/>
  <c r="CW65" i="30"/>
  <c r="CW73" i="30" s="1"/>
  <c r="CW80" i="30" s="1"/>
  <c r="CW61" i="30"/>
  <c r="AB60" i="30"/>
  <c r="DU173" i="30"/>
  <c r="DK53" i="25"/>
  <c r="DK54" i="25" s="1"/>
  <c r="DU176" i="30"/>
  <c r="DU181" i="30" s="1"/>
  <c r="DU182" i="30" s="1"/>
  <c r="AB17" i="85"/>
  <c r="BZ33" i="85"/>
  <c r="BZ29" i="85"/>
  <c r="CD63" i="59"/>
  <c r="BJ20" i="73"/>
  <c r="BJ21" i="73"/>
  <c r="CH34" i="85"/>
  <c r="CH35" i="85"/>
  <c r="T23" i="38"/>
  <c r="U23" i="38" s="1"/>
  <c r="V23" i="38" s="1"/>
  <c r="S24" i="38"/>
  <c r="S25" i="38" s="1"/>
  <c r="S26" i="38" s="1"/>
  <c r="DJ53" i="25"/>
  <c r="DJ54" i="25" s="1"/>
  <c r="DT173" i="30"/>
  <c r="DT176" i="30"/>
  <c r="DT181" i="30" s="1"/>
  <c r="DT182" i="30" s="1"/>
  <c r="EY90" i="30"/>
  <c r="EY91" i="30" s="1"/>
  <c r="EY87" i="30"/>
  <c r="CH44" i="23"/>
  <c r="CH40" i="23"/>
  <c r="AM144" i="30"/>
  <c r="AB28" i="20"/>
  <c r="U20" i="85"/>
  <c r="U71" i="85"/>
  <c r="U72" i="85" s="1"/>
  <c r="U14" i="85"/>
  <c r="U31" i="85" s="1"/>
  <c r="AH49" i="25"/>
  <c r="CU13" i="85"/>
  <c r="AJ173" i="30"/>
  <c r="AJ174" i="30" s="1"/>
  <c r="AJ197" i="30"/>
  <c r="N19" i="95"/>
  <c r="Q95" i="73"/>
  <c r="CQ21" i="85"/>
  <c r="CP24" i="85"/>
  <c r="T39" i="85"/>
  <c r="CN240" i="59"/>
  <c r="BS8" i="23"/>
  <c r="BT8" i="23" s="1"/>
  <c r="CE34" i="23"/>
  <c r="BV213" i="59"/>
  <c r="J80" i="63"/>
  <c r="W41" i="33"/>
  <c r="V38" i="33"/>
  <c r="V39" i="33" s="1"/>
  <c r="DX21" i="20"/>
  <c r="CD223" i="59"/>
  <c r="CD19" i="59"/>
  <c r="CI19" i="59"/>
  <c r="DS199" i="30"/>
  <c r="BZ20" i="23" s="1"/>
  <c r="BZ21" i="23" s="1"/>
  <c r="BZ23" i="23" s="1"/>
  <c r="DS151" i="30"/>
  <c r="DE40" i="25"/>
  <c r="DO158" i="30"/>
  <c r="DE44" i="25" s="1"/>
  <c r="DI83" i="59"/>
  <c r="AK606" i="23"/>
  <c r="AK597" i="23"/>
  <c r="AL601" i="23" s="1"/>
  <c r="AL605" i="23" s="1"/>
  <c r="AT198" i="59"/>
  <c r="CQ87" i="25"/>
  <c r="AA135" i="20"/>
  <c r="AB147" i="20"/>
  <c r="P38" i="95"/>
  <c r="P46" i="95"/>
  <c r="AJ105" i="23"/>
  <c r="BL97" i="23"/>
  <c r="BQ96" i="23"/>
  <c r="EU106" i="30"/>
  <c r="K21" i="23"/>
  <c r="L18" i="23"/>
  <c r="CE18" i="23"/>
  <c r="BM9" i="31"/>
  <c r="BM15" i="31"/>
  <c r="BM16" i="31"/>
  <c r="BO19" i="73"/>
  <c r="BH17" i="31"/>
  <c r="AG177" i="30"/>
  <c r="EM104" i="30"/>
  <c r="EM109" i="30"/>
  <c r="EM110" i="30" s="1"/>
  <c r="BM97" i="23"/>
  <c r="AR198" i="59"/>
  <c r="CO87" i="25"/>
  <c r="CH83" i="25"/>
  <c r="D6" i="53"/>
  <c r="D195" i="59"/>
  <c r="J9" i="23"/>
  <c r="DD37" i="25"/>
  <c r="DN148" i="30"/>
  <c r="DN154" i="30"/>
  <c r="DN149" i="30"/>
  <c r="T18" i="32"/>
  <c r="T17" i="32"/>
  <c r="U18" i="32"/>
  <c r="E103" i="60"/>
  <c r="T23" i="32"/>
  <c r="V188" i="59"/>
  <c r="AA12" i="31"/>
  <c r="V275" i="59"/>
  <c r="Q223" i="60"/>
  <c r="I32" i="25"/>
  <c r="I31" i="25"/>
  <c r="CD30" i="25"/>
  <c r="BN55" i="23"/>
  <c r="BN98" i="23"/>
  <c r="BN100" i="23" s="1"/>
  <c r="BN91" i="23"/>
  <c r="BN90" i="23"/>
  <c r="AB146" i="20"/>
  <c r="AA134" i="20"/>
  <c r="EO104" i="30"/>
  <c r="EO109" i="30"/>
  <c r="EO110" i="30" s="1"/>
  <c r="CJ32" i="25"/>
  <c r="CO31" i="25"/>
  <c r="CJ31" i="25"/>
  <c r="P188" i="60"/>
  <c r="DW197" i="30"/>
  <c r="S121" i="59" l="1"/>
  <c r="CY121" i="59" s="1"/>
  <c r="R123" i="59"/>
  <c r="R124" i="59"/>
  <c r="AM93" i="30"/>
  <c r="FA93" i="30" s="1"/>
  <c r="DE158" i="85"/>
  <c r="S39" i="52"/>
  <c r="R29" i="52"/>
  <c r="R31" i="52" s="1"/>
  <c r="L224" i="60"/>
  <c r="K226" i="60"/>
  <c r="M216" i="60"/>
  <c r="L220" i="60"/>
  <c r="Y394" i="60"/>
  <c r="Y398" i="60" s="1"/>
  <c r="X398" i="60"/>
  <c r="X402" i="60"/>
  <c r="W404" i="60"/>
  <c r="J278" i="60"/>
  <c r="Q32" i="52"/>
  <c r="DD156" i="85"/>
  <c r="AL384" i="23"/>
  <c r="AM431" i="23"/>
  <c r="DF15" i="59"/>
  <c r="FH103" i="30" s="1"/>
  <c r="T6" i="95"/>
  <c r="T8" i="95" s="1"/>
  <c r="T12" i="95"/>
  <c r="T13" i="95" s="1"/>
  <c r="T15" i="95" s="1"/>
  <c r="T34" i="95"/>
  <c r="CW142" i="30"/>
  <c r="AQ55" i="59"/>
  <c r="W23" i="38"/>
  <c r="V24" i="38"/>
  <c r="V25" i="38" s="1"/>
  <c r="AC19" i="38"/>
  <c r="AC21" i="38" s="1"/>
  <c r="AB21" i="38"/>
  <c r="AB45" i="38"/>
  <c r="AC5" i="38"/>
  <c r="AC45" i="38" s="1"/>
  <c r="AU57" i="59"/>
  <c r="AU56" i="59"/>
  <c r="DH113" i="30"/>
  <c r="DG114" i="30"/>
  <c r="BE49" i="59"/>
  <c r="BF49" i="59" s="1"/>
  <c r="DG120" i="30"/>
  <c r="DG116" i="30"/>
  <c r="S39" i="31"/>
  <c r="R40" i="31"/>
  <c r="R42" i="31"/>
  <c r="CR141" i="30"/>
  <c r="AP59" i="59"/>
  <c r="AQ59" i="59" s="1"/>
  <c r="CR142" i="30"/>
  <c r="E73" i="38"/>
  <c r="E70" i="38"/>
  <c r="E68" i="38" s="1"/>
  <c r="E88" i="38"/>
  <c r="E89" i="38" s="1"/>
  <c r="P50" i="31"/>
  <c r="P55" i="31"/>
  <c r="CC141" i="30"/>
  <c r="CC142" i="30"/>
  <c r="CH142" i="30"/>
  <c r="AD119" i="30"/>
  <c r="G55" i="59"/>
  <c r="AD117" i="30"/>
  <c r="D75" i="59"/>
  <c r="D61" i="59"/>
  <c r="B57" i="59"/>
  <c r="C56" i="59"/>
  <c r="AZ55" i="59"/>
  <c r="DB119" i="30"/>
  <c r="DB117" i="30"/>
  <c r="Q44" i="31"/>
  <c r="AF113" i="30"/>
  <c r="F73" i="60"/>
  <c r="B75" i="63" s="1"/>
  <c r="Q49" i="31"/>
  <c r="Q43" i="31"/>
  <c r="Y142" i="30"/>
  <c r="B60" i="59" s="1"/>
  <c r="Y141" i="30"/>
  <c r="B59" i="59"/>
  <c r="C60" i="59" s="1"/>
  <c r="C72" i="38"/>
  <c r="F57" i="59"/>
  <c r="F56" i="59"/>
  <c r="AZ51" i="59"/>
  <c r="AZ50" i="59"/>
  <c r="G50" i="59"/>
  <c r="G51" i="59"/>
  <c r="CM142" i="30"/>
  <c r="H49" i="59"/>
  <c r="AE114" i="30"/>
  <c r="AE116" i="30"/>
  <c r="AE120" i="30"/>
  <c r="DL113" i="30"/>
  <c r="DM113" i="30" s="1"/>
  <c r="O58" i="31"/>
  <c r="D72" i="60"/>
  <c r="CX14" i="85"/>
  <c r="DB223" i="59"/>
  <c r="T223" i="59" s="1"/>
  <c r="CX20" i="85"/>
  <c r="CX21" i="85" s="1"/>
  <c r="DA72" i="85"/>
  <c r="BJ18" i="73"/>
  <c r="BP46" i="73"/>
  <c r="K33" i="73"/>
  <c r="L33" i="73"/>
  <c r="M35" i="73"/>
  <c r="M36" i="73" s="1"/>
  <c r="M33" i="73" s="1"/>
  <c r="DD223" i="59"/>
  <c r="DI223" i="59"/>
  <c r="BK53" i="73"/>
  <c r="DD161" i="85"/>
  <c r="DD170" i="85" s="1"/>
  <c r="DZ12" i="20"/>
  <c r="FG103" i="30"/>
  <c r="AQ165" i="59"/>
  <c r="AF16" i="52"/>
  <c r="AF17" i="52" s="1"/>
  <c r="X279" i="60"/>
  <c r="AE232" i="59"/>
  <c r="FK108" i="30"/>
  <c r="AY196" i="30"/>
  <c r="AE107" i="59" s="1"/>
  <c r="AY34" i="30"/>
  <c r="AU64" i="25"/>
  <c r="AY32" i="30"/>
  <c r="P223" i="59"/>
  <c r="DB72" i="85"/>
  <c r="CV25" i="85"/>
  <c r="CV28" i="85" s="1"/>
  <c r="CZ63" i="59" s="1"/>
  <c r="Q19" i="59"/>
  <c r="X141" i="85"/>
  <c r="X152" i="85"/>
  <c r="X140" i="85"/>
  <c r="DB172" i="85"/>
  <c r="DB176" i="85"/>
  <c r="DB178" i="85" s="1"/>
  <c r="AA119" i="85"/>
  <c r="AA114" i="85"/>
  <c r="AA120" i="85"/>
  <c r="AA131" i="85" s="1"/>
  <c r="AA132" i="85" s="1"/>
  <c r="Y138" i="85"/>
  <c r="AB113" i="85"/>
  <c r="AB149" i="85" s="1"/>
  <c r="AB150" i="85" s="1"/>
  <c r="R102" i="73"/>
  <c r="AC111" i="85"/>
  <c r="Z137" i="85"/>
  <c r="Z125" i="85"/>
  <c r="DC162" i="85"/>
  <c r="Y126" i="85"/>
  <c r="L50" i="95"/>
  <c r="Y143" i="85"/>
  <c r="K53" i="95"/>
  <c r="CI34" i="85"/>
  <c r="X174" i="85"/>
  <c r="CP63" i="59"/>
  <c r="CP64" i="59" s="1"/>
  <c r="AU23" i="31"/>
  <c r="AL122" i="20"/>
  <c r="EL17" i="20"/>
  <c r="DG235" i="59" s="1"/>
  <c r="DB235" i="59"/>
  <c r="DB240" i="59" s="1"/>
  <c r="EG16" i="20"/>
  <c r="EK17" i="20"/>
  <c r="DF235" i="59" s="1"/>
  <c r="DA235" i="59"/>
  <c r="DA240" i="59" s="1"/>
  <c r="DA244" i="59" s="1"/>
  <c r="DF244" i="59" s="1"/>
  <c r="EF16" i="20"/>
  <c r="EF19" i="20" s="1"/>
  <c r="Q28" i="20"/>
  <c r="AB140" i="30"/>
  <c r="CX143" i="30"/>
  <c r="AB144" i="30"/>
  <c r="EB11" i="20"/>
  <c r="EB12" i="20" s="1"/>
  <c r="EB19" i="20"/>
  <c r="EA11" i="20"/>
  <c r="EA12" i="20" s="1"/>
  <c r="EA19" i="20"/>
  <c r="AV87" i="59"/>
  <c r="E89" i="59"/>
  <c r="E88" i="59"/>
  <c r="EC20" i="20"/>
  <c r="CX235" i="59"/>
  <c r="CX240" i="59" s="1"/>
  <c r="R240" i="59" s="1"/>
  <c r="S240" i="59" s="1"/>
  <c r="CY240" i="59" s="1"/>
  <c r="EH17" i="20"/>
  <c r="EC16" i="20"/>
  <c r="AB16" i="20" s="1"/>
  <c r="AG78" i="20"/>
  <c r="AG79" i="20" s="1"/>
  <c r="AG24" i="20"/>
  <c r="BP84" i="23"/>
  <c r="BP85" i="23"/>
  <c r="AH60" i="20"/>
  <c r="AH62" i="20" s="1"/>
  <c r="AH61" i="20" s="1"/>
  <c r="AH74" i="20"/>
  <c r="AH76" i="20" s="1"/>
  <c r="AI59" i="20"/>
  <c r="BP60" i="23"/>
  <c r="BP65" i="23" s="1"/>
  <c r="BP69" i="23" s="1"/>
  <c r="BP87" i="23"/>
  <c r="BP88" i="23" s="1"/>
  <c r="BP50" i="23"/>
  <c r="BP52" i="23" s="1"/>
  <c r="BP55" i="23" s="1"/>
  <c r="BP58" i="23"/>
  <c r="BP89" i="23"/>
  <c r="AI439" i="23"/>
  <c r="AH392" i="23"/>
  <c r="AG398" i="23"/>
  <c r="AH445" i="23"/>
  <c r="AK383" i="23"/>
  <c r="AL430" i="23"/>
  <c r="AJ432" i="23"/>
  <c r="AI385" i="23"/>
  <c r="AH426" i="23"/>
  <c r="AG379" i="23"/>
  <c r="AM376" i="23"/>
  <c r="AN423" i="23"/>
  <c r="AN376" i="23" s="1"/>
  <c r="AH425" i="23"/>
  <c r="AG378" i="23"/>
  <c r="AH394" i="23"/>
  <c r="AI441" i="23"/>
  <c r="AG377" i="23"/>
  <c r="AH424" i="23"/>
  <c r="AG415" i="23"/>
  <c r="AH462" i="23"/>
  <c r="AM396" i="23"/>
  <c r="AN443" i="23"/>
  <c r="AN396" i="23" s="1"/>
  <c r="AL444" i="23"/>
  <c r="AK397" i="23"/>
  <c r="AG387" i="23"/>
  <c r="AH434" i="23"/>
  <c r="AG381" i="23"/>
  <c r="AH428" i="23"/>
  <c r="F294" i="60"/>
  <c r="AY23" i="30"/>
  <c r="Y27" i="52"/>
  <c r="X26" i="52"/>
  <c r="L52" i="23"/>
  <c r="BJ50" i="23"/>
  <c r="BG664" i="23"/>
  <c r="BG665" i="23" s="1"/>
  <c r="BG666" i="23" s="1"/>
  <c r="BG667" i="23" s="1"/>
  <c r="L665" i="23"/>
  <c r="L666" i="23" s="1"/>
  <c r="L667" i="23" s="1"/>
  <c r="L668" i="23"/>
  <c r="BG668" i="23" s="1"/>
  <c r="BI668" i="23" s="1"/>
  <c r="BH63" i="23"/>
  <c r="BH65" i="23" s="1"/>
  <c r="BH69" i="23" s="1"/>
  <c r="BG63" i="23"/>
  <c r="BG65" i="23" s="1"/>
  <c r="BG69" i="23" s="1"/>
  <c r="BF63" i="23"/>
  <c r="BF65" i="23" s="1"/>
  <c r="BF69" i="23" s="1"/>
  <c r="BI63" i="23"/>
  <c r="BI65" i="23" s="1"/>
  <c r="BI69" i="23" s="1"/>
  <c r="L63" i="23"/>
  <c r="L674" i="23" s="1"/>
  <c r="L673" i="23" s="1"/>
  <c r="AD10" i="52"/>
  <c r="AD11" i="52"/>
  <c r="AR65" i="25"/>
  <c r="AK559" i="23"/>
  <c r="AD39" i="59"/>
  <c r="AE40" i="59" s="1"/>
  <c r="AX11" i="30"/>
  <c r="AX23" i="30" s="1"/>
  <c r="AX10" i="30"/>
  <c r="AW17" i="30"/>
  <c r="AC91" i="59"/>
  <c r="AW18" i="30"/>
  <c r="AV196" i="30"/>
  <c r="AB107" i="59" s="1"/>
  <c r="AB113" i="59" s="1"/>
  <c r="AV34" i="30"/>
  <c r="AP74" i="25"/>
  <c r="AP75" i="25"/>
  <c r="AU29" i="30"/>
  <c r="AQ73" i="25" s="1"/>
  <c r="AQ69" i="25"/>
  <c r="AR66" i="25"/>
  <c r="AR67" i="25" s="1"/>
  <c r="AV20" i="30"/>
  <c r="AV25" i="30"/>
  <c r="AS64" i="25"/>
  <c r="AW12" i="30"/>
  <c r="AW32" i="30"/>
  <c r="DB57" i="59"/>
  <c r="DB56" i="59"/>
  <c r="AE9" i="52"/>
  <c r="AX16" i="30"/>
  <c r="AX19" i="30" s="1"/>
  <c r="AE17" i="52"/>
  <c r="AE18" i="52"/>
  <c r="AE23" i="52"/>
  <c r="AD24" i="52"/>
  <c r="AP71" i="25"/>
  <c r="AP70" i="25"/>
  <c r="AP72" i="25"/>
  <c r="AP68" i="25"/>
  <c r="AB323" i="59"/>
  <c r="AB92" i="59"/>
  <c r="AB93" i="59"/>
  <c r="AC40" i="59"/>
  <c r="AC232" i="59"/>
  <c r="C61" i="59"/>
  <c r="C75" i="59"/>
  <c r="D60" i="59"/>
  <c r="AN72" i="20"/>
  <c r="AN23" i="20" s="1"/>
  <c r="C210" i="59"/>
  <c r="C46" i="59"/>
  <c r="D46" i="59"/>
  <c r="D70" i="38"/>
  <c r="D68" i="38" s="1"/>
  <c r="D73" i="38"/>
  <c r="D88" i="38"/>
  <c r="D89" i="38" s="1"/>
  <c r="C89" i="59"/>
  <c r="D88" i="59"/>
  <c r="C88" i="59"/>
  <c r="AK75" i="20"/>
  <c r="BQ11" i="31"/>
  <c r="BV11" i="31" s="1"/>
  <c r="DE19" i="59"/>
  <c r="DE243" i="59"/>
  <c r="BY19" i="73"/>
  <c r="BR17" i="31"/>
  <c r="DF19" i="59"/>
  <c r="DF243" i="59"/>
  <c r="DH19" i="59"/>
  <c r="DH243" i="59"/>
  <c r="AK72" i="23"/>
  <c r="AJ73" i="23"/>
  <c r="DI224" i="59"/>
  <c r="DI241" i="59"/>
  <c r="V13" i="85"/>
  <c r="V92" i="85"/>
  <c r="V93" i="85" s="1"/>
  <c r="V95" i="85"/>
  <c r="V96" i="85" s="1"/>
  <c r="V12" i="85"/>
  <c r="CZ11" i="85"/>
  <c r="V105" i="85"/>
  <c r="W19" i="85"/>
  <c r="X19" i="85" s="1"/>
  <c r="Y19" i="85" s="1"/>
  <c r="DD21" i="85"/>
  <c r="W12" i="85"/>
  <c r="W13" i="85"/>
  <c r="DG18" i="59"/>
  <c r="DC23" i="85"/>
  <c r="DC20" i="85"/>
  <c r="DC21" i="85" s="1"/>
  <c r="DC71" i="85"/>
  <c r="DC72" i="85" s="1"/>
  <c r="DC14" i="85"/>
  <c r="AV145" i="59"/>
  <c r="ET103" i="30"/>
  <c r="ET109" i="30" s="1"/>
  <c r="ET110" i="30" s="1"/>
  <c r="BD145" i="59"/>
  <c r="BD132" i="59"/>
  <c r="BI132" i="59"/>
  <c r="AZ151" i="59"/>
  <c r="AZ157" i="59"/>
  <c r="BA157" i="59" s="1"/>
  <c r="AZ150" i="59"/>
  <c r="AT76" i="59"/>
  <c r="AT99" i="59"/>
  <c r="AT77" i="59"/>
  <c r="AT167" i="59"/>
  <c r="AT166" i="59"/>
  <c r="AY146" i="59"/>
  <c r="AU28" i="59"/>
  <c r="AU45" i="59"/>
  <c r="DG130" i="30"/>
  <c r="DG128" i="30"/>
  <c r="BE149" i="59"/>
  <c r="DL128" i="30"/>
  <c r="AT46" i="59"/>
  <c r="AT210" i="59"/>
  <c r="BF123" i="59"/>
  <c r="BE218" i="59"/>
  <c r="BE226" i="59" s="1"/>
  <c r="BE228" i="59" s="1"/>
  <c r="BE126" i="59"/>
  <c r="BE131" i="59"/>
  <c r="BJ126" i="59"/>
  <c r="AZ132" i="59"/>
  <c r="AZ145" i="59"/>
  <c r="AZ146" i="59" s="1"/>
  <c r="AZ27" i="59"/>
  <c r="BA27" i="59" s="1"/>
  <c r="AZ16" i="59"/>
  <c r="DF141" i="30"/>
  <c r="DK142" i="30"/>
  <c r="DF142" i="30"/>
  <c r="BD59" i="59"/>
  <c r="DH103" i="30"/>
  <c r="DG104" i="30"/>
  <c r="BE15" i="59"/>
  <c r="BF15" i="59" s="1"/>
  <c r="AY45" i="59"/>
  <c r="AY28" i="59"/>
  <c r="AO211" i="59"/>
  <c r="AO101" i="59"/>
  <c r="AU159" i="59"/>
  <c r="AU165" i="59"/>
  <c r="AV165" i="59" s="1"/>
  <c r="AU158" i="59"/>
  <c r="AY60" i="59"/>
  <c r="AY61" i="59"/>
  <c r="AY75" i="59"/>
  <c r="BI150" i="59"/>
  <c r="BD151" i="59"/>
  <c r="BF149" i="59"/>
  <c r="BD150" i="59"/>
  <c r="BD157" i="59"/>
  <c r="BI16" i="59"/>
  <c r="BD16" i="59"/>
  <c r="BD27" i="59"/>
  <c r="AY159" i="59"/>
  <c r="AY158" i="59"/>
  <c r="AY165" i="59"/>
  <c r="AV27" i="59"/>
  <c r="AP210" i="59"/>
  <c r="AQ45" i="59"/>
  <c r="AQ210" i="59" s="1"/>
  <c r="AU75" i="59"/>
  <c r="AU61" i="59"/>
  <c r="AI234" i="23"/>
  <c r="BH20" i="73"/>
  <c r="BH21" i="73"/>
  <c r="BI21" i="73"/>
  <c r="BI18" i="73" s="1"/>
  <c r="CT243" i="59"/>
  <c r="BW9" i="31"/>
  <c r="BW14" i="31" s="1"/>
  <c r="DA39" i="85"/>
  <c r="DA25" i="85"/>
  <c r="CX39" i="85"/>
  <c r="DC24" i="85"/>
  <c r="S223" i="59"/>
  <c r="CY223" i="59" s="1"/>
  <c r="DB26" i="85"/>
  <c r="DB28" i="85"/>
  <c r="DF63" i="59" s="1"/>
  <c r="DA16" i="59"/>
  <c r="P47" i="95"/>
  <c r="W102" i="33"/>
  <c r="W35" i="33" s="1"/>
  <c r="DC122" i="59"/>
  <c r="CV228" i="59"/>
  <c r="CQ65" i="59"/>
  <c r="CQ59" i="59"/>
  <c r="CQ64" i="59"/>
  <c r="ES104" i="30"/>
  <c r="ES109" i="30"/>
  <c r="ES110" i="30" s="1"/>
  <c r="CV63" i="59"/>
  <c r="CV64" i="59" s="1"/>
  <c r="CR29" i="85"/>
  <c r="BD139" i="73"/>
  <c r="BD138" i="73"/>
  <c r="BD136" i="73"/>
  <c r="CV244" i="59"/>
  <c r="CL306" i="59"/>
  <c r="CL60" i="59"/>
  <c r="CL61" i="59"/>
  <c r="BI137" i="73" s="1"/>
  <c r="CL320" i="59"/>
  <c r="CW29" i="85"/>
  <c r="DA63" i="59"/>
  <c r="DA59" i="59" s="1"/>
  <c r="EX103" i="30"/>
  <c r="CV16" i="59"/>
  <c r="CV231" i="59"/>
  <c r="I228" i="59"/>
  <c r="T18" i="59"/>
  <c r="V276" i="59"/>
  <c r="V278" i="59"/>
  <c r="EZ95" i="30"/>
  <c r="EZ96" i="30" s="1"/>
  <c r="CX125" i="59"/>
  <c r="BU54" i="73" s="1"/>
  <c r="BU56" i="73" s="1"/>
  <c r="BM17" i="31"/>
  <c r="I16" i="59"/>
  <c r="CN33" i="85"/>
  <c r="CN35" i="85" s="1"/>
  <c r="CW243" i="59"/>
  <c r="CW244" i="59" s="1"/>
  <c r="CU231" i="59"/>
  <c r="CZ16" i="59"/>
  <c r="AF100" i="31"/>
  <c r="AE102" i="31"/>
  <c r="BP11" i="31"/>
  <c r="BU11" i="31" s="1"/>
  <c r="Z127" i="31"/>
  <c r="V133" i="31"/>
  <c r="W134" i="31"/>
  <c r="V130" i="31"/>
  <c r="W130" i="31" s="1"/>
  <c r="X130" i="31" s="1"/>
  <c r="Y130" i="31" s="1"/>
  <c r="Z130" i="31" s="1"/>
  <c r="AA130" i="31" s="1"/>
  <c r="AB130" i="31" s="1"/>
  <c r="AC130" i="31" s="1"/>
  <c r="AD130" i="31" s="1"/>
  <c r="AE130" i="31" s="1"/>
  <c r="AF130" i="31" s="1"/>
  <c r="AG130" i="31" s="1"/>
  <c r="AH130" i="31" s="1"/>
  <c r="U124" i="31"/>
  <c r="U107" i="31"/>
  <c r="U108" i="31" s="1"/>
  <c r="U109" i="31" s="1"/>
  <c r="U135" i="31"/>
  <c r="U112" i="31" s="1"/>
  <c r="U113" i="31" s="1"/>
  <c r="U114" i="31" s="1"/>
  <c r="U128" i="31"/>
  <c r="EE19" i="20"/>
  <c r="CX297" i="59"/>
  <c r="BU50" i="73" s="1"/>
  <c r="AA133" i="20"/>
  <c r="AA139" i="20" s="1"/>
  <c r="AR39" i="31"/>
  <c r="CB21" i="23"/>
  <c r="CB23" i="23" s="1"/>
  <c r="CB34" i="23" s="1"/>
  <c r="AT24" i="31"/>
  <c r="AU24" i="31" s="1"/>
  <c r="S112" i="59"/>
  <c r="AS39" i="31"/>
  <c r="AS34" i="31"/>
  <c r="DL104" i="30"/>
  <c r="DL109" i="30"/>
  <c r="DQ110" i="30" s="1"/>
  <c r="H16" i="59"/>
  <c r="H27" i="59"/>
  <c r="I28" i="59" s="1"/>
  <c r="BK15" i="59"/>
  <c r="AE103" i="30"/>
  <c r="BJ40" i="73"/>
  <c r="AX31" i="31"/>
  <c r="AX33" i="31" s="1"/>
  <c r="AX24" i="31"/>
  <c r="U23" i="31"/>
  <c r="AV24" i="31"/>
  <c r="BA25" i="31" s="1"/>
  <c r="AV31" i="31"/>
  <c r="BH40" i="73"/>
  <c r="BB23" i="31"/>
  <c r="AW31" i="31"/>
  <c r="AW33" i="31" s="1"/>
  <c r="AW34" i="31" s="1"/>
  <c r="AW24" i="31"/>
  <c r="AQ33" i="31"/>
  <c r="AU31" i="31"/>
  <c r="J103" i="60"/>
  <c r="F76" i="63" s="1"/>
  <c r="AJ123" i="30"/>
  <c r="Y17" i="32"/>
  <c r="Y18" i="32"/>
  <c r="EL97" i="30"/>
  <c r="AJ130" i="30"/>
  <c r="O123" i="59"/>
  <c r="AK130" i="30"/>
  <c r="EQ97" i="30"/>
  <c r="P123" i="59"/>
  <c r="AK98" i="30"/>
  <c r="P125" i="59"/>
  <c r="BP56" i="73"/>
  <c r="BP55" i="73"/>
  <c r="BU49" i="73"/>
  <c r="BU48" i="73"/>
  <c r="EQ95" i="30"/>
  <c r="AK96" i="30"/>
  <c r="X45" i="33"/>
  <c r="AA9" i="32"/>
  <c r="EV93" i="30"/>
  <c r="AL94" i="30"/>
  <c r="N132" i="59"/>
  <c r="N314" i="59"/>
  <c r="N159" i="59"/>
  <c r="N145" i="59"/>
  <c r="CO131" i="59"/>
  <c r="N328" i="59"/>
  <c r="AJ98" i="30"/>
  <c r="EG97" i="30"/>
  <c r="AI98" i="30"/>
  <c r="L123" i="59"/>
  <c r="AI130" i="30"/>
  <c r="W46" i="33"/>
  <c r="W43" i="33"/>
  <c r="W36" i="33" s="1"/>
  <c r="AJ235" i="30"/>
  <c r="CT296" i="59"/>
  <c r="Q297" i="59"/>
  <c r="Y64" i="32"/>
  <c r="AJ238" i="30"/>
  <c r="M145" i="59"/>
  <c r="CJ131" i="59"/>
  <c r="M159" i="59"/>
  <c r="Z16" i="32"/>
  <c r="Z13" i="32"/>
  <c r="Z14" i="32" s="1"/>
  <c r="Z10" i="32"/>
  <c r="Z88" i="32"/>
  <c r="Z7" i="32"/>
  <c r="I55" i="73"/>
  <c r="I56" i="73" s="1"/>
  <c r="I53" i="73" s="1"/>
  <c r="X101" i="33" s="1"/>
  <c r="X100" i="33" s="1"/>
  <c r="X102" i="33" s="1"/>
  <c r="X35" i="33" s="1"/>
  <c r="Q123" i="59"/>
  <c r="CT122" i="59"/>
  <c r="J54" i="73"/>
  <c r="Q125" i="59"/>
  <c r="AL95" i="30"/>
  <c r="AL97" i="30" s="1"/>
  <c r="CW15" i="59"/>
  <c r="BO238" i="59"/>
  <c r="AB98" i="85"/>
  <c r="AA56" i="85"/>
  <c r="AA57" i="85" s="1"/>
  <c r="BN27" i="73"/>
  <c r="BN24" i="73"/>
  <c r="BN26" i="73"/>
  <c r="BT228" i="59"/>
  <c r="CW19" i="59"/>
  <c r="EB90" i="30"/>
  <c r="EA91" i="30"/>
  <c r="CH306" i="59"/>
  <c r="CH61" i="59"/>
  <c r="BE137" i="73" s="1"/>
  <c r="CH60" i="59"/>
  <c r="CH320" i="59"/>
  <c r="BM27" i="73"/>
  <c r="BM26" i="73"/>
  <c r="BM24" i="73"/>
  <c r="DV109" i="30"/>
  <c r="DV110" i="30" s="1"/>
  <c r="DV104" i="30"/>
  <c r="DL77" i="25"/>
  <c r="DL79" i="25" s="1"/>
  <c r="CC5" i="23" s="1"/>
  <c r="CH6" i="23" s="1"/>
  <c r="CN29" i="85"/>
  <c r="CR63" i="59"/>
  <c r="CE12" i="59"/>
  <c r="CD13" i="59"/>
  <c r="CD219" i="59"/>
  <c r="CD226" i="59" s="1"/>
  <c r="L226" i="59" s="1"/>
  <c r="CE226" i="59" s="1"/>
  <c r="J6" i="38"/>
  <c r="DR103" i="30"/>
  <c r="AF109" i="30"/>
  <c r="BP227" i="59"/>
  <c r="BU24" i="73"/>
  <c r="BU26" i="73"/>
  <c r="BU27" i="73"/>
  <c r="J231" i="59"/>
  <c r="BT236" i="59"/>
  <c r="J236" i="59" s="1"/>
  <c r="BU236" i="59" s="1"/>
  <c r="CX72" i="85"/>
  <c r="CT39" i="85"/>
  <c r="CY24" i="85"/>
  <c r="V24" i="85" s="1"/>
  <c r="AB60" i="85"/>
  <c r="AA77" i="85"/>
  <c r="AA62" i="85"/>
  <c r="AA50" i="85"/>
  <c r="AA51" i="85" s="1"/>
  <c r="I45" i="59"/>
  <c r="BP27" i="59"/>
  <c r="M245" i="59"/>
  <c r="CJ245" i="59" s="1"/>
  <c r="O244" i="59"/>
  <c r="O245" i="59" s="1"/>
  <c r="CJ244" i="59"/>
  <c r="BK21" i="31"/>
  <c r="BF24" i="31"/>
  <c r="BF25" i="31" s="1"/>
  <c r="K219" i="59"/>
  <c r="BY290" i="59"/>
  <c r="BY226" i="59"/>
  <c r="K226" i="59" s="1"/>
  <c r="BZ226" i="59" s="1"/>
  <c r="BL9" i="31"/>
  <c r="BS25" i="73"/>
  <c r="CM65" i="59"/>
  <c r="CM64" i="59"/>
  <c r="CM59" i="59"/>
  <c r="J227" i="59"/>
  <c r="BU219" i="59"/>
  <c r="CS21" i="85"/>
  <c r="CS28" i="85"/>
  <c r="I24" i="73"/>
  <c r="I27" i="73"/>
  <c r="I26" i="73"/>
  <c r="W95" i="31"/>
  <c r="BJ11" i="31"/>
  <c r="J25" i="73"/>
  <c r="BF17" i="31"/>
  <c r="BM19" i="73"/>
  <c r="BF29" i="31"/>
  <c r="BF33" i="31" s="1"/>
  <c r="AG103" i="30"/>
  <c r="J16" i="59"/>
  <c r="J27" i="59"/>
  <c r="BU15" i="59"/>
  <c r="AB84" i="85"/>
  <c r="AA86" i="85"/>
  <c r="AA101" i="85"/>
  <c r="EF87" i="30"/>
  <c r="EG86" i="30"/>
  <c r="EF90" i="30"/>
  <c r="EK86" i="30"/>
  <c r="AY14" i="31"/>
  <c r="CI12" i="59"/>
  <c r="CN8" i="59"/>
  <c r="M8" i="59"/>
  <c r="CI49" i="59"/>
  <c r="BC24" i="31"/>
  <c r="BH21" i="31"/>
  <c r="BC29" i="31"/>
  <c r="BC33" i="31" s="1"/>
  <c r="BA34" i="31"/>
  <c r="BA39" i="31"/>
  <c r="BY16" i="59"/>
  <c r="K15" i="59"/>
  <c r="BY231" i="59"/>
  <c r="EA103" i="30"/>
  <c r="BN19" i="73"/>
  <c r="BG17" i="31"/>
  <c r="BG29" i="31"/>
  <c r="DG35" i="25"/>
  <c r="DL36" i="25" s="1"/>
  <c r="CR244" i="59"/>
  <c r="CR246" i="59" s="1"/>
  <c r="U21" i="31"/>
  <c r="AY24" i="31"/>
  <c r="BD21" i="31"/>
  <c r="BP24" i="73"/>
  <c r="BP26" i="73"/>
  <c r="BP27" i="73"/>
  <c r="BK9" i="31"/>
  <c r="BR25" i="73"/>
  <c r="BK31" i="31"/>
  <c r="BP231" i="59"/>
  <c r="I237" i="59"/>
  <c r="AT9" i="31"/>
  <c r="AU14" i="31"/>
  <c r="DB19" i="59"/>
  <c r="CX25" i="85"/>
  <c r="CX26" i="85" s="1"/>
  <c r="BL21" i="31"/>
  <c r="CS31" i="85"/>
  <c r="AH53" i="25"/>
  <c r="CR31" i="85"/>
  <c r="CQ31" i="85"/>
  <c r="T29" i="32"/>
  <c r="T24" i="32"/>
  <c r="U25" i="32"/>
  <c r="T25" i="32"/>
  <c r="AA141" i="20"/>
  <c r="CE44" i="23"/>
  <c r="CE40" i="23"/>
  <c r="AH181" i="30"/>
  <c r="AH182" i="30" s="1"/>
  <c r="AA59" i="25"/>
  <c r="AA60" i="25"/>
  <c r="P7" i="95"/>
  <c r="S89" i="73"/>
  <c r="I91" i="23"/>
  <c r="I90" i="23"/>
  <c r="CV29" i="85"/>
  <c r="O8" i="95"/>
  <c r="CG35" i="85"/>
  <c r="CG34" i="85"/>
  <c r="Z145" i="20"/>
  <c r="Z139" i="20"/>
  <c r="R37" i="95"/>
  <c r="R40" i="95"/>
  <c r="R43" i="95" s="1"/>
  <c r="DT163" i="30"/>
  <c r="DT154" i="30"/>
  <c r="AL197" i="30"/>
  <c r="AL173" i="30"/>
  <c r="AE12" i="32"/>
  <c r="DD40" i="25"/>
  <c r="DN158" i="30"/>
  <c r="DD44" i="25" s="1"/>
  <c r="BO20" i="73"/>
  <c r="BO21" i="73"/>
  <c r="AY199" i="59"/>
  <c r="AT200" i="59"/>
  <c r="DE46" i="25"/>
  <c r="DE45" i="25"/>
  <c r="X41" i="33"/>
  <c r="W38" i="33"/>
  <c r="W39" i="33" s="1"/>
  <c r="U21" i="85"/>
  <c r="CU20" i="85"/>
  <c r="CD64" i="59"/>
  <c r="CD65" i="59"/>
  <c r="AB61" i="30"/>
  <c r="AB65" i="30"/>
  <c r="CX60" i="30"/>
  <c r="AB80" i="30"/>
  <c r="CX80" i="30" s="1"/>
  <c r="X268" i="59"/>
  <c r="X273" i="59"/>
  <c r="X281" i="59"/>
  <c r="X282" i="59" s="1"/>
  <c r="X267" i="59"/>
  <c r="DA37" i="59"/>
  <c r="AL73" i="32"/>
  <c r="AK79" i="32"/>
  <c r="AK80" i="32" s="1"/>
  <c r="DL53" i="25"/>
  <c r="DL54" i="25" s="1"/>
  <c r="DV173" i="30"/>
  <c r="DV176" i="30"/>
  <c r="DV181" i="30" s="1"/>
  <c r="DV182" i="30" s="1"/>
  <c r="AQ108" i="30"/>
  <c r="W241" i="59"/>
  <c r="W224" i="59" s="1"/>
  <c r="X33" i="59"/>
  <c r="W83" i="59"/>
  <c r="T178" i="85"/>
  <c r="CP176" i="85"/>
  <c r="U177" i="85"/>
  <c r="AB121" i="31"/>
  <c r="AA123" i="31"/>
  <c r="BN198" i="59"/>
  <c r="BW10" i="23"/>
  <c r="BW13" i="23" s="1"/>
  <c r="CB14" i="23" s="1"/>
  <c r="DK87" i="25"/>
  <c r="DF87" i="25"/>
  <c r="CI30" i="25"/>
  <c r="Q31" i="25"/>
  <c r="Q32" i="25"/>
  <c r="R31" i="25"/>
  <c r="CU228" i="59"/>
  <c r="CU244" i="59"/>
  <c r="CU246" i="59" s="1"/>
  <c r="AF96" i="33"/>
  <c r="AE97" i="33"/>
  <c r="AM94" i="30"/>
  <c r="CP59" i="59"/>
  <c r="CJ25" i="85"/>
  <c r="S23" i="85"/>
  <c r="CM30" i="25"/>
  <c r="CX72" i="30"/>
  <c r="AA116" i="20"/>
  <c r="AA27" i="20"/>
  <c r="R125" i="59"/>
  <c r="S122" i="59"/>
  <c r="CY122" i="59" s="1"/>
  <c r="K54" i="73"/>
  <c r="AM95" i="30"/>
  <c r="K64" i="59"/>
  <c r="BZ63" i="59"/>
  <c r="K65" i="59"/>
  <c r="DF45" i="25"/>
  <c r="DF46" i="25"/>
  <c r="U39" i="85"/>
  <c r="CU24" i="85"/>
  <c r="CA34" i="23"/>
  <c r="BR213" i="59"/>
  <c r="W270" i="59"/>
  <c r="W220" i="59"/>
  <c r="W242" i="59"/>
  <c r="CG100" i="23"/>
  <c r="CG98" i="23" s="1"/>
  <c r="CG50" i="23"/>
  <c r="CG52" i="23" s="1"/>
  <c r="CG55" i="23" s="1"/>
  <c r="CG60" i="23"/>
  <c r="CG65" i="23" s="1"/>
  <c r="CG69" i="23" s="1"/>
  <c r="CG58" i="23"/>
  <c r="BR18" i="23"/>
  <c r="BR21" i="23"/>
  <c r="CM35" i="85"/>
  <c r="CM34" i="85"/>
  <c r="BZ34" i="23"/>
  <c r="BQ213" i="59"/>
  <c r="DE39" i="25"/>
  <c r="DE41" i="25"/>
  <c r="DE43" i="25"/>
  <c r="DE42" i="25"/>
  <c r="CD16" i="59"/>
  <c r="EF103" i="30"/>
  <c r="CD231" i="59"/>
  <c r="L15" i="59"/>
  <c r="CN244" i="59"/>
  <c r="CN246" i="59" s="1"/>
  <c r="N240" i="59"/>
  <c r="AH50" i="25"/>
  <c r="AI49" i="25"/>
  <c r="AM167" i="30"/>
  <c r="T24" i="38"/>
  <c r="T25" i="38" s="1"/>
  <c r="T26" i="38" s="1"/>
  <c r="AF46" i="85"/>
  <c r="AG46" i="85" s="1"/>
  <c r="AL382" i="23"/>
  <c r="AM429" i="23"/>
  <c r="R297" i="59"/>
  <c r="CY296" i="59"/>
  <c r="AS200" i="59"/>
  <c r="AX199" i="59"/>
  <c r="CI29" i="25"/>
  <c r="Q93" i="25"/>
  <c r="AL236" i="30"/>
  <c r="AL168" i="30"/>
  <c r="AI170" i="30"/>
  <c r="AI171" i="30" s="1"/>
  <c r="L63" i="59"/>
  <c r="AH211" i="30"/>
  <c r="EB199" i="30"/>
  <c r="AA140" i="20"/>
  <c r="R223" i="60"/>
  <c r="DD38" i="25"/>
  <c r="DD82" i="25"/>
  <c r="AP195" i="59"/>
  <c r="AQ195" i="59" s="1"/>
  <c r="AW199" i="59"/>
  <c r="AR200" i="59"/>
  <c r="AV198" i="59"/>
  <c r="DS163" i="30"/>
  <c r="DS154" i="30"/>
  <c r="CQ28" i="85"/>
  <c r="N17" i="95"/>
  <c r="N20" i="95"/>
  <c r="EJ197" i="30"/>
  <c r="EJ195" i="30" s="1"/>
  <c r="EJ199" i="30" s="1"/>
  <c r="CQ20" i="23" s="1"/>
  <c r="CQ21" i="23" s="1"/>
  <c r="CQ23" i="23" s="1"/>
  <c r="EI197" i="30"/>
  <c r="EI195" i="30" s="1"/>
  <c r="EI199" i="30" s="1"/>
  <c r="CP20" i="23" s="1"/>
  <c r="CP21" i="23" s="1"/>
  <c r="CP23" i="23" s="1"/>
  <c r="EK197" i="30"/>
  <c r="EK195" i="30" s="1"/>
  <c r="EK199" i="30" s="1"/>
  <c r="CR20" i="23" s="1"/>
  <c r="CR21" i="23" s="1"/>
  <c r="CR23" i="23" s="1"/>
  <c r="EH197" i="30"/>
  <c r="EH195" i="30" s="1"/>
  <c r="CH58" i="23"/>
  <c r="CH100" i="23"/>
  <c r="CH98" i="23" s="1"/>
  <c r="CH50" i="23"/>
  <c r="CH52" i="23" s="1"/>
  <c r="CH55" i="23" s="1"/>
  <c r="CH60" i="23"/>
  <c r="CH65" i="23" s="1"/>
  <c r="CH69" i="23" s="1"/>
  <c r="DJ58" i="25"/>
  <c r="DJ56" i="25"/>
  <c r="BZ35" i="85"/>
  <c r="BZ34" i="85"/>
  <c r="AC17" i="85"/>
  <c r="DK58" i="25"/>
  <c r="DK56" i="25"/>
  <c r="P82" i="73"/>
  <c r="P83" i="73" s="1"/>
  <c r="M24" i="95"/>
  <c r="X271" i="59" s="1"/>
  <c r="V286" i="59"/>
  <c r="CT240" i="59"/>
  <c r="CP246" i="59"/>
  <c r="DB37" i="59"/>
  <c r="DE86" i="25"/>
  <c r="BM194" i="59"/>
  <c r="DR211" i="30"/>
  <c r="I214" i="59"/>
  <c r="Q44" i="95"/>
  <c r="CU16" i="59"/>
  <c r="EW103" i="30"/>
  <c r="BN97" i="23"/>
  <c r="S93" i="73"/>
  <c r="S91" i="73"/>
  <c r="S94" i="73"/>
  <c r="CL33" i="85"/>
  <c r="J250" i="23"/>
  <c r="G250" i="23" s="1"/>
  <c r="J583" i="23"/>
  <c r="I55" i="23"/>
  <c r="I246" i="23"/>
  <c r="AG182" i="30"/>
  <c r="CW290" i="59"/>
  <c r="CW291" i="59" s="1"/>
  <c r="CW226" i="59"/>
  <c r="CK65" i="59"/>
  <c r="CK64" i="59"/>
  <c r="CK59" i="59"/>
  <c r="CA33" i="85"/>
  <c r="AB58" i="25"/>
  <c r="AB56" i="25"/>
  <c r="AI176" i="30"/>
  <c r="AI177" i="30" s="1"/>
  <c r="AB55" i="25"/>
  <c r="R25" i="85"/>
  <c r="R38" i="85"/>
  <c r="CF23" i="85"/>
  <c r="BZ108" i="59"/>
  <c r="K202" i="59"/>
  <c r="S6" i="95"/>
  <c r="S12" i="95"/>
  <c r="S13" i="95" s="1"/>
  <c r="S15" i="95" s="1"/>
  <c r="S34" i="95"/>
  <c r="AE111" i="31"/>
  <c r="CO31" i="85"/>
  <c r="CP31" i="85" s="1"/>
  <c r="AJ109" i="23"/>
  <c r="AL597" i="23"/>
  <c r="AM601" i="23" s="1"/>
  <c r="AM605" i="23" s="1"/>
  <c r="AL606" i="23"/>
  <c r="L223" i="59"/>
  <c r="R95" i="73"/>
  <c r="O19" i="95"/>
  <c r="AP146" i="30"/>
  <c r="P370" i="60"/>
  <c r="H12" i="60" s="1"/>
  <c r="V84" i="59"/>
  <c r="R19" i="59"/>
  <c r="S18" i="59"/>
  <c r="CF58" i="23"/>
  <c r="CF50" i="23"/>
  <c r="CF52" i="23" s="1"/>
  <c r="CF55" i="23" s="1"/>
  <c r="CF100" i="23"/>
  <c r="CF98" i="23" s="1"/>
  <c r="CF60" i="23"/>
  <c r="CF65" i="23" s="1"/>
  <c r="CF69" i="23" s="1"/>
  <c r="CT38" i="85"/>
  <c r="CO23" i="85"/>
  <c r="CF61" i="59"/>
  <c r="BC137" i="73" s="1"/>
  <c r="CF306" i="59"/>
  <c r="CF60" i="59"/>
  <c r="CF320" i="59"/>
  <c r="ER104" i="30"/>
  <c r="ER109" i="30"/>
  <c r="ER110" i="30" s="1"/>
  <c r="X274" i="59"/>
  <c r="AC13" i="31" s="1"/>
  <c r="X269" i="59"/>
  <c r="DF42" i="25"/>
  <c r="DF43" i="25"/>
  <c r="DF39" i="25"/>
  <c r="DF41" i="25"/>
  <c r="Q188" i="60"/>
  <c r="AC146" i="20"/>
  <c r="AB134" i="20"/>
  <c r="AA32" i="31"/>
  <c r="J8" i="23"/>
  <c r="AZ9" i="23"/>
  <c r="BT19" i="73"/>
  <c r="K77" i="23"/>
  <c r="K75" i="23"/>
  <c r="K23" i="23"/>
  <c r="K34" i="23" s="1"/>
  <c r="AC147" i="20"/>
  <c r="U84" i="59"/>
  <c r="O370" i="60"/>
  <c r="DW195" i="30"/>
  <c r="AG199" i="30"/>
  <c r="CD243" i="59"/>
  <c r="AB30" i="20"/>
  <c r="M191" i="60"/>
  <c r="I79" i="63" s="1"/>
  <c r="CV26" i="85"/>
  <c r="AU200" i="59"/>
  <c r="AZ199" i="59"/>
  <c r="DV199" i="30"/>
  <c r="CC20" i="23" s="1"/>
  <c r="DV151" i="30"/>
  <c r="DV163" i="30" s="1"/>
  <c r="CW56" i="59"/>
  <c r="CW305" i="59"/>
  <c r="CW57" i="59"/>
  <c r="AB211" i="30"/>
  <c r="CX211" i="30" s="1"/>
  <c r="CX199" i="30"/>
  <c r="CR236" i="59"/>
  <c r="CR238" i="59" s="1"/>
  <c r="AA152" i="23"/>
  <c r="AC128" i="23"/>
  <c r="AA150" i="23"/>
  <c r="Q38" i="95"/>
  <c r="Q46" i="95"/>
  <c r="DU163" i="30"/>
  <c r="DU154" i="30"/>
  <c r="T87" i="73"/>
  <c r="T88" i="73"/>
  <c r="T85" i="73"/>
  <c r="T92" i="73"/>
  <c r="I93" i="23"/>
  <c r="C26" i="56"/>
  <c r="C28" i="56" s="1"/>
  <c r="AK197" i="30"/>
  <c r="AK173" i="30"/>
  <c r="AK174" i="30" s="1"/>
  <c r="CM28" i="25"/>
  <c r="CM25" i="25"/>
  <c r="CM27" i="25"/>
  <c r="CM29" i="25"/>
  <c r="CR27" i="25"/>
  <c r="CN26" i="25"/>
  <c r="CP236" i="59"/>
  <c r="CP238" i="59" s="1"/>
  <c r="CW319" i="59"/>
  <c r="DM53" i="25"/>
  <c r="DI54" i="25"/>
  <c r="CE26" i="85"/>
  <c r="CE28" i="85"/>
  <c r="CV39" i="85"/>
  <c r="P243" i="59"/>
  <c r="CO243" i="59"/>
  <c r="W188" i="59"/>
  <c r="AB12" i="31"/>
  <c r="W275" i="59"/>
  <c r="W286" i="59" s="1"/>
  <c r="N9" i="95"/>
  <c r="AH8" i="32"/>
  <c r="Y265" i="59"/>
  <c r="DS11" i="20"/>
  <c r="DS12" i="20" s="1"/>
  <c r="DS19" i="20"/>
  <c r="DT16" i="20"/>
  <c r="S123" i="59" l="1"/>
  <c r="S131" i="59" s="1"/>
  <c r="AB9" i="32"/>
  <c r="AB88" i="32" s="1"/>
  <c r="R131" i="59"/>
  <c r="R145" i="59" s="1"/>
  <c r="R151" i="59"/>
  <c r="DB243" i="59"/>
  <c r="DB244" i="59" s="1"/>
  <c r="DG244" i="59" s="1"/>
  <c r="AU60" i="59"/>
  <c r="M224" i="60"/>
  <c r="L226" i="60"/>
  <c r="Y402" i="60"/>
  <c r="Y404" i="60" s="1"/>
  <c r="X404" i="60"/>
  <c r="N216" i="60"/>
  <c r="M220" i="60"/>
  <c r="T39" i="52"/>
  <c r="S29" i="52"/>
  <c r="S31" i="52" s="1"/>
  <c r="K278" i="60"/>
  <c r="R32" i="52"/>
  <c r="AM384" i="23"/>
  <c r="AN431" i="23"/>
  <c r="AN384" i="23" s="1"/>
  <c r="DB16" i="59"/>
  <c r="T37" i="95"/>
  <c r="AE265" i="59" s="1"/>
  <c r="T40" i="95"/>
  <c r="T43" i="95" s="1"/>
  <c r="AF18" i="52"/>
  <c r="I43" i="52"/>
  <c r="B281" i="60" s="1"/>
  <c r="C281" i="60" s="1"/>
  <c r="D281" i="60" s="1"/>
  <c r="E281" i="60" s="1"/>
  <c r="F281" i="60" s="1"/>
  <c r="G281" i="60" s="1"/>
  <c r="H281" i="60" s="1"/>
  <c r="I281" i="60" s="1"/>
  <c r="J281" i="60" s="1"/>
  <c r="K281" i="60" s="1"/>
  <c r="L281" i="60" s="1"/>
  <c r="M281" i="60" s="1"/>
  <c r="N281" i="60" s="1"/>
  <c r="O281" i="60" s="1"/>
  <c r="P281" i="60" s="1"/>
  <c r="Q281" i="60" s="1"/>
  <c r="R281" i="60" s="1"/>
  <c r="S281" i="60" s="1"/>
  <c r="T281" i="60" s="1"/>
  <c r="U281" i="60" s="1"/>
  <c r="V281" i="60" s="1"/>
  <c r="W281" i="60" s="1"/>
  <c r="X281" i="60" s="1"/>
  <c r="Y281" i="60" s="1"/>
  <c r="X23" i="38"/>
  <c r="W24" i="38"/>
  <c r="W25" i="38" s="1"/>
  <c r="W26" i="38" s="1"/>
  <c r="BJ49" i="59"/>
  <c r="DL116" i="30"/>
  <c r="DM116" i="30" s="1"/>
  <c r="DL114" i="30"/>
  <c r="DL120" i="30"/>
  <c r="H50" i="59"/>
  <c r="H51" i="59"/>
  <c r="AP61" i="59"/>
  <c r="AP75" i="59"/>
  <c r="AQ75" i="59" s="1"/>
  <c r="T39" i="31"/>
  <c r="S42" i="31"/>
  <c r="DQ113" i="30"/>
  <c r="AF120" i="30"/>
  <c r="AF114" i="30"/>
  <c r="I49" i="59"/>
  <c r="AF116" i="30"/>
  <c r="AZ56" i="59"/>
  <c r="AZ57" i="59"/>
  <c r="G57" i="59"/>
  <c r="G56" i="59"/>
  <c r="E69" i="38"/>
  <c r="E82" i="38"/>
  <c r="E83" i="38" s="1"/>
  <c r="DG119" i="30"/>
  <c r="DG117" i="30"/>
  <c r="BE55" i="59"/>
  <c r="BF55" i="59" s="1"/>
  <c r="AE119" i="30"/>
  <c r="H55" i="59"/>
  <c r="AE117" i="30"/>
  <c r="C73" i="38"/>
  <c r="C70" i="38"/>
  <c r="C68" i="38" s="1"/>
  <c r="C88" i="38"/>
  <c r="C89" i="38" s="1"/>
  <c r="D99" i="59"/>
  <c r="D77" i="59"/>
  <c r="G73" i="60"/>
  <c r="C75" i="63" s="1"/>
  <c r="R44" i="31"/>
  <c r="AG113" i="30"/>
  <c r="R43" i="31"/>
  <c r="R49" i="31"/>
  <c r="BA55" i="59"/>
  <c r="B75" i="59"/>
  <c r="B61" i="59"/>
  <c r="Q50" i="31"/>
  <c r="Q55" i="31"/>
  <c r="DH116" i="30"/>
  <c r="BE50" i="59"/>
  <c r="BE51" i="59"/>
  <c r="BQ9" i="31"/>
  <c r="BH18" i="73"/>
  <c r="BO18" i="73"/>
  <c r="BU46" i="73"/>
  <c r="BP53" i="73"/>
  <c r="DD162" i="85"/>
  <c r="CP65" i="59"/>
  <c r="AF23" i="52"/>
  <c r="AN559" i="23"/>
  <c r="AY12" i="30"/>
  <c r="AF9" i="52"/>
  <c r="AF10" i="52" s="1"/>
  <c r="Y279" i="60"/>
  <c r="AY16" i="30"/>
  <c r="EY103" i="30"/>
  <c r="BX25" i="73"/>
  <c r="BX24" i="73" s="1"/>
  <c r="N35" i="73"/>
  <c r="N36" i="73"/>
  <c r="X154" i="85"/>
  <c r="Y141" i="85"/>
  <c r="Y152" i="85"/>
  <c r="Y140" i="85"/>
  <c r="CN34" i="85"/>
  <c r="Z138" i="85"/>
  <c r="Y174" i="85"/>
  <c r="Y144" i="85"/>
  <c r="AC113" i="85"/>
  <c r="AC149" i="85" s="1"/>
  <c r="AC150" i="85" s="1"/>
  <c r="AD111" i="85"/>
  <c r="S102" i="73"/>
  <c r="AA125" i="85"/>
  <c r="AA137" i="85"/>
  <c r="DC176" i="85"/>
  <c r="DC178" i="85" s="1"/>
  <c r="DC172" i="85"/>
  <c r="DD176" i="85"/>
  <c r="DD178" i="85" s="1"/>
  <c r="DD172" i="85"/>
  <c r="L51" i="95"/>
  <c r="L53" i="95"/>
  <c r="M50" i="95"/>
  <c r="Z143" i="85"/>
  <c r="Z126" i="85"/>
  <c r="AB120" i="85"/>
  <c r="AB131" i="85" s="1"/>
  <c r="AB132" i="85" s="1"/>
  <c r="AB119" i="85"/>
  <c r="AB114" i="85"/>
  <c r="BP21" i="31"/>
  <c r="BQ21" i="31"/>
  <c r="BV21" i="31" s="1"/>
  <c r="AM122" i="20"/>
  <c r="AB11" i="20"/>
  <c r="AB136" i="20"/>
  <c r="AB18" i="20"/>
  <c r="AB19" i="20"/>
  <c r="ED16" i="20"/>
  <c r="F72" i="38"/>
  <c r="CX140" i="30"/>
  <c r="AB141" i="30"/>
  <c r="AB142" i="30"/>
  <c r="E59" i="59"/>
  <c r="EC11" i="20"/>
  <c r="EC19" i="20"/>
  <c r="Q30" i="20"/>
  <c r="B191" i="60"/>
  <c r="Q35" i="20"/>
  <c r="Q29" i="20"/>
  <c r="Q117" i="20"/>
  <c r="CN28" i="20"/>
  <c r="CX244" i="59"/>
  <c r="DC244" i="59" s="1"/>
  <c r="DH244" i="59" s="1"/>
  <c r="AC17" i="20"/>
  <c r="DC235" i="59"/>
  <c r="CY235" i="59"/>
  <c r="EG11" i="20"/>
  <c r="EG19" i="20"/>
  <c r="BP90" i="23"/>
  <c r="BP91" i="23"/>
  <c r="BP95" i="23"/>
  <c r="BP93" i="23"/>
  <c r="BP94" i="23" s="1"/>
  <c r="AI60" i="20"/>
  <c r="AI62" i="20" s="1"/>
  <c r="AI61" i="20" s="1"/>
  <c r="AI74" i="20"/>
  <c r="AI76" i="20" s="1"/>
  <c r="AJ59" i="20"/>
  <c r="AH78" i="20"/>
  <c r="AH79" i="20" s="1"/>
  <c r="AH24" i="20"/>
  <c r="AI445" i="23"/>
  <c r="AH398" i="23"/>
  <c r="AJ385" i="23"/>
  <c r="AK432" i="23"/>
  <c r="AL383" i="23"/>
  <c r="AM430" i="23"/>
  <c r="AJ439" i="23"/>
  <c r="AI392" i="23"/>
  <c r="AI426" i="23"/>
  <c r="AH379" i="23"/>
  <c r="AH387" i="23"/>
  <c r="AI434" i="23"/>
  <c r="AH377" i="23"/>
  <c r="AI424" i="23"/>
  <c r="AI425" i="23"/>
  <c r="AH378" i="23"/>
  <c r="AH381" i="23"/>
  <c r="AI428" i="23"/>
  <c r="AH415" i="23"/>
  <c r="AI462" i="23"/>
  <c r="AI394" i="23"/>
  <c r="AJ441" i="23"/>
  <c r="AM382" i="23"/>
  <c r="AN429" i="23"/>
  <c r="AN382" i="23" s="1"/>
  <c r="AL397" i="23"/>
  <c r="AM444" i="23"/>
  <c r="E294" i="60"/>
  <c r="Z27" i="52"/>
  <c r="Y26" i="52"/>
  <c r="BH95" i="23"/>
  <c r="BH93" i="23"/>
  <c r="BM94" i="23" s="1"/>
  <c r="L65" i="23"/>
  <c r="L69" i="23" s="1"/>
  <c r="BI95" i="23"/>
  <c r="BI93" i="23"/>
  <c r="BN94" i="23" s="1"/>
  <c r="BF95" i="23"/>
  <c r="BF93" i="23"/>
  <c r="BK94" i="23" s="1"/>
  <c r="L669" i="23"/>
  <c r="BG95" i="23"/>
  <c r="BG93" i="23"/>
  <c r="BL94" i="23" s="1"/>
  <c r="BG669" i="23"/>
  <c r="L246" i="23"/>
  <c r="L249" i="23" s="1"/>
  <c r="L261" i="23" s="1"/>
  <c r="L277" i="23" s="1"/>
  <c r="L302" i="23" s="1"/>
  <c r="L303" i="23" s="1"/>
  <c r="M300" i="23" s="1"/>
  <c r="M303" i="23" s="1"/>
  <c r="N300" i="23" s="1"/>
  <c r="BJ52" i="23"/>
  <c r="L98" i="23"/>
  <c r="L55" i="23"/>
  <c r="AF24" i="52"/>
  <c r="AW196" i="30"/>
  <c r="AC107" i="59" s="1"/>
  <c r="AC113" i="59" s="1"/>
  <c r="AW34" i="30"/>
  <c r="AR69" i="25"/>
  <c r="AV29" i="30"/>
  <c r="AR73" i="25" s="1"/>
  <c r="AQ75" i="25"/>
  <c r="AQ74" i="25"/>
  <c r="AS66" i="25"/>
  <c r="AS67" i="25" s="1"/>
  <c r="AW25" i="30"/>
  <c r="AW20" i="30"/>
  <c r="DH122" i="59"/>
  <c r="T122" i="59"/>
  <c r="L54" i="73" s="1"/>
  <c r="AX17" i="30"/>
  <c r="AX18" i="30"/>
  <c r="AD91" i="59"/>
  <c r="AT64" i="25"/>
  <c r="AU65" i="25" s="1"/>
  <c r="AX12" i="30"/>
  <c r="AX32" i="30"/>
  <c r="AE24" i="52"/>
  <c r="AE11" i="52"/>
  <c r="AE10" i="52"/>
  <c r="AC323" i="59"/>
  <c r="AC93" i="59"/>
  <c r="AC92" i="59"/>
  <c r="AD40" i="59"/>
  <c r="AD232" i="59"/>
  <c r="AS65" i="25"/>
  <c r="AL559" i="23"/>
  <c r="AQ68" i="25"/>
  <c r="AQ71" i="25"/>
  <c r="AQ70" i="25"/>
  <c r="AQ72" i="25"/>
  <c r="ET104" i="30"/>
  <c r="AL75" i="20"/>
  <c r="D82" i="38"/>
  <c r="D83" i="38" s="1"/>
  <c r="D69" i="38"/>
  <c r="C76" i="59"/>
  <c r="C99" i="59"/>
  <c r="C77" i="59"/>
  <c r="D76" i="59"/>
  <c r="DF65" i="59"/>
  <c r="DF64" i="59"/>
  <c r="DG19" i="59"/>
  <c r="DG243" i="59"/>
  <c r="U243" i="59" s="1"/>
  <c r="BY21" i="73"/>
  <c r="BY20" i="73"/>
  <c r="T243" i="59"/>
  <c r="DD243" i="59" s="1"/>
  <c r="U18" i="59"/>
  <c r="AL72" i="23"/>
  <c r="AK73" i="23"/>
  <c r="BU31" i="31"/>
  <c r="W14" i="85"/>
  <c r="W20" i="85"/>
  <c r="W21" i="85" s="1"/>
  <c r="CY39" i="85"/>
  <c r="DD24" i="85"/>
  <c r="DD39" i="85" s="1"/>
  <c r="BW17" i="31"/>
  <c r="V14" i="85"/>
  <c r="V31" i="85" s="1"/>
  <c r="DC31" i="85" s="1"/>
  <c r="CZ13" i="85"/>
  <c r="V71" i="85"/>
  <c r="V72" i="85" s="1"/>
  <c r="AJ49" i="25"/>
  <c r="V20" i="85"/>
  <c r="X36" i="33"/>
  <c r="AY46" i="59"/>
  <c r="AY210" i="59"/>
  <c r="BI60" i="59"/>
  <c r="BD61" i="59"/>
  <c r="BD60" i="59"/>
  <c r="BD75" i="59"/>
  <c r="BA145" i="59"/>
  <c r="BE16" i="59"/>
  <c r="BE27" i="59"/>
  <c r="BJ16" i="59"/>
  <c r="AU99" i="59"/>
  <c r="AU77" i="59"/>
  <c r="AY166" i="59"/>
  <c r="AY167" i="59"/>
  <c r="BD165" i="59"/>
  <c r="BI158" i="59"/>
  <c r="BD158" i="59"/>
  <c r="BD159" i="59"/>
  <c r="AU46" i="59"/>
  <c r="AU210" i="59"/>
  <c r="AT101" i="59"/>
  <c r="AT100" i="59"/>
  <c r="AT211" i="59"/>
  <c r="BI28" i="59"/>
  <c r="BD45" i="59"/>
  <c r="BD28" i="59"/>
  <c r="AY77" i="59"/>
  <c r="AY76" i="59"/>
  <c r="AU166" i="59"/>
  <c r="AU167" i="59"/>
  <c r="AZ45" i="59"/>
  <c r="AZ210" i="59" s="1"/>
  <c r="AZ28" i="59"/>
  <c r="BF131" i="59"/>
  <c r="BE132" i="59"/>
  <c r="BJ132" i="59"/>
  <c r="BE145" i="59"/>
  <c r="AV45" i="59"/>
  <c r="AV210" i="59" s="1"/>
  <c r="BJ150" i="59"/>
  <c r="BE150" i="59"/>
  <c r="BE157" i="59"/>
  <c r="BE151" i="59"/>
  <c r="AZ159" i="59"/>
  <c r="AZ158" i="59"/>
  <c r="AZ165" i="59"/>
  <c r="BD146" i="59"/>
  <c r="BI146" i="59"/>
  <c r="CW16" i="59"/>
  <c r="DD18" i="59"/>
  <c r="CX28" i="85"/>
  <c r="DB63" i="59" s="1"/>
  <c r="DC39" i="85"/>
  <c r="DC25" i="85"/>
  <c r="DB29" i="85"/>
  <c r="DA26" i="85"/>
  <c r="DA28" i="85"/>
  <c r="DE63" i="59" s="1"/>
  <c r="FE95" i="30"/>
  <c r="FE96" i="30" s="1"/>
  <c r="Q47" i="95"/>
  <c r="N23" i="95"/>
  <c r="N24" i="95" s="1"/>
  <c r="Y271" i="59" s="1"/>
  <c r="R126" i="59"/>
  <c r="K45" i="73" s="1"/>
  <c r="DA61" i="59"/>
  <c r="BX137" i="73" s="1"/>
  <c r="CC137" i="73" s="1"/>
  <c r="DB322" i="59"/>
  <c r="R312" i="59"/>
  <c r="CV246" i="59"/>
  <c r="DA255" i="59"/>
  <c r="DA246" i="59"/>
  <c r="CQ60" i="59"/>
  <c r="CQ61" i="59"/>
  <c r="BN137" i="73" s="1"/>
  <c r="CQ306" i="59"/>
  <c r="CQ320" i="59"/>
  <c r="CW231" i="59"/>
  <c r="CW236" i="59" s="1"/>
  <c r="T19" i="59"/>
  <c r="FC103" i="30"/>
  <c r="CV236" i="59"/>
  <c r="DA65" i="59"/>
  <c r="DA64" i="59"/>
  <c r="EX109" i="30"/>
  <c r="EX110" i="30" s="1"/>
  <c r="EX104" i="30"/>
  <c r="CV65" i="59"/>
  <c r="CV59" i="59"/>
  <c r="CV60" i="59" s="1"/>
  <c r="BI138" i="73"/>
  <c r="BI139" i="73"/>
  <c r="BI136" i="73"/>
  <c r="AA145" i="20"/>
  <c r="J228" i="59"/>
  <c r="X33" i="33"/>
  <c r="X34" i="33" s="1"/>
  <c r="W276" i="59"/>
  <c r="W278" i="59"/>
  <c r="W279" i="59" s="1"/>
  <c r="R243" i="59"/>
  <c r="DW181" i="30"/>
  <c r="BS213" i="59"/>
  <c r="BU55" i="73"/>
  <c r="BU53" i="73" s="1"/>
  <c r="CY18" i="59"/>
  <c r="AF104" i="30"/>
  <c r="AG100" i="31"/>
  <c r="AF102" i="31"/>
  <c r="BW25" i="73"/>
  <c r="BP9" i="31"/>
  <c r="BU9" i="31" s="1"/>
  <c r="BK17" i="31"/>
  <c r="W133" i="31"/>
  <c r="X134" i="31"/>
  <c r="V107" i="31"/>
  <c r="V108" i="31" s="1"/>
  <c r="V109" i="31" s="1"/>
  <c r="V135" i="31"/>
  <c r="V112" i="31" s="1"/>
  <c r="V113" i="31" s="1"/>
  <c r="V114" i="31" s="1"/>
  <c r="V128" i="31"/>
  <c r="U120" i="31"/>
  <c r="V124" i="31"/>
  <c r="U129" i="31"/>
  <c r="AA127" i="31"/>
  <c r="R326" i="59"/>
  <c r="BW14" i="23"/>
  <c r="DW176" i="30"/>
  <c r="BW17" i="23"/>
  <c r="BW18" i="23" s="1"/>
  <c r="AW39" i="31"/>
  <c r="CY112" i="59"/>
  <c r="AJ133" i="23"/>
  <c r="AJ112" i="23"/>
  <c r="AJ175" i="23"/>
  <c r="AJ294" i="23" s="1"/>
  <c r="AJ690" i="23" s="1"/>
  <c r="AX39" i="31"/>
  <c r="AX34" i="31"/>
  <c r="U31" i="31"/>
  <c r="AZ31" i="31" s="1"/>
  <c r="AV33" i="31"/>
  <c r="BC25" i="31"/>
  <c r="BJ41" i="73"/>
  <c r="BJ42" i="73"/>
  <c r="BJ39" i="73"/>
  <c r="BK27" i="59"/>
  <c r="H45" i="59"/>
  <c r="H28" i="59"/>
  <c r="DL110" i="30"/>
  <c r="AE109" i="30"/>
  <c r="DB35" i="25"/>
  <c r="DG36" i="25" s="1"/>
  <c r="V23" i="31"/>
  <c r="BG23" i="31"/>
  <c r="BB31" i="31"/>
  <c r="BB24" i="31"/>
  <c r="BB25" i="31" s="1"/>
  <c r="BI40" i="73"/>
  <c r="U89" i="31"/>
  <c r="H40" i="73"/>
  <c r="H39" i="73" s="1"/>
  <c r="AZ23" i="31"/>
  <c r="AQ34" i="31"/>
  <c r="AQ39" i="31"/>
  <c r="BH39" i="73"/>
  <c r="BH42" i="73"/>
  <c r="BH41" i="73"/>
  <c r="DM103" i="30"/>
  <c r="I6" i="38"/>
  <c r="AE104" i="30"/>
  <c r="AL130" i="30"/>
  <c r="EV97" i="30"/>
  <c r="AL98" i="30"/>
  <c r="Q131" i="59"/>
  <c r="Q151" i="59"/>
  <c r="CT123" i="59"/>
  <c r="Q312" i="59"/>
  <c r="Q126" i="59"/>
  <c r="J45" i="73" s="1"/>
  <c r="Q326" i="59"/>
  <c r="L326" i="59"/>
  <c r="L151" i="59"/>
  <c r="L131" i="59"/>
  <c r="M126" i="59"/>
  <c r="H45" i="73" s="1"/>
  <c r="CE123" i="59"/>
  <c r="L312" i="59"/>
  <c r="M312" i="59"/>
  <c r="L126" i="59"/>
  <c r="G45" i="73" s="1"/>
  <c r="M326" i="59"/>
  <c r="J55" i="73"/>
  <c r="J56" i="73" s="1"/>
  <c r="J53" i="73" s="1"/>
  <c r="Y101" i="33" s="1"/>
  <c r="Y100" i="33" s="1"/>
  <c r="Y102" i="33" s="1"/>
  <c r="Y35" i="33" s="1"/>
  <c r="Y36" i="33" s="1"/>
  <c r="AA13" i="32"/>
  <c r="AA88" i="32"/>
  <c r="AA7" i="32"/>
  <c r="AA10" i="32"/>
  <c r="O151" i="59"/>
  <c r="O131" i="59"/>
  <c r="CJ145" i="59"/>
  <c r="M183" i="59"/>
  <c r="M167" i="59"/>
  <c r="N167" i="59"/>
  <c r="N316" i="59"/>
  <c r="CO145" i="59"/>
  <c r="N330" i="59"/>
  <c r="N146" i="59"/>
  <c r="N183" i="59"/>
  <c r="AK235" i="30"/>
  <c r="X43" i="33"/>
  <c r="X46" i="33"/>
  <c r="P126" i="59"/>
  <c r="I45" i="73" s="1"/>
  <c r="P131" i="59"/>
  <c r="P151" i="59"/>
  <c r="AJ124" i="30"/>
  <c r="AJ131" i="30"/>
  <c r="AJ125" i="30"/>
  <c r="Y45" i="33"/>
  <c r="EV95" i="30"/>
  <c r="AL96" i="30"/>
  <c r="AK238" i="30"/>
  <c r="Z64" i="32"/>
  <c r="K103" i="60"/>
  <c r="G76" i="63" s="1"/>
  <c r="AK123" i="30"/>
  <c r="Z17" i="32"/>
  <c r="Z18" i="32"/>
  <c r="Y87" i="32"/>
  <c r="Y86" i="32"/>
  <c r="Y62" i="32"/>
  <c r="Y85" i="32"/>
  <c r="Y84" i="32"/>
  <c r="Y83" i="32"/>
  <c r="Y82" i="32"/>
  <c r="BT238" i="59"/>
  <c r="N244" i="59"/>
  <c r="P244" i="59" s="1"/>
  <c r="BY228" i="59"/>
  <c r="AC98" i="85"/>
  <c r="AB56" i="85"/>
  <c r="AB57" i="85" s="1"/>
  <c r="BL29" i="31"/>
  <c r="V21" i="31"/>
  <c r="V240" i="31" s="1"/>
  <c r="BD24" i="31"/>
  <c r="BD25" i="31" s="1"/>
  <c r="BI21" i="31"/>
  <c r="W21" i="31" s="1"/>
  <c r="W240" i="31" s="1"/>
  <c r="CW246" i="59"/>
  <c r="AH103" i="30"/>
  <c r="BZ15" i="59"/>
  <c r="K16" i="59"/>
  <c r="K27" i="59"/>
  <c r="Q244" i="59"/>
  <c r="CI55" i="59"/>
  <c r="M49" i="59"/>
  <c r="AY42" i="31"/>
  <c r="AY43" i="31" s="1"/>
  <c r="AY9" i="31"/>
  <c r="AY15" i="31"/>
  <c r="AY16" i="31"/>
  <c r="BF34" i="31"/>
  <c r="BF39" i="31"/>
  <c r="BU227" i="59"/>
  <c r="BK24" i="31"/>
  <c r="BK25" i="31" s="1"/>
  <c r="J4" i="38"/>
  <c r="J42" i="38" s="1"/>
  <c r="J9" i="38"/>
  <c r="J11" i="38" s="1"/>
  <c r="CD290" i="59"/>
  <c r="CD291" i="59" s="1"/>
  <c r="L219" i="59"/>
  <c r="BP237" i="59"/>
  <c r="I238" i="59"/>
  <c r="BN20" i="73"/>
  <c r="BN21" i="73"/>
  <c r="BC39" i="31"/>
  <c r="BC34" i="31"/>
  <c r="CJ8" i="59"/>
  <c r="M9" i="59"/>
  <c r="O8" i="59"/>
  <c r="O12" i="59" s="1"/>
  <c r="O13" i="59" s="1"/>
  <c r="M12" i="59"/>
  <c r="EK87" i="30"/>
  <c r="EK90" i="30"/>
  <c r="EK91" i="30" s="1"/>
  <c r="BU27" i="59"/>
  <c r="J28" i="59"/>
  <c r="J45" i="59"/>
  <c r="BM21" i="73"/>
  <c r="BM20" i="73"/>
  <c r="CS29" i="85"/>
  <c r="CW63" i="59"/>
  <c r="CM320" i="59"/>
  <c r="CM61" i="59"/>
  <c r="BJ137" i="73" s="1"/>
  <c r="CM306" i="59"/>
  <c r="CM60" i="59"/>
  <c r="BS24" i="73"/>
  <c r="BS27" i="73"/>
  <c r="BS26" i="73"/>
  <c r="AC60" i="85"/>
  <c r="AB77" i="85"/>
  <c r="AB62" i="85"/>
  <c r="AB50" i="85"/>
  <c r="AB51" i="85" s="1"/>
  <c r="BU231" i="59"/>
  <c r="J237" i="59"/>
  <c r="I250" i="59"/>
  <c r="AT29" i="31"/>
  <c r="AU9" i="31"/>
  <c r="BR27" i="73"/>
  <c r="BR26" i="73"/>
  <c r="BR24" i="73"/>
  <c r="U183" i="31"/>
  <c r="AZ21" i="31"/>
  <c r="U240" i="31"/>
  <c r="U237" i="31"/>
  <c r="U234" i="31" s="1"/>
  <c r="U24" i="31"/>
  <c r="U186" i="31"/>
  <c r="DG77" i="25"/>
  <c r="EA109" i="30"/>
  <c r="EA110" i="30" s="1"/>
  <c r="EA104" i="30"/>
  <c r="BM21" i="31"/>
  <c r="BH24" i="31"/>
  <c r="BH25" i="31" s="1"/>
  <c r="BH29" i="31"/>
  <c r="BH33" i="31" s="1"/>
  <c r="CS8" i="59"/>
  <c r="CN12" i="59"/>
  <c r="N8" i="59"/>
  <c r="CN49" i="59"/>
  <c r="BD14" i="31"/>
  <c r="EP86" i="30"/>
  <c r="EG90" i="30"/>
  <c r="EF91" i="30"/>
  <c r="BS19" i="73"/>
  <c r="BL17" i="31"/>
  <c r="K227" i="59"/>
  <c r="K290" i="59"/>
  <c r="BZ219" i="59"/>
  <c r="AF161" i="30"/>
  <c r="Y35" i="25"/>
  <c r="DR109" i="30"/>
  <c r="CR64" i="59"/>
  <c r="CR65" i="59"/>
  <c r="CR59" i="59"/>
  <c r="BR19" i="73"/>
  <c r="BK29" i="31"/>
  <c r="BK33" i="31" s="1"/>
  <c r="BK34" i="31" s="1"/>
  <c r="BY236" i="59"/>
  <c r="K236" i="59" s="1"/>
  <c r="BZ236" i="59" s="1"/>
  <c r="K231" i="59"/>
  <c r="CI219" i="59"/>
  <c r="CI13" i="59"/>
  <c r="CI15" i="59"/>
  <c r="AB101" i="85"/>
  <c r="AC84" i="85"/>
  <c r="AB86" i="85"/>
  <c r="AG109" i="30"/>
  <c r="K6" i="38"/>
  <c r="AG104" i="30"/>
  <c r="DW103" i="30"/>
  <c r="J27" i="73"/>
  <c r="J24" i="73"/>
  <c r="J26" i="73"/>
  <c r="I116" i="59"/>
  <c r="BP45" i="59"/>
  <c r="BE139" i="73"/>
  <c r="BE136" i="73"/>
  <c r="BE138" i="73"/>
  <c r="CE29" i="85"/>
  <c r="CI63" i="59"/>
  <c r="CE33" i="85"/>
  <c r="I94" i="23"/>
  <c r="I95" i="23"/>
  <c r="I96" i="23" s="1"/>
  <c r="T91" i="73"/>
  <c r="T93" i="73"/>
  <c r="T94" i="73"/>
  <c r="AA153" i="23"/>
  <c r="AA154" i="23" s="1"/>
  <c r="K80" i="63"/>
  <c r="O369" i="60"/>
  <c r="AD146" i="20"/>
  <c r="AD134" i="20" s="1"/>
  <c r="AC134" i="20"/>
  <c r="CO25" i="85"/>
  <c r="T23" i="85"/>
  <c r="AK105" i="23"/>
  <c r="AF111" i="31"/>
  <c r="CW228" i="59"/>
  <c r="EL197" i="30"/>
  <c r="CQ34" i="23"/>
  <c r="CH213" i="59"/>
  <c r="DD86" i="25"/>
  <c r="BL194" i="59"/>
  <c r="L64" i="59"/>
  <c r="CE63" i="59"/>
  <c r="L65" i="59"/>
  <c r="U24" i="38"/>
  <c r="U25" i="38" s="1"/>
  <c r="R159" i="59"/>
  <c r="AQ146" i="30"/>
  <c r="W84" i="59"/>
  <c r="Q370" i="60"/>
  <c r="DL58" i="25"/>
  <c r="DL56" i="25"/>
  <c r="DL55" i="25"/>
  <c r="Y41" i="33"/>
  <c r="X38" i="33"/>
  <c r="X39" i="33" s="1"/>
  <c r="AB32" i="31"/>
  <c r="V39" i="85"/>
  <c r="CZ24" i="85"/>
  <c r="Q7" i="95"/>
  <c r="T89" i="73"/>
  <c r="DU158" i="30"/>
  <c r="DK44" i="25" s="1"/>
  <c r="DK40" i="25"/>
  <c r="AC148" i="23"/>
  <c r="AC131" i="23"/>
  <c r="AC137" i="23"/>
  <c r="AC134" i="23"/>
  <c r="DB308" i="59"/>
  <c r="CD244" i="59"/>
  <c r="L244" i="59" s="1"/>
  <c r="CE244" i="59" s="1"/>
  <c r="L243" i="59"/>
  <c r="AD147" i="20"/>
  <c r="K40" i="23"/>
  <c r="K44" i="23"/>
  <c r="K83" i="23"/>
  <c r="K81" i="23"/>
  <c r="K663" i="23"/>
  <c r="CY38" i="85"/>
  <c r="CT23" i="85"/>
  <c r="O20" i="95"/>
  <c r="O17" i="95"/>
  <c r="CE223" i="59"/>
  <c r="R26" i="85"/>
  <c r="CF25" i="85"/>
  <c r="R28" i="85"/>
  <c r="AB59" i="25"/>
  <c r="AB60" i="25"/>
  <c r="AI181" i="30"/>
  <c r="AI182" i="30" s="1"/>
  <c r="I249" i="23"/>
  <c r="I261" i="23" s="1"/>
  <c r="I277" i="23" s="1"/>
  <c r="I302" i="23" s="1"/>
  <c r="I303" i="23" s="1"/>
  <c r="F246" i="23"/>
  <c r="F249" i="23" s="1"/>
  <c r="F261" i="23" s="1"/>
  <c r="F277" i="23" s="1"/>
  <c r="F302" i="23" s="1"/>
  <c r="F303" i="23" s="1"/>
  <c r="G300" i="23" s="1"/>
  <c r="P19" i="95"/>
  <c r="S95" i="73"/>
  <c r="FB103" i="30"/>
  <c r="BM206" i="59"/>
  <c r="BM211" i="59"/>
  <c r="AD17" i="85"/>
  <c r="DJ60" i="25"/>
  <c r="DJ59" i="25"/>
  <c r="AJ195" i="30"/>
  <c r="EH199" i="30"/>
  <c r="CO20" i="23" s="1"/>
  <c r="CO21" i="23" s="1"/>
  <c r="CO23" i="23" s="1"/>
  <c r="N21" i="95"/>
  <c r="Y266" i="59"/>
  <c r="Y267" i="59" s="1"/>
  <c r="DI40" i="25"/>
  <c r="DS158" i="30"/>
  <c r="DI44" i="25" s="1"/>
  <c r="CE15" i="59"/>
  <c r="L27" i="59"/>
  <c r="L16" i="59"/>
  <c r="AI103" i="30"/>
  <c r="CA44" i="23"/>
  <c r="CA40" i="23"/>
  <c r="CK23" i="85"/>
  <c r="S25" i="85"/>
  <c r="S38" i="85"/>
  <c r="CY123" i="59"/>
  <c r="AF97" i="33"/>
  <c r="AG96" i="33"/>
  <c r="X270" i="59"/>
  <c r="X220" i="59"/>
  <c r="X242" i="59"/>
  <c r="DD43" i="25"/>
  <c r="DD45" i="25"/>
  <c r="DD46" i="25"/>
  <c r="AL174" i="30"/>
  <c r="R44" i="95"/>
  <c r="Z151" i="20"/>
  <c r="AI8" i="32"/>
  <c r="Z265" i="59"/>
  <c r="O9" i="95"/>
  <c r="Y268" i="59"/>
  <c r="Y273" i="59"/>
  <c r="Y281" i="59"/>
  <c r="Y282" i="59" s="1"/>
  <c r="AF12" i="32"/>
  <c r="DI56" i="25"/>
  <c r="DI58" i="25"/>
  <c r="DM54" i="25"/>
  <c r="EN197" i="30"/>
  <c r="EM197" i="30"/>
  <c r="EO197" i="30"/>
  <c r="EP197" i="30"/>
  <c r="U88" i="73"/>
  <c r="U85" i="73"/>
  <c r="U87" i="73"/>
  <c r="U92" i="73"/>
  <c r="DW199" i="30"/>
  <c r="AG211" i="30"/>
  <c r="L76" i="23"/>
  <c r="R188" i="60"/>
  <c r="FD103" i="30"/>
  <c r="FD104" i="30" s="1"/>
  <c r="S37" i="95"/>
  <c r="T38" i="95" s="1"/>
  <c r="S40" i="95"/>
  <c r="S43" i="95" s="1"/>
  <c r="K204" i="59"/>
  <c r="BZ204" i="59" s="1"/>
  <c r="BZ202" i="59"/>
  <c r="CU236" i="59"/>
  <c r="BV10" i="23"/>
  <c r="BV13" i="23" s="1"/>
  <c r="BV14" i="23" s="1"/>
  <c r="BM198" i="59"/>
  <c r="DJ87" i="25"/>
  <c r="DE87" i="25"/>
  <c r="DK59" i="25"/>
  <c r="DK60" i="25"/>
  <c r="CR34" i="23"/>
  <c r="CI213" i="59"/>
  <c r="DX12" i="20"/>
  <c r="P240" i="59"/>
  <c r="CO240" i="59"/>
  <c r="CD236" i="59"/>
  <c r="L231" i="59"/>
  <c r="BZ40" i="23"/>
  <c r="BZ44" i="23"/>
  <c r="Z45" i="33"/>
  <c r="FA95" i="30"/>
  <c r="AM96" i="30"/>
  <c r="CR31" i="25"/>
  <c r="CM32" i="25"/>
  <c r="CM31" i="25"/>
  <c r="CN30" i="25"/>
  <c r="CJ26" i="85"/>
  <c r="CJ28" i="85"/>
  <c r="AB13" i="32"/>
  <c r="AB7" i="32"/>
  <c r="AB64" i="32" s="1"/>
  <c r="AB62" i="32" s="1"/>
  <c r="AB10" i="32"/>
  <c r="BN200" i="59"/>
  <c r="BN199" i="59"/>
  <c r="BN207" i="59"/>
  <c r="BS199" i="59"/>
  <c r="AC121" i="31"/>
  <c r="AB123" i="31"/>
  <c r="AM73" i="32"/>
  <c r="AL79" i="32"/>
  <c r="AL80" i="32" s="1"/>
  <c r="DD39" i="25"/>
  <c r="DD41" i="25"/>
  <c r="DD42" i="25"/>
  <c r="ES197" i="30"/>
  <c r="ES195" i="30" s="1"/>
  <c r="ES199" i="30" s="1"/>
  <c r="CZ20" i="23" s="1"/>
  <c r="CZ21" i="23" s="1"/>
  <c r="CZ23" i="23" s="1"/>
  <c r="ET197" i="30"/>
  <c r="ET195" i="30" s="1"/>
  <c r="ET199" i="30" s="1"/>
  <c r="DA20" i="23" s="1"/>
  <c r="DA21" i="23" s="1"/>
  <c r="DA23" i="23" s="1"/>
  <c r="EU197" i="30"/>
  <c r="ER197" i="30"/>
  <c r="ER195" i="30" s="1"/>
  <c r="ER199" i="30" s="1"/>
  <c r="CY20" i="23" s="1"/>
  <c r="CY21" i="23" s="1"/>
  <c r="CY23" i="23" s="1"/>
  <c r="R46" i="95"/>
  <c r="R38" i="95"/>
  <c r="P8" i="95"/>
  <c r="CE58" i="23"/>
  <c r="CE50" i="23"/>
  <c r="CE52" i="23" s="1"/>
  <c r="CE55" i="23" s="1"/>
  <c r="CE60" i="23"/>
  <c r="CE65" i="23" s="1"/>
  <c r="CE69" i="23" s="1"/>
  <c r="CE100" i="23"/>
  <c r="AI53" i="25"/>
  <c r="AM172" i="30"/>
  <c r="AM197" i="30" s="1"/>
  <c r="CT31" i="85"/>
  <c r="CU31" i="85" s="1"/>
  <c r="Z19" i="85"/>
  <c r="K79" i="23"/>
  <c r="L78" i="23"/>
  <c r="BT21" i="73"/>
  <c r="BT20" i="73"/>
  <c r="AX8" i="23"/>
  <c r="AX7" i="23" s="1"/>
  <c r="AV8" i="23"/>
  <c r="AV7" i="23" s="1"/>
  <c r="AY8" i="23"/>
  <c r="AY7" i="23" s="1"/>
  <c r="AW8" i="23"/>
  <c r="AW7" i="23" s="1"/>
  <c r="J475" i="23"/>
  <c r="J503" i="23" s="1"/>
  <c r="AB140" i="20"/>
  <c r="EY109" i="30"/>
  <c r="EY110" i="30" s="1"/>
  <c r="EY104" i="30"/>
  <c r="BC136" i="73"/>
  <c r="BC138" i="73"/>
  <c r="BC139" i="73"/>
  <c r="P369" i="60"/>
  <c r="L80" i="63"/>
  <c r="CD228" i="59"/>
  <c r="AM606" i="23"/>
  <c r="AM597" i="23"/>
  <c r="CK60" i="59"/>
  <c r="CK61" i="59"/>
  <c r="BH137" i="73" s="1"/>
  <c r="CK306" i="59"/>
  <c r="CK320" i="59"/>
  <c r="J579" i="23"/>
  <c r="J585" i="23"/>
  <c r="CL34" i="85"/>
  <c r="CL35" i="85"/>
  <c r="CB44" i="23"/>
  <c r="CB40" i="23"/>
  <c r="EW104" i="30"/>
  <c r="EW109" i="30"/>
  <c r="EW110" i="30" s="1"/>
  <c r="CP34" i="23"/>
  <c r="CG213" i="59"/>
  <c r="CU63" i="59"/>
  <c r="CQ29" i="85"/>
  <c r="AG151" i="30"/>
  <c r="S223" i="60"/>
  <c r="EB211" i="30"/>
  <c r="J22" i="23"/>
  <c r="Q86" i="25"/>
  <c r="AM236" i="30"/>
  <c r="AM168" i="30"/>
  <c r="EF109" i="30"/>
  <c r="EF104" i="30"/>
  <c r="BR77" i="23"/>
  <c r="BR23" i="23"/>
  <c r="BR75" i="23"/>
  <c r="BR76" i="23" s="1"/>
  <c r="K55" i="73"/>
  <c r="K56" i="73" s="1"/>
  <c r="CP320" i="59"/>
  <c r="CP60" i="59"/>
  <c r="CP306" i="59"/>
  <c r="CP61" i="59"/>
  <c r="BM137" i="73" s="1"/>
  <c r="AM97" i="30"/>
  <c r="Y33" i="59"/>
  <c r="AR108" i="30"/>
  <c r="X241" i="59"/>
  <c r="X224" i="59" s="1"/>
  <c r="X83" i="59"/>
  <c r="AC12" i="31"/>
  <c r="X188" i="59"/>
  <c r="X275" i="59"/>
  <c r="X286" i="59" s="1"/>
  <c r="AB73" i="30"/>
  <c r="CX73" i="30" s="1"/>
  <c r="CX65" i="30"/>
  <c r="DT158" i="30"/>
  <c r="DJ44" i="25" s="1"/>
  <c r="DJ40" i="25"/>
  <c r="CZ65" i="59"/>
  <c r="BU21" i="31" l="1"/>
  <c r="BU24" i="31" s="1"/>
  <c r="J43" i="52"/>
  <c r="K43" i="52" s="1"/>
  <c r="L43" i="52" s="1"/>
  <c r="M43" i="52" s="1"/>
  <c r="AN8" i="32"/>
  <c r="L278" i="60"/>
  <c r="S32" i="52"/>
  <c r="U39" i="52"/>
  <c r="T29" i="52"/>
  <c r="T31" i="52" s="1"/>
  <c r="O216" i="60"/>
  <c r="N220" i="60"/>
  <c r="N224" i="60"/>
  <c r="M226" i="60"/>
  <c r="T44" i="95"/>
  <c r="T46" i="95"/>
  <c r="AE273" i="59"/>
  <c r="AE281" i="59"/>
  <c r="BV9" i="31"/>
  <c r="BV14" i="31" s="1"/>
  <c r="BV17" i="31" s="1"/>
  <c r="AU76" i="59"/>
  <c r="Y23" i="38"/>
  <c r="X24" i="38"/>
  <c r="X25" i="38" s="1"/>
  <c r="X26" i="38" s="1"/>
  <c r="R50" i="31"/>
  <c r="R55" i="31"/>
  <c r="AP77" i="59"/>
  <c r="AP99" i="59"/>
  <c r="AQ99" i="59" s="1"/>
  <c r="AQ211" i="59" s="1"/>
  <c r="C69" i="38"/>
  <c r="C82" i="38"/>
  <c r="C83" i="38" s="1"/>
  <c r="H57" i="59"/>
  <c r="H56" i="59"/>
  <c r="AF119" i="30"/>
  <c r="I55" i="59"/>
  <c r="AF117" i="30"/>
  <c r="DR113" i="30"/>
  <c r="DQ120" i="30"/>
  <c r="DQ114" i="30"/>
  <c r="BO49" i="59"/>
  <c r="BP49" i="59" s="1"/>
  <c r="DQ116" i="30"/>
  <c r="B99" i="59"/>
  <c r="B77" i="59"/>
  <c r="AG116" i="30"/>
  <c r="J49" i="59"/>
  <c r="AG114" i="30"/>
  <c r="AG120" i="30"/>
  <c r="I50" i="59"/>
  <c r="I51" i="59"/>
  <c r="S49" i="31"/>
  <c r="S43" i="31"/>
  <c r="H73" i="60"/>
  <c r="D75" i="63" s="1"/>
  <c r="S44" i="31"/>
  <c r="AH113" i="30"/>
  <c r="DL119" i="30"/>
  <c r="BJ55" i="59"/>
  <c r="DL117" i="30"/>
  <c r="D211" i="59"/>
  <c r="D101" i="59"/>
  <c r="BE57" i="59"/>
  <c r="BE56" i="59"/>
  <c r="T40" i="31"/>
  <c r="T42" i="31"/>
  <c r="BK49" i="59"/>
  <c r="BJ51" i="59"/>
  <c r="BJ50" i="59"/>
  <c r="BX19" i="73"/>
  <c r="BX21" i="73" s="1"/>
  <c r="BQ17" i="31"/>
  <c r="BX27" i="73"/>
  <c r="BX26" i="73"/>
  <c r="N33" i="73"/>
  <c r="AA20" i="31" s="1"/>
  <c r="BY18" i="73"/>
  <c r="BM18" i="73"/>
  <c r="BT18" i="73"/>
  <c r="K53" i="73"/>
  <c r="Z101" i="33" s="1"/>
  <c r="Z100" i="33" s="1"/>
  <c r="Z33" i="33" s="1"/>
  <c r="BN18" i="73"/>
  <c r="AM79" i="32"/>
  <c r="AM80" i="32" s="1"/>
  <c r="AN73" i="32"/>
  <c r="AN79" i="32" s="1"/>
  <c r="AF11" i="52"/>
  <c r="DD122" i="59"/>
  <c r="AY19" i="30"/>
  <c r="AE91" i="59"/>
  <c r="AY17" i="30"/>
  <c r="AY18" i="30"/>
  <c r="BU14" i="31"/>
  <c r="AB12" i="20"/>
  <c r="O36" i="73"/>
  <c r="O35" i="73"/>
  <c r="Z140" i="85"/>
  <c r="Z152" i="85"/>
  <c r="Y153" i="85"/>
  <c r="Y154" i="85"/>
  <c r="AJ53" i="25"/>
  <c r="AN172" i="30" s="1"/>
  <c r="AN197" i="30" s="1"/>
  <c r="CX31" i="85"/>
  <c r="CX33" i="85" s="1"/>
  <c r="CX35" i="85" s="1"/>
  <c r="M51" i="95"/>
  <c r="M53" i="95"/>
  <c r="M54" i="95" s="1"/>
  <c r="AB137" i="85"/>
  <c r="AB125" i="85"/>
  <c r="Z141" i="85"/>
  <c r="Z174" i="85"/>
  <c r="Z144" i="85"/>
  <c r="AA138" i="85"/>
  <c r="AC114" i="85"/>
  <c r="AC120" i="85"/>
  <c r="AC131" i="85" s="1"/>
  <c r="AC132" i="85" s="1"/>
  <c r="AC119" i="85"/>
  <c r="R244" i="59"/>
  <c r="S244" i="59" s="1"/>
  <c r="CY244" i="59" s="1"/>
  <c r="AA143" i="85"/>
  <c r="N50" i="95"/>
  <c r="AA126" i="85"/>
  <c r="CX246" i="59"/>
  <c r="L54" i="95"/>
  <c r="AD113" i="85"/>
  <c r="AD149" i="85" s="1"/>
  <c r="AD150" i="85" s="1"/>
  <c r="AE111" i="85"/>
  <c r="T102" i="73"/>
  <c r="DB31" i="85"/>
  <c r="DB33" i="85" s="1"/>
  <c r="DB35" i="85" s="1"/>
  <c r="FB104" i="30"/>
  <c r="FG104" i="30"/>
  <c r="FC104" i="30"/>
  <c r="FH104" i="30"/>
  <c r="BR21" i="31"/>
  <c r="BW21" i="31" s="1"/>
  <c r="AN122" i="20"/>
  <c r="EL11" i="20"/>
  <c r="EL16" i="20" s="1"/>
  <c r="EG12" i="20"/>
  <c r="AC20" i="20"/>
  <c r="AD17" i="20"/>
  <c r="T235" i="59"/>
  <c r="DD235" i="59" s="1"/>
  <c r="AC82" i="20"/>
  <c r="EI17" i="20"/>
  <c r="Q41" i="20"/>
  <c r="Q43" i="20" s="1"/>
  <c r="Q37" i="20"/>
  <c r="Q36" i="20"/>
  <c r="EH11" i="20"/>
  <c r="EM11" i="20" s="1"/>
  <c r="EC12" i="20"/>
  <c r="ED18" i="20"/>
  <c r="AB21" i="20"/>
  <c r="AB115" i="20"/>
  <c r="AM105" i="30"/>
  <c r="AB113" i="20"/>
  <c r="AB26" i="20"/>
  <c r="AB80" i="20"/>
  <c r="AB117" i="20"/>
  <c r="AB29" i="20"/>
  <c r="E75" i="59"/>
  <c r="E61" i="59"/>
  <c r="E60" i="59"/>
  <c r="AV59" i="59"/>
  <c r="B161" i="60"/>
  <c r="F73" i="38"/>
  <c r="F70" i="38"/>
  <c r="F68" i="38" s="1"/>
  <c r="F88" i="38"/>
  <c r="AB148" i="20"/>
  <c r="AB154" i="20" s="1"/>
  <c r="AB137" i="20"/>
  <c r="AB142" i="20"/>
  <c r="AJ60" i="20"/>
  <c r="AJ62" i="20" s="1"/>
  <c r="AJ61" i="20" s="1"/>
  <c r="AJ74" i="20"/>
  <c r="AJ76" i="20" s="1"/>
  <c r="AK59" i="20"/>
  <c r="BP96" i="23"/>
  <c r="BP97" i="23"/>
  <c r="AI78" i="20"/>
  <c r="AI79" i="20" s="1"/>
  <c r="AI24" i="20"/>
  <c r="CB18" i="23"/>
  <c r="U26" i="38"/>
  <c r="V26" i="38"/>
  <c r="AL432" i="23"/>
  <c r="AK385" i="23"/>
  <c r="AK439" i="23"/>
  <c r="AJ392" i="23"/>
  <c r="AM383" i="23"/>
  <c r="AN430" i="23"/>
  <c r="AN383" i="23" s="1"/>
  <c r="AJ445" i="23"/>
  <c r="AI398" i="23"/>
  <c r="AI379" i="23"/>
  <c r="AJ426" i="23"/>
  <c r="AN444" i="23"/>
  <c r="AN397" i="23" s="1"/>
  <c r="AM397" i="23"/>
  <c r="AK441" i="23"/>
  <c r="AJ394" i="23"/>
  <c r="AI381" i="23"/>
  <c r="AJ428" i="23"/>
  <c r="AI377" i="23"/>
  <c r="AJ424" i="23"/>
  <c r="AI415" i="23"/>
  <c r="AJ462" i="23"/>
  <c r="AJ434" i="23"/>
  <c r="AI387" i="23"/>
  <c r="AJ425" i="23"/>
  <c r="AI378" i="23"/>
  <c r="D294" i="60"/>
  <c r="U122" i="59"/>
  <c r="FJ95" i="30"/>
  <c r="FJ96" i="30" s="1"/>
  <c r="AA27" i="52"/>
  <c r="Z26" i="52"/>
  <c r="BI669" i="23"/>
  <c r="BI667" i="23" s="1"/>
  <c r="BI666" i="23" s="1"/>
  <c r="BI97" i="23"/>
  <c r="BN96" i="23"/>
  <c r="L93" i="23"/>
  <c r="L95" i="23" s="1"/>
  <c r="F26" i="56"/>
  <c r="F23" i="56"/>
  <c r="G24" i="56" s="1"/>
  <c r="L100" i="23"/>
  <c r="BF97" i="23"/>
  <c r="BK96" i="23"/>
  <c r="BG97" i="23"/>
  <c r="BL96" i="23"/>
  <c r="BH97" i="23"/>
  <c r="BM96" i="23"/>
  <c r="AS69" i="25"/>
  <c r="AW29" i="30"/>
  <c r="AS73" i="25" s="1"/>
  <c r="AR75" i="25"/>
  <c r="AR74" i="25"/>
  <c r="AR68" i="25"/>
  <c r="AR72" i="25"/>
  <c r="AR71" i="25"/>
  <c r="AR70" i="25"/>
  <c r="AT65" i="25"/>
  <c r="AM559" i="23"/>
  <c r="AT66" i="25"/>
  <c r="AT67" i="25" s="1"/>
  <c r="AX25" i="30"/>
  <c r="AX20" i="30"/>
  <c r="AX34" i="30"/>
  <c r="AX196" i="30"/>
  <c r="AD107" i="59" s="1"/>
  <c r="AD113" i="59" s="1"/>
  <c r="AD92" i="59"/>
  <c r="AD323" i="59"/>
  <c r="AD93" i="59"/>
  <c r="C101" i="59"/>
  <c r="D100" i="59"/>
  <c r="C211" i="59"/>
  <c r="AM75" i="20"/>
  <c r="DE65" i="59"/>
  <c r="DE64" i="59"/>
  <c r="DB64" i="59"/>
  <c r="DB65" i="59"/>
  <c r="DB59" i="59"/>
  <c r="AM72" i="23"/>
  <c r="AL73" i="23"/>
  <c r="CY23" i="85"/>
  <c r="V23" i="85" s="1"/>
  <c r="DD38" i="85"/>
  <c r="DD23" i="85" s="1"/>
  <c r="CW31" i="85"/>
  <c r="CW33" i="85" s="1"/>
  <c r="DA31" i="85"/>
  <c r="DA33" i="85" s="1"/>
  <c r="CC136" i="73"/>
  <c r="DF61" i="59" s="1"/>
  <c r="DF59" i="59" s="1"/>
  <c r="CC139" i="73"/>
  <c r="CC138" i="73"/>
  <c r="CZ20" i="85"/>
  <c r="V21" i="85"/>
  <c r="CV31" i="85"/>
  <c r="CV33" i="85" s="1"/>
  <c r="CV35" i="85" s="1"/>
  <c r="DG15" i="59"/>
  <c r="AJ50" i="25"/>
  <c r="AN167" i="30"/>
  <c r="BW15" i="31"/>
  <c r="BW16" i="31"/>
  <c r="DG8" i="59"/>
  <c r="FI86" i="30" s="1"/>
  <c r="W24" i="85"/>
  <c r="X24" i="85" s="1"/>
  <c r="AZ46" i="59"/>
  <c r="BD166" i="59"/>
  <c r="BI166" i="59"/>
  <c r="BD167" i="59"/>
  <c r="BI46" i="59"/>
  <c r="BD210" i="59"/>
  <c r="BD46" i="59"/>
  <c r="BI76" i="59"/>
  <c r="BD77" i="59"/>
  <c r="BD76" i="59"/>
  <c r="BA45" i="59"/>
  <c r="BA210" i="59" s="1"/>
  <c r="AZ167" i="59"/>
  <c r="AZ166" i="59"/>
  <c r="BF157" i="59"/>
  <c r="BJ158" i="59"/>
  <c r="BE159" i="59"/>
  <c r="BE165" i="59"/>
  <c r="BE158" i="59"/>
  <c r="BF145" i="59"/>
  <c r="BJ146" i="59"/>
  <c r="BE146" i="59"/>
  <c r="BA165" i="59"/>
  <c r="AU101" i="59"/>
  <c r="AU211" i="59"/>
  <c r="BF27" i="59"/>
  <c r="BJ28" i="59"/>
  <c r="BE28" i="59"/>
  <c r="BE45" i="59"/>
  <c r="AJ234" i="23"/>
  <c r="AN95" i="30"/>
  <c r="AA45" i="33" s="1"/>
  <c r="T125" i="59"/>
  <c r="R328" i="59"/>
  <c r="S243" i="59"/>
  <c r="CY243" i="59" s="1"/>
  <c r="DC26" i="85"/>
  <c r="DC28" i="85"/>
  <c r="DG63" i="59" s="1"/>
  <c r="DA29" i="85"/>
  <c r="L227" i="59"/>
  <c r="L228" i="59" s="1"/>
  <c r="BW21" i="23"/>
  <c r="BW23" i="23" s="1"/>
  <c r="BW34" i="23" s="1"/>
  <c r="DA60" i="59"/>
  <c r="R47" i="95"/>
  <c r="Q82" i="73"/>
  <c r="Q83" i="73" s="1"/>
  <c r="O23" i="95"/>
  <c r="CW238" i="59"/>
  <c r="AA151" i="20"/>
  <c r="BX138" i="73"/>
  <c r="BX136" i="73"/>
  <c r="BX139" i="73"/>
  <c r="K214" i="59"/>
  <c r="DB246" i="59"/>
  <c r="CV238" i="59"/>
  <c r="BN138" i="73"/>
  <c r="BN139" i="73"/>
  <c r="BN136" i="73"/>
  <c r="CV61" i="59"/>
  <c r="BS137" i="73" s="1"/>
  <c r="CV306" i="59"/>
  <c r="CV320" i="59"/>
  <c r="K228" i="59"/>
  <c r="X276" i="59"/>
  <c r="X278" i="59"/>
  <c r="X279" i="59" s="1"/>
  <c r="BV17" i="23"/>
  <c r="BV18" i="23" s="1"/>
  <c r="R314" i="59"/>
  <c r="BP17" i="31"/>
  <c r="R132" i="59"/>
  <c r="AG102" i="31"/>
  <c r="AH100" i="31"/>
  <c r="AH102" i="31" s="1"/>
  <c r="BW19" i="73"/>
  <c r="BW24" i="73"/>
  <c r="BW27" i="73"/>
  <c r="BW26" i="73"/>
  <c r="W124" i="31"/>
  <c r="V120" i="31"/>
  <c r="V129" i="31"/>
  <c r="AB127" i="31"/>
  <c r="X133" i="31"/>
  <c r="Y134" i="31"/>
  <c r="W135" i="31"/>
  <c r="W112" i="31" s="1"/>
  <c r="W113" i="31" s="1"/>
  <c r="W114" i="31" s="1"/>
  <c r="W107" i="31"/>
  <c r="W108" i="31" s="1"/>
  <c r="W109" i="31" s="1"/>
  <c r="W128" i="31"/>
  <c r="EF110" i="30"/>
  <c r="Y33" i="33"/>
  <c r="Y34" i="33" s="1"/>
  <c r="I46" i="59"/>
  <c r="CA14" i="23"/>
  <c r="V89" i="31"/>
  <c r="I40" i="73"/>
  <c r="I39" i="73" s="1"/>
  <c r="BE23" i="31"/>
  <c r="U35" i="25"/>
  <c r="AE110" i="30"/>
  <c r="AE161" i="30"/>
  <c r="DM109" i="30"/>
  <c r="BK39" i="31"/>
  <c r="BL23" i="31"/>
  <c r="BG31" i="31"/>
  <c r="W23" i="31"/>
  <c r="BN40" i="73"/>
  <c r="BG24" i="31"/>
  <c r="BG25" i="31" s="1"/>
  <c r="DB77" i="25"/>
  <c r="BJ187" i="59" s="1"/>
  <c r="BJ210" i="59" s="1"/>
  <c r="DB36" i="25"/>
  <c r="H116" i="59"/>
  <c r="BK45" i="59"/>
  <c r="H46" i="59"/>
  <c r="AV34" i="31"/>
  <c r="AV39" i="31"/>
  <c r="I9" i="38"/>
  <c r="I11" i="38" s="1"/>
  <c r="I4" i="38"/>
  <c r="I42" i="38" s="1"/>
  <c r="AF110" i="30"/>
  <c r="BI42" i="73"/>
  <c r="BI39" i="73"/>
  <c r="BI41" i="73"/>
  <c r="H42" i="73"/>
  <c r="H41" i="73"/>
  <c r="V31" i="31"/>
  <c r="BE31" i="31" s="1"/>
  <c r="BB33" i="31"/>
  <c r="O159" i="59"/>
  <c r="O145" i="59"/>
  <c r="CE131" i="59"/>
  <c r="M328" i="59"/>
  <c r="L159" i="59"/>
  <c r="M314" i="59"/>
  <c r="L145" i="59"/>
  <c r="M132" i="59"/>
  <c r="L132" i="59"/>
  <c r="L314" i="59"/>
  <c r="L328" i="59"/>
  <c r="Z87" i="32"/>
  <c r="Z85" i="32"/>
  <c r="Z62" i="32"/>
  <c r="Z65" i="32"/>
  <c r="Z82" i="32"/>
  <c r="Z86" i="32"/>
  <c r="Z83" i="32"/>
  <c r="Z84" i="32"/>
  <c r="AL235" i="30"/>
  <c r="Y43" i="33"/>
  <c r="Y46" i="33"/>
  <c r="AA14" i="32"/>
  <c r="AA16" i="32"/>
  <c r="Q145" i="59"/>
  <c r="CT131" i="59"/>
  <c r="Q159" i="59"/>
  <c r="Q314" i="59"/>
  <c r="Q328" i="59"/>
  <c r="Q132" i="59"/>
  <c r="Y59" i="32"/>
  <c r="Y69" i="32"/>
  <c r="Y70" i="32" s="1"/>
  <c r="W51" i="33"/>
  <c r="AJ126" i="30"/>
  <c r="AJ132" i="30"/>
  <c r="P132" i="59"/>
  <c r="P145" i="59"/>
  <c r="P159" i="59"/>
  <c r="AK125" i="30"/>
  <c r="AK131" i="30"/>
  <c r="AK124" i="30"/>
  <c r="AL238" i="30"/>
  <c r="AA64" i="32"/>
  <c r="FB105" i="30"/>
  <c r="FB106" i="30" s="1"/>
  <c r="CZ31" i="59"/>
  <c r="CZ240" i="59"/>
  <c r="CZ244" i="59" s="1"/>
  <c r="N245" i="59"/>
  <c r="CO245" i="59" s="1"/>
  <c r="P245" i="59"/>
  <c r="CO244" i="59"/>
  <c r="DB255" i="59"/>
  <c r="CU238" i="59"/>
  <c r="AD98" i="85"/>
  <c r="AC56" i="85"/>
  <c r="AC57" i="85" s="1"/>
  <c r="EQ197" i="30"/>
  <c r="M219" i="59"/>
  <c r="CI226" i="59"/>
  <c r="M226" i="59" s="1"/>
  <c r="CI290" i="59"/>
  <c r="CI291" i="59" s="1"/>
  <c r="BR21" i="73"/>
  <c r="BR20" i="73"/>
  <c r="Y77" i="25"/>
  <c r="R557" i="23"/>
  <c r="DH35" i="25"/>
  <c r="EP87" i="30"/>
  <c r="EP90" i="30"/>
  <c r="EP91" i="30" s="1"/>
  <c r="CN13" i="59"/>
  <c r="CN219" i="59"/>
  <c r="CN15" i="59"/>
  <c r="AT33" i="31"/>
  <c r="AU29" i="31"/>
  <c r="AD60" i="85"/>
  <c r="AC77" i="85"/>
  <c r="AC62" i="85"/>
  <c r="AC50" i="85"/>
  <c r="AC51" i="85" s="1"/>
  <c r="BJ136" i="73"/>
  <c r="BJ139" i="73"/>
  <c r="BJ138" i="73"/>
  <c r="M13" i="59"/>
  <c r="CJ12" i="59"/>
  <c r="L290" i="59"/>
  <c r="L291" i="59" s="1"/>
  <c r="CE219" i="59"/>
  <c r="M55" i="59"/>
  <c r="CI57" i="59"/>
  <c r="CT244" i="59"/>
  <c r="Q245" i="59"/>
  <c r="AC86" i="85"/>
  <c r="AD84" i="85"/>
  <c r="AC101" i="85"/>
  <c r="BY238" i="59"/>
  <c r="CX29" i="85"/>
  <c r="U39" i="20"/>
  <c r="U38" i="20" s="1"/>
  <c r="U43" i="20" s="1"/>
  <c r="Q53" i="31"/>
  <c r="Q52" i="31" s="1"/>
  <c r="Q57" i="31" s="1"/>
  <c r="S62" i="33"/>
  <c r="S61" i="33" s="1"/>
  <c r="S66" i="33" s="1"/>
  <c r="U27" i="32"/>
  <c r="U26" i="32" s="1"/>
  <c r="U31" i="32" s="1"/>
  <c r="BS20" i="73"/>
  <c r="BS21" i="73"/>
  <c r="BD9" i="31"/>
  <c r="BD16" i="31"/>
  <c r="BD15" i="31"/>
  <c r="EU86" i="30"/>
  <c r="Q8" i="59"/>
  <c r="BI14" i="31"/>
  <c r="CS12" i="59"/>
  <c r="CX8" i="59"/>
  <c r="CS49" i="59"/>
  <c r="BM24" i="31"/>
  <c r="BM25" i="31" s="1"/>
  <c r="BM29" i="31"/>
  <c r="BM33" i="31" s="1"/>
  <c r="BO187" i="59"/>
  <c r="DG79" i="25"/>
  <c r="U241" i="31"/>
  <c r="I258" i="59"/>
  <c r="I261" i="59"/>
  <c r="I260" i="59"/>
  <c r="AY29" i="31"/>
  <c r="U9" i="31"/>
  <c r="L6" i="38"/>
  <c r="AH109" i="30"/>
  <c r="EB103" i="30"/>
  <c r="AH104" i="30"/>
  <c r="V186" i="31"/>
  <c r="BE21" i="31"/>
  <c r="V24" i="31"/>
  <c r="V183" i="31"/>
  <c r="V184" i="31" s="1"/>
  <c r="V237" i="31"/>
  <c r="V238" i="31" s="1"/>
  <c r="K4" i="38"/>
  <c r="K42" i="38" s="1"/>
  <c r="K9" i="38"/>
  <c r="K11" i="38" s="1"/>
  <c r="EK103" i="30"/>
  <c r="CI231" i="59"/>
  <c r="M15" i="59"/>
  <c r="CI16" i="59"/>
  <c r="K237" i="59"/>
  <c r="BZ231" i="59"/>
  <c r="CR320" i="59"/>
  <c r="CR306" i="59"/>
  <c r="CR60" i="59"/>
  <c r="CR61" i="59"/>
  <c r="BO137" i="73" s="1"/>
  <c r="BQ29" i="31"/>
  <c r="BD42" i="31"/>
  <c r="BD43" i="31" s="1"/>
  <c r="CN50" i="59"/>
  <c r="CN55" i="59"/>
  <c r="N49" i="59"/>
  <c r="BH34" i="31"/>
  <c r="BH39" i="31"/>
  <c r="U187" i="31"/>
  <c r="BU237" i="59"/>
  <c r="J238" i="59"/>
  <c r="CW65" i="59"/>
  <c r="CW64" i="59"/>
  <c r="CW59" i="59"/>
  <c r="J250" i="59"/>
  <c r="K45" i="59"/>
  <c r="K28" i="59"/>
  <c r="BZ27" i="59"/>
  <c r="DW109" i="30"/>
  <c r="AG110" i="30"/>
  <c r="AG161" i="30"/>
  <c r="Z35" i="25"/>
  <c r="BP29" i="31"/>
  <c r="BP16" i="31"/>
  <c r="K253" i="59"/>
  <c r="BZ227" i="59"/>
  <c r="N9" i="59"/>
  <c r="P8" i="59"/>
  <c r="N12" i="59"/>
  <c r="CO8" i="59"/>
  <c r="W186" i="31"/>
  <c r="W183" i="31"/>
  <c r="W237" i="31"/>
  <c r="W241" i="31" s="1"/>
  <c r="BJ21" i="31"/>
  <c r="H30" i="73"/>
  <c r="H31" i="73" s="1"/>
  <c r="AZ24" i="31"/>
  <c r="U25" i="31"/>
  <c r="J116" i="59"/>
  <c r="BU45" i="59"/>
  <c r="J46" i="59"/>
  <c r="I259" i="59"/>
  <c r="J46" i="38"/>
  <c r="J32" i="38"/>
  <c r="O49" i="59"/>
  <c r="O51" i="59" s="1"/>
  <c r="M51" i="59"/>
  <c r="CJ49" i="59"/>
  <c r="BN21" i="31"/>
  <c r="BI24" i="31"/>
  <c r="BI25" i="31" s="1"/>
  <c r="BI213" i="59"/>
  <c r="BR34" i="23"/>
  <c r="J611" i="23"/>
  <c r="J61" i="23"/>
  <c r="J63" i="23" s="1"/>
  <c r="J674" i="23" s="1"/>
  <c r="J673" i="23" s="1"/>
  <c r="J251" i="23"/>
  <c r="G251" i="23" s="1"/>
  <c r="CB58" i="23"/>
  <c r="CB60" i="23"/>
  <c r="CB65" i="23" s="1"/>
  <c r="CB69" i="23" s="1"/>
  <c r="CB50" i="23"/>
  <c r="CB52" i="23" s="1"/>
  <c r="CB55" i="23" s="1"/>
  <c r="CE98" i="23"/>
  <c r="T100" i="23"/>
  <c r="AJ8" i="32"/>
  <c r="P9" i="95"/>
  <c r="AA265" i="59"/>
  <c r="CR213" i="59"/>
  <c r="DA34" i="23"/>
  <c r="AD121" i="31"/>
  <c r="AC123" i="31"/>
  <c r="CE231" i="59"/>
  <c r="S46" i="95"/>
  <c r="T47" i="95" s="1"/>
  <c r="S38" i="95"/>
  <c r="S188" i="60"/>
  <c r="DW211" i="30"/>
  <c r="J214" i="59"/>
  <c r="V85" i="73"/>
  <c r="W89" i="73" s="1"/>
  <c r="V87" i="73"/>
  <c r="V88" i="73"/>
  <c r="V92" i="73"/>
  <c r="W92" i="73" s="1"/>
  <c r="DI59" i="25"/>
  <c r="DI60" i="25"/>
  <c r="DM58" i="25"/>
  <c r="Y188" i="59"/>
  <c r="AD12" i="31"/>
  <c r="Z268" i="59"/>
  <c r="Z281" i="59"/>
  <c r="Z282" i="59" s="1"/>
  <c r="Z273" i="59"/>
  <c r="AH96" i="33"/>
  <c r="AG97" i="33"/>
  <c r="EG103" i="30"/>
  <c r="M6" i="38"/>
  <c r="AI104" i="30"/>
  <c r="AI109" i="30"/>
  <c r="Z266" i="59"/>
  <c r="Z267" i="59" s="1"/>
  <c r="O21" i="95"/>
  <c r="CT25" i="85"/>
  <c r="U23" i="85"/>
  <c r="K671" i="23"/>
  <c r="K665" i="23"/>
  <c r="K666" i="23" s="1"/>
  <c r="K667" i="23" s="1"/>
  <c r="K669" i="23" s="1"/>
  <c r="K670" i="23"/>
  <c r="CE243" i="59"/>
  <c r="L245" i="59"/>
  <c r="DK42" i="25"/>
  <c r="DK43" i="25"/>
  <c r="DK39" i="25"/>
  <c r="DK41" i="25"/>
  <c r="DI87" i="25"/>
  <c r="DD87" i="25"/>
  <c r="BU10" i="23"/>
  <c r="BU13" i="23" s="1"/>
  <c r="BL198" i="59"/>
  <c r="AK109" i="23"/>
  <c r="CO26" i="85"/>
  <c r="CO28" i="85"/>
  <c r="AE146" i="20"/>
  <c r="BR78" i="23"/>
  <c r="BR79" i="23"/>
  <c r="L55" i="73"/>
  <c r="L56" i="73" s="1"/>
  <c r="L53" i="73" s="1"/>
  <c r="AA101" i="33" s="1"/>
  <c r="CZ34" i="23"/>
  <c r="CQ213" i="59"/>
  <c r="CJ29" i="85"/>
  <c r="CJ33" i="85"/>
  <c r="CN63" i="59"/>
  <c r="L236" i="59"/>
  <c r="CE236" i="59" s="1"/>
  <c r="CD238" i="59"/>
  <c r="CA50" i="23"/>
  <c r="CA52" i="23" s="1"/>
  <c r="CA55" i="23" s="1"/>
  <c r="CA58" i="23"/>
  <c r="CA60" i="23"/>
  <c r="CA65" i="23" s="1"/>
  <c r="CA69" i="23" s="1"/>
  <c r="DI46" i="25"/>
  <c r="DI45" i="25"/>
  <c r="AE17" i="85"/>
  <c r="P20" i="95"/>
  <c r="P17" i="95"/>
  <c r="I186" i="23"/>
  <c r="J300" i="23"/>
  <c r="L82" i="23"/>
  <c r="AE147" i="20"/>
  <c r="DK46" i="25"/>
  <c r="DK45" i="25"/>
  <c r="CE35" i="85"/>
  <c r="CE34" i="85"/>
  <c r="DJ42" i="25"/>
  <c r="DJ43" i="25"/>
  <c r="DJ39" i="25"/>
  <c r="DJ41" i="25"/>
  <c r="AG12" i="32"/>
  <c r="FA97" i="30"/>
  <c r="AM98" i="30"/>
  <c r="AM130" i="30"/>
  <c r="T223" i="60"/>
  <c r="AA19" i="85"/>
  <c r="AM173" i="30"/>
  <c r="AM174" i="30" s="1"/>
  <c r="EV197" i="30"/>
  <c r="AM238" i="30"/>
  <c r="BZ50" i="23"/>
  <c r="BZ52" i="23" s="1"/>
  <c r="BZ55" i="23" s="1"/>
  <c r="BZ60" i="23"/>
  <c r="BZ65" i="23" s="1"/>
  <c r="BZ69" i="23" s="1"/>
  <c r="BZ58" i="23"/>
  <c r="R7" i="95"/>
  <c r="U89" i="73"/>
  <c r="Y220" i="59"/>
  <c r="Y242" i="59"/>
  <c r="Y270" i="59"/>
  <c r="L45" i="59"/>
  <c r="L28" i="59"/>
  <c r="CE27" i="59"/>
  <c r="DI42" i="25"/>
  <c r="DI43" i="25"/>
  <c r="DI39" i="25"/>
  <c r="DI41" i="25"/>
  <c r="Y274" i="59"/>
  <c r="AD13" i="31" s="1"/>
  <c r="Y269" i="59"/>
  <c r="M105" i="59"/>
  <c r="EL195" i="30"/>
  <c r="AJ151" i="30"/>
  <c r="AJ163" i="30" s="1"/>
  <c r="AJ199" i="30"/>
  <c r="AC51" i="25"/>
  <c r="R33" i="85"/>
  <c r="R29" i="85"/>
  <c r="CF28" i="85"/>
  <c r="J307" i="60"/>
  <c r="F84" i="63" s="1"/>
  <c r="K85" i="23"/>
  <c r="L84" i="23"/>
  <c r="CD246" i="59"/>
  <c r="DL59" i="25"/>
  <c r="DL60" i="25"/>
  <c r="R183" i="59"/>
  <c r="R167" i="59"/>
  <c r="CQ40" i="23"/>
  <c r="CQ44" i="23"/>
  <c r="AG111" i="31"/>
  <c r="Q19" i="95"/>
  <c r="T95" i="73"/>
  <c r="CI65" i="59"/>
  <c r="CI64" i="59"/>
  <c r="CI59" i="59"/>
  <c r="M63" i="59"/>
  <c r="CU65" i="59"/>
  <c r="CU64" i="59"/>
  <c r="CU59" i="59"/>
  <c r="CY34" i="23"/>
  <c r="CP213" i="59"/>
  <c r="Z46" i="33"/>
  <c r="AM235" i="30"/>
  <c r="Z43" i="33"/>
  <c r="CK25" i="85"/>
  <c r="S26" i="85"/>
  <c r="S28" i="85"/>
  <c r="CO34" i="23"/>
  <c r="CF213" i="59"/>
  <c r="CZ64" i="59"/>
  <c r="DJ46" i="25"/>
  <c r="DJ45" i="25"/>
  <c r="AC32" i="31"/>
  <c r="R370" i="60"/>
  <c r="X84" i="59"/>
  <c r="AR146" i="30"/>
  <c r="Z33" i="59"/>
  <c r="Y241" i="59"/>
  <c r="Y224" i="59" s="1"/>
  <c r="AS108" i="30"/>
  <c r="Y83" i="59"/>
  <c r="BM136" i="73"/>
  <c r="BM139" i="73"/>
  <c r="BM138" i="73"/>
  <c r="Q85" i="25"/>
  <c r="Q91" i="25"/>
  <c r="D198" i="59"/>
  <c r="J10" i="23"/>
  <c r="Q87" i="25"/>
  <c r="R87" i="25"/>
  <c r="DW151" i="30"/>
  <c r="AG163" i="30"/>
  <c r="DW163" i="30" s="1"/>
  <c r="CP44" i="23"/>
  <c r="CP40" i="23"/>
  <c r="BH139" i="73"/>
  <c r="BH136" i="73"/>
  <c r="BH138" i="73"/>
  <c r="AZ8" i="23"/>
  <c r="AB16" i="32"/>
  <c r="AB14" i="32"/>
  <c r="CR44" i="23"/>
  <c r="CR40" i="23"/>
  <c r="BR199" i="59"/>
  <c r="BM207" i="59"/>
  <c r="BM200" i="59"/>
  <c r="BM199" i="59"/>
  <c r="S44" i="95"/>
  <c r="U91" i="73"/>
  <c r="U94" i="73"/>
  <c r="U93" i="73"/>
  <c r="CY131" i="59"/>
  <c r="S145" i="59"/>
  <c r="K58" i="23"/>
  <c r="K60" i="23"/>
  <c r="K65" i="23" s="1"/>
  <c r="K69" i="23" s="1"/>
  <c r="K50" i="23"/>
  <c r="K52" i="23" s="1"/>
  <c r="K89" i="23"/>
  <c r="K87" i="23"/>
  <c r="AD128" i="23"/>
  <c r="AC152" i="23"/>
  <c r="AC150" i="23"/>
  <c r="Q8" i="95"/>
  <c r="Z41" i="33"/>
  <c r="Y38" i="33"/>
  <c r="Y39" i="33" s="1"/>
  <c r="Q369" i="60"/>
  <c r="M80" i="63"/>
  <c r="BL211" i="59"/>
  <c r="BL206" i="59"/>
  <c r="T25" i="85"/>
  <c r="T38" i="85"/>
  <c r="CP23" i="85"/>
  <c r="AC140" i="20"/>
  <c r="BR15" i="31"/>
  <c r="BU17" i="31" l="1"/>
  <c r="P216" i="60"/>
  <c r="O220" i="60"/>
  <c r="M278" i="60"/>
  <c r="T32" i="52"/>
  <c r="O224" i="60"/>
  <c r="N226" i="60"/>
  <c r="V39" i="52"/>
  <c r="U29" i="52"/>
  <c r="U31" i="52" s="1"/>
  <c r="AU100" i="59"/>
  <c r="AE188" i="59"/>
  <c r="AN12" i="32" s="1"/>
  <c r="AJ12" i="31"/>
  <c r="C100" i="59"/>
  <c r="BV16" i="31"/>
  <c r="BV29" i="31"/>
  <c r="BV15" i="31"/>
  <c r="DF8" i="59"/>
  <c r="FH86" i="30" s="1"/>
  <c r="FH90" i="30" s="1"/>
  <c r="O33" i="73"/>
  <c r="AB20" i="31" s="1"/>
  <c r="BX20" i="73"/>
  <c r="BX18" i="73" s="1"/>
  <c r="Z23" i="38"/>
  <c r="Y24" i="38"/>
  <c r="Y25" i="38" s="1"/>
  <c r="Y26" i="38" s="1"/>
  <c r="R369" i="60"/>
  <c r="N80" i="63"/>
  <c r="I57" i="59"/>
  <c r="I56" i="59"/>
  <c r="AP211" i="59"/>
  <c r="AP101" i="59"/>
  <c r="S50" i="31"/>
  <c r="S55" i="31"/>
  <c r="B211" i="59"/>
  <c r="B101" i="59"/>
  <c r="T44" i="31"/>
  <c r="I73" i="60"/>
  <c r="E75" i="63" s="1"/>
  <c r="T43" i="31"/>
  <c r="AI113" i="30"/>
  <c r="J51" i="59"/>
  <c r="J50" i="59"/>
  <c r="BT49" i="59"/>
  <c r="DQ117" i="30"/>
  <c r="BO55" i="59"/>
  <c r="DQ119" i="30"/>
  <c r="AH116" i="30"/>
  <c r="AH120" i="30"/>
  <c r="K49" i="59"/>
  <c r="AH114" i="30"/>
  <c r="BJ56" i="59"/>
  <c r="BJ57" i="59"/>
  <c r="BJ59" i="59"/>
  <c r="J55" i="59"/>
  <c r="AG117" i="30"/>
  <c r="AG119" i="30"/>
  <c r="BO51" i="59"/>
  <c r="BO50" i="59"/>
  <c r="DR116" i="30"/>
  <c r="BK55" i="59"/>
  <c r="AM73" i="23"/>
  <c r="AN72" i="23"/>
  <c r="AN73" i="23" s="1"/>
  <c r="N53" i="95"/>
  <c r="N54" i="95" s="1"/>
  <c r="AO95" i="30"/>
  <c r="AB45" i="33" s="1"/>
  <c r="M54" i="73"/>
  <c r="M55" i="73" s="1"/>
  <c r="BR18" i="73"/>
  <c r="BS18" i="73"/>
  <c r="Z102" i="33"/>
  <c r="Z35" i="33" s="1"/>
  <c r="Z36" i="33" s="1"/>
  <c r="AA100" i="33"/>
  <c r="BU29" i="31"/>
  <c r="BU33" i="31" s="1"/>
  <c r="AN80" i="32"/>
  <c r="W238" i="31"/>
  <c r="V241" i="31"/>
  <c r="FI103" i="30"/>
  <c r="FI104" i="30" s="1"/>
  <c r="AE92" i="59"/>
  <c r="AE113" i="59"/>
  <c r="AE93" i="59"/>
  <c r="AE323" i="59"/>
  <c r="AY20" i="30"/>
  <c r="AU66" i="25"/>
  <c r="AY25" i="30"/>
  <c r="CY25" i="85"/>
  <c r="P35" i="73"/>
  <c r="P36" i="73"/>
  <c r="Z154" i="85"/>
  <c r="Z153" i="85"/>
  <c r="AA141" i="85"/>
  <c r="AA152" i="85"/>
  <c r="AN173" i="30"/>
  <c r="AN174" i="30" s="1"/>
  <c r="DB34" i="85"/>
  <c r="AD119" i="85"/>
  <c r="AD114" i="85"/>
  <c r="AD120" i="85"/>
  <c r="AD131" i="85" s="1"/>
  <c r="AD132" i="85" s="1"/>
  <c r="AB138" i="85"/>
  <c r="AE113" i="85"/>
  <c r="AE149" i="85" s="1"/>
  <c r="AE150" i="85" s="1"/>
  <c r="U102" i="73"/>
  <c r="AF111" i="85"/>
  <c r="N51" i="95"/>
  <c r="AC137" i="85"/>
  <c r="AC125" i="85"/>
  <c r="R245" i="59"/>
  <c r="AA140" i="85"/>
  <c r="AA144" i="85"/>
  <c r="AA174" i="85"/>
  <c r="AB174" i="85" s="1"/>
  <c r="AC174" i="85" s="1"/>
  <c r="AD174" i="85" s="1"/>
  <c r="AE174" i="85" s="1"/>
  <c r="AF174" i="85" s="1"/>
  <c r="AG174" i="85" s="1"/>
  <c r="O50" i="95"/>
  <c r="AB126" i="85"/>
  <c r="AB143" i="85"/>
  <c r="AB152" i="85" s="1"/>
  <c r="BW24" i="31"/>
  <c r="BW29" i="31"/>
  <c r="BW33" i="31" s="1"/>
  <c r="BW34" i="31" s="1"/>
  <c r="BQ23" i="31"/>
  <c r="BS21" i="31"/>
  <c r="BX21" i="31" s="1"/>
  <c r="CY31" i="85"/>
  <c r="CZ31" i="85" s="1"/>
  <c r="F94" i="38"/>
  <c r="F96" i="38" s="1"/>
  <c r="F89" i="38"/>
  <c r="AB27" i="20"/>
  <c r="AB116" i="20"/>
  <c r="F69" i="38"/>
  <c r="F82" i="38"/>
  <c r="F83" i="38" s="1"/>
  <c r="FA105" i="30"/>
  <c r="AM106" i="30"/>
  <c r="B190" i="60"/>
  <c r="Q44" i="20"/>
  <c r="E76" i="59"/>
  <c r="E99" i="59"/>
  <c r="E77" i="59"/>
  <c r="AV75" i="59"/>
  <c r="AE17" i="20"/>
  <c r="U235" i="59"/>
  <c r="EM17" i="20"/>
  <c r="DH235" i="59" s="1"/>
  <c r="AD82" i="20"/>
  <c r="EL18" i="20"/>
  <c r="EL19" i="20"/>
  <c r="AK60" i="20"/>
  <c r="AK62" i="20" s="1"/>
  <c r="AK61" i="20" s="1"/>
  <c r="AL59" i="20"/>
  <c r="AK74" i="20"/>
  <c r="AK76" i="20" s="1"/>
  <c r="AJ78" i="20"/>
  <c r="AJ79" i="20" s="1"/>
  <c r="AJ24" i="20"/>
  <c r="BN213" i="59"/>
  <c r="FI90" i="30"/>
  <c r="AK445" i="23"/>
  <c r="AJ398" i="23"/>
  <c r="AK392" i="23"/>
  <c r="AL439" i="23"/>
  <c r="AL385" i="23"/>
  <c r="AM432" i="23"/>
  <c r="AK426" i="23"/>
  <c r="AJ379" i="23"/>
  <c r="AJ377" i="23"/>
  <c r="AK424" i="23"/>
  <c r="AK434" i="23"/>
  <c r="AJ387" i="23"/>
  <c r="AK394" i="23"/>
  <c r="AL441" i="23"/>
  <c r="AJ415" i="23"/>
  <c r="AK462" i="23"/>
  <c r="AK428" i="23"/>
  <c r="AJ381" i="23"/>
  <c r="AK425" i="23"/>
  <c r="AJ378" i="23"/>
  <c r="C294" i="60"/>
  <c r="AN96" i="30"/>
  <c r="FF95" i="30"/>
  <c r="AB27" i="52"/>
  <c r="AA26" i="52"/>
  <c r="CW35" i="85"/>
  <c r="F28" i="56"/>
  <c r="G27" i="56"/>
  <c r="AT69" i="25"/>
  <c r="AX29" i="30"/>
  <c r="AT73" i="25" s="1"/>
  <c r="AS75" i="25"/>
  <c r="AS74" i="25"/>
  <c r="AS68" i="25"/>
  <c r="AS70" i="25"/>
  <c r="AS72" i="25"/>
  <c r="AS71" i="25"/>
  <c r="AN75" i="20"/>
  <c r="W93" i="73"/>
  <c r="W91" i="73"/>
  <c r="W94" i="73"/>
  <c r="DG65" i="59"/>
  <c r="DG64" i="59"/>
  <c r="DB60" i="59"/>
  <c r="DB61" i="59"/>
  <c r="BY137" i="73" s="1"/>
  <c r="CD137" i="73" s="1"/>
  <c r="BU16" i="31"/>
  <c r="DF60" i="59"/>
  <c r="T244" i="59"/>
  <c r="DD244" i="59" s="1"/>
  <c r="DE244" i="59"/>
  <c r="W39" i="85"/>
  <c r="DE24" i="85"/>
  <c r="BU15" i="31"/>
  <c r="DE8" i="59"/>
  <c r="FG86" i="30" s="1"/>
  <c r="DG9" i="59"/>
  <c r="DG12" i="59"/>
  <c r="DG219" i="59" s="1"/>
  <c r="AN168" i="30"/>
  <c r="AN236" i="30"/>
  <c r="DD25" i="85"/>
  <c r="W23" i="85"/>
  <c r="W38" i="85" s="1"/>
  <c r="BF45" i="59"/>
  <c r="BF210" i="59" s="1"/>
  <c r="BE46" i="59"/>
  <c r="BE210" i="59"/>
  <c r="BJ46" i="59"/>
  <c r="BF165" i="59"/>
  <c r="BE166" i="59"/>
  <c r="BE167" i="59"/>
  <c r="BJ166" i="59"/>
  <c r="R146" i="59"/>
  <c r="S245" i="59"/>
  <c r="CY245" i="59" s="1"/>
  <c r="Y61" i="32"/>
  <c r="H47" i="73" s="1"/>
  <c r="L253" i="59"/>
  <c r="CE227" i="59"/>
  <c r="DC33" i="85"/>
  <c r="DC29" i="85"/>
  <c r="DA34" i="85"/>
  <c r="DA35" i="85"/>
  <c r="S47" i="95"/>
  <c r="R82" i="73"/>
  <c r="R83" i="73" s="1"/>
  <c r="O24" i="95"/>
  <c r="Z271" i="59" s="1"/>
  <c r="BS138" i="73"/>
  <c r="BS139" i="73"/>
  <c r="BS136" i="73"/>
  <c r="J259" i="59"/>
  <c r="BZ46" i="73"/>
  <c r="DC297" i="59" s="1"/>
  <c r="R330" i="59"/>
  <c r="BV21" i="23"/>
  <c r="BV23" i="23" s="1"/>
  <c r="BM213" i="59" s="1"/>
  <c r="CA18" i="23"/>
  <c r="X21" i="31"/>
  <c r="X237" i="31" s="1"/>
  <c r="R316" i="59"/>
  <c r="N246" i="59"/>
  <c r="BW21" i="73"/>
  <c r="BW20" i="73"/>
  <c r="Y133" i="31"/>
  <c r="Z134" i="31"/>
  <c r="X135" i="31"/>
  <c r="X112" i="31" s="1"/>
  <c r="X107" i="31"/>
  <c r="X128" i="31"/>
  <c r="AC127" i="31"/>
  <c r="W120" i="31"/>
  <c r="W129" i="31"/>
  <c r="X124" i="31"/>
  <c r="Z34" i="33"/>
  <c r="N255" i="59"/>
  <c r="AC153" i="23"/>
  <c r="AC154" i="23" s="1"/>
  <c r="AK133" i="23"/>
  <c r="AK175" i="23"/>
  <c r="AK294" i="23" s="1"/>
  <c r="AK690" i="23" s="1"/>
  <c r="AK112" i="23"/>
  <c r="I41" i="73"/>
  <c r="I42" i="73"/>
  <c r="W184" i="31"/>
  <c r="BN42" i="73"/>
  <c r="BN41" i="73"/>
  <c r="BN39" i="73"/>
  <c r="J40" i="73"/>
  <c r="J39" i="73" s="1"/>
  <c r="BJ23" i="31"/>
  <c r="W89" i="31"/>
  <c r="T39" i="20"/>
  <c r="T38" i="20" s="1"/>
  <c r="T43" i="20" s="1"/>
  <c r="P53" i="31"/>
  <c r="P52" i="31" s="1"/>
  <c r="P57" i="31" s="1"/>
  <c r="T27" i="32"/>
  <c r="T26" i="32" s="1"/>
  <c r="T31" i="32" s="1"/>
  <c r="R62" i="33"/>
  <c r="R61" i="33" s="1"/>
  <c r="R66" i="33" s="1"/>
  <c r="W24" i="31"/>
  <c r="J30" i="73" s="1"/>
  <c r="W31" i="31"/>
  <c r="BJ31" i="31" s="1"/>
  <c r="BG33" i="31"/>
  <c r="BB34" i="31"/>
  <c r="BB39" i="31"/>
  <c r="I46" i="38"/>
  <c r="J47" i="38" s="1"/>
  <c r="I33" i="38"/>
  <c r="I32" i="38" s="1"/>
  <c r="BL24" i="31"/>
  <c r="BL25" i="31" s="1"/>
  <c r="BL31" i="31"/>
  <c r="BL33" i="31" s="1"/>
  <c r="BL39" i="31" s="1"/>
  <c r="X23" i="31"/>
  <c r="BS40" i="73"/>
  <c r="X35" i="25"/>
  <c r="U36" i="25"/>
  <c r="C7" i="73" s="1"/>
  <c r="DC35" i="25"/>
  <c r="N557" i="23"/>
  <c r="U77" i="25"/>
  <c r="Z59" i="32"/>
  <c r="Z69" i="32"/>
  <c r="Z70" i="32" s="1"/>
  <c r="AA18" i="32"/>
  <c r="AL123" i="30"/>
  <c r="L103" i="60"/>
  <c r="H76" i="63" s="1"/>
  <c r="AA17" i="32"/>
  <c r="L316" i="59"/>
  <c r="M316" i="59"/>
  <c r="L167" i="59"/>
  <c r="M146" i="59"/>
  <c r="CE145" i="59"/>
  <c r="L330" i="59"/>
  <c r="M330" i="59"/>
  <c r="L146" i="59"/>
  <c r="L183" i="59"/>
  <c r="P146" i="59"/>
  <c r="P167" i="59"/>
  <c r="P183" i="59"/>
  <c r="W48" i="33"/>
  <c r="W49" i="33" s="1"/>
  <c r="W52" i="33"/>
  <c r="J132" i="60"/>
  <c r="F77" i="63" s="1"/>
  <c r="Q167" i="59"/>
  <c r="CT145" i="59"/>
  <c r="Q183" i="59"/>
  <c r="Q316" i="59"/>
  <c r="Q146" i="59"/>
  <c r="Q330" i="59"/>
  <c r="O167" i="59"/>
  <c r="O183" i="59"/>
  <c r="AA87" i="32"/>
  <c r="AA83" i="32"/>
  <c r="AA62" i="32"/>
  <c r="AA85" i="32"/>
  <c r="AA65" i="32"/>
  <c r="AA84" i="32"/>
  <c r="AA86" i="32"/>
  <c r="AA82" i="32"/>
  <c r="X51" i="33"/>
  <c r="AK132" i="30"/>
  <c r="AK126" i="30"/>
  <c r="BP43" i="31"/>
  <c r="Q246" i="59"/>
  <c r="CZ37" i="59"/>
  <c r="P255" i="59"/>
  <c r="Q255" i="59"/>
  <c r="P246" i="59"/>
  <c r="W187" i="31"/>
  <c r="CI228" i="59"/>
  <c r="AE98" i="85"/>
  <c r="AD56" i="85"/>
  <c r="AD57" i="85" s="1"/>
  <c r="J85" i="38"/>
  <c r="J91" i="38"/>
  <c r="CN305" i="59"/>
  <c r="N55" i="59"/>
  <c r="N319" i="59" s="1"/>
  <c r="CN57" i="59"/>
  <c r="CN56" i="59"/>
  <c r="BQ16" i="31"/>
  <c r="BQ15" i="31"/>
  <c r="BO138" i="73"/>
  <c r="BO139" i="73"/>
  <c r="BO136" i="73"/>
  <c r="K32" i="38"/>
  <c r="K46" i="38"/>
  <c r="V25" i="31"/>
  <c r="I30" i="73"/>
  <c r="I31" i="73" s="1"/>
  <c r="BE24" i="31"/>
  <c r="H9" i="73"/>
  <c r="U224" i="31"/>
  <c r="U173" i="31"/>
  <c r="U14" i="31"/>
  <c r="H10" i="73"/>
  <c r="U16" i="31"/>
  <c r="U227" i="31"/>
  <c r="U94" i="31"/>
  <c r="U170" i="31"/>
  <c r="U171" i="31" s="1"/>
  <c r="U88" i="31"/>
  <c r="AZ9" i="31"/>
  <c r="I262" i="59"/>
  <c r="BM39" i="31"/>
  <c r="BM34" i="31"/>
  <c r="BI42" i="31"/>
  <c r="BI43" i="31" s="1"/>
  <c r="CS55" i="59"/>
  <c r="CS319" i="59" s="1"/>
  <c r="Q49" i="59"/>
  <c r="CS50" i="59"/>
  <c r="Q9" i="59"/>
  <c r="Q12" i="59"/>
  <c r="CT8" i="59"/>
  <c r="BK19" i="73"/>
  <c r="BD29" i="31"/>
  <c r="V9" i="31"/>
  <c r="F190" i="60"/>
  <c r="U44" i="20"/>
  <c r="M57" i="59"/>
  <c r="CJ55" i="59"/>
  <c r="O55" i="59"/>
  <c r="O57" i="59" s="1"/>
  <c r="EP103" i="30"/>
  <c r="CN231" i="59"/>
  <c r="N15" i="59"/>
  <c r="CN16" i="59"/>
  <c r="BZ45" i="59"/>
  <c r="K46" i="59"/>
  <c r="K238" i="59"/>
  <c r="BZ237" i="59"/>
  <c r="K254" i="59"/>
  <c r="M231" i="59"/>
  <c r="CI236" i="59"/>
  <c r="M236" i="59" s="1"/>
  <c r="AY33" i="31"/>
  <c r="U29" i="31"/>
  <c r="BN14" i="31"/>
  <c r="CX49" i="59"/>
  <c r="R8" i="59"/>
  <c r="CX12" i="59"/>
  <c r="EZ86" i="30"/>
  <c r="EU90" i="30"/>
  <c r="EU91" i="30" s="1"/>
  <c r="EU87" i="30"/>
  <c r="F102" i="60"/>
  <c r="U32" i="32"/>
  <c r="AD101" i="85"/>
  <c r="AE84" i="85"/>
  <c r="AD86" i="85"/>
  <c r="CT245" i="59"/>
  <c r="AE60" i="85"/>
  <c r="AD77" i="85"/>
  <c r="AD62" i="85"/>
  <c r="AD50" i="85"/>
  <c r="AD51" i="85" s="1"/>
  <c r="CN290" i="59"/>
  <c r="CN291" i="59" s="1"/>
  <c r="CN226" i="59"/>
  <c r="N226" i="59" s="1"/>
  <c r="N219" i="59"/>
  <c r="O226" i="59"/>
  <c r="CJ226" i="59"/>
  <c r="BN24" i="31"/>
  <c r="BN25" i="31" s="1"/>
  <c r="CO12" i="59"/>
  <c r="N13" i="59"/>
  <c r="DM35" i="25"/>
  <c r="Z36" i="25"/>
  <c r="E7" i="73" s="1"/>
  <c r="S557" i="23"/>
  <c r="Z77" i="25"/>
  <c r="J261" i="59"/>
  <c r="B55" i="95"/>
  <c r="BU250" i="59"/>
  <c r="J260" i="59"/>
  <c r="J258" i="59"/>
  <c r="CW320" i="59"/>
  <c r="CW60" i="59"/>
  <c r="CW306" i="59"/>
  <c r="CW61" i="59"/>
  <c r="BT137" i="73" s="1"/>
  <c r="EK109" i="30"/>
  <c r="EK110" i="30" s="1"/>
  <c r="EK104" i="30"/>
  <c r="V187" i="31"/>
  <c r="AA35" i="25"/>
  <c r="AH110" i="30"/>
  <c r="AH161" i="30"/>
  <c r="EB109" i="30"/>
  <c r="DG80" i="25"/>
  <c r="BX5" i="23"/>
  <c r="DL80" i="25"/>
  <c r="BR24" i="31"/>
  <c r="BR29" i="31"/>
  <c r="BR33" i="31" s="1"/>
  <c r="CS13" i="59"/>
  <c r="CS15" i="59"/>
  <c r="CS219" i="59"/>
  <c r="S67" i="33"/>
  <c r="F131" i="60"/>
  <c r="R560" i="23"/>
  <c r="R549" i="23" s="1"/>
  <c r="S549" i="23" s="1"/>
  <c r="R507" i="23"/>
  <c r="R546" i="23"/>
  <c r="M227" i="59"/>
  <c r="CJ219" i="59"/>
  <c r="M290" i="59"/>
  <c r="M291" i="59" s="1"/>
  <c r="O219" i="59"/>
  <c r="J33" i="38"/>
  <c r="J64" i="38"/>
  <c r="J80" i="38" s="1"/>
  <c r="P9" i="59"/>
  <c r="P12" i="59"/>
  <c r="P13" i="59" s="1"/>
  <c r="BP15" i="31"/>
  <c r="V39" i="20"/>
  <c r="V38" i="20" s="1"/>
  <c r="V43" i="20" s="1"/>
  <c r="T62" i="33"/>
  <c r="T61" i="33" s="1"/>
  <c r="T66" i="33" s="1"/>
  <c r="V27" i="32"/>
  <c r="V26" i="32" s="1"/>
  <c r="V31" i="32" s="1"/>
  <c r="R53" i="31"/>
  <c r="R52" i="31" s="1"/>
  <c r="R57" i="31" s="1"/>
  <c r="N51" i="59"/>
  <c r="N50" i="59"/>
  <c r="P49" i="59"/>
  <c r="CO49" i="59"/>
  <c r="CJ15" i="59"/>
  <c r="M16" i="59"/>
  <c r="AJ103" i="30"/>
  <c r="M27" i="59"/>
  <c r="O15" i="59"/>
  <c r="O27" i="59" s="1"/>
  <c r="O45" i="59" s="1"/>
  <c r="L9" i="38"/>
  <c r="L11" i="38" s="1"/>
  <c r="L4" i="38"/>
  <c r="L42" i="38" s="1"/>
  <c r="BO210" i="59"/>
  <c r="BO191" i="59"/>
  <c r="BI16" i="31"/>
  <c r="BI15" i="31"/>
  <c r="BI9" i="31"/>
  <c r="F72" i="60"/>
  <c r="Q58" i="31"/>
  <c r="AT34" i="31"/>
  <c r="AU33" i="31"/>
  <c r="CN319" i="59"/>
  <c r="I187" i="59"/>
  <c r="Y79" i="25"/>
  <c r="DH77" i="25"/>
  <c r="CP25" i="85"/>
  <c r="T26" i="85"/>
  <c r="T28" i="85"/>
  <c r="K91" i="23"/>
  <c r="L90" i="23"/>
  <c r="CR60" i="23"/>
  <c r="CR65" i="23" s="1"/>
  <c r="CR69" i="23" s="1"/>
  <c r="CR58" i="23"/>
  <c r="CR98" i="23"/>
  <c r="CR100" i="23" s="1"/>
  <c r="CR50" i="23"/>
  <c r="CR52" i="23" s="1"/>
  <c r="CR55" i="23" s="1"/>
  <c r="Q92" i="25"/>
  <c r="R92" i="25"/>
  <c r="CQ50" i="23"/>
  <c r="CQ52" i="23" s="1"/>
  <c r="CQ55" i="23" s="1"/>
  <c r="CQ58" i="23"/>
  <c r="CQ98" i="23"/>
  <c r="CQ100" i="23" s="1"/>
  <c r="CQ60" i="23"/>
  <c r="CQ65" i="23" s="1"/>
  <c r="CQ69" i="23" s="1"/>
  <c r="AJ169" i="30"/>
  <c r="AJ170" i="30" s="1"/>
  <c r="AJ171" i="30" s="1"/>
  <c r="AE51" i="25"/>
  <c r="AC52" i="25"/>
  <c r="AC54" i="25"/>
  <c r="AF147" i="20"/>
  <c r="CY26" i="85"/>
  <c r="CY28" i="85"/>
  <c r="I193" i="23"/>
  <c r="I207" i="23" s="1"/>
  <c r="I240" i="23" s="1"/>
  <c r="J29" i="23"/>
  <c r="AF17" i="85"/>
  <c r="AG17" i="85" s="1"/>
  <c r="CN65" i="59"/>
  <c r="CN64" i="59"/>
  <c r="CN59" i="59"/>
  <c r="N63" i="59"/>
  <c r="CZ44" i="23"/>
  <c r="CZ40" i="23"/>
  <c r="CZ47" i="23" s="1"/>
  <c r="CZ246" i="59"/>
  <c r="CZ255" i="59"/>
  <c r="AD140" i="20"/>
  <c r="BZ14" i="23"/>
  <c r="BU14" i="23"/>
  <c r="BU17" i="23"/>
  <c r="U38" i="85"/>
  <c r="CU23" i="85"/>
  <c r="U25" i="85"/>
  <c r="Z274" i="59"/>
  <c r="AE13" i="31" s="1"/>
  <c r="Z269" i="59"/>
  <c r="AI110" i="30"/>
  <c r="AB35" i="25"/>
  <c r="AI152" i="30"/>
  <c r="EG109" i="30"/>
  <c r="L237" i="59"/>
  <c r="AA273" i="59"/>
  <c r="AA281" i="59"/>
  <c r="AA282" i="59" s="1"/>
  <c r="AA268" i="59"/>
  <c r="T98" i="23"/>
  <c r="CI100" i="23"/>
  <c r="J607" i="23"/>
  <c r="J612" i="23"/>
  <c r="Y24" i="85"/>
  <c r="AB265" i="59"/>
  <c r="AK8" i="32"/>
  <c r="Q9" i="95"/>
  <c r="AD148" i="23"/>
  <c r="AD131" i="23"/>
  <c r="AD137" i="23"/>
  <c r="AD134" i="23"/>
  <c r="K55" i="23"/>
  <c r="K246" i="23"/>
  <c r="K249" i="23" s="1"/>
  <c r="K261" i="23" s="1"/>
  <c r="K277" i="23" s="1"/>
  <c r="K302" i="23" s="1"/>
  <c r="R19" i="95"/>
  <c r="U95" i="73"/>
  <c r="CH85" i="25"/>
  <c r="CF85" i="25"/>
  <c r="D7" i="53"/>
  <c r="D8" i="53" s="1"/>
  <c r="CG85" i="25"/>
  <c r="D197" i="59"/>
  <c r="CE85" i="25"/>
  <c r="AT108" i="30"/>
  <c r="Z241" i="59"/>
  <c r="Z224" i="59" s="1"/>
  <c r="AA33" i="59"/>
  <c r="Z83" i="59"/>
  <c r="CO40" i="23"/>
  <c r="CO44" i="23"/>
  <c r="M65" i="59"/>
  <c r="O63" i="59"/>
  <c r="M64" i="59"/>
  <c r="CJ63" i="59"/>
  <c r="EX197" i="30"/>
  <c r="EY197" i="30"/>
  <c r="EW197" i="30"/>
  <c r="EZ197" i="30"/>
  <c r="AN235" i="30"/>
  <c r="AA46" i="33"/>
  <c r="AA43" i="33"/>
  <c r="CJ35" i="85"/>
  <c r="CJ34" i="85"/>
  <c r="AL105" i="23"/>
  <c r="CT26" i="85"/>
  <c r="CT28" i="85"/>
  <c r="Y275" i="59"/>
  <c r="Y278" i="59" s="1"/>
  <c r="Y279" i="59" s="1"/>
  <c r="V93" i="73"/>
  <c r="V94" i="73"/>
  <c r="V91" i="73"/>
  <c r="S7" i="95"/>
  <c r="V89" i="73"/>
  <c r="T188" i="60"/>
  <c r="BR40" i="23"/>
  <c r="BR83" i="23"/>
  <c r="BR44" i="23"/>
  <c r="BR81" i="23"/>
  <c r="BR82" i="23" s="1"/>
  <c r="BR663" i="23"/>
  <c r="FD86" i="30"/>
  <c r="FI87" i="30" s="1"/>
  <c r="K93" i="23"/>
  <c r="E26" i="56"/>
  <c r="CP58" i="23"/>
  <c r="CP60" i="23"/>
  <c r="CP65" i="23" s="1"/>
  <c r="CP69" i="23" s="1"/>
  <c r="CP98" i="23"/>
  <c r="CP100" i="23" s="1"/>
  <c r="CP50" i="23"/>
  <c r="CP52" i="23" s="1"/>
  <c r="CP55" i="23" s="1"/>
  <c r="AZ10" i="23"/>
  <c r="J7" i="23"/>
  <c r="J13" i="23"/>
  <c r="Y84" i="59"/>
  <c r="AS146" i="30"/>
  <c r="S370" i="60"/>
  <c r="S369" i="60" s="1"/>
  <c r="S29" i="85"/>
  <c r="K307" i="60"/>
  <c r="G84" i="63" s="1"/>
  <c r="AD51" i="25"/>
  <c r="S33" i="85"/>
  <c r="K306" i="60" s="1"/>
  <c r="CK28" i="85"/>
  <c r="M59" i="59"/>
  <c r="CI61" i="59"/>
  <c r="BF137" i="73" s="1"/>
  <c r="AH111" i="31"/>
  <c r="CJ105" i="59"/>
  <c r="O105" i="59"/>
  <c r="O108" i="59" s="1"/>
  <c r="O202" i="59" s="1"/>
  <c r="O204" i="59" s="1"/>
  <c r="M108" i="59"/>
  <c r="R8" i="95"/>
  <c r="U223" i="60"/>
  <c r="P21" i="95"/>
  <c r="AA266" i="59"/>
  <c r="CO29" i="85"/>
  <c r="CS63" i="59"/>
  <c r="CO33" i="85"/>
  <c r="M4" i="38"/>
  <c r="M42" i="38" s="1"/>
  <c r="M9" i="38"/>
  <c r="M11" i="38" s="1"/>
  <c r="AI96" i="33"/>
  <c r="AH97" i="33"/>
  <c r="Z242" i="59"/>
  <c r="Z270" i="59"/>
  <c r="Z220" i="59"/>
  <c r="AD32" i="31"/>
  <c r="Z38" i="33"/>
  <c r="Z39" i="33" s="1"/>
  <c r="AA41" i="33"/>
  <c r="L88" i="23"/>
  <c r="FD197" i="30"/>
  <c r="FD195" i="30" s="1"/>
  <c r="FE197" i="30"/>
  <c r="FB197" i="30"/>
  <c r="FB195" i="30" s="1"/>
  <c r="FG195" i="30" s="1"/>
  <c r="FC197" i="30"/>
  <c r="FC195" i="30" s="1"/>
  <c r="FH195" i="30" s="1"/>
  <c r="AB17" i="32"/>
  <c r="M103" i="60"/>
  <c r="I76" i="63" s="1"/>
  <c r="AM123" i="30"/>
  <c r="AM125" i="30" s="1"/>
  <c r="AB18" i="32"/>
  <c r="D199" i="59"/>
  <c r="D200" i="59"/>
  <c r="E199" i="59"/>
  <c r="CY40" i="23"/>
  <c r="CY44" i="23"/>
  <c r="CU320" i="59"/>
  <c r="CU306" i="59"/>
  <c r="CU61" i="59"/>
  <c r="BR137" i="73" s="1"/>
  <c r="CU60" i="59"/>
  <c r="Q17" i="95"/>
  <c r="Q20" i="95"/>
  <c r="R35" i="85"/>
  <c r="J306" i="60"/>
  <c r="R34" i="85"/>
  <c r="CF33" i="85"/>
  <c r="AJ211" i="30"/>
  <c r="EL199" i="30"/>
  <c r="L46" i="59"/>
  <c r="CE45" i="59"/>
  <c r="AB84" i="32"/>
  <c r="AB65" i="32"/>
  <c r="AB86" i="32"/>
  <c r="AB87" i="32"/>
  <c r="AB69" i="32"/>
  <c r="AB82" i="32"/>
  <c r="AB85" i="32"/>
  <c r="AB83" i="32"/>
  <c r="AB19" i="85"/>
  <c r="CZ23" i="85"/>
  <c r="V25" i="85"/>
  <c r="V38" i="85"/>
  <c r="AE134" i="20"/>
  <c r="AF146" i="20"/>
  <c r="BQ199" i="59"/>
  <c r="BL207" i="59"/>
  <c r="BL200" i="59"/>
  <c r="BL199" i="59"/>
  <c r="CE245" i="59"/>
  <c r="L246" i="59"/>
  <c r="L255" i="59"/>
  <c r="M255" i="59"/>
  <c r="M246" i="59"/>
  <c r="Z188" i="59"/>
  <c r="AE12" i="31"/>
  <c r="AH12" i="32"/>
  <c r="AD123" i="31"/>
  <c r="AE121" i="31"/>
  <c r="DA44" i="23"/>
  <c r="DA40" i="23"/>
  <c r="DA47" i="23" s="1"/>
  <c r="DA48" i="23" s="1"/>
  <c r="P23" i="95"/>
  <c r="CX76" i="59"/>
  <c r="CX307" i="59"/>
  <c r="CX321" i="59"/>
  <c r="CX77" i="59"/>
  <c r="N43" i="52"/>
  <c r="BW663" i="23"/>
  <c r="BW44" i="23"/>
  <c r="BW40" i="23"/>
  <c r="W39" i="52" l="1"/>
  <c r="V29" i="52"/>
  <c r="V31" i="52" s="1"/>
  <c r="P224" i="60"/>
  <c r="O226" i="60"/>
  <c r="P220" i="60"/>
  <c r="Q216" i="60"/>
  <c r="N278" i="60"/>
  <c r="U32" i="52"/>
  <c r="DF9" i="59"/>
  <c r="DF12" i="59"/>
  <c r="DF27" i="59" s="1"/>
  <c r="DF28" i="59" s="1"/>
  <c r="AA102" i="33"/>
  <c r="AA35" i="33" s="1"/>
  <c r="AA36" i="33" s="1"/>
  <c r="AA23" i="38"/>
  <c r="Z24" i="38"/>
  <c r="Z25" i="38" s="1"/>
  <c r="Z26" i="38" s="1"/>
  <c r="BT55" i="59"/>
  <c r="BT51" i="59"/>
  <c r="BT50" i="59"/>
  <c r="DV113" i="30"/>
  <c r="AI116" i="30"/>
  <c r="AI120" i="30"/>
  <c r="L49" i="59"/>
  <c r="AI114" i="30"/>
  <c r="H59" i="59"/>
  <c r="BJ61" i="59"/>
  <c r="DL140" i="30"/>
  <c r="K51" i="59"/>
  <c r="BY49" i="59"/>
  <c r="BZ49" i="59" s="1"/>
  <c r="K50" i="59"/>
  <c r="BO57" i="59"/>
  <c r="BO56" i="59"/>
  <c r="BO59" i="59"/>
  <c r="BP55" i="59"/>
  <c r="J56" i="59"/>
  <c r="J57" i="59"/>
  <c r="BU55" i="59"/>
  <c r="AH117" i="30"/>
  <c r="K55" i="59"/>
  <c r="AH119" i="30"/>
  <c r="BU49" i="59"/>
  <c r="FK95" i="30"/>
  <c r="P33" i="73"/>
  <c r="AC20" i="31" s="1"/>
  <c r="AA33" i="33"/>
  <c r="AA34" i="33" s="1"/>
  <c r="M56" i="73"/>
  <c r="M53" i="73" s="1"/>
  <c r="AB101" i="33" s="1"/>
  <c r="AB100" i="33" s="1"/>
  <c r="AB33" i="33" s="1"/>
  <c r="BW18" i="73"/>
  <c r="X183" i="31"/>
  <c r="X184" i="31" s="1"/>
  <c r="X240" i="31"/>
  <c r="H48" i="73"/>
  <c r="H49" i="73" s="1"/>
  <c r="H46" i="73" s="1"/>
  <c r="DG27" i="59"/>
  <c r="DG28" i="59" s="1"/>
  <c r="AY29" i="30"/>
  <c r="AU73" i="25" s="1"/>
  <c r="AU69" i="25"/>
  <c r="AU68" i="25" s="1"/>
  <c r="AU67" i="25"/>
  <c r="Q35" i="73"/>
  <c r="Q36" i="73"/>
  <c r="AB153" i="85"/>
  <c r="AB154" i="85"/>
  <c r="AA154" i="85"/>
  <c r="AA153" i="85"/>
  <c r="CD139" i="73"/>
  <c r="BS24" i="31"/>
  <c r="BS25" i="31" s="1"/>
  <c r="R246" i="59"/>
  <c r="R255" i="59"/>
  <c r="AB140" i="85"/>
  <c r="AB144" i="85"/>
  <c r="AC138" i="85"/>
  <c r="V102" i="73"/>
  <c r="AG111" i="85"/>
  <c r="W102" i="73" s="1"/>
  <c r="AE120" i="85"/>
  <c r="AE131" i="85" s="1"/>
  <c r="AE132" i="85" s="1"/>
  <c r="AE119" i="85"/>
  <c r="AE114" i="85"/>
  <c r="O51" i="95"/>
  <c r="O53" i="95"/>
  <c r="O54" i="95" s="1"/>
  <c r="AC126" i="85"/>
  <c r="P50" i="95"/>
  <c r="AC143" i="85"/>
  <c r="AF113" i="85"/>
  <c r="AF149" i="85" s="1"/>
  <c r="AF150" i="85" s="1"/>
  <c r="AB141" i="85"/>
  <c r="AD137" i="85"/>
  <c r="AD125" i="85"/>
  <c r="BX24" i="31"/>
  <c r="Z21" i="31"/>
  <c r="AA21" i="31" s="1"/>
  <c r="AB21" i="31" s="1"/>
  <c r="AC21" i="31" s="1"/>
  <c r="AD21" i="31" s="1"/>
  <c r="AE21" i="31" s="1"/>
  <c r="AF21" i="31" s="1"/>
  <c r="AG21" i="31" s="1"/>
  <c r="AH21" i="31" s="1"/>
  <c r="AI21" i="31" s="1"/>
  <c r="AJ21" i="31" s="1"/>
  <c r="BV31" i="31"/>
  <c r="BV33" i="31" s="1"/>
  <c r="BV24" i="31"/>
  <c r="BY139" i="73"/>
  <c r="BY138" i="73"/>
  <c r="BY136" i="73"/>
  <c r="EN17" i="20"/>
  <c r="DI235" i="59"/>
  <c r="AV99" i="59"/>
  <c r="AV211" i="59" s="1"/>
  <c r="E101" i="59"/>
  <c r="E211" i="59"/>
  <c r="E100" i="59"/>
  <c r="AF17" i="20"/>
  <c r="AE82" i="20"/>
  <c r="V235" i="59"/>
  <c r="EL21" i="20"/>
  <c r="DG30" i="59"/>
  <c r="B160" i="60"/>
  <c r="F97" i="38"/>
  <c r="AK78" i="20"/>
  <c r="AK79" i="20" s="1"/>
  <c r="AK24" i="20"/>
  <c r="AL60" i="20"/>
  <c r="AL62" i="20" s="1"/>
  <c r="AL61" i="20" s="1"/>
  <c r="AL74" i="20"/>
  <c r="AL76" i="20" s="1"/>
  <c r="AM59" i="20"/>
  <c r="AM439" i="23"/>
  <c r="AL392" i="23"/>
  <c r="AM385" i="23"/>
  <c r="AN432" i="23"/>
  <c r="AN385" i="23" s="1"/>
  <c r="AK398" i="23"/>
  <c r="AL445" i="23"/>
  <c r="AK379" i="23"/>
  <c r="AL426" i="23"/>
  <c r="AK415" i="23"/>
  <c r="AL462" i="23"/>
  <c r="AL425" i="23"/>
  <c r="AK378" i="23"/>
  <c r="AL434" i="23"/>
  <c r="AK387" i="23"/>
  <c r="AL394" i="23"/>
  <c r="AM441" i="23"/>
  <c r="AK377" i="23"/>
  <c r="AL424" i="23"/>
  <c r="AL428" i="23"/>
  <c r="AK381" i="23"/>
  <c r="B294" i="60"/>
  <c r="FG90" i="30"/>
  <c r="AC27" i="52"/>
  <c r="AB26" i="52"/>
  <c r="AT74" i="25"/>
  <c r="AT75" i="25"/>
  <c r="AT71" i="25"/>
  <c r="AT72" i="25"/>
  <c r="AT70" i="25"/>
  <c r="AT68" i="25"/>
  <c r="W95" i="73"/>
  <c r="T19" i="95"/>
  <c r="DG290" i="59"/>
  <c r="U244" i="59"/>
  <c r="DG13" i="59"/>
  <c r="BR25" i="31"/>
  <c r="BW25" i="31"/>
  <c r="BU34" i="31"/>
  <c r="DD26" i="85"/>
  <c r="DD28" i="85"/>
  <c r="DH63" i="59" s="1"/>
  <c r="DE9" i="59"/>
  <c r="DE12" i="59"/>
  <c r="DE27" i="59" s="1"/>
  <c r="AK234" i="23"/>
  <c r="Z61" i="32"/>
  <c r="I47" i="73" s="1"/>
  <c r="I48" i="73" s="1"/>
  <c r="I49" i="73" s="1"/>
  <c r="DC35" i="85"/>
  <c r="DC34" i="85"/>
  <c r="M75" i="59"/>
  <c r="CJ75" i="59" s="1"/>
  <c r="BV34" i="23"/>
  <c r="BV663" i="23" s="1"/>
  <c r="Q23" i="95"/>
  <c r="T82" i="73" s="1"/>
  <c r="BO21" i="31"/>
  <c r="X186" i="31"/>
  <c r="X24" i="31"/>
  <c r="BO24" i="31" s="1"/>
  <c r="X238" i="31"/>
  <c r="I64" i="38"/>
  <c r="I80" i="38" s="1"/>
  <c r="X129" i="31"/>
  <c r="Y124" i="31"/>
  <c r="X120" i="31"/>
  <c r="AD127" i="31"/>
  <c r="Z133" i="31"/>
  <c r="AA134" i="31"/>
  <c r="Y135" i="31"/>
  <c r="Y112" i="31" s="1"/>
  <c r="Y107" i="31"/>
  <c r="Y128" i="31"/>
  <c r="BL34" i="31"/>
  <c r="BJ24" i="31"/>
  <c r="W25" i="31"/>
  <c r="O227" i="59"/>
  <c r="DC77" i="25"/>
  <c r="H187" i="59"/>
  <c r="K40" i="73"/>
  <c r="K39" i="73" s="1"/>
  <c r="BO23" i="31"/>
  <c r="BG34" i="31"/>
  <c r="BG39" i="31"/>
  <c r="T44" i="20"/>
  <c r="E190" i="60"/>
  <c r="X36" i="25"/>
  <c r="X77" i="25"/>
  <c r="Y36" i="25"/>
  <c r="D7" i="73" s="1"/>
  <c r="T32" i="32"/>
  <c r="E102" i="60"/>
  <c r="I91" i="38"/>
  <c r="I47" i="38"/>
  <c r="I85" i="38"/>
  <c r="E131" i="60"/>
  <c r="R67" i="33"/>
  <c r="N546" i="23"/>
  <c r="N516" i="23"/>
  <c r="R516" i="23" s="1"/>
  <c r="N560" i="23"/>
  <c r="N549" i="23" s="1"/>
  <c r="N507" i="23"/>
  <c r="N543" i="23"/>
  <c r="R543" i="23" s="1"/>
  <c r="BS42" i="73"/>
  <c r="BS41" i="73"/>
  <c r="BS39" i="73"/>
  <c r="P58" i="31"/>
  <c r="E72" i="60"/>
  <c r="J41" i="73"/>
  <c r="J42" i="73"/>
  <c r="X52" i="33"/>
  <c r="X48" i="33"/>
  <c r="X49" i="33" s="1"/>
  <c r="K132" i="60"/>
  <c r="G77" i="63" s="1"/>
  <c r="AL131" i="30"/>
  <c r="AL125" i="30"/>
  <c r="AL124" i="30"/>
  <c r="AA59" i="32"/>
  <c r="AA61" i="32" s="1"/>
  <c r="J47" i="73" s="1"/>
  <c r="AA69" i="32"/>
  <c r="AA70" i="32" s="1"/>
  <c r="Y21" i="31"/>
  <c r="Y240" i="31" s="1"/>
  <c r="Z275" i="59"/>
  <c r="J262" i="59"/>
  <c r="J31" i="73"/>
  <c r="AE56" i="85"/>
  <c r="AE57" i="85" s="1"/>
  <c r="AF98" i="85"/>
  <c r="I191" i="59"/>
  <c r="DH79" i="25"/>
  <c r="R5" i="23"/>
  <c r="BO192" i="59"/>
  <c r="BO250" i="59"/>
  <c r="BT192" i="59"/>
  <c r="O187" i="59"/>
  <c r="O191" i="59" s="1"/>
  <c r="R58" i="31"/>
  <c r="G72" i="60"/>
  <c r="CS226" i="59"/>
  <c r="Q226" i="59" s="1"/>
  <c r="CT226" i="59" s="1"/>
  <c r="Q219" i="59"/>
  <c r="CS290" i="59"/>
  <c r="CS291" i="59" s="1"/>
  <c r="BX6" i="23"/>
  <c r="CC6" i="23"/>
  <c r="T557" i="23"/>
  <c r="AA77" i="25"/>
  <c r="AA36" i="25"/>
  <c r="F7" i="73" s="1"/>
  <c r="CX15" i="59"/>
  <c r="CX219" i="59"/>
  <c r="CX13" i="59"/>
  <c r="AZ29" i="31"/>
  <c r="U33" i="31"/>
  <c r="CJ231" i="59"/>
  <c r="O231" i="59"/>
  <c r="M237" i="59"/>
  <c r="CJ237" i="59" s="1"/>
  <c r="CO15" i="59"/>
  <c r="AK103" i="30"/>
  <c r="P15" i="59"/>
  <c r="N16" i="59"/>
  <c r="N27" i="59"/>
  <c r="CT49" i="59"/>
  <c r="Q50" i="59"/>
  <c r="Q51" i="59"/>
  <c r="K91" i="38"/>
  <c r="K47" i="38"/>
  <c r="K85" i="38"/>
  <c r="FC86" i="30"/>
  <c r="FH87" i="30" s="1"/>
  <c r="N57" i="59"/>
  <c r="P55" i="59"/>
  <c r="CO55" i="59"/>
  <c r="N305" i="59"/>
  <c r="N56" i="59"/>
  <c r="BP187" i="59"/>
  <c r="BP210" i="59" s="1"/>
  <c r="I210" i="59"/>
  <c r="BP19" i="73"/>
  <c r="BI29" i="31"/>
  <c r="BI17" i="31"/>
  <c r="W9" i="31"/>
  <c r="W170" i="31" s="1"/>
  <c r="M28" i="59"/>
  <c r="M45" i="59"/>
  <c r="CJ27" i="59"/>
  <c r="P50" i="59"/>
  <c r="P51" i="59"/>
  <c r="V32" i="32"/>
  <c r="G102" i="60"/>
  <c r="FB86" i="30"/>
  <c r="FG87" i="30" s="1"/>
  <c r="CS16" i="59"/>
  <c r="Q15" i="59"/>
  <c r="EU103" i="30"/>
  <c r="CS231" i="59"/>
  <c r="BR34" i="31"/>
  <c r="CN228" i="59"/>
  <c r="AF60" i="85"/>
  <c r="AE77" i="85"/>
  <c r="AE62" i="85"/>
  <c r="AE50" i="85"/>
  <c r="AE51" i="85" s="1"/>
  <c r="S8" i="59"/>
  <c r="CY8" i="59" s="1"/>
  <c r="R9" i="59"/>
  <c r="R12" i="59"/>
  <c r="AY34" i="31"/>
  <c r="AY39" i="31"/>
  <c r="U39" i="31" s="1"/>
  <c r="N231" i="59"/>
  <c r="CN236" i="59"/>
  <c r="N236" i="59" s="1"/>
  <c r="I10" i="73"/>
  <c r="V227" i="31"/>
  <c r="BE9" i="31"/>
  <c r="V173" i="31"/>
  <c r="V170" i="31"/>
  <c r="V171" i="31" s="1"/>
  <c r="I9" i="73"/>
  <c r="V94" i="31"/>
  <c r="V14" i="31"/>
  <c r="V16" i="31"/>
  <c r="V224" i="31"/>
  <c r="V88" i="31"/>
  <c r="CT12" i="59"/>
  <c r="Q13" i="59"/>
  <c r="Q55" i="59"/>
  <c r="CS305" i="59"/>
  <c r="CS57" i="59"/>
  <c r="CS56" i="59"/>
  <c r="U15" i="31"/>
  <c r="U90" i="31"/>
  <c r="AZ14" i="31"/>
  <c r="AJ239" i="30"/>
  <c r="U158" i="31"/>
  <c r="U159" i="31" s="1"/>
  <c r="U37" i="31"/>
  <c r="U96" i="31"/>
  <c r="AJ86" i="30"/>
  <c r="K64" i="38"/>
  <c r="K80" i="38" s="1"/>
  <c r="K33" i="38"/>
  <c r="L32" i="38"/>
  <c r="L46" i="38"/>
  <c r="N6" i="38"/>
  <c r="EL103" i="30"/>
  <c r="AJ104" i="30"/>
  <c r="N46" i="38"/>
  <c r="G131" i="60"/>
  <c r="T67" i="33"/>
  <c r="M253" i="59"/>
  <c r="CJ227" i="59"/>
  <c r="M228" i="59"/>
  <c r="AI161" i="30"/>
  <c r="W27" i="32"/>
  <c r="W26" i="32" s="1"/>
  <c r="W31" i="32" s="1"/>
  <c r="S53" i="31"/>
  <c r="S52" i="31" s="1"/>
  <c r="S57" i="31" s="1"/>
  <c r="W39" i="20"/>
  <c r="W38" i="20" s="1"/>
  <c r="W43" i="20" s="1"/>
  <c r="U62" i="33"/>
  <c r="U61" i="33" s="1"/>
  <c r="U66" i="33" s="1"/>
  <c r="J187" i="59"/>
  <c r="DM77" i="25"/>
  <c r="Z79" i="25"/>
  <c r="CO219" i="59"/>
  <c r="P219" i="59"/>
  <c r="N290" i="59"/>
  <c r="N291" i="59" s="1"/>
  <c r="N227" i="59"/>
  <c r="BN42" i="31"/>
  <c r="BN43" i="31" s="1"/>
  <c r="CX50" i="59"/>
  <c r="R49" i="59"/>
  <c r="CX55" i="59"/>
  <c r="CX319" i="59" s="1"/>
  <c r="CI238" i="59"/>
  <c r="EP104" i="30"/>
  <c r="EP109" i="30"/>
  <c r="EP110" i="30" s="1"/>
  <c r="BD33" i="31"/>
  <c r="V29" i="31"/>
  <c r="U228" i="31"/>
  <c r="U174" i="31"/>
  <c r="V44" i="20"/>
  <c r="G190" i="60"/>
  <c r="T549" i="23"/>
  <c r="U549" i="23" s="1"/>
  <c r="V549" i="23" s="1"/>
  <c r="W549" i="23" s="1"/>
  <c r="BT136" i="73"/>
  <c r="BT139" i="73"/>
  <c r="BT138" i="73"/>
  <c r="S560" i="23"/>
  <c r="S548" i="23" s="1"/>
  <c r="S507" i="23"/>
  <c r="S545" i="23"/>
  <c r="S266" i="23" s="1"/>
  <c r="S267" i="23" s="1"/>
  <c r="P226" i="59"/>
  <c r="CO226" i="59"/>
  <c r="AE101" i="85"/>
  <c r="AE86" i="85"/>
  <c r="AF84" i="85"/>
  <c r="AG84" i="85" s="1"/>
  <c r="AG86" i="85" s="1"/>
  <c r="EZ87" i="30"/>
  <c r="EZ90" i="30"/>
  <c r="EZ91" i="30" s="1"/>
  <c r="BN16" i="31"/>
  <c r="BN15" i="31"/>
  <c r="O236" i="59"/>
  <c r="CJ236" i="59"/>
  <c r="BK20" i="73"/>
  <c r="BK21" i="73"/>
  <c r="U225" i="31"/>
  <c r="U195" i="31"/>
  <c r="U221" i="31"/>
  <c r="U192" i="31" s="1"/>
  <c r="DA58" i="23"/>
  <c r="DA50" i="23"/>
  <c r="DA52" i="23" s="1"/>
  <c r="DA60" i="23"/>
  <c r="BR139" i="73"/>
  <c r="BR136" i="73"/>
  <c r="BR138" i="73"/>
  <c r="CS64" i="59"/>
  <c r="CS65" i="59"/>
  <c r="Q63" i="59"/>
  <c r="CS59" i="59"/>
  <c r="V223" i="60"/>
  <c r="S8" i="95"/>
  <c r="T9" i="95" s="1"/>
  <c r="Y276" i="59"/>
  <c r="Y286" i="59"/>
  <c r="O65" i="59"/>
  <c r="CE86" i="25"/>
  <c r="AM197" i="59"/>
  <c r="AN197" i="59"/>
  <c r="CF86" i="25"/>
  <c r="Z24" i="85"/>
  <c r="X21" i="32"/>
  <c r="X20" i="32" s="1"/>
  <c r="X23" i="32" s="1"/>
  <c r="T47" i="31"/>
  <c r="T46" i="31" s="1"/>
  <c r="T49" i="31" s="1"/>
  <c r="V56" i="33"/>
  <c r="V55" i="33" s="1"/>
  <c r="V58" i="33" s="1"/>
  <c r="M86" i="38"/>
  <c r="M92" i="38"/>
  <c r="X33" i="20"/>
  <c r="X32" i="20" s="1"/>
  <c r="X35" i="20" s="1"/>
  <c r="CU25" i="85"/>
  <c r="U26" i="85"/>
  <c r="U28" i="85"/>
  <c r="P63" i="59"/>
  <c r="N65" i="59"/>
  <c r="CO63" i="59"/>
  <c r="N64" i="59"/>
  <c r="CY29" i="85"/>
  <c r="CY33" i="85"/>
  <c r="DC63" i="59"/>
  <c r="L307" i="60"/>
  <c r="H84" i="63" s="1"/>
  <c r="AG51" i="25"/>
  <c r="T29" i="85"/>
  <c r="CP28" i="85"/>
  <c r="T33" i="85"/>
  <c r="AE123" i="31"/>
  <c r="AF121" i="31"/>
  <c r="AE32" i="31"/>
  <c r="AG146" i="20"/>
  <c r="AF134" i="20"/>
  <c r="X38" i="85"/>
  <c r="EL211" i="30"/>
  <c r="AA38" i="33"/>
  <c r="AA39" i="33" s="1"/>
  <c r="AB41" i="33"/>
  <c r="M46" i="38"/>
  <c r="M32" i="38"/>
  <c r="AA269" i="59"/>
  <c r="AA274" i="59"/>
  <c r="AF13" i="31" s="1"/>
  <c r="R9" i="95"/>
  <c r="AC265" i="59"/>
  <c r="AL8" i="32"/>
  <c r="CK33" i="85"/>
  <c r="S34" i="85"/>
  <c r="S35" i="85"/>
  <c r="J17" i="23"/>
  <c r="D7" i="56"/>
  <c r="D14" i="56" s="1"/>
  <c r="D19" i="56" s="1"/>
  <c r="J14" i="23"/>
  <c r="J363" i="23"/>
  <c r="K14" i="23"/>
  <c r="FD87" i="30"/>
  <c r="FD90" i="30"/>
  <c r="FI91" i="30" s="1"/>
  <c r="V95" i="73"/>
  <c r="S19" i="95"/>
  <c r="CX63" i="59"/>
  <c r="CT29" i="85"/>
  <c r="FA197" i="30"/>
  <c r="CO50" i="23"/>
  <c r="CO52" i="23" s="1"/>
  <c r="CO55" i="23" s="1"/>
  <c r="CO98" i="23"/>
  <c r="CO100" i="23" s="1"/>
  <c r="V100" i="23" s="1"/>
  <c r="CS100" i="23" s="1"/>
  <c r="CO60" i="23"/>
  <c r="CO65" i="23" s="1"/>
  <c r="CO69" i="23" s="1"/>
  <c r="CO58" i="23"/>
  <c r="AA241" i="59"/>
  <c r="AA224" i="59" s="1"/>
  <c r="AB33" i="59"/>
  <c r="AU108" i="30"/>
  <c r="AA83" i="59"/>
  <c r="AP197" i="59"/>
  <c r="CH86" i="25"/>
  <c r="R17" i="95"/>
  <c r="R20" i="95"/>
  <c r="AE128" i="23"/>
  <c r="AD152" i="23"/>
  <c r="AD150" i="23"/>
  <c r="AB273" i="59"/>
  <c r="AB281" i="59"/>
  <c r="AB282" i="59" s="1"/>
  <c r="AB268" i="59"/>
  <c r="D35" i="62"/>
  <c r="K23" i="56"/>
  <c r="K24" i="56" s="1"/>
  <c r="AF12" i="31"/>
  <c r="AA188" i="59"/>
  <c r="U557" i="23"/>
  <c r="AB77" i="25"/>
  <c r="AB36" i="25"/>
  <c r="G7" i="73" s="1"/>
  <c r="BZ18" i="23"/>
  <c r="BU21" i="23"/>
  <c r="BU23" i="23" s="1"/>
  <c r="BL213" i="59" s="1"/>
  <c r="BU18" i="23"/>
  <c r="N59" i="59"/>
  <c r="CN320" i="59"/>
  <c r="CN61" i="59"/>
  <c r="BK137" i="73" s="1"/>
  <c r="CN60" i="59"/>
  <c r="CN306" i="59"/>
  <c r="AJ176" i="30"/>
  <c r="AJ177" i="30" s="1"/>
  <c r="AC55" i="25"/>
  <c r="AC58" i="25"/>
  <c r="AC56" i="25"/>
  <c r="S82" i="73"/>
  <c r="S83" i="73" s="1"/>
  <c r="P24" i="95"/>
  <c r="AA271" i="59" s="1"/>
  <c r="AI12" i="32"/>
  <c r="AE140" i="20"/>
  <c r="V26" i="85"/>
  <c r="CZ25" i="85"/>
  <c r="V28" i="85"/>
  <c r="BF138" i="73"/>
  <c r="BF139" i="73"/>
  <c r="AK169" i="30"/>
  <c r="AK170" i="30" s="1"/>
  <c r="AK171" i="30" s="1"/>
  <c r="AF51" i="25"/>
  <c r="AD52" i="25"/>
  <c r="AD54" i="25"/>
  <c r="AZ7" i="23"/>
  <c r="J474" i="23"/>
  <c r="J499" i="23" s="1"/>
  <c r="F27" i="56"/>
  <c r="E28" i="56"/>
  <c r="DB219" i="59"/>
  <c r="DB226" i="59" s="1"/>
  <c r="DG226" i="59" s="1"/>
  <c r="BR58" i="23"/>
  <c r="BR89" i="23"/>
  <c r="BR60" i="23"/>
  <c r="BR65" i="23" s="1"/>
  <c r="BR69" i="23" s="1"/>
  <c r="BR87" i="23"/>
  <c r="BR88" i="23" s="1"/>
  <c r="BR50" i="23"/>
  <c r="BR52" i="23" s="1"/>
  <c r="BR55" i="23" s="1"/>
  <c r="AO197" i="59"/>
  <c r="CG86" i="25"/>
  <c r="AA267" i="59"/>
  <c r="L238" i="59"/>
  <c r="CE237" i="59"/>
  <c r="L254" i="59"/>
  <c r="CZ48" i="23"/>
  <c r="Z48" i="23" s="1"/>
  <c r="Z47" i="23"/>
  <c r="AG147" i="20"/>
  <c r="AC19" i="85"/>
  <c r="AB59" i="32"/>
  <c r="Q21" i="95"/>
  <c r="AB266" i="59"/>
  <c r="AB267" i="59" s="1"/>
  <c r="CY58" i="23"/>
  <c r="CY60" i="23"/>
  <c r="CY50" i="23"/>
  <c r="CY52" i="23" s="1"/>
  <c r="AM124" i="30"/>
  <c r="AM131" i="30"/>
  <c r="AI97" i="33"/>
  <c r="AJ96" i="33"/>
  <c r="CO34" i="85"/>
  <c r="CO35" i="85"/>
  <c r="CJ108" i="59"/>
  <c r="M202" i="59"/>
  <c r="AJ140" i="30"/>
  <c r="M61" i="59"/>
  <c r="CJ59" i="59"/>
  <c r="O59" i="59"/>
  <c r="O61" i="59" s="1"/>
  <c r="K95" i="23"/>
  <c r="L94" i="23"/>
  <c r="BR84" i="23"/>
  <c r="BR85" i="23"/>
  <c r="U188" i="60"/>
  <c r="AL109" i="23"/>
  <c r="AT146" i="30"/>
  <c r="T370" i="60"/>
  <c r="T369" i="60" s="1"/>
  <c r="Z84" i="59"/>
  <c r="D9" i="53"/>
  <c r="D13" i="53"/>
  <c r="E9" i="53"/>
  <c r="CZ60" i="23"/>
  <c r="CZ58" i="23"/>
  <c r="AE52" i="25"/>
  <c r="AE54" i="25"/>
  <c r="CX100" i="59"/>
  <c r="CX324" i="59"/>
  <c r="CX310" i="59"/>
  <c r="CX101" i="59"/>
  <c r="O43" i="52"/>
  <c r="BW60" i="23"/>
  <c r="BW58" i="23"/>
  <c r="BW50" i="23"/>
  <c r="BW52" i="23" s="1"/>
  <c r="BW55" i="23" s="1"/>
  <c r="BW665" i="23"/>
  <c r="BW666" i="23" s="1"/>
  <c r="BW667" i="23" s="1"/>
  <c r="BW668" i="23" s="1"/>
  <c r="BW682" i="23"/>
  <c r="BW670" i="23"/>
  <c r="BW671" i="23"/>
  <c r="Q224" i="60" l="1"/>
  <c r="P226" i="60"/>
  <c r="R216" i="60"/>
  <c r="Q220" i="60"/>
  <c r="O278" i="60"/>
  <c r="V32" i="52"/>
  <c r="X39" i="52"/>
  <c r="W29" i="52"/>
  <c r="W31" i="52" s="1"/>
  <c r="DF13" i="59"/>
  <c r="DF219" i="59"/>
  <c r="DF290" i="59" s="1"/>
  <c r="AB23" i="38"/>
  <c r="AA24" i="38"/>
  <c r="AA25" i="38" s="1"/>
  <c r="AA26" i="38" s="1"/>
  <c r="DL141" i="30"/>
  <c r="DL147" i="30"/>
  <c r="AE140" i="30"/>
  <c r="DW113" i="30"/>
  <c r="DV116" i="30"/>
  <c r="DV114" i="30"/>
  <c r="DV120" i="30"/>
  <c r="BY55" i="59"/>
  <c r="BZ55" i="59" s="1"/>
  <c r="BY50" i="59"/>
  <c r="BY51" i="59"/>
  <c r="DQ140" i="30"/>
  <c r="I59" i="59"/>
  <c r="BO61" i="59"/>
  <c r="BO60" i="59"/>
  <c r="L50" i="59"/>
  <c r="L51" i="59"/>
  <c r="M50" i="59"/>
  <c r="CD49" i="59"/>
  <c r="K57" i="59"/>
  <c r="K56" i="59"/>
  <c r="BK59" i="59"/>
  <c r="H75" i="59"/>
  <c r="H61" i="59"/>
  <c r="AI119" i="30"/>
  <c r="L55" i="59"/>
  <c r="AI117" i="30"/>
  <c r="BT59" i="59"/>
  <c r="BT57" i="59"/>
  <c r="BT56" i="59"/>
  <c r="AB34" i="33"/>
  <c r="Q33" i="73"/>
  <c r="AD20" i="31" s="1"/>
  <c r="BK18" i="73"/>
  <c r="BF136" i="73"/>
  <c r="P53" i="95"/>
  <c r="P54" i="95" s="1"/>
  <c r="AC100" i="33"/>
  <c r="AD100" i="33" s="1"/>
  <c r="AB102" i="33"/>
  <c r="AB35" i="33" s="1"/>
  <c r="AB36" i="33" s="1"/>
  <c r="X187" i="31"/>
  <c r="M99" i="59"/>
  <c r="I46" i="73"/>
  <c r="X241" i="31"/>
  <c r="Z237" i="31"/>
  <c r="Z240" i="31"/>
  <c r="AU71" i="25"/>
  <c r="AU70" i="25"/>
  <c r="AU72" i="25"/>
  <c r="AU75" i="25"/>
  <c r="AU74" i="25"/>
  <c r="AG113" i="85"/>
  <c r="AG149" i="85" s="1"/>
  <c r="AG150" i="85" s="1"/>
  <c r="CD136" i="73"/>
  <c r="DG61" i="59" s="1"/>
  <c r="DG59" i="59" s="1"/>
  <c r="R36" i="73"/>
  <c r="R35" i="73"/>
  <c r="CD138" i="73"/>
  <c r="AC141" i="85"/>
  <c r="AC152" i="85"/>
  <c r="BX25" i="31"/>
  <c r="M77" i="59"/>
  <c r="M111" i="59"/>
  <c r="M114" i="59" s="1"/>
  <c r="AD138" i="85"/>
  <c r="AE125" i="85"/>
  <c r="AE137" i="85"/>
  <c r="AD126" i="85"/>
  <c r="AD143" i="85"/>
  <c r="AD152" i="85" s="1"/>
  <c r="Q50" i="95"/>
  <c r="AF119" i="85"/>
  <c r="AF114" i="85"/>
  <c r="AF120" i="85"/>
  <c r="AF131" i="85" s="1"/>
  <c r="AF132" i="85" s="1"/>
  <c r="AC140" i="85"/>
  <c r="AC144" i="85"/>
  <c r="P51" i="95"/>
  <c r="BY21" i="31"/>
  <c r="BY23" i="31"/>
  <c r="FI105" i="30"/>
  <c r="DG234" i="59"/>
  <c r="DG240" i="59" s="1"/>
  <c r="DG245" i="59" s="1"/>
  <c r="DG36" i="59"/>
  <c r="DG37" i="59" s="1"/>
  <c r="DG79" i="59"/>
  <c r="DG31" i="59"/>
  <c r="AG17" i="20"/>
  <c r="AF82" i="20"/>
  <c r="W235" i="59"/>
  <c r="AM60" i="20"/>
  <c r="AM62" i="20" s="1"/>
  <c r="AM61" i="20" s="1"/>
  <c r="AN59" i="20"/>
  <c r="AM74" i="20"/>
  <c r="AM76" i="20" s="1"/>
  <c r="AL78" i="20"/>
  <c r="AL79" i="20" s="1"/>
  <c r="AL24" i="20"/>
  <c r="AM445" i="23"/>
  <c r="AL398" i="23"/>
  <c r="AN439" i="23"/>
  <c r="AN392" i="23" s="1"/>
  <c r="AM392" i="23"/>
  <c r="AL379" i="23"/>
  <c r="AM426" i="23"/>
  <c r="AM394" i="23"/>
  <c r="AN441" i="23"/>
  <c r="AN394" i="23" s="1"/>
  <c r="AM428" i="23"/>
  <c r="AL381" i="23"/>
  <c r="AM425" i="23"/>
  <c r="AL378" i="23"/>
  <c r="AM424" i="23"/>
  <c r="AL377" i="23"/>
  <c r="AM462" i="23"/>
  <c r="AL415" i="23"/>
  <c r="AM434" i="23"/>
  <c r="AL387" i="23"/>
  <c r="AD27" i="52"/>
  <c r="AC26" i="52"/>
  <c r="DC15" i="59"/>
  <c r="R15" i="59"/>
  <c r="AG60" i="85"/>
  <c r="AF56" i="85"/>
  <c r="AF57" i="85" s="1"/>
  <c r="AG98" i="85"/>
  <c r="T20" i="95"/>
  <c r="AE266" i="59" s="1"/>
  <c r="T17" i="95"/>
  <c r="DH65" i="59"/>
  <c r="DH64" i="59"/>
  <c r="U63" i="59"/>
  <c r="DE13" i="59"/>
  <c r="DE219" i="59"/>
  <c r="DG227" i="59"/>
  <c r="DI244" i="59"/>
  <c r="V244" i="59"/>
  <c r="W244" i="59" s="1"/>
  <c r="X244" i="59" s="1"/>
  <c r="Y244" i="59" s="1"/>
  <c r="Z244" i="59" s="1"/>
  <c r="AA244" i="59" s="1"/>
  <c r="AB244" i="59" s="1"/>
  <c r="AC244" i="59" s="1"/>
  <c r="AD244" i="59" s="1"/>
  <c r="AE244" i="59" s="1"/>
  <c r="BV34" i="31"/>
  <c r="DD29" i="85"/>
  <c r="BV40" i="23"/>
  <c r="BV44" i="23"/>
  <c r="BV58" i="23" s="1"/>
  <c r="X25" i="31"/>
  <c r="N75" i="59"/>
  <c r="CO75" i="59" s="1"/>
  <c r="Q24" i="95"/>
  <c r="AB271" i="59" s="1"/>
  <c r="R23" i="95"/>
  <c r="K30" i="73"/>
  <c r="K31" i="73" s="1"/>
  <c r="DA320" i="59"/>
  <c r="DA306" i="59"/>
  <c r="Z276" i="59"/>
  <c r="Z278" i="59"/>
  <c r="Z279" i="59" s="1"/>
  <c r="N42" i="38"/>
  <c r="N32" i="38" s="1"/>
  <c r="AJ242" i="30"/>
  <c r="BT21" i="31"/>
  <c r="Z135" i="31"/>
  <c r="Z112" i="31" s="1"/>
  <c r="Z107" i="31"/>
  <c r="Z128" i="31"/>
  <c r="Y120" i="31"/>
  <c r="Z124" i="31"/>
  <c r="Y129" i="31"/>
  <c r="AE127" i="31"/>
  <c r="AA133" i="31"/>
  <c r="AB134" i="31"/>
  <c r="CZ55" i="59"/>
  <c r="CZ57" i="59" s="1"/>
  <c r="AB61" i="32"/>
  <c r="K47" i="73" s="1"/>
  <c r="BU34" i="23"/>
  <c r="BU663" i="23" s="1"/>
  <c r="CZ50" i="23"/>
  <c r="CZ52" i="23" s="1"/>
  <c r="CZ55" i="23" s="1"/>
  <c r="AD153" i="23"/>
  <c r="AD154" i="23" s="1"/>
  <c r="AL112" i="23"/>
  <c r="AL133" i="23"/>
  <c r="AL175" i="23"/>
  <c r="AL294" i="23" s="1"/>
  <c r="AL690" i="23" s="1"/>
  <c r="K41" i="73"/>
  <c r="K42" i="73"/>
  <c r="S543" i="23"/>
  <c r="S542" i="23" s="1"/>
  <c r="R542" i="23"/>
  <c r="M238" i="59"/>
  <c r="BK187" i="59"/>
  <c r="BK210" i="59" s="1"/>
  <c r="H210" i="59"/>
  <c r="M254" i="59"/>
  <c r="S516" i="23"/>
  <c r="R515" i="23"/>
  <c r="R226" i="23" s="1"/>
  <c r="X79" i="25"/>
  <c r="Q5" i="23"/>
  <c r="AB70" i="32"/>
  <c r="Y183" i="31"/>
  <c r="Y184" i="31" s="1"/>
  <c r="Y186" i="31"/>
  <c r="Y237" i="31"/>
  <c r="Y238" i="31" s="1"/>
  <c r="J48" i="73"/>
  <c r="J49" i="73" s="1"/>
  <c r="J46" i="73" s="1"/>
  <c r="Y51" i="33"/>
  <c r="AL126" i="30"/>
  <c r="AL132" i="30"/>
  <c r="Z286" i="59"/>
  <c r="AQ197" i="59"/>
  <c r="CS228" i="59"/>
  <c r="BE29" i="31"/>
  <c r="V33" i="31"/>
  <c r="P227" i="59"/>
  <c r="W44" i="20"/>
  <c r="H190" i="60"/>
  <c r="L33" i="38"/>
  <c r="L64" i="38"/>
  <c r="L80" i="38" s="1"/>
  <c r="P231" i="59"/>
  <c r="N237" i="59"/>
  <c r="CO231" i="59"/>
  <c r="AF77" i="85"/>
  <c r="AF62" i="85"/>
  <c r="AF50" i="85"/>
  <c r="AF51" i="85" s="1"/>
  <c r="CT15" i="59"/>
  <c r="AL103" i="30"/>
  <c r="Q27" i="59"/>
  <c r="Q16" i="59"/>
  <c r="FB87" i="30"/>
  <c r="FB90" i="30"/>
  <c r="FG91" i="30" s="1"/>
  <c r="CJ45" i="59"/>
  <c r="M46" i="59"/>
  <c r="BI33" i="31"/>
  <c r="W29" i="31"/>
  <c r="DA13" i="59"/>
  <c r="DA219" i="59"/>
  <c r="DA226" i="59" s="1"/>
  <c r="DF226" i="59" s="1"/>
  <c r="P16" i="59"/>
  <c r="P27" i="59"/>
  <c r="O210" i="59"/>
  <c r="AF101" i="85"/>
  <c r="AF86" i="85"/>
  <c r="BD34" i="31"/>
  <c r="BD39" i="31"/>
  <c r="V39" i="31" s="1"/>
  <c r="CX57" i="59"/>
  <c r="R55" i="59"/>
  <c r="CX305" i="59"/>
  <c r="CX56" i="59"/>
  <c r="BU187" i="59"/>
  <c r="J210" i="59"/>
  <c r="S58" i="31"/>
  <c r="H72" i="60"/>
  <c r="Q305" i="59"/>
  <c r="Q56" i="59"/>
  <c r="Q57" i="59"/>
  <c r="CT55" i="59"/>
  <c r="V15" i="31"/>
  <c r="BE14" i="31"/>
  <c r="V96" i="31"/>
  <c r="V37" i="31"/>
  <c r="V158" i="31"/>
  <c r="V159" i="31" s="1"/>
  <c r="AK239" i="30"/>
  <c r="AK86" i="30"/>
  <c r="V90" i="31"/>
  <c r="V174" i="31"/>
  <c r="R13" i="59"/>
  <c r="S12" i="59"/>
  <c r="CZ219" i="59"/>
  <c r="CZ226" i="59" s="1"/>
  <c r="DE226" i="59" s="1"/>
  <c r="BP20" i="73"/>
  <c r="BP21" i="73"/>
  <c r="P57" i="59"/>
  <c r="P56" i="59"/>
  <c r="FC87" i="30"/>
  <c r="FC90" i="30"/>
  <c r="FH91" i="30" s="1"/>
  <c r="AK104" i="30"/>
  <c r="O46" i="38"/>
  <c r="O6" i="38"/>
  <c r="EQ103" i="30"/>
  <c r="AZ33" i="31"/>
  <c r="U34" i="31"/>
  <c r="U42" i="31"/>
  <c r="CX290" i="59"/>
  <c r="CX291" i="59" s="1"/>
  <c r="R219" i="59"/>
  <c r="CX226" i="59"/>
  <c r="CX228" i="59" s="1"/>
  <c r="O250" i="59"/>
  <c r="X5" i="23"/>
  <c r="R6" i="23"/>
  <c r="AF244" i="30"/>
  <c r="BY5" i="23"/>
  <c r="BV8" i="23"/>
  <c r="BV7" i="23" s="1"/>
  <c r="BW8" i="23"/>
  <c r="BW7" i="23" s="1"/>
  <c r="BU8" i="23"/>
  <c r="R473" i="23"/>
  <c r="R51" i="59"/>
  <c r="R50" i="59"/>
  <c r="S49" i="59"/>
  <c r="CY49" i="59" s="1"/>
  <c r="CO227" i="59"/>
  <c r="N228" i="59"/>
  <c r="N253" i="59"/>
  <c r="W32" i="32"/>
  <c r="H102" i="60"/>
  <c r="N9" i="38"/>
  <c r="N11" i="38" s="1"/>
  <c r="N4" i="38"/>
  <c r="AJ90" i="30"/>
  <c r="AJ87" i="30"/>
  <c r="AJ109" i="30"/>
  <c r="EL86" i="30"/>
  <c r="Q319" i="59"/>
  <c r="CN238" i="59"/>
  <c r="CS236" i="59"/>
  <c r="Q236" i="59" s="1"/>
  <c r="Q231" i="59"/>
  <c r="W17" i="31"/>
  <c r="W227" i="31"/>
  <c r="W173" i="31"/>
  <c r="W16" i="31"/>
  <c r="BJ9" i="31"/>
  <c r="J9" i="73"/>
  <c r="J10" i="73"/>
  <c r="W171" i="31"/>
  <c r="W94" i="31"/>
  <c r="W224" i="31"/>
  <c r="W14" i="31"/>
  <c r="W88" i="31"/>
  <c r="N45" i="59"/>
  <c r="N28" i="59"/>
  <c r="CO27" i="59"/>
  <c r="EZ103" i="30"/>
  <c r="CX231" i="59"/>
  <c r="CX16" i="59"/>
  <c r="K187" i="59"/>
  <c r="AA79" i="25"/>
  <c r="Z183" i="31"/>
  <c r="Z186" i="31"/>
  <c r="AA240" i="31"/>
  <c r="Z80" i="25"/>
  <c r="S5" i="23"/>
  <c r="J191" i="59"/>
  <c r="DM79" i="25"/>
  <c r="H131" i="60"/>
  <c r="U67" i="33"/>
  <c r="V62" i="33"/>
  <c r="V61" i="33" s="1"/>
  <c r="T53" i="31"/>
  <c r="T52" i="31" s="1"/>
  <c r="AJ161" i="30"/>
  <c r="AI160" i="30"/>
  <c r="AI217" i="30" s="1"/>
  <c r="AI220" i="30" s="1"/>
  <c r="X39" i="20"/>
  <c r="X38" i="20" s="1"/>
  <c r="X27" i="32"/>
  <c r="X26" i="32" s="1"/>
  <c r="L47" i="38"/>
  <c r="L91" i="38"/>
  <c r="L85" i="38"/>
  <c r="V225" i="31"/>
  <c r="V195" i="31"/>
  <c r="V228" i="31"/>
  <c r="CO236" i="59"/>
  <c r="P236" i="59"/>
  <c r="U40" i="31"/>
  <c r="AZ39" i="31"/>
  <c r="EU104" i="30"/>
  <c r="EU109" i="30"/>
  <c r="EU110" i="30" s="1"/>
  <c r="O237" i="59"/>
  <c r="T545" i="23"/>
  <c r="T266" i="23" s="1"/>
  <c r="T267" i="23" s="1"/>
  <c r="T507" i="23"/>
  <c r="T542" i="23"/>
  <c r="T560" i="23"/>
  <c r="T548" i="23" s="1"/>
  <c r="Q227" i="59"/>
  <c r="CT219" i="59"/>
  <c r="Q290" i="59"/>
  <c r="I192" i="59"/>
  <c r="BP191" i="59"/>
  <c r="M91" i="38"/>
  <c r="N72" i="38"/>
  <c r="AJ141" i="30"/>
  <c r="H137" i="73" s="1"/>
  <c r="AJ97" i="33"/>
  <c r="AK96" i="33"/>
  <c r="AK97" i="33" s="1"/>
  <c r="AA270" i="59"/>
  <c r="AA220" i="59"/>
  <c r="AA242" i="59"/>
  <c r="AU146" i="30"/>
  <c r="U370" i="60"/>
  <c r="U369" i="60" s="1"/>
  <c r="AA84" i="59"/>
  <c r="V188" i="60"/>
  <c r="AD19" i="85"/>
  <c r="BR91" i="23"/>
  <c r="BR90" i="23"/>
  <c r="AK176" i="30"/>
  <c r="AK177" i="30" s="1"/>
  <c r="AD58" i="25"/>
  <c r="AD56" i="25"/>
  <c r="AD55" i="25"/>
  <c r="CZ28" i="85"/>
  <c r="V33" i="85"/>
  <c r="V29" i="85"/>
  <c r="N307" i="60"/>
  <c r="J84" i="63" s="1"/>
  <c r="AJ51" i="25"/>
  <c r="AA275" i="59"/>
  <c r="D36" i="62"/>
  <c r="N35" i="62"/>
  <c r="N36" i="62" s="1"/>
  <c r="AB241" i="59"/>
  <c r="AB224" i="59" s="1"/>
  <c r="AV108" i="30"/>
  <c r="AC33" i="59"/>
  <c r="AB83" i="59"/>
  <c r="D20" i="56"/>
  <c r="E20" i="56"/>
  <c r="T35" i="85"/>
  <c r="CP33" i="85"/>
  <c r="L306" i="60"/>
  <c r="T34" i="85"/>
  <c r="AG54" i="25"/>
  <c r="AG52" i="25"/>
  <c r="AL169" i="30"/>
  <c r="AL170" i="30" s="1"/>
  <c r="AL171" i="30" s="1"/>
  <c r="DC64" i="59"/>
  <c r="DC65" i="59"/>
  <c r="T63" i="59"/>
  <c r="M85" i="38"/>
  <c r="AE56" i="25"/>
  <c r="AE58" i="25"/>
  <c r="AE60" i="25" s="1"/>
  <c r="L96" i="23"/>
  <c r="Z247" i="23"/>
  <c r="DC48" i="23"/>
  <c r="AH147" i="20"/>
  <c r="AE137" i="23"/>
  <c r="AE148" i="23"/>
  <c r="AE131" i="23"/>
  <c r="AE134" i="23"/>
  <c r="J21" i="23"/>
  <c r="J18" i="23"/>
  <c r="K18" i="23"/>
  <c r="CY35" i="85"/>
  <c r="V64" i="33"/>
  <c r="V59" i="33"/>
  <c r="DA55" i="23"/>
  <c r="DA100" i="23"/>
  <c r="DA98" i="23" s="1"/>
  <c r="M204" i="59"/>
  <c r="CJ202" i="59"/>
  <c r="AB274" i="59"/>
  <c r="AG13" i="31" s="1"/>
  <c r="AB269" i="59"/>
  <c r="DB290" i="59"/>
  <c r="AF52" i="25"/>
  <c r="AF54" i="25"/>
  <c r="L187" i="59"/>
  <c r="AB79" i="25"/>
  <c r="AF32" i="31"/>
  <c r="AB188" i="59"/>
  <c r="AG12" i="31"/>
  <c r="CX65" i="59"/>
  <c r="CX64" i="59"/>
  <c r="CX59" i="59"/>
  <c r="R63" i="59"/>
  <c r="N47" i="38"/>
  <c r="M47" i="38"/>
  <c r="AC41" i="33"/>
  <c r="AB38" i="33"/>
  <c r="AB39" i="33" s="1"/>
  <c r="AF140" i="20"/>
  <c r="AG121" i="31"/>
  <c r="AF123" i="31"/>
  <c r="P65" i="59"/>
  <c r="P64" i="59"/>
  <c r="X37" i="20"/>
  <c r="X41" i="20"/>
  <c r="X36" i="20"/>
  <c r="T55" i="31"/>
  <c r="T50" i="31"/>
  <c r="AM198" i="59"/>
  <c r="CJ87" i="25"/>
  <c r="O75" i="59"/>
  <c r="CS320" i="59"/>
  <c r="Q59" i="59"/>
  <c r="CS306" i="59"/>
  <c r="CS61" i="59"/>
  <c r="BP137" i="73" s="1"/>
  <c r="CS60" i="59"/>
  <c r="T83" i="73"/>
  <c r="AO198" i="59"/>
  <c r="CL87" i="25"/>
  <c r="AC59" i="25"/>
  <c r="AC60" i="25"/>
  <c r="AJ181" i="30"/>
  <c r="AJ182" i="30" s="1"/>
  <c r="P59" i="59"/>
  <c r="P75" i="59" s="1"/>
  <c r="AK140" i="30"/>
  <c r="N60" i="59"/>
  <c r="N306" i="59"/>
  <c r="CO59" i="59"/>
  <c r="N320" i="59"/>
  <c r="N61" i="59"/>
  <c r="AJ12" i="32"/>
  <c r="AP198" i="59"/>
  <c r="CM87" i="25"/>
  <c r="FD91" i="30"/>
  <c r="FD109" i="30"/>
  <c r="FD110" i="30" s="1"/>
  <c r="M33" i="38"/>
  <c r="M64" i="38"/>
  <c r="M80" i="38" s="1"/>
  <c r="M40" i="38"/>
  <c r="G131" i="73"/>
  <c r="AM105" i="23"/>
  <c r="AM126" i="30"/>
  <c r="AM132" i="30"/>
  <c r="Z51" i="33"/>
  <c r="CY55" i="23"/>
  <c r="CY100" i="23"/>
  <c r="CY98" i="23" s="1"/>
  <c r="BR95" i="23"/>
  <c r="BR93" i="23"/>
  <c r="BR94" i="23" s="1"/>
  <c r="BK139" i="73"/>
  <c r="BK138" i="73"/>
  <c r="U542" i="23"/>
  <c r="U560" i="23"/>
  <c r="U548" i="23" s="1"/>
  <c r="U507" i="23"/>
  <c r="U545" i="23"/>
  <c r="AB242" i="59"/>
  <c r="AB220" i="59"/>
  <c r="AB270" i="59"/>
  <c r="R21" i="95"/>
  <c r="AC266" i="59"/>
  <c r="AC267" i="59" s="1"/>
  <c r="S20" i="95"/>
  <c r="S17" i="95"/>
  <c r="AC268" i="59"/>
  <c r="AC281" i="59"/>
  <c r="AC282" i="59" s="1"/>
  <c r="AC273" i="59"/>
  <c r="Y38" i="85"/>
  <c r="AH146" i="20"/>
  <c r="AG134" i="20"/>
  <c r="U29" i="85"/>
  <c r="M307" i="60"/>
  <c r="I84" i="63" s="1"/>
  <c r="AH51" i="25"/>
  <c r="CU28" i="85"/>
  <c r="X25" i="32"/>
  <c r="X29" i="32"/>
  <c r="X24" i="32"/>
  <c r="AA24" i="85"/>
  <c r="AN198" i="59"/>
  <c r="CK87" i="25"/>
  <c r="AM8" i="32"/>
  <c r="S9" i="95"/>
  <c r="AD265" i="59"/>
  <c r="AE268" i="59" s="1"/>
  <c r="W223" i="60"/>
  <c r="Q65" i="59"/>
  <c r="CT63" i="59"/>
  <c r="Q64" i="59"/>
  <c r="Z549" i="23"/>
  <c r="AA549" i="23" s="1"/>
  <c r="CX211" i="59"/>
  <c r="CX198" i="59"/>
  <c r="S194" i="59"/>
  <c r="P43" i="52"/>
  <c r="BV665" i="23"/>
  <c r="BV666" i="23" s="1"/>
  <c r="BV667" i="23" s="1"/>
  <c r="BV668" i="23" s="1"/>
  <c r="BV682" i="23"/>
  <c r="BV670" i="23"/>
  <c r="BV671" i="23"/>
  <c r="BW683" i="23"/>
  <c r="BW684" i="23" s="1"/>
  <c r="BW65" i="23"/>
  <c r="BW69" i="23" s="1"/>
  <c r="BW100" i="23"/>
  <c r="BW98" i="23" s="1"/>
  <c r="DG45" i="59" l="1"/>
  <c r="DG187" i="59" s="1"/>
  <c r="DG210" i="59" s="1"/>
  <c r="DF227" i="59"/>
  <c r="DF228" i="59" s="1"/>
  <c r="Y39" i="52"/>
  <c r="X29" i="52"/>
  <c r="X31" i="52" s="1"/>
  <c r="R220" i="60"/>
  <c r="S216" i="60"/>
  <c r="R224" i="60"/>
  <c r="Q226" i="60"/>
  <c r="P278" i="60"/>
  <c r="W32" i="52"/>
  <c r="R33" i="73"/>
  <c r="AE20" i="31" s="1"/>
  <c r="AC102" i="33"/>
  <c r="AC35" i="33" s="1"/>
  <c r="AC36" i="33" s="1"/>
  <c r="AC23" i="38"/>
  <c r="AC24" i="38" s="1"/>
  <c r="AC25" i="38" s="1"/>
  <c r="AB24" i="38"/>
  <c r="AB25" i="38" s="1"/>
  <c r="AB26" i="38" s="1"/>
  <c r="L56" i="59"/>
  <c r="M319" i="59"/>
  <c r="L57" i="59"/>
  <c r="L319" i="59"/>
  <c r="M56" i="59"/>
  <c r="M305" i="59"/>
  <c r="L305" i="59"/>
  <c r="CE49" i="59"/>
  <c r="CI50" i="59"/>
  <c r="CD55" i="59"/>
  <c r="CE55" i="59" s="1"/>
  <c r="AT42" i="31"/>
  <c r="CD50" i="59"/>
  <c r="CD51" i="59"/>
  <c r="DQ142" i="30"/>
  <c r="DQ147" i="30"/>
  <c r="AF140" i="30"/>
  <c r="DQ141" i="30"/>
  <c r="DM140" i="30"/>
  <c r="I72" i="38"/>
  <c r="AE141" i="30"/>
  <c r="DV140" i="30"/>
  <c r="J59" i="59"/>
  <c r="BT60" i="59"/>
  <c r="BT61" i="59"/>
  <c r="DL149" i="30"/>
  <c r="AE147" i="30"/>
  <c r="DL148" i="30"/>
  <c r="DB37" i="25"/>
  <c r="DL154" i="30"/>
  <c r="DL37" i="25"/>
  <c r="H99" i="59"/>
  <c r="BK75" i="59"/>
  <c r="H77" i="59"/>
  <c r="I75" i="59"/>
  <c r="I60" i="59"/>
  <c r="I61" i="59"/>
  <c r="BP59" i="59"/>
  <c r="BY305" i="59"/>
  <c r="BY57" i="59"/>
  <c r="BY59" i="59"/>
  <c r="BY56" i="59"/>
  <c r="DV119" i="30"/>
  <c r="DV117" i="30"/>
  <c r="DW116" i="30"/>
  <c r="BP18" i="73"/>
  <c r="AC33" i="33"/>
  <c r="AC34" i="33" s="1"/>
  <c r="Q53" i="95"/>
  <c r="Q54" i="95" s="1"/>
  <c r="CJ111" i="59"/>
  <c r="BK136" i="73"/>
  <c r="M194" i="59"/>
  <c r="M211" i="59" s="1"/>
  <c r="CJ99" i="59"/>
  <c r="M101" i="59"/>
  <c r="Z238" i="31"/>
  <c r="Z241" i="31"/>
  <c r="Y241" i="31"/>
  <c r="BV50" i="23"/>
  <c r="BV52" i="23" s="1"/>
  <c r="BV55" i="23" s="1"/>
  <c r="T15" i="59"/>
  <c r="AG114" i="85"/>
  <c r="AG120" i="85"/>
  <c r="AG131" i="85" s="1"/>
  <c r="AG132" i="85" s="1"/>
  <c r="AG119" i="85"/>
  <c r="AG137" i="85" s="1"/>
  <c r="S36" i="73"/>
  <c r="S35" i="73"/>
  <c r="AD154" i="85"/>
  <c r="AD153" i="85"/>
  <c r="AC154" i="85"/>
  <c r="AC153" i="85"/>
  <c r="AF125" i="85"/>
  <c r="AF137" i="85"/>
  <c r="BV60" i="23"/>
  <c r="BV65" i="23" s="1"/>
  <c r="BV69" i="23" s="1"/>
  <c r="Q51" i="95"/>
  <c r="AE143" i="85"/>
  <c r="AE126" i="85"/>
  <c r="R50" i="95"/>
  <c r="R51" i="95" s="1"/>
  <c r="AD141" i="85"/>
  <c r="AD144" i="85"/>
  <c r="AD140" i="85"/>
  <c r="AE138" i="85"/>
  <c r="U64" i="59"/>
  <c r="DG87" i="59"/>
  <c r="DG80" i="59"/>
  <c r="AH17" i="20"/>
  <c r="AG82" i="20"/>
  <c r="X235" i="59"/>
  <c r="DG246" i="59"/>
  <c r="DG255" i="59"/>
  <c r="FI106" i="30"/>
  <c r="FI109" i="30"/>
  <c r="FI110" i="30" s="1"/>
  <c r="AM78" i="20"/>
  <c r="AM79" i="20" s="1"/>
  <c r="AM24" i="20"/>
  <c r="AN60" i="20"/>
  <c r="AN62" i="20" s="1"/>
  <c r="AN61" i="20" s="1"/>
  <c r="AN74" i="20"/>
  <c r="AN76" i="20" s="1"/>
  <c r="AM398" i="23"/>
  <c r="AN445" i="23"/>
  <c r="AN398" i="23" s="1"/>
  <c r="AM379" i="23"/>
  <c r="AN426" i="23"/>
  <c r="AN379" i="23" s="1"/>
  <c r="AM387" i="23"/>
  <c r="AN434" i="23"/>
  <c r="AN387" i="23" s="1"/>
  <c r="AM377" i="23"/>
  <c r="AN424" i="23"/>
  <c r="AN377" i="23" s="1"/>
  <c r="AM381" i="23"/>
  <c r="AN428" i="23"/>
  <c r="AN381" i="23" s="1"/>
  <c r="AM415" i="23"/>
  <c r="AN462" i="23"/>
  <c r="AN415" i="23" s="1"/>
  <c r="AN425" i="23"/>
  <c r="AN378" i="23" s="1"/>
  <c r="AM378" i="23"/>
  <c r="AE27" i="52"/>
  <c r="AD26" i="52"/>
  <c r="AE267" i="59"/>
  <c r="AE274" i="59"/>
  <c r="DG46" i="59"/>
  <c r="AG101" i="85"/>
  <c r="AG56" i="85"/>
  <c r="AG57" i="85" s="1"/>
  <c r="N77" i="59"/>
  <c r="N111" i="59"/>
  <c r="N114" i="59" s="1"/>
  <c r="N116" i="59" s="1"/>
  <c r="AG62" i="85"/>
  <c r="AG50" i="85"/>
  <c r="AG51" i="85" s="1"/>
  <c r="AG77" i="85"/>
  <c r="T21" i="95"/>
  <c r="T23" i="95"/>
  <c r="W82" i="73" s="1"/>
  <c r="U65" i="59"/>
  <c r="DI63" i="59"/>
  <c r="DE28" i="59"/>
  <c r="DE290" i="59"/>
  <c r="DE227" i="59"/>
  <c r="DG253" i="59"/>
  <c r="DG228" i="59"/>
  <c r="DB291" i="59"/>
  <c r="DG291" i="59"/>
  <c r="AL234" i="23"/>
  <c r="N307" i="59"/>
  <c r="N76" i="59"/>
  <c r="N99" i="59"/>
  <c r="N321" i="59"/>
  <c r="Q75" i="59"/>
  <c r="CT75" i="59" s="1"/>
  <c r="N64" i="38"/>
  <c r="N80" i="38" s="1"/>
  <c r="U82" i="73"/>
  <c r="U83" i="73" s="1"/>
  <c r="R24" i="95"/>
  <c r="AC271" i="59" s="1"/>
  <c r="S23" i="95"/>
  <c r="V82" i="73" s="1"/>
  <c r="N40" i="38"/>
  <c r="AA276" i="59"/>
  <c r="AA278" i="59"/>
  <c r="AA279" i="59" s="1"/>
  <c r="H131" i="73"/>
  <c r="H132" i="73" s="1"/>
  <c r="AJ243" i="30"/>
  <c r="N33" i="38"/>
  <c r="N34" i="38" s="1"/>
  <c r="CY12" i="59"/>
  <c r="AK242" i="30"/>
  <c r="CZ305" i="59"/>
  <c r="CZ56" i="59"/>
  <c r="CZ319" i="59"/>
  <c r="AB133" i="31"/>
  <c r="AC134" i="31"/>
  <c r="AF127" i="31"/>
  <c r="AA107" i="31"/>
  <c r="AA135" i="31"/>
  <c r="AA112" i="31" s="1"/>
  <c r="AA128" i="31"/>
  <c r="AA124" i="31"/>
  <c r="Z129" i="31"/>
  <c r="Z120" i="31"/>
  <c r="K48" i="73"/>
  <c r="K49" i="73" s="1"/>
  <c r="K46" i="73" s="1"/>
  <c r="BU40" i="23"/>
  <c r="BU44" i="23"/>
  <c r="BU60" i="23" s="1"/>
  <c r="BU65" i="23" s="1"/>
  <c r="BU69" i="23" s="1"/>
  <c r="CT236" i="59"/>
  <c r="CZ100" i="23"/>
  <c r="CZ98" i="23" s="1"/>
  <c r="Y187" i="31"/>
  <c r="K39" i="63"/>
  <c r="F38" i="60" s="1"/>
  <c r="AC549" i="23"/>
  <c r="AD549" i="23" s="1"/>
  <c r="AE549" i="23" s="1"/>
  <c r="AF549" i="23" s="1"/>
  <c r="AG549" i="23" s="1"/>
  <c r="AH549" i="23" s="1"/>
  <c r="AI549" i="23" s="1"/>
  <c r="AJ549" i="23" s="1"/>
  <c r="AK549" i="23" s="1"/>
  <c r="AL549" i="23" s="1"/>
  <c r="AM549" i="23" s="1"/>
  <c r="AN549" i="23" s="1"/>
  <c r="Q6" i="23"/>
  <c r="X80" i="25"/>
  <c r="Y80" i="25"/>
  <c r="V66" i="33"/>
  <c r="V67" i="33" s="1"/>
  <c r="Z184" i="31"/>
  <c r="T516" i="23"/>
  <c r="S515" i="23"/>
  <c r="S226" i="23" s="1"/>
  <c r="Y52" i="33"/>
  <c r="Y48" i="33"/>
  <c r="Y49" i="33" s="1"/>
  <c r="L132" i="60"/>
  <c r="H77" i="63" s="1"/>
  <c r="AB275" i="59"/>
  <c r="Z187" i="31"/>
  <c r="X31" i="32"/>
  <c r="X32" i="32" s="1"/>
  <c r="X43" i="20"/>
  <c r="I190" i="60" s="1"/>
  <c r="W174" i="31"/>
  <c r="CS238" i="59"/>
  <c r="P237" i="59"/>
  <c r="T57" i="31"/>
  <c r="T58" i="31" s="1"/>
  <c r="CT227" i="59"/>
  <c r="Q253" i="59"/>
  <c r="Q228" i="59"/>
  <c r="R231" i="59"/>
  <c r="CX236" i="59"/>
  <c r="W225" i="31"/>
  <c r="W195" i="31"/>
  <c r="W228" i="31"/>
  <c r="Q237" i="59"/>
  <c r="CT231" i="59"/>
  <c r="O42" i="38"/>
  <c r="O32" i="38" s="1"/>
  <c r="O47" i="38"/>
  <c r="DA28" i="59"/>
  <c r="L15" i="53"/>
  <c r="L19" i="53" s="1"/>
  <c r="I340" i="60" s="1"/>
  <c r="L56" i="53"/>
  <c r="L60" i="53" s="1"/>
  <c r="AA80" i="25"/>
  <c r="T5" i="23"/>
  <c r="K191" i="59"/>
  <c r="R27" i="59"/>
  <c r="AM103" i="30"/>
  <c r="R16" i="59"/>
  <c r="S15" i="59"/>
  <c r="N46" i="59"/>
  <c r="CO45" i="59"/>
  <c r="EL109" i="30"/>
  <c r="AJ152" i="30"/>
  <c r="AJ110" i="30"/>
  <c r="AC35" i="25"/>
  <c r="R486" i="23"/>
  <c r="R478" i="23"/>
  <c r="R489" i="23"/>
  <c r="R513" i="23"/>
  <c r="R509" i="23"/>
  <c r="R484" i="23"/>
  <c r="R511" i="23"/>
  <c r="R493" i="23"/>
  <c r="R505" i="23"/>
  <c r="R496" i="23"/>
  <c r="R518" i="23"/>
  <c r="R491" i="23"/>
  <c r="R480" i="23"/>
  <c r="R482" i="23"/>
  <c r="R501" i="23"/>
  <c r="O248" i="59"/>
  <c r="E55" i="95"/>
  <c r="AZ42" i="31"/>
  <c r="U44" i="31"/>
  <c r="U43" i="31"/>
  <c r="AJ113" i="30"/>
  <c r="J73" i="60"/>
  <c r="F75" i="63" s="1"/>
  <c r="CZ28" i="59"/>
  <c r="BE39" i="31"/>
  <c r="V40" i="31"/>
  <c r="P45" i="59"/>
  <c r="P28" i="59"/>
  <c r="CT27" i="59"/>
  <c r="Q28" i="59"/>
  <c r="Q45" i="59"/>
  <c r="CT290" i="59"/>
  <c r="Q291" i="59"/>
  <c r="Y27" i="32"/>
  <c r="Y26" i="32" s="1"/>
  <c r="Y39" i="20"/>
  <c r="Y38" i="20" s="1"/>
  <c r="U53" i="31"/>
  <c r="U52" i="31" s="1"/>
  <c r="AK161" i="30"/>
  <c r="AJ160" i="30"/>
  <c r="AJ217" i="30" s="1"/>
  <c r="AJ220" i="30" s="1"/>
  <c r="W62" i="33"/>
  <c r="W61" i="33" s="1"/>
  <c r="J192" i="59"/>
  <c r="BU191" i="59"/>
  <c r="K210" i="59"/>
  <c r="BZ187" i="59"/>
  <c r="EZ104" i="30"/>
  <c r="EZ109" i="30"/>
  <c r="EZ110" i="30" s="1"/>
  <c r="BX8" i="23"/>
  <c r="BU7" i="23"/>
  <c r="DC226" i="59"/>
  <c r="R226" i="59"/>
  <c r="S226" i="59" s="1"/>
  <c r="CY226" i="59" s="1"/>
  <c r="FC109" i="30"/>
  <c r="FC110" i="30" s="1"/>
  <c r="FC91" i="30"/>
  <c r="BJ29" i="31"/>
  <c r="W33" i="31"/>
  <c r="FB91" i="30"/>
  <c r="FB109" i="30"/>
  <c r="FB110" i="30" s="1"/>
  <c r="EV103" i="30"/>
  <c r="AL104" i="30"/>
  <c r="P6" i="38"/>
  <c r="P46" i="38"/>
  <c r="N254" i="59"/>
  <c r="CO237" i="59"/>
  <c r="N238" i="59"/>
  <c r="P228" i="59"/>
  <c r="P253" i="59"/>
  <c r="CB8" i="23"/>
  <c r="CB7" i="23" s="1"/>
  <c r="CA8" i="23"/>
  <c r="CA7" i="23" s="1"/>
  <c r="S6" i="23"/>
  <c r="BZ8" i="23"/>
  <c r="CD5" i="23"/>
  <c r="AG244" i="30"/>
  <c r="S473" i="23"/>
  <c r="CC8" i="23"/>
  <c r="AB240" i="31"/>
  <c r="AA186" i="31"/>
  <c r="AA183" i="31"/>
  <c r="AA184" i="31" s="1"/>
  <c r="AL239" i="30"/>
  <c r="W90" i="31"/>
  <c r="W15" i="31"/>
  <c r="W96" i="31"/>
  <c r="W37" i="31"/>
  <c r="BJ14" i="31"/>
  <c r="W158" i="31"/>
  <c r="W159" i="31" s="1"/>
  <c r="AL86" i="30"/>
  <c r="EL90" i="30"/>
  <c r="AJ91" i="30"/>
  <c r="S219" i="59"/>
  <c r="R290" i="59"/>
  <c r="O9" i="38"/>
  <c r="O11" i="38" s="1"/>
  <c r="O4" i="38"/>
  <c r="CZ290" i="59"/>
  <c r="CZ291" i="59" s="1"/>
  <c r="AK90" i="30"/>
  <c r="EQ86" i="30"/>
  <c r="AK87" i="30"/>
  <c r="AK109" i="30"/>
  <c r="R319" i="59"/>
  <c r="R57" i="59"/>
  <c r="R56" i="59"/>
  <c r="S55" i="59"/>
  <c r="CY55" i="59" s="1"/>
  <c r="R305" i="59"/>
  <c r="DA290" i="59"/>
  <c r="DA291" i="59" s="1"/>
  <c r="BI34" i="31"/>
  <c r="BI39" i="31"/>
  <c r="W39" i="31" s="1"/>
  <c r="V42" i="31"/>
  <c r="V34" i="31"/>
  <c r="BE33" i="31"/>
  <c r="P76" i="59"/>
  <c r="P77" i="59"/>
  <c r="P99" i="59"/>
  <c r="P111" i="59"/>
  <c r="AC270" i="59"/>
  <c r="AC242" i="59"/>
  <c r="AC220" i="59"/>
  <c r="Z38" i="85"/>
  <c r="AD266" i="59"/>
  <c r="AD267" i="59" s="1"/>
  <c r="S21" i="95"/>
  <c r="BR97" i="23"/>
  <c r="BR96" i="23"/>
  <c r="M116" i="59"/>
  <c r="CJ114" i="59"/>
  <c r="S63" i="59"/>
  <c r="CY63" i="59" s="1"/>
  <c r="R64" i="59"/>
  <c r="R65" i="59"/>
  <c r="AK12" i="32"/>
  <c r="DB253" i="59"/>
  <c r="DB228" i="59"/>
  <c r="AE150" i="23"/>
  <c r="AE152" i="23"/>
  <c r="AF128" i="23"/>
  <c r="AI147" i="20"/>
  <c r="AN169" i="30"/>
  <c r="AN170" i="30" s="1"/>
  <c r="AJ52" i="25"/>
  <c r="AJ54" i="25"/>
  <c r="V35" i="85"/>
  <c r="CZ33" i="85"/>
  <c r="N306" i="60"/>
  <c r="AA286" i="59"/>
  <c r="X223" i="60"/>
  <c r="AM169" i="30"/>
  <c r="AM170" i="30" s="1"/>
  <c r="AM171" i="30" s="1"/>
  <c r="AH52" i="25"/>
  <c r="AI51" i="25"/>
  <c r="AH54" i="25"/>
  <c r="AG140" i="20"/>
  <c r="AH12" i="31"/>
  <c r="AC188" i="59"/>
  <c r="DG189" i="59"/>
  <c r="Z52" i="33"/>
  <c r="M132" i="60"/>
  <c r="I77" i="63" s="1"/>
  <c r="Z48" i="33"/>
  <c r="Z49" i="33" s="1"/>
  <c r="G132" i="73"/>
  <c r="G133" i="73"/>
  <c r="AL140" i="30"/>
  <c r="Q61" i="59"/>
  <c r="CT59" i="59"/>
  <c r="Q306" i="59"/>
  <c r="Q320" i="59"/>
  <c r="Q60" i="59"/>
  <c r="AM200" i="59"/>
  <c r="AR199" i="59"/>
  <c r="AQ198" i="59"/>
  <c r="AG123" i="31"/>
  <c r="AH121" i="31"/>
  <c r="AH123" i="31" s="1"/>
  <c r="AD41" i="33"/>
  <c r="AC38" i="33"/>
  <c r="AC39" i="33" s="1"/>
  <c r="CX61" i="59"/>
  <c r="BU137" i="73" s="1"/>
  <c r="CX60" i="59"/>
  <c r="CX320" i="59"/>
  <c r="R59" i="59"/>
  <c r="CX306" i="59"/>
  <c r="AB80" i="25"/>
  <c r="U5" i="23"/>
  <c r="L191" i="59"/>
  <c r="AE100" i="33"/>
  <c r="AD102" i="33"/>
  <c r="AD35" i="33" s="1"/>
  <c r="AD33" i="33"/>
  <c r="CJ204" i="59"/>
  <c r="M214" i="59"/>
  <c r="J77" i="23"/>
  <c r="J75" i="23"/>
  <c r="J23" i="23"/>
  <c r="J34" i="23" s="1"/>
  <c r="AE19" i="85"/>
  <c r="H139" i="73"/>
  <c r="H138" i="73"/>
  <c r="AN200" i="59"/>
  <c r="AS199" i="59"/>
  <c r="AI146" i="20"/>
  <c r="AH134" i="20"/>
  <c r="M34" i="38"/>
  <c r="AP200" i="59"/>
  <c r="AU199" i="59"/>
  <c r="O72" i="38"/>
  <c r="AK141" i="30"/>
  <c r="I137" i="73" s="1"/>
  <c r="AK142" i="30"/>
  <c r="AO200" i="59"/>
  <c r="AT199" i="59"/>
  <c r="CE187" i="59"/>
  <c r="L210" i="59"/>
  <c r="AF55" i="25"/>
  <c r="AF56" i="25"/>
  <c r="AF58" i="25"/>
  <c r="DD63" i="59"/>
  <c r="T65" i="59"/>
  <c r="T64" i="59"/>
  <c r="AG55" i="25"/>
  <c r="AG56" i="25"/>
  <c r="AL176" i="30"/>
  <c r="AL177" i="30" s="1"/>
  <c r="AG58" i="25"/>
  <c r="AV146" i="30"/>
  <c r="AB84" i="59"/>
  <c r="V370" i="60"/>
  <c r="V369" i="60" s="1"/>
  <c r="AD60" i="25"/>
  <c r="AD59" i="25"/>
  <c r="AK181" i="30"/>
  <c r="AK182" i="30" s="1"/>
  <c r="W188" i="60"/>
  <c r="J161" i="60"/>
  <c r="F78" i="63" s="1"/>
  <c r="N73" i="38"/>
  <c r="AD281" i="59"/>
  <c r="AD273" i="59"/>
  <c r="AD268" i="59"/>
  <c r="AB24" i="85"/>
  <c r="AC274" i="59"/>
  <c r="AH13" i="31" s="1"/>
  <c r="AC269" i="59"/>
  <c r="AM109" i="23"/>
  <c r="AN105" i="23" s="1"/>
  <c r="P61" i="59"/>
  <c r="P60" i="59"/>
  <c r="BP139" i="73"/>
  <c r="BP138" i="73"/>
  <c r="O99" i="59"/>
  <c r="O111" i="59"/>
  <c r="O114" i="59" s="1"/>
  <c r="O116" i="59" s="1"/>
  <c r="O77" i="59"/>
  <c r="AG32" i="31"/>
  <c r="AC241" i="59"/>
  <c r="AC224" i="59" s="1"/>
  <c r="AD33" i="59"/>
  <c r="AE33" i="59" s="1"/>
  <c r="AW108" i="30"/>
  <c r="AC83" i="59"/>
  <c r="CY194" i="59"/>
  <c r="S198" i="59"/>
  <c r="DG10" i="23"/>
  <c r="CX200" i="59"/>
  <c r="CX199" i="59"/>
  <c r="Q43" i="52"/>
  <c r="BU671" i="23"/>
  <c r="BU682" i="23"/>
  <c r="BU665" i="23"/>
  <c r="BU666" i="23" s="1"/>
  <c r="BU667" i="23" s="1"/>
  <c r="BU668" i="23" s="1"/>
  <c r="BU670" i="23"/>
  <c r="BV683" i="23"/>
  <c r="BV684" i="23" s="1"/>
  <c r="DF253" i="59" l="1"/>
  <c r="S220" i="60"/>
  <c r="T216" i="60"/>
  <c r="S224" i="60"/>
  <c r="R226" i="60"/>
  <c r="Q278" i="60"/>
  <c r="X32" i="52"/>
  <c r="Z39" i="52"/>
  <c r="Y29" i="52"/>
  <c r="Y31" i="52" s="1"/>
  <c r="AD36" i="33"/>
  <c r="AD34" i="33"/>
  <c r="AC26" i="38"/>
  <c r="DL158" i="30"/>
  <c r="DB44" i="25" s="1"/>
  <c r="DB40" i="25"/>
  <c r="AG140" i="30"/>
  <c r="DV142" i="30"/>
  <c r="DV141" i="30"/>
  <c r="DV147" i="30"/>
  <c r="AT39" i="31"/>
  <c r="AU39" i="31" s="1"/>
  <c r="AU42" i="31"/>
  <c r="AT43" i="31"/>
  <c r="BY60" i="59"/>
  <c r="K59" i="59"/>
  <c r="BY306" i="59"/>
  <c r="BY61" i="59"/>
  <c r="DB38" i="25"/>
  <c r="DB82" i="25"/>
  <c r="AF141" i="30"/>
  <c r="AF142" i="30"/>
  <c r="J72" i="38"/>
  <c r="DR140" i="30"/>
  <c r="AF147" i="30"/>
  <c r="H101" i="59"/>
  <c r="BK99" i="59"/>
  <c r="I70" i="38"/>
  <c r="I68" i="38" s="1"/>
  <c r="E161" i="60"/>
  <c r="I73" i="38"/>
  <c r="I88" i="38"/>
  <c r="DQ149" i="30"/>
  <c r="DQ148" i="30"/>
  <c r="DQ154" i="30"/>
  <c r="DG37" i="25"/>
  <c r="CD59" i="59"/>
  <c r="CD57" i="59"/>
  <c r="CD319" i="59"/>
  <c r="CI56" i="59"/>
  <c r="CD305" i="59"/>
  <c r="CI305" i="59"/>
  <c r="CI319" i="59"/>
  <c r="CD56" i="59"/>
  <c r="BP75" i="59"/>
  <c r="I77" i="59"/>
  <c r="I76" i="59"/>
  <c r="I99" i="59"/>
  <c r="DL82" i="25"/>
  <c r="DL86" i="25" s="1"/>
  <c r="DL38" i="25"/>
  <c r="AE149" i="30"/>
  <c r="DM147" i="30"/>
  <c r="AE148" i="30"/>
  <c r="AE154" i="30"/>
  <c r="U37" i="25"/>
  <c r="J75" i="59"/>
  <c r="J60" i="59"/>
  <c r="BU59" i="59"/>
  <c r="J61" i="59"/>
  <c r="S33" i="73"/>
  <c r="AF20" i="31" s="1"/>
  <c r="N100" i="59"/>
  <c r="BP136" i="73"/>
  <c r="H136" i="73"/>
  <c r="CJ194" i="59"/>
  <c r="M206" i="59"/>
  <c r="CJ206" i="59" s="1"/>
  <c r="G130" i="73"/>
  <c r="M198" i="59"/>
  <c r="AE241" i="59"/>
  <c r="AE224" i="59" s="1"/>
  <c r="AY108" i="30"/>
  <c r="AE83" i="59"/>
  <c r="W83" i="73"/>
  <c r="AE242" i="59"/>
  <c r="AE220" i="59"/>
  <c r="AG125" i="85"/>
  <c r="T50" i="95" s="1"/>
  <c r="T53" i="95" s="1"/>
  <c r="N115" i="59"/>
  <c r="T36" i="73"/>
  <c r="T35" i="73"/>
  <c r="AE141" i="85"/>
  <c r="AE152" i="85"/>
  <c r="AE140" i="85"/>
  <c r="AE144" i="85"/>
  <c r="R53" i="95"/>
  <c r="R54" i="95" s="1"/>
  <c r="AG138" i="85"/>
  <c r="AF138" i="85"/>
  <c r="S50" i="95"/>
  <c r="S51" i="95" s="1"/>
  <c r="AF126" i="85"/>
  <c r="AF143" i="85"/>
  <c r="Q321" i="59"/>
  <c r="Q99" i="59"/>
  <c r="DG88" i="59"/>
  <c r="DG89" i="59"/>
  <c r="DG112" i="59"/>
  <c r="AI17" i="20"/>
  <c r="Y235" i="59"/>
  <c r="AH82" i="20"/>
  <c r="AN78" i="20"/>
  <c r="AN79" i="20" s="1"/>
  <c r="AN24" i="20"/>
  <c r="N310" i="59"/>
  <c r="AN109" i="23"/>
  <c r="N194" i="59"/>
  <c r="N206" i="59" s="1"/>
  <c r="CO206" i="59" s="1"/>
  <c r="AF27" i="52"/>
  <c r="AF26" i="52" s="1"/>
  <c r="I45" i="52" s="1"/>
  <c r="AE26" i="52"/>
  <c r="CO99" i="59"/>
  <c r="N101" i="59"/>
  <c r="N324" i="59"/>
  <c r="AD282" i="59"/>
  <c r="AE282" i="59"/>
  <c r="AE269" i="59"/>
  <c r="AJ13" i="31"/>
  <c r="AJ32" i="31" s="1"/>
  <c r="AE275" i="59"/>
  <c r="AE286" i="59" s="1"/>
  <c r="AE270" i="59"/>
  <c r="H133" i="73"/>
  <c r="Q76" i="59"/>
  <c r="Q77" i="59"/>
  <c r="Q111" i="59"/>
  <c r="CT111" i="59" s="1"/>
  <c r="Q307" i="59"/>
  <c r="T24" i="95"/>
  <c r="AE271" i="59" s="1"/>
  <c r="DE228" i="59"/>
  <c r="DE253" i="59"/>
  <c r="DE291" i="59"/>
  <c r="T226" i="59"/>
  <c r="DH226" i="59"/>
  <c r="U226" i="59" s="1"/>
  <c r="DF291" i="59"/>
  <c r="DG60" i="59"/>
  <c r="DG190" i="59"/>
  <c r="DG231" i="59"/>
  <c r="N68" i="38"/>
  <c r="N82" i="38" s="1"/>
  <c r="N83" i="38" s="1"/>
  <c r="O251" i="59"/>
  <c r="R75" i="59"/>
  <c r="V83" i="73"/>
  <c r="S24" i="95"/>
  <c r="AD271" i="59" s="1"/>
  <c r="DB306" i="59"/>
  <c r="DB320" i="59"/>
  <c r="BU50" i="23"/>
  <c r="BU52" i="23" s="1"/>
  <c r="H130" i="73"/>
  <c r="AB276" i="59"/>
  <c r="AB278" i="59"/>
  <c r="AB279" i="59" s="1"/>
  <c r="AK243" i="30"/>
  <c r="AL242" i="30"/>
  <c r="CY15" i="59"/>
  <c r="I131" i="60"/>
  <c r="BU58" i="23"/>
  <c r="AA120" i="31"/>
  <c r="AB124" i="31"/>
  <c r="AA129" i="31"/>
  <c r="AG127" i="31"/>
  <c r="AD134" i="31"/>
  <c r="AC133" i="31"/>
  <c r="AB135" i="31"/>
  <c r="AB112" i="31" s="1"/>
  <c r="AB107" i="31"/>
  <c r="AB128" i="31"/>
  <c r="I102" i="60"/>
  <c r="DA50" i="59"/>
  <c r="X44" i="20"/>
  <c r="AE153" i="23"/>
  <c r="AE154" i="23" s="1"/>
  <c r="AE122" i="23" s="1"/>
  <c r="AM112" i="23"/>
  <c r="AM175" i="23"/>
  <c r="AM294" i="23" s="1"/>
  <c r="AM690" i="23" s="1"/>
  <c r="AM133" i="23"/>
  <c r="U516" i="23"/>
  <c r="T515" i="23"/>
  <c r="T226" i="23" s="1"/>
  <c r="P238" i="59"/>
  <c r="F86" i="63"/>
  <c r="BU138" i="73"/>
  <c r="BU139" i="73"/>
  <c r="AB286" i="59"/>
  <c r="R227" i="59"/>
  <c r="AA187" i="31"/>
  <c r="I72" i="60"/>
  <c r="P254" i="59"/>
  <c r="BE42" i="31"/>
  <c r="AK113" i="30"/>
  <c r="V43" i="31"/>
  <c r="K73" i="60"/>
  <c r="G75" i="63" s="1"/>
  <c r="V44" i="31"/>
  <c r="DA305" i="59"/>
  <c r="DA319" i="59"/>
  <c r="R291" i="59"/>
  <c r="CY290" i="59"/>
  <c r="AC240" i="31"/>
  <c r="AB186" i="31"/>
  <c r="AB183" i="31"/>
  <c r="AB184" i="31" s="1"/>
  <c r="P47" i="38"/>
  <c r="P42" i="38"/>
  <c r="P32" i="38" s="1"/>
  <c r="W56" i="33"/>
  <c r="W55" i="33" s="1"/>
  <c r="W58" i="33" s="1"/>
  <c r="U47" i="31"/>
  <c r="N92" i="38"/>
  <c r="N91" i="38" s="1"/>
  <c r="Y21" i="32"/>
  <c r="N86" i="38"/>
  <c r="N85" i="38" s="1"/>
  <c r="N88" i="38" s="1"/>
  <c r="N89" i="38" s="1"/>
  <c r="Y33" i="20"/>
  <c r="Y32" i="20" s="1"/>
  <c r="Y35" i="20" s="1"/>
  <c r="DA187" i="59"/>
  <c r="EQ90" i="30"/>
  <c r="AK91" i="30"/>
  <c r="S227" i="59"/>
  <c r="CY219" i="59"/>
  <c r="CD8" i="23"/>
  <c r="BZ7" i="23"/>
  <c r="P9" i="38"/>
  <c r="P11" i="38" s="1"/>
  <c r="P4" i="38"/>
  <c r="M56" i="53"/>
  <c r="M60" i="53" s="1"/>
  <c r="M15" i="53"/>
  <c r="M19" i="53" s="1"/>
  <c r="J340" i="60" s="1"/>
  <c r="Q187" i="59"/>
  <c r="Q46" i="59"/>
  <c r="CT45" i="59"/>
  <c r="P187" i="59"/>
  <c r="P191" i="59" s="1"/>
  <c r="P46" i="59"/>
  <c r="AJ120" i="30"/>
  <c r="AJ147" i="30"/>
  <c r="AJ114" i="30"/>
  <c r="AJ116" i="30"/>
  <c r="K192" i="59"/>
  <c r="BZ191" i="59"/>
  <c r="K250" i="59"/>
  <c r="Q238" i="59"/>
  <c r="CT237" i="59"/>
  <c r="Q254" i="59"/>
  <c r="DA228" i="59"/>
  <c r="DA253" i="59"/>
  <c r="AD35" i="25"/>
  <c r="EQ109" i="30"/>
  <c r="AK110" i="30"/>
  <c r="AL109" i="30"/>
  <c r="AL90" i="30"/>
  <c r="AL87" i="30"/>
  <c r="EV86" i="30"/>
  <c r="S513" i="23"/>
  <c r="S511" i="23"/>
  <c r="S491" i="23"/>
  <c r="S478" i="23"/>
  <c r="S489" i="23"/>
  <c r="S486" i="23"/>
  <c r="S518" i="23"/>
  <c r="S505" i="23"/>
  <c r="S484" i="23"/>
  <c r="S480" i="23"/>
  <c r="S501" i="23"/>
  <c r="S496" i="23"/>
  <c r="S509" i="23"/>
  <c r="S493" i="23"/>
  <c r="S482" i="23"/>
  <c r="W34" i="31"/>
  <c r="W42" i="31"/>
  <c r="BJ33" i="31"/>
  <c r="BY8" i="23"/>
  <c r="Z39" i="20"/>
  <c r="Z38" i="20" s="1"/>
  <c r="AK160" i="30"/>
  <c r="AK217" i="30" s="1"/>
  <c r="AK220" i="30" s="1"/>
  <c r="Z27" i="32"/>
  <c r="Z26" i="32" s="1"/>
  <c r="V53" i="31"/>
  <c r="V52" i="31" s="1"/>
  <c r="X62" i="33"/>
  <c r="X61" i="33" s="1"/>
  <c r="AL161" i="30"/>
  <c r="CZ46" i="59"/>
  <c r="CZ187" i="59"/>
  <c r="R225" i="23"/>
  <c r="R520" i="23"/>
  <c r="AC77" i="25"/>
  <c r="AE35" i="25"/>
  <c r="AE77" i="25" s="1"/>
  <c r="AE79" i="25" s="1"/>
  <c r="AC36" i="25"/>
  <c r="H7" i="73" s="1"/>
  <c r="V557" i="23"/>
  <c r="Q46" i="38"/>
  <c r="AM104" i="30"/>
  <c r="FA103" i="30"/>
  <c r="CI5" i="23"/>
  <c r="CH8" i="23"/>
  <c r="CH7" i="23" s="1"/>
  <c r="T473" i="23"/>
  <c r="CG8" i="23"/>
  <c r="CG7" i="23" s="1"/>
  <c r="CE8" i="23"/>
  <c r="CF8" i="23"/>
  <c r="CF7" i="23" s="1"/>
  <c r="AH244" i="30"/>
  <c r="T6" i="23"/>
  <c r="CX238" i="59"/>
  <c r="DC236" i="59"/>
  <c r="DH236" i="59" s="1"/>
  <c r="R236" i="59"/>
  <c r="BJ39" i="31"/>
  <c r="W40" i="31"/>
  <c r="CZ253" i="59"/>
  <c r="CZ228" i="59"/>
  <c r="S27" i="59"/>
  <c r="R28" i="59"/>
  <c r="R45" i="59"/>
  <c r="I131" i="73"/>
  <c r="O64" i="38"/>
  <c r="O80" i="38" s="1"/>
  <c r="O33" i="38"/>
  <c r="O34" i="38" s="1"/>
  <c r="O40" i="38"/>
  <c r="S231" i="59"/>
  <c r="AG60" i="25"/>
  <c r="AL181" i="30"/>
  <c r="AL182" i="30" s="1"/>
  <c r="AG59" i="25"/>
  <c r="I139" i="73"/>
  <c r="I138" i="73"/>
  <c r="J663" i="23"/>
  <c r="J81" i="23"/>
  <c r="J40" i="23"/>
  <c r="J83" i="23"/>
  <c r="J44" i="23"/>
  <c r="U473" i="23"/>
  <c r="CL8" i="23"/>
  <c r="CL7" i="23" s="1"/>
  <c r="CK8" i="23"/>
  <c r="CK7" i="23" s="1"/>
  <c r="CN5" i="23"/>
  <c r="CJ8" i="23"/>
  <c r="AI244" i="30"/>
  <c r="CM8" i="23"/>
  <c r="CM7" i="23" s="1"/>
  <c r="U6" i="23"/>
  <c r="AE41" i="33"/>
  <c r="AD38" i="33"/>
  <c r="AD39" i="33" s="1"/>
  <c r="DB210" i="59"/>
  <c r="AL12" i="32"/>
  <c r="P100" i="59"/>
  <c r="P194" i="59"/>
  <c r="P101" i="59"/>
  <c r="AX108" i="30"/>
  <c r="AD241" i="59"/>
  <c r="AD224" i="59" s="1"/>
  <c r="AD83" i="59"/>
  <c r="AC24" i="85"/>
  <c r="AD188" i="59"/>
  <c r="AI12" i="31"/>
  <c r="X188" i="60"/>
  <c r="Y188" i="60" s="1"/>
  <c r="AF60" i="25"/>
  <c r="AF59" i="25"/>
  <c r="O73" i="38"/>
  <c r="K161" i="60"/>
  <c r="G78" i="63" s="1"/>
  <c r="O74" i="38"/>
  <c r="AH140" i="20"/>
  <c r="J76" i="23"/>
  <c r="K76" i="23"/>
  <c r="AH32" i="31"/>
  <c r="AN171" i="30"/>
  <c r="AJ146" i="20"/>
  <c r="AI134" i="20"/>
  <c r="J79" i="23"/>
  <c r="J78" i="23"/>
  <c r="K78" i="23"/>
  <c r="P72" i="38"/>
  <c r="AL142" i="30"/>
  <c r="AL141" i="30"/>
  <c r="J137" i="73" s="1"/>
  <c r="AI54" i="25"/>
  <c r="AH55" i="25"/>
  <c r="AH56" i="25"/>
  <c r="AM176" i="30"/>
  <c r="AM177" i="30" s="1"/>
  <c r="AJ147" i="20"/>
  <c r="AF131" i="23"/>
  <c r="AF148" i="23"/>
  <c r="AF137" i="23"/>
  <c r="AF134" i="23"/>
  <c r="AA38" i="85"/>
  <c r="AW146" i="30"/>
  <c r="W370" i="60"/>
  <c r="W369" i="60" s="1"/>
  <c r="AC84" i="59"/>
  <c r="O101" i="59"/>
  <c r="O194" i="59"/>
  <c r="O211" i="59" s="1"/>
  <c r="AD270" i="59"/>
  <c r="AD242" i="59"/>
  <c r="AD220" i="59"/>
  <c r="AF19" i="85"/>
  <c r="AG19" i="85" s="1"/>
  <c r="AF100" i="33"/>
  <c r="AE102" i="33"/>
  <c r="AE35" i="33" s="1"/>
  <c r="AE36" i="33" s="1"/>
  <c r="AE33" i="33"/>
  <c r="AE34" i="33" s="1"/>
  <c r="CE191" i="59"/>
  <c r="L192" i="59"/>
  <c r="L250" i="59"/>
  <c r="S59" i="59"/>
  <c r="CY59" i="59" s="1"/>
  <c r="AM140" i="30"/>
  <c r="R60" i="59"/>
  <c r="R306" i="59"/>
  <c r="R61" i="59"/>
  <c r="R320" i="59"/>
  <c r="AC275" i="59"/>
  <c r="AC278" i="59" s="1"/>
  <c r="AJ56" i="25"/>
  <c r="AJ58" i="25"/>
  <c r="AN176" i="30"/>
  <c r="AJ55" i="25"/>
  <c r="AD269" i="59"/>
  <c r="AD274" i="59"/>
  <c r="AI13" i="31" s="1"/>
  <c r="P114" i="59"/>
  <c r="CY198" i="59"/>
  <c r="DG7" i="23"/>
  <c r="DG13" i="23"/>
  <c r="R43" i="52"/>
  <c r="BU683" i="23"/>
  <c r="BU684" i="23" s="1"/>
  <c r="T224" i="60" l="1"/>
  <c r="S226" i="60"/>
  <c r="R278" i="60"/>
  <c r="Y32" i="52"/>
  <c r="T220" i="60"/>
  <c r="U216" i="60"/>
  <c r="AA39" i="52"/>
  <c r="Z29" i="52"/>
  <c r="Z31" i="52" s="1"/>
  <c r="J99" i="59"/>
  <c r="BU75" i="59"/>
  <c r="J76" i="59"/>
  <c r="J77" i="59"/>
  <c r="CC10" i="23"/>
  <c r="CD306" i="59"/>
  <c r="CI320" i="59"/>
  <c r="L59" i="59"/>
  <c r="CD61" i="59"/>
  <c r="CD320" i="59"/>
  <c r="CD60" i="59"/>
  <c r="CI306" i="59"/>
  <c r="CI60" i="59"/>
  <c r="I69" i="38"/>
  <c r="I82" i="38"/>
  <c r="I83" i="38" s="1"/>
  <c r="DB86" i="25"/>
  <c r="BJ194" i="59"/>
  <c r="K61" i="59"/>
  <c r="K60" i="59"/>
  <c r="K75" i="59"/>
  <c r="BZ59" i="59"/>
  <c r="AH140" i="30"/>
  <c r="DW140" i="30"/>
  <c r="AG142" i="30"/>
  <c r="AG141" i="30"/>
  <c r="AG147" i="30"/>
  <c r="K72" i="38"/>
  <c r="I100" i="59"/>
  <c r="I101" i="59"/>
  <c r="BP99" i="59"/>
  <c r="DG38" i="25"/>
  <c r="DG82" i="25"/>
  <c r="DG86" i="25" s="1"/>
  <c r="I94" i="38"/>
  <c r="I96" i="38" s="1"/>
  <c r="I89" i="38"/>
  <c r="J88" i="38"/>
  <c r="F161" i="60"/>
  <c r="B78" i="63" s="1"/>
  <c r="B86" i="63" s="1"/>
  <c r="J70" i="38"/>
  <c r="J68" i="38" s="1"/>
  <c r="J73" i="38"/>
  <c r="DV154" i="30"/>
  <c r="DV148" i="30"/>
  <c r="DB39" i="25"/>
  <c r="DB42" i="25"/>
  <c r="DB43" i="25"/>
  <c r="DB41" i="25"/>
  <c r="X37" i="25"/>
  <c r="DC37" i="25"/>
  <c r="U38" i="25"/>
  <c r="U82" i="25"/>
  <c r="DG40" i="25"/>
  <c r="DQ158" i="30"/>
  <c r="DG44" i="25" s="1"/>
  <c r="DB45" i="25"/>
  <c r="DB46" i="25"/>
  <c r="DM154" i="30"/>
  <c r="U40" i="25"/>
  <c r="AE158" i="30"/>
  <c r="AF148" i="30"/>
  <c r="DR147" i="30"/>
  <c r="AF154" i="30"/>
  <c r="Y37" i="25"/>
  <c r="AF149" i="30"/>
  <c r="CJ198" i="59"/>
  <c r="T33" i="73"/>
  <c r="AG20" i="31" s="1"/>
  <c r="DI226" i="59"/>
  <c r="M207" i="59"/>
  <c r="CJ207" i="59" s="1"/>
  <c r="DD226" i="59"/>
  <c r="BU136" i="73"/>
  <c r="I136" i="73"/>
  <c r="S75" i="59"/>
  <c r="CY75" i="59" s="1"/>
  <c r="AY146" i="30"/>
  <c r="Y370" i="60"/>
  <c r="AE84" i="59"/>
  <c r="Q42" i="38"/>
  <c r="Q32" i="38" s="1"/>
  <c r="Q33" i="38" s="1"/>
  <c r="AG126" i="85"/>
  <c r="AG143" i="85"/>
  <c r="AG140" i="85" s="1"/>
  <c r="S53" i="95"/>
  <c r="T54" i="95" s="1"/>
  <c r="U36" i="73"/>
  <c r="U35" i="73"/>
  <c r="AF140" i="85"/>
  <c r="AF152" i="85"/>
  <c r="AE153" i="85"/>
  <c r="AE154" i="85"/>
  <c r="Q100" i="59"/>
  <c r="CT99" i="59"/>
  <c r="CO194" i="59"/>
  <c r="N211" i="59"/>
  <c r="N198" i="59"/>
  <c r="T51" i="95"/>
  <c r="AF144" i="85"/>
  <c r="AF141" i="85"/>
  <c r="Q194" i="59"/>
  <c r="Q211" i="59" s="1"/>
  <c r="Q101" i="59"/>
  <c r="Q310" i="59"/>
  <c r="Q324" i="59"/>
  <c r="Q114" i="59"/>
  <c r="Q116" i="59" s="1"/>
  <c r="AJ17" i="20"/>
  <c r="AI82" i="20"/>
  <c r="Z235" i="59"/>
  <c r="N69" i="38"/>
  <c r="AE278" i="59"/>
  <c r="V226" i="59"/>
  <c r="DG191" i="59"/>
  <c r="N70" i="38"/>
  <c r="AM234" i="23"/>
  <c r="AN234" i="23" s="1"/>
  <c r="AN307" i="23" s="1"/>
  <c r="R307" i="59"/>
  <c r="R76" i="59"/>
  <c r="R77" i="59"/>
  <c r="R99" i="59"/>
  <c r="R321" i="59"/>
  <c r="CY27" i="59"/>
  <c r="AC279" i="59"/>
  <c r="Y20" i="32"/>
  <c r="Y23" i="32" s="1"/>
  <c r="Y25" i="32" s="1"/>
  <c r="U46" i="31"/>
  <c r="U49" i="31" s="1"/>
  <c r="U50" i="31" s="1"/>
  <c r="AL243" i="30"/>
  <c r="CY227" i="59"/>
  <c r="AC135" i="31"/>
  <c r="AC112" i="31" s="1"/>
  <c r="AC107" i="31"/>
  <c r="AC128" i="31"/>
  <c r="AD133" i="31"/>
  <c r="AE134" i="31"/>
  <c r="AB120" i="31"/>
  <c r="AC124" i="31"/>
  <c r="AB129" i="31"/>
  <c r="AH127" i="31"/>
  <c r="S236" i="59"/>
  <c r="L39" i="63"/>
  <c r="R253" i="59"/>
  <c r="AO235" i="30"/>
  <c r="AB46" i="33"/>
  <c r="V516" i="23"/>
  <c r="W516" i="23" s="1"/>
  <c r="Z516" i="23" s="1"/>
  <c r="U515" i="23"/>
  <c r="U226" i="23" s="1"/>
  <c r="G86" i="63"/>
  <c r="BZ136" i="73"/>
  <c r="DC61" i="59" s="1"/>
  <c r="BZ139" i="73"/>
  <c r="BZ138" i="73"/>
  <c r="O68" i="38"/>
  <c r="O82" i="38" s="1"/>
  <c r="O83" i="38" s="1"/>
  <c r="R228" i="59"/>
  <c r="N94" i="38"/>
  <c r="N96" i="38" s="1"/>
  <c r="CZ210" i="59"/>
  <c r="CY231" i="59"/>
  <c r="R46" i="59"/>
  <c r="S45" i="59"/>
  <c r="AC79" i="25"/>
  <c r="M187" i="59"/>
  <c r="M210" i="59" s="1"/>
  <c r="CZ236" i="59"/>
  <c r="DE236" i="59" s="1"/>
  <c r="EV90" i="30"/>
  <c r="AL91" i="30"/>
  <c r="W557" i="23"/>
  <c r="AF35" i="25"/>
  <c r="AD77" i="25"/>
  <c r="AD36" i="25"/>
  <c r="I7" i="73" s="1"/>
  <c r="AC37" i="25"/>
  <c r="AJ154" i="30"/>
  <c r="AJ148" i="30"/>
  <c r="P250" i="59"/>
  <c r="P192" i="59"/>
  <c r="P33" i="38"/>
  <c r="P34" i="38" s="1"/>
  <c r="P64" i="38"/>
  <c r="P80" i="38" s="1"/>
  <c r="P40" i="38"/>
  <c r="J131" i="73"/>
  <c r="R237" i="59"/>
  <c r="CE7" i="23"/>
  <c r="CI8" i="23"/>
  <c r="V542" i="23"/>
  <c r="V507" i="23"/>
  <c r="V545" i="23"/>
  <c r="V560" i="23"/>
  <c r="V548" i="23" s="1"/>
  <c r="R523" i="23"/>
  <c r="R521" i="23"/>
  <c r="S225" i="23"/>
  <c r="S520" i="23"/>
  <c r="AL110" i="30"/>
  <c r="EV109" i="30"/>
  <c r="AG35" i="25"/>
  <c r="DA210" i="59"/>
  <c r="Y41" i="20"/>
  <c r="Y43" i="20" s="1"/>
  <c r="Y37" i="20"/>
  <c r="Y36" i="20"/>
  <c r="DA321" i="59"/>
  <c r="DA307" i="59"/>
  <c r="I132" i="73"/>
  <c r="I133" i="73"/>
  <c r="R239" i="23"/>
  <c r="R240" i="23" s="1"/>
  <c r="R269" i="23"/>
  <c r="R273" i="23" s="1"/>
  <c r="AL160" i="30"/>
  <c r="AL217" i="30" s="1"/>
  <c r="AL220" i="30" s="1"/>
  <c r="AA27" i="32"/>
  <c r="AA26" i="32" s="1"/>
  <c r="W53" i="31"/>
  <c r="W52" i="31" s="1"/>
  <c r="AM161" i="30"/>
  <c r="AA39" i="20"/>
  <c r="AA38" i="20" s="1"/>
  <c r="Y62" i="33"/>
  <c r="Y61" i="33" s="1"/>
  <c r="N15" i="53"/>
  <c r="N19" i="53" s="1"/>
  <c r="K340" i="60" s="1"/>
  <c r="N56" i="53"/>
  <c r="N60" i="53" s="1"/>
  <c r="W44" i="31"/>
  <c r="BJ42" i="31"/>
  <c r="W43" i="31"/>
  <c r="L73" i="60"/>
  <c r="H75" i="63" s="1"/>
  <c r="AL113" i="30"/>
  <c r="AJ117" i="30"/>
  <c r="AJ119" i="30"/>
  <c r="P210" i="59"/>
  <c r="W64" i="33"/>
  <c r="W66" i="33" s="1"/>
  <c r="W59" i="33"/>
  <c r="AB187" i="31"/>
  <c r="AK114" i="30"/>
  <c r="AK120" i="30"/>
  <c r="AK116" i="30"/>
  <c r="AK147" i="30"/>
  <c r="T489" i="23"/>
  <c r="T511" i="23"/>
  <c r="T478" i="23"/>
  <c r="T518" i="23"/>
  <c r="T482" i="23"/>
  <c r="T513" i="23"/>
  <c r="T496" i="23"/>
  <c r="T505" i="23"/>
  <c r="T509" i="23"/>
  <c r="T480" i="23"/>
  <c r="T486" i="23"/>
  <c r="T501" i="23"/>
  <c r="T491" i="23"/>
  <c r="T493" i="23"/>
  <c r="T484" i="23"/>
  <c r="U484" i="23" s="1"/>
  <c r="V484" i="23" s="1"/>
  <c r="C55" i="95"/>
  <c r="K261" i="59"/>
  <c r="BZ250" i="59"/>
  <c r="K258" i="59"/>
  <c r="K260" i="59"/>
  <c r="K259" i="59"/>
  <c r="Q210" i="59"/>
  <c r="Q191" i="59"/>
  <c r="CT187" i="59"/>
  <c r="AC186" i="31"/>
  <c r="AD240" i="31"/>
  <c r="AC183" i="31"/>
  <c r="AC184" i="31" s="1"/>
  <c r="AK146" i="20"/>
  <c r="AJ134" i="20"/>
  <c r="J85" i="23"/>
  <c r="J84" i="23"/>
  <c r="K84" i="23"/>
  <c r="P116" i="59"/>
  <c r="P115" i="59"/>
  <c r="AF150" i="23"/>
  <c r="AF152" i="23"/>
  <c r="AG128" i="23"/>
  <c r="AK147" i="20"/>
  <c r="L161" i="60"/>
  <c r="H78" i="63" s="1"/>
  <c r="P74" i="38"/>
  <c r="P73" i="38"/>
  <c r="AM12" i="32"/>
  <c r="P206" i="59"/>
  <c r="P211" i="59"/>
  <c r="P198" i="59"/>
  <c r="AN177" i="30"/>
  <c r="AC276" i="59"/>
  <c r="AC286" i="59"/>
  <c r="L261" i="59"/>
  <c r="L260" i="59"/>
  <c r="D55" i="95"/>
  <c r="L258" i="59"/>
  <c r="CE250" i="59"/>
  <c r="L259" i="59"/>
  <c r="AD275" i="59"/>
  <c r="AD278" i="59" s="1"/>
  <c r="AD24" i="85"/>
  <c r="AF41" i="33"/>
  <c r="AE38" i="33"/>
  <c r="AE39" i="33" s="1"/>
  <c r="CN8" i="23"/>
  <c r="CJ7" i="23"/>
  <c r="U518" i="23"/>
  <c r="U501" i="23"/>
  <c r="U511" i="23"/>
  <c r="U489" i="23"/>
  <c r="U493" i="23"/>
  <c r="U505" i="23"/>
  <c r="U509" i="23"/>
  <c r="U482" i="23"/>
  <c r="U513" i="23"/>
  <c r="U480" i="23"/>
  <c r="U491" i="23"/>
  <c r="U478" i="23"/>
  <c r="J82" i="23"/>
  <c r="K82" i="23"/>
  <c r="AM141" i="30"/>
  <c r="K137" i="73" s="1"/>
  <c r="AM142" i="30"/>
  <c r="Q72" i="38"/>
  <c r="Q73" i="38" s="1"/>
  <c r="AD84" i="59"/>
  <c r="AX146" i="30"/>
  <c r="X370" i="60"/>
  <c r="DB231" i="59"/>
  <c r="DB236" i="59" s="1"/>
  <c r="DG236" i="59" s="1"/>
  <c r="DG237" i="59" s="1"/>
  <c r="AN181" i="30"/>
  <c r="AN182" i="30" s="1"/>
  <c r="AJ60" i="25"/>
  <c r="AF102" i="33"/>
  <c r="AF35" i="33" s="1"/>
  <c r="AF36" i="33" s="1"/>
  <c r="AG100" i="33"/>
  <c r="AF33" i="33"/>
  <c r="AF34" i="33" s="1"/>
  <c r="O206" i="59"/>
  <c r="O198" i="59"/>
  <c r="AB38" i="85"/>
  <c r="J139" i="73"/>
  <c r="J138" i="73"/>
  <c r="AI140" i="20"/>
  <c r="AI32" i="31"/>
  <c r="J87" i="23"/>
  <c r="J89" i="23"/>
  <c r="J58" i="23"/>
  <c r="J60" i="23"/>
  <c r="J65" i="23" s="1"/>
  <c r="J69" i="23" s="1"/>
  <c r="J50" i="23"/>
  <c r="J52" i="23" s="1"/>
  <c r="J670" i="23"/>
  <c r="J665" i="23"/>
  <c r="J666" i="23" s="1"/>
  <c r="J667" i="23" s="1"/>
  <c r="J669" i="23" s="1"/>
  <c r="J671" i="23"/>
  <c r="Q47" i="38"/>
  <c r="Q6" i="38"/>
  <c r="DG17" i="23"/>
  <c r="DG14" i="23"/>
  <c r="S43" i="52"/>
  <c r="BU55" i="23"/>
  <c r="BU98" i="23"/>
  <c r="BU100" i="23" s="1"/>
  <c r="AB39" i="52" l="1"/>
  <c r="AA29" i="52"/>
  <c r="AA31" i="52" s="1"/>
  <c r="V216" i="60"/>
  <c r="U220" i="60"/>
  <c r="S278" i="60"/>
  <c r="Z32" i="52"/>
  <c r="U224" i="60"/>
  <c r="T226" i="60"/>
  <c r="DG18" i="23"/>
  <c r="DR154" i="30"/>
  <c r="AF158" i="30"/>
  <c r="Y40" i="25"/>
  <c r="X40" i="25"/>
  <c r="DC40" i="25"/>
  <c r="U41" i="25"/>
  <c r="U42" i="25"/>
  <c r="DG45" i="25"/>
  <c r="DG46" i="25"/>
  <c r="DL40" i="25"/>
  <c r="DV158" i="30"/>
  <c r="DL44" i="25" s="1"/>
  <c r="J94" i="38"/>
  <c r="J96" i="38" s="1"/>
  <c r="J89" i="38"/>
  <c r="BX10" i="23"/>
  <c r="BO198" i="59"/>
  <c r="DG87" i="25"/>
  <c r="AG149" i="30"/>
  <c r="Z37" i="25"/>
  <c r="AG154" i="30"/>
  <c r="DW147" i="30"/>
  <c r="AG148" i="30"/>
  <c r="L72" i="38"/>
  <c r="AH147" i="30"/>
  <c r="AH141" i="30"/>
  <c r="AH142" i="30"/>
  <c r="DG41" i="25"/>
  <c r="DG43" i="25"/>
  <c r="DG42" i="25"/>
  <c r="U39" i="25"/>
  <c r="X38" i="25"/>
  <c r="X82" i="25"/>
  <c r="X86" i="25" s="1"/>
  <c r="J69" i="38"/>
  <c r="J82" i="38"/>
  <c r="J83" i="38" s="1"/>
  <c r="I97" i="38"/>
  <c r="E160" i="60"/>
  <c r="BZ75" i="59"/>
  <c r="K111" i="59"/>
  <c r="K99" i="59"/>
  <c r="K76" i="59"/>
  <c r="K77" i="59"/>
  <c r="BJ206" i="59"/>
  <c r="BJ211" i="59"/>
  <c r="DL87" i="25"/>
  <c r="Y38" i="25"/>
  <c r="Y82" i="25"/>
  <c r="DH37" i="25"/>
  <c r="DM158" i="30"/>
  <c r="U44" i="25"/>
  <c r="DC82" i="25"/>
  <c r="H194" i="59"/>
  <c r="U86" i="25"/>
  <c r="DG39" i="25"/>
  <c r="K88" i="38"/>
  <c r="K74" i="38"/>
  <c r="K70" i="38"/>
  <c r="K68" i="38" s="1"/>
  <c r="K73" i="38"/>
  <c r="G161" i="60"/>
  <c r="C78" i="63" s="1"/>
  <c r="C86" i="63" s="1"/>
  <c r="BS10" i="23"/>
  <c r="DB87" i="25"/>
  <c r="BJ198" i="59"/>
  <c r="CE59" i="59"/>
  <c r="L306" i="59"/>
  <c r="M320" i="59"/>
  <c r="L60" i="59"/>
  <c r="L320" i="59"/>
  <c r="M306" i="59"/>
  <c r="L75" i="59"/>
  <c r="AI140" i="30"/>
  <c r="M60" i="59"/>
  <c r="L61" i="59"/>
  <c r="CC13" i="23"/>
  <c r="CC7" i="23"/>
  <c r="BU99" i="59"/>
  <c r="J101" i="59"/>
  <c r="J100" i="59"/>
  <c r="U33" i="73"/>
  <c r="AH20" i="31" s="1"/>
  <c r="W226" i="59"/>
  <c r="I130" i="73"/>
  <c r="J136" i="73"/>
  <c r="CT114" i="59"/>
  <c r="Q198" i="59"/>
  <c r="K131" i="73"/>
  <c r="K133" i="73" s="1"/>
  <c r="AG144" i="85"/>
  <c r="AG141" i="85"/>
  <c r="B373" i="60"/>
  <c r="C373" i="60" s="1"/>
  <c r="D373" i="60" s="1"/>
  <c r="E373" i="60" s="1"/>
  <c r="F373" i="60" s="1"/>
  <c r="G373" i="60" s="1"/>
  <c r="H373" i="60" s="1"/>
  <c r="I373" i="60" s="1"/>
  <c r="J373" i="60" s="1"/>
  <c r="K373" i="60" s="1"/>
  <c r="L373" i="60" s="1"/>
  <c r="M373" i="60" s="1"/>
  <c r="B374" i="60"/>
  <c r="C374" i="60" s="1"/>
  <c r="D374" i="60" s="1"/>
  <c r="E374" i="60" s="1"/>
  <c r="F374" i="60" s="1"/>
  <c r="G374" i="60" s="1"/>
  <c r="H374" i="60" s="1"/>
  <c r="I374" i="60" s="1"/>
  <c r="J374" i="60" s="1"/>
  <c r="K374" i="60" s="1"/>
  <c r="L374" i="60" s="1"/>
  <c r="M374" i="60" s="1"/>
  <c r="N374" i="60" s="1"/>
  <c r="O374" i="60" s="1"/>
  <c r="P374" i="60" s="1"/>
  <c r="Q374" i="60" s="1"/>
  <c r="R374" i="60" s="1"/>
  <c r="S374" i="60" s="1"/>
  <c r="T374" i="60" s="1"/>
  <c r="U374" i="60" s="1"/>
  <c r="V374" i="60" s="1"/>
  <c r="W374" i="60" s="1"/>
  <c r="X374" i="60" s="1"/>
  <c r="Y374" i="60" s="1"/>
  <c r="Y369" i="60"/>
  <c r="B372" i="60"/>
  <c r="AG152" i="85"/>
  <c r="AG153" i="85" s="1"/>
  <c r="S54" i="95"/>
  <c r="V35" i="73"/>
  <c r="V36" i="73"/>
  <c r="Q115" i="59"/>
  <c r="Q206" i="59"/>
  <c r="CT206" i="59" s="1"/>
  <c r="AF154" i="85"/>
  <c r="AF153" i="85"/>
  <c r="N199" i="59"/>
  <c r="CO198" i="59"/>
  <c r="N207" i="59"/>
  <c r="CO207" i="59" s="1"/>
  <c r="CT194" i="59"/>
  <c r="S99" i="59"/>
  <c r="AK17" i="20"/>
  <c r="AJ82" i="20"/>
  <c r="AA235" i="59"/>
  <c r="AE33" i="56"/>
  <c r="B283" i="60"/>
  <c r="J45" i="52"/>
  <c r="AE276" i="59"/>
  <c r="AD279" i="59"/>
  <c r="AE279" i="59"/>
  <c r="DP5" i="23"/>
  <c r="DG250" i="59"/>
  <c r="DG238" i="59"/>
  <c r="DG254" i="59"/>
  <c r="R101" i="59"/>
  <c r="R100" i="59"/>
  <c r="R324" i="59"/>
  <c r="R194" i="59"/>
  <c r="R211" i="59" s="1"/>
  <c r="R310" i="59"/>
  <c r="DB192" i="59"/>
  <c r="S237" i="59"/>
  <c r="CY237" i="59" s="1"/>
  <c r="Q40" i="38"/>
  <c r="Q64" i="38"/>
  <c r="Q80" i="38" s="1"/>
  <c r="Y29" i="32"/>
  <c r="Y31" i="32" s="1"/>
  <c r="J102" i="60" s="1"/>
  <c r="Y24" i="32"/>
  <c r="U55" i="31"/>
  <c r="U57" i="31" s="1"/>
  <c r="U58" i="31" s="1"/>
  <c r="AD107" i="31"/>
  <c r="AD135" i="31"/>
  <c r="AD112" i="31" s="1"/>
  <c r="AD128" i="31"/>
  <c r="AC129" i="31"/>
  <c r="AC120" i="31"/>
  <c r="AD124" i="31"/>
  <c r="AF134" i="31"/>
  <c r="AE133" i="31"/>
  <c r="CY45" i="59"/>
  <c r="CY236" i="59"/>
  <c r="V515" i="23"/>
  <c r="V226" i="23" s="1"/>
  <c r="CZ254" i="59"/>
  <c r="DI122" i="59"/>
  <c r="AO96" i="30"/>
  <c r="AF153" i="23"/>
  <c r="AF154" i="23" s="1"/>
  <c r="AF122" i="23" s="1"/>
  <c r="O70" i="38"/>
  <c r="O69" i="38"/>
  <c r="H86" i="63"/>
  <c r="CZ191" i="59"/>
  <c r="CZ250" i="59" s="1"/>
  <c r="CZ238" i="59"/>
  <c r="J160" i="60"/>
  <c r="N97" i="38"/>
  <c r="P68" i="38"/>
  <c r="P82" i="38" s="1"/>
  <c r="P83" i="38" s="1"/>
  <c r="U483" i="23"/>
  <c r="U190" i="23" s="1"/>
  <c r="U191" i="23" s="1"/>
  <c r="U485" i="23" s="1"/>
  <c r="U486" i="23" s="1"/>
  <c r="AD183" i="31"/>
  <c r="AD184" i="31" s="1"/>
  <c r="AE240" i="31"/>
  <c r="AD186" i="31"/>
  <c r="AK149" i="30"/>
  <c r="AD37" i="25"/>
  <c r="AK148" i="30"/>
  <c r="AL116" i="30"/>
  <c r="AL114" i="30"/>
  <c r="AL147" i="30"/>
  <c r="AL120" i="30"/>
  <c r="O15" i="53"/>
  <c r="O19" i="53" s="1"/>
  <c r="L340" i="60" s="1"/>
  <c r="O56" i="53"/>
  <c r="O60" i="53" s="1"/>
  <c r="R524" i="23"/>
  <c r="R525" i="23"/>
  <c r="J133" i="73"/>
  <c r="J132" i="73"/>
  <c r="P248" i="59"/>
  <c r="F55" i="95"/>
  <c r="AE37" i="25"/>
  <c r="AC38" i="25"/>
  <c r="AC82" i="25"/>
  <c r="W507" i="23"/>
  <c r="W515" i="23"/>
  <c r="W226" i="23" s="1"/>
  <c r="W545" i="23"/>
  <c r="W542" i="23"/>
  <c r="W560" i="23"/>
  <c r="W548" i="23" s="1"/>
  <c r="AC187" i="31"/>
  <c r="Q250" i="59"/>
  <c r="Q192" i="59"/>
  <c r="CT191" i="59"/>
  <c r="K262" i="59"/>
  <c r="AK119" i="30"/>
  <c r="AK117" i="30"/>
  <c r="X53" i="31"/>
  <c r="AB27" i="32"/>
  <c r="AB26" i="32" s="1"/>
  <c r="AN161" i="30"/>
  <c r="AC27" i="32" s="1"/>
  <c r="AB39" i="20"/>
  <c r="AB38" i="20" s="1"/>
  <c r="Z62" i="33"/>
  <c r="Z61" i="33" s="1"/>
  <c r="J190" i="60"/>
  <c r="Y44" i="20"/>
  <c r="S523" i="23"/>
  <c r="S521" i="23"/>
  <c r="T520" i="23"/>
  <c r="T225" i="23"/>
  <c r="W67" i="33"/>
  <c r="J131" i="60"/>
  <c r="DA231" i="59"/>
  <c r="AG36" i="25"/>
  <c r="J7" i="73" s="1"/>
  <c r="Z557" i="23"/>
  <c r="AG77" i="25"/>
  <c r="AG79" i="25" s="1"/>
  <c r="S239" i="23"/>
  <c r="S269" i="23"/>
  <c r="S273" i="23" s="1"/>
  <c r="AC40" i="25"/>
  <c r="AC39" i="25" s="1"/>
  <c r="AC90" i="25" s="1"/>
  <c r="AJ158" i="30"/>
  <c r="AC44" i="25" s="1"/>
  <c r="N187" i="59"/>
  <c r="AD79" i="25"/>
  <c r="V5" i="23"/>
  <c r="AC80" i="25"/>
  <c r="M191" i="59"/>
  <c r="R254" i="59"/>
  <c r="R238" i="59"/>
  <c r="AF36" i="25"/>
  <c r="AF77" i="25"/>
  <c r="AF79" i="25" s="1"/>
  <c r="L262" i="59"/>
  <c r="X369" i="60"/>
  <c r="AG131" i="23"/>
  <c r="AG148" i="23"/>
  <c r="AG137" i="23"/>
  <c r="AG134" i="23"/>
  <c r="J91" i="23"/>
  <c r="J90" i="23"/>
  <c r="K90" i="23"/>
  <c r="AC38" i="85"/>
  <c r="AH100" i="33"/>
  <c r="AG102" i="33"/>
  <c r="AG35" i="33" s="1"/>
  <c r="AG36" i="33" s="1"/>
  <c r="AG33" i="33"/>
  <c r="AG34" i="33" s="1"/>
  <c r="K139" i="73"/>
  <c r="K138" i="73"/>
  <c r="AE24" i="85"/>
  <c r="AL147" i="20"/>
  <c r="AJ140" i="20"/>
  <c r="J246" i="23"/>
  <c r="J55" i="23"/>
  <c r="J88" i="23"/>
  <c r="K88" i="23"/>
  <c r="X10" i="23"/>
  <c r="O207" i="59"/>
  <c r="O208" i="59" s="1"/>
  <c r="DB254" i="59"/>
  <c r="DB238" i="59"/>
  <c r="U225" i="23"/>
  <c r="U520" i="23"/>
  <c r="U521" i="23" s="1"/>
  <c r="AD276" i="59"/>
  <c r="AD286" i="59"/>
  <c r="AK134" i="20"/>
  <c r="AL146" i="20"/>
  <c r="D26" i="56"/>
  <c r="J93" i="23"/>
  <c r="M161" i="60"/>
  <c r="I78" i="63" s="1"/>
  <c r="Q74" i="38"/>
  <c r="AG41" i="33"/>
  <c r="AF38" i="33"/>
  <c r="AF39" i="33" s="1"/>
  <c r="P199" i="59"/>
  <c r="P200" i="59"/>
  <c r="P207" i="59"/>
  <c r="AD516" i="23"/>
  <c r="Q4" i="38"/>
  <c r="Q9" i="38"/>
  <c r="Q11" i="38" s="1"/>
  <c r="T43" i="52"/>
  <c r="Q68" i="38" l="1"/>
  <c r="Q69" i="38" s="1"/>
  <c r="V220" i="60"/>
  <c r="W216" i="60"/>
  <c r="T278" i="60"/>
  <c r="AA32" i="52"/>
  <c r="V224" i="60"/>
  <c r="U226" i="60"/>
  <c r="AC39" i="52"/>
  <c r="AB29" i="52"/>
  <c r="AB31" i="52" s="1"/>
  <c r="M39" i="63"/>
  <c r="CC17" i="23"/>
  <c r="CH14" i="23"/>
  <c r="M321" i="59"/>
  <c r="CE75" i="59"/>
  <c r="L321" i="59"/>
  <c r="L76" i="59"/>
  <c r="L307" i="59"/>
  <c r="L99" i="59"/>
  <c r="L77" i="59"/>
  <c r="M76" i="59"/>
  <c r="M307" i="59"/>
  <c r="L111" i="59"/>
  <c r="BJ207" i="59"/>
  <c r="BJ199" i="59"/>
  <c r="BJ200" i="59"/>
  <c r="X44" i="25"/>
  <c r="U46" i="25"/>
  <c r="U45" i="25"/>
  <c r="DC44" i="25"/>
  <c r="Y86" i="25"/>
  <c r="I194" i="59"/>
  <c r="DH82" i="25"/>
  <c r="BZ111" i="59"/>
  <c r="K114" i="59"/>
  <c r="U90" i="25"/>
  <c r="N20" i="23" s="1"/>
  <c r="DC39" i="25"/>
  <c r="X39" i="25"/>
  <c r="X90" i="25" s="1"/>
  <c r="Q20" i="23" s="1"/>
  <c r="AA37" i="25"/>
  <c r="AH149" i="30"/>
  <c r="AH148" i="30"/>
  <c r="AH154" i="30"/>
  <c r="DW154" i="30"/>
  <c r="AG158" i="30"/>
  <c r="Z40" i="25"/>
  <c r="BO199" i="59"/>
  <c r="BT199" i="59"/>
  <c r="BO207" i="59"/>
  <c r="BO200" i="59"/>
  <c r="DL46" i="25"/>
  <c r="DL45" i="25"/>
  <c r="U43" i="25"/>
  <c r="X41" i="25"/>
  <c r="X42" i="25"/>
  <c r="K82" i="38"/>
  <c r="K83" i="38" s="1"/>
  <c r="K69" i="38"/>
  <c r="L88" i="38"/>
  <c r="L70" i="38"/>
  <c r="L68" i="38" s="1"/>
  <c r="H161" i="60"/>
  <c r="D78" i="63" s="1"/>
  <c r="D86" i="63" s="1"/>
  <c r="L73" i="38"/>
  <c r="L74" i="38"/>
  <c r="Z38" i="25"/>
  <c r="DM37" i="25"/>
  <c r="Z82" i="25"/>
  <c r="BX13" i="23"/>
  <c r="BX7" i="23"/>
  <c r="Y42" i="25"/>
  <c r="DH40" i="25"/>
  <c r="Y41" i="25"/>
  <c r="BS7" i="23"/>
  <c r="BS13" i="23"/>
  <c r="H206" i="59"/>
  <c r="H211" i="59"/>
  <c r="BK194" i="59"/>
  <c r="BK211" i="59" s="1"/>
  <c r="Y39" i="25"/>
  <c r="Q10" i="23"/>
  <c r="X87" i="25"/>
  <c r="X91" i="25"/>
  <c r="DR158" i="30"/>
  <c r="Y44" i="25"/>
  <c r="DC86" i="25"/>
  <c r="H198" i="59"/>
  <c r="N10" i="23"/>
  <c r="U87" i="25"/>
  <c r="DL42" i="25"/>
  <c r="DL41" i="25"/>
  <c r="DL39" i="25"/>
  <c r="DL43" i="25"/>
  <c r="AI147" i="30"/>
  <c r="AI141" i="30"/>
  <c r="G137" i="73" s="1"/>
  <c r="AI142" i="30"/>
  <c r="AJ142" i="30"/>
  <c r="M72" i="38"/>
  <c r="K89" i="38"/>
  <c r="K94" i="38"/>
  <c r="K96" i="38" s="1"/>
  <c r="K101" i="59"/>
  <c r="BZ99" i="59"/>
  <c r="K194" i="59"/>
  <c r="K100" i="59"/>
  <c r="F160" i="60"/>
  <c r="J97" i="38"/>
  <c r="Q207" i="59"/>
  <c r="K136" i="73"/>
  <c r="V33" i="73"/>
  <c r="AI20" i="31" s="1"/>
  <c r="X226" i="59"/>
  <c r="CT198" i="59"/>
  <c r="J130" i="73"/>
  <c r="N208" i="59"/>
  <c r="CO208" i="59" s="1"/>
  <c r="K132" i="73"/>
  <c r="K130" i="73" s="1"/>
  <c r="Q199" i="59"/>
  <c r="Q200" i="59"/>
  <c r="AG154" i="85"/>
  <c r="N373" i="60"/>
  <c r="O373" i="60" s="1"/>
  <c r="P373" i="60" s="1"/>
  <c r="Q373" i="60" s="1"/>
  <c r="R373" i="60" s="1"/>
  <c r="S373" i="60" s="1"/>
  <c r="T373" i="60" s="1"/>
  <c r="U373" i="60" s="1"/>
  <c r="V373" i="60" s="1"/>
  <c r="W373" i="60" s="1"/>
  <c r="X373" i="60" s="1"/>
  <c r="Y373" i="60" s="1"/>
  <c r="B375" i="60"/>
  <c r="W35" i="73"/>
  <c r="W36" i="73"/>
  <c r="CY99" i="59"/>
  <c r="AL17" i="20"/>
  <c r="AK82" i="20"/>
  <c r="AB235" i="59"/>
  <c r="K45" i="52"/>
  <c r="C283" i="60"/>
  <c r="D283" i="60" s="1"/>
  <c r="E283" i="60" s="1"/>
  <c r="F283" i="60" s="1"/>
  <c r="G283" i="60" s="1"/>
  <c r="H283" i="60" s="1"/>
  <c r="I283" i="60" s="1"/>
  <c r="J283" i="60" s="1"/>
  <c r="K283" i="60" s="1"/>
  <c r="L283" i="60" s="1"/>
  <c r="M283" i="60" s="1"/>
  <c r="N283" i="60" s="1"/>
  <c r="O283" i="60" s="1"/>
  <c r="P283" i="60" s="1"/>
  <c r="Q283" i="60" s="1"/>
  <c r="R283" i="60" s="1"/>
  <c r="S283" i="60" s="1"/>
  <c r="T283" i="60" s="1"/>
  <c r="U283" i="60" s="1"/>
  <c r="V283" i="60" s="1"/>
  <c r="W283" i="60" s="1"/>
  <c r="X283" i="60" s="1"/>
  <c r="Y283" i="60" s="1"/>
  <c r="DG192" i="59"/>
  <c r="DG248" i="59"/>
  <c r="Q34" i="38"/>
  <c r="DK5" i="23"/>
  <c r="DA236" i="59"/>
  <c r="DB250" i="59"/>
  <c r="Y32" i="32"/>
  <c r="J72" i="60"/>
  <c r="AF133" i="31"/>
  <c r="AG134" i="31"/>
  <c r="AD120" i="31"/>
  <c r="AE124" i="31"/>
  <c r="AD129" i="31"/>
  <c r="AE107" i="31"/>
  <c r="AE135" i="31"/>
  <c r="AE112" i="31" s="1"/>
  <c r="AE128" i="31"/>
  <c r="DA191" i="59"/>
  <c r="U495" i="23"/>
  <c r="U496" i="23" s="1"/>
  <c r="AC86" i="25"/>
  <c r="P69" i="38"/>
  <c r="U125" i="59"/>
  <c r="Z542" i="23"/>
  <c r="Z545" i="23"/>
  <c r="CZ192" i="59"/>
  <c r="P70" i="38"/>
  <c r="DI5" i="23"/>
  <c r="P251" i="59"/>
  <c r="U193" i="23"/>
  <c r="V20" i="23"/>
  <c r="AE90" i="25"/>
  <c r="M200" i="59"/>
  <c r="M250" i="59"/>
  <c r="M192" i="59"/>
  <c r="CO187" i="59"/>
  <c r="N210" i="59"/>
  <c r="Z560" i="23"/>
  <c r="Z548" i="23" s="1"/>
  <c r="Z515" i="23"/>
  <c r="Z226" i="23" s="1"/>
  <c r="Z239" i="23" s="1"/>
  <c r="Z507" i="23"/>
  <c r="S525" i="23"/>
  <c r="S524" i="23"/>
  <c r="AL119" i="30"/>
  <c r="AL117" i="30"/>
  <c r="AD82" i="25"/>
  <c r="AD38" i="25"/>
  <c r="AF37" i="25"/>
  <c r="AC46" i="25"/>
  <c r="AE44" i="25"/>
  <c r="AE46" i="25" s="1"/>
  <c r="CQ8" i="23"/>
  <c r="CQ7" i="23" s="1"/>
  <c r="CP8" i="23"/>
  <c r="CP7" i="23" s="1"/>
  <c r="AJ244" i="30"/>
  <c r="CS5" i="23"/>
  <c r="CO8" i="23"/>
  <c r="CR8" i="23"/>
  <c r="CR7" i="23" s="1"/>
  <c r="V473" i="23"/>
  <c r="V6" i="23"/>
  <c r="AC43" i="25"/>
  <c r="AC93" i="25" s="1"/>
  <c r="AC42" i="25"/>
  <c r="AE40" i="25"/>
  <c r="AE39" i="25" s="1"/>
  <c r="DA254" i="59"/>
  <c r="T239" i="23"/>
  <c r="T269" i="23"/>
  <c r="T273" i="23" s="1"/>
  <c r="AL149" i="30"/>
  <c r="AG37" i="25"/>
  <c r="AL148" i="30"/>
  <c r="AD187" i="31"/>
  <c r="AF80" i="25"/>
  <c r="Y5" i="23"/>
  <c r="N191" i="59"/>
  <c r="AD80" i="25"/>
  <c r="W5" i="23"/>
  <c r="Z5" i="23"/>
  <c r="AG80" i="25"/>
  <c r="T523" i="23"/>
  <c r="T521" i="23"/>
  <c r="AC39" i="20"/>
  <c r="Y53" i="31"/>
  <c r="AA62" i="33"/>
  <c r="AA61" i="33" s="1"/>
  <c r="AO161" i="30"/>
  <c r="AD27" i="32" s="1"/>
  <c r="Q260" i="59"/>
  <c r="G55" i="95"/>
  <c r="Q261" i="59"/>
  <c r="Q251" i="59"/>
  <c r="CT250" i="59"/>
  <c r="Q258" i="59"/>
  <c r="Q259" i="59"/>
  <c r="AE82" i="25"/>
  <c r="AE86" i="25" s="1"/>
  <c r="AE38" i="25"/>
  <c r="AE186" i="31"/>
  <c r="AF240" i="31"/>
  <c r="AE183" i="31"/>
  <c r="AE184" i="31" s="1"/>
  <c r="AH41" i="33"/>
  <c r="AG38" i="33"/>
  <c r="AG39" i="33" s="1"/>
  <c r="X7" i="23"/>
  <c r="X13" i="23"/>
  <c r="AM147" i="20"/>
  <c r="AN147" i="20" s="1"/>
  <c r="AF24" i="85"/>
  <c r="AG24" i="85" s="1"/>
  <c r="AL134" i="20"/>
  <c r="AM146" i="20"/>
  <c r="AN146" i="20" s="1"/>
  <c r="AN134" i="20" s="1"/>
  <c r="AD38" i="85"/>
  <c r="C372" i="60"/>
  <c r="D27" i="56"/>
  <c r="E27" i="56"/>
  <c r="D28" i="56"/>
  <c r="AK140" i="20"/>
  <c r="J249" i="23"/>
  <c r="J261" i="23" s="1"/>
  <c r="J277" i="23" s="1"/>
  <c r="J302" i="23" s="1"/>
  <c r="J303" i="23" s="1"/>
  <c r="K300" i="23" s="1"/>
  <c r="G246" i="23"/>
  <c r="G249" i="23" s="1"/>
  <c r="G261" i="23" s="1"/>
  <c r="G277" i="23" s="1"/>
  <c r="G302" i="23" s="1"/>
  <c r="G303" i="23" s="1"/>
  <c r="J95" i="23"/>
  <c r="J94" i="23"/>
  <c r="K94" i="23"/>
  <c r="AH102" i="33"/>
  <c r="AH35" i="33" s="1"/>
  <c r="AH36" i="33" s="1"/>
  <c r="AI100" i="33"/>
  <c r="AH33" i="33"/>
  <c r="AH34" i="33" s="1"/>
  <c r="AH128" i="23"/>
  <c r="AG152" i="23"/>
  <c r="AG150" i="23"/>
  <c r="AE516" i="23"/>
  <c r="CZ251" i="59"/>
  <c r="U43" i="52"/>
  <c r="AD39" i="52" l="1"/>
  <c r="AC29" i="52"/>
  <c r="AC31" i="52" s="1"/>
  <c r="U278" i="60"/>
  <c r="AB32" i="52"/>
  <c r="X216" i="60"/>
  <c r="X220" i="60" s="1"/>
  <c r="W220" i="60"/>
  <c r="W224" i="60"/>
  <c r="V226" i="60"/>
  <c r="Q208" i="59"/>
  <c r="CT208" i="59" s="1"/>
  <c r="CT207" i="59"/>
  <c r="U91" i="25"/>
  <c r="U92" i="25" s="1"/>
  <c r="K211" i="59"/>
  <c r="K206" i="59"/>
  <c r="BZ194" i="59"/>
  <c r="K97" i="38"/>
  <c r="G160" i="60"/>
  <c r="N74" i="38"/>
  <c r="M73" i="38"/>
  <c r="I161" i="60"/>
  <c r="E78" i="63" s="1"/>
  <c r="E86" i="63" s="1"/>
  <c r="M88" i="38"/>
  <c r="M74" i="38"/>
  <c r="M70" i="38"/>
  <c r="M68" i="38" s="1"/>
  <c r="AI154" i="30"/>
  <c r="AI149" i="30"/>
  <c r="AB37" i="25"/>
  <c r="AI148" i="30"/>
  <c r="AJ149" i="30"/>
  <c r="H200" i="59"/>
  <c r="H207" i="59"/>
  <c r="H199" i="59"/>
  <c r="BK198" i="59"/>
  <c r="X92" i="25"/>
  <c r="L69" i="38"/>
  <c r="L82" i="38"/>
  <c r="L83" i="38" s="1"/>
  <c r="AH158" i="30"/>
  <c r="AA44" i="25" s="1"/>
  <c r="AA40" i="25"/>
  <c r="AA39" i="25" s="1"/>
  <c r="AA90" i="25" s="1"/>
  <c r="T20" i="23" s="1"/>
  <c r="BX17" i="23"/>
  <c r="CC18" i="23" s="1"/>
  <c r="BX14" i="23"/>
  <c r="Z39" i="25"/>
  <c r="Z41" i="25"/>
  <c r="DM40" i="25"/>
  <c r="Z42" i="25"/>
  <c r="CC14" i="23"/>
  <c r="Y43" i="25"/>
  <c r="Y46" i="25"/>
  <c r="Y45" i="25"/>
  <c r="DH44" i="25"/>
  <c r="Q13" i="23"/>
  <c r="Q7" i="23"/>
  <c r="J194" i="59"/>
  <c r="Z86" i="25"/>
  <c r="DM82" i="25"/>
  <c r="X43" i="25"/>
  <c r="X93" i="25" s="1"/>
  <c r="Q22" i="23" s="1"/>
  <c r="Q61" i="23" s="1"/>
  <c r="U93" i="25"/>
  <c r="N22" i="23" s="1"/>
  <c r="DC43" i="25"/>
  <c r="DW158" i="30"/>
  <c r="Z44" i="25"/>
  <c r="Z43" i="25" s="1"/>
  <c r="BT20" i="23"/>
  <c r="N250" i="23"/>
  <c r="N583" i="23"/>
  <c r="I211" i="59"/>
  <c r="I206" i="59"/>
  <c r="BP194" i="59"/>
  <c r="BP211" i="59" s="1"/>
  <c r="L94" i="38"/>
  <c r="L96" i="38" s="1"/>
  <c r="L89" i="38"/>
  <c r="G139" i="73"/>
  <c r="G138" i="73"/>
  <c r="N13" i="23"/>
  <c r="BT10" i="23"/>
  <c r="N7" i="23"/>
  <c r="DH39" i="25"/>
  <c r="Y90" i="25"/>
  <c r="R20" i="23" s="1"/>
  <c r="BS17" i="23"/>
  <c r="BS14" i="23"/>
  <c r="AA38" i="25"/>
  <c r="AA82" i="25"/>
  <c r="AA86" i="25" s="1"/>
  <c r="BZ114" i="59"/>
  <c r="K115" i="59"/>
  <c r="K116" i="59"/>
  <c r="R10" i="23"/>
  <c r="Y87" i="25"/>
  <c r="DH86" i="25"/>
  <c r="I198" i="59"/>
  <c r="X45" i="25"/>
  <c r="X46" i="25"/>
  <c r="L114" i="59"/>
  <c r="CE111" i="59"/>
  <c r="L194" i="59"/>
  <c r="L211" i="59" s="1"/>
  <c r="L324" i="59"/>
  <c r="M324" i="59"/>
  <c r="L100" i="59"/>
  <c r="M310" i="59"/>
  <c r="M100" i="59"/>
  <c r="CE99" i="59"/>
  <c r="L101" i="59"/>
  <c r="L310" i="59"/>
  <c r="CC21" i="23"/>
  <c r="CC23" i="23" s="1"/>
  <c r="CH18" i="23"/>
  <c r="W33" i="73"/>
  <c r="AJ20" i="31" s="1"/>
  <c r="Y226" i="59"/>
  <c r="AM17" i="20"/>
  <c r="AL82" i="20"/>
  <c r="AC235" i="59"/>
  <c r="DP6" i="23"/>
  <c r="L45" i="52"/>
  <c r="T236" i="59"/>
  <c r="DF236" i="59"/>
  <c r="DG251" i="59"/>
  <c r="Y6" i="23"/>
  <c r="Q82" i="38"/>
  <c r="Q83" i="38" s="1"/>
  <c r="DK6" i="23"/>
  <c r="DA238" i="59"/>
  <c r="DA250" i="59"/>
  <c r="DA251" i="59" s="1"/>
  <c r="DB251" i="59"/>
  <c r="Q70" i="38"/>
  <c r="Q71" i="38" s="1"/>
  <c r="V10" i="23"/>
  <c r="V7" i="23" s="1"/>
  <c r="V474" i="23" s="1"/>
  <c r="V499" i="23" s="1"/>
  <c r="U523" i="23"/>
  <c r="U525" i="23" s="1"/>
  <c r="DJ5" i="23"/>
  <c r="DA192" i="59"/>
  <c r="AE120" i="31"/>
  <c r="AF124" i="31"/>
  <c r="AE129" i="31"/>
  <c r="AG133" i="31"/>
  <c r="AH134" i="31"/>
  <c r="AH133" i="31" s="1"/>
  <c r="AF107" i="31"/>
  <c r="AF135" i="31"/>
  <c r="AF112" i="31" s="1"/>
  <c r="AF128" i="31"/>
  <c r="AC91" i="25"/>
  <c r="AC94" i="25" s="1"/>
  <c r="AD86" i="25"/>
  <c r="AD87" i="25" s="1"/>
  <c r="DI6" i="23"/>
  <c r="AE187" i="31"/>
  <c r="CO7" i="23"/>
  <c r="CS8" i="23"/>
  <c r="M259" i="59"/>
  <c r="M261" i="59"/>
  <c r="CJ250" i="59"/>
  <c r="M260" i="59"/>
  <c r="M258" i="59"/>
  <c r="T525" i="23"/>
  <c r="T524" i="23"/>
  <c r="N250" i="59"/>
  <c r="N200" i="59"/>
  <c r="CO191" i="59"/>
  <c r="N192" i="59"/>
  <c r="AE42" i="25"/>
  <c r="AE43" i="25"/>
  <c r="AB62" i="33"/>
  <c r="AB61" i="33" s="1"/>
  <c r="AD39" i="20"/>
  <c r="Z53" i="31"/>
  <c r="AP161" i="30"/>
  <c r="AL244" i="30"/>
  <c r="Z473" i="23"/>
  <c r="DC5" i="23"/>
  <c r="Z6" i="23"/>
  <c r="V483" i="23"/>
  <c r="V505" i="23"/>
  <c r="V509" i="23"/>
  <c r="V478" i="23"/>
  <c r="V482" i="23"/>
  <c r="V491" i="23"/>
  <c r="V501" i="23"/>
  <c r="V513" i="23"/>
  <c r="V480" i="23"/>
  <c r="V511" i="23"/>
  <c r="V489" i="23"/>
  <c r="V518" i="23"/>
  <c r="V493" i="23"/>
  <c r="AE91" i="25"/>
  <c r="AF183" i="31"/>
  <c r="AF184" i="31" s="1"/>
  <c r="AF186" i="31"/>
  <c r="AG240" i="31"/>
  <c r="Q262" i="59"/>
  <c r="CX5" i="23"/>
  <c r="W473" i="23"/>
  <c r="W6" i="23"/>
  <c r="AK244" i="30"/>
  <c r="W7" i="23"/>
  <c r="AG38" i="25"/>
  <c r="AG82" i="25"/>
  <c r="AG86" i="25" s="1"/>
  <c r="V22" i="23"/>
  <c r="AE93" i="25"/>
  <c r="X22" i="23" s="1"/>
  <c r="AF38" i="25"/>
  <c r="AF82" i="25"/>
  <c r="V583" i="23"/>
  <c r="M37" i="56"/>
  <c r="M38" i="56" s="1"/>
  <c r="V250" i="23"/>
  <c r="CS20" i="23"/>
  <c r="D372" i="60"/>
  <c r="C375" i="60"/>
  <c r="AE38" i="85"/>
  <c r="O7" i="56"/>
  <c r="X17" i="23"/>
  <c r="AG153" i="23"/>
  <c r="AG154" i="23" s="1"/>
  <c r="AG122" i="23" s="1"/>
  <c r="AI102" i="33"/>
  <c r="AI35" i="33" s="1"/>
  <c r="AI36" i="33" s="1"/>
  <c r="AJ100" i="33"/>
  <c r="AK100" i="33" s="1"/>
  <c r="AI33" i="33"/>
  <c r="AI34" i="33" s="1"/>
  <c r="J96" i="23"/>
  <c r="K96" i="23"/>
  <c r="AM134" i="20"/>
  <c r="AN140" i="20" s="1"/>
  <c r="AI41" i="33"/>
  <c r="AH38" i="33"/>
  <c r="AH39" i="33" s="1"/>
  <c r="AL140" i="20"/>
  <c r="AH148" i="23"/>
  <c r="AH131" i="23"/>
  <c r="AH137" i="23"/>
  <c r="AH134" i="23"/>
  <c r="AF516" i="23"/>
  <c r="V43" i="52"/>
  <c r="X224" i="60" l="1"/>
  <c r="X226" i="60" s="1"/>
  <c r="W226" i="60"/>
  <c r="V278" i="60"/>
  <c r="AC32" i="52"/>
  <c r="AE39" i="52"/>
  <c r="AD29" i="52"/>
  <c r="AD31" i="52" s="1"/>
  <c r="G136" i="73"/>
  <c r="Y91" i="25"/>
  <c r="Y92" i="25" s="1"/>
  <c r="N474" i="23"/>
  <c r="N499" i="23" s="1"/>
  <c r="BT7" i="23"/>
  <c r="Z87" i="25"/>
  <c r="S10" i="23"/>
  <c r="J198" i="59"/>
  <c r="DM86" i="25"/>
  <c r="AB40" i="25"/>
  <c r="AB39" i="25" s="1"/>
  <c r="AB90" i="25" s="1"/>
  <c r="U20" i="23" s="1"/>
  <c r="AI158" i="30"/>
  <c r="AB44" i="25" s="1"/>
  <c r="BT213" i="59"/>
  <c r="CC34" i="23"/>
  <c r="BY10" i="23"/>
  <c r="R7" i="23"/>
  <c r="R13" i="23"/>
  <c r="K37" i="56"/>
  <c r="K38" i="56" s="1"/>
  <c r="T250" i="23"/>
  <c r="CI20" i="23"/>
  <c r="T583" i="23"/>
  <c r="BS18" i="23"/>
  <c r="BS21" i="23"/>
  <c r="N61" i="23"/>
  <c r="N63" i="23" s="1"/>
  <c r="N611" i="23"/>
  <c r="BT22" i="23"/>
  <c r="N251" i="23"/>
  <c r="J211" i="59"/>
  <c r="BU194" i="59"/>
  <c r="J206" i="59"/>
  <c r="Z93" i="25"/>
  <c r="S22" i="23" s="1"/>
  <c r="DM43" i="25"/>
  <c r="DM39" i="25"/>
  <c r="Z90" i="25"/>
  <c r="S20" i="23" s="1"/>
  <c r="U94" i="25"/>
  <c r="M69" i="38"/>
  <c r="M82" i="38"/>
  <c r="M83" i="38" s="1"/>
  <c r="L115" i="59"/>
  <c r="L116" i="59"/>
  <c r="M115" i="59"/>
  <c r="CE114" i="59"/>
  <c r="I207" i="59"/>
  <c r="BP198" i="59"/>
  <c r="I199" i="59"/>
  <c r="I200" i="59"/>
  <c r="AA87" i="25"/>
  <c r="K198" i="59"/>
  <c r="T10" i="23"/>
  <c r="AA91" i="25"/>
  <c r="I37" i="56"/>
  <c r="I38" i="56" s="1"/>
  <c r="R250" i="23"/>
  <c r="R583" i="23"/>
  <c r="BY20" i="23"/>
  <c r="BT13" i="23"/>
  <c r="N14" i="23"/>
  <c r="N17" i="23"/>
  <c r="H7" i="56"/>
  <c r="H14" i="56" s="1"/>
  <c r="N363" i="23"/>
  <c r="N371" i="23"/>
  <c r="N370" i="23"/>
  <c r="Z45" i="25"/>
  <c r="DM44" i="25"/>
  <c r="Z46" i="25"/>
  <c r="AA43" i="25"/>
  <c r="AA93" i="25" s="1"/>
  <c r="T22" i="23" s="1"/>
  <c r="AA41" i="25"/>
  <c r="AA42" i="25"/>
  <c r="X94" i="25"/>
  <c r="AB38" i="25"/>
  <c r="AB82" i="25"/>
  <c r="CE194" i="59"/>
  <c r="L206" i="59"/>
  <c r="CE206" i="59" s="1"/>
  <c r="H160" i="60"/>
  <c r="L97" i="38"/>
  <c r="N579" i="23"/>
  <c r="N585" i="23"/>
  <c r="Q17" i="23"/>
  <c r="Q14" i="23"/>
  <c r="Y93" i="25"/>
  <c r="R22" i="23" s="1"/>
  <c r="DH43" i="25"/>
  <c r="BX21" i="23"/>
  <c r="BX23" i="23" s="1"/>
  <c r="BX18" i="23"/>
  <c r="AA46" i="25"/>
  <c r="AA45" i="25"/>
  <c r="M94" i="38"/>
  <c r="M96" i="38" s="1"/>
  <c r="M89" i="38"/>
  <c r="Z226" i="59"/>
  <c r="AN17" i="20"/>
  <c r="AD235" i="59"/>
  <c r="AM82" i="20"/>
  <c r="DD236" i="59"/>
  <c r="M45" i="52"/>
  <c r="AK33" i="33"/>
  <c r="AK102" i="33"/>
  <c r="AK35" i="33" s="1"/>
  <c r="AL100" i="33"/>
  <c r="U236" i="59"/>
  <c r="CS7" i="23"/>
  <c r="U524" i="23"/>
  <c r="V13" i="23"/>
  <c r="CS10" i="23"/>
  <c r="DJ6" i="23"/>
  <c r="AG107" i="31"/>
  <c r="AG135" i="31"/>
  <c r="AG112" i="31" s="1"/>
  <c r="AG128" i="31"/>
  <c r="AF120" i="31"/>
  <c r="AG124" i="31"/>
  <c r="AF129" i="31"/>
  <c r="AH135" i="31"/>
  <c r="AH112" i="31" s="1"/>
  <c r="AH107" i="31"/>
  <c r="AH128" i="31"/>
  <c r="AF86" i="25"/>
  <c r="AG87" i="25" s="1"/>
  <c r="Z493" i="23"/>
  <c r="Z496" i="23"/>
  <c r="V579" i="23"/>
  <c r="V585" i="23"/>
  <c r="AC97" i="25"/>
  <c r="V225" i="23"/>
  <c r="V520" i="23"/>
  <c r="V521" i="23" s="1"/>
  <c r="M262" i="59"/>
  <c r="AN103" i="30"/>
  <c r="T16" i="59"/>
  <c r="Z553" i="23"/>
  <c r="X61" i="23"/>
  <c r="X63" i="23" s="1"/>
  <c r="X20" i="23"/>
  <c r="X21" i="23" s="1"/>
  <c r="X23" i="23" s="1"/>
  <c r="W474" i="23"/>
  <c r="W499" i="23" s="1"/>
  <c r="CX7" i="23"/>
  <c r="Y7" i="23"/>
  <c r="W480" i="23"/>
  <c r="W482" i="23"/>
  <c r="W493" i="23"/>
  <c r="W505" i="23"/>
  <c r="W509" i="23"/>
  <c r="W491" i="23"/>
  <c r="W501" i="23"/>
  <c r="W484" i="23"/>
  <c r="W513" i="23"/>
  <c r="W518" i="23"/>
  <c r="W511" i="23"/>
  <c r="W496" i="23"/>
  <c r="W486" i="23"/>
  <c r="W478" i="23"/>
  <c r="W489" i="23"/>
  <c r="V611" i="23"/>
  <c r="V607" i="23" s="1"/>
  <c r="V61" i="23"/>
  <c r="CS22" i="23"/>
  <c r="V251" i="23"/>
  <c r="AH240" i="31"/>
  <c r="AG183" i="31"/>
  <c r="AG184" i="31" s="1"/>
  <c r="AG186" i="31"/>
  <c r="Z501" i="23"/>
  <c r="Z484" i="23"/>
  <c r="Z478" i="23"/>
  <c r="Z511" i="23"/>
  <c r="Z505" i="23"/>
  <c r="Z482" i="23"/>
  <c r="Z486" i="23"/>
  <c r="Z518" i="23"/>
  <c r="Z513" i="23"/>
  <c r="Z520" i="23" s="1"/>
  <c r="Z523" i="23" s="1"/>
  <c r="Z509" i="23"/>
  <c r="Z480" i="23"/>
  <c r="Z491" i="23"/>
  <c r="AE39" i="20"/>
  <c r="AQ161" i="30"/>
  <c r="AE27" i="32"/>
  <c r="AA53" i="31"/>
  <c r="AC62" i="33"/>
  <c r="N258" i="59"/>
  <c r="N260" i="59"/>
  <c r="N259" i="59"/>
  <c r="CO250" i="59"/>
  <c r="N261" i="59"/>
  <c r="Z10" i="23"/>
  <c r="AF187" i="31"/>
  <c r="AE94" i="25"/>
  <c r="AE97" i="25" s="1"/>
  <c r="V190" i="23"/>
  <c r="D375" i="60"/>
  <c r="E372" i="60"/>
  <c r="AI128" i="23"/>
  <c r="AH150" i="23"/>
  <c r="AH152" i="23"/>
  <c r="AM140" i="20"/>
  <c r="AJ102" i="33"/>
  <c r="AJ35" i="33" s="1"/>
  <c r="AJ36" i="33" s="1"/>
  <c r="AJ33" i="33"/>
  <c r="AJ34" i="33" s="1"/>
  <c r="AF38" i="85"/>
  <c r="AG38" i="85" s="1"/>
  <c r="AJ41" i="33"/>
  <c r="AI38" i="33"/>
  <c r="AI39" i="33" s="1"/>
  <c r="AG516" i="23"/>
  <c r="W43" i="52"/>
  <c r="W278" i="60" l="1"/>
  <c r="AD32" i="52"/>
  <c r="AF39" i="52"/>
  <c r="AF29" i="52" s="1"/>
  <c r="AE29" i="52"/>
  <c r="AE31" i="52" s="1"/>
  <c r="AB86" i="25"/>
  <c r="R611" i="23"/>
  <c r="R251" i="23"/>
  <c r="R61" i="23"/>
  <c r="R63" i="23" s="1"/>
  <c r="R674" i="23" s="1"/>
  <c r="R673" i="23" s="1"/>
  <c r="BY22" i="23"/>
  <c r="X97" i="25"/>
  <c r="X98" i="25" s="1"/>
  <c r="X95" i="25"/>
  <c r="K200" i="59"/>
  <c r="K199" i="59"/>
  <c r="K207" i="59"/>
  <c r="BZ198" i="59"/>
  <c r="U95" i="25"/>
  <c r="U97" i="25"/>
  <c r="U98" i="25" s="1"/>
  <c r="S251" i="23"/>
  <c r="S61" i="23"/>
  <c r="S63" i="23" s="1"/>
  <c r="S674" i="23" s="1"/>
  <c r="S673" i="23" s="1"/>
  <c r="CD22" i="23"/>
  <c r="S611" i="23"/>
  <c r="BS23" i="23"/>
  <c r="BS77" i="23"/>
  <c r="BS75" i="23"/>
  <c r="BS76" i="23" s="1"/>
  <c r="CN20" i="23"/>
  <c r="U583" i="23"/>
  <c r="L37" i="56"/>
  <c r="L38" i="56" s="1"/>
  <c r="U250" i="23"/>
  <c r="S583" i="23"/>
  <c r="S250" i="23"/>
  <c r="CD20" i="23"/>
  <c r="J37" i="56"/>
  <c r="J38" i="56" s="1"/>
  <c r="AB45" i="25"/>
  <c r="AC45" i="25"/>
  <c r="AB46" i="25"/>
  <c r="J207" i="59"/>
  <c r="J199" i="59"/>
  <c r="BU198" i="59"/>
  <c r="J200" i="59"/>
  <c r="I160" i="60"/>
  <c r="M97" i="38"/>
  <c r="BX34" i="23"/>
  <c r="BO213" i="59"/>
  <c r="Q18" i="23"/>
  <c r="Q21" i="23"/>
  <c r="Q23" i="23" s="1"/>
  <c r="Q34" i="23" s="1"/>
  <c r="H16" i="56"/>
  <c r="H35" i="56"/>
  <c r="H31" i="56"/>
  <c r="H19" i="56"/>
  <c r="H20" i="56" s="1"/>
  <c r="N698" i="23"/>
  <c r="AA94" i="25"/>
  <c r="N612" i="23"/>
  <c r="N607" i="23"/>
  <c r="T579" i="23"/>
  <c r="T585" i="23"/>
  <c r="R14" i="23"/>
  <c r="BY13" i="23"/>
  <c r="R17" i="23"/>
  <c r="R371" i="23"/>
  <c r="I7" i="56"/>
  <c r="I14" i="56" s="1"/>
  <c r="R363" i="23"/>
  <c r="R370" i="23"/>
  <c r="R173" i="23" s="1"/>
  <c r="Y94" i="25"/>
  <c r="AB41" i="25"/>
  <c r="AB42" i="25"/>
  <c r="AC41" i="25"/>
  <c r="AB43" i="25"/>
  <c r="AB93" i="25" s="1"/>
  <c r="U22" i="23" s="1"/>
  <c r="S13" i="23"/>
  <c r="S7" i="23"/>
  <c r="CD10" i="23"/>
  <c r="T61" i="23"/>
  <c r="T63" i="23" s="1"/>
  <c r="T674" i="23" s="1"/>
  <c r="T673" i="23" s="1"/>
  <c r="T611" i="23"/>
  <c r="T607" i="23" s="1"/>
  <c r="CI22" i="23"/>
  <c r="T251" i="23"/>
  <c r="N21" i="23"/>
  <c r="BT17" i="23"/>
  <c r="N18" i="23"/>
  <c r="R579" i="23"/>
  <c r="R585" i="23"/>
  <c r="CI10" i="23"/>
  <c r="T7" i="23"/>
  <c r="T13" i="23"/>
  <c r="N674" i="23"/>
  <c r="N673" i="23" s="1"/>
  <c r="Q63" i="23"/>
  <c r="BY7" i="23"/>
  <c r="R474" i="23"/>
  <c r="R499" i="23" s="1"/>
  <c r="CC40" i="23"/>
  <c r="CC44" i="23"/>
  <c r="Z91" i="25"/>
  <c r="AA92" i="25" s="1"/>
  <c r="AA226" i="59"/>
  <c r="AE235" i="59"/>
  <c r="AN82" i="20"/>
  <c r="N45" i="52"/>
  <c r="AL102" i="33"/>
  <c r="AL35" i="33" s="1"/>
  <c r="AL36" i="33" s="1"/>
  <c r="AL33" i="33"/>
  <c r="AL34" i="33" s="1"/>
  <c r="AK36" i="33"/>
  <c r="AK34" i="33"/>
  <c r="AN104" i="30"/>
  <c r="R46" i="38"/>
  <c r="DI236" i="59"/>
  <c r="V236" i="59"/>
  <c r="W236" i="59" s="1"/>
  <c r="X236" i="59" s="1"/>
  <c r="Y236" i="59" s="1"/>
  <c r="Z236" i="59" s="1"/>
  <c r="AA236" i="59" s="1"/>
  <c r="AB236" i="59" s="1"/>
  <c r="AC236" i="59" s="1"/>
  <c r="AD236" i="59" s="1"/>
  <c r="AE236" i="59" s="1"/>
  <c r="W14" i="23"/>
  <c r="CS13" i="23"/>
  <c r="V363" i="23"/>
  <c r="V371" i="23"/>
  <c r="V173" i="23" s="1"/>
  <c r="V370" i="23"/>
  <c r="V17" i="23"/>
  <c r="M7" i="56"/>
  <c r="F29" i="62" s="1"/>
  <c r="AF87" i="25"/>
  <c r="AH124" i="31"/>
  <c r="AG120" i="31"/>
  <c r="AG129" i="31"/>
  <c r="Y10" i="23"/>
  <c r="Y13" i="23" s="1"/>
  <c r="AG187" i="31"/>
  <c r="O213" i="59"/>
  <c r="X34" i="23"/>
  <c r="X40" i="23" s="1"/>
  <c r="V191" i="23"/>
  <c r="V485" i="23" s="1"/>
  <c r="AF27" i="32"/>
  <c r="AR161" i="30"/>
  <c r="AB53" i="31"/>
  <c r="AD62" i="33"/>
  <c r="AF39" i="20"/>
  <c r="Z488" i="23"/>
  <c r="N262" i="59"/>
  <c r="AH183" i="31"/>
  <c r="AH184" i="31" s="1"/>
  <c r="AH186" i="31"/>
  <c r="W520" i="23"/>
  <c r="W225" i="23"/>
  <c r="Z7" i="23"/>
  <c r="DC10" i="23"/>
  <c r="Z13" i="23"/>
  <c r="Z521" i="23"/>
  <c r="DC59" i="59"/>
  <c r="FE103" i="30"/>
  <c r="FE104" i="30" s="1"/>
  <c r="DD15" i="59"/>
  <c r="AH153" i="23"/>
  <c r="AH154" i="23" s="1"/>
  <c r="AH122" i="23" s="1"/>
  <c r="AK41" i="33"/>
  <c r="AK39" i="33" s="1"/>
  <c r="AJ38" i="33"/>
  <c r="AJ39" i="33" s="1"/>
  <c r="AI148" i="23"/>
  <c r="AI131" i="23"/>
  <c r="AI137" i="23"/>
  <c r="AI134" i="23"/>
  <c r="E375" i="60"/>
  <c r="F372" i="60"/>
  <c r="AH516" i="23"/>
  <c r="X43" i="52"/>
  <c r="X278" i="60" l="1"/>
  <c r="AE32" i="52"/>
  <c r="I44" i="52"/>
  <c r="AF31" i="52"/>
  <c r="AB91" i="25"/>
  <c r="AB94" i="25" s="1"/>
  <c r="AB87" i="25"/>
  <c r="AC87" i="25"/>
  <c r="U10" i="23"/>
  <c r="U13" i="23" s="1"/>
  <c r="L198" i="59"/>
  <c r="L207" i="59" s="1"/>
  <c r="CE207" i="59" s="1"/>
  <c r="N77" i="23"/>
  <c r="N79" i="23" s="1"/>
  <c r="N75" i="23"/>
  <c r="N23" i="23"/>
  <c r="BT21" i="23"/>
  <c r="U61" i="23"/>
  <c r="U251" i="23"/>
  <c r="CN22" i="23"/>
  <c r="U611" i="23"/>
  <c r="U607" i="23" s="1"/>
  <c r="Y95" i="25"/>
  <c r="Y97" i="25"/>
  <c r="Y98" i="25" s="1"/>
  <c r="AA97" i="25"/>
  <c r="Q44" i="23"/>
  <c r="Q40" i="23"/>
  <c r="S579" i="23"/>
  <c r="S585" i="23"/>
  <c r="S607" i="23"/>
  <c r="S614" i="23"/>
  <c r="S598" i="23" s="1"/>
  <c r="T371" i="23"/>
  <c r="CI13" i="23"/>
  <c r="T363" i="23"/>
  <c r="T370" i="23"/>
  <c r="T173" i="23" s="1"/>
  <c r="K7" i="56"/>
  <c r="T17" i="23"/>
  <c r="T14" i="23"/>
  <c r="R18" i="23"/>
  <c r="BY17" i="23"/>
  <c r="R21" i="23"/>
  <c r="AC92" i="25"/>
  <c r="Z92" i="25"/>
  <c r="Z94" i="25"/>
  <c r="AA95" i="25" s="1"/>
  <c r="CI7" i="23"/>
  <c r="T474" i="23"/>
  <c r="T499" i="23" s="1"/>
  <c r="S474" i="23"/>
  <c r="S499" i="23" s="1"/>
  <c r="CD7" i="23"/>
  <c r="N309" i="23"/>
  <c r="N310" i="23"/>
  <c r="H21" i="56"/>
  <c r="N160" i="23" s="1"/>
  <c r="BS79" i="23"/>
  <c r="BS78" i="23"/>
  <c r="CC58" i="23"/>
  <c r="CC50" i="23"/>
  <c r="CC52" i="23" s="1"/>
  <c r="CC55" i="23" s="1"/>
  <c r="CC60" i="23"/>
  <c r="CC65" i="23" s="1"/>
  <c r="CC69" i="23" s="1"/>
  <c r="CD13" i="23"/>
  <c r="S17" i="23"/>
  <c r="S14" i="23"/>
  <c r="S371" i="23"/>
  <c r="S363" i="23"/>
  <c r="J7" i="56"/>
  <c r="J14" i="56" s="1"/>
  <c r="S370" i="23"/>
  <c r="S173" i="23" s="1"/>
  <c r="R698" i="23"/>
  <c r="I19" i="56"/>
  <c r="I20" i="56" s="1"/>
  <c r="I31" i="56"/>
  <c r="I35" i="56"/>
  <c r="BX40" i="23"/>
  <c r="BX663" i="23"/>
  <c r="BX44" i="23"/>
  <c r="U585" i="23"/>
  <c r="U579" i="23"/>
  <c r="BJ213" i="59"/>
  <c r="BS34" i="23"/>
  <c r="R612" i="23"/>
  <c r="R607" i="23"/>
  <c r="AB226" i="59"/>
  <c r="AJ240" i="31"/>
  <c r="AI240" i="31"/>
  <c r="FF103" i="30"/>
  <c r="O45" i="52"/>
  <c r="R42" i="38"/>
  <c r="R32" i="38" s="1"/>
  <c r="R47" i="38"/>
  <c r="R6" i="38"/>
  <c r="V21" i="23"/>
  <c r="V23" i="23" s="1"/>
  <c r="E32" i="62"/>
  <c r="O32" i="62" s="1"/>
  <c r="CS17" i="23"/>
  <c r="W18" i="23"/>
  <c r="G29" i="62"/>
  <c r="Q29" i="62" s="1"/>
  <c r="AH129" i="31"/>
  <c r="AH120" i="31"/>
  <c r="Y14" i="23"/>
  <c r="Y17" i="23"/>
  <c r="P7" i="56"/>
  <c r="X44" i="23"/>
  <c r="X60" i="23" s="1"/>
  <c r="X65" i="23" s="1"/>
  <c r="X69" i="23" s="1"/>
  <c r="V193" i="23"/>
  <c r="P29" i="62"/>
  <c r="F52" i="62"/>
  <c r="P52" i="62" s="1"/>
  <c r="Q7" i="56"/>
  <c r="Z371" i="23"/>
  <c r="G32" i="62"/>
  <c r="Q32" i="62" s="1"/>
  <c r="Z14" i="23"/>
  <c r="H29" i="62"/>
  <c r="Z370" i="23"/>
  <c r="DC13" i="23"/>
  <c r="Z17" i="23"/>
  <c r="Z363" i="23"/>
  <c r="AI186" i="31"/>
  <c r="AI183" i="31"/>
  <c r="AI184" i="31" s="1"/>
  <c r="Z489" i="23"/>
  <c r="AG39" i="20"/>
  <c r="AE62" i="33"/>
  <c r="AC53" i="31"/>
  <c r="AS161" i="30"/>
  <c r="AG27" i="32"/>
  <c r="DC320" i="59"/>
  <c r="DC306" i="59"/>
  <c r="DC60" i="59"/>
  <c r="AH187" i="31"/>
  <c r="V486" i="23"/>
  <c r="V495" i="23"/>
  <c r="Z474" i="23"/>
  <c r="Z499" i="23" s="1"/>
  <c r="DC7" i="23"/>
  <c r="W521" i="23"/>
  <c r="W523" i="23"/>
  <c r="Z525" i="23" s="1"/>
  <c r="AJ128" i="23"/>
  <c r="AI150" i="23"/>
  <c r="AI152" i="23"/>
  <c r="F375" i="60"/>
  <c r="G372" i="60"/>
  <c r="AI516" i="23"/>
  <c r="Y43" i="52"/>
  <c r="I46" i="52" l="1"/>
  <c r="J44" i="52"/>
  <c r="B282" i="60"/>
  <c r="Y278" i="60"/>
  <c r="AF32" i="52"/>
  <c r="AB92" i="25"/>
  <c r="CN10" i="23"/>
  <c r="U7" i="23"/>
  <c r="CN7" i="23" s="1"/>
  <c r="CE198" i="59"/>
  <c r="M199" i="59"/>
  <c r="L200" i="59"/>
  <c r="L199" i="59"/>
  <c r="BY21" i="23"/>
  <c r="R23" i="23"/>
  <c r="R75" i="23"/>
  <c r="R76" i="23" s="1"/>
  <c r="R77" i="23"/>
  <c r="CI17" i="23"/>
  <c r="T18" i="23"/>
  <c r="T21" i="23"/>
  <c r="BS44" i="23"/>
  <c r="BS81" i="23"/>
  <c r="BS82" i="23" s="1"/>
  <c r="BS83" i="23"/>
  <c r="BS40" i="23"/>
  <c r="BS663" i="23"/>
  <c r="BX58" i="23"/>
  <c r="BX50" i="23"/>
  <c r="BX52" i="23" s="1"/>
  <c r="BX60" i="23"/>
  <c r="BX65" i="23" s="1"/>
  <c r="BX69" i="23" s="1"/>
  <c r="J16" i="56"/>
  <c r="J31" i="56"/>
  <c r="J19" i="56"/>
  <c r="J20" i="56" s="1"/>
  <c r="J35" i="56"/>
  <c r="S698" i="23"/>
  <c r="S18" i="23"/>
  <c r="S21" i="23"/>
  <c r="CD17" i="23"/>
  <c r="K14" i="56"/>
  <c r="D29" i="62"/>
  <c r="BT23" i="23"/>
  <c r="H213" i="59"/>
  <c r="N34" i="23"/>
  <c r="BX682" i="23"/>
  <c r="BX683" i="23" s="1"/>
  <c r="BX684" i="23" s="1"/>
  <c r="BX665" i="23"/>
  <c r="BX656" i="23" s="1"/>
  <c r="AC95" i="25"/>
  <c r="AB95" i="25"/>
  <c r="AB97" i="25"/>
  <c r="S599" i="23"/>
  <c r="S201" i="23" s="1"/>
  <c r="S202" i="23" s="1"/>
  <c r="S207" i="23" s="1"/>
  <c r="S240" i="23" s="1"/>
  <c r="T610" i="23"/>
  <c r="T614" i="23" s="1"/>
  <c r="T598" i="23" s="1"/>
  <c r="CN13" i="23"/>
  <c r="U17" i="23"/>
  <c r="U371" i="23"/>
  <c r="U173" i="23" s="1"/>
  <c r="U14" i="23"/>
  <c r="U370" i="23"/>
  <c r="U363" i="23"/>
  <c r="L7" i="56"/>
  <c r="V14" i="23"/>
  <c r="Z95" i="25"/>
  <c r="Z97" i="25"/>
  <c r="Z98" i="25" s="1"/>
  <c r="Q58" i="23"/>
  <c r="Q60" i="23"/>
  <c r="Q65" i="23" s="1"/>
  <c r="Q69" i="23" s="1"/>
  <c r="Q50" i="23"/>
  <c r="Q52" i="23" s="1"/>
  <c r="Q55" i="23" s="1"/>
  <c r="AC226" i="59"/>
  <c r="AD226" i="59" s="1"/>
  <c r="AE226" i="59" s="1"/>
  <c r="AJ186" i="31"/>
  <c r="AJ183" i="31"/>
  <c r="AJ184" i="31" s="1"/>
  <c r="P45" i="52"/>
  <c r="V75" i="23"/>
  <c r="CS21" i="23"/>
  <c r="V77" i="23"/>
  <c r="R9" i="38"/>
  <c r="R11" i="38" s="1"/>
  <c r="R4" i="38"/>
  <c r="R33" i="38"/>
  <c r="R34" i="38" s="1"/>
  <c r="S32" i="38"/>
  <c r="R40" i="38"/>
  <c r="G52" i="62"/>
  <c r="Q52" i="62" s="1"/>
  <c r="Y18" i="23"/>
  <c r="X50" i="23"/>
  <c r="X52" i="23" s="1"/>
  <c r="X55" i="23" s="1"/>
  <c r="X58" i="23"/>
  <c r="X98" i="23"/>
  <c r="Z173" i="23"/>
  <c r="AI187" i="31"/>
  <c r="AD53" i="31"/>
  <c r="AH39" i="20"/>
  <c r="AH27" i="32"/>
  <c r="AF62" i="33"/>
  <c r="AT161" i="30"/>
  <c r="CS23" i="23"/>
  <c r="M213" i="59"/>
  <c r="V34" i="23"/>
  <c r="W524" i="23"/>
  <c r="V523" i="23"/>
  <c r="V496" i="23"/>
  <c r="DC17" i="23"/>
  <c r="Z18" i="23"/>
  <c r="R29" i="62"/>
  <c r="H52" i="62"/>
  <c r="R52" i="62" s="1"/>
  <c r="H372" i="60"/>
  <c r="G375" i="60"/>
  <c r="AI153" i="23"/>
  <c r="AI154" i="23" s="1"/>
  <c r="AI122" i="23" s="1"/>
  <c r="AJ131" i="23"/>
  <c r="AJ148" i="23"/>
  <c r="AJ137" i="23"/>
  <c r="AJ134" i="23"/>
  <c r="AJ516" i="23"/>
  <c r="Z43" i="52"/>
  <c r="C282" i="60" l="1"/>
  <c r="B284" i="60"/>
  <c r="K44" i="52"/>
  <c r="J46" i="52"/>
  <c r="U474" i="23"/>
  <c r="U499" i="23" s="1"/>
  <c r="D32" i="62"/>
  <c r="N32" i="62" s="1"/>
  <c r="E29" i="62"/>
  <c r="U18" i="23"/>
  <c r="CN17" i="23"/>
  <c r="U21" i="23"/>
  <c r="V18" i="23"/>
  <c r="AB98" i="25"/>
  <c r="AC98" i="25"/>
  <c r="AA98" i="25"/>
  <c r="R79" i="23"/>
  <c r="R78" i="23"/>
  <c r="BX657" i="23"/>
  <c r="BX670" i="23"/>
  <c r="BX671" i="23"/>
  <c r="CD21" i="23"/>
  <c r="S75" i="23"/>
  <c r="S76" i="23" s="1"/>
  <c r="S23" i="23"/>
  <c r="S77" i="23"/>
  <c r="BX55" i="23"/>
  <c r="BX98" i="23"/>
  <c r="BX100" i="23" s="1"/>
  <c r="BS84" i="23"/>
  <c r="BS85" i="23"/>
  <c r="CI21" i="23"/>
  <c r="T23" i="23"/>
  <c r="T77" i="23"/>
  <c r="T75" i="23"/>
  <c r="U610" i="23"/>
  <c r="U614" i="23" s="1"/>
  <c r="U598" i="23" s="1"/>
  <c r="T599" i="23"/>
  <c r="T201" i="23" s="1"/>
  <c r="T202" i="23" s="1"/>
  <c r="T207" i="23" s="1"/>
  <c r="T240" i="23" s="1"/>
  <c r="D52" i="62"/>
  <c r="N52" i="62" s="1"/>
  <c r="N29" i="62"/>
  <c r="R34" i="23"/>
  <c r="I213" i="59"/>
  <c r="BY23" i="23"/>
  <c r="N40" i="23"/>
  <c r="BT34" i="23"/>
  <c r="N81" i="23"/>
  <c r="N663" i="23"/>
  <c r="N44" i="23"/>
  <c r="N83" i="23"/>
  <c r="N85" i="23" s="1"/>
  <c r="K16" i="56"/>
  <c r="T698" i="23"/>
  <c r="K35" i="56"/>
  <c r="D41" i="62"/>
  <c r="K31" i="56"/>
  <c r="K19" i="56"/>
  <c r="K20" i="56" s="1"/>
  <c r="J21" i="56"/>
  <c r="S310" i="23"/>
  <c r="S309" i="23"/>
  <c r="BS89" i="23"/>
  <c r="BS60" i="23"/>
  <c r="BS65" i="23" s="1"/>
  <c r="BS69" i="23" s="1"/>
  <c r="BS58" i="23"/>
  <c r="BS50" i="23"/>
  <c r="BS52" i="23" s="1"/>
  <c r="BS87" i="23"/>
  <c r="BS88" i="23" s="1"/>
  <c r="AJ187" i="31"/>
  <c r="V79" i="23"/>
  <c r="Q45" i="52"/>
  <c r="S33" i="38"/>
  <c r="S42" i="38" s="1"/>
  <c r="T32" i="38"/>
  <c r="S40" i="38"/>
  <c r="O23" i="56"/>
  <c r="X100" i="23"/>
  <c r="V524" i="23"/>
  <c r="V525" i="23"/>
  <c r="Z524" i="23"/>
  <c r="W525" i="23"/>
  <c r="CS34" i="23"/>
  <c r="V40" i="23"/>
  <c r="V81" i="23"/>
  <c r="V44" i="23"/>
  <c r="O10" i="56"/>
  <c r="V663" i="23"/>
  <c r="V83" i="23"/>
  <c r="AI39" i="20"/>
  <c r="AG62" i="33"/>
  <c r="AI27" i="32"/>
  <c r="AE53" i="31"/>
  <c r="AU161" i="30"/>
  <c r="AJ152" i="23"/>
  <c r="AJ150" i="23"/>
  <c r="AK128" i="23"/>
  <c r="I372" i="60"/>
  <c r="H375" i="60"/>
  <c r="AK516" i="23"/>
  <c r="AA43" i="52"/>
  <c r="L44" i="52" l="1"/>
  <c r="K46" i="52"/>
  <c r="D282" i="60"/>
  <c r="C284" i="60"/>
  <c r="T76" i="23"/>
  <c r="BS55" i="23"/>
  <c r="BS98" i="23"/>
  <c r="BS100" i="23" s="1"/>
  <c r="K21" i="56"/>
  <c r="T309" i="23"/>
  <c r="T310" i="23"/>
  <c r="N41" i="62"/>
  <c r="D54" i="62"/>
  <c r="N54" i="62" s="1"/>
  <c r="S79" i="23"/>
  <c r="S78" i="23"/>
  <c r="BS95" i="23"/>
  <c r="BS93" i="23"/>
  <c r="BS94" i="23" s="1"/>
  <c r="J25" i="56"/>
  <c r="S160" i="23"/>
  <c r="N58" i="23"/>
  <c r="BT44" i="23"/>
  <c r="N87" i="23"/>
  <c r="N60" i="23"/>
  <c r="N65" i="23" s="1"/>
  <c r="N69" i="23" s="1"/>
  <c r="N50" i="23"/>
  <c r="N89" i="23"/>
  <c r="N91" i="23" s="1"/>
  <c r="T79" i="23"/>
  <c r="T78" i="23"/>
  <c r="J213" i="59"/>
  <c r="S34" i="23"/>
  <c r="CD23" i="23"/>
  <c r="CN21" i="23"/>
  <c r="U75" i="23"/>
  <c r="U77" i="23"/>
  <c r="U23" i="23"/>
  <c r="O29" i="62"/>
  <c r="E52" i="62"/>
  <c r="O52" i="62" s="1"/>
  <c r="BS90" i="23"/>
  <c r="BS91" i="23"/>
  <c r="N671" i="23"/>
  <c r="N670" i="23"/>
  <c r="N665" i="23"/>
  <c r="N666" i="23" s="1"/>
  <c r="N667" i="23" s="1"/>
  <c r="N669" i="23" s="1"/>
  <c r="BS669" i="23" s="1"/>
  <c r="BS667" i="23" s="1"/>
  <c r="R663" i="23"/>
  <c r="R81" i="23"/>
  <c r="R82" i="23" s="1"/>
  <c r="R40" i="23"/>
  <c r="R44" i="23"/>
  <c r="BY34" i="23"/>
  <c r="R83" i="23"/>
  <c r="U599" i="23"/>
  <c r="U201" i="23" s="1"/>
  <c r="U202" i="23" s="1"/>
  <c r="U207" i="23" s="1"/>
  <c r="V610" i="23"/>
  <c r="V614" i="23" s="1"/>
  <c r="V598" i="23" s="1"/>
  <c r="K213" i="59"/>
  <c r="CI23" i="23"/>
  <c r="T34" i="23"/>
  <c r="R45" i="52"/>
  <c r="T40" i="38"/>
  <c r="U32" i="38"/>
  <c r="T33" i="38"/>
  <c r="S34" i="38"/>
  <c r="S46" i="38"/>
  <c r="V671" i="23"/>
  <c r="V670" i="23"/>
  <c r="V664" i="23"/>
  <c r="O14" i="56"/>
  <c r="O15" i="56"/>
  <c r="AH62" i="33"/>
  <c r="AF53" i="31"/>
  <c r="AJ27" i="32"/>
  <c r="AJ39" i="20"/>
  <c r="AV161" i="30"/>
  <c r="V60" i="23"/>
  <c r="V58" i="23"/>
  <c r="V89" i="23"/>
  <c r="V50" i="23"/>
  <c r="V87" i="23"/>
  <c r="V85" i="23"/>
  <c r="I375" i="60"/>
  <c r="J372" i="60"/>
  <c r="AK131" i="23"/>
  <c r="AK148" i="23"/>
  <c r="AK137" i="23"/>
  <c r="AK134" i="23"/>
  <c r="AJ153" i="23"/>
  <c r="AJ154" i="23" s="1"/>
  <c r="AJ122" i="23" s="1"/>
  <c r="AL516" i="23"/>
  <c r="AB43" i="52"/>
  <c r="E282" i="60" l="1"/>
  <c r="D284" i="60"/>
  <c r="M44" i="52"/>
  <c r="L46" i="52"/>
  <c r="T663" i="23"/>
  <c r="T44" i="23"/>
  <c r="T81" i="23"/>
  <c r="CI34" i="23"/>
  <c r="T40" i="23"/>
  <c r="T83" i="23"/>
  <c r="V599" i="23"/>
  <c r="V201" i="23" s="1"/>
  <c r="V202" i="23" s="1"/>
  <c r="V207" i="23" s="1"/>
  <c r="W610" i="23"/>
  <c r="R60" i="23"/>
  <c r="R65" i="23" s="1"/>
  <c r="R69" i="23" s="1"/>
  <c r="BY44" i="23"/>
  <c r="R89" i="23"/>
  <c r="R87" i="23"/>
  <c r="R88" i="23" s="1"/>
  <c r="R50" i="23"/>
  <c r="R58" i="23"/>
  <c r="U79" i="23"/>
  <c r="U78" i="23"/>
  <c r="V78" i="23"/>
  <c r="S40" i="23"/>
  <c r="S44" i="23"/>
  <c r="CD34" i="23"/>
  <c r="S81" i="23"/>
  <c r="S82" i="23" s="1"/>
  <c r="S663" i="23"/>
  <c r="S83" i="23"/>
  <c r="T160" i="23"/>
  <c r="K25" i="56"/>
  <c r="K22" i="56"/>
  <c r="R85" i="23"/>
  <c r="R84" i="23"/>
  <c r="BT50" i="23"/>
  <c r="N52" i="23"/>
  <c r="BS96" i="23"/>
  <c r="BS97" i="23"/>
  <c r="U76" i="23"/>
  <c r="V76" i="23"/>
  <c r="R665" i="23"/>
  <c r="R666" i="23" s="1"/>
  <c r="R667" i="23" s="1"/>
  <c r="R670" i="23"/>
  <c r="R682" i="23"/>
  <c r="R683" i="23" s="1"/>
  <c r="R684" i="23" s="1"/>
  <c r="I15" i="56" s="1"/>
  <c r="I16" i="56" s="1"/>
  <c r="R671" i="23"/>
  <c r="L213" i="59"/>
  <c r="CN23" i="23"/>
  <c r="U34" i="23"/>
  <c r="N95" i="23"/>
  <c r="H26" i="56"/>
  <c r="N93" i="23"/>
  <c r="S45" i="52"/>
  <c r="T34" i="38"/>
  <c r="T42" i="38"/>
  <c r="T46" i="38" s="1"/>
  <c r="U15" i="59"/>
  <c r="S47" i="38"/>
  <c r="S6" i="38"/>
  <c r="U33" i="38"/>
  <c r="V33" i="38" s="1"/>
  <c r="V42" i="38" s="1"/>
  <c r="U40" i="38"/>
  <c r="CS50" i="23"/>
  <c r="V52" i="23"/>
  <c r="AW161" i="30"/>
  <c r="AI62" i="33"/>
  <c r="AK27" i="32"/>
  <c r="AG53" i="31"/>
  <c r="AK39" i="20"/>
  <c r="V91" i="23"/>
  <c r="O16" i="56"/>
  <c r="O21" i="56" s="1"/>
  <c r="O25" i="56" s="1"/>
  <c r="O19" i="56"/>
  <c r="V98" i="23"/>
  <c r="V665" i="23"/>
  <c r="V666" i="23" s="1"/>
  <c r="V667" i="23" s="1"/>
  <c r="V668" i="23"/>
  <c r="V63" i="23"/>
  <c r="V674" i="23" s="1"/>
  <c r="V673" i="23" s="1"/>
  <c r="AK150" i="23"/>
  <c r="AL128" i="23"/>
  <c r="AK152" i="23"/>
  <c r="J375" i="60"/>
  <c r="K372" i="60"/>
  <c r="AM516" i="23"/>
  <c r="AC43" i="52"/>
  <c r="N44" i="52" l="1"/>
  <c r="M46" i="52"/>
  <c r="F282" i="60"/>
  <c r="E284" i="60"/>
  <c r="T82" i="23"/>
  <c r="H27" i="56"/>
  <c r="H28" i="56"/>
  <c r="U81" i="23"/>
  <c r="CN34" i="23"/>
  <c r="U663" i="23"/>
  <c r="U83" i="23"/>
  <c r="U40" i="23"/>
  <c r="U44" i="23"/>
  <c r="N246" i="23"/>
  <c r="N249" i="23" s="1"/>
  <c r="N261" i="23" s="1"/>
  <c r="N277" i="23" s="1"/>
  <c r="BT52" i="23"/>
  <c r="N55" i="23"/>
  <c r="N98" i="23"/>
  <c r="S665" i="23"/>
  <c r="S666" i="23" s="1"/>
  <c r="S667" i="23" s="1"/>
  <c r="S670" i="23"/>
  <c r="S682" i="23"/>
  <c r="S683" i="23" s="1"/>
  <c r="S684" i="23" s="1"/>
  <c r="S671" i="23"/>
  <c r="T85" i="23"/>
  <c r="T84" i="23"/>
  <c r="CI44" i="23"/>
  <c r="T89" i="23"/>
  <c r="T58" i="23"/>
  <c r="T50" i="23"/>
  <c r="T60" i="23"/>
  <c r="T65" i="23" s="1"/>
  <c r="T69" i="23" s="1"/>
  <c r="T87" i="23"/>
  <c r="S84" i="23"/>
  <c r="S85" i="23"/>
  <c r="CD44" i="23"/>
  <c r="S60" i="23"/>
  <c r="S65" i="23" s="1"/>
  <c r="S69" i="23" s="1"/>
  <c r="S58" i="23"/>
  <c r="S50" i="23"/>
  <c r="S87" i="23"/>
  <c r="S88" i="23" s="1"/>
  <c r="S89" i="23"/>
  <c r="R90" i="23"/>
  <c r="R91" i="23"/>
  <c r="R310" i="23"/>
  <c r="R309" i="23"/>
  <c r="I21" i="56"/>
  <c r="BY50" i="23"/>
  <c r="R52" i="23"/>
  <c r="R95" i="23"/>
  <c r="R96" i="23" s="1"/>
  <c r="I26" i="56"/>
  <c r="I27" i="56" s="1"/>
  <c r="R93" i="23"/>
  <c r="R94" i="23" s="1"/>
  <c r="T671" i="23"/>
  <c r="T665" i="23"/>
  <c r="T666" i="23" s="1"/>
  <c r="T667" i="23" s="1"/>
  <c r="T670" i="23"/>
  <c r="T682" i="23"/>
  <c r="T683" i="23" s="1"/>
  <c r="T684" i="23" s="1"/>
  <c r="V46" i="38"/>
  <c r="W33" i="38"/>
  <c r="T45" i="52"/>
  <c r="S4" i="38"/>
  <c r="S9" i="38"/>
  <c r="S11" i="38" s="1"/>
  <c r="U42" i="38"/>
  <c r="U34" i="38"/>
  <c r="DH15" i="59"/>
  <c r="AO103" i="30"/>
  <c r="U16" i="59"/>
  <c r="T47" i="38"/>
  <c r="V15" i="59"/>
  <c r="T6" i="38"/>
  <c r="AK153" i="23"/>
  <c r="AK154" i="23" s="1"/>
  <c r="AK122" i="23" s="1"/>
  <c r="AL39" i="20"/>
  <c r="AH53" i="31"/>
  <c r="AJ62" i="33"/>
  <c r="AL27" i="32"/>
  <c r="AX161" i="30"/>
  <c r="AY161" i="30" s="1"/>
  <c r="AJ53" i="31" s="1"/>
  <c r="M23" i="56"/>
  <c r="F35" i="62"/>
  <c r="E38" i="62"/>
  <c r="V55" i="23"/>
  <c r="V246" i="23"/>
  <c r="V249" i="23" s="1"/>
  <c r="V261" i="23" s="1"/>
  <c r="V275" i="23" s="1"/>
  <c r="CS52" i="23"/>
  <c r="V65" i="23"/>
  <c r="V69" i="23" s="1"/>
  <c r="AL148" i="23"/>
  <c r="AL131" i="23"/>
  <c r="AL137" i="23"/>
  <c r="AL134" i="23"/>
  <c r="K375" i="60"/>
  <c r="L372" i="60"/>
  <c r="AD43" i="52"/>
  <c r="G282" i="60" l="1"/>
  <c r="F284" i="60"/>
  <c r="O44" i="52"/>
  <c r="N46" i="52"/>
  <c r="CD50" i="23"/>
  <c r="S52" i="23"/>
  <c r="T88" i="23"/>
  <c r="T91" i="23"/>
  <c r="T90" i="23"/>
  <c r="N100" i="23"/>
  <c r="H23" i="56"/>
  <c r="U89" i="23"/>
  <c r="U58" i="23"/>
  <c r="U87" i="23"/>
  <c r="U60" i="23"/>
  <c r="U50" i="23"/>
  <c r="U82" i="23"/>
  <c r="V82" i="23"/>
  <c r="S91" i="23"/>
  <c r="S90" i="23"/>
  <c r="J26" i="56"/>
  <c r="S95" i="23"/>
  <c r="S96" i="23" s="1"/>
  <c r="S93" i="23"/>
  <c r="S94" i="23" s="1"/>
  <c r="T52" i="23"/>
  <c r="CI50" i="23"/>
  <c r="U85" i="23"/>
  <c r="U84" i="23"/>
  <c r="V84" i="23"/>
  <c r="J22" i="56"/>
  <c r="I22" i="56"/>
  <c r="I28" i="56"/>
  <c r="R160" i="23"/>
  <c r="K26" i="56"/>
  <c r="T93" i="23"/>
  <c r="T95" i="23"/>
  <c r="BY52" i="23"/>
  <c r="R246" i="23"/>
  <c r="R249" i="23" s="1"/>
  <c r="R261" i="23" s="1"/>
  <c r="R277" i="23" s="1"/>
  <c r="R98" i="23"/>
  <c r="R55" i="23"/>
  <c r="N288" i="23"/>
  <c r="N319" i="23" s="1"/>
  <c r="N302" i="23"/>
  <c r="N303" i="23" s="1"/>
  <c r="R300" i="23" s="1"/>
  <c r="U671" i="23"/>
  <c r="U664" i="23"/>
  <c r="U670" i="23"/>
  <c r="U46" i="38"/>
  <c r="U6" i="38" s="1"/>
  <c r="X33" i="38"/>
  <c r="W42" i="38"/>
  <c r="W46" i="38" s="1"/>
  <c r="FJ103" i="30"/>
  <c r="FK103" i="30" s="1"/>
  <c r="DI15" i="59"/>
  <c r="V6" i="38"/>
  <c r="AO104" i="30"/>
  <c r="U45" i="52"/>
  <c r="AN39" i="20"/>
  <c r="AN27" i="32"/>
  <c r="AL62" i="33"/>
  <c r="DH59" i="59"/>
  <c r="DH16" i="59"/>
  <c r="T4" i="38"/>
  <c r="T9" i="38"/>
  <c r="T11" i="38" s="1"/>
  <c r="V16" i="59"/>
  <c r="AP103" i="30"/>
  <c r="AP104" i="30" s="1"/>
  <c r="AK62" i="33"/>
  <c r="AM27" i="32"/>
  <c r="AM39" i="20"/>
  <c r="AI53" i="31"/>
  <c r="M11" i="56"/>
  <c r="M14" i="56" s="1"/>
  <c r="V273" i="23"/>
  <c r="E39" i="62"/>
  <c r="O38" i="62"/>
  <c r="O39" i="62" s="1"/>
  <c r="V93" i="23"/>
  <c r="V95" i="23"/>
  <c r="M26" i="56"/>
  <c r="P35" i="62"/>
  <c r="P36" i="62" s="1"/>
  <c r="F36" i="62"/>
  <c r="L375" i="60"/>
  <c r="M372" i="60"/>
  <c r="AL150" i="23"/>
  <c r="AM128" i="23"/>
  <c r="AL152" i="23"/>
  <c r="AE43" i="52"/>
  <c r="AF43" i="52" s="1"/>
  <c r="P44" i="52" l="1"/>
  <c r="O46" i="52"/>
  <c r="H282" i="60"/>
  <c r="G284" i="60"/>
  <c r="U47" i="38"/>
  <c r="T94" i="23"/>
  <c r="R288" i="23"/>
  <c r="R298" i="23" s="1"/>
  <c r="R302" i="23" s="1"/>
  <c r="R303" i="23" s="1"/>
  <c r="S300" i="23" s="1"/>
  <c r="K27" i="56"/>
  <c r="K28" i="56"/>
  <c r="J28" i="56"/>
  <c r="J27" i="56"/>
  <c r="U88" i="23"/>
  <c r="V88" i="23"/>
  <c r="CD52" i="23"/>
  <c r="S246" i="23"/>
  <c r="S249" i="23" s="1"/>
  <c r="S261" i="23" s="1"/>
  <c r="S277" i="23" s="1"/>
  <c r="S55" i="23"/>
  <c r="R100" i="23"/>
  <c r="I23" i="56"/>
  <c r="H25" i="56"/>
  <c r="H24" i="56"/>
  <c r="CI52" i="23"/>
  <c r="T246" i="23"/>
  <c r="T249" i="23" s="1"/>
  <c r="T261" i="23" s="1"/>
  <c r="T277" i="23" s="1"/>
  <c r="T302" i="23" s="1"/>
  <c r="T55" i="23"/>
  <c r="U98" i="23"/>
  <c r="U668" i="23"/>
  <c r="BP664" i="23"/>
  <c r="U63" i="23"/>
  <c r="U674" i="23" s="1"/>
  <c r="U673" i="23" s="1"/>
  <c r="U665" i="23"/>
  <c r="U666" i="23" s="1"/>
  <c r="U667" i="23" s="1"/>
  <c r="T96" i="23"/>
  <c r="U52" i="23"/>
  <c r="CN50" i="23"/>
  <c r="U90" i="23"/>
  <c r="U91" i="23"/>
  <c r="V90" i="23"/>
  <c r="W15" i="59"/>
  <c r="V47" i="38"/>
  <c r="FJ104" i="30"/>
  <c r="Y33" i="38"/>
  <c r="X42" i="38"/>
  <c r="X46" i="38" s="1"/>
  <c r="W47" i="38"/>
  <c r="W6" i="38"/>
  <c r="DH60" i="59"/>
  <c r="V45" i="52"/>
  <c r="V4" i="38"/>
  <c r="U9" i="38"/>
  <c r="U11" i="38" s="1"/>
  <c r="U4" i="38"/>
  <c r="AL153" i="23"/>
  <c r="AL154" i="23" s="1"/>
  <c r="AL122" i="23" s="1"/>
  <c r="M16" i="56"/>
  <c r="V698" i="23"/>
  <c r="E44" i="62"/>
  <c r="O44" i="62" s="1"/>
  <c r="M19" i="56"/>
  <c r="M31" i="56"/>
  <c r="F41" i="62"/>
  <c r="AM131" i="23"/>
  <c r="AM148" i="23"/>
  <c r="AN128" i="23" s="1"/>
  <c r="AM137" i="23"/>
  <c r="AM134" i="23"/>
  <c r="M375" i="60"/>
  <c r="N372" i="60"/>
  <c r="I282" i="60" l="1"/>
  <c r="H284" i="60"/>
  <c r="Q44" i="52"/>
  <c r="P46" i="52"/>
  <c r="R304" i="23"/>
  <c r="R319" i="23"/>
  <c r="R361" i="23" s="1"/>
  <c r="S416" i="23" s="1"/>
  <c r="S417" i="23" s="1"/>
  <c r="S464" i="23" s="1"/>
  <c r="L23" i="56"/>
  <c r="D38" i="62"/>
  <c r="E35" i="62"/>
  <c r="S369" i="23"/>
  <c r="I24" i="56"/>
  <c r="J24" i="56"/>
  <c r="I25" i="56"/>
  <c r="S288" i="23"/>
  <c r="S298" i="23" s="1"/>
  <c r="S302" i="23" s="1"/>
  <c r="S303" i="23" s="1"/>
  <c r="U65" i="23"/>
  <c r="U69" i="23" s="1"/>
  <c r="U55" i="23"/>
  <c r="CN52" i="23"/>
  <c r="U233" i="23"/>
  <c r="U246" i="23"/>
  <c r="U249" i="23" s="1"/>
  <c r="U261" i="23" s="1"/>
  <c r="U275" i="23" s="1"/>
  <c r="BQ664" i="23"/>
  <c r="BP665" i="23"/>
  <c r="BP666" i="23"/>
  <c r="BP98" i="23"/>
  <c r="BP100" i="23" s="1"/>
  <c r="AQ103" i="30"/>
  <c r="AQ104" i="30" s="1"/>
  <c r="W16" i="59"/>
  <c r="X47" i="38"/>
  <c r="X6" i="38"/>
  <c r="Z33" i="38"/>
  <c r="Y42" i="38"/>
  <c r="Y46" i="38" s="1"/>
  <c r="AN131" i="23"/>
  <c r="AN148" i="23"/>
  <c r="AN137" i="23"/>
  <c r="AN134" i="23"/>
  <c r="W45" i="52"/>
  <c r="W4" i="38"/>
  <c r="V9" i="38"/>
  <c r="V11" i="38" s="1"/>
  <c r="F54" i="62"/>
  <c r="P54" i="62" s="1"/>
  <c r="P41" i="62"/>
  <c r="M21" i="56"/>
  <c r="V310" i="23"/>
  <c r="E47" i="62"/>
  <c r="O47" i="62" s="1"/>
  <c r="AM152" i="23"/>
  <c r="AM150" i="23"/>
  <c r="N375" i="60"/>
  <c r="O372" i="60"/>
  <c r="R44" i="52" l="1"/>
  <c r="Q46" i="52"/>
  <c r="J282" i="60"/>
  <c r="I284" i="60"/>
  <c r="S368" i="23"/>
  <c r="R368" i="23"/>
  <c r="R369" i="23"/>
  <c r="R416" i="23"/>
  <c r="R417" i="23" s="1"/>
  <c r="R464" i="23" s="1"/>
  <c r="BQ98" i="23"/>
  <c r="BQ100" i="23" s="1"/>
  <c r="BQ665" i="23"/>
  <c r="BQ666" i="23"/>
  <c r="BR664" i="23"/>
  <c r="E36" i="62"/>
  <c r="O35" i="62"/>
  <c r="O36" i="62" s="1"/>
  <c r="U273" i="23"/>
  <c r="L11" i="56"/>
  <c r="L14" i="56" s="1"/>
  <c r="U93" i="23"/>
  <c r="L26" i="56"/>
  <c r="U95" i="23"/>
  <c r="D39" i="62"/>
  <c r="N38" i="62"/>
  <c r="N39" i="62" s="1"/>
  <c r="U234" i="23"/>
  <c r="U307" i="23" s="1"/>
  <c r="V233" i="23"/>
  <c r="T300" i="23"/>
  <c r="T303" i="23" s="1"/>
  <c r="S304" i="23"/>
  <c r="L24" i="56"/>
  <c r="M24" i="56"/>
  <c r="BP656" i="23"/>
  <c r="Y6" i="38"/>
  <c r="Y4" i="38" s="1"/>
  <c r="Y47" i="38"/>
  <c r="AA33" i="38"/>
  <c r="Z42" i="38"/>
  <c r="Z46" i="38" s="1"/>
  <c r="X9" i="38"/>
  <c r="X11" i="38" s="1"/>
  <c r="X4" i="38"/>
  <c r="AN150" i="23"/>
  <c r="AN152" i="23"/>
  <c r="X45" i="52"/>
  <c r="X15" i="59"/>
  <c r="W9" i="38"/>
  <c r="W11" i="38" s="1"/>
  <c r="AM153" i="23"/>
  <c r="AM154" i="23" s="1"/>
  <c r="AM122" i="23" s="1"/>
  <c r="M25" i="56"/>
  <c r="M28" i="56"/>
  <c r="V160" i="23"/>
  <c r="P372" i="60"/>
  <c r="O375" i="60"/>
  <c r="K282" i="60" l="1"/>
  <c r="J284" i="60"/>
  <c r="S44" i="52"/>
  <c r="R46" i="52"/>
  <c r="U237" i="23"/>
  <c r="U239" i="23" s="1"/>
  <c r="U240" i="23" s="1"/>
  <c r="L16" i="56"/>
  <c r="U698" i="23"/>
  <c r="L19" i="56"/>
  <c r="E41" i="62"/>
  <c r="L31" i="56"/>
  <c r="D44" i="62"/>
  <c r="N44" i="62" s="1"/>
  <c r="BR98" i="23"/>
  <c r="BR100" i="23" s="1"/>
  <c r="BR666" i="23"/>
  <c r="BS664" i="23"/>
  <c r="BR665" i="23"/>
  <c r="V234" i="23"/>
  <c r="V307" i="23" s="1"/>
  <c r="U96" i="23"/>
  <c r="V96" i="23"/>
  <c r="L33" i="56"/>
  <c r="L34" i="56" s="1"/>
  <c r="L35" i="56" s="1"/>
  <c r="U308" i="23"/>
  <c r="L27" i="56"/>
  <c r="M27" i="56"/>
  <c r="BQ656" i="23"/>
  <c r="BP670" i="23"/>
  <c r="BP671" i="23"/>
  <c r="T304" i="23"/>
  <c r="U300" i="23"/>
  <c r="U303" i="23" s="1"/>
  <c r="U94" i="23"/>
  <c r="V94" i="23"/>
  <c r="Z47" i="38"/>
  <c r="Z6" i="38"/>
  <c r="Z4" i="38" s="1"/>
  <c r="AB33" i="38"/>
  <c r="AA42" i="38"/>
  <c r="AA46" i="38" s="1"/>
  <c r="AN153" i="23"/>
  <c r="AN154" i="23" s="1"/>
  <c r="AN122" i="23" s="1"/>
  <c r="Y45" i="52"/>
  <c r="X16" i="59"/>
  <c r="AR103" i="30"/>
  <c r="AR104" i="30" s="1"/>
  <c r="Y15" i="59"/>
  <c r="Q372" i="60"/>
  <c r="P375" i="60"/>
  <c r="T44" i="52" l="1"/>
  <c r="S46" i="52"/>
  <c r="L282" i="60"/>
  <c r="K284" i="60"/>
  <c r="U309" i="23"/>
  <c r="V237" i="23"/>
  <c r="V239" i="23" s="1"/>
  <c r="V240" i="23" s="1"/>
  <c r="O41" i="62"/>
  <c r="E54" i="62"/>
  <c r="O54" i="62" s="1"/>
  <c r="BR656" i="23"/>
  <c r="BS656" i="23" s="1"/>
  <c r="U304" i="23"/>
  <c r="V300" i="23"/>
  <c r="V303" i="23" s="1"/>
  <c r="BQ670" i="23"/>
  <c r="BQ671" i="23"/>
  <c r="M33" i="56"/>
  <c r="V308" i="23"/>
  <c r="V309" i="23" s="1"/>
  <c r="L20" i="56"/>
  <c r="M20" i="56"/>
  <c r="BS665" i="23"/>
  <c r="BS666" i="23"/>
  <c r="L21" i="56"/>
  <c r="D47" i="62"/>
  <c r="N47" i="62" s="1"/>
  <c r="U310" i="23"/>
  <c r="AA47" i="38"/>
  <c r="AA6" i="38"/>
  <c r="AA4" i="38" s="1"/>
  <c r="AC33" i="38"/>
  <c r="AC42" i="38" s="1"/>
  <c r="AC46" i="38" s="1"/>
  <c r="AB42" i="38"/>
  <c r="AB46" i="38" s="1"/>
  <c r="Z45" i="52"/>
  <c r="Y16" i="59"/>
  <c r="AS103" i="30"/>
  <c r="AS104" i="30" s="1"/>
  <c r="Z15" i="59"/>
  <c r="Y9" i="38"/>
  <c r="Y11" i="38" s="1"/>
  <c r="R372" i="60"/>
  <c r="Q375" i="60"/>
  <c r="M282" i="60" l="1"/>
  <c r="L284" i="60"/>
  <c r="U44" i="52"/>
  <c r="T46" i="52"/>
  <c r="M34" i="56"/>
  <c r="M35" i="56" s="1"/>
  <c r="U160" i="23"/>
  <c r="L22" i="56"/>
  <c r="L25" i="56"/>
  <c r="L28" i="56"/>
  <c r="M22" i="56"/>
  <c r="BR671" i="23"/>
  <c r="BR670" i="23"/>
  <c r="V304" i="23"/>
  <c r="W300" i="23"/>
  <c r="W303" i="23" s="1"/>
  <c r="BS670" i="23"/>
  <c r="BS671" i="23"/>
  <c r="AB47" i="38"/>
  <c r="AB6" i="38"/>
  <c r="AB4" i="38" s="1"/>
  <c r="AC6" i="38"/>
  <c r="AC4" i="38" s="1"/>
  <c r="AC47" i="38"/>
  <c r="AA45" i="52"/>
  <c r="Z9" i="38"/>
  <c r="Z11" i="38" s="1"/>
  <c r="AT103" i="30"/>
  <c r="AT104" i="30" s="1"/>
  <c r="Z16" i="59"/>
  <c r="AA15" i="59"/>
  <c r="S372" i="60"/>
  <c r="R375" i="60"/>
  <c r="V44" i="52" l="1"/>
  <c r="U46" i="52"/>
  <c r="N282" i="60"/>
  <c r="M284" i="60"/>
  <c r="W304" i="23"/>
  <c r="Z300" i="23"/>
  <c r="Z303" i="23" s="1"/>
  <c r="AB45" i="52"/>
  <c r="AA9" i="38"/>
  <c r="AA11" i="38" s="1"/>
  <c r="AB15" i="59"/>
  <c r="AU103" i="30"/>
  <c r="AU104" i="30" s="1"/>
  <c r="AA16" i="59"/>
  <c r="S375" i="60"/>
  <c r="T372" i="60"/>
  <c r="O282" i="60" l="1"/>
  <c r="N284" i="60"/>
  <c r="W44" i="52"/>
  <c r="V46" i="52"/>
  <c r="Z304" i="23"/>
  <c r="AA300" i="23"/>
  <c r="AA303" i="23" s="1"/>
  <c r="AC45" i="52"/>
  <c r="AV103" i="30"/>
  <c r="AV104" i="30" s="1"/>
  <c r="AB16" i="59"/>
  <c r="AC15" i="59"/>
  <c r="AB9" i="38"/>
  <c r="AB11" i="38" s="1"/>
  <c r="U372" i="60"/>
  <c r="T375" i="60"/>
  <c r="X44" i="52" l="1"/>
  <c r="W46" i="52"/>
  <c r="P282" i="60"/>
  <c r="O284" i="60"/>
  <c r="AD45" i="52"/>
  <c r="AC16" i="59"/>
  <c r="AW103" i="30"/>
  <c r="AW104" i="30" s="1"/>
  <c r="AC9" i="38"/>
  <c r="AC11" i="38" s="1"/>
  <c r="AD15" i="59"/>
  <c r="V372" i="60"/>
  <c r="U375" i="60"/>
  <c r="Q282" i="60" l="1"/>
  <c r="P284" i="60"/>
  <c r="Y44" i="52"/>
  <c r="X46" i="52"/>
  <c r="AE45" i="52"/>
  <c r="AD16" i="59"/>
  <c r="AX103" i="30"/>
  <c r="AE15" i="59"/>
  <c r="W372" i="60"/>
  <c r="V375" i="60"/>
  <c r="Z44" i="52" l="1"/>
  <c r="Y46" i="52"/>
  <c r="R282" i="60"/>
  <c r="Q284" i="60"/>
  <c r="AY103" i="30"/>
  <c r="AY104" i="30" s="1"/>
  <c r="AF45" i="52"/>
  <c r="AX104" i="30"/>
  <c r="AE16" i="59"/>
  <c r="W375" i="60"/>
  <c r="X372" i="60"/>
  <c r="S282" i="60" l="1"/>
  <c r="R284" i="60"/>
  <c r="AA44" i="52"/>
  <c r="Z46" i="52"/>
  <c r="X375" i="60"/>
  <c r="Y372" i="60"/>
  <c r="Y375" i="60" s="1"/>
  <c r="AB44" i="52" l="1"/>
  <c r="AA46" i="52"/>
  <c r="T282" i="60"/>
  <c r="S284" i="60"/>
  <c r="R105" i="59"/>
  <c r="S105" i="59" s="1"/>
  <c r="R107" i="59"/>
  <c r="S107" i="59" s="1"/>
  <c r="CY107" i="59" s="1"/>
  <c r="CX108" i="59"/>
  <c r="CX202" i="59" s="1"/>
  <c r="CX206" i="59" s="1"/>
  <c r="CX114" i="59"/>
  <c r="CX115" i="59" s="1"/>
  <c r="U282" i="60" l="1"/>
  <c r="T284" i="60"/>
  <c r="AC44" i="52"/>
  <c r="AB46" i="52"/>
  <c r="CY105" i="59"/>
  <c r="S202" i="59"/>
  <c r="CY202" i="59" s="1"/>
  <c r="R113" i="59"/>
  <c r="R111" i="59"/>
  <c r="R108" i="59"/>
  <c r="CX116" i="59"/>
  <c r="AD44" i="52" l="1"/>
  <c r="AC46" i="52"/>
  <c r="V282" i="60"/>
  <c r="U284" i="60"/>
  <c r="S113" i="59"/>
  <c r="CY113" i="59" s="1"/>
  <c r="S206" i="59"/>
  <c r="CY206" i="59" s="1"/>
  <c r="S111" i="59"/>
  <c r="R114" i="59"/>
  <c r="S114" i="59" s="1"/>
  <c r="CY114" i="59" s="1"/>
  <c r="S108" i="59"/>
  <c r="CY108" i="59" s="1"/>
  <c r="R202" i="59"/>
  <c r="W282" i="60" l="1"/>
  <c r="V284" i="60"/>
  <c r="AE44" i="52"/>
  <c r="AD46" i="52"/>
  <c r="CY111" i="59"/>
  <c r="R116" i="59"/>
  <c r="R115" i="59"/>
  <c r="R206" i="59"/>
  <c r="X282" i="60" l="1"/>
  <c r="W284" i="60"/>
  <c r="AF44" i="52"/>
  <c r="AF46" i="52" s="1"/>
  <c r="AE46" i="52"/>
  <c r="Y282" i="60" l="1"/>
  <c r="Y284" i="60" s="1"/>
  <c r="X284" i="60"/>
  <c r="DH25" i="23"/>
  <c r="DG31" i="23"/>
  <c r="AB31" i="23" l="1"/>
  <c r="DH27" i="23"/>
  <c r="S8" i="56"/>
  <c r="DH31" i="23" l="1"/>
  <c r="X8" i="31" l="1"/>
  <c r="BN9" i="31"/>
  <c r="BN28" i="31"/>
  <c r="X28" i="31" s="1"/>
  <c r="BN31" i="31"/>
  <c r="X31" i="31" s="1"/>
  <c r="BO31" i="31" s="1"/>
  <c r="X87" i="31" l="1"/>
  <c r="K13" i="73"/>
  <c r="K14" i="73" s="1"/>
  <c r="K15" i="73" s="1"/>
  <c r="X99" i="31"/>
  <c r="X103" i="31" s="1"/>
  <c r="X108" i="31" s="1"/>
  <c r="X109" i="31" s="1"/>
  <c r="X93" i="31"/>
  <c r="BS9" i="31"/>
  <c r="BN17" i="31"/>
  <c r="BU19" i="73"/>
  <c r="BO28" i="31"/>
  <c r="X9" i="31"/>
  <c r="BN29" i="31"/>
  <c r="BO8" i="31"/>
  <c r="BS11" i="31"/>
  <c r="BX11" i="31" s="1"/>
  <c r="BS8" i="31"/>
  <c r="X11" i="31"/>
  <c r="K12" i="73" l="1"/>
  <c r="X113" i="31"/>
  <c r="X114" i="31" s="1"/>
  <c r="X104" i="31"/>
  <c r="BX9" i="31"/>
  <c r="BS17" i="31"/>
  <c r="BX8" i="31"/>
  <c r="BX31" i="31"/>
  <c r="Z31" i="31" s="1"/>
  <c r="Z11" i="31"/>
  <c r="BO9" i="31"/>
  <c r="X17" i="31"/>
  <c r="BU21" i="73"/>
  <c r="BU20" i="73"/>
  <c r="X14" i="31"/>
  <c r="BS29" i="31"/>
  <c r="Y29" i="31" s="1"/>
  <c r="BT29" i="31" s="1"/>
  <c r="Y9" i="31"/>
  <c r="BS31" i="31"/>
  <c r="Y11" i="31"/>
  <c r="BO11" i="31"/>
  <c r="X89" i="31"/>
  <c r="X95" i="31"/>
  <c r="K25" i="73"/>
  <c r="X29" i="31"/>
  <c r="BN33" i="31"/>
  <c r="BS28" i="31"/>
  <c r="Y8" i="31"/>
  <c r="BS14" i="31"/>
  <c r="BS16" i="31" s="1"/>
  <c r="X16" i="31"/>
  <c r="X88" i="31"/>
  <c r="X94" i="31"/>
  <c r="X170" i="31"/>
  <c r="X171" i="31" s="1"/>
  <c r="X173" i="31"/>
  <c r="X224" i="31"/>
  <c r="X227" i="31"/>
  <c r="K9" i="73"/>
  <c r="K10" i="73"/>
  <c r="M25" i="73" l="1"/>
  <c r="BU18" i="73"/>
  <c r="BY11" i="31"/>
  <c r="BX14" i="31"/>
  <c r="BX16" i="31" s="1"/>
  <c r="Z9" i="31"/>
  <c r="BX29" i="31"/>
  <c r="Z29" i="31" s="1"/>
  <c r="Y17" i="31"/>
  <c r="BX28" i="31"/>
  <c r="Z28" i="31" s="1"/>
  <c r="Z8" i="31"/>
  <c r="BO14" i="31"/>
  <c r="X96" i="31"/>
  <c r="X52" i="31"/>
  <c r="X174" i="31"/>
  <c r="X158" i="31"/>
  <c r="X159" i="31" s="1"/>
  <c r="X37" i="31"/>
  <c r="AM239" i="30"/>
  <c r="X90" i="31"/>
  <c r="X15" i="31"/>
  <c r="AM86" i="30"/>
  <c r="AM90" i="30" s="1"/>
  <c r="X195" i="31"/>
  <c r="X225" i="31"/>
  <c r="BT8" i="31"/>
  <c r="Y14" i="31"/>
  <c r="Y16" i="31"/>
  <c r="Y87" i="31"/>
  <c r="Y99" i="31"/>
  <c r="Y103" i="31" s="1"/>
  <c r="Y93" i="31"/>
  <c r="L9" i="73"/>
  <c r="L10" i="73"/>
  <c r="L13" i="73"/>
  <c r="L14" i="73" s="1"/>
  <c r="L15" i="73" s="1"/>
  <c r="BN39" i="31"/>
  <c r="BN34" i="31"/>
  <c r="BT11" i="31"/>
  <c r="Y95" i="31"/>
  <c r="L25" i="73"/>
  <c r="BO29" i="31"/>
  <c r="X33" i="31"/>
  <c r="BS33" i="31"/>
  <c r="Y28" i="31"/>
  <c r="K24" i="73"/>
  <c r="K26" i="73"/>
  <c r="K27" i="73"/>
  <c r="BT9" i="31"/>
  <c r="Y88" i="31"/>
  <c r="Y173" i="31"/>
  <c r="Y224" i="31"/>
  <c r="Y227" i="31"/>
  <c r="Y94" i="31"/>
  <c r="Y170" i="31"/>
  <c r="X228" i="31"/>
  <c r="BS15" i="31"/>
  <c r="DC8" i="59"/>
  <c r="Z17" i="31" l="1"/>
  <c r="Z170" i="31"/>
  <c r="AA171" i="31" s="1"/>
  <c r="M26" i="73"/>
  <c r="M27" i="73"/>
  <c r="BX33" i="31"/>
  <c r="BX34" i="31" s="1"/>
  <c r="BX15" i="31"/>
  <c r="BX17" i="31"/>
  <c r="DH8" i="59"/>
  <c r="FJ86" i="30" s="1"/>
  <c r="BY8" i="31"/>
  <c r="M13" i="73"/>
  <c r="M14" i="73" s="1"/>
  <c r="M15" i="73" s="1"/>
  <c r="BY9" i="31"/>
  <c r="Z224" i="31"/>
  <c r="Z33" i="31"/>
  <c r="Z14" i="31"/>
  <c r="BY14" i="31" s="1"/>
  <c r="AM242" i="30"/>
  <c r="AM91" i="30"/>
  <c r="AM109" i="30"/>
  <c r="AM160" i="30" s="1"/>
  <c r="AM217" i="30" s="1"/>
  <c r="AM220" i="30" s="1"/>
  <c r="AM87" i="30"/>
  <c r="FA86" i="30"/>
  <c r="Z173" i="31"/>
  <c r="Z16" i="31"/>
  <c r="Y228" i="31"/>
  <c r="Y171" i="31"/>
  <c r="Y174" i="31"/>
  <c r="BS34" i="31"/>
  <c r="Y108" i="31"/>
  <c r="Y109" i="31" s="1"/>
  <c r="Y104" i="31"/>
  <c r="Y113" i="31"/>
  <c r="Y114" i="31" s="1"/>
  <c r="X34" i="31"/>
  <c r="BO33" i="31"/>
  <c r="Y15" i="31"/>
  <c r="Y37" i="31"/>
  <c r="Y52" i="31"/>
  <c r="BT14" i="31"/>
  <c r="Y96" i="31"/>
  <c r="AN239" i="30"/>
  <c r="AN86" i="30"/>
  <c r="AA9" i="31"/>
  <c r="BY29" i="31"/>
  <c r="Z88" i="31"/>
  <c r="Z227" i="31"/>
  <c r="Z94" i="31"/>
  <c r="X39" i="31"/>
  <c r="BO39" i="31" s="1"/>
  <c r="BS39" i="31"/>
  <c r="BX39" i="31" s="1"/>
  <c r="T8" i="59"/>
  <c r="DC9" i="59"/>
  <c r="DC12" i="59"/>
  <c r="DC27" i="59" s="1"/>
  <c r="FE86" i="30"/>
  <c r="Y195" i="31"/>
  <c r="Y225" i="31"/>
  <c r="BT28" i="31"/>
  <c r="L26" i="73"/>
  <c r="L27" i="73"/>
  <c r="AA11" i="31"/>
  <c r="Z95" i="31"/>
  <c r="L12" i="73"/>
  <c r="AA8" i="31"/>
  <c r="BY28" i="31"/>
  <c r="Z87" i="31"/>
  <c r="Z93" i="31"/>
  <c r="Z99" i="31"/>
  <c r="Z103" i="31" s="1"/>
  <c r="M9" i="73"/>
  <c r="M10" i="73"/>
  <c r="AA17" i="31" l="1"/>
  <c r="BX42" i="31"/>
  <c r="BX43" i="31" s="1"/>
  <c r="Z171" i="31"/>
  <c r="M24" i="73"/>
  <c r="L24" i="73"/>
  <c r="U8" i="59"/>
  <c r="DH12" i="59"/>
  <c r="DH27" i="59" s="1"/>
  <c r="DH9" i="59"/>
  <c r="M12" i="73"/>
  <c r="FJ90" i="30"/>
  <c r="FJ87" i="30"/>
  <c r="FF86" i="30"/>
  <c r="Z174" i="31"/>
  <c r="AM243" i="30"/>
  <c r="AM110" i="30"/>
  <c r="AH35" i="25"/>
  <c r="AA557" i="23" s="1"/>
  <c r="AA545" i="23" s="1"/>
  <c r="FA109" i="30"/>
  <c r="P15" i="53"/>
  <c r="AN220" i="30"/>
  <c r="P56" i="53"/>
  <c r="Z113" i="31"/>
  <c r="Z114" i="31" s="1"/>
  <c r="Z108" i="31"/>
  <c r="Z109" i="31" s="1"/>
  <c r="Z104" i="31"/>
  <c r="Z15" i="31"/>
  <c r="Z37" i="31"/>
  <c r="Z52" i="31"/>
  <c r="Z96" i="31"/>
  <c r="AO239" i="30"/>
  <c r="AO86" i="30"/>
  <c r="FK86" i="30" s="1"/>
  <c r="DC13" i="59"/>
  <c r="DC219" i="59"/>
  <c r="X40" i="31"/>
  <c r="AN90" i="30"/>
  <c r="AN87" i="30"/>
  <c r="BS42" i="31"/>
  <c r="S9" i="56"/>
  <c r="AA14" i="31"/>
  <c r="AA16" i="31"/>
  <c r="AB8" i="31"/>
  <c r="AA28" i="31"/>
  <c r="AA87" i="31"/>
  <c r="AA93" i="31"/>
  <c r="AA99" i="31"/>
  <c r="AA103" i="31" s="1"/>
  <c r="N9" i="73"/>
  <c r="N10" i="73"/>
  <c r="AB11" i="31"/>
  <c r="AA95" i="31"/>
  <c r="T9" i="59"/>
  <c r="T12" i="59"/>
  <c r="DD8" i="59"/>
  <c r="X42" i="31"/>
  <c r="FE87" i="30"/>
  <c r="FE90" i="30"/>
  <c r="AB9" i="31"/>
  <c r="AA29" i="31"/>
  <c r="AA88" i="31"/>
  <c r="AA94" i="31"/>
  <c r="AA173" i="31"/>
  <c r="AA174" i="31" s="1"/>
  <c r="AA227" i="31"/>
  <c r="AB17" i="31" l="1"/>
  <c r="T27" i="59"/>
  <c r="DH49" i="59"/>
  <c r="DH55" i="59" s="1"/>
  <c r="DH75" i="59" s="1"/>
  <c r="DH13" i="59"/>
  <c r="DH219" i="59"/>
  <c r="DH290" i="59" s="1"/>
  <c r="FF90" i="30"/>
  <c r="FJ91" i="30"/>
  <c r="DH28" i="59"/>
  <c r="BO42" i="31"/>
  <c r="AN91" i="30"/>
  <c r="AA542" i="23"/>
  <c r="AH36" i="25"/>
  <c r="K7" i="73" s="1"/>
  <c r="AI35" i="25"/>
  <c r="AI77" i="25" s="1"/>
  <c r="AI79" i="25" s="1"/>
  <c r="AA507" i="23"/>
  <c r="AC507" i="23" s="1"/>
  <c r="AD507" i="23" s="1"/>
  <c r="AE507" i="23" s="1"/>
  <c r="AF507" i="23" s="1"/>
  <c r="AG507" i="23" s="1"/>
  <c r="AH507" i="23" s="1"/>
  <c r="AI507" i="23" s="1"/>
  <c r="AJ507" i="23" s="1"/>
  <c r="AK507" i="23" s="1"/>
  <c r="AL507" i="23" s="1"/>
  <c r="AM507" i="23" s="1"/>
  <c r="AN507" i="23" s="1"/>
  <c r="AH77" i="25"/>
  <c r="AH79" i="25" s="1"/>
  <c r="AA515" i="23"/>
  <c r="AA226" i="23" s="1"/>
  <c r="AA560" i="23"/>
  <c r="AA548" i="23" s="1"/>
  <c r="Q56" i="53"/>
  <c r="Q15" i="53"/>
  <c r="AO220" i="30"/>
  <c r="AA104" i="31"/>
  <c r="AA113" i="31"/>
  <c r="AA114" i="31" s="1"/>
  <c r="AA108" i="31"/>
  <c r="AA109" i="31" s="1"/>
  <c r="AB14" i="31"/>
  <c r="AB16" i="31"/>
  <c r="AC8" i="31"/>
  <c r="AB28" i="31"/>
  <c r="AB87" i="31"/>
  <c r="AB93" i="31"/>
  <c r="AB99" i="31"/>
  <c r="AB103" i="31" s="1"/>
  <c r="O9" i="73"/>
  <c r="O10" i="73"/>
  <c r="R9" i="56"/>
  <c r="T219" i="59"/>
  <c r="DC290" i="59"/>
  <c r="DC291" i="59" s="1"/>
  <c r="DD12" i="59"/>
  <c r="T13" i="59"/>
  <c r="BS43" i="31"/>
  <c r="DC49" i="59"/>
  <c r="DC28" i="59"/>
  <c r="AC9" i="31"/>
  <c r="AB29" i="31"/>
  <c r="AB88" i="31"/>
  <c r="AB94" i="31"/>
  <c r="AB173" i="31"/>
  <c r="AB174" i="31" s="1"/>
  <c r="AB227" i="31"/>
  <c r="AC11" i="31"/>
  <c r="AB95" i="31"/>
  <c r="AA15" i="31"/>
  <c r="AA37" i="31"/>
  <c r="AA52" i="31"/>
  <c r="AA96" i="31"/>
  <c r="AP239" i="30"/>
  <c r="AP86" i="30"/>
  <c r="FE91" i="30"/>
  <c r="X44" i="31"/>
  <c r="X43" i="31"/>
  <c r="M73" i="60"/>
  <c r="I75" i="63" s="1"/>
  <c r="I86" i="63" s="1"/>
  <c r="AM113" i="30"/>
  <c r="DI8" i="59"/>
  <c r="AO87" i="30"/>
  <c r="AO90" i="30"/>
  <c r="T28" i="59" l="1"/>
  <c r="DH50" i="59"/>
  <c r="DH51" i="59"/>
  <c r="U219" i="59"/>
  <c r="FK90" i="30"/>
  <c r="DH57" i="59"/>
  <c r="DH291" i="59"/>
  <c r="U9" i="59"/>
  <c r="R187" i="59"/>
  <c r="R210" i="59" s="1"/>
  <c r="S187" i="59"/>
  <c r="CY187" i="59" s="1"/>
  <c r="R15" i="53"/>
  <c r="AP220" i="30"/>
  <c r="R56" i="53"/>
  <c r="AA555" i="23"/>
  <c r="AD553" i="23"/>
  <c r="AE553" i="23" s="1"/>
  <c r="AF553" i="23" s="1"/>
  <c r="AG553" i="23" s="1"/>
  <c r="AH553" i="23" s="1"/>
  <c r="AI553" i="23" s="1"/>
  <c r="AJ553" i="23" s="1"/>
  <c r="AK553" i="23" s="1"/>
  <c r="AL553" i="23" s="1"/>
  <c r="AM553" i="23" s="1"/>
  <c r="S191" i="59"/>
  <c r="AB5" i="23"/>
  <c r="AD9" i="31"/>
  <c r="AC29" i="31"/>
  <c r="AC88" i="31"/>
  <c r="AC94" i="31"/>
  <c r="AC173" i="31"/>
  <c r="AC174" i="31" s="1"/>
  <c r="AC227" i="31"/>
  <c r="AD11" i="31"/>
  <c r="AC95" i="31"/>
  <c r="Z195" i="31"/>
  <c r="DD219" i="59"/>
  <c r="T290" i="59"/>
  <c r="I51" i="62"/>
  <c r="S51" i="62" s="1"/>
  <c r="AB108" i="31"/>
  <c r="AB109" i="31" s="1"/>
  <c r="AB104" i="31"/>
  <c r="AB113" i="31"/>
  <c r="AB114" i="31" s="1"/>
  <c r="AC14" i="31"/>
  <c r="AC16" i="31"/>
  <c r="AD8" i="31"/>
  <c r="AC28" i="31"/>
  <c r="AC87" i="31"/>
  <c r="AC99" i="31"/>
  <c r="AC103" i="31" s="1"/>
  <c r="AC93" i="31"/>
  <c r="P9" i="73"/>
  <c r="P10" i="73"/>
  <c r="U12" i="59"/>
  <c r="AO91" i="30"/>
  <c r="R191" i="59"/>
  <c r="AA5" i="23"/>
  <c r="AH80" i="25"/>
  <c r="V8" i="59"/>
  <c r="AP87" i="30"/>
  <c r="AP90" i="30"/>
  <c r="DD27" i="59"/>
  <c r="AM114" i="30"/>
  <c r="AM116" i="30"/>
  <c r="AM120" i="30"/>
  <c r="AM147" i="30"/>
  <c r="DC50" i="59"/>
  <c r="DC51" i="59"/>
  <c r="DC55" i="59"/>
  <c r="Z225" i="31"/>
  <c r="Z228" i="31"/>
  <c r="AB15" i="31"/>
  <c r="AB37" i="31"/>
  <c r="AB52" i="31"/>
  <c r="AB96" i="31"/>
  <c r="AQ86" i="30"/>
  <c r="AQ239" i="30"/>
  <c r="DH56" i="59" l="1"/>
  <c r="DC75" i="59"/>
  <c r="U27" i="59"/>
  <c r="DH77" i="59"/>
  <c r="DI12" i="59"/>
  <c r="V9" i="59"/>
  <c r="AA473" i="23"/>
  <c r="AA493" i="23" s="1"/>
  <c r="AC493" i="23" s="1"/>
  <c r="AQ220" i="30"/>
  <c r="S15" i="53"/>
  <c r="S56" i="53"/>
  <c r="W8" i="59"/>
  <c r="AQ87" i="30"/>
  <c r="AQ90" i="30"/>
  <c r="AM117" i="30"/>
  <c r="AM119" i="30"/>
  <c r="U13" i="59"/>
  <c r="DI219" i="59"/>
  <c r="AC108" i="31"/>
  <c r="AC109" i="31" s="1"/>
  <c r="AC104" i="31"/>
  <c r="AC113" i="31"/>
  <c r="AC114" i="31" s="1"/>
  <c r="V12" i="59"/>
  <c r="AP91" i="30"/>
  <c r="AC15" i="31"/>
  <c r="AC37" i="31"/>
  <c r="AC52" i="31"/>
  <c r="AC96" i="31"/>
  <c r="AR239" i="30"/>
  <c r="AR86" i="30"/>
  <c r="AE11" i="31"/>
  <c r="AD95" i="31"/>
  <c r="AE9" i="31"/>
  <c r="AD29" i="31"/>
  <c r="AD88" i="31"/>
  <c r="AD94" i="31"/>
  <c r="AD173" i="31"/>
  <c r="AD174" i="31" s="1"/>
  <c r="AD227" i="31"/>
  <c r="AM148" i="30"/>
  <c r="AM149" i="30"/>
  <c r="AH37" i="25"/>
  <c r="AA6" i="23"/>
  <c r="AM244" i="30"/>
  <c r="DH5" i="23"/>
  <c r="DC56" i="59"/>
  <c r="DC57" i="59"/>
  <c r="DC305" i="59"/>
  <c r="DC319" i="59"/>
  <c r="R192" i="59"/>
  <c r="R250" i="59"/>
  <c r="AE8" i="31"/>
  <c r="AD28" i="31"/>
  <c r="AD14" i="31"/>
  <c r="AD37" i="31" s="1"/>
  <c r="AD87" i="31"/>
  <c r="AD99" i="31"/>
  <c r="AD103" i="31" s="1"/>
  <c r="AD93" i="31"/>
  <c r="Q9" i="73"/>
  <c r="Q10" i="73"/>
  <c r="DD290" i="59"/>
  <c r="T291" i="59"/>
  <c r="S250" i="59"/>
  <c r="S200" i="59"/>
  <c r="CY191" i="59"/>
  <c r="AD493" i="23" l="1"/>
  <c r="AE493" i="23" s="1"/>
  <c r="AF493" i="23" s="1"/>
  <c r="AG493" i="23" s="1"/>
  <c r="U28" i="59"/>
  <c r="DH76" i="59"/>
  <c r="W9" i="59"/>
  <c r="AA484" i="23"/>
  <c r="AC484" i="23" s="1"/>
  <c r="AD484" i="23" s="1"/>
  <c r="AE484" i="23" s="1"/>
  <c r="AF484" i="23" s="1"/>
  <c r="AG484" i="23" s="1"/>
  <c r="AH484" i="23" s="1"/>
  <c r="AI484" i="23" s="1"/>
  <c r="AJ484" i="23" s="1"/>
  <c r="AK484" i="23" s="1"/>
  <c r="AL484" i="23" s="1"/>
  <c r="AM484" i="23" s="1"/>
  <c r="AN484" i="23" s="1"/>
  <c r="AA480" i="23"/>
  <c r="AA501" i="23"/>
  <c r="AC501" i="23" s="1"/>
  <c r="AD501" i="23" s="1"/>
  <c r="AE501" i="23" s="1"/>
  <c r="AF501" i="23" s="1"/>
  <c r="AG501" i="23" s="1"/>
  <c r="AH501" i="23" s="1"/>
  <c r="AI501" i="23" s="1"/>
  <c r="AJ501" i="23" s="1"/>
  <c r="AK501" i="23" s="1"/>
  <c r="AL501" i="23" s="1"/>
  <c r="AM501" i="23" s="1"/>
  <c r="AN501" i="23" s="1"/>
  <c r="AA518" i="23"/>
  <c r="AA511" i="23"/>
  <c r="AC511" i="23" s="1"/>
  <c r="AD511" i="23" s="1"/>
  <c r="AE511" i="23" s="1"/>
  <c r="AF511" i="23" s="1"/>
  <c r="AG511" i="23" s="1"/>
  <c r="AH511" i="23" s="1"/>
  <c r="AI511" i="23" s="1"/>
  <c r="AJ511" i="23" s="1"/>
  <c r="AK511" i="23" s="1"/>
  <c r="AL511" i="23" s="1"/>
  <c r="AM511" i="23" s="1"/>
  <c r="AN511" i="23" s="1"/>
  <c r="AA486" i="23"/>
  <c r="AA496" i="23"/>
  <c r="AA513" i="23"/>
  <c r="AA520" i="23" s="1"/>
  <c r="AA523" i="23" s="1"/>
  <c r="AA525" i="23" s="1"/>
  <c r="AA491" i="23"/>
  <c r="AA482" i="23"/>
  <c r="AA505" i="23"/>
  <c r="AC505" i="23" s="1"/>
  <c r="AD505" i="23" s="1"/>
  <c r="AE505" i="23" s="1"/>
  <c r="AF505" i="23" s="1"/>
  <c r="AG505" i="23" s="1"/>
  <c r="AH505" i="23" s="1"/>
  <c r="AI505" i="23" s="1"/>
  <c r="AJ505" i="23" s="1"/>
  <c r="AK505" i="23" s="1"/>
  <c r="AL505" i="23" s="1"/>
  <c r="AM505" i="23" s="1"/>
  <c r="AN505" i="23" s="1"/>
  <c r="AA509" i="23"/>
  <c r="AC509" i="23" s="1"/>
  <c r="AD509" i="23" s="1"/>
  <c r="AE509" i="23" s="1"/>
  <c r="AF509" i="23" s="1"/>
  <c r="AG509" i="23" s="1"/>
  <c r="AH509" i="23" s="1"/>
  <c r="AI509" i="23" s="1"/>
  <c r="AJ509" i="23" s="1"/>
  <c r="AK509" i="23" s="1"/>
  <c r="AL509" i="23" s="1"/>
  <c r="AM509" i="23" s="1"/>
  <c r="AN509" i="23" s="1"/>
  <c r="AR220" i="30"/>
  <c r="T56" i="53"/>
  <c r="T15" i="53"/>
  <c r="AA488" i="23"/>
  <c r="AA489" i="23" s="1"/>
  <c r="AA477" i="23"/>
  <c r="AD15" i="31"/>
  <c r="AD16" i="31" s="1"/>
  <c r="AD52" i="31"/>
  <c r="AD96" i="31"/>
  <c r="AS239" i="30"/>
  <c r="AS86" i="30"/>
  <c r="AI37" i="25"/>
  <c r="AI82" i="25" s="1"/>
  <c r="AI86" i="25" s="1"/>
  <c r="AH38" i="25"/>
  <c r="AH82" i="25"/>
  <c r="AH86" i="25" s="1"/>
  <c r="AA10" i="23" s="1"/>
  <c r="AA7" i="23" s="1"/>
  <c r="W12" i="59"/>
  <c r="AQ91" i="30"/>
  <c r="R251" i="59"/>
  <c r="R258" i="59"/>
  <c r="R259" i="59"/>
  <c r="R260" i="59"/>
  <c r="R261" i="59"/>
  <c r="H55" i="95"/>
  <c r="AD113" i="31"/>
  <c r="AD114" i="31" s="1"/>
  <c r="AD108" i="31"/>
  <c r="AD109" i="31" s="1"/>
  <c r="AD104" i="31"/>
  <c r="AE14" i="31"/>
  <c r="AE16" i="31"/>
  <c r="AF8" i="31"/>
  <c r="AE28" i="31"/>
  <c r="AE87" i="31"/>
  <c r="AE93" i="31"/>
  <c r="AE99" i="31"/>
  <c r="AE103" i="31" s="1"/>
  <c r="R9" i="73"/>
  <c r="R10" i="73"/>
  <c r="U290" i="59"/>
  <c r="CY250" i="59"/>
  <c r="S251" i="59"/>
  <c r="DC76" i="59"/>
  <c r="DC77" i="59"/>
  <c r="DC307" i="59"/>
  <c r="DC321" i="59"/>
  <c r="AF9" i="31"/>
  <c r="AE29" i="31"/>
  <c r="AE88" i="31"/>
  <c r="AE94" i="31"/>
  <c r="AE173" i="31"/>
  <c r="AE174" i="31" s="1"/>
  <c r="AE227" i="31"/>
  <c r="AF11" i="31"/>
  <c r="AE95" i="31"/>
  <c r="X8" i="59"/>
  <c r="X9" i="59" s="1"/>
  <c r="AR90" i="30"/>
  <c r="AR87" i="30"/>
  <c r="V13" i="59"/>
  <c r="V219" i="59"/>
  <c r="AH493" i="23" l="1"/>
  <c r="AI493" i="23" s="1"/>
  <c r="AJ493" i="23" s="1"/>
  <c r="AK493" i="23" s="1"/>
  <c r="AL493" i="23" s="1"/>
  <c r="U291" i="59"/>
  <c r="DI290" i="59"/>
  <c r="AC518" i="23"/>
  <c r="AD518" i="23" s="1"/>
  <c r="AE518" i="23" s="1"/>
  <c r="AF518" i="23" s="1"/>
  <c r="AG518" i="23" s="1"/>
  <c r="AH518" i="23" s="1"/>
  <c r="AI518" i="23" s="1"/>
  <c r="AJ518" i="23" s="1"/>
  <c r="AK518" i="23" s="1"/>
  <c r="AL518" i="23" s="1"/>
  <c r="AM518" i="23" s="1"/>
  <c r="AN518" i="23" s="1"/>
  <c r="AA521" i="23"/>
  <c r="U15" i="53"/>
  <c r="U56" i="53"/>
  <c r="AS220" i="30"/>
  <c r="AG11" i="31"/>
  <c r="AF95" i="31"/>
  <c r="AA478" i="23"/>
  <c r="R262" i="59"/>
  <c r="AB10" i="23"/>
  <c r="AG9" i="31"/>
  <c r="AF29" i="31"/>
  <c r="AF88" i="31"/>
  <c r="AF94" i="31"/>
  <c r="AF173" i="31"/>
  <c r="AF174" i="31" s="1"/>
  <c r="AF227" i="31"/>
  <c r="AE104" i="31"/>
  <c r="AE113" i="31"/>
  <c r="AE114" i="31" s="1"/>
  <c r="AE108" i="31"/>
  <c r="AE109" i="31" s="1"/>
  <c r="AF14" i="31"/>
  <c r="AF16" i="31"/>
  <c r="AG8" i="31"/>
  <c r="AF28" i="31"/>
  <c r="AF87" i="31"/>
  <c r="AF93" i="31"/>
  <c r="AF99" i="31"/>
  <c r="AF103" i="31" s="1"/>
  <c r="S9" i="73"/>
  <c r="S10" i="73"/>
  <c r="W13" i="59"/>
  <c r="W219" i="59"/>
  <c r="R198" i="59"/>
  <c r="AH87" i="25"/>
  <c r="X12" i="59"/>
  <c r="AR91" i="30"/>
  <c r="V290" i="59"/>
  <c r="V291" i="59" s="1"/>
  <c r="AE15" i="31"/>
  <c r="AE37" i="31"/>
  <c r="AE52" i="31"/>
  <c r="AE96" i="31"/>
  <c r="AT239" i="30"/>
  <c r="AT86" i="30"/>
  <c r="Y8" i="59"/>
  <c r="Y9" i="59" s="1"/>
  <c r="AS87" i="30"/>
  <c r="AS90" i="30"/>
  <c r="AM493" i="23" l="1"/>
  <c r="AN493" i="23" s="1"/>
  <c r="V15" i="53"/>
  <c r="AT220" i="30"/>
  <c r="V56" i="53"/>
  <c r="AA13" i="23"/>
  <c r="AA474" i="23"/>
  <c r="AA499" i="23" s="1"/>
  <c r="AC499" i="23" s="1"/>
  <c r="AD499" i="23" s="1"/>
  <c r="AE499" i="23" s="1"/>
  <c r="AF499" i="23" s="1"/>
  <c r="AG499" i="23" s="1"/>
  <c r="AH499" i="23" s="1"/>
  <c r="AI499" i="23" s="1"/>
  <c r="AJ499" i="23" s="1"/>
  <c r="AK499" i="23" s="1"/>
  <c r="AL499" i="23" s="1"/>
  <c r="AM499" i="23" s="1"/>
  <c r="AN499" i="23" s="1"/>
  <c r="AF108" i="31"/>
  <c r="AF109" i="31" s="1"/>
  <c r="AF104" i="31"/>
  <c r="AF113" i="31"/>
  <c r="AF114" i="31" s="1"/>
  <c r="AG14" i="31"/>
  <c r="AG16" i="31"/>
  <c r="AH8" i="31"/>
  <c r="AG28" i="31"/>
  <c r="AG87" i="31"/>
  <c r="AG93" i="31"/>
  <c r="AG99" i="31"/>
  <c r="AG103" i="31" s="1"/>
  <c r="T9" i="73"/>
  <c r="T10" i="73"/>
  <c r="R199" i="59"/>
  <c r="R200" i="59"/>
  <c r="AH9" i="31"/>
  <c r="AG29" i="31"/>
  <c r="AG88" i="31"/>
  <c r="AG173" i="31"/>
  <c r="AG174" i="31" s="1"/>
  <c r="AG227" i="31"/>
  <c r="AG94" i="31"/>
  <c r="DH10" i="23"/>
  <c r="AB13" i="23"/>
  <c r="AB7" i="23"/>
  <c r="DH7" i="23" s="1"/>
  <c r="Z8" i="59"/>
  <c r="Z9" i="59" s="1"/>
  <c r="AT87" i="30"/>
  <c r="AT90" i="30"/>
  <c r="AF15" i="31"/>
  <c r="AF37" i="31"/>
  <c r="AF52" i="31"/>
  <c r="AF96" i="31"/>
  <c r="AU86" i="30"/>
  <c r="AU239" i="30"/>
  <c r="AH11" i="31"/>
  <c r="AG95" i="31"/>
  <c r="Y12" i="59"/>
  <c r="AS91" i="30"/>
  <c r="X13" i="59"/>
  <c r="X219" i="59"/>
  <c r="W290" i="59"/>
  <c r="W291" i="59" s="1"/>
  <c r="AA17" i="23" l="1"/>
  <c r="W15" i="53"/>
  <c r="AU220" i="30"/>
  <c r="W56" i="53"/>
  <c r="X290" i="59"/>
  <c r="X291" i="59" s="1"/>
  <c r="Y13" i="59"/>
  <c r="Y219" i="59"/>
  <c r="AG15" i="31"/>
  <c r="AG37" i="31"/>
  <c r="AG52" i="31"/>
  <c r="AG96" i="31"/>
  <c r="AV239" i="30"/>
  <c r="AV86" i="30"/>
  <c r="R7" i="56"/>
  <c r="AA14" i="23"/>
  <c r="I29" i="62"/>
  <c r="H32" i="62"/>
  <c r="R32" i="62" s="1"/>
  <c r="AI11" i="31"/>
  <c r="AJ11" i="31" s="1"/>
  <c r="AJ95" i="31" s="1"/>
  <c r="AH95" i="31"/>
  <c r="Z12" i="59"/>
  <c r="AT91" i="30"/>
  <c r="S7" i="56"/>
  <c r="AB17" i="23"/>
  <c r="DH13" i="23"/>
  <c r="AI9" i="31"/>
  <c r="AH29" i="31"/>
  <c r="AH88" i="31"/>
  <c r="AH94" i="31"/>
  <c r="AH173" i="31"/>
  <c r="AH174" i="31" s="1"/>
  <c r="AH227" i="31"/>
  <c r="AA8" i="59"/>
  <c r="AA9" i="59" s="1"/>
  <c r="AU87" i="30"/>
  <c r="AU90" i="30"/>
  <c r="AG108" i="31"/>
  <c r="AG109" i="31" s="1"/>
  <c r="AG104" i="31"/>
  <c r="AG113" i="31"/>
  <c r="AG114" i="31" s="1"/>
  <c r="AI8" i="31"/>
  <c r="AJ8" i="31" s="1"/>
  <c r="AH28" i="31"/>
  <c r="AH14" i="31"/>
  <c r="AH16" i="31"/>
  <c r="AH87" i="31"/>
  <c r="AH93" i="31"/>
  <c r="AH99" i="31"/>
  <c r="AH103" i="31" s="1"/>
  <c r="U9" i="73"/>
  <c r="U10" i="73"/>
  <c r="AJ9" i="31" l="1"/>
  <c r="AJ29" i="31" s="1"/>
  <c r="AJ87" i="31"/>
  <c r="AJ93" i="31"/>
  <c r="AJ28" i="31"/>
  <c r="X56" i="53"/>
  <c r="X15" i="53"/>
  <c r="AV220" i="30"/>
  <c r="AI14" i="31"/>
  <c r="AI16" i="31"/>
  <c r="AI28" i="31"/>
  <c r="AI87" i="31"/>
  <c r="AI93" i="31"/>
  <c r="V9" i="73"/>
  <c r="V10" i="73"/>
  <c r="AA12" i="59"/>
  <c r="AU91" i="30"/>
  <c r="AI29" i="31"/>
  <c r="AI88" i="31"/>
  <c r="AI94" i="31"/>
  <c r="AI173" i="31"/>
  <c r="AI174" i="31" s="1"/>
  <c r="AI227" i="31"/>
  <c r="DH17" i="23"/>
  <c r="Z13" i="59"/>
  <c r="Z219" i="59"/>
  <c r="S29" i="62"/>
  <c r="I52" i="62"/>
  <c r="S52" i="62" s="1"/>
  <c r="AB8" i="59"/>
  <c r="AB9" i="59" s="1"/>
  <c r="AV90" i="30"/>
  <c r="AV87" i="30"/>
  <c r="Y290" i="59"/>
  <c r="Y291" i="59" s="1"/>
  <c r="AA18" i="23"/>
  <c r="AA219" i="23"/>
  <c r="AH113" i="31"/>
  <c r="AH114" i="31" s="1"/>
  <c r="AH108" i="31"/>
  <c r="AH109" i="31" s="1"/>
  <c r="AH104" i="31"/>
  <c r="AH15" i="31"/>
  <c r="AH37" i="31"/>
  <c r="AH52" i="31"/>
  <c r="AH96" i="31"/>
  <c r="AW239" i="30"/>
  <c r="AW86" i="30"/>
  <c r="AI95" i="31"/>
  <c r="W10" i="73" l="1"/>
  <c r="AJ88" i="31"/>
  <c r="AJ227" i="31"/>
  <c r="AJ14" i="31"/>
  <c r="AY239" i="30" s="1"/>
  <c r="AJ16" i="31"/>
  <c r="W9" i="73"/>
  <c r="AJ94" i="31"/>
  <c r="AJ173" i="31"/>
  <c r="AJ174" i="31" s="1"/>
  <c r="AW220" i="30"/>
  <c r="Y56" i="53"/>
  <c r="Y15" i="53"/>
  <c r="AB12" i="59"/>
  <c r="AV91" i="30"/>
  <c r="AC8" i="59"/>
  <c r="AC9" i="59" s="1"/>
  <c r="AW87" i="30"/>
  <c r="AW90" i="30"/>
  <c r="Z290" i="59"/>
  <c r="Z291" i="59" s="1"/>
  <c r="AA13" i="59"/>
  <c r="AA219" i="59"/>
  <c r="AI15" i="31"/>
  <c r="AI37" i="31"/>
  <c r="AI52" i="31"/>
  <c r="AI96" i="31"/>
  <c r="AX239" i="30"/>
  <c r="AX86" i="30"/>
  <c r="AJ52" i="31" l="1"/>
  <c r="M71" i="31" s="1"/>
  <c r="N71" i="31" s="1"/>
  <c r="O71" i="31" s="1"/>
  <c r="P71" i="31" s="1"/>
  <c r="Q71" i="31" s="1"/>
  <c r="R71" i="31" s="1"/>
  <c r="S71" i="31" s="1"/>
  <c r="T71" i="31" s="1"/>
  <c r="U71" i="31" s="1"/>
  <c r="V71" i="31" s="1"/>
  <c r="AJ37" i="31"/>
  <c r="AJ96" i="31"/>
  <c r="AJ15" i="31"/>
  <c r="AY86" i="30"/>
  <c r="AY87" i="30" s="1"/>
  <c r="AX220" i="30"/>
  <c r="AY220" i="30" s="1"/>
  <c r="Z15" i="53"/>
  <c r="Z56" i="53"/>
  <c r="AA290" i="59"/>
  <c r="AA291" i="59" s="1"/>
  <c r="AC12" i="59"/>
  <c r="AW91" i="30"/>
  <c r="AB13" i="59"/>
  <c r="AB219" i="59"/>
  <c r="AD8" i="59"/>
  <c r="AD9" i="59" s="1"/>
  <c r="AX87" i="30"/>
  <c r="AX90" i="30"/>
  <c r="AD12" i="59" s="1"/>
  <c r="AE8" i="59" l="1"/>
  <c r="AE9" i="59" s="1"/>
  <c r="AY90" i="30"/>
  <c r="AY91" i="30" s="1"/>
  <c r="W71" i="31"/>
  <c r="X71" i="31" s="1"/>
  <c r="B77" i="60"/>
  <c r="C77" i="60" s="1"/>
  <c r="D77" i="60" s="1"/>
  <c r="E77" i="60" s="1"/>
  <c r="F77" i="60" s="1"/>
  <c r="G77" i="60" s="1"/>
  <c r="H77" i="60" s="1"/>
  <c r="I77" i="60" s="1"/>
  <c r="J77" i="60" s="1"/>
  <c r="K77" i="60" s="1"/>
  <c r="L77" i="60" s="1"/>
  <c r="M77" i="60" s="1"/>
  <c r="N77" i="60" s="1"/>
  <c r="O77" i="60" s="1"/>
  <c r="P77" i="60" s="1"/>
  <c r="Q77" i="60" s="1"/>
  <c r="R77" i="60" s="1"/>
  <c r="S77" i="60" s="1"/>
  <c r="T77" i="60" s="1"/>
  <c r="U77" i="60" s="1"/>
  <c r="V77" i="60" s="1"/>
  <c r="W77" i="60" s="1"/>
  <c r="X77" i="60" s="1"/>
  <c r="Y77" i="60" s="1"/>
  <c r="AB56" i="53"/>
  <c r="E74" i="53" s="1"/>
  <c r="AB15" i="53"/>
  <c r="E33" i="53" s="1"/>
  <c r="AA56" i="53"/>
  <c r="AA15" i="53"/>
  <c r="AX91" i="30"/>
  <c r="AB290" i="59"/>
  <c r="AB291" i="59" s="1"/>
  <c r="AC13" i="59"/>
  <c r="AC219" i="59"/>
  <c r="AE12" i="59" l="1"/>
  <c r="AE13" i="59" s="1"/>
  <c r="Y71" i="31"/>
  <c r="Z71" i="31" s="1"/>
  <c r="AA71" i="31" s="1"/>
  <c r="AB71" i="31" s="1"/>
  <c r="AC71" i="31" s="1"/>
  <c r="AD71" i="31" s="1"/>
  <c r="AE71" i="31" s="1"/>
  <c r="AF71" i="31" s="1"/>
  <c r="AG71" i="31" s="1"/>
  <c r="AH71" i="31" s="1"/>
  <c r="AI71" i="31" s="1"/>
  <c r="AJ71" i="31" s="1"/>
  <c r="F74" i="53"/>
  <c r="G74" i="53" s="1"/>
  <c r="H74" i="53" s="1"/>
  <c r="I74" i="53" s="1"/>
  <c r="J74" i="53" s="1"/>
  <c r="K74" i="53" s="1"/>
  <c r="L74" i="53" s="1"/>
  <c r="M74" i="53" s="1"/>
  <c r="N74" i="53" s="1"/>
  <c r="O74" i="53" s="1"/>
  <c r="P74" i="53" s="1"/>
  <c r="Q74" i="53" s="1"/>
  <c r="R74" i="53" s="1"/>
  <c r="S74" i="53" s="1"/>
  <c r="T74" i="53" s="1"/>
  <c r="U74" i="53" s="1"/>
  <c r="V74" i="53" s="1"/>
  <c r="W74" i="53" s="1"/>
  <c r="X74" i="53" s="1"/>
  <c r="Y74" i="53" s="1"/>
  <c r="Z74" i="53" s="1"/>
  <c r="AA74" i="53" s="1"/>
  <c r="AB74" i="53" s="1"/>
  <c r="B345" i="60"/>
  <c r="C345" i="60" s="1"/>
  <c r="D345" i="60" s="1"/>
  <c r="E345" i="60" s="1"/>
  <c r="F345" i="60" s="1"/>
  <c r="G345" i="60" s="1"/>
  <c r="H345" i="60" s="1"/>
  <c r="I345" i="60" s="1"/>
  <c r="J345" i="60" s="1"/>
  <c r="K345" i="60" s="1"/>
  <c r="L345" i="60" s="1"/>
  <c r="M345" i="60" s="1"/>
  <c r="N345" i="60" s="1"/>
  <c r="O345" i="60" s="1"/>
  <c r="P345" i="60" s="1"/>
  <c r="Q345" i="60" s="1"/>
  <c r="R345" i="60" s="1"/>
  <c r="S345" i="60" s="1"/>
  <c r="T345" i="60" s="1"/>
  <c r="U345" i="60" s="1"/>
  <c r="V345" i="60" s="1"/>
  <c r="W345" i="60" s="1"/>
  <c r="X345" i="60" s="1"/>
  <c r="Y345" i="60" s="1"/>
  <c r="F33" i="53"/>
  <c r="G33" i="53" s="1"/>
  <c r="H33" i="53" s="1"/>
  <c r="I33" i="53" s="1"/>
  <c r="J33" i="53" s="1"/>
  <c r="K33" i="53" s="1"/>
  <c r="L33" i="53" s="1"/>
  <c r="M33" i="53" s="1"/>
  <c r="N33" i="53" s="1"/>
  <c r="O33" i="53" s="1"/>
  <c r="P33" i="53" s="1"/>
  <c r="Q33" i="53" s="1"/>
  <c r="R33" i="53" s="1"/>
  <c r="S33" i="53" s="1"/>
  <c r="T33" i="53" s="1"/>
  <c r="U33" i="53" s="1"/>
  <c r="V33" i="53" s="1"/>
  <c r="W33" i="53" s="1"/>
  <c r="X33" i="53" s="1"/>
  <c r="Y33" i="53" s="1"/>
  <c r="Z33" i="53" s="1"/>
  <c r="AA33" i="53" s="1"/>
  <c r="AB33" i="53" s="1"/>
  <c r="AC290" i="59"/>
  <c r="AC291" i="59" s="1"/>
  <c r="AD13" i="59"/>
  <c r="AD219" i="59"/>
  <c r="AE219" i="59" l="1"/>
  <c r="AE290" i="59" s="1"/>
  <c r="AD290" i="59"/>
  <c r="AD291" i="59" s="1"/>
  <c r="AE291" i="59" l="1"/>
  <c r="AC123" i="20"/>
  <c r="AC135" i="20" s="1"/>
  <c r="AB129" i="20"/>
  <c r="AB135" i="20"/>
  <c r="AC124" i="20" l="1"/>
  <c r="EH9" i="20" s="1"/>
  <c r="EJ10" i="20" s="1"/>
  <c r="AB141" i="20"/>
  <c r="AB133" i="20"/>
  <c r="AC141" i="20"/>
  <c r="AD123" i="20"/>
  <c r="AD135" i="20" s="1"/>
  <c r="EH10" i="20" l="1"/>
  <c r="EH16" i="20" s="1"/>
  <c r="EJ16" i="20"/>
  <c r="AC9" i="20"/>
  <c r="AC130" i="20"/>
  <c r="AE123" i="20"/>
  <c r="AD124" i="20"/>
  <c r="EM9" i="20" s="1"/>
  <c r="AB145" i="20"/>
  <c r="AB139" i="20"/>
  <c r="AC10" i="20" l="1"/>
  <c r="EM10" i="20"/>
  <c r="EM16" i="20" s="1"/>
  <c r="EM18" i="20" s="1"/>
  <c r="DH30" i="59" s="1"/>
  <c r="EH19" i="20"/>
  <c r="EH18" i="20"/>
  <c r="EH21" i="20" s="1"/>
  <c r="EJ18" i="20"/>
  <c r="EJ19" i="20"/>
  <c r="AD9" i="20"/>
  <c r="AD130" i="20"/>
  <c r="AB151" i="20"/>
  <c r="AE124" i="20"/>
  <c r="AF123" i="20"/>
  <c r="AF135" i="20" s="1"/>
  <c r="AE135" i="20"/>
  <c r="AD141" i="20"/>
  <c r="AD10" i="20" l="1"/>
  <c r="DH36" i="59"/>
  <c r="DH45" i="59" s="1"/>
  <c r="FJ105" i="30"/>
  <c r="DH234" i="59"/>
  <c r="DH240" i="59" s="1"/>
  <c r="DH245" i="59" s="1"/>
  <c r="DH246" i="59" s="1"/>
  <c r="EM21" i="20"/>
  <c r="EM19" i="20"/>
  <c r="DH79" i="59"/>
  <c r="DH87" i="59" s="1"/>
  <c r="DC30" i="59"/>
  <c r="DH31" i="59" s="1"/>
  <c r="DE30" i="59"/>
  <c r="FG105" i="30" s="1"/>
  <c r="EJ21" i="20"/>
  <c r="AF124" i="20"/>
  <c r="AG123" i="20"/>
  <c r="AG135" i="20" s="1"/>
  <c r="AE141" i="20"/>
  <c r="AF141" i="20"/>
  <c r="AE9" i="20"/>
  <c r="AE130" i="20"/>
  <c r="AE10" i="20" l="1"/>
  <c r="FE105" i="30"/>
  <c r="FE106" i="30" s="1"/>
  <c r="FG106" i="30"/>
  <c r="FG109" i="30"/>
  <c r="FG110" i="30" s="1"/>
  <c r="DH89" i="59"/>
  <c r="DC31" i="59"/>
  <c r="DC79" i="59"/>
  <c r="DH112" i="59"/>
  <c r="DH99" i="59"/>
  <c r="DC234" i="59"/>
  <c r="T234" i="59" s="1"/>
  <c r="DC36" i="59"/>
  <c r="DE234" i="59"/>
  <c r="DE240" i="59" s="1"/>
  <c r="DE245" i="59" s="1"/>
  <c r="DE79" i="59"/>
  <c r="DE31" i="59"/>
  <c r="DE36" i="59"/>
  <c r="AF9" i="20"/>
  <c r="AF130" i="20"/>
  <c r="AG141" i="20"/>
  <c r="AH123" i="20"/>
  <c r="AH135" i="20" s="1"/>
  <c r="AG124" i="20"/>
  <c r="FJ106" i="30" l="1"/>
  <c r="AF10" i="20"/>
  <c r="DD234" i="59"/>
  <c r="DH80" i="59"/>
  <c r="DC87" i="59"/>
  <c r="DH37" i="59"/>
  <c r="DC80" i="59"/>
  <c r="DH101" i="59"/>
  <c r="DC45" i="59"/>
  <c r="DH46" i="59" s="1"/>
  <c r="DC37" i="59"/>
  <c r="DC240" i="59"/>
  <c r="T240" i="59" s="1"/>
  <c r="DE246" i="59"/>
  <c r="DE255" i="59"/>
  <c r="DE37" i="59"/>
  <c r="DE45" i="59"/>
  <c r="DE87" i="59"/>
  <c r="AH141" i="20"/>
  <c r="AG9" i="20"/>
  <c r="AG10" i="20" s="1"/>
  <c r="AG130" i="20"/>
  <c r="AI123" i="20"/>
  <c r="AI135" i="20" s="1"/>
  <c r="AH124" i="20"/>
  <c r="DC112" i="59" l="1"/>
  <c r="DC322" i="59"/>
  <c r="DC46" i="59"/>
  <c r="DC99" i="59"/>
  <c r="DC100" i="59" s="1"/>
  <c r="DC308" i="59"/>
  <c r="DC89" i="59"/>
  <c r="DC88" i="59"/>
  <c r="DH88" i="59"/>
  <c r="DC245" i="59"/>
  <c r="DE46" i="59"/>
  <c r="DE187" i="59"/>
  <c r="DE189" i="59" s="1"/>
  <c r="DE89" i="59"/>
  <c r="DE112" i="59"/>
  <c r="DE88" i="59"/>
  <c r="AH9" i="20"/>
  <c r="AH10" i="20" s="1"/>
  <c r="AH130" i="20"/>
  <c r="AI124" i="20"/>
  <c r="AJ123" i="20"/>
  <c r="AI141" i="20"/>
  <c r="DD240" i="59"/>
  <c r="T245" i="59"/>
  <c r="DC310" i="59" l="1"/>
  <c r="DH100" i="59"/>
  <c r="DC324" i="59"/>
  <c r="DC101" i="59"/>
  <c r="DH255" i="59"/>
  <c r="DE210" i="59"/>
  <c r="DC255" i="59"/>
  <c r="DC246" i="59"/>
  <c r="DE231" i="59"/>
  <c r="DE237" i="59" s="1"/>
  <c r="DE190" i="59"/>
  <c r="DE191" i="59" s="1"/>
  <c r="AJ124" i="20"/>
  <c r="AK123" i="20"/>
  <c r="AK135" i="20" s="1"/>
  <c r="DD245" i="59"/>
  <c r="T246" i="59"/>
  <c r="T255" i="59"/>
  <c r="AJ135" i="20"/>
  <c r="AI9" i="20"/>
  <c r="AI10" i="20" s="1"/>
  <c r="AI130" i="20"/>
  <c r="DE192" i="59" l="1"/>
  <c r="DN5" i="23"/>
  <c r="DE250" i="59"/>
  <c r="DE248" i="59" s="1"/>
  <c r="DE251" i="59" s="1"/>
  <c r="DE254" i="59"/>
  <c r="DE238" i="59"/>
  <c r="AK141" i="20"/>
  <c r="AJ141" i="20"/>
  <c r="AJ9" i="20"/>
  <c r="AJ10" i="20" s="1"/>
  <c r="AJ130" i="20"/>
  <c r="AL123" i="20"/>
  <c r="AK124" i="20"/>
  <c r="DN6" i="23" l="1"/>
  <c r="AM123" i="20"/>
  <c r="AL124" i="20"/>
  <c r="AL135" i="20"/>
  <c r="AK9" i="20"/>
  <c r="AK10" i="20" s="1"/>
  <c r="AK130" i="20"/>
  <c r="AN123" i="20" l="1"/>
  <c r="AN124" i="20" s="1"/>
  <c r="AM124" i="20"/>
  <c r="AM9" i="20" s="1"/>
  <c r="AM135" i="20"/>
  <c r="AL141" i="20"/>
  <c r="AL9" i="20"/>
  <c r="AL10" i="20" s="1"/>
  <c r="AL130" i="20"/>
  <c r="AN135" i="20" l="1"/>
  <c r="AN141" i="20" s="1"/>
  <c r="AN9" i="20"/>
  <c r="AN10" i="20" s="1"/>
  <c r="AN130" i="20"/>
  <c r="AM141" i="20"/>
  <c r="AM10" i="20"/>
  <c r="AM130" i="20"/>
  <c r="T195" i="59" l="1"/>
  <c r="DI9" i="23"/>
  <c r="AJ83" i="25" l="1"/>
  <c r="Q6" i="53" s="1"/>
  <c r="Q8" i="53" s="1"/>
  <c r="DD195" i="59"/>
  <c r="AC9" i="23" l="1"/>
  <c r="DM9" i="23" s="1"/>
  <c r="V195" i="59"/>
  <c r="AK83" i="25"/>
  <c r="Q9" i="53"/>
  <c r="N341" i="60"/>
  <c r="J85" i="63" s="1"/>
  <c r="R6" i="53" l="1"/>
  <c r="AD9" i="23"/>
  <c r="DR9" i="23" s="1"/>
  <c r="W195" i="59"/>
  <c r="AL83" i="25"/>
  <c r="AE9" i="23" l="1"/>
  <c r="S6" i="53"/>
  <c r="X195" i="59"/>
  <c r="AM83" i="25"/>
  <c r="Y195" i="59" l="1"/>
  <c r="AN83" i="25"/>
  <c r="T6" i="53"/>
  <c r="AF9" i="23"/>
  <c r="Z195" i="59" l="1"/>
  <c r="AO83" i="25"/>
  <c r="AG9" i="23"/>
  <c r="U6" i="53"/>
  <c r="V6" i="53" l="1"/>
  <c r="AH9" i="23"/>
  <c r="AA195" i="59"/>
  <c r="AP83" i="25"/>
  <c r="W6" i="53" l="1"/>
  <c r="AI9" i="23"/>
  <c r="AB195" i="59"/>
  <c r="AQ83" i="25"/>
  <c r="X6" i="53" l="1"/>
  <c r="AJ9" i="23"/>
  <c r="AC195" i="59"/>
  <c r="AR83" i="25"/>
  <c r="AD195" i="59" l="1"/>
  <c r="AE195" i="59" s="1"/>
  <c r="AU83" i="25" s="1"/>
  <c r="AS83" i="25"/>
  <c r="Y6" i="53"/>
  <c r="AK9" i="23"/>
  <c r="AN9" i="23" l="1"/>
  <c r="AB6" i="53"/>
  <c r="Z6" i="53"/>
  <c r="AL9" i="23"/>
  <c r="AT83" i="25"/>
  <c r="AM9" i="23" l="1"/>
  <c r="AA6" i="53"/>
  <c r="K145" i="73" l="1"/>
  <c r="K144" i="73" s="1"/>
  <c r="K146" i="73"/>
  <c r="K147" i="73"/>
  <c r="DG114" i="23" l="1"/>
  <c r="AA114" i="23" s="1"/>
  <c r="AA171" i="23"/>
  <c r="AA690" i="23"/>
  <c r="AA113" i="23" l="1"/>
  <c r="AA115" i="23" s="1"/>
  <c r="DJ111" i="23"/>
  <c r="I11" i="62" l="1"/>
  <c r="I13" i="62" s="1"/>
  <c r="AA126" i="23"/>
  <c r="I38" i="63"/>
  <c r="I40" i="63" s="1"/>
  <c r="AA125" i="23"/>
  <c r="AC111" i="23"/>
  <c r="AC115" i="23" s="1"/>
  <c r="DH115" i="23"/>
  <c r="AA54" i="23"/>
  <c r="AB54" i="23" s="1"/>
  <c r="AA157" i="23"/>
  <c r="AA156" i="23" s="1"/>
  <c r="AA57" i="23"/>
  <c r="DG125" i="23"/>
  <c r="AC126" i="23" l="1"/>
  <c r="J38" i="63"/>
  <c r="J11" i="62"/>
  <c r="J13" i="62" s="1"/>
  <c r="AC125" i="23"/>
  <c r="AD111" i="23"/>
  <c r="AD115" i="23" s="1"/>
  <c r="S11" i="62"/>
  <c r="S13" i="62" s="1"/>
  <c r="R30" i="56"/>
  <c r="AA306" i="23"/>
  <c r="R18" i="56"/>
  <c r="AA68" i="23"/>
  <c r="AB57" i="23"/>
  <c r="AD125" i="23" l="1"/>
  <c r="AD126" i="23"/>
  <c r="J40" i="63"/>
  <c r="T11" i="62"/>
  <c r="T13" i="62" s="1"/>
  <c r="I56" i="62"/>
  <c r="DI125" i="23"/>
  <c r="DL54" i="23" l="1"/>
  <c r="DN111" i="23"/>
  <c r="DM115" i="23"/>
  <c r="K11" i="62"/>
  <c r="K38" i="63"/>
  <c r="AE111" i="23"/>
  <c r="DJ68" i="23"/>
  <c r="DI68" i="23"/>
  <c r="S56" i="62"/>
  <c r="S57" i="62" s="1"/>
  <c r="I57" i="62"/>
  <c r="DN115" i="23" l="1"/>
  <c r="DN117" i="23" s="1"/>
  <c r="DN123" i="23" s="1"/>
  <c r="DN125" i="23" s="1"/>
  <c r="AC117" i="23"/>
  <c r="K40" i="63"/>
  <c r="F37" i="60"/>
  <c r="F39" i="60" s="1"/>
  <c r="E39" i="60" s="1"/>
  <c r="D39" i="60" s="1"/>
  <c r="B39" i="60" s="1"/>
  <c r="U11" i="62"/>
  <c r="U13" i="62" s="1"/>
  <c r="K13" i="62"/>
  <c r="AE114" i="23"/>
  <c r="DO111" i="23" l="1"/>
  <c r="DO115" i="23" s="1"/>
  <c r="DO117" i="23" s="1"/>
  <c r="DO123" i="23" s="1"/>
  <c r="DO125" i="23" s="1"/>
  <c r="AC123" i="23"/>
  <c r="AC57" i="23" s="1"/>
  <c r="AE115" i="23"/>
  <c r="DK68" i="23"/>
  <c r="AC157" i="23"/>
  <c r="AC156" i="23" s="1"/>
  <c r="AC54" i="23"/>
  <c r="DL57" i="23"/>
  <c r="DL125" i="23"/>
  <c r="DP111" i="23" l="1"/>
  <c r="DP115" i="23" s="1"/>
  <c r="DP117" i="23" s="1"/>
  <c r="DP123" i="23" s="1"/>
  <c r="DP125" i="23" s="1"/>
  <c r="T18" i="56"/>
  <c r="AC68" i="23"/>
  <c r="DL68" i="23"/>
  <c r="DN54" i="23"/>
  <c r="AE117" i="23"/>
  <c r="AE54" i="23" s="1"/>
  <c r="AE125" i="23"/>
  <c r="AE126" i="23"/>
  <c r="L11" i="62"/>
  <c r="AF111" i="23"/>
  <c r="L38" i="63"/>
  <c r="L40" i="63" s="1"/>
  <c r="T30" i="56"/>
  <c r="AC306" i="23"/>
  <c r="AC295" i="23"/>
  <c r="DP54" i="23" l="1"/>
  <c r="DO54" i="23"/>
  <c r="DN57" i="23"/>
  <c r="DN68" i="23" s="1"/>
  <c r="DQ111" i="23"/>
  <c r="V11" i="62"/>
  <c r="V13" i="62" s="1"/>
  <c r="L13" i="62"/>
  <c r="AF114" i="23"/>
  <c r="AE123" i="23"/>
  <c r="AE57" i="23" s="1"/>
  <c r="AE157" i="23"/>
  <c r="AE156" i="23" s="1"/>
  <c r="J56" i="62"/>
  <c r="DQ115" i="23" l="1"/>
  <c r="DQ117" i="23" s="1"/>
  <c r="DQ123" i="23" s="1"/>
  <c r="DQ125" i="23" s="1"/>
  <c r="DO57" i="23"/>
  <c r="DO68" i="23" s="1"/>
  <c r="DP57" i="23"/>
  <c r="DP68" i="23" s="1"/>
  <c r="AE306" i="23"/>
  <c r="AE295" i="23"/>
  <c r="V30" i="56"/>
  <c r="V18" i="56"/>
  <c r="AE68" i="23"/>
  <c r="AF115" i="23"/>
  <c r="T56" i="62"/>
  <c r="T57" i="62" s="1"/>
  <c r="J57" i="62"/>
  <c r="M38" i="63" l="1"/>
  <c r="M40" i="63" s="1"/>
  <c r="DR115" i="23"/>
  <c r="AD117" i="23"/>
  <c r="AF117" i="23"/>
  <c r="AF126" i="23"/>
  <c r="AG111" i="23"/>
  <c r="AF125" i="23"/>
  <c r="L56" i="62"/>
  <c r="AD54" i="23" l="1"/>
  <c r="AD157" i="23"/>
  <c r="AD156" i="23" s="1"/>
  <c r="DQ54" i="23"/>
  <c r="AG114" i="23"/>
  <c r="AF54" i="23"/>
  <c r="AF157" i="23"/>
  <c r="AF156" i="23" s="1"/>
  <c r="AF123" i="23"/>
  <c r="AF57" i="23" s="1"/>
  <c r="V56" i="62"/>
  <c r="V57" i="62" s="1"/>
  <c r="L57" i="62"/>
  <c r="AG115" i="23" l="1"/>
  <c r="AD123" i="23"/>
  <c r="AD57" i="23" s="1"/>
  <c r="U30" i="56"/>
  <c r="AD306" i="23"/>
  <c r="AD295" i="23"/>
  <c r="DQ57" i="23"/>
  <c r="DQ68" i="23" s="1"/>
  <c r="W30" i="56"/>
  <c r="AF295" i="23"/>
  <c r="AF306" i="23"/>
  <c r="AF68" i="23"/>
  <c r="W18" i="56"/>
  <c r="AG125" i="23" l="1"/>
  <c r="AH111" i="23"/>
  <c r="AH114" i="23" s="1"/>
  <c r="AG126" i="23"/>
  <c r="AG117" i="23"/>
  <c r="AD68" i="23"/>
  <c r="U18" i="56"/>
  <c r="K56" i="62"/>
  <c r="AH115" i="23" l="1"/>
  <c r="AG54" i="23"/>
  <c r="AG123" i="23"/>
  <c r="AG57" i="23" s="1"/>
  <c r="AG157" i="23"/>
  <c r="AG156" i="23" s="1"/>
  <c r="U56" i="62"/>
  <c r="U57" i="62" s="1"/>
  <c r="K57" i="62"/>
  <c r="AI111" i="23" l="1"/>
  <c r="AI114" i="23" s="1"/>
  <c r="AH125" i="23"/>
  <c r="AH126" i="23"/>
  <c r="X30" i="56"/>
  <c r="AG295" i="23"/>
  <c r="AG306" i="23"/>
  <c r="AG68" i="23"/>
  <c r="X18" i="56"/>
  <c r="AH117" i="23"/>
  <c r="AI115" i="23" l="1"/>
  <c r="AH123" i="23"/>
  <c r="AH57" i="23" s="1"/>
  <c r="AH54" i="23"/>
  <c r="AH157" i="23"/>
  <c r="AH156" i="23" s="1"/>
  <c r="AI125" i="23" l="1"/>
  <c r="AJ111" i="23"/>
  <c r="AJ114" i="23" s="1"/>
  <c r="AI117" i="23"/>
  <c r="AI123" i="23" s="1"/>
  <c r="AI57" i="23" s="1"/>
  <c r="Z18" i="56" s="1"/>
  <c r="AI126" i="23"/>
  <c r="Y18" i="56"/>
  <c r="AH68" i="23"/>
  <c r="AH295" i="23"/>
  <c r="Y30" i="56"/>
  <c r="AH306" i="23"/>
  <c r="AJ115" i="23" l="1"/>
  <c r="AJ126" i="23" s="1"/>
  <c r="AI54" i="23"/>
  <c r="AI68" i="23"/>
  <c r="AI157" i="23"/>
  <c r="AI156" i="23" s="1"/>
  <c r="AI306" i="23" s="1"/>
  <c r="AK111" i="23" l="1"/>
  <c r="AK114" i="23" s="1"/>
  <c r="AJ125" i="23"/>
  <c r="AJ117" i="23"/>
  <c r="AJ54" i="23" s="1"/>
  <c r="AI295" i="23"/>
  <c r="Z30" i="56"/>
  <c r="AK115" i="23" l="1"/>
  <c r="AK126" i="23" s="1"/>
  <c r="AJ157" i="23"/>
  <c r="AJ156" i="23" s="1"/>
  <c r="AJ295" i="23" s="1"/>
  <c r="AJ123" i="23"/>
  <c r="AJ57" i="23" s="1"/>
  <c r="AA18" i="56" s="1"/>
  <c r="AL111" i="23"/>
  <c r="AL114" i="23" s="1"/>
  <c r="AL115" i="23" s="1"/>
  <c r="AL125" i="23" s="1"/>
  <c r="AK125" i="23" l="1"/>
  <c r="AK117" i="23"/>
  <c r="AK157" i="23" s="1"/>
  <c r="AK156" i="23" s="1"/>
  <c r="AK295" i="23" s="1"/>
  <c r="AJ306" i="23"/>
  <c r="AA30" i="56"/>
  <c r="AJ68" i="23"/>
  <c r="AK306" i="23"/>
  <c r="AK123" i="23"/>
  <c r="AK57" i="23" s="1"/>
  <c r="AK68" i="23" s="1"/>
  <c r="AB30" i="56"/>
  <c r="AK54" i="23"/>
  <c r="AM111" i="23"/>
  <c r="AM114" i="23" s="1"/>
  <c r="AM115" i="23" s="1"/>
  <c r="AN111" i="23" s="1"/>
  <c r="AN114" i="23" s="1"/>
  <c r="AN115" i="23" s="1"/>
  <c r="AN117" i="23" s="1"/>
  <c r="AN123" i="23" s="1"/>
  <c r="AN57" i="23" s="1"/>
  <c r="AL117" i="23"/>
  <c r="AL123" i="23" s="1"/>
  <c r="AL57" i="23" s="1"/>
  <c r="AC18" i="56" s="1"/>
  <c r="AL126" i="23"/>
  <c r="AB18" i="56" l="1"/>
  <c r="AL68" i="23"/>
  <c r="AM125" i="23"/>
  <c r="AN157" i="23"/>
  <c r="AN156" i="23" s="1"/>
  <c r="AN306" i="23" s="1"/>
  <c r="AN308" i="23" s="1"/>
  <c r="AM126" i="23"/>
  <c r="AN54" i="23"/>
  <c r="AN125" i="23"/>
  <c r="AN126" i="23"/>
  <c r="AM117" i="23"/>
  <c r="AL54" i="23"/>
  <c r="AL157" i="23"/>
  <c r="AL156" i="23" s="1"/>
  <c r="AE18" i="56"/>
  <c r="AN68" i="23"/>
  <c r="AN295" i="23" l="1"/>
  <c r="AE30" i="56"/>
  <c r="AE34" i="56" s="1"/>
  <c r="AM123" i="23"/>
  <c r="AM57" i="23" s="1"/>
  <c r="AM54" i="23"/>
  <c r="AM157" i="23"/>
  <c r="AM156" i="23" s="1"/>
  <c r="AD30" i="56" s="1"/>
  <c r="AL306" i="23"/>
  <c r="AC30" i="56"/>
  <c r="AL295" i="23"/>
  <c r="I28" i="63"/>
  <c r="I31" i="63" s="1"/>
  <c r="AA363" i="23"/>
  <c r="AA371" i="23"/>
  <c r="AA465" i="23"/>
  <c r="I16" i="62"/>
  <c r="AM295" i="23" l="1"/>
  <c r="AM306" i="23"/>
  <c r="AM68" i="23"/>
  <c r="AD18" i="56"/>
  <c r="AA173" i="23"/>
  <c r="S16" i="62"/>
  <c r="AA361" i="23"/>
  <c r="AA369" i="23"/>
  <c r="AA374" i="23"/>
  <c r="DG374" i="23" s="1"/>
  <c r="DD374" i="23"/>
  <c r="DE374" i="23"/>
  <c r="AA368" i="23" l="1"/>
  <c r="AC361" i="23"/>
  <c r="AA416" i="23"/>
  <c r="DE416" i="23" s="1"/>
  <c r="AC416" i="23"/>
  <c r="AD361" i="23"/>
  <c r="DE417" i="23"/>
  <c r="DF374" i="23"/>
  <c r="AC368" i="23" l="1"/>
  <c r="AC369" i="23"/>
  <c r="AD369" i="23"/>
  <c r="AD368" i="23"/>
  <c r="DG416" i="23"/>
  <c r="DG417" i="23" s="1"/>
  <c r="DD416" i="23"/>
  <c r="DF416" i="23"/>
  <c r="DF417" i="23" s="1"/>
  <c r="AE361" i="23"/>
  <c r="AD416" i="23"/>
  <c r="DI416" i="23"/>
  <c r="DJ416" i="23"/>
  <c r="DK416" i="23"/>
  <c r="DL416" i="23"/>
  <c r="AC292" i="23"/>
  <c r="DH374" i="23"/>
  <c r="AE369" i="23" l="1"/>
  <c r="AE368" i="23"/>
  <c r="DD417" i="23"/>
  <c r="AA417" i="23" s="1"/>
  <c r="DH417" i="23" s="1"/>
  <c r="DH416" i="23"/>
  <c r="DM416" i="23"/>
  <c r="DO416" i="23"/>
  <c r="DN416" i="23"/>
  <c r="DP416" i="23"/>
  <c r="DQ416" i="23"/>
  <c r="AF361" i="23"/>
  <c r="AE416" i="23"/>
  <c r="AD292" i="23"/>
  <c r="AF369" i="23" l="1"/>
  <c r="AF368" i="23"/>
  <c r="DR416" i="23"/>
  <c r="AG361" i="23"/>
  <c r="AF416" i="23"/>
  <c r="AE292" i="23"/>
  <c r="AG369" i="23" l="1"/>
  <c r="AG368" i="23"/>
  <c r="AG416" i="23"/>
  <c r="AF292" i="23"/>
  <c r="AH361" i="23"/>
  <c r="AH369" i="23" l="1"/>
  <c r="AH368" i="23"/>
  <c r="AH416" i="23"/>
  <c r="AG292" i="23"/>
  <c r="AI361" i="23"/>
  <c r="AI368" i="23" l="1"/>
  <c r="AI369" i="23"/>
  <c r="AI416" i="23"/>
  <c r="AH292" i="23"/>
  <c r="AJ361" i="23"/>
  <c r="AJ368" i="23" l="1"/>
  <c r="AJ369" i="23"/>
  <c r="AJ416" i="23"/>
  <c r="AI292" i="23"/>
  <c r="AK361" i="23"/>
  <c r="AK369" i="23" l="1"/>
  <c r="AK368" i="23"/>
  <c r="AJ292" i="23"/>
  <c r="AL361" i="23"/>
  <c r="AK416" i="23"/>
  <c r="AL369" i="23" l="1"/>
  <c r="AL368" i="23"/>
  <c r="AK292" i="23"/>
  <c r="AM361" i="23"/>
  <c r="AL416" i="23"/>
  <c r="AM369" i="23" l="1"/>
  <c r="AM368" i="23"/>
  <c r="AM416" i="23"/>
  <c r="AN361" i="23"/>
  <c r="AL292" i="23"/>
  <c r="AN368" i="23" l="1"/>
  <c r="AN369" i="23"/>
  <c r="AN416" i="23"/>
  <c r="AM292" i="23"/>
  <c r="I34" i="63"/>
  <c r="AA29" i="23"/>
  <c r="AA170" i="23"/>
  <c r="AA370" i="23"/>
  <c r="I21" i="62"/>
  <c r="S21" i="62" l="1"/>
  <c r="AN292" i="23"/>
  <c r="AA524" i="23" l="1"/>
  <c r="AA307" i="23"/>
  <c r="R33" i="56" s="1"/>
  <c r="R34" i="56" l="1"/>
  <c r="AC307" i="23"/>
  <c r="T33" i="56" s="1"/>
  <c r="T34" i="56" s="1"/>
  <c r="AA308" i="23"/>
  <c r="AC308" i="23" l="1"/>
  <c r="AD307" i="23"/>
  <c r="U33" i="56" s="1"/>
  <c r="U34" i="56" s="1"/>
  <c r="AE307" i="23"/>
  <c r="AD308" i="23" l="1"/>
  <c r="V33" i="56"/>
  <c r="V34" i="56" s="1"/>
  <c r="AE308" i="23"/>
  <c r="AF307" i="23"/>
  <c r="W33" i="56" l="1"/>
  <c r="W34" i="56" s="1"/>
  <c r="AF308" i="23"/>
  <c r="AG307" i="23"/>
  <c r="X33" i="56" l="1"/>
  <c r="X34" i="56" s="1"/>
  <c r="AG308" i="23"/>
  <c r="AH307" i="23"/>
  <c r="Y33" i="56" l="1"/>
  <c r="Y34" i="56" s="1"/>
  <c r="AH308" i="23"/>
  <c r="AI307" i="23"/>
  <c r="Z33" i="56" l="1"/>
  <c r="Z34" i="56" s="1"/>
  <c r="AI308" i="23"/>
  <c r="AJ307" i="23"/>
  <c r="AK307" i="23" l="1"/>
  <c r="AA33" i="56"/>
  <c r="AA34" i="56" s="1"/>
  <c r="AJ308" i="23"/>
  <c r="AL307" i="23" l="1"/>
  <c r="AM307" i="23"/>
  <c r="AB33" i="56"/>
  <c r="AB34" i="56" s="1"/>
  <c r="AK308" i="23"/>
  <c r="AC33" i="56" l="1"/>
  <c r="AC34" i="56" s="1"/>
  <c r="AL308" i="23"/>
  <c r="AD33" i="56"/>
  <c r="AD34" i="56" s="1"/>
  <c r="AM308" i="23"/>
  <c r="Z237" i="23"/>
  <c r="AA237" i="23"/>
  <c r="AA239" i="23" s="1"/>
  <c r="AB172" i="20" l="1"/>
  <c r="AB171" i="20" l="1"/>
  <c r="AA249" i="23" l="1"/>
  <c r="AA298" i="23" l="1"/>
  <c r="AA302" i="23" s="1"/>
  <c r="AA304" i="23" s="1"/>
  <c r="AC300" i="23" l="1"/>
  <c r="AC200" i="23"/>
  <c r="AC616" i="23"/>
  <c r="AD616" i="23"/>
  <c r="AD621" i="23" s="1"/>
  <c r="AD628" i="23" s="1"/>
  <c r="AD200" i="23" s="1"/>
  <c r="AE616" i="23" l="1"/>
  <c r="AE621" i="23" s="1"/>
  <c r="AF616" i="23"/>
  <c r="AF621" i="23" s="1"/>
  <c r="AE628" i="23"/>
  <c r="AE200" i="23" s="1"/>
  <c r="AG616" i="23" l="1"/>
  <c r="AG621" i="23" s="1"/>
  <c r="AF628" i="23"/>
  <c r="AF200" i="23" s="1"/>
  <c r="AG628" i="23" l="1"/>
  <c r="AG200" i="23" s="1"/>
  <c r="AH616" i="23"/>
  <c r="AH621" i="23" s="1"/>
  <c r="AH628" i="23" l="1"/>
  <c r="AH200" i="23" s="1"/>
  <c r="AI616" i="23"/>
  <c r="AI621" i="23" s="1"/>
  <c r="AJ616" i="23" l="1"/>
  <c r="AJ621" i="23" s="1"/>
  <c r="AI628" i="23"/>
  <c r="AI200" i="23" s="1"/>
  <c r="AK616" i="23" l="1"/>
  <c r="AK621" i="23" s="1"/>
  <c r="AJ628" i="23"/>
  <c r="AJ200" i="23" s="1"/>
  <c r="AK628" i="23" l="1"/>
  <c r="AK200" i="23" s="1"/>
  <c r="AL616" i="23"/>
  <c r="AL621" i="23" s="1"/>
  <c r="AL628" i="23" l="1"/>
  <c r="AL200" i="23" s="1"/>
  <c r="AM616" i="23"/>
  <c r="AM621" i="23" s="1"/>
  <c r="AM628" i="23" s="1"/>
  <c r="AM200" i="23" s="1"/>
  <c r="AC661" i="23" l="1"/>
  <c r="AD661" i="23" l="1"/>
  <c r="AE661" i="23" l="1"/>
  <c r="AF661" i="23" l="1"/>
  <c r="AG661" i="23" l="1"/>
  <c r="AH661" i="23" l="1"/>
  <c r="AI661" i="23" l="1"/>
  <c r="AJ661" i="23" l="1"/>
  <c r="AK661" i="23" l="1"/>
  <c r="AL661" i="23" l="1"/>
  <c r="AM661" i="23" l="1"/>
  <c r="AN661" i="23"/>
  <c r="AA571" i="23" l="1"/>
  <c r="AC573" i="23"/>
  <c r="AA577" i="23"/>
  <c r="AA575" i="23" s="1"/>
  <c r="AA578" i="23"/>
  <c r="AA580" i="23" l="1"/>
  <c r="AC580" i="23" s="1"/>
  <c r="AA584" i="23"/>
  <c r="AC575" i="23" l="1"/>
  <c r="AD580" i="23"/>
  <c r="AC584" i="23" l="1"/>
  <c r="AE580" i="23"/>
  <c r="AF580" i="23" l="1"/>
  <c r="AG580" i="23" l="1"/>
  <c r="AH580" i="23" l="1"/>
  <c r="AI580" i="23" l="1"/>
  <c r="AJ580" i="23" l="1"/>
  <c r="AK580" i="23" l="1"/>
  <c r="AL580" i="23" l="1"/>
  <c r="AM580" i="23" l="1"/>
  <c r="CZ114" i="59" l="1"/>
  <c r="CZ116" i="59" s="1"/>
  <c r="CZ115" i="59" l="1"/>
  <c r="CZ203" i="59" l="1"/>
  <c r="CZ108" i="59"/>
  <c r="CZ202" i="59" s="1"/>
  <c r="CZ204" i="59" l="1"/>
  <c r="CZ214" i="59" l="1"/>
  <c r="FB199" i="30" l="1"/>
  <c r="DI20" i="23" s="1"/>
  <c r="CZ59" i="59"/>
  <c r="T59" i="59" s="1"/>
  <c r="CZ76" i="59"/>
  <c r="CZ77" i="59"/>
  <c r="CZ307" i="59"/>
  <c r="CZ321" i="59"/>
  <c r="CZ306" i="59" l="1"/>
  <c r="CZ320" i="59"/>
  <c r="CZ60" i="59"/>
  <c r="CZ61" i="59"/>
  <c r="BW137" i="73" s="1"/>
  <c r="CB137" i="73" s="1"/>
  <c r="CB139" i="73" l="1"/>
  <c r="CB136" i="73"/>
  <c r="DE61" i="59" s="1"/>
  <c r="DE59" i="59" s="1"/>
  <c r="CB138" i="73"/>
  <c r="BW139" i="73"/>
  <c r="BW136" i="73"/>
  <c r="BW138" i="73"/>
  <c r="DD59" i="59"/>
  <c r="T60" i="59"/>
  <c r="T61" i="59"/>
  <c r="T306" i="59"/>
  <c r="T320" i="59"/>
  <c r="AN140" i="30"/>
  <c r="DE60" i="59" l="1"/>
  <c r="U59" i="59"/>
  <c r="AN141" i="30"/>
  <c r="L137" i="73" s="1"/>
  <c r="AN142" i="30"/>
  <c r="R72" i="38"/>
  <c r="R74" i="38" s="1"/>
  <c r="AO140" i="30" l="1"/>
  <c r="AO141" i="30" s="1"/>
  <c r="M137" i="73" s="1"/>
  <c r="N137" i="73" s="1"/>
  <c r="O137" i="73" s="1"/>
  <c r="P137" i="73" s="1"/>
  <c r="Q137" i="73" s="1"/>
  <c r="R137" i="73" s="1"/>
  <c r="S137" i="73" s="1"/>
  <c r="T137" i="73" s="1"/>
  <c r="U137" i="73" s="1"/>
  <c r="V137" i="73" s="1"/>
  <c r="W137" i="73" s="1"/>
  <c r="N161" i="60"/>
  <c r="J78" i="63" s="1"/>
  <c r="R70" i="38"/>
  <c r="R73" i="38"/>
  <c r="L138" i="73"/>
  <c r="L139" i="73"/>
  <c r="L136" i="73" l="1"/>
  <c r="AO142" i="30"/>
  <c r="M138" i="73"/>
  <c r="M139" i="73"/>
  <c r="M136" i="73" l="1"/>
  <c r="N139" i="73"/>
  <c r="N138" i="73"/>
  <c r="DI59" i="59"/>
  <c r="S72" i="38"/>
  <c r="N136" i="73" l="1"/>
  <c r="AP141" i="30" s="1"/>
  <c r="AP140" i="30" s="1"/>
  <c r="U60" i="59"/>
  <c r="U61" i="59"/>
  <c r="U320" i="59"/>
  <c r="U306" i="59"/>
  <c r="O161" i="60"/>
  <c r="S73" i="38"/>
  <c r="S74" i="38"/>
  <c r="S70" i="38"/>
  <c r="O139" i="73"/>
  <c r="O138" i="73"/>
  <c r="V59" i="59"/>
  <c r="T72" i="38"/>
  <c r="AP142" i="30"/>
  <c r="O136" i="73" l="1"/>
  <c r="AQ141" i="30" s="1"/>
  <c r="AQ140" i="30" s="1"/>
  <c r="W59" i="59" s="1"/>
  <c r="P161" i="60"/>
  <c r="T74" i="38"/>
  <c r="T73" i="38"/>
  <c r="T70" i="38"/>
  <c r="K78" i="63"/>
  <c r="V306" i="59"/>
  <c r="V320" i="59"/>
  <c r="V60" i="59"/>
  <c r="V61" i="59"/>
  <c r="P138" i="73"/>
  <c r="P139" i="73"/>
  <c r="P136" i="73" l="1"/>
  <c r="AR141" i="30" s="1"/>
  <c r="AR140" i="30" s="1"/>
  <c r="X59" i="59" s="1"/>
  <c r="AQ142" i="30"/>
  <c r="U72" i="38"/>
  <c r="U73" i="38" s="1"/>
  <c r="L78" i="63"/>
  <c r="H10" i="60"/>
  <c r="W61" i="59"/>
  <c r="W306" i="59"/>
  <c r="W320" i="59"/>
  <c r="W60" i="59"/>
  <c r="Q138" i="73"/>
  <c r="Q139" i="73"/>
  <c r="Q136" i="73" l="1"/>
  <c r="AS141" i="30" s="1"/>
  <c r="AS140" i="30" s="1"/>
  <c r="Y59" i="59" s="1"/>
  <c r="U70" i="38"/>
  <c r="V72" i="38"/>
  <c r="R161" i="60" s="1"/>
  <c r="N78" i="63" s="1"/>
  <c r="AR142" i="30"/>
  <c r="U74" i="38"/>
  <c r="Q161" i="60"/>
  <c r="M78" i="63" s="1"/>
  <c r="X60" i="59"/>
  <c r="X61" i="59"/>
  <c r="X306" i="59"/>
  <c r="X320" i="59"/>
  <c r="R139" i="73"/>
  <c r="R138" i="73"/>
  <c r="W72" i="38" l="1"/>
  <c r="W74" i="38" s="1"/>
  <c r="AS142" i="30"/>
  <c r="R136" i="73"/>
  <c r="AT141" i="30" s="1"/>
  <c r="AT140" i="30" s="1"/>
  <c r="AT142" i="30" s="1"/>
  <c r="V70" i="38"/>
  <c r="V74" i="38"/>
  <c r="V73" i="38"/>
  <c r="Y60" i="59"/>
  <c r="Y61" i="59"/>
  <c r="Y320" i="59"/>
  <c r="Y306" i="59"/>
  <c r="S139" i="73"/>
  <c r="S136" i="73" s="1"/>
  <c r="AU141" i="30" s="1"/>
  <c r="AU140" i="30" s="1"/>
  <c r="S138" i="73"/>
  <c r="W73" i="38" l="1"/>
  <c r="Z59" i="59"/>
  <c r="Z61" i="59" s="1"/>
  <c r="X72" i="38"/>
  <c r="T161" i="60" s="1"/>
  <c r="S161" i="60"/>
  <c r="W70" i="38"/>
  <c r="T138" i="73"/>
  <c r="T139" i="73"/>
  <c r="AA59" i="59"/>
  <c r="Y72" i="38"/>
  <c r="AU142" i="30"/>
  <c r="Z306" i="59" l="1"/>
  <c r="Z60" i="59"/>
  <c r="Z320" i="59"/>
  <c r="X70" i="38"/>
  <c r="X73" i="38"/>
  <c r="X74" i="38"/>
  <c r="T136" i="73"/>
  <c r="AV141" i="30" s="1"/>
  <c r="AV140" i="30" s="1"/>
  <c r="AB59" i="59" s="1"/>
  <c r="U161" i="60"/>
  <c r="Y70" i="38"/>
  <c r="Y74" i="38"/>
  <c r="Y73" i="38"/>
  <c r="AA61" i="59"/>
  <c r="AA306" i="59"/>
  <c r="AA320" i="59"/>
  <c r="AA60" i="59"/>
  <c r="U138" i="73"/>
  <c r="U139" i="73"/>
  <c r="Z72" i="38" l="1"/>
  <c r="Z70" i="38" s="1"/>
  <c r="AV142" i="30"/>
  <c r="U136" i="73"/>
  <c r="AW141" i="30" s="1"/>
  <c r="AW140" i="30" s="1"/>
  <c r="AC59" i="59" s="1"/>
  <c r="W138" i="73"/>
  <c r="W139" i="73"/>
  <c r="V139" i="73"/>
  <c r="V138" i="73"/>
  <c r="AB60" i="59"/>
  <c r="AB61" i="59"/>
  <c r="AB306" i="59"/>
  <c r="AB320" i="59"/>
  <c r="Z74" i="38" l="1"/>
  <c r="V161" i="60"/>
  <c r="Z73" i="38"/>
  <c r="W136" i="73"/>
  <c r="AY141" i="30" s="1"/>
  <c r="AY140" i="30" s="1"/>
  <c r="AA72" i="38"/>
  <c r="AA74" i="38" s="1"/>
  <c r="AW142" i="30"/>
  <c r="V136" i="73"/>
  <c r="AX141" i="30" s="1"/>
  <c r="AX140" i="30" s="1"/>
  <c r="AD59" i="59" s="1"/>
  <c r="AC60" i="59"/>
  <c r="AC61" i="59"/>
  <c r="AC306" i="59"/>
  <c r="AC320" i="59"/>
  <c r="AA73" i="38" l="1"/>
  <c r="AA70" i="38"/>
  <c r="W161" i="60"/>
  <c r="AX142" i="30"/>
  <c r="AB72" i="38"/>
  <c r="X161" i="60" s="1"/>
  <c r="AE59" i="59"/>
  <c r="AY142" i="30"/>
  <c r="AC72" i="38"/>
  <c r="Y161" i="60" s="1"/>
  <c r="AD306" i="59"/>
  <c r="AD320" i="59"/>
  <c r="AD60" i="59"/>
  <c r="AD61" i="59"/>
  <c r="AB73" i="38" l="1"/>
  <c r="AB74" i="38"/>
  <c r="AB70" i="38"/>
  <c r="F108" i="38"/>
  <c r="B163" i="60" s="1"/>
  <c r="AC73" i="38"/>
  <c r="AC70" i="38"/>
  <c r="AC74" i="38"/>
  <c r="AE60" i="59"/>
  <c r="AE306" i="59"/>
  <c r="AE61" i="59"/>
  <c r="AE320" i="59"/>
  <c r="G108" i="38" l="1"/>
  <c r="H108" i="38" s="1"/>
  <c r="C163" i="60"/>
  <c r="D163" i="60" s="1"/>
  <c r="E163" i="60" s="1"/>
  <c r="F163" i="60" s="1"/>
  <c r="G163" i="60" s="1"/>
  <c r="H163" i="60" s="1"/>
  <c r="I163" i="60" s="1"/>
  <c r="J163" i="60" s="1"/>
  <c r="K163" i="60" s="1"/>
  <c r="L163" i="60" s="1"/>
  <c r="M163" i="60" s="1"/>
  <c r="N163" i="60" s="1"/>
  <c r="O163" i="60" s="1"/>
  <c r="P163" i="60" s="1"/>
  <c r="Q163" i="60" s="1"/>
  <c r="R163" i="60" s="1"/>
  <c r="S163" i="60" s="1"/>
  <c r="T163" i="60" s="1"/>
  <c r="U163" i="60" s="1"/>
  <c r="V163" i="60" s="1"/>
  <c r="W163" i="60" s="1"/>
  <c r="X163" i="60" s="1"/>
  <c r="Y163" i="60" s="1"/>
  <c r="I108" i="38" l="1"/>
  <c r="J108" i="38" l="1"/>
  <c r="K108" i="38" l="1"/>
  <c r="L108" i="38" l="1"/>
  <c r="M108" i="38" l="1"/>
  <c r="N108" i="38" l="1"/>
  <c r="O108" i="38" l="1"/>
  <c r="P108" i="38" l="1"/>
  <c r="Q108" i="38" l="1"/>
  <c r="R108" i="38" l="1"/>
  <c r="S108" i="38" l="1"/>
  <c r="T108" i="38" l="1"/>
  <c r="U108" i="38" l="1"/>
  <c r="V108" i="38" l="1"/>
  <c r="W108" i="38" l="1"/>
  <c r="X108" i="38" l="1"/>
  <c r="Y108" i="38" l="1"/>
  <c r="Z108" i="38" l="1"/>
  <c r="AA108" i="38" l="1"/>
  <c r="AB108" i="38" s="1"/>
  <c r="AC108" i="38" s="1"/>
  <c r="CZ79" i="59" l="1"/>
  <c r="CZ88" i="59"/>
  <c r="CZ89" i="59"/>
  <c r="CZ99" i="59"/>
  <c r="CZ100" i="59" s="1"/>
  <c r="CZ308" i="59"/>
  <c r="CZ322" i="59"/>
  <c r="DE80" i="59" l="1"/>
  <c r="CZ81" i="59"/>
  <c r="CZ80" i="59"/>
  <c r="CZ310" i="59"/>
  <c r="CZ194" i="59"/>
  <c r="CZ211" i="59" s="1"/>
  <c r="CZ101" i="59"/>
  <c r="CZ324" i="59"/>
  <c r="CZ198" i="59" l="1"/>
  <c r="CZ206" i="59"/>
  <c r="CZ200" i="59" l="1"/>
  <c r="DI10" i="23"/>
  <c r="CZ207" i="59"/>
  <c r="CZ213" i="59" s="1"/>
  <c r="CZ199" i="59"/>
  <c r="DI7" i="23" l="1"/>
  <c r="DI13" i="23"/>
  <c r="CZ212" i="59"/>
  <c r="DI17" i="23" l="1"/>
  <c r="DI14" i="23"/>
  <c r="DI18" i="23" l="1"/>
  <c r="DI21" i="23"/>
  <c r="BP24" i="31" l="1"/>
  <c r="BU25" i="31" s="1"/>
  <c r="BP31" i="31"/>
  <c r="BW40" i="73"/>
  <c r="BW39" i="73" s="1"/>
  <c r="BW41" i="73" l="1"/>
  <c r="BW42" i="73"/>
  <c r="BP33" i="31"/>
  <c r="BP39" i="31" s="1"/>
  <c r="BU39" i="31" s="1"/>
  <c r="BP25" i="31"/>
  <c r="BU42" i="31" l="1"/>
  <c r="BP34" i="31"/>
  <c r="BU43" i="31" l="1"/>
  <c r="DE49" i="59"/>
  <c r="DI31" i="23"/>
  <c r="DI34" i="23"/>
  <c r="DI44" i="23"/>
  <c r="DI52" i="23" s="1"/>
  <c r="DI55" i="23" s="1"/>
  <c r="DE50" i="59" l="1"/>
  <c r="DE51" i="59"/>
  <c r="DE55" i="59"/>
  <c r="DE75" i="59" s="1"/>
  <c r="BW164" i="73"/>
  <c r="DI58" i="23"/>
  <c r="DI60" i="23"/>
  <c r="DL40" i="23"/>
  <c r="DE56" i="59" l="1"/>
  <c r="DE57" i="59"/>
  <c r="DA114" i="59"/>
  <c r="DA115" i="59" s="1"/>
  <c r="DE76" i="59" l="1"/>
  <c r="DE77" i="59"/>
  <c r="DE99" i="59"/>
  <c r="DA116" i="59"/>
  <c r="DE194" i="59" l="1"/>
  <c r="DE211" i="59" s="1"/>
  <c r="DE100" i="59"/>
  <c r="DE101" i="59"/>
  <c r="DJ31" i="23"/>
  <c r="DE198" i="59" l="1"/>
  <c r="DJ37" i="23"/>
  <c r="DJ38" i="23" s="1"/>
  <c r="DE200" i="59" l="1"/>
  <c r="DN10" i="23"/>
  <c r="DE199" i="59"/>
  <c r="EF11" i="20"/>
  <c r="AC16" i="20"/>
  <c r="DN13" i="23" l="1"/>
  <c r="DN7" i="23"/>
  <c r="AC19" i="20"/>
  <c r="EF12" i="20"/>
  <c r="EK11" i="20"/>
  <c r="EK16" i="20" s="1"/>
  <c r="EI16" i="20"/>
  <c r="AC136" i="20"/>
  <c r="AC18" i="20"/>
  <c r="AC11" i="20"/>
  <c r="DN17" i="23" l="1"/>
  <c r="AD16" i="20"/>
  <c r="DN14" i="23"/>
  <c r="AN105" i="30"/>
  <c r="T30" i="59"/>
  <c r="AC12" i="20"/>
  <c r="EK19" i="20"/>
  <c r="EK18" i="20"/>
  <c r="DF30" i="59" s="1"/>
  <c r="FH105" i="30" s="1"/>
  <c r="AC113" i="20"/>
  <c r="AC38" i="20"/>
  <c r="EI18" i="20"/>
  <c r="AC115" i="20"/>
  <c r="AC80" i="20"/>
  <c r="AC21" i="20"/>
  <c r="AC137" i="20"/>
  <c r="AC133" i="20"/>
  <c r="AC148" i="20"/>
  <c r="AC154" i="20" s="1"/>
  <c r="AC142" i="20"/>
  <c r="T36" i="59" l="1"/>
  <c r="FH106" i="30"/>
  <c r="FH109" i="30"/>
  <c r="FH110" i="30" s="1"/>
  <c r="AN106" i="30"/>
  <c r="FF105" i="30"/>
  <c r="EN16" i="20"/>
  <c r="AD136" i="20"/>
  <c r="AD133" i="20" s="1"/>
  <c r="AD145" i="20" s="1"/>
  <c r="DF79" i="59"/>
  <c r="U79" i="59" s="1"/>
  <c r="DF234" i="59"/>
  <c r="U234" i="59" s="1"/>
  <c r="DF36" i="59"/>
  <c r="DF31" i="59"/>
  <c r="DN18" i="23"/>
  <c r="T37" i="59"/>
  <c r="EK21" i="20"/>
  <c r="T31" i="59"/>
  <c r="DD30" i="59"/>
  <c r="AC139" i="20"/>
  <c r="AC145" i="20"/>
  <c r="T45" i="59" l="1"/>
  <c r="DF240" i="59"/>
  <c r="DF245" i="59" s="1"/>
  <c r="DF37" i="59"/>
  <c r="DF45" i="59"/>
  <c r="DF87" i="59"/>
  <c r="AO143" i="30"/>
  <c r="AD28" i="20" s="1"/>
  <c r="DD36" i="59"/>
  <c r="AC151" i="20"/>
  <c r="T46" i="59" l="1"/>
  <c r="U240" i="59"/>
  <c r="DF246" i="59"/>
  <c r="DF255" i="59"/>
  <c r="DF187" i="59"/>
  <c r="DF189" i="59" s="1"/>
  <c r="DF46" i="59"/>
  <c r="DF112" i="59"/>
  <c r="DF88" i="59"/>
  <c r="DF89" i="59"/>
  <c r="DD45" i="59"/>
  <c r="DF210" i="59" l="1"/>
  <c r="DF231" i="59"/>
  <c r="DF190" i="59"/>
  <c r="AD139" i="20"/>
  <c r="DF191" i="59" l="1"/>
  <c r="DF237" i="59"/>
  <c r="AD137" i="20"/>
  <c r="AD148" i="20"/>
  <c r="AD154" i="20" s="1"/>
  <c r="AD142" i="20"/>
  <c r="DF238" i="59" l="1"/>
  <c r="DF254" i="59"/>
  <c r="DF250" i="59"/>
  <c r="DF192" i="59"/>
  <c r="DO5" i="23"/>
  <c r="AD18" i="20"/>
  <c r="AD26" i="20" s="1"/>
  <c r="AD19" i="20"/>
  <c r="AD11" i="20"/>
  <c r="DF248" i="59" l="1"/>
  <c r="DO6" i="23"/>
  <c r="EN18" i="20"/>
  <c r="U30" i="59"/>
  <c r="AD12" i="20"/>
  <c r="AO105" i="30"/>
  <c r="FK105" i="30" s="1"/>
  <c r="AD115" i="20"/>
  <c r="AD113" i="20"/>
  <c r="AD38" i="20"/>
  <c r="AD21" i="20"/>
  <c r="AD80" i="20"/>
  <c r="DF251" i="59" l="1"/>
  <c r="U36" i="59"/>
  <c r="DI30" i="59"/>
  <c r="DI234" i="59"/>
  <c r="U31" i="59"/>
  <c r="AO106" i="30"/>
  <c r="DI36" i="59" l="1"/>
  <c r="U45" i="59"/>
  <c r="U37" i="59"/>
  <c r="DI240" i="59"/>
  <c r="U46" i="59" l="1"/>
  <c r="AE160" i="20" l="1"/>
  <c r="AE173" i="20"/>
  <c r="AF173" i="20" s="1"/>
  <c r="AH161" i="20"/>
  <c r="AE175" i="20"/>
  <c r="AG173" i="20" l="1"/>
  <c r="AG175" i="20" s="1"/>
  <c r="AF175" i="20"/>
  <c r="AE162" i="20"/>
  <c r="AE131" i="20"/>
  <c r="AE163" i="20"/>
  <c r="AE164" i="20" s="1"/>
  <c r="AI161" i="20"/>
  <c r="AJ161" i="20" s="1"/>
  <c r="AK161" i="20" s="1"/>
  <c r="AL161" i="20" s="1"/>
  <c r="AM161" i="20" s="1"/>
  <c r="AN161" i="20" s="1"/>
  <c r="AE165" i="20" l="1"/>
  <c r="AE177" i="20"/>
  <c r="AE179" i="20" s="1"/>
  <c r="AF160" i="20"/>
  <c r="AH173" i="20"/>
  <c r="AI173" i="20" l="1"/>
  <c r="AF131" i="20"/>
  <c r="AF163" i="20"/>
  <c r="AF164" i="20" s="1"/>
  <c r="AG160" i="20"/>
  <c r="AG162" i="20" s="1"/>
  <c r="AF162" i="20"/>
  <c r="AH175" i="20"/>
  <c r="AF165" i="20" l="1"/>
  <c r="AF177" i="20"/>
  <c r="AF179" i="20" s="1"/>
  <c r="AG131" i="20"/>
  <c r="AG163" i="20"/>
  <c r="AG164" i="20" s="1"/>
  <c r="AH160" i="20"/>
  <c r="AH162" i="20" s="1"/>
  <c r="AJ173" i="20"/>
  <c r="AJ175" i="20" s="1"/>
  <c r="AG165" i="20"/>
  <c r="AG177" i="20"/>
  <c r="AG179" i="20" s="1"/>
  <c r="AI175" i="20"/>
  <c r="AH165" i="20" l="1"/>
  <c r="AH177" i="20"/>
  <c r="AH179" i="20" s="1"/>
  <c r="AK173" i="20"/>
  <c r="AK175" i="20" s="1"/>
  <c r="AI160" i="20"/>
  <c r="AI162" i="20" s="1"/>
  <c r="AI165" i="20" s="1"/>
  <c r="AH131" i="20"/>
  <c r="AH163" i="20"/>
  <c r="AH164" i="20" s="1"/>
  <c r="AI177" i="20" l="1"/>
  <c r="AI179" i="20" s="1"/>
  <c r="AJ160" i="20"/>
  <c r="AJ162" i="20" s="1"/>
  <c r="AI131" i="20"/>
  <c r="AI163" i="20"/>
  <c r="AI164" i="20" s="1"/>
  <c r="AL173" i="20"/>
  <c r="AJ165" i="20" l="1"/>
  <c r="AJ177" i="20"/>
  <c r="AJ179" i="20" s="1"/>
  <c r="AM173" i="20"/>
  <c r="AJ131" i="20"/>
  <c r="AJ163" i="20"/>
  <c r="AJ164" i="20" s="1"/>
  <c r="AK160" i="20"/>
  <c r="AL175" i="20"/>
  <c r="AN173" i="20" l="1"/>
  <c r="AN175" i="20" s="1"/>
  <c r="AM175" i="20"/>
  <c r="AK131" i="20"/>
  <c r="AK163" i="20"/>
  <c r="AK164" i="20" s="1"/>
  <c r="AL160" i="20"/>
  <c r="AK162" i="20"/>
  <c r="AM160" i="20" l="1"/>
  <c r="AL131" i="20"/>
  <c r="AL163" i="20"/>
  <c r="AL164" i="20" s="1"/>
  <c r="AL162" i="20"/>
  <c r="AK165" i="20"/>
  <c r="AK177" i="20"/>
  <c r="AK179" i="20" s="1"/>
  <c r="AN160" i="20" l="1"/>
  <c r="AM131" i="20"/>
  <c r="AM163" i="20"/>
  <c r="AM164" i="20" s="1"/>
  <c r="AM162" i="20"/>
  <c r="AL165" i="20"/>
  <c r="AL177" i="20"/>
  <c r="AL179" i="20" s="1"/>
  <c r="AN131" i="20" l="1"/>
  <c r="AN163" i="20"/>
  <c r="AN164" i="20" s="1"/>
  <c r="AN162" i="20"/>
  <c r="AM165" i="20"/>
  <c r="AM177" i="20"/>
  <c r="AM179" i="20" s="1"/>
  <c r="DA108" i="59"/>
  <c r="DA202" i="59" s="1"/>
  <c r="DA79" i="59"/>
  <c r="DA99" i="59"/>
  <c r="DA100" i="59" s="1"/>
  <c r="DA308" i="59"/>
  <c r="DA322" i="59"/>
  <c r="T79" i="59" l="1"/>
  <c r="AN143" i="30" s="1"/>
  <c r="DF80" i="59"/>
  <c r="AN165" i="20"/>
  <c r="AN177" i="20"/>
  <c r="AN179" i="20" s="1"/>
  <c r="DA310" i="59"/>
  <c r="DA324" i="59"/>
  <c r="DA194" i="59"/>
  <c r="DA198" i="59" s="1"/>
  <c r="DJ10" i="23" s="1"/>
  <c r="DA101" i="59"/>
  <c r="DA81" i="59"/>
  <c r="DA80" i="59"/>
  <c r="T80" i="59" l="1"/>
  <c r="DD79" i="59"/>
  <c r="T81" i="59"/>
  <c r="T87" i="59"/>
  <c r="AO144" i="30"/>
  <c r="AN144" i="30"/>
  <c r="AC28" i="20"/>
  <c r="AC26" i="20" s="1"/>
  <c r="DA199" i="59"/>
  <c r="DA200" i="59"/>
  <c r="DA206" i="59"/>
  <c r="DA211" i="59"/>
  <c r="DJ7" i="23"/>
  <c r="DJ13" i="23"/>
  <c r="AD27" i="20" l="1"/>
  <c r="T89" i="59"/>
  <c r="T112" i="59"/>
  <c r="T88" i="59"/>
  <c r="T308" i="59"/>
  <c r="T322" i="59"/>
  <c r="DD87" i="59"/>
  <c r="AC30" i="20"/>
  <c r="AC117" i="20"/>
  <c r="AC116" i="20"/>
  <c r="N191" i="60"/>
  <c r="J79" i="63" s="1"/>
  <c r="AC27" i="20"/>
  <c r="AC29" i="20"/>
  <c r="DJ17" i="23"/>
  <c r="DJ14" i="23"/>
  <c r="AD116" i="20"/>
  <c r="AE26" i="20"/>
  <c r="DD112" i="59"/>
  <c r="DJ18" i="23" l="1"/>
  <c r="AD117" i="20"/>
  <c r="AD30" i="20"/>
  <c r="AF26" i="20"/>
  <c r="AE27" i="20"/>
  <c r="AD29" i="20" l="1"/>
  <c r="O191" i="60"/>
  <c r="K79" i="63" s="1"/>
  <c r="AG26" i="20"/>
  <c r="AF27" i="20"/>
  <c r="DI79" i="59"/>
  <c r="AH26" i="20" l="1"/>
  <c r="AG27" i="20"/>
  <c r="U81" i="59"/>
  <c r="U80" i="59"/>
  <c r="U87" i="59"/>
  <c r="DI87" i="59" l="1"/>
  <c r="U112" i="59"/>
  <c r="U89" i="59"/>
  <c r="U88" i="59"/>
  <c r="U308" i="59"/>
  <c r="U322" i="59"/>
  <c r="AI26" i="20"/>
  <c r="AH27" i="20"/>
  <c r="DI112" i="59" l="1"/>
  <c r="AJ26" i="20"/>
  <c r="AI27" i="20"/>
  <c r="AK26" i="20" l="1"/>
  <c r="AJ27" i="20"/>
  <c r="AL26" i="20" l="1"/>
  <c r="AK27" i="20"/>
  <c r="AM26" i="20" l="1"/>
  <c r="AN26" i="20" s="1"/>
  <c r="AL27" i="20"/>
  <c r="AN27" i="20" l="1"/>
  <c r="AM27" i="20"/>
  <c r="DA203" i="59" l="1"/>
  <c r="DA204" i="59" s="1"/>
  <c r="DA214" i="59" l="1"/>
  <c r="DA207" i="59"/>
  <c r="DA212" i="59" s="1"/>
  <c r="DD212" i="59" s="1"/>
  <c r="FC199" i="30"/>
  <c r="DJ20" i="23" s="1"/>
  <c r="DJ21" i="23" l="1"/>
  <c r="DJ23" i="23" s="1"/>
  <c r="DA213" i="59" l="1"/>
  <c r="DJ34" i="23"/>
  <c r="DJ40" i="23" l="1"/>
  <c r="DJ670" i="23" s="1"/>
  <c r="DJ44" i="23"/>
  <c r="DJ58" i="23" s="1"/>
  <c r="BX164" i="73" l="1"/>
  <c r="DJ50" i="23"/>
  <c r="DJ52" i="23" s="1"/>
  <c r="DJ100" i="23" s="1"/>
  <c r="DJ60" i="23"/>
  <c r="DJ55" i="23" l="1"/>
  <c r="DJ98" i="23" l="1"/>
  <c r="Y23" i="31" l="1"/>
  <c r="BQ24" i="31"/>
  <c r="BQ31" i="31"/>
  <c r="Y31" i="31" s="1"/>
  <c r="BX40" i="73"/>
  <c r="BX42" i="73" s="1"/>
  <c r="Z24" i="31" l="1"/>
  <c r="BY24" i="31" s="1"/>
  <c r="M40" i="73"/>
  <c r="BQ25" i="31"/>
  <c r="BV25" i="31"/>
  <c r="BX41" i="73"/>
  <c r="BX39" i="73"/>
  <c r="BQ33" i="31"/>
  <c r="BQ34" i="31" s="1"/>
  <c r="L40" i="73"/>
  <c r="Y89" i="31"/>
  <c r="Z89" i="31"/>
  <c r="BT23" i="31"/>
  <c r="Y33" i="31"/>
  <c r="BT31" i="31"/>
  <c r="Y24" i="31"/>
  <c r="L42" i="73" l="1"/>
  <c r="M30" i="73"/>
  <c r="M41" i="73"/>
  <c r="M42" i="73"/>
  <c r="M39" i="73" s="1"/>
  <c r="Z90" i="31"/>
  <c r="Z25" i="31"/>
  <c r="N39" i="73"/>
  <c r="BY33" i="31"/>
  <c r="BY31" i="31"/>
  <c r="BQ39" i="31"/>
  <c r="L41" i="73"/>
  <c r="Z34" i="31"/>
  <c r="Y90" i="31"/>
  <c r="Y25" i="31"/>
  <c r="BT24" i="31"/>
  <c r="L30" i="73"/>
  <c r="BT33" i="31"/>
  <c r="Y34" i="31"/>
  <c r="L39" i="73" l="1"/>
  <c r="O39" i="73"/>
  <c r="N42" i="73"/>
  <c r="N41" i="73"/>
  <c r="AA23" i="31" s="1"/>
  <c r="BV39" i="31"/>
  <c r="L31" i="73"/>
  <c r="M31" i="73"/>
  <c r="AA24" i="31" l="1"/>
  <c r="AA31" i="31"/>
  <c r="AA33" i="31" s="1"/>
  <c r="AA34" i="31" s="1"/>
  <c r="AA89" i="31"/>
  <c r="P39" i="73"/>
  <c r="O42" i="73"/>
  <c r="O41" i="73"/>
  <c r="AB23" i="31" s="1"/>
  <c r="BV42" i="31"/>
  <c r="Q39" i="73" l="1"/>
  <c r="P42" i="73"/>
  <c r="P41" i="73"/>
  <c r="AC23" i="31" s="1"/>
  <c r="AB31" i="31"/>
  <c r="AB33" i="31" s="1"/>
  <c r="AB34" i="31" s="1"/>
  <c r="AB89" i="31"/>
  <c r="AB24" i="31"/>
  <c r="AA25" i="31"/>
  <c r="N30" i="73"/>
  <c r="AA90" i="31"/>
  <c r="BV43" i="31"/>
  <c r="DF49" i="59"/>
  <c r="N31" i="73" l="1"/>
  <c r="O30" i="73"/>
  <c r="AB25" i="31"/>
  <c r="AB90" i="31"/>
  <c r="AC24" i="31"/>
  <c r="AC89" i="31"/>
  <c r="AC31" i="31"/>
  <c r="AC33" i="31" s="1"/>
  <c r="AC34" i="31" s="1"/>
  <c r="R39" i="73"/>
  <c r="Q42" i="73"/>
  <c r="Q41" i="73"/>
  <c r="AD23" i="31" s="1"/>
  <c r="DF51" i="59"/>
  <c r="DF55" i="59"/>
  <c r="DF75" i="59" s="1"/>
  <c r="DF50" i="59"/>
  <c r="O31" i="73" l="1"/>
  <c r="AD31" i="31"/>
  <c r="AD33" i="31" s="1"/>
  <c r="AD34" i="31" s="1"/>
  <c r="AD24" i="31"/>
  <c r="AD89" i="31"/>
  <c r="AC90" i="31"/>
  <c r="AC25" i="31"/>
  <c r="P30" i="73"/>
  <c r="S39" i="73"/>
  <c r="R42" i="73"/>
  <c r="R41" i="73"/>
  <c r="AE23" i="31" s="1"/>
  <c r="DF57" i="59"/>
  <c r="DF56" i="59"/>
  <c r="P31" i="73" l="1"/>
  <c r="T39" i="73"/>
  <c r="S41" i="73"/>
  <c r="S42" i="73"/>
  <c r="AF23" i="31"/>
  <c r="AE89" i="31"/>
  <c r="AE24" i="31"/>
  <c r="AE31" i="31"/>
  <c r="AE33" i="31" s="1"/>
  <c r="AE34" i="31" s="1"/>
  <c r="Q30" i="73"/>
  <c r="AD25" i="31"/>
  <c r="AD90" i="31"/>
  <c r="DF76" i="59"/>
  <c r="DF99" i="59"/>
  <c r="DF77" i="59"/>
  <c r="Q31" i="73" l="1"/>
  <c r="AF24" i="31"/>
  <c r="AF89" i="31"/>
  <c r="AF31" i="31"/>
  <c r="AF33" i="31" s="1"/>
  <c r="AF34" i="31" s="1"/>
  <c r="R30" i="73"/>
  <c r="R31" i="73" s="1"/>
  <c r="AE90" i="31"/>
  <c r="AE25" i="31"/>
  <c r="U39" i="73"/>
  <c r="AG23" i="31"/>
  <c r="T41" i="73"/>
  <c r="T42" i="73"/>
  <c r="DF101" i="59"/>
  <c r="DF194" i="59"/>
  <c r="DF100" i="59"/>
  <c r="AG31" i="31" l="1"/>
  <c r="AG33" i="31" s="1"/>
  <c r="AG34" i="31" s="1"/>
  <c r="AG89" i="31"/>
  <c r="AG24" i="31"/>
  <c r="V39" i="73"/>
  <c r="AH23" i="31"/>
  <c r="U41" i="73"/>
  <c r="U42" i="73"/>
  <c r="AF25" i="31"/>
  <c r="AF90" i="31"/>
  <c r="S30" i="73"/>
  <c r="S31" i="73" s="1"/>
  <c r="DF211" i="59"/>
  <c r="DF198" i="59"/>
  <c r="W39" i="73" l="1"/>
  <c r="V42" i="73"/>
  <c r="V41" i="73"/>
  <c r="AI23" i="31" s="1"/>
  <c r="T30" i="73"/>
  <c r="T31" i="73" s="1"/>
  <c r="AG90" i="31"/>
  <c r="AG25" i="31"/>
  <c r="AH89" i="31"/>
  <c r="AH24" i="31"/>
  <c r="AH31" i="31"/>
  <c r="AH33" i="31" s="1"/>
  <c r="AH34" i="31" s="1"/>
  <c r="DO10" i="23"/>
  <c r="DF200" i="59"/>
  <c r="DF199" i="59"/>
  <c r="AI31" i="31" l="1"/>
  <c r="AI33" i="31" s="1"/>
  <c r="AI34" i="31" s="1"/>
  <c r="AI89" i="31"/>
  <c r="AI24" i="31"/>
  <c r="AH90" i="31"/>
  <c r="U30" i="73"/>
  <c r="U31" i="73" s="1"/>
  <c r="AH25" i="31"/>
  <c r="W42" i="73"/>
  <c r="AJ23" i="31"/>
  <c r="W41" i="73"/>
  <c r="DO13" i="23"/>
  <c r="DO7" i="23"/>
  <c r="DF39" i="23"/>
  <c r="AB39" i="23" s="1"/>
  <c r="AJ24" i="31" l="1"/>
  <c r="AJ89" i="31"/>
  <c r="AJ31" i="31"/>
  <c r="AJ33" i="31" s="1"/>
  <c r="AJ34" i="31" s="1"/>
  <c r="V30" i="73"/>
  <c r="V31" i="73" s="1"/>
  <c r="AI90" i="31"/>
  <c r="AI25" i="31"/>
  <c r="DO17" i="23"/>
  <c r="DO14" i="23"/>
  <c r="DH39" i="23"/>
  <c r="AA39" i="23"/>
  <c r="AA656" i="23"/>
  <c r="W30" i="73" l="1"/>
  <c r="W31" i="73" s="1"/>
  <c r="AJ90" i="31"/>
  <c r="AJ25" i="31"/>
  <c r="DO18" i="23"/>
  <c r="AA660" i="23"/>
  <c r="AA675" i="23"/>
  <c r="DD37" i="23" l="1"/>
  <c r="DE37" i="23"/>
  <c r="DE38" i="23" s="1"/>
  <c r="DF37" i="23"/>
  <c r="DF38" i="23" s="1"/>
  <c r="AA661" i="23"/>
  <c r="DG37" i="23"/>
  <c r="DG38" i="23" s="1"/>
  <c r="AB37" i="23" l="1"/>
  <c r="DD38" i="23"/>
  <c r="AB38" i="23" s="1"/>
  <c r="DH38" i="23" l="1"/>
  <c r="DH37" i="23"/>
  <c r="AA37" i="23"/>
  <c r="R10" i="56" l="1"/>
  <c r="R15" i="56" l="1"/>
  <c r="DB114" i="59" l="1"/>
  <c r="DB115" i="59" s="1"/>
  <c r="DB116" i="59" l="1"/>
  <c r="W63" i="85" l="1"/>
  <c r="X63" i="85" s="1"/>
  <c r="X64" i="85" s="1"/>
  <c r="W64" i="85" l="1"/>
  <c r="X65" i="85"/>
  <c r="Y63" i="85"/>
  <c r="Y64" i="85" l="1"/>
  <c r="Y65" i="85"/>
  <c r="Z63" i="85"/>
  <c r="X78" i="85"/>
  <c r="X66" i="85"/>
  <c r="X80" i="85"/>
  <c r="AA63" i="85" l="1"/>
  <c r="Z64" i="85"/>
  <c r="Z65" i="85"/>
  <c r="Y78" i="85"/>
  <c r="Y80" i="85"/>
  <c r="Y66" i="85"/>
  <c r="Z66" i="85" l="1"/>
  <c r="Z80" i="85"/>
  <c r="Z78" i="85"/>
  <c r="AB63" i="85"/>
  <c r="AA64" i="85"/>
  <c r="AA65" i="85"/>
  <c r="AA66" i="85" l="1"/>
  <c r="AA80" i="85"/>
  <c r="AA78" i="85"/>
  <c r="AB65" i="85"/>
  <c r="AC63" i="85"/>
  <c r="AB64" i="85"/>
  <c r="AC64" i="85" l="1"/>
  <c r="AC65" i="85"/>
  <c r="AD63" i="85"/>
  <c r="AB78" i="85"/>
  <c r="AB66" i="85"/>
  <c r="AB80" i="85"/>
  <c r="AC78" i="85" l="1"/>
  <c r="AC80" i="85"/>
  <c r="AC66" i="85"/>
  <c r="AE63" i="85"/>
  <c r="AD64" i="85"/>
  <c r="AD65" i="85"/>
  <c r="AD66" i="85" l="1"/>
  <c r="AD80" i="85"/>
  <c r="AD78" i="85"/>
  <c r="AF63" i="85"/>
  <c r="AE64" i="85"/>
  <c r="AE65" i="85"/>
  <c r="AG63" i="85" l="1"/>
  <c r="AF65" i="85"/>
  <c r="AE66" i="85"/>
  <c r="AE80" i="85"/>
  <c r="AE78" i="85"/>
  <c r="AF64" i="85"/>
  <c r="AG64" i="85" l="1"/>
  <c r="AG65" i="85"/>
  <c r="AF78" i="85"/>
  <c r="AF66" i="85"/>
  <c r="AF80" i="85"/>
  <c r="W52" i="85"/>
  <c r="W54" i="85" s="1"/>
  <c r="W55" i="85" s="1"/>
  <c r="W87" i="85"/>
  <c r="X87" i="85" s="1"/>
  <c r="Y87" i="85" s="1"/>
  <c r="W90" i="85"/>
  <c r="AG80" i="85" l="1"/>
  <c r="AG78" i="85"/>
  <c r="AG66" i="85"/>
  <c r="X89" i="85"/>
  <c r="X104" i="85" s="1"/>
  <c r="W53" i="85"/>
  <c r="Z87" i="85"/>
  <c r="AA87" i="85" s="1"/>
  <c r="AB87" i="85" s="1"/>
  <c r="Y89" i="85"/>
  <c r="Y90" i="85" l="1"/>
  <c r="X102" i="85"/>
  <c r="X52" i="85"/>
  <c r="X54" i="85" s="1"/>
  <c r="X55" i="85" s="1"/>
  <c r="X90" i="85"/>
  <c r="Z89" i="85"/>
  <c r="Z102" i="85" s="1"/>
  <c r="AA89" i="85"/>
  <c r="AA102" i="85" s="1"/>
  <c r="Y52" i="85"/>
  <c r="Y54" i="85" s="1"/>
  <c r="Y102" i="85"/>
  <c r="Y104" i="85"/>
  <c r="AC87" i="85"/>
  <c r="AB89" i="85"/>
  <c r="Z52" i="85"/>
  <c r="AA52" i="85" l="1"/>
  <c r="Z104" i="85"/>
  <c r="Z90" i="85"/>
  <c r="AA104" i="85"/>
  <c r="Y53" i="85"/>
  <c r="X53" i="85"/>
  <c r="AA90" i="85"/>
  <c r="Y55" i="85"/>
  <c r="AD87" i="85"/>
  <c r="AC89" i="85"/>
  <c r="Z54" i="85"/>
  <c r="Z55" i="85" s="1"/>
  <c r="Z53" i="85"/>
  <c r="AA54" i="85"/>
  <c r="AA53" i="85"/>
  <c r="AB52" i="85"/>
  <c r="AB90" i="85"/>
  <c r="AB104" i="85"/>
  <c r="AB102" i="85"/>
  <c r="AB53" i="85" l="1"/>
  <c r="AB54" i="85"/>
  <c r="AB55" i="85" s="1"/>
  <c r="AD89" i="85"/>
  <c r="AE87" i="85"/>
  <c r="AA55" i="85"/>
  <c r="AC52" i="85"/>
  <c r="AC90" i="85"/>
  <c r="AC104" i="85"/>
  <c r="AC102" i="85"/>
  <c r="AF87" i="85" l="1"/>
  <c r="AE89" i="85"/>
  <c r="AC53" i="85"/>
  <c r="AC54" i="85"/>
  <c r="AC55" i="85" s="1"/>
  <c r="AD52" i="85"/>
  <c r="AD102" i="85"/>
  <c r="AD90" i="85"/>
  <c r="AD104" i="85"/>
  <c r="AF89" i="85" l="1"/>
  <c r="AF102" i="85" s="1"/>
  <c r="AG87" i="85"/>
  <c r="AG89" i="85" s="1"/>
  <c r="AD54" i="85"/>
  <c r="AD55" i="85" s="1"/>
  <c r="AD53" i="85"/>
  <c r="AE52" i="85"/>
  <c r="AE102" i="85"/>
  <c r="AE90" i="85"/>
  <c r="AE104" i="85"/>
  <c r="AF104" i="85" l="1"/>
  <c r="AF90" i="85"/>
  <c r="AF52" i="85"/>
  <c r="AF53" i="85" s="1"/>
  <c r="AG90" i="85"/>
  <c r="AG104" i="85"/>
  <c r="AG102" i="85"/>
  <c r="AG52" i="85"/>
  <c r="AE54" i="85"/>
  <c r="AE55" i="85" s="1"/>
  <c r="AE53" i="85"/>
  <c r="AF54" i="85" l="1"/>
  <c r="AF55" i="85" s="1"/>
  <c r="AG53" i="85"/>
  <c r="AG54" i="85"/>
  <c r="DE8" i="85"/>
  <c r="DE16" i="85"/>
  <c r="W68" i="85"/>
  <c r="W69" i="85" s="1"/>
  <c r="W81" i="85"/>
  <c r="AG55" i="85" l="1"/>
  <c r="X69" i="85"/>
  <c r="Y69" i="85" s="1"/>
  <c r="Z69" i="85" s="1"/>
  <c r="AA69" i="85" s="1"/>
  <c r="AB69" i="85" s="1"/>
  <c r="AC69" i="85" s="1"/>
  <c r="AD69" i="85" s="1"/>
  <c r="AE69" i="85" s="1"/>
  <c r="AF69" i="85" s="1"/>
  <c r="AG69" i="85" s="1"/>
  <c r="X68" i="85" l="1"/>
  <c r="Y68" i="85" s="1"/>
  <c r="X8" i="85" l="1"/>
  <c r="X9" i="85" s="1"/>
  <c r="Z68" i="85"/>
  <c r="Y8" i="85"/>
  <c r="X81" i="85" l="1"/>
  <c r="X16" i="85"/>
  <c r="Y81" i="85"/>
  <c r="Y9" i="85"/>
  <c r="Y16" i="85"/>
  <c r="AA68" i="85"/>
  <c r="Z8" i="85"/>
  <c r="Z81" i="85" l="1"/>
  <c r="Z9" i="85"/>
  <c r="Z16" i="85"/>
  <c r="AA8" i="85"/>
  <c r="AB68" i="85"/>
  <c r="AC68" i="85" l="1"/>
  <c r="AB8" i="85"/>
  <c r="AA81" i="85"/>
  <c r="AA9" i="85"/>
  <c r="AA16" i="85"/>
  <c r="AB9" i="85" l="1"/>
  <c r="AB16" i="85"/>
  <c r="AB81" i="85"/>
  <c r="AD68" i="85"/>
  <c r="AC8" i="85"/>
  <c r="AC81" i="85" l="1"/>
  <c r="AC9" i="85"/>
  <c r="AC16" i="85"/>
  <c r="AE68" i="85"/>
  <c r="AD8" i="85"/>
  <c r="AD81" i="85" l="1"/>
  <c r="AD9" i="85"/>
  <c r="AD16" i="85"/>
  <c r="AE8" i="85"/>
  <c r="AF68" i="85"/>
  <c r="AF8" i="85" l="1"/>
  <c r="AF16" i="85" s="1"/>
  <c r="AG68" i="85"/>
  <c r="AG8" i="85" s="1"/>
  <c r="AE81" i="85"/>
  <c r="AE9" i="85"/>
  <c r="AE16" i="85"/>
  <c r="AF9" i="85" l="1"/>
  <c r="AF81" i="85"/>
  <c r="AG9" i="85"/>
  <c r="AG81" i="85"/>
  <c r="AG16" i="85"/>
  <c r="DE11" i="85"/>
  <c r="DE13" i="85"/>
  <c r="DE18" i="85"/>
  <c r="DE23" i="85"/>
  <c r="W92" i="85"/>
  <c r="W95" i="85"/>
  <c r="W96" i="85" s="1"/>
  <c r="W105" i="85"/>
  <c r="W71" i="85" l="1"/>
  <c r="W72" i="85" s="1"/>
  <c r="W31" i="85"/>
  <c r="DD31" i="85" s="1"/>
  <c r="DD33" i="85" s="1"/>
  <c r="W25" i="85"/>
  <c r="W93" i="85"/>
  <c r="X93" i="85" s="1"/>
  <c r="Y93" i="85" s="1"/>
  <c r="Z93" i="85" s="1"/>
  <c r="AA93" i="85" s="1"/>
  <c r="AB93" i="85" s="1"/>
  <c r="AC93" i="85" s="1"/>
  <c r="AD93" i="85" s="1"/>
  <c r="AE93" i="85" s="1"/>
  <c r="AF93" i="85" s="1"/>
  <c r="AG93" i="85" s="1"/>
  <c r="DD35" i="85" l="1"/>
  <c r="DD34" i="85"/>
  <c r="DE31" i="85"/>
  <c r="DE25" i="85"/>
  <c r="W26" i="85"/>
  <c r="X92" i="85"/>
  <c r="DE20" i="85"/>
  <c r="W28" i="85"/>
  <c r="DE28" i="85" l="1"/>
  <c r="W29" i="85"/>
  <c r="W33" i="85"/>
  <c r="Y92" i="85"/>
  <c r="X11" i="85"/>
  <c r="W34" i="85" l="1"/>
  <c r="DE33" i="85"/>
  <c r="W35" i="85"/>
  <c r="X18" i="85"/>
  <c r="X95" i="85"/>
  <c r="X96" i="85" s="1"/>
  <c r="X105" i="85"/>
  <c r="X12" i="85"/>
  <c r="X13" i="85"/>
  <c r="Z92" i="85"/>
  <c r="Y11" i="85"/>
  <c r="X23" i="85" l="1"/>
  <c r="X25" i="85" s="1"/>
  <c r="X26" i="85" s="1"/>
  <c r="X71" i="85"/>
  <c r="X72" i="85" s="1"/>
  <c r="X14" i="85"/>
  <c r="X31" i="85" s="1"/>
  <c r="X39" i="85"/>
  <c r="X20" i="85"/>
  <c r="V223" i="59"/>
  <c r="AL49" i="25"/>
  <c r="Y13" i="85"/>
  <c r="Y18" i="85"/>
  <c r="Y95" i="85"/>
  <c r="Y96" i="85" s="1"/>
  <c r="Y105" i="85"/>
  <c r="Y12" i="85"/>
  <c r="Z11" i="85"/>
  <c r="AA92" i="85"/>
  <c r="X28" i="85" l="1"/>
  <c r="X21" i="85"/>
  <c r="Z13" i="85"/>
  <c r="Z18" i="85"/>
  <c r="Z95" i="85"/>
  <c r="Z96" i="85" s="1"/>
  <c r="Z105" i="85"/>
  <c r="Z12" i="85"/>
  <c r="Y20" i="85"/>
  <c r="Y23" i="85"/>
  <c r="Y25" i="85" s="1"/>
  <c r="Y26" i="85" s="1"/>
  <c r="Y71" i="85"/>
  <c r="Y72" i="85" s="1"/>
  <c r="Y14" i="85"/>
  <c r="Y39" i="85"/>
  <c r="W223" i="59"/>
  <c r="AM49" i="25"/>
  <c r="AB92" i="85"/>
  <c r="AA11" i="85"/>
  <c r="AP167" i="30"/>
  <c r="Y31" i="85"/>
  <c r="AL53" i="25"/>
  <c r="AP172" i="30" s="1"/>
  <c r="AM53" i="25" l="1"/>
  <c r="AQ172" i="30" s="1"/>
  <c r="AQ167" i="30"/>
  <c r="AM50" i="25"/>
  <c r="X29" i="85"/>
  <c r="X33" i="85"/>
  <c r="AA12" i="85"/>
  <c r="AA13" i="85"/>
  <c r="AA18" i="85"/>
  <c r="AA95" i="85"/>
  <c r="AA96" i="85" s="1"/>
  <c r="AA105" i="85"/>
  <c r="AP173" i="30"/>
  <c r="AP197" i="30"/>
  <c r="V18" i="59"/>
  <c r="AP236" i="30"/>
  <c r="AC92" i="85"/>
  <c r="AB11" i="85"/>
  <c r="Y28" i="85"/>
  <c r="Y21" i="85"/>
  <c r="Z14" i="85"/>
  <c r="Z31" i="85" s="1"/>
  <c r="Z39" i="85"/>
  <c r="Z20" i="85"/>
  <c r="Z23" i="85"/>
  <c r="Z25" i="85" s="1"/>
  <c r="Z26" i="85" s="1"/>
  <c r="Z71" i="85"/>
  <c r="Z72" i="85" s="1"/>
  <c r="X223" i="59"/>
  <c r="AN49" i="25"/>
  <c r="V27" i="59" l="1"/>
  <c r="AN53" i="25"/>
  <c r="AR172" i="30" s="1"/>
  <c r="W18" i="59"/>
  <c r="W27" i="59" s="1"/>
  <c r="AQ168" i="30"/>
  <c r="AQ236" i="30"/>
  <c r="AA14" i="85"/>
  <c r="AA31" i="85" s="1"/>
  <c r="AA39" i="85"/>
  <c r="AA20" i="85"/>
  <c r="AA23" i="85"/>
  <c r="AA25" i="85" s="1"/>
  <c r="AA26" i="85" s="1"/>
  <c r="AA71" i="85"/>
  <c r="AA72" i="85" s="1"/>
  <c r="Y223" i="59"/>
  <c r="AO49" i="25"/>
  <c r="X35" i="85"/>
  <c r="X34" i="85"/>
  <c r="AN50" i="25"/>
  <c r="AR167" i="30"/>
  <c r="Z21" i="85"/>
  <c r="Z28" i="85"/>
  <c r="Y29" i="85"/>
  <c r="Y33" i="85"/>
  <c r="AD92" i="85"/>
  <c r="AC11" i="85"/>
  <c r="AB18" i="85"/>
  <c r="AB95" i="85"/>
  <c r="AB96" i="85" s="1"/>
  <c r="AB105" i="85"/>
  <c r="AB12" i="85"/>
  <c r="AB13" i="85"/>
  <c r="V243" i="59"/>
  <c r="AQ173" i="30"/>
  <c r="AQ174" i="30" s="1"/>
  <c r="AQ197" i="30"/>
  <c r="AO53" i="25" l="1"/>
  <c r="AS172" i="30" s="1"/>
  <c r="Y35" i="85"/>
  <c r="Y34" i="85"/>
  <c r="AC13" i="85"/>
  <c r="AC18" i="85"/>
  <c r="AC95" i="85"/>
  <c r="AC96" i="85" s="1"/>
  <c r="AC105" i="85"/>
  <c r="AC12" i="85"/>
  <c r="AD11" i="85"/>
  <c r="AE92" i="85"/>
  <c r="Z29" i="85"/>
  <c r="Z33" i="85"/>
  <c r="AS167" i="30"/>
  <c r="AO50" i="25"/>
  <c r="AA21" i="85"/>
  <c r="AA28" i="85"/>
  <c r="W19" i="59"/>
  <c r="W243" i="59"/>
  <c r="X18" i="59"/>
  <c r="X27" i="59" s="1"/>
  <c r="AR236" i="30"/>
  <c r="AR168" i="30"/>
  <c r="AB23" i="85"/>
  <c r="AB25" i="85" s="1"/>
  <c r="AB26" i="85" s="1"/>
  <c r="AB71" i="85"/>
  <c r="AB72" i="85" s="1"/>
  <c r="AB14" i="85"/>
  <c r="AB31" i="85" s="1"/>
  <c r="AB39" i="85"/>
  <c r="AB20" i="85"/>
  <c r="Z223" i="59"/>
  <c r="AP49" i="25"/>
  <c r="AR197" i="30"/>
  <c r="AR173" i="30"/>
  <c r="AR174" i="30" s="1"/>
  <c r="AF92" i="85" l="1"/>
  <c r="AE11" i="85"/>
  <c r="AD13" i="85"/>
  <c r="AD18" i="85"/>
  <c r="AD95" i="85"/>
  <c r="AD96" i="85" s="1"/>
  <c r="AD105" i="85"/>
  <c r="AD12" i="85"/>
  <c r="X19" i="59"/>
  <c r="X243" i="59"/>
  <c r="W28" i="59"/>
  <c r="AA29" i="85"/>
  <c r="AA33" i="85"/>
  <c r="Y18" i="59"/>
  <c r="Y27" i="59" s="1"/>
  <c r="AS236" i="30"/>
  <c r="AS168" i="30"/>
  <c r="Z35" i="85"/>
  <c r="Z34" i="85"/>
  <c r="AP53" i="25"/>
  <c r="AT172" i="30" s="1"/>
  <c r="AT167" i="30"/>
  <c r="AP50" i="25"/>
  <c r="AB28" i="85"/>
  <c r="AB21" i="85"/>
  <c r="AC20" i="85"/>
  <c r="AC23" i="85"/>
  <c r="AC25" i="85" s="1"/>
  <c r="AC26" i="85" s="1"/>
  <c r="AC71" i="85"/>
  <c r="AC72" i="85" s="1"/>
  <c r="AC14" i="85"/>
  <c r="AC31" i="85" s="1"/>
  <c r="AC39" i="85"/>
  <c r="AA223" i="59"/>
  <c r="AQ49" i="25"/>
  <c r="AS173" i="30"/>
  <c r="AS174" i="30" s="1"/>
  <c r="AS197" i="30"/>
  <c r="AF11" i="85" l="1"/>
  <c r="AF18" i="85" s="1"/>
  <c r="AG92" i="85"/>
  <c r="AG11" i="85" s="1"/>
  <c r="AQ53" i="25"/>
  <c r="AU172" i="30" s="1"/>
  <c r="AU167" i="30"/>
  <c r="AQ50" i="25"/>
  <c r="X28" i="59"/>
  <c r="AA34" i="85"/>
  <c r="AA35" i="85"/>
  <c r="Z18" i="59"/>
  <c r="Z27" i="59" s="1"/>
  <c r="AT236" i="30"/>
  <c r="AT168" i="30"/>
  <c r="AE12" i="85"/>
  <c r="AE13" i="85"/>
  <c r="AE18" i="85"/>
  <c r="AE95" i="85"/>
  <c r="AE96" i="85" s="1"/>
  <c r="AE105" i="85"/>
  <c r="Y19" i="59"/>
  <c r="Y243" i="59"/>
  <c r="AC28" i="85"/>
  <c r="AC21" i="85"/>
  <c r="AB29" i="85"/>
  <c r="AB33" i="85"/>
  <c r="AT173" i="30"/>
  <c r="AT174" i="30" s="1"/>
  <c r="AT197" i="30"/>
  <c r="AD14" i="85"/>
  <c r="AD31" i="85" s="1"/>
  <c r="AD39" i="85"/>
  <c r="AD20" i="85"/>
  <c r="AD23" i="85"/>
  <c r="AD25" i="85" s="1"/>
  <c r="AD26" i="85" s="1"/>
  <c r="AD71" i="85"/>
  <c r="AD72" i="85" s="1"/>
  <c r="AB223" i="59"/>
  <c r="AR49" i="25"/>
  <c r="AF12" i="85"/>
  <c r="AF105" i="85" l="1"/>
  <c r="AF95" i="85"/>
  <c r="AF96" i="85" s="1"/>
  <c r="AF13" i="85"/>
  <c r="AF71" i="85" s="1"/>
  <c r="AG12" i="85"/>
  <c r="AG13" i="85"/>
  <c r="AG95" i="85"/>
  <c r="AG96" i="85" s="1"/>
  <c r="AG18" i="85"/>
  <c r="AG105" i="85"/>
  <c r="AC29" i="85"/>
  <c r="AC33" i="85"/>
  <c r="AE14" i="85"/>
  <c r="AE31" i="85" s="1"/>
  <c r="AE39" i="85"/>
  <c r="AE20" i="85"/>
  <c r="AE23" i="85"/>
  <c r="AE25" i="85" s="1"/>
  <c r="AE26" i="85" s="1"/>
  <c r="AE71" i="85"/>
  <c r="AE72" i="85" s="1"/>
  <c r="AC223" i="59"/>
  <c r="AS49" i="25"/>
  <c r="Y28" i="59"/>
  <c r="AA18" i="59"/>
  <c r="AA27" i="59" s="1"/>
  <c r="AU168" i="30"/>
  <c r="AU236" i="30"/>
  <c r="AR50" i="25"/>
  <c r="AV167" i="30"/>
  <c r="AB35" i="85"/>
  <c r="AB34" i="85"/>
  <c r="AF23" i="85"/>
  <c r="AF25" i="85" s="1"/>
  <c r="AF26" i="85" s="1"/>
  <c r="Z19" i="59"/>
  <c r="Z243" i="59"/>
  <c r="AU173" i="30"/>
  <c r="AU174" i="30" s="1"/>
  <c r="AU197" i="30"/>
  <c r="AD21" i="85"/>
  <c r="AD28" i="85"/>
  <c r="AR53" i="25"/>
  <c r="AV172" i="30" s="1"/>
  <c r="AF20" i="85" l="1"/>
  <c r="AF21" i="85" s="1"/>
  <c r="AD223" i="59"/>
  <c r="E311" i="60"/>
  <c r="F311" i="60" s="1"/>
  <c r="G311" i="60" s="1"/>
  <c r="H311" i="60" s="1"/>
  <c r="I311" i="60" s="1"/>
  <c r="J311" i="60" s="1"/>
  <c r="K311" i="60" s="1"/>
  <c r="L311" i="60" s="1"/>
  <c r="M311" i="60" s="1"/>
  <c r="N311" i="60" s="1"/>
  <c r="O311" i="60" s="1"/>
  <c r="P311" i="60" s="1"/>
  <c r="Q311" i="60" s="1"/>
  <c r="R311" i="60" s="1"/>
  <c r="S311" i="60" s="1"/>
  <c r="T311" i="60" s="1"/>
  <c r="U311" i="60" s="1"/>
  <c r="V311" i="60" s="1"/>
  <c r="W311" i="60" s="1"/>
  <c r="X311" i="60" s="1"/>
  <c r="Y311" i="60" s="1"/>
  <c r="AF39" i="85"/>
  <c r="AT49" i="25"/>
  <c r="AX167" i="30" s="1"/>
  <c r="AF14" i="85"/>
  <c r="AF31" i="85" s="1"/>
  <c r="AU49" i="25"/>
  <c r="AE223" i="59"/>
  <c r="AG20" i="85"/>
  <c r="AG21" i="85" s="1"/>
  <c r="AF72" i="85"/>
  <c r="AG14" i="85"/>
  <c r="AG71" i="85"/>
  <c r="AG72" i="85" s="1"/>
  <c r="AG39" i="85"/>
  <c r="AG23" i="85"/>
  <c r="AG25" i="85" s="1"/>
  <c r="AG26" i="85" s="1"/>
  <c r="AS53" i="25"/>
  <c r="AW172" i="30" s="1"/>
  <c r="AD29" i="85"/>
  <c r="AD33" i="85"/>
  <c r="Z28" i="59"/>
  <c r="AA19" i="59"/>
  <c r="AA243" i="59"/>
  <c r="AW167" i="30"/>
  <c r="AS50" i="25"/>
  <c r="AE21" i="85"/>
  <c r="AE28" i="85"/>
  <c r="AV197" i="30"/>
  <c r="AV173" i="30"/>
  <c r="AV174" i="30" s="1"/>
  <c r="AC35" i="85"/>
  <c r="AC34" i="85"/>
  <c r="AF28" i="85"/>
  <c r="AB18" i="59"/>
  <c r="AB27" i="59" s="1"/>
  <c r="AV236" i="30"/>
  <c r="AV168" i="30"/>
  <c r="AT50" i="25" l="1"/>
  <c r="AY167" i="30"/>
  <c r="AU50" i="25"/>
  <c r="AT53" i="25"/>
  <c r="AX172" i="30" s="1"/>
  <c r="AX197" i="30" s="1"/>
  <c r="AG31" i="85"/>
  <c r="AU53" i="25" s="1"/>
  <c r="AY172" i="30" s="1"/>
  <c r="AG28" i="85"/>
  <c r="AF29" i="85"/>
  <c r="AF33" i="85"/>
  <c r="AE29" i="85"/>
  <c r="AE33" i="85"/>
  <c r="AC18" i="59"/>
  <c r="AC27" i="59" s="1"/>
  <c r="AW236" i="30"/>
  <c r="AW168" i="30"/>
  <c r="AA28" i="59"/>
  <c r="AD35" i="85"/>
  <c r="AD34" i="85"/>
  <c r="AW173" i="30"/>
  <c r="AW174" i="30" s="1"/>
  <c r="AW197" i="30"/>
  <c r="AB19" i="59"/>
  <c r="AB243" i="59"/>
  <c r="AD18" i="59"/>
  <c r="AD27" i="59" s="1"/>
  <c r="AX236" i="30"/>
  <c r="AX168" i="30"/>
  <c r="AX173" i="30" l="1"/>
  <c r="AX174" i="30" s="1"/>
  <c r="AY197" i="30"/>
  <c r="AY173" i="30"/>
  <c r="AG29" i="85"/>
  <c r="AE18" i="59"/>
  <c r="AE27" i="59" s="1"/>
  <c r="AY168" i="30"/>
  <c r="AY236" i="30"/>
  <c r="AG33" i="85"/>
  <c r="AB28" i="59"/>
  <c r="AC19" i="59"/>
  <c r="AC243" i="59"/>
  <c r="AE34" i="85"/>
  <c r="AE35" i="85"/>
  <c r="AF35" i="85"/>
  <c r="AF34" i="85"/>
  <c r="AD19" i="59"/>
  <c r="AD243" i="59"/>
  <c r="AY174" i="30" l="1"/>
  <c r="AE19" i="59"/>
  <c r="AE243" i="59"/>
  <c r="AE28" i="59"/>
  <c r="AG34" i="85"/>
  <c r="AG35" i="85"/>
  <c r="AD28" i="59"/>
  <c r="AC28" i="59"/>
  <c r="DE125" i="85" l="1"/>
  <c r="W126" i="85"/>
  <c r="W132" i="85"/>
  <c r="W137" i="85"/>
  <c r="X138" i="85" l="1"/>
  <c r="DE137" i="85"/>
  <c r="J50" i="95"/>
  <c r="V279" i="59"/>
  <c r="X126" i="85"/>
  <c r="W143" i="85"/>
  <c r="W138" i="85"/>
  <c r="X132" i="85"/>
  <c r="W152" i="85" l="1"/>
  <c r="DE143" i="85"/>
  <c r="W167" i="85"/>
  <c r="X167" i="85" s="1"/>
  <c r="W168" i="85"/>
  <c r="X168" i="85" s="1"/>
  <c r="W165" i="85"/>
  <c r="X165" i="85" s="1"/>
  <c r="Y165" i="85" s="1"/>
  <c r="Z165" i="85" s="1"/>
  <c r="AA165" i="85" s="1"/>
  <c r="AB165" i="85" s="1"/>
  <c r="AC165" i="85" s="1"/>
  <c r="AD165" i="85" s="1"/>
  <c r="AE165" i="85" s="1"/>
  <c r="AF165" i="85" s="1"/>
  <c r="AG165" i="85" s="1"/>
  <c r="W166" i="85"/>
  <c r="X166" i="85" s="1"/>
  <c r="K51" i="95"/>
  <c r="AG50" i="95"/>
  <c r="J53" i="95"/>
  <c r="J51" i="95"/>
  <c r="W144" i="85"/>
  <c r="W140" i="85"/>
  <c r="X144" i="85"/>
  <c r="AK53" i="25"/>
  <c r="AO172" i="30" s="1"/>
  <c r="W141" i="85"/>
  <c r="AK49" i="25"/>
  <c r="Y166" i="85" l="1"/>
  <c r="Z166" i="85" s="1"/>
  <c r="AA166" i="85" s="1"/>
  <c r="AB166" i="85" s="1"/>
  <c r="AC166" i="85" s="1"/>
  <c r="AD166" i="85" s="1"/>
  <c r="AE166" i="85" s="1"/>
  <c r="AF166" i="85" s="1"/>
  <c r="AG166" i="85" s="1"/>
  <c r="W154" i="85"/>
  <c r="W153" i="85"/>
  <c r="X153" i="85"/>
  <c r="X157" i="85"/>
  <c r="Y168" i="85"/>
  <c r="X160" i="85"/>
  <c r="X159" i="85"/>
  <c r="Y167" i="85"/>
  <c r="W161" i="85"/>
  <c r="W162" i="85" s="1"/>
  <c r="AG53" i="95"/>
  <c r="J54" i="95"/>
  <c r="K54" i="95"/>
  <c r="AO197" i="30"/>
  <c r="AK50" i="25"/>
  <c r="AL50" i="25"/>
  <c r="AO167" i="30"/>
  <c r="X158" i="85" l="1"/>
  <c r="W170" i="85"/>
  <c r="O307" i="60" s="1"/>
  <c r="Y158" i="85"/>
  <c r="Z168" i="85"/>
  <c r="Y160" i="85"/>
  <c r="Z167" i="85"/>
  <c r="Y159" i="85"/>
  <c r="Y157" i="85"/>
  <c r="FH197" i="30"/>
  <c r="FH199" i="30" s="1"/>
  <c r="FI197" i="30"/>
  <c r="FJ197" i="30"/>
  <c r="FG197" i="30"/>
  <c r="DE161" i="85"/>
  <c r="DI18" i="59"/>
  <c r="AO168" i="30"/>
  <c r="AP168" i="30"/>
  <c r="AO236" i="30"/>
  <c r="AO173" i="30"/>
  <c r="X161" i="85" l="1"/>
  <c r="X170" i="85" s="1"/>
  <c r="X172" i="85" s="1"/>
  <c r="K84" i="63"/>
  <c r="Z157" i="85"/>
  <c r="AA168" i="85"/>
  <c r="Z160" i="85"/>
  <c r="W176" i="85"/>
  <c r="O306" i="60" s="1"/>
  <c r="DE170" i="85"/>
  <c r="Y161" i="85"/>
  <c r="Y170" i="85" s="1"/>
  <c r="AA167" i="85"/>
  <c r="Z159" i="85"/>
  <c r="Z158" i="85"/>
  <c r="FK197" i="30"/>
  <c r="FG199" i="30"/>
  <c r="FH211" i="30"/>
  <c r="DO20" i="23"/>
  <c r="DO21" i="23" s="1"/>
  <c r="DO23" i="23" s="1"/>
  <c r="W171" i="85"/>
  <c r="AK51" i="25"/>
  <c r="W172" i="85"/>
  <c r="AO174" i="30"/>
  <c r="AP174" i="30"/>
  <c r="V19" i="59"/>
  <c r="DI27" i="59"/>
  <c r="U19" i="59"/>
  <c r="X176" i="85" l="1"/>
  <c r="AL51" i="25"/>
  <c r="X171" i="85"/>
  <c r="P307" i="60"/>
  <c r="L84" i="63" s="1"/>
  <c r="X162" i="85"/>
  <c r="W177" i="85"/>
  <c r="W178" i="85"/>
  <c r="AA160" i="85"/>
  <c r="AB168" i="85"/>
  <c r="AA159" i="85"/>
  <c r="AB167" i="85"/>
  <c r="X177" i="85"/>
  <c r="DE176" i="85"/>
  <c r="AL54" i="25"/>
  <c r="AP169" i="30"/>
  <c r="AL52" i="25"/>
  <c r="Y162" i="85"/>
  <c r="Z161" i="85"/>
  <c r="Z170" i="85" s="1"/>
  <c r="AA158" i="85"/>
  <c r="X178" i="85"/>
  <c r="P306" i="60"/>
  <c r="AA157" i="85"/>
  <c r="FG211" i="30"/>
  <c r="DN20" i="23"/>
  <c r="DN21" i="23" s="1"/>
  <c r="DN23" i="23" s="1"/>
  <c r="DF105" i="59"/>
  <c r="U245" i="59"/>
  <c r="DI243" i="59"/>
  <c r="AK54" i="25"/>
  <c r="AO169" i="30"/>
  <c r="AK52" i="25"/>
  <c r="DI45" i="59"/>
  <c r="V28" i="59"/>
  <c r="H14" i="60" l="1"/>
  <c r="DI245" i="59"/>
  <c r="AB157" i="85"/>
  <c r="AB158" i="85"/>
  <c r="Y172" i="85"/>
  <c r="Y176" i="85"/>
  <c r="Y171" i="85"/>
  <c r="AM51" i="25"/>
  <c r="Q307" i="60"/>
  <c r="M84" i="63" s="1"/>
  <c r="Z162" i="85"/>
  <c r="V63" i="59"/>
  <c r="V65" i="59" s="1"/>
  <c r="AP170" i="30"/>
  <c r="AC167" i="85"/>
  <c r="AB159" i="85"/>
  <c r="AC168" i="85"/>
  <c r="AB160" i="85"/>
  <c r="AA161" i="85"/>
  <c r="AA170" i="85" s="1"/>
  <c r="AL58" i="25"/>
  <c r="AP176" i="30"/>
  <c r="AL56" i="25"/>
  <c r="DE105" i="59"/>
  <c r="DF108" i="59"/>
  <c r="DF202" i="59" s="1"/>
  <c r="DF111" i="59"/>
  <c r="DF114" i="59" s="1"/>
  <c r="U255" i="59"/>
  <c r="DI197" i="59"/>
  <c r="U246" i="59"/>
  <c r="AO170" i="30"/>
  <c r="AK56" i="25"/>
  <c r="AK58" i="25"/>
  <c r="AO176" i="30"/>
  <c r="AL55" i="25"/>
  <c r="AK55" i="25"/>
  <c r="AD168" i="85" l="1"/>
  <c r="AC160" i="85"/>
  <c r="AC158" i="85"/>
  <c r="AP181" i="30"/>
  <c r="AP182" i="30" s="1"/>
  <c r="AL60" i="25"/>
  <c r="Z171" i="85"/>
  <c r="Z176" i="85"/>
  <c r="Z172" i="85"/>
  <c r="R307" i="60"/>
  <c r="N84" i="63" s="1"/>
  <c r="AN51" i="25"/>
  <c r="Y178" i="85"/>
  <c r="Q306" i="60"/>
  <c r="Y177" i="85"/>
  <c r="AA162" i="85"/>
  <c r="AD167" i="85"/>
  <c r="AC159" i="85"/>
  <c r="AB161" i="85"/>
  <c r="AB170" i="85" s="1"/>
  <c r="AQ169" i="30"/>
  <c r="AM54" i="25"/>
  <c r="AM52" i="25"/>
  <c r="AC157" i="85"/>
  <c r="DF204" i="59"/>
  <c r="DF206" i="59"/>
  <c r="DE108" i="59"/>
  <c r="DE202" i="59" s="1"/>
  <c r="DE111" i="59"/>
  <c r="DE114" i="59" s="1"/>
  <c r="DF115" i="59"/>
  <c r="DF116" i="59"/>
  <c r="AK85" i="25"/>
  <c r="R7" i="53" s="1"/>
  <c r="R8" i="53" s="1"/>
  <c r="AK59" i="25"/>
  <c r="AO181" i="30"/>
  <c r="AO182" i="30" s="1"/>
  <c r="AL59" i="25"/>
  <c r="AK60" i="25"/>
  <c r="AO171" i="30"/>
  <c r="AP171" i="30"/>
  <c r="AP177" i="30"/>
  <c r="AO177" i="30"/>
  <c r="V64" i="59"/>
  <c r="AC161" i="85" l="1"/>
  <c r="AB162" i="85"/>
  <c r="AR169" i="30"/>
  <c r="AN54" i="25"/>
  <c r="AN52" i="25"/>
  <c r="Z178" i="85"/>
  <c r="Z177" i="85"/>
  <c r="R306" i="60"/>
  <c r="AD157" i="85"/>
  <c r="AD158" i="85"/>
  <c r="AM58" i="25"/>
  <c r="AQ176" i="30"/>
  <c r="AQ177" i="30" s="1"/>
  <c r="AM56" i="25"/>
  <c r="AM55" i="25"/>
  <c r="AE167" i="85"/>
  <c r="AD159" i="85"/>
  <c r="W63" i="59"/>
  <c r="AQ170" i="30"/>
  <c r="AQ171" i="30" s="1"/>
  <c r="AA176" i="85"/>
  <c r="AA171" i="85"/>
  <c r="AA172" i="85"/>
  <c r="AO51" i="25"/>
  <c r="S307" i="60"/>
  <c r="AE168" i="85"/>
  <c r="AD160" i="85"/>
  <c r="DE115" i="59"/>
  <c r="DE116" i="59"/>
  <c r="DE204" i="59"/>
  <c r="DE206" i="59"/>
  <c r="DF207" i="59"/>
  <c r="DF214" i="59"/>
  <c r="R9" i="53"/>
  <c r="O341" i="60"/>
  <c r="AC162" i="85" l="1"/>
  <c r="AC170" i="85"/>
  <c r="AE158" i="85"/>
  <c r="AN58" i="25"/>
  <c r="AR176" i="30"/>
  <c r="AR177" i="30" s="1"/>
  <c r="AN56" i="25"/>
  <c r="AN55" i="25"/>
  <c r="AA178" i="85"/>
  <c r="AA177" i="85"/>
  <c r="S306" i="60"/>
  <c r="AF168" i="85"/>
  <c r="AE160" i="85"/>
  <c r="AS169" i="30"/>
  <c r="AO52" i="25"/>
  <c r="AO54" i="25"/>
  <c r="AF167" i="85"/>
  <c r="AE159" i="85"/>
  <c r="AM60" i="25"/>
  <c r="AM59" i="25"/>
  <c r="AQ181" i="30"/>
  <c r="AQ182" i="30" s="1"/>
  <c r="AR170" i="30"/>
  <c r="AR171" i="30" s="1"/>
  <c r="X63" i="59"/>
  <c r="AE157" i="85"/>
  <c r="W65" i="59"/>
  <c r="W64" i="59"/>
  <c r="AD161" i="85"/>
  <c r="AD170" i="85" s="1"/>
  <c r="AB172" i="85"/>
  <c r="AB176" i="85"/>
  <c r="AB171" i="85"/>
  <c r="AP51" i="25"/>
  <c r="T307" i="60"/>
  <c r="DE207" i="59"/>
  <c r="DE214" i="59"/>
  <c r="DF208" i="59"/>
  <c r="DF212" i="59" s="1"/>
  <c r="DF213" i="59"/>
  <c r="K85" i="63"/>
  <c r="AC172" i="85" l="1"/>
  <c r="AC171" i="85"/>
  <c r="AQ51" i="25"/>
  <c r="AQ52" i="25" s="1"/>
  <c r="U307" i="60"/>
  <c r="AC176" i="85"/>
  <c r="AC178" i="85" s="1"/>
  <c r="AE161" i="85"/>
  <c r="AE170" i="85" s="1"/>
  <c r="AB177" i="85"/>
  <c r="AB178" i="85"/>
  <c r="T306" i="60"/>
  <c r="AF157" i="85"/>
  <c r="AG157" i="85"/>
  <c r="AO56" i="25"/>
  <c r="AO55" i="25"/>
  <c r="AS176" i="30"/>
  <c r="AS177" i="30" s="1"/>
  <c r="AO58" i="25"/>
  <c r="AF160" i="85"/>
  <c r="AG168" i="85"/>
  <c r="AG160" i="85" s="1"/>
  <c r="AD162" i="85"/>
  <c r="X65" i="59"/>
  <c r="X64" i="59"/>
  <c r="AF159" i="85"/>
  <c r="AG167" i="85"/>
  <c r="AG159" i="85" s="1"/>
  <c r="AN59" i="25"/>
  <c r="AR181" i="30"/>
  <c r="AR182" i="30" s="1"/>
  <c r="AN60" i="25"/>
  <c r="AT169" i="30"/>
  <c r="AP52" i="25"/>
  <c r="AP54" i="25"/>
  <c r="Y63" i="59"/>
  <c r="AS170" i="30"/>
  <c r="AS171" i="30" s="1"/>
  <c r="AF158" i="85"/>
  <c r="AG158" i="85"/>
  <c r="DE208" i="59"/>
  <c r="DE212" i="59" s="1"/>
  <c r="DI212" i="59" s="1"/>
  <c r="DE213" i="59"/>
  <c r="AQ54" i="25" l="1"/>
  <c r="AQ55" i="25" s="1"/>
  <c r="AU169" i="30"/>
  <c r="AU170" i="30" s="1"/>
  <c r="U306" i="60"/>
  <c r="AC177" i="85"/>
  <c r="AE162" i="85"/>
  <c r="Z63" i="59"/>
  <c r="AT170" i="30"/>
  <c r="AT171" i="30" s="1"/>
  <c r="AD172" i="85"/>
  <c r="AD176" i="85"/>
  <c r="AD171" i="85"/>
  <c r="V307" i="60"/>
  <c r="AR51" i="25"/>
  <c r="AO60" i="25"/>
  <c r="AO59" i="25"/>
  <c r="AS181" i="30"/>
  <c r="AS182" i="30" s="1"/>
  <c r="AF161" i="85"/>
  <c r="AF170" i="85" s="1"/>
  <c r="AA63" i="59"/>
  <c r="AE172" i="85"/>
  <c r="AE176" i="85"/>
  <c r="AE171" i="85"/>
  <c r="AS51" i="25"/>
  <c r="W307" i="60"/>
  <c r="AG161" i="85"/>
  <c r="AG170" i="85" s="1"/>
  <c r="Y64" i="59"/>
  <c r="Y65" i="59"/>
  <c r="AP56" i="25"/>
  <c r="AP58" i="25"/>
  <c r="AP55" i="25"/>
  <c r="AT176" i="30"/>
  <c r="AT177" i="30" s="1"/>
  <c r="AQ56" i="25" l="1"/>
  <c r="AQ58" i="25"/>
  <c r="AU181" i="30" s="1"/>
  <c r="AU182" i="30" s="1"/>
  <c r="AU176" i="30"/>
  <c r="AU177" i="30" s="1"/>
  <c r="AU171" i="30"/>
  <c r="AG162" i="85"/>
  <c r="AR52" i="25"/>
  <c r="AR54" i="25"/>
  <c r="AV169" i="30"/>
  <c r="AP60" i="25"/>
  <c r="AP59" i="25"/>
  <c r="AT181" i="30"/>
  <c r="AT182" i="30" s="1"/>
  <c r="AW169" i="30"/>
  <c r="AS52" i="25"/>
  <c r="AS54" i="25"/>
  <c r="AA64" i="59"/>
  <c r="AA65" i="59"/>
  <c r="AE177" i="85"/>
  <c r="AE178" i="85"/>
  <c r="W306" i="60"/>
  <c r="AF162" i="85"/>
  <c r="AD178" i="85"/>
  <c r="AD177" i="85"/>
  <c r="V306" i="60"/>
  <c r="Z64" i="59"/>
  <c r="Z65" i="59"/>
  <c r="AQ59" i="25" l="1"/>
  <c r="AQ60" i="25"/>
  <c r="AU51" i="25"/>
  <c r="Y307" i="60"/>
  <c r="E309" i="60" s="1"/>
  <c r="AF176" i="85"/>
  <c r="AF172" i="85"/>
  <c r="AF171" i="85"/>
  <c r="X307" i="60"/>
  <c r="AT51" i="25"/>
  <c r="AW170" i="30"/>
  <c r="AC63" i="59"/>
  <c r="AG171" i="85"/>
  <c r="AG172" i="85"/>
  <c r="AG176" i="85"/>
  <c r="Y306" i="60" s="1"/>
  <c r="AS56" i="25"/>
  <c r="AS55" i="25"/>
  <c r="AS58" i="25"/>
  <c r="AW176" i="30"/>
  <c r="AV176" i="30"/>
  <c r="AV177" i="30" s="1"/>
  <c r="AR56" i="25"/>
  <c r="AR55" i="25"/>
  <c r="AR58" i="25"/>
  <c r="AB63" i="59"/>
  <c r="AV170" i="30"/>
  <c r="AV171" i="30" s="1"/>
  <c r="E310" i="60" l="1"/>
  <c r="E312" i="60" s="1"/>
  <c r="AU52" i="25"/>
  <c r="AU54" i="25"/>
  <c r="AY169" i="30"/>
  <c r="AW177" i="30"/>
  <c r="AW171" i="30"/>
  <c r="AR60" i="25"/>
  <c r="AV181" i="30"/>
  <c r="AV182" i="30" s="1"/>
  <c r="AR59" i="25"/>
  <c r="AS59" i="25"/>
  <c r="AW181" i="30"/>
  <c r="AW182" i="30" s="1"/>
  <c r="AS60" i="25"/>
  <c r="AT54" i="25"/>
  <c r="AX169" i="30"/>
  <c r="AT52" i="25"/>
  <c r="F309" i="60"/>
  <c r="AF178" i="85"/>
  <c r="AF177" i="85"/>
  <c r="X306" i="60"/>
  <c r="AG177" i="85"/>
  <c r="AG178" i="85"/>
  <c r="AB65" i="59"/>
  <c r="AB64" i="59"/>
  <c r="AC64" i="59"/>
  <c r="AC65" i="59"/>
  <c r="AU55" i="25" l="1"/>
  <c r="AU58" i="25"/>
  <c r="AY176" i="30"/>
  <c r="AU56" i="25"/>
  <c r="AE63" i="59"/>
  <c r="AE65" i="59" s="1"/>
  <c r="AY170" i="30"/>
  <c r="AT58" i="25"/>
  <c r="AX176" i="30"/>
  <c r="AT56" i="25"/>
  <c r="AT55" i="25"/>
  <c r="AD63" i="59"/>
  <c r="AX170" i="30"/>
  <c r="G309" i="60"/>
  <c r="AU59" i="25" l="1"/>
  <c r="AE64" i="59"/>
  <c r="AY181" i="30"/>
  <c r="AY182" i="30" s="1"/>
  <c r="AU60" i="25"/>
  <c r="AX171" i="30"/>
  <c r="AY171" i="30"/>
  <c r="AX177" i="30"/>
  <c r="AY177" i="30"/>
  <c r="F310" i="60"/>
  <c r="H309" i="60"/>
  <c r="AD65" i="59"/>
  <c r="AD64" i="59"/>
  <c r="AX181" i="30"/>
  <c r="AX182" i="30" s="1"/>
  <c r="AT60" i="25"/>
  <c r="AT59" i="25"/>
  <c r="G310" i="60" l="1"/>
  <c r="F312" i="60"/>
  <c r="I309" i="60"/>
  <c r="H310" i="60" l="1"/>
  <c r="G312" i="60"/>
  <c r="J309" i="60"/>
  <c r="K309" i="60" s="1"/>
  <c r="I310" i="60" l="1"/>
  <c r="H312" i="60"/>
  <c r="L309" i="60" l="1"/>
  <c r="J310" i="60"/>
  <c r="K310" i="60" s="1"/>
  <c r="K312" i="60" s="1"/>
  <c r="I312" i="60"/>
  <c r="M309" i="60" l="1"/>
  <c r="J312" i="60"/>
  <c r="L310" i="60" l="1"/>
  <c r="N309" i="60"/>
  <c r="M310" i="60" l="1"/>
  <c r="L312" i="60"/>
  <c r="O309" i="60"/>
  <c r="P309" i="60" l="1"/>
  <c r="N310" i="60"/>
  <c r="M312" i="60"/>
  <c r="Q309" i="60" l="1"/>
  <c r="O310" i="60"/>
  <c r="N312" i="60"/>
  <c r="P310" i="60" l="1"/>
  <c r="O312" i="60"/>
  <c r="R309" i="60"/>
  <c r="S309" i="60" l="1"/>
  <c r="Q310" i="60"/>
  <c r="P312" i="60"/>
  <c r="T309" i="60" l="1"/>
  <c r="R310" i="60"/>
  <c r="Q312" i="60"/>
  <c r="U309" i="60" l="1"/>
  <c r="S310" i="60"/>
  <c r="R312" i="60"/>
  <c r="T310" i="60" l="1"/>
  <c r="S312" i="60"/>
  <c r="V309" i="60"/>
  <c r="U310" i="60" l="1"/>
  <c r="T312" i="60"/>
  <c r="W309" i="60"/>
  <c r="X309" i="60" l="1"/>
  <c r="Y309" i="60" s="1"/>
  <c r="V310" i="60"/>
  <c r="U312" i="60"/>
  <c r="W310" i="60" l="1"/>
  <c r="V312" i="60"/>
  <c r="X310" i="60" l="1"/>
  <c r="W312" i="60"/>
  <c r="X312" i="60" l="1"/>
  <c r="Y310" i="60"/>
  <c r="Y312" i="60" s="1"/>
  <c r="DB108" i="59" l="1"/>
  <c r="DB202" i="59" s="1"/>
  <c r="DB203" i="59"/>
  <c r="FI198" i="30"/>
  <c r="DG203" i="59" s="1"/>
  <c r="FD199" i="30"/>
  <c r="DK20" i="23" s="1"/>
  <c r="DB204" i="59" l="1"/>
  <c r="DB214" i="59" s="1"/>
  <c r="FI195" i="30"/>
  <c r="FI199" i="30" l="1"/>
  <c r="DP20" i="23" l="1"/>
  <c r="FI211" i="30"/>
  <c r="DG105" i="59" l="1"/>
  <c r="DG108" i="59" l="1"/>
  <c r="DG202" i="59" s="1"/>
  <c r="DG204" i="59" l="1"/>
  <c r="DG214" i="59" l="1"/>
  <c r="DB99" i="59"/>
  <c r="DB194" i="59" s="1"/>
  <c r="DB307" i="59"/>
  <c r="DB321" i="59"/>
  <c r="DB324" i="59" l="1"/>
  <c r="DB101" i="59"/>
  <c r="DB206" i="59"/>
  <c r="DB198" i="59"/>
  <c r="DB211" i="59"/>
  <c r="DB100" i="59"/>
  <c r="DB310" i="59"/>
  <c r="DB207" i="59" l="1"/>
  <c r="DB200" i="59"/>
  <c r="DB199" i="59"/>
  <c r="DK10" i="23"/>
  <c r="DK7" i="23" l="1"/>
  <c r="DK13" i="23"/>
  <c r="DK14" i="23" l="1"/>
  <c r="DK17" i="23"/>
  <c r="BR42" i="31"/>
  <c r="T55" i="59"/>
  <c r="DB305" i="59"/>
  <c r="DB319" i="59"/>
  <c r="T319" i="59" l="1"/>
  <c r="T75" i="59"/>
  <c r="DK18" i="23"/>
  <c r="DK21" i="23"/>
  <c r="DK23" i="23" s="1"/>
  <c r="T305" i="59"/>
  <c r="T49" i="59"/>
  <c r="T56" i="59"/>
  <c r="DD55" i="59"/>
  <c r="T57" i="59"/>
  <c r="BR43" i="31"/>
  <c r="BR39" i="31"/>
  <c r="DB213" i="59" l="1"/>
  <c r="T50" i="59"/>
  <c r="T51" i="59"/>
  <c r="DD49" i="59"/>
  <c r="T76" i="59"/>
  <c r="T77" i="59"/>
  <c r="DD75" i="59"/>
  <c r="T99" i="59"/>
  <c r="T307" i="59"/>
  <c r="T321" i="59"/>
  <c r="Y39" i="31"/>
  <c r="BW39" i="31"/>
  <c r="DD99" i="59" l="1"/>
  <c r="T101" i="59"/>
  <c r="T100" i="59"/>
  <c r="T310" i="59"/>
  <c r="T324" i="59"/>
  <c r="Z39" i="31"/>
  <c r="BW42" i="31"/>
  <c r="BT39" i="31"/>
  <c r="Y42" i="31"/>
  <c r="Y40" i="31"/>
  <c r="BW43" i="31" l="1"/>
  <c r="DG49" i="59"/>
  <c r="Y43" i="31"/>
  <c r="BT42" i="31"/>
  <c r="Y44" i="31"/>
  <c r="N73" i="60"/>
  <c r="J75" i="63" s="1"/>
  <c r="AN113" i="30"/>
  <c r="Z40" i="31"/>
  <c r="AA39" i="31"/>
  <c r="BY39" i="31"/>
  <c r="Z42" i="31"/>
  <c r="AA42" i="31" l="1"/>
  <c r="AA40" i="31"/>
  <c r="AB39" i="31"/>
  <c r="BY42" i="31"/>
  <c r="Z43" i="31"/>
  <c r="Z44" i="31"/>
  <c r="O73" i="60"/>
  <c r="AO113" i="30"/>
  <c r="AN116" i="30"/>
  <c r="AN114" i="30"/>
  <c r="AN120" i="30"/>
  <c r="DG50" i="59"/>
  <c r="DG51" i="59"/>
  <c r="U49" i="59"/>
  <c r="DG55" i="59"/>
  <c r="DG75" i="59" s="1"/>
  <c r="DG56" i="59" l="1"/>
  <c r="DG57" i="59"/>
  <c r="U55" i="59"/>
  <c r="U75" i="59" s="1"/>
  <c r="AO116" i="30"/>
  <c r="AO114" i="30"/>
  <c r="AO120" i="30"/>
  <c r="AC39" i="31"/>
  <c r="AB42" i="31"/>
  <c r="AB40" i="31"/>
  <c r="K75" i="63"/>
  <c r="U50" i="59"/>
  <c r="U51" i="59"/>
  <c r="DI49" i="59"/>
  <c r="AN119" i="30"/>
  <c r="AN117" i="30"/>
  <c r="AA44" i="31"/>
  <c r="AA43" i="31"/>
  <c r="P73" i="60"/>
  <c r="AP113" i="30"/>
  <c r="L75" i="63" l="1"/>
  <c r="H7" i="60"/>
  <c r="U56" i="59"/>
  <c r="U57" i="59"/>
  <c r="DI55" i="59"/>
  <c r="U305" i="59"/>
  <c r="U319" i="59"/>
  <c r="V49" i="59"/>
  <c r="AP116" i="30"/>
  <c r="AP114" i="30"/>
  <c r="AP120" i="30"/>
  <c r="AB43" i="31"/>
  <c r="AB44" i="31"/>
  <c r="Q73" i="60"/>
  <c r="M75" i="63" s="1"/>
  <c r="AQ113" i="30"/>
  <c r="DG76" i="59"/>
  <c r="DG77" i="59"/>
  <c r="DG99" i="59"/>
  <c r="DG111" i="59"/>
  <c r="DG114" i="59" s="1"/>
  <c r="AD39" i="31"/>
  <c r="AC42" i="31"/>
  <c r="AC40" i="31"/>
  <c r="AO117" i="30"/>
  <c r="AO119" i="30"/>
  <c r="W49" i="59" l="1"/>
  <c r="AQ114" i="30"/>
  <c r="AQ120" i="30"/>
  <c r="AQ116" i="30"/>
  <c r="V50" i="59"/>
  <c r="V51" i="59"/>
  <c r="AD40" i="31"/>
  <c r="AE39" i="31"/>
  <c r="AD42" i="31"/>
  <c r="DG101" i="59"/>
  <c r="DG100" i="59"/>
  <c r="DG194" i="59"/>
  <c r="DG116" i="59"/>
  <c r="DG115" i="59"/>
  <c r="V55" i="59"/>
  <c r="V75" i="59" s="1"/>
  <c r="AP119" i="30"/>
  <c r="AP117" i="30"/>
  <c r="DI75" i="59"/>
  <c r="U76" i="59"/>
  <c r="U77" i="59"/>
  <c r="U99" i="59"/>
  <c r="U307" i="59"/>
  <c r="U321" i="59"/>
  <c r="AC43" i="31"/>
  <c r="AC44" i="31"/>
  <c r="R73" i="60"/>
  <c r="N75" i="63" s="1"/>
  <c r="AR113" i="30"/>
  <c r="AD43" i="31" l="1"/>
  <c r="AD44" i="31"/>
  <c r="S73" i="60"/>
  <c r="AS113" i="30"/>
  <c r="V56" i="59"/>
  <c r="V57" i="59"/>
  <c r="V319" i="59"/>
  <c r="V305" i="59"/>
  <c r="AE42" i="31"/>
  <c r="AE40" i="31"/>
  <c r="AF39" i="31"/>
  <c r="DG198" i="59"/>
  <c r="DG206" i="59"/>
  <c r="X49" i="59"/>
  <c r="AR116" i="30"/>
  <c r="AR114" i="30"/>
  <c r="AR120" i="30"/>
  <c r="U100" i="59"/>
  <c r="U101" i="59"/>
  <c r="DI99" i="59"/>
  <c r="U310" i="59"/>
  <c r="U324" i="59"/>
  <c r="DG211" i="59"/>
  <c r="W55" i="59"/>
  <c r="W75" i="59" s="1"/>
  <c r="AQ119" i="30"/>
  <c r="AQ117" i="30"/>
  <c r="W51" i="59"/>
  <c r="W50" i="59"/>
  <c r="DG199" i="59" l="1"/>
  <c r="DG200" i="59"/>
  <c r="DG207" i="59"/>
  <c r="DG208" i="59" s="1"/>
  <c r="DP10" i="23"/>
  <c r="Y49" i="59"/>
  <c r="AS116" i="30"/>
  <c r="AS114" i="30"/>
  <c r="AS120" i="30"/>
  <c r="W57" i="59"/>
  <c r="W56" i="59"/>
  <c r="W305" i="59"/>
  <c r="W319" i="59"/>
  <c r="X50" i="59"/>
  <c r="X51" i="59"/>
  <c r="X55" i="59"/>
  <c r="X75" i="59" s="1"/>
  <c r="AR119" i="30"/>
  <c r="AR117" i="30"/>
  <c r="AG39" i="31"/>
  <c r="AF42" i="31"/>
  <c r="AF40" i="31"/>
  <c r="AE44" i="31"/>
  <c r="AE43" i="31"/>
  <c r="T73" i="60"/>
  <c r="AT113" i="30"/>
  <c r="V77" i="59"/>
  <c r="V76" i="59"/>
  <c r="V321" i="59"/>
  <c r="V307" i="59"/>
  <c r="Z49" i="59" l="1"/>
  <c r="AT116" i="30"/>
  <c r="AT114" i="30"/>
  <c r="AT120" i="30"/>
  <c r="Y55" i="59"/>
  <c r="Y75" i="59" s="1"/>
  <c r="AS117" i="30"/>
  <c r="AS119" i="30"/>
  <c r="DP7" i="23"/>
  <c r="DP13" i="23"/>
  <c r="W76" i="59"/>
  <c r="W77" i="59"/>
  <c r="W307" i="59"/>
  <c r="W321" i="59"/>
  <c r="AF43" i="31"/>
  <c r="AF44" i="31"/>
  <c r="U73" i="60"/>
  <c r="AU113" i="30"/>
  <c r="X56" i="59"/>
  <c r="X57" i="59"/>
  <c r="X305" i="59"/>
  <c r="X319" i="59"/>
  <c r="AH39" i="31"/>
  <c r="AG42" i="31"/>
  <c r="AG40" i="31"/>
  <c r="Y50" i="59"/>
  <c r="Y51" i="59"/>
  <c r="Y56" i="59" l="1"/>
  <c r="Y57" i="59"/>
  <c r="Y305" i="59"/>
  <c r="Y319" i="59"/>
  <c r="AH40" i="31"/>
  <c r="AI39" i="31"/>
  <c r="AJ39" i="31" s="1"/>
  <c r="AJ42" i="31" s="1"/>
  <c r="AH42" i="31"/>
  <c r="X76" i="59"/>
  <c r="X77" i="59"/>
  <c r="X307" i="59"/>
  <c r="X321" i="59"/>
  <c r="Z50" i="59"/>
  <c r="Z51" i="59"/>
  <c r="AG43" i="31"/>
  <c r="AG44" i="31"/>
  <c r="V73" i="60"/>
  <c r="AV113" i="30"/>
  <c r="DP17" i="23"/>
  <c r="DP14" i="23"/>
  <c r="AA49" i="59"/>
  <c r="AU114" i="30"/>
  <c r="AU120" i="30"/>
  <c r="AU116" i="30"/>
  <c r="Z55" i="59"/>
  <c r="Z75" i="59" s="1"/>
  <c r="AT119" i="30"/>
  <c r="AT117" i="30"/>
  <c r="Y73" i="60" l="1"/>
  <c r="M69" i="31"/>
  <c r="B75" i="60" s="1"/>
  <c r="AY113" i="30"/>
  <c r="AJ40" i="31"/>
  <c r="Z56" i="59"/>
  <c r="Z57" i="59"/>
  <c r="Z319" i="59"/>
  <c r="Z305" i="59"/>
  <c r="AA51" i="59"/>
  <c r="AA50" i="59"/>
  <c r="DP18" i="23"/>
  <c r="DP21" i="23"/>
  <c r="DP23" i="23" s="1"/>
  <c r="AH43" i="31"/>
  <c r="AH44" i="31"/>
  <c r="W73" i="60"/>
  <c r="AW113" i="30"/>
  <c r="AA55" i="59"/>
  <c r="AA75" i="59" s="1"/>
  <c r="AU119" i="30"/>
  <c r="AU117" i="30"/>
  <c r="Y76" i="59"/>
  <c r="Y77" i="59"/>
  <c r="Y307" i="59"/>
  <c r="Y321" i="59"/>
  <c r="AB49" i="59"/>
  <c r="AV116" i="30"/>
  <c r="AV114" i="30"/>
  <c r="AV120" i="30"/>
  <c r="AI42" i="31"/>
  <c r="AI40" i="31"/>
  <c r="DG213" i="59" l="1"/>
  <c r="AE49" i="59"/>
  <c r="AY120" i="30"/>
  <c r="AY116" i="30"/>
  <c r="AJ44" i="31"/>
  <c r="AJ43" i="31"/>
  <c r="AB50" i="59"/>
  <c r="AB51" i="59"/>
  <c r="AA57" i="59"/>
  <c r="AA56" i="59"/>
  <c r="AA305" i="59"/>
  <c r="AA319" i="59"/>
  <c r="Z77" i="59"/>
  <c r="Z76" i="59"/>
  <c r="Z321" i="59"/>
  <c r="Z307" i="59"/>
  <c r="AI44" i="31"/>
  <c r="AI43" i="31"/>
  <c r="X73" i="60"/>
  <c r="AX113" i="30"/>
  <c r="AY114" i="30" s="1"/>
  <c r="AB55" i="59"/>
  <c r="AB75" i="59" s="1"/>
  <c r="AV119" i="30"/>
  <c r="AV117" i="30"/>
  <c r="AC49" i="59"/>
  <c r="AW116" i="30"/>
  <c r="AW114" i="30"/>
  <c r="AW120" i="30"/>
  <c r="AE55" i="59" l="1"/>
  <c r="AE75" i="59" s="1"/>
  <c r="AY119" i="30"/>
  <c r="AE51" i="59"/>
  <c r="AC55" i="59"/>
  <c r="AC75" i="59" s="1"/>
  <c r="AW117" i="30"/>
  <c r="AW119" i="30"/>
  <c r="AB56" i="59"/>
  <c r="AB57" i="59"/>
  <c r="AB305" i="59"/>
  <c r="AB319" i="59"/>
  <c r="AD49" i="59"/>
  <c r="AE50" i="59" s="1"/>
  <c r="AX116" i="30"/>
  <c r="AY117" i="30" s="1"/>
  <c r="AX114" i="30"/>
  <c r="AX120" i="30"/>
  <c r="N69" i="31"/>
  <c r="AA76" i="59"/>
  <c r="AA77" i="59"/>
  <c r="AA307" i="59"/>
  <c r="AA321" i="59"/>
  <c r="AC50" i="59"/>
  <c r="AC51" i="59"/>
  <c r="AE57" i="59" l="1"/>
  <c r="AE77" i="59"/>
  <c r="AD55" i="59"/>
  <c r="AX119" i="30"/>
  <c r="AX117" i="30"/>
  <c r="C75" i="60"/>
  <c r="O69" i="31"/>
  <c r="AD50" i="59"/>
  <c r="AD51" i="59"/>
  <c r="AB76" i="59"/>
  <c r="AB77" i="59"/>
  <c r="AB307" i="59"/>
  <c r="AB321" i="59"/>
  <c r="AC56" i="59"/>
  <c r="AC57" i="59"/>
  <c r="AC305" i="59"/>
  <c r="AC319" i="59"/>
  <c r="AE305" i="59" l="1"/>
  <c r="AD75" i="59"/>
  <c r="AE56" i="59"/>
  <c r="AE319" i="59"/>
  <c r="D75" i="60"/>
  <c r="AC76" i="59"/>
  <c r="AC77" i="59"/>
  <c r="AC307" i="59"/>
  <c r="AC321" i="59"/>
  <c r="AD56" i="59"/>
  <c r="AD57" i="59"/>
  <c r="AD319" i="59"/>
  <c r="AD305" i="59"/>
  <c r="P69" i="31"/>
  <c r="Q69" i="31" s="1"/>
  <c r="AE76" i="59" l="1"/>
  <c r="AE307" i="59"/>
  <c r="AE321" i="59"/>
  <c r="E75" i="60"/>
  <c r="AD77" i="59"/>
  <c r="AD76" i="59"/>
  <c r="AD321" i="59"/>
  <c r="AD307" i="59"/>
  <c r="R69" i="31" l="1"/>
  <c r="F75" i="60"/>
  <c r="G75" i="60" l="1"/>
  <c r="S69" i="31"/>
  <c r="T69" i="31" l="1"/>
  <c r="H75" i="60"/>
  <c r="I75" i="60" l="1"/>
  <c r="U69" i="31"/>
  <c r="V69" i="31" l="1"/>
  <c r="J75" i="60"/>
  <c r="W69" i="31" l="1"/>
  <c r="K75" i="60"/>
  <c r="L75" i="60" l="1"/>
  <c r="X69" i="31"/>
  <c r="Y69" i="31" l="1"/>
  <c r="M75" i="60"/>
  <c r="N75" i="60" l="1"/>
  <c r="Z69" i="31"/>
  <c r="AA69" i="31" l="1"/>
  <c r="O75" i="60"/>
  <c r="P75" i="60" l="1"/>
  <c r="AB69" i="31"/>
  <c r="AC69" i="31" l="1"/>
  <c r="Q75" i="60"/>
  <c r="R75" i="60" l="1"/>
  <c r="AD69" i="31"/>
  <c r="AE69" i="31" l="1"/>
  <c r="S75" i="60"/>
  <c r="T75" i="60" l="1"/>
  <c r="AF69" i="31"/>
  <c r="AG69" i="31" l="1"/>
  <c r="U75" i="60"/>
  <c r="V75" i="60" l="1"/>
  <c r="AH69" i="31"/>
  <c r="AI69" i="31" l="1"/>
  <c r="AJ69" i="31" s="1"/>
  <c r="W75" i="60"/>
  <c r="X75" i="60" l="1"/>
  <c r="Y75" i="60" s="1"/>
  <c r="DK34" i="23"/>
  <c r="BY164" i="73" l="1"/>
  <c r="DK40" i="23"/>
  <c r="DK670" i="23" s="1"/>
  <c r="DK44" i="23"/>
  <c r="DK58" i="23" l="1"/>
  <c r="DK50" i="23"/>
  <c r="DK52" i="23" s="1"/>
  <c r="DK60" i="23"/>
  <c r="DK55" i="23" l="1"/>
  <c r="DK100" i="23"/>
  <c r="DK98" i="23" l="1"/>
  <c r="AE145" i="20"/>
  <c r="AD151" i="20"/>
  <c r="AE133" i="20" l="1"/>
  <c r="AF145" i="20"/>
  <c r="AE136" i="20" l="1"/>
  <c r="AE148" i="20" s="1"/>
  <c r="AE154" i="20" s="1"/>
  <c r="AE139" i="20"/>
  <c r="AF133" i="20"/>
  <c r="AG145" i="20"/>
  <c r="AE16" i="20" l="1"/>
  <c r="AE18" i="20" s="1"/>
  <c r="AE142" i="20"/>
  <c r="AE137" i="20"/>
  <c r="AF136" i="20"/>
  <c r="AF139" i="20"/>
  <c r="AH145" i="20"/>
  <c r="AG133" i="20"/>
  <c r="AE19" i="20" l="1"/>
  <c r="AE11" i="20"/>
  <c r="V30" i="59"/>
  <c r="AE21" i="20"/>
  <c r="AE28" i="20"/>
  <c r="AE115" i="20"/>
  <c r="AE116" i="20"/>
  <c r="AP105" i="30"/>
  <c r="AP106" i="30" s="1"/>
  <c r="AE80" i="20"/>
  <c r="AE38" i="20"/>
  <c r="AE113" i="20"/>
  <c r="AI145" i="20"/>
  <c r="AH133" i="20"/>
  <c r="AF137" i="20"/>
  <c r="AF142" i="20"/>
  <c r="AF148" i="20"/>
  <c r="AF154" i="20" s="1"/>
  <c r="AF16" i="20"/>
  <c r="AG139" i="20"/>
  <c r="AG136" i="20"/>
  <c r="AE12" i="20" l="1"/>
  <c r="AF19" i="20"/>
  <c r="AF11" i="20"/>
  <c r="AF18" i="20"/>
  <c r="AG137" i="20"/>
  <c r="AG142" i="20"/>
  <c r="AG148" i="20"/>
  <c r="AG154" i="20" s="1"/>
  <c r="AG16" i="20"/>
  <c r="P191" i="60"/>
  <c r="AE29" i="20"/>
  <c r="AE30" i="20"/>
  <c r="AP143" i="30"/>
  <c r="AE117" i="20"/>
  <c r="AJ145" i="20"/>
  <c r="AI133" i="20"/>
  <c r="AH136" i="20"/>
  <c r="AH139" i="20"/>
  <c r="V31" i="59"/>
  <c r="V36" i="59"/>
  <c r="V234" i="59"/>
  <c r="AF12" i="20" l="1"/>
  <c r="V240" i="59"/>
  <c r="V245" i="59" s="1"/>
  <c r="L79" i="63"/>
  <c r="H11" i="60"/>
  <c r="AH16" i="20"/>
  <c r="AH137" i="20"/>
  <c r="AH142" i="20"/>
  <c r="AH148" i="20"/>
  <c r="AH154" i="20" s="1"/>
  <c r="AJ133" i="20"/>
  <c r="AK145" i="20"/>
  <c r="V79" i="59"/>
  <c r="AP144" i="30"/>
  <c r="AI136" i="20"/>
  <c r="AI139" i="20"/>
  <c r="V37" i="59"/>
  <c r="V45" i="59"/>
  <c r="AG11" i="20"/>
  <c r="AG12" i="20" s="1"/>
  <c r="AG19" i="20"/>
  <c r="AG18" i="20"/>
  <c r="W30" i="59"/>
  <c r="AQ105" i="30"/>
  <c r="AQ106" i="30" s="1"/>
  <c r="AF80" i="20"/>
  <c r="AF113" i="20"/>
  <c r="AF38" i="20"/>
  <c r="AF21" i="20"/>
  <c r="AF28" i="20"/>
  <c r="AF115" i="20"/>
  <c r="AF116" i="20"/>
  <c r="V255" i="59" l="1"/>
  <c r="V246" i="59"/>
  <c r="Q191" i="60"/>
  <c r="M79" i="63" s="1"/>
  <c r="AQ143" i="30"/>
  <c r="AF30" i="20"/>
  <c r="AF117" i="20"/>
  <c r="AF29" i="20"/>
  <c r="AJ136" i="20"/>
  <c r="AJ139" i="20"/>
  <c r="AH11" i="20"/>
  <c r="AH12" i="20" s="1"/>
  <c r="AH19" i="20"/>
  <c r="AH18" i="20"/>
  <c r="X30" i="59"/>
  <c r="AG38" i="20"/>
  <c r="AR105" i="30"/>
  <c r="AR106" i="30" s="1"/>
  <c r="AG80" i="20"/>
  <c r="AG113" i="20"/>
  <c r="AG21" i="20"/>
  <c r="AG28" i="20"/>
  <c r="AG115" i="20"/>
  <c r="AG116" i="20"/>
  <c r="AI16" i="20"/>
  <c r="AI142" i="20"/>
  <c r="AI148" i="20"/>
  <c r="AI154" i="20" s="1"/>
  <c r="AI137" i="20"/>
  <c r="V87" i="59"/>
  <c r="V81" i="59"/>
  <c r="V80" i="59"/>
  <c r="W36" i="59"/>
  <c r="W31" i="59"/>
  <c r="W234" i="59"/>
  <c r="W240" i="59" s="1"/>
  <c r="W245" i="59" s="1"/>
  <c r="V46" i="59"/>
  <c r="AL145" i="20"/>
  <c r="AK133" i="20"/>
  <c r="X31" i="59" l="1"/>
  <c r="X36" i="59"/>
  <c r="X234" i="59"/>
  <c r="X240" i="59" s="1"/>
  <c r="X245" i="59" s="1"/>
  <c r="W246" i="59"/>
  <c r="W255" i="59"/>
  <c r="R191" i="60"/>
  <c r="N79" i="63" s="1"/>
  <c r="AR143" i="30"/>
  <c r="AG30" i="20"/>
  <c r="AG117" i="20"/>
  <c r="AG29" i="20"/>
  <c r="AM145" i="20"/>
  <c r="AL133" i="20"/>
  <c r="AI11" i="20"/>
  <c r="AI12" i="20" s="1"/>
  <c r="AI19" i="20"/>
  <c r="AI18" i="20"/>
  <c r="W79" i="59"/>
  <c r="AQ144" i="30"/>
  <c r="W37" i="59"/>
  <c r="W45" i="59"/>
  <c r="AK136" i="20"/>
  <c r="AK139" i="20"/>
  <c r="V99" i="59"/>
  <c r="V89" i="59"/>
  <c r="V88" i="59"/>
  <c r="V308" i="59"/>
  <c r="V112" i="59"/>
  <c r="V322" i="59"/>
  <c r="Y30" i="59"/>
  <c r="AH115" i="20"/>
  <c r="AH116" i="20"/>
  <c r="AH38" i="20"/>
  <c r="AH28" i="20"/>
  <c r="AS105" i="30"/>
  <c r="AS106" i="30" s="1"/>
  <c r="AH80" i="20"/>
  <c r="AH113" i="20"/>
  <c r="AH21" i="20"/>
  <c r="AJ137" i="20"/>
  <c r="AJ142" i="20"/>
  <c r="AJ148" i="20"/>
  <c r="AJ154" i="20" s="1"/>
  <c r="AJ16" i="20"/>
  <c r="V100" i="59" l="1"/>
  <c r="V310" i="59"/>
  <c r="V101" i="59"/>
  <c r="V324" i="59"/>
  <c r="W46" i="59"/>
  <c r="X37" i="59"/>
  <c r="X45" i="59"/>
  <c r="Z30" i="59"/>
  <c r="AI21" i="20"/>
  <c r="AI28" i="20"/>
  <c r="AT105" i="30"/>
  <c r="AT106" i="30" s="1"/>
  <c r="AI115" i="20"/>
  <c r="AI116" i="20"/>
  <c r="AI38" i="20"/>
  <c r="AI80" i="20"/>
  <c r="AI113" i="20"/>
  <c r="AJ11" i="20"/>
  <c r="AJ12" i="20" s="1"/>
  <c r="AJ19" i="20"/>
  <c r="AJ18" i="20"/>
  <c r="S191" i="60"/>
  <c r="AS143" i="30"/>
  <c r="AH30" i="20"/>
  <c r="AH117" i="20"/>
  <c r="AH29" i="20"/>
  <c r="Y31" i="59"/>
  <c r="Y36" i="59"/>
  <c r="Y234" i="59"/>
  <c r="Y240" i="59" s="1"/>
  <c r="Y245" i="59" s="1"/>
  <c r="AK137" i="20"/>
  <c r="AK142" i="20"/>
  <c r="AK148" i="20"/>
  <c r="AK154" i="20" s="1"/>
  <c r="AK16" i="20"/>
  <c r="AL136" i="20"/>
  <c r="AL139" i="20"/>
  <c r="X79" i="59"/>
  <c r="AR144" i="30"/>
  <c r="X255" i="59"/>
  <c r="X246" i="59"/>
  <c r="W80" i="59"/>
  <c r="W87" i="59"/>
  <c r="W81" i="59"/>
  <c r="AN145" i="20"/>
  <c r="AN133" i="20" s="1"/>
  <c r="AM133" i="20"/>
  <c r="Y255" i="59" l="1"/>
  <c r="Y246" i="59"/>
  <c r="AN136" i="20"/>
  <c r="AN139" i="20"/>
  <c r="AA30" i="59"/>
  <c r="AU105" i="30"/>
  <c r="AU106" i="30" s="1"/>
  <c r="AJ80" i="20"/>
  <c r="AJ113" i="20"/>
  <c r="AJ21" i="20"/>
  <c r="AJ28" i="20"/>
  <c r="AJ38" i="20"/>
  <c r="AJ115" i="20"/>
  <c r="AJ116" i="20"/>
  <c r="AK11" i="20"/>
  <c r="AK12" i="20" s="1"/>
  <c r="AK19" i="20"/>
  <c r="AK18" i="20"/>
  <c r="Y79" i="59"/>
  <c r="AS144" i="30"/>
  <c r="Z31" i="59"/>
  <c r="Z234" i="59"/>
  <c r="Z240" i="59" s="1"/>
  <c r="Z245" i="59" s="1"/>
  <c r="Z36" i="59"/>
  <c r="T191" i="60"/>
  <c r="AI29" i="20"/>
  <c r="AT143" i="30"/>
  <c r="AI30" i="20"/>
  <c r="AI117" i="20"/>
  <c r="X46" i="59"/>
  <c r="AL16" i="20"/>
  <c r="AL137" i="20"/>
  <c r="AL142" i="20"/>
  <c r="AL148" i="20"/>
  <c r="AL154" i="20" s="1"/>
  <c r="X81" i="59"/>
  <c r="X80" i="59"/>
  <c r="X87" i="59"/>
  <c r="AM136" i="20"/>
  <c r="AM139" i="20"/>
  <c r="W88" i="59"/>
  <c r="W99" i="59"/>
  <c r="W112" i="59"/>
  <c r="W308" i="59"/>
  <c r="W89" i="59"/>
  <c r="W322" i="59"/>
  <c r="Y45" i="59"/>
  <c r="Y37" i="59"/>
  <c r="Z246" i="59" l="1"/>
  <c r="Z255" i="59"/>
  <c r="X89" i="59"/>
  <c r="X88" i="59"/>
  <c r="X99" i="59"/>
  <c r="X308" i="59"/>
  <c r="X112" i="59"/>
  <c r="X322" i="59"/>
  <c r="AB30" i="59"/>
  <c r="AK38" i="20"/>
  <c r="AV105" i="30"/>
  <c r="AV106" i="30" s="1"/>
  <c r="AK80" i="20"/>
  <c r="AK113" i="20"/>
  <c r="AK21" i="20"/>
  <c r="AK28" i="20"/>
  <c r="AK115" i="20"/>
  <c r="AK116" i="20"/>
  <c r="U191" i="60"/>
  <c r="AU143" i="30"/>
  <c r="AJ30" i="20"/>
  <c r="AJ117" i="20"/>
  <c r="AJ29" i="20"/>
  <c r="Z37" i="59"/>
  <c r="Z45" i="59"/>
  <c r="Y87" i="59"/>
  <c r="Y81" i="59"/>
  <c r="Y80" i="59"/>
  <c r="Y46" i="59"/>
  <c r="AM16" i="20"/>
  <c r="AM142" i="20"/>
  <c r="AM148" i="20"/>
  <c r="AM154" i="20" s="1"/>
  <c r="AM137" i="20"/>
  <c r="AL11" i="20"/>
  <c r="AL12" i="20" s="1"/>
  <c r="AL19" i="20"/>
  <c r="AL18" i="20"/>
  <c r="Z79" i="59"/>
  <c r="AT144" i="30"/>
  <c r="W101" i="59"/>
  <c r="W310" i="59"/>
  <c r="W100" i="59"/>
  <c r="W324" i="59"/>
  <c r="AA36" i="59"/>
  <c r="AA234" i="59"/>
  <c r="AA240" i="59" s="1"/>
  <c r="AA245" i="59" s="1"/>
  <c r="AA31" i="59"/>
  <c r="AN137" i="20"/>
  <c r="AN142" i="20"/>
  <c r="AN148" i="20"/>
  <c r="AN16" i="20"/>
  <c r="AA246" i="59" l="1"/>
  <c r="AA255" i="59"/>
  <c r="Z87" i="59"/>
  <c r="Z81" i="59"/>
  <c r="Z80" i="59"/>
  <c r="Y99" i="59"/>
  <c r="Y89" i="59"/>
  <c r="Y88" i="59"/>
  <c r="Y308" i="59"/>
  <c r="Y112" i="59"/>
  <c r="Y322" i="59"/>
  <c r="AB31" i="59"/>
  <c r="AB36" i="59"/>
  <c r="AB234" i="59"/>
  <c r="AB240" i="59" s="1"/>
  <c r="AB245" i="59" s="1"/>
  <c r="X101" i="59"/>
  <c r="X310" i="59"/>
  <c r="X100" i="59"/>
  <c r="X324" i="59"/>
  <c r="AA37" i="59"/>
  <c r="AA45" i="59"/>
  <c r="AN11" i="20"/>
  <c r="AN18" i="20"/>
  <c r="AN19" i="20"/>
  <c r="AM11" i="20"/>
  <c r="AM12" i="20" s="1"/>
  <c r="AM19" i="20"/>
  <c r="AM18" i="20"/>
  <c r="AA79" i="59"/>
  <c r="AU144" i="30"/>
  <c r="V191" i="60"/>
  <c r="AV143" i="30"/>
  <c r="AK30" i="20"/>
  <c r="AK117" i="20"/>
  <c r="AK29" i="20"/>
  <c r="AC30" i="59"/>
  <c r="AL115" i="20"/>
  <c r="AL116" i="20"/>
  <c r="AL21" i="20"/>
  <c r="AL28" i="20"/>
  <c r="AL38" i="20"/>
  <c r="AW105" i="30"/>
  <c r="AW106" i="30" s="1"/>
  <c r="AL80" i="20"/>
  <c r="AL113" i="20"/>
  <c r="AN154" i="20"/>
  <c r="Z46" i="59"/>
  <c r="AE30" i="59" l="1"/>
  <c r="AY105" i="30"/>
  <c r="AB255" i="59"/>
  <c r="AB246" i="59"/>
  <c r="AA80" i="59"/>
  <c r="AA87" i="59"/>
  <c r="AA81" i="59"/>
  <c r="AB37" i="59"/>
  <c r="AB45" i="59"/>
  <c r="Y101" i="59"/>
  <c r="Y310" i="59"/>
  <c r="Y100" i="59"/>
  <c r="Y324" i="59"/>
  <c r="Z99" i="59"/>
  <c r="Z89" i="59"/>
  <c r="Z88" i="59"/>
  <c r="Z308" i="59"/>
  <c r="Z112" i="59"/>
  <c r="Z322" i="59"/>
  <c r="AB79" i="59"/>
  <c r="AV144" i="30"/>
  <c r="AA46" i="59"/>
  <c r="AN80" i="20"/>
  <c r="AN113" i="20"/>
  <c r="AN21" i="20"/>
  <c r="AN28" i="20"/>
  <c r="Y191" i="60" s="1"/>
  <c r="AN115" i="20"/>
  <c r="AN116" i="20"/>
  <c r="AN38" i="20"/>
  <c r="Q96" i="20" s="1"/>
  <c r="W191" i="60"/>
  <c r="AL29" i="20"/>
  <c r="AW143" i="30"/>
  <c r="AL30" i="20"/>
  <c r="AL117" i="20"/>
  <c r="AC31" i="59"/>
  <c r="AC36" i="59"/>
  <c r="AC234" i="59"/>
  <c r="AC240" i="59" s="1"/>
  <c r="AC245" i="59" s="1"/>
  <c r="AD30" i="59"/>
  <c r="AM21" i="20"/>
  <c r="AM28" i="20"/>
  <c r="AM80" i="20"/>
  <c r="AM115" i="20"/>
  <c r="AM116" i="20"/>
  <c r="AM38" i="20"/>
  <c r="AX105" i="30"/>
  <c r="AX106" i="30" s="1"/>
  <c r="AM113" i="20"/>
  <c r="AN12" i="20"/>
  <c r="AY143" i="30" l="1"/>
  <c r="Q94" i="20"/>
  <c r="AY106" i="30"/>
  <c r="AE31" i="59"/>
  <c r="AE234" i="59"/>
  <c r="AE240" i="59" s="1"/>
  <c r="AE245" i="59" s="1"/>
  <c r="AE36" i="59"/>
  <c r="AN30" i="20"/>
  <c r="AN117" i="20"/>
  <c r="AN29" i="20"/>
  <c r="AA88" i="59"/>
  <c r="AA99" i="59"/>
  <c r="AA89" i="59"/>
  <c r="AA112" i="59"/>
  <c r="AA308" i="59"/>
  <c r="AA322" i="59"/>
  <c r="B195" i="60"/>
  <c r="C195" i="60" s="1"/>
  <c r="D195" i="60" s="1"/>
  <c r="E195" i="60" s="1"/>
  <c r="F195" i="60" s="1"/>
  <c r="G195" i="60" s="1"/>
  <c r="H195" i="60" s="1"/>
  <c r="I195" i="60" s="1"/>
  <c r="J195" i="60" s="1"/>
  <c r="K195" i="60" s="1"/>
  <c r="L195" i="60" s="1"/>
  <c r="M195" i="60" s="1"/>
  <c r="N195" i="60" s="1"/>
  <c r="O195" i="60" s="1"/>
  <c r="P195" i="60" s="1"/>
  <c r="Q195" i="60" s="1"/>
  <c r="R195" i="60" s="1"/>
  <c r="S195" i="60" s="1"/>
  <c r="T195" i="60" s="1"/>
  <c r="U195" i="60" s="1"/>
  <c r="V195" i="60" s="1"/>
  <c r="W195" i="60" s="1"/>
  <c r="X195" i="60" s="1"/>
  <c r="Y195" i="60" s="1"/>
  <c r="R96" i="20"/>
  <c r="S96" i="20" s="1"/>
  <c r="T96" i="20" s="1"/>
  <c r="U96" i="20" s="1"/>
  <c r="V96" i="20" s="1"/>
  <c r="W96" i="20" s="1"/>
  <c r="X96" i="20" s="1"/>
  <c r="Y96" i="20" s="1"/>
  <c r="Z96" i="20" s="1"/>
  <c r="AA96" i="20" s="1"/>
  <c r="AB96" i="20" s="1"/>
  <c r="AC96" i="20" s="1"/>
  <c r="AD96" i="20" s="1"/>
  <c r="AE96" i="20" s="1"/>
  <c r="AF96" i="20" s="1"/>
  <c r="AG96" i="20" s="1"/>
  <c r="AH96" i="20" s="1"/>
  <c r="AI96" i="20" s="1"/>
  <c r="AJ96" i="20" s="1"/>
  <c r="AK96" i="20" s="1"/>
  <c r="AL96" i="20" s="1"/>
  <c r="AM96" i="20" s="1"/>
  <c r="AN96" i="20" s="1"/>
  <c r="Z100" i="59"/>
  <c r="Z101" i="59"/>
  <c r="Z310" i="59"/>
  <c r="Z324" i="59"/>
  <c r="AB46" i="59"/>
  <c r="AB81" i="59"/>
  <c r="AB80" i="59"/>
  <c r="AB87" i="59"/>
  <c r="AC45" i="59"/>
  <c r="AC37" i="59"/>
  <c r="AD31" i="59"/>
  <c r="AD36" i="59"/>
  <c r="AD234" i="59"/>
  <c r="AD240" i="59" s="1"/>
  <c r="AD245" i="59" s="1"/>
  <c r="AC79" i="59"/>
  <c r="AW144" i="30"/>
  <c r="X191" i="60"/>
  <c r="AM29" i="20"/>
  <c r="AX143" i="30"/>
  <c r="AM30" i="20"/>
  <c r="AM117" i="20"/>
  <c r="AC255" i="59"/>
  <c r="AC246" i="59"/>
  <c r="AE246" i="59" l="1"/>
  <c r="AE255" i="59"/>
  <c r="AE37" i="59"/>
  <c r="AE45" i="59"/>
  <c r="AY144" i="30"/>
  <c r="AE79" i="59"/>
  <c r="AD246" i="59"/>
  <c r="AD255" i="59"/>
  <c r="B193" i="60"/>
  <c r="R94" i="20"/>
  <c r="AD79" i="59"/>
  <c r="AX144" i="30"/>
  <c r="AD37" i="59"/>
  <c r="AD45" i="59"/>
  <c r="AC46" i="59"/>
  <c r="AA101" i="59"/>
  <c r="AA310" i="59"/>
  <c r="AA100" i="59"/>
  <c r="AA324" i="59"/>
  <c r="AC87" i="59"/>
  <c r="AC81" i="59"/>
  <c r="AC80" i="59"/>
  <c r="AB89" i="59"/>
  <c r="AB88" i="59"/>
  <c r="AB308" i="59"/>
  <c r="AB99" i="59"/>
  <c r="AB112" i="59"/>
  <c r="AB322" i="59"/>
  <c r="AE80" i="59" l="1"/>
  <c r="AE87" i="59"/>
  <c r="AE81" i="59"/>
  <c r="AE46" i="59"/>
  <c r="AC99" i="59"/>
  <c r="AC89" i="59"/>
  <c r="AC88" i="59"/>
  <c r="AC308" i="59"/>
  <c r="AC112" i="59"/>
  <c r="AC322" i="59"/>
  <c r="C193" i="60"/>
  <c r="AB101" i="59"/>
  <c r="AB310" i="59"/>
  <c r="AB100" i="59"/>
  <c r="AB324" i="59"/>
  <c r="AD87" i="59"/>
  <c r="AD81" i="59"/>
  <c r="AD80" i="59"/>
  <c r="AD46" i="59"/>
  <c r="S94" i="20"/>
  <c r="AE88" i="59" l="1"/>
  <c r="AE308" i="59"/>
  <c r="AE112" i="59"/>
  <c r="AE89" i="59"/>
  <c r="AE99" i="59"/>
  <c r="AE101" i="59" s="1"/>
  <c r="AE322" i="59"/>
  <c r="T94" i="20"/>
  <c r="AD99" i="59"/>
  <c r="AD89" i="59"/>
  <c r="AD308" i="59"/>
  <c r="AD88" i="59"/>
  <c r="AD112" i="59"/>
  <c r="AD322" i="59"/>
  <c r="D193" i="60"/>
  <c r="AC101" i="59"/>
  <c r="AC310" i="59"/>
  <c r="AC100" i="59"/>
  <c r="AC324" i="59"/>
  <c r="AE100" i="59" l="1"/>
  <c r="AE310" i="59"/>
  <c r="AE324" i="59"/>
  <c r="E193" i="60"/>
  <c r="AD100" i="59"/>
  <c r="AD310" i="59"/>
  <c r="AD101" i="59"/>
  <c r="AD324" i="59"/>
  <c r="U94" i="20"/>
  <c r="V94" i="20" l="1"/>
  <c r="F193" i="60"/>
  <c r="W94" i="20" l="1"/>
  <c r="G193" i="60"/>
  <c r="H193" i="60" l="1"/>
  <c r="X94" i="20"/>
  <c r="Y94" i="20" l="1"/>
  <c r="I193" i="60"/>
  <c r="J193" i="60" l="1"/>
  <c r="Z94" i="20"/>
  <c r="AA94" i="20" l="1"/>
  <c r="K193" i="60"/>
  <c r="L193" i="60" l="1"/>
  <c r="AB94" i="20"/>
  <c r="AC94" i="20" l="1"/>
  <c r="M193" i="60"/>
  <c r="N193" i="60" l="1"/>
  <c r="AD94" i="20"/>
  <c r="AE94" i="20" l="1"/>
  <c r="O193" i="60"/>
  <c r="P193" i="60" l="1"/>
  <c r="AF94" i="20"/>
  <c r="AG94" i="20" l="1"/>
  <c r="Q193" i="60"/>
  <c r="R193" i="60" l="1"/>
  <c r="AH94" i="20"/>
  <c r="AI94" i="20" l="1"/>
  <c r="S193" i="60"/>
  <c r="T193" i="60" l="1"/>
  <c r="AJ94" i="20"/>
  <c r="AK94" i="20" l="1"/>
  <c r="U193" i="60"/>
  <c r="V193" i="60" l="1"/>
  <c r="AL94" i="20"/>
  <c r="AM94" i="20" l="1"/>
  <c r="W193" i="60"/>
  <c r="X193" i="60" l="1"/>
  <c r="Y193" i="60" s="1"/>
  <c r="AN94" i="20"/>
  <c r="AK25" i="30" l="1"/>
  <c r="AD69" i="25" s="1"/>
  <c r="AF69" i="25" s="1"/>
  <c r="AK34" i="30"/>
  <c r="AK196" i="30"/>
  <c r="EO196" i="30" s="1"/>
  <c r="EO195" i="30" s="1"/>
  <c r="EO199" i="30" s="1"/>
  <c r="CV20" i="23" s="1"/>
  <c r="CV21" i="23" s="1"/>
  <c r="CV23" i="23" s="1"/>
  <c r="EM196" i="30" l="1"/>
  <c r="EM195" i="30" s="1"/>
  <c r="EM199" i="30" s="1"/>
  <c r="CT20" i="23" s="1"/>
  <c r="CT21" i="23" s="1"/>
  <c r="CT23" i="23" s="1"/>
  <c r="AK29" i="30"/>
  <c r="AD73" i="25" s="1"/>
  <c r="AD75" i="25" s="1"/>
  <c r="EP196" i="30"/>
  <c r="EP195" i="30" s="1"/>
  <c r="EP199" i="30" s="1"/>
  <c r="CW20" i="23" s="1"/>
  <c r="CW21" i="23" s="1"/>
  <c r="CW23" i="23" s="1"/>
  <c r="CN213" i="59" s="1"/>
  <c r="EN196" i="30"/>
  <c r="AF68" i="25"/>
  <c r="AF71" i="25"/>
  <c r="AF70" i="25"/>
  <c r="CM213" i="59"/>
  <c r="CV34" i="23"/>
  <c r="AD71" i="25"/>
  <c r="AD70" i="25"/>
  <c r="AD72" i="25"/>
  <c r="AD68" i="25"/>
  <c r="AD74" i="25"/>
  <c r="AF73" i="25"/>
  <c r="AF72" i="25" s="1"/>
  <c r="CW34" i="23" l="1"/>
  <c r="CW40" i="23" s="1"/>
  <c r="EQ196" i="30"/>
  <c r="EN195" i="30"/>
  <c r="CK213" i="59"/>
  <c r="CT34" i="23"/>
  <c r="CV44" i="23"/>
  <c r="CV40" i="23"/>
  <c r="AF75" i="25"/>
  <c r="AF74" i="25"/>
  <c r="CW44" i="23" l="1"/>
  <c r="CW60" i="23" s="1"/>
  <c r="CW65" i="23" s="1"/>
  <c r="CW69" i="23" s="1"/>
  <c r="EN199" i="30"/>
  <c r="CU20" i="23" s="1"/>
  <c r="CU21" i="23" s="1"/>
  <c r="CU23" i="23" s="1"/>
  <c r="AK195" i="30"/>
  <c r="CV50" i="23"/>
  <c r="CV52" i="23" s="1"/>
  <c r="CV60" i="23"/>
  <c r="CV65" i="23" s="1"/>
  <c r="CV69" i="23" s="1"/>
  <c r="CV58" i="23"/>
  <c r="CT40" i="23"/>
  <c r="CT44" i="23"/>
  <c r="CW50" i="23"/>
  <c r="CW52" i="23" s="1"/>
  <c r="CW58" i="23"/>
  <c r="AK151" i="30" l="1"/>
  <c r="EQ195" i="30"/>
  <c r="AK199" i="30"/>
  <c r="CL213" i="59"/>
  <c r="CU34" i="23"/>
  <c r="CV55" i="23"/>
  <c r="CV100" i="23"/>
  <c r="CV98" i="23" s="1"/>
  <c r="CW55" i="23"/>
  <c r="CW100" i="23"/>
  <c r="CW98" i="23" s="1"/>
  <c r="CT50" i="23"/>
  <c r="CT52" i="23" s="1"/>
  <c r="CT58" i="23"/>
  <c r="CT60" i="23"/>
  <c r="CT65" i="23" s="1"/>
  <c r="CT69" i="23" s="1"/>
  <c r="EQ199" i="30" l="1"/>
  <c r="AK211" i="30"/>
  <c r="CU40" i="23"/>
  <c r="CU44" i="23"/>
  <c r="AK152" i="30"/>
  <c r="AK154" i="30"/>
  <c r="AK163" i="30"/>
  <c r="CT55" i="23"/>
  <c r="CT100" i="23"/>
  <c r="CU50" i="23" l="1"/>
  <c r="CU52" i="23" s="1"/>
  <c r="CU58" i="23"/>
  <c r="CU60" i="23"/>
  <c r="CU65" i="23" s="1"/>
  <c r="CU69" i="23" s="1"/>
  <c r="AD40" i="25"/>
  <c r="AK158" i="30"/>
  <c r="AD44" i="25" s="1"/>
  <c r="N214" i="59"/>
  <c r="EQ211" i="30"/>
  <c r="Z21" i="32"/>
  <c r="Z20" i="32" s="1"/>
  <c r="Z23" i="32" s="1"/>
  <c r="O92" i="38"/>
  <c r="O91" i="38" s="1"/>
  <c r="X56" i="33"/>
  <c r="X55" i="33" s="1"/>
  <c r="X58" i="33" s="1"/>
  <c r="Z33" i="20"/>
  <c r="Z32" i="20" s="1"/>
  <c r="Z35" i="20" s="1"/>
  <c r="V47" i="31"/>
  <c r="V46" i="31" s="1"/>
  <c r="V49" i="31" s="1"/>
  <c r="V55" i="31" s="1"/>
  <c r="V57" i="31" s="1"/>
  <c r="O86" i="38"/>
  <c r="O85" i="38" s="1"/>
  <c r="O88" i="38" s="1"/>
  <c r="CT98" i="23"/>
  <c r="V50" i="31" l="1"/>
  <c r="Z29" i="32"/>
  <c r="Z31" i="32" s="1"/>
  <c r="Z25" i="32"/>
  <c r="Z24" i="32"/>
  <c r="AD42" i="25"/>
  <c r="AD43" i="25"/>
  <c r="AD93" i="25" s="1"/>
  <c r="AF40" i="25"/>
  <c r="AD39" i="25"/>
  <c r="AD90" i="25" s="1"/>
  <c r="AD41" i="25"/>
  <c r="Z37" i="20"/>
  <c r="Z41" i="20"/>
  <c r="Z43" i="20" s="1"/>
  <c r="Z36" i="20"/>
  <c r="X64" i="33"/>
  <c r="X66" i="33" s="1"/>
  <c r="X59" i="33"/>
  <c r="O94" i="38"/>
  <c r="O96" i="38" s="1"/>
  <c r="O89" i="38"/>
  <c r="AD46" i="25"/>
  <c r="AF44" i="25"/>
  <c r="AD45" i="25"/>
  <c r="CU100" i="23"/>
  <c r="CU55" i="23"/>
  <c r="K160" i="60" l="1"/>
  <c r="O97" i="38"/>
  <c r="Z44" i="20"/>
  <c r="K190" i="60"/>
  <c r="AF39" i="25"/>
  <c r="AF41" i="25"/>
  <c r="AF42" i="25"/>
  <c r="AF43" i="25"/>
  <c r="AF45" i="25"/>
  <c r="AF46" i="25"/>
  <c r="AF93" i="25"/>
  <c r="Y22" i="23" s="1"/>
  <c r="Y61" i="23" s="1"/>
  <c r="Y63" i="23" s="1"/>
  <c r="W22" i="23"/>
  <c r="Z32" i="32"/>
  <c r="K102" i="60"/>
  <c r="K131" i="60"/>
  <c r="X67" i="33"/>
  <c r="CU98" i="23"/>
  <c r="W100" i="23"/>
  <c r="W20" i="23"/>
  <c r="AD91" i="25"/>
  <c r="AF90" i="25"/>
  <c r="K72" i="60"/>
  <c r="V58" i="31"/>
  <c r="AD92" i="25" l="1"/>
  <c r="AD94" i="25"/>
  <c r="CX22" i="23"/>
  <c r="W251" i="23"/>
  <c r="W611" i="23"/>
  <c r="W61" i="23"/>
  <c r="CX61" i="23" s="1"/>
  <c r="W583" i="23"/>
  <c r="W21" i="23"/>
  <c r="N37" i="56"/>
  <c r="N38" i="56" s="1"/>
  <c r="W250" i="23"/>
  <c r="Y100" i="23"/>
  <c r="Y98" i="23" s="1"/>
  <c r="W98" i="23"/>
  <c r="CX100" i="23"/>
  <c r="Y20" i="23"/>
  <c r="Y21" i="23" s="1"/>
  <c r="Y23" i="23" s="1"/>
  <c r="AF91" i="25"/>
  <c r="W261" i="23" l="1"/>
  <c r="W275" i="23" s="1"/>
  <c r="N11" i="56" s="1"/>
  <c r="W99" i="23"/>
  <c r="N23" i="56"/>
  <c r="N24" i="56" s="1"/>
  <c r="F38" i="62"/>
  <c r="W77" i="23"/>
  <c r="W23" i="23"/>
  <c r="CX21" i="23"/>
  <c r="W75" i="23"/>
  <c r="W76" i="23" s="1"/>
  <c r="AF92" i="25"/>
  <c r="AF94" i="25"/>
  <c r="Y99" i="23"/>
  <c r="G35" i="62"/>
  <c r="P23" i="56"/>
  <c r="P24" i="56" s="1"/>
  <c r="W579" i="23"/>
  <c r="W585" i="23"/>
  <c r="P213" i="59"/>
  <c r="Y34" i="23"/>
  <c r="AD97" i="25"/>
  <c r="AD98" i="25" s="1"/>
  <c r="AD95" i="25"/>
  <c r="W607" i="23"/>
  <c r="W614" i="23"/>
  <c r="W598" i="23" s="1"/>
  <c r="N14" i="56" l="1"/>
  <c r="N16" i="56" s="1"/>
  <c r="P11" i="56"/>
  <c r="W273" i="23"/>
  <c r="Z610" i="23"/>
  <c r="Z614" i="23" s="1"/>
  <c r="Z598" i="23" s="1"/>
  <c r="W599" i="23"/>
  <c r="W201" i="23" s="1"/>
  <c r="W202" i="23" s="1"/>
  <c r="W207" i="23" s="1"/>
  <c r="W78" i="23"/>
  <c r="W79" i="23"/>
  <c r="G36" i="62"/>
  <c r="Q35" i="62"/>
  <c r="Q36" i="62" s="1"/>
  <c r="F39" i="62"/>
  <c r="P38" i="62"/>
  <c r="P39" i="62" s="1"/>
  <c r="AF95" i="25"/>
  <c r="AF97" i="25"/>
  <c r="AF98" i="25" s="1"/>
  <c r="CX23" i="23"/>
  <c r="N213" i="59"/>
  <c r="W34" i="23"/>
  <c r="N19" i="56" l="1"/>
  <c r="M46" i="56" s="1"/>
  <c r="L46" i="56" s="1"/>
  <c r="F44" i="62"/>
  <c r="P44" i="62" s="1"/>
  <c r="N31" i="56"/>
  <c r="W698" i="23"/>
  <c r="W81" i="23"/>
  <c r="W82" i="23" s="1"/>
  <c r="W83" i="23"/>
  <c r="CX34" i="23"/>
  <c r="P10" i="56"/>
  <c r="W663" i="23"/>
  <c r="W40" i="23"/>
  <c r="Y40" i="23" s="1"/>
  <c r="Y39" i="23" s="1"/>
  <c r="W44" i="23"/>
  <c r="AA610" i="23"/>
  <c r="Z599" i="23"/>
  <c r="Z201" i="23" s="1"/>
  <c r="N21" i="56"/>
  <c r="W310" i="23"/>
  <c r="F47" i="62"/>
  <c r="P47" i="62" s="1"/>
  <c r="N20" i="56"/>
  <c r="P14" i="56" l="1"/>
  <c r="W87" i="23"/>
  <c r="W88" i="23" s="1"/>
  <c r="W58" i="23"/>
  <c r="W89" i="23"/>
  <c r="CX44" i="23"/>
  <c r="W60" i="23"/>
  <c r="W50" i="23"/>
  <c r="P15" i="56"/>
  <c r="Y44" i="23"/>
  <c r="W85" i="23"/>
  <c r="W84" i="23"/>
  <c r="Z202" i="23"/>
  <c r="Z207" i="23" s="1"/>
  <c r="Z240" i="23" s="1"/>
  <c r="W664" i="23"/>
  <c r="W670" i="23"/>
  <c r="W671" i="23"/>
  <c r="N22" i="56"/>
  <c r="N25" i="56"/>
  <c r="W160" i="23"/>
  <c r="L45" i="56"/>
  <c r="K46" i="56"/>
  <c r="P16" i="56" l="1"/>
  <c r="P21" i="56" s="1"/>
  <c r="P25" i="56" s="1"/>
  <c r="G41" i="62"/>
  <c r="Q41" i="62" s="1"/>
  <c r="P19" i="56"/>
  <c r="W52" i="23"/>
  <c r="CX50" i="23"/>
  <c r="W668" i="23"/>
  <c r="W665" i="23"/>
  <c r="W666" i="23" s="1"/>
  <c r="W667" i="23" s="1"/>
  <c r="CX60" i="23"/>
  <c r="W65" i="23"/>
  <c r="Y60" i="23"/>
  <c r="Y65" i="23" s="1"/>
  <c r="Y69" i="23" s="1"/>
  <c r="Y50" i="23"/>
  <c r="Y52" i="23" s="1"/>
  <c r="Y55" i="23" s="1"/>
  <c r="Y58" i="23"/>
  <c r="W90" i="23"/>
  <c r="W91" i="23"/>
  <c r="J46" i="56"/>
  <c r="K45" i="56"/>
  <c r="P22" i="56" l="1"/>
  <c r="G54" i="62"/>
  <c r="Q54" i="62" s="1"/>
  <c r="P20" i="56"/>
  <c r="W669" i="23"/>
  <c r="CX65" i="23"/>
  <c r="W69" i="23"/>
  <c r="CX52" i="23"/>
  <c r="W55" i="23"/>
  <c r="W233" i="23"/>
  <c r="I46" i="56"/>
  <c r="J45" i="56"/>
  <c r="W95" i="23" l="1"/>
  <c r="W96" i="23" s="1"/>
  <c r="N26" i="56"/>
  <c r="W93" i="23"/>
  <c r="W94" i="23" s="1"/>
  <c r="W234" i="23"/>
  <c r="W237" i="23" s="1"/>
  <c r="W239" i="23" s="1"/>
  <c r="W240" i="23" s="1"/>
  <c r="H46" i="56"/>
  <c r="I45" i="56"/>
  <c r="N27" i="56" l="1"/>
  <c r="N28" i="56"/>
  <c r="W307" i="23"/>
  <c r="Z307" i="23"/>
  <c r="H45" i="56"/>
  <c r="G46" i="56"/>
  <c r="Z308" i="23" l="1"/>
  <c r="Q33" i="56"/>
  <c r="W308" i="23"/>
  <c r="W309" i="23" s="1"/>
  <c r="N33" i="56"/>
  <c r="F46" i="56"/>
  <c r="G45" i="56"/>
  <c r="N34" i="56" l="1"/>
  <c r="N35" i="56" s="1"/>
  <c r="Q34" i="56"/>
  <c r="E46" i="56"/>
  <c r="E45" i="56" s="1"/>
  <c r="F45" i="56"/>
  <c r="AL25" i="30"/>
  <c r="AG69" i="25" s="1"/>
  <c r="AM25" i="30"/>
  <c r="AH69" i="25" s="1"/>
  <c r="AN25" i="30"/>
  <c r="AJ69" i="25" s="1"/>
  <c r="AJ71" i="25" s="1"/>
  <c r="AO25" i="30"/>
  <c r="AL34" i="30"/>
  <c r="AM34" i="30"/>
  <c r="AN34" i="30"/>
  <c r="AO34" i="30"/>
  <c r="AL196" i="30"/>
  <c r="EU196" i="30" s="1"/>
  <c r="EU195" i="30" s="1"/>
  <c r="EU199" i="30" s="1"/>
  <c r="DB20" i="23" s="1"/>
  <c r="AM196" i="30"/>
  <c r="AN29" i="30" l="1"/>
  <c r="AJ73" i="25" s="1"/>
  <c r="AJ72" i="25" s="1"/>
  <c r="AL29" i="30"/>
  <c r="AG73" i="25" s="1"/>
  <c r="AG75" i="25" s="1"/>
  <c r="AO29" i="30"/>
  <c r="AK73" i="25" s="1"/>
  <c r="AL74" i="25" s="1"/>
  <c r="AK69" i="25"/>
  <c r="AM29" i="30"/>
  <c r="AH73" i="25" s="1"/>
  <c r="AH72" i="25" s="1"/>
  <c r="AI72" i="25" s="1"/>
  <c r="EV196" i="30"/>
  <c r="AG70" i="25"/>
  <c r="AG71" i="25"/>
  <c r="AG68" i="25"/>
  <c r="EZ196" i="30"/>
  <c r="FE196" i="30" s="1"/>
  <c r="Z20" i="23"/>
  <c r="DB21" i="23"/>
  <c r="DB23" i="23" s="1"/>
  <c r="AI69" i="25"/>
  <c r="AH70" i="25"/>
  <c r="AH71" i="25"/>
  <c r="AH68" i="25"/>
  <c r="AI68" i="25" s="1"/>
  <c r="AL195" i="30"/>
  <c r="AJ68" i="25"/>
  <c r="AJ70" i="25"/>
  <c r="AK75" i="25"/>
  <c r="AK72" i="25" l="1"/>
  <c r="AJ75" i="25"/>
  <c r="AG72" i="25"/>
  <c r="AG74" i="25"/>
  <c r="AI73" i="25"/>
  <c r="AK74" i="25"/>
  <c r="AJ74" i="25"/>
  <c r="AH74" i="25"/>
  <c r="AH75" i="25"/>
  <c r="AL70" i="25"/>
  <c r="FA196" i="30"/>
  <c r="AK71" i="25"/>
  <c r="AK70" i="25"/>
  <c r="AK68" i="25"/>
  <c r="EV195" i="30"/>
  <c r="AL199" i="30"/>
  <c r="AL151" i="30"/>
  <c r="Z21" i="23"/>
  <c r="Q37" i="56"/>
  <c r="Q38" i="56" s="1"/>
  <c r="DC20" i="23"/>
  <c r="Z250" i="23"/>
  <c r="Z583" i="23"/>
  <c r="CS213" i="59"/>
  <c r="DB34" i="23"/>
  <c r="DC107" i="59"/>
  <c r="DC113" i="59" s="1"/>
  <c r="AN196" i="30"/>
  <c r="FJ196" i="30"/>
  <c r="Z23" i="23" l="1"/>
  <c r="Z75" i="23"/>
  <c r="Z76" i="23" s="1"/>
  <c r="Z77" i="23"/>
  <c r="DC21" i="23"/>
  <c r="DB44" i="23"/>
  <c r="DB40" i="23"/>
  <c r="AL152" i="30"/>
  <c r="AL163" i="30"/>
  <c r="AL154" i="30"/>
  <c r="AL211" i="30"/>
  <c r="EV199" i="30"/>
  <c r="T107" i="59"/>
  <c r="Z579" i="23"/>
  <c r="Z585" i="23"/>
  <c r="DH107" i="59"/>
  <c r="AO196" i="30"/>
  <c r="FK196" i="30" s="1"/>
  <c r="AL158" i="30" l="1"/>
  <c r="AG44" i="25" s="1"/>
  <c r="AG40" i="25"/>
  <c r="U107" i="59"/>
  <c r="DH113" i="59"/>
  <c r="AA21" i="32"/>
  <c r="AA20" i="32" s="1"/>
  <c r="AA23" i="32" s="1"/>
  <c r="W47" i="31"/>
  <c r="W46" i="31" s="1"/>
  <c r="W49" i="31" s="1"/>
  <c r="Y56" i="33"/>
  <c r="Y55" i="33" s="1"/>
  <c r="Y58" i="33" s="1"/>
  <c r="AA33" i="20"/>
  <c r="AA32" i="20" s="1"/>
  <c r="AA35" i="20" s="1"/>
  <c r="P92" i="38"/>
  <c r="P91" i="38" s="1"/>
  <c r="P86" i="38"/>
  <c r="P85" i="38" s="1"/>
  <c r="P88" i="38" s="1"/>
  <c r="Z79" i="23"/>
  <c r="Z78" i="23"/>
  <c r="DD107" i="59"/>
  <c r="T113" i="59"/>
  <c r="DB60" i="23"/>
  <c r="DB58" i="23"/>
  <c r="DB50" i="23"/>
  <c r="DB52" i="23" s="1"/>
  <c r="Q214" i="59"/>
  <c r="EV211" i="30"/>
  <c r="DC23" i="23"/>
  <c r="Q213" i="59"/>
  <c r="Z34" i="23"/>
  <c r="AA181" i="20"/>
  <c r="Y64" i="33" l="1"/>
  <c r="Y66" i="33" s="1"/>
  <c r="Y59" i="33"/>
  <c r="DI107" i="59"/>
  <c r="U113" i="59"/>
  <c r="Z44" i="23"/>
  <c r="Z40" i="23"/>
  <c r="DC34" i="23"/>
  <c r="Z81" i="23"/>
  <c r="Z82" i="23" s="1"/>
  <c r="Z663" i="23"/>
  <c r="Z83" i="23"/>
  <c r="AA36" i="20"/>
  <c r="AA37" i="20"/>
  <c r="AA41" i="20"/>
  <c r="AA43" i="20" s="1"/>
  <c r="DD113" i="59"/>
  <c r="P94" i="38"/>
  <c r="P96" i="38" s="1"/>
  <c r="P89" i="38"/>
  <c r="W50" i="31"/>
  <c r="W55" i="31"/>
  <c r="W57" i="31" s="1"/>
  <c r="AG43" i="25"/>
  <c r="AG93" i="25" s="1"/>
  <c r="AG39" i="25"/>
  <c r="AG90" i="25" s="1"/>
  <c r="AG91" i="25" s="1"/>
  <c r="AG41" i="25"/>
  <c r="AG42" i="25"/>
  <c r="DB55" i="23"/>
  <c r="DB100" i="23"/>
  <c r="AA24" i="32"/>
  <c r="AA29" i="32"/>
  <c r="AA31" i="32" s="1"/>
  <c r="AA25" i="32"/>
  <c r="AG45" i="25"/>
  <c r="AG46" i="25"/>
  <c r="DI113" i="59" l="1"/>
  <c r="AA32" i="32"/>
  <c r="L102" i="60"/>
  <c r="L160" i="60"/>
  <c r="P97" i="38"/>
  <c r="L190" i="60"/>
  <c r="AA44" i="20"/>
  <c r="Z85" i="23"/>
  <c r="Z84" i="23"/>
  <c r="AG92" i="25"/>
  <c r="AG94" i="25"/>
  <c r="DB98" i="23"/>
  <c r="Z100" i="23"/>
  <c r="W58" i="31"/>
  <c r="L72" i="60"/>
  <c r="Z670" i="23"/>
  <c r="Z664" i="23"/>
  <c r="Z671" i="23"/>
  <c r="Z50" i="23"/>
  <c r="Z58" i="23"/>
  <c r="Z87" i="23"/>
  <c r="Z88" i="23" s="1"/>
  <c r="DC44" i="23"/>
  <c r="Z60" i="23"/>
  <c r="Z89" i="23"/>
  <c r="Y67" i="33"/>
  <c r="L131" i="60"/>
  <c r="Z91" i="23" l="1"/>
  <c r="Z90" i="23"/>
  <c r="DC60" i="23"/>
  <c r="DC50" i="23"/>
  <c r="Z52" i="23"/>
  <c r="DC100" i="23"/>
  <c r="Z98" i="23"/>
  <c r="DA63" i="23"/>
  <c r="DA65" i="23" s="1"/>
  <c r="DA69" i="23" s="1"/>
  <c r="DJ63" i="23"/>
  <c r="DJ65" i="23" s="1"/>
  <c r="DJ69" i="23" s="1"/>
  <c r="DO63" i="23"/>
  <c r="DB63" i="23"/>
  <c r="DB65" i="23" s="1"/>
  <c r="DB69" i="23" s="1"/>
  <c r="DK63" i="23"/>
  <c r="DK65" i="23" s="1"/>
  <c r="DK69" i="23" s="1"/>
  <c r="DP63" i="23"/>
  <c r="CY63" i="23"/>
  <c r="DL63" i="23"/>
  <c r="DQ63" i="23"/>
  <c r="CZ63" i="23"/>
  <c r="CZ65" i="23" s="1"/>
  <c r="CZ69" i="23" s="1"/>
  <c r="DN63" i="23"/>
  <c r="Z665" i="23"/>
  <c r="Z666" i="23" s="1"/>
  <c r="Z667" i="23" s="1"/>
  <c r="Z668" i="23"/>
  <c r="DI63" i="23"/>
  <c r="DI65" i="23" s="1"/>
  <c r="DI69" i="23" s="1"/>
  <c r="J160" i="73"/>
  <c r="AG95" i="25"/>
  <c r="AG97" i="25"/>
  <c r="AG98" i="25" s="1"/>
  <c r="Z669" i="23" l="1"/>
  <c r="J162" i="73"/>
  <c r="J161" i="73"/>
  <c r="CY65" i="23"/>
  <c r="CY69" i="23" s="1"/>
  <c r="Z63" i="23"/>
  <c r="Q23" i="56"/>
  <c r="Q24" i="56" s="1"/>
  <c r="Z99" i="23"/>
  <c r="H35" i="62"/>
  <c r="G38" i="62"/>
  <c r="DC52" i="23"/>
  <c r="Z55" i="23"/>
  <c r="Z246" i="23"/>
  <c r="Z249" i="23" s="1"/>
  <c r="Z261" i="23" s="1"/>
  <c r="Z275" i="23" s="1"/>
  <c r="J159" i="73" l="1"/>
  <c r="Q11" i="56"/>
  <c r="Z273" i="23"/>
  <c r="R35" i="62"/>
  <c r="R36" i="62" s="1"/>
  <c r="H36" i="62"/>
  <c r="G39" i="62"/>
  <c r="Q38" i="62"/>
  <c r="Q39" i="62" s="1"/>
  <c r="DC63" i="23"/>
  <c r="Z674" i="23"/>
  <c r="Z673" i="23" s="1"/>
  <c r="Z65" i="23"/>
  <c r="DC65" i="23" l="1"/>
  <c r="Z69" i="23"/>
  <c r="Q14" i="56"/>
  <c r="Q35" i="56" l="1"/>
  <c r="Q19" i="56"/>
  <c r="Q16" i="56"/>
  <c r="Q31" i="56"/>
  <c r="H41" i="62"/>
  <c r="G44" i="62"/>
  <c r="Q44" i="62" s="1"/>
  <c r="Z698" i="23"/>
  <c r="Q26" i="56"/>
  <c r="Q27" i="56" s="1"/>
  <c r="Z93" i="23"/>
  <c r="Z94" i="23" s="1"/>
  <c r="Z95" i="23"/>
  <c r="Z96" i="23" s="1"/>
  <c r="Q20" i="56" l="1"/>
  <c r="Z309" i="23"/>
  <c r="Q21" i="56"/>
  <c r="Z310" i="23"/>
  <c r="G47" i="62"/>
  <c r="Q47" i="62" s="1"/>
  <c r="Q48" i="62" s="1"/>
  <c r="R41" i="62"/>
  <c r="H54" i="62"/>
  <c r="R54" i="62" s="1"/>
  <c r="Q22" i="56" l="1"/>
  <c r="Q28" i="56"/>
  <c r="Q25" i="56"/>
  <c r="Z160" i="23"/>
  <c r="DR22" i="23"/>
  <c r="AD61" i="23"/>
  <c r="AD63" i="23" s="1"/>
  <c r="AD674" i="23" s="1"/>
  <c r="AD251" i="23"/>
  <c r="AD611" i="23"/>
  <c r="AD607" i="23" s="1"/>
  <c r="DR28" i="23"/>
  <c r="AC42" i="23"/>
  <c r="AC258" i="23" s="1"/>
  <c r="DM42" i="23" l="1"/>
  <c r="DR42" i="23"/>
  <c r="AD258" i="23"/>
  <c r="AE42" i="23" l="1"/>
  <c r="AF42" i="23" l="1"/>
  <c r="AE258" i="23"/>
  <c r="AG42" i="23" l="1"/>
  <c r="AF258" i="23"/>
  <c r="AH42" i="23" l="1"/>
  <c r="AG258" i="23"/>
  <c r="AI42" i="23" l="1"/>
  <c r="AH258" i="23"/>
  <c r="AJ42" i="23" l="1"/>
  <c r="AI258" i="23"/>
  <c r="AJ258" i="23" l="1"/>
  <c r="AK42" i="23"/>
  <c r="AL42" i="23" l="1"/>
  <c r="AK258" i="23"/>
  <c r="AM42" i="23" l="1"/>
  <c r="AL258" i="23"/>
  <c r="AN42" i="23" l="1"/>
  <c r="AM258" i="23"/>
  <c r="AN258" i="23" l="1"/>
  <c r="DO417" i="23" l="1"/>
  <c r="DP417" i="23" l="1"/>
  <c r="DQ417" i="23" l="1"/>
  <c r="AD417" i="23"/>
  <c r="AF417" i="23" l="1"/>
  <c r="AG417" i="23" s="1"/>
  <c r="AH417" i="23" s="1"/>
  <c r="AI417" i="23" s="1"/>
  <c r="AJ417" i="23" s="1"/>
  <c r="AK417" i="23" s="1"/>
  <c r="AL417" i="23" s="1"/>
  <c r="AM417" i="23" s="1"/>
  <c r="AN417" i="23" s="1"/>
  <c r="DR417" i="23"/>
  <c r="W234" i="31" l="1"/>
  <c r="X234" i="31"/>
  <c r="Y234" i="31"/>
  <c r="V234" i="31"/>
  <c r="Z234" i="31" l="1"/>
  <c r="AA232" i="31"/>
  <c r="Z257" i="31"/>
  <c r="V221" i="31"/>
  <c r="V192" i="31" s="1"/>
  <c r="AA257" i="31" l="1"/>
  <c r="AB232" i="31"/>
  <c r="AC232" i="31" s="1"/>
  <c r="AD232" i="31" s="1"/>
  <c r="AE232" i="31" s="1"/>
  <c r="AF232" i="31" s="1"/>
  <c r="AG232" i="31" s="1"/>
  <c r="AH232" i="31" s="1"/>
  <c r="AI232" i="31" s="1"/>
  <c r="AJ232" i="31" s="1"/>
  <c r="W221" i="31"/>
  <c r="W192" i="31" s="1"/>
  <c r="AB257" i="31" l="1"/>
  <c r="Y221" i="31"/>
  <c r="AC257" i="31"/>
  <c r="AA219" i="31"/>
  <c r="AB219" i="31" s="1"/>
  <c r="AC219" i="31" s="1"/>
  <c r="AD219" i="31" s="1"/>
  <c r="AE219" i="31" s="1"/>
  <c r="AF219" i="31" s="1"/>
  <c r="AG219" i="31" s="1"/>
  <c r="AH219" i="31" s="1"/>
  <c r="AI219" i="31" s="1"/>
  <c r="AJ219" i="31" s="1"/>
  <c r="Z249" i="31" l="1"/>
  <c r="Z253" i="31" s="1"/>
  <c r="Z221" i="31"/>
  <c r="AA221" i="31" s="1"/>
  <c r="AB221" i="31" s="1"/>
  <c r="AC221" i="31" s="1"/>
  <c r="AD221" i="31" s="1"/>
  <c r="Y192" i="31"/>
  <c r="AD257" i="31"/>
  <c r="AE221" i="31" l="1"/>
  <c r="AF221" i="31" s="1"/>
  <c r="AG221" i="31" s="1"/>
  <c r="AH221" i="31" s="1"/>
  <c r="AI221" i="31" s="1"/>
  <c r="AJ221" i="31" s="1"/>
  <c r="AA251" i="31"/>
  <c r="AA249" i="31"/>
  <c r="X221" i="31"/>
  <c r="X192" i="31" s="1"/>
  <c r="AE257" i="31"/>
  <c r="Z192" i="31"/>
  <c r="AA234" i="31" l="1"/>
  <c r="AB249" i="31"/>
  <c r="AF251" i="31"/>
  <c r="AA224" i="31"/>
  <c r="AF257" i="31"/>
  <c r="AA253" i="31" l="1"/>
  <c r="AC249" i="31"/>
  <c r="AB224" i="31"/>
  <c r="AB251" i="31"/>
  <c r="AG257" i="31"/>
  <c r="AA225" i="31"/>
  <c r="AA228" i="31"/>
  <c r="AB234" i="31"/>
  <c r="AB192" i="31" s="1"/>
  <c r="AA237" i="31"/>
  <c r="AA192" i="31"/>
  <c r="AC251" i="31"/>
  <c r="AB253" i="31" l="1"/>
  <c r="AD249" i="31"/>
  <c r="AB225" i="31"/>
  <c r="AB228" i="31"/>
  <c r="AA238" i="31"/>
  <c r="AA241" i="31"/>
  <c r="AC224" i="31"/>
  <c r="AA195" i="31"/>
  <c r="AC234" i="31"/>
  <c r="AB237" i="31"/>
  <c r="AH257" i="31"/>
  <c r="AC253" i="31" l="1"/>
  <c r="AE249" i="31"/>
  <c r="AD224" i="31"/>
  <c r="AD251" i="31"/>
  <c r="AB238" i="31"/>
  <c r="AB241" i="31"/>
  <c r="AB195" i="31"/>
  <c r="AD234" i="31"/>
  <c r="AC237" i="31"/>
  <c r="AC225" i="31"/>
  <c r="AC228" i="31"/>
  <c r="AC192" i="31"/>
  <c r="AI257" i="31"/>
  <c r="AD253" i="31" l="1"/>
  <c r="AF249" i="31"/>
  <c r="AD228" i="31"/>
  <c r="AD225" i="31"/>
  <c r="AE224" i="31"/>
  <c r="AE251" i="31"/>
  <c r="AC238" i="31"/>
  <c r="AC241" i="31"/>
  <c r="AC195" i="31"/>
  <c r="AJ257" i="31"/>
  <c r="AE234" i="31"/>
  <c r="AE192" i="31" s="1"/>
  <c r="AD237" i="31"/>
  <c r="AD192" i="31"/>
  <c r="AE253" i="31" l="1"/>
  <c r="AG249" i="31"/>
  <c r="AE228" i="31"/>
  <c r="AE225" i="31"/>
  <c r="AF224" i="31"/>
  <c r="AD238" i="31"/>
  <c r="AD241" i="31"/>
  <c r="AD195" i="31"/>
  <c r="AF234" i="31"/>
  <c r="AE237" i="31"/>
  <c r="AG251" i="31"/>
  <c r="AF253" i="31" l="1"/>
  <c r="AH249" i="31"/>
  <c r="AF225" i="31"/>
  <c r="AF228" i="31"/>
  <c r="AE238" i="31"/>
  <c r="AE241" i="31"/>
  <c r="AE195" i="31"/>
  <c r="AG224" i="31"/>
  <c r="AG234" i="31"/>
  <c r="AF237" i="31"/>
  <c r="AF192" i="31"/>
  <c r="AG253" i="31" l="1"/>
  <c r="AI249" i="31"/>
  <c r="AH224" i="31"/>
  <c r="AH251" i="31"/>
  <c r="AF238" i="31"/>
  <c r="AF241" i="31"/>
  <c r="AF195" i="31"/>
  <c r="AH234" i="31"/>
  <c r="AH192" i="31" s="1"/>
  <c r="AG237" i="31"/>
  <c r="AG228" i="31"/>
  <c r="AG225" i="31"/>
  <c r="AG192" i="31"/>
  <c r="AJ249" i="31" l="1"/>
  <c r="AH228" i="31"/>
  <c r="AH253" i="31"/>
  <c r="AH225" i="31"/>
  <c r="AI224" i="31"/>
  <c r="AI251" i="31"/>
  <c r="AG238" i="31"/>
  <c r="AG241" i="31"/>
  <c r="AG195" i="31"/>
  <c r="AI234" i="31"/>
  <c r="AH237" i="31"/>
  <c r="AI253" i="31" l="1"/>
  <c r="AI228" i="31"/>
  <c r="AJ224" i="31"/>
  <c r="AJ251" i="31"/>
  <c r="AI225" i="31"/>
  <c r="AH238" i="31"/>
  <c r="AH241" i="31"/>
  <c r="AJ234" i="31"/>
  <c r="AJ237" i="31" s="1"/>
  <c r="AI237" i="31"/>
  <c r="AI192" i="31"/>
  <c r="AH195" i="31"/>
  <c r="AJ253" i="31" l="1"/>
  <c r="AJ228" i="31"/>
  <c r="AJ225" i="31"/>
  <c r="AI238" i="31"/>
  <c r="AI241" i="31"/>
  <c r="AJ238" i="31"/>
  <c r="AJ241" i="31"/>
  <c r="AJ195" i="31"/>
  <c r="AJ192" i="31"/>
  <c r="AI195" i="31"/>
  <c r="P392" i="60" l="1"/>
  <c r="Q392" i="60" s="1"/>
  <c r="R392" i="60" s="1"/>
  <c r="S392" i="60" s="1"/>
  <c r="T392" i="60" s="1"/>
  <c r="U392" i="60" s="1"/>
  <c r="V392" i="60" s="1"/>
  <c r="W392" i="60" s="1"/>
  <c r="X392" i="60" s="1"/>
  <c r="Y392" i="60" s="1"/>
  <c r="P393" i="60" l="1"/>
  <c r="Q393" i="60" l="1"/>
  <c r="R393" i="60" l="1"/>
  <c r="S393" i="60" l="1"/>
  <c r="T393" i="60" l="1"/>
  <c r="U393" i="60" l="1"/>
  <c r="V393" i="60" l="1"/>
  <c r="W393" i="60" l="1"/>
  <c r="X393" i="60" l="1"/>
  <c r="Y393" i="60" l="1"/>
  <c r="P396" i="60" l="1"/>
  <c r="Q396" i="60" l="1"/>
  <c r="R396" i="60" l="1"/>
  <c r="S396" i="60" l="1"/>
  <c r="T396" i="60" l="1"/>
  <c r="U396" i="60" l="1"/>
  <c r="V396" i="60" l="1"/>
  <c r="W396" i="60" l="1"/>
  <c r="X396" i="60" l="1"/>
  <c r="Y396" i="60" l="1"/>
  <c r="E21" i="60" l="1"/>
  <c r="F21" i="60" l="1"/>
  <c r="E22" i="60"/>
  <c r="F22" i="60" l="1"/>
  <c r="E47" i="56" l="1"/>
  <c r="L47" i="56"/>
  <c r="M47" i="56" l="1"/>
  <c r="M49" i="56" s="1"/>
  <c r="M50" i="56" s="1"/>
  <c r="L49" i="56"/>
  <c r="L50" i="56" s="1"/>
  <c r="K47" i="56"/>
  <c r="F47" i="56"/>
  <c r="E49" i="56"/>
  <c r="E50" i="56" s="1"/>
  <c r="D25" i="62" l="1"/>
  <c r="J47" i="56"/>
  <c r="K49" i="56"/>
  <c r="K50" i="56" s="1"/>
  <c r="G47" i="56"/>
  <c r="G49" i="56" s="1"/>
  <c r="G50" i="56" s="1"/>
  <c r="F49" i="56"/>
  <c r="F50" i="56" s="1"/>
  <c r="I47" i="56" l="1"/>
  <c r="J49" i="56"/>
  <c r="J50" i="56" s="1"/>
  <c r="D26" i="62"/>
  <c r="D55" i="62"/>
  <c r="E25" i="62"/>
  <c r="N25" i="62"/>
  <c r="D45" i="62"/>
  <c r="D42" i="62"/>
  <c r="T699" i="23"/>
  <c r="D48" i="62"/>
  <c r="F25" i="62" l="1"/>
  <c r="D33" i="62"/>
  <c r="D53" i="62"/>
  <c r="D30" i="62"/>
  <c r="N26" i="62"/>
  <c r="N42" i="62"/>
  <c r="N45" i="62"/>
  <c r="N48" i="62"/>
  <c r="N55" i="62"/>
  <c r="O25" i="62"/>
  <c r="E26" i="62"/>
  <c r="U699" i="23"/>
  <c r="E42" i="62"/>
  <c r="E45" i="62"/>
  <c r="E48" i="62"/>
  <c r="E55" i="62"/>
  <c r="I49" i="56"/>
  <c r="I50" i="56" s="1"/>
  <c r="H47" i="56"/>
  <c r="H49" i="56" s="1"/>
  <c r="H50" i="56" s="1"/>
  <c r="N53" i="62" l="1"/>
  <c r="N33" i="62"/>
  <c r="N30" i="62"/>
  <c r="V699" i="23"/>
  <c r="F42" i="62"/>
  <c r="F45" i="62"/>
  <c r="F48" i="62"/>
  <c r="P25" i="62"/>
  <c r="F55" i="62"/>
  <c r="F26" i="62"/>
  <c r="O42" i="62"/>
  <c r="O45" i="62"/>
  <c r="O48" i="62"/>
  <c r="O55" i="62"/>
  <c r="O26" i="62"/>
  <c r="E53" i="62"/>
  <c r="E33" i="62"/>
  <c r="E30" i="62"/>
  <c r="G25" i="62"/>
  <c r="G55" i="62" l="1"/>
  <c r="W699" i="23"/>
  <c r="G42" i="62"/>
  <c r="G45" i="62"/>
  <c r="G48" i="62"/>
  <c r="G26" i="62"/>
  <c r="Q25" i="62"/>
  <c r="P55" i="62"/>
  <c r="P42" i="62"/>
  <c r="P45" i="62"/>
  <c r="P48" i="62"/>
  <c r="P26" i="62"/>
  <c r="H25" i="62"/>
  <c r="O30" i="62"/>
  <c r="O53" i="62"/>
  <c r="O33" i="62"/>
  <c r="F30" i="62"/>
  <c r="F53" i="62"/>
  <c r="F33" i="62"/>
  <c r="Q26" i="62" l="1"/>
  <c r="Q55" i="62"/>
  <c r="Q42" i="62"/>
  <c r="Q45" i="62"/>
  <c r="P30" i="62"/>
  <c r="P33" i="62"/>
  <c r="P53" i="62"/>
  <c r="H26" i="62"/>
  <c r="H55" i="62"/>
  <c r="R25" i="62"/>
  <c r="Z699" i="23"/>
  <c r="H42" i="62"/>
  <c r="G30" i="62"/>
  <c r="G33" i="62"/>
  <c r="G53" i="62"/>
  <c r="H33" i="62" l="1"/>
  <c r="H53" i="62"/>
  <c r="H30" i="62"/>
  <c r="Q33" i="62"/>
  <c r="Q53" i="62"/>
  <c r="Q30" i="62"/>
  <c r="R26" i="62"/>
  <c r="R42" i="62"/>
  <c r="R55" i="62"/>
  <c r="S25" i="62"/>
  <c r="I26" i="62"/>
  <c r="AA699" i="23"/>
  <c r="S26" i="62" l="1"/>
  <c r="AC699" i="23"/>
  <c r="K25" i="62"/>
  <c r="T25" i="62"/>
  <c r="R53" i="62"/>
  <c r="R33" i="62"/>
  <c r="R30" i="62"/>
  <c r="I53" i="62"/>
  <c r="I30" i="62"/>
  <c r="AD699" i="23" l="1"/>
  <c r="U25" i="62"/>
  <c r="L25" i="62"/>
  <c r="S30" i="62"/>
  <c r="S53" i="62"/>
  <c r="V25" i="62" l="1"/>
  <c r="DC296" i="59" l="1"/>
  <c r="DC121" i="59" l="1"/>
  <c r="DH296" i="59"/>
  <c r="DH121" i="59" s="1"/>
  <c r="BZ50" i="73" l="1"/>
  <c r="CE50" i="73"/>
  <c r="DH123" i="59"/>
  <c r="U121" i="59"/>
  <c r="DH124" i="59"/>
  <c r="FJ93" i="30"/>
  <c r="T121" i="59"/>
  <c r="DC123" i="59"/>
  <c r="DC124" i="59"/>
  <c r="FE93" i="30"/>
  <c r="FE94" i="30" s="1"/>
  <c r="DC149" i="59" l="1"/>
  <c r="DC126" i="59"/>
  <c r="BZ45" i="73" s="1"/>
  <c r="DC131" i="59"/>
  <c r="DC218" i="59"/>
  <c r="FE97" i="30"/>
  <c r="T123" i="59"/>
  <c r="T124" i="59"/>
  <c r="DD121" i="59"/>
  <c r="T296" i="59"/>
  <c r="AN93" i="30"/>
  <c r="DI121" i="59"/>
  <c r="U123" i="59"/>
  <c r="U124" i="59"/>
  <c r="U296" i="59"/>
  <c r="AO93" i="30"/>
  <c r="AD9" i="32" s="1"/>
  <c r="AD7" i="32" s="1"/>
  <c r="FJ94" i="30"/>
  <c r="DH131" i="59"/>
  <c r="DH126" i="59"/>
  <c r="CE45" i="73" s="1"/>
  <c r="DH218" i="59"/>
  <c r="FJ97" i="30"/>
  <c r="DC177" i="59" l="1"/>
  <c r="DH149" i="59"/>
  <c r="DH157" i="59" s="1"/>
  <c r="DC157" i="59"/>
  <c r="DC328" i="59" s="1"/>
  <c r="DH146" i="59"/>
  <c r="DH145" i="59"/>
  <c r="DH132" i="59"/>
  <c r="AC9" i="32"/>
  <c r="FF93" i="30"/>
  <c r="AN97" i="30"/>
  <c r="AN94" i="30"/>
  <c r="AN109" i="30"/>
  <c r="T218" i="59"/>
  <c r="DC227" i="59"/>
  <c r="DC292" i="59"/>
  <c r="DI296" i="59"/>
  <c r="U297" i="59"/>
  <c r="T126" i="59"/>
  <c r="L45" i="73" s="1"/>
  <c r="T131" i="59"/>
  <c r="DD123" i="59"/>
  <c r="DC151" i="59"/>
  <c r="T149" i="59"/>
  <c r="DC150" i="59"/>
  <c r="DC312" i="59"/>
  <c r="DC147" i="59" s="1"/>
  <c r="FJ109" i="30"/>
  <c r="FJ98" i="30"/>
  <c r="U218" i="59"/>
  <c r="U292" i="59" s="1"/>
  <c r="DH227" i="59"/>
  <c r="DH292" i="59"/>
  <c r="DI123" i="59"/>
  <c r="U126" i="59"/>
  <c r="M45" i="73" s="1"/>
  <c r="U131" i="59"/>
  <c r="T297" i="59"/>
  <c r="DD296" i="59"/>
  <c r="FE98" i="30"/>
  <c r="FE109" i="30"/>
  <c r="FE110" i="30" s="1"/>
  <c r="DC145" i="59"/>
  <c r="DC146" i="59"/>
  <c r="DC132" i="59"/>
  <c r="AO94" i="30"/>
  <c r="AO109" i="30"/>
  <c r="FK93" i="30"/>
  <c r="AO97" i="30"/>
  <c r="DC326" i="59"/>
  <c r="DH150" i="59" l="1"/>
  <c r="U149" i="59"/>
  <c r="AO127" i="30" s="1"/>
  <c r="DH151" i="59"/>
  <c r="DH177" i="59"/>
  <c r="DH179" i="59" s="1"/>
  <c r="DH181" i="59" s="1"/>
  <c r="DH183" i="59" s="1"/>
  <c r="T132" i="59"/>
  <c r="T326" i="59"/>
  <c r="AD10" i="32"/>
  <c r="AD13" i="32"/>
  <c r="AD26" i="32"/>
  <c r="AD88" i="32"/>
  <c r="DI218" i="59"/>
  <c r="U227" i="59"/>
  <c r="DC179" i="59"/>
  <c r="DC181" i="59" s="1"/>
  <c r="T145" i="59"/>
  <c r="DD131" i="59"/>
  <c r="FF109" i="30"/>
  <c r="AJ35" i="25"/>
  <c r="AN160" i="30"/>
  <c r="AN217" i="30" s="1"/>
  <c r="AN221" i="30" s="1"/>
  <c r="AC279" i="23" s="1"/>
  <c r="AN110" i="30"/>
  <c r="AC7" i="32"/>
  <c r="AC10" i="32"/>
  <c r="AC88" i="32"/>
  <c r="AC13" i="32"/>
  <c r="AC16" i="32" s="1"/>
  <c r="AC17" i="32" s="1"/>
  <c r="AC26" i="32"/>
  <c r="DC187" i="59"/>
  <c r="DC210" i="59" s="1"/>
  <c r="DC159" i="59"/>
  <c r="DC158" i="59"/>
  <c r="DC166" i="59"/>
  <c r="DC165" i="59"/>
  <c r="DC314" i="59"/>
  <c r="DC293" i="59"/>
  <c r="DC294" i="59"/>
  <c r="DC295" i="59" s="1"/>
  <c r="FK97" i="30"/>
  <c r="AO98" i="30"/>
  <c r="U326" i="59"/>
  <c r="DH294" i="59"/>
  <c r="DH293" i="59"/>
  <c r="FJ110" i="30"/>
  <c r="DC228" i="59"/>
  <c r="DC253" i="59"/>
  <c r="AN98" i="30"/>
  <c r="FF97" i="30"/>
  <c r="DH187" i="59"/>
  <c r="DH210" i="59" s="1"/>
  <c r="AO110" i="30"/>
  <c r="AK35" i="25"/>
  <c r="FK109" i="30"/>
  <c r="AO160" i="30"/>
  <c r="AO217" i="30" s="1"/>
  <c r="AO221" i="30" s="1"/>
  <c r="AD279" i="23" s="1"/>
  <c r="DH158" i="59"/>
  <c r="DH159" i="59"/>
  <c r="DH165" i="59"/>
  <c r="DH166" i="59"/>
  <c r="DI131" i="59"/>
  <c r="U145" i="59"/>
  <c r="U132" i="59"/>
  <c r="DH253" i="59"/>
  <c r="DH228" i="59"/>
  <c r="DD149" i="59"/>
  <c r="T151" i="59"/>
  <c r="T150" i="59"/>
  <c r="T157" i="59"/>
  <c r="T177" i="59"/>
  <c r="T312" i="59"/>
  <c r="AN127" i="30"/>
  <c r="T227" i="59"/>
  <c r="DD218" i="59"/>
  <c r="T292" i="59"/>
  <c r="DI149" i="59" l="1"/>
  <c r="DH182" i="59"/>
  <c r="U177" i="59"/>
  <c r="U150" i="59"/>
  <c r="U151" i="59"/>
  <c r="U312" i="59"/>
  <c r="U157" i="59"/>
  <c r="DH295" i="59"/>
  <c r="T293" i="59"/>
  <c r="DD292" i="59"/>
  <c r="T294" i="59"/>
  <c r="DD157" i="59"/>
  <c r="T159" i="59"/>
  <c r="T158" i="59"/>
  <c r="T165" i="59"/>
  <c r="T314" i="59"/>
  <c r="AN128" i="30"/>
  <c r="AN130" i="30"/>
  <c r="U146" i="59"/>
  <c r="DI145" i="59"/>
  <c r="DH167" i="59"/>
  <c r="DH194" i="59"/>
  <c r="DC189" i="59"/>
  <c r="U179" i="59"/>
  <c r="AC64" i="32"/>
  <c r="AN238" i="30"/>
  <c r="T146" i="59"/>
  <c r="DD145" i="59"/>
  <c r="DI292" i="59"/>
  <c r="U294" i="59"/>
  <c r="U293" i="59"/>
  <c r="T228" i="59"/>
  <c r="DD227" i="59"/>
  <c r="T253" i="59"/>
  <c r="AD557" i="23"/>
  <c r="AK77" i="25"/>
  <c r="AK36" i="25"/>
  <c r="M7" i="73" s="1"/>
  <c r="AC14" i="32"/>
  <c r="T328" i="59"/>
  <c r="DI227" i="59"/>
  <c r="U253" i="59"/>
  <c r="U228" i="59"/>
  <c r="AD14" i="32"/>
  <c r="AD16" i="32"/>
  <c r="T179" i="59"/>
  <c r="DD177" i="59"/>
  <c r="DC167" i="59"/>
  <c r="DC194" i="59"/>
  <c r="DC211" i="59" s="1"/>
  <c r="DC316" i="59"/>
  <c r="DC330" i="59"/>
  <c r="AO128" i="30"/>
  <c r="AO130" i="30"/>
  <c r="T9" i="56"/>
  <c r="AC574" i="23"/>
  <c r="AC577" i="23" s="1"/>
  <c r="AC286" i="23"/>
  <c r="DC182" i="59"/>
  <c r="DC183" i="59"/>
  <c r="U9" i="56"/>
  <c r="AD286" i="23"/>
  <c r="AD574" i="23"/>
  <c r="AC557" i="23"/>
  <c r="AJ77" i="25"/>
  <c r="AJ36" i="25"/>
  <c r="L7" i="73" s="1"/>
  <c r="AD64" i="32"/>
  <c r="AO238" i="30"/>
  <c r="DI177" i="59" l="1"/>
  <c r="DI157" i="59"/>
  <c r="U314" i="59"/>
  <c r="U158" i="59"/>
  <c r="U328" i="59"/>
  <c r="U159" i="59"/>
  <c r="U165" i="59"/>
  <c r="U166" i="59" s="1"/>
  <c r="AO242" i="30"/>
  <c r="AN242" i="30"/>
  <c r="AN243" i="30" s="1"/>
  <c r="T330" i="59"/>
  <c r="AC506" i="23"/>
  <c r="AC214" i="23" s="1"/>
  <c r="AC515" i="23"/>
  <c r="AC226" i="23" s="1"/>
  <c r="AC542" i="23"/>
  <c r="AC545" i="23"/>
  <c r="AC560" i="23"/>
  <c r="AC548" i="23" s="1"/>
  <c r="T181" i="59"/>
  <c r="DD179" i="59"/>
  <c r="AC18" i="32"/>
  <c r="N103" i="60"/>
  <c r="J76" i="63" s="1"/>
  <c r="AN123" i="30"/>
  <c r="AD506" i="23"/>
  <c r="AD214" i="23" s="1"/>
  <c r="AD515" i="23"/>
  <c r="AD226" i="23" s="1"/>
  <c r="AD542" i="23"/>
  <c r="AD545" i="23"/>
  <c r="AD266" i="23" s="1"/>
  <c r="AD560" i="23"/>
  <c r="AD548" i="23" s="1"/>
  <c r="DH198" i="59"/>
  <c r="AD62" i="32"/>
  <c r="AD65" i="32"/>
  <c r="AD82" i="32"/>
  <c r="AD83" i="32"/>
  <c r="AD84" i="32"/>
  <c r="AD85" i="32"/>
  <c r="AD86" i="32"/>
  <c r="AD87" i="32"/>
  <c r="K51" i="62"/>
  <c r="U51" i="62" s="1"/>
  <c r="DC198" i="59"/>
  <c r="AC62" i="32"/>
  <c r="AC65" i="32"/>
  <c r="AC82" i="32"/>
  <c r="AC83" i="32"/>
  <c r="AC84" i="32"/>
  <c r="AC85" i="32"/>
  <c r="AC86" i="32"/>
  <c r="AC87" i="32"/>
  <c r="U194" i="59"/>
  <c r="AC569" i="23"/>
  <c r="AC578" i="23"/>
  <c r="AD17" i="32"/>
  <c r="AD18" i="32"/>
  <c r="O103" i="60"/>
  <c r="K76" i="63" s="1"/>
  <c r="AO123" i="30"/>
  <c r="U295" i="59"/>
  <c r="DI294" i="59"/>
  <c r="U330" i="59"/>
  <c r="T166" i="59"/>
  <c r="DD165" i="59"/>
  <c r="T167" i="59"/>
  <c r="T194" i="59"/>
  <c r="T211" i="59" s="1"/>
  <c r="DD211" i="59" s="1"/>
  <c r="T316" i="59"/>
  <c r="T187" i="59"/>
  <c r="J51" i="62"/>
  <c r="T51" i="62" s="1"/>
  <c r="U187" i="59"/>
  <c r="DI179" i="59"/>
  <c r="U181" i="59"/>
  <c r="DC190" i="59"/>
  <c r="DH189" i="59"/>
  <c r="DC231" i="59"/>
  <c r="DH211" i="59"/>
  <c r="DD294" i="59"/>
  <c r="T295" i="59"/>
  <c r="U316" i="59" l="1"/>
  <c r="U167" i="59"/>
  <c r="AO243" i="30"/>
  <c r="T190" i="59"/>
  <c r="DC191" i="59"/>
  <c r="DC200" i="59" s="1"/>
  <c r="DH190" i="59"/>
  <c r="DI187" i="59"/>
  <c r="U210" i="59"/>
  <c r="DI210" i="59" s="1"/>
  <c r="DD187" i="59"/>
  <c r="T210" i="59"/>
  <c r="DD210" i="59" s="1"/>
  <c r="DI194" i="59"/>
  <c r="DC199" i="59"/>
  <c r="DL10" i="23"/>
  <c r="DL13" i="23" s="1"/>
  <c r="AD551" i="23"/>
  <c r="AN124" i="30"/>
  <c r="AN131" i="30"/>
  <c r="AN125" i="30"/>
  <c r="AN147" i="30" s="1"/>
  <c r="AC59" i="32"/>
  <c r="AC61" i="32" s="1"/>
  <c r="L47" i="73" s="1"/>
  <c r="AC69" i="32"/>
  <c r="DD194" i="59"/>
  <c r="AO124" i="30"/>
  <c r="AO131" i="30"/>
  <c r="AO125" i="30"/>
  <c r="AO147" i="30" s="1"/>
  <c r="DH199" i="59"/>
  <c r="DQ10" i="23"/>
  <c r="DQ13" i="23" s="1"/>
  <c r="T182" i="59"/>
  <c r="DD181" i="59"/>
  <c r="T183" i="59"/>
  <c r="AC266" i="23"/>
  <c r="AC551" i="23"/>
  <c r="DI181" i="59"/>
  <c r="U183" i="59"/>
  <c r="U182" i="59"/>
  <c r="T231" i="59"/>
  <c r="DC237" i="59"/>
  <c r="AC195" i="23"/>
  <c r="AD573" i="23"/>
  <c r="U211" i="59"/>
  <c r="DI211" i="59" s="1"/>
  <c r="AD59" i="32"/>
  <c r="AD69" i="32"/>
  <c r="AC70" i="32" l="1"/>
  <c r="L44" i="73" s="1"/>
  <c r="AD70" i="32"/>
  <c r="M44" i="73" s="1"/>
  <c r="DD231" i="59"/>
  <c r="T237" i="59"/>
  <c r="AC552" i="23"/>
  <c r="AC554" i="23" s="1"/>
  <c r="AD552" i="23"/>
  <c r="AD554" i="23" s="1"/>
  <c r="AD575" i="23"/>
  <c r="AD584" i="23" s="1"/>
  <c r="AK37" i="25"/>
  <c r="AO148" i="30"/>
  <c r="AO149" i="30"/>
  <c r="AJ37" i="25"/>
  <c r="AN148" i="30"/>
  <c r="AN149" i="30"/>
  <c r="DC192" i="59"/>
  <c r="DC250" i="59"/>
  <c r="DL5" i="23"/>
  <c r="L48" i="73"/>
  <c r="L49" i="73" s="1"/>
  <c r="L46" i="73" s="1"/>
  <c r="DL14" i="23"/>
  <c r="DL17" i="23"/>
  <c r="T189" i="59"/>
  <c r="DD190" i="59"/>
  <c r="AJ78" i="25"/>
  <c r="AJ79" i="25" s="1"/>
  <c r="DQ17" i="23"/>
  <c r="DQ14" i="23"/>
  <c r="AD61" i="32"/>
  <c r="M47" i="73" s="1"/>
  <c r="AE59" i="32"/>
  <c r="DC254" i="59"/>
  <c r="DC238" i="59"/>
  <c r="AB51" i="33"/>
  <c r="AO126" i="30"/>
  <c r="AO132" i="30"/>
  <c r="AA51" i="33"/>
  <c r="AN126" i="30"/>
  <c r="AN132" i="30"/>
  <c r="U190" i="59"/>
  <c r="DH191" i="59"/>
  <c r="AD199" i="23" l="1"/>
  <c r="AD488" i="23"/>
  <c r="DI190" i="59"/>
  <c r="U189" i="59"/>
  <c r="AK78" i="25"/>
  <c r="AK79" i="25" s="1"/>
  <c r="AA48" i="33"/>
  <c r="AA49" i="33" s="1"/>
  <c r="AA52" i="33"/>
  <c r="N132" i="60"/>
  <c r="J77" i="63" s="1"/>
  <c r="J86" i="63" s="1"/>
  <c r="AB48" i="33"/>
  <c r="AB52" i="33"/>
  <c r="O132" i="60"/>
  <c r="K77" i="63" s="1"/>
  <c r="K86" i="63" s="1"/>
  <c r="DQ18" i="23"/>
  <c r="DC248" i="59"/>
  <c r="AC199" i="23"/>
  <c r="AC488" i="23"/>
  <c r="AE62" i="32"/>
  <c r="AF59" i="32"/>
  <c r="DD189" i="59"/>
  <c r="AJ82" i="25"/>
  <c r="AJ86" i="25" s="1"/>
  <c r="AJ38" i="25"/>
  <c r="AC188" i="23"/>
  <c r="AC267" i="23" s="1"/>
  <c r="AC477" i="23"/>
  <c r="M48" i="73"/>
  <c r="M49" i="73" s="1"/>
  <c r="M46" i="73" s="1"/>
  <c r="B46" i="60"/>
  <c r="AK82" i="25"/>
  <c r="AK86" i="25" s="1"/>
  <c r="AK38" i="25"/>
  <c r="AD188" i="23"/>
  <c r="AD477" i="23"/>
  <c r="DD237" i="59"/>
  <c r="T254" i="59"/>
  <c r="T238" i="59"/>
  <c r="DL18" i="23"/>
  <c r="DH192" i="59"/>
  <c r="DH250" i="59"/>
  <c r="DQ5" i="23"/>
  <c r="DH200" i="59"/>
  <c r="T191" i="59"/>
  <c r="AC5" i="23"/>
  <c r="AJ80" i="25"/>
  <c r="DL7" i="23"/>
  <c r="DL6" i="23"/>
  <c r="AD577" i="23"/>
  <c r="AD267" i="23" l="1"/>
  <c r="DC251" i="59"/>
  <c r="DQ6" i="23"/>
  <c r="DQ7" i="23"/>
  <c r="T192" i="59"/>
  <c r="T250" i="59"/>
  <c r="I55" i="95" s="1"/>
  <c r="DD191" i="59"/>
  <c r="AD578" i="23"/>
  <c r="AD569" i="23"/>
  <c r="AC555" i="23"/>
  <c r="AB49" i="33"/>
  <c r="U191" i="59"/>
  <c r="AD5" i="23"/>
  <c r="AK80" i="25"/>
  <c r="DM5" i="23"/>
  <c r="AC6" i="23"/>
  <c r="AC473" i="23"/>
  <c r="AC489" i="23" s="1"/>
  <c r="AN244" i="30"/>
  <c r="U198" i="59"/>
  <c r="AD10" i="23"/>
  <c r="AK87" i="25"/>
  <c r="AG59" i="32"/>
  <c r="AF62" i="32"/>
  <c r="DI189" i="59"/>
  <c r="T198" i="59"/>
  <c r="AC10" i="23"/>
  <c r="AC13" i="23" s="1"/>
  <c r="AJ87" i="25"/>
  <c r="AE64" i="32"/>
  <c r="AE69" i="32"/>
  <c r="T248" i="59"/>
  <c r="DH231" i="59"/>
  <c r="AD555" i="23"/>
  <c r="AE70" i="32" l="1"/>
  <c r="N44" i="73" s="1"/>
  <c r="AC478" i="23"/>
  <c r="U231" i="59"/>
  <c r="DH237" i="59"/>
  <c r="AE7" i="32"/>
  <c r="AE65" i="32"/>
  <c r="AE82" i="32"/>
  <c r="AE83" i="32"/>
  <c r="AE84" i="32"/>
  <c r="AE85" i="32"/>
  <c r="AE86" i="32"/>
  <c r="AE87" i="32"/>
  <c r="T199" i="59"/>
  <c r="DD198" i="59"/>
  <c r="T200" i="59"/>
  <c r="AH59" i="32"/>
  <c r="AG62" i="32"/>
  <c r="DI198" i="59"/>
  <c r="U200" i="59"/>
  <c r="U199" i="59"/>
  <c r="AD195" i="23"/>
  <c r="AE573" i="23"/>
  <c r="DD248" i="59"/>
  <c r="T261" i="59"/>
  <c r="AC479" i="23"/>
  <c r="AC483" i="23"/>
  <c r="AC190" i="23" s="1"/>
  <c r="AC485" i="23"/>
  <c r="AC191" i="23" s="1"/>
  <c r="AC491" i="23"/>
  <c r="AC492" i="23"/>
  <c r="AC205" i="23" s="1"/>
  <c r="AC500" i="23"/>
  <c r="AC211" i="23" s="1"/>
  <c r="AC504" i="23"/>
  <c r="AC213" i="23" s="1"/>
  <c r="AC508" i="23"/>
  <c r="AC215" i="23" s="1"/>
  <c r="AC271" i="23" s="1"/>
  <c r="AC510" i="23"/>
  <c r="AC217" i="23" s="1"/>
  <c r="AC513" i="23"/>
  <c r="AC517" i="23"/>
  <c r="AC228" i="23" s="1"/>
  <c r="AD6" i="23"/>
  <c r="DR5" i="23"/>
  <c r="AD7" i="23"/>
  <c r="AD473" i="23"/>
  <c r="AO244" i="30"/>
  <c r="DM10" i="23"/>
  <c r="AF64" i="32"/>
  <c r="AF69" i="32"/>
  <c r="DR10" i="23"/>
  <c r="AD13" i="23"/>
  <c r="AC7" i="23"/>
  <c r="DI191" i="59"/>
  <c r="U192" i="59"/>
  <c r="U250" i="59"/>
  <c r="T251" i="59"/>
  <c r="DD250" i="59"/>
  <c r="T260" i="59"/>
  <c r="T258" i="59"/>
  <c r="T259" i="59"/>
  <c r="AF70" i="32" l="1"/>
  <c r="O44" i="73" s="1"/>
  <c r="T262" i="59"/>
  <c r="AC268" i="23"/>
  <c r="AC273" i="23"/>
  <c r="T7" i="56"/>
  <c r="AC14" i="23"/>
  <c r="DM13" i="23"/>
  <c r="AC17" i="23"/>
  <c r="J29" i="62"/>
  <c r="I32" i="62"/>
  <c r="AF7" i="32"/>
  <c r="AF65" i="32"/>
  <c r="AF82" i="32"/>
  <c r="AF83" i="32"/>
  <c r="AF84" i="32"/>
  <c r="AF85" i="32"/>
  <c r="AF86" i="32"/>
  <c r="AF87" i="32"/>
  <c r="AD479" i="23"/>
  <c r="AD483" i="23"/>
  <c r="AD190" i="23" s="1"/>
  <c r="AD485" i="23"/>
  <c r="AD191" i="23" s="1"/>
  <c r="AD491" i="23"/>
  <c r="AD492" i="23"/>
  <c r="AD205" i="23" s="1"/>
  <c r="AD500" i="23"/>
  <c r="AD211" i="23" s="1"/>
  <c r="AD504" i="23"/>
  <c r="AD213" i="23" s="1"/>
  <c r="AD508" i="23"/>
  <c r="AD215" i="23" s="1"/>
  <c r="AD271" i="23" s="1"/>
  <c r="AD510" i="23"/>
  <c r="AD217" i="23" s="1"/>
  <c r="AD513" i="23"/>
  <c r="AD517" i="23"/>
  <c r="AD228" i="23" s="1"/>
  <c r="AD489" i="23"/>
  <c r="AD478" i="23"/>
  <c r="AC187" i="23"/>
  <c r="AC264" i="23" s="1"/>
  <c r="AE9" i="32"/>
  <c r="AP238" i="30"/>
  <c r="DM7" i="23"/>
  <c r="AC474" i="23"/>
  <c r="AC498" i="23" s="1"/>
  <c r="F46" i="60"/>
  <c r="E46" i="60" s="1"/>
  <c r="DR13" i="23"/>
  <c r="AD17" i="23"/>
  <c r="U7" i="56"/>
  <c r="AD14" i="23"/>
  <c r="K29" i="62"/>
  <c r="J32" i="62"/>
  <c r="AG64" i="32"/>
  <c r="AG69" i="32"/>
  <c r="DH238" i="59"/>
  <c r="DH254" i="59"/>
  <c r="DH248" i="59"/>
  <c r="U248" i="59" s="1"/>
  <c r="DI250" i="59"/>
  <c r="U260" i="59"/>
  <c r="J55" i="95"/>
  <c r="U258" i="59"/>
  <c r="DR7" i="23"/>
  <c r="AD474" i="23"/>
  <c r="AD498" i="23" s="1"/>
  <c r="AE575" i="23"/>
  <c r="AE584" i="23" s="1"/>
  <c r="AI59" i="32"/>
  <c r="AH62" i="32"/>
  <c r="U237" i="59"/>
  <c r="DI231" i="59"/>
  <c r="AG70" i="32" l="1"/>
  <c r="P44" i="73" s="1"/>
  <c r="AD268" i="23"/>
  <c r="U238" i="59"/>
  <c r="U259" i="59"/>
  <c r="DI237" i="59"/>
  <c r="U254" i="59"/>
  <c r="AH64" i="32"/>
  <c r="AH69" i="32"/>
  <c r="AD210" i="23"/>
  <c r="AD520" i="23"/>
  <c r="AD521" i="23" s="1"/>
  <c r="U251" i="59"/>
  <c r="DH251" i="59"/>
  <c r="AG7" i="32"/>
  <c r="AG65" i="32"/>
  <c r="AG82" i="32"/>
  <c r="AG83" i="32"/>
  <c r="AG84" i="32"/>
  <c r="AG85" i="32"/>
  <c r="AG86" i="32"/>
  <c r="AG87" i="32"/>
  <c r="T29" i="62"/>
  <c r="J52" i="62"/>
  <c r="T52" i="62" s="1"/>
  <c r="T32" i="62"/>
  <c r="AD18" i="23"/>
  <c r="DR17" i="23"/>
  <c r="AE10" i="32"/>
  <c r="AE13" i="32"/>
  <c r="AE88" i="32"/>
  <c r="AE26" i="32"/>
  <c r="AP93" i="30"/>
  <c r="DM17" i="23"/>
  <c r="AC18" i="23"/>
  <c r="AI62" i="32"/>
  <c r="AJ59" i="32"/>
  <c r="K52" i="62"/>
  <c r="U52" i="62" s="1"/>
  <c r="U29" i="62"/>
  <c r="AC520" i="23"/>
  <c r="AC521" i="23" s="1"/>
  <c r="AC210" i="23"/>
  <c r="AD273" i="23"/>
  <c r="AD187" i="23"/>
  <c r="AD264" i="23" s="1"/>
  <c r="AF9" i="32"/>
  <c r="AQ238" i="30"/>
  <c r="DI248" i="59"/>
  <c r="U261" i="59"/>
  <c r="S32" i="62"/>
  <c r="S33" i="62" s="1"/>
  <c r="I33" i="62"/>
  <c r="AH70" i="32" l="1"/>
  <c r="Q44" i="73" s="1"/>
  <c r="U262" i="59"/>
  <c r="V121" i="59"/>
  <c r="AP94" i="30"/>
  <c r="AH7" i="32"/>
  <c r="AH65" i="32"/>
  <c r="AH82" i="32"/>
  <c r="AH83" i="32"/>
  <c r="AH84" i="32"/>
  <c r="AH85" i="32"/>
  <c r="AH86" i="32"/>
  <c r="AH87" i="32"/>
  <c r="AK59" i="32"/>
  <c r="AJ62" i="32"/>
  <c r="AI64" i="32"/>
  <c r="AI69" i="32"/>
  <c r="AG9" i="32"/>
  <c r="AR238" i="30"/>
  <c r="AD219" i="23"/>
  <c r="AD269" i="23"/>
  <c r="AD275" i="23" s="1"/>
  <c r="AF10" i="32"/>
  <c r="AF13" i="32"/>
  <c r="AF88" i="32"/>
  <c r="AF26" i="32"/>
  <c r="AQ93" i="30"/>
  <c r="AC269" i="23"/>
  <c r="AC275" i="23" s="1"/>
  <c r="T11" i="56" s="1"/>
  <c r="AC219" i="23"/>
  <c r="AE14" i="32"/>
  <c r="AE16" i="32"/>
  <c r="AI70" i="32" l="1"/>
  <c r="R44" i="73" s="1"/>
  <c r="R93" i="38"/>
  <c r="AC40" i="20"/>
  <c r="U11" i="56"/>
  <c r="AE17" i="32"/>
  <c r="AE18" i="32"/>
  <c r="P103" i="60"/>
  <c r="AP123" i="30"/>
  <c r="W121" i="59"/>
  <c r="AQ94" i="30"/>
  <c r="AJ64" i="32"/>
  <c r="AJ69" i="32"/>
  <c r="V124" i="59"/>
  <c r="V296" i="59"/>
  <c r="V297" i="59" s="1"/>
  <c r="AG10" i="32"/>
  <c r="AG13" i="32"/>
  <c r="AG88" i="32"/>
  <c r="AG26" i="32"/>
  <c r="AR93" i="30"/>
  <c r="AL59" i="32"/>
  <c r="AK62" i="32"/>
  <c r="AH9" i="32"/>
  <c r="AS238" i="30"/>
  <c r="AF14" i="32"/>
  <c r="AF16" i="32"/>
  <c r="AI7" i="32"/>
  <c r="AI65" i="32"/>
  <c r="AI82" i="32"/>
  <c r="AI83" i="32"/>
  <c r="AI84" i="32"/>
  <c r="AI85" i="32"/>
  <c r="AI86" i="32"/>
  <c r="AI87" i="32"/>
  <c r="AJ70" i="32" l="1"/>
  <c r="S44" i="73" s="1"/>
  <c r="S93" i="38"/>
  <c r="AD40" i="20"/>
  <c r="AK64" i="32"/>
  <c r="AK69" i="32"/>
  <c r="X121" i="59"/>
  <c r="AR94" i="30"/>
  <c r="H8" i="60"/>
  <c r="L76" i="63"/>
  <c r="AM59" i="32"/>
  <c r="AL62" i="32"/>
  <c r="AJ7" i="32"/>
  <c r="AJ65" i="32"/>
  <c r="AJ82" i="32"/>
  <c r="AJ83" i="32"/>
  <c r="AJ84" i="32"/>
  <c r="AJ85" i="32"/>
  <c r="AJ86" i="32"/>
  <c r="AJ87" i="32"/>
  <c r="W124" i="59"/>
  <c r="W296" i="59"/>
  <c r="W297" i="59" s="1"/>
  <c r="AI9" i="32"/>
  <c r="AT238" i="30"/>
  <c r="AF17" i="32"/>
  <c r="AF18" i="32"/>
  <c r="Q103" i="60"/>
  <c r="M76" i="63" s="1"/>
  <c r="AQ123" i="30"/>
  <c r="AH10" i="32"/>
  <c r="AH26" i="32"/>
  <c r="AH13" i="32"/>
  <c r="AH88" i="32"/>
  <c r="AS93" i="30"/>
  <c r="AG14" i="32"/>
  <c r="AG16" i="32"/>
  <c r="AP124" i="30"/>
  <c r="AP131" i="30"/>
  <c r="AK70" i="32" l="1"/>
  <c r="T44" i="73" s="1"/>
  <c r="Y121" i="59"/>
  <c r="AS94" i="30"/>
  <c r="AQ124" i="30"/>
  <c r="AQ131" i="30"/>
  <c r="AJ9" i="32"/>
  <c r="AU238" i="30"/>
  <c r="AL64" i="32"/>
  <c r="AL69" i="32"/>
  <c r="AL70" i="32" s="1"/>
  <c r="U44" i="73" s="1"/>
  <c r="AM62" i="32"/>
  <c r="AN59" i="32"/>
  <c r="AN62" i="32" s="1"/>
  <c r="X124" i="59"/>
  <c r="X296" i="59"/>
  <c r="X297" i="59" s="1"/>
  <c r="AG17" i="32"/>
  <c r="AG18" i="32"/>
  <c r="R103" i="60"/>
  <c r="N76" i="63" s="1"/>
  <c r="AR123" i="30"/>
  <c r="AH14" i="32"/>
  <c r="AH16" i="32"/>
  <c r="AI10" i="32"/>
  <c r="AI13" i="32"/>
  <c r="AI88" i="32"/>
  <c r="AI26" i="32"/>
  <c r="AT93" i="30"/>
  <c r="AK7" i="32"/>
  <c r="AK65" i="32"/>
  <c r="AK82" i="32"/>
  <c r="AK83" i="32"/>
  <c r="AK84" i="32"/>
  <c r="AK85" i="32"/>
  <c r="AK86" i="32"/>
  <c r="AK87" i="32"/>
  <c r="AR124" i="30" l="1"/>
  <c r="AR131" i="30"/>
  <c r="AM64" i="32"/>
  <c r="AM69" i="32"/>
  <c r="AM70" i="32" s="1"/>
  <c r="V44" i="73" s="1"/>
  <c r="AJ10" i="32"/>
  <c r="AJ13" i="32"/>
  <c r="AJ88" i="32"/>
  <c r="AJ26" i="32"/>
  <c r="AU93" i="30"/>
  <c r="Y124" i="59"/>
  <c r="Y296" i="59"/>
  <c r="Y297" i="59" s="1"/>
  <c r="AI14" i="32"/>
  <c r="AI16" i="32"/>
  <c r="AK9" i="32"/>
  <c r="AV238" i="30"/>
  <c r="Z121" i="59"/>
  <c r="AT94" i="30"/>
  <c r="AL7" i="32"/>
  <c r="AL65" i="32"/>
  <c r="AL82" i="32"/>
  <c r="AL83" i="32"/>
  <c r="AL84" i="32"/>
  <c r="AL85" i="32"/>
  <c r="AL86" i="32"/>
  <c r="AL87" i="32"/>
  <c r="AH17" i="32"/>
  <c r="AH18" i="32"/>
  <c r="S103" i="60"/>
  <c r="AS123" i="30"/>
  <c r="AN64" i="32"/>
  <c r="AN69" i="32"/>
  <c r="AN70" i="32" l="1"/>
  <c r="W44" i="73" s="1"/>
  <c r="AN7" i="32"/>
  <c r="AN65" i="32"/>
  <c r="AN82" i="32"/>
  <c r="AN83" i="32"/>
  <c r="AN84" i="32"/>
  <c r="AN85" i="32"/>
  <c r="AN86" i="32"/>
  <c r="AN87" i="32"/>
  <c r="AL9" i="32"/>
  <c r="AW238" i="30"/>
  <c r="AA121" i="59"/>
  <c r="AU94" i="30"/>
  <c r="AM7" i="32"/>
  <c r="AM65" i="32"/>
  <c r="AM82" i="32"/>
  <c r="AM83" i="32"/>
  <c r="AM84" i="32"/>
  <c r="AM85" i="32"/>
  <c r="AM86" i="32"/>
  <c r="AM87" i="32"/>
  <c r="AK10" i="32"/>
  <c r="AK88" i="32"/>
  <c r="AK13" i="32"/>
  <c r="AK26" i="32"/>
  <c r="AV93" i="30"/>
  <c r="AI17" i="32"/>
  <c r="AI18" i="32"/>
  <c r="T103" i="60"/>
  <c r="AT123" i="30"/>
  <c r="AS124" i="30"/>
  <c r="AS131" i="30"/>
  <c r="Z124" i="59"/>
  <c r="Z296" i="59"/>
  <c r="Z297" i="59" s="1"/>
  <c r="AJ14" i="32"/>
  <c r="AJ16" i="32"/>
  <c r="AT124" i="30" l="1"/>
  <c r="AT131" i="30"/>
  <c r="AK14" i="32"/>
  <c r="AK16" i="32"/>
  <c r="AM9" i="32"/>
  <c r="AX238" i="30"/>
  <c r="AA124" i="59"/>
  <c r="AA296" i="59"/>
  <c r="AA297" i="59" s="1"/>
  <c r="AN9" i="32"/>
  <c r="AY238" i="30"/>
  <c r="AB121" i="59"/>
  <c r="AV94" i="30"/>
  <c r="AL13" i="32"/>
  <c r="AL26" i="32"/>
  <c r="AL10" i="32"/>
  <c r="AL88" i="32"/>
  <c r="AW93" i="30"/>
  <c r="AJ17" i="32"/>
  <c r="AJ18" i="32"/>
  <c r="U103" i="60"/>
  <c r="AU123" i="30"/>
  <c r="AN10" i="32" l="1"/>
  <c r="AN13" i="32"/>
  <c r="AN88" i="32"/>
  <c r="AN26" i="32"/>
  <c r="Q45" i="32" s="1"/>
  <c r="AY93" i="30"/>
  <c r="AC121" i="59"/>
  <c r="AW94" i="30"/>
  <c r="AL14" i="32"/>
  <c r="AL16" i="32"/>
  <c r="AU124" i="30"/>
  <c r="AU131" i="30"/>
  <c r="AB124" i="59"/>
  <c r="AB296" i="59"/>
  <c r="AB297" i="59" s="1"/>
  <c r="AM10" i="32"/>
  <c r="AM13" i="32"/>
  <c r="AM88" i="32"/>
  <c r="AM26" i="32"/>
  <c r="AX93" i="30"/>
  <c r="AK17" i="32"/>
  <c r="AK18" i="32"/>
  <c r="V103" i="60"/>
  <c r="AV123" i="30"/>
  <c r="AD121" i="59" l="1"/>
  <c r="AX94" i="30"/>
  <c r="AE121" i="59"/>
  <c r="AY94" i="30"/>
  <c r="R45" i="32"/>
  <c r="S45" i="32" s="1"/>
  <c r="T45" i="32" s="1"/>
  <c r="U45" i="32" s="1"/>
  <c r="V45" i="32" s="1"/>
  <c r="W45" i="32" s="1"/>
  <c r="X45" i="32" s="1"/>
  <c r="Y45" i="32" s="1"/>
  <c r="Z45" i="32" s="1"/>
  <c r="AA45" i="32" s="1"/>
  <c r="AB45" i="32" s="1"/>
  <c r="AC45" i="32" s="1"/>
  <c r="AD45" i="32" s="1"/>
  <c r="AE45" i="32" s="1"/>
  <c r="AF45" i="32" s="1"/>
  <c r="AG45" i="32" s="1"/>
  <c r="AH45" i="32" s="1"/>
  <c r="AI45" i="32" s="1"/>
  <c r="AJ45" i="32" s="1"/>
  <c r="AK45" i="32" s="1"/>
  <c r="AL45" i="32" s="1"/>
  <c r="AM45" i="32" s="1"/>
  <c r="AN45" i="32" s="1"/>
  <c r="B107" i="60"/>
  <c r="C107" i="60" s="1"/>
  <c r="D107" i="60" s="1"/>
  <c r="E107" i="60" s="1"/>
  <c r="F107" i="60" s="1"/>
  <c r="G107" i="60" s="1"/>
  <c r="H107" i="60" s="1"/>
  <c r="I107" i="60" s="1"/>
  <c r="J107" i="60" s="1"/>
  <c r="K107" i="60" s="1"/>
  <c r="L107" i="60" s="1"/>
  <c r="M107" i="60" s="1"/>
  <c r="N107" i="60" s="1"/>
  <c r="O107" i="60" s="1"/>
  <c r="P107" i="60" s="1"/>
  <c r="Q107" i="60" s="1"/>
  <c r="R107" i="60" s="1"/>
  <c r="S107" i="60" s="1"/>
  <c r="T107" i="60" s="1"/>
  <c r="U107" i="60" s="1"/>
  <c r="V107" i="60" s="1"/>
  <c r="W107" i="60" s="1"/>
  <c r="X107" i="60" s="1"/>
  <c r="Y107" i="60" s="1"/>
  <c r="AV124" i="30"/>
  <c r="AV131" i="30"/>
  <c r="AL17" i="32"/>
  <c r="AL18" i="32"/>
  <c r="W103" i="60"/>
  <c r="AW123" i="30"/>
  <c r="AM14" i="32"/>
  <c r="AM16" i="32"/>
  <c r="AC124" i="59"/>
  <c r="AC296" i="59"/>
  <c r="AC297" i="59" s="1"/>
  <c r="AN14" i="32"/>
  <c r="AN16" i="32"/>
  <c r="AN17" i="32" l="1"/>
  <c r="AN18" i="32"/>
  <c r="Q43" i="32"/>
  <c r="Y103" i="60"/>
  <c r="AY123" i="30"/>
  <c r="AM17" i="32"/>
  <c r="AM18" i="32"/>
  <c r="X103" i="60"/>
  <c r="AX123" i="30"/>
  <c r="AE124" i="59"/>
  <c r="AE296" i="59"/>
  <c r="AD124" i="59"/>
  <c r="AD296" i="59"/>
  <c r="AD297" i="59" s="1"/>
  <c r="AW124" i="30"/>
  <c r="AW131" i="30"/>
  <c r="AX124" i="30" l="1"/>
  <c r="AX131" i="30"/>
  <c r="R43" i="32"/>
  <c r="B105" i="60"/>
  <c r="AE297" i="59"/>
  <c r="AY124" i="30"/>
  <c r="AY131" i="30"/>
  <c r="C105" i="60" l="1"/>
  <c r="S43" i="32"/>
  <c r="T43" i="32" l="1"/>
  <c r="D105" i="60"/>
  <c r="E105" i="60" l="1"/>
  <c r="U43" i="32"/>
  <c r="F105" i="60" l="1"/>
  <c r="V43" i="32"/>
  <c r="W43" i="32" l="1"/>
  <c r="G105" i="60"/>
  <c r="X43" i="32" l="1"/>
  <c r="H105" i="60"/>
  <c r="I105" i="60" l="1"/>
  <c r="Y43" i="32"/>
  <c r="Z43" i="32" l="1"/>
  <c r="J105" i="60"/>
  <c r="K105" i="60" l="1"/>
  <c r="AA43" i="32"/>
  <c r="AB43" i="32" l="1"/>
  <c r="L105" i="60"/>
  <c r="AC43" i="32" l="1"/>
  <c r="M105" i="60"/>
  <c r="N105" i="60" l="1"/>
  <c r="AD43" i="32"/>
  <c r="AE43" i="32" l="1"/>
  <c r="O105" i="60"/>
  <c r="P105" i="60" l="1"/>
  <c r="AF43" i="32"/>
  <c r="Q105" i="60" l="1"/>
  <c r="AG43" i="32"/>
  <c r="AH43" i="32" l="1"/>
  <c r="R105" i="60"/>
  <c r="AI43" i="32" l="1"/>
  <c r="S105" i="60"/>
  <c r="AJ43" i="32" l="1"/>
  <c r="T105" i="60"/>
  <c r="AK43" i="32" l="1"/>
  <c r="U105" i="60"/>
  <c r="V105" i="60" l="1"/>
  <c r="AL43" i="32"/>
  <c r="W105" i="60" l="1"/>
  <c r="AM43" i="32"/>
  <c r="AN43" i="32" l="1"/>
  <c r="X105" i="60"/>
  <c r="Y105" i="60" l="1"/>
  <c r="AB43" i="33" l="1"/>
  <c r="AC43" i="33" s="1"/>
  <c r="AC45" i="33" s="1"/>
  <c r="AC48" i="33" l="1"/>
  <c r="AC51" i="33" s="1"/>
  <c r="AD43" i="33"/>
  <c r="AD45" i="33" s="1"/>
  <c r="AC44" i="33"/>
  <c r="AC61" i="33"/>
  <c r="AP95" i="30"/>
  <c r="AP235" i="30"/>
  <c r="AP242" i="30" s="1"/>
  <c r="AP243" i="30" s="1"/>
  <c r="AC46" i="33"/>
  <c r="AD48" i="33" l="1"/>
  <c r="AD51" i="33" s="1"/>
  <c r="AD52" i="33" s="1"/>
  <c r="AD46" i="33"/>
  <c r="AQ235" i="30"/>
  <c r="AQ242" i="30" s="1"/>
  <c r="AQ243" i="30" s="1"/>
  <c r="AQ95" i="30"/>
  <c r="AQ97" i="30" s="1"/>
  <c r="AD44" i="33"/>
  <c r="AD61" i="33"/>
  <c r="AE43" i="33"/>
  <c r="V122" i="59"/>
  <c r="AP97" i="30"/>
  <c r="AP109" i="30"/>
  <c r="AP96" i="30"/>
  <c r="AC49" i="33"/>
  <c r="P132" i="60"/>
  <c r="AC52" i="33"/>
  <c r="AP125" i="30"/>
  <c r="AQ96" i="30" l="1"/>
  <c r="W122" i="59"/>
  <c r="W125" i="59" s="1"/>
  <c r="AF43" i="33"/>
  <c r="AE45" i="33"/>
  <c r="AQ109" i="30"/>
  <c r="AM35" i="25" s="1"/>
  <c r="AL35" i="25"/>
  <c r="AP110" i="30"/>
  <c r="AP160" i="30"/>
  <c r="AP217" i="30" s="1"/>
  <c r="AP221" i="30" s="1"/>
  <c r="AE279" i="23" s="1"/>
  <c r="V123" i="59"/>
  <c r="AP98" i="30"/>
  <c r="AD49" i="33"/>
  <c r="V125" i="59"/>
  <c r="Q132" i="60"/>
  <c r="M77" i="63" s="1"/>
  <c r="AQ125" i="30"/>
  <c r="AQ126" i="30" s="1"/>
  <c r="AP126" i="30"/>
  <c r="AP132" i="30"/>
  <c r="AP147" i="30"/>
  <c r="AP127" i="30"/>
  <c r="W123" i="59"/>
  <c r="AQ98" i="30"/>
  <c r="H9" i="60"/>
  <c r="L77" i="63"/>
  <c r="AQ110" i="30" l="1"/>
  <c r="AQ160" i="30"/>
  <c r="AQ217" i="30" s="1"/>
  <c r="AQ221" i="30" s="1"/>
  <c r="AF279" i="23" s="1"/>
  <c r="AF286" i="23" s="1"/>
  <c r="AE48" i="33"/>
  <c r="AR235" i="30"/>
  <c r="AR242" i="30" s="1"/>
  <c r="AR243" i="30" s="1"/>
  <c r="AE46" i="33"/>
  <c r="AE61" i="33"/>
  <c r="AR95" i="30"/>
  <c r="AE44" i="33"/>
  <c r="AF45" i="33"/>
  <c r="AG43" i="33"/>
  <c r="V126" i="59"/>
  <c r="N45" i="73" s="1"/>
  <c r="V131" i="59"/>
  <c r="V218" i="59"/>
  <c r="AQ147" i="30"/>
  <c r="AM37" i="25" s="1"/>
  <c r="V9" i="56"/>
  <c r="AE574" i="23"/>
  <c r="AE577" i="23" s="1"/>
  <c r="AE286" i="23"/>
  <c r="AE557" i="23"/>
  <c r="AL36" i="25"/>
  <c r="N7" i="73" s="1"/>
  <c r="AL77" i="25"/>
  <c r="V187" i="59" s="1"/>
  <c r="V189" i="59" s="1"/>
  <c r="AQ127" i="30"/>
  <c r="W149" i="59" s="1"/>
  <c r="AQ132" i="30"/>
  <c r="W218" i="59"/>
  <c r="W126" i="59"/>
  <c r="O45" i="73" s="1"/>
  <c r="W131" i="59"/>
  <c r="V149" i="59"/>
  <c r="AP130" i="30"/>
  <c r="AP128" i="30"/>
  <c r="AF557" i="23"/>
  <c r="AM77" i="25"/>
  <c r="W187" i="59" s="1"/>
  <c r="AM36" i="25"/>
  <c r="O7" i="73" s="1"/>
  <c r="AL37" i="25"/>
  <c r="AP149" i="30"/>
  <c r="AP148" i="30"/>
  <c r="AE51" i="33" l="1"/>
  <c r="AE52" i="33" s="1"/>
  <c r="W9" i="56"/>
  <c r="AF574" i="23"/>
  <c r="AE49" i="33"/>
  <c r="AQ148" i="30"/>
  <c r="AQ149" i="30"/>
  <c r="AH43" i="33"/>
  <c r="AG45" i="33"/>
  <c r="AS95" i="30"/>
  <c r="AF61" i="33"/>
  <c r="AF46" i="33"/>
  <c r="AS235" i="30"/>
  <c r="AS242" i="30" s="1"/>
  <c r="AS243" i="30" s="1"/>
  <c r="AF44" i="33"/>
  <c r="AR109" i="30"/>
  <c r="AR96" i="30"/>
  <c r="X122" i="59"/>
  <c r="AR97" i="30"/>
  <c r="AF48" i="33"/>
  <c r="AF49" i="33" s="1"/>
  <c r="W189" i="59"/>
  <c r="AQ128" i="30"/>
  <c r="AE542" i="23"/>
  <c r="AE545" i="23"/>
  <c r="AE515" i="23"/>
  <c r="AE226" i="23" s="1"/>
  <c r="AE560" i="23"/>
  <c r="AE548" i="23" s="1"/>
  <c r="AE506" i="23"/>
  <c r="AE214" i="23" s="1"/>
  <c r="AE569" i="23"/>
  <c r="AE578" i="23"/>
  <c r="V292" i="59"/>
  <c r="V227" i="59"/>
  <c r="V231" i="59"/>
  <c r="V237" i="59" s="1"/>
  <c r="V190" i="59"/>
  <c r="L51" i="62"/>
  <c r="V51" i="62" s="1"/>
  <c r="V145" i="59"/>
  <c r="V132" i="59"/>
  <c r="AQ130" i="30"/>
  <c r="AF506" i="23"/>
  <c r="AF214" i="23" s="1"/>
  <c r="AF515" i="23"/>
  <c r="AF226" i="23" s="1"/>
  <c r="AF542" i="23"/>
  <c r="AF545" i="23"/>
  <c r="AF560" i="23"/>
  <c r="AF548" i="23" s="1"/>
  <c r="AL82" i="25"/>
  <c r="V194" i="59" s="1"/>
  <c r="V197" i="59" s="1"/>
  <c r="B49" i="60"/>
  <c r="AL38" i="25"/>
  <c r="W145" i="59"/>
  <c r="W132" i="59"/>
  <c r="V151" i="59"/>
  <c r="V326" i="59"/>
  <c r="V150" i="59"/>
  <c r="V312" i="59"/>
  <c r="V157" i="59"/>
  <c r="V177" i="59"/>
  <c r="W292" i="59"/>
  <c r="W227" i="59"/>
  <c r="AM82" i="25"/>
  <c r="AM38" i="25"/>
  <c r="W151" i="59"/>
  <c r="W312" i="59"/>
  <c r="W157" i="59"/>
  <c r="W150" i="59"/>
  <c r="W177" i="59"/>
  <c r="W326" i="59"/>
  <c r="AR125" i="30" l="1"/>
  <c r="AR147" i="30" s="1"/>
  <c r="R132" i="60"/>
  <c r="N77" i="63" s="1"/>
  <c r="AF51" i="33"/>
  <c r="S132" i="60" s="1"/>
  <c r="AG48" i="33"/>
  <c r="AG49" i="33" s="1"/>
  <c r="W190" i="59"/>
  <c r="AN35" i="25"/>
  <c r="AR110" i="30"/>
  <c r="AR160" i="30"/>
  <c r="AR217" i="30" s="1"/>
  <c r="AR221" i="30" s="1"/>
  <c r="AG279" i="23" s="1"/>
  <c r="X123" i="59"/>
  <c r="AR98" i="30"/>
  <c r="AS96" i="30"/>
  <c r="AS97" i="30"/>
  <c r="AS109" i="30"/>
  <c r="Y122" i="59"/>
  <c r="X125" i="59"/>
  <c r="AG44" i="33"/>
  <c r="AG46" i="33"/>
  <c r="AG61" i="33"/>
  <c r="AT95" i="30"/>
  <c r="AT235" i="30"/>
  <c r="AT242" i="30" s="1"/>
  <c r="AT243" i="30" s="1"/>
  <c r="AH45" i="33"/>
  <c r="AI43" i="33"/>
  <c r="V238" i="59"/>
  <c r="V254" i="59"/>
  <c r="AL78" i="25"/>
  <c r="AL79" i="25" s="1"/>
  <c r="V293" i="59"/>
  <c r="V294" i="59"/>
  <c r="V295" i="59" s="1"/>
  <c r="V210" i="59"/>
  <c r="V146" i="59"/>
  <c r="AF573" i="23"/>
  <c r="AE195" i="23"/>
  <c r="AE266" i="23"/>
  <c r="AE551" i="23"/>
  <c r="AE552" i="23" s="1"/>
  <c r="AF52" i="33"/>
  <c r="V228" i="59"/>
  <c r="V253" i="59"/>
  <c r="AF551" i="23"/>
  <c r="AF552" i="23" s="1"/>
  <c r="AF266" i="23"/>
  <c r="W228" i="59"/>
  <c r="W253" i="59"/>
  <c r="V179" i="59"/>
  <c r="V181" i="59" s="1"/>
  <c r="W293" i="59"/>
  <c r="W294" i="59"/>
  <c r="V158" i="59"/>
  <c r="V165" i="59"/>
  <c r="V328" i="59"/>
  <c r="V159" i="59"/>
  <c r="V314" i="59"/>
  <c r="W146" i="59"/>
  <c r="W210" i="59"/>
  <c r="AL85" i="25"/>
  <c r="W179" i="59"/>
  <c r="W181" i="59" s="1"/>
  <c r="W194" i="59"/>
  <c r="W158" i="59"/>
  <c r="W165" i="59"/>
  <c r="W159" i="59"/>
  <c r="W314" i="59"/>
  <c r="W328" i="59"/>
  <c r="AR132" i="30" l="1"/>
  <c r="AR127" i="30"/>
  <c r="X149" i="59" s="1"/>
  <c r="AR126" i="30"/>
  <c r="W295" i="59"/>
  <c r="AG51" i="33"/>
  <c r="AT125" i="30" s="1"/>
  <c r="AS125" i="30"/>
  <c r="AS126" i="30" s="1"/>
  <c r="AH48" i="33"/>
  <c r="AH49" i="33" s="1"/>
  <c r="AM78" i="25"/>
  <c r="AM79" i="25" s="1"/>
  <c r="Z122" i="59"/>
  <c r="AT96" i="30"/>
  <c r="AT97" i="30"/>
  <c r="AT109" i="30"/>
  <c r="AS110" i="30"/>
  <c r="AS160" i="30"/>
  <c r="AS217" i="30" s="1"/>
  <c r="AS221" i="30" s="1"/>
  <c r="AH279" i="23" s="1"/>
  <c r="AO35" i="25"/>
  <c r="AJ43" i="33"/>
  <c r="AI45" i="33"/>
  <c r="Y123" i="59"/>
  <c r="AS98" i="30"/>
  <c r="X9" i="56"/>
  <c r="AG286" i="23"/>
  <c r="AG574" i="23"/>
  <c r="AH44" i="33"/>
  <c r="AU235" i="30"/>
  <c r="AU242" i="30" s="1"/>
  <c r="AU243" i="30" s="1"/>
  <c r="AH46" i="33"/>
  <c r="AU95" i="30"/>
  <c r="AH61" i="33"/>
  <c r="X218" i="59"/>
  <c r="X126" i="59"/>
  <c r="P45" i="73" s="1"/>
  <c r="X131" i="59"/>
  <c r="Y125" i="59"/>
  <c r="AG557" i="23"/>
  <c r="AN77" i="25"/>
  <c r="X187" i="59" s="1"/>
  <c r="X189" i="59" s="1"/>
  <c r="X190" i="59" s="1"/>
  <c r="AN36" i="25"/>
  <c r="P7" i="73" s="1"/>
  <c r="AE554" i="23"/>
  <c r="AE188" i="23"/>
  <c r="AE477" i="23"/>
  <c r="AN37" i="25"/>
  <c r="AR149" i="30"/>
  <c r="AR148" i="30"/>
  <c r="V191" i="59"/>
  <c r="AE5" i="23"/>
  <c r="AL80" i="25"/>
  <c r="AF575" i="23"/>
  <c r="AF584" i="23" s="1"/>
  <c r="V316" i="59"/>
  <c r="V166" i="59"/>
  <c r="V167" i="59"/>
  <c r="V330" i="59"/>
  <c r="V211" i="59"/>
  <c r="AL86" i="25"/>
  <c r="S7" i="53"/>
  <c r="S8" i="53" s="1"/>
  <c r="AF554" i="23"/>
  <c r="AF188" i="23"/>
  <c r="AF477" i="23"/>
  <c r="V183" i="59"/>
  <c r="V182" i="59"/>
  <c r="W197" i="59"/>
  <c r="W167" i="59"/>
  <c r="W211" i="59"/>
  <c r="W316" i="59"/>
  <c r="W166" i="59"/>
  <c r="W330" i="59"/>
  <c r="W182" i="59"/>
  <c r="W183" i="59"/>
  <c r="AR128" i="30" l="1"/>
  <c r="AR130" i="30"/>
  <c r="AS127" i="30"/>
  <c r="AS128" i="30" s="1"/>
  <c r="AH51" i="33"/>
  <c r="AU125" i="30" s="1"/>
  <c r="AG52" i="33"/>
  <c r="T132" i="60"/>
  <c r="AS132" i="30"/>
  <c r="AS147" i="30"/>
  <c r="AS149" i="30" s="1"/>
  <c r="AI48" i="33"/>
  <c r="AI49" i="33" s="1"/>
  <c r="W191" i="59"/>
  <c r="W250" i="59" s="1"/>
  <c r="L55" i="95" s="1"/>
  <c r="AF5" i="23"/>
  <c r="AM80" i="25"/>
  <c r="X292" i="59"/>
  <c r="X227" i="59"/>
  <c r="AO77" i="25"/>
  <c r="Y187" i="59" s="1"/>
  <c r="Y189" i="59" s="1"/>
  <c r="Y190" i="59" s="1"/>
  <c r="AO36" i="25"/>
  <c r="Q7" i="73" s="1"/>
  <c r="AH557" i="23"/>
  <c r="Z123" i="59"/>
  <c r="AT98" i="30"/>
  <c r="AT110" i="30"/>
  <c r="AP35" i="25"/>
  <c r="AT160" i="30"/>
  <c r="AT217" i="30" s="1"/>
  <c r="AT221" i="30" s="1"/>
  <c r="AI279" i="23" s="1"/>
  <c r="AU109" i="30"/>
  <c r="AU96" i="30"/>
  <c r="AU97" i="30"/>
  <c r="AA122" i="59"/>
  <c r="Y218" i="59"/>
  <c r="Y131" i="59"/>
  <c r="Y126" i="59"/>
  <c r="Q45" i="73" s="1"/>
  <c r="Y9" i="56"/>
  <c r="AH286" i="23"/>
  <c r="AH574" i="23"/>
  <c r="AG515" i="23"/>
  <c r="AG226" i="23" s="1"/>
  <c r="AG560" i="23"/>
  <c r="AG548" i="23" s="1"/>
  <c r="AG506" i="23"/>
  <c r="AG214" i="23" s="1"/>
  <c r="AG542" i="23"/>
  <c r="AG545" i="23"/>
  <c r="AJ45" i="33"/>
  <c r="AK43" i="33"/>
  <c r="X145" i="59"/>
  <c r="X132" i="59"/>
  <c r="AI44" i="33"/>
  <c r="AV95" i="30"/>
  <c r="AI46" i="33"/>
  <c r="AI61" i="33"/>
  <c r="AV235" i="30"/>
  <c r="AV242" i="30" s="1"/>
  <c r="AV243" i="30" s="1"/>
  <c r="Z125" i="59"/>
  <c r="AF577" i="23"/>
  <c r="AE6" i="23"/>
  <c r="AP244" i="30"/>
  <c r="AE473" i="23"/>
  <c r="AN82" i="25"/>
  <c r="X194" i="59" s="1"/>
  <c r="X197" i="59" s="1"/>
  <c r="AN38" i="25"/>
  <c r="AT126" i="30"/>
  <c r="AT147" i="30"/>
  <c r="AT132" i="30"/>
  <c r="AT127" i="30"/>
  <c r="V250" i="59"/>
  <c r="V192" i="59"/>
  <c r="X150" i="59"/>
  <c r="X151" i="59"/>
  <c r="X157" i="59"/>
  <c r="X326" i="59"/>
  <c r="X312" i="59"/>
  <c r="X177" i="59"/>
  <c r="AE199" i="23"/>
  <c r="AE555" i="23" s="1"/>
  <c r="AE488" i="23"/>
  <c r="S9" i="53"/>
  <c r="P341" i="60"/>
  <c r="AF199" i="23"/>
  <c r="AF555" i="23" s="1"/>
  <c r="AF488" i="23"/>
  <c r="AL87" i="25"/>
  <c r="V198" i="59"/>
  <c r="AE10" i="23"/>
  <c r="AM85" i="25"/>
  <c r="AN78" i="25"/>
  <c r="AN79" i="25" s="1"/>
  <c r="AJ48" i="33" l="1"/>
  <c r="AJ49" i="33" s="1"/>
  <c r="U132" i="60"/>
  <c r="Y149" i="59"/>
  <c r="Y157" i="59" s="1"/>
  <c r="AS130" i="30"/>
  <c r="AH52" i="33"/>
  <c r="AS148" i="30"/>
  <c r="AO37" i="25"/>
  <c r="AO82" i="25" s="1"/>
  <c r="Y194" i="59" s="1"/>
  <c r="Y197" i="59" s="1"/>
  <c r="AI51" i="33"/>
  <c r="V132" i="60" s="1"/>
  <c r="W260" i="59"/>
  <c r="W258" i="59"/>
  <c r="AF6" i="23"/>
  <c r="AQ244" i="30"/>
  <c r="AF473" i="23"/>
  <c r="W192" i="59"/>
  <c r="AG266" i="23"/>
  <c r="AG551" i="23"/>
  <c r="AG552" i="23" s="1"/>
  <c r="AG554" i="23" s="1"/>
  <c r="AG199" i="23" s="1"/>
  <c r="X293" i="59"/>
  <c r="X294" i="59"/>
  <c r="X295" i="59" s="1"/>
  <c r="X210" i="59"/>
  <c r="X146" i="59"/>
  <c r="Y132" i="59"/>
  <c r="Y145" i="59"/>
  <c r="AP36" i="25"/>
  <c r="R7" i="73" s="1"/>
  <c r="AP77" i="25"/>
  <c r="Z187" i="59" s="1"/>
  <c r="Z189" i="59" s="1"/>
  <c r="Z190" i="59" s="1"/>
  <c r="AI557" i="23"/>
  <c r="AV96" i="30"/>
  <c r="AV109" i="30"/>
  <c r="AB122" i="59"/>
  <c r="AV97" i="30"/>
  <c r="AK45" i="33"/>
  <c r="AL43" i="33"/>
  <c r="AL45" i="33" s="1"/>
  <c r="Y227" i="59"/>
  <c r="Y292" i="59"/>
  <c r="AU110" i="30"/>
  <c r="AU160" i="30"/>
  <c r="AU217" i="30" s="1"/>
  <c r="AU221" i="30" s="1"/>
  <c r="AJ279" i="23" s="1"/>
  <c r="AQ35" i="25"/>
  <c r="AH515" i="23"/>
  <c r="AH226" i="23" s="1"/>
  <c r="AH542" i="23"/>
  <c r="AH545" i="23"/>
  <c r="AH560" i="23"/>
  <c r="AH548" i="23" s="1"/>
  <c r="AH506" i="23"/>
  <c r="AH214" i="23" s="1"/>
  <c r="AJ46" i="33"/>
  <c r="AW235" i="30"/>
  <c r="AW242" i="30" s="1"/>
  <c r="AW243" i="30" s="1"/>
  <c r="AJ61" i="33"/>
  <c r="AW95" i="30"/>
  <c r="AJ44" i="33"/>
  <c r="AA125" i="59"/>
  <c r="Z9" i="56"/>
  <c r="AI574" i="23"/>
  <c r="AI286" i="23"/>
  <c r="Z126" i="59"/>
  <c r="R45" i="73" s="1"/>
  <c r="Z131" i="59"/>
  <c r="Z218" i="59"/>
  <c r="X253" i="59"/>
  <c r="X228" i="59"/>
  <c r="AA123" i="59"/>
  <c r="AU98" i="30"/>
  <c r="AE489" i="23"/>
  <c r="AE267" i="23"/>
  <c r="X179" i="59"/>
  <c r="X181" i="59" s="1"/>
  <c r="X328" i="59"/>
  <c r="X314" i="59"/>
  <c r="X158" i="59"/>
  <c r="X159" i="59"/>
  <c r="X165" i="59"/>
  <c r="K55" i="95"/>
  <c r="V258" i="59"/>
  <c r="V260" i="59"/>
  <c r="V259" i="59"/>
  <c r="V248" i="59"/>
  <c r="AT148" i="30"/>
  <c r="AT149" i="30"/>
  <c r="AP37" i="25"/>
  <c r="AE500" i="23"/>
  <c r="AE211" i="23" s="1"/>
  <c r="AE504" i="23"/>
  <c r="AE213" i="23" s="1"/>
  <c r="AE479" i="23"/>
  <c r="AE187" i="23" s="1"/>
  <c r="AE264" i="23" s="1"/>
  <c r="AE510" i="23"/>
  <c r="AE217" i="23" s="1"/>
  <c r="AE508" i="23"/>
  <c r="AE215" i="23" s="1"/>
  <c r="AE271" i="23" s="1"/>
  <c r="AE478" i="23"/>
  <c r="AE485" i="23"/>
  <c r="AE191" i="23" s="1"/>
  <c r="AE483" i="23"/>
  <c r="AE190" i="23" s="1"/>
  <c r="AE513" i="23"/>
  <c r="AE492" i="23"/>
  <c r="AE205" i="23" s="1"/>
  <c r="AE491" i="23"/>
  <c r="AE517" i="23"/>
  <c r="AE228" i="23" s="1"/>
  <c r="AJ51" i="33"/>
  <c r="AT128" i="30"/>
  <c r="AT130" i="30"/>
  <c r="Z149" i="59"/>
  <c r="AU132" i="30"/>
  <c r="AU127" i="30"/>
  <c r="AU147" i="30"/>
  <c r="AU126" i="30"/>
  <c r="AF569" i="23"/>
  <c r="AF578" i="23"/>
  <c r="AF267" i="23"/>
  <c r="V200" i="59"/>
  <c r="V199" i="59"/>
  <c r="L85" i="63"/>
  <c r="L86" i="63" s="1"/>
  <c r="H16" i="60"/>
  <c r="H17" i="60" s="1"/>
  <c r="AE7" i="23"/>
  <c r="AE474" i="23" s="1"/>
  <c r="AE498" i="23" s="1"/>
  <c r="AE13" i="23"/>
  <c r="X191" i="59"/>
  <c r="AG5" i="23"/>
  <c r="AN80" i="25"/>
  <c r="AO78" i="25"/>
  <c r="AO79" i="25" s="1"/>
  <c r="T7" i="53"/>
  <c r="T8" i="53" s="1"/>
  <c r="AM86" i="25"/>
  <c r="AN85" i="25"/>
  <c r="Y150" i="59" l="1"/>
  <c r="AO38" i="25"/>
  <c r="Y177" i="59"/>
  <c r="Y179" i="59" s="1"/>
  <c r="Y181" i="59" s="1"/>
  <c r="Y312" i="59"/>
  <c r="Y151" i="59"/>
  <c r="Y326" i="59"/>
  <c r="AV125" i="30"/>
  <c r="AV132" i="30" s="1"/>
  <c r="AI52" i="33"/>
  <c r="AG188" i="23"/>
  <c r="AG267" i="23" s="1"/>
  <c r="AG477" i="23"/>
  <c r="AF491" i="23"/>
  <c r="AF517" i="23"/>
  <c r="AF228" i="23" s="1"/>
  <c r="AF500" i="23"/>
  <c r="AF211" i="23" s="1"/>
  <c r="AF485" i="23"/>
  <c r="AF191" i="23" s="1"/>
  <c r="AF504" i="23"/>
  <c r="AF213" i="23" s="1"/>
  <c r="AF479" i="23"/>
  <c r="AF187" i="23" s="1"/>
  <c r="AF510" i="23"/>
  <c r="AF217" i="23" s="1"/>
  <c r="AF478" i="23"/>
  <c r="AF483" i="23"/>
  <c r="AF190" i="23" s="1"/>
  <c r="AF513" i="23"/>
  <c r="AF492" i="23"/>
  <c r="AF205" i="23" s="1"/>
  <c r="AF489" i="23"/>
  <c r="AF508" i="23"/>
  <c r="AF215" i="23" s="1"/>
  <c r="AF271" i="23" s="1"/>
  <c r="AG488" i="23"/>
  <c r="Z145" i="59"/>
  <c r="Z132" i="59"/>
  <c r="AH266" i="23"/>
  <c r="AH551" i="23"/>
  <c r="AH552" i="23" s="1"/>
  <c r="AH554" i="23" s="1"/>
  <c r="AH199" i="23" s="1"/>
  <c r="AX235" i="30"/>
  <c r="AX242" i="30" s="1"/>
  <c r="AX243" i="30" s="1"/>
  <c r="AK44" i="33"/>
  <c r="AX95" i="30"/>
  <c r="AK46" i="33"/>
  <c r="AK61" i="33"/>
  <c r="Y293" i="59"/>
  <c r="Y294" i="59"/>
  <c r="Y295" i="59" s="1"/>
  <c r="AB123" i="59"/>
  <c r="AV98" i="30"/>
  <c r="AK48" i="33"/>
  <c r="AL48" i="33" s="1"/>
  <c r="AL49" i="33" s="1"/>
  <c r="Y146" i="59"/>
  <c r="Y210" i="59"/>
  <c r="AW109" i="30"/>
  <c r="AC122" i="59"/>
  <c r="AW96" i="30"/>
  <c r="AW97" i="30"/>
  <c r="AJ557" i="23"/>
  <c r="AQ36" i="25"/>
  <c r="S7" i="73" s="1"/>
  <c r="AQ77" i="25"/>
  <c r="AA187" i="59" s="1"/>
  <c r="AA189" i="59" s="1"/>
  <c r="AA190" i="59" s="1"/>
  <c r="Y253" i="59"/>
  <c r="Y228" i="59"/>
  <c r="AB125" i="59"/>
  <c r="AI542" i="23"/>
  <c r="AI560" i="23"/>
  <c r="AI548" i="23" s="1"/>
  <c r="AI506" i="23"/>
  <c r="AI214" i="23" s="1"/>
  <c r="AI545" i="23"/>
  <c r="AI515" i="23"/>
  <c r="AI226" i="23" s="1"/>
  <c r="AA131" i="59"/>
  <c r="AA218" i="59"/>
  <c r="AA126" i="59"/>
  <c r="S45" i="73" s="1"/>
  <c r="Z227" i="59"/>
  <c r="Z292" i="59"/>
  <c r="AJ574" i="23"/>
  <c r="AJ286" i="23"/>
  <c r="AA9" i="56"/>
  <c r="AL61" i="33"/>
  <c r="O80" i="33" s="1"/>
  <c r="AY95" i="30"/>
  <c r="AL44" i="33"/>
  <c r="AY235" i="30"/>
  <c r="AY242" i="30" s="1"/>
  <c r="AL46" i="33"/>
  <c r="AV160" i="30"/>
  <c r="AV217" i="30" s="1"/>
  <c r="AV221" i="30" s="1"/>
  <c r="AK279" i="23" s="1"/>
  <c r="AR35" i="25"/>
  <c r="AV110" i="30"/>
  <c r="AF264" i="23"/>
  <c r="AW125" i="30"/>
  <c r="AJ52" i="33"/>
  <c r="W132" i="60"/>
  <c r="AA149" i="59"/>
  <c r="AU128" i="30"/>
  <c r="AU130" i="30"/>
  <c r="Z177" i="59"/>
  <c r="Z150" i="59"/>
  <c r="Z151" i="59"/>
  <c r="Z157" i="59"/>
  <c r="Z312" i="59"/>
  <c r="Z326" i="59"/>
  <c r="X182" i="59"/>
  <c r="X183" i="59"/>
  <c r="V251" i="59"/>
  <c r="V261" i="59"/>
  <c r="V262" i="59" s="1"/>
  <c r="W231" i="59"/>
  <c r="W237" i="59" s="1"/>
  <c r="Y328" i="59"/>
  <c r="Y314" i="59"/>
  <c r="Y165" i="59"/>
  <c r="Y159" i="59"/>
  <c r="Y158" i="59"/>
  <c r="AG573" i="23"/>
  <c r="AF195" i="23"/>
  <c r="AQ37" i="25"/>
  <c r="AU148" i="30"/>
  <c r="AU149" i="30"/>
  <c r="AE268" i="23"/>
  <c r="AE273" i="23"/>
  <c r="AP38" i="25"/>
  <c r="AP82" i="25"/>
  <c r="Z194" i="59" s="1"/>
  <c r="Z197" i="59" s="1"/>
  <c r="X316" i="59"/>
  <c r="X166" i="59"/>
  <c r="X330" i="59"/>
  <c r="X211" i="59"/>
  <c r="X167" i="59"/>
  <c r="AE14" i="23"/>
  <c r="F49" i="60"/>
  <c r="E49" i="60" s="1"/>
  <c r="L29" i="62"/>
  <c r="V7" i="56"/>
  <c r="K32" i="62"/>
  <c r="AE17" i="23"/>
  <c r="AE210" i="23"/>
  <c r="AE520" i="23"/>
  <c r="AE521" i="23" s="1"/>
  <c r="AP78" i="25"/>
  <c r="AP79" i="25" s="1"/>
  <c r="W198" i="59"/>
  <c r="AF10" i="23"/>
  <c r="AM87" i="25"/>
  <c r="U7" i="53"/>
  <c r="U8" i="53" s="1"/>
  <c r="AN86" i="25"/>
  <c r="T9" i="53"/>
  <c r="Q341" i="60"/>
  <c r="M85" i="63" s="1"/>
  <c r="M86" i="63" s="1"/>
  <c r="Y191" i="59"/>
  <c r="AH5" i="23"/>
  <c r="AO80" i="25"/>
  <c r="AG6" i="23"/>
  <c r="AG473" i="23"/>
  <c r="AR244" i="30"/>
  <c r="AO85" i="25"/>
  <c r="X192" i="59"/>
  <c r="X250" i="59"/>
  <c r="AG555" i="23"/>
  <c r="AV147" i="30" l="1"/>
  <c r="AV149" i="30" s="1"/>
  <c r="AV126" i="30"/>
  <c r="AV127" i="30"/>
  <c r="AV128" i="30" s="1"/>
  <c r="AE18" i="23"/>
  <c r="AH188" i="23"/>
  <c r="AH267" i="23" s="1"/>
  <c r="AL51" i="33"/>
  <c r="AL52" i="33" s="1"/>
  <c r="AG478" i="23"/>
  <c r="AH477" i="23"/>
  <c r="AH488" i="23"/>
  <c r="AK49" i="33"/>
  <c r="AY243" i="30"/>
  <c r="AK51" i="33"/>
  <c r="AK52" i="33" s="1"/>
  <c r="AF268" i="23"/>
  <c r="AF273" i="23"/>
  <c r="AK557" i="23"/>
  <c r="AR36" i="25"/>
  <c r="T7" i="73" s="1"/>
  <c r="AR77" i="25"/>
  <c r="AB187" i="59" s="1"/>
  <c r="AB189" i="59" s="1"/>
  <c r="AA132" i="59"/>
  <c r="AA145" i="59"/>
  <c r="AC125" i="59"/>
  <c r="AB218" i="59"/>
  <c r="AB131" i="59"/>
  <c r="AB126" i="59"/>
  <c r="T45" i="73" s="1"/>
  <c r="Z146" i="59"/>
  <c r="Z210" i="59"/>
  <c r="AB9" i="56"/>
  <c r="AK286" i="23"/>
  <c r="AK574" i="23"/>
  <c r="AE122" i="59"/>
  <c r="AY97" i="30"/>
  <c r="AY109" i="30"/>
  <c r="AY96" i="30"/>
  <c r="AJ545" i="23"/>
  <c r="AJ560" i="23"/>
  <c r="AJ548" i="23" s="1"/>
  <c r="AJ506" i="23"/>
  <c r="AJ214" i="23" s="1"/>
  <c r="AJ515" i="23"/>
  <c r="AJ226" i="23" s="1"/>
  <c r="AJ542" i="23"/>
  <c r="AW160" i="30"/>
  <c r="AW217" i="30" s="1"/>
  <c r="AW221" i="30" s="1"/>
  <c r="AL279" i="23" s="1"/>
  <c r="AS35" i="25"/>
  <c r="AW110" i="30"/>
  <c r="P80" i="33"/>
  <c r="Q80" i="33" s="1"/>
  <c r="R80" i="33" s="1"/>
  <c r="S80" i="33" s="1"/>
  <c r="T80" i="33" s="1"/>
  <c r="U80" i="33" s="1"/>
  <c r="V80" i="33" s="1"/>
  <c r="W80" i="33" s="1"/>
  <c r="X80" i="33" s="1"/>
  <c r="Y80" i="33" s="1"/>
  <c r="Z80" i="33" s="1"/>
  <c r="AA80" i="33" s="1"/>
  <c r="AB80" i="33" s="1"/>
  <c r="AC80" i="33" s="1"/>
  <c r="AD80" i="33" s="1"/>
  <c r="AE80" i="33" s="1"/>
  <c r="AF80" i="33" s="1"/>
  <c r="AG80" i="33" s="1"/>
  <c r="AH80" i="33" s="1"/>
  <c r="AI80" i="33" s="1"/>
  <c r="AJ80" i="33" s="1"/>
  <c r="AK80" i="33" s="1"/>
  <c r="AL80" i="33" s="1"/>
  <c r="B136" i="60"/>
  <c r="C136" i="60" s="1"/>
  <c r="D136" i="60" s="1"/>
  <c r="E136" i="60" s="1"/>
  <c r="F136" i="60" s="1"/>
  <c r="G136" i="60" s="1"/>
  <c r="H136" i="60" s="1"/>
  <c r="I136" i="60" s="1"/>
  <c r="J136" i="60" s="1"/>
  <c r="K136" i="60" s="1"/>
  <c r="L136" i="60" s="1"/>
  <c r="M136" i="60" s="1"/>
  <c r="N136" i="60" s="1"/>
  <c r="O136" i="60" s="1"/>
  <c r="P136" i="60" s="1"/>
  <c r="Q136" i="60" s="1"/>
  <c r="R136" i="60" s="1"/>
  <c r="S136" i="60" s="1"/>
  <c r="T136" i="60" s="1"/>
  <c r="U136" i="60" s="1"/>
  <c r="V136" i="60" s="1"/>
  <c r="W136" i="60" s="1"/>
  <c r="X136" i="60" s="1"/>
  <c r="Y136" i="60" s="1"/>
  <c r="Z294" i="59"/>
  <c r="Z295" i="59" s="1"/>
  <c r="Z293" i="59"/>
  <c r="AI266" i="23"/>
  <c r="AI551" i="23"/>
  <c r="AI552" i="23" s="1"/>
  <c r="AI554" i="23" s="1"/>
  <c r="AI488" i="23" s="1"/>
  <c r="AC123" i="59"/>
  <c r="AW98" i="30"/>
  <c r="Z253" i="59"/>
  <c r="Z228" i="59"/>
  <c r="AA292" i="59"/>
  <c r="AA227" i="59"/>
  <c r="AD122" i="59"/>
  <c r="AX96" i="30"/>
  <c r="AX97" i="30"/>
  <c r="AX109" i="30"/>
  <c r="Y211" i="59"/>
  <c r="Y330" i="59"/>
  <c r="Y166" i="59"/>
  <c r="Y167" i="59"/>
  <c r="Y316" i="59"/>
  <c r="Y183" i="59"/>
  <c r="Y182" i="59"/>
  <c r="W248" i="59"/>
  <c r="W259" i="59"/>
  <c r="W238" i="59"/>
  <c r="W254" i="59"/>
  <c r="AA326" i="59"/>
  <c r="AA151" i="59"/>
  <c r="AA157" i="59"/>
  <c r="AA150" i="59"/>
  <c r="AA312" i="59"/>
  <c r="AA177" i="59"/>
  <c r="AG575" i="23"/>
  <c r="AG584" i="23" s="1"/>
  <c r="Z179" i="59"/>
  <c r="Z181" i="59" s="1"/>
  <c r="Z328" i="59"/>
  <c r="Z158" i="59"/>
  <c r="Z159" i="59"/>
  <c r="Z165" i="59"/>
  <c r="Z314" i="59"/>
  <c r="AQ38" i="25"/>
  <c r="AQ82" i="25"/>
  <c r="AA194" i="59" s="1"/>
  <c r="AA197" i="59" s="1"/>
  <c r="AW132" i="30"/>
  <c r="AW127" i="30"/>
  <c r="AW126" i="30"/>
  <c r="AW147" i="30"/>
  <c r="U32" i="62"/>
  <c r="AE219" i="23"/>
  <c r="AE269" i="23"/>
  <c r="AE275" i="23" s="1"/>
  <c r="L52" i="62"/>
  <c r="V52" i="62" s="1"/>
  <c r="V29" i="62"/>
  <c r="AG489" i="23"/>
  <c r="U9" i="53"/>
  <c r="R341" i="60"/>
  <c r="N85" i="63" s="1"/>
  <c r="N86" i="63" s="1"/>
  <c r="W199" i="59"/>
  <c r="W200" i="59"/>
  <c r="Z191" i="59"/>
  <c r="AI5" i="23"/>
  <c r="AP80" i="25"/>
  <c r="X198" i="59"/>
  <c r="AG10" i="23"/>
  <c r="AN87" i="25"/>
  <c r="AF13" i="23"/>
  <c r="AF7" i="23"/>
  <c r="AF474" i="23" s="1"/>
  <c r="AF498" i="23" s="1"/>
  <c r="AH6" i="23"/>
  <c r="AH473" i="23"/>
  <c r="AS244" i="30"/>
  <c r="V7" i="53"/>
  <c r="V8" i="53" s="1"/>
  <c r="AO86" i="25"/>
  <c r="Y250" i="59"/>
  <c r="Y192" i="59"/>
  <c r="X260" i="59"/>
  <c r="M55" i="95"/>
  <c r="X258" i="59"/>
  <c r="AP85" i="25"/>
  <c r="AH555" i="23"/>
  <c r="AG483" i="23"/>
  <c r="AG190" i="23" s="1"/>
  <c r="AG491" i="23"/>
  <c r="AG504" i="23"/>
  <c r="AG213" i="23" s="1"/>
  <c r="AG508" i="23"/>
  <c r="AG215" i="23" s="1"/>
  <c r="AG271" i="23" s="1"/>
  <c r="AG513" i="23"/>
  <c r="AG517" i="23"/>
  <c r="AG228" i="23" s="1"/>
  <c r="AG479" i="23"/>
  <c r="AG485" i="23"/>
  <c r="AG191" i="23" s="1"/>
  <c r="AG492" i="23"/>
  <c r="AG205" i="23" s="1"/>
  <c r="AG500" i="23"/>
  <c r="AG211" i="23" s="1"/>
  <c r="AG510" i="23"/>
  <c r="AG217" i="23" s="1"/>
  <c r="AQ78" i="25"/>
  <c r="AQ79" i="25" s="1"/>
  <c r="X132" i="60" l="1"/>
  <c r="AV130" i="30"/>
  <c r="AB149" i="59"/>
  <c r="AR37" i="25"/>
  <c r="AR38" i="25" s="1"/>
  <c r="O78" i="33"/>
  <c r="P78" i="33" s="1"/>
  <c r="AV148" i="30"/>
  <c r="AY125" i="30"/>
  <c r="AY127" i="30" s="1"/>
  <c r="Y132" i="60"/>
  <c r="AB190" i="59"/>
  <c r="AX125" i="30"/>
  <c r="AX126" i="30" s="1"/>
  <c r="AH478" i="23"/>
  <c r="AI188" i="23"/>
  <c r="AI199" i="23"/>
  <c r="AI555" i="23" s="1"/>
  <c r="AI477" i="23"/>
  <c r="AX110" i="30"/>
  <c r="AX160" i="30"/>
  <c r="AX217" i="30" s="1"/>
  <c r="AX221" i="30" s="1"/>
  <c r="AM279" i="23" s="1"/>
  <c r="AT35" i="25"/>
  <c r="AX98" i="30"/>
  <c r="AD123" i="59"/>
  <c r="AA228" i="59"/>
  <c r="AA253" i="59"/>
  <c r="AL557" i="23"/>
  <c r="AS36" i="25"/>
  <c r="U7" i="73" s="1"/>
  <c r="AS77" i="25"/>
  <c r="AC187" i="59" s="1"/>
  <c r="AC189" i="59" s="1"/>
  <c r="AY110" i="30"/>
  <c r="AY160" i="30"/>
  <c r="AY217" i="30" s="1"/>
  <c r="AY221" i="30" s="1"/>
  <c r="AN279" i="23" s="1"/>
  <c r="AU35" i="25"/>
  <c r="AA294" i="59"/>
  <c r="AA295" i="59" s="1"/>
  <c r="AA293" i="59"/>
  <c r="AL574" i="23"/>
  <c r="AC9" i="56"/>
  <c r="AL286" i="23"/>
  <c r="AE123" i="59"/>
  <c r="AY98" i="30"/>
  <c r="AB132" i="59"/>
  <c r="AB145" i="59"/>
  <c r="AD125" i="59"/>
  <c r="AC126" i="59"/>
  <c r="U45" i="73" s="1"/>
  <c r="AC131" i="59"/>
  <c r="AC218" i="59"/>
  <c r="AJ551" i="23"/>
  <c r="AJ552" i="23" s="1"/>
  <c r="AJ477" i="23" s="1"/>
  <c r="AJ266" i="23"/>
  <c r="AE125" i="59"/>
  <c r="AB227" i="59"/>
  <c r="AB292" i="59"/>
  <c r="AA210" i="59"/>
  <c r="AA146" i="59"/>
  <c r="AK515" i="23"/>
  <c r="AK226" i="23" s="1"/>
  <c r="AK542" i="23"/>
  <c r="AK560" i="23"/>
  <c r="AK548" i="23" s="1"/>
  <c r="AK545" i="23"/>
  <c r="AK506" i="23"/>
  <c r="AK214" i="23" s="1"/>
  <c r="AG577" i="23"/>
  <c r="AG578" i="23" s="1"/>
  <c r="AW149" i="30"/>
  <c r="AS37" i="25"/>
  <c r="AW148" i="30"/>
  <c r="AA328" i="59"/>
  <c r="AA159" i="59"/>
  <c r="AA158" i="59"/>
  <c r="AA165" i="59"/>
  <c r="AA314" i="59"/>
  <c r="AW128" i="30"/>
  <c r="AW130" i="30"/>
  <c r="AC149" i="59"/>
  <c r="Z211" i="59"/>
  <c r="Z330" i="59"/>
  <c r="Z166" i="59"/>
  <c r="Z316" i="59"/>
  <c r="Z167" i="59"/>
  <c r="Z183" i="59"/>
  <c r="Z182" i="59"/>
  <c r="AA179" i="59"/>
  <c r="AA181" i="59" s="1"/>
  <c r="W251" i="59"/>
  <c r="W261" i="59"/>
  <c r="W262" i="59" s="1"/>
  <c r="X231" i="59"/>
  <c r="X237" i="59" s="1"/>
  <c r="V11" i="56"/>
  <c r="AG273" i="23"/>
  <c r="AA191" i="59"/>
  <c r="AJ5" i="23"/>
  <c r="AQ80" i="25"/>
  <c r="AH489" i="23"/>
  <c r="Y198" i="59"/>
  <c r="AH10" i="23"/>
  <c r="AO87" i="25"/>
  <c r="AF14" i="23"/>
  <c r="AF17" i="23"/>
  <c r="W7" i="56"/>
  <c r="L32" i="62"/>
  <c r="V32" i="62" s="1"/>
  <c r="X199" i="59"/>
  <c r="X200" i="59"/>
  <c r="V9" i="53"/>
  <c r="S341" i="60"/>
  <c r="AG187" i="23"/>
  <c r="AG264" i="23" s="1"/>
  <c r="AG268" i="23"/>
  <c r="W7" i="53"/>
  <c r="W8" i="53" s="1"/>
  <c r="AP86" i="25"/>
  <c r="Y260" i="59"/>
  <c r="N55" i="95"/>
  <c r="Y258" i="59"/>
  <c r="AF520" i="23"/>
  <c r="AF521" i="23" s="1"/>
  <c r="AF210" i="23"/>
  <c r="AI6" i="23"/>
  <c r="AI473" i="23"/>
  <c r="AT244" i="30"/>
  <c r="AQ85" i="25"/>
  <c r="AH479" i="23"/>
  <c r="AH485" i="23"/>
  <c r="AH191" i="23" s="1"/>
  <c r="AH492" i="23"/>
  <c r="AH205" i="23" s="1"/>
  <c r="AH500" i="23"/>
  <c r="AH211" i="23" s="1"/>
  <c r="AH510" i="23"/>
  <c r="AH217" i="23" s="1"/>
  <c r="AH483" i="23"/>
  <c r="AH190" i="23" s="1"/>
  <c r="AH491" i="23"/>
  <c r="AH504" i="23"/>
  <c r="AH213" i="23" s="1"/>
  <c r="AH508" i="23"/>
  <c r="AH215" i="23" s="1"/>
  <c r="AH271" i="23" s="1"/>
  <c r="AH513" i="23"/>
  <c r="AH517" i="23"/>
  <c r="AH228" i="23" s="1"/>
  <c r="AG13" i="23"/>
  <c r="AG7" i="23"/>
  <c r="AG474" i="23" s="1"/>
  <c r="AG498" i="23" s="1"/>
  <c r="Z250" i="59"/>
  <c r="Z192" i="59"/>
  <c r="AB326" i="59" l="1"/>
  <c r="AB151" i="59"/>
  <c r="AB150" i="59"/>
  <c r="AB177" i="59"/>
  <c r="AB179" i="59" s="1"/>
  <c r="AB181" i="59" s="1"/>
  <c r="AB312" i="59"/>
  <c r="AB157" i="59"/>
  <c r="AB328" i="59" s="1"/>
  <c r="AR82" i="25"/>
  <c r="AB194" i="59" s="1"/>
  <c r="AB197" i="59" s="1"/>
  <c r="AR85" i="25" s="1"/>
  <c r="B134" i="60"/>
  <c r="C134" i="60" s="1"/>
  <c r="AX127" i="30"/>
  <c r="AX128" i="30" s="1"/>
  <c r="AY126" i="30"/>
  <c r="AI478" i="23"/>
  <c r="AY132" i="30"/>
  <c r="AY147" i="30"/>
  <c r="AY148" i="30" s="1"/>
  <c r="AJ188" i="23"/>
  <c r="AI267" i="23"/>
  <c r="AR78" i="25"/>
  <c r="AR79" i="25" s="1"/>
  <c r="AK5" i="23" s="1"/>
  <c r="AX147" i="30"/>
  <c r="AT37" i="25" s="1"/>
  <c r="AT38" i="25" s="1"/>
  <c r="AX132" i="30"/>
  <c r="AJ554" i="23"/>
  <c r="AJ488" i="23" s="1"/>
  <c r="AC190" i="59"/>
  <c r="T93" i="38"/>
  <c r="AE40" i="20"/>
  <c r="AC132" i="59"/>
  <c r="AC145" i="59"/>
  <c r="AE218" i="59"/>
  <c r="AE126" i="59"/>
  <c r="W45" i="73" s="1"/>
  <c r="AE131" i="59"/>
  <c r="AK266" i="23"/>
  <c r="AK551" i="23"/>
  <c r="AK552" i="23" s="1"/>
  <c r="AK554" i="23" s="1"/>
  <c r="AK199" i="23" s="1"/>
  <c r="AD218" i="59"/>
  <c r="AD126" i="59"/>
  <c r="V45" i="73" s="1"/>
  <c r="AD131" i="59"/>
  <c r="AT77" i="25"/>
  <c r="AD187" i="59" s="1"/>
  <c r="AD189" i="59" s="1"/>
  <c r="AD190" i="59" s="1"/>
  <c r="AM557" i="23"/>
  <c r="AT36" i="25"/>
  <c r="V7" i="73" s="1"/>
  <c r="AB293" i="59"/>
  <c r="AB294" i="59"/>
  <c r="AB295" i="59" s="1"/>
  <c r="AB146" i="59"/>
  <c r="AB210" i="59"/>
  <c r="AU36" i="25"/>
  <c r="W7" i="73" s="1"/>
  <c r="AN557" i="23"/>
  <c r="AU77" i="25"/>
  <c r="AE187" i="59" s="1"/>
  <c r="AD9" i="56"/>
  <c r="AM574" i="23"/>
  <c r="AM286" i="23"/>
  <c r="AB228" i="59"/>
  <c r="AB253" i="59"/>
  <c r="AC227" i="59"/>
  <c r="AC292" i="59"/>
  <c r="AN574" i="23"/>
  <c r="AE9" i="56"/>
  <c r="AN286" i="23"/>
  <c r="AL506" i="23"/>
  <c r="AL214" i="23" s="1"/>
  <c r="AL545" i="23"/>
  <c r="AL515" i="23"/>
  <c r="AL226" i="23" s="1"/>
  <c r="AL542" i="23"/>
  <c r="AL560" i="23"/>
  <c r="AL548" i="23" s="1"/>
  <c r="AG569" i="23"/>
  <c r="AH573" i="23" s="1"/>
  <c r="AH575" i="23" s="1"/>
  <c r="AH584" i="23" s="1"/>
  <c r="AI489" i="23"/>
  <c r="AC326" i="59"/>
  <c r="AC157" i="59"/>
  <c r="AC312" i="59"/>
  <c r="AC177" i="59"/>
  <c r="AC150" i="59"/>
  <c r="AC151" i="59"/>
  <c r="AG195" i="23"/>
  <c r="AA330" i="59"/>
  <c r="AA316" i="59"/>
  <c r="AA166" i="59"/>
  <c r="AA211" i="59"/>
  <c r="AA167" i="59"/>
  <c r="AS82" i="25"/>
  <c r="AC194" i="59" s="1"/>
  <c r="AS38" i="25"/>
  <c r="AA183" i="59"/>
  <c r="AA182" i="59"/>
  <c r="X238" i="59"/>
  <c r="X254" i="59"/>
  <c r="X248" i="59"/>
  <c r="X259" i="59"/>
  <c r="AH268" i="23"/>
  <c r="AH273" i="23"/>
  <c r="AH187" i="23"/>
  <c r="AH264" i="23" s="1"/>
  <c r="Z260" i="59"/>
  <c r="O55" i="95"/>
  <c r="Z258" i="59"/>
  <c r="AG210" i="23"/>
  <c r="AG520" i="23"/>
  <c r="AG521" i="23" s="1"/>
  <c r="Q78" i="33"/>
  <c r="X7" i="53"/>
  <c r="X8" i="53" s="1"/>
  <c r="AQ86" i="25"/>
  <c r="AF219" i="23"/>
  <c r="AF269" i="23"/>
  <c r="AF275" i="23" s="1"/>
  <c r="Z198" i="59"/>
  <c r="AI10" i="23"/>
  <c r="AP87" i="25"/>
  <c r="AG14" i="23"/>
  <c r="X7" i="56"/>
  <c r="AG17" i="23"/>
  <c r="AE149" i="59"/>
  <c r="AY130" i="30"/>
  <c r="AY128" i="30"/>
  <c r="W9" i="53"/>
  <c r="T341" i="60"/>
  <c r="AH13" i="23"/>
  <c r="AH7" i="23"/>
  <c r="AH474" i="23" s="1"/>
  <c r="AH498" i="23" s="1"/>
  <c r="AF18" i="23"/>
  <c r="Y200" i="59"/>
  <c r="Y199" i="59"/>
  <c r="AJ6" i="23"/>
  <c r="AJ473" i="23"/>
  <c r="AJ478" i="23" s="1"/>
  <c r="AU244" i="30"/>
  <c r="AI479" i="23"/>
  <c r="AI485" i="23"/>
  <c r="AI191" i="23" s="1"/>
  <c r="AI492" i="23"/>
  <c r="AI205" i="23" s="1"/>
  <c r="AI500" i="23"/>
  <c r="AI211" i="23" s="1"/>
  <c r="AI510" i="23"/>
  <c r="AI217" i="23" s="1"/>
  <c r="AI483" i="23"/>
  <c r="AI190" i="23" s="1"/>
  <c r="AI491" i="23"/>
  <c r="AI504" i="23"/>
  <c r="AI213" i="23" s="1"/>
  <c r="AI508" i="23"/>
  <c r="AI215" i="23" s="1"/>
  <c r="AI271" i="23" s="1"/>
  <c r="AI513" i="23"/>
  <c r="AI517" i="23"/>
  <c r="AI228" i="23" s="1"/>
  <c r="AA192" i="59"/>
  <c r="AA250" i="59"/>
  <c r="AB165" i="59" l="1"/>
  <c r="AB314" i="59"/>
  <c r="AB159" i="59"/>
  <c r="AB158" i="59"/>
  <c r="AD149" i="59"/>
  <c r="AD150" i="59" s="1"/>
  <c r="AX130" i="30"/>
  <c r="AC197" i="59"/>
  <c r="AS85" i="25" s="1"/>
  <c r="AJ199" i="23"/>
  <c r="AJ267" i="23" s="1"/>
  <c r="AU37" i="25"/>
  <c r="AU82" i="25" s="1"/>
  <c r="AT82" i="25"/>
  <c r="AD194" i="59" s="1"/>
  <c r="AB191" i="59"/>
  <c r="AB192" i="59" s="1"/>
  <c r="AR80" i="25"/>
  <c r="AY149" i="30"/>
  <c r="AX149" i="30"/>
  <c r="AX148" i="30"/>
  <c r="AS78" i="25"/>
  <c r="AS79" i="25" s="1"/>
  <c r="AL5" i="23" s="1"/>
  <c r="AK488" i="23"/>
  <c r="AK477" i="23"/>
  <c r="AE189" i="59"/>
  <c r="AE190" i="59" s="1"/>
  <c r="AU78" i="25" s="1"/>
  <c r="AU79" i="25" s="1"/>
  <c r="AK188" i="23"/>
  <c r="AC253" i="59"/>
  <c r="AC228" i="59"/>
  <c r="AN515" i="23"/>
  <c r="AN226" i="23" s="1"/>
  <c r="AN542" i="23"/>
  <c r="AN545" i="23"/>
  <c r="AN560" i="23"/>
  <c r="AN548" i="23" s="1"/>
  <c r="AN506" i="23"/>
  <c r="AN214" i="23" s="1"/>
  <c r="AD132" i="59"/>
  <c r="AD145" i="59"/>
  <c r="AE145" i="59"/>
  <c r="AE132" i="59"/>
  <c r="AM542" i="23"/>
  <c r="AM560" i="23"/>
  <c r="AM548" i="23" s="1"/>
  <c r="AM506" i="23"/>
  <c r="AM214" i="23" s="1"/>
  <c r="AM545" i="23"/>
  <c r="AM515" i="23"/>
  <c r="AM226" i="23" s="1"/>
  <c r="AD292" i="59"/>
  <c r="AD227" i="59"/>
  <c r="AC146" i="59"/>
  <c r="AC210" i="59"/>
  <c r="AL266" i="23"/>
  <c r="AL551" i="23"/>
  <c r="AL552" i="23" s="1"/>
  <c r="AL554" i="23" s="1"/>
  <c r="AL199" i="23" s="1"/>
  <c r="AC293" i="59"/>
  <c r="AC294" i="59"/>
  <c r="AC295" i="59" s="1"/>
  <c r="AE227" i="59"/>
  <c r="AE292" i="59"/>
  <c r="AH577" i="23"/>
  <c r="AB330" i="59"/>
  <c r="AB166" i="59"/>
  <c r="AB167" i="59"/>
  <c r="AB211" i="59"/>
  <c r="AB316" i="59"/>
  <c r="AC179" i="59"/>
  <c r="AC181" i="59" s="1"/>
  <c r="AB183" i="59"/>
  <c r="AB182" i="59"/>
  <c r="X251" i="59"/>
  <c r="X261" i="59"/>
  <c r="X262" i="59" s="1"/>
  <c r="Y231" i="59"/>
  <c r="Y237" i="59" s="1"/>
  <c r="AC165" i="59"/>
  <c r="AC314" i="59"/>
  <c r="AC159" i="59"/>
  <c r="AC158" i="59"/>
  <c r="AC328" i="59"/>
  <c r="AT78" i="25"/>
  <c r="AT79" i="25" s="1"/>
  <c r="AJ489" i="23"/>
  <c r="AI13" i="23"/>
  <c r="AI7" i="23"/>
  <c r="AI474" i="23" s="1"/>
  <c r="AI498" i="23" s="1"/>
  <c r="W11" i="56"/>
  <c r="D134" i="60"/>
  <c r="AI268" i="23"/>
  <c r="AH520" i="23"/>
  <c r="AH521" i="23" s="1"/>
  <c r="AH210" i="23"/>
  <c r="AG18" i="23"/>
  <c r="Z200" i="59"/>
  <c r="Z199" i="59"/>
  <c r="AJ10" i="23"/>
  <c r="AA198" i="59"/>
  <c r="AQ87" i="25"/>
  <c r="AG219" i="23"/>
  <c r="AG269" i="23"/>
  <c r="AG275" i="23" s="1"/>
  <c r="AI273" i="23"/>
  <c r="AI187" i="23"/>
  <c r="AI264" i="23" s="1"/>
  <c r="AJ483" i="23"/>
  <c r="AJ190" i="23" s="1"/>
  <c r="AJ491" i="23"/>
  <c r="AJ504" i="23"/>
  <c r="AJ213" i="23" s="1"/>
  <c r="AJ508" i="23"/>
  <c r="AJ215" i="23" s="1"/>
  <c r="AJ271" i="23" s="1"/>
  <c r="AJ513" i="23"/>
  <c r="AJ517" i="23"/>
  <c r="AJ228" i="23" s="1"/>
  <c r="AJ479" i="23"/>
  <c r="AJ485" i="23"/>
  <c r="AJ191" i="23" s="1"/>
  <c r="AJ492" i="23"/>
  <c r="AJ205" i="23" s="1"/>
  <c r="AJ500" i="23"/>
  <c r="AJ211" i="23" s="1"/>
  <c r="AJ510" i="23"/>
  <c r="AJ217" i="23" s="1"/>
  <c r="Y7" i="56"/>
  <c r="AH17" i="23"/>
  <c r="AH14" i="23"/>
  <c r="X9" i="53"/>
  <c r="U341" i="60"/>
  <c r="R78" i="33"/>
  <c r="AA260" i="59"/>
  <c r="P55" i="95"/>
  <c r="AA258" i="59"/>
  <c r="AE151" i="59"/>
  <c r="AE177" i="59"/>
  <c r="AE157" i="59"/>
  <c r="Y7" i="53"/>
  <c r="Y8" i="53" s="1"/>
  <c r="AR86" i="25"/>
  <c r="AK6" i="23"/>
  <c r="AK473" i="23"/>
  <c r="AV244" i="30"/>
  <c r="AK555" i="23"/>
  <c r="AE150" i="59" l="1"/>
  <c r="AD151" i="59"/>
  <c r="AD326" i="59"/>
  <c r="AE326" i="59"/>
  <c r="AE312" i="59"/>
  <c r="AD312" i="59"/>
  <c r="AD177" i="59"/>
  <c r="AE179" i="59"/>
  <c r="AE181" i="59" s="1"/>
  <c r="AD157" i="59"/>
  <c r="AJ555" i="23"/>
  <c r="AK267" i="23"/>
  <c r="AU38" i="25"/>
  <c r="AB250" i="59"/>
  <c r="AB258" i="59" s="1"/>
  <c r="AS80" i="25"/>
  <c r="AC191" i="59"/>
  <c r="AC250" i="59" s="1"/>
  <c r="AK478" i="23"/>
  <c r="AL188" i="23"/>
  <c r="AL267" i="23" s="1"/>
  <c r="AL488" i="23"/>
  <c r="AL477" i="23"/>
  <c r="U93" i="38"/>
  <c r="AF40" i="20"/>
  <c r="AE294" i="59"/>
  <c r="AE293" i="59"/>
  <c r="AE228" i="59"/>
  <c r="AE253" i="59"/>
  <c r="AM551" i="23"/>
  <c r="AM552" i="23" s="1"/>
  <c r="AM554" i="23" s="1"/>
  <c r="AM199" i="23" s="1"/>
  <c r="AM266" i="23"/>
  <c r="AD253" i="59"/>
  <c r="AD228" i="59"/>
  <c r="AE210" i="59"/>
  <c r="AE146" i="59"/>
  <c r="AD146" i="59"/>
  <c r="AD210" i="59"/>
  <c r="AN266" i="23"/>
  <c r="AN551" i="23"/>
  <c r="AN552" i="23" s="1"/>
  <c r="AN188" i="23" s="1"/>
  <c r="AD293" i="59"/>
  <c r="AD294" i="59"/>
  <c r="AD295" i="59" s="1"/>
  <c r="AH578" i="23"/>
  <c r="AH569" i="23"/>
  <c r="Y248" i="59"/>
  <c r="Y254" i="59"/>
  <c r="Y238" i="59"/>
  <c r="Y259" i="59"/>
  <c r="AC183" i="59"/>
  <c r="AC182" i="59"/>
  <c r="AJ273" i="23"/>
  <c r="AC330" i="59"/>
  <c r="AC167" i="59"/>
  <c r="AC166" i="59"/>
  <c r="AC316" i="59"/>
  <c r="AC211" i="59"/>
  <c r="S78" i="33"/>
  <c r="X11" i="56"/>
  <c r="AA199" i="59"/>
  <c r="AA200" i="59"/>
  <c r="AL6" i="23"/>
  <c r="AL473" i="23"/>
  <c r="AW244" i="30"/>
  <c r="Z7" i="56"/>
  <c r="AI17" i="23"/>
  <c r="AI14" i="23"/>
  <c r="Z7" i="53"/>
  <c r="Z8" i="53" s="1"/>
  <c r="AS86" i="25"/>
  <c r="AK483" i="23"/>
  <c r="AK190" i="23" s="1"/>
  <c r="AK491" i="23"/>
  <c r="AK504" i="23"/>
  <c r="AK213" i="23" s="1"/>
  <c r="AK508" i="23"/>
  <c r="AK215" i="23" s="1"/>
  <c r="AK271" i="23" s="1"/>
  <c r="AK513" i="23"/>
  <c r="AK517" i="23"/>
  <c r="AK228" i="23" s="1"/>
  <c r="AK479" i="23"/>
  <c r="AK485" i="23"/>
  <c r="AK191" i="23" s="1"/>
  <c r="AK492" i="23"/>
  <c r="AK205" i="23" s="1"/>
  <c r="AK500" i="23"/>
  <c r="AK211" i="23" s="1"/>
  <c r="AK510" i="23"/>
  <c r="AK217" i="23" s="1"/>
  <c r="AE158" i="59"/>
  <c r="AE165" i="59"/>
  <c r="AE314" i="59"/>
  <c r="AE159" i="59"/>
  <c r="AE328" i="59"/>
  <c r="AE183" i="59"/>
  <c r="AK489" i="23"/>
  <c r="AJ187" i="23"/>
  <c r="AJ264" i="23" s="1"/>
  <c r="AJ13" i="23"/>
  <c r="AJ7" i="23"/>
  <c r="AJ474" i="23" s="1"/>
  <c r="AJ498" i="23" s="1"/>
  <c r="AD191" i="59"/>
  <c r="AM5" i="23"/>
  <c r="AT80" i="25"/>
  <c r="AD197" i="59"/>
  <c r="AJ268" i="23"/>
  <c r="AB198" i="59"/>
  <c r="AK10" i="23"/>
  <c r="AR87" i="25"/>
  <c r="AE191" i="59"/>
  <c r="AN5" i="23"/>
  <c r="AU80" i="25"/>
  <c r="Y9" i="53"/>
  <c r="V341" i="60"/>
  <c r="AE194" i="59"/>
  <c r="AH18" i="23"/>
  <c r="AH219" i="23"/>
  <c r="AH269" i="23"/>
  <c r="AH275" i="23" s="1"/>
  <c r="AL555" i="23"/>
  <c r="E134" i="60"/>
  <c r="AI520" i="23"/>
  <c r="AI521" i="23" s="1"/>
  <c r="AI210" i="23"/>
  <c r="AD179" i="59" l="1"/>
  <c r="AD181" i="59" s="1"/>
  <c r="AD182" i="59" s="1"/>
  <c r="AD165" i="59"/>
  <c r="AE330" i="59" s="1"/>
  <c r="AD159" i="59"/>
  <c r="AD328" i="59"/>
  <c r="AD314" i="59"/>
  <c r="AD158" i="59"/>
  <c r="AB260" i="59"/>
  <c r="Q55" i="95"/>
  <c r="AC192" i="59"/>
  <c r="AL478" i="23"/>
  <c r="AN554" i="23"/>
  <c r="AN199" i="23" s="1"/>
  <c r="AM488" i="23"/>
  <c r="AN477" i="23"/>
  <c r="AM188" i="23"/>
  <c r="AM267" i="23" s="1"/>
  <c r="V93" i="38"/>
  <c r="AG40" i="20"/>
  <c r="AM477" i="23"/>
  <c r="AE295" i="59"/>
  <c r="AH195" i="23"/>
  <c r="AI573" i="23"/>
  <c r="AI575" i="23" s="1"/>
  <c r="AI584" i="23" s="1"/>
  <c r="Y251" i="59"/>
  <c r="Y261" i="59"/>
  <c r="Y262" i="59" s="1"/>
  <c r="Z231" i="59"/>
  <c r="Z237" i="59" s="1"/>
  <c r="AK273" i="23"/>
  <c r="AE197" i="59"/>
  <c r="AU85" i="25" s="1"/>
  <c r="AT85" i="25"/>
  <c r="AL489" i="23"/>
  <c r="AC260" i="59"/>
  <c r="R55" i="95"/>
  <c r="AC258" i="59"/>
  <c r="AK187" i="23"/>
  <c r="AK264" i="23" s="1"/>
  <c r="AB199" i="59"/>
  <c r="AB200" i="59"/>
  <c r="AI219" i="23"/>
  <c r="AI269" i="23"/>
  <c r="AI275" i="23" s="1"/>
  <c r="AM6" i="23"/>
  <c r="AM473" i="23"/>
  <c r="AX244" i="30"/>
  <c r="AJ520" i="23"/>
  <c r="AJ521" i="23" s="1"/>
  <c r="AJ210" i="23"/>
  <c r="AC198" i="59"/>
  <c r="AL10" i="23"/>
  <c r="AS87" i="25"/>
  <c r="AE192" i="59"/>
  <c r="AE250" i="59"/>
  <c r="F134" i="60"/>
  <c r="Y11" i="56"/>
  <c r="AN6" i="23"/>
  <c r="AN473" i="23"/>
  <c r="AY244" i="30"/>
  <c r="AK13" i="23"/>
  <c r="AK7" i="23"/>
  <c r="AK474" i="23" s="1"/>
  <c r="AK498" i="23" s="1"/>
  <c r="AD250" i="59"/>
  <c r="AD192" i="59"/>
  <c r="AJ14" i="23"/>
  <c r="AJ17" i="23"/>
  <c r="AA7" i="56"/>
  <c r="AE167" i="59"/>
  <c r="AE211" i="59"/>
  <c r="AK268" i="23"/>
  <c r="Z9" i="53"/>
  <c r="W341" i="60"/>
  <c r="T78" i="33"/>
  <c r="AI18" i="23"/>
  <c r="AL479" i="23"/>
  <c r="AL485" i="23"/>
  <c r="AL191" i="23" s="1"/>
  <c r="AL492" i="23"/>
  <c r="AL205" i="23" s="1"/>
  <c r="AL500" i="23"/>
  <c r="AL211" i="23" s="1"/>
  <c r="AL510" i="23"/>
  <c r="AL217" i="23" s="1"/>
  <c r="AL483" i="23"/>
  <c r="AL190" i="23" s="1"/>
  <c r="AL491" i="23"/>
  <c r="AL504" i="23"/>
  <c r="AL213" i="23" s="1"/>
  <c r="AL508" i="23"/>
  <c r="AL215" i="23" s="1"/>
  <c r="AL271" i="23" s="1"/>
  <c r="AL513" i="23"/>
  <c r="AL517" i="23"/>
  <c r="AL228" i="23" s="1"/>
  <c r="AM555" i="23"/>
  <c r="AE166" i="59" l="1"/>
  <c r="AD183" i="59"/>
  <c r="AE316" i="59"/>
  <c r="AE182" i="59"/>
  <c r="AD316" i="59"/>
  <c r="AD166" i="59"/>
  <c r="AD330" i="59"/>
  <c r="AD167" i="59"/>
  <c r="AD211" i="59"/>
  <c r="AN488" i="23"/>
  <c r="AN489" i="23" s="1"/>
  <c r="AN267" i="23"/>
  <c r="AM489" i="23"/>
  <c r="W93" i="38"/>
  <c r="AH40" i="20"/>
  <c r="AM478" i="23"/>
  <c r="AI577" i="23"/>
  <c r="AI578" i="23" s="1"/>
  <c r="Z254" i="59"/>
  <c r="Z259" i="59"/>
  <c r="Z238" i="59"/>
  <c r="Z248" i="59"/>
  <c r="Z251" i="59" s="1"/>
  <c r="AL273" i="23"/>
  <c r="U78" i="33"/>
  <c r="AJ18" i="23"/>
  <c r="G134" i="60"/>
  <c r="AE260" i="59"/>
  <c r="T55" i="95"/>
  <c r="AE258" i="59"/>
  <c r="AJ219" i="23"/>
  <c r="AJ269" i="23"/>
  <c r="AJ275" i="23" s="1"/>
  <c r="AD260" i="59"/>
  <c r="S55" i="95"/>
  <c r="AD258" i="59"/>
  <c r="AN483" i="23"/>
  <c r="AN190" i="23" s="1"/>
  <c r="AN491" i="23"/>
  <c r="AN504" i="23"/>
  <c r="AN213" i="23" s="1"/>
  <c r="AN508" i="23"/>
  <c r="AN215" i="23" s="1"/>
  <c r="AN513" i="23"/>
  <c r="AN517" i="23"/>
  <c r="AN228" i="23" s="1"/>
  <c r="AN479" i="23"/>
  <c r="AN485" i="23"/>
  <c r="AN191" i="23" s="1"/>
  <c r="AN492" i="23"/>
  <c r="AN205" i="23" s="1"/>
  <c r="AN500" i="23"/>
  <c r="AN211" i="23" s="1"/>
  <c r="AN510" i="23"/>
  <c r="AN217" i="23" s="1"/>
  <c r="AM479" i="23"/>
  <c r="AM485" i="23"/>
  <c r="AM191" i="23" s="1"/>
  <c r="AM492" i="23"/>
  <c r="AM205" i="23" s="1"/>
  <c r="AM500" i="23"/>
  <c r="AM211" i="23" s="1"/>
  <c r="AM510" i="23"/>
  <c r="AM217" i="23" s="1"/>
  <c r="AM483" i="23"/>
  <c r="AM190" i="23" s="1"/>
  <c r="AM491" i="23"/>
  <c r="AM504" i="23"/>
  <c r="AM213" i="23" s="1"/>
  <c r="AM508" i="23"/>
  <c r="AM215" i="23" s="1"/>
  <c r="AM271" i="23" s="1"/>
  <c r="AM513" i="23"/>
  <c r="AM517" i="23"/>
  <c r="AM228" i="23" s="1"/>
  <c r="AL268" i="23"/>
  <c r="AK210" i="23"/>
  <c r="AK520" i="23"/>
  <c r="AK521" i="23" s="1"/>
  <c r="AN555" i="23"/>
  <c r="AL13" i="23"/>
  <c r="AL7" i="23"/>
  <c r="AL474" i="23" s="1"/>
  <c r="AL498" i="23" s="1"/>
  <c r="AN478" i="23"/>
  <c r="AA7" i="53"/>
  <c r="AA8" i="53" s="1"/>
  <c r="AT86" i="25"/>
  <c r="AL187" i="23"/>
  <c r="AL264" i="23" s="1"/>
  <c r="AK14" i="23"/>
  <c r="AB7" i="56"/>
  <c r="AK17" i="23"/>
  <c r="AC200" i="59"/>
  <c r="AC199" i="59"/>
  <c r="Z11" i="56"/>
  <c r="AB7" i="53"/>
  <c r="AB8" i="53" s="1"/>
  <c r="AU86" i="25"/>
  <c r="AI569" i="23" l="1"/>
  <c r="AJ573" i="23" s="1"/>
  <c r="X93" i="38"/>
  <c r="AI40" i="20"/>
  <c r="AA231" i="59"/>
  <c r="AA237" i="59" s="1"/>
  <c r="Z261" i="59"/>
  <c r="Z262" i="59" s="1"/>
  <c r="AI195" i="23"/>
  <c r="AK18" i="23"/>
  <c r="AL520" i="23"/>
  <c r="AL521" i="23" s="1"/>
  <c r="AL210" i="23"/>
  <c r="AN273" i="23"/>
  <c r="AN187" i="23"/>
  <c r="AA11" i="56"/>
  <c r="H134" i="60"/>
  <c r="AE198" i="59"/>
  <c r="AN10" i="23"/>
  <c r="AU87" i="25"/>
  <c r="AB9" i="53"/>
  <c r="E31" i="53"/>
  <c r="Y341" i="60"/>
  <c r="AD198" i="59"/>
  <c r="AM10" i="23"/>
  <c r="AT87" i="25"/>
  <c r="AC7" i="56"/>
  <c r="AL17" i="23"/>
  <c r="AL14" i="23"/>
  <c r="AM268" i="23"/>
  <c r="AA9" i="53"/>
  <c r="X341" i="60"/>
  <c r="AM273" i="23"/>
  <c r="AM187" i="23"/>
  <c r="AM264" i="23" s="1"/>
  <c r="AN268" i="23"/>
  <c r="V78" i="33"/>
  <c r="AK219" i="23"/>
  <c r="AK269" i="23"/>
  <c r="AK275" i="23" s="1"/>
  <c r="AN271" i="23"/>
  <c r="Y93" i="38" l="1"/>
  <c r="AJ40" i="20"/>
  <c r="AA259" i="59"/>
  <c r="AA238" i="59"/>
  <c r="AA254" i="59"/>
  <c r="AA248" i="59"/>
  <c r="W78" i="33"/>
  <c r="AB11" i="56"/>
  <c r="F31" i="53"/>
  <c r="B343" i="60"/>
  <c r="I134" i="60"/>
  <c r="AL18" i="23"/>
  <c r="AM13" i="23"/>
  <c r="AM7" i="23"/>
  <c r="AM474" i="23" s="1"/>
  <c r="AM498" i="23" s="1"/>
  <c r="AN13" i="23"/>
  <c r="AN7" i="23"/>
  <c r="AN474" i="23" s="1"/>
  <c r="AN498" i="23" s="1"/>
  <c r="AN264" i="23"/>
  <c r="AJ575" i="23"/>
  <c r="AJ584" i="23" s="1"/>
  <c r="AD200" i="59"/>
  <c r="AD199" i="59"/>
  <c r="AE199" i="59"/>
  <c r="AE200" i="59"/>
  <c r="AL219" i="23"/>
  <c r="AL269" i="23"/>
  <c r="AL275" i="23" s="1"/>
  <c r="Z93" i="38" l="1"/>
  <c r="AK40" i="20"/>
  <c r="AA251" i="59"/>
  <c r="AB231" i="59"/>
  <c r="AB237" i="59" s="1"/>
  <c r="AA261" i="59"/>
  <c r="AA262" i="59" s="1"/>
  <c r="AM520" i="23"/>
  <c r="AM521" i="23" s="1"/>
  <c r="AM210" i="23"/>
  <c r="J134" i="60"/>
  <c r="AD7" i="56"/>
  <c r="AM17" i="23"/>
  <c r="AM14" i="23"/>
  <c r="AN520" i="23"/>
  <c r="AN521" i="23" s="1"/>
  <c r="AN210" i="23"/>
  <c r="C343" i="60"/>
  <c r="AC11" i="56"/>
  <c r="AJ577" i="23"/>
  <c r="AN14" i="23"/>
  <c r="AN17" i="23"/>
  <c r="AE7" i="56"/>
  <c r="G31" i="53"/>
  <c r="X78" i="33"/>
  <c r="AA93" i="38" l="1"/>
  <c r="AL40" i="20"/>
  <c r="AB238" i="59"/>
  <c r="AB254" i="59"/>
  <c r="AB248" i="59"/>
  <c r="AB259" i="59"/>
  <c r="AJ569" i="23"/>
  <c r="AJ578" i="23"/>
  <c r="K134" i="60"/>
  <c r="H31" i="53"/>
  <c r="D343" i="60"/>
  <c r="AM18" i="23"/>
  <c r="AN18" i="23"/>
  <c r="AN219" i="23"/>
  <c r="AN269" i="23"/>
  <c r="AN275" i="23" s="1"/>
  <c r="AE11" i="56" s="1"/>
  <c r="AM219" i="23"/>
  <c r="AM269" i="23"/>
  <c r="AM275" i="23" s="1"/>
  <c r="Y78" i="33"/>
  <c r="AB251" i="59" l="1"/>
  <c r="AC231" i="59"/>
  <c r="AC237" i="59" s="1"/>
  <c r="AB261" i="59"/>
  <c r="AB262" i="59" s="1"/>
  <c r="E343" i="60"/>
  <c r="L134" i="60"/>
  <c r="AD11" i="56"/>
  <c r="Z78" i="33"/>
  <c r="I31" i="53"/>
  <c r="AJ195" i="23"/>
  <c r="AK573" i="23"/>
  <c r="AB93" i="38" l="1"/>
  <c r="AM40" i="20"/>
  <c r="AC248" i="59"/>
  <c r="AC238" i="59"/>
  <c r="AC254" i="59"/>
  <c r="AC259" i="59"/>
  <c r="Q97" i="20"/>
  <c r="M72" i="31"/>
  <c r="F111" i="38"/>
  <c r="AK575" i="23"/>
  <c r="AK584" i="23" s="1"/>
  <c r="AA78" i="33"/>
  <c r="M134" i="60"/>
  <c r="J31" i="53"/>
  <c r="F343" i="60"/>
  <c r="G111" i="38" l="1"/>
  <c r="B166" i="60"/>
  <c r="AC251" i="59"/>
  <c r="AC261" i="59"/>
  <c r="AC262" i="59" s="1"/>
  <c r="AD231" i="59"/>
  <c r="AD237" i="59" s="1"/>
  <c r="R97" i="20"/>
  <c r="S97" i="20" s="1"/>
  <c r="T97" i="20" s="1"/>
  <c r="U97" i="20" s="1"/>
  <c r="V97" i="20" s="1"/>
  <c r="W97" i="20" s="1"/>
  <c r="X97" i="20" s="1"/>
  <c r="Y97" i="20" s="1"/>
  <c r="Z97" i="20" s="1"/>
  <c r="AA97" i="20" s="1"/>
  <c r="AB97" i="20" s="1"/>
  <c r="AC97" i="20" s="1"/>
  <c r="AD97" i="20" s="1"/>
  <c r="AE97" i="20" s="1"/>
  <c r="AF97" i="20" s="1"/>
  <c r="AG97" i="20" s="1"/>
  <c r="AH97" i="20" s="1"/>
  <c r="AI97" i="20" s="1"/>
  <c r="AJ97" i="20" s="1"/>
  <c r="AK97" i="20" s="1"/>
  <c r="AL97" i="20" s="1"/>
  <c r="AM97" i="20" s="1"/>
  <c r="AN97" i="20" s="1"/>
  <c r="B196" i="60"/>
  <c r="C196" i="60" s="1"/>
  <c r="D196" i="60" s="1"/>
  <c r="E196" i="60" s="1"/>
  <c r="F196" i="60" s="1"/>
  <c r="G196" i="60" s="1"/>
  <c r="H196" i="60" s="1"/>
  <c r="I196" i="60" s="1"/>
  <c r="J196" i="60" s="1"/>
  <c r="K196" i="60" s="1"/>
  <c r="L196" i="60" s="1"/>
  <c r="M196" i="60" s="1"/>
  <c r="N196" i="60" s="1"/>
  <c r="O196" i="60" s="1"/>
  <c r="P196" i="60" s="1"/>
  <c r="Q196" i="60" s="1"/>
  <c r="R196" i="60" s="1"/>
  <c r="S196" i="60" s="1"/>
  <c r="T196" i="60" s="1"/>
  <c r="U196" i="60" s="1"/>
  <c r="V196" i="60" s="1"/>
  <c r="W196" i="60" s="1"/>
  <c r="X196" i="60" s="1"/>
  <c r="Y196" i="60" s="1"/>
  <c r="N72" i="31"/>
  <c r="O72" i="31" s="1"/>
  <c r="P72" i="31" s="1"/>
  <c r="Q72" i="31" s="1"/>
  <c r="R72" i="31" s="1"/>
  <c r="S72" i="31" s="1"/>
  <c r="T72" i="31" s="1"/>
  <c r="U72" i="31" s="1"/>
  <c r="V72" i="31" s="1"/>
  <c r="W72" i="31" s="1"/>
  <c r="X72" i="31" s="1"/>
  <c r="Y72" i="31" s="1"/>
  <c r="Z72" i="31" s="1"/>
  <c r="AA72" i="31" s="1"/>
  <c r="AB72" i="31" s="1"/>
  <c r="AC72" i="31" s="1"/>
  <c r="AD72" i="31" s="1"/>
  <c r="AE72" i="31" s="1"/>
  <c r="AF72" i="31" s="1"/>
  <c r="AG72" i="31" s="1"/>
  <c r="AH72" i="31" s="1"/>
  <c r="AI72" i="31" s="1"/>
  <c r="AJ72" i="31" s="1"/>
  <c r="B78" i="60"/>
  <c r="C78" i="60" s="1"/>
  <c r="D78" i="60" s="1"/>
  <c r="E78" i="60" s="1"/>
  <c r="F78" i="60" s="1"/>
  <c r="G78" i="60" s="1"/>
  <c r="H78" i="60" s="1"/>
  <c r="I78" i="60" s="1"/>
  <c r="J78" i="60" s="1"/>
  <c r="K78" i="60" s="1"/>
  <c r="L78" i="60" s="1"/>
  <c r="M78" i="60" s="1"/>
  <c r="N78" i="60" s="1"/>
  <c r="O78" i="60" s="1"/>
  <c r="P78" i="60" s="1"/>
  <c r="Q78" i="60" s="1"/>
  <c r="R78" i="60" s="1"/>
  <c r="S78" i="60" s="1"/>
  <c r="T78" i="60" s="1"/>
  <c r="U78" i="60" s="1"/>
  <c r="V78" i="60" s="1"/>
  <c r="W78" i="60" s="1"/>
  <c r="X78" i="60" s="1"/>
  <c r="Y78" i="60" s="1"/>
  <c r="K31" i="53"/>
  <c r="AB78" i="33"/>
  <c r="G343" i="60"/>
  <c r="N134" i="60"/>
  <c r="AK577" i="23"/>
  <c r="H111" i="38" l="1"/>
  <c r="C166" i="60"/>
  <c r="AD248" i="59"/>
  <c r="AD254" i="59"/>
  <c r="AD238" i="59"/>
  <c r="AD259" i="59"/>
  <c r="AC78" i="33"/>
  <c r="O134" i="60"/>
  <c r="AK569" i="23"/>
  <c r="AK578" i="23"/>
  <c r="H343" i="60"/>
  <c r="L31" i="53"/>
  <c r="I111" i="38" l="1"/>
  <c r="D166" i="60"/>
  <c r="AD251" i="59"/>
  <c r="AE231" i="59"/>
  <c r="AE237" i="59" s="1"/>
  <c r="AD261" i="59"/>
  <c r="AD262" i="59" s="1"/>
  <c r="I343" i="60"/>
  <c r="P134" i="60"/>
  <c r="M31" i="53"/>
  <c r="AD78" i="33"/>
  <c r="AK195" i="23"/>
  <c r="AL573" i="23"/>
  <c r="J111" i="38" l="1"/>
  <c r="E166" i="60"/>
  <c r="AE254" i="59"/>
  <c r="AE259" i="59"/>
  <c r="AE238" i="59"/>
  <c r="AE248" i="59"/>
  <c r="AE261" i="59" s="1"/>
  <c r="AL575" i="23"/>
  <c r="AL584" i="23" s="1"/>
  <c r="AE78" i="33"/>
  <c r="N31" i="53"/>
  <c r="J343" i="60"/>
  <c r="Q134" i="60"/>
  <c r="K111" i="38" l="1"/>
  <c r="F166" i="60"/>
  <c r="AE262" i="59"/>
  <c r="AE251" i="59"/>
  <c r="AF78" i="33"/>
  <c r="O31" i="53"/>
  <c r="R134" i="60"/>
  <c r="K343" i="60"/>
  <c r="AL577" i="23"/>
  <c r="L111" i="38" l="1"/>
  <c r="G166" i="60"/>
  <c r="L343" i="60"/>
  <c r="S134" i="60"/>
  <c r="AG78" i="33"/>
  <c r="P31" i="53"/>
  <c r="AL569" i="23"/>
  <c r="AL578" i="23"/>
  <c r="M111" i="38" l="1"/>
  <c r="H166" i="60"/>
  <c r="T134" i="60"/>
  <c r="Q31" i="53"/>
  <c r="AH78" i="33"/>
  <c r="AL195" i="23"/>
  <c r="AM573" i="23"/>
  <c r="M343" i="60"/>
  <c r="N111" i="38" l="1"/>
  <c r="I166" i="60"/>
  <c r="N343" i="60"/>
  <c r="AI78" i="33"/>
  <c r="AM575" i="23"/>
  <c r="AM584" i="23" s="1"/>
  <c r="R31" i="53"/>
  <c r="U134" i="60"/>
  <c r="O111" i="38" l="1"/>
  <c r="J166" i="60"/>
  <c r="AM577" i="23"/>
  <c r="AM578" i="23" s="1"/>
  <c r="V134" i="60"/>
  <c r="AJ78" i="33"/>
  <c r="O343" i="60"/>
  <c r="S31" i="53"/>
  <c r="AM569" i="23" l="1"/>
  <c r="AM195" i="23" s="1"/>
  <c r="P111" i="38"/>
  <c r="K166" i="60"/>
  <c r="AK78" i="33"/>
  <c r="W134" i="60"/>
  <c r="T31" i="53"/>
  <c r="P343" i="60"/>
  <c r="AN573" i="23" l="1"/>
  <c r="AN575" i="23" s="1"/>
  <c r="AN584" i="23" s="1"/>
  <c r="Q111" i="38"/>
  <c r="L166" i="60"/>
  <c r="X134" i="60"/>
  <c r="AL78" i="33"/>
  <c r="Q343" i="60"/>
  <c r="U31" i="53"/>
  <c r="R111" i="38" l="1"/>
  <c r="M166" i="60"/>
  <c r="R343" i="60"/>
  <c r="V31" i="53"/>
  <c r="AN577" i="23"/>
  <c r="Y134" i="60"/>
  <c r="S111" i="38" l="1"/>
  <c r="N166" i="60"/>
  <c r="AN569" i="23"/>
  <c r="AN578" i="23"/>
  <c r="S343" i="60"/>
  <c r="W31" i="53"/>
  <c r="T111" i="38" l="1"/>
  <c r="O166" i="60"/>
  <c r="X31" i="53"/>
  <c r="T343" i="60"/>
  <c r="AN195" i="23"/>
  <c r="U111" i="38" l="1"/>
  <c r="P166" i="60"/>
  <c r="U343" i="60"/>
  <c r="Y31" i="53"/>
  <c r="V111" i="38" l="1"/>
  <c r="Q166" i="60"/>
  <c r="Z31" i="53"/>
  <c r="V343" i="60"/>
  <c r="W111" i="38" l="1"/>
  <c r="R166" i="60"/>
  <c r="W343" i="60"/>
  <c r="AA31" i="53"/>
  <c r="X111" i="38" l="1"/>
  <c r="S166" i="60"/>
  <c r="AB31" i="53"/>
  <c r="X343" i="60"/>
  <c r="Y111" i="38" l="1"/>
  <c r="T166" i="60"/>
  <c r="Y343" i="60"/>
  <c r="Z111" i="38" l="1"/>
  <c r="U166" i="60"/>
  <c r="AA111" i="38" l="1"/>
  <c r="V166" i="60"/>
  <c r="AB111" i="38" l="1"/>
  <c r="W166" i="60"/>
  <c r="AC111" i="38" l="1"/>
  <c r="Y166" i="60" s="1"/>
  <c r="X166" i="60"/>
  <c r="Q95" i="95" l="1"/>
  <c r="T89" i="95"/>
  <c r="M95" i="95"/>
  <c r="N95" i="95"/>
  <c r="H95" i="95"/>
  <c r="I95" i="95"/>
  <c r="I97" i="95" s="1"/>
  <c r="J95" i="95"/>
  <c r="J97" i="95" s="1"/>
  <c r="T102" i="95"/>
  <c r="T108" i="95" s="1"/>
  <c r="G109" i="95"/>
  <c r="G110" i="95" s="1"/>
  <c r="J109" i="95"/>
  <c r="AC171" i="20"/>
  <c r="AK172" i="20"/>
  <c r="AM171" i="20"/>
  <c r="AN171" i="20" s="1"/>
  <c r="AN170" i="20" s="1"/>
  <c r="AN172" i="20" s="1"/>
  <c r="AE172" i="20"/>
  <c r="AF172" i="20"/>
  <c r="AI172" i="20"/>
  <c r="AM172" i="20"/>
  <c r="I109" i="95" l="1"/>
  <c r="J110" i="95" s="1"/>
  <c r="AJ171" i="20"/>
  <c r="AI171" i="20"/>
  <c r="AE171" i="20"/>
  <c r="AF171" i="20"/>
  <c r="I96" i="95"/>
  <c r="I99" i="95" s="1"/>
  <c r="P95" i="95"/>
  <c r="L95" i="95"/>
  <c r="L109" i="95" s="1"/>
  <c r="Q109" i="95"/>
  <c r="K95" i="95"/>
  <c r="K109" i="95" s="1"/>
  <c r="K110" i="95" s="1"/>
  <c r="H96" i="95"/>
  <c r="H99" i="95" s="1"/>
  <c r="H109" i="95"/>
  <c r="H110" i="95" s="1"/>
  <c r="H97" i="95"/>
  <c r="R95" i="95"/>
  <c r="R109" i="95" s="1"/>
  <c r="J96" i="95"/>
  <c r="J99" i="95" s="1"/>
  <c r="N97" i="95"/>
  <c r="N109" i="95"/>
  <c r="N96" i="95"/>
  <c r="N99" i="95" s="1"/>
  <c r="M97" i="95"/>
  <c r="M109" i="95"/>
  <c r="T94" i="95"/>
  <c r="T95" i="95" s="1"/>
  <c r="T97" i="95" s="1"/>
  <c r="O95" i="95"/>
  <c r="O96" i="95" s="1"/>
  <c r="O99" i="95" s="1"/>
  <c r="AJ172" i="20"/>
  <c r="AK171" i="20"/>
  <c r="AG171" i="20"/>
  <c r="AC172" i="20"/>
  <c r="AG172" i="20"/>
  <c r="Q97" i="95"/>
  <c r="S95" i="95"/>
  <c r="AL171" i="20"/>
  <c r="AH171" i="20"/>
  <c r="AD171" i="20"/>
  <c r="P97" i="95"/>
  <c r="Q96" i="95"/>
  <c r="Q99" i="95" s="1"/>
  <c r="P109" i="95"/>
  <c r="L97" i="95"/>
  <c r="M96" i="95"/>
  <c r="M99" i="95" s="1"/>
  <c r="AL172" i="20"/>
  <c r="AH172" i="20"/>
  <c r="AD172" i="20"/>
  <c r="N110" i="95" l="1"/>
  <c r="L96" i="95"/>
  <c r="L99" i="95" s="1"/>
  <c r="K96" i="95"/>
  <c r="K99" i="95" s="1"/>
  <c r="K97" i="95"/>
  <c r="R110" i="95"/>
  <c r="T96" i="95"/>
  <c r="T99" i="95" s="1"/>
  <c r="R97" i="95"/>
  <c r="R96" i="95"/>
  <c r="R99" i="95" s="1"/>
  <c r="I110" i="95"/>
  <c r="O97" i="95"/>
  <c r="O109" i="95"/>
  <c r="O110" i="95" s="1"/>
  <c r="T109" i="95"/>
  <c r="P96" i="95"/>
  <c r="P99" i="95" s="1"/>
  <c r="S109" i="95"/>
  <c r="S110" i="95" s="1"/>
  <c r="S96" i="95"/>
  <c r="S99" i="95" s="1"/>
  <c r="S97" i="95"/>
  <c r="Q110" i="95"/>
  <c r="L110" i="95"/>
  <c r="M110" i="95"/>
  <c r="P110" i="95" l="1"/>
  <c r="T110" i="95"/>
  <c r="U32" i="85" l="1"/>
  <c r="CQ32" i="85"/>
  <c r="CR32" i="85"/>
  <c r="CS32" i="85"/>
  <c r="CT32" i="85"/>
  <c r="CU32" i="85"/>
  <c r="U33" i="85"/>
  <c r="CQ33" i="85"/>
  <c r="CR33" i="85"/>
  <c r="CS33" i="85"/>
  <c r="CT33" i="85"/>
  <c r="CU33" i="85"/>
  <c r="U34" i="85"/>
  <c r="V34" i="85"/>
  <c r="CQ34" i="85"/>
  <c r="CR34" i="85"/>
  <c r="CS34" i="85"/>
  <c r="CT34" i="85"/>
  <c r="CV34" i="85"/>
  <c r="CW34" i="85"/>
  <c r="CX34" i="85"/>
  <c r="CY34" i="85"/>
  <c r="U35" i="85"/>
  <c r="CQ35" i="85"/>
  <c r="CR35" i="85"/>
  <c r="CS35" i="85"/>
  <c r="CT35" i="85"/>
  <c r="X46" i="31"/>
  <c r="Y46" i="31"/>
  <c r="Z46" i="31"/>
  <c r="AA46" i="31"/>
  <c r="AB46" i="31"/>
  <c r="AC46" i="31"/>
  <c r="AD46" i="31"/>
  <c r="AE46" i="31"/>
  <c r="AF46" i="31"/>
  <c r="AG46" i="31"/>
  <c r="AH46" i="31"/>
  <c r="AI46" i="31"/>
  <c r="AJ46" i="31"/>
  <c r="X47" i="31"/>
  <c r="Y47" i="31"/>
  <c r="Z47" i="31"/>
  <c r="AA47" i="31"/>
  <c r="AB47" i="31"/>
  <c r="AC47" i="31"/>
  <c r="AD47" i="31"/>
  <c r="AE47" i="31"/>
  <c r="AF47" i="31"/>
  <c r="AG47" i="31"/>
  <c r="AH47" i="31"/>
  <c r="AI47" i="31"/>
  <c r="AJ47" i="31"/>
  <c r="X49" i="31"/>
  <c r="Y49" i="31"/>
  <c r="Z49" i="31"/>
  <c r="AA49" i="31"/>
  <c r="AB49" i="31"/>
  <c r="AC49" i="31"/>
  <c r="AD49" i="31"/>
  <c r="AE49" i="31"/>
  <c r="AF49" i="31"/>
  <c r="AG49" i="31"/>
  <c r="AH49" i="31"/>
  <c r="AI49" i="31"/>
  <c r="AJ49" i="31"/>
  <c r="X50" i="31"/>
  <c r="Y50" i="31"/>
  <c r="Z50" i="31"/>
  <c r="AA50" i="31"/>
  <c r="AB50" i="31"/>
  <c r="AC50" i="31"/>
  <c r="AD50" i="31"/>
  <c r="AE50" i="31"/>
  <c r="AF50" i="31"/>
  <c r="AG50" i="31"/>
  <c r="AH50" i="31"/>
  <c r="AI50" i="31"/>
  <c r="AJ50" i="31"/>
  <c r="X55" i="31"/>
  <c r="Y55" i="31"/>
  <c r="Z55" i="31"/>
  <c r="AA55" i="31"/>
  <c r="AB55" i="31"/>
  <c r="AC55" i="31"/>
  <c r="AD55" i="31"/>
  <c r="AE55" i="31"/>
  <c r="AF55" i="31"/>
  <c r="AG55" i="31"/>
  <c r="AH55" i="31"/>
  <c r="AI55" i="31"/>
  <c r="AJ55" i="31"/>
  <c r="X57" i="31"/>
  <c r="Y57" i="31"/>
  <c r="Z57" i="31"/>
  <c r="AA57" i="31"/>
  <c r="AB57" i="31"/>
  <c r="AC57" i="31"/>
  <c r="AD57" i="31"/>
  <c r="AE57" i="31"/>
  <c r="AF57" i="31"/>
  <c r="AG57" i="31"/>
  <c r="AH57" i="31"/>
  <c r="AI57" i="31"/>
  <c r="AJ57" i="31"/>
  <c r="X58" i="31"/>
  <c r="Y58" i="31"/>
  <c r="Z58" i="31"/>
  <c r="AA58" i="31"/>
  <c r="AB58" i="31"/>
  <c r="AC58" i="31"/>
  <c r="AD58" i="31"/>
  <c r="AE58" i="31"/>
  <c r="AF58" i="31"/>
  <c r="AG58" i="31"/>
  <c r="AH58" i="31"/>
  <c r="AI58" i="31"/>
  <c r="AJ58" i="31"/>
  <c r="M62" i="31"/>
  <c r="N62" i="31"/>
  <c r="O62" i="31"/>
  <c r="P62" i="31"/>
  <c r="Q62" i="31"/>
  <c r="R62" i="31"/>
  <c r="S62" i="31"/>
  <c r="T62" i="31"/>
  <c r="U62" i="31"/>
  <c r="V62" i="31"/>
  <c r="W62" i="31"/>
  <c r="X62" i="31"/>
  <c r="Y62" i="31"/>
  <c r="Z62" i="31"/>
  <c r="AA62" i="31"/>
  <c r="AB62" i="31"/>
  <c r="AC62" i="31"/>
  <c r="AD62" i="31"/>
  <c r="AE62" i="31"/>
  <c r="AF62" i="31"/>
  <c r="AG62" i="31"/>
  <c r="AH62" i="31"/>
  <c r="AI62" i="31"/>
  <c r="AJ62" i="31"/>
  <c r="M66" i="31"/>
  <c r="N66" i="31"/>
  <c r="O66" i="31"/>
  <c r="P66" i="31"/>
  <c r="Q66" i="31"/>
  <c r="R66" i="31"/>
  <c r="S66" i="31"/>
  <c r="T66" i="31"/>
  <c r="U66" i="31"/>
  <c r="V66" i="31"/>
  <c r="W66" i="31"/>
  <c r="X66" i="31"/>
  <c r="Y66" i="31"/>
  <c r="Z66" i="31"/>
  <c r="AA66" i="31"/>
  <c r="AB66" i="31"/>
  <c r="AC66" i="31"/>
  <c r="AD66" i="31"/>
  <c r="AE66" i="31"/>
  <c r="AF66" i="31"/>
  <c r="AG66" i="31"/>
  <c r="AH66" i="31"/>
  <c r="AI66" i="31"/>
  <c r="AJ66" i="31"/>
  <c r="M70" i="31"/>
  <c r="N70" i="31"/>
  <c r="O70" i="31"/>
  <c r="P70" i="31"/>
  <c r="Q70" i="31"/>
  <c r="R70" i="31"/>
  <c r="S70" i="31"/>
  <c r="T70" i="31"/>
  <c r="U70" i="31"/>
  <c r="V70" i="31"/>
  <c r="W70" i="31"/>
  <c r="X70" i="31"/>
  <c r="Y70" i="31"/>
  <c r="Z70" i="31"/>
  <c r="AA70" i="31"/>
  <c r="AB70" i="31"/>
  <c r="AC70" i="31"/>
  <c r="AD70" i="31"/>
  <c r="AE70" i="31"/>
  <c r="AF70" i="31"/>
  <c r="AG70" i="31"/>
  <c r="AH70" i="31"/>
  <c r="AI70" i="31"/>
  <c r="AJ70" i="31"/>
  <c r="M73" i="31"/>
  <c r="N73" i="31"/>
  <c r="O73" i="31"/>
  <c r="P73" i="31"/>
  <c r="Q73" i="31"/>
  <c r="R73" i="31"/>
  <c r="S73" i="31"/>
  <c r="T73" i="31"/>
  <c r="U73" i="31"/>
  <c r="V73" i="31"/>
  <c r="W73" i="31"/>
  <c r="X73" i="31"/>
  <c r="Y73" i="31"/>
  <c r="Z73" i="31"/>
  <c r="AA73" i="31"/>
  <c r="AB73" i="31"/>
  <c r="AC73" i="31"/>
  <c r="AD73" i="31"/>
  <c r="AE73" i="31"/>
  <c r="AF73" i="31"/>
  <c r="AG73" i="31"/>
  <c r="AH73" i="31"/>
  <c r="AI73" i="31"/>
  <c r="AJ73" i="31"/>
  <c r="M74" i="31"/>
  <c r="N74" i="31"/>
  <c r="O74" i="31"/>
  <c r="P74" i="31"/>
  <c r="Q74" i="31"/>
  <c r="R74" i="31"/>
  <c r="S74" i="31"/>
  <c r="T74" i="31"/>
  <c r="U74" i="31"/>
  <c r="V74" i="31"/>
  <c r="W74" i="31"/>
  <c r="X74" i="31"/>
  <c r="Y74" i="31"/>
  <c r="Z74" i="31"/>
  <c r="AA74" i="31"/>
  <c r="AB74" i="31"/>
  <c r="AC74" i="31"/>
  <c r="AD74" i="31"/>
  <c r="AE74" i="31"/>
  <c r="AF74" i="31"/>
  <c r="AG74" i="31"/>
  <c r="AH74" i="31"/>
  <c r="AI74" i="31"/>
  <c r="AJ74" i="31"/>
  <c r="M75" i="31"/>
  <c r="N75" i="31"/>
  <c r="O75" i="31"/>
  <c r="P75" i="31"/>
  <c r="Q75" i="31"/>
  <c r="R75" i="31"/>
  <c r="S75" i="31"/>
  <c r="T75" i="31"/>
  <c r="U75" i="31"/>
  <c r="V75" i="31"/>
  <c r="W75" i="31"/>
  <c r="X75" i="31"/>
  <c r="Y75" i="31"/>
  <c r="Z75" i="31"/>
  <c r="AA75" i="31"/>
  <c r="AB75" i="31"/>
  <c r="AC75" i="31"/>
  <c r="AD75" i="31"/>
  <c r="AE75" i="31"/>
  <c r="AF75" i="31"/>
  <c r="AG75" i="31"/>
  <c r="AH75" i="31"/>
  <c r="AI75" i="31"/>
  <c r="AJ75" i="31"/>
  <c r="M76" i="31"/>
  <c r="N76" i="31"/>
  <c r="O76" i="31"/>
  <c r="P76" i="31"/>
  <c r="Q76" i="31"/>
  <c r="R76" i="31"/>
  <c r="S76" i="31"/>
  <c r="T76" i="31"/>
  <c r="U76" i="31"/>
  <c r="V76" i="31"/>
  <c r="W76" i="31"/>
  <c r="X76" i="31"/>
  <c r="Y76" i="31"/>
  <c r="Z76" i="31"/>
  <c r="AA76" i="31"/>
  <c r="AB76" i="31"/>
  <c r="AC76" i="31"/>
  <c r="AD76" i="31"/>
  <c r="AE76" i="31"/>
  <c r="AF76" i="31"/>
  <c r="AG76" i="31"/>
  <c r="AH76" i="31"/>
  <c r="AI76" i="31"/>
  <c r="AJ76" i="31"/>
  <c r="M77" i="31"/>
  <c r="N77" i="31"/>
  <c r="O77" i="31"/>
  <c r="P77" i="31"/>
  <c r="Q77" i="31"/>
  <c r="R77" i="31"/>
  <c r="S77" i="31"/>
  <c r="T77" i="31"/>
  <c r="U77" i="31"/>
  <c r="V77" i="31"/>
  <c r="W77" i="31"/>
  <c r="X77" i="31"/>
  <c r="Y77" i="31"/>
  <c r="Z77" i="31"/>
  <c r="AA77" i="31"/>
  <c r="AB77" i="31"/>
  <c r="AC77" i="31"/>
  <c r="AD77" i="31"/>
  <c r="AE77" i="31"/>
  <c r="AF77" i="31"/>
  <c r="AG77" i="31"/>
  <c r="AH77" i="31"/>
  <c r="AI77" i="31"/>
  <c r="AJ77" i="31"/>
  <c r="M78" i="31"/>
  <c r="N78" i="31"/>
  <c r="O78" i="31"/>
  <c r="P78" i="31"/>
  <c r="Q78" i="31"/>
  <c r="R78" i="31"/>
  <c r="S78" i="31"/>
  <c r="T78" i="31"/>
  <c r="U78" i="31"/>
  <c r="V78" i="31"/>
  <c r="W78" i="31"/>
  <c r="X78" i="31"/>
  <c r="Y78" i="31"/>
  <c r="Z78" i="31"/>
  <c r="AA78" i="31"/>
  <c r="AB78" i="31"/>
  <c r="AC78" i="31"/>
  <c r="AD78" i="31"/>
  <c r="AE78" i="31"/>
  <c r="AF78" i="31"/>
  <c r="AG78" i="31"/>
  <c r="AH78" i="31"/>
  <c r="AI78" i="31"/>
  <c r="M80" i="31"/>
  <c r="N80" i="31"/>
  <c r="O80" i="31"/>
  <c r="P80" i="31"/>
  <c r="Q80" i="31"/>
  <c r="R80" i="31"/>
  <c r="S80" i="31"/>
  <c r="T80" i="31"/>
  <c r="U80" i="31"/>
  <c r="V80" i="31"/>
  <c r="W80" i="31"/>
  <c r="X80" i="31"/>
  <c r="Y80" i="31"/>
  <c r="Z80" i="31"/>
  <c r="AA80" i="31"/>
  <c r="AB80" i="31"/>
  <c r="AC80" i="31"/>
  <c r="AD80" i="31"/>
  <c r="AE80" i="31"/>
  <c r="AF80" i="31"/>
  <c r="AG80" i="31"/>
  <c r="AH80" i="31"/>
  <c r="AI80" i="31"/>
  <c r="AJ80" i="31"/>
  <c r="M81" i="31"/>
  <c r="N81" i="31"/>
  <c r="O81" i="31"/>
  <c r="P81" i="31"/>
  <c r="Q81" i="31"/>
  <c r="R81" i="31"/>
  <c r="S81" i="31"/>
  <c r="T81" i="31"/>
  <c r="U81" i="31"/>
  <c r="V81" i="31"/>
  <c r="W81" i="31"/>
  <c r="X81" i="31"/>
  <c r="Y81" i="31"/>
  <c r="Z81" i="31"/>
  <c r="AA81" i="31"/>
  <c r="AB81" i="31"/>
  <c r="AC81" i="31"/>
  <c r="AD81" i="31"/>
  <c r="AE81" i="31"/>
  <c r="AF81" i="31"/>
  <c r="AG81" i="31"/>
  <c r="AH81" i="31"/>
  <c r="AI81" i="31"/>
  <c r="AJ81" i="31"/>
  <c r="M82" i="31"/>
  <c r="N82" i="31"/>
  <c r="O82" i="31"/>
  <c r="P82" i="31"/>
  <c r="Q82" i="31"/>
  <c r="R82" i="31"/>
  <c r="S82" i="31"/>
  <c r="T82" i="31"/>
  <c r="U82" i="31"/>
  <c r="V82" i="31"/>
  <c r="W82" i="31"/>
  <c r="X82" i="31"/>
  <c r="Y82" i="31"/>
  <c r="Z82" i="31"/>
  <c r="AA82" i="31"/>
  <c r="AB82" i="31"/>
  <c r="AC82" i="31"/>
  <c r="AD82" i="31"/>
  <c r="AE82" i="31"/>
  <c r="AF82" i="31"/>
  <c r="AG82" i="31"/>
  <c r="AH82" i="31"/>
  <c r="AI82" i="31"/>
  <c r="AB20" i="32"/>
  <c r="AC20" i="32"/>
  <c r="AD20" i="32"/>
  <c r="AE20" i="32"/>
  <c r="AF20" i="32"/>
  <c r="AG20" i="32"/>
  <c r="AH20" i="32"/>
  <c r="AI20" i="32"/>
  <c r="AJ20" i="32"/>
  <c r="AK20" i="32"/>
  <c r="AL20" i="32"/>
  <c r="AM20" i="32"/>
  <c r="AN20" i="32"/>
  <c r="AB21" i="32"/>
  <c r="AC21" i="32"/>
  <c r="AD21" i="32"/>
  <c r="AE21" i="32"/>
  <c r="AF21" i="32"/>
  <c r="AG21" i="32"/>
  <c r="AH21" i="32"/>
  <c r="AI21" i="32"/>
  <c r="AJ21" i="32"/>
  <c r="AK21" i="32"/>
  <c r="AL21" i="32"/>
  <c r="AM21" i="32"/>
  <c r="AN21" i="32"/>
  <c r="AB23" i="32"/>
  <c r="AC23" i="32"/>
  <c r="AD23" i="32"/>
  <c r="AE23" i="32"/>
  <c r="AF23" i="32"/>
  <c r="AG23" i="32"/>
  <c r="AH23" i="32"/>
  <c r="AI23" i="32"/>
  <c r="AJ23" i="32"/>
  <c r="AK23" i="32"/>
  <c r="AL23" i="32"/>
  <c r="AM23" i="32"/>
  <c r="AN23" i="32"/>
  <c r="AB24" i="32"/>
  <c r="AC24" i="32"/>
  <c r="AD24" i="32"/>
  <c r="AE24" i="32"/>
  <c r="AF24" i="32"/>
  <c r="AG24" i="32"/>
  <c r="AH24" i="32"/>
  <c r="AI24" i="32"/>
  <c r="AJ24" i="32"/>
  <c r="AK24" i="32"/>
  <c r="AL24" i="32"/>
  <c r="AM24" i="32"/>
  <c r="AN24" i="32"/>
  <c r="AB25" i="32"/>
  <c r="AC25" i="32"/>
  <c r="AD25" i="32"/>
  <c r="AE25" i="32"/>
  <c r="AF25" i="32"/>
  <c r="AG25" i="32"/>
  <c r="AH25" i="32"/>
  <c r="AI25" i="32"/>
  <c r="AJ25" i="32"/>
  <c r="AK25" i="32"/>
  <c r="AL25" i="32"/>
  <c r="AM25" i="32"/>
  <c r="AN25" i="32"/>
  <c r="AB29" i="32"/>
  <c r="AC29" i="32"/>
  <c r="AD29" i="32"/>
  <c r="AE29" i="32"/>
  <c r="AF29" i="32"/>
  <c r="AG29" i="32"/>
  <c r="AH29" i="32"/>
  <c r="AI29" i="32"/>
  <c r="AJ29" i="32"/>
  <c r="AK29" i="32"/>
  <c r="AL29" i="32"/>
  <c r="AM29" i="32"/>
  <c r="AN29" i="32"/>
  <c r="AB31" i="32"/>
  <c r="AC31" i="32"/>
  <c r="AD31" i="32"/>
  <c r="AE31" i="32"/>
  <c r="AF31" i="32"/>
  <c r="AG31" i="32"/>
  <c r="AH31" i="32"/>
  <c r="AI31" i="32"/>
  <c r="AJ31" i="32"/>
  <c r="AK31" i="32"/>
  <c r="AL31" i="32"/>
  <c r="AM31" i="32"/>
  <c r="AN31" i="32"/>
  <c r="AB32" i="32"/>
  <c r="AC32" i="32"/>
  <c r="AD32" i="32"/>
  <c r="AE32" i="32"/>
  <c r="AF32" i="32"/>
  <c r="AG32" i="32"/>
  <c r="AH32" i="32"/>
  <c r="AI32" i="32"/>
  <c r="AJ32" i="32"/>
  <c r="AK32" i="32"/>
  <c r="AL32" i="32"/>
  <c r="AM32" i="32"/>
  <c r="AN32" i="32"/>
  <c r="Q36" i="32"/>
  <c r="R36" i="32"/>
  <c r="S36" i="32"/>
  <c r="T36" i="32"/>
  <c r="U36" i="32"/>
  <c r="V36" i="32"/>
  <c r="W36" i="32"/>
  <c r="X36" i="32"/>
  <c r="Y36" i="32"/>
  <c r="Z36" i="32"/>
  <c r="AA36" i="32"/>
  <c r="AB36" i="32"/>
  <c r="AC36" i="32"/>
  <c r="AD36" i="32"/>
  <c r="AE36" i="32"/>
  <c r="AF36" i="32"/>
  <c r="AG36" i="32"/>
  <c r="AH36" i="32"/>
  <c r="AI36" i="32"/>
  <c r="AJ36" i="32"/>
  <c r="AK36" i="32"/>
  <c r="AL36" i="32"/>
  <c r="AM36" i="32"/>
  <c r="AN36" i="32"/>
  <c r="Q40" i="32"/>
  <c r="R40" i="32"/>
  <c r="S40" i="32"/>
  <c r="T40" i="32"/>
  <c r="U40" i="32"/>
  <c r="V40" i="32"/>
  <c r="W40" i="32"/>
  <c r="X40" i="32"/>
  <c r="Y40" i="32"/>
  <c r="Z40" i="32"/>
  <c r="AA40" i="32"/>
  <c r="AB40" i="32"/>
  <c r="AC40" i="32"/>
  <c r="AD40" i="32"/>
  <c r="AE40" i="32"/>
  <c r="AF40" i="32"/>
  <c r="AG40" i="32"/>
  <c r="AH40" i="32"/>
  <c r="AI40" i="32"/>
  <c r="AJ40" i="32"/>
  <c r="AK40" i="32"/>
  <c r="AL40" i="32"/>
  <c r="AM40" i="32"/>
  <c r="AN40" i="32"/>
  <c r="Q44" i="32"/>
  <c r="R44" i="32"/>
  <c r="S44" i="32"/>
  <c r="T44" i="32"/>
  <c r="U44" i="32"/>
  <c r="V44" i="32"/>
  <c r="W44" i="32"/>
  <c r="X44" i="32"/>
  <c r="Y44" i="32"/>
  <c r="Z44" i="32"/>
  <c r="AA44" i="32"/>
  <c r="AB44" i="32"/>
  <c r="AC44" i="32"/>
  <c r="AD44" i="32"/>
  <c r="AE44" i="32"/>
  <c r="AF44" i="32"/>
  <c r="AG44" i="32"/>
  <c r="AH44" i="32"/>
  <c r="AI44" i="32"/>
  <c r="AJ44" i="32"/>
  <c r="AK44" i="32"/>
  <c r="AL44" i="32"/>
  <c r="AM44" i="32"/>
  <c r="AN44" i="32"/>
  <c r="Q46" i="32"/>
  <c r="R46" i="32"/>
  <c r="S46" i="32"/>
  <c r="T46" i="32"/>
  <c r="U46" i="32"/>
  <c r="V46" i="32"/>
  <c r="W46" i="32"/>
  <c r="X46" i="32"/>
  <c r="Y46" i="32"/>
  <c r="Z46" i="32"/>
  <c r="AA46" i="32"/>
  <c r="AB46" i="32"/>
  <c r="AC46" i="32"/>
  <c r="AD46" i="32"/>
  <c r="AE46" i="32"/>
  <c r="AF46" i="32"/>
  <c r="AG46" i="32"/>
  <c r="AH46" i="32"/>
  <c r="AI46" i="32"/>
  <c r="AJ46" i="32"/>
  <c r="AK46" i="32"/>
  <c r="AL46" i="32"/>
  <c r="AM46" i="32"/>
  <c r="AN46" i="32"/>
  <c r="Q47" i="32"/>
  <c r="R47" i="32"/>
  <c r="S47" i="32"/>
  <c r="T47" i="32"/>
  <c r="U47" i="32"/>
  <c r="V47" i="32"/>
  <c r="W47" i="32"/>
  <c r="X47" i="32"/>
  <c r="Y47" i="32"/>
  <c r="Z47" i="32"/>
  <c r="AA47" i="32"/>
  <c r="AB47" i="32"/>
  <c r="AC47" i="32"/>
  <c r="AD47" i="32"/>
  <c r="AE47" i="32"/>
  <c r="AF47" i="32"/>
  <c r="AG47" i="32"/>
  <c r="AH47" i="32"/>
  <c r="AI47" i="32"/>
  <c r="AJ47" i="32"/>
  <c r="AK47" i="32"/>
  <c r="AL47" i="32"/>
  <c r="AM47" i="32"/>
  <c r="AN47" i="32"/>
  <c r="Q48" i="32"/>
  <c r="R48" i="32"/>
  <c r="S48" i="32"/>
  <c r="T48" i="32"/>
  <c r="U48" i="32"/>
  <c r="V48" i="32"/>
  <c r="W48" i="32"/>
  <c r="X48" i="32"/>
  <c r="Y48" i="32"/>
  <c r="Z48" i="32"/>
  <c r="AA48" i="32"/>
  <c r="AB48" i="32"/>
  <c r="AC48" i="32"/>
  <c r="AD48" i="32"/>
  <c r="AE48" i="32"/>
  <c r="AF48" i="32"/>
  <c r="AG48" i="32"/>
  <c r="AH48" i="32"/>
  <c r="AI48" i="32"/>
  <c r="AJ48" i="32"/>
  <c r="AK48" i="32"/>
  <c r="AL48" i="32"/>
  <c r="AM48" i="32"/>
  <c r="AN48" i="32"/>
  <c r="Q49" i="32"/>
  <c r="R49" i="32"/>
  <c r="S49" i="32"/>
  <c r="T49" i="32"/>
  <c r="U49" i="32"/>
  <c r="V49" i="32"/>
  <c r="W49" i="32"/>
  <c r="X49" i="32"/>
  <c r="Y49" i="32"/>
  <c r="Z49" i="32"/>
  <c r="AA49" i="32"/>
  <c r="AB49" i="32"/>
  <c r="AC49" i="32"/>
  <c r="AD49" i="32"/>
  <c r="AE49" i="32"/>
  <c r="AF49" i="32"/>
  <c r="AG49" i="32"/>
  <c r="AH49" i="32"/>
  <c r="AI49" i="32"/>
  <c r="AJ49" i="32"/>
  <c r="AK49" i="32"/>
  <c r="AL49" i="32"/>
  <c r="AM49" i="32"/>
  <c r="AN49" i="32"/>
  <c r="Q50" i="32"/>
  <c r="R50" i="32"/>
  <c r="S50" i="32"/>
  <c r="T50" i="32"/>
  <c r="U50" i="32"/>
  <c r="V50" i="32"/>
  <c r="W50" i="32"/>
  <c r="X50" i="32"/>
  <c r="Y50" i="32"/>
  <c r="Z50" i="32"/>
  <c r="AA50" i="32"/>
  <c r="AB50" i="32"/>
  <c r="AC50" i="32"/>
  <c r="AD50" i="32"/>
  <c r="AE50" i="32"/>
  <c r="AF50" i="32"/>
  <c r="AG50" i="32"/>
  <c r="AH50" i="32"/>
  <c r="AI50" i="32"/>
  <c r="AJ50" i="32"/>
  <c r="AK50" i="32"/>
  <c r="AL50" i="32"/>
  <c r="AM50" i="32"/>
  <c r="AN50" i="32"/>
  <c r="Q51" i="32"/>
  <c r="R51" i="32"/>
  <c r="S51" i="32"/>
  <c r="T51" i="32"/>
  <c r="U51" i="32"/>
  <c r="V51" i="32"/>
  <c r="W51" i="32"/>
  <c r="X51" i="32"/>
  <c r="Y51" i="32"/>
  <c r="Z51" i="32"/>
  <c r="AA51" i="32"/>
  <c r="AB51" i="32"/>
  <c r="AC51" i="32"/>
  <c r="AD51" i="32"/>
  <c r="AE51" i="32"/>
  <c r="AF51" i="32"/>
  <c r="AG51" i="32"/>
  <c r="AH51" i="32"/>
  <c r="AI51" i="32"/>
  <c r="AJ51" i="32"/>
  <c r="AK51" i="32"/>
  <c r="AL51" i="32"/>
  <c r="AM51" i="32"/>
  <c r="Q53" i="32"/>
  <c r="R53" i="32"/>
  <c r="S53" i="32"/>
  <c r="T53" i="32"/>
  <c r="U53" i="32"/>
  <c r="V53" i="32"/>
  <c r="W53" i="32"/>
  <c r="X53" i="32"/>
  <c r="Y53" i="32"/>
  <c r="Z53" i="32"/>
  <c r="AA53" i="32"/>
  <c r="AB53" i="32"/>
  <c r="AC53" i="32"/>
  <c r="AD53" i="32"/>
  <c r="AE53" i="32"/>
  <c r="AF53" i="32"/>
  <c r="AG53" i="32"/>
  <c r="AH53" i="32"/>
  <c r="AI53" i="32"/>
  <c r="AJ53" i="32"/>
  <c r="AK53" i="32"/>
  <c r="AL53" i="32"/>
  <c r="AM53" i="32"/>
  <c r="AN53" i="32"/>
  <c r="Q54" i="32"/>
  <c r="R54" i="32"/>
  <c r="S54" i="32"/>
  <c r="T54" i="32"/>
  <c r="U54" i="32"/>
  <c r="V54" i="32"/>
  <c r="W54" i="32"/>
  <c r="X54" i="32"/>
  <c r="Y54" i="32"/>
  <c r="Z54" i="32"/>
  <c r="AA54" i="32"/>
  <c r="AB54" i="32"/>
  <c r="AC54" i="32"/>
  <c r="AD54" i="32"/>
  <c r="AE54" i="32"/>
  <c r="AF54" i="32"/>
  <c r="AG54" i="32"/>
  <c r="AH54" i="32"/>
  <c r="AI54" i="32"/>
  <c r="AJ54" i="32"/>
  <c r="AK54" i="32"/>
  <c r="AL54" i="32"/>
  <c r="AM54" i="32"/>
  <c r="AN54" i="32"/>
  <c r="Q55" i="32"/>
  <c r="R55" i="32"/>
  <c r="S55" i="32"/>
  <c r="T55" i="32"/>
  <c r="U55" i="32"/>
  <c r="V55" i="32"/>
  <c r="W55" i="32"/>
  <c r="X55" i="32"/>
  <c r="Y55" i="32"/>
  <c r="Z55" i="32"/>
  <c r="AA55" i="32"/>
  <c r="AB55" i="32"/>
  <c r="AC55" i="32"/>
  <c r="AD55" i="32"/>
  <c r="AE55" i="32"/>
  <c r="AF55" i="32"/>
  <c r="AG55" i="32"/>
  <c r="AH55" i="32"/>
  <c r="AI55" i="32"/>
  <c r="AJ55" i="32"/>
  <c r="AK55" i="32"/>
  <c r="AL55" i="32"/>
  <c r="AM55" i="32"/>
  <c r="P11" i="53"/>
  <c r="Q11" i="53"/>
  <c r="R11" i="53"/>
  <c r="S11" i="53"/>
  <c r="T11" i="53"/>
  <c r="U11" i="53"/>
  <c r="V11" i="53"/>
  <c r="W11" i="53"/>
  <c r="X11" i="53"/>
  <c r="Y11" i="53"/>
  <c r="Z11" i="53"/>
  <c r="AA11" i="53"/>
  <c r="AB11" i="53"/>
  <c r="P13" i="53"/>
  <c r="Q13" i="53"/>
  <c r="R13" i="53"/>
  <c r="S13" i="53"/>
  <c r="T13" i="53"/>
  <c r="U13" i="53"/>
  <c r="V13" i="53"/>
  <c r="W13" i="53"/>
  <c r="X13" i="53"/>
  <c r="Y13" i="53"/>
  <c r="Z13" i="53"/>
  <c r="AA13" i="53"/>
  <c r="AB13" i="53"/>
  <c r="P17" i="53"/>
  <c r="Q17" i="53"/>
  <c r="R17" i="53"/>
  <c r="S17" i="53"/>
  <c r="T17" i="53"/>
  <c r="U17" i="53"/>
  <c r="V17" i="53"/>
  <c r="W17" i="53"/>
  <c r="X17" i="53"/>
  <c r="Y17" i="53"/>
  <c r="Z17" i="53"/>
  <c r="AA17" i="53"/>
  <c r="AB17" i="53"/>
  <c r="P19" i="53"/>
  <c r="Q19" i="53"/>
  <c r="R19" i="53"/>
  <c r="S19" i="53"/>
  <c r="T19" i="53"/>
  <c r="U19" i="53"/>
  <c r="V19" i="53"/>
  <c r="W19" i="53"/>
  <c r="X19" i="53"/>
  <c r="Y19" i="53"/>
  <c r="Z19" i="53"/>
  <c r="AA19" i="53"/>
  <c r="AB19" i="53"/>
  <c r="E24" i="53"/>
  <c r="F24" i="53"/>
  <c r="G24" i="53"/>
  <c r="H24" i="53"/>
  <c r="I24" i="53"/>
  <c r="J24" i="53"/>
  <c r="K24" i="53"/>
  <c r="L24" i="53"/>
  <c r="M24" i="53"/>
  <c r="N24" i="53"/>
  <c r="O24" i="53"/>
  <c r="P24" i="53"/>
  <c r="Q24" i="53"/>
  <c r="R24" i="53"/>
  <c r="S24" i="53"/>
  <c r="T24" i="53"/>
  <c r="U24" i="53"/>
  <c r="V24" i="53"/>
  <c r="W24" i="53"/>
  <c r="X24" i="53"/>
  <c r="Y24" i="53"/>
  <c r="Z24" i="53"/>
  <c r="AA24" i="53"/>
  <c r="AB24" i="53"/>
  <c r="E28" i="53"/>
  <c r="F28" i="53"/>
  <c r="G28" i="53"/>
  <c r="H28" i="53"/>
  <c r="I28" i="53"/>
  <c r="J28" i="53"/>
  <c r="K28" i="53"/>
  <c r="L28" i="53"/>
  <c r="M28" i="53"/>
  <c r="N28" i="53"/>
  <c r="O28" i="53"/>
  <c r="P28" i="53"/>
  <c r="Q28" i="53"/>
  <c r="R28" i="53"/>
  <c r="S28" i="53"/>
  <c r="T28" i="53"/>
  <c r="U28" i="53"/>
  <c r="V28" i="53"/>
  <c r="W28" i="53"/>
  <c r="X28" i="53"/>
  <c r="Y28" i="53"/>
  <c r="Z28" i="53"/>
  <c r="AA28" i="53"/>
  <c r="AB28" i="53"/>
  <c r="E32" i="53"/>
  <c r="F32" i="53"/>
  <c r="G32" i="53"/>
  <c r="H32" i="53"/>
  <c r="I32" i="53"/>
  <c r="J32" i="53"/>
  <c r="K32" i="53"/>
  <c r="L32" i="53"/>
  <c r="M32" i="53"/>
  <c r="N32" i="53"/>
  <c r="O32" i="53"/>
  <c r="P32" i="53"/>
  <c r="Q32" i="53"/>
  <c r="R32" i="53"/>
  <c r="S32" i="53"/>
  <c r="T32" i="53"/>
  <c r="U32" i="53"/>
  <c r="V32" i="53"/>
  <c r="W32" i="53"/>
  <c r="X32" i="53"/>
  <c r="Y32" i="53"/>
  <c r="Z32" i="53"/>
  <c r="AA32" i="53"/>
  <c r="AB32" i="53"/>
  <c r="E34" i="53"/>
  <c r="F34" i="53"/>
  <c r="G34" i="53"/>
  <c r="H34" i="53"/>
  <c r="I34" i="53"/>
  <c r="J34" i="53"/>
  <c r="K34" i="53"/>
  <c r="L34" i="53"/>
  <c r="M34" i="53"/>
  <c r="N34" i="53"/>
  <c r="O34" i="53"/>
  <c r="P34" i="53"/>
  <c r="Q34" i="53"/>
  <c r="R34" i="53"/>
  <c r="S34" i="53"/>
  <c r="T34" i="53"/>
  <c r="U34" i="53"/>
  <c r="V34" i="53"/>
  <c r="W34" i="53"/>
  <c r="X34" i="53"/>
  <c r="Y34" i="53"/>
  <c r="Z34" i="53"/>
  <c r="AA34" i="53"/>
  <c r="AB34" i="53"/>
  <c r="E35" i="53"/>
  <c r="F35" i="53"/>
  <c r="G35" i="53"/>
  <c r="H35" i="53"/>
  <c r="I35" i="53"/>
  <c r="J35" i="53"/>
  <c r="K35" i="53"/>
  <c r="L35" i="53"/>
  <c r="M35" i="53"/>
  <c r="N35" i="53"/>
  <c r="O35" i="53"/>
  <c r="P35" i="53"/>
  <c r="Q35" i="53"/>
  <c r="R35" i="53"/>
  <c r="S35" i="53"/>
  <c r="T35" i="53"/>
  <c r="U35" i="53"/>
  <c r="V35" i="53"/>
  <c r="W35" i="53"/>
  <c r="X35" i="53"/>
  <c r="Y35" i="53"/>
  <c r="Z35" i="53"/>
  <c r="AA35" i="53"/>
  <c r="AB35" i="53"/>
  <c r="E36" i="53"/>
  <c r="F36" i="53"/>
  <c r="G36" i="53"/>
  <c r="H36" i="53"/>
  <c r="I36" i="53"/>
  <c r="J36" i="53"/>
  <c r="K36" i="53"/>
  <c r="L36" i="53"/>
  <c r="M36" i="53"/>
  <c r="N36" i="53"/>
  <c r="O36" i="53"/>
  <c r="P36" i="53"/>
  <c r="Q36" i="53"/>
  <c r="R36" i="53"/>
  <c r="S36" i="53"/>
  <c r="T36" i="53"/>
  <c r="U36" i="53"/>
  <c r="V36" i="53"/>
  <c r="W36" i="53"/>
  <c r="X36" i="53"/>
  <c r="Y36" i="53"/>
  <c r="Z36" i="53"/>
  <c r="AA36" i="53"/>
  <c r="AB36" i="53"/>
  <c r="E37" i="53"/>
  <c r="F37" i="53"/>
  <c r="G37" i="53"/>
  <c r="H37" i="53"/>
  <c r="I37" i="53"/>
  <c r="J37" i="53"/>
  <c r="K37" i="53"/>
  <c r="L37" i="53"/>
  <c r="M37" i="53"/>
  <c r="N37" i="53"/>
  <c r="O37" i="53"/>
  <c r="P37" i="53"/>
  <c r="Q37" i="53"/>
  <c r="R37" i="53"/>
  <c r="S37" i="53"/>
  <c r="T37" i="53"/>
  <c r="U37" i="53"/>
  <c r="V37" i="53"/>
  <c r="W37" i="53"/>
  <c r="X37" i="53"/>
  <c r="Y37" i="53"/>
  <c r="Z37" i="53"/>
  <c r="AA37" i="53"/>
  <c r="AB37" i="53"/>
  <c r="E38" i="53"/>
  <c r="F38" i="53"/>
  <c r="G38" i="53"/>
  <c r="H38" i="53"/>
  <c r="I38" i="53"/>
  <c r="J38" i="53"/>
  <c r="K38" i="53"/>
  <c r="L38" i="53"/>
  <c r="M38" i="53"/>
  <c r="N38" i="53"/>
  <c r="O38" i="53"/>
  <c r="P38" i="53"/>
  <c r="Q38" i="53"/>
  <c r="R38" i="53"/>
  <c r="S38" i="53"/>
  <c r="T38" i="53"/>
  <c r="U38" i="53"/>
  <c r="V38" i="53"/>
  <c r="W38" i="53"/>
  <c r="X38" i="53"/>
  <c r="Y38" i="53"/>
  <c r="Z38" i="53"/>
  <c r="AA38" i="53"/>
  <c r="AB38" i="53"/>
  <c r="E39" i="53"/>
  <c r="F39" i="53"/>
  <c r="G39" i="53"/>
  <c r="H39" i="53"/>
  <c r="I39" i="53"/>
  <c r="J39" i="53"/>
  <c r="K39" i="53"/>
  <c r="L39" i="53"/>
  <c r="M39" i="53"/>
  <c r="N39" i="53"/>
  <c r="O39" i="53"/>
  <c r="P39" i="53"/>
  <c r="Q39" i="53"/>
  <c r="R39" i="53"/>
  <c r="S39" i="53"/>
  <c r="T39" i="53"/>
  <c r="U39" i="53"/>
  <c r="V39" i="53"/>
  <c r="W39" i="53"/>
  <c r="X39" i="53"/>
  <c r="Y39" i="53"/>
  <c r="Z39" i="53"/>
  <c r="AA39" i="53"/>
  <c r="E41" i="53"/>
  <c r="F41" i="53"/>
  <c r="G41" i="53"/>
  <c r="H41" i="53"/>
  <c r="I41" i="53"/>
  <c r="J41" i="53"/>
  <c r="K41" i="53"/>
  <c r="L41" i="53"/>
  <c r="M41" i="53"/>
  <c r="N41" i="53"/>
  <c r="O41" i="53"/>
  <c r="P41" i="53"/>
  <c r="Q41" i="53"/>
  <c r="R41" i="53"/>
  <c r="S41" i="53"/>
  <c r="T41" i="53"/>
  <c r="U41" i="53"/>
  <c r="V41" i="53"/>
  <c r="W41" i="53"/>
  <c r="X41" i="53"/>
  <c r="Y41" i="53"/>
  <c r="Z41" i="53"/>
  <c r="AA41" i="53"/>
  <c r="AB41" i="53"/>
  <c r="E42" i="53"/>
  <c r="F42" i="53"/>
  <c r="G42" i="53"/>
  <c r="H42" i="53"/>
  <c r="I42" i="53"/>
  <c r="J42" i="53"/>
  <c r="K42" i="53"/>
  <c r="L42" i="53"/>
  <c r="M42" i="53"/>
  <c r="N42" i="53"/>
  <c r="O42" i="53"/>
  <c r="P42" i="53"/>
  <c r="Q42" i="53"/>
  <c r="R42" i="53"/>
  <c r="S42" i="53"/>
  <c r="T42" i="53"/>
  <c r="U42" i="53"/>
  <c r="V42" i="53"/>
  <c r="W42" i="53"/>
  <c r="X42" i="53"/>
  <c r="Y42" i="53"/>
  <c r="Z42" i="53"/>
  <c r="AA42" i="53"/>
  <c r="AB42" i="53"/>
  <c r="E43" i="53"/>
  <c r="F43" i="53"/>
  <c r="G43" i="53"/>
  <c r="H43" i="53"/>
  <c r="I43" i="53"/>
  <c r="J43" i="53"/>
  <c r="K43" i="53"/>
  <c r="L43" i="53"/>
  <c r="M43" i="53"/>
  <c r="N43" i="53"/>
  <c r="O43" i="53"/>
  <c r="P43" i="53"/>
  <c r="Q43" i="53"/>
  <c r="R43" i="53"/>
  <c r="S43" i="53"/>
  <c r="T43" i="53"/>
  <c r="U43" i="53"/>
  <c r="V43" i="53"/>
  <c r="W43" i="53"/>
  <c r="X43" i="53"/>
  <c r="Y43" i="53"/>
  <c r="Z43" i="53"/>
  <c r="AA43" i="53"/>
  <c r="P52" i="53"/>
  <c r="Q52" i="53"/>
  <c r="R52" i="53"/>
  <c r="S52" i="53"/>
  <c r="T52" i="53"/>
  <c r="U52" i="53"/>
  <c r="V52" i="53"/>
  <c r="W52" i="53"/>
  <c r="X52" i="53"/>
  <c r="Y52" i="53"/>
  <c r="Z52" i="53"/>
  <c r="AA52" i="53"/>
  <c r="AB52" i="53"/>
  <c r="P54" i="53"/>
  <c r="Q54" i="53"/>
  <c r="R54" i="53"/>
  <c r="S54" i="53"/>
  <c r="T54" i="53"/>
  <c r="U54" i="53"/>
  <c r="V54" i="53"/>
  <c r="W54" i="53"/>
  <c r="X54" i="53"/>
  <c r="Y54" i="53"/>
  <c r="Z54" i="53"/>
  <c r="AA54" i="53"/>
  <c r="AB54" i="53"/>
  <c r="P58" i="53"/>
  <c r="Q58" i="53"/>
  <c r="R58" i="53"/>
  <c r="S58" i="53"/>
  <c r="T58" i="53"/>
  <c r="U58" i="53"/>
  <c r="V58" i="53"/>
  <c r="W58" i="53"/>
  <c r="X58" i="53"/>
  <c r="Y58" i="53"/>
  <c r="Z58" i="53"/>
  <c r="AA58" i="53"/>
  <c r="AB58" i="53"/>
  <c r="P60" i="53"/>
  <c r="Q60" i="53"/>
  <c r="R60" i="53"/>
  <c r="S60" i="53"/>
  <c r="T60" i="53"/>
  <c r="U60" i="53"/>
  <c r="V60" i="53"/>
  <c r="W60" i="53"/>
  <c r="X60" i="53"/>
  <c r="Y60" i="53"/>
  <c r="Z60" i="53"/>
  <c r="AA60" i="53"/>
  <c r="AB60" i="53"/>
  <c r="E65" i="53"/>
  <c r="F65" i="53"/>
  <c r="G65" i="53"/>
  <c r="H65" i="53"/>
  <c r="I65" i="53"/>
  <c r="J65" i="53"/>
  <c r="K65" i="53"/>
  <c r="L65" i="53"/>
  <c r="M65" i="53"/>
  <c r="N65" i="53"/>
  <c r="O65" i="53"/>
  <c r="P65" i="53"/>
  <c r="Q65" i="53"/>
  <c r="R65" i="53"/>
  <c r="S65" i="53"/>
  <c r="T65" i="53"/>
  <c r="U65" i="53"/>
  <c r="V65" i="53"/>
  <c r="W65" i="53"/>
  <c r="X65" i="53"/>
  <c r="Y65" i="53"/>
  <c r="Z65" i="53"/>
  <c r="AA65" i="53"/>
  <c r="AB65" i="53"/>
  <c r="E69" i="53"/>
  <c r="F69" i="53"/>
  <c r="G69" i="53"/>
  <c r="H69" i="53"/>
  <c r="I69" i="53"/>
  <c r="J69" i="53"/>
  <c r="K69" i="53"/>
  <c r="L69" i="53"/>
  <c r="M69" i="53"/>
  <c r="N69" i="53"/>
  <c r="O69" i="53"/>
  <c r="P69" i="53"/>
  <c r="Q69" i="53"/>
  <c r="R69" i="53"/>
  <c r="S69" i="53"/>
  <c r="T69" i="53"/>
  <c r="U69" i="53"/>
  <c r="V69" i="53"/>
  <c r="W69" i="53"/>
  <c r="X69" i="53"/>
  <c r="Y69" i="53"/>
  <c r="Z69" i="53"/>
  <c r="AA69" i="53"/>
  <c r="AB69" i="53"/>
  <c r="E73" i="53"/>
  <c r="F73" i="53"/>
  <c r="G73" i="53"/>
  <c r="H73" i="53"/>
  <c r="I73" i="53"/>
  <c r="J73" i="53"/>
  <c r="K73" i="53"/>
  <c r="L73" i="53"/>
  <c r="M73" i="53"/>
  <c r="N73" i="53"/>
  <c r="O73" i="53"/>
  <c r="P73" i="53"/>
  <c r="Q73" i="53"/>
  <c r="R73" i="53"/>
  <c r="S73" i="53"/>
  <c r="T73" i="53"/>
  <c r="U73" i="53"/>
  <c r="V73" i="53"/>
  <c r="W73" i="53"/>
  <c r="X73" i="53"/>
  <c r="Y73" i="53"/>
  <c r="Z73" i="53"/>
  <c r="AA73" i="53"/>
  <c r="AB73" i="53"/>
  <c r="E75" i="53"/>
  <c r="F75" i="53"/>
  <c r="G75" i="53"/>
  <c r="H75" i="53"/>
  <c r="I75" i="53"/>
  <c r="J75" i="53"/>
  <c r="K75" i="53"/>
  <c r="L75" i="53"/>
  <c r="M75" i="53"/>
  <c r="N75" i="53"/>
  <c r="O75" i="53"/>
  <c r="P75" i="53"/>
  <c r="Q75" i="53"/>
  <c r="R75" i="53"/>
  <c r="S75" i="53"/>
  <c r="T75" i="53"/>
  <c r="U75" i="53"/>
  <c r="V75" i="53"/>
  <c r="W75" i="53"/>
  <c r="X75" i="53"/>
  <c r="Y75" i="53"/>
  <c r="Z75" i="53"/>
  <c r="AA75" i="53"/>
  <c r="AB75" i="53"/>
  <c r="E76" i="53"/>
  <c r="F76" i="53"/>
  <c r="G76" i="53"/>
  <c r="H76" i="53"/>
  <c r="I76" i="53"/>
  <c r="J76" i="53"/>
  <c r="K76" i="53"/>
  <c r="L76" i="53"/>
  <c r="M76" i="53"/>
  <c r="N76" i="53"/>
  <c r="O76" i="53"/>
  <c r="P76" i="53"/>
  <c r="Q76" i="53"/>
  <c r="R76" i="53"/>
  <c r="S76" i="53"/>
  <c r="T76" i="53"/>
  <c r="U76" i="53"/>
  <c r="V76" i="53"/>
  <c r="W76" i="53"/>
  <c r="X76" i="53"/>
  <c r="Y76" i="53"/>
  <c r="Z76" i="53"/>
  <c r="AA76" i="53"/>
  <c r="AB76" i="53"/>
  <c r="E77" i="53"/>
  <c r="F77" i="53"/>
  <c r="G77" i="53"/>
  <c r="H77" i="53"/>
  <c r="I77" i="53"/>
  <c r="J77" i="53"/>
  <c r="K77" i="53"/>
  <c r="L77" i="53"/>
  <c r="M77" i="53"/>
  <c r="N77" i="53"/>
  <c r="O77" i="53"/>
  <c r="P77" i="53"/>
  <c r="Q77" i="53"/>
  <c r="R77" i="53"/>
  <c r="S77" i="53"/>
  <c r="T77" i="53"/>
  <c r="U77" i="53"/>
  <c r="V77" i="53"/>
  <c r="W77" i="53"/>
  <c r="X77" i="53"/>
  <c r="Y77" i="53"/>
  <c r="Z77" i="53"/>
  <c r="AA77" i="53"/>
  <c r="AB77" i="53"/>
  <c r="E78" i="53"/>
  <c r="F78" i="53"/>
  <c r="G78" i="53"/>
  <c r="H78" i="53"/>
  <c r="I78" i="53"/>
  <c r="J78" i="53"/>
  <c r="K78" i="53"/>
  <c r="L78" i="53"/>
  <c r="M78" i="53"/>
  <c r="N78" i="53"/>
  <c r="O78" i="53"/>
  <c r="P78" i="53"/>
  <c r="Q78" i="53"/>
  <c r="R78" i="53"/>
  <c r="S78" i="53"/>
  <c r="T78" i="53"/>
  <c r="U78" i="53"/>
  <c r="V78" i="53"/>
  <c r="W78" i="53"/>
  <c r="X78" i="53"/>
  <c r="Y78" i="53"/>
  <c r="Z78" i="53"/>
  <c r="AA78" i="53"/>
  <c r="AB78" i="53"/>
  <c r="E79" i="53"/>
  <c r="F79" i="53"/>
  <c r="G79" i="53"/>
  <c r="H79" i="53"/>
  <c r="I79" i="53"/>
  <c r="J79" i="53"/>
  <c r="K79" i="53"/>
  <c r="L79" i="53"/>
  <c r="M79" i="53"/>
  <c r="N79" i="53"/>
  <c r="O79" i="53"/>
  <c r="P79" i="53"/>
  <c r="Q79" i="53"/>
  <c r="R79" i="53"/>
  <c r="S79" i="53"/>
  <c r="T79" i="53"/>
  <c r="U79" i="53"/>
  <c r="V79" i="53"/>
  <c r="W79" i="53"/>
  <c r="X79" i="53"/>
  <c r="Y79" i="53"/>
  <c r="Z79" i="53"/>
  <c r="AA79" i="53"/>
  <c r="AB79" i="53"/>
  <c r="E80" i="53"/>
  <c r="F80" i="53"/>
  <c r="G80" i="53"/>
  <c r="H80" i="53"/>
  <c r="I80" i="53"/>
  <c r="J80" i="53"/>
  <c r="K80" i="53"/>
  <c r="L80" i="53"/>
  <c r="M80" i="53"/>
  <c r="N80" i="53"/>
  <c r="O80" i="53"/>
  <c r="P80" i="53"/>
  <c r="Q80" i="53"/>
  <c r="R80" i="53"/>
  <c r="S80" i="53"/>
  <c r="T80" i="53"/>
  <c r="U80" i="53"/>
  <c r="V80" i="53"/>
  <c r="W80" i="53"/>
  <c r="X80" i="53"/>
  <c r="Y80" i="53"/>
  <c r="Z80" i="53"/>
  <c r="AA80" i="53"/>
  <c r="E82" i="53"/>
  <c r="F82" i="53"/>
  <c r="G82" i="53"/>
  <c r="H82" i="53"/>
  <c r="I82" i="53"/>
  <c r="J82" i="53"/>
  <c r="K82" i="53"/>
  <c r="L82" i="53"/>
  <c r="M82" i="53"/>
  <c r="N82" i="53"/>
  <c r="O82" i="53"/>
  <c r="P82" i="53"/>
  <c r="Q82" i="53"/>
  <c r="R82" i="53"/>
  <c r="S82" i="53"/>
  <c r="T82" i="53"/>
  <c r="U82" i="53"/>
  <c r="V82" i="53"/>
  <c r="W82" i="53"/>
  <c r="X82" i="53"/>
  <c r="Y82" i="53"/>
  <c r="Z82" i="53"/>
  <c r="AA82" i="53"/>
  <c r="AB82" i="53"/>
  <c r="F83" i="53"/>
  <c r="G83" i="53"/>
  <c r="H83" i="53"/>
  <c r="I83" i="53"/>
  <c r="J83" i="53"/>
  <c r="K83" i="53"/>
  <c r="L83" i="53"/>
  <c r="M83" i="53"/>
  <c r="N83" i="53"/>
  <c r="O83" i="53"/>
  <c r="P83" i="53"/>
  <c r="Q83" i="53"/>
  <c r="R83" i="53"/>
  <c r="S83" i="53"/>
  <c r="T83" i="53"/>
  <c r="U83" i="53"/>
  <c r="V83" i="53"/>
  <c r="W83" i="53"/>
  <c r="X83" i="53"/>
  <c r="Y83" i="53"/>
  <c r="Z83" i="53"/>
  <c r="AA83" i="53"/>
  <c r="AB83" i="53"/>
  <c r="E84" i="53"/>
  <c r="F84" i="53"/>
  <c r="G84" i="53"/>
  <c r="H84" i="53"/>
  <c r="I84" i="53"/>
  <c r="J84" i="53"/>
  <c r="K84" i="53"/>
  <c r="L84" i="53"/>
  <c r="M84" i="53"/>
  <c r="N84" i="53"/>
  <c r="O84" i="53"/>
  <c r="P84" i="53"/>
  <c r="Q84" i="53"/>
  <c r="R84" i="53"/>
  <c r="S84" i="53"/>
  <c r="T84" i="53"/>
  <c r="U84" i="53"/>
  <c r="V84" i="53"/>
  <c r="W84" i="53"/>
  <c r="X84" i="53"/>
  <c r="Y84" i="53"/>
  <c r="Z84" i="53"/>
  <c r="AA84" i="53"/>
  <c r="Z55" i="33"/>
  <c r="AA55" i="33"/>
  <c r="AB55" i="33"/>
  <c r="AC55" i="33"/>
  <c r="AD55" i="33"/>
  <c r="AE55" i="33"/>
  <c r="AF55" i="33"/>
  <c r="AG55" i="33"/>
  <c r="AH55" i="33"/>
  <c r="AI55" i="33"/>
  <c r="AJ55" i="33"/>
  <c r="AK55" i="33"/>
  <c r="AL55" i="33"/>
  <c r="Z56" i="33"/>
  <c r="AA56" i="33"/>
  <c r="AB56" i="33"/>
  <c r="AC56" i="33"/>
  <c r="AD56" i="33"/>
  <c r="AE56" i="33"/>
  <c r="AF56" i="33"/>
  <c r="AG56" i="33"/>
  <c r="AH56" i="33"/>
  <c r="AI56" i="33"/>
  <c r="AJ56" i="33"/>
  <c r="AK56" i="33"/>
  <c r="AL56" i="33"/>
  <c r="Z58" i="33"/>
  <c r="AA58" i="33"/>
  <c r="AB58" i="33"/>
  <c r="AC58" i="33"/>
  <c r="AD58" i="33"/>
  <c r="AE58" i="33"/>
  <c r="AF58" i="33"/>
  <c r="AG58" i="33"/>
  <c r="AH58" i="33"/>
  <c r="AI58" i="33"/>
  <c r="AJ58" i="33"/>
  <c r="AK58" i="33"/>
  <c r="AL58" i="33"/>
  <c r="Z59" i="33"/>
  <c r="AA59" i="33"/>
  <c r="AB59" i="33"/>
  <c r="AC59" i="33"/>
  <c r="AD59" i="33"/>
  <c r="AE59" i="33"/>
  <c r="AF59" i="33"/>
  <c r="AG59" i="33"/>
  <c r="AH59" i="33"/>
  <c r="AI59" i="33"/>
  <c r="AJ59" i="33"/>
  <c r="AK59" i="33"/>
  <c r="AL59" i="33"/>
  <c r="Z64" i="33"/>
  <c r="AA64" i="33"/>
  <c r="AB64" i="33"/>
  <c r="AC64" i="33"/>
  <c r="AD64" i="33"/>
  <c r="AE64" i="33"/>
  <c r="AF64" i="33"/>
  <c r="AG64" i="33"/>
  <c r="AH64" i="33"/>
  <c r="AI64" i="33"/>
  <c r="AJ64" i="33"/>
  <c r="AK64" i="33"/>
  <c r="AL64" i="33"/>
  <c r="Z66" i="33"/>
  <c r="AA66" i="33"/>
  <c r="AB66" i="33"/>
  <c r="AC66" i="33"/>
  <c r="AD66" i="33"/>
  <c r="AE66" i="33"/>
  <c r="AF66" i="33"/>
  <c r="AG66" i="33"/>
  <c r="AH66" i="33"/>
  <c r="AI66" i="33"/>
  <c r="AJ66" i="33"/>
  <c r="AK66" i="33"/>
  <c r="AL66" i="33"/>
  <c r="Z67" i="33"/>
  <c r="AA67" i="33"/>
  <c r="AB67" i="33"/>
  <c r="AC67" i="33"/>
  <c r="AD67" i="33"/>
  <c r="AE67" i="33"/>
  <c r="AF67" i="33"/>
  <c r="AG67" i="33"/>
  <c r="AH67" i="33"/>
  <c r="AI67" i="33"/>
  <c r="AJ67" i="33"/>
  <c r="AK67" i="33"/>
  <c r="AL67" i="33"/>
  <c r="O71" i="33"/>
  <c r="P71" i="33"/>
  <c r="Q71" i="33"/>
  <c r="R71" i="33"/>
  <c r="S71" i="33"/>
  <c r="T71" i="33"/>
  <c r="U71" i="33"/>
  <c r="V71" i="33"/>
  <c r="W71" i="33"/>
  <c r="X71" i="33"/>
  <c r="Y71" i="33"/>
  <c r="Z71" i="33"/>
  <c r="AA71" i="33"/>
  <c r="AB71" i="33"/>
  <c r="AC71" i="33"/>
  <c r="AD71" i="33"/>
  <c r="AE71" i="33"/>
  <c r="AF71" i="33"/>
  <c r="AG71" i="33"/>
  <c r="AH71" i="33"/>
  <c r="AI71" i="33"/>
  <c r="AJ71" i="33"/>
  <c r="AK71" i="33"/>
  <c r="AL71" i="33"/>
  <c r="O75" i="33"/>
  <c r="P75" i="33"/>
  <c r="Q75" i="33"/>
  <c r="R75" i="33"/>
  <c r="S75" i="33"/>
  <c r="T75" i="33"/>
  <c r="U75" i="33"/>
  <c r="V75" i="33"/>
  <c r="W75" i="33"/>
  <c r="X75" i="33"/>
  <c r="Y75" i="33"/>
  <c r="Z75" i="33"/>
  <c r="AA75" i="33"/>
  <c r="AB75" i="33"/>
  <c r="AC75" i="33"/>
  <c r="AD75" i="33"/>
  <c r="AE75" i="33"/>
  <c r="AF75" i="33"/>
  <c r="AG75" i="33"/>
  <c r="AH75" i="33"/>
  <c r="AI75" i="33"/>
  <c r="AJ75" i="33"/>
  <c r="AK75" i="33"/>
  <c r="AL75" i="33"/>
  <c r="O79" i="33"/>
  <c r="P79" i="33"/>
  <c r="Q79" i="33"/>
  <c r="R79" i="33"/>
  <c r="S79" i="33"/>
  <c r="T79" i="33"/>
  <c r="U79" i="33"/>
  <c r="V79" i="33"/>
  <c r="W79" i="33"/>
  <c r="X79" i="33"/>
  <c r="Y79" i="33"/>
  <c r="Z79" i="33"/>
  <c r="AA79" i="33"/>
  <c r="AB79" i="33"/>
  <c r="AC79" i="33"/>
  <c r="AD79" i="33"/>
  <c r="AE79" i="33"/>
  <c r="AF79" i="33"/>
  <c r="AG79" i="33"/>
  <c r="AH79" i="33"/>
  <c r="AI79" i="33"/>
  <c r="AJ79" i="33"/>
  <c r="AK79" i="33"/>
  <c r="AL79" i="33"/>
  <c r="O81" i="33"/>
  <c r="P81" i="33"/>
  <c r="Q81" i="33"/>
  <c r="R81" i="33"/>
  <c r="S81" i="33"/>
  <c r="T81" i="33"/>
  <c r="U81" i="33"/>
  <c r="V81" i="33"/>
  <c r="W81" i="33"/>
  <c r="X81" i="33"/>
  <c r="Y81" i="33"/>
  <c r="Z81" i="33"/>
  <c r="AA81" i="33"/>
  <c r="AB81" i="33"/>
  <c r="AC81" i="33"/>
  <c r="AD81" i="33"/>
  <c r="AE81" i="33"/>
  <c r="AF81" i="33"/>
  <c r="AG81" i="33"/>
  <c r="AH81" i="33"/>
  <c r="AI81" i="33"/>
  <c r="AJ81" i="33"/>
  <c r="AK81" i="33"/>
  <c r="AL81" i="33"/>
  <c r="O82" i="33"/>
  <c r="P82" i="33"/>
  <c r="Q82" i="33"/>
  <c r="R82" i="33"/>
  <c r="S82" i="33"/>
  <c r="T82" i="33"/>
  <c r="U82" i="33"/>
  <c r="V82" i="33"/>
  <c r="W82" i="33"/>
  <c r="X82" i="33"/>
  <c r="Y82" i="33"/>
  <c r="Z82" i="33"/>
  <c r="AA82" i="33"/>
  <c r="AB82" i="33"/>
  <c r="AC82" i="33"/>
  <c r="AD82" i="33"/>
  <c r="AE82" i="33"/>
  <c r="AF82" i="33"/>
  <c r="AG82" i="33"/>
  <c r="AH82" i="33"/>
  <c r="AI82" i="33"/>
  <c r="AJ82" i="33"/>
  <c r="AK82" i="33"/>
  <c r="AL82" i="33"/>
  <c r="O83" i="33"/>
  <c r="P83" i="33"/>
  <c r="Q83" i="33"/>
  <c r="R83" i="33"/>
  <c r="S83" i="33"/>
  <c r="T83" i="33"/>
  <c r="U83" i="33"/>
  <c r="V83" i="33"/>
  <c r="W83" i="33"/>
  <c r="X83" i="33"/>
  <c r="Y83" i="33"/>
  <c r="Z83" i="33"/>
  <c r="AA83" i="33"/>
  <c r="AB83" i="33"/>
  <c r="AC83" i="33"/>
  <c r="AD83" i="33"/>
  <c r="AE83" i="33"/>
  <c r="AF83" i="33"/>
  <c r="AG83" i="33"/>
  <c r="AH83" i="33"/>
  <c r="AI83" i="33"/>
  <c r="AJ83" i="33"/>
  <c r="AK83" i="33"/>
  <c r="AL83" i="33"/>
  <c r="O84" i="33"/>
  <c r="P84" i="33"/>
  <c r="Q84" i="33"/>
  <c r="R84" i="33"/>
  <c r="S84" i="33"/>
  <c r="T84" i="33"/>
  <c r="U84" i="33"/>
  <c r="V84" i="33"/>
  <c r="W84" i="33"/>
  <c r="X84" i="33"/>
  <c r="Y84" i="33"/>
  <c r="Z84" i="33"/>
  <c r="AA84" i="33"/>
  <c r="AB84" i="33"/>
  <c r="AC84" i="33"/>
  <c r="AD84" i="33"/>
  <c r="AE84" i="33"/>
  <c r="AF84" i="33"/>
  <c r="AG84" i="33"/>
  <c r="AH84" i="33"/>
  <c r="AI84" i="33"/>
  <c r="AJ84" i="33"/>
  <c r="AK84" i="33"/>
  <c r="AL84" i="33"/>
  <c r="O85" i="33"/>
  <c r="P85" i="33"/>
  <c r="Q85" i="33"/>
  <c r="R85" i="33"/>
  <c r="S85" i="33"/>
  <c r="T85" i="33"/>
  <c r="U85" i="33"/>
  <c r="V85" i="33"/>
  <c r="W85" i="33"/>
  <c r="X85" i="33"/>
  <c r="Y85" i="33"/>
  <c r="Z85" i="33"/>
  <c r="AA85" i="33"/>
  <c r="AB85" i="33"/>
  <c r="AC85" i="33"/>
  <c r="AD85" i="33"/>
  <c r="AE85" i="33"/>
  <c r="AF85" i="33"/>
  <c r="AG85" i="33"/>
  <c r="AH85" i="33"/>
  <c r="AI85" i="33"/>
  <c r="AJ85" i="33"/>
  <c r="AK85" i="33"/>
  <c r="AL85" i="33"/>
  <c r="O86" i="33"/>
  <c r="P86" i="33"/>
  <c r="Q86" i="33"/>
  <c r="R86" i="33"/>
  <c r="S86" i="33"/>
  <c r="T86" i="33"/>
  <c r="U86" i="33"/>
  <c r="V86" i="33"/>
  <c r="W86" i="33"/>
  <c r="X86" i="33"/>
  <c r="Y86" i="33"/>
  <c r="Z86" i="33"/>
  <c r="AA86" i="33"/>
  <c r="AB86" i="33"/>
  <c r="AC86" i="33"/>
  <c r="AD86" i="33"/>
  <c r="AE86" i="33"/>
  <c r="AF86" i="33"/>
  <c r="AG86" i="33"/>
  <c r="AH86" i="33"/>
  <c r="AI86" i="33"/>
  <c r="AJ86" i="33"/>
  <c r="AK86" i="33"/>
  <c r="O88" i="33"/>
  <c r="P88" i="33"/>
  <c r="Q88" i="33"/>
  <c r="R88" i="33"/>
  <c r="S88" i="33"/>
  <c r="T88" i="33"/>
  <c r="U88" i="33"/>
  <c r="V88" i="33"/>
  <c r="W88" i="33"/>
  <c r="X88" i="33"/>
  <c r="Y88" i="33"/>
  <c r="Z88" i="33"/>
  <c r="AA88" i="33"/>
  <c r="AB88" i="33"/>
  <c r="AC88" i="33"/>
  <c r="AD88" i="33"/>
  <c r="AE88" i="33"/>
  <c r="AF88" i="33"/>
  <c r="AG88" i="33"/>
  <c r="AH88" i="33"/>
  <c r="AI88" i="33"/>
  <c r="AJ88" i="33"/>
  <c r="AK88" i="33"/>
  <c r="AL88" i="33"/>
  <c r="O89" i="33"/>
  <c r="P89" i="33"/>
  <c r="Q89" i="33"/>
  <c r="R89" i="33"/>
  <c r="S89" i="33"/>
  <c r="T89" i="33"/>
  <c r="U89" i="33"/>
  <c r="V89" i="33"/>
  <c r="W89" i="33"/>
  <c r="X89" i="33"/>
  <c r="Y89" i="33"/>
  <c r="Z89" i="33"/>
  <c r="AA89" i="33"/>
  <c r="AB89" i="33"/>
  <c r="AC89" i="33"/>
  <c r="AD89" i="33"/>
  <c r="AE89" i="33"/>
  <c r="AF89" i="33"/>
  <c r="AG89" i="33"/>
  <c r="AH89" i="33"/>
  <c r="AI89" i="33"/>
  <c r="AJ89" i="33"/>
  <c r="AK89" i="33"/>
  <c r="AL89" i="33"/>
  <c r="O90" i="33"/>
  <c r="P90" i="33"/>
  <c r="Q90" i="33"/>
  <c r="R90" i="33"/>
  <c r="S90" i="33"/>
  <c r="T90" i="33"/>
  <c r="U90" i="33"/>
  <c r="V90" i="33"/>
  <c r="W90" i="33"/>
  <c r="X90" i="33"/>
  <c r="Y90" i="33"/>
  <c r="Z90" i="33"/>
  <c r="AA90" i="33"/>
  <c r="AB90" i="33"/>
  <c r="AC90" i="33"/>
  <c r="AD90" i="33"/>
  <c r="AE90" i="33"/>
  <c r="AF90" i="33"/>
  <c r="AG90" i="33"/>
  <c r="AH90" i="33"/>
  <c r="AI90" i="33"/>
  <c r="AJ90" i="33"/>
  <c r="AK90" i="33"/>
  <c r="F59" i="59"/>
  <c r="G59" i="59"/>
  <c r="AZ59" i="59"/>
  <c r="BA59" i="59"/>
  <c r="BE59" i="59"/>
  <c r="BF59" i="59"/>
  <c r="F60" i="59"/>
  <c r="G60" i="59"/>
  <c r="H60" i="59"/>
  <c r="AZ60" i="59"/>
  <c r="BE60" i="59"/>
  <c r="BJ60" i="59"/>
  <c r="F61" i="59"/>
  <c r="G61" i="59"/>
  <c r="AZ61" i="59"/>
  <c r="BE61" i="59"/>
  <c r="F75" i="59"/>
  <c r="G75" i="59"/>
  <c r="AZ75" i="59"/>
  <c r="BA75" i="59"/>
  <c r="BE75" i="59"/>
  <c r="BF75" i="59"/>
  <c r="F76" i="59"/>
  <c r="G76" i="59"/>
  <c r="H76" i="59"/>
  <c r="AZ76" i="59"/>
  <c r="BE76" i="59"/>
  <c r="BJ76" i="59"/>
  <c r="F77" i="59"/>
  <c r="G77" i="59"/>
  <c r="AZ77" i="59"/>
  <c r="BE77" i="59"/>
  <c r="F79" i="59"/>
  <c r="G79" i="59"/>
  <c r="AW79" i="59"/>
  <c r="AX79" i="59"/>
  <c r="AY79" i="59"/>
  <c r="AZ79" i="59"/>
  <c r="BA79" i="59"/>
  <c r="BB79" i="59"/>
  <c r="BC79" i="59"/>
  <c r="BD79" i="59"/>
  <c r="BE79" i="59"/>
  <c r="BF79" i="59"/>
  <c r="F80" i="59"/>
  <c r="G80" i="59"/>
  <c r="H80" i="59"/>
  <c r="AW80" i="59"/>
  <c r="AX80" i="59"/>
  <c r="AY80" i="59"/>
  <c r="AZ80" i="59"/>
  <c r="BB80" i="59"/>
  <c r="BC80" i="59"/>
  <c r="BD80" i="59"/>
  <c r="BE80" i="59"/>
  <c r="BG80" i="59"/>
  <c r="BH80" i="59"/>
  <c r="BI80" i="59"/>
  <c r="BJ80" i="59"/>
  <c r="F81" i="59"/>
  <c r="G81" i="59"/>
  <c r="AW81" i="59"/>
  <c r="AX81" i="59"/>
  <c r="AY81" i="59"/>
  <c r="AZ81" i="59"/>
  <c r="BB81" i="59"/>
  <c r="BC81" i="59"/>
  <c r="BD81" i="59"/>
  <c r="BE81" i="59"/>
  <c r="F87" i="59"/>
  <c r="G87" i="59"/>
  <c r="AW87" i="59"/>
  <c r="AX87" i="59"/>
  <c r="AY87" i="59"/>
  <c r="AZ87" i="59"/>
  <c r="BA87" i="59"/>
  <c r="BB87" i="59"/>
  <c r="BC87" i="59"/>
  <c r="BD87" i="59"/>
  <c r="BE87" i="59"/>
  <c r="BF87" i="59"/>
  <c r="F88" i="59"/>
  <c r="G88" i="59"/>
  <c r="H88" i="59"/>
  <c r="AW88" i="59"/>
  <c r="AX88" i="59"/>
  <c r="AY88" i="59"/>
  <c r="AZ88" i="59"/>
  <c r="BB88" i="59"/>
  <c r="BC88" i="59"/>
  <c r="BD88" i="59"/>
  <c r="BE88" i="59"/>
  <c r="BG88" i="59"/>
  <c r="BH88" i="59"/>
  <c r="BI88" i="59"/>
  <c r="BJ88" i="59"/>
  <c r="F89" i="59"/>
  <c r="G89" i="59"/>
  <c r="AW89" i="59"/>
  <c r="AX89" i="59"/>
  <c r="AY89" i="59"/>
  <c r="AZ89" i="59"/>
  <c r="BB89" i="59"/>
  <c r="BC89" i="59"/>
  <c r="BD89" i="59"/>
  <c r="BE89" i="59"/>
  <c r="F99" i="59"/>
  <c r="G99" i="59"/>
  <c r="AW99" i="59"/>
  <c r="AX99" i="59"/>
  <c r="AY99" i="59"/>
  <c r="AZ99" i="59"/>
  <c r="BA99" i="59"/>
  <c r="BB99" i="59"/>
  <c r="BC99" i="59"/>
  <c r="BD99" i="59"/>
  <c r="BE99" i="59"/>
  <c r="BF99" i="59"/>
  <c r="F100" i="59"/>
  <c r="G100" i="59"/>
  <c r="H100" i="59"/>
  <c r="AW100" i="59"/>
  <c r="AX100" i="59"/>
  <c r="AY100" i="59"/>
  <c r="AZ100" i="59"/>
  <c r="BB100" i="59"/>
  <c r="BC100" i="59"/>
  <c r="BD100" i="59"/>
  <c r="BE100" i="59"/>
  <c r="BG100" i="59"/>
  <c r="BH100" i="59"/>
  <c r="BI100" i="59"/>
  <c r="BJ100" i="59"/>
  <c r="F101" i="59"/>
  <c r="G101" i="59"/>
  <c r="AW101" i="59"/>
  <c r="AX101" i="59"/>
  <c r="AY101" i="59"/>
  <c r="AZ101" i="59"/>
  <c r="BB101" i="59"/>
  <c r="BC101" i="59"/>
  <c r="BD101" i="59"/>
  <c r="BE101" i="59"/>
  <c r="T105" i="59"/>
  <c r="U105" i="59"/>
  <c r="V105" i="59"/>
  <c r="W105" i="59"/>
  <c r="X105" i="59"/>
  <c r="Y105" i="59"/>
  <c r="Z105" i="59"/>
  <c r="AA105" i="59"/>
  <c r="AB105" i="59"/>
  <c r="AC105" i="59"/>
  <c r="AD105" i="59"/>
  <c r="AE105" i="59"/>
  <c r="DC105" i="59"/>
  <c r="DD105" i="59"/>
  <c r="DH105" i="59"/>
  <c r="DI105" i="59"/>
  <c r="T108" i="59"/>
  <c r="U108" i="59"/>
  <c r="V108" i="59"/>
  <c r="W108" i="59"/>
  <c r="X108" i="59"/>
  <c r="Y108" i="59"/>
  <c r="Z108" i="59"/>
  <c r="AA108" i="59"/>
  <c r="AB108" i="59"/>
  <c r="AC108" i="59"/>
  <c r="AD108" i="59"/>
  <c r="AE108" i="59"/>
  <c r="DC108" i="59"/>
  <c r="DD108" i="59"/>
  <c r="DH108" i="59"/>
  <c r="DI108" i="59"/>
  <c r="T111" i="59"/>
  <c r="U111" i="59"/>
  <c r="V111" i="59"/>
  <c r="W111" i="59"/>
  <c r="X111" i="59"/>
  <c r="Y111" i="59"/>
  <c r="Z111" i="59"/>
  <c r="AA111" i="59"/>
  <c r="AB111" i="59"/>
  <c r="AC111" i="59"/>
  <c r="AD111" i="59"/>
  <c r="AE111" i="59"/>
  <c r="DC111" i="59"/>
  <c r="DD111" i="59"/>
  <c r="DH111" i="59"/>
  <c r="DI111" i="59"/>
  <c r="T114" i="59"/>
  <c r="U114" i="59"/>
  <c r="V114" i="59"/>
  <c r="W114" i="59"/>
  <c r="X114" i="59"/>
  <c r="Y114" i="59"/>
  <c r="Z114" i="59"/>
  <c r="AA114" i="59"/>
  <c r="AB114" i="59"/>
  <c r="AC114" i="59"/>
  <c r="AD114" i="59"/>
  <c r="AE114" i="59"/>
  <c r="DC114" i="59"/>
  <c r="DD114" i="59"/>
  <c r="DH114" i="59"/>
  <c r="DI114" i="59"/>
  <c r="T115" i="59"/>
  <c r="U115" i="59"/>
  <c r="V115" i="59"/>
  <c r="W115" i="59"/>
  <c r="X115" i="59"/>
  <c r="Y115" i="59"/>
  <c r="Z115" i="59"/>
  <c r="AA115" i="59"/>
  <c r="AB115" i="59"/>
  <c r="AC115" i="59"/>
  <c r="AD115" i="59"/>
  <c r="AE115" i="59"/>
  <c r="DC115" i="59"/>
  <c r="DH115" i="59"/>
  <c r="T116" i="59"/>
  <c r="U116" i="59"/>
  <c r="V116" i="59"/>
  <c r="W116" i="59"/>
  <c r="X116" i="59"/>
  <c r="Y116" i="59"/>
  <c r="Z116" i="59"/>
  <c r="AA116" i="59"/>
  <c r="AB116" i="59"/>
  <c r="AC116" i="59"/>
  <c r="AD116" i="59"/>
  <c r="AE116" i="59"/>
  <c r="DC116" i="59"/>
  <c r="DH116" i="59"/>
  <c r="T202" i="59"/>
  <c r="U202" i="59"/>
  <c r="V202" i="59"/>
  <c r="W202" i="59"/>
  <c r="X202" i="59"/>
  <c r="Y202" i="59"/>
  <c r="Z202" i="59"/>
  <c r="AA202" i="59"/>
  <c r="AB202" i="59"/>
  <c r="AC202" i="59"/>
  <c r="AD202" i="59"/>
  <c r="AE202" i="59"/>
  <c r="DC202" i="59"/>
  <c r="DD202" i="59"/>
  <c r="DH202" i="59"/>
  <c r="DI202" i="59"/>
  <c r="R203" i="59"/>
  <c r="S203" i="59"/>
  <c r="T203" i="59"/>
  <c r="U203" i="59"/>
  <c r="V203" i="59"/>
  <c r="W203" i="59"/>
  <c r="X203" i="59"/>
  <c r="Y203" i="59"/>
  <c r="Z203" i="59"/>
  <c r="AA203" i="59"/>
  <c r="AB203" i="59"/>
  <c r="AC203" i="59"/>
  <c r="AD203" i="59"/>
  <c r="AE203" i="59"/>
  <c r="CU203" i="59"/>
  <c r="CV203" i="59"/>
  <c r="CW203" i="59"/>
  <c r="CX203" i="59"/>
  <c r="CY203" i="59"/>
  <c r="DC203" i="59"/>
  <c r="DD203" i="59"/>
  <c r="DH203" i="59"/>
  <c r="DI203" i="59"/>
  <c r="R204" i="59"/>
  <c r="S204" i="59"/>
  <c r="T204" i="59"/>
  <c r="U204" i="59"/>
  <c r="V204" i="59"/>
  <c r="W204" i="59"/>
  <c r="X204" i="59"/>
  <c r="Y204" i="59"/>
  <c r="Z204" i="59"/>
  <c r="AA204" i="59"/>
  <c r="AB204" i="59"/>
  <c r="AC204" i="59"/>
  <c r="AD204" i="59"/>
  <c r="AE204" i="59"/>
  <c r="CU204" i="59"/>
  <c r="CV204" i="59"/>
  <c r="CW204" i="59"/>
  <c r="CX204" i="59"/>
  <c r="CY204" i="59"/>
  <c r="DC204" i="59"/>
  <c r="DD204" i="59"/>
  <c r="DH204" i="59"/>
  <c r="DI204" i="59"/>
  <c r="T206" i="59"/>
  <c r="U206" i="59"/>
  <c r="V206" i="59"/>
  <c r="W206" i="59"/>
  <c r="X206" i="59"/>
  <c r="Y206" i="59"/>
  <c r="Z206" i="59"/>
  <c r="AA206" i="59"/>
  <c r="AB206" i="59"/>
  <c r="AC206" i="59"/>
  <c r="AD206" i="59"/>
  <c r="AE206" i="59"/>
  <c r="DC206" i="59"/>
  <c r="DD206" i="59"/>
  <c r="DH206" i="59"/>
  <c r="DI206" i="59"/>
  <c r="R207" i="59"/>
  <c r="S207" i="59"/>
  <c r="T207" i="59"/>
  <c r="U207" i="59"/>
  <c r="V207" i="59"/>
  <c r="W207" i="59"/>
  <c r="X207" i="59"/>
  <c r="Y207" i="59"/>
  <c r="Z207" i="59"/>
  <c r="AA207" i="59"/>
  <c r="AB207" i="59"/>
  <c r="AC207" i="59"/>
  <c r="AD207" i="59"/>
  <c r="AE207" i="59"/>
  <c r="CU207" i="59"/>
  <c r="CV207" i="59"/>
  <c r="CW207" i="59"/>
  <c r="CX207" i="59"/>
  <c r="CY207" i="59"/>
  <c r="DC207" i="59"/>
  <c r="DD207" i="59"/>
  <c r="DH207" i="59"/>
  <c r="DI207" i="59"/>
  <c r="R208" i="59"/>
  <c r="S208" i="59"/>
  <c r="T208" i="59"/>
  <c r="U208" i="59"/>
  <c r="V208" i="59"/>
  <c r="W208" i="59"/>
  <c r="X208" i="59"/>
  <c r="Y208" i="59"/>
  <c r="Z208" i="59"/>
  <c r="AA208" i="59"/>
  <c r="AB208" i="59"/>
  <c r="AC208" i="59"/>
  <c r="AD208" i="59"/>
  <c r="AE208" i="59"/>
  <c r="CY208" i="59"/>
  <c r="DC208" i="59"/>
  <c r="DD208" i="59"/>
  <c r="DH208" i="59"/>
  <c r="DI208" i="59"/>
  <c r="F211" i="59"/>
  <c r="G211" i="59"/>
  <c r="AW211" i="59"/>
  <c r="AX211" i="59"/>
  <c r="AY211" i="59"/>
  <c r="AZ211" i="59"/>
  <c r="BA211" i="59"/>
  <c r="BB211" i="59"/>
  <c r="BC211" i="59"/>
  <c r="BD211" i="59"/>
  <c r="BE211" i="59"/>
  <c r="BF211" i="59"/>
  <c r="CU212" i="59"/>
  <c r="CV212" i="59"/>
  <c r="R213" i="59"/>
  <c r="T213" i="59"/>
  <c r="U213" i="59"/>
  <c r="V213" i="59"/>
  <c r="W213" i="59"/>
  <c r="X213" i="59"/>
  <c r="Y213" i="59"/>
  <c r="Z213" i="59"/>
  <c r="AA213" i="59"/>
  <c r="AB213" i="59"/>
  <c r="AC213" i="59"/>
  <c r="AD213" i="59"/>
  <c r="AE213" i="59"/>
  <c r="CU213" i="59"/>
  <c r="CV213" i="59"/>
  <c r="CW213" i="59"/>
  <c r="CX213" i="59"/>
  <c r="DC213" i="59"/>
  <c r="DD213" i="59"/>
  <c r="DH213" i="59"/>
  <c r="DI213" i="59"/>
  <c r="R214" i="59"/>
  <c r="T214" i="59"/>
  <c r="U214" i="59"/>
  <c r="V214" i="59"/>
  <c r="W214" i="59"/>
  <c r="X214" i="59"/>
  <c r="Y214" i="59"/>
  <c r="Z214" i="59"/>
  <c r="AA214" i="59"/>
  <c r="AB214" i="59"/>
  <c r="AC214" i="59"/>
  <c r="AD214" i="59"/>
  <c r="AE214" i="59"/>
  <c r="CU214" i="59"/>
  <c r="CV214" i="59"/>
  <c r="CW214" i="59"/>
  <c r="CX214" i="59"/>
  <c r="DC214" i="59"/>
  <c r="DD214" i="59"/>
  <c r="DH214" i="59"/>
  <c r="DI214" i="59"/>
  <c r="B7" i="60"/>
  <c r="F7" i="60"/>
  <c r="G7" i="60"/>
  <c r="I7" i="60"/>
  <c r="B8" i="60"/>
  <c r="F8" i="60"/>
  <c r="G8" i="60"/>
  <c r="I8" i="60"/>
  <c r="B9" i="60"/>
  <c r="F9" i="60"/>
  <c r="G9" i="60"/>
  <c r="I9" i="60"/>
  <c r="B10" i="60"/>
  <c r="F10" i="60"/>
  <c r="G10" i="60"/>
  <c r="I10" i="60"/>
  <c r="B11" i="60"/>
  <c r="F11" i="60"/>
  <c r="G11" i="60"/>
  <c r="I11" i="60"/>
  <c r="B12" i="60"/>
  <c r="F12" i="60"/>
  <c r="G12" i="60"/>
  <c r="I12" i="60"/>
  <c r="F13" i="60"/>
  <c r="G13" i="60"/>
  <c r="C14" i="60"/>
  <c r="F14" i="60"/>
  <c r="G14" i="60"/>
  <c r="I14" i="60"/>
  <c r="D15" i="60"/>
  <c r="F15" i="60"/>
  <c r="G15" i="60"/>
  <c r="I15" i="60"/>
  <c r="E16" i="60"/>
  <c r="F16" i="60"/>
  <c r="G16" i="60"/>
  <c r="I16" i="60"/>
  <c r="B17" i="60"/>
  <c r="C17" i="60"/>
  <c r="D17" i="60"/>
  <c r="E17" i="60"/>
  <c r="F17" i="60"/>
  <c r="G17" i="60"/>
  <c r="I17" i="60"/>
  <c r="L17" i="60"/>
  <c r="B24" i="60"/>
  <c r="C24" i="60"/>
  <c r="D24" i="60"/>
  <c r="E24" i="60"/>
  <c r="F24" i="60"/>
  <c r="E27" i="60"/>
  <c r="F27" i="60"/>
  <c r="E32" i="60"/>
  <c r="F32" i="60"/>
  <c r="B34" i="60"/>
  <c r="C34" i="60"/>
  <c r="D34" i="60"/>
  <c r="E34" i="60"/>
  <c r="F34" i="60"/>
  <c r="B41" i="60"/>
  <c r="D41" i="60"/>
  <c r="E41" i="60"/>
  <c r="F41" i="60"/>
  <c r="B47" i="60"/>
  <c r="D47" i="60"/>
  <c r="E47" i="60"/>
  <c r="F47" i="60"/>
  <c r="B50" i="60"/>
  <c r="D50" i="60"/>
  <c r="E50" i="60"/>
  <c r="F50" i="60"/>
  <c r="B52" i="60"/>
  <c r="B56" i="60"/>
  <c r="B58" i="60"/>
  <c r="B65" i="60"/>
  <c r="C65" i="60"/>
  <c r="D65" i="60"/>
  <c r="E65" i="60"/>
  <c r="F65" i="60"/>
  <c r="G65" i="60"/>
  <c r="H65" i="60"/>
  <c r="I65" i="60"/>
  <c r="J65" i="60"/>
  <c r="K65" i="60"/>
  <c r="L65" i="60"/>
  <c r="M65" i="60"/>
  <c r="N65" i="60"/>
  <c r="O65" i="60"/>
  <c r="P65" i="60"/>
  <c r="Q65" i="60"/>
  <c r="R65" i="60"/>
  <c r="S65" i="60"/>
  <c r="T65" i="60"/>
  <c r="U65" i="60"/>
  <c r="V65" i="60"/>
  <c r="W65" i="60"/>
  <c r="X65" i="60"/>
  <c r="Y65" i="60"/>
  <c r="B69" i="60"/>
  <c r="C69" i="60"/>
  <c r="D69" i="60"/>
  <c r="E69" i="60"/>
  <c r="F69" i="60"/>
  <c r="G69" i="60"/>
  <c r="H69" i="60"/>
  <c r="I69" i="60"/>
  <c r="J69" i="60"/>
  <c r="K69" i="60"/>
  <c r="L69" i="60"/>
  <c r="M69" i="60"/>
  <c r="N69" i="60"/>
  <c r="O69" i="60"/>
  <c r="P69" i="60"/>
  <c r="Q69" i="60"/>
  <c r="R69" i="60"/>
  <c r="S69" i="60"/>
  <c r="T69" i="60"/>
  <c r="U69" i="60"/>
  <c r="V69" i="60"/>
  <c r="W69" i="60"/>
  <c r="X69" i="60"/>
  <c r="Y69" i="60"/>
  <c r="M72" i="60"/>
  <c r="N72" i="60"/>
  <c r="O72" i="60"/>
  <c r="P72" i="60"/>
  <c r="Q72" i="60"/>
  <c r="R72" i="60"/>
  <c r="S72" i="60"/>
  <c r="T72" i="60"/>
  <c r="U72" i="60"/>
  <c r="V72" i="60"/>
  <c r="W72" i="60"/>
  <c r="X72" i="60"/>
  <c r="Y72" i="60"/>
  <c r="B76" i="60"/>
  <c r="C76" i="60"/>
  <c r="D76" i="60"/>
  <c r="E76" i="60"/>
  <c r="F76" i="60"/>
  <c r="G76" i="60"/>
  <c r="H76" i="60"/>
  <c r="I76" i="60"/>
  <c r="J76" i="60"/>
  <c r="K76" i="60"/>
  <c r="L76" i="60"/>
  <c r="M76" i="60"/>
  <c r="N76" i="60"/>
  <c r="O76" i="60"/>
  <c r="P76" i="60"/>
  <c r="Q76" i="60"/>
  <c r="R76" i="60"/>
  <c r="S76" i="60"/>
  <c r="T76" i="60"/>
  <c r="U76" i="60"/>
  <c r="V76" i="60"/>
  <c r="W76" i="60"/>
  <c r="X76" i="60"/>
  <c r="Y76" i="60"/>
  <c r="B79" i="60"/>
  <c r="C79" i="60"/>
  <c r="D79" i="60"/>
  <c r="E79" i="60"/>
  <c r="F79" i="60"/>
  <c r="G79" i="60"/>
  <c r="H79" i="60"/>
  <c r="I79" i="60"/>
  <c r="J79" i="60"/>
  <c r="K79" i="60"/>
  <c r="L79" i="60"/>
  <c r="M79" i="60"/>
  <c r="N79" i="60"/>
  <c r="O79" i="60"/>
  <c r="P79" i="60"/>
  <c r="Q79" i="60"/>
  <c r="R79" i="60"/>
  <c r="S79" i="60"/>
  <c r="T79" i="60"/>
  <c r="U79" i="60"/>
  <c r="V79" i="60"/>
  <c r="W79" i="60"/>
  <c r="X79" i="60"/>
  <c r="Y79" i="60"/>
  <c r="B80" i="60"/>
  <c r="C80" i="60"/>
  <c r="D80" i="60"/>
  <c r="E80" i="60"/>
  <c r="F80" i="60"/>
  <c r="G80" i="60"/>
  <c r="H80" i="60"/>
  <c r="I80" i="60"/>
  <c r="J80" i="60"/>
  <c r="K80" i="60"/>
  <c r="L80" i="60"/>
  <c r="M80" i="60"/>
  <c r="N80" i="60"/>
  <c r="O80" i="60"/>
  <c r="P80" i="60"/>
  <c r="Q80" i="60"/>
  <c r="R80" i="60"/>
  <c r="S80" i="60"/>
  <c r="T80" i="60"/>
  <c r="U80" i="60"/>
  <c r="V80" i="60"/>
  <c r="W80" i="60"/>
  <c r="X80" i="60"/>
  <c r="Y80" i="60"/>
  <c r="B81" i="60"/>
  <c r="C81" i="60"/>
  <c r="D81" i="60"/>
  <c r="E81" i="60"/>
  <c r="F81" i="60"/>
  <c r="G81" i="60"/>
  <c r="H81" i="60"/>
  <c r="I81" i="60"/>
  <c r="J81" i="60"/>
  <c r="K81" i="60"/>
  <c r="L81" i="60"/>
  <c r="M81" i="60"/>
  <c r="N81" i="60"/>
  <c r="O81" i="60"/>
  <c r="P81" i="60"/>
  <c r="Q81" i="60"/>
  <c r="R81" i="60"/>
  <c r="S81" i="60"/>
  <c r="T81" i="60"/>
  <c r="U81" i="60"/>
  <c r="V81" i="60"/>
  <c r="W81" i="60"/>
  <c r="X81" i="60"/>
  <c r="Y81" i="60"/>
  <c r="B82" i="60"/>
  <c r="C82" i="60"/>
  <c r="D82" i="60"/>
  <c r="E82" i="60"/>
  <c r="F82" i="60"/>
  <c r="G82" i="60"/>
  <c r="H82" i="60"/>
  <c r="I82" i="60"/>
  <c r="J82" i="60"/>
  <c r="K82" i="60"/>
  <c r="L82" i="60"/>
  <c r="M82" i="60"/>
  <c r="N82" i="60"/>
  <c r="O82" i="60"/>
  <c r="P82" i="60"/>
  <c r="Q82" i="60"/>
  <c r="R82" i="60"/>
  <c r="S82" i="60"/>
  <c r="T82" i="60"/>
  <c r="U82" i="60"/>
  <c r="V82" i="60"/>
  <c r="W82" i="60"/>
  <c r="X82" i="60"/>
  <c r="Y82" i="60"/>
  <c r="B83" i="60"/>
  <c r="C83" i="60"/>
  <c r="D83" i="60"/>
  <c r="E83" i="60"/>
  <c r="F83" i="60"/>
  <c r="G83" i="60"/>
  <c r="H83" i="60"/>
  <c r="I83" i="60"/>
  <c r="J83" i="60"/>
  <c r="K83" i="60"/>
  <c r="L83" i="60"/>
  <c r="M83" i="60"/>
  <c r="N83" i="60"/>
  <c r="O83" i="60"/>
  <c r="P83" i="60"/>
  <c r="Q83" i="60"/>
  <c r="R83" i="60"/>
  <c r="S83" i="60"/>
  <c r="T83" i="60"/>
  <c r="U83" i="60"/>
  <c r="V83" i="60"/>
  <c r="W83" i="60"/>
  <c r="X83" i="60"/>
  <c r="Y83" i="60"/>
  <c r="B84" i="60"/>
  <c r="C84" i="60"/>
  <c r="D84" i="60"/>
  <c r="E84" i="60"/>
  <c r="F84" i="60"/>
  <c r="G84" i="60"/>
  <c r="H84" i="60"/>
  <c r="I84" i="60"/>
  <c r="J84" i="60"/>
  <c r="K84" i="60"/>
  <c r="L84" i="60"/>
  <c r="M84" i="60"/>
  <c r="N84" i="60"/>
  <c r="O84" i="60"/>
  <c r="P84" i="60"/>
  <c r="Q84" i="60"/>
  <c r="R84" i="60"/>
  <c r="S84" i="60"/>
  <c r="T84" i="60"/>
  <c r="U84" i="60"/>
  <c r="V84" i="60"/>
  <c r="W84" i="60"/>
  <c r="X84" i="60"/>
  <c r="B86" i="60"/>
  <c r="C86" i="60"/>
  <c r="D86" i="60"/>
  <c r="E86" i="60"/>
  <c r="F86" i="60"/>
  <c r="G86" i="60"/>
  <c r="H86" i="60"/>
  <c r="I86" i="60"/>
  <c r="J86" i="60"/>
  <c r="K86" i="60"/>
  <c r="L86" i="60"/>
  <c r="M86" i="60"/>
  <c r="N86" i="60"/>
  <c r="O86" i="60"/>
  <c r="P86" i="60"/>
  <c r="Q86" i="60"/>
  <c r="R86" i="60"/>
  <c r="S86" i="60"/>
  <c r="T86" i="60"/>
  <c r="U86" i="60"/>
  <c r="V86" i="60"/>
  <c r="W86" i="60"/>
  <c r="X86" i="60"/>
  <c r="Y86" i="60"/>
  <c r="B87" i="60"/>
  <c r="C87" i="60"/>
  <c r="D87" i="60"/>
  <c r="E87" i="60"/>
  <c r="F87" i="60"/>
  <c r="G87" i="60"/>
  <c r="H87" i="60"/>
  <c r="I87" i="60"/>
  <c r="J87" i="60"/>
  <c r="K87" i="60"/>
  <c r="L87" i="60"/>
  <c r="M87" i="60"/>
  <c r="N87" i="60"/>
  <c r="O87" i="60"/>
  <c r="P87" i="60"/>
  <c r="Q87" i="60"/>
  <c r="R87" i="60"/>
  <c r="S87" i="60"/>
  <c r="T87" i="60"/>
  <c r="U87" i="60"/>
  <c r="V87" i="60"/>
  <c r="W87" i="60"/>
  <c r="X87" i="60"/>
  <c r="Y87" i="60"/>
  <c r="B88" i="60"/>
  <c r="C88" i="60"/>
  <c r="D88" i="60"/>
  <c r="E88" i="60"/>
  <c r="F88" i="60"/>
  <c r="G88" i="60"/>
  <c r="H88" i="60"/>
  <c r="I88" i="60"/>
  <c r="J88" i="60"/>
  <c r="K88" i="60"/>
  <c r="L88" i="60"/>
  <c r="M88" i="60"/>
  <c r="N88" i="60"/>
  <c r="O88" i="60"/>
  <c r="P88" i="60"/>
  <c r="Q88" i="60"/>
  <c r="R88" i="60"/>
  <c r="S88" i="60"/>
  <c r="T88" i="60"/>
  <c r="U88" i="60"/>
  <c r="V88" i="60"/>
  <c r="W88" i="60"/>
  <c r="X88" i="60"/>
  <c r="B95" i="60"/>
  <c r="C95" i="60"/>
  <c r="D95" i="60"/>
  <c r="E95" i="60"/>
  <c r="F95" i="60"/>
  <c r="G95" i="60"/>
  <c r="H95" i="60"/>
  <c r="I95" i="60"/>
  <c r="J95" i="60"/>
  <c r="K95" i="60"/>
  <c r="L95" i="60"/>
  <c r="M95" i="60"/>
  <c r="N95" i="60"/>
  <c r="O95" i="60"/>
  <c r="P95" i="60"/>
  <c r="Q95" i="60"/>
  <c r="R95" i="60"/>
  <c r="S95" i="60"/>
  <c r="T95" i="60"/>
  <c r="U95" i="60"/>
  <c r="V95" i="60"/>
  <c r="W95" i="60"/>
  <c r="X95" i="60"/>
  <c r="Y95" i="60"/>
  <c r="B99" i="60"/>
  <c r="C99" i="60"/>
  <c r="D99" i="60"/>
  <c r="E99" i="60"/>
  <c r="F99" i="60"/>
  <c r="G99" i="60"/>
  <c r="H99" i="60"/>
  <c r="I99" i="60"/>
  <c r="J99" i="60"/>
  <c r="K99" i="60"/>
  <c r="L99" i="60"/>
  <c r="M99" i="60"/>
  <c r="N99" i="60"/>
  <c r="O99" i="60"/>
  <c r="P99" i="60"/>
  <c r="Q99" i="60"/>
  <c r="R99" i="60"/>
  <c r="S99" i="60"/>
  <c r="T99" i="60"/>
  <c r="U99" i="60"/>
  <c r="V99" i="60"/>
  <c r="W99" i="60"/>
  <c r="X99" i="60"/>
  <c r="Y99" i="60"/>
  <c r="M102" i="60"/>
  <c r="N102" i="60"/>
  <c r="O102" i="60"/>
  <c r="P102" i="60"/>
  <c r="Q102" i="60"/>
  <c r="R102" i="60"/>
  <c r="S102" i="60"/>
  <c r="T102" i="60"/>
  <c r="U102" i="60"/>
  <c r="V102" i="60"/>
  <c r="W102" i="60"/>
  <c r="X102" i="60"/>
  <c r="Y102" i="60"/>
  <c r="B106" i="60"/>
  <c r="C106" i="60"/>
  <c r="D106" i="60"/>
  <c r="E106" i="60"/>
  <c r="F106" i="60"/>
  <c r="G106" i="60"/>
  <c r="H106" i="60"/>
  <c r="I106" i="60"/>
  <c r="J106" i="60"/>
  <c r="K106" i="60"/>
  <c r="L106" i="60"/>
  <c r="M106" i="60"/>
  <c r="N106" i="60"/>
  <c r="O106" i="60"/>
  <c r="P106" i="60"/>
  <c r="Q106" i="60"/>
  <c r="R106" i="60"/>
  <c r="S106" i="60"/>
  <c r="T106" i="60"/>
  <c r="U106" i="60"/>
  <c r="V106" i="60"/>
  <c r="W106" i="60"/>
  <c r="X106" i="60"/>
  <c r="Y106" i="60"/>
  <c r="B108" i="60"/>
  <c r="C108" i="60"/>
  <c r="D108" i="60"/>
  <c r="E108" i="60"/>
  <c r="F108" i="60"/>
  <c r="G108" i="60"/>
  <c r="H108" i="60"/>
  <c r="I108" i="60"/>
  <c r="J108" i="60"/>
  <c r="K108" i="60"/>
  <c r="L108" i="60"/>
  <c r="M108" i="60"/>
  <c r="N108" i="60"/>
  <c r="O108" i="60"/>
  <c r="P108" i="60"/>
  <c r="Q108" i="60"/>
  <c r="R108" i="60"/>
  <c r="S108" i="60"/>
  <c r="T108" i="60"/>
  <c r="U108" i="60"/>
  <c r="V108" i="60"/>
  <c r="W108" i="60"/>
  <c r="X108" i="60"/>
  <c r="Y108" i="60"/>
  <c r="B109" i="60"/>
  <c r="C109" i="60"/>
  <c r="D109" i="60"/>
  <c r="E109" i="60"/>
  <c r="F109" i="60"/>
  <c r="G109" i="60"/>
  <c r="H109" i="60"/>
  <c r="I109" i="60"/>
  <c r="J109" i="60"/>
  <c r="K109" i="60"/>
  <c r="L109" i="60"/>
  <c r="M109" i="60"/>
  <c r="N109" i="60"/>
  <c r="O109" i="60"/>
  <c r="P109" i="60"/>
  <c r="Q109" i="60"/>
  <c r="R109" i="60"/>
  <c r="S109" i="60"/>
  <c r="T109" i="60"/>
  <c r="U109" i="60"/>
  <c r="V109" i="60"/>
  <c r="W109" i="60"/>
  <c r="X109" i="60"/>
  <c r="Y109" i="60"/>
  <c r="B110" i="60"/>
  <c r="C110" i="60"/>
  <c r="D110" i="60"/>
  <c r="E110" i="60"/>
  <c r="F110" i="60"/>
  <c r="G110" i="60"/>
  <c r="H110" i="60"/>
  <c r="I110" i="60"/>
  <c r="J110" i="60"/>
  <c r="K110" i="60"/>
  <c r="L110" i="60"/>
  <c r="M110" i="60"/>
  <c r="N110" i="60"/>
  <c r="O110" i="60"/>
  <c r="P110" i="60"/>
  <c r="Q110" i="60"/>
  <c r="R110" i="60"/>
  <c r="S110" i="60"/>
  <c r="T110" i="60"/>
  <c r="U110" i="60"/>
  <c r="V110" i="60"/>
  <c r="W110" i="60"/>
  <c r="X110" i="60"/>
  <c r="Y110" i="60"/>
  <c r="B111" i="60"/>
  <c r="C111" i="60"/>
  <c r="D111" i="60"/>
  <c r="E111" i="60"/>
  <c r="F111" i="60"/>
  <c r="G111" i="60"/>
  <c r="H111" i="60"/>
  <c r="I111" i="60"/>
  <c r="J111" i="60"/>
  <c r="K111" i="60"/>
  <c r="L111" i="60"/>
  <c r="M111" i="60"/>
  <c r="N111" i="60"/>
  <c r="O111" i="60"/>
  <c r="P111" i="60"/>
  <c r="Q111" i="60"/>
  <c r="R111" i="60"/>
  <c r="S111" i="60"/>
  <c r="T111" i="60"/>
  <c r="U111" i="60"/>
  <c r="V111" i="60"/>
  <c r="W111" i="60"/>
  <c r="X111" i="60"/>
  <c r="Y111" i="60"/>
  <c r="B112" i="60"/>
  <c r="C112" i="60"/>
  <c r="D112" i="60"/>
  <c r="E112" i="60"/>
  <c r="F112" i="60"/>
  <c r="G112" i="60"/>
  <c r="H112" i="60"/>
  <c r="I112" i="60"/>
  <c r="J112" i="60"/>
  <c r="K112" i="60"/>
  <c r="L112" i="60"/>
  <c r="M112" i="60"/>
  <c r="N112" i="60"/>
  <c r="O112" i="60"/>
  <c r="P112" i="60"/>
  <c r="Q112" i="60"/>
  <c r="R112" i="60"/>
  <c r="S112" i="60"/>
  <c r="T112" i="60"/>
  <c r="U112" i="60"/>
  <c r="V112" i="60"/>
  <c r="W112" i="60"/>
  <c r="X112" i="60"/>
  <c r="Y112" i="60"/>
  <c r="B113" i="60"/>
  <c r="C113" i="60"/>
  <c r="D113" i="60"/>
  <c r="E113" i="60"/>
  <c r="F113" i="60"/>
  <c r="G113" i="60"/>
  <c r="H113" i="60"/>
  <c r="I113" i="60"/>
  <c r="J113" i="60"/>
  <c r="K113" i="60"/>
  <c r="L113" i="60"/>
  <c r="M113" i="60"/>
  <c r="N113" i="60"/>
  <c r="O113" i="60"/>
  <c r="P113" i="60"/>
  <c r="Q113" i="60"/>
  <c r="R113" i="60"/>
  <c r="S113" i="60"/>
  <c r="T113" i="60"/>
  <c r="U113" i="60"/>
  <c r="V113" i="60"/>
  <c r="W113" i="60"/>
  <c r="X113" i="60"/>
  <c r="B115" i="60"/>
  <c r="C115" i="60"/>
  <c r="D115" i="60"/>
  <c r="E115" i="60"/>
  <c r="F115" i="60"/>
  <c r="G115" i="60"/>
  <c r="H115" i="60"/>
  <c r="I115" i="60"/>
  <c r="J115" i="60"/>
  <c r="K115" i="60"/>
  <c r="L115" i="60"/>
  <c r="M115" i="60"/>
  <c r="N115" i="60"/>
  <c r="O115" i="60"/>
  <c r="P115" i="60"/>
  <c r="Q115" i="60"/>
  <c r="R115" i="60"/>
  <c r="S115" i="60"/>
  <c r="T115" i="60"/>
  <c r="U115" i="60"/>
  <c r="V115" i="60"/>
  <c r="W115" i="60"/>
  <c r="X115" i="60"/>
  <c r="Y115" i="60"/>
  <c r="B116" i="60"/>
  <c r="C116" i="60"/>
  <c r="D116" i="60"/>
  <c r="E116" i="60"/>
  <c r="F116" i="60"/>
  <c r="G116" i="60"/>
  <c r="H116" i="60"/>
  <c r="I116" i="60"/>
  <c r="J116" i="60"/>
  <c r="K116" i="60"/>
  <c r="L116" i="60"/>
  <c r="M116" i="60"/>
  <c r="N116" i="60"/>
  <c r="O116" i="60"/>
  <c r="P116" i="60"/>
  <c r="Q116" i="60"/>
  <c r="R116" i="60"/>
  <c r="S116" i="60"/>
  <c r="T116" i="60"/>
  <c r="U116" i="60"/>
  <c r="V116" i="60"/>
  <c r="W116" i="60"/>
  <c r="X116" i="60"/>
  <c r="Y116" i="60"/>
  <c r="B117" i="60"/>
  <c r="C117" i="60"/>
  <c r="D117" i="60"/>
  <c r="E117" i="60"/>
  <c r="F117" i="60"/>
  <c r="G117" i="60"/>
  <c r="H117" i="60"/>
  <c r="I117" i="60"/>
  <c r="J117" i="60"/>
  <c r="K117" i="60"/>
  <c r="L117" i="60"/>
  <c r="M117" i="60"/>
  <c r="N117" i="60"/>
  <c r="O117" i="60"/>
  <c r="P117" i="60"/>
  <c r="Q117" i="60"/>
  <c r="R117" i="60"/>
  <c r="S117" i="60"/>
  <c r="T117" i="60"/>
  <c r="U117" i="60"/>
  <c r="V117" i="60"/>
  <c r="W117" i="60"/>
  <c r="X117" i="60"/>
  <c r="B124" i="60"/>
  <c r="C124" i="60"/>
  <c r="D124" i="60"/>
  <c r="E124" i="60"/>
  <c r="F124" i="60"/>
  <c r="G124" i="60"/>
  <c r="H124" i="60"/>
  <c r="I124" i="60"/>
  <c r="J124" i="60"/>
  <c r="K124" i="60"/>
  <c r="L124" i="60"/>
  <c r="M124" i="60"/>
  <c r="N124" i="60"/>
  <c r="O124" i="60"/>
  <c r="P124" i="60"/>
  <c r="Q124" i="60"/>
  <c r="R124" i="60"/>
  <c r="S124" i="60"/>
  <c r="T124" i="60"/>
  <c r="U124" i="60"/>
  <c r="V124" i="60"/>
  <c r="W124" i="60"/>
  <c r="X124" i="60"/>
  <c r="Y124" i="60"/>
  <c r="B128" i="60"/>
  <c r="C128" i="60"/>
  <c r="D128" i="60"/>
  <c r="E128" i="60"/>
  <c r="F128" i="60"/>
  <c r="G128" i="60"/>
  <c r="H128" i="60"/>
  <c r="I128" i="60"/>
  <c r="J128" i="60"/>
  <c r="K128" i="60"/>
  <c r="L128" i="60"/>
  <c r="M128" i="60"/>
  <c r="N128" i="60"/>
  <c r="O128" i="60"/>
  <c r="P128" i="60"/>
  <c r="Q128" i="60"/>
  <c r="R128" i="60"/>
  <c r="S128" i="60"/>
  <c r="T128" i="60"/>
  <c r="U128" i="60"/>
  <c r="V128" i="60"/>
  <c r="W128" i="60"/>
  <c r="X128" i="60"/>
  <c r="Y128" i="60"/>
  <c r="M131" i="60"/>
  <c r="N131" i="60"/>
  <c r="O131" i="60"/>
  <c r="P131" i="60"/>
  <c r="Q131" i="60"/>
  <c r="R131" i="60"/>
  <c r="S131" i="60"/>
  <c r="T131" i="60"/>
  <c r="U131" i="60"/>
  <c r="V131" i="60"/>
  <c r="W131" i="60"/>
  <c r="X131" i="60"/>
  <c r="Y131" i="60"/>
  <c r="B135" i="60"/>
  <c r="C135" i="60"/>
  <c r="D135" i="60"/>
  <c r="E135" i="60"/>
  <c r="F135" i="60"/>
  <c r="G135" i="60"/>
  <c r="H135" i="60"/>
  <c r="I135" i="60"/>
  <c r="J135" i="60"/>
  <c r="K135" i="60"/>
  <c r="L135" i="60"/>
  <c r="M135" i="60"/>
  <c r="N135" i="60"/>
  <c r="O135" i="60"/>
  <c r="P135" i="60"/>
  <c r="Q135" i="60"/>
  <c r="R135" i="60"/>
  <c r="S135" i="60"/>
  <c r="T135" i="60"/>
  <c r="U135" i="60"/>
  <c r="V135" i="60"/>
  <c r="W135" i="60"/>
  <c r="X135" i="60"/>
  <c r="Y135" i="60"/>
  <c r="B137" i="60"/>
  <c r="C137" i="60"/>
  <c r="D137" i="60"/>
  <c r="E137" i="60"/>
  <c r="F137" i="60"/>
  <c r="G137" i="60"/>
  <c r="H137" i="60"/>
  <c r="I137" i="60"/>
  <c r="J137" i="60"/>
  <c r="K137" i="60"/>
  <c r="L137" i="60"/>
  <c r="M137" i="60"/>
  <c r="N137" i="60"/>
  <c r="O137" i="60"/>
  <c r="P137" i="60"/>
  <c r="Q137" i="60"/>
  <c r="R137" i="60"/>
  <c r="S137" i="60"/>
  <c r="T137" i="60"/>
  <c r="U137" i="60"/>
  <c r="V137" i="60"/>
  <c r="W137" i="60"/>
  <c r="X137" i="60"/>
  <c r="Y137" i="60"/>
  <c r="B138" i="60"/>
  <c r="C138" i="60"/>
  <c r="D138" i="60"/>
  <c r="E138" i="60"/>
  <c r="F138" i="60"/>
  <c r="G138" i="60"/>
  <c r="H138" i="60"/>
  <c r="I138" i="60"/>
  <c r="J138" i="60"/>
  <c r="K138" i="60"/>
  <c r="L138" i="60"/>
  <c r="M138" i="60"/>
  <c r="N138" i="60"/>
  <c r="O138" i="60"/>
  <c r="P138" i="60"/>
  <c r="Q138" i="60"/>
  <c r="R138" i="60"/>
  <c r="S138" i="60"/>
  <c r="T138" i="60"/>
  <c r="U138" i="60"/>
  <c r="V138" i="60"/>
  <c r="W138" i="60"/>
  <c r="X138" i="60"/>
  <c r="Y138" i="60"/>
  <c r="B139" i="60"/>
  <c r="C139" i="60"/>
  <c r="D139" i="60"/>
  <c r="E139" i="60"/>
  <c r="F139" i="60"/>
  <c r="G139" i="60"/>
  <c r="H139" i="60"/>
  <c r="I139" i="60"/>
  <c r="J139" i="60"/>
  <c r="K139" i="60"/>
  <c r="L139" i="60"/>
  <c r="M139" i="60"/>
  <c r="N139" i="60"/>
  <c r="O139" i="60"/>
  <c r="P139" i="60"/>
  <c r="Q139" i="60"/>
  <c r="R139" i="60"/>
  <c r="S139" i="60"/>
  <c r="T139" i="60"/>
  <c r="U139" i="60"/>
  <c r="V139" i="60"/>
  <c r="W139" i="60"/>
  <c r="X139" i="60"/>
  <c r="Y139" i="60"/>
  <c r="B140" i="60"/>
  <c r="C140" i="60"/>
  <c r="D140" i="60"/>
  <c r="E140" i="60"/>
  <c r="F140" i="60"/>
  <c r="G140" i="60"/>
  <c r="H140" i="60"/>
  <c r="I140" i="60"/>
  <c r="J140" i="60"/>
  <c r="K140" i="60"/>
  <c r="L140" i="60"/>
  <c r="M140" i="60"/>
  <c r="N140" i="60"/>
  <c r="O140" i="60"/>
  <c r="P140" i="60"/>
  <c r="Q140" i="60"/>
  <c r="R140" i="60"/>
  <c r="S140" i="60"/>
  <c r="T140" i="60"/>
  <c r="U140" i="60"/>
  <c r="V140" i="60"/>
  <c r="W140" i="60"/>
  <c r="X140" i="60"/>
  <c r="Y140" i="60"/>
  <c r="B141" i="60"/>
  <c r="C141" i="60"/>
  <c r="D141" i="60"/>
  <c r="E141" i="60"/>
  <c r="F141" i="60"/>
  <c r="G141" i="60"/>
  <c r="H141" i="60"/>
  <c r="I141" i="60"/>
  <c r="J141" i="60"/>
  <c r="K141" i="60"/>
  <c r="L141" i="60"/>
  <c r="M141" i="60"/>
  <c r="N141" i="60"/>
  <c r="O141" i="60"/>
  <c r="P141" i="60"/>
  <c r="Q141" i="60"/>
  <c r="R141" i="60"/>
  <c r="S141" i="60"/>
  <c r="T141" i="60"/>
  <c r="U141" i="60"/>
  <c r="V141" i="60"/>
  <c r="W141" i="60"/>
  <c r="X141" i="60"/>
  <c r="Y141" i="60"/>
  <c r="B142" i="60"/>
  <c r="C142" i="60"/>
  <c r="D142" i="60"/>
  <c r="E142" i="60"/>
  <c r="F142" i="60"/>
  <c r="G142" i="60"/>
  <c r="H142" i="60"/>
  <c r="I142" i="60"/>
  <c r="J142" i="60"/>
  <c r="K142" i="60"/>
  <c r="L142" i="60"/>
  <c r="M142" i="60"/>
  <c r="N142" i="60"/>
  <c r="O142" i="60"/>
  <c r="P142" i="60"/>
  <c r="Q142" i="60"/>
  <c r="R142" i="60"/>
  <c r="S142" i="60"/>
  <c r="T142" i="60"/>
  <c r="U142" i="60"/>
  <c r="V142" i="60"/>
  <c r="W142" i="60"/>
  <c r="X142" i="60"/>
  <c r="B144" i="60"/>
  <c r="C144" i="60"/>
  <c r="D144" i="60"/>
  <c r="E144" i="60"/>
  <c r="F144" i="60"/>
  <c r="G144" i="60"/>
  <c r="H144" i="60"/>
  <c r="I144" i="60"/>
  <c r="J144" i="60"/>
  <c r="K144" i="60"/>
  <c r="L144" i="60"/>
  <c r="M144" i="60"/>
  <c r="N144" i="60"/>
  <c r="O144" i="60"/>
  <c r="P144" i="60"/>
  <c r="Q144" i="60"/>
  <c r="R144" i="60"/>
  <c r="S144" i="60"/>
  <c r="T144" i="60"/>
  <c r="U144" i="60"/>
  <c r="V144" i="60"/>
  <c r="W144" i="60"/>
  <c r="X144" i="60"/>
  <c r="Y144" i="60"/>
  <c r="B145" i="60"/>
  <c r="C145" i="60"/>
  <c r="D145" i="60"/>
  <c r="E145" i="60"/>
  <c r="F145" i="60"/>
  <c r="G145" i="60"/>
  <c r="H145" i="60"/>
  <c r="I145" i="60"/>
  <c r="J145" i="60"/>
  <c r="K145" i="60"/>
  <c r="L145" i="60"/>
  <c r="M145" i="60"/>
  <c r="N145" i="60"/>
  <c r="O145" i="60"/>
  <c r="P145" i="60"/>
  <c r="Q145" i="60"/>
  <c r="R145" i="60"/>
  <c r="S145" i="60"/>
  <c r="T145" i="60"/>
  <c r="U145" i="60"/>
  <c r="V145" i="60"/>
  <c r="W145" i="60"/>
  <c r="X145" i="60"/>
  <c r="Y145" i="60"/>
  <c r="B146" i="60"/>
  <c r="C146" i="60"/>
  <c r="D146" i="60"/>
  <c r="E146" i="60"/>
  <c r="F146" i="60"/>
  <c r="G146" i="60"/>
  <c r="H146" i="60"/>
  <c r="I146" i="60"/>
  <c r="J146" i="60"/>
  <c r="K146" i="60"/>
  <c r="L146" i="60"/>
  <c r="M146" i="60"/>
  <c r="N146" i="60"/>
  <c r="O146" i="60"/>
  <c r="P146" i="60"/>
  <c r="Q146" i="60"/>
  <c r="R146" i="60"/>
  <c r="S146" i="60"/>
  <c r="T146" i="60"/>
  <c r="U146" i="60"/>
  <c r="V146" i="60"/>
  <c r="W146" i="60"/>
  <c r="X146" i="60"/>
  <c r="B153" i="60"/>
  <c r="C153" i="60"/>
  <c r="D153" i="60"/>
  <c r="E153" i="60"/>
  <c r="F153" i="60"/>
  <c r="G153" i="60"/>
  <c r="H153" i="60"/>
  <c r="I153" i="60"/>
  <c r="J153" i="60"/>
  <c r="K153" i="60"/>
  <c r="L153" i="60"/>
  <c r="M153" i="60"/>
  <c r="N153" i="60"/>
  <c r="O153" i="60"/>
  <c r="P153" i="60"/>
  <c r="Q153" i="60"/>
  <c r="R153" i="60"/>
  <c r="S153" i="60"/>
  <c r="T153" i="60"/>
  <c r="U153" i="60"/>
  <c r="V153" i="60"/>
  <c r="W153" i="60"/>
  <c r="X153" i="60"/>
  <c r="Y153" i="60"/>
  <c r="B157" i="60"/>
  <c r="C157" i="60"/>
  <c r="D157" i="60"/>
  <c r="E157" i="60"/>
  <c r="F157" i="60"/>
  <c r="G157" i="60"/>
  <c r="H157" i="60"/>
  <c r="I157" i="60"/>
  <c r="J157" i="60"/>
  <c r="K157" i="60"/>
  <c r="L157" i="60"/>
  <c r="M157" i="60"/>
  <c r="N157" i="60"/>
  <c r="O157" i="60"/>
  <c r="P157" i="60"/>
  <c r="Q157" i="60"/>
  <c r="R157" i="60"/>
  <c r="S157" i="60"/>
  <c r="T157" i="60"/>
  <c r="U157" i="60"/>
  <c r="V157" i="60"/>
  <c r="W157" i="60"/>
  <c r="X157" i="60"/>
  <c r="Y157" i="60"/>
  <c r="C160" i="60"/>
  <c r="D160" i="60"/>
  <c r="M160" i="60"/>
  <c r="N160" i="60"/>
  <c r="O160" i="60"/>
  <c r="P160" i="60"/>
  <c r="Q160" i="60"/>
  <c r="R160" i="60"/>
  <c r="S160" i="60"/>
  <c r="T160" i="60"/>
  <c r="U160" i="60"/>
  <c r="V160" i="60"/>
  <c r="W160" i="60"/>
  <c r="X160" i="60"/>
  <c r="Y160" i="60"/>
  <c r="C161" i="60"/>
  <c r="D161" i="60"/>
  <c r="B164" i="60"/>
  <c r="C164" i="60"/>
  <c r="D164" i="60"/>
  <c r="E164" i="60"/>
  <c r="F164" i="60"/>
  <c r="G164" i="60"/>
  <c r="H164" i="60"/>
  <c r="I164" i="60"/>
  <c r="J164" i="60"/>
  <c r="K164" i="60"/>
  <c r="L164" i="60"/>
  <c r="M164" i="60"/>
  <c r="N164" i="60"/>
  <c r="O164" i="60"/>
  <c r="P164" i="60"/>
  <c r="Q164" i="60"/>
  <c r="R164" i="60"/>
  <c r="S164" i="60"/>
  <c r="T164" i="60"/>
  <c r="U164" i="60"/>
  <c r="V164" i="60"/>
  <c r="W164" i="60"/>
  <c r="X164" i="60"/>
  <c r="Y164" i="60"/>
  <c r="B165" i="60"/>
  <c r="C165" i="60"/>
  <c r="D165" i="60"/>
  <c r="E165" i="60"/>
  <c r="F165" i="60"/>
  <c r="G165" i="60"/>
  <c r="H165" i="60"/>
  <c r="I165" i="60"/>
  <c r="J165" i="60"/>
  <c r="K165" i="60"/>
  <c r="L165" i="60"/>
  <c r="M165" i="60"/>
  <c r="N165" i="60"/>
  <c r="O165" i="60"/>
  <c r="P165" i="60"/>
  <c r="Q165" i="60"/>
  <c r="R165" i="60"/>
  <c r="S165" i="60"/>
  <c r="T165" i="60"/>
  <c r="U165" i="60"/>
  <c r="V165" i="60"/>
  <c r="W165" i="60"/>
  <c r="X165" i="60"/>
  <c r="Y165" i="60"/>
  <c r="B167" i="60"/>
  <c r="C167" i="60"/>
  <c r="D167" i="60"/>
  <c r="E167" i="60"/>
  <c r="F167" i="60"/>
  <c r="G167" i="60"/>
  <c r="H167" i="60"/>
  <c r="I167" i="60"/>
  <c r="J167" i="60"/>
  <c r="K167" i="60"/>
  <c r="L167" i="60"/>
  <c r="M167" i="60"/>
  <c r="N167" i="60"/>
  <c r="O167" i="60"/>
  <c r="P167" i="60"/>
  <c r="Q167" i="60"/>
  <c r="R167" i="60"/>
  <c r="S167" i="60"/>
  <c r="T167" i="60"/>
  <c r="U167" i="60"/>
  <c r="V167" i="60"/>
  <c r="W167" i="60"/>
  <c r="X167" i="60"/>
  <c r="Y167" i="60"/>
  <c r="B168" i="60"/>
  <c r="C168" i="60"/>
  <c r="D168" i="60"/>
  <c r="E168" i="60"/>
  <c r="F168" i="60"/>
  <c r="G168" i="60"/>
  <c r="H168" i="60"/>
  <c r="I168" i="60"/>
  <c r="J168" i="60"/>
  <c r="K168" i="60"/>
  <c r="L168" i="60"/>
  <c r="M168" i="60"/>
  <c r="N168" i="60"/>
  <c r="O168" i="60"/>
  <c r="P168" i="60"/>
  <c r="Q168" i="60"/>
  <c r="R168" i="60"/>
  <c r="S168" i="60"/>
  <c r="T168" i="60"/>
  <c r="U168" i="60"/>
  <c r="V168" i="60"/>
  <c r="W168" i="60"/>
  <c r="X168" i="60"/>
  <c r="Y168" i="60"/>
  <c r="B169" i="60"/>
  <c r="C169" i="60"/>
  <c r="D169" i="60"/>
  <c r="E169" i="60"/>
  <c r="F169" i="60"/>
  <c r="G169" i="60"/>
  <c r="H169" i="60"/>
  <c r="I169" i="60"/>
  <c r="J169" i="60"/>
  <c r="K169" i="60"/>
  <c r="L169" i="60"/>
  <c r="M169" i="60"/>
  <c r="N169" i="60"/>
  <c r="O169" i="60"/>
  <c r="P169" i="60"/>
  <c r="Q169" i="60"/>
  <c r="R169" i="60"/>
  <c r="S169" i="60"/>
  <c r="T169" i="60"/>
  <c r="U169" i="60"/>
  <c r="V169" i="60"/>
  <c r="W169" i="60"/>
  <c r="X169" i="60"/>
  <c r="Y169" i="60"/>
  <c r="B170" i="60"/>
  <c r="C170" i="60"/>
  <c r="D170" i="60"/>
  <c r="E170" i="60"/>
  <c r="F170" i="60"/>
  <c r="G170" i="60"/>
  <c r="H170" i="60"/>
  <c r="I170" i="60"/>
  <c r="J170" i="60"/>
  <c r="K170" i="60"/>
  <c r="L170" i="60"/>
  <c r="M170" i="60"/>
  <c r="N170" i="60"/>
  <c r="O170" i="60"/>
  <c r="P170" i="60"/>
  <c r="Q170" i="60"/>
  <c r="R170" i="60"/>
  <c r="S170" i="60"/>
  <c r="T170" i="60"/>
  <c r="U170" i="60"/>
  <c r="V170" i="60"/>
  <c r="W170" i="60"/>
  <c r="X170" i="60"/>
  <c r="Y170" i="60"/>
  <c r="B171" i="60"/>
  <c r="C171" i="60"/>
  <c r="D171" i="60"/>
  <c r="E171" i="60"/>
  <c r="F171" i="60"/>
  <c r="G171" i="60"/>
  <c r="H171" i="60"/>
  <c r="I171" i="60"/>
  <c r="J171" i="60"/>
  <c r="K171" i="60"/>
  <c r="L171" i="60"/>
  <c r="M171" i="60"/>
  <c r="N171" i="60"/>
  <c r="O171" i="60"/>
  <c r="P171" i="60"/>
  <c r="Q171" i="60"/>
  <c r="R171" i="60"/>
  <c r="S171" i="60"/>
  <c r="T171" i="60"/>
  <c r="U171" i="60"/>
  <c r="V171" i="60"/>
  <c r="W171" i="60"/>
  <c r="X171" i="60"/>
  <c r="Y171" i="60"/>
  <c r="B172" i="60"/>
  <c r="C172" i="60"/>
  <c r="D172" i="60"/>
  <c r="E172" i="60"/>
  <c r="F172" i="60"/>
  <c r="G172" i="60"/>
  <c r="H172" i="60"/>
  <c r="I172" i="60"/>
  <c r="J172" i="60"/>
  <c r="K172" i="60"/>
  <c r="L172" i="60"/>
  <c r="M172" i="60"/>
  <c r="N172" i="60"/>
  <c r="O172" i="60"/>
  <c r="P172" i="60"/>
  <c r="Q172" i="60"/>
  <c r="R172" i="60"/>
  <c r="S172" i="60"/>
  <c r="T172" i="60"/>
  <c r="U172" i="60"/>
  <c r="V172" i="60"/>
  <c r="W172" i="60"/>
  <c r="X172" i="60"/>
  <c r="B174" i="60"/>
  <c r="C174" i="60"/>
  <c r="D174" i="60"/>
  <c r="E174" i="60"/>
  <c r="F174" i="60"/>
  <c r="G174" i="60"/>
  <c r="H174" i="60"/>
  <c r="I174" i="60"/>
  <c r="J174" i="60"/>
  <c r="K174" i="60"/>
  <c r="L174" i="60"/>
  <c r="M174" i="60"/>
  <c r="N174" i="60"/>
  <c r="O174" i="60"/>
  <c r="P174" i="60"/>
  <c r="Q174" i="60"/>
  <c r="R174" i="60"/>
  <c r="S174" i="60"/>
  <c r="T174" i="60"/>
  <c r="U174" i="60"/>
  <c r="V174" i="60"/>
  <c r="W174" i="60"/>
  <c r="X174" i="60"/>
  <c r="Y174" i="60"/>
  <c r="B175" i="60"/>
  <c r="C175" i="60"/>
  <c r="D175" i="60"/>
  <c r="E175" i="60"/>
  <c r="F175" i="60"/>
  <c r="G175" i="60"/>
  <c r="H175" i="60"/>
  <c r="I175" i="60"/>
  <c r="J175" i="60"/>
  <c r="K175" i="60"/>
  <c r="L175" i="60"/>
  <c r="M175" i="60"/>
  <c r="N175" i="60"/>
  <c r="O175" i="60"/>
  <c r="P175" i="60"/>
  <c r="Q175" i="60"/>
  <c r="R175" i="60"/>
  <c r="S175" i="60"/>
  <c r="T175" i="60"/>
  <c r="U175" i="60"/>
  <c r="V175" i="60"/>
  <c r="W175" i="60"/>
  <c r="X175" i="60"/>
  <c r="Y175" i="60"/>
  <c r="B176" i="60"/>
  <c r="C176" i="60"/>
  <c r="D176" i="60"/>
  <c r="E176" i="60"/>
  <c r="F176" i="60"/>
  <c r="G176" i="60"/>
  <c r="H176" i="60"/>
  <c r="I176" i="60"/>
  <c r="J176" i="60"/>
  <c r="K176" i="60"/>
  <c r="L176" i="60"/>
  <c r="M176" i="60"/>
  <c r="N176" i="60"/>
  <c r="O176" i="60"/>
  <c r="P176" i="60"/>
  <c r="Q176" i="60"/>
  <c r="R176" i="60"/>
  <c r="S176" i="60"/>
  <c r="T176" i="60"/>
  <c r="U176" i="60"/>
  <c r="V176" i="60"/>
  <c r="W176" i="60"/>
  <c r="X176" i="60"/>
  <c r="B183" i="60"/>
  <c r="C183" i="60"/>
  <c r="D183" i="60"/>
  <c r="E183" i="60"/>
  <c r="F183" i="60"/>
  <c r="G183" i="60"/>
  <c r="H183" i="60"/>
  <c r="I183" i="60"/>
  <c r="J183" i="60"/>
  <c r="K183" i="60"/>
  <c r="L183" i="60"/>
  <c r="M183" i="60"/>
  <c r="N183" i="60"/>
  <c r="O183" i="60"/>
  <c r="P183" i="60"/>
  <c r="Q183" i="60"/>
  <c r="R183" i="60"/>
  <c r="S183" i="60"/>
  <c r="T183" i="60"/>
  <c r="U183" i="60"/>
  <c r="V183" i="60"/>
  <c r="W183" i="60"/>
  <c r="X183" i="60"/>
  <c r="Y183" i="60"/>
  <c r="B187" i="60"/>
  <c r="C187" i="60"/>
  <c r="D187" i="60"/>
  <c r="E187" i="60"/>
  <c r="F187" i="60"/>
  <c r="G187" i="60"/>
  <c r="H187" i="60"/>
  <c r="I187" i="60"/>
  <c r="J187" i="60"/>
  <c r="K187" i="60"/>
  <c r="L187" i="60"/>
  <c r="M187" i="60"/>
  <c r="N187" i="60"/>
  <c r="O187" i="60"/>
  <c r="P187" i="60"/>
  <c r="Q187" i="60"/>
  <c r="R187" i="60"/>
  <c r="S187" i="60"/>
  <c r="T187" i="60"/>
  <c r="U187" i="60"/>
  <c r="V187" i="60"/>
  <c r="W187" i="60"/>
  <c r="X187" i="60"/>
  <c r="Y187" i="60"/>
  <c r="C190" i="60"/>
  <c r="D190" i="60"/>
  <c r="M190" i="60"/>
  <c r="N190" i="60"/>
  <c r="O190" i="60"/>
  <c r="P190" i="60"/>
  <c r="Q190" i="60"/>
  <c r="R190" i="60"/>
  <c r="S190" i="60"/>
  <c r="T190" i="60"/>
  <c r="U190" i="60"/>
  <c r="V190" i="60"/>
  <c r="W190" i="60"/>
  <c r="X190" i="60"/>
  <c r="Y190" i="60"/>
  <c r="C191" i="60"/>
  <c r="D191" i="60"/>
  <c r="B194" i="60"/>
  <c r="C194" i="60"/>
  <c r="D194" i="60"/>
  <c r="E194" i="60"/>
  <c r="F194" i="60"/>
  <c r="G194" i="60"/>
  <c r="H194" i="60"/>
  <c r="I194" i="60"/>
  <c r="J194" i="60"/>
  <c r="K194" i="60"/>
  <c r="L194" i="60"/>
  <c r="M194" i="60"/>
  <c r="N194" i="60"/>
  <c r="O194" i="60"/>
  <c r="P194" i="60"/>
  <c r="Q194" i="60"/>
  <c r="R194" i="60"/>
  <c r="S194" i="60"/>
  <c r="T194" i="60"/>
  <c r="U194" i="60"/>
  <c r="V194" i="60"/>
  <c r="W194" i="60"/>
  <c r="X194" i="60"/>
  <c r="Y194" i="60"/>
  <c r="B197" i="60"/>
  <c r="C197" i="60"/>
  <c r="D197" i="60"/>
  <c r="E197" i="60"/>
  <c r="F197" i="60"/>
  <c r="G197" i="60"/>
  <c r="H197" i="60"/>
  <c r="I197" i="60"/>
  <c r="J197" i="60"/>
  <c r="K197" i="60"/>
  <c r="L197" i="60"/>
  <c r="M197" i="60"/>
  <c r="N197" i="60"/>
  <c r="O197" i="60"/>
  <c r="P197" i="60"/>
  <c r="Q197" i="60"/>
  <c r="R197" i="60"/>
  <c r="S197" i="60"/>
  <c r="T197" i="60"/>
  <c r="U197" i="60"/>
  <c r="V197" i="60"/>
  <c r="W197" i="60"/>
  <c r="X197" i="60"/>
  <c r="Y197" i="60"/>
  <c r="B198" i="60"/>
  <c r="C198" i="60"/>
  <c r="D198" i="60"/>
  <c r="E198" i="60"/>
  <c r="F198" i="60"/>
  <c r="G198" i="60"/>
  <c r="H198" i="60"/>
  <c r="I198" i="60"/>
  <c r="J198" i="60"/>
  <c r="K198" i="60"/>
  <c r="L198" i="60"/>
  <c r="M198" i="60"/>
  <c r="N198" i="60"/>
  <c r="O198" i="60"/>
  <c r="P198" i="60"/>
  <c r="Q198" i="60"/>
  <c r="R198" i="60"/>
  <c r="S198" i="60"/>
  <c r="T198" i="60"/>
  <c r="U198" i="60"/>
  <c r="V198" i="60"/>
  <c r="W198" i="60"/>
  <c r="X198" i="60"/>
  <c r="Y198" i="60"/>
  <c r="B199" i="60"/>
  <c r="C199" i="60"/>
  <c r="D199" i="60"/>
  <c r="E199" i="60"/>
  <c r="F199" i="60"/>
  <c r="G199" i="60"/>
  <c r="H199" i="60"/>
  <c r="I199" i="60"/>
  <c r="J199" i="60"/>
  <c r="K199" i="60"/>
  <c r="L199" i="60"/>
  <c r="M199" i="60"/>
  <c r="N199" i="60"/>
  <c r="O199" i="60"/>
  <c r="P199" i="60"/>
  <c r="Q199" i="60"/>
  <c r="R199" i="60"/>
  <c r="S199" i="60"/>
  <c r="T199" i="60"/>
  <c r="U199" i="60"/>
  <c r="V199" i="60"/>
  <c r="W199" i="60"/>
  <c r="X199" i="60"/>
  <c r="Y199" i="60"/>
  <c r="B200" i="60"/>
  <c r="C200" i="60"/>
  <c r="D200" i="60"/>
  <c r="E200" i="60"/>
  <c r="F200" i="60"/>
  <c r="G200" i="60"/>
  <c r="H200" i="60"/>
  <c r="I200" i="60"/>
  <c r="J200" i="60"/>
  <c r="K200" i="60"/>
  <c r="L200" i="60"/>
  <c r="M200" i="60"/>
  <c r="N200" i="60"/>
  <c r="O200" i="60"/>
  <c r="P200" i="60"/>
  <c r="Q200" i="60"/>
  <c r="R200" i="60"/>
  <c r="S200" i="60"/>
  <c r="T200" i="60"/>
  <c r="U200" i="60"/>
  <c r="V200" i="60"/>
  <c r="W200" i="60"/>
  <c r="X200" i="60"/>
  <c r="Y200" i="60"/>
  <c r="B201" i="60"/>
  <c r="C201" i="60"/>
  <c r="D201" i="60"/>
  <c r="E201" i="60"/>
  <c r="F201" i="60"/>
  <c r="G201" i="60"/>
  <c r="H201" i="60"/>
  <c r="I201" i="60"/>
  <c r="J201" i="60"/>
  <c r="K201" i="60"/>
  <c r="L201" i="60"/>
  <c r="M201" i="60"/>
  <c r="N201" i="60"/>
  <c r="O201" i="60"/>
  <c r="P201" i="60"/>
  <c r="Q201" i="60"/>
  <c r="R201" i="60"/>
  <c r="S201" i="60"/>
  <c r="T201" i="60"/>
  <c r="U201" i="60"/>
  <c r="V201" i="60"/>
  <c r="W201" i="60"/>
  <c r="X201" i="60"/>
  <c r="Y201" i="60"/>
  <c r="B202" i="60"/>
  <c r="C202" i="60"/>
  <c r="D202" i="60"/>
  <c r="E202" i="60"/>
  <c r="F202" i="60"/>
  <c r="G202" i="60"/>
  <c r="H202" i="60"/>
  <c r="I202" i="60"/>
  <c r="J202" i="60"/>
  <c r="K202" i="60"/>
  <c r="L202" i="60"/>
  <c r="M202" i="60"/>
  <c r="N202" i="60"/>
  <c r="O202" i="60"/>
  <c r="P202" i="60"/>
  <c r="Q202" i="60"/>
  <c r="R202" i="60"/>
  <c r="S202" i="60"/>
  <c r="T202" i="60"/>
  <c r="U202" i="60"/>
  <c r="V202" i="60"/>
  <c r="W202" i="60"/>
  <c r="X202" i="60"/>
  <c r="B204" i="60"/>
  <c r="C204" i="60"/>
  <c r="D204" i="60"/>
  <c r="E204" i="60"/>
  <c r="F204" i="60"/>
  <c r="G204" i="60"/>
  <c r="H204" i="60"/>
  <c r="I204" i="60"/>
  <c r="J204" i="60"/>
  <c r="K204" i="60"/>
  <c r="L204" i="60"/>
  <c r="M204" i="60"/>
  <c r="N204" i="60"/>
  <c r="O204" i="60"/>
  <c r="P204" i="60"/>
  <c r="Q204" i="60"/>
  <c r="R204" i="60"/>
  <c r="S204" i="60"/>
  <c r="T204" i="60"/>
  <c r="U204" i="60"/>
  <c r="V204" i="60"/>
  <c r="W204" i="60"/>
  <c r="X204" i="60"/>
  <c r="Y204" i="60"/>
  <c r="B205" i="60"/>
  <c r="C205" i="60"/>
  <c r="D205" i="60"/>
  <c r="E205" i="60"/>
  <c r="F205" i="60"/>
  <c r="G205" i="60"/>
  <c r="H205" i="60"/>
  <c r="I205" i="60"/>
  <c r="J205" i="60"/>
  <c r="K205" i="60"/>
  <c r="L205" i="60"/>
  <c r="M205" i="60"/>
  <c r="N205" i="60"/>
  <c r="O205" i="60"/>
  <c r="P205" i="60"/>
  <c r="Q205" i="60"/>
  <c r="R205" i="60"/>
  <c r="S205" i="60"/>
  <c r="T205" i="60"/>
  <c r="U205" i="60"/>
  <c r="V205" i="60"/>
  <c r="W205" i="60"/>
  <c r="X205" i="60"/>
  <c r="Y205" i="60"/>
  <c r="B206" i="60"/>
  <c r="C206" i="60"/>
  <c r="D206" i="60"/>
  <c r="E206" i="60"/>
  <c r="F206" i="60"/>
  <c r="G206" i="60"/>
  <c r="H206" i="60"/>
  <c r="I206" i="60"/>
  <c r="J206" i="60"/>
  <c r="K206" i="60"/>
  <c r="L206" i="60"/>
  <c r="M206" i="60"/>
  <c r="N206" i="60"/>
  <c r="O206" i="60"/>
  <c r="P206" i="60"/>
  <c r="Q206" i="60"/>
  <c r="R206" i="60"/>
  <c r="S206" i="60"/>
  <c r="T206" i="60"/>
  <c r="U206" i="60"/>
  <c r="V206" i="60"/>
  <c r="W206" i="60"/>
  <c r="X206" i="60"/>
  <c r="B213" i="60"/>
  <c r="C213" i="60"/>
  <c r="D213" i="60"/>
  <c r="E213" i="60"/>
  <c r="F213" i="60"/>
  <c r="G213" i="60"/>
  <c r="H213" i="60"/>
  <c r="I213" i="60"/>
  <c r="J213" i="60"/>
  <c r="K213" i="60"/>
  <c r="L213" i="60"/>
  <c r="M213" i="60"/>
  <c r="N213" i="60"/>
  <c r="O213" i="60"/>
  <c r="P213" i="60"/>
  <c r="Q213" i="60"/>
  <c r="R213" i="60"/>
  <c r="S213" i="60"/>
  <c r="T213" i="60"/>
  <c r="U213" i="60"/>
  <c r="V213" i="60"/>
  <c r="W213" i="60"/>
  <c r="X213" i="60"/>
  <c r="B217" i="60"/>
  <c r="C217" i="60"/>
  <c r="D217" i="60"/>
  <c r="E217" i="60"/>
  <c r="F217" i="60"/>
  <c r="G217" i="60"/>
  <c r="H217" i="60"/>
  <c r="I217" i="60"/>
  <c r="J217" i="60"/>
  <c r="K217" i="60"/>
  <c r="L217" i="60"/>
  <c r="M217" i="60"/>
  <c r="N217" i="60"/>
  <c r="O217" i="60"/>
  <c r="P217" i="60"/>
  <c r="Q217" i="60"/>
  <c r="R217" i="60"/>
  <c r="S217" i="60"/>
  <c r="T217" i="60"/>
  <c r="U217" i="60"/>
  <c r="V217" i="60"/>
  <c r="W217" i="60"/>
  <c r="X217" i="60"/>
  <c r="B227" i="60"/>
  <c r="C227" i="60"/>
  <c r="D227" i="60"/>
  <c r="E227" i="60"/>
  <c r="F227" i="60"/>
  <c r="G227" i="60"/>
  <c r="H227" i="60"/>
  <c r="I227" i="60"/>
  <c r="J227" i="60"/>
  <c r="K227" i="60"/>
  <c r="L227" i="60"/>
  <c r="M227" i="60"/>
  <c r="N227" i="60"/>
  <c r="O227" i="60"/>
  <c r="P227" i="60"/>
  <c r="Q227" i="60"/>
  <c r="R227" i="60"/>
  <c r="S227" i="60"/>
  <c r="T227" i="60"/>
  <c r="U227" i="60"/>
  <c r="V227" i="60"/>
  <c r="W227" i="60"/>
  <c r="X227" i="60"/>
  <c r="B229" i="60"/>
  <c r="C229" i="60"/>
  <c r="D229" i="60"/>
  <c r="E229" i="60"/>
  <c r="F229" i="60"/>
  <c r="G229" i="60"/>
  <c r="H229" i="60"/>
  <c r="I229" i="60"/>
  <c r="J229" i="60"/>
  <c r="K229" i="60"/>
  <c r="L229" i="60"/>
  <c r="M229" i="60"/>
  <c r="N229" i="60"/>
  <c r="O229" i="60"/>
  <c r="P229" i="60"/>
  <c r="Q229" i="60"/>
  <c r="R229" i="60"/>
  <c r="S229" i="60"/>
  <c r="T229" i="60"/>
  <c r="U229" i="60"/>
  <c r="V229" i="60"/>
  <c r="W229" i="60"/>
  <c r="X229" i="60"/>
  <c r="B230" i="60"/>
  <c r="C230" i="60"/>
  <c r="D230" i="60"/>
  <c r="E230" i="60"/>
  <c r="F230" i="60"/>
  <c r="G230" i="60"/>
  <c r="H230" i="60"/>
  <c r="I230" i="60"/>
  <c r="J230" i="60"/>
  <c r="K230" i="60"/>
  <c r="L230" i="60"/>
  <c r="M230" i="60"/>
  <c r="N230" i="60"/>
  <c r="O230" i="60"/>
  <c r="P230" i="60"/>
  <c r="Q230" i="60"/>
  <c r="R230" i="60"/>
  <c r="S230" i="60"/>
  <c r="T230" i="60"/>
  <c r="U230" i="60"/>
  <c r="V230" i="60"/>
  <c r="W230" i="60"/>
  <c r="X230" i="60"/>
  <c r="B231" i="60"/>
  <c r="C231" i="60"/>
  <c r="D231" i="60"/>
  <c r="E231" i="60"/>
  <c r="F231" i="60"/>
  <c r="G231" i="60"/>
  <c r="H231" i="60"/>
  <c r="I231" i="60"/>
  <c r="J231" i="60"/>
  <c r="K231" i="60"/>
  <c r="L231" i="60"/>
  <c r="M231" i="60"/>
  <c r="N231" i="60"/>
  <c r="O231" i="60"/>
  <c r="P231" i="60"/>
  <c r="Q231" i="60"/>
  <c r="R231" i="60"/>
  <c r="S231" i="60"/>
  <c r="T231" i="60"/>
  <c r="U231" i="60"/>
  <c r="V231" i="60"/>
  <c r="W231" i="60"/>
  <c r="B233" i="60"/>
  <c r="C233" i="60"/>
  <c r="D233" i="60"/>
  <c r="E233" i="60"/>
  <c r="F233" i="60"/>
  <c r="G233" i="60"/>
  <c r="H233" i="60"/>
  <c r="I233" i="60"/>
  <c r="J233" i="60"/>
  <c r="K233" i="60"/>
  <c r="L233" i="60"/>
  <c r="B234" i="60"/>
  <c r="C234" i="60"/>
  <c r="D234" i="60"/>
  <c r="E234" i="60"/>
  <c r="F234" i="60"/>
  <c r="G234" i="60"/>
  <c r="H234" i="60"/>
  <c r="I234" i="60"/>
  <c r="J234" i="60"/>
  <c r="K234" i="60"/>
  <c r="L234" i="60"/>
  <c r="B235" i="60"/>
  <c r="C235" i="60"/>
  <c r="D235" i="60"/>
  <c r="E235" i="60"/>
  <c r="F235" i="60"/>
  <c r="G235" i="60"/>
  <c r="H235" i="60"/>
  <c r="I235" i="60"/>
  <c r="J235" i="60"/>
  <c r="K235" i="60"/>
  <c r="L235" i="60"/>
  <c r="B242" i="60"/>
  <c r="C242" i="60"/>
  <c r="D242" i="60"/>
  <c r="E242" i="60"/>
  <c r="F242" i="60"/>
  <c r="G242" i="60"/>
  <c r="H242" i="60"/>
  <c r="I242" i="60"/>
  <c r="J242" i="60"/>
  <c r="B246" i="60"/>
  <c r="C246" i="60"/>
  <c r="D246" i="60"/>
  <c r="E246" i="60"/>
  <c r="F246" i="60"/>
  <c r="G246" i="60"/>
  <c r="H246" i="60"/>
  <c r="I246" i="60"/>
  <c r="J246" i="60"/>
  <c r="B256" i="60"/>
  <c r="C256" i="60"/>
  <c r="D256" i="60"/>
  <c r="E256" i="60"/>
  <c r="F256" i="60"/>
  <c r="G256" i="60"/>
  <c r="H256" i="60"/>
  <c r="I256" i="60"/>
  <c r="J256" i="60"/>
  <c r="B258" i="60"/>
  <c r="C258" i="60"/>
  <c r="D258" i="60"/>
  <c r="E258" i="60"/>
  <c r="F258" i="60"/>
  <c r="G258" i="60"/>
  <c r="H258" i="60"/>
  <c r="I258" i="60"/>
  <c r="J258" i="60"/>
  <c r="B259" i="60"/>
  <c r="C259" i="60"/>
  <c r="D259" i="60"/>
  <c r="E259" i="60"/>
  <c r="F259" i="60"/>
  <c r="G259" i="60"/>
  <c r="H259" i="60"/>
  <c r="I259" i="60"/>
  <c r="J259" i="60"/>
  <c r="B260" i="60"/>
  <c r="C260" i="60"/>
  <c r="D260" i="60"/>
  <c r="E260" i="60"/>
  <c r="F260" i="60"/>
  <c r="G260" i="60"/>
  <c r="H260" i="60"/>
  <c r="I260" i="60"/>
  <c r="J260" i="60"/>
  <c r="B262" i="60"/>
  <c r="C262" i="60"/>
  <c r="D262" i="60"/>
  <c r="E262" i="60"/>
  <c r="F262" i="60"/>
  <c r="G262" i="60"/>
  <c r="H262" i="60"/>
  <c r="I262" i="60"/>
  <c r="J262" i="60"/>
  <c r="C263" i="60"/>
  <c r="D263" i="60"/>
  <c r="E263" i="60"/>
  <c r="F263" i="60"/>
  <c r="G263" i="60"/>
  <c r="H263" i="60"/>
  <c r="I263" i="60"/>
  <c r="J263" i="60"/>
  <c r="B264" i="60"/>
  <c r="C264" i="60"/>
  <c r="D264" i="60"/>
  <c r="E264" i="60"/>
  <c r="F264" i="60"/>
  <c r="G264" i="60"/>
  <c r="H264" i="60"/>
  <c r="I264" i="60"/>
  <c r="B271" i="60"/>
  <c r="C271" i="60"/>
  <c r="D271" i="60"/>
  <c r="E271" i="60"/>
  <c r="F271" i="60"/>
  <c r="G271" i="60"/>
  <c r="H271" i="60"/>
  <c r="I271" i="60"/>
  <c r="J271" i="60"/>
  <c r="K271" i="60"/>
  <c r="L271" i="60"/>
  <c r="M271" i="60"/>
  <c r="N271" i="60"/>
  <c r="O271" i="60"/>
  <c r="P271" i="60"/>
  <c r="Q271" i="60"/>
  <c r="R271" i="60"/>
  <c r="S271" i="60"/>
  <c r="T271" i="60"/>
  <c r="U271" i="60"/>
  <c r="V271" i="60"/>
  <c r="W271" i="60"/>
  <c r="X271" i="60"/>
  <c r="Y271" i="60"/>
  <c r="B275" i="60"/>
  <c r="C275" i="60"/>
  <c r="D275" i="60"/>
  <c r="E275" i="60"/>
  <c r="F275" i="60"/>
  <c r="G275" i="60"/>
  <c r="H275" i="60"/>
  <c r="I275" i="60"/>
  <c r="J275" i="60"/>
  <c r="K275" i="60"/>
  <c r="L275" i="60"/>
  <c r="M275" i="60"/>
  <c r="N275" i="60"/>
  <c r="O275" i="60"/>
  <c r="P275" i="60"/>
  <c r="Q275" i="60"/>
  <c r="R275" i="60"/>
  <c r="S275" i="60"/>
  <c r="T275" i="60"/>
  <c r="U275" i="60"/>
  <c r="V275" i="60"/>
  <c r="W275" i="60"/>
  <c r="X275" i="60"/>
  <c r="Y275" i="60"/>
  <c r="B285" i="60"/>
  <c r="C285" i="60"/>
  <c r="D285" i="60"/>
  <c r="E285" i="60"/>
  <c r="F285" i="60"/>
  <c r="G285" i="60"/>
  <c r="H285" i="60"/>
  <c r="I285" i="60"/>
  <c r="J285" i="60"/>
  <c r="K285" i="60"/>
  <c r="L285" i="60"/>
  <c r="M285" i="60"/>
  <c r="N285" i="60"/>
  <c r="O285" i="60"/>
  <c r="P285" i="60"/>
  <c r="Q285" i="60"/>
  <c r="R285" i="60"/>
  <c r="S285" i="60"/>
  <c r="T285" i="60"/>
  <c r="U285" i="60"/>
  <c r="V285" i="60"/>
  <c r="W285" i="60"/>
  <c r="X285" i="60"/>
  <c r="Y285" i="60"/>
  <c r="B286" i="60"/>
  <c r="C286" i="60"/>
  <c r="D286" i="60"/>
  <c r="E286" i="60"/>
  <c r="F286" i="60"/>
  <c r="G286" i="60"/>
  <c r="H286" i="60"/>
  <c r="I286" i="60"/>
  <c r="J286" i="60"/>
  <c r="K286" i="60"/>
  <c r="L286" i="60"/>
  <c r="M286" i="60"/>
  <c r="N286" i="60"/>
  <c r="O286" i="60"/>
  <c r="P286" i="60"/>
  <c r="Q286" i="60"/>
  <c r="R286" i="60"/>
  <c r="S286" i="60"/>
  <c r="T286" i="60"/>
  <c r="U286" i="60"/>
  <c r="V286" i="60"/>
  <c r="W286" i="60"/>
  <c r="X286" i="60"/>
  <c r="Y286" i="60"/>
  <c r="B287" i="60"/>
  <c r="C287" i="60"/>
  <c r="D287" i="60"/>
  <c r="E287" i="60"/>
  <c r="F287" i="60"/>
  <c r="G287" i="60"/>
  <c r="H287" i="60"/>
  <c r="I287" i="60"/>
  <c r="J287" i="60"/>
  <c r="K287" i="60"/>
  <c r="L287" i="60"/>
  <c r="M287" i="60"/>
  <c r="N287" i="60"/>
  <c r="O287" i="60"/>
  <c r="P287" i="60"/>
  <c r="Q287" i="60"/>
  <c r="R287" i="60"/>
  <c r="S287" i="60"/>
  <c r="T287" i="60"/>
  <c r="U287" i="60"/>
  <c r="V287" i="60"/>
  <c r="W287" i="60"/>
  <c r="X287" i="60"/>
  <c r="Y287" i="60"/>
  <c r="B288" i="60"/>
  <c r="C288" i="60"/>
  <c r="D288" i="60"/>
  <c r="E288" i="60"/>
  <c r="F288" i="60"/>
  <c r="G288" i="60"/>
  <c r="H288" i="60"/>
  <c r="I288" i="60"/>
  <c r="J288" i="60"/>
  <c r="K288" i="60"/>
  <c r="L288" i="60"/>
  <c r="M288" i="60"/>
  <c r="N288" i="60"/>
  <c r="O288" i="60"/>
  <c r="P288" i="60"/>
  <c r="Q288" i="60"/>
  <c r="R288" i="60"/>
  <c r="S288" i="60"/>
  <c r="T288" i="60"/>
  <c r="U288" i="60"/>
  <c r="V288" i="60"/>
  <c r="W288" i="60"/>
  <c r="X288" i="60"/>
  <c r="Y288" i="60"/>
  <c r="B289" i="60"/>
  <c r="C289" i="60"/>
  <c r="D289" i="60"/>
  <c r="E289" i="60"/>
  <c r="F289" i="60"/>
  <c r="G289" i="60"/>
  <c r="H289" i="60"/>
  <c r="I289" i="60"/>
  <c r="J289" i="60"/>
  <c r="K289" i="60"/>
  <c r="L289" i="60"/>
  <c r="M289" i="60"/>
  <c r="N289" i="60"/>
  <c r="O289" i="60"/>
  <c r="P289" i="60"/>
  <c r="Q289" i="60"/>
  <c r="R289" i="60"/>
  <c r="S289" i="60"/>
  <c r="T289" i="60"/>
  <c r="U289" i="60"/>
  <c r="V289" i="60"/>
  <c r="W289" i="60"/>
  <c r="X289" i="60"/>
  <c r="B291" i="60"/>
  <c r="C291" i="60"/>
  <c r="D291" i="60"/>
  <c r="E291" i="60"/>
  <c r="F291" i="60"/>
  <c r="G291" i="60"/>
  <c r="H291" i="60"/>
  <c r="I291" i="60"/>
  <c r="J291" i="60"/>
  <c r="K291" i="60"/>
  <c r="L291" i="60"/>
  <c r="M291" i="60"/>
  <c r="N291" i="60"/>
  <c r="O291" i="60"/>
  <c r="P291" i="60"/>
  <c r="Q291" i="60"/>
  <c r="R291" i="60"/>
  <c r="S291" i="60"/>
  <c r="T291" i="60"/>
  <c r="U291" i="60"/>
  <c r="V291" i="60"/>
  <c r="W291" i="60"/>
  <c r="X291" i="60"/>
  <c r="Y291" i="60"/>
  <c r="C292" i="60"/>
  <c r="D292" i="60"/>
  <c r="E292" i="60"/>
  <c r="F292" i="60"/>
  <c r="G292" i="60"/>
  <c r="H292" i="60"/>
  <c r="I292" i="60"/>
  <c r="J292" i="60"/>
  <c r="K292" i="60"/>
  <c r="L292" i="60"/>
  <c r="M292" i="60"/>
  <c r="N292" i="60"/>
  <c r="O292" i="60"/>
  <c r="P292" i="60"/>
  <c r="Q292" i="60"/>
  <c r="R292" i="60"/>
  <c r="S292" i="60"/>
  <c r="T292" i="60"/>
  <c r="U292" i="60"/>
  <c r="V292" i="60"/>
  <c r="W292" i="60"/>
  <c r="X292" i="60"/>
  <c r="Y292" i="60"/>
  <c r="B293" i="60"/>
  <c r="C293" i="60"/>
  <c r="D293" i="60"/>
  <c r="E293" i="60"/>
  <c r="F293" i="60"/>
  <c r="G293" i="60"/>
  <c r="H293" i="60"/>
  <c r="I293" i="60"/>
  <c r="J293" i="60"/>
  <c r="K293" i="60"/>
  <c r="L293" i="60"/>
  <c r="M293" i="60"/>
  <c r="N293" i="60"/>
  <c r="O293" i="60"/>
  <c r="P293" i="60"/>
  <c r="Q293" i="60"/>
  <c r="R293" i="60"/>
  <c r="S293" i="60"/>
  <c r="T293" i="60"/>
  <c r="U293" i="60"/>
  <c r="V293" i="60"/>
  <c r="W293" i="60"/>
  <c r="X293" i="60"/>
  <c r="B299" i="60"/>
  <c r="C299" i="60"/>
  <c r="D299" i="60"/>
  <c r="E299" i="60"/>
  <c r="F299" i="60"/>
  <c r="G299" i="60"/>
  <c r="H299" i="60"/>
  <c r="I299" i="60"/>
  <c r="J299" i="60"/>
  <c r="K299" i="60"/>
  <c r="L299" i="60"/>
  <c r="M299" i="60"/>
  <c r="N299" i="60"/>
  <c r="O299" i="60"/>
  <c r="P299" i="60"/>
  <c r="Q299" i="60"/>
  <c r="R299" i="60"/>
  <c r="S299" i="60"/>
  <c r="T299" i="60"/>
  <c r="U299" i="60"/>
  <c r="V299" i="60"/>
  <c r="W299" i="60"/>
  <c r="X299" i="60"/>
  <c r="Y299" i="60"/>
  <c r="B303" i="60"/>
  <c r="C303" i="60"/>
  <c r="D303" i="60"/>
  <c r="E303" i="60"/>
  <c r="F303" i="60"/>
  <c r="G303" i="60"/>
  <c r="H303" i="60"/>
  <c r="I303" i="60"/>
  <c r="J303" i="60"/>
  <c r="K303" i="60"/>
  <c r="L303" i="60"/>
  <c r="M303" i="60"/>
  <c r="N303" i="60"/>
  <c r="O303" i="60"/>
  <c r="P303" i="60"/>
  <c r="Q303" i="60"/>
  <c r="R303" i="60"/>
  <c r="S303" i="60"/>
  <c r="T303" i="60"/>
  <c r="U303" i="60"/>
  <c r="V303" i="60"/>
  <c r="W303" i="60"/>
  <c r="X303" i="60"/>
  <c r="Y303" i="60"/>
  <c r="M306" i="60"/>
  <c r="E313" i="60"/>
  <c r="F313" i="60"/>
  <c r="G313" i="60"/>
  <c r="H313" i="60"/>
  <c r="I313" i="60"/>
  <c r="J313" i="60"/>
  <c r="K313" i="60"/>
  <c r="L313" i="60"/>
  <c r="M313" i="60"/>
  <c r="N313" i="60"/>
  <c r="O313" i="60"/>
  <c r="P313" i="60"/>
  <c r="Q313" i="60"/>
  <c r="R313" i="60"/>
  <c r="S313" i="60"/>
  <c r="T313" i="60"/>
  <c r="U313" i="60"/>
  <c r="V313" i="60"/>
  <c r="W313" i="60"/>
  <c r="X313" i="60"/>
  <c r="Y313" i="60"/>
  <c r="E314" i="60"/>
  <c r="F314" i="60"/>
  <c r="G314" i="60"/>
  <c r="H314" i="60"/>
  <c r="I314" i="60"/>
  <c r="J314" i="60"/>
  <c r="K314" i="60"/>
  <c r="L314" i="60"/>
  <c r="M314" i="60"/>
  <c r="N314" i="60"/>
  <c r="O314" i="60"/>
  <c r="P314" i="60"/>
  <c r="Q314" i="60"/>
  <c r="R314" i="60"/>
  <c r="S314" i="60"/>
  <c r="T314" i="60"/>
  <c r="U314" i="60"/>
  <c r="V314" i="60"/>
  <c r="W314" i="60"/>
  <c r="X314" i="60"/>
  <c r="Y314" i="60"/>
  <c r="E315" i="60"/>
  <c r="F315" i="60"/>
  <c r="G315" i="60"/>
  <c r="H315" i="60"/>
  <c r="I315" i="60"/>
  <c r="J315" i="60"/>
  <c r="K315" i="60"/>
  <c r="L315" i="60"/>
  <c r="M315" i="60"/>
  <c r="N315" i="60"/>
  <c r="O315" i="60"/>
  <c r="P315" i="60"/>
  <c r="Q315" i="60"/>
  <c r="R315" i="60"/>
  <c r="S315" i="60"/>
  <c r="T315" i="60"/>
  <c r="U315" i="60"/>
  <c r="V315" i="60"/>
  <c r="W315" i="60"/>
  <c r="X315" i="60"/>
  <c r="Y315" i="60"/>
  <c r="E316" i="60"/>
  <c r="F316" i="60"/>
  <c r="G316" i="60"/>
  <c r="H316" i="60"/>
  <c r="I316" i="60"/>
  <c r="J316" i="60"/>
  <c r="K316" i="60"/>
  <c r="L316" i="60"/>
  <c r="M316" i="60"/>
  <c r="N316" i="60"/>
  <c r="O316" i="60"/>
  <c r="P316" i="60"/>
  <c r="Q316" i="60"/>
  <c r="R316" i="60"/>
  <c r="S316" i="60"/>
  <c r="T316" i="60"/>
  <c r="U316" i="60"/>
  <c r="V316" i="60"/>
  <c r="W316" i="60"/>
  <c r="X316" i="60"/>
  <c r="Y316" i="60"/>
  <c r="E317" i="60"/>
  <c r="F317" i="60"/>
  <c r="G317" i="60"/>
  <c r="H317" i="60"/>
  <c r="I317" i="60"/>
  <c r="J317" i="60"/>
  <c r="K317" i="60"/>
  <c r="L317" i="60"/>
  <c r="M317" i="60"/>
  <c r="N317" i="60"/>
  <c r="O317" i="60"/>
  <c r="P317" i="60"/>
  <c r="Q317" i="60"/>
  <c r="R317" i="60"/>
  <c r="S317" i="60"/>
  <c r="T317" i="60"/>
  <c r="U317" i="60"/>
  <c r="V317" i="60"/>
  <c r="W317" i="60"/>
  <c r="X317" i="60"/>
  <c r="E319" i="60"/>
  <c r="F319" i="60"/>
  <c r="G319" i="60"/>
  <c r="H319" i="60"/>
  <c r="I319" i="60"/>
  <c r="J319" i="60"/>
  <c r="K319" i="60"/>
  <c r="L319" i="60"/>
  <c r="M319" i="60"/>
  <c r="N319" i="60"/>
  <c r="O319" i="60"/>
  <c r="P319" i="60"/>
  <c r="Q319" i="60"/>
  <c r="R319" i="60"/>
  <c r="S319" i="60"/>
  <c r="T319" i="60"/>
  <c r="U319" i="60"/>
  <c r="V319" i="60"/>
  <c r="W319" i="60"/>
  <c r="X319" i="60"/>
  <c r="Y319" i="60"/>
  <c r="E320" i="60"/>
  <c r="F320" i="60"/>
  <c r="G320" i="60"/>
  <c r="H320" i="60"/>
  <c r="I320" i="60"/>
  <c r="J320" i="60"/>
  <c r="K320" i="60"/>
  <c r="L320" i="60"/>
  <c r="M320" i="60"/>
  <c r="N320" i="60"/>
  <c r="O320" i="60"/>
  <c r="P320" i="60"/>
  <c r="Q320" i="60"/>
  <c r="R320" i="60"/>
  <c r="S320" i="60"/>
  <c r="T320" i="60"/>
  <c r="U320" i="60"/>
  <c r="V320" i="60"/>
  <c r="W320" i="60"/>
  <c r="X320" i="60"/>
  <c r="Y320" i="60"/>
  <c r="E321" i="60"/>
  <c r="F321" i="60"/>
  <c r="G321" i="60"/>
  <c r="H321" i="60"/>
  <c r="I321" i="60"/>
  <c r="J321" i="60"/>
  <c r="K321" i="60"/>
  <c r="L321" i="60"/>
  <c r="M321" i="60"/>
  <c r="N321" i="60"/>
  <c r="O321" i="60"/>
  <c r="P321" i="60"/>
  <c r="Q321" i="60"/>
  <c r="R321" i="60"/>
  <c r="S321" i="60"/>
  <c r="T321" i="60"/>
  <c r="U321" i="60"/>
  <c r="V321" i="60"/>
  <c r="W321" i="60"/>
  <c r="X321" i="60"/>
  <c r="B333" i="60"/>
  <c r="C333" i="60"/>
  <c r="D333" i="60"/>
  <c r="E333" i="60"/>
  <c r="F333" i="60"/>
  <c r="G333" i="60"/>
  <c r="H333" i="60"/>
  <c r="I333" i="60"/>
  <c r="J333" i="60"/>
  <c r="K333" i="60"/>
  <c r="L333" i="60"/>
  <c r="M333" i="60"/>
  <c r="N333" i="60"/>
  <c r="O333" i="60"/>
  <c r="P333" i="60"/>
  <c r="Q333" i="60"/>
  <c r="R333" i="60"/>
  <c r="S333" i="60"/>
  <c r="T333" i="60"/>
  <c r="U333" i="60"/>
  <c r="V333" i="60"/>
  <c r="W333" i="60"/>
  <c r="X333" i="60"/>
  <c r="Y333" i="60"/>
  <c r="B337" i="60"/>
  <c r="C337" i="60"/>
  <c r="D337" i="60"/>
  <c r="E337" i="60"/>
  <c r="F337" i="60"/>
  <c r="G337" i="60"/>
  <c r="H337" i="60"/>
  <c r="I337" i="60"/>
  <c r="J337" i="60"/>
  <c r="K337" i="60"/>
  <c r="L337" i="60"/>
  <c r="M337" i="60"/>
  <c r="N337" i="60"/>
  <c r="O337" i="60"/>
  <c r="P337" i="60"/>
  <c r="Q337" i="60"/>
  <c r="R337" i="60"/>
  <c r="S337" i="60"/>
  <c r="T337" i="60"/>
  <c r="U337" i="60"/>
  <c r="V337" i="60"/>
  <c r="W337" i="60"/>
  <c r="X337" i="60"/>
  <c r="Y337" i="60"/>
  <c r="M340" i="60"/>
  <c r="N340" i="60"/>
  <c r="O340" i="60"/>
  <c r="P340" i="60"/>
  <c r="Q340" i="60"/>
  <c r="R340" i="60"/>
  <c r="S340" i="60"/>
  <c r="T340" i="60"/>
  <c r="U340" i="60"/>
  <c r="V340" i="60"/>
  <c r="W340" i="60"/>
  <c r="X340" i="60"/>
  <c r="Y340" i="60"/>
  <c r="B344" i="60"/>
  <c r="C344" i="60"/>
  <c r="D344" i="60"/>
  <c r="E344" i="60"/>
  <c r="F344" i="60"/>
  <c r="G344" i="60"/>
  <c r="H344" i="60"/>
  <c r="I344" i="60"/>
  <c r="J344" i="60"/>
  <c r="K344" i="60"/>
  <c r="L344" i="60"/>
  <c r="M344" i="60"/>
  <c r="N344" i="60"/>
  <c r="O344" i="60"/>
  <c r="P344" i="60"/>
  <c r="Q344" i="60"/>
  <c r="R344" i="60"/>
  <c r="S344" i="60"/>
  <c r="T344" i="60"/>
  <c r="U344" i="60"/>
  <c r="V344" i="60"/>
  <c r="W344" i="60"/>
  <c r="X344" i="60"/>
  <c r="Y344" i="60"/>
  <c r="B346" i="60"/>
  <c r="C346" i="60"/>
  <c r="D346" i="60"/>
  <c r="E346" i="60"/>
  <c r="F346" i="60"/>
  <c r="G346" i="60"/>
  <c r="H346" i="60"/>
  <c r="I346" i="60"/>
  <c r="J346" i="60"/>
  <c r="K346" i="60"/>
  <c r="L346" i="60"/>
  <c r="M346" i="60"/>
  <c r="N346" i="60"/>
  <c r="O346" i="60"/>
  <c r="P346" i="60"/>
  <c r="Q346" i="60"/>
  <c r="R346" i="60"/>
  <c r="S346" i="60"/>
  <c r="T346" i="60"/>
  <c r="U346" i="60"/>
  <c r="V346" i="60"/>
  <c r="W346" i="60"/>
  <c r="X346" i="60"/>
  <c r="Y346" i="60"/>
  <c r="B347" i="60"/>
  <c r="C347" i="60"/>
  <c r="D347" i="60"/>
  <c r="E347" i="60"/>
  <c r="F347" i="60"/>
  <c r="G347" i="60"/>
  <c r="H347" i="60"/>
  <c r="I347" i="60"/>
  <c r="J347" i="60"/>
  <c r="K347" i="60"/>
  <c r="L347" i="60"/>
  <c r="M347" i="60"/>
  <c r="N347" i="60"/>
  <c r="O347" i="60"/>
  <c r="P347" i="60"/>
  <c r="Q347" i="60"/>
  <c r="R347" i="60"/>
  <c r="S347" i="60"/>
  <c r="T347" i="60"/>
  <c r="U347" i="60"/>
  <c r="V347" i="60"/>
  <c r="W347" i="60"/>
  <c r="X347" i="60"/>
  <c r="Y347" i="60"/>
  <c r="B348" i="60"/>
  <c r="C348" i="60"/>
  <c r="D348" i="60"/>
  <c r="E348" i="60"/>
  <c r="F348" i="60"/>
  <c r="G348" i="60"/>
  <c r="H348" i="60"/>
  <c r="I348" i="60"/>
  <c r="J348" i="60"/>
  <c r="K348" i="60"/>
  <c r="L348" i="60"/>
  <c r="M348" i="60"/>
  <c r="N348" i="60"/>
  <c r="O348" i="60"/>
  <c r="P348" i="60"/>
  <c r="Q348" i="60"/>
  <c r="R348" i="60"/>
  <c r="S348" i="60"/>
  <c r="T348" i="60"/>
  <c r="U348" i="60"/>
  <c r="V348" i="60"/>
  <c r="W348" i="60"/>
  <c r="X348" i="60"/>
  <c r="Y348" i="60"/>
  <c r="B349" i="60"/>
  <c r="C349" i="60"/>
  <c r="D349" i="60"/>
  <c r="E349" i="60"/>
  <c r="F349" i="60"/>
  <c r="G349" i="60"/>
  <c r="H349" i="60"/>
  <c r="I349" i="60"/>
  <c r="J349" i="60"/>
  <c r="K349" i="60"/>
  <c r="L349" i="60"/>
  <c r="M349" i="60"/>
  <c r="N349" i="60"/>
  <c r="O349" i="60"/>
  <c r="P349" i="60"/>
  <c r="Q349" i="60"/>
  <c r="R349" i="60"/>
  <c r="S349" i="60"/>
  <c r="T349" i="60"/>
  <c r="U349" i="60"/>
  <c r="V349" i="60"/>
  <c r="W349" i="60"/>
  <c r="X349" i="60"/>
  <c r="Y349" i="60"/>
  <c r="B350" i="60"/>
  <c r="C350" i="60"/>
  <c r="D350" i="60"/>
  <c r="E350" i="60"/>
  <c r="F350" i="60"/>
  <c r="G350" i="60"/>
  <c r="H350" i="60"/>
  <c r="I350" i="60"/>
  <c r="J350" i="60"/>
  <c r="K350" i="60"/>
  <c r="L350" i="60"/>
  <c r="M350" i="60"/>
  <c r="N350" i="60"/>
  <c r="O350" i="60"/>
  <c r="P350" i="60"/>
  <c r="Q350" i="60"/>
  <c r="R350" i="60"/>
  <c r="S350" i="60"/>
  <c r="T350" i="60"/>
  <c r="U350" i="60"/>
  <c r="V350" i="60"/>
  <c r="W350" i="60"/>
  <c r="X350" i="60"/>
  <c r="Y350" i="60"/>
  <c r="B351" i="60"/>
  <c r="C351" i="60"/>
  <c r="D351" i="60"/>
  <c r="E351" i="60"/>
  <c r="F351" i="60"/>
  <c r="G351" i="60"/>
  <c r="H351" i="60"/>
  <c r="I351" i="60"/>
  <c r="J351" i="60"/>
  <c r="K351" i="60"/>
  <c r="L351" i="60"/>
  <c r="M351" i="60"/>
  <c r="N351" i="60"/>
  <c r="O351" i="60"/>
  <c r="P351" i="60"/>
  <c r="Q351" i="60"/>
  <c r="R351" i="60"/>
  <c r="S351" i="60"/>
  <c r="T351" i="60"/>
  <c r="U351" i="60"/>
  <c r="V351" i="60"/>
  <c r="W351" i="60"/>
  <c r="X351" i="60"/>
  <c r="B353" i="60"/>
  <c r="C353" i="60"/>
  <c r="D353" i="60"/>
  <c r="E353" i="60"/>
  <c r="F353" i="60"/>
  <c r="G353" i="60"/>
  <c r="H353" i="60"/>
  <c r="I353" i="60"/>
  <c r="J353" i="60"/>
  <c r="K353" i="60"/>
  <c r="L353" i="60"/>
  <c r="M353" i="60"/>
  <c r="N353" i="60"/>
  <c r="O353" i="60"/>
  <c r="P353" i="60"/>
  <c r="Q353" i="60"/>
  <c r="R353" i="60"/>
  <c r="S353" i="60"/>
  <c r="T353" i="60"/>
  <c r="U353" i="60"/>
  <c r="V353" i="60"/>
  <c r="W353" i="60"/>
  <c r="X353" i="60"/>
  <c r="Y353" i="60"/>
  <c r="C354" i="60"/>
  <c r="D354" i="60"/>
  <c r="E354" i="60"/>
  <c r="F354" i="60"/>
  <c r="G354" i="60"/>
  <c r="H354" i="60"/>
  <c r="I354" i="60"/>
  <c r="J354" i="60"/>
  <c r="K354" i="60"/>
  <c r="L354" i="60"/>
  <c r="M354" i="60"/>
  <c r="N354" i="60"/>
  <c r="O354" i="60"/>
  <c r="P354" i="60"/>
  <c r="Q354" i="60"/>
  <c r="R354" i="60"/>
  <c r="S354" i="60"/>
  <c r="T354" i="60"/>
  <c r="U354" i="60"/>
  <c r="V354" i="60"/>
  <c r="W354" i="60"/>
  <c r="X354" i="60"/>
  <c r="Y354" i="60"/>
  <c r="B355" i="60"/>
  <c r="C355" i="60"/>
  <c r="D355" i="60"/>
  <c r="E355" i="60"/>
  <c r="F355" i="60"/>
  <c r="G355" i="60"/>
  <c r="H355" i="60"/>
  <c r="I355" i="60"/>
  <c r="J355" i="60"/>
  <c r="K355" i="60"/>
  <c r="L355" i="60"/>
  <c r="M355" i="60"/>
  <c r="N355" i="60"/>
  <c r="O355" i="60"/>
  <c r="P355" i="60"/>
  <c r="Q355" i="60"/>
  <c r="R355" i="60"/>
  <c r="S355" i="60"/>
  <c r="T355" i="60"/>
  <c r="U355" i="60"/>
  <c r="V355" i="60"/>
  <c r="W355" i="60"/>
  <c r="X355" i="60"/>
  <c r="B362" i="60"/>
  <c r="C362" i="60"/>
  <c r="D362" i="60"/>
  <c r="E362" i="60"/>
  <c r="F362" i="60"/>
  <c r="G362" i="60"/>
  <c r="H362" i="60"/>
  <c r="I362" i="60"/>
  <c r="J362" i="60"/>
  <c r="K362" i="60"/>
  <c r="L362" i="60"/>
  <c r="M362" i="60"/>
  <c r="N362" i="60"/>
  <c r="O362" i="60"/>
  <c r="P362" i="60"/>
  <c r="Q362" i="60"/>
  <c r="R362" i="60"/>
  <c r="S362" i="60"/>
  <c r="T362" i="60"/>
  <c r="U362" i="60"/>
  <c r="V362" i="60"/>
  <c r="W362" i="60"/>
  <c r="X362" i="60"/>
  <c r="Y362" i="60"/>
  <c r="B366" i="60"/>
  <c r="C366" i="60"/>
  <c r="D366" i="60"/>
  <c r="E366" i="60"/>
  <c r="F366" i="60"/>
  <c r="G366" i="60"/>
  <c r="H366" i="60"/>
  <c r="I366" i="60"/>
  <c r="J366" i="60"/>
  <c r="K366" i="60"/>
  <c r="L366" i="60"/>
  <c r="M366" i="60"/>
  <c r="N366" i="60"/>
  <c r="O366" i="60"/>
  <c r="P366" i="60"/>
  <c r="Q366" i="60"/>
  <c r="R366" i="60"/>
  <c r="S366" i="60"/>
  <c r="T366" i="60"/>
  <c r="U366" i="60"/>
  <c r="V366" i="60"/>
  <c r="W366" i="60"/>
  <c r="X366" i="60"/>
  <c r="Y366" i="60"/>
  <c r="B376" i="60"/>
  <c r="C376" i="60"/>
  <c r="D376" i="60"/>
  <c r="E376" i="60"/>
  <c r="F376" i="60"/>
  <c r="G376" i="60"/>
  <c r="H376" i="60"/>
  <c r="I376" i="60"/>
  <c r="J376" i="60"/>
  <c r="K376" i="60"/>
  <c r="L376" i="60"/>
  <c r="M376" i="60"/>
  <c r="N376" i="60"/>
  <c r="O376" i="60"/>
  <c r="P376" i="60"/>
  <c r="Q376" i="60"/>
  <c r="R376" i="60"/>
  <c r="S376" i="60"/>
  <c r="T376" i="60"/>
  <c r="U376" i="60"/>
  <c r="V376" i="60"/>
  <c r="W376" i="60"/>
  <c r="X376" i="60"/>
  <c r="Y376" i="60"/>
  <c r="B377" i="60"/>
  <c r="C377" i="60"/>
  <c r="D377" i="60"/>
  <c r="E377" i="60"/>
  <c r="F377" i="60"/>
  <c r="G377" i="60"/>
  <c r="H377" i="60"/>
  <c r="I377" i="60"/>
  <c r="J377" i="60"/>
  <c r="K377" i="60"/>
  <c r="L377" i="60"/>
  <c r="M377" i="60"/>
  <c r="N377" i="60"/>
  <c r="O377" i="60"/>
  <c r="P377" i="60"/>
  <c r="Q377" i="60"/>
  <c r="R377" i="60"/>
  <c r="S377" i="60"/>
  <c r="T377" i="60"/>
  <c r="U377" i="60"/>
  <c r="V377" i="60"/>
  <c r="W377" i="60"/>
  <c r="X377" i="60"/>
  <c r="Y377" i="60"/>
  <c r="B378" i="60"/>
  <c r="C378" i="60"/>
  <c r="D378" i="60"/>
  <c r="E378" i="60"/>
  <c r="F378" i="60"/>
  <c r="G378" i="60"/>
  <c r="H378" i="60"/>
  <c r="I378" i="60"/>
  <c r="J378" i="60"/>
  <c r="K378" i="60"/>
  <c r="L378" i="60"/>
  <c r="M378" i="60"/>
  <c r="N378" i="60"/>
  <c r="O378" i="60"/>
  <c r="P378" i="60"/>
  <c r="Q378" i="60"/>
  <c r="R378" i="60"/>
  <c r="S378" i="60"/>
  <c r="T378" i="60"/>
  <c r="U378" i="60"/>
  <c r="V378" i="60"/>
  <c r="W378" i="60"/>
  <c r="X378" i="60"/>
  <c r="Y378" i="60"/>
  <c r="B379" i="60"/>
  <c r="C379" i="60"/>
  <c r="D379" i="60"/>
  <c r="E379" i="60"/>
  <c r="F379" i="60"/>
  <c r="G379" i="60"/>
  <c r="H379" i="60"/>
  <c r="I379" i="60"/>
  <c r="J379" i="60"/>
  <c r="K379" i="60"/>
  <c r="L379" i="60"/>
  <c r="M379" i="60"/>
  <c r="N379" i="60"/>
  <c r="O379" i="60"/>
  <c r="P379" i="60"/>
  <c r="Q379" i="60"/>
  <c r="R379" i="60"/>
  <c r="S379" i="60"/>
  <c r="T379" i="60"/>
  <c r="U379" i="60"/>
  <c r="V379" i="60"/>
  <c r="W379" i="60"/>
  <c r="X379" i="60"/>
  <c r="Y379" i="60"/>
  <c r="B380" i="60"/>
  <c r="C380" i="60"/>
  <c r="D380" i="60"/>
  <c r="E380" i="60"/>
  <c r="F380" i="60"/>
  <c r="G380" i="60"/>
  <c r="H380" i="60"/>
  <c r="I380" i="60"/>
  <c r="J380" i="60"/>
  <c r="K380" i="60"/>
  <c r="L380" i="60"/>
  <c r="M380" i="60"/>
  <c r="N380" i="60"/>
  <c r="O380" i="60"/>
  <c r="P380" i="60"/>
  <c r="Q380" i="60"/>
  <c r="R380" i="60"/>
  <c r="S380" i="60"/>
  <c r="T380" i="60"/>
  <c r="U380" i="60"/>
  <c r="V380" i="60"/>
  <c r="W380" i="60"/>
  <c r="X380" i="60"/>
  <c r="B382" i="60"/>
  <c r="C382" i="60"/>
  <c r="D382" i="60"/>
  <c r="E382" i="60"/>
  <c r="F382" i="60"/>
  <c r="G382" i="60"/>
  <c r="H382" i="60"/>
  <c r="I382" i="60"/>
  <c r="J382" i="60"/>
  <c r="K382" i="60"/>
  <c r="L382" i="60"/>
  <c r="M382" i="60"/>
  <c r="N382" i="60"/>
  <c r="O382" i="60"/>
  <c r="P382" i="60"/>
  <c r="Q382" i="60"/>
  <c r="R382" i="60"/>
  <c r="S382" i="60"/>
  <c r="T382" i="60"/>
  <c r="U382" i="60"/>
  <c r="V382" i="60"/>
  <c r="W382" i="60"/>
  <c r="X382" i="60"/>
  <c r="Y382" i="60"/>
  <c r="H383" i="60"/>
  <c r="I383" i="60"/>
  <c r="J383" i="60"/>
  <c r="K383" i="60"/>
  <c r="L383" i="60"/>
  <c r="M383" i="60"/>
  <c r="N383" i="60"/>
  <c r="O383" i="60"/>
  <c r="P383" i="60"/>
  <c r="Q383" i="60"/>
  <c r="R383" i="60"/>
  <c r="S383" i="60"/>
  <c r="T383" i="60"/>
  <c r="U383" i="60"/>
  <c r="V383" i="60"/>
  <c r="W383" i="60"/>
  <c r="X383" i="60"/>
  <c r="Y383" i="60"/>
  <c r="H384" i="60"/>
  <c r="I384" i="60"/>
  <c r="J384" i="60"/>
  <c r="K384" i="60"/>
  <c r="L384" i="60"/>
  <c r="M384" i="60"/>
  <c r="N384" i="60"/>
  <c r="O384" i="60"/>
  <c r="P384" i="60"/>
  <c r="Q384" i="60"/>
  <c r="R384" i="60"/>
  <c r="S384" i="60"/>
  <c r="T384" i="60"/>
  <c r="U384" i="60"/>
  <c r="V384" i="60"/>
  <c r="W384" i="60"/>
  <c r="X384" i="60"/>
  <c r="N391" i="60"/>
  <c r="O391" i="60"/>
  <c r="P391" i="60"/>
  <c r="Q391" i="60"/>
  <c r="R391" i="60"/>
  <c r="S391" i="60"/>
  <c r="T391" i="60"/>
  <c r="U391" i="60"/>
  <c r="V391" i="60"/>
  <c r="W391" i="60"/>
  <c r="X391" i="60"/>
  <c r="Y391" i="60"/>
  <c r="N395" i="60"/>
  <c r="O395" i="60"/>
  <c r="P395" i="60"/>
  <c r="Q395" i="60"/>
  <c r="R395" i="60"/>
  <c r="S395" i="60"/>
  <c r="T395" i="60"/>
  <c r="U395" i="60"/>
  <c r="V395" i="60"/>
  <c r="W395" i="60"/>
  <c r="X395" i="60"/>
  <c r="Y395" i="60"/>
  <c r="N405" i="60"/>
  <c r="O405" i="60"/>
  <c r="P405" i="60"/>
  <c r="Q405" i="60"/>
  <c r="R405" i="60"/>
  <c r="S405" i="60"/>
  <c r="T405" i="60"/>
  <c r="U405" i="60"/>
  <c r="V405" i="60"/>
  <c r="W405" i="60"/>
  <c r="X405" i="60"/>
  <c r="Y405" i="60"/>
  <c r="N406" i="60"/>
  <c r="O406" i="60"/>
  <c r="P406" i="60"/>
  <c r="Q406" i="60"/>
  <c r="R406" i="60"/>
  <c r="S406" i="60"/>
  <c r="T406" i="60"/>
  <c r="U406" i="60"/>
  <c r="V406" i="60"/>
  <c r="W406" i="60"/>
  <c r="X406" i="60"/>
  <c r="Y406" i="60"/>
  <c r="N407" i="60"/>
  <c r="O407" i="60"/>
  <c r="P407" i="60"/>
  <c r="Q407" i="60"/>
  <c r="R407" i="60"/>
  <c r="S407" i="60"/>
  <c r="T407" i="60"/>
  <c r="U407" i="60"/>
  <c r="V407" i="60"/>
  <c r="W407" i="60"/>
  <c r="X407" i="60"/>
  <c r="Y407" i="60"/>
  <c r="N408" i="60"/>
  <c r="O408" i="60"/>
  <c r="P408" i="60"/>
  <c r="Q408" i="60"/>
  <c r="R408" i="60"/>
  <c r="S408" i="60"/>
  <c r="T408" i="60"/>
  <c r="U408" i="60"/>
  <c r="V408" i="60"/>
  <c r="W408" i="60"/>
  <c r="X408" i="60"/>
  <c r="Y408" i="60"/>
  <c r="N409" i="60"/>
  <c r="O409" i="60"/>
  <c r="P409" i="60"/>
  <c r="Q409" i="60"/>
  <c r="R409" i="60"/>
  <c r="S409" i="60"/>
  <c r="T409" i="60"/>
  <c r="U409" i="60"/>
  <c r="V409" i="60"/>
  <c r="W409" i="60"/>
  <c r="X409" i="60"/>
  <c r="N411" i="60"/>
  <c r="O411" i="60"/>
  <c r="P411" i="60"/>
  <c r="Q411" i="60"/>
  <c r="R411" i="60"/>
  <c r="S411" i="60"/>
  <c r="T411" i="60"/>
  <c r="U411" i="60"/>
  <c r="V411" i="60"/>
  <c r="W411" i="60"/>
  <c r="X411" i="60"/>
  <c r="Y411" i="60"/>
  <c r="P412" i="60"/>
  <c r="Q412" i="60"/>
  <c r="R412" i="60"/>
  <c r="S412" i="60"/>
  <c r="T412" i="60"/>
  <c r="U412" i="60"/>
  <c r="V412" i="60"/>
  <c r="W412" i="60"/>
  <c r="X412" i="60"/>
  <c r="Y412" i="60"/>
  <c r="O413" i="60"/>
  <c r="P413" i="60"/>
  <c r="Q413" i="60"/>
  <c r="R413" i="60"/>
  <c r="S413" i="60"/>
  <c r="T413" i="60"/>
  <c r="U413" i="60"/>
  <c r="V413" i="60"/>
  <c r="W413" i="60"/>
  <c r="X413" i="60"/>
  <c r="B8" i="63"/>
  <c r="C8" i="63"/>
  <c r="D8" i="63"/>
  <c r="E8" i="63"/>
  <c r="F8" i="63"/>
  <c r="G8" i="63"/>
  <c r="H8" i="63"/>
  <c r="I8" i="63"/>
  <c r="J8" i="63"/>
  <c r="K8" i="63"/>
  <c r="L8" i="63"/>
  <c r="M8" i="63"/>
  <c r="B9" i="63"/>
  <c r="C9" i="63"/>
  <c r="D9" i="63"/>
  <c r="E9" i="63"/>
  <c r="F9" i="63"/>
  <c r="G9" i="63"/>
  <c r="H9" i="63"/>
  <c r="I9" i="63"/>
  <c r="J9" i="63"/>
  <c r="K9" i="63"/>
  <c r="L9" i="63"/>
  <c r="M9" i="63"/>
  <c r="B10" i="63"/>
  <c r="C10" i="63"/>
  <c r="D10" i="63"/>
  <c r="E10" i="63"/>
  <c r="F10" i="63"/>
  <c r="G10" i="63"/>
  <c r="H10" i="63"/>
  <c r="I10" i="63"/>
  <c r="J10" i="63"/>
  <c r="K10" i="63"/>
  <c r="L10" i="63"/>
  <c r="M10" i="63"/>
  <c r="B11" i="63"/>
  <c r="C11" i="63"/>
  <c r="D11" i="63"/>
  <c r="E11" i="63"/>
  <c r="F11" i="63"/>
  <c r="G11" i="63"/>
  <c r="H11" i="63"/>
  <c r="I11" i="63"/>
  <c r="J11" i="63"/>
  <c r="K11" i="63"/>
  <c r="L11" i="63"/>
  <c r="M11" i="63"/>
  <c r="B12" i="63"/>
  <c r="C12" i="63"/>
  <c r="D12" i="63"/>
  <c r="E12" i="63"/>
  <c r="F12" i="63"/>
  <c r="G12" i="63"/>
  <c r="H12" i="63"/>
  <c r="I12" i="63"/>
  <c r="J12" i="63"/>
  <c r="K12" i="63"/>
  <c r="L12" i="63"/>
  <c r="M12" i="63"/>
  <c r="D13" i="63"/>
  <c r="E13" i="63"/>
  <c r="F13" i="63"/>
  <c r="G13" i="63"/>
  <c r="H13" i="63"/>
  <c r="I13" i="63"/>
  <c r="J13" i="63"/>
  <c r="K13" i="63"/>
  <c r="L13" i="63"/>
  <c r="M13" i="63"/>
  <c r="J14" i="63"/>
  <c r="K14" i="63"/>
  <c r="L14" i="63"/>
  <c r="M14" i="63"/>
  <c r="B15" i="63"/>
  <c r="C15" i="63"/>
  <c r="D15" i="63"/>
  <c r="E15" i="63"/>
  <c r="F15" i="63"/>
  <c r="G15" i="63"/>
  <c r="H15" i="63"/>
  <c r="B16" i="63"/>
  <c r="C16" i="63"/>
  <c r="D16" i="63"/>
  <c r="E16" i="63"/>
  <c r="F16" i="63"/>
  <c r="G16" i="63"/>
  <c r="H16" i="63"/>
  <c r="I16" i="63"/>
  <c r="J16" i="63"/>
  <c r="K16" i="63"/>
  <c r="L16" i="63"/>
  <c r="M16" i="63"/>
  <c r="B17" i="63"/>
  <c r="C17" i="63"/>
  <c r="D17" i="63"/>
  <c r="E17" i="63"/>
  <c r="F17" i="63"/>
  <c r="B18" i="63"/>
  <c r="C18" i="63"/>
  <c r="D18" i="63"/>
  <c r="E18" i="63"/>
  <c r="F18" i="63"/>
  <c r="G18" i="63"/>
  <c r="H18" i="63"/>
  <c r="I18" i="63"/>
  <c r="J18" i="63"/>
  <c r="K18" i="63"/>
  <c r="L18" i="63"/>
  <c r="M18" i="63"/>
  <c r="B19" i="63"/>
  <c r="C19" i="63"/>
  <c r="D19" i="63"/>
  <c r="E19" i="63"/>
  <c r="F19" i="63"/>
  <c r="G19" i="63"/>
  <c r="H19" i="63"/>
  <c r="I19" i="63"/>
  <c r="J19" i="63"/>
  <c r="K19" i="63"/>
  <c r="L19" i="63"/>
  <c r="M19" i="63"/>
  <c r="B20" i="63"/>
  <c r="C20" i="63"/>
  <c r="D20" i="63"/>
  <c r="E20" i="63"/>
  <c r="F20" i="63"/>
  <c r="G20" i="63"/>
  <c r="H20" i="63"/>
  <c r="I20" i="63"/>
  <c r="J20" i="63"/>
  <c r="K20" i="63"/>
  <c r="L20" i="63"/>
  <c r="M20" i="63"/>
  <c r="B25" i="63"/>
  <c r="C25" i="63"/>
  <c r="D25" i="63"/>
  <c r="E25" i="63"/>
  <c r="F25" i="63"/>
  <c r="G25" i="63"/>
  <c r="H25" i="63"/>
  <c r="I25" i="63"/>
  <c r="J25" i="63"/>
  <c r="K25" i="63"/>
  <c r="L25" i="63"/>
  <c r="M25" i="63"/>
  <c r="J28" i="63"/>
  <c r="K28" i="63"/>
  <c r="L28" i="63"/>
  <c r="M28" i="63"/>
  <c r="J31" i="63"/>
  <c r="K31" i="63"/>
  <c r="L31" i="63"/>
  <c r="M31" i="63"/>
  <c r="J34" i="63"/>
  <c r="K34" i="63"/>
  <c r="L34" i="63"/>
  <c r="M34" i="63"/>
  <c r="B35" i="63"/>
  <c r="C35" i="63"/>
  <c r="D35" i="63"/>
  <c r="E35" i="63"/>
  <c r="F35" i="63"/>
  <c r="G35" i="63"/>
  <c r="H35" i="63"/>
  <c r="I35" i="63"/>
  <c r="J35" i="63"/>
  <c r="K35" i="63"/>
  <c r="L35" i="63"/>
  <c r="M35" i="63"/>
  <c r="B42" i="63"/>
  <c r="C42" i="63"/>
  <c r="D42" i="63"/>
  <c r="E42" i="63"/>
  <c r="F42" i="63"/>
  <c r="G42" i="63"/>
  <c r="H42" i="63"/>
  <c r="I42" i="63"/>
  <c r="J42" i="63"/>
  <c r="K42" i="63"/>
  <c r="L42" i="63"/>
  <c r="M42" i="63"/>
  <c r="G45" i="63"/>
  <c r="H45" i="63"/>
  <c r="I45" i="63"/>
  <c r="J45" i="63"/>
  <c r="K45" i="63"/>
  <c r="L45" i="63"/>
  <c r="M45" i="63"/>
  <c r="B49" i="63"/>
  <c r="C49" i="63"/>
  <c r="D49" i="63"/>
  <c r="E49" i="63"/>
  <c r="F49" i="63"/>
  <c r="G49" i="63"/>
  <c r="H49" i="63"/>
  <c r="I49" i="63"/>
  <c r="J49" i="63"/>
  <c r="K49" i="63"/>
  <c r="L49" i="63"/>
  <c r="M49" i="63"/>
  <c r="B50" i="63"/>
  <c r="C50" i="63"/>
  <c r="D50" i="63"/>
  <c r="E50" i="63"/>
  <c r="F50" i="63"/>
  <c r="G50" i="63"/>
  <c r="H50" i="63"/>
  <c r="I50" i="63"/>
  <c r="J50" i="63"/>
  <c r="K50" i="63"/>
  <c r="L50" i="63"/>
  <c r="M50" i="63"/>
  <c r="B51" i="63"/>
  <c r="C51" i="63"/>
  <c r="D51" i="63"/>
  <c r="E51" i="63"/>
  <c r="F51" i="63"/>
  <c r="G51" i="63"/>
  <c r="H51" i="63"/>
  <c r="I51" i="63"/>
  <c r="J51" i="63"/>
  <c r="K51" i="63"/>
  <c r="L51" i="63"/>
  <c r="M51" i="63"/>
  <c r="B52" i="63"/>
  <c r="C52" i="63"/>
  <c r="D52" i="63"/>
  <c r="E52" i="63"/>
  <c r="F52" i="63"/>
  <c r="G52" i="63"/>
  <c r="H52" i="63"/>
  <c r="I52" i="63"/>
  <c r="J52" i="63"/>
  <c r="K52" i="63"/>
  <c r="L52" i="63"/>
  <c r="M52" i="63"/>
  <c r="B53" i="63"/>
  <c r="C53" i="63"/>
  <c r="D53" i="63"/>
  <c r="E53" i="63"/>
  <c r="F53" i="63"/>
  <c r="G53" i="63"/>
  <c r="H53" i="63"/>
  <c r="I53" i="63"/>
  <c r="J53" i="63"/>
  <c r="K53" i="63"/>
  <c r="L53" i="63"/>
  <c r="M53" i="63"/>
  <c r="B54" i="63"/>
  <c r="C54" i="63"/>
  <c r="D54" i="63"/>
  <c r="E54" i="63"/>
  <c r="F54" i="63"/>
  <c r="G54" i="63"/>
  <c r="H54" i="63"/>
  <c r="B55" i="63"/>
  <c r="C55" i="63"/>
  <c r="D55" i="63"/>
  <c r="E55" i="63"/>
  <c r="F55" i="63"/>
  <c r="B56" i="63"/>
  <c r="C56" i="63"/>
  <c r="D56" i="63"/>
  <c r="E56" i="63"/>
  <c r="F56" i="63"/>
  <c r="G56" i="63"/>
  <c r="H56" i="63"/>
  <c r="I56" i="63"/>
  <c r="J56" i="63"/>
  <c r="K56" i="63"/>
  <c r="L56" i="63"/>
  <c r="M56" i="63"/>
  <c r="B57" i="63"/>
  <c r="C57" i="63"/>
  <c r="D57" i="63"/>
  <c r="E57" i="63"/>
  <c r="F57" i="63"/>
  <c r="G57" i="63"/>
  <c r="H57" i="63"/>
  <c r="I57" i="63"/>
  <c r="J57" i="63"/>
  <c r="K57" i="63"/>
  <c r="L57" i="63"/>
  <c r="M57" i="63"/>
  <c r="B59" i="63"/>
  <c r="C59" i="63"/>
  <c r="D59" i="63"/>
  <c r="E59" i="63"/>
  <c r="F59" i="63"/>
  <c r="G59" i="63"/>
  <c r="H59" i="63"/>
  <c r="I59" i="63"/>
  <c r="J59" i="63"/>
  <c r="K59" i="63"/>
  <c r="L59" i="63"/>
  <c r="M59" i="63"/>
  <c r="B62" i="63"/>
  <c r="C62" i="63"/>
  <c r="D62" i="63"/>
  <c r="E62" i="63"/>
  <c r="F62" i="63"/>
  <c r="G62" i="63"/>
  <c r="H62" i="63"/>
  <c r="I62" i="63"/>
  <c r="J62" i="63"/>
  <c r="K62" i="63"/>
  <c r="L62" i="63"/>
  <c r="M62" i="63"/>
  <c r="B63" i="63"/>
  <c r="C63" i="63"/>
  <c r="D63" i="63"/>
  <c r="E63" i="63"/>
  <c r="F63" i="63"/>
  <c r="G63" i="63"/>
  <c r="H63" i="63"/>
  <c r="I63" i="63"/>
  <c r="J63" i="63"/>
  <c r="K63" i="63"/>
  <c r="L63" i="63"/>
  <c r="M63" i="63"/>
  <c r="B64" i="63"/>
  <c r="C64" i="63"/>
  <c r="D64" i="63"/>
  <c r="E64" i="63"/>
  <c r="F64" i="63"/>
  <c r="G64" i="63"/>
  <c r="H64" i="63"/>
  <c r="I64" i="63"/>
  <c r="J64" i="63"/>
  <c r="K64" i="63"/>
  <c r="L64" i="63"/>
  <c r="M64" i="63"/>
  <c r="B65" i="63"/>
  <c r="C65" i="63"/>
  <c r="D65" i="63"/>
  <c r="E65" i="63"/>
  <c r="F65" i="63"/>
  <c r="G65" i="63"/>
  <c r="H65" i="63"/>
  <c r="I65" i="63"/>
  <c r="J65" i="63"/>
  <c r="K65" i="63"/>
  <c r="L65" i="63"/>
  <c r="M65" i="63"/>
  <c r="B66" i="63"/>
  <c r="C66" i="63"/>
  <c r="D66" i="63"/>
  <c r="E66" i="63"/>
  <c r="F66" i="63"/>
  <c r="G66" i="63"/>
  <c r="H66" i="63"/>
  <c r="I66" i="63"/>
  <c r="J66" i="63"/>
  <c r="K66" i="63"/>
  <c r="L66" i="63"/>
  <c r="M66" i="63"/>
  <c r="B67" i="63"/>
  <c r="C67" i="63"/>
  <c r="D67" i="63"/>
  <c r="E67" i="63"/>
  <c r="B68" i="63"/>
  <c r="C68" i="63"/>
  <c r="D68" i="63"/>
  <c r="E68" i="63"/>
  <c r="B69" i="63"/>
  <c r="C69" i="63"/>
  <c r="D69" i="63"/>
  <c r="E69" i="63"/>
  <c r="F69" i="63"/>
  <c r="G69" i="63"/>
  <c r="H69" i="63"/>
  <c r="I69" i="63"/>
  <c r="J69" i="63"/>
  <c r="K69" i="63"/>
  <c r="L69" i="63"/>
  <c r="M69" i="63"/>
  <c r="B70" i="63"/>
  <c r="C70" i="63"/>
  <c r="D70" i="63"/>
  <c r="E70" i="63"/>
  <c r="F70" i="63"/>
  <c r="G70" i="63"/>
  <c r="H70" i="63"/>
  <c r="I70" i="63"/>
  <c r="J70" i="63"/>
  <c r="K70" i="63"/>
  <c r="L70" i="63"/>
  <c r="M70" i="63"/>
  <c r="B71" i="63"/>
  <c r="C71" i="63"/>
  <c r="D71" i="63"/>
  <c r="E71" i="63"/>
  <c r="F71" i="63"/>
  <c r="G71" i="63"/>
  <c r="H71" i="63"/>
  <c r="I71" i="63"/>
  <c r="J71" i="63"/>
  <c r="K71" i="63"/>
  <c r="L71" i="63"/>
  <c r="M71" i="63"/>
  <c r="T8" i="56"/>
  <c r="U8" i="56"/>
  <c r="V8" i="56"/>
  <c r="W8" i="56"/>
  <c r="X8" i="56"/>
  <c r="Y8" i="56"/>
  <c r="Z8" i="56"/>
  <c r="AA8" i="56"/>
  <c r="AB8" i="56"/>
  <c r="AC8" i="56"/>
  <c r="AD8" i="56"/>
  <c r="AE8" i="56"/>
  <c r="S10" i="56"/>
  <c r="T10" i="56"/>
  <c r="U10" i="56"/>
  <c r="V10" i="56"/>
  <c r="W10" i="56"/>
  <c r="X10" i="56"/>
  <c r="Y10" i="56"/>
  <c r="Z10" i="56"/>
  <c r="AA10" i="56"/>
  <c r="AB10" i="56"/>
  <c r="AC10" i="56"/>
  <c r="AD10" i="56"/>
  <c r="AE10" i="56"/>
  <c r="R11" i="56"/>
  <c r="S11" i="56"/>
  <c r="R14" i="56"/>
  <c r="S14" i="56"/>
  <c r="T14" i="56"/>
  <c r="U14" i="56"/>
  <c r="V14" i="56"/>
  <c r="W14" i="56"/>
  <c r="X14" i="56"/>
  <c r="Y14" i="56"/>
  <c r="Z14" i="56"/>
  <c r="AA14" i="56"/>
  <c r="AB14" i="56"/>
  <c r="AC14" i="56"/>
  <c r="AD14" i="56"/>
  <c r="AE14" i="56"/>
  <c r="S15" i="56"/>
  <c r="T15" i="56"/>
  <c r="U15" i="56"/>
  <c r="V15" i="56"/>
  <c r="W15" i="56"/>
  <c r="X15" i="56"/>
  <c r="Y15" i="56"/>
  <c r="Z15" i="56"/>
  <c r="AA15" i="56"/>
  <c r="AB15" i="56"/>
  <c r="AC15" i="56"/>
  <c r="AD15" i="56"/>
  <c r="AE15" i="56"/>
  <c r="R16" i="56"/>
  <c r="S16" i="56"/>
  <c r="T16" i="56"/>
  <c r="U16" i="56"/>
  <c r="V16" i="56"/>
  <c r="W16" i="56"/>
  <c r="X16" i="56"/>
  <c r="Y16" i="56"/>
  <c r="Z16" i="56"/>
  <c r="AA16" i="56"/>
  <c r="AB16" i="56"/>
  <c r="AC16" i="56"/>
  <c r="AD16" i="56"/>
  <c r="AE16" i="56"/>
  <c r="R19" i="56"/>
  <c r="T19" i="56"/>
  <c r="U19" i="56"/>
  <c r="V19" i="56"/>
  <c r="W19" i="56"/>
  <c r="X19" i="56"/>
  <c r="Y19" i="56"/>
  <c r="Z19" i="56"/>
  <c r="AA19" i="56"/>
  <c r="AB19" i="56"/>
  <c r="AC19" i="56"/>
  <c r="AD19" i="56"/>
  <c r="AE19" i="56"/>
  <c r="R20" i="56"/>
  <c r="T20" i="56"/>
  <c r="U20" i="56"/>
  <c r="V20" i="56"/>
  <c r="W20" i="56"/>
  <c r="X20" i="56"/>
  <c r="Y20" i="56"/>
  <c r="Z20" i="56"/>
  <c r="AA20" i="56"/>
  <c r="AB20" i="56"/>
  <c r="AC20" i="56"/>
  <c r="AD20" i="56"/>
  <c r="AE20" i="56"/>
  <c r="R21" i="56"/>
  <c r="T21" i="56"/>
  <c r="U21" i="56"/>
  <c r="V21" i="56"/>
  <c r="W21" i="56"/>
  <c r="X21" i="56"/>
  <c r="Y21" i="56"/>
  <c r="Z21" i="56"/>
  <c r="AA21" i="56"/>
  <c r="AB21" i="56"/>
  <c r="AC21" i="56"/>
  <c r="AD21" i="56"/>
  <c r="AE21" i="56"/>
  <c r="R22" i="56"/>
  <c r="T22" i="56"/>
  <c r="U22" i="56"/>
  <c r="V22" i="56"/>
  <c r="W22" i="56"/>
  <c r="X22" i="56"/>
  <c r="Y22" i="56"/>
  <c r="Z22" i="56"/>
  <c r="AA22" i="56"/>
  <c r="AB22" i="56"/>
  <c r="AC22" i="56"/>
  <c r="AD22" i="56"/>
  <c r="AE22" i="56"/>
  <c r="R23" i="56"/>
  <c r="T23" i="56"/>
  <c r="U23" i="56"/>
  <c r="V23" i="56"/>
  <c r="W23" i="56"/>
  <c r="X23" i="56"/>
  <c r="Y23" i="56"/>
  <c r="Z23" i="56"/>
  <c r="AA23" i="56"/>
  <c r="AB23" i="56"/>
  <c r="AC23" i="56"/>
  <c r="AD23" i="56"/>
  <c r="AE23" i="56"/>
  <c r="R24" i="56"/>
  <c r="T24" i="56"/>
  <c r="U24" i="56"/>
  <c r="V24" i="56"/>
  <c r="W24" i="56"/>
  <c r="X24" i="56"/>
  <c r="Y24" i="56"/>
  <c r="Z24" i="56"/>
  <c r="AA24" i="56"/>
  <c r="AB24" i="56"/>
  <c r="AC24" i="56"/>
  <c r="AD24" i="56"/>
  <c r="AE24" i="56"/>
  <c r="R25" i="56"/>
  <c r="T25" i="56"/>
  <c r="U25" i="56"/>
  <c r="V25" i="56"/>
  <c r="W25" i="56"/>
  <c r="X25" i="56"/>
  <c r="Y25" i="56"/>
  <c r="Z25" i="56"/>
  <c r="AA25" i="56"/>
  <c r="AB25" i="56"/>
  <c r="AC25" i="56"/>
  <c r="AD25" i="56"/>
  <c r="AE25" i="56"/>
  <c r="R26" i="56"/>
  <c r="T26" i="56"/>
  <c r="U26" i="56"/>
  <c r="V26" i="56"/>
  <c r="W26" i="56"/>
  <c r="X26" i="56"/>
  <c r="Y26" i="56"/>
  <c r="Z26" i="56"/>
  <c r="AA26" i="56"/>
  <c r="AB26" i="56"/>
  <c r="AC26" i="56"/>
  <c r="AD26" i="56"/>
  <c r="AE26" i="56"/>
  <c r="R27" i="56"/>
  <c r="T27" i="56"/>
  <c r="U27" i="56"/>
  <c r="V27" i="56"/>
  <c r="W27" i="56"/>
  <c r="X27" i="56"/>
  <c r="Y27" i="56"/>
  <c r="Z27" i="56"/>
  <c r="AA27" i="56"/>
  <c r="AB27" i="56"/>
  <c r="AC27" i="56"/>
  <c r="AD27" i="56"/>
  <c r="AE27" i="56"/>
  <c r="R28" i="56"/>
  <c r="T28" i="56"/>
  <c r="U28" i="56"/>
  <c r="V28" i="56"/>
  <c r="W28" i="56"/>
  <c r="X28" i="56"/>
  <c r="Y28" i="56"/>
  <c r="Z28" i="56"/>
  <c r="AA28" i="56"/>
  <c r="AB28" i="56"/>
  <c r="AC28" i="56"/>
  <c r="AD28" i="56"/>
  <c r="AE28" i="56"/>
  <c r="R31" i="56"/>
  <c r="T31" i="56"/>
  <c r="U31" i="56"/>
  <c r="V31" i="56"/>
  <c r="W31" i="56"/>
  <c r="X31" i="56"/>
  <c r="Y31" i="56"/>
  <c r="Z31" i="56"/>
  <c r="AA31" i="56"/>
  <c r="AB31" i="56"/>
  <c r="AC31" i="56"/>
  <c r="AD31" i="56"/>
  <c r="AE31" i="56"/>
  <c r="R35" i="56"/>
  <c r="T35" i="56"/>
  <c r="U35" i="56"/>
  <c r="V35" i="56"/>
  <c r="W35" i="56"/>
  <c r="X35" i="56"/>
  <c r="Y35" i="56"/>
  <c r="Z35" i="56"/>
  <c r="AA35" i="56"/>
  <c r="AB35" i="56"/>
  <c r="AC35" i="56"/>
  <c r="AD35" i="56"/>
  <c r="AE35" i="56"/>
  <c r="R37" i="56"/>
  <c r="T37" i="56"/>
  <c r="U37" i="56"/>
  <c r="V37" i="56"/>
  <c r="W37" i="56"/>
  <c r="X37" i="56"/>
  <c r="Y37" i="56"/>
  <c r="Z37" i="56"/>
  <c r="AA37" i="56"/>
  <c r="AB37" i="56"/>
  <c r="AC37" i="56"/>
  <c r="AD37" i="56"/>
  <c r="AE37" i="56"/>
  <c r="R38" i="56"/>
  <c r="T38" i="56"/>
  <c r="U38" i="56"/>
  <c r="V38" i="56"/>
  <c r="W38" i="56"/>
  <c r="X38" i="56"/>
  <c r="Y38" i="56"/>
  <c r="Z38" i="56"/>
  <c r="AA38" i="56"/>
  <c r="AB38" i="56"/>
  <c r="AC38" i="56"/>
  <c r="AD38" i="56"/>
  <c r="AE38" i="56"/>
  <c r="T41" i="56"/>
  <c r="U41" i="56"/>
  <c r="V41" i="56"/>
  <c r="W41" i="56"/>
  <c r="X41" i="56"/>
  <c r="Y41" i="56"/>
  <c r="Z41" i="56"/>
  <c r="AA41" i="56"/>
  <c r="AB41" i="56"/>
  <c r="AC41" i="56"/>
  <c r="AD41" i="56"/>
  <c r="AE41" i="56"/>
  <c r="T42" i="56"/>
  <c r="U42" i="56"/>
  <c r="V42" i="56"/>
  <c r="W42" i="56"/>
  <c r="X42" i="56"/>
  <c r="Y42" i="56"/>
  <c r="Z42" i="56"/>
  <c r="AA42" i="56"/>
  <c r="AB42" i="56"/>
  <c r="AC42" i="56"/>
  <c r="AD42" i="56"/>
  <c r="AE42" i="56"/>
  <c r="AA20" i="23"/>
  <c r="AB20" i="23"/>
  <c r="AC20" i="23"/>
  <c r="AD20" i="23"/>
  <c r="AE20" i="23"/>
  <c r="AF20" i="23"/>
  <c r="AG20" i="23"/>
  <c r="AH20" i="23"/>
  <c r="AI20" i="23"/>
  <c r="AJ20" i="23"/>
  <c r="AK20" i="23"/>
  <c r="AL20" i="23"/>
  <c r="AM20" i="23"/>
  <c r="AN20" i="23"/>
  <c r="DD20" i="23"/>
  <c r="DE20" i="23"/>
  <c r="DF20" i="23"/>
  <c r="DG20" i="23"/>
  <c r="DH20" i="23"/>
  <c r="DL20" i="23"/>
  <c r="DM20" i="23"/>
  <c r="DQ20" i="23"/>
  <c r="DR20" i="23"/>
  <c r="AA21" i="23"/>
  <c r="AB21" i="23"/>
  <c r="AC21" i="23"/>
  <c r="AD21" i="23"/>
  <c r="AE21" i="23"/>
  <c r="AF21" i="23"/>
  <c r="AG21" i="23"/>
  <c r="AH21" i="23"/>
  <c r="AI21" i="23"/>
  <c r="AJ21" i="23"/>
  <c r="AK21" i="23"/>
  <c r="AL21" i="23"/>
  <c r="AM21" i="23"/>
  <c r="AN21" i="23"/>
  <c r="DD21" i="23"/>
  <c r="DE21" i="23"/>
  <c r="DF21" i="23"/>
  <c r="DG21" i="23"/>
  <c r="DH21" i="23"/>
  <c r="DL21" i="23"/>
  <c r="DM21" i="23"/>
  <c r="DQ21" i="23"/>
  <c r="DR21" i="23"/>
  <c r="AA22" i="23"/>
  <c r="AB22" i="23"/>
  <c r="AE22" i="23"/>
  <c r="AF22" i="23"/>
  <c r="AG22" i="23"/>
  <c r="AH22" i="23"/>
  <c r="AI22" i="23"/>
  <c r="AJ22" i="23"/>
  <c r="AK22" i="23"/>
  <c r="AL22" i="23"/>
  <c r="AM22" i="23"/>
  <c r="AN22" i="23"/>
  <c r="DD22" i="23"/>
  <c r="DE22" i="23"/>
  <c r="DF22" i="23"/>
  <c r="DG22" i="23"/>
  <c r="DH22" i="23"/>
  <c r="AA23" i="23"/>
  <c r="AB23" i="23"/>
  <c r="AC23" i="23"/>
  <c r="AD23" i="23"/>
  <c r="AE23" i="23"/>
  <c r="AF23" i="23"/>
  <c r="AG23" i="23"/>
  <c r="AH23" i="23"/>
  <c r="AI23" i="23"/>
  <c r="AJ23" i="23"/>
  <c r="AK23" i="23"/>
  <c r="AL23" i="23"/>
  <c r="AM23" i="23"/>
  <c r="AN23" i="23"/>
  <c r="DD23" i="23"/>
  <c r="DE23" i="23"/>
  <c r="DF23" i="23"/>
  <c r="DG23" i="23"/>
  <c r="DH23" i="23"/>
  <c r="DL23" i="23"/>
  <c r="DM23" i="23"/>
  <c r="DQ23" i="23"/>
  <c r="DR23" i="23"/>
  <c r="AC25" i="23"/>
  <c r="AD25" i="23"/>
  <c r="AE25" i="23"/>
  <c r="AF25" i="23"/>
  <c r="AG25" i="23"/>
  <c r="AH25" i="23"/>
  <c r="AI25" i="23"/>
  <c r="AJ25" i="23"/>
  <c r="AK25" i="23"/>
  <c r="AL25" i="23"/>
  <c r="AM25" i="23"/>
  <c r="AN25" i="23"/>
  <c r="DL25" i="23"/>
  <c r="DM25" i="23"/>
  <c r="DN25" i="23"/>
  <c r="DO25" i="23"/>
  <c r="DP25" i="23"/>
  <c r="DQ25" i="23"/>
  <c r="DR25" i="23"/>
  <c r="AC27" i="23"/>
  <c r="AD27" i="23"/>
  <c r="AE27" i="23"/>
  <c r="AF27" i="23"/>
  <c r="AG27" i="23"/>
  <c r="AH27" i="23"/>
  <c r="AI27" i="23"/>
  <c r="AJ27" i="23"/>
  <c r="AK27" i="23"/>
  <c r="AL27" i="23"/>
  <c r="AM27" i="23"/>
  <c r="AN27" i="23"/>
  <c r="DL27" i="23"/>
  <c r="DM27" i="23"/>
  <c r="DN27" i="23"/>
  <c r="DO27" i="23"/>
  <c r="DP27" i="23"/>
  <c r="DQ27" i="23"/>
  <c r="DR27" i="23"/>
  <c r="AE28" i="23"/>
  <c r="AF28" i="23"/>
  <c r="AG28" i="23"/>
  <c r="AH28" i="23"/>
  <c r="AI28" i="23"/>
  <c r="AJ28" i="23"/>
  <c r="AK28" i="23"/>
  <c r="AL28" i="23"/>
  <c r="AM28" i="23"/>
  <c r="AN28" i="23"/>
  <c r="AC29" i="23"/>
  <c r="AC31" i="23"/>
  <c r="AD31" i="23"/>
  <c r="AE31" i="23"/>
  <c r="AF31" i="23"/>
  <c r="AG31" i="23"/>
  <c r="AH31" i="23"/>
  <c r="AI31" i="23"/>
  <c r="AJ31" i="23"/>
  <c r="AK31" i="23"/>
  <c r="AL31" i="23"/>
  <c r="AM31" i="23"/>
  <c r="AN31" i="23"/>
  <c r="DL31" i="23"/>
  <c r="DM31" i="23"/>
  <c r="DN31" i="23"/>
  <c r="DO31" i="23"/>
  <c r="DP31" i="23"/>
  <c r="DQ31" i="23"/>
  <c r="DR31" i="23"/>
  <c r="AA34" i="23"/>
  <c r="AB34" i="23"/>
  <c r="AC34" i="23"/>
  <c r="AD34" i="23"/>
  <c r="AE34" i="23"/>
  <c r="AF34" i="23"/>
  <c r="AG34" i="23"/>
  <c r="AH34" i="23"/>
  <c r="AI34" i="23"/>
  <c r="AJ34" i="23"/>
  <c r="AK34" i="23"/>
  <c r="AL34" i="23"/>
  <c r="AM34" i="23"/>
  <c r="AN34" i="23"/>
  <c r="DD34" i="23"/>
  <c r="DE34" i="23"/>
  <c r="DF34" i="23"/>
  <c r="DG34" i="23"/>
  <c r="DH34" i="23"/>
  <c r="DL34" i="23"/>
  <c r="DM34" i="23"/>
  <c r="DN34" i="23"/>
  <c r="DO34" i="23"/>
  <c r="DP34" i="23"/>
  <c r="DQ34" i="23"/>
  <c r="DR34" i="23"/>
  <c r="AC37" i="23"/>
  <c r="AD37" i="23"/>
  <c r="AE37" i="23"/>
  <c r="AF37" i="23"/>
  <c r="AG37" i="23"/>
  <c r="AH37" i="23"/>
  <c r="AI37" i="23"/>
  <c r="AJ37" i="23"/>
  <c r="AK37" i="23"/>
  <c r="AL37" i="23"/>
  <c r="AM37" i="23"/>
  <c r="AN37" i="23"/>
  <c r="DL37" i="23"/>
  <c r="DM37" i="23"/>
  <c r="DN37" i="23"/>
  <c r="DO37" i="23"/>
  <c r="DP37" i="23"/>
  <c r="DQ37" i="23"/>
  <c r="DR37" i="23"/>
  <c r="AC38" i="23"/>
  <c r="AD38" i="23"/>
  <c r="AE38" i="23"/>
  <c r="AF38" i="23"/>
  <c r="AG38" i="23"/>
  <c r="AH38" i="23"/>
  <c r="AI38" i="23"/>
  <c r="AJ38" i="23"/>
  <c r="AK38" i="23"/>
  <c r="AL38" i="23"/>
  <c r="AM38" i="23"/>
  <c r="AN38" i="23"/>
  <c r="DL38" i="23"/>
  <c r="DM38" i="23"/>
  <c r="DN38" i="23"/>
  <c r="DO38" i="23"/>
  <c r="DP38" i="23"/>
  <c r="DQ38" i="23"/>
  <c r="DR38" i="23"/>
  <c r="AC39" i="23"/>
  <c r="AD39" i="23"/>
  <c r="AE39" i="23"/>
  <c r="AF39" i="23"/>
  <c r="AG39" i="23"/>
  <c r="AH39" i="23"/>
  <c r="AI39" i="23"/>
  <c r="AJ39" i="23"/>
  <c r="AK39" i="23"/>
  <c r="AL39" i="23"/>
  <c r="AM39" i="23"/>
  <c r="AN39" i="23"/>
  <c r="DL39" i="23"/>
  <c r="DM39" i="23"/>
  <c r="DN39" i="23"/>
  <c r="DO39" i="23"/>
  <c r="DP39" i="23"/>
  <c r="DQ39" i="23"/>
  <c r="DR39" i="23"/>
  <c r="AA40" i="23"/>
  <c r="AB40" i="23"/>
  <c r="AC40" i="23"/>
  <c r="AD40" i="23"/>
  <c r="AE40" i="23"/>
  <c r="AF40" i="23"/>
  <c r="AG40" i="23"/>
  <c r="AH40" i="23"/>
  <c r="AI40" i="23"/>
  <c r="AJ40" i="23"/>
  <c r="AK40" i="23"/>
  <c r="AL40" i="23"/>
  <c r="AM40" i="23"/>
  <c r="AN40" i="23"/>
  <c r="DD40" i="23"/>
  <c r="DE40" i="23"/>
  <c r="DF40" i="23"/>
  <c r="DG40" i="23"/>
  <c r="AA44" i="23"/>
  <c r="AB44" i="23"/>
  <c r="AC44" i="23"/>
  <c r="AD44" i="23"/>
  <c r="AE44" i="23"/>
  <c r="AF44" i="23"/>
  <c r="AG44" i="23"/>
  <c r="AH44" i="23"/>
  <c r="AI44" i="23"/>
  <c r="AJ44" i="23"/>
  <c r="AK44" i="23"/>
  <c r="AL44" i="23"/>
  <c r="AM44" i="23"/>
  <c r="AN44" i="23"/>
  <c r="DD44" i="23"/>
  <c r="DE44" i="23"/>
  <c r="DF44" i="23"/>
  <c r="DG44" i="23"/>
  <c r="DH44" i="23"/>
  <c r="DL44" i="23"/>
  <c r="DM44" i="23"/>
  <c r="DN44" i="23"/>
  <c r="DO44" i="23"/>
  <c r="DP44" i="23"/>
  <c r="DQ44" i="23"/>
  <c r="DR44" i="23"/>
  <c r="AB46" i="23"/>
  <c r="DD46" i="23"/>
  <c r="DG46" i="23"/>
  <c r="DH46" i="23"/>
  <c r="AB47" i="23"/>
  <c r="DD47" i="23"/>
  <c r="DE47" i="23"/>
  <c r="DF47" i="23"/>
  <c r="DG47" i="23"/>
  <c r="DH47" i="23"/>
  <c r="AB48" i="23"/>
  <c r="DE48" i="23"/>
  <c r="DF48" i="23"/>
  <c r="DH48" i="23"/>
  <c r="AA50" i="23"/>
  <c r="AB50" i="23"/>
  <c r="AC50" i="23"/>
  <c r="AD50" i="23"/>
  <c r="AE50" i="23"/>
  <c r="AF50" i="23"/>
  <c r="AG50" i="23"/>
  <c r="AH50" i="23"/>
  <c r="AI50" i="23"/>
  <c r="AJ50" i="23"/>
  <c r="AK50" i="23"/>
  <c r="AL50" i="23"/>
  <c r="AM50" i="23"/>
  <c r="AN50" i="23"/>
  <c r="DD50" i="23"/>
  <c r="DE50" i="23"/>
  <c r="DF50" i="23"/>
  <c r="DG50" i="23"/>
  <c r="DH50" i="23"/>
  <c r="DL50" i="23"/>
  <c r="DM50" i="23"/>
  <c r="DN50" i="23"/>
  <c r="DO50" i="23"/>
  <c r="DP50" i="23"/>
  <c r="DQ50" i="23"/>
  <c r="DR50" i="23"/>
  <c r="AA52" i="23"/>
  <c r="AB52" i="23"/>
  <c r="AC52" i="23"/>
  <c r="AD52" i="23"/>
  <c r="AE52" i="23"/>
  <c r="AF52" i="23"/>
  <c r="AG52" i="23"/>
  <c r="AH52" i="23"/>
  <c r="AI52" i="23"/>
  <c r="AJ52" i="23"/>
  <c r="AK52" i="23"/>
  <c r="AL52" i="23"/>
  <c r="AM52" i="23"/>
  <c r="AN52" i="23"/>
  <c r="DD52" i="23"/>
  <c r="DE52" i="23"/>
  <c r="DF52" i="23"/>
  <c r="DG52" i="23"/>
  <c r="DH52" i="23"/>
  <c r="DL52" i="23"/>
  <c r="DM52" i="23"/>
  <c r="DN52" i="23"/>
  <c r="DO52" i="23"/>
  <c r="DP52" i="23"/>
  <c r="DQ52" i="23"/>
  <c r="DR52" i="23"/>
  <c r="AA55" i="23"/>
  <c r="AB55" i="23"/>
  <c r="AC55" i="23"/>
  <c r="AD55" i="23"/>
  <c r="AE55" i="23"/>
  <c r="AF55" i="23"/>
  <c r="AG55" i="23"/>
  <c r="AH55" i="23"/>
  <c r="AI55" i="23"/>
  <c r="AJ55" i="23"/>
  <c r="AK55" i="23"/>
  <c r="AL55" i="23"/>
  <c r="AM55" i="23"/>
  <c r="AN55" i="23"/>
  <c r="DD55" i="23"/>
  <c r="DE55" i="23"/>
  <c r="DF55" i="23"/>
  <c r="DG55" i="23"/>
  <c r="DL55" i="23"/>
  <c r="DN55" i="23"/>
  <c r="DO55" i="23"/>
  <c r="DP55" i="23"/>
  <c r="DQ55" i="23"/>
  <c r="AA58" i="23"/>
  <c r="AB58" i="23"/>
  <c r="AC58" i="23"/>
  <c r="AD58" i="23"/>
  <c r="AE58" i="23"/>
  <c r="AF58" i="23"/>
  <c r="AG58" i="23"/>
  <c r="AH58" i="23"/>
  <c r="AI58" i="23"/>
  <c r="AJ58" i="23"/>
  <c r="AK58" i="23"/>
  <c r="AL58" i="23"/>
  <c r="AM58" i="23"/>
  <c r="AN58" i="23"/>
  <c r="DD58" i="23"/>
  <c r="DE58" i="23"/>
  <c r="DF58" i="23"/>
  <c r="DG58" i="23"/>
  <c r="DL58" i="23"/>
  <c r="DN58" i="23"/>
  <c r="DO58" i="23"/>
  <c r="DP58" i="23"/>
  <c r="DQ58" i="23"/>
  <c r="AA60" i="23"/>
  <c r="AC60" i="23"/>
  <c r="AD60" i="23"/>
  <c r="AE60" i="23"/>
  <c r="AF60" i="23"/>
  <c r="AG60" i="23"/>
  <c r="AH60" i="23"/>
  <c r="AI60" i="23"/>
  <c r="AJ60" i="23"/>
  <c r="AK60" i="23"/>
  <c r="AL60" i="23"/>
  <c r="AM60" i="23"/>
  <c r="AN60" i="23"/>
  <c r="DD60" i="23"/>
  <c r="DE60" i="23"/>
  <c r="DF60" i="23"/>
  <c r="DG60" i="23"/>
  <c r="DL60" i="23"/>
  <c r="DN60" i="23"/>
  <c r="DO60" i="23"/>
  <c r="DP60" i="23"/>
  <c r="DQ60" i="23"/>
  <c r="AA61" i="23"/>
  <c r="AE61" i="23"/>
  <c r="AF61" i="23"/>
  <c r="AG61" i="23"/>
  <c r="AH61" i="23"/>
  <c r="AI61" i="23"/>
  <c r="AJ61" i="23"/>
  <c r="AK61" i="23"/>
  <c r="AL61" i="23"/>
  <c r="AM61" i="23"/>
  <c r="AN61" i="23"/>
  <c r="DD61" i="23"/>
  <c r="DE61" i="23"/>
  <c r="DF61" i="23"/>
  <c r="DG61" i="23"/>
  <c r="AA63" i="23"/>
  <c r="AE63" i="23"/>
  <c r="AF63" i="23"/>
  <c r="AG63" i="23"/>
  <c r="AH63" i="23"/>
  <c r="AI63" i="23"/>
  <c r="AJ63" i="23"/>
  <c r="AK63" i="23"/>
  <c r="AL63" i="23"/>
  <c r="AM63" i="23"/>
  <c r="AN63" i="23"/>
  <c r="DD63" i="23"/>
  <c r="DE63" i="23"/>
  <c r="DF63" i="23"/>
  <c r="DG63" i="23"/>
  <c r="AA65" i="23"/>
  <c r="AC65" i="23"/>
  <c r="AD65" i="23"/>
  <c r="AE65" i="23"/>
  <c r="AF65" i="23"/>
  <c r="AG65" i="23"/>
  <c r="AH65" i="23"/>
  <c r="AI65" i="23"/>
  <c r="AJ65" i="23"/>
  <c r="AK65" i="23"/>
  <c r="AL65" i="23"/>
  <c r="AM65" i="23"/>
  <c r="AN65" i="23"/>
  <c r="DD65" i="23"/>
  <c r="DE65" i="23"/>
  <c r="DF65" i="23"/>
  <c r="DG65" i="23"/>
  <c r="DL65" i="23"/>
  <c r="DN65" i="23"/>
  <c r="DO65" i="23"/>
  <c r="DP65" i="23"/>
  <c r="DQ65" i="23"/>
  <c r="AA69" i="23"/>
  <c r="AC69" i="23"/>
  <c r="AD69" i="23"/>
  <c r="AE69" i="23"/>
  <c r="AF69" i="23"/>
  <c r="AG69" i="23"/>
  <c r="AH69" i="23"/>
  <c r="AI69" i="23"/>
  <c r="AJ69" i="23"/>
  <c r="AK69" i="23"/>
  <c r="AL69" i="23"/>
  <c r="AM69" i="23"/>
  <c r="AN69" i="23"/>
  <c r="DD69" i="23"/>
  <c r="DE69" i="23"/>
  <c r="DF69" i="23"/>
  <c r="DG69" i="23"/>
  <c r="DL69" i="23"/>
  <c r="DN69" i="23"/>
  <c r="DO69" i="23"/>
  <c r="DP69" i="23"/>
  <c r="DQ69" i="23"/>
  <c r="AA75" i="23"/>
  <c r="AC75" i="23"/>
  <c r="AD75" i="23"/>
  <c r="AE75" i="23"/>
  <c r="AF75" i="23"/>
  <c r="AG75" i="23"/>
  <c r="AH75" i="23"/>
  <c r="AI75" i="23"/>
  <c r="AJ75" i="23"/>
  <c r="AK75" i="23"/>
  <c r="AL75" i="23"/>
  <c r="AM75" i="23"/>
  <c r="AN75" i="23"/>
  <c r="AA76" i="23"/>
  <c r="AC76" i="23"/>
  <c r="AD76" i="23"/>
  <c r="AE76" i="23"/>
  <c r="AF76" i="23"/>
  <c r="AG76" i="23"/>
  <c r="AH76" i="23"/>
  <c r="AI76" i="23"/>
  <c r="AJ76" i="23"/>
  <c r="AK76" i="23"/>
  <c r="AL76" i="23"/>
  <c r="AM76" i="23"/>
  <c r="AN76" i="23"/>
  <c r="AA77" i="23"/>
  <c r="AC77" i="23"/>
  <c r="AD77" i="23"/>
  <c r="AE77" i="23"/>
  <c r="AF77" i="23"/>
  <c r="AG77" i="23"/>
  <c r="AH77" i="23"/>
  <c r="AI77" i="23"/>
  <c r="AJ77" i="23"/>
  <c r="AK77" i="23"/>
  <c r="AL77" i="23"/>
  <c r="AM77" i="23"/>
  <c r="AN77" i="23"/>
  <c r="AA78" i="23"/>
  <c r="AC78" i="23"/>
  <c r="AD78" i="23"/>
  <c r="AE78" i="23"/>
  <c r="AF78" i="23"/>
  <c r="AG78" i="23"/>
  <c r="AH78" i="23"/>
  <c r="AI78" i="23"/>
  <c r="AJ78" i="23"/>
  <c r="AK78" i="23"/>
  <c r="AL78" i="23"/>
  <c r="AM78" i="23"/>
  <c r="AN78" i="23"/>
  <c r="AA79" i="23"/>
  <c r="AC79" i="23"/>
  <c r="AD79" i="23"/>
  <c r="AE79" i="23"/>
  <c r="AF79" i="23"/>
  <c r="AG79" i="23"/>
  <c r="AH79" i="23"/>
  <c r="AI79" i="23"/>
  <c r="AJ79" i="23"/>
  <c r="AK79" i="23"/>
  <c r="AL79" i="23"/>
  <c r="AM79" i="23"/>
  <c r="AN79" i="23"/>
  <c r="AA81" i="23"/>
  <c r="AC81" i="23"/>
  <c r="AD81" i="23"/>
  <c r="AE81" i="23"/>
  <c r="AF81" i="23"/>
  <c r="AG81" i="23"/>
  <c r="AH81" i="23"/>
  <c r="AI81" i="23"/>
  <c r="AJ81" i="23"/>
  <c r="AK81" i="23"/>
  <c r="AL81" i="23"/>
  <c r="AM81" i="23"/>
  <c r="AN81" i="23"/>
  <c r="AA82" i="23"/>
  <c r="AC82" i="23"/>
  <c r="AD82" i="23"/>
  <c r="AE82" i="23"/>
  <c r="AF82" i="23"/>
  <c r="AG82" i="23"/>
  <c r="AH82" i="23"/>
  <c r="AI82" i="23"/>
  <c r="AJ82" i="23"/>
  <c r="AK82" i="23"/>
  <c r="AL82" i="23"/>
  <c r="AM82" i="23"/>
  <c r="AN82" i="23"/>
  <c r="AA83" i="23"/>
  <c r="AC83" i="23"/>
  <c r="AD83" i="23"/>
  <c r="AE83" i="23"/>
  <c r="AF83" i="23"/>
  <c r="AG83" i="23"/>
  <c r="AH83" i="23"/>
  <c r="AI83" i="23"/>
  <c r="AJ83" i="23"/>
  <c r="AK83" i="23"/>
  <c r="AL83" i="23"/>
  <c r="AM83" i="23"/>
  <c r="AN83" i="23"/>
  <c r="AA84" i="23"/>
  <c r="AC84" i="23"/>
  <c r="AD84" i="23"/>
  <c r="AE84" i="23"/>
  <c r="AF84" i="23"/>
  <c r="AG84" i="23"/>
  <c r="AH84" i="23"/>
  <c r="AI84" i="23"/>
  <c r="AJ84" i="23"/>
  <c r="AK84" i="23"/>
  <c r="AL84" i="23"/>
  <c r="AM84" i="23"/>
  <c r="AN84" i="23"/>
  <c r="AA85" i="23"/>
  <c r="AC85" i="23"/>
  <c r="AD85" i="23"/>
  <c r="AE85" i="23"/>
  <c r="AF85" i="23"/>
  <c r="AG85" i="23"/>
  <c r="AH85" i="23"/>
  <c r="AI85" i="23"/>
  <c r="AJ85" i="23"/>
  <c r="AK85" i="23"/>
  <c r="AL85" i="23"/>
  <c r="AM85" i="23"/>
  <c r="AN85" i="23"/>
  <c r="AA87" i="23"/>
  <c r="AC87" i="23"/>
  <c r="AD87" i="23"/>
  <c r="AE87" i="23"/>
  <c r="AF87" i="23"/>
  <c r="AG87" i="23"/>
  <c r="AH87" i="23"/>
  <c r="AI87" i="23"/>
  <c r="AJ87" i="23"/>
  <c r="AK87" i="23"/>
  <c r="AL87" i="23"/>
  <c r="AM87" i="23"/>
  <c r="AN87" i="23"/>
  <c r="AA88" i="23"/>
  <c r="AC88" i="23"/>
  <c r="AD88" i="23"/>
  <c r="AE88" i="23"/>
  <c r="AF88" i="23"/>
  <c r="AG88" i="23"/>
  <c r="AH88" i="23"/>
  <c r="AI88" i="23"/>
  <c r="AJ88" i="23"/>
  <c r="AK88" i="23"/>
  <c r="AL88" i="23"/>
  <c r="AM88" i="23"/>
  <c r="AN88" i="23"/>
  <c r="AA89" i="23"/>
  <c r="AC89" i="23"/>
  <c r="AD89" i="23"/>
  <c r="AE89" i="23"/>
  <c r="AF89" i="23"/>
  <c r="AG89" i="23"/>
  <c r="AH89" i="23"/>
  <c r="AI89" i="23"/>
  <c r="AJ89" i="23"/>
  <c r="AK89" i="23"/>
  <c r="AL89" i="23"/>
  <c r="AM89" i="23"/>
  <c r="AN89" i="23"/>
  <c r="AA90" i="23"/>
  <c r="AC90" i="23"/>
  <c r="AD90" i="23"/>
  <c r="AE90" i="23"/>
  <c r="AF90" i="23"/>
  <c r="AG90" i="23"/>
  <c r="AH90" i="23"/>
  <c r="AI90" i="23"/>
  <c r="AJ90" i="23"/>
  <c r="AK90" i="23"/>
  <c r="AL90" i="23"/>
  <c r="AM90" i="23"/>
  <c r="AN90" i="23"/>
  <c r="AA91" i="23"/>
  <c r="AC91" i="23"/>
  <c r="AD91" i="23"/>
  <c r="AE91" i="23"/>
  <c r="AF91" i="23"/>
  <c r="AG91" i="23"/>
  <c r="AH91" i="23"/>
  <c r="AI91" i="23"/>
  <c r="AJ91" i="23"/>
  <c r="AK91" i="23"/>
  <c r="AL91" i="23"/>
  <c r="AM91" i="23"/>
  <c r="AN91" i="23"/>
  <c r="AA93" i="23"/>
  <c r="AC93" i="23"/>
  <c r="AD93" i="23"/>
  <c r="AE93" i="23"/>
  <c r="AF93" i="23"/>
  <c r="AG93" i="23"/>
  <c r="AH93" i="23"/>
  <c r="AI93" i="23"/>
  <c r="AJ93" i="23"/>
  <c r="AK93" i="23"/>
  <c r="AL93" i="23"/>
  <c r="AM93" i="23"/>
  <c r="AN93" i="23"/>
  <c r="AA94" i="23"/>
  <c r="AC94" i="23"/>
  <c r="AD94" i="23"/>
  <c r="AE94" i="23"/>
  <c r="AF94" i="23"/>
  <c r="AG94" i="23"/>
  <c r="AH94" i="23"/>
  <c r="AI94" i="23"/>
  <c r="AJ94" i="23"/>
  <c r="AK94" i="23"/>
  <c r="AL94" i="23"/>
  <c r="AM94" i="23"/>
  <c r="AN94" i="23"/>
  <c r="AA95" i="23"/>
  <c r="AC95" i="23"/>
  <c r="AD95" i="23"/>
  <c r="AE95" i="23"/>
  <c r="AF95" i="23"/>
  <c r="AG95" i="23"/>
  <c r="AH95" i="23"/>
  <c r="AI95" i="23"/>
  <c r="AJ95" i="23"/>
  <c r="AK95" i="23"/>
  <c r="AL95" i="23"/>
  <c r="AM95" i="23"/>
  <c r="AN95" i="23"/>
  <c r="AA96" i="23"/>
  <c r="AC96" i="23"/>
  <c r="AD96" i="23"/>
  <c r="AE96" i="23"/>
  <c r="AF96" i="23"/>
  <c r="AG96" i="23"/>
  <c r="AH96" i="23"/>
  <c r="AI96" i="23"/>
  <c r="AJ96" i="23"/>
  <c r="AK96" i="23"/>
  <c r="AL96" i="23"/>
  <c r="AM96" i="23"/>
  <c r="AN96" i="23"/>
  <c r="AA98" i="23"/>
  <c r="AB98" i="23"/>
  <c r="AC98" i="23"/>
  <c r="AD98" i="23"/>
  <c r="AE98" i="23"/>
  <c r="AF98" i="23"/>
  <c r="AG98" i="23"/>
  <c r="AH98" i="23"/>
  <c r="AI98" i="23"/>
  <c r="AJ98" i="23"/>
  <c r="AK98" i="23"/>
  <c r="AL98" i="23"/>
  <c r="AM98" i="23"/>
  <c r="AN98" i="23"/>
  <c r="DD98" i="23"/>
  <c r="DE98" i="23"/>
  <c r="DF98" i="23"/>
  <c r="DL98" i="23"/>
  <c r="DN98" i="23"/>
  <c r="DO98" i="23"/>
  <c r="DP98" i="23"/>
  <c r="DQ98" i="23"/>
  <c r="AA99" i="23"/>
  <c r="AC99" i="23"/>
  <c r="AD99" i="23"/>
  <c r="AE99" i="23"/>
  <c r="AF99" i="23"/>
  <c r="AG99" i="23"/>
  <c r="AH99" i="23"/>
  <c r="AI99" i="23"/>
  <c r="AJ99" i="23"/>
  <c r="AK99" i="23"/>
  <c r="AL99" i="23"/>
  <c r="AM99" i="23"/>
  <c r="AN99" i="23"/>
  <c r="DI99" i="23"/>
  <c r="DJ99" i="23"/>
  <c r="DK99" i="23"/>
  <c r="DL99" i="23"/>
  <c r="DN99" i="23"/>
  <c r="DO99" i="23"/>
  <c r="DP99" i="23"/>
  <c r="DQ99" i="23"/>
  <c r="AA100" i="23"/>
  <c r="AB100" i="23"/>
  <c r="AC100" i="23"/>
  <c r="AD100" i="23"/>
  <c r="AE100" i="23"/>
  <c r="AF100" i="23"/>
  <c r="AG100" i="23"/>
  <c r="AH100" i="23"/>
  <c r="AI100" i="23"/>
  <c r="AJ100" i="23"/>
  <c r="AK100" i="23"/>
  <c r="AL100" i="23"/>
  <c r="AM100" i="23"/>
  <c r="AN100" i="23"/>
  <c r="DD100" i="23"/>
  <c r="DE100" i="23"/>
  <c r="DF100" i="23"/>
  <c r="DH100" i="23"/>
  <c r="DL100" i="23"/>
  <c r="DM100" i="23"/>
  <c r="DN100" i="23"/>
  <c r="DO100" i="23"/>
  <c r="DP100" i="23"/>
  <c r="DQ100" i="23"/>
  <c r="DR100" i="23"/>
  <c r="AA160" i="23"/>
  <c r="AC160" i="23"/>
  <c r="AD160" i="23"/>
  <c r="AE160" i="23"/>
  <c r="AF160" i="23"/>
  <c r="AG160" i="23"/>
  <c r="AH160" i="23"/>
  <c r="AI160" i="23"/>
  <c r="AJ160" i="23"/>
  <c r="AK160" i="23"/>
  <c r="AL160" i="23"/>
  <c r="AM160" i="23"/>
  <c r="AN160" i="23"/>
  <c r="AC170" i="23"/>
  <c r="AD170" i="23"/>
  <c r="AE170" i="23"/>
  <c r="AF170" i="23"/>
  <c r="AG170" i="23"/>
  <c r="AH170" i="23"/>
  <c r="AI170" i="23"/>
  <c r="AJ170" i="23"/>
  <c r="AK170" i="23"/>
  <c r="AL170" i="23"/>
  <c r="AM170" i="23"/>
  <c r="AN170" i="23"/>
  <c r="AC173" i="23"/>
  <c r="AD173" i="23"/>
  <c r="AE173" i="23"/>
  <c r="AF173" i="23"/>
  <c r="AG173" i="23"/>
  <c r="AH173" i="23"/>
  <c r="AI173" i="23"/>
  <c r="AJ173" i="23"/>
  <c r="AK173" i="23"/>
  <c r="AL173" i="23"/>
  <c r="AM173" i="23"/>
  <c r="AN173" i="23"/>
  <c r="AC186" i="23"/>
  <c r="AD186" i="23"/>
  <c r="AE186" i="23"/>
  <c r="AF186" i="23"/>
  <c r="AG186" i="23"/>
  <c r="AH186" i="23"/>
  <c r="AI186" i="23"/>
  <c r="AJ186" i="23"/>
  <c r="AK186" i="23"/>
  <c r="AL186" i="23"/>
  <c r="AM186" i="23"/>
  <c r="AN186" i="23"/>
  <c r="AC189" i="23"/>
  <c r="AD189" i="23"/>
  <c r="AE189" i="23"/>
  <c r="AF189" i="23"/>
  <c r="AG189" i="23"/>
  <c r="AH189" i="23"/>
  <c r="AI189" i="23"/>
  <c r="AJ189" i="23"/>
  <c r="AK189" i="23"/>
  <c r="AL189" i="23"/>
  <c r="AM189" i="23"/>
  <c r="AN189" i="23"/>
  <c r="AC193" i="23"/>
  <c r="AD193" i="23"/>
  <c r="AE193" i="23"/>
  <c r="AF193" i="23"/>
  <c r="AG193" i="23"/>
  <c r="AH193" i="23"/>
  <c r="AI193" i="23"/>
  <c r="AJ193" i="23"/>
  <c r="AK193" i="23"/>
  <c r="AL193" i="23"/>
  <c r="AM193" i="23"/>
  <c r="AN193" i="23"/>
  <c r="AC196" i="23"/>
  <c r="AD196" i="23"/>
  <c r="AE196" i="23"/>
  <c r="AF196" i="23"/>
  <c r="AG196" i="23"/>
  <c r="AH196" i="23"/>
  <c r="AI196" i="23"/>
  <c r="AJ196" i="23"/>
  <c r="AK196" i="23"/>
  <c r="AL196" i="23"/>
  <c r="AM196" i="23"/>
  <c r="AN196" i="23"/>
  <c r="AC197" i="23"/>
  <c r="AD197" i="23"/>
  <c r="AE197" i="23"/>
  <c r="AF197" i="23"/>
  <c r="AG197" i="23"/>
  <c r="AH197" i="23"/>
  <c r="AI197" i="23"/>
  <c r="AJ197" i="23"/>
  <c r="AK197" i="23"/>
  <c r="AL197" i="23"/>
  <c r="AM197" i="23"/>
  <c r="AN197" i="23"/>
  <c r="AA201" i="23"/>
  <c r="AC201" i="23"/>
  <c r="AD201" i="23"/>
  <c r="AE201" i="23"/>
  <c r="AF201" i="23"/>
  <c r="AG201" i="23"/>
  <c r="AH201" i="23"/>
  <c r="AI201" i="23"/>
  <c r="AJ201" i="23"/>
  <c r="AK201" i="23"/>
  <c r="AL201" i="23"/>
  <c r="AM201" i="23"/>
  <c r="AN201" i="23"/>
  <c r="AA202" i="23"/>
  <c r="AC202" i="23"/>
  <c r="AD202" i="23"/>
  <c r="AE202" i="23"/>
  <c r="AF202" i="23"/>
  <c r="AG202" i="23"/>
  <c r="AH202" i="23"/>
  <c r="AI202" i="23"/>
  <c r="AJ202" i="23"/>
  <c r="AK202" i="23"/>
  <c r="AL202" i="23"/>
  <c r="AM202" i="23"/>
  <c r="AN202" i="23"/>
  <c r="AA207" i="23"/>
  <c r="AC207" i="23"/>
  <c r="AD207" i="23"/>
  <c r="AE207" i="23"/>
  <c r="AF207" i="23"/>
  <c r="AG207" i="23"/>
  <c r="AH207" i="23"/>
  <c r="AI207" i="23"/>
  <c r="AJ207" i="23"/>
  <c r="AK207" i="23"/>
  <c r="AL207" i="23"/>
  <c r="AM207" i="23"/>
  <c r="AN207" i="23"/>
  <c r="AC222" i="23"/>
  <c r="AD222" i="23"/>
  <c r="AE222" i="23"/>
  <c r="AF222" i="23"/>
  <c r="AG222" i="23"/>
  <c r="AH222" i="23"/>
  <c r="AI222" i="23"/>
  <c r="AJ222" i="23"/>
  <c r="AK222" i="23"/>
  <c r="AL222" i="23"/>
  <c r="AM222" i="23"/>
  <c r="AN222" i="23"/>
  <c r="AC227" i="23"/>
  <c r="AD227" i="23"/>
  <c r="AE227" i="23"/>
  <c r="AF227" i="23"/>
  <c r="AG227" i="23"/>
  <c r="AH227" i="23"/>
  <c r="AI227" i="23"/>
  <c r="AJ227" i="23"/>
  <c r="AK227" i="23"/>
  <c r="AL227" i="23"/>
  <c r="AM227" i="23"/>
  <c r="AN227" i="23"/>
  <c r="AC233" i="23"/>
  <c r="AD233" i="23"/>
  <c r="AE233" i="23"/>
  <c r="AF233" i="23"/>
  <c r="AG233" i="23"/>
  <c r="AH233" i="23"/>
  <c r="AI233" i="23"/>
  <c r="AJ233" i="23"/>
  <c r="AK233" i="23"/>
  <c r="AL233" i="23"/>
  <c r="AM233" i="23"/>
  <c r="AN233" i="23"/>
  <c r="AC237" i="23"/>
  <c r="AD237" i="23"/>
  <c r="AE237" i="23"/>
  <c r="AF237" i="23"/>
  <c r="AG237" i="23"/>
  <c r="AH237" i="23"/>
  <c r="AI237" i="23"/>
  <c r="AJ237" i="23"/>
  <c r="AK237" i="23"/>
  <c r="AL237" i="23"/>
  <c r="AM237" i="23"/>
  <c r="AN237" i="23"/>
  <c r="AC239" i="23"/>
  <c r="AD239" i="23"/>
  <c r="AE239" i="23"/>
  <c r="AF239" i="23"/>
  <c r="AG239" i="23"/>
  <c r="AH239" i="23"/>
  <c r="AI239" i="23"/>
  <c r="AJ239" i="23"/>
  <c r="AK239" i="23"/>
  <c r="AL239" i="23"/>
  <c r="AM239" i="23"/>
  <c r="AN239" i="23"/>
  <c r="AA240" i="23"/>
  <c r="AC240" i="23"/>
  <c r="AD240" i="23"/>
  <c r="AE240" i="23"/>
  <c r="AF240" i="23"/>
  <c r="AG240" i="23"/>
  <c r="AH240" i="23"/>
  <c r="AI240" i="23"/>
  <c r="AJ240" i="23"/>
  <c r="AK240" i="23"/>
  <c r="AL240" i="23"/>
  <c r="AM240" i="23"/>
  <c r="AN240" i="23"/>
  <c r="AC246" i="23"/>
  <c r="AD246" i="23"/>
  <c r="AE246" i="23"/>
  <c r="AF246" i="23"/>
  <c r="AG246" i="23"/>
  <c r="AH246" i="23"/>
  <c r="AI246" i="23"/>
  <c r="AJ246" i="23"/>
  <c r="AK246" i="23"/>
  <c r="AL246" i="23"/>
  <c r="AM246" i="23"/>
  <c r="AN246" i="23"/>
  <c r="AC249" i="23"/>
  <c r="AD249" i="23"/>
  <c r="AE249" i="23"/>
  <c r="AF249" i="23"/>
  <c r="AG249" i="23"/>
  <c r="AH249" i="23"/>
  <c r="AI249" i="23"/>
  <c r="AJ249" i="23"/>
  <c r="AK249" i="23"/>
  <c r="AL249" i="23"/>
  <c r="AM249" i="23"/>
  <c r="AN249" i="23"/>
  <c r="AA250" i="23"/>
  <c r="AC250" i="23"/>
  <c r="AD250" i="23"/>
  <c r="AE250" i="23"/>
  <c r="AF250" i="23"/>
  <c r="AG250" i="23"/>
  <c r="AH250" i="23"/>
  <c r="AI250" i="23"/>
  <c r="AJ250" i="23"/>
  <c r="AK250" i="23"/>
  <c r="AL250" i="23"/>
  <c r="AM250" i="23"/>
  <c r="AN250" i="23"/>
  <c r="AA251" i="23"/>
  <c r="AE251" i="23"/>
  <c r="AF251" i="23"/>
  <c r="AG251" i="23"/>
  <c r="AH251" i="23"/>
  <c r="AI251" i="23"/>
  <c r="AJ251" i="23"/>
  <c r="AK251" i="23"/>
  <c r="AL251" i="23"/>
  <c r="AM251" i="23"/>
  <c r="AN251" i="23"/>
  <c r="AC254" i="23"/>
  <c r="AD254" i="23"/>
  <c r="AE254" i="23"/>
  <c r="AF254" i="23"/>
  <c r="AG254" i="23"/>
  <c r="AH254" i="23"/>
  <c r="AI254" i="23"/>
  <c r="AJ254" i="23"/>
  <c r="AK254" i="23"/>
  <c r="AL254" i="23"/>
  <c r="AM254" i="23"/>
  <c r="AN254" i="23"/>
  <c r="AA261" i="23"/>
  <c r="AC261" i="23"/>
  <c r="AD261" i="23"/>
  <c r="AE261" i="23"/>
  <c r="AF261" i="23"/>
  <c r="AG261" i="23"/>
  <c r="AH261" i="23"/>
  <c r="AI261" i="23"/>
  <c r="AJ261" i="23"/>
  <c r="AK261" i="23"/>
  <c r="AL261" i="23"/>
  <c r="AM261" i="23"/>
  <c r="AN261" i="23"/>
  <c r="AA273" i="23"/>
  <c r="AA275" i="23"/>
  <c r="AC277" i="23"/>
  <c r="AD277" i="23"/>
  <c r="AE277" i="23"/>
  <c r="AF277" i="23"/>
  <c r="AG277" i="23"/>
  <c r="AH277" i="23"/>
  <c r="AI277" i="23"/>
  <c r="AJ277" i="23"/>
  <c r="AK277" i="23"/>
  <c r="AL277" i="23"/>
  <c r="AM277" i="23"/>
  <c r="AN277" i="23"/>
  <c r="AC288" i="23"/>
  <c r="AD288" i="23"/>
  <c r="AE288" i="23"/>
  <c r="AF288" i="23"/>
  <c r="AG288" i="23"/>
  <c r="AH288" i="23"/>
  <c r="AI288" i="23"/>
  <c r="AJ288" i="23"/>
  <c r="AK288" i="23"/>
  <c r="AL288" i="23"/>
  <c r="AM288" i="23"/>
  <c r="AN288" i="23"/>
  <c r="AC298" i="23"/>
  <c r="AD298" i="23"/>
  <c r="AE298" i="23"/>
  <c r="AF298" i="23"/>
  <c r="AG298" i="23"/>
  <c r="AH298" i="23"/>
  <c r="AI298" i="23"/>
  <c r="AJ298" i="23"/>
  <c r="AK298" i="23"/>
  <c r="AL298" i="23"/>
  <c r="AM298" i="23"/>
  <c r="AN298" i="23"/>
  <c r="AD300" i="23"/>
  <c r="AE300" i="23"/>
  <c r="AF300" i="23"/>
  <c r="AG300" i="23"/>
  <c r="AH300" i="23"/>
  <c r="AI300" i="23"/>
  <c r="AJ300" i="23"/>
  <c r="AK300" i="23"/>
  <c r="AL300" i="23"/>
  <c r="AM300" i="23"/>
  <c r="AN300" i="23"/>
  <c r="AC302" i="23"/>
  <c r="AD302" i="23"/>
  <c r="AE302" i="23"/>
  <c r="AF302" i="23"/>
  <c r="AG302" i="23"/>
  <c r="AH302" i="23"/>
  <c r="AI302" i="23"/>
  <c r="AJ302" i="23"/>
  <c r="AK302" i="23"/>
  <c r="AL302" i="23"/>
  <c r="AM302" i="23"/>
  <c r="AN302" i="23"/>
  <c r="AC303" i="23"/>
  <c r="AD303" i="23"/>
  <c r="AE303" i="23"/>
  <c r="AF303" i="23"/>
  <c r="AG303" i="23"/>
  <c r="AH303" i="23"/>
  <c r="AI303" i="23"/>
  <c r="AJ303" i="23"/>
  <c r="AK303" i="23"/>
  <c r="AL303" i="23"/>
  <c r="AM303" i="23"/>
  <c r="AN303" i="23"/>
  <c r="AC304" i="23"/>
  <c r="AD304" i="23"/>
  <c r="AE304" i="23"/>
  <c r="AF304" i="23"/>
  <c r="AG304" i="23"/>
  <c r="AH304" i="23"/>
  <c r="AI304" i="23"/>
  <c r="AJ304" i="23"/>
  <c r="AK304" i="23"/>
  <c r="AL304" i="23"/>
  <c r="AM304" i="23"/>
  <c r="AN304" i="23"/>
  <c r="AA309" i="23"/>
  <c r="AC309" i="23"/>
  <c r="AD309" i="23"/>
  <c r="AE309" i="23"/>
  <c r="AF309" i="23"/>
  <c r="AG309" i="23"/>
  <c r="AH309" i="23"/>
  <c r="AI309" i="23"/>
  <c r="AJ309" i="23"/>
  <c r="AK309" i="23"/>
  <c r="AL309" i="23"/>
  <c r="AM309" i="23"/>
  <c r="AN309" i="23"/>
  <c r="AA310" i="23"/>
  <c r="AC310" i="23"/>
  <c r="AD310" i="23"/>
  <c r="AE310" i="23"/>
  <c r="AF310" i="23"/>
  <c r="AG310" i="23"/>
  <c r="AH310" i="23"/>
  <c r="AI310" i="23"/>
  <c r="AJ310" i="23"/>
  <c r="AK310" i="23"/>
  <c r="AL310" i="23"/>
  <c r="AM310" i="23"/>
  <c r="AN310" i="23"/>
  <c r="AC319" i="23"/>
  <c r="AD319" i="23"/>
  <c r="AE319" i="23"/>
  <c r="AF319" i="23"/>
  <c r="AG319" i="23"/>
  <c r="AH319" i="23"/>
  <c r="AI319" i="23"/>
  <c r="AJ319" i="23"/>
  <c r="AK319" i="23"/>
  <c r="AL319" i="23"/>
  <c r="AM319" i="23"/>
  <c r="AN319" i="23"/>
  <c r="AC362" i="23"/>
  <c r="AD362" i="23"/>
  <c r="AE362" i="23"/>
  <c r="AF362" i="23"/>
  <c r="AG362" i="23"/>
  <c r="AH362" i="23"/>
  <c r="AI362" i="23"/>
  <c r="AJ362" i="23"/>
  <c r="AK362" i="23"/>
  <c r="AL362" i="23"/>
  <c r="AM362" i="23"/>
  <c r="AN362" i="23"/>
  <c r="AC363" i="23"/>
  <c r="AD363" i="23"/>
  <c r="AE363" i="23"/>
  <c r="AF363" i="23"/>
  <c r="AG363" i="23"/>
  <c r="AH363" i="23"/>
  <c r="AI363" i="23"/>
  <c r="AJ363" i="23"/>
  <c r="AK363" i="23"/>
  <c r="AL363" i="23"/>
  <c r="AM363" i="23"/>
  <c r="AN363" i="23"/>
  <c r="AC366" i="23"/>
  <c r="AD366" i="23"/>
  <c r="AE366" i="23"/>
  <c r="AF366" i="23"/>
  <c r="AG366" i="23"/>
  <c r="AH366" i="23"/>
  <c r="AI366" i="23"/>
  <c r="AJ366" i="23"/>
  <c r="AK366" i="23"/>
  <c r="AL366" i="23"/>
  <c r="AM366" i="23"/>
  <c r="AN366" i="23"/>
  <c r="AC370" i="23"/>
  <c r="AD370" i="23"/>
  <c r="AE370" i="23"/>
  <c r="AF370" i="23"/>
  <c r="AG370" i="23"/>
  <c r="AH370" i="23"/>
  <c r="AI370" i="23"/>
  <c r="AJ370" i="23"/>
  <c r="AK370" i="23"/>
  <c r="AL370" i="23"/>
  <c r="AM370" i="23"/>
  <c r="AN370" i="23"/>
  <c r="AC371" i="23"/>
  <c r="AD371" i="23"/>
  <c r="AE371" i="23"/>
  <c r="AF371" i="23"/>
  <c r="AG371" i="23"/>
  <c r="AH371" i="23"/>
  <c r="AI371" i="23"/>
  <c r="AJ371" i="23"/>
  <c r="AK371" i="23"/>
  <c r="AL371" i="23"/>
  <c r="AM371" i="23"/>
  <c r="AN371" i="23"/>
  <c r="AC374" i="23"/>
  <c r="AD374" i="23"/>
  <c r="AE374" i="23"/>
  <c r="AF374" i="23"/>
  <c r="AG374" i="23"/>
  <c r="AH374" i="23"/>
  <c r="AI374" i="23"/>
  <c r="AJ374" i="23"/>
  <c r="AK374" i="23"/>
  <c r="AL374" i="23"/>
  <c r="AM374" i="23"/>
  <c r="AN374" i="23"/>
  <c r="DI374" i="23"/>
  <c r="DJ374" i="23"/>
  <c r="DK374" i="23"/>
  <c r="DL374" i="23"/>
  <c r="DM374" i="23"/>
  <c r="DN374" i="23"/>
  <c r="DO374" i="23"/>
  <c r="DP374" i="23"/>
  <c r="DQ374" i="23"/>
  <c r="DR374" i="23"/>
  <c r="AC417" i="23"/>
  <c r="DI417" i="23"/>
  <c r="DJ417" i="23"/>
  <c r="DK417" i="23"/>
  <c r="DL417" i="23"/>
  <c r="DM417" i="23"/>
  <c r="AC418" i="23"/>
  <c r="AD418" i="23"/>
  <c r="AE418" i="23"/>
  <c r="AF418" i="23"/>
  <c r="AG418" i="23"/>
  <c r="AH418" i="23"/>
  <c r="AI418" i="23"/>
  <c r="AJ418" i="23"/>
  <c r="AK418" i="23"/>
  <c r="AL418" i="23"/>
  <c r="AM418" i="23"/>
  <c r="AN418" i="23"/>
  <c r="DL418" i="23"/>
  <c r="DM418" i="23"/>
  <c r="DN418" i="23"/>
  <c r="DO418" i="23"/>
  <c r="DP418" i="23"/>
  <c r="DQ418" i="23"/>
  <c r="AC465" i="23"/>
  <c r="AD465" i="23"/>
  <c r="AE465" i="23"/>
  <c r="AF465" i="23"/>
  <c r="AG465" i="23"/>
  <c r="AH465" i="23"/>
  <c r="AI465" i="23"/>
  <c r="AJ465" i="23"/>
  <c r="AK465" i="23"/>
  <c r="AL465" i="23"/>
  <c r="AM465" i="23"/>
  <c r="AN465" i="23"/>
  <c r="AC481" i="23"/>
  <c r="AD481" i="23"/>
  <c r="AE481" i="23"/>
  <c r="AF481" i="23"/>
  <c r="AG481" i="23"/>
  <c r="AH481" i="23"/>
  <c r="AI481" i="23"/>
  <c r="AJ481" i="23"/>
  <c r="AK481" i="23"/>
  <c r="AL481" i="23"/>
  <c r="AM481" i="23"/>
  <c r="AN481" i="23"/>
  <c r="AC482" i="23"/>
  <c r="AD482" i="23"/>
  <c r="AE482" i="23"/>
  <c r="AF482" i="23"/>
  <c r="AG482" i="23"/>
  <c r="AH482" i="23"/>
  <c r="AI482" i="23"/>
  <c r="AJ482" i="23"/>
  <c r="AK482" i="23"/>
  <c r="AL482" i="23"/>
  <c r="AM482" i="23"/>
  <c r="AN482" i="23"/>
  <c r="AC495" i="23"/>
  <c r="AD495" i="23"/>
  <c r="AE495" i="23"/>
  <c r="AF495" i="23"/>
  <c r="AG495" i="23"/>
  <c r="AH495" i="23"/>
  <c r="AI495" i="23"/>
  <c r="AJ495" i="23"/>
  <c r="AK495" i="23"/>
  <c r="AL495" i="23"/>
  <c r="AM495" i="23"/>
  <c r="AN495" i="23"/>
  <c r="AC496" i="23"/>
  <c r="AD496" i="23"/>
  <c r="AE496" i="23"/>
  <c r="AF496" i="23"/>
  <c r="AG496" i="23"/>
  <c r="AH496" i="23"/>
  <c r="AI496" i="23"/>
  <c r="AJ496" i="23"/>
  <c r="AK496" i="23"/>
  <c r="AL496" i="23"/>
  <c r="AM496" i="23"/>
  <c r="AN496" i="23"/>
  <c r="AC523" i="23"/>
  <c r="AD523" i="23"/>
  <c r="AE523" i="23"/>
  <c r="AF523" i="23"/>
  <c r="AG523" i="23"/>
  <c r="AH523" i="23"/>
  <c r="AI523" i="23"/>
  <c r="AJ523" i="23"/>
  <c r="AK523" i="23"/>
  <c r="AL523" i="23"/>
  <c r="AM523" i="23"/>
  <c r="AN523" i="23"/>
  <c r="AC524" i="23"/>
  <c r="AD524" i="23"/>
  <c r="AE524" i="23"/>
  <c r="AF524" i="23"/>
  <c r="AG524" i="23"/>
  <c r="AH524" i="23"/>
  <c r="AI524" i="23"/>
  <c r="AJ524" i="23"/>
  <c r="AK524" i="23"/>
  <c r="AL524" i="23"/>
  <c r="AM524" i="23"/>
  <c r="AN524" i="23"/>
  <c r="AC525" i="23"/>
  <c r="AD525" i="23"/>
  <c r="AE525" i="23"/>
  <c r="AF525" i="23"/>
  <c r="AG525" i="23"/>
  <c r="AH525" i="23"/>
  <c r="AI525" i="23"/>
  <c r="AJ525" i="23"/>
  <c r="AK525" i="23"/>
  <c r="AL525" i="23"/>
  <c r="AM525" i="23"/>
  <c r="AN525" i="23"/>
  <c r="AC570" i="23"/>
  <c r="AD570" i="23"/>
  <c r="AE570" i="23"/>
  <c r="AF570" i="23"/>
  <c r="AG570" i="23"/>
  <c r="AH570" i="23"/>
  <c r="AI570" i="23"/>
  <c r="AJ570" i="23"/>
  <c r="AK570" i="23"/>
  <c r="AL570" i="23"/>
  <c r="AM570" i="23"/>
  <c r="AN570" i="23"/>
  <c r="AC571" i="23"/>
  <c r="AD571" i="23"/>
  <c r="AE571" i="23"/>
  <c r="AF571" i="23"/>
  <c r="AG571" i="23"/>
  <c r="AH571" i="23"/>
  <c r="AI571" i="23"/>
  <c r="AJ571" i="23"/>
  <c r="AK571" i="23"/>
  <c r="AL571" i="23"/>
  <c r="AM571" i="23"/>
  <c r="AN571" i="23"/>
  <c r="AA579" i="23"/>
  <c r="AC579" i="23"/>
  <c r="AD579" i="23"/>
  <c r="AE579" i="23"/>
  <c r="AF579" i="23"/>
  <c r="AG579" i="23"/>
  <c r="AH579" i="23"/>
  <c r="AI579" i="23"/>
  <c r="AJ579" i="23"/>
  <c r="AK579" i="23"/>
  <c r="AL579" i="23"/>
  <c r="AM579" i="23"/>
  <c r="AN579" i="23"/>
  <c r="AD582" i="23"/>
  <c r="AE582" i="23"/>
  <c r="AF582" i="23"/>
  <c r="AG582" i="23"/>
  <c r="AH582" i="23"/>
  <c r="AI582" i="23"/>
  <c r="AJ582" i="23"/>
  <c r="AK582" i="23"/>
  <c r="AL582" i="23"/>
  <c r="AM582" i="23"/>
  <c r="AN582" i="23"/>
  <c r="AA583" i="23"/>
  <c r="AC583" i="23"/>
  <c r="AD583" i="23"/>
  <c r="AE583" i="23"/>
  <c r="AF583" i="23"/>
  <c r="AG583" i="23"/>
  <c r="AH583" i="23"/>
  <c r="AI583" i="23"/>
  <c r="AJ583" i="23"/>
  <c r="AK583" i="23"/>
  <c r="AL583" i="23"/>
  <c r="AM583" i="23"/>
  <c r="AN583" i="23"/>
  <c r="AA585" i="23"/>
  <c r="AC586" i="23"/>
  <c r="AD586" i="23"/>
  <c r="AE586" i="23"/>
  <c r="AF586" i="23"/>
  <c r="AG586" i="23"/>
  <c r="AH586" i="23"/>
  <c r="AI586" i="23"/>
  <c r="AJ586" i="23"/>
  <c r="AK586" i="23"/>
  <c r="AL586" i="23"/>
  <c r="AM586" i="23"/>
  <c r="AN586" i="23"/>
  <c r="AA598" i="23"/>
  <c r="AC598" i="23"/>
  <c r="AD598" i="23"/>
  <c r="AE598" i="23"/>
  <c r="AF598" i="23"/>
  <c r="AG598" i="23"/>
  <c r="AH598" i="23"/>
  <c r="AI598" i="23"/>
  <c r="AJ598" i="23"/>
  <c r="AK598" i="23"/>
  <c r="AL598" i="23"/>
  <c r="AM598" i="23"/>
  <c r="AN598" i="23"/>
  <c r="AA599" i="23"/>
  <c r="AC599" i="23"/>
  <c r="AD599" i="23"/>
  <c r="AE599" i="23"/>
  <c r="AF599" i="23"/>
  <c r="AG599" i="23"/>
  <c r="AH599" i="23"/>
  <c r="AI599" i="23"/>
  <c r="AJ599" i="23"/>
  <c r="AK599" i="23"/>
  <c r="AL599" i="23"/>
  <c r="AM599" i="23"/>
  <c r="AN599" i="23"/>
  <c r="AA607" i="23"/>
  <c r="AE607" i="23"/>
  <c r="AF607" i="23"/>
  <c r="AG607" i="23"/>
  <c r="AH607" i="23"/>
  <c r="AI607" i="23"/>
  <c r="AJ607" i="23"/>
  <c r="AK607" i="23"/>
  <c r="AL607" i="23"/>
  <c r="AM607" i="23"/>
  <c r="AN607" i="23"/>
  <c r="AC610" i="23"/>
  <c r="AD610" i="23"/>
  <c r="AE610" i="23"/>
  <c r="AF610" i="23"/>
  <c r="AG610" i="23"/>
  <c r="AH610" i="23"/>
  <c r="AI610" i="23"/>
  <c r="AJ610" i="23"/>
  <c r="AK610" i="23"/>
  <c r="AL610" i="23"/>
  <c r="AM610" i="23"/>
  <c r="AN610" i="23"/>
  <c r="AA611" i="23"/>
  <c r="AE611" i="23"/>
  <c r="AF611" i="23"/>
  <c r="AG611" i="23"/>
  <c r="AH611" i="23"/>
  <c r="AI611" i="23"/>
  <c r="AJ611" i="23"/>
  <c r="AK611" i="23"/>
  <c r="AL611" i="23"/>
  <c r="AM611" i="23"/>
  <c r="AN611" i="23"/>
  <c r="AA614" i="23"/>
  <c r="AC614" i="23"/>
  <c r="AD614" i="23"/>
  <c r="AE614" i="23"/>
  <c r="AF614" i="23"/>
  <c r="AG614" i="23"/>
  <c r="AH614" i="23"/>
  <c r="AI614" i="23"/>
  <c r="AJ614" i="23"/>
  <c r="AK614" i="23"/>
  <c r="AL614" i="23"/>
  <c r="AM614" i="23"/>
  <c r="AN614" i="23"/>
  <c r="AC656" i="23"/>
  <c r="AD656" i="23"/>
  <c r="AE656" i="23"/>
  <c r="AF656" i="23"/>
  <c r="AG656" i="23"/>
  <c r="AH656" i="23"/>
  <c r="AI656" i="23"/>
  <c r="AJ656" i="23"/>
  <c r="AK656" i="23"/>
  <c r="AL656" i="23"/>
  <c r="AM656" i="23"/>
  <c r="AN656" i="23"/>
  <c r="AC657" i="23"/>
  <c r="AD657" i="23"/>
  <c r="AE657" i="23"/>
  <c r="AF657" i="23"/>
  <c r="AG657" i="23"/>
  <c r="AH657" i="23"/>
  <c r="AI657" i="23"/>
  <c r="AJ657" i="23"/>
  <c r="AK657" i="23"/>
  <c r="AL657" i="23"/>
  <c r="AM657" i="23"/>
  <c r="AN657" i="23"/>
  <c r="AC658" i="23"/>
  <c r="AD658" i="23"/>
  <c r="AE658" i="23"/>
  <c r="AF658" i="23"/>
  <c r="AG658" i="23"/>
  <c r="AH658" i="23"/>
  <c r="AI658" i="23"/>
  <c r="AJ658" i="23"/>
  <c r="AK658" i="23"/>
  <c r="AL658" i="23"/>
  <c r="AM658" i="23"/>
  <c r="AN658" i="23"/>
  <c r="AA663" i="23"/>
  <c r="AC663" i="23"/>
  <c r="AD663" i="23"/>
  <c r="AE663" i="23"/>
  <c r="AF663" i="23"/>
  <c r="AG663" i="23"/>
  <c r="AH663" i="23"/>
  <c r="AI663" i="23"/>
  <c r="AJ663" i="23"/>
  <c r="AK663" i="23"/>
  <c r="AL663" i="23"/>
  <c r="AM663" i="23"/>
  <c r="AN663" i="23"/>
  <c r="AA664" i="23"/>
  <c r="AA665" i="23"/>
  <c r="AC665" i="23"/>
  <c r="AD665" i="23"/>
  <c r="AE665" i="23"/>
  <c r="AF665" i="23"/>
  <c r="AG665" i="23"/>
  <c r="AH665" i="23"/>
  <c r="AI665" i="23"/>
  <c r="AJ665" i="23"/>
  <c r="AK665" i="23"/>
  <c r="AL665" i="23"/>
  <c r="AM665" i="23"/>
  <c r="AN665" i="23"/>
  <c r="AA666" i="23"/>
  <c r="AC666" i="23"/>
  <c r="AD666" i="23"/>
  <c r="AE666" i="23"/>
  <c r="AF666" i="23"/>
  <c r="AG666" i="23"/>
  <c r="AH666" i="23"/>
  <c r="AI666" i="23"/>
  <c r="AJ666" i="23"/>
  <c r="AK666" i="23"/>
  <c r="AL666" i="23"/>
  <c r="AM666" i="23"/>
  <c r="AN666" i="23"/>
  <c r="AA667" i="23"/>
  <c r="AC667" i="23"/>
  <c r="AD667" i="23"/>
  <c r="AE667" i="23"/>
  <c r="AF667" i="23"/>
  <c r="AG667" i="23"/>
  <c r="AH667" i="23"/>
  <c r="AI667" i="23"/>
  <c r="AJ667" i="23"/>
  <c r="AK667" i="23"/>
  <c r="AL667" i="23"/>
  <c r="AM667" i="23"/>
  <c r="AN667" i="23"/>
  <c r="AA668" i="23"/>
  <c r="AA669" i="23"/>
  <c r="AC669" i="23"/>
  <c r="AD669" i="23"/>
  <c r="AE669" i="23"/>
  <c r="AF669" i="23"/>
  <c r="AG669" i="23"/>
  <c r="AH669" i="23"/>
  <c r="AI669" i="23"/>
  <c r="AJ669" i="23"/>
  <c r="AK669" i="23"/>
  <c r="AL669" i="23"/>
  <c r="AM669" i="23"/>
  <c r="AN669" i="23"/>
  <c r="AA670" i="23"/>
  <c r="AC670" i="23"/>
  <c r="AD670" i="23"/>
  <c r="AE670" i="23"/>
  <c r="AF670" i="23"/>
  <c r="AG670" i="23"/>
  <c r="AH670" i="23"/>
  <c r="AI670" i="23"/>
  <c r="AJ670" i="23"/>
  <c r="AK670" i="23"/>
  <c r="AL670" i="23"/>
  <c r="AM670" i="23"/>
  <c r="AN670" i="23"/>
  <c r="AA671" i="23"/>
  <c r="AC671" i="23"/>
  <c r="AD671" i="23"/>
  <c r="AE671" i="23"/>
  <c r="AF671" i="23"/>
  <c r="AG671" i="23"/>
  <c r="AH671" i="23"/>
  <c r="AI671" i="23"/>
  <c r="AJ671" i="23"/>
  <c r="AK671" i="23"/>
  <c r="AL671" i="23"/>
  <c r="AM671" i="23"/>
  <c r="AN671" i="23"/>
  <c r="AA673" i="23"/>
  <c r="AC673" i="23"/>
  <c r="AD673" i="23"/>
  <c r="AE673" i="23"/>
  <c r="AF673" i="23"/>
  <c r="AG673" i="23"/>
  <c r="AH673" i="23"/>
  <c r="AI673" i="23"/>
  <c r="AJ673" i="23"/>
  <c r="AK673" i="23"/>
  <c r="AL673" i="23"/>
  <c r="AM673" i="23"/>
  <c r="AN673" i="23"/>
  <c r="AA674" i="23"/>
  <c r="AE674" i="23"/>
  <c r="AF674" i="23"/>
  <c r="AG674" i="23"/>
  <c r="AH674" i="23"/>
  <c r="AI674" i="23"/>
  <c r="AJ674" i="23"/>
  <c r="AK674" i="23"/>
  <c r="AL674" i="23"/>
  <c r="AM674" i="23"/>
  <c r="AN674" i="23"/>
  <c r="AC675" i="23"/>
  <c r="AD675" i="23"/>
  <c r="AE675" i="23"/>
  <c r="AF675" i="23"/>
  <c r="AG675" i="23"/>
  <c r="AH675" i="23"/>
  <c r="AI675" i="23"/>
  <c r="AJ675" i="23"/>
  <c r="AK675" i="23"/>
  <c r="AL675" i="23"/>
  <c r="AM675" i="23"/>
  <c r="AN675" i="23"/>
  <c r="AA698" i="23"/>
  <c r="AC698" i="23"/>
  <c r="AD698" i="23"/>
  <c r="AE698" i="23"/>
  <c r="AF698" i="23"/>
  <c r="AG698" i="23"/>
  <c r="AH698" i="23"/>
  <c r="AI698" i="23"/>
  <c r="AJ698" i="23"/>
  <c r="AK698" i="23"/>
  <c r="AL698" i="23"/>
  <c r="AM698" i="23"/>
  <c r="AN698" i="23"/>
  <c r="J16" i="62"/>
  <c r="K16" i="62"/>
  <c r="L16" i="62"/>
  <c r="T16" i="62"/>
  <c r="U16" i="62"/>
  <c r="V16" i="62"/>
  <c r="J21" i="62"/>
  <c r="K21" i="62"/>
  <c r="L21" i="62"/>
  <c r="T21" i="62"/>
  <c r="U21" i="62"/>
  <c r="V21" i="62"/>
  <c r="J26" i="62"/>
  <c r="K26" i="62"/>
  <c r="L26" i="62"/>
  <c r="T26" i="62"/>
  <c r="U26" i="62"/>
  <c r="V26" i="62"/>
  <c r="J30" i="62"/>
  <c r="K30" i="62"/>
  <c r="L30" i="62"/>
  <c r="T30" i="62"/>
  <c r="U30" i="62"/>
  <c r="V30" i="62"/>
  <c r="J33" i="62"/>
  <c r="K33" i="62"/>
  <c r="L33" i="62"/>
  <c r="T33" i="62"/>
  <c r="U33" i="62"/>
  <c r="V33" i="62"/>
  <c r="I35" i="62"/>
  <c r="J35" i="62"/>
  <c r="K35" i="62"/>
  <c r="L35" i="62"/>
  <c r="S35" i="62"/>
  <c r="T35" i="62"/>
  <c r="U35" i="62"/>
  <c r="V35" i="62"/>
  <c r="I36" i="62"/>
  <c r="J36" i="62"/>
  <c r="K36" i="62"/>
  <c r="L36" i="62"/>
  <c r="S36" i="62"/>
  <c r="T36" i="62"/>
  <c r="U36" i="62"/>
  <c r="V36" i="62"/>
  <c r="H38" i="62"/>
  <c r="I38" i="62"/>
  <c r="J38" i="62"/>
  <c r="K38" i="62"/>
  <c r="L38" i="62"/>
  <c r="R38" i="62"/>
  <c r="S38" i="62"/>
  <c r="T38" i="62"/>
  <c r="U38" i="62"/>
  <c r="V38" i="62"/>
  <c r="H39" i="62"/>
  <c r="I39" i="62"/>
  <c r="J39" i="62"/>
  <c r="K39" i="62"/>
  <c r="L39" i="62"/>
  <c r="R39" i="62"/>
  <c r="S39" i="62"/>
  <c r="T39" i="62"/>
  <c r="U39" i="62"/>
  <c r="V39" i="62"/>
  <c r="I41" i="62"/>
  <c r="J41" i="62"/>
  <c r="K41" i="62"/>
  <c r="L41" i="62"/>
  <c r="S41" i="62"/>
  <c r="T41" i="62"/>
  <c r="U41" i="62"/>
  <c r="V41" i="62"/>
  <c r="I42" i="62"/>
  <c r="J42" i="62"/>
  <c r="K42" i="62"/>
  <c r="L42" i="62"/>
  <c r="S42" i="62"/>
  <c r="T42" i="62"/>
  <c r="U42" i="62"/>
  <c r="V42" i="62"/>
  <c r="H44" i="62"/>
  <c r="I44" i="62"/>
  <c r="J44" i="62"/>
  <c r="K44" i="62"/>
  <c r="L44" i="62"/>
  <c r="R44" i="62"/>
  <c r="S44" i="62"/>
  <c r="T44" i="62"/>
  <c r="U44" i="62"/>
  <c r="V44" i="62"/>
  <c r="H45" i="62"/>
  <c r="I45" i="62"/>
  <c r="J45" i="62"/>
  <c r="K45" i="62"/>
  <c r="L45" i="62"/>
  <c r="R45" i="62"/>
  <c r="S45" i="62"/>
  <c r="T45" i="62"/>
  <c r="U45" i="62"/>
  <c r="V45" i="62"/>
  <c r="H47" i="62"/>
  <c r="I47" i="62"/>
  <c r="J47" i="62"/>
  <c r="K47" i="62"/>
  <c r="L47" i="62"/>
  <c r="R47" i="62"/>
  <c r="S47" i="62"/>
  <c r="T47" i="62"/>
  <c r="U47" i="62"/>
  <c r="V47" i="62"/>
  <c r="H48" i="62"/>
  <c r="I48" i="62"/>
  <c r="J48" i="62"/>
  <c r="K48" i="62"/>
  <c r="L48" i="62"/>
  <c r="R48" i="62"/>
  <c r="S48" i="62"/>
  <c r="T48" i="62"/>
  <c r="U48" i="62"/>
  <c r="V48" i="62"/>
  <c r="J53" i="62"/>
  <c r="K53" i="62"/>
  <c r="L53" i="62"/>
  <c r="T53" i="62"/>
  <c r="U53" i="62"/>
  <c r="V53" i="62"/>
  <c r="I54" i="62"/>
  <c r="J54" i="62"/>
  <c r="K54" i="62"/>
  <c r="L54" i="62"/>
  <c r="S54" i="62"/>
  <c r="T54" i="62"/>
  <c r="U54" i="62"/>
  <c r="V54" i="62"/>
  <c r="I55" i="62"/>
  <c r="J55" i="62"/>
  <c r="K55" i="62"/>
  <c r="L55" i="62"/>
  <c r="S55" i="62"/>
  <c r="T55" i="62"/>
  <c r="U55" i="62"/>
  <c r="V55" i="62"/>
  <c r="I36" i="52"/>
  <c r="J36" i="52"/>
  <c r="K36" i="52"/>
  <c r="L36" i="52"/>
  <c r="M36" i="52"/>
  <c r="N36" i="52"/>
  <c r="O36" i="52"/>
  <c r="P36" i="52"/>
  <c r="Q36" i="52"/>
  <c r="R36" i="52"/>
  <c r="S36" i="52"/>
  <c r="T36" i="52"/>
  <c r="U36" i="52"/>
  <c r="V36" i="52"/>
  <c r="W36" i="52"/>
  <c r="X36" i="52"/>
  <c r="Y36" i="52"/>
  <c r="Z36" i="52"/>
  <c r="AA36" i="52"/>
  <c r="AB36" i="52"/>
  <c r="AC36" i="52"/>
  <c r="AD36" i="52"/>
  <c r="AE36" i="52"/>
  <c r="AF36" i="52"/>
  <c r="I40" i="52"/>
  <c r="J40" i="52"/>
  <c r="K40" i="52"/>
  <c r="L40" i="52"/>
  <c r="M40" i="52"/>
  <c r="N40" i="52"/>
  <c r="O40" i="52"/>
  <c r="P40" i="52"/>
  <c r="Q40" i="52"/>
  <c r="R40" i="52"/>
  <c r="S40" i="52"/>
  <c r="T40" i="52"/>
  <c r="U40" i="52"/>
  <c r="V40" i="52"/>
  <c r="W40" i="52"/>
  <c r="X40" i="52"/>
  <c r="Y40" i="52"/>
  <c r="Z40" i="52"/>
  <c r="AA40" i="52"/>
  <c r="AB40" i="52"/>
  <c r="AC40" i="52"/>
  <c r="AD40" i="52"/>
  <c r="AE40" i="52"/>
  <c r="AF40" i="52"/>
  <c r="I47" i="52"/>
  <c r="J47" i="52"/>
  <c r="K47" i="52"/>
  <c r="L47" i="52"/>
  <c r="M47" i="52"/>
  <c r="N47" i="52"/>
  <c r="O47" i="52"/>
  <c r="P47" i="52"/>
  <c r="Q47" i="52"/>
  <c r="R47" i="52"/>
  <c r="S47" i="52"/>
  <c r="T47" i="52"/>
  <c r="U47" i="52"/>
  <c r="V47" i="52"/>
  <c r="W47" i="52"/>
  <c r="X47" i="52"/>
  <c r="Y47" i="52"/>
  <c r="Z47" i="52"/>
  <c r="AA47" i="52"/>
  <c r="AB47" i="52"/>
  <c r="AC47" i="52"/>
  <c r="AD47" i="52"/>
  <c r="AE47" i="52"/>
  <c r="AF47" i="52"/>
  <c r="I48" i="52"/>
  <c r="J48" i="52"/>
  <c r="K48" i="52"/>
  <c r="L48" i="52"/>
  <c r="M48" i="52"/>
  <c r="N48" i="52"/>
  <c r="O48" i="52"/>
  <c r="P48" i="52"/>
  <c r="Q48" i="52"/>
  <c r="R48" i="52"/>
  <c r="S48" i="52"/>
  <c r="T48" i="52"/>
  <c r="U48" i="52"/>
  <c r="V48" i="52"/>
  <c r="W48" i="52"/>
  <c r="X48" i="52"/>
  <c r="Y48" i="52"/>
  <c r="Z48" i="52"/>
  <c r="AA48" i="52"/>
  <c r="AB48" i="52"/>
  <c r="AC48" i="52"/>
  <c r="AD48" i="52"/>
  <c r="AE48" i="52"/>
  <c r="AF48" i="52"/>
  <c r="I49" i="52"/>
  <c r="J49" i="52"/>
  <c r="K49" i="52"/>
  <c r="L49" i="52"/>
  <c r="M49" i="52"/>
  <c r="N49" i="52"/>
  <c r="O49" i="52"/>
  <c r="P49" i="52"/>
  <c r="Q49" i="52"/>
  <c r="R49" i="52"/>
  <c r="S49" i="52"/>
  <c r="T49" i="52"/>
  <c r="U49" i="52"/>
  <c r="V49" i="52"/>
  <c r="W49" i="52"/>
  <c r="X49" i="52"/>
  <c r="Y49" i="52"/>
  <c r="Z49" i="52"/>
  <c r="AA49" i="52"/>
  <c r="AB49" i="52"/>
  <c r="AC49" i="52"/>
  <c r="AD49" i="52"/>
  <c r="AE49" i="52"/>
  <c r="AF49" i="52"/>
  <c r="I50" i="52"/>
  <c r="J50" i="52"/>
  <c r="K50" i="52"/>
  <c r="L50" i="52"/>
  <c r="M50" i="52"/>
  <c r="N50" i="52"/>
  <c r="O50" i="52"/>
  <c r="P50" i="52"/>
  <c r="Q50" i="52"/>
  <c r="R50" i="52"/>
  <c r="S50" i="52"/>
  <c r="T50" i="52"/>
  <c r="U50" i="52"/>
  <c r="V50" i="52"/>
  <c r="W50" i="52"/>
  <c r="X50" i="52"/>
  <c r="Y50" i="52"/>
  <c r="Z50" i="52"/>
  <c r="AA50" i="52"/>
  <c r="AB50" i="52"/>
  <c r="AC50" i="52"/>
  <c r="AD50" i="52"/>
  <c r="AE50" i="52"/>
  <c r="AF50" i="52"/>
  <c r="I51" i="52"/>
  <c r="J51" i="52"/>
  <c r="K51" i="52"/>
  <c r="L51" i="52"/>
  <c r="M51" i="52"/>
  <c r="N51" i="52"/>
  <c r="O51" i="52"/>
  <c r="P51" i="52"/>
  <c r="Q51" i="52"/>
  <c r="R51" i="52"/>
  <c r="S51" i="52"/>
  <c r="T51" i="52"/>
  <c r="U51" i="52"/>
  <c r="V51" i="52"/>
  <c r="W51" i="52"/>
  <c r="X51" i="52"/>
  <c r="Y51" i="52"/>
  <c r="Z51" i="52"/>
  <c r="AA51" i="52"/>
  <c r="AB51" i="52"/>
  <c r="AC51" i="52"/>
  <c r="AD51" i="52"/>
  <c r="AE51" i="52"/>
  <c r="I53" i="52"/>
  <c r="J53" i="52"/>
  <c r="K53" i="52"/>
  <c r="L53" i="52"/>
  <c r="M53" i="52"/>
  <c r="N53" i="52"/>
  <c r="O53" i="52"/>
  <c r="P53" i="52"/>
  <c r="Q53" i="52"/>
  <c r="R53" i="52"/>
  <c r="S53" i="52"/>
  <c r="T53" i="52"/>
  <c r="U53" i="52"/>
  <c r="V53" i="52"/>
  <c r="W53" i="52"/>
  <c r="X53" i="52"/>
  <c r="Y53" i="52"/>
  <c r="Z53" i="52"/>
  <c r="AA53" i="52"/>
  <c r="AB53" i="52"/>
  <c r="AC53" i="52"/>
  <c r="AD53" i="52"/>
  <c r="AE53" i="52"/>
  <c r="AF53" i="52"/>
  <c r="I54" i="52"/>
  <c r="J54" i="52"/>
  <c r="K54" i="52"/>
  <c r="L54" i="52"/>
  <c r="M54" i="52"/>
  <c r="N54" i="52"/>
  <c r="O54" i="52"/>
  <c r="P54" i="52"/>
  <c r="Q54" i="52"/>
  <c r="R54" i="52"/>
  <c r="S54" i="52"/>
  <c r="T54" i="52"/>
  <c r="U54" i="52"/>
  <c r="V54" i="52"/>
  <c r="W54" i="52"/>
  <c r="X54" i="52"/>
  <c r="Y54" i="52"/>
  <c r="Z54" i="52"/>
  <c r="AA54" i="52"/>
  <c r="AB54" i="52"/>
  <c r="AC54" i="52"/>
  <c r="AD54" i="52"/>
  <c r="AE54" i="52"/>
  <c r="AF54" i="52"/>
  <c r="I55" i="52"/>
  <c r="J55" i="52"/>
  <c r="K55" i="52"/>
  <c r="L55" i="52"/>
  <c r="M55" i="52"/>
  <c r="N55" i="52"/>
  <c r="O55" i="52"/>
  <c r="P55" i="52"/>
  <c r="Q55" i="52"/>
  <c r="R55" i="52"/>
  <c r="S55" i="52"/>
  <c r="T55" i="52"/>
  <c r="U55" i="52"/>
  <c r="V55" i="52"/>
  <c r="W55" i="52"/>
  <c r="X55" i="52"/>
  <c r="Y55" i="52"/>
  <c r="Z55" i="52"/>
  <c r="AA55" i="52"/>
  <c r="AB55" i="52"/>
  <c r="AC55" i="52"/>
  <c r="AD55" i="52"/>
  <c r="AE55" i="52"/>
  <c r="AH39" i="25"/>
  <c r="AI39" i="25"/>
  <c r="AJ39" i="25"/>
  <c r="AK39" i="25"/>
  <c r="AL39" i="25"/>
  <c r="AM39" i="25"/>
  <c r="AN39" i="25"/>
  <c r="AO39" i="25"/>
  <c r="AP39" i="25"/>
  <c r="AQ39" i="25"/>
  <c r="AR39" i="25"/>
  <c r="AS39" i="25"/>
  <c r="AT39" i="25"/>
  <c r="AU39" i="25"/>
  <c r="AH40" i="25"/>
  <c r="AI40" i="25"/>
  <c r="AJ40" i="25"/>
  <c r="AK40" i="25"/>
  <c r="AL40" i="25"/>
  <c r="AM40" i="25"/>
  <c r="AN40" i="25"/>
  <c r="AO40" i="25"/>
  <c r="AP40" i="25"/>
  <c r="AQ40" i="25"/>
  <c r="AR40" i="25"/>
  <c r="AS40" i="25"/>
  <c r="AT40" i="25"/>
  <c r="AU40" i="25"/>
  <c r="AH41" i="25"/>
  <c r="AJ41" i="25"/>
  <c r="AK41" i="25"/>
  <c r="AL41" i="25"/>
  <c r="AM41" i="25"/>
  <c r="AN41" i="25"/>
  <c r="AO41" i="25"/>
  <c r="AP41" i="25"/>
  <c r="AQ41" i="25"/>
  <c r="AR41" i="25"/>
  <c r="AS41" i="25"/>
  <c r="AT41" i="25"/>
  <c r="AU41" i="25"/>
  <c r="AH42" i="25"/>
  <c r="AJ42" i="25"/>
  <c r="AK42" i="25"/>
  <c r="AL42" i="25"/>
  <c r="AM42" i="25"/>
  <c r="AN42" i="25"/>
  <c r="AO42" i="25"/>
  <c r="AP42" i="25"/>
  <c r="AQ42" i="25"/>
  <c r="AR42" i="25"/>
  <c r="AS42" i="25"/>
  <c r="AT42" i="25"/>
  <c r="AU42" i="25"/>
  <c r="AH43" i="25"/>
  <c r="AI43" i="25"/>
  <c r="AJ43" i="25"/>
  <c r="AK43" i="25"/>
  <c r="AL43" i="25"/>
  <c r="AM43" i="25"/>
  <c r="AN43" i="25"/>
  <c r="AO43" i="25"/>
  <c r="AP43" i="25"/>
  <c r="AQ43" i="25"/>
  <c r="AR43" i="25"/>
  <c r="AS43" i="25"/>
  <c r="AT43" i="25"/>
  <c r="AU43" i="25"/>
  <c r="AH44" i="25"/>
  <c r="AI44" i="25"/>
  <c r="AJ44" i="25"/>
  <c r="AK44" i="25"/>
  <c r="AL44" i="25"/>
  <c r="AM44" i="25"/>
  <c r="AN44" i="25"/>
  <c r="AO44" i="25"/>
  <c r="AP44" i="25"/>
  <c r="AQ44" i="25"/>
  <c r="AR44" i="25"/>
  <c r="AS44" i="25"/>
  <c r="AT44" i="25"/>
  <c r="AU44" i="25"/>
  <c r="AH45" i="25"/>
  <c r="AJ45" i="25"/>
  <c r="AK45" i="25"/>
  <c r="AL45" i="25"/>
  <c r="AM45" i="25"/>
  <c r="AN45" i="25"/>
  <c r="AO45" i="25"/>
  <c r="AP45" i="25"/>
  <c r="AQ45" i="25"/>
  <c r="AR45" i="25"/>
  <c r="AS45" i="25"/>
  <c r="AT45" i="25"/>
  <c r="AU45" i="25"/>
  <c r="AH46" i="25"/>
  <c r="AJ46" i="25"/>
  <c r="AK46" i="25"/>
  <c r="AL46" i="25"/>
  <c r="AM46" i="25"/>
  <c r="AN46" i="25"/>
  <c r="AO46" i="25"/>
  <c r="AP46" i="25"/>
  <c r="AQ46" i="25"/>
  <c r="AR46" i="25"/>
  <c r="AS46" i="25"/>
  <c r="AT46" i="25"/>
  <c r="AU46" i="25"/>
  <c r="AH57" i="25"/>
  <c r="AI57" i="25"/>
  <c r="AH58" i="25"/>
  <c r="AI58" i="25"/>
  <c r="AH59" i="25"/>
  <c r="AJ59" i="25"/>
  <c r="AH60" i="25"/>
  <c r="AH90" i="25"/>
  <c r="AI90" i="25"/>
  <c r="AJ90" i="25"/>
  <c r="AK90" i="25"/>
  <c r="AL90" i="25"/>
  <c r="AM90" i="25"/>
  <c r="AN90" i="25"/>
  <c r="AO90" i="25"/>
  <c r="AP90" i="25"/>
  <c r="AQ90" i="25"/>
  <c r="AR90" i="25"/>
  <c r="AS90" i="25"/>
  <c r="AT90" i="25"/>
  <c r="AU90" i="25"/>
  <c r="AH91" i="25"/>
  <c r="AI91" i="25"/>
  <c r="AJ91" i="25"/>
  <c r="AK91" i="25"/>
  <c r="AL91" i="25"/>
  <c r="AM91" i="25"/>
  <c r="AN91" i="25"/>
  <c r="AO91" i="25"/>
  <c r="AP91" i="25"/>
  <c r="AQ91" i="25"/>
  <c r="AR91" i="25"/>
  <c r="AS91" i="25"/>
  <c r="AT91" i="25"/>
  <c r="AU91" i="25"/>
  <c r="AH92" i="25"/>
  <c r="AJ92" i="25"/>
  <c r="AK92" i="25"/>
  <c r="AL92" i="25"/>
  <c r="AM92" i="25"/>
  <c r="AN92" i="25"/>
  <c r="AO92" i="25"/>
  <c r="AP92" i="25"/>
  <c r="AQ92" i="25"/>
  <c r="AR92" i="25"/>
  <c r="AS92" i="25"/>
  <c r="AT92" i="25"/>
  <c r="AU92" i="25"/>
  <c r="AH93" i="25"/>
  <c r="AI93" i="25"/>
  <c r="AJ93" i="25"/>
  <c r="AK93" i="25"/>
  <c r="AL93" i="25"/>
  <c r="AM93" i="25"/>
  <c r="AN93" i="25"/>
  <c r="AO93" i="25"/>
  <c r="AP93" i="25"/>
  <c r="AQ93" i="25"/>
  <c r="AR93" i="25"/>
  <c r="AS93" i="25"/>
  <c r="AT93" i="25"/>
  <c r="AU93" i="25"/>
  <c r="AH94" i="25"/>
  <c r="AI94" i="25"/>
  <c r="AJ94" i="25"/>
  <c r="AK94" i="25"/>
  <c r="AL94" i="25"/>
  <c r="AM94" i="25"/>
  <c r="AN94" i="25"/>
  <c r="AO94" i="25"/>
  <c r="AP94" i="25"/>
  <c r="AQ94" i="25"/>
  <c r="AR94" i="25"/>
  <c r="AS94" i="25"/>
  <c r="AT94" i="25"/>
  <c r="AU94" i="25"/>
  <c r="AH95" i="25"/>
  <c r="AJ95" i="25"/>
  <c r="AK95" i="25"/>
  <c r="AL95" i="25"/>
  <c r="AM95" i="25"/>
  <c r="AN95" i="25"/>
  <c r="AO95" i="25"/>
  <c r="AP95" i="25"/>
  <c r="AQ95" i="25"/>
  <c r="AR95" i="25"/>
  <c r="AS95" i="25"/>
  <c r="AT95" i="25"/>
  <c r="AU95" i="25"/>
  <c r="AH97" i="25"/>
  <c r="AI97" i="25"/>
  <c r="AJ97" i="25"/>
  <c r="AK97" i="25"/>
  <c r="AL97" i="25"/>
  <c r="AM97" i="25"/>
  <c r="AN97" i="25"/>
  <c r="AO97" i="25"/>
  <c r="AP97" i="25"/>
  <c r="AQ97" i="25"/>
  <c r="AR97" i="25"/>
  <c r="AS97" i="25"/>
  <c r="AT97" i="25"/>
  <c r="AU97" i="25"/>
  <c r="AH98" i="25"/>
  <c r="AJ98" i="25"/>
  <c r="AK98" i="25"/>
  <c r="AL98" i="25"/>
  <c r="AM98" i="25"/>
  <c r="AN98" i="25"/>
  <c r="AO98" i="25"/>
  <c r="AP98" i="25"/>
  <c r="AQ98" i="25"/>
  <c r="AR98" i="25"/>
  <c r="AS98" i="25"/>
  <c r="AT98" i="25"/>
  <c r="AU98" i="25"/>
  <c r="K159" i="73"/>
  <c r="K160" i="73"/>
  <c r="K161" i="73"/>
  <c r="K162" i="73"/>
  <c r="L164" i="73"/>
  <c r="M164" i="73"/>
  <c r="N164" i="73"/>
  <c r="O164" i="73"/>
  <c r="P164" i="73"/>
  <c r="Q164" i="73"/>
  <c r="R164" i="73"/>
  <c r="S164" i="73"/>
  <c r="T164" i="73"/>
  <c r="U164" i="73"/>
  <c r="V164" i="73"/>
  <c r="W164" i="73"/>
  <c r="BZ164" i="73"/>
  <c r="L165" i="73"/>
  <c r="M165" i="73"/>
  <c r="N165" i="73"/>
  <c r="O165" i="73"/>
  <c r="P165" i="73"/>
  <c r="Q165" i="73"/>
  <c r="R165" i="73"/>
  <c r="S165" i="73"/>
  <c r="T165" i="73"/>
  <c r="U165" i="73"/>
  <c r="V165" i="73"/>
  <c r="W165" i="73"/>
  <c r="BZ165" i="73"/>
  <c r="L166" i="73"/>
  <c r="M166" i="73"/>
  <c r="N166" i="73"/>
  <c r="O166" i="73"/>
  <c r="P166" i="73"/>
  <c r="Q166" i="73"/>
  <c r="R166" i="73"/>
  <c r="S166" i="73"/>
  <c r="T166" i="73"/>
  <c r="U166" i="73"/>
  <c r="V166" i="73"/>
  <c r="W166" i="73"/>
  <c r="BZ166" i="73"/>
  <c r="L167" i="73"/>
  <c r="M167" i="73"/>
  <c r="N167" i="73"/>
  <c r="O167" i="73"/>
  <c r="P167" i="73"/>
  <c r="Q167" i="73"/>
  <c r="R167" i="73"/>
  <c r="S167" i="73"/>
  <c r="T167" i="73"/>
  <c r="U167" i="73"/>
  <c r="V167" i="73"/>
  <c r="W167" i="73"/>
  <c r="BZ167" i="73"/>
  <c r="AC140" i="30"/>
  <c r="AD140" i="30"/>
  <c r="DB140" i="30"/>
  <c r="DC140" i="30"/>
  <c r="DG140" i="30"/>
  <c r="DH140" i="30"/>
  <c r="AC141" i="30"/>
  <c r="AD141" i="30"/>
  <c r="DB141" i="30"/>
  <c r="DG141" i="30"/>
  <c r="AC142" i="30"/>
  <c r="AD142" i="30"/>
  <c r="AE142" i="30"/>
  <c r="DB142" i="30"/>
  <c r="DG142" i="30"/>
  <c r="DL142" i="30"/>
  <c r="AC143" i="30"/>
  <c r="AD143" i="30"/>
  <c r="DB143" i="30"/>
  <c r="DC143" i="30"/>
  <c r="DG143" i="30"/>
  <c r="DH143" i="30"/>
  <c r="AC144" i="30"/>
  <c r="AD144" i="30"/>
  <c r="AE144" i="30"/>
  <c r="DB144" i="30"/>
  <c r="DG144" i="30"/>
  <c r="DL144" i="30"/>
  <c r="AM151" i="30"/>
  <c r="AN151" i="30"/>
  <c r="AO151" i="30"/>
  <c r="AP151" i="30"/>
  <c r="AQ151" i="30"/>
  <c r="AR151" i="30"/>
  <c r="AS151" i="30"/>
  <c r="AT151" i="30"/>
  <c r="AU151" i="30"/>
  <c r="AV151" i="30"/>
  <c r="AW151" i="30"/>
  <c r="AX151" i="30"/>
  <c r="AY151" i="30"/>
  <c r="AM152" i="30"/>
  <c r="AN152" i="30"/>
  <c r="AO152" i="30"/>
  <c r="AP152" i="30"/>
  <c r="AQ152" i="30"/>
  <c r="AR152" i="30"/>
  <c r="AS152" i="30"/>
  <c r="AT152" i="30"/>
  <c r="AU152" i="30"/>
  <c r="AV152" i="30"/>
  <c r="AW152" i="30"/>
  <c r="AX152" i="30"/>
  <c r="AY152" i="30"/>
  <c r="AM154" i="30"/>
  <c r="AN154" i="30"/>
  <c r="AO154" i="30"/>
  <c r="AP154" i="30"/>
  <c r="AQ154" i="30"/>
  <c r="AR154" i="30"/>
  <c r="AS154" i="30"/>
  <c r="AT154" i="30"/>
  <c r="AU154" i="30"/>
  <c r="AV154" i="30"/>
  <c r="AW154" i="30"/>
  <c r="AX154" i="30"/>
  <c r="AY154" i="30"/>
  <c r="AM158" i="30"/>
  <c r="AN158" i="30"/>
  <c r="AO158" i="30"/>
  <c r="AP158" i="30"/>
  <c r="AQ158" i="30"/>
  <c r="AR158" i="30"/>
  <c r="AS158" i="30"/>
  <c r="AT158" i="30"/>
  <c r="AU158" i="30"/>
  <c r="AV158" i="30"/>
  <c r="AW158" i="30"/>
  <c r="AX158" i="30"/>
  <c r="AY158" i="30"/>
  <c r="AM163" i="30"/>
  <c r="AN163" i="30"/>
  <c r="AO163" i="30"/>
  <c r="AP163" i="30"/>
  <c r="AQ163" i="30"/>
  <c r="AR163" i="30"/>
  <c r="AS163" i="30"/>
  <c r="AT163" i="30"/>
  <c r="AU163" i="30"/>
  <c r="AV163" i="30"/>
  <c r="AW163" i="30"/>
  <c r="AX163" i="30"/>
  <c r="AY163" i="30"/>
  <c r="AM179" i="30"/>
  <c r="AM180" i="30"/>
  <c r="AN180" i="30"/>
  <c r="AM181" i="30"/>
  <c r="AM182" i="30"/>
  <c r="AM195" i="30"/>
  <c r="AN195" i="30"/>
  <c r="AO195" i="30"/>
  <c r="AP195" i="30"/>
  <c r="AQ195" i="30"/>
  <c r="AR195" i="30"/>
  <c r="AS195" i="30"/>
  <c r="AT195" i="30"/>
  <c r="AU195" i="30"/>
  <c r="AV195" i="30"/>
  <c r="AW195" i="30"/>
  <c r="AX195" i="30"/>
  <c r="AY195" i="30"/>
  <c r="EW195" i="30"/>
  <c r="EX195" i="30"/>
  <c r="EY195" i="30"/>
  <c r="EZ195" i="30"/>
  <c r="FA195" i="30"/>
  <c r="FE195" i="30"/>
  <c r="FJ195" i="30"/>
  <c r="FK195" i="30"/>
  <c r="AM198" i="30"/>
  <c r="AN198" i="30"/>
  <c r="AO198" i="30"/>
  <c r="AP198" i="30"/>
  <c r="AQ198" i="30"/>
  <c r="AR198" i="30"/>
  <c r="AS198" i="30"/>
  <c r="AT198" i="30"/>
  <c r="AU198" i="30"/>
  <c r="AV198" i="30"/>
  <c r="AW198" i="30"/>
  <c r="AX198" i="30"/>
  <c r="AY198" i="30"/>
  <c r="EW198" i="30"/>
  <c r="EX198" i="30"/>
  <c r="EY198" i="30"/>
  <c r="EZ198" i="30"/>
  <c r="FA198" i="30"/>
  <c r="FE198" i="30"/>
  <c r="FJ198" i="30"/>
  <c r="FK198" i="30"/>
  <c r="AM199" i="30"/>
  <c r="AN199" i="30"/>
  <c r="AO199" i="30"/>
  <c r="AP199" i="30"/>
  <c r="AQ199" i="30"/>
  <c r="AR199" i="30"/>
  <c r="AS199" i="30"/>
  <c r="AT199" i="30"/>
  <c r="AU199" i="30"/>
  <c r="AV199" i="30"/>
  <c r="AW199" i="30"/>
  <c r="AX199" i="30"/>
  <c r="AY199" i="30"/>
  <c r="EW199" i="30"/>
  <c r="EX199" i="30"/>
  <c r="EY199" i="30"/>
  <c r="EZ199" i="30"/>
  <c r="FA199" i="30"/>
  <c r="FE199" i="30"/>
  <c r="FJ199" i="30"/>
  <c r="FK199" i="30"/>
  <c r="AM207" i="30"/>
  <c r="EW207" i="30"/>
  <c r="EX207" i="30"/>
  <c r="EY207" i="30"/>
  <c r="EZ207" i="30"/>
  <c r="FA207" i="30"/>
  <c r="AM208" i="30"/>
  <c r="EW208" i="30"/>
  <c r="EX208" i="30"/>
  <c r="EY208" i="30"/>
  <c r="EZ208" i="30"/>
  <c r="FA208" i="30"/>
  <c r="EW209" i="30"/>
  <c r="EX209" i="30"/>
  <c r="EY209" i="30"/>
  <c r="EZ209" i="30"/>
  <c r="FA209" i="30"/>
  <c r="AM211" i="30"/>
  <c r="AN211" i="30"/>
  <c r="AO211" i="30"/>
  <c r="AP211" i="30"/>
  <c r="AQ211" i="30"/>
  <c r="AR211" i="30"/>
  <c r="AS211" i="30"/>
  <c r="AT211" i="30"/>
  <c r="AU211" i="30"/>
  <c r="AV211" i="30"/>
  <c r="AW211" i="30"/>
  <c r="AX211" i="30"/>
  <c r="AY211" i="30"/>
  <c r="FA211" i="30"/>
  <c r="FE211" i="30"/>
  <c r="FJ211" i="30"/>
  <c r="FK211" i="30"/>
  <c r="R26" i="20"/>
  <c r="S26" i="20"/>
  <c r="CR26" i="20"/>
  <c r="CS26" i="20"/>
  <c r="CW26" i="20"/>
  <c r="CX26" i="20"/>
  <c r="R27" i="20"/>
  <c r="S27" i="20"/>
  <c r="CR27" i="20"/>
  <c r="CS27" i="20"/>
  <c r="CW27" i="20"/>
  <c r="CX27" i="20"/>
  <c r="R28" i="20"/>
  <c r="S28" i="20"/>
  <c r="CR28" i="20"/>
  <c r="CS28" i="20"/>
  <c r="CW28" i="20"/>
  <c r="CX28" i="20"/>
  <c r="R29" i="20"/>
  <c r="S29" i="20"/>
  <c r="CR29" i="20"/>
  <c r="CW29" i="20"/>
  <c r="R30" i="20"/>
  <c r="S30" i="20"/>
  <c r="T30" i="20"/>
  <c r="CR30" i="20"/>
  <c r="CW30" i="20"/>
  <c r="DB30" i="20"/>
  <c r="AB32" i="20"/>
  <c r="AC32" i="20"/>
  <c r="AD32" i="20"/>
  <c r="AE32" i="20"/>
  <c r="AF32" i="20"/>
  <c r="AG32" i="20"/>
  <c r="AH32" i="20"/>
  <c r="AI32" i="20"/>
  <c r="AJ32" i="20"/>
  <c r="AK32" i="20"/>
  <c r="AL32" i="20"/>
  <c r="AM32" i="20"/>
  <c r="AN32" i="20"/>
  <c r="AB33" i="20"/>
  <c r="AC33" i="20"/>
  <c r="AD33" i="20"/>
  <c r="AE33" i="20"/>
  <c r="AF33" i="20"/>
  <c r="AG33" i="20"/>
  <c r="AH33" i="20"/>
  <c r="AI33" i="20"/>
  <c r="AJ33" i="20"/>
  <c r="AK33" i="20"/>
  <c r="AL33" i="20"/>
  <c r="AM33" i="20"/>
  <c r="AN33" i="20"/>
  <c r="R35" i="20"/>
  <c r="S35" i="20"/>
  <c r="AB35" i="20"/>
  <c r="AC35" i="20"/>
  <c r="AD35" i="20"/>
  <c r="AE35" i="20"/>
  <c r="AF35" i="20"/>
  <c r="AG35" i="20"/>
  <c r="AH35" i="20"/>
  <c r="AI35" i="20"/>
  <c r="AJ35" i="20"/>
  <c r="AK35" i="20"/>
  <c r="AL35" i="20"/>
  <c r="AM35" i="20"/>
  <c r="AN35" i="20"/>
  <c r="R36" i="20"/>
  <c r="S36" i="20"/>
  <c r="AB36" i="20"/>
  <c r="AC36" i="20"/>
  <c r="AD36" i="20"/>
  <c r="AE36" i="20"/>
  <c r="AF36" i="20"/>
  <c r="AG36" i="20"/>
  <c r="AH36" i="20"/>
  <c r="AI36" i="20"/>
  <c r="AJ36" i="20"/>
  <c r="AK36" i="20"/>
  <c r="AL36" i="20"/>
  <c r="AM36" i="20"/>
  <c r="AN36" i="20"/>
  <c r="R37" i="20"/>
  <c r="S37" i="20"/>
  <c r="T37" i="20"/>
  <c r="AB37" i="20"/>
  <c r="AC37" i="20"/>
  <c r="AD37" i="20"/>
  <c r="AE37" i="20"/>
  <c r="AF37" i="20"/>
  <c r="AG37" i="20"/>
  <c r="AH37" i="20"/>
  <c r="AI37" i="20"/>
  <c r="AJ37" i="20"/>
  <c r="AK37" i="20"/>
  <c r="AL37" i="20"/>
  <c r="AM37" i="20"/>
  <c r="AN37" i="20"/>
  <c r="R41" i="20"/>
  <c r="S41" i="20"/>
  <c r="AB41" i="20"/>
  <c r="AC41" i="20"/>
  <c r="AD41" i="20"/>
  <c r="AE41" i="20"/>
  <c r="AF41" i="20"/>
  <c r="AG41" i="20"/>
  <c r="AH41" i="20"/>
  <c r="AI41" i="20"/>
  <c r="AJ41" i="20"/>
  <c r="AK41" i="20"/>
  <c r="AL41" i="20"/>
  <c r="AM41" i="20"/>
  <c r="AN41" i="20"/>
  <c r="R43" i="20"/>
  <c r="S43" i="20"/>
  <c r="AB43" i="20"/>
  <c r="AC43" i="20"/>
  <c r="AD43" i="20"/>
  <c r="AE43" i="20"/>
  <c r="AF43" i="20"/>
  <c r="AG43" i="20"/>
  <c r="AH43" i="20"/>
  <c r="AI43" i="20"/>
  <c r="AJ43" i="20"/>
  <c r="AK43" i="20"/>
  <c r="AL43" i="20"/>
  <c r="AM43" i="20"/>
  <c r="AN43" i="20"/>
  <c r="R44" i="20"/>
  <c r="S44" i="20"/>
  <c r="AB44" i="20"/>
  <c r="AC44" i="20"/>
  <c r="AD44" i="20"/>
  <c r="AE44" i="20"/>
  <c r="AF44" i="20"/>
  <c r="AG44" i="20"/>
  <c r="AH44" i="20"/>
  <c r="AI44" i="20"/>
  <c r="AJ44" i="20"/>
  <c r="AK44" i="20"/>
  <c r="AL44" i="20"/>
  <c r="AM44" i="20"/>
  <c r="AN44" i="20"/>
  <c r="Q87" i="20"/>
  <c r="R87" i="20"/>
  <c r="S87" i="20"/>
  <c r="T87" i="20"/>
  <c r="U87" i="20"/>
  <c r="V87" i="20"/>
  <c r="W87" i="20"/>
  <c r="X87" i="20"/>
  <c r="Y87" i="20"/>
  <c r="Z87" i="20"/>
  <c r="AA87" i="20"/>
  <c r="AB87" i="20"/>
  <c r="AC87" i="20"/>
  <c r="AD87" i="20"/>
  <c r="AE87" i="20"/>
  <c r="AF87" i="20"/>
  <c r="AG87" i="20"/>
  <c r="AH87" i="20"/>
  <c r="AI87" i="20"/>
  <c r="AJ87" i="20"/>
  <c r="AK87" i="20"/>
  <c r="AL87" i="20"/>
  <c r="AM87" i="20"/>
  <c r="AN87" i="20"/>
  <c r="Q91" i="20"/>
  <c r="R91" i="20"/>
  <c r="S91" i="20"/>
  <c r="T91" i="20"/>
  <c r="U91" i="20"/>
  <c r="V91" i="20"/>
  <c r="W91" i="20"/>
  <c r="X91" i="20"/>
  <c r="Y91" i="20"/>
  <c r="Z91" i="20"/>
  <c r="AA91" i="20"/>
  <c r="AB91" i="20"/>
  <c r="AC91" i="20"/>
  <c r="AD91" i="20"/>
  <c r="AE91" i="20"/>
  <c r="AF91" i="20"/>
  <c r="AG91" i="20"/>
  <c r="AH91" i="20"/>
  <c r="AI91" i="20"/>
  <c r="AJ91" i="20"/>
  <c r="AK91" i="20"/>
  <c r="AL91" i="20"/>
  <c r="AM91" i="20"/>
  <c r="AN91" i="20"/>
  <c r="Q95" i="20"/>
  <c r="R95" i="20"/>
  <c r="S95" i="20"/>
  <c r="T95" i="20"/>
  <c r="U95" i="20"/>
  <c r="V95" i="20"/>
  <c r="W95" i="20"/>
  <c r="X95" i="20"/>
  <c r="Y95" i="20"/>
  <c r="Z95" i="20"/>
  <c r="AA95" i="20"/>
  <c r="AB95" i="20"/>
  <c r="AC95" i="20"/>
  <c r="AD95" i="20"/>
  <c r="AE95" i="20"/>
  <c r="AF95" i="20"/>
  <c r="AG95" i="20"/>
  <c r="AH95" i="20"/>
  <c r="AI95" i="20"/>
  <c r="AJ95" i="20"/>
  <c r="AK95" i="20"/>
  <c r="AL95" i="20"/>
  <c r="AM95" i="20"/>
  <c r="AN95" i="20"/>
  <c r="Q98" i="20"/>
  <c r="R98" i="20"/>
  <c r="S98" i="20"/>
  <c r="T98" i="20"/>
  <c r="U98" i="20"/>
  <c r="V98" i="20"/>
  <c r="W98" i="20"/>
  <c r="X98" i="20"/>
  <c r="Y98" i="20"/>
  <c r="Z98" i="20"/>
  <c r="AA98" i="20"/>
  <c r="AB98" i="20"/>
  <c r="AC98" i="20"/>
  <c r="AD98" i="20"/>
  <c r="AE98" i="20"/>
  <c r="AF98" i="20"/>
  <c r="AG98" i="20"/>
  <c r="AH98" i="20"/>
  <c r="AI98" i="20"/>
  <c r="AJ98" i="20"/>
  <c r="AK98" i="20"/>
  <c r="AL98" i="20"/>
  <c r="AM98" i="20"/>
  <c r="AN98" i="20"/>
  <c r="Q99" i="20"/>
  <c r="R99" i="20"/>
  <c r="S99" i="20"/>
  <c r="T99" i="20"/>
  <c r="U99" i="20"/>
  <c r="V99" i="20"/>
  <c r="W99" i="20"/>
  <c r="X99" i="20"/>
  <c r="Y99" i="20"/>
  <c r="Z99" i="20"/>
  <c r="AA99" i="20"/>
  <c r="AB99" i="20"/>
  <c r="AC99" i="20"/>
  <c r="AD99" i="20"/>
  <c r="AE99" i="20"/>
  <c r="AF99" i="20"/>
  <c r="AG99" i="20"/>
  <c r="AH99" i="20"/>
  <c r="AI99" i="20"/>
  <c r="AJ99" i="20"/>
  <c r="AK99" i="20"/>
  <c r="AL99" i="20"/>
  <c r="AM99" i="20"/>
  <c r="AN99" i="20"/>
  <c r="Q100" i="20"/>
  <c r="R100" i="20"/>
  <c r="S100" i="20"/>
  <c r="T100" i="20"/>
  <c r="U100" i="20"/>
  <c r="V100" i="20"/>
  <c r="W100" i="20"/>
  <c r="X100" i="20"/>
  <c r="Y100" i="20"/>
  <c r="Z100" i="20"/>
  <c r="AA100" i="20"/>
  <c r="AB100" i="20"/>
  <c r="AC100" i="20"/>
  <c r="AD100" i="20"/>
  <c r="AE100" i="20"/>
  <c r="AF100" i="20"/>
  <c r="AG100" i="20"/>
  <c r="AH100" i="20"/>
  <c r="AI100" i="20"/>
  <c r="AJ100" i="20"/>
  <c r="AK100" i="20"/>
  <c r="AL100" i="20"/>
  <c r="AM100" i="20"/>
  <c r="AN100" i="20"/>
  <c r="Q101" i="20"/>
  <c r="R101" i="20"/>
  <c r="S101" i="20"/>
  <c r="T101" i="20"/>
  <c r="U101" i="20"/>
  <c r="V101" i="20"/>
  <c r="W101" i="20"/>
  <c r="X101" i="20"/>
  <c r="Y101" i="20"/>
  <c r="Z101" i="20"/>
  <c r="AA101" i="20"/>
  <c r="AB101" i="20"/>
  <c r="AC101" i="20"/>
  <c r="AD101" i="20"/>
  <c r="AE101" i="20"/>
  <c r="AF101" i="20"/>
  <c r="AG101" i="20"/>
  <c r="AH101" i="20"/>
  <c r="AI101" i="20"/>
  <c r="AJ101" i="20"/>
  <c r="AK101" i="20"/>
  <c r="AL101" i="20"/>
  <c r="AM101" i="20"/>
  <c r="AN101" i="20"/>
  <c r="Q102" i="20"/>
  <c r="R102" i="20"/>
  <c r="S102" i="20"/>
  <c r="T102" i="20"/>
  <c r="U102" i="20"/>
  <c r="V102" i="20"/>
  <c r="W102" i="20"/>
  <c r="X102" i="20"/>
  <c r="Y102" i="20"/>
  <c r="Z102" i="20"/>
  <c r="AA102" i="20"/>
  <c r="AB102" i="20"/>
  <c r="AC102" i="20"/>
  <c r="AD102" i="20"/>
  <c r="AE102" i="20"/>
  <c r="AF102" i="20"/>
  <c r="AG102" i="20"/>
  <c r="AH102" i="20"/>
  <c r="AI102" i="20"/>
  <c r="AJ102" i="20"/>
  <c r="AK102" i="20"/>
  <c r="AL102" i="20"/>
  <c r="AM102" i="20"/>
  <c r="AN102" i="20"/>
  <c r="Q103" i="20"/>
  <c r="R103" i="20"/>
  <c r="S103" i="20"/>
  <c r="T103" i="20"/>
  <c r="U103" i="20"/>
  <c r="V103" i="20"/>
  <c r="W103" i="20"/>
  <c r="X103" i="20"/>
  <c r="Y103" i="20"/>
  <c r="Z103" i="20"/>
  <c r="AA103" i="20"/>
  <c r="AB103" i="20"/>
  <c r="AC103" i="20"/>
  <c r="AD103" i="20"/>
  <c r="AE103" i="20"/>
  <c r="AF103" i="20"/>
  <c r="AG103" i="20"/>
  <c r="AH103" i="20"/>
  <c r="AI103" i="20"/>
  <c r="AJ103" i="20"/>
  <c r="AK103" i="20"/>
  <c r="AL103" i="20"/>
  <c r="AM103" i="20"/>
  <c r="Q105" i="20"/>
  <c r="R105" i="20"/>
  <c r="S105" i="20"/>
  <c r="T105" i="20"/>
  <c r="U105" i="20"/>
  <c r="V105" i="20"/>
  <c r="W105" i="20"/>
  <c r="X105" i="20"/>
  <c r="Y105" i="20"/>
  <c r="Z105" i="20"/>
  <c r="AA105" i="20"/>
  <c r="AB105" i="20"/>
  <c r="AC105" i="20"/>
  <c r="AD105" i="20"/>
  <c r="AE105" i="20"/>
  <c r="AF105" i="20"/>
  <c r="AG105" i="20"/>
  <c r="AH105" i="20"/>
  <c r="AI105" i="20"/>
  <c r="AJ105" i="20"/>
  <c r="AK105" i="20"/>
  <c r="AL105" i="20"/>
  <c r="AM105" i="20"/>
  <c r="AN105" i="20"/>
  <c r="Q106" i="20"/>
  <c r="R106" i="20"/>
  <c r="S106" i="20"/>
  <c r="T106" i="20"/>
  <c r="U106" i="20"/>
  <c r="V106" i="20"/>
  <c r="W106" i="20"/>
  <c r="X106" i="20"/>
  <c r="Y106" i="20"/>
  <c r="Z106" i="20"/>
  <c r="AA106" i="20"/>
  <c r="AB106" i="20"/>
  <c r="AC106" i="20"/>
  <c r="AD106" i="20"/>
  <c r="AE106" i="20"/>
  <c r="AF106" i="20"/>
  <c r="AG106" i="20"/>
  <c r="AH106" i="20"/>
  <c r="AI106" i="20"/>
  <c r="AJ106" i="20"/>
  <c r="AK106" i="20"/>
  <c r="AL106" i="20"/>
  <c r="AM106" i="20"/>
  <c r="AN106" i="20"/>
  <c r="Q107" i="20"/>
  <c r="R107" i="20"/>
  <c r="S107" i="20"/>
  <c r="T107" i="20"/>
  <c r="U107" i="20"/>
  <c r="V107" i="20"/>
  <c r="W107" i="20"/>
  <c r="X107" i="20"/>
  <c r="Y107" i="20"/>
  <c r="Z107" i="20"/>
  <c r="AA107" i="20"/>
  <c r="AB107" i="20"/>
  <c r="AC107" i="20"/>
  <c r="AD107" i="20"/>
  <c r="AE107" i="20"/>
  <c r="AF107" i="20"/>
  <c r="AG107" i="20"/>
  <c r="AH107" i="20"/>
  <c r="AI107" i="20"/>
  <c r="AJ107" i="20"/>
  <c r="AK107" i="20"/>
  <c r="AL107" i="20"/>
  <c r="AM107" i="20"/>
  <c r="R116" i="20"/>
  <c r="S116" i="20"/>
  <c r="CR116" i="20"/>
  <c r="CW116" i="20"/>
  <c r="R117" i="20"/>
  <c r="S117" i="20"/>
  <c r="CR117" i="20"/>
  <c r="CW117" i="20"/>
  <c r="AB181" i="20"/>
  <c r="AC181" i="20"/>
  <c r="AD181" i="20"/>
  <c r="AE181" i="20"/>
  <c r="AF181" i="20"/>
  <c r="AG181" i="20"/>
  <c r="AH181" i="20"/>
  <c r="AI181" i="20"/>
  <c r="AJ181" i="20"/>
  <c r="AK181" i="20"/>
  <c r="AL181" i="20"/>
  <c r="AM181" i="20"/>
  <c r="AN181" i="20"/>
  <c r="G68" i="38"/>
  <c r="H68" i="38"/>
  <c r="G69" i="38"/>
  <c r="H69" i="38"/>
  <c r="G70" i="38"/>
  <c r="H70" i="38"/>
  <c r="G72" i="38"/>
  <c r="H72" i="38"/>
  <c r="G73" i="38"/>
  <c r="H73" i="38"/>
  <c r="G82" i="38"/>
  <c r="H82" i="38"/>
  <c r="G83" i="38"/>
  <c r="H83" i="38"/>
  <c r="Q85" i="38"/>
  <c r="R85" i="38"/>
  <c r="S85" i="38"/>
  <c r="T85" i="38"/>
  <c r="U85" i="38"/>
  <c r="V85" i="38"/>
  <c r="W85" i="38"/>
  <c r="X85" i="38"/>
  <c r="Y85" i="38"/>
  <c r="Z85" i="38"/>
  <c r="AA85" i="38"/>
  <c r="AB85" i="38"/>
  <c r="AC85" i="38"/>
  <c r="Q86" i="38"/>
  <c r="R86" i="38"/>
  <c r="S86" i="38"/>
  <c r="T86" i="38"/>
  <c r="U86" i="38"/>
  <c r="V86" i="38"/>
  <c r="W86" i="38"/>
  <c r="X86" i="38"/>
  <c r="Y86" i="38"/>
  <c r="Z86" i="38"/>
  <c r="AA86" i="38"/>
  <c r="AB86" i="38"/>
  <c r="AC86" i="38"/>
  <c r="G88" i="38"/>
  <c r="H88" i="38"/>
  <c r="Q88" i="38"/>
  <c r="R88" i="38"/>
  <c r="S88" i="38"/>
  <c r="T88" i="38"/>
  <c r="U88" i="38"/>
  <c r="V88" i="38"/>
  <c r="W88" i="38"/>
  <c r="X88" i="38"/>
  <c r="Y88" i="38"/>
  <c r="Z88" i="38"/>
  <c r="AA88" i="38"/>
  <c r="AB88" i="38"/>
  <c r="AC88" i="38"/>
  <c r="G89" i="38"/>
  <c r="H89" i="38"/>
  <c r="Q89" i="38"/>
  <c r="R89" i="38"/>
  <c r="S89" i="38"/>
  <c r="T89" i="38"/>
  <c r="U89" i="38"/>
  <c r="V89" i="38"/>
  <c r="W89" i="38"/>
  <c r="X89" i="38"/>
  <c r="Y89" i="38"/>
  <c r="Z89" i="38"/>
  <c r="AA89" i="38"/>
  <c r="AB89" i="38"/>
  <c r="AC89" i="38"/>
  <c r="Q91" i="38"/>
  <c r="R91" i="38"/>
  <c r="S91" i="38"/>
  <c r="T91" i="38"/>
  <c r="U91" i="38"/>
  <c r="V91" i="38"/>
  <c r="W91" i="38"/>
  <c r="X91" i="38"/>
  <c r="Y91" i="38"/>
  <c r="Z91" i="38"/>
  <c r="AA91" i="38"/>
  <c r="AB91" i="38"/>
  <c r="AC91" i="38"/>
  <c r="Q92" i="38"/>
  <c r="R92" i="38"/>
  <c r="S92" i="38"/>
  <c r="T92" i="38"/>
  <c r="U92" i="38"/>
  <c r="V92" i="38"/>
  <c r="W92" i="38"/>
  <c r="X92" i="38"/>
  <c r="Y92" i="38"/>
  <c r="Z92" i="38"/>
  <c r="AA92" i="38"/>
  <c r="AB92" i="38"/>
  <c r="AC92" i="38"/>
  <c r="Q93" i="38"/>
  <c r="G94" i="38"/>
  <c r="H94" i="38"/>
  <c r="Q94" i="38"/>
  <c r="R94" i="38"/>
  <c r="S94" i="38"/>
  <c r="T94" i="38"/>
  <c r="U94" i="38"/>
  <c r="V94" i="38"/>
  <c r="W94" i="38"/>
  <c r="X94" i="38"/>
  <c r="Y94" i="38"/>
  <c r="Z94" i="38"/>
  <c r="AA94" i="38"/>
  <c r="AB94" i="38"/>
  <c r="AC94" i="38"/>
  <c r="G96" i="38"/>
  <c r="H96" i="38"/>
  <c r="Q96" i="38"/>
  <c r="R96" i="38"/>
  <c r="S96" i="38"/>
  <c r="T96" i="38"/>
  <c r="U96" i="38"/>
  <c r="V96" i="38"/>
  <c r="W96" i="38"/>
  <c r="X96" i="38"/>
  <c r="Y96" i="38"/>
  <c r="Z96" i="38"/>
  <c r="AA96" i="38"/>
  <c r="AB96" i="38"/>
  <c r="AC96" i="38"/>
  <c r="G97" i="38"/>
  <c r="H97" i="38"/>
  <c r="Q97" i="38"/>
  <c r="R97" i="38"/>
  <c r="S97" i="38"/>
  <c r="T97" i="38"/>
  <c r="U97" i="38"/>
  <c r="V97" i="38"/>
  <c r="W97" i="38"/>
  <c r="X97" i="38"/>
  <c r="Y97" i="38"/>
  <c r="Z97" i="38"/>
  <c r="AA97" i="38"/>
  <c r="AB97" i="38"/>
  <c r="AC97" i="38"/>
  <c r="F101" i="38"/>
  <c r="G101" i="38"/>
  <c r="H101" i="38"/>
  <c r="I101" i="38"/>
  <c r="J101" i="38"/>
  <c r="K101" i="38"/>
  <c r="L101" i="38"/>
  <c r="M101" i="38"/>
  <c r="N101" i="38"/>
  <c r="O101" i="38"/>
  <c r="P101" i="38"/>
  <c r="Q101" i="38"/>
  <c r="R101" i="38"/>
  <c r="S101" i="38"/>
  <c r="T101" i="38"/>
  <c r="U101" i="38"/>
  <c r="V101" i="38"/>
  <c r="W101" i="38"/>
  <c r="X101" i="38"/>
  <c r="Y101" i="38"/>
  <c r="Z101" i="38"/>
  <c r="AA101" i="38"/>
  <c r="AB101" i="38"/>
  <c r="AC101" i="38"/>
  <c r="F105" i="38"/>
  <c r="G105" i="38"/>
  <c r="H105" i="38"/>
  <c r="I105" i="38"/>
  <c r="J105" i="38"/>
  <c r="K105" i="38"/>
  <c r="L105" i="38"/>
  <c r="M105" i="38"/>
  <c r="N105" i="38"/>
  <c r="O105" i="38"/>
  <c r="P105" i="38"/>
  <c r="Q105" i="38"/>
  <c r="R105" i="38"/>
  <c r="S105" i="38"/>
  <c r="T105" i="38"/>
  <c r="U105" i="38"/>
  <c r="V105" i="38"/>
  <c r="W105" i="38"/>
  <c r="X105" i="38"/>
  <c r="Y105" i="38"/>
  <c r="Z105" i="38"/>
  <c r="AA105" i="38"/>
  <c r="AB105" i="38"/>
  <c r="AC105" i="38"/>
  <c r="F109" i="38"/>
  <c r="G109" i="38"/>
  <c r="H109" i="38"/>
  <c r="I109" i="38"/>
  <c r="J109" i="38"/>
  <c r="K109" i="38"/>
  <c r="L109" i="38"/>
  <c r="M109" i="38"/>
  <c r="N109" i="38"/>
  <c r="O109" i="38"/>
  <c r="P109" i="38"/>
  <c r="Q109" i="38"/>
  <c r="R109" i="38"/>
  <c r="S109" i="38"/>
  <c r="T109" i="38"/>
  <c r="U109" i="38"/>
  <c r="V109" i="38"/>
  <c r="W109" i="38"/>
  <c r="X109" i="38"/>
  <c r="Y109" i="38"/>
  <c r="Z109" i="38"/>
  <c r="AA109" i="38"/>
  <c r="AB109" i="38"/>
  <c r="AC109" i="38"/>
  <c r="F110" i="38"/>
  <c r="G110" i="38"/>
  <c r="H110" i="38"/>
  <c r="I110" i="38"/>
  <c r="J110" i="38"/>
  <c r="K110" i="38"/>
  <c r="L110" i="38"/>
  <c r="M110" i="38"/>
  <c r="N110" i="38"/>
  <c r="O110" i="38"/>
  <c r="P110" i="38"/>
  <c r="Q110" i="38"/>
  <c r="R110" i="38"/>
  <c r="S110" i="38"/>
  <c r="T110" i="38"/>
  <c r="U110" i="38"/>
  <c r="V110" i="38"/>
  <c r="W110" i="38"/>
  <c r="X110" i="38"/>
  <c r="Y110" i="38"/>
  <c r="Z110" i="38"/>
  <c r="AA110" i="38"/>
  <c r="AB110" i="38"/>
  <c r="AC110" i="38"/>
  <c r="F112" i="38"/>
  <c r="G112" i="38"/>
  <c r="H112" i="38"/>
  <c r="I112" i="38"/>
  <c r="J112" i="38"/>
  <c r="K112" i="38"/>
  <c r="L112" i="38"/>
  <c r="M112" i="38"/>
  <c r="N112" i="38"/>
  <c r="O112" i="38"/>
  <c r="P112" i="38"/>
  <c r="Q112" i="38"/>
  <c r="R112" i="38"/>
  <c r="S112" i="38"/>
  <c r="T112" i="38"/>
  <c r="U112" i="38"/>
  <c r="V112" i="38"/>
  <c r="W112" i="38"/>
  <c r="X112" i="38"/>
  <c r="Y112" i="38"/>
  <c r="Z112" i="38"/>
  <c r="AA112" i="38"/>
  <c r="AB112" i="38"/>
  <c r="AC112" i="38"/>
  <c r="F113" i="38"/>
  <c r="G113" i="38"/>
  <c r="H113" i="38"/>
  <c r="I113" i="38"/>
  <c r="J113" i="38"/>
  <c r="K113" i="38"/>
  <c r="L113" i="38"/>
  <c r="M113" i="38"/>
  <c r="N113" i="38"/>
  <c r="O113" i="38"/>
  <c r="P113" i="38"/>
  <c r="Q113" i="38"/>
  <c r="R113" i="38"/>
  <c r="S113" i="38"/>
  <c r="T113" i="38"/>
  <c r="U113" i="38"/>
  <c r="V113" i="38"/>
  <c r="W113" i="38"/>
  <c r="X113" i="38"/>
  <c r="Y113" i="38"/>
  <c r="Z113" i="38"/>
  <c r="AA113" i="38"/>
  <c r="AB113" i="38"/>
  <c r="AC113" i="38"/>
  <c r="F114" i="38"/>
  <c r="G114" i="38"/>
  <c r="H114" i="38"/>
  <c r="I114" i="38"/>
  <c r="J114" i="38"/>
  <c r="K114" i="38"/>
  <c r="L114" i="38"/>
  <c r="M114" i="38"/>
  <c r="N114" i="38"/>
  <c r="O114" i="38"/>
  <c r="P114" i="38"/>
  <c r="Q114" i="38"/>
  <c r="R114" i="38"/>
  <c r="S114" i="38"/>
  <c r="T114" i="38"/>
  <c r="U114" i="38"/>
  <c r="V114" i="38"/>
  <c r="W114" i="38"/>
  <c r="X114" i="38"/>
  <c r="Y114" i="38"/>
  <c r="Z114" i="38"/>
  <c r="AA114" i="38"/>
  <c r="AB114" i="38"/>
  <c r="AC114" i="38"/>
  <c r="F115" i="38"/>
  <c r="G115" i="38"/>
  <c r="H115" i="38"/>
  <c r="I115" i="38"/>
  <c r="J115" i="38"/>
  <c r="K115" i="38"/>
  <c r="L115" i="38"/>
  <c r="M115" i="38"/>
  <c r="N115" i="38"/>
  <c r="O115" i="38"/>
  <c r="P115" i="38"/>
  <c r="Q115" i="38"/>
  <c r="R115" i="38"/>
  <c r="S115" i="38"/>
  <c r="T115" i="38"/>
  <c r="U115" i="38"/>
  <c r="V115" i="38"/>
  <c r="W115" i="38"/>
  <c r="X115" i="38"/>
  <c r="Y115" i="38"/>
  <c r="Z115" i="38"/>
  <c r="AA115" i="38"/>
  <c r="AB115" i="38"/>
  <c r="AC115" i="38"/>
  <c r="F116" i="38"/>
  <c r="G116" i="38"/>
  <c r="H116" i="38"/>
  <c r="I116" i="38"/>
  <c r="J116" i="38"/>
  <c r="K116" i="38"/>
  <c r="L116" i="38"/>
  <c r="M116" i="38"/>
  <c r="N116" i="38"/>
  <c r="O116" i="38"/>
  <c r="P116" i="38"/>
  <c r="Q116" i="38"/>
  <c r="R116" i="38"/>
  <c r="S116" i="38"/>
  <c r="T116" i="38"/>
  <c r="U116" i="38"/>
  <c r="V116" i="38"/>
  <c r="W116" i="38"/>
  <c r="X116" i="38"/>
  <c r="Y116" i="38"/>
  <c r="Z116" i="38"/>
  <c r="AA116" i="38"/>
  <c r="AB116" i="38"/>
  <c r="AC116" i="38"/>
  <c r="F117" i="38"/>
  <c r="G117" i="38"/>
  <c r="H117" i="38"/>
  <c r="I117" i="38"/>
  <c r="J117" i="38"/>
  <c r="K117" i="38"/>
  <c r="L117" i="38"/>
  <c r="M117" i="38"/>
  <c r="N117" i="38"/>
  <c r="O117" i="38"/>
  <c r="P117" i="38"/>
  <c r="Q117" i="38"/>
  <c r="R117" i="38"/>
  <c r="S117" i="38"/>
  <c r="T117" i="38"/>
  <c r="U117" i="38"/>
  <c r="V117" i="38"/>
  <c r="W117" i="38"/>
  <c r="X117" i="38"/>
  <c r="Y117" i="38"/>
  <c r="Z117" i="38"/>
  <c r="AA117" i="38"/>
  <c r="AB117" i="38"/>
  <c r="F119" i="38"/>
  <c r="G119" i="38"/>
  <c r="H119" i="38"/>
  <c r="I119" i="38"/>
  <c r="J119" i="38"/>
  <c r="K119" i="38"/>
  <c r="L119" i="38"/>
  <c r="M119" i="38"/>
  <c r="N119" i="38"/>
  <c r="O119" i="38"/>
  <c r="P119" i="38"/>
  <c r="Q119" i="38"/>
  <c r="R119" i="38"/>
  <c r="S119" i="38"/>
  <c r="T119" i="38"/>
  <c r="U119" i="38"/>
  <c r="V119" i="38"/>
  <c r="W119" i="38"/>
  <c r="X119" i="38"/>
  <c r="Y119" i="38"/>
  <c r="Z119" i="38"/>
  <c r="AA119" i="38"/>
  <c r="AB119" i="38"/>
  <c r="AC119" i="38"/>
  <c r="F120" i="38"/>
  <c r="G120" i="38"/>
  <c r="H120" i="38"/>
  <c r="I120" i="38"/>
  <c r="J120" i="38"/>
  <c r="K120" i="38"/>
  <c r="L120" i="38"/>
  <c r="M120" i="38"/>
  <c r="N120" i="38"/>
  <c r="O120" i="38"/>
  <c r="P120" i="38"/>
  <c r="Q120" i="38"/>
  <c r="R120" i="38"/>
  <c r="S120" i="38"/>
  <c r="T120" i="38"/>
  <c r="U120" i="38"/>
  <c r="V120" i="38"/>
  <c r="W120" i="38"/>
  <c r="X120" i="38"/>
  <c r="Y120" i="38"/>
  <c r="Z120" i="38"/>
  <c r="AA120" i="38"/>
  <c r="AB120" i="38"/>
  <c r="AC120" i="38"/>
  <c r="F121" i="38"/>
  <c r="G121" i="38"/>
  <c r="H121" i="38"/>
  <c r="I121" i="38"/>
  <c r="J121" i="38"/>
  <c r="K121" i="38"/>
  <c r="L121" i="38"/>
  <c r="M121" i="38"/>
  <c r="N121" i="38"/>
  <c r="O121" i="38"/>
  <c r="P121" i="38"/>
  <c r="Q121" i="38"/>
  <c r="R121" i="38"/>
  <c r="S121" i="38"/>
  <c r="T121" i="38"/>
  <c r="U121" i="38"/>
  <c r="V121" i="38"/>
  <c r="W121" i="38"/>
  <c r="X121" i="38"/>
  <c r="Y121" i="38"/>
  <c r="Z121" i="38"/>
  <c r="AA121" i="38"/>
  <c r="AB121" i="38"/>
</calcChain>
</file>

<file path=xl/comments1.xml><?xml version="1.0" encoding="utf-8"?>
<comments xmlns="http://schemas.openxmlformats.org/spreadsheetml/2006/main">
  <authors>
    <author>matheemi</author>
    <author>Ripps, Maria (Research)</author>
  </authors>
  <commentList>
    <comment ref="F23" authorId="0">
      <text>
        <r>
          <rPr>
            <b/>
            <sz val="8"/>
            <color indexed="81"/>
            <rFont val="Tahoma"/>
            <family val="2"/>
          </rPr>
          <t>matheemi:</t>
        </r>
        <r>
          <rPr>
            <sz val="8"/>
            <color indexed="81"/>
            <rFont val="Tahoma"/>
            <family val="2"/>
          </rPr>
          <t xml:space="preserve">
$100M for TVGN, assume $200M for investments in other cable networks</t>
        </r>
      </text>
    </comment>
    <comment ref="I23" authorId="1">
      <text>
        <r>
          <rPr>
            <b/>
            <sz val="9"/>
            <color indexed="81"/>
            <rFont val="Tahoma"/>
            <family val="2"/>
          </rPr>
          <t>Ripps, Maria (Research):</t>
        </r>
        <r>
          <rPr>
            <sz val="9"/>
            <color indexed="81"/>
            <rFont val="Tahoma"/>
            <family val="2"/>
          </rPr>
          <t xml:space="preserve">
Included 33% ownership of Network Ten</t>
        </r>
      </text>
    </comment>
    <comment ref="J23" authorId="1">
      <text>
        <r>
          <rPr>
            <b/>
            <sz val="9"/>
            <color indexed="81"/>
            <rFont val="Tahoma"/>
            <family val="2"/>
          </rPr>
          <t>Ripps, Maria (Research):</t>
        </r>
        <r>
          <rPr>
            <sz val="9"/>
            <color indexed="81"/>
            <rFont val="Tahoma"/>
            <family val="2"/>
          </rPr>
          <t xml:space="preserve">
Moved Network Ten to consolidated operations</t>
        </r>
      </text>
    </comment>
  </commentList>
</comments>
</file>

<file path=xl/comments2.xml><?xml version="1.0" encoding="utf-8"?>
<comments xmlns="http://schemas.openxmlformats.org/spreadsheetml/2006/main">
  <authors>
    <author>Ripps, Maria (Research)</author>
    <author>matheemi</author>
  </authors>
  <commentList>
    <comment ref="A13" authorId="0">
      <text>
        <r>
          <rPr>
            <b/>
            <sz val="9"/>
            <color indexed="81"/>
            <rFont val="Tahoma"/>
            <family val="2"/>
          </rPr>
          <t>Ripps, Maria (Research):</t>
        </r>
        <r>
          <rPr>
            <sz val="9"/>
            <color indexed="81"/>
            <rFont val="Tahoma"/>
            <family val="2"/>
          </rPr>
          <t xml:space="preserve">
This transaction adds Network Ten to CBS Corporation's global content and distribution portfolios. In addition to core linear channel TEN, the deal includes digital terrestrial television (DTT) channel ELEVEN, which CBS already had a stake in, as well as the DTT channel ONE and Network Ten's rapidly growing digital platform, TENPLAY</t>
        </r>
      </text>
    </comment>
    <comment ref="A20" authorId="1">
      <text>
        <r>
          <rPr>
            <b/>
            <sz val="8"/>
            <color indexed="81"/>
            <rFont val="Tahoma"/>
            <family val="2"/>
          </rPr>
          <t>matheemi:</t>
        </r>
        <r>
          <rPr>
            <sz val="8"/>
            <color indexed="81"/>
            <rFont val="Tahoma"/>
            <family val="2"/>
          </rPr>
          <t xml:space="preserve">
includes $100M for TVGN and $200M for assumed other cable nets</t>
        </r>
      </text>
    </comment>
    <comment ref="A388" authorId="0">
      <text>
        <r>
          <rPr>
            <b/>
            <sz val="9"/>
            <color indexed="81"/>
            <rFont val="Tahoma"/>
            <family val="2"/>
          </rPr>
          <t>Ripps, Maria (Research):</t>
        </r>
        <r>
          <rPr>
            <sz val="9"/>
            <color indexed="81"/>
            <rFont val="Tahoma"/>
            <family val="2"/>
          </rPr>
          <t xml:space="preserve">
This transaction adds Network Ten to CBS Corporation's global content and distribution portfolios. In addition to core linear channel TEN, the deal includes digital terrestrial television (DTT) channel ELEVEN, which CBS already had a stake in, as well as the DTT channel ONE and Network Ten's rapidly growing digital platform, TENPLAY</t>
        </r>
      </text>
    </comment>
  </commentList>
</comments>
</file>

<file path=xl/comments3.xml><?xml version="1.0" encoding="utf-8"?>
<comments xmlns="http://schemas.openxmlformats.org/spreadsheetml/2006/main">
  <authors>
    <author>farrantj</author>
    <author>krisbon</author>
    <author>Ripps, Maria (Research)</author>
    <author>svetlana</author>
    <author>haberlec</author>
    <author>Kristi Bonner</author>
    <author>hershk</author>
    <author>benswin</author>
    <author>Micah Nance</author>
    <author>fiftrya</author>
    <author>Khadilkar, Hersh S (Research)</author>
    <author>bilotti</author>
    <author>Chad Harris</author>
    <author>matheemi</author>
  </authors>
  <commentList>
    <comment ref="L5" authorId="0">
      <text>
        <r>
          <rPr>
            <b/>
            <sz val="8"/>
            <color indexed="81"/>
            <rFont val="Tahoma"/>
            <family val="2"/>
          </rPr>
          <t>farrantj:</t>
        </r>
        <r>
          <rPr>
            <sz val="8"/>
            <color indexed="81"/>
            <rFont val="Tahoma"/>
            <family val="2"/>
          </rPr>
          <t xml:space="preserve">
v 15159.5</t>
        </r>
      </text>
    </comment>
    <comment ref="M5" authorId="0">
      <text>
        <r>
          <rPr>
            <b/>
            <sz val="8"/>
            <color indexed="81"/>
            <rFont val="Tahoma"/>
            <family val="2"/>
          </rPr>
          <t>farrantj:</t>
        </r>
        <r>
          <rPr>
            <sz val="8"/>
            <color indexed="81"/>
            <rFont val="Tahoma"/>
            <family val="2"/>
          </rPr>
          <t xml:space="preserve">
v 15579.9</t>
        </r>
      </text>
    </comment>
    <comment ref="N5" authorId="0">
      <text>
        <r>
          <rPr>
            <b/>
            <sz val="8"/>
            <color indexed="81"/>
            <rFont val="Tahoma"/>
            <family val="2"/>
          </rPr>
          <t>farrantj:</t>
        </r>
        <r>
          <rPr>
            <sz val="8"/>
            <color indexed="81"/>
            <rFont val="Tahoma"/>
            <family val="2"/>
          </rPr>
          <t xml:space="preserve">
v 16267</t>
        </r>
      </text>
    </comment>
    <comment ref="CA6" authorId="1">
      <text>
        <r>
          <rPr>
            <b/>
            <sz val="8"/>
            <color indexed="81"/>
            <rFont val="Tahoma"/>
            <family val="2"/>
          </rPr>
          <t>krisbon:</t>
        </r>
        <r>
          <rPr>
            <sz val="8"/>
            <color indexed="81"/>
            <rFont val="Tahoma"/>
            <family val="2"/>
          </rPr>
          <t xml:space="preserve">
Superbowl</t>
        </r>
      </text>
    </comment>
    <comment ref="AA8" authorId="2">
      <text>
        <r>
          <rPr>
            <b/>
            <sz val="9"/>
            <color indexed="81"/>
            <rFont val="Tahoma"/>
            <family val="2"/>
          </rPr>
          <t>Ripps, Maria (Research):</t>
        </r>
        <r>
          <rPr>
            <sz val="9"/>
            <color indexed="81"/>
            <rFont val="Tahoma"/>
            <family val="2"/>
          </rPr>
          <t xml:space="preserve">
10K, radio as discontinued operations</t>
        </r>
      </text>
    </comment>
    <comment ref="CV8" authorId="2">
      <text>
        <r>
          <rPr>
            <b/>
            <sz val="9"/>
            <color indexed="81"/>
            <rFont val="Tahoma"/>
            <family val="2"/>
          </rPr>
          <t>Ripps, Maria (Research):</t>
        </r>
        <r>
          <rPr>
            <sz val="9"/>
            <color indexed="81"/>
            <rFont val="Tahoma"/>
            <family val="2"/>
          </rPr>
          <t xml:space="preserve">
10Q</t>
        </r>
      </text>
    </comment>
    <comment ref="CW8" authorId="2">
      <text>
        <r>
          <rPr>
            <b/>
            <sz val="9"/>
            <color indexed="81"/>
            <rFont val="Tahoma"/>
            <family val="2"/>
          </rPr>
          <t>Ripps, Maria (Research):</t>
        </r>
        <r>
          <rPr>
            <sz val="9"/>
            <color indexed="81"/>
            <rFont val="Tahoma"/>
            <family val="2"/>
          </rPr>
          <t xml:space="preserve">
10K</t>
        </r>
      </text>
    </comment>
    <comment ref="CY8" authorId="2">
      <text>
        <r>
          <rPr>
            <b/>
            <sz val="9"/>
            <color indexed="81"/>
            <rFont val="Tahoma"/>
            <family val="2"/>
          </rPr>
          <t>Ripps, Maria (Research):</t>
        </r>
        <r>
          <rPr>
            <sz val="9"/>
            <color indexed="81"/>
            <rFont val="Tahoma"/>
            <family val="2"/>
          </rPr>
          <t xml:space="preserve">
10Q</t>
        </r>
      </text>
    </comment>
    <comment ref="CZ8" authorId="2">
      <text>
        <r>
          <rPr>
            <b/>
            <sz val="9"/>
            <color indexed="81"/>
            <rFont val="Tahoma"/>
            <family val="2"/>
          </rPr>
          <t>Ripps, Maria (Research):</t>
        </r>
        <r>
          <rPr>
            <sz val="9"/>
            <color indexed="81"/>
            <rFont val="Tahoma"/>
            <family val="2"/>
          </rPr>
          <t xml:space="preserve">
10Q</t>
        </r>
      </text>
    </comment>
    <comment ref="DA8" authorId="2">
      <text>
        <r>
          <rPr>
            <b/>
            <sz val="9"/>
            <color indexed="81"/>
            <rFont val="Tahoma"/>
            <family val="2"/>
          </rPr>
          <t>Ripps, Maria (Research):</t>
        </r>
        <r>
          <rPr>
            <sz val="9"/>
            <color indexed="81"/>
            <rFont val="Tahoma"/>
            <family val="2"/>
          </rPr>
          <t xml:space="preserve">
10Q</t>
        </r>
      </text>
    </comment>
    <comment ref="DB8" authorId="2">
      <text>
        <r>
          <rPr>
            <b/>
            <sz val="9"/>
            <color indexed="81"/>
            <rFont val="Tahoma"/>
            <family val="2"/>
          </rPr>
          <t>Ripps, Maria (Research):</t>
        </r>
        <r>
          <rPr>
            <sz val="9"/>
            <color indexed="81"/>
            <rFont val="Tahoma"/>
            <family val="2"/>
          </rPr>
          <t xml:space="preserve">
10K</t>
        </r>
      </text>
    </comment>
    <comment ref="DD8" authorId="2">
      <text>
        <r>
          <rPr>
            <b/>
            <sz val="9"/>
            <color indexed="81"/>
            <rFont val="Tahoma"/>
            <family val="2"/>
          </rPr>
          <t>Ripps, Maria (Research):</t>
        </r>
        <r>
          <rPr>
            <sz val="9"/>
            <color indexed="81"/>
            <rFont val="Tahoma"/>
            <family val="2"/>
          </rPr>
          <t xml:space="preserve">
10Q</t>
        </r>
      </text>
    </comment>
    <comment ref="DE8" authorId="2">
      <text>
        <r>
          <rPr>
            <b/>
            <sz val="9"/>
            <color indexed="81"/>
            <rFont val="Tahoma"/>
            <family val="2"/>
          </rPr>
          <t>Ripps, Maria (Research):</t>
        </r>
        <r>
          <rPr>
            <sz val="9"/>
            <color indexed="81"/>
            <rFont val="Tahoma"/>
            <family val="2"/>
          </rPr>
          <t xml:space="preserve">
10Q
</t>
        </r>
      </text>
    </comment>
    <comment ref="DF8" authorId="2">
      <text>
        <r>
          <rPr>
            <b/>
            <sz val="9"/>
            <color indexed="81"/>
            <rFont val="Tahoma"/>
            <family val="2"/>
          </rPr>
          <t>Ripps, Maria (Research):</t>
        </r>
        <r>
          <rPr>
            <sz val="9"/>
            <color indexed="81"/>
            <rFont val="Tahoma"/>
            <family val="2"/>
          </rPr>
          <t xml:space="preserve">
10Q</t>
        </r>
      </text>
    </comment>
    <comment ref="DI8" authorId="2">
      <text>
        <r>
          <rPr>
            <b/>
            <sz val="9"/>
            <color indexed="81"/>
            <rFont val="Tahoma"/>
            <family val="2"/>
          </rPr>
          <t>Ripps, Maria (Research):</t>
        </r>
        <r>
          <rPr>
            <sz val="9"/>
            <color indexed="81"/>
            <rFont val="Tahoma"/>
            <family val="2"/>
          </rPr>
          <t xml:space="preserve">
10Q</t>
        </r>
      </text>
    </comment>
    <comment ref="DJ8" authorId="2">
      <text>
        <r>
          <rPr>
            <b/>
            <sz val="9"/>
            <color indexed="81"/>
            <rFont val="Tahoma"/>
            <family val="2"/>
          </rPr>
          <t>Ripps, Maria (Research):</t>
        </r>
        <r>
          <rPr>
            <sz val="9"/>
            <color indexed="81"/>
            <rFont val="Tahoma"/>
            <family val="2"/>
          </rPr>
          <t xml:space="preserve">
10Q</t>
        </r>
      </text>
    </comment>
    <comment ref="DK8" authorId="2">
      <text>
        <r>
          <rPr>
            <b/>
            <sz val="9"/>
            <color indexed="81"/>
            <rFont val="Tahoma"/>
            <family val="2"/>
          </rPr>
          <t>Ripps, Maria (Research):</t>
        </r>
        <r>
          <rPr>
            <sz val="9"/>
            <color indexed="81"/>
            <rFont val="Tahoma"/>
            <family val="2"/>
          </rPr>
          <t xml:space="preserve">
10Q</t>
        </r>
      </text>
    </comment>
    <comment ref="AA12" authorId="2">
      <text>
        <r>
          <rPr>
            <b/>
            <sz val="9"/>
            <color indexed="81"/>
            <rFont val="Tahoma"/>
            <family val="2"/>
          </rPr>
          <t>Ripps, Maria (Research):</t>
        </r>
        <r>
          <rPr>
            <sz val="9"/>
            <color indexed="81"/>
            <rFont val="Tahoma"/>
            <family val="2"/>
          </rPr>
          <t xml:space="preserve">
Reported for Q1-Q3, Q4 is MSe</t>
        </r>
      </text>
    </comment>
    <comment ref="AB12" authorId="2">
      <text>
        <r>
          <rPr>
            <b/>
            <sz val="9"/>
            <color indexed="81"/>
            <rFont val="Tahoma"/>
            <family val="2"/>
          </rPr>
          <t>Ripps, Maria (Research):</t>
        </r>
        <r>
          <rPr>
            <sz val="9"/>
            <color indexed="81"/>
            <rFont val="Tahoma"/>
            <family val="2"/>
          </rPr>
          <t xml:space="preserve">
SBC was $14.2M in '15, ~8.16% of total </t>
        </r>
      </text>
    </comment>
    <comment ref="J15" authorId="3">
      <text>
        <r>
          <rPr>
            <b/>
            <sz val="8"/>
            <color indexed="81"/>
            <rFont val="Tahoma"/>
            <family val="2"/>
          </rPr>
          <t>svetlana:</t>
        </r>
        <r>
          <rPr>
            <sz val="8"/>
            <color indexed="81"/>
            <rFont val="Tahoma"/>
            <family val="2"/>
          </rPr>
          <t xml:space="preserve">
The estimated $27.5m gain on the swap of radio stations </t>
        </r>
      </text>
    </comment>
    <comment ref="K15" authorId="3">
      <text>
        <r>
          <rPr>
            <b/>
            <sz val="8"/>
            <color indexed="81"/>
            <rFont val="Tahoma"/>
            <family val="2"/>
          </rPr>
          <t>svetlana:</t>
        </r>
        <r>
          <rPr>
            <sz val="8"/>
            <color indexed="81"/>
            <rFont val="Tahoma"/>
            <family val="2"/>
          </rPr>
          <t xml:space="preserve">
</t>
        </r>
        <r>
          <rPr>
            <u/>
            <sz val="8"/>
            <color indexed="81"/>
            <rFont val="Tahoma"/>
            <family val="2"/>
          </rPr>
          <t>Outdoor</t>
        </r>
        <r>
          <rPr>
            <sz val="8"/>
            <color indexed="81"/>
            <rFont val="Tahoma"/>
            <family val="2"/>
          </rPr>
          <t xml:space="preserve">: </t>
        </r>
        <r>
          <rPr>
            <sz val="8"/>
            <color indexed="81"/>
            <rFont val="Tahoma"/>
            <family val="2"/>
          </rPr>
          <t xml:space="preserve">$12m in 3Q05 and $16m in 4Q05 of expenses related to hurricanes Katrina and Rita
</t>
        </r>
        <r>
          <rPr>
            <u/>
            <sz val="8"/>
            <color indexed="81"/>
            <rFont val="Tahoma"/>
            <family val="2"/>
          </rPr>
          <t>Television</t>
        </r>
        <r>
          <rPr>
            <sz val="8"/>
            <color indexed="81"/>
            <rFont val="Tahoma"/>
            <family val="2"/>
          </rPr>
          <t xml:space="preserve">: 3Q05: $19m impairment charge on sale of TV stations and the estimated $5m expenses related to hurricanes Katrina and Rita.  4Q05:  $25m gain on sale of a building and $21m restructuring costs and losses related to Hurricane Katrina
</t>
        </r>
      </text>
    </comment>
    <comment ref="AA15" authorId="2">
      <text>
        <r>
          <rPr>
            <b/>
            <sz val="9"/>
            <color indexed="81"/>
            <rFont val="Tahoma"/>
            <family val="2"/>
          </rPr>
          <t>Ripps, Maria (Research):</t>
        </r>
        <r>
          <rPr>
            <sz val="9"/>
            <color indexed="81"/>
            <rFont val="Tahoma"/>
            <family val="2"/>
          </rPr>
          <t xml:space="preserve">
10K, radio as discontinued operations</t>
        </r>
      </text>
    </comment>
    <comment ref="BQ15" authorId="4">
      <text>
        <r>
          <rPr>
            <b/>
            <sz val="8"/>
            <color indexed="81"/>
            <rFont val="Tahoma"/>
            <family val="2"/>
          </rPr>
          <t>haberlec:</t>
        </r>
        <r>
          <rPr>
            <sz val="8"/>
            <color indexed="81"/>
            <rFont val="Tahoma"/>
            <family val="2"/>
          </rPr>
          <t xml:space="preserve">
$2.6mm in restructuring costs at Outdoor segment</t>
        </r>
      </text>
    </comment>
    <comment ref="BR15" authorId="5">
      <text>
        <r>
          <rPr>
            <b/>
            <sz val="8"/>
            <color indexed="81"/>
            <rFont val="Tahoma"/>
            <family val="2"/>
          </rPr>
          <t>Kristi Bonner:</t>
        </r>
        <r>
          <rPr>
            <sz val="8"/>
            <color indexed="81"/>
            <rFont val="Tahoma"/>
            <family val="2"/>
          </rPr>
          <t xml:space="preserve">
costs associated with headcount reductions at tv, radio, outdoor and interactive. $4.7m of charge was at outdoor</t>
        </r>
      </text>
    </comment>
    <comment ref="BS15" authorId="1">
      <text>
        <r>
          <rPr>
            <b/>
            <sz val="8"/>
            <color indexed="81"/>
            <rFont val="Tahoma"/>
            <family val="2"/>
          </rPr>
          <t>krisbon:</t>
        </r>
        <r>
          <rPr>
            <sz val="8"/>
            <color indexed="81"/>
            <rFont val="Tahoma"/>
            <family val="2"/>
          </rPr>
          <t xml:space="preserve">
restructuring charges</t>
        </r>
      </text>
    </comment>
    <comment ref="BX15" authorId="1">
      <text>
        <r>
          <rPr>
            <b/>
            <sz val="8"/>
            <color indexed="81"/>
            <rFont val="Tahoma"/>
            <family val="2"/>
          </rPr>
          <t>krisbon:</t>
        </r>
        <r>
          <rPr>
            <sz val="8"/>
            <color indexed="81"/>
            <rFont val="Tahoma"/>
            <family val="2"/>
          </rPr>
          <t xml:space="preserve">
impairment, restructuring charge and gain on sale of spectrum</t>
        </r>
      </text>
    </comment>
    <comment ref="CB15" authorId="1">
      <text>
        <r>
          <rPr>
            <b/>
            <sz val="8"/>
            <color indexed="81"/>
            <rFont val="Tahoma"/>
            <family val="2"/>
          </rPr>
          <t>krisbon:</t>
        </r>
        <r>
          <rPr>
            <sz val="8"/>
            <color indexed="81"/>
            <rFont val="Tahoma"/>
            <family val="2"/>
          </rPr>
          <t xml:space="preserve">
restructuring charges</t>
        </r>
      </text>
    </comment>
    <comment ref="CC15" authorId="1">
      <text>
        <r>
          <rPr>
            <b/>
            <sz val="8"/>
            <color indexed="81"/>
            <rFont val="Tahoma"/>
            <family val="2"/>
          </rPr>
          <t>krisbon:</t>
        </r>
        <r>
          <rPr>
            <sz val="8"/>
            <color indexed="81"/>
            <rFont val="Tahoma"/>
            <family val="2"/>
          </rPr>
          <t xml:space="preserve">
restructuring charge</t>
        </r>
      </text>
    </comment>
    <comment ref="CV15" authorId="2">
      <text>
        <r>
          <rPr>
            <b/>
            <sz val="9"/>
            <color indexed="81"/>
            <rFont val="Tahoma"/>
            <family val="2"/>
          </rPr>
          <t>Ripps, Maria (Research):</t>
        </r>
        <r>
          <rPr>
            <sz val="9"/>
            <color indexed="81"/>
            <rFont val="Tahoma"/>
            <family val="2"/>
          </rPr>
          <t xml:space="preserve">
charge in connection with a radio station swap</t>
        </r>
      </text>
    </comment>
    <comment ref="CZ15" authorId="2">
      <text>
        <r>
          <rPr>
            <b/>
            <sz val="9"/>
            <color indexed="81"/>
            <rFont val="Tahoma"/>
            <family val="2"/>
          </rPr>
          <t>Ripps, Maria (Research):</t>
        </r>
        <r>
          <rPr>
            <sz val="9"/>
            <color indexed="81"/>
            <rFont val="Tahoma"/>
            <family val="2"/>
          </rPr>
          <t xml:space="preserve">
restructuring</t>
        </r>
      </text>
    </comment>
    <comment ref="DB15" authorId="2">
      <text>
        <r>
          <rPr>
            <b/>
            <sz val="9"/>
            <color indexed="81"/>
            <rFont val="Tahoma"/>
            <family val="2"/>
          </rPr>
          <t>Ripps, Maria (Research):</t>
        </r>
        <r>
          <rPr>
            <sz val="9"/>
            <color indexed="81"/>
            <rFont val="Tahoma"/>
            <family val="2"/>
          </rPr>
          <t xml:space="preserve">
includes $26M restructuring charges, &amp; $120M gain on sales of businesses</t>
        </r>
      </text>
    </comment>
    <comment ref="DD15" authorId="2">
      <text>
        <r>
          <rPr>
            <b/>
            <sz val="9"/>
            <color indexed="81"/>
            <rFont val="Tahoma"/>
            <family val="2"/>
          </rPr>
          <t>Ripps, Maria (Research):</t>
        </r>
        <r>
          <rPr>
            <sz val="9"/>
            <color indexed="81"/>
            <rFont val="Tahoma"/>
            <family val="2"/>
          </rPr>
          <t xml:space="preserve">
Reflects gains on the sales of Internet businesses in China. 2016 also includes a multiyear, retroactive impact of a new operating tax.</t>
        </r>
      </text>
    </comment>
    <comment ref="K16" authorId="3">
      <text>
        <r>
          <rPr>
            <b/>
            <sz val="8"/>
            <color indexed="81"/>
            <rFont val="Tahoma"/>
            <family val="2"/>
          </rPr>
          <t>svetlana:</t>
        </r>
        <r>
          <rPr>
            <sz val="8"/>
            <color indexed="81"/>
            <rFont val="Tahoma"/>
            <family val="2"/>
          </rPr>
          <t xml:space="preserve">
</t>
        </r>
        <r>
          <rPr>
            <sz val="8"/>
            <color indexed="81"/>
            <rFont val="Tahoma"/>
            <family val="2"/>
          </rPr>
          <t>$6,437m impairment charge at Television and $3,047m  impairment charge at Radio</t>
        </r>
      </text>
    </comment>
    <comment ref="AA16" authorId="2">
      <text>
        <r>
          <rPr>
            <b/>
            <sz val="9"/>
            <color indexed="81"/>
            <rFont val="Tahoma"/>
            <family val="2"/>
          </rPr>
          <t>Ripps, Maria (Research):</t>
        </r>
        <r>
          <rPr>
            <sz val="9"/>
            <color indexed="81"/>
            <rFont val="Tahoma"/>
            <family val="2"/>
          </rPr>
          <t xml:space="preserve">
10K, radio as discontinued operations</t>
        </r>
      </text>
    </comment>
    <comment ref="CJ16" authorId="6">
      <text>
        <r>
          <rPr>
            <b/>
            <sz val="8"/>
            <color indexed="81"/>
            <rFont val="Tahoma"/>
            <family val="2"/>
          </rPr>
          <t>hershk:</t>
        </r>
        <r>
          <rPr>
            <sz val="8"/>
            <color indexed="81"/>
            <rFont val="Tahoma"/>
            <family val="2"/>
          </rPr>
          <t xml:space="preserve">
noncash impairment charge of $11mm relating to radio stations</t>
        </r>
      </text>
    </comment>
    <comment ref="CV16" authorId="2">
      <text>
        <r>
          <rPr>
            <b/>
            <sz val="9"/>
            <color indexed="81"/>
            <rFont val="Tahoma"/>
            <family val="2"/>
          </rPr>
          <t>Ripps, Maria (Research):</t>
        </r>
        <r>
          <rPr>
            <sz val="9"/>
            <color indexed="81"/>
            <rFont val="Tahoma"/>
            <family val="2"/>
          </rPr>
          <t xml:space="preserve">
charge in connection with a radio station swap</t>
        </r>
      </text>
    </comment>
    <comment ref="L23" authorId="7">
      <text>
        <r>
          <rPr>
            <b/>
            <sz val="8"/>
            <color indexed="81"/>
            <rFont val="Tahoma"/>
            <family val="2"/>
          </rPr>
          <t>benswin:</t>
        </r>
        <r>
          <rPr>
            <sz val="8"/>
            <color indexed="81"/>
            <rFont val="Tahoma"/>
            <family val="2"/>
          </rPr>
          <t xml:space="preserve">
2606.4</t>
        </r>
      </text>
    </comment>
    <comment ref="CH23" authorId="8">
      <text>
        <r>
          <rPr>
            <b/>
            <sz val="8"/>
            <color indexed="81"/>
            <rFont val="Tahoma"/>
            <family val="2"/>
          </rPr>
          <t>Micah Nance:</t>
        </r>
        <r>
          <rPr>
            <sz val="8"/>
            <color indexed="81"/>
            <rFont val="Tahoma"/>
            <family val="2"/>
          </rPr>
          <t xml:space="preserve">
excludes 43mm in restructuring expense - mostly at Entertainment</t>
        </r>
      </text>
    </comment>
    <comment ref="AA27" authorId="2">
      <text>
        <r>
          <rPr>
            <b/>
            <sz val="9"/>
            <color indexed="81"/>
            <rFont val="Tahoma"/>
            <family val="2"/>
          </rPr>
          <t>Ripps, Maria (Research):</t>
        </r>
        <r>
          <rPr>
            <sz val="9"/>
            <color indexed="81"/>
            <rFont val="Tahoma"/>
            <family val="2"/>
          </rPr>
          <t xml:space="preserve">
10K, radio as discontinued operations</t>
        </r>
      </text>
    </comment>
    <comment ref="AA32" authorId="2">
      <text>
        <r>
          <rPr>
            <b/>
            <sz val="9"/>
            <color indexed="81"/>
            <rFont val="Tahoma"/>
            <family val="2"/>
          </rPr>
          <t>Ripps, Maria (Research):</t>
        </r>
        <r>
          <rPr>
            <sz val="9"/>
            <color indexed="81"/>
            <rFont val="Tahoma"/>
            <family val="2"/>
          </rPr>
          <t xml:space="preserve">
10K, radio as discontinued operations</t>
        </r>
      </text>
    </comment>
    <comment ref="BZ32" authorId="1">
      <text>
        <r>
          <rPr>
            <b/>
            <sz val="8"/>
            <color indexed="81"/>
            <rFont val="Tahoma"/>
            <family val="2"/>
          </rPr>
          <t>krisbon:</t>
        </r>
        <r>
          <rPr>
            <sz val="8"/>
            <color indexed="81"/>
            <rFont val="Tahoma"/>
            <family val="2"/>
          </rPr>
          <t xml:space="preserve">
includes $57m restructuring charge</t>
        </r>
      </text>
    </comment>
    <comment ref="CA32" authorId="1">
      <text>
        <r>
          <rPr>
            <b/>
            <sz val="8"/>
            <color indexed="81"/>
            <rFont val="Tahoma"/>
            <family val="2"/>
          </rPr>
          <t>krisbon:</t>
        </r>
        <r>
          <rPr>
            <sz val="8"/>
            <color indexed="81"/>
            <rFont val="Tahoma"/>
            <family val="2"/>
          </rPr>
          <t xml:space="preserve">
includes loss on early extinguishment of debt of $40.3m</t>
        </r>
      </text>
    </comment>
    <comment ref="CC32" authorId="1">
      <text>
        <r>
          <rPr>
            <b/>
            <sz val="8"/>
            <color indexed="81"/>
            <rFont val="Tahoma"/>
            <family val="2"/>
          </rPr>
          <t>krisbon:</t>
        </r>
        <r>
          <rPr>
            <sz val="8"/>
            <color indexed="81"/>
            <rFont val="Tahoma"/>
            <family val="2"/>
          </rPr>
          <t xml:space="preserve">
includes $43m charge for early extinguisment of debt</t>
        </r>
      </text>
    </comment>
    <comment ref="CH32" authorId="8">
      <text>
        <r>
          <rPr>
            <b/>
            <sz val="8"/>
            <color indexed="81"/>
            <rFont val="Tahoma"/>
            <family val="2"/>
          </rPr>
          <t>Micah Nance:</t>
        </r>
        <r>
          <rPr>
            <sz val="8"/>
            <color indexed="81"/>
            <rFont val="Tahoma"/>
            <family val="2"/>
          </rPr>
          <t xml:space="preserve">
43mm in restructuring</t>
        </r>
      </text>
    </comment>
    <comment ref="CJ32" authorId="6">
      <text>
        <r>
          <rPr>
            <b/>
            <sz val="8"/>
            <color indexed="81"/>
            <rFont val="Tahoma"/>
            <family val="2"/>
          </rPr>
          <t>hershk:</t>
        </r>
        <r>
          <rPr>
            <sz val="8"/>
            <color indexed="81"/>
            <rFont val="Tahoma"/>
            <family val="2"/>
          </rPr>
          <t xml:space="preserve">
includes early extinguishment of debt of $25mm</t>
        </r>
      </text>
    </comment>
    <comment ref="CL32" authorId="9">
      <text>
        <r>
          <rPr>
            <b/>
            <sz val="8"/>
            <color indexed="81"/>
            <rFont val="Tahoma"/>
            <family val="2"/>
          </rPr>
          <t>fiftrya:</t>
        </r>
        <r>
          <rPr>
            <sz val="8"/>
            <color indexed="81"/>
            <rFont val="Tahoma"/>
            <family val="2"/>
          </rPr>
          <t xml:space="preserve">
Debt extinguishment</t>
        </r>
      </text>
    </comment>
    <comment ref="CM32" authorId="9">
      <text>
        <r>
          <rPr>
            <b/>
            <sz val="8"/>
            <color indexed="81"/>
            <rFont val="Tahoma"/>
            <family val="2"/>
          </rPr>
          <t>fiftrya:</t>
        </r>
        <r>
          <rPr>
            <sz val="8"/>
            <color indexed="81"/>
            <rFont val="Tahoma"/>
            <family val="2"/>
          </rPr>
          <t xml:space="preserve">
Restructuring</t>
        </r>
      </text>
    </comment>
    <comment ref="CV32" authorId="10">
      <text>
        <r>
          <rPr>
            <b/>
            <sz val="9"/>
            <color indexed="81"/>
            <rFont val="Tahoma"/>
            <family val="2"/>
          </rPr>
          <t>Khadilkar, Hersh S (Research):</t>
        </r>
        <r>
          <rPr>
            <sz val="9"/>
            <color indexed="81"/>
            <rFont val="Tahoma"/>
            <family val="2"/>
          </rPr>
          <t xml:space="preserve">
~$400mm of pre-tax charges from debt extinguishment</t>
        </r>
      </text>
    </comment>
    <comment ref="L34" authorId="7">
      <text>
        <r>
          <rPr>
            <b/>
            <sz val="8"/>
            <color indexed="81"/>
            <rFont val="Tahoma"/>
            <family val="2"/>
          </rPr>
          <t>benswin:</t>
        </r>
        <r>
          <rPr>
            <sz val="8"/>
            <color indexed="81"/>
            <rFont val="Tahoma"/>
            <family val="2"/>
          </rPr>
          <t xml:space="preserve">
21232.7</t>
        </r>
      </text>
    </comment>
    <comment ref="J36" authorId="11">
      <text>
        <r>
          <rPr>
            <b/>
            <sz val="8"/>
            <color indexed="81"/>
            <rFont val="Tahoma"/>
            <family val="2"/>
          </rPr>
          <t>bilotti:</t>
        </r>
        <r>
          <rPr>
            <sz val="8"/>
            <color indexed="81"/>
            <rFont val="Tahoma"/>
            <family val="2"/>
          </rPr>
          <t xml:space="preserve">
total benefits from audit resolutions and basis adjustments less the amount allocated to New Viacom
205.4 - 76.3
</t>
        </r>
      </text>
    </comment>
    <comment ref="BR36" authorId="5">
      <text>
        <r>
          <rPr>
            <b/>
            <sz val="8"/>
            <color indexed="81"/>
            <rFont val="Tahoma"/>
            <family val="2"/>
          </rPr>
          <t xml:space="preserve">Kristi Bonner:
</t>
        </r>
        <r>
          <rPr>
            <sz val="8"/>
            <color indexed="81"/>
            <rFont val="Tahoma"/>
            <family val="2"/>
          </rPr>
          <t>related to impairment and restructuring charges</t>
        </r>
      </text>
    </comment>
    <comment ref="BS36" authorId="1">
      <text>
        <r>
          <rPr>
            <b/>
            <sz val="8"/>
            <color indexed="81"/>
            <rFont val="Tahoma"/>
            <family val="2"/>
          </rPr>
          <t>krisbon:</t>
        </r>
        <r>
          <rPr>
            <sz val="8"/>
            <color indexed="81"/>
            <rFont val="Tahoma"/>
            <family val="2"/>
          </rPr>
          <t xml:space="preserve">
tax benefit from impairment and restructuring charges</t>
        </r>
      </text>
    </comment>
    <comment ref="K37" authorId="0">
      <text>
        <r>
          <rPr>
            <b/>
            <sz val="8"/>
            <color indexed="81"/>
            <rFont val="Tahoma"/>
            <family val="2"/>
          </rPr>
          <t>farrantj:</t>
        </r>
        <r>
          <rPr>
            <sz val="8"/>
            <color indexed="81"/>
            <rFont val="Tahoma"/>
            <family val="2"/>
          </rPr>
          <t xml:space="preserve">
had expected -727.3 and -80.8 in current and deferred </t>
        </r>
      </text>
    </comment>
    <comment ref="BW37" authorId="1">
      <text>
        <r>
          <rPr>
            <b/>
            <sz val="8"/>
            <color indexed="81"/>
            <rFont val="Tahoma"/>
            <family val="2"/>
          </rPr>
          <t>krisbon:</t>
        </r>
        <r>
          <rPr>
            <sz val="8"/>
            <color indexed="81"/>
            <rFont val="Tahoma"/>
            <family val="2"/>
          </rPr>
          <t xml:space="preserve">
refunds</t>
        </r>
      </text>
    </comment>
    <comment ref="J39" authorId="11">
      <text>
        <r>
          <rPr>
            <b/>
            <sz val="8"/>
            <color indexed="81"/>
            <rFont val="Tahoma"/>
            <family val="2"/>
          </rPr>
          <t>bilotti:</t>
        </r>
        <r>
          <rPr>
            <sz val="8"/>
            <color indexed="81"/>
            <rFont val="Tahoma"/>
            <family val="2"/>
          </rPr>
          <t xml:space="preserve">
adjusted to add back taxes related to the increase in debt and interest expense assumed in the Viacom S4.  Viacom uses a pro forma basis, we use actual  
we had -722.3 w/780.8 from cash tax and 70.5 from deferred </t>
        </r>
      </text>
    </comment>
    <comment ref="U40" authorId="8">
      <text>
        <r>
          <rPr>
            <b/>
            <sz val="8"/>
            <color indexed="81"/>
            <rFont val="Tahoma"/>
            <family val="2"/>
          </rPr>
          <t>Micah Nance:</t>
        </r>
        <r>
          <rPr>
            <sz val="8"/>
            <color indexed="81"/>
            <rFont val="Tahoma"/>
            <family val="2"/>
          </rPr>
          <t xml:space="preserve">
36-38% guide</t>
        </r>
      </text>
    </comment>
    <comment ref="AA40" authorId="2">
      <text>
        <r>
          <rPr>
            <b/>
            <sz val="9"/>
            <color indexed="81"/>
            <rFont val="Tahoma"/>
            <family val="2"/>
          </rPr>
          <t>Ripps, Maria (Research):</t>
        </r>
        <r>
          <rPr>
            <sz val="9"/>
            <color indexed="81"/>
            <rFont val="Tahoma"/>
            <family val="2"/>
          </rPr>
          <t xml:space="preserve">
10K:  For 2016, the Company’s annual effective tax rate is expected to be approximately 33%.</t>
        </r>
      </text>
    </comment>
    <comment ref="U42" authorId="8">
      <text>
        <r>
          <rPr>
            <b/>
            <sz val="8"/>
            <color indexed="81"/>
            <rFont val="Tahoma"/>
            <family val="2"/>
          </rPr>
          <t>Micah Nance:</t>
        </r>
        <r>
          <rPr>
            <sz val="8"/>
            <color indexed="81"/>
            <rFont val="Tahoma"/>
            <family val="2"/>
          </rPr>
          <t xml:space="preserve">
includes CW portion of PAT from NFLX deal (roughly 9mm)</t>
        </r>
      </text>
    </comment>
    <comment ref="J46" authorId="0">
      <text>
        <r>
          <rPr>
            <b/>
            <sz val="8"/>
            <color indexed="81"/>
            <rFont val="Tahoma"/>
            <family val="2"/>
          </rPr>
          <t>farrantj:</t>
        </r>
        <r>
          <rPr>
            <sz val="8"/>
            <color indexed="81"/>
            <rFont val="Tahoma"/>
            <family val="2"/>
          </rPr>
          <t xml:space="preserve">
had not previously assumed this </t>
        </r>
      </text>
    </comment>
    <comment ref="W46" authorId="9">
      <text>
        <r>
          <rPr>
            <b/>
            <sz val="8"/>
            <color indexed="81"/>
            <rFont val="Tahoma"/>
            <family val="2"/>
          </rPr>
          <t>fiftrya:</t>
        </r>
        <r>
          <rPr>
            <sz val="8"/>
            <color indexed="81"/>
            <rFont val="Tahoma"/>
            <family val="2"/>
          </rPr>
          <t xml:space="preserve">
Assumes sale of Int'l outdoor at YE13</t>
        </r>
      </text>
    </comment>
    <comment ref="DE46" authorId="2">
      <text>
        <r>
          <rPr>
            <b/>
            <sz val="9"/>
            <color indexed="81"/>
            <rFont val="Tahoma"/>
            <family val="2"/>
          </rPr>
          <t>Ripps, Maria (Research):</t>
        </r>
        <r>
          <rPr>
            <sz val="9"/>
            <color indexed="81"/>
            <rFont val="Tahoma"/>
            <family val="2"/>
          </rPr>
          <t xml:space="preserve">
Radio EBIT</t>
        </r>
      </text>
    </comment>
    <comment ref="DF46" authorId="2">
      <text>
        <r>
          <rPr>
            <b/>
            <sz val="9"/>
            <color indexed="81"/>
            <rFont val="Tahoma"/>
            <family val="2"/>
          </rPr>
          <t>Ripps, Maria (Research):</t>
        </r>
        <r>
          <rPr>
            <sz val="9"/>
            <color indexed="81"/>
            <rFont val="Tahoma"/>
            <family val="2"/>
          </rPr>
          <t xml:space="preserve">
Radio EBIT</t>
        </r>
      </text>
    </comment>
    <comment ref="DJ46" authorId="2">
      <text>
        <r>
          <rPr>
            <b/>
            <sz val="9"/>
            <color indexed="81"/>
            <rFont val="Tahoma"/>
            <family val="2"/>
          </rPr>
          <t>Ripps, Maria (Research):</t>
        </r>
        <r>
          <rPr>
            <sz val="9"/>
            <color indexed="81"/>
            <rFont val="Tahoma"/>
            <family val="2"/>
          </rPr>
          <t xml:space="preserve">
assume higher OPEX</t>
        </r>
      </text>
    </comment>
    <comment ref="DK46" authorId="2">
      <text>
        <r>
          <rPr>
            <b/>
            <sz val="9"/>
            <color indexed="81"/>
            <rFont val="Tahoma"/>
            <family val="2"/>
          </rPr>
          <t>Ripps, Maria (Research):</t>
        </r>
        <r>
          <rPr>
            <sz val="9"/>
            <color indexed="81"/>
            <rFont val="Tahoma"/>
            <family val="2"/>
          </rPr>
          <t xml:space="preserve">
10Q</t>
        </r>
      </text>
    </comment>
    <comment ref="J47" authorId="0">
      <text>
        <r>
          <rPr>
            <b/>
            <sz val="8"/>
            <color indexed="81"/>
            <rFont val="Tahoma"/>
            <family val="2"/>
          </rPr>
          <t>farrantj:</t>
        </r>
        <r>
          <rPr>
            <sz val="8"/>
            <color indexed="81"/>
            <rFont val="Tahoma"/>
            <family val="2"/>
          </rPr>
          <t xml:space="preserve">
had not previously assumed this </t>
        </r>
      </text>
    </comment>
    <comment ref="DK47" authorId="2">
      <text>
        <r>
          <rPr>
            <b/>
            <sz val="9"/>
            <color indexed="81"/>
            <rFont val="Tahoma"/>
            <family val="2"/>
          </rPr>
          <t>Ripps, Maria (Research):</t>
        </r>
        <r>
          <rPr>
            <sz val="9"/>
            <color indexed="81"/>
            <rFont val="Tahoma"/>
            <family val="2"/>
          </rPr>
          <t xml:space="preserve">
10Q
Income tax benefit</t>
        </r>
      </text>
    </comment>
    <comment ref="J48" authorId="0">
      <text>
        <r>
          <rPr>
            <b/>
            <sz val="8"/>
            <color indexed="81"/>
            <rFont val="Tahoma"/>
            <family val="2"/>
          </rPr>
          <t>farrantj:</t>
        </r>
        <r>
          <rPr>
            <sz val="8"/>
            <color indexed="81"/>
            <rFont val="Tahoma"/>
            <family val="2"/>
          </rPr>
          <t xml:space="preserve">
had not previously assumed this </t>
        </r>
      </text>
    </comment>
    <comment ref="AA48" authorId="2">
      <text>
        <r>
          <rPr>
            <b/>
            <sz val="9"/>
            <color indexed="81"/>
            <rFont val="Tahoma"/>
            <family val="2"/>
          </rPr>
          <t>Ripps, Maria (Research):</t>
        </r>
        <r>
          <rPr>
            <sz val="9"/>
            <color indexed="81"/>
            <rFont val="Tahoma"/>
            <family val="2"/>
          </rPr>
          <t xml:space="preserve">
For 2016, net loss from discontinued operations also included a charge of $36 million from the resolution of a tax matter in a foreign jurisdiction relating to a previously disposed business that was accounted for as a discontinued operation</t>
        </r>
      </text>
    </comment>
    <comment ref="AB48" authorId="2">
      <text>
        <r>
          <rPr>
            <b/>
            <sz val="9"/>
            <color indexed="81"/>
            <rFont val="Tahoma"/>
            <family val="2"/>
          </rPr>
          <t>Ripps, Maria (Research):</t>
        </r>
        <r>
          <rPr>
            <sz val="9"/>
            <color indexed="81"/>
            <rFont val="Tahoma"/>
            <family val="2"/>
          </rPr>
          <t xml:space="preserve">
Includes:
 $255M disc ops for Radio 
$36M other 
</t>
        </r>
      </text>
    </comment>
    <comment ref="DF48" authorId="2">
      <text>
        <r>
          <rPr>
            <b/>
            <sz val="9"/>
            <color indexed="81"/>
            <rFont val="Tahoma"/>
            <family val="2"/>
          </rPr>
          <t>Ripps, Maria (Research):</t>
        </r>
        <r>
          <rPr>
            <sz val="9"/>
            <color indexed="81"/>
            <rFont val="Tahoma"/>
            <family val="2"/>
          </rPr>
          <t xml:space="preserve">
includes $36M related to china</t>
        </r>
      </text>
    </comment>
    <comment ref="DG48" authorId="2">
      <text>
        <r>
          <rPr>
            <b/>
            <sz val="9"/>
            <color indexed="81"/>
            <rFont val="Tahoma"/>
            <family val="2"/>
          </rPr>
          <t>Ripps, Maria (Research):</t>
        </r>
        <r>
          <rPr>
            <sz val="9"/>
            <color indexed="81"/>
            <rFont val="Tahoma"/>
            <family val="2"/>
          </rPr>
          <t xml:space="preserve">
PR, net of tax</t>
        </r>
      </text>
    </comment>
    <comment ref="DL48" authorId="2">
      <text>
        <r>
          <rPr>
            <b/>
            <sz val="9"/>
            <color indexed="81"/>
            <rFont val="Tahoma"/>
            <family val="2"/>
          </rPr>
          <t>Ripps, Maria (Research):</t>
        </r>
        <r>
          <rPr>
            <sz val="9"/>
            <color indexed="81"/>
            <rFont val="Tahoma"/>
            <family val="2"/>
          </rPr>
          <t xml:space="preserve">
MSe: $0.04-$0.05 from discontinued operations in Q4</t>
        </r>
      </text>
    </comment>
    <comment ref="J50" authorId="0">
      <text>
        <r>
          <rPr>
            <b/>
            <sz val="8"/>
            <color indexed="81"/>
            <rFont val="Tahoma"/>
            <family val="2"/>
          </rPr>
          <t>farrantj:</t>
        </r>
        <r>
          <rPr>
            <sz val="8"/>
            <color indexed="81"/>
            <rFont val="Tahoma"/>
            <family val="2"/>
          </rPr>
          <t xml:space="preserve">
vs -16.505</t>
        </r>
      </text>
    </comment>
    <comment ref="J52" authorId="0">
      <text>
        <r>
          <rPr>
            <b/>
            <sz val="8"/>
            <color indexed="81"/>
            <rFont val="Tahoma"/>
            <family val="2"/>
          </rPr>
          <t>farrantj:</t>
        </r>
        <r>
          <rPr>
            <sz val="8"/>
            <color indexed="81"/>
            <rFont val="Tahoma"/>
            <family val="2"/>
          </rPr>
          <t xml:space="preserve">
vs -16.505.3</t>
        </r>
      </text>
    </comment>
    <comment ref="BL62" authorId="12">
      <text>
        <r>
          <rPr>
            <b/>
            <sz val="8"/>
            <color indexed="81"/>
            <rFont val="Tahoma"/>
            <family val="2"/>
          </rPr>
          <t>Chad Harris:</t>
        </r>
        <r>
          <rPr>
            <sz val="8"/>
            <color indexed="81"/>
            <rFont val="Tahoma"/>
            <family val="2"/>
          </rPr>
          <t xml:space="preserve">
INCLUDES $9.2 AND $12.6 MM GAIN FROM RADIO AND TV STATION DIVESTITURES</t>
        </r>
      </text>
    </comment>
    <comment ref="J65" authorId="0">
      <text>
        <r>
          <rPr>
            <b/>
            <sz val="8"/>
            <color indexed="81"/>
            <rFont val="Tahoma"/>
            <family val="2"/>
          </rPr>
          <t>farrantj:</t>
        </r>
        <r>
          <rPr>
            <sz val="8"/>
            <color indexed="81"/>
            <rFont val="Tahoma"/>
            <family val="2"/>
          </rPr>
          <t xml:space="preserve">
vs 1349</t>
        </r>
      </text>
    </comment>
    <comment ref="J68" authorId="0">
      <text>
        <r>
          <rPr>
            <b/>
            <sz val="8"/>
            <color indexed="81"/>
            <rFont val="Tahoma"/>
            <family val="2"/>
          </rPr>
          <t>farrantj:</t>
        </r>
        <r>
          <rPr>
            <sz val="8"/>
            <color indexed="81"/>
            <rFont val="Tahoma"/>
            <family val="2"/>
          </rPr>
          <t xml:space="preserve">
had assumed 861.6</t>
        </r>
      </text>
    </comment>
    <comment ref="K68" authorId="0">
      <text>
        <r>
          <rPr>
            <b/>
            <sz val="8"/>
            <color indexed="81"/>
            <rFont val="Tahoma"/>
            <family val="2"/>
          </rPr>
          <t>farrantj:</t>
        </r>
        <r>
          <rPr>
            <sz val="8"/>
            <color indexed="81"/>
            <rFont val="Tahoma"/>
            <family val="2"/>
          </rPr>
          <t xml:space="preserve">
had assumed 793.9</t>
        </r>
      </text>
    </comment>
    <comment ref="J69" authorId="0">
      <text>
        <r>
          <rPr>
            <b/>
            <sz val="8"/>
            <color indexed="81"/>
            <rFont val="Tahoma"/>
            <family val="2"/>
          </rPr>
          <t>farrantj:</t>
        </r>
        <r>
          <rPr>
            <sz val="8"/>
            <color indexed="81"/>
            <rFont val="Tahoma"/>
            <family val="2"/>
          </rPr>
          <t xml:space="preserve">
previous 1.57</t>
        </r>
      </text>
    </comment>
    <comment ref="I71" authorId="0">
      <text>
        <r>
          <rPr>
            <b/>
            <sz val="8"/>
            <color indexed="81"/>
            <rFont val="Tahoma"/>
            <family val="2"/>
          </rPr>
          <t>farrantj:</t>
        </r>
        <r>
          <rPr>
            <sz val="8"/>
            <color indexed="81"/>
            <rFont val="Tahoma"/>
            <family val="2"/>
          </rPr>
          <t xml:space="preserve">
226</t>
        </r>
      </text>
    </comment>
    <comment ref="J71" authorId="0">
      <text>
        <r>
          <rPr>
            <b/>
            <sz val="8"/>
            <color indexed="81"/>
            <rFont val="Tahoma"/>
            <family val="2"/>
          </rPr>
          <t>farrantj:</t>
        </r>
        <r>
          <rPr>
            <sz val="8"/>
            <color indexed="81"/>
            <rFont val="Tahoma"/>
            <family val="2"/>
          </rPr>
          <t xml:space="preserve">
350.5 previously </t>
        </r>
      </text>
    </comment>
    <comment ref="K71" authorId="0">
      <text>
        <r>
          <rPr>
            <b/>
            <sz val="8"/>
            <color indexed="81"/>
            <rFont val="Tahoma"/>
            <family val="2"/>
          </rPr>
          <t>farrantj:</t>
        </r>
        <r>
          <rPr>
            <sz val="8"/>
            <color indexed="81"/>
            <rFont val="Tahoma"/>
            <family val="2"/>
          </rPr>
          <t xml:space="preserve">
521.7 previously </t>
        </r>
      </text>
    </comment>
    <comment ref="L71" authorId="0">
      <text>
        <r>
          <rPr>
            <b/>
            <sz val="8"/>
            <color indexed="81"/>
            <rFont val="Tahoma"/>
            <family val="2"/>
          </rPr>
          <t>farrantj:</t>
        </r>
        <r>
          <rPr>
            <sz val="8"/>
            <color indexed="81"/>
            <rFont val="Tahoma"/>
            <family val="2"/>
          </rPr>
          <t xml:space="preserve">
521.7 previously </t>
        </r>
      </text>
    </comment>
    <comment ref="H73" authorId="3">
      <text>
        <r>
          <rPr>
            <b/>
            <sz val="8"/>
            <color indexed="81"/>
            <rFont val="Tahoma"/>
            <family val="2"/>
          </rPr>
          <t>svetlana:</t>
        </r>
        <r>
          <rPr>
            <sz val="8"/>
            <color indexed="81"/>
            <rFont val="Tahoma"/>
            <family val="2"/>
          </rPr>
          <t xml:space="preserve">
Total expense from VIA's 2004 10K less New Via's expense</t>
        </r>
      </text>
    </comment>
    <comment ref="I73" authorId="3">
      <text>
        <r>
          <rPr>
            <b/>
            <sz val="8"/>
            <color indexed="81"/>
            <rFont val="Tahoma"/>
            <family val="2"/>
          </rPr>
          <t>svetlana:</t>
        </r>
        <r>
          <rPr>
            <sz val="8"/>
            <color indexed="81"/>
            <rFont val="Tahoma"/>
            <family val="2"/>
          </rPr>
          <t xml:space="preserve">
Total expense from VIA's 2004 10K less New Via's expense</t>
        </r>
      </text>
    </comment>
    <comment ref="J73" authorId="3">
      <text>
        <r>
          <rPr>
            <b/>
            <sz val="8"/>
            <color indexed="81"/>
            <rFont val="Tahoma"/>
            <family val="2"/>
          </rPr>
          <t>svetlana:</t>
        </r>
        <r>
          <rPr>
            <sz val="8"/>
            <color indexed="81"/>
            <rFont val="Tahoma"/>
            <family val="2"/>
          </rPr>
          <t xml:space="preserve">
Total expense from VIA's 2004 10K less New Via's expense</t>
        </r>
      </text>
    </comment>
    <comment ref="K73" authorId="0">
      <text>
        <r>
          <rPr>
            <b/>
            <sz val="8"/>
            <color indexed="81"/>
            <rFont val="Tahoma"/>
            <family val="2"/>
          </rPr>
          <t>farrantj:</t>
        </r>
        <r>
          <rPr>
            <sz val="8"/>
            <color indexed="81"/>
            <rFont val="Tahoma"/>
            <family val="2"/>
          </rPr>
          <t xml:space="preserve">
339.1</t>
        </r>
      </text>
    </comment>
    <comment ref="W98" authorId="2">
      <text>
        <r>
          <rPr>
            <b/>
            <sz val="9"/>
            <color indexed="81"/>
            <rFont val="Tahoma"/>
            <family val="2"/>
          </rPr>
          <t>Ripps, Maria (Research):</t>
        </r>
        <r>
          <rPr>
            <sz val="9"/>
            <color indexed="81"/>
            <rFont val="Tahoma"/>
            <family val="2"/>
          </rPr>
          <t xml:space="preserve">
$2.41 reported 
$2.96 adjusted</t>
        </r>
      </text>
    </comment>
    <comment ref="Z98" authorId="2">
      <text>
        <r>
          <rPr>
            <b/>
            <sz val="9"/>
            <color indexed="81"/>
            <rFont val="Tahoma"/>
            <family val="2"/>
          </rPr>
          <t>Ripps, Maria (Research):</t>
        </r>
        <r>
          <rPr>
            <sz val="9"/>
            <color indexed="81"/>
            <rFont val="Tahoma"/>
            <family val="2"/>
          </rPr>
          <t xml:space="preserve">
$2.87 reported 
$3.31 adjusted</t>
        </r>
      </text>
    </comment>
    <comment ref="BS98" authorId="1">
      <text>
        <r>
          <rPr>
            <b/>
            <sz val="8"/>
            <color indexed="81"/>
            <rFont val="Tahoma"/>
            <family val="2"/>
          </rPr>
          <t>krisbon:</t>
        </r>
        <r>
          <rPr>
            <sz val="8"/>
            <color indexed="81"/>
            <rFont val="Tahoma"/>
            <family val="2"/>
          </rPr>
          <t xml:space="preserve">
adding back after tax impairment and restructuring charge.  Addback amounts are net of tax actuals from page 15 of CBS press release</t>
        </r>
      </text>
    </comment>
    <comment ref="BZ98" authorId="1">
      <text>
        <r>
          <rPr>
            <b/>
            <sz val="8"/>
            <color indexed="81"/>
            <rFont val="Tahoma"/>
            <family val="2"/>
          </rPr>
          <t>krisbon:</t>
        </r>
        <r>
          <rPr>
            <sz val="8"/>
            <color indexed="81"/>
            <rFont val="Tahoma"/>
            <family val="2"/>
          </rPr>
          <t xml:space="preserve">
adjusted for tax effected $57m restructuring charge and one-time tax expense items</t>
        </r>
      </text>
    </comment>
    <comment ref="CA98" authorId="1">
      <text>
        <r>
          <rPr>
            <b/>
            <sz val="8"/>
            <color indexed="81"/>
            <rFont val="Tahoma"/>
            <family val="2"/>
          </rPr>
          <t>krisbon:</t>
        </r>
        <r>
          <rPr>
            <sz val="8"/>
            <color indexed="81"/>
            <rFont val="Tahoma"/>
            <family val="2"/>
          </rPr>
          <t xml:space="preserve">
adjusted for restructuring charge and loss on early extinguishment of debt</t>
        </r>
      </text>
    </comment>
    <comment ref="CT98" authorId="2">
      <text>
        <r>
          <rPr>
            <b/>
            <sz val="9"/>
            <color indexed="81"/>
            <rFont val="Tahoma"/>
            <family val="2"/>
          </rPr>
          <t>Ripps, Maria (Research):</t>
        </r>
        <r>
          <rPr>
            <sz val="9"/>
            <color indexed="81"/>
            <rFont val="Tahoma"/>
            <family val="2"/>
          </rPr>
          <t xml:space="preserve">
PR: adj EPS is based on adj. number of shares</t>
        </r>
      </text>
    </comment>
    <comment ref="CY98" authorId="2">
      <text>
        <r>
          <rPr>
            <b/>
            <sz val="9"/>
            <color indexed="81"/>
            <rFont val="Tahoma"/>
            <family val="2"/>
          </rPr>
          <t>Ripps, Maria (Research):</t>
        </r>
        <r>
          <rPr>
            <sz val="9"/>
            <color indexed="81"/>
            <rFont val="Tahoma"/>
            <family val="2"/>
          </rPr>
          <t xml:space="preserve">
net $3M adjustment</t>
        </r>
      </text>
    </comment>
    <comment ref="CZ98" authorId="2">
      <text>
        <r>
          <rPr>
            <b/>
            <sz val="9"/>
            <color indexed="81"/>
            <rFont val="Tahoma"/>
            <family val="2"/>
          </rPr>
          <t>Ripps, Maria (Research):</t>
        </r>
        <r>
          <rPr>
            <sz val="9"/>
            <color indexed="81"/>
            <rFont val="Tahoma"/>
            <family val="2"/>
          </rPr>
          <t xml:space="preserve">
Reported EPS $0.67
Adj EPS $0.74
</t>
        </r>
      </text>
    </comment>
    <comment ref="DB98" authorId="2">
      <text>
        <r>
          <rPr>
            <b/>
            <sz val="9"/>
            <color indexed="81"/>
            <rFont val="Tahoma"/>
            <family val="2"/>
          </rPr>
          <t>Ripps, Maria (Research):</t>
        </r>
        <r>
          <rPr>
            <sz val="9"/>
            <color indexed="81"/>
            <rFont val="Tahoma"/>
            <family val="2"/>
          </rPr>
          <t xml:space="preserve">
Reported EPS $0.53
Adj EPS $0.92</t>
        </r>
      </text>
    </comment>
    <comment ref="DF98" authorId="2">
      <text>
        <r>
          <rPr>
            <b/>
            <sz val="9"/>
            <color indexed="81"/>
            <rFont val="Tahoma"/>
            <family val="2"/>
          </rPr>
          <t>Ripps, Maria (Research):</t>
        </r>
        <r>
          <rPr>
            <sz val="9"/>
            <color indexed="81"/>
            <rFont val="Tahoma"/>
            <family val="2"/>
          </rPr>
          <t xml:space="preserve">
Reported EPS $1.15
Adj EPS $1.05
</t>
        </r>
      </text>
    </comment>
    <comment ref="BZ100" authorId="1">
      <text>
        <r>
          <rPr>
            <b/>
            <sz val="8"/>
            <color indexed="81"/>
            <rFont val="Tahoma"/>
            <family val="2"/>
          </rPr>
          <t>krisbon:</t>
        </r>
        <r>
          <rPr>
            <sz val="8"/>
            <color indexed="81"/>
            <rFont val="Tahoma"/>
            <family val="2"/>
          </rPr>
          <t xml:space="preserve">
per Page 14 of press release</t>
        </r>
      </text>
    </comment>
    <comment ref="CA100" authorId="1">
      <text>
        <r>
          <rPr>
            <b/>
            <sz val="8"/>
            <color indexed="81"/>
            <rFont val="Tahoma"/>
            <family val="2"/>
          </rPr>
          <t>krisbon:</t>
        </r>
        <r>
          <rPr>
            <sz val="8"/>
            <color indexed="81"/>
            <rFont val="Tahoma"/>
            <family val="2"/>
          </rPr>
          <t xml:space="preserve">
reconciliation on page 16 of press release</t>
        </r>
      </text>
    </comment>
    <comment ref="CH100" authorId="8">
      <text>
        <r>
          <rPr>
            <b/>
            <sz val="8"/>
            <color indexed="81"/>
            <rFont val="Tahoma"/>
            <family val="2"/>
          </rPr>
          <t>Micah Nance:</t>
        </r>
        <r>
          <rPr>
            <sz val="8"/>
            <color indexed="81"/>
            <rFont val="Tahoma"/>
            <family val="2"/>
          </rPr>
          <t xml:space="preserve">
26mm net restructuring</t>
        </r>
      </text>
    </comment>
    <comment ref="CV100" authorId="2">
      <text>
        <r>
          <rPr>
            <b/>
            <sz val="9"/>
            <color indexed="81"/>
            <rFont val="Tahoma"/>
            <family val="2"/>
          </rPr>
          <t>Ripps, Maria (Research):</t>
        </r>
        <r>
          <rPr>
            <sz val="9"/>
            <color indexed="81"/>
            <rFont val="Tahoma"/>
            <family val="2"/>
          </rPr>
          <t xml:space="preserve">
$19M tax adjustment was reversed in Q4</t>
        </r>
      </text>
    </comment>
    <comment ref="CY100" authorId="2">
      <text>
        <r>
          <rPr>
            <b/>
            <sz val="9"/>
            <color indexed="81"/>
            <rFont val="Tahoma"/>
            <family val="2"/>
          </rPr>
          <t>Ripps, Maria (Research):</t>
        </r>
        <r>
          <rPr>
            <sz val="9"/>
            <color indexed="81"/>
            <rFont val="Tahoma"/>
            <family val="2"/>
          </rPr>
          <t xml:space="preserve">
net $3M adjustment</t>
        </r>
      </text>
    </comment>
    <comment ref="CZ100" authorId="2">
      <text>
        <r>
          <rPr>
            <b/>
            <sz val="9"/>
            <color indexed="81"/>
            <rFont val="Tahoma"/>
            <family val="2"/>
          </rPr>
          <t>Ripps, Maria (Research):</t>
        </r>
        <r>
          <rPr>
            <sz val="9"/>
            <color indexed="81"/>
            <rFont val="Tahoma"/>
            <family val="2"/>
          </rPr>
          <t xml:space="preserve">
$33M net adjustment =&gt; restructuring charges at Entertainment and Local Broadcasting primarily for the reorganization of certain business operations and other exit costs</t>
        </r>
      </text>
    </comment>
    <comment ref="DB100" authorId="2">
      <text>
        <r>
          <rPr>
            <b/>
            <sz val="9"/>
            <color indexed="81"/>
            <rFont val="Tahoma"/>
            <family val="2"/>
          </rPr>
          <t>Ripps, Maria (Research):</t>
        </r>
        <r>
          <rPr>
            <sz val="9"/>
            <color indexed="81"/>
            <rFont val="Tahoma"/>
            <family val="2"/>
          </rPr>
          <t xml:space="preserve">
$16M net =&gt; restructuring charges at Entertainment and Local Broadcasting primarily for the reorganization of certain business operations
$297M net =&gt; reflects a noncash impairment charge to reduce the carrying value of radio FCC licenses to their fair value
$(128)M net =&gt; reflects a gain from the sale of an Internet business in China</t>
        </r>
      </text>
    </comment>
    <comment ref="DD100" authorId="2">
      <text>
        <r>
          <rPr>
            <b/>
            <sz val="9"/>
            <color indexed="81"/>
            <rFont val="Tahoma"/>
            <family val="2"/>
          </rPr>
          <t>Ripps, Maria (Research):</t>
        </r>
        <r>
          <rPr>
            <sz val="9"/>
            <color indexed="81"/>
            <rFont val="Tahoma"/>
            <family val="2"/>
          </rPr>
          <t xml:space="preserve">
adjustments: 
$(5)M - net, gains on the sales of Internet businesses in China
$6M - the write-down of an international television joint venture to its fair value</t>
        </r>
      </text>
    </comment>
    <comment ref="DF100" authorId="2">
      <text>
        <r>
          <rPr>
            <b/>
            <sz val="9"/>
            <color indexed="81"/>
            <rFont val="Tahoma"/>
            <family val="2"/>
          </rPr>
          <t>Ripps, Maria (Research):</t>
        </r>
        <r>
          <rPr>
            <sz val="9"/>
            <color indexed="81"/>
            <rFont val="Tahoma"/>
            <family val="2"/>
          </rPr>
          <t xml:space="preserve">
$47M net adjustment =&gt; reflects a one-time tax benefit associated with a multiyear adjustment to a tax deduction, which was approved by the IRS during Q3'16</t>
        </r>
      </text>
    </comment>
    <comment ref="S107" authorId="1">
      <text>
        <r>
          <rPr>
            <b/>
            <sz val="8"/>
            <color indexed="81"/>
            <rFont val="Tahoma"/>
            <family val="2"/>
          </rPr>
          <t>krisbon:</t>
        </r>
        <r>
          <rPr>
            <sz val="8"/>
            <color indexed="81"/>
            <rFont val="Tahoma"/>
            <family val="2"/>
          </rPr>
          <t xml:space="preserve">
redstone conversion of 6m shares from Class A to Class B on Dec 29, 2010</t>
        </r>
      </text>
    </comment>
    <comment ref="CC107" authorId="1">
      <text>
        <r>
          <rPr>
            <b/>
            <sz val="8"/>
            <color indexed="81"/>
            <rFont val="Tahoma"/>
            <family val="2"/>
          </rPr>
          <t>krisbon:</t>
        </r>
        <r>
          <rPr>
            <sz val="8"/>
            <color indexed="81"/>
            <rFont val="Tahoma"/>
            <family val="2"/>
          </rPr>
          <t xml:space="preserve">
redstone conversion of 6m shares from Class A to Class B on Dec 29, 2010</t>
        </r>
      </text>
    </comment>
    <comment ref="J109" authorId="3">
      <text>
        <r>
          <rPr>
            <b/>
            <sz val="8"/>
            <color indexed="81"/>
            <rFont val="Tahoma"/>
            <family val="2"/>
          </rPr>
          <t>svetlana:</t>
        </r>
        <r>
          <rPr>
            <sz val="8"/>
            <color indexed="81"/>
            <rFont val="Tahoma"/>
            <family val="2"/>
          </rPr>
          <t xml:space="preserve">
133.4m - Class A shares
1,738m - Class B shares
225.9m - Class B Treasury Stock
</t>
        </r>
      </text>
    </comment>
    <comment ref="L109" authorId="0">
      <text>
        <r>
          <rPr>
            <b/>
            <sz val="8"/>
            <color indexed="81"/>
            <rFont val="Tahoma"/>
            <family val="2"/>
          </rPr>
          <t>farrantj:</t>
        </r>
        <r>
          <rPr>
            <sz val="8"/>
            <color indexed="81"/>
            <rFont val="Tahoma"/>
            <family val="2"/>
          </rPr>
          <t xml:space="preserve">
65.8</t>
        </r>
      </text>
    </comment>
    <comment ref="H112" authorId="11">
      <text>
        <r>
          <rPr>
            <b/>
            <sz val="8"/>
            <color indexed="81"/>
            <rFont val="Tahoma"/>
            <family val="2"/>
          </rPr>
          <t>bilotti:</t>
        </r>
        <r>
          <rPr>
            <sz val="8"/>
            <color indexed="81"/>
            <rFont val="Tahoma"/>
            <family val="2"/>
          </rPr>
          <t xml:space="preserve">
total Old Viacom activity to tie out share counts in 2002-2004.  thereafter, CBS activity
</t>
        </r>
      </text>
    </comment>
    <comment ref="I112" authorId="11">
      <text>
        <r>
          <rPr>
            <b/>
            <sz val="8"/>
            <color indexed="81"/>
            <rFont val="Tahoma"/>
            <family val="2"/>
          </rPr>
          <t>bilotti:</t>
        </r>
        <r>
          <rPr>
            <sz val="8"/>
            <color indexed="81"/>
            <rFont val="Tahoma"/>
            <family val="2"/>
          </rPr>
          <t xml:space="preserve">
total Old Viacom activity to tie out share counts in 2002-2004.  thereafter, CBS activity
</t>
        </r>
      </text>
    </comment>
    <comment ref="J112" authorId="11">
      <text>
        <r>
          <rPr>
            <b/>
            <sz val="8"/>
            <color indexed="81"/>
            <rFont val="Tahoma"/>
            <family val="2"/>
          </rPr>
          <t>bilotti:</t>
        </r>
        <r>
          <rPr>
            <sz val="8"/>
            <color indexed="81"/>
            <rFont val="Tahoma"/>
            <family val="2"/>
          </rPr>
          <t xml:space="preserve">
total Old Viacom activity to tie out share counts in 2002-2004.  thereafter, CBS activity
</t>
        </r>
      </text>
    </comment>
    <comment ref="K112" authorId="11">
      <text>
        <r>
          <rPr>
            <b/>
            <sz val="8"/>
            <color indexed="81"/>
            <rFont val="Tahoma"/>
            <family val="2"/>
          </rPr>
          <t>bilotti:</t>
        </r>
        <r>
          <rPr>
            <sz val="8"/>
            <color indexed="81"/>
            <rFont val="Tahoma"/>
            <family val="2"/>
          </rPr>
          <t xml:space="preserve">
assumes CBS employees exercise 9.1mm options and New Viacom employees exercise 1.6mm options, in both cases prior to the split.  Therefore, the sharess are divided by two and assumed to be equal for both companies in 2005
</t>
        </r>
      </text>
    </comment>
    <comment ref="H113" authorId="11">
      <text>
        <r>
          <rPr>
            <b/>
            <sz val="8"/>
            <color indexed="81"/>
            <rFont val="Tahoma"/>
            <family val="2"/>
          </rPr>
          <t>bilotti:</t>
        </r>
        <r>
          <rPr>
            <sz val="8"/>
            <color indexed="81"/>
            <rFont val="Tahoma"/>
            <family val="2"/>
          </rPr>
          <t xml:space="preserve">
total Old Viacom activity to tie out share counts in 2002-2004.  thereafter, CBS activity
</t>
        </r>
      </text>
    </comment>
    <comment ref="I113" authorId="11">
      <text>
        <r>
          <rPr>
            <b/>
            <sz val="8"/>
            <color indexed="81"/>
            <rFont val="Tahoma"/>
            <family val="2"/>
          </rPr>
          <t>bilotti:</t>
        </r>
        <r>
          <rPr>
            <sz val="8"/>
            <color indexed="81"/>
            <rFont val="Tahoma"/>
            <family val="2"/>
          </rPr>
          <t xml:space="preserve">
total Old Viacom activity to tie out share counts in 2002-2004.  thereafter, CBS activity
</t>
        </r>
      </text>
    </comment>
    <comment ref="J113" authorId="11">
      <text>
        <r>
          <rPr>
            <b/>
            <sz val="8"/>
            <color indexed="81"/>
            <rFont val="Tahoma"/>
            <family val="2"/>
          </rPr>
          <t>bilotti:</t>
        </r>
        <r>
          <rPr>
            <sz val="8"/>
            <color indexed="81"/>
            <rFont val="Tahoma"/>
            <family val="2"/>
          </rPr>
          <t xml:space="preserve">
total Old Viacom activity to tie out share counts in 2002-2004.  thereafter, CBS activity -34.2
</t>
        </r>
      </text>
    </comment>
    <comment ref="K113" authorId="0">
      <text>
        <r>
          <rPr>
            <b/>
            <sz val="8"/>
            <color indexed="81"/>
            <rFont val="Tahoma"/>
            <family val="2"/>
          </rPr>
          <t>farrantj:</t>
        </r>
        <r>
          <rPr>
            <sz val="8"/>
            <color indexed="81"/>
            <rFont val="Tahoma"/>
            <family val="2"/>
          </rPr>
          <t xml:space="preserve">
previuous year expected changes in shares rolled forward ? V -70.3</t>
        </r>
      </text>
    </comment>
    <comment ref="S113" authorId="1">
      <text>
        <r>
          <rPr>
            <b/>
            <sz val="8"/>
            <color indexed="81"/>
            <rFont val="Tahoma"/>
            <family val="2"/>
          </rPr>
          <t>krisbon:</t>
        </r>
        <r>
          <rPr>
            <sz val="8"/>
            <color indexed="81"/>
            <rFont val="Tahoma"/>
            <family val="2"/>
          </rPr>
          <t xml:space="preserve">
redstone conversion of 6m shares from Class A to Class B on Dec 29, 2010</t>
        </r>
      </text>
    </comment>
    <comment ref="BM113" authorId="12">
      <text>
        <r>
          <rPr>
            <b/>
            <sz val="8"/>
            <color indexed="81"/>
            <rFont val="Tahoma"/>
            <family val="2"/>
          </rPr>
          <t>Chad Harris:</t>
        </r>
        <r>
          <rPr>
            <sz val="8"/>
            <color indexed="81"/>
            <rFont val="Tahoma"/>
            <family val="2"/>
          </rPr>
          <t xml:space="preserve">
50.7 mm shares repurchasesd as of Sept 5</t>
        </r>
      </text>
    </comment>
    <comment ref="CC113" authorId="1">
      <text>
        <r>
          <rPr>
            <b/>
            <sz val="8"/>
            <color indexed="81"/>
            <rFont val="Tahoma"/>
            <family val="2"/>
          </rPr>
          <t>krisbon:</t>
        </r>
        <r>
          <rPr>
            <sz val="8"/>
            <color indexed="81"/>
            <rFont val="Tahoma"/>
            <family val="2"/>
          </rPr>
          <t xml:space="preserve">
redstone conversion of 6m shares from Class A to Class B on Dec 29, 2010</t>
        </r>
      </text>
    </comment>
    <comment ref="J114" authorId="11">
      <text>
        <r>
          <rPr>
            <b/>
            <sz val="8"/>
            <color indexed="81"/>
            <rFont val="Tahoma"/>
            <family val="2"/>
          </rPr>
          <t>bilotti:</t>
        </r>
        <r>
          <rPr>
            <sz val="8"/>
            <color indexed="81"/>
            <rFont val="Tahoma"/>
            <family val="2"/>
          </rPr>
          <t xml:space="preserve">
BBI split-off and conversion of VIA.A into VIA.B -77</t>
        </r>
      </text>
    </comment>
    <comment ref="CU114" authorId="10">
      <text>
        <r>
          <rPr>
            <b/>
            <sz val="9"/>
            <color indexed="81"/>
            <rFont val="Tahoma"/>
            <family val="2"/>
          </rPr>
          <t>Khadilkar, Hersh S (Research):</t>
        </r>
        <r>
          <rPr>
            <sz val="9"/>
            <color indexed="81"/>
            <rFont val="Tahoma"/>
            <family val="2"/>
          </rPr>
          <t xml:space="preserve">
some of 1Q ASR did not settle until 2Q, removing this from share count</t>
        </r>
      </text>
    </comment>
    <comment ref="CV114" authorId="10">
      <text>
        <r>
          <rPr>
            <b/>
            <sz val="9"/>
            <color indexed="81"/>
            <rFont val="Tahoma"/>
            <family val="2"/>
          </rPr>
          <t>Khadilkar, Hersh S (Research):</t>
        </r>
        <r>
          <rPr>
            <sz val="9"/>
            <color indexed="81"/>
            <rFont val="Tahoma"/>
            <family val="2"/>
          </rPr>
          <t xml:space="preserve">
44.7MM share shrink from CBSO exchange offer, 6mm adjustment to buyback being weighted to back half of quarter</t>
        </r>
      </text>
    </comment>
    <comment ref="DL114" authorId="2">
      <text>
        <r>
          <rPr>
            <b/>
            <sz val="9"/>
            <color indexed="81"/>
            <rFont val="Tahoma"/>
            <family val="2"/>
          </rPr>
          <t>Ripps, Maria (Research):</t>
        </r>
        <r>
          <rPr>
            <sz val="9"/>
            <color indexed="81"/>
            <rFont val="Tahoma"/>
            <family val="2"/>
          </rPr>
          <t xml:space="preserve">
PR: will retire ~17.9M shares
Mid-Nov close</t>
        </r>
      </text>
    </comment>
    <comment ref="K115" authorId="0">
      <text>
        <r>
          <rPr>
            <b/>
            <sz val="8"/>
            <color indexed="81"/>
            <rFont val="Tahoma"/>
            <family val="2"/>
          </rPr>
          <t>farrantj:</t>
        </r>
        <r>
          <rPr>
            <sz val="8"/>
            <color indexed="81"/>
            <rFont val="Tahoma"/>
            <family val="2"/>
          </rPr>
          <t xml:space="preserve">
v 685.3</t>
        </r>
      </text>
    </comment>
    <comment ref="L115" authorId="0">
      <text>
        <r>
          <rPr>
            <b/>
            <sz val="8"/>
            <color indexed="81"/>
            <rFont val="Tahoma"/>
            <family val="2"/>
          </rPr>
          <t>farrantj:</t>
        </r>
        <r>
          <rPr>
            <sz val="8"/>
            <color indexed="81"/>
            <rFont val="Tahoma"/>
            <family val="2"/>
          </rPr>
          <t xml:space="preserve">
was 707</t>
        </r>
      </text>
    </comment>
    <comment ref="M115" authorId="4">
      <text>
        <r>
          <rPr>
            <b/>
            <sz val="8"/>
            <color indexed="81"/>
            <rFont val="Tahoma"/>
            <family val="2"/>
          </rPr>
          <t>haberlec:</t>
        </r>
        <r>
          <rPr>
            <sz val="8"/>
            <color indexed="81"/>
            <rFont val="Tahoma"/>
            <family val="2"/>
          </rPr>
          <t xml:space="preserve">
most of shares bought back are in treasury stock at year end for a balance of 114.7mm</t>
        </r>
      </text>
    </comment>
    <comment ref="L117" authorId="0">
      <text>
        <r>
          <rPr>
            <b/>
            <sz val="8"/>
            <color indexed="81"/>
            <rFont val="Tahoma"/>
            <family val="2"/>
          </rPr>
          <t>farrantj:</t>
        </r>
        <r>
          <rPr>
            <sz val="8"/>
            <color indexed="81"/>
            <rFont val="Tahoma"/>
            <family val="2"/>
          </rPr>
          <t xml:space="preserve">
was 762</t>
        </r>
      </text>
    </comment>
    <comment ref="CO117" authorId="9">
      <text>
        <r>
          <rPr>
            <b/>
            <sz val="8"/>
            <color indexed="81"/>
            <rFont val="Tahoma"/>
            <family val="2"/>
          </rPr>
          <t>fiftrya:</t>
        </r>
        <r>
          <rPr>
            <sz val="8"/>
            <color indexed="81"/>
            <rFont val="Tahoma"/>
            <family val="2"/>
          </rPr>
          <t xml:space="preserve">
Adjusted for back-end weighting</t>
        </r>
      </text>
    </comment>
    <comment ref="CT117" authorId="10">
      <text>
        <r>
          <rPr>
            <b/>
            <sz val="9"/>
            <color indexed="81"/>
            <rFont val="Tahoma"/>
            <family val="2"/>
          </rPr>
          <t>Khadilkar, Hersh S (Research):</t>
        </r>
        <r>
          <rPr>
            <sz val="9"/>
            <color indexed="81"/>
            <rFont val="Tahoma"/>
            <family val="2"/>
          </rPr>
          <t xml:space="preserve">
PF for outdoor split 7/22/2014 8-K</t>
        </r>
      </text>
    </comment>
    <comment ref="CU117" authorId="10">
      <text>
        <r>
          <rPr>
            <b/>
            <sz val="9"/>
            <color indexed="81"/>
            <rFont val="Tahoma"/>
            <family val="2"/>
          </rPr>
          <t>Khadilkar, Hersh S (Research):</t>
        </r>
        <r>
          <rPr>
            <sz val="9"/>
            <color indexed="81"/>
            <rFont val="Tahoma"/>
            <family val="2"/>
          </rPr>
          <t xml:space="preserve">
PF for outdoor split 7/22/2014 8-K</t>
        </r>
      </text>
    </comment>
    <comment ref="CV117" authorId="10">
      <text>
        <r>
          <rPr>
            <b/>
            <sz val="9"/>
            <color indexed="81"/>
            <rFont val="Tahoma"/>
            <family val="2"/>
          </rPr>
          <t>Khadilkar, Hersh S (Research):</t>
        </r>
        <r>
          <rPr>
            <sz val="9"/>
            <color indexed="81"/>
            <rFont val="Tahoma"/>
            <family val="2"/>
          </rPr>
          <t xml:space="preserve">
calculated on separate spreadsheet assuming quarter end exchange offer</t>
        </r>
      </text>
    </comment>
    <comment ref="DL117" authorId="2">
      <text>
        <r>
          <rPr>
            <b/>
            <sz val="9"/>
            <color indexed="81"/>
            <rFont val="Tahoma"/>
            <family val="2"/>
          </rPr>
          <t>Ripps, Maria (Research):</t>
        </r>
        <r>
          <rPr>
            <sz val="9"/>
            <color indexed="81"/>
            <rFont val="Tahoma"/>
            <family val="2"/>
          </rPr>
          <t xml:space="preserve">
Adjusted to reflect mid-Nov close; shares are time-weighted</t>
        </r>
      </text>
    </comment>
    <comment ref="A119" authorId="3">
      <text>
        <r>
          <rPr>
            <b/>
            <sz val="8"/>
            <color indexed="81"/>
            <rFont val="Tahoma"/>
            <family val="2"/>
          </rPr>
          <t>svetlana:</t>
        </r>
        <r>
          <rPr>
            <sz val="8"/>
            <color indexed="81"/>
            <rFont val="Tahoma"/>
            <family val="2"/>
          </rPr>
          <t xml:space="preserve">
"A restricted share is a share of New Viacom class B common stock granted to the participant subject to restrictions as determined by the New Viacom compensation committee".</t>
        </r>
      </text>
    </comment>
    <comment ref="A120" authorId="3">
      <text>
        <r>
          <rPr>
            <b/>
            <sz val="8"/>
            <color indexed="81"/>
            <rFont val="Tahoma"/>
            <family val="2"/>
          </rPr>
          <t>svetlana:</t>
        </r>
        <r>
          <rPr>
            <sz val="8"/>
            <color indexed="81"/>
            <rFont val="Tahoma"/>
            <family val="2"/>
          </rPr>
          <t xml:space="preserve">
"A RSU is a contractual right to receive, in the discretion of the New Viacom compensation committee, a share of New Viacom class B common stock, a cash payment equal to the fair market value of a share of New Viacom class B common stock or a combination of cash and New Viacom class B common stock.
P. 137 of S-4</t>
        </r>
      </text>
    </comment>
    <comment ref="A121" authorId="3">
      <text>
        <r>
          <rPr>
            <b/>
            <sz val="8"/>
            <color indexed="81"/>
            <rFont val="Tahoma"/>
            <family val="2"/>
          </rPr>
          <t>svetlana:</t>
        </r>
        <r>
          <rPr>
            <sz val="8"/>
            <color indexed="81"/>
            <rFont val="Tahoma"/>
            <family val="2"/>
          </rPr>
          <t xml:space="preserve">
The compensation committee will determine the date of the grant and the subsequent valuation dates.  "The appreciation value of a phantom share will be paid to a participant in cash or, in the discretion of the New Viacom compensation committee, in shares of New Viacom class B common stock."
page 137 of S-4</t>
        </r>
      </text>
    </comment>
    <comment ref="CV122" authorId="10">
      <text>
        <r>
          <rPr>
            <b/>
            <sz val="9"/>
            <color indexed="81"/>
            <rFont val="Tahoma"/>
            <family val="2"/>
          </rPr>
          <t>Khadilkar, Hersh S (Research):</t>
        </r>
        <r>
          <rPr>
            <sz val="9"/>
            <color indexed="81"/>
            <rFont val="Tahoma"/>
            <family val="2"/>
          </rPr>
          <t xml:space="preserve">
adjustment as buyback weighted to back half of quarter</t>
        </r>
      </text>
    </comment>
    <comment ref="CY122" authorId="2">
      <text>
        <r>
          <rPr>
            <b/>
            <sz val="9"/>
            <color indexed="81"/>
            <rFont val="Tahoma"/>
            <family val="2"/>
          </rPr>
          <t>Ripps, Maria (Research):</t>
        </r>
        <r>
          <rPr>
            <sz val="9"/>
            <color indexed="81"/>
            <rFont val="Tahoma"/>
            <family val="2"/>
          </rPr>
          <t xml:space="preserve">
adjustment as buyback weighted to first half of Q1</t>
        </r>
      </text>
    </comment>
    <comment ref="I123" authorId="0">
      <text>
        <r>
          <rPr>
            <b/>
            <sz val="8"/>
            <color indexed="81"/>
            <rFont val="Tahoma"/>
            <family val="2"/>
          </rPr>
          <t>farrantj:</t>
        </r>
        <r>
          <rPr>
            <sz val="8"/>
            <color indexed="81"/>
            <rFont val="Tahoma"/>
            <family val="2"/>
          </rPr>
          <t xml:space="preserve">
880.4</t>
        </r>
      </text>
    </comment>
    <comment ref="CT123" authorId="10">
      <text>
        <r>
          <rPr>
            <b/>
            <sz val="9"/>
            <color indexed="81"/>
            <rFont val="Tahoma"/>
            <family val="2"/>
          </rPr>
          <t>Khadilkar, Hersh S (Research):</t>
        </r>
        <r>
          <rPr>
            <sz val="9"/>
            <color indexed="81"/>
            <rFont val="Tahoma"/>
            <family val="2"/>
          </rPr>
          <t xml:space="preserve">
PF for outdoor split 7/22/2014 8-K</t>
        </r>
      </text>
    </comment>
    <comment ref="CU123" authorId="10">
      <text>
        <r>
          <rPr>
            <b/>
            <sz val="9"/>
            <color indexed="81"/>
            <rFont val="Tahoma"/>
            <family val="2"/>
          </rPr>
          <t>Khadilkar, Hersh S (Research):</t>
        </r>
        <r>
          <rPr>
            <sz val="9"/>
            <color indexed="81"/>
            <rFont val="Tahoma"/>
            <family val="2"/>
          </rPr>
          <t xml:space="preserve">
PF for outdoor split 7/22/2014 8-K</t>
        </r>
      </text>
    </comment>
    <comment ref="DL123" authorId="2">
      <text>
        <r>
          <rPr>
            <b/>
            <sz val="9"/>
            <color indexed="81"/>
            <rFont val="Tahoma"/>
            <family val="2"/>
          </rPr>
          <t>Ripps, Maria (Research):</t>
        </r>
        <r>
          <rPr>
            <sz val="9"/>
            <color indexed="81"/>
            <rFont val="Tahoma"/>
            <family val="2"/>
          </rPr>
          <t xml:space="preserve">
Adjusted to reflect end of Q close (share reduction is not reflected in average share count)</t>
        </r>
      </text>
    </comment>
    <comment ref="K124" authorId="0">
      <text>
        <r>
          <rPr>
            <b/>
            <sz val="8"/>
            <color indexed="81"/>
            <rFont val="Tahoma"/>
            <family val="2"/>
          </rPr>
          <t>farrantj:</t>
        </r>
        <r>
          <rPr>
            <sz val="8"/>
            <color indexed="81"/>
            <rFont val="Tahoma"/>
            <family val="2"/>
          </rPr>
          <t xml:space="preserve">
was 4.2</t>
        </r>
      </text>
    </comment>
    <comment ref="J125" authorId="0">
      <text>
        <r>
          <rPr>
            <b/>
            <sz val="8"/>
            <color indexed="81"/>
            <rFont val="Tahoma"/>
            <family val="2"/>
          </rPr>
          <t>farrantj:</t>
        </r>
        <r>
          <rPr>
            <sz val="8"/>
            <color indexed="81"/>
            <rFont val="Tahoma"/>
            <family val="2"/>
          </rPr>
          <t xml:space="preserve">
861.6</t>
        </r>
      </text>
    </comment>
    <comment ref="I128" authorId="0">
      <text>
        <r>
          <rPr>
            <b/>
            <sz val="8"/>
            <color indexed="81"/>
            <rFont val="Tahoma"/>
            <family val="2"/>
          </rPr>
          <t>farrantj:</t>
        </r>
        <r>
          <rPr>
            <sz val="8"/>
            <color indexed="81"/>
            <rFont val="Tahoma"/>
            <family val="2"/>
          </rPr>
          <t xml:space="preserve">
44.8</t>
        </r>
      </text>
    </comment>
    <comment ref="J128" authorId="0">
      <text>
        <r>
          <rPr>
            <b/>
            <sz val="8"/>
            <color indexed="81"/>
            <rFont val="Tahoma"/>
            <family val="2"/>
          </rPr>
          <t>farrantj:</t>
        </r>
        <r>
          <rPr>
            <sz val="8"/>
            <color indexed="81"/>
            <rFont val="Tahoma"/>
            <family val="2"/>
          </rPr>
          <t xml:space="preserve">
50.93</t>
        </r>
      </text>
    </comment>
    <comment ref="K128" authorId="0">
      <text>
        <r>
          <rPr>
            <b/>
            <sz val="8"/>
            <color indexed="81"/>
            <rFont val="Tahoma"/>
            <family val="2"/>
          </rPr>
          <t>farrantj:</t>
        </r>
        <r>
          <rPr>
            <sz val="8"/>
            <color indexed="81"/>
            <rFont val="Tahoma"/>
            <family val="2"/>
          </rPr>
          <t xml:space="preserve">
59.69</t>
        </r>
      </text>
    </comment>
    <comment ref="I130" authorId="0">
      <text>
        <r>
          <rPr>
            <b/>
            <sz val="8"/>
            <color indexed="81"/>
            <rFont val="Tahoma"/>
            <family val="2"/>
          </rPr>
          <t>farrantj:</t>
        </r>
        <r>
          <rPr>
            <sz val="8"/>
            <color indexed="81"/>
            <rFont val="Tahoma"/>
            <family val="2"/>
          </rPr>
          <t xml:space="preserve">
16</t>
        </r>
      </text>
    </comment>
    <comment ref="J130" authorId="0">
      <text>
        <r>
          <rPr>
            <b/>
            <sz val="8"/>
            <color indexed="81"/>
            <rFont val="Tahoma"/>
            <family val="2"/>
          </rPr>
          <t>farrantj:</t>
        </r>
        <r>
          <rPr>
            <sz val="8"/>
            <color indexed="81"/>
            <rFont val="Tahoma"/>
            <family val="2"/>
          </rPr>
          <t xml:space="preserve">
18</t>
        </r>
      </text>
    </comment>
    <comment ref="K130" authorId="0">
      <text>
        <r>
          <rPr>
            <b/>
            <sz val="8"/>
            <color indexed="81"/>
            <rFont val="Tahoma"/>
            <family val="2"/>
          </rPr>
          <t>farrantj:</t>
        </r>
        <r>
          <rPr>
            <sz val="8"/>
            <color indexed="81"/>
            <rFont val="Tahoma"/>
            <family val="2"/>
          </rPr>
          <t xml:space="preserve">
17.3</t>
        </r>
      </text>
    </comment>
    <comment ref="N130" authorId="1">
      <text>
        <r>
          <rPr>
            <b/>
            <sz val="8"/>
            <color indexed="81"/>
            <rFont val="Tahoma"/>
            <family val="2"/>
          </rPr>
          <t>krisbon:</t>
        </r>
        <r>
          <rPr>
            <sz val="8"/>
            <color indexed="81"/>
            <rFont val="Tahoma"/>
            <family val="2"/>
          </rPr>
          <t xml:space="preserve">
includes assumption of CNET options</t>
        </r>
      </text>
    </comment>
    <comment ref="I133" authorId="0">
      <text>
        <r>
          <rPr>
            <b/>
            <sz val="8"/>
            <color indexed="81"/>
            <rFont val="Tahoma"/>
            <family val="2"/>
          </rPr>
          <t>farrantj:</t>
        </r>
        <r>
          <rPr>
            <sz val="8"/>
            <color indexed="81"/>
            <rFont val="Tahoma"/>
            <family val="2"/>
          </rPr>
          <t xml:space="preserve">
-7.2</t>
        </r>
      </text>
    </comment>
    <comment ref="J133" authorId="0">
      <text>
        <r>
          <rPr>
            <b/>
            <sz val="8"/>
            <color indexed="81"/>
            <rFont val="Tahoma"/>
            <family val="2"/>
          </rPr>
          <t>farrantj:</t>
        </r>
        <r>
          <rPr>
            <sz val="8"/>
            <color indexed="81"/>
            <rFont val="Tahoma"/>
            <family val="2"/>
          </rPr>
          <t xml:space="preserve">
-4.7</t>
        </r>
      </text>
    </comment>
    <comment ref="K133" authorId="0">
      <text>
        <r>
          <rPr>
            <b/>
            <sz val="8"/>
            <color indexed="81"/>
            <rFont val="Tahoma"/>
            <family val="2"/>
          </rPr>
          <t>farrantj:</t>
        </r>
        <r>
          <rPr>
            <sz val="8"/>
            <color indexed="81"/>
            <rFont val="Tahoma"/>
            <family val="2"/>
          </rPr>
          <t xml:space="preserve">
-9.1</t>
        </r>
      </text>
    </comment>
    <comment ref="L133" authorId="0">
      <text>
        <r>
          <rPr>
            <b/>
            <sz val="8"/>
            <color indexed="81"/>
            <rFont val="Tahoma"/>
            <family val="2"/>
          </rPr>
          <t>farrantj:</t>
        </r>
        <r>
          <rPr>
            <sz val="8"/>
            <color indexed="81"/>
            <rFont val="Tahoma"/>
            <family val="2"/>
          </rPr>
          <t xml:space="preserve">
-11.1</t>
        </r>
      </text>
    </comment>
    <comment ref="I136" authorId="0">
      <text>
        <r>
          <rPr>
            <b/>
            <sz val="8"/>
            <color indexed="81"/>
            <rFont val="Tahoma"/>
            <family val="2"/>
          </rPr>
          <t>farrantj:</t>
        </r>
        <r>
          <rPr>
            <sz val="8"/>
            <color indexed="81"/>
            <rFont val="Tahoma"/>
            <family val="2"/>
          </rPr>
          <t xml:space="preserve">
-2.7</t>
        </r>
      </text>
    </comment>
    <comment ref="J136" authorId="0">
      <text>
        <r>
          <rPr>
            <b/>
            <sz val="8"/>
            <color indexed="81"/>
            <rFont val="Tahoma"/>
            <family val="2"/>
          </rPr>
          <t>farrantj:</t>
        </r>
        <r>
          <rPr>
            <sz val="8"/>
            <color indexed="81"/>
            <rFont val="Tahoma"/>
            <family val="2"/>
          </rPr>
          <t xml:space="preserve">
-4.6</t>
        </r>
      </text>
    </comment>
    <comment ref="K136" authorId="0">
      <text>
        <r>
          <rPr>
            <b/>
            <sz val="8"/>
            <color indexed="81"/>
            <rFont val="Tahoma"/>
            <family val="2"/>
          </rPr>
          <t>farrantj:</t>
        </r>
        <r>
          <rPr>
            <sz val="8"/>
            <color indexed="81"/>
            <rFont val="Tahoma"/>
            <family val="2"/>
          </rPr>
          <t xml:space="preserve">
-11.6</t>
        </r>
      </text>
    </comment>
    <comment ref="L136" authorId="0">
      <text>
        <r>
          <rPr>
            <b/>
            <sz val="8"/>
            <color indexed="81"/>
            <rFont val="Tahoma"/>
            <family val="2"/>
          </rPr>
          <t>farrantj:</t>
        </r>
        <r>
          <rPr>
            <sz val="8"/>
            <color indexed="81"/>
            <rFont val="Tahoma"/>
            <family val="2"/>
          </rPr>
          <t xml:space="preserve">
-9.5</t>
        </r>
      </text>
    </comment>
    <comment ref="H148" authorId="0">
      <text>
        <r>
          <rPr>
            <b/>
            <sz val="8"/>
            <color indexed="81"/>
            <rFont val="Tahoma"/>
            <family val="2"/>
          </rPr>
          <t>farrantj:</t>
        </r>
        <r>
          <rPr>
            <sz val="8"/>
            <color indexed="81"/>
            <rFont val="Tahoma"/>
            <family val="2"/>
          </rPr>
          <t xml:space="preserve">
44.8</t>
        </r>
      </text>
    </comment>
    <comment ref="I148" authorId="0">
      <text>
        <r>
          <rPr>
            <b/>
            <sz val="8"/>
            <color indexed="81"/>
            <rFont val="Tahoma"/>
            <family val="2"/>
          </rPr>
          <t>farrantj:</t>
        </r>
        <r>
          <rPr>
            <sz val="8"/>
            <color indexed="81"/>
            <rFont val="Tahoma"/>
            <family val="2"/>
          </rPr>
          <t xml:space="preserve">
50.9</t>
        </r>
      </text>
    </comment>
    <comment ref="J148" authorId="0">
      <text>
        <r>
          <rPr>
            <b/>
            <sz val="8"/>
            <color indexed="81"/>
            <rFont val="Tahoma"/>
            <family val="2"/>
          </rPr>
          <t>farrantj:</t>
        </r>
        <r>
          <rPr>
            <sz val="8"/>
            <color indexed="81"/>
            <rFont val="Tahoma"/>
            <family val="2"/>
          </rPr>
          <t xml:space="preserve">
59.7</t>
        </r>
      </text>
    </comment>
    <comment ref="K148" authorId="0">
      <text>
        <r>
          <rPr>
            <b/>
            <sz val="8"/>
            <color indexed="81"/>
            <rFont val="Tahoma"/>
            <family val="2"/>
          </rPr>
          <t>farrantj:</t>
        </r>
        <r>
          <rPr>
            <sz val="8"/>
            <color indexed="81"/>
            <rFont val="Tahoma"/>
            <family val="2"/>
          </rPr>
          <t xml:space="preserve">
56.3</t>
        </r>
      </text>
    </comment>
    <comment ref="I156" authorId="3">
      <text>
        <r>
          <rPr>
            <b/>
            <sz val="8"/>
            <color indexed="81"/>
            <rFont val="Tahoma"/>
            <family val="2"/>
          </rPr>
          <t>svetlana:</t>
        </r>
        <r>
          <rPr>
            <sz val="8"/>
            <color indexed="81"/>
            <rFont val="Tahoma"/>
            <family val="2"/>
          </rPr>
          <t xml:space="preserve">
$209m reported by Old VIA  209.3</t>
        </r>
      </text>
    </comment>
    <comment ref="J156" authorId="3">
      <text>
        <r>
          <rPr>
            <b/>
            <sz val="8"/>
            <color indexed="81"/>
            <rFont val="Tahoma"/>
            <family val="2"/>
          </rPr>
          <t>svetlana:</t>
        </r>
        <r>
          <rPr>
            <sz val="8"/>
            <color indexed="81"/>
            <rFont val="Tahoma"/>
            <family val="2"/>
          </rPr>
          <t xml:space="preserve">
$427m reported by Old VIA  428.6</t>
        </r>
      </text>
    </comment>
    <comment ref="T158" authorId="8">
      <text>
        <r>
          <rPr>
            <b/>
            <sz val="8"/>
            <color indexed="81"/>
            <rFont val="Tahoma"/>
            <family val="2"/>
          </rPr>
          <t>Micah Nance:</t>
        </r>
        <r>
          <rPr>
            <sz val="8"/>
            <color indexed="81"/>
            <rFont val="Tahoma"/>
            <family val="2"/>
          </rPr>
          <t xml:space="preserve">
10c for 2-4Q</t>
        </r>
      </text>
    </comment>
    <comment ref="U158" authorId="8">
      <text>
        <r>
          <rPr>
            <b/>
            <sz val="8"/>
            <color indexed="81"/>
            <rFont val="Tahoma"/>
            <family val="2"/>
          </rPr>
          <t>fiftrya:</t>
        </r>
        <r>
          <rPr>
            <sz val="8"/>
            <color indexed="81"/>
            <rFont val="Tahoma"/>
            <family val="2"/>
          </rPr>
          <t xml:space="preserve">
20% div raise in 2H</t>
        </r>
      </text>
    </comment>
    <comment ref="AA158" authorId="2">
      <text>
        <r>
          <rPr>
            <b/>
            <sz val="9"/>
            <color indexed="81"/>
            <rFont val="Tahoma"/>
            <family val="2"/>
          </rPr>
          <t>Ripps, Maria (Research):</t>
        </r>
        <r>
          <rPr>
            <sz val="9"/>
            <color indexed="81"/>
            <rFont val="Tahoma"/>
            <family val="2"/>
          </rPr>
          <t xml:space="preserve">
$0.15 for Q1 (Jan28, '16)
07/28/16 BOD authorized 20% div increase from $0.15 to $0.18</t>
        </r>
      </text>
    </comment>
    <comment ref="AC158" authorId="2">
      <text>
        <r>
          <rPr>
            <b/>
            <sz val="9"/>
            <color indexed="81"/>
            <rFont val="Tahoma"/>
            <family val="2"/>
          </rPr>
          <t>Ripps, Maria (Research):</t>
        </r>
        <r>
          <rPr>
            <sz val="9"/>
            <color indexed="81"/>
            <rFont val="Tahoma"/>
            <family val="2"/>
          </rPr>
          <t xml:space="preserve">
Nov 21 - $0.18/Q</t>
        </r>
      </text>
    </comment>
    <comment ref="CP163" authorId="6">
      <text>
        <r>
          <rPr>
            <b/>
            <sz val="8"/>
            <color indexed="81"/>
            <rFont val="Tahoma"/>
            <family val="2"/>
          </rPr>
          <t>hershk:</t>
        </r>
        <r>
          <rPr>
            <sz val="8"/>
            <color indexed="81"/>
            <rFont val="Tahoma"/>
            <family val="2"/>
          </rPr>
          <t xml:space="preserve">
During the second quarter of 2013, the Company repurchased 6.1 million shares of its Class B Common Stock for $296 million, at an average cost of
$48.33 per share, and also received 4.3 million shares of its Class B Common stock upon the settlement of an accelerated share repurchase ("ASR")
transaction that was initiated during the first quarter of 2013</t>
        </r>
      </text>
    </comment>
    <comment ref="CU163" authorId="10">
      <text>
        <r>
          <rPr>
            <b/>
            <sz val="9"/>
            <color indexed="81"/>
            <rFont val="Tahoma"/>
            <family val="2"/>
          </rPr>
          <t>Khadilkar, Hersh S (Research):</t>
        </r>
        <r>
          <rPr>
            <sz val="9"/>
            <color indexed="81"/>
            <rFont val="Tahoma"/>
            <family val="2"/>
          </rPr>
          <t xml:space="preserve">
increase buyback from $3bn to $6bn</t>
        </r>
      </text>
    </comment>
    <comment ref="CV163" authorId="10">
      <text>
        <r>
          <rPr>
            <b/>
            <sz val="9"/>
            <color indexed="81"/>
            <rFont val="Tahoma"/>
            <family val="2"/>
          </rPr>
          <t>Khadilkar, Hersh S (Research):</t>
        </r>
        <r>
          <rPr>
            <sz val="9"/>
            <color indexed="81"/>
            <rFont val="Tahoma"/>
            <family val="2"/>
          </rPr>
          <t xml:space="preserve">
$300mm recurring buyback + 1/2 of $615mm CBSO IPO proceeds</t>
        </r>
      </text>
    </comment>
    <comment ref="CW163" authorId="2">
      <text>
        <r>
          <rPr>
            <b/>
            <sz val="9"/>
            <color indexed="81"/>
            <rFont val="Tahoma"/>
            <family val="2"/>
          </rPr>
          <t>Ripps, Maria (Research):</t>
        </r>
        <r>
          <rPr>
            <sz val="9"/>
            <color indexed="81"/>
            <rFont val="Tahoma"/>
            <family val="2"/>
          </rPr>
          <t xml:space="preserve">
$800m per press release </t>
        </r>
      </text>
    </comment>
    <comment ref="CZ163" authorId="2">
      <text>
        <r>
          <rPr>
            <b/>
            <sz val="9"/>
            <color indexed="81"/>
            <rFont val="Tahoma"/>
            <family val="2"/>
          </rPr>
          <t>Ripps, Maria (Research):</t>
        </r>
        <r>
          <rPr>
            <sz val="9"/>
            <color indexed="81"/>
            <rFont val="Tahoma"/>
            <family val="2"/>
          </rPr>
          <t xml:space="preserve">
$799M from press release</t>
        </r>
      </text>
    </comment>
    <comment ref="CG166" authorId="8">
      <text>
        <r>
          <rPr>
            <b/>
            <sz val="8"/>
            <color indexed="81"/>
            <rFont val="Tahoma"/>
            <family val="2"/>
          </rPr>
          <t>Micah Nance:</t>
        </r>
        <r>
          <rPr>
            <sz val="8"/>
            <color indexed="81"/>
            <rFont val="Tahoma"/>
            <family val="2"/>
          </rPr>
          <t xml:space="preserve">
avg price during qtr</t>
        </r>
      </text>
    </comment>
    <comment ref="CO166" authorId="13">
      <text>
        <r>
          <rPr>
            <b/>
            <sz val="8"/>
            <color indexed="81"/>
            <rFont val="Tahoma"/>
            <family val="2"/>
          </rPr>
          <t>matheemi:</t>
        </r>
        <r>
          <rPr>
            <sz val="8"/>
            <color indexed="81"/>
            <rFont val="Tahoma"/>
            <family val="2"/>
          </rPr>
          <t xml:space="preserve">
share price potentially distorted by the ASR</t>
        </r>
      </text>
    </comment>
    <comment ref="CV166" authorId="10">
      <text>
        <r>
          <rPr>
            <b/>
            <sz val="9"/>
            <color indexed="81"/>
            <rFont val="Tahoma"/>
            <family val="2"/>
          </rPr>
          <t>Khadilkar, Hersh S (Research):</t>
        </r>
        <r>
          <rPr>
            <sz val="9"/>
            <color indexed="81"/>
            <rFont val="Tahoma"/>
            <family val="2"/>
          </rPr>
          <t xml:space="preserve">
avg during 3Q</t>
        </r>
      </text>
    </comment>
    <comment ref="CY166" authorId="2">
      <text>
        <r>
          <rPr>
            <b/>
            <sz val="9"/>
            <color indexed="81"/>
            <rFont val="Tahoma"/>
            <family val="2"/>
          </rPr>
          <t xml:space="preserve">Ripps, Maria (Research):
</t>
        </r>
        <r>
          <rPr>
            <sz val="9"/>
            <color indexed="81"/>
            <rFont val="Tahoma"/>
            <family val="2"/>
          </rPr>
          <t>Avg cost of $58.07 (press release)
Assume share repurchase by month: 75% Jan; 15% Feb; 
10% Mar</t>
        </r>
      </text>
    </comment>
    <comment ref="CP171" authorId="6">
      <text>
        <r>
          <rPr>
            <b/>
            <sz val="8"/>
            <color indexed="81"/>
            <rFont val="Tahoma"/>
            <family val="2"/>
          </rPr>
          <t>hershk:</t>
        </r>
        <r>
          <rPr>
            <sz val="8"/>
            <color indexed="81"/>
            <rFont val="Tahoma"/>
            <family val="2"/>
          </rPr>
          <t xml:space="preserve">
4.3mm from ASR</t>
        </r>
      </text>
    </comment>
    <comment ref="DA171" authorId="2">
      <text>
        <r>
          <rPr>
            <b/>
            <sz val="9"/>
            <color indexed="81"/>
            <rFont val="Tahoma"/>
            <family val="2"/>
          </rPr>
          <t>Ripps, Maria (Research):</t>
        </r>
        <r>
          <rPr>
            <sz val="9"/>
            <color indexed="81"/>
            <rFont val="Tahoma"/>
            <family val="2"/>
          </rPr>
          <t xml:space="preserve">
10.6M shares in Q3
41M YTD through Sep30</t>
        </r>
      </text>
    </comment>
    <comment ref="DG171" authorId="2">
      <text>
        <r>
          <rPr>
            <b/>
            <sz val="9"/>
            <color indexed="81"/>
            <rFont val="Tahoma"/>
            <family val="2"/>
          </rPr>
          <t>Ripps, Maria (Research):</t>
        </r>
        <r>
          <rPr>
            <sz val="9"/>
            <color indexed="81"/>
            <rFont val="Tahoma"/>
            <family val="2"/>
          </rPr>
          <t xml:space="preserve">
10K: 25.4M</t>
        </r>
      </text>
    </comment>
    <comment ref="DI171" authorId="2">
      <text>
        <r>
          <rPr>
            <b/>
            <sz val="9"/>
            <color indexed="81"/>
            <rFont val="Tahoma"/>
            <family val="2"/>
          </rPr>
          <t>Ripps, Maria (Research):</t>
        </r>
        <r>
          <rPr>
            <sz val="9"/>
            <color indexed="81"/>
            <rFont val="Tahoma"/>
            <family val="2"/>
          </rPr>
          <t xml:space="preserve">
10Q</t>
        </r>
      </text>
    </comment>
    <comment ref="DJ171" authorId="2">
      <text>
        <r>
          <rPr>
            <b/>
            <sz val="9"/>
            <color indexed="81"/>
            <rFont val="Tahoma"/>
            <family val="2"/>
          </rPr>
          <t>Ripps, Maria (Research):</t>
        </r>
        <r>
          <rPr>
            <sz val="9"/>
            <color indexed="81"/>
            <rFont val="Tahoma"/>
            <family val="2"/>
          </rPr>
          <t xml:space="preserve">
10Q</t>
        </r>
      </text>
    </comment>
    <comment ref="DK171" authorId="2">
      <text>
        <r>
          <rPr>
            <b/>
            <sz val="9"/>
            <color indexed="81"/>
            <rFont val="Tahoma"/>
            <family val="2"/>
          </rPr>
          <t>Ripps, Maria (Research):</t>
        </r>
        <r>
          <rPr>
            <sz val="9"/>
            <color indexed="81"/>
            <rFont val="Tahoma"/>
            <family val="2"/>
          </rPr>
          <t xml:space="preserve">
10Q</t>
        </r>
      </text>
    </comment>
    <comment ref="G184" authorId="3">
      <text>
        <r>
          <rPr>
            <b/>
            <sz val="8"/>
            <color indexed="81"/>
            <rFont val="Tahoma"/>
            <family val="2"/>
          </rPr>
          <t>svetlana:</t>
        </r>
        <r>
          <rPr>
            <sz val="8"/>
            <color indexed="81"/>
            <rFont val="Tahoma"/>
            <family val="2"/>
          </rPr>
          <t xml:space="preserve">
For 9 months of 2005
</t>
        </r>
      </text>
    </comment>
    <comment ref="I186" authorId="0">
      <text>
        <r>
          <rPr>
            <b/>
            <sz val="8"/>
            <color indexed="81"/>
            <rFont val="Tahoma"/>
            <family val="2"/>
          </rPr>
          <t>farrantj:</t>
        </r>
        <r>
          <rPr>
            <sz val="8"/>
            <color indexed="81"/>
            <rFont val="Tahoma"/>
            <family val="2"/>
          </rPr>
          <t xml:space="preserve">
includes 293.1m in cash from discontinued ops </t>
        </r>
      </text>
    </comment>
    <comment ref="D192" authorId="3">
      <text>
        <r>
          <rPr>
            <b/>
            <sz val="8"/>
            <color indexed="81"/>
            <rFont val="Tahoma"/>
            <family val="2"/>
          </rPr>
          <t>svetlana:</t>
        </r>
        <r>
          <rPr>
            <sz val="8"/>
            <color indexed="81"/>
            <rFont val="Tahoma"/>
            <family val="2"/>
          </rPr>
          <t xml:space="preserve">
Blockbuster and Famous Players</t>
        </r>
      </text>
    </comment>
    <comment ref="E192" authorId="3">
      <text>
        <r>
          <rPr>
            <b/>
            <sz val="8"/>
            <color indexed="81"/>
            <rFont val="Tahoma"/>
            <family val="2"/>
          </rPr>
          <t>svetlana:</t>
        </r>
        <r>
          <rPr>
            <sz val="8"/>
            <color indexed="81"/>
            <rFont val="Tahoma"/>
            <family val="2"/>
          </rPr>
          <t xml:space="preserve">
Famous Players</t>
        </r>
      </text>
    </comment>
    <comment ref="M200" authorId="0">
      <text>
        <r>
          <rPr>
            <b/>
            <sz val="8"/>
            <color indexed="81"/>
            <rFont val="Tahoma"/>
            <family val="2"/>
          </rPr>
          <t>farrantj:</t>
        </r>
        <r>
          <rPr>
            <sz val="8"/>
            <color indexed="81"/>
            <rFont val="Tahoma"/>
            <family val="2"/>
          </rPr>
          <t xml:space="preserve">
remainder of the radio sale impact to the balance sheets falls under goodwill</t>
        </r>
      </text>
    </comment>
    <comment ref="B202" authorId="3">
      <text>
        <r>
          <rPr>
            <b/>
            <sz val="8"/>
            <color indexed="81"/>
            <rFont val="Tahoma"/>
            <family val="2"/>
          </rPr>
          <t>svetlana:</t>
        </r>
        <r>
          <rPr>
            <sz val="8"/>
            <color indexed="81"/>
            <rFont val="Tahoma"/>
            <family val="2"/>
          </rPr>
          <t xml:space="preserve">
FCC licenses
</t>
        </r>
      </text>
    </comment>
    <comment ref="C202" authorId="3">
      <text>
        <r>
          <rPr>
            <b/>
            <sz val="8"/>
            <color indexed="81"/>
            <rFont val="Tahoma"/>
            <family val="2"/>
          </rPr>
          <t>svetlana:</t>
        </r>
        <r>
          <rPr>
            <sz val="8"/>
            <color indexed="81"/>
            <rFont val="Tahoma"/>
            <family val="2"/>
          </rPr>
          <t xml:space="preserve">
FCC licenses
</t>
        </r>
      </text>
    </comment>
    <comment ref="M202" authorId="0">
      <text>
        <r>
          <rPr>
            <b/>
            <sz val="8"/>
            <color indexed="81"/>
            <rFont val="Tahoma"/>
            <family val="2"/>
          </rPr>
          <t>farrantj:</t>
        </r>
        <r>
          <rPr>
            <sz val="8"/>
            <color indexed="81"/>
            <rFont val="Tahoma"/>
            <family val="2"/>
          </rPr>
          <t xml:space="preserve">
assuming the majority of the radio sales is attributed to intangibles</t>
        </r>
      </text>
    </comment>
    <comment ref="B203" authorId="3">
      <text>
        <r>
          <rPr>
            <b/>
            <sz val="8"/>
            <color indexed="81"/>
            <rFont val="Tahoma"/>
            <family val="2"/>
          </rPr>
          <t>svetlana:</t>
        </r>
        <r>
          <rPr>
            <sz val="8"/>
            <color indexed="81"/>
            <rFont val="Tahoma"/>
            <family val="2"/>
          </rPr>
          <t xml:space="preserve">
Old VIA had net deferred tax liability</t>
        </r>
      </text>
    </comment>
    <comment ref="C203" authorId="3">
      <text>
        <r>
          <rPr>
            <b/>
            <sz val="8"/>
            <color indexed="81"/>
            <rFont val="Tahoma"/>
            <family val="2"/>
          </rPr>
          <t>svetlana:</t>
        </r>
        <r>
          <rPr>
            <sz val="8"/>
            <color indexed="81"/>
            <rFont val="Tahoma"/>
            <family val="2"/>
          </rPr>
          <t xml:space="preserve">
Old VIA had net deferred tax liability</t>
        </r>
      </text>
    </comment>
    <comment ref="W205" authorId="10">
      <text>
        <r>
          <rPr>
            <b/>
            <sz val="9"/>
            <color indexed="81"/>
            <rFont val="Tahoma"/>
            <family val="2"/>
          </rPr>
          <t>Khadilkar, Hersh S (Research):</t>
        </r>
        <r>
          <rPr>
            <sz val="9"/>
            <color indexed="81"/>
            <rFont val="Tahoma"/>
            <family val="2"/>
          </rPr>
          <t xml:space="preserve">
proceeds from CBSO ($1.4bn debt issuance left at CBS + $615mm IPO proceeds) taken out of Other Assets</t>
        </r>
      </text>
    </comment>
    <comment ref="D206" authorId="3">
      <text>
        <r>
          <rPr>
            <b/>
            <sz val="8"/>
            <color indexed="81"/>
            <rFont val="Tahoma"/>
            <family val="2"/>
          </rPr>
          <t>svetlana:</t>
        </r>
        <r>
          <rPr>
            <sz val="8"/>
            <color indexed="81"/>
            <rFont val="Tahoma"/>
            <family val="2"/>
          </rPr>
          <t xml:space="preserve">
Blockbuster and Famous Players</t>
        </r>
      </text>
    </comment>
    <comment ref="E206" authorId="3">
      <text>
        <r>
          <rPr>
            <b/>
            <sz val="8"/>
            <color indexed="81"/>
            <rFont val="Tahoma"/>
            <family val="2"/>
          </rPr>
          <t>svetlana:</t>
        </r>
        <r>
          <rPr>
            <sz val="8"/>
            <color indexed="81"/>
            <rFont val="Tahoma"/>
            <family val="2"/>
          </rPr>
          <t xml:space="preserve">
Famous Players</t>
        </r>
      </text>
    </comment>
    <comment ref="D218" authorId="3">
      <text>
        <r>
          <rPr>
            <b/>
            <sz val="8"/>
            <color indexed="81"/>
            <rFont val="Tahoma"/>
            <family val="2"/>
          </rPr>
          <t>svetlana:</t>
        </r>
        <r>
          <rPr>
            <sz val="8"/>
            <color indexed="81"/>
            <rFont val="Tahoma"/>
            <family val="2"/>
          </rPr>
          <t xml:space="preserve">
Blockbuster and Famous Players</t>
        </r>
      </text>
    </comment>
    <comment ref="E218" authorId="3">
      <text>
        <r>
          <rPr>
            <b/>
            <sz val="8"/>
            <color indexed="81"/>
            <rFont val="Tahoma"/>
            <family val="2"/>
          </rPr>
          <t>svetlana:</t>
        </r>
        <r>
          <rPr>
            <sz val="8"/>
            <color indexed="81"/>
            <rFont val="Tahoma"/>
            <family val="2"/>
          </rPr>
          <t xml:space="preserve">
Famous Players</t>
        </r>
      </text>
    </comment>
    <comment ref="I218" authorId="0">
      <text>
        <r>
          <rPr>
            <b/>
            <sz val="8"/>
            <color indexed="81"/>
            <rFont val="Tahoma"/>
            <family val="2"/>
          </rPr>
          <t>farrantj:</t>
        </r>
        <r>
          <rPr>
            <sz val="8"/>
            <color indexed="81"/>
            <rFont val="Tahoma"/>
            <family val="2"/>
          </rPr>
          <t xml:space="preserve">
note that we do not have the 03 balance sheet -so this is the plug to get assets and liabilities to match - my assumption is that the increment is from discontinued ops</t>
        </r>
      </text>
    </comment>
    <comment ref="E223" authorId="3">
      <text>
        <r>
          <rPr>
            <b/>
            <sz val="8"/>
            <color indexed="81"/>
            <rFont val="Tahoma"/>
            <family val="2"/>
          </rPr>
          <t>svetlana:</t>
        </r>
        <r>
          <rPr>
            <sz val="8"/>
            <color indexed="81"/>
            <rFont val="Tahoma"/>
            <family val="2"/>
          </rPr>
          <t xml:space="preserve">
Note 13 to S-4, page F-41</t>
        </r>
      </text>
    </comment>
    <comment ref="W223" authorId="2">
      <text>
        <r>
          <rPr>
            <b/>
            <sz val="9"/>
            <color indexed="81"/>
            <rFont val="Tahoma"/>
            <family val="2"/>
          </rPr>
          <t>Ripps, Maria (Research):</t>
        </r>
        <r>
          <rPr>
            <sz val="9"/>
            <color indexed="81"/>
            <rFont val="Tahoma"/>
            <family val="2"/>
          </rPr>
          <t xml:space="preserve">
10K - $237M increase - primarily due to a decrease in the discount rate, partially offset by the favorable performance of pension plan assets</t>
        </r>
      </text>
    </comment>
    <comment ref="R228" authorId="1">
      <text>
        <r>
          <rPr>
            <b/>
            <sz val="8"/>
            <color indexed="81"/>
            <rFont val="Tahoma"/>
            <family val="2"/>
          </rPr>
          <t>krisbon:</t>
        </r>
        <r>
          <rPr>
            <sz val="8"/>
            <color indexed="81"/>
            <rFont val="Tahoma"/>
            <family val="2"/>
          </rPr>
          <t xml:space="preserve">
$300m reduction in securitization facility</t>
        </r>
      </text>
    </comment>
    <comment ref="V229" authorId="9">
      <text>
        <r>
          <rPr>
            <b/>
            <sz val="8"/>
            <color indexed="81"/>
            <rFont val="Tahoma"/>
            <family val="2"/>
          </rPr>
          <t>fiftrya:</t>
        </r>
        <r>
          <rPr>
            <sz val="8"/>
            <color indexed="81"/>
            <rFont val="Tahoma"/>
            <family val="2"/>
          </rPr>
          <t xml:space="preserve">
Assume debt raised at Int'l Outdoor, div to CBS</t>
        </r>
      </text>
    </comment>
    <comment ref="AC234" authorId="2">
      <text>
        <r>
          <rPr>
            <b/>
            <sz val="9"/>
            <color indexed="81"/>
            <rFont val="Tahoma"/>
            <family val="2"/>
          </rPr>
          <t>Ripps, Maria (Research):</t>
        </r>
        <r>
          <rPr>
            <sz val="9"/>
            <color indexed="81"/>
            <rFont val="Tahoma"/>
            <family val="2"/>
          </rPr>
          <t xml:space="preserve">
adjusted for radio separation</t>
        </r>
      </text>
    </comment>
    <comment ref="J236" authorId="0">
      <text>
        <r>
          <rPr>
            <b/>
            <sz val="8"/>
            <color indexed="81"/>
            <rFont val="Tahoma"/>
            <family val="2"/>
          </rPr>
          <t>farrantj:</t>
        </r>
        <r>
          <rPr>
            <sz val="8"/>
            <color indexed="81"/>
            <rFont val="Tahoma"/>
            <family val="2"/>
          </rPr>
          <t xml:space="preserve">
334.3</t>
        </r>
      </text>
    </comment>
    <comment ref="C251" authorId="3">
      <text>
        <r>
          <rPr>
            <b/>
            <sz val="8"/>
            <color indexed="81"/>
            <rFont val="Tahoma"/>
            <family val="2"/>
          </rPr>
          <t>svetlana:</t>
        </r>
        <r>
          <rPr>
            <sz val="8"/>
            <color indexed="81"/>
            <rFont val="Tahoma"/>
            <family val="2"/>
          </rPr>
          <t xml:space="preserve">
Amortization of intangibles reported in 8-K from 11/23/05</t>
        </r>
      </text>
    </comment>
    <comment ref="J255" authorId="0">
      <text>
        <r>
          <rPr>
            <b/>
            <sz val="8"/>
            <color indexed="81"/>
            <rFont val="Tahoma"/>
            <family val="2"/>
          </rPr>
          <t>farrantj:</t>
        </r>
        <r>
          <rPr>
            <sz val="8"/>
            <color indexed="81"/>
            <rFont val="Tahoma"/>
            <family val="2"/>
          </rPr>
          <t xml:space="preserve">
-48.8</t>
        </r>
      </text>
    </comment>
    <comment ref="S255" authorId="1">
      <text>
        <r>
          <rPr>
            <b/>
            <sz val="8"/>
            <color indexed="81"/>
            <rFont val="Tahoma"/>
            <family val="2"/>
          </rPr>
          <t>krisbon:</t>
        </r>
        <r>
          <rPr>
            <sz val="8"/>
            <color indexed="81"/>
            <rFont val="Tahoma"/>
            <family val="2"/>
          </rPr>
          <t xml:space="preserve">
loss on early extinguishment of debt from tender offer.  </t>
        </r>
      </text>
    </comment>
    <comment ref="R264" authorId="7">
      <text>
        <r>
          <rPr>
            <b/>
            <sz val="8"/>
            <color indexed="81"/>
            <rFont val="Tahoma"/>
            <family val="2"/>
          </rPr>
          <t>benswin:</t>
        </r>
        <r>
          <rPr>
            <sz val="8"/>
            <color indexed="81"/>
            <rFont val="Tahoma"/>
            <family val="2"/>
          </rPr>
          <t xml:space="preserve">
impact from P&amp;S sales of 5 shows in 3Q09.</t>
        </r>
      </text>
    </comment>
    <comment ref="Z266" authorId="2">
      <text>
        <r>
          <rPr>
            <b/>
            <sz val="9"/>
            <color indexed="81"/>
            <rFont val="Tahoma"/>
            <family val="2"/>
          </rPr>
          <t>Ripps, Maria (Research):</t>
        </r>
        <r>
          <rPr>
            <sz val="9"/>
            <color indexed="81"/>
            <rFont val="Tahoma"/>
            <family val="2"/>
          </rPr>
          <t xml:space="preserve">
$350M Super Bowl pmt</t>
        </r>
      </text>
    </comment>
    <comment ref="K268" authorId="0">
      <text>
        <r>
          <rPr>
            <b/>
            <sz val="8"/>
            <color indexed="81"/>
            <rFont val="Tahoma"/>
            <family val="2"/>
          </rPr>
          <t>farrantj:</t>
        </r>
        <r>
          <rPr>
            <sz val="8"/>
            <color indexed="81"/>
            <rFont val="Tahoma"/>
            <family val="2"/>
          </rPr>
          <t xml:space="preserve">
-551.9</t>
        </r>
      </text>
    </comment>
    <comment ref="K269" authorId="0">
      <text>
        <r>
          <rPr>
            <b/>
            <sz val="8"/>
            <color indexed="81"/>
            <rFont val="Tahoma"/>
            <family val="2"/>
          </rPr>
          <t>farrantj:</t>
        </r>
        <r>
          <rPr>
            <sz val="8"/>
            <color indexed="81"/>
            <rFont val="Tahoma"/>
            <family val="2"/>
          </rPr>
          <t xml:space="preserve">
-808.6</t>
        </r>
      </text>
    </comment>
    <comment ref="R269" authorId="7">
      <text>
        <r>
          <rPr>
            <b/>
            <sz val="8"/>
            <color indexed="81"/>
            <rFont val="Tahoma"/>
            <family val="2"/>
          </rPr>
          <t>benswin:</t>
        </r>
        <r>
          <rPr>
            <sz val="8"/>
            <color indexed="81"/>
            <rFont val="Tahoma"/>
            <family val="2"/>
          </rPr>
          <t xml:space="preserve">
impact from paying most of Super Bowl in '09, and revs in '10</t>
        </r>
      </text>
    </comment>
    <comment ref="K270" authorId="0">
      <text>
        <r>
          <rPr>
            <b/>
            <sz val="8"/>
            <color indexed="81"/>
            <rFont val="Tahoma"/>
            <family val="2"/>
          </rPr>
          <t>farrantj:</t>
        </r>
        <r>
          <rPr>
            <sz val="8"/>
            <color indexed="81"/>
            <rFont val="Tahoma"/>
            <family val="2"/>
          </rPr>
          <t xml:space="preserve">
60.6</t>
        </r>
      </text>
    </comment>
    <comment ref="K271" authorId="0">
      <text>
        <r>
          <rPr>
            <b/>
            <sz val="8"/>
            <color indexed="81"/>
            <rFont val="Tahoma"/>
            <family val="2"/>
          </rPr>
          <t>farrantj:</t>
        </r>
        <r>
          <rPr>
            <sz val="8"/>
            <color indexed="81"/>
            <rFont val="Tahoma"/>
            <family val="2"/>
          </rPr>
          <t xml:space="preserve">
-0.3</t>
        </r>
      </text>
    </comment>
    <comment ref="K272" authorId="0">
      <text>
        <r>
          <rPr>
            <b/>
            <sz val="8"/>
            <color indexed="81"/>
            <rFont val="Tahoma"/>
            <family val="2"/>
          </rPr>
          <t>farrantj:</t>
        </r>
        <r>
          <rPr>
            <sz val="8"/>
            <color indexed="81"/>
            <rFont val="Tahoma"/>
            <family val="2"/>
          </rPr>
          <t xml:space="preserve">
299.8</t>
        </r>
      </text>
    </comment>
    <comment ref="N272" authorId="1">
      <text>
        <r>
          <rPr>
            <b/>
            <sz val="8"/>
            <color indexed="81"/>
            <rFont val="Tahoma"/>
            <family val="2"/>
          </rPr>
          <t>krisbon:</t>
        </r>
        <r>
          <rPr>
            <sz val="8"/>
            <color indexed="81"/>
            <rFont val="Tahoma"/>
            <family val="2"/>
          </rPr>
          <t xml:space="preserve">
$120m pre-funding</t>
        </r>
      </text>
    </comment>
    <comment ref="AC272" authorId="2">
      <text>
        <r>
          <rPr>
            <b/>
            <sz val="9"/>
            <color indexed="81"/>
            <rFont val="Tahoma"/>
            <family val="2"/>
          </rPr>
          <t>Ripps, Maria (Research):</t>
        </r>
        <r>
          <rPr>
            <sz val="9"/>
            <color indexed="81"/>
            <rFont val="Tahoma"/>
            <family val="2"/>
          </rPr>
          <t xml:space="preserve">
$500M Q4 prepayment</t>
        </r>
      </text>
    </comment>
    <comment ref="K273" authorId="0">
      <text>
        <r>
          <rPr>
            <b/>
            <sz val="8"/>
            <color indexed="81"/>
            <rFont val="Tahoma"/>
            <family val="2"/>
          </rPr>
          <t>farrantj:</t>
        </r>
        <r>
          <rPr>
            <sz val="8"/>
            <color indexed="81"/>
            <rFont val="Tahoma"/>
            <family val="2"/>
          </rPr>
          <t xml:space="preserve">
1417.1</t>
        </r>
      </text>
    </comment>
    <comment ref="K274" authorId="0">
      <text>
        <r>
          <rPr>
            <b/>
            <sz val="8"/>
            <color indexed="81"/>
            <rFont val="Tahoma"/>
            <family val="2"/>
          </rPr>
          <t>farrantj:</t>
        </r>
        <r>
          <rPr>
            <sz val="8"/>
            <color indexed="81"/>
            <rFont val="Tahoma"/>
            <family val="2"/>
          </rPr>
          <t xml:space="preserve">
1202.3</t>
        </r>
      </text>
    </comment>
    <comment ref="K280" authorId="3">
      <text>
        <r>
          <rPr>
            <b/>
            <sz val="8"/>
            <color indexed="81"/>
            <rFont val="Tahoma"/>
            <family val="2"/>
          </rPr>
          <t>svetlana:</t>
        </r>
        <r>
          <rPr>
            <sz val="8"/>
            <color indexed="81"/>
            <rFont val="Tahoma"/>
            <family val="2"/>
          </rPr>
          <t xml:space="preserve">
Acquisition of KOVR-TV station </t>
        </r>
      </text>
    </comment>
    <comment ref="L280" authorId="3">
      <text>
        <r>
          <rPr>
            <b/>
            <sz val="8"/>
            <color indexed="81"/>
            <rFont val="Tahoma"/>
            <family val="2"/>
          </rPr>
          <t>svetlana:</t>
        </r>
        <r>
          <rPr>
            <sz val="8"/>
            <color indexed="81"/>
            <rFont val="Tahoma"/>
            <family val="2"/>
          </rPr>
          <t xml:space="preserve">
Acquisition of CSTV Networks for $325m 
</t>
        </r>
      </text>
    </comment>
    <comment ref="M280" authorId="12">
      <text>
        <r>
          <rPr>
            <b/>
            <sz val="8"/>
            <color indexed="81"/>
            <rFont val="Tahoma"/>
            <family val="2"/>
          </rPr>
          <t>Chad Harris:</t>
        </r>
        <r>
          <rPr>
            <sz val="8"/>
            <color indexed="81"/>
            <rFont val="Tahoma"/>
            <family val="2"/>
          </rPr>
          <t xml:space="preserve">
$71.5 mm acquisition of SignStorey; expected 4Q07 close</t>
        </r>
      </text>
    </comment>
    <comment ref="V280" authorId="13">
      <text>
        <r>
          <rPr>
            <b/>
            <sz val="8"/>
            <color indexed="81"/>
            <rFont val="Tahoma"/>
            <family val="2"/>
          </rPr>
          <t>matheemi:</t>
        </r>
        <r>
          <rPr>
            <sz val="8"/>
            <color indexed="81"/>
            <rFont val="Tahoma"/>
            <family val="2"/>
          </rPr>
          <t xml:space="preserve">
TVGN</t>
        </r>
      </text>
    </comment>
    <comment ref="AC280" authorId="2">
      <text>
        <r>
          <rPr>
            <b/>
            <sz val="9"/>
            <color indexed="81"/>
            <rFont val="Tahoma"/>
            <family val="2"/>
          </rPr>
          <t>Ripps, Maria (Research):</t>
        </r>
        <r>
          <rPr>
            <sz val="9"/>
            <color indexed="81"/>
            <rFont val="Tahoma"/>
            <family val="2"/>
          </rPr>
          <t xml:space="preserve">
Ten Networks, Australia</t>
        </r>
      </text>
    </comment>
    <comment ref="L281" authorId="11">
      <text>
        <r>
          <rPr>
            <b/>
            <sz val="8"/>
            <color indexed="81"/>
            <rFont val="Tahoma"/>
            <family val="2"/>
          </rPr>
          <t>bilotti:</t>
        </r>
        <r>
          <rPr>
            <sz val="8"/>
            <color indexed="81"/>
            <rFont val="Tahoma"/>
            <family val="2"/>
          </rPr>
          <t xml:space="preserve">
Divestiure of Parks for $1240mm + about $20m for radio</t>
        </r>
      </text>
    </comment>
    <comment ref="M281" authorId="0">
      <text>
        <r>
          <rPr>
            <b/>
            <sz val="8"/>
            <color indexed="81"/>
            <rFont val="Tahoma"/>
            <family val="2"/>
          </rPr>
          <t>farrantj:</t>
        </r>
        <r>
          <rPr>
            <sz val="8"/>
            <color indexed="81"/>
            <rFont val="Tahoma"/>
            <family val="2"/>
          </rPr>
          <t xml:space="preserve">
$570m thus far for the sale of 29 of the 39 stations that the company indicated it would consider selling/divesting - update $668 in total proceeds - some falls in 06; and $355 mm cash proceeds from Green Bay sale to Liberty Media &amp; Cereberus capital</t>
        </r>
      </text>
    </comment>
    <comment ref="V281" authorId="9">
      <text>
        <r>
          <rPr>
            <b/>
            <sz val="8"/>
            <color indexed="81"/>
            <rFont val="Tahoma"/>
            <family val="2"/>
          </rPr>
          <t>fiftrya:</t>
        </r>
        <r>
          <rPr>
            <sz val="8"/>
            <color indexed="81"/>
            <rFont val="Tahoma"/>
            <family val="2"/>
          </rPr>
          <t xml:space="preserve">
Sale of Int'l Outdoor for $225mm to Platinum Equity (announced 7/16/13, assume closes in 3Q)
</t>
        </r>
      </text>
    </comment>
    <comment ref="W281" authorId="10">
      <text>
        <r>
          <rPr>
            <b/>
            <sz val="9"/>
            <color indexed="81"/>
            <rFont val="Tahoma"/>
            <family val="2"/>
          </rPr>
          <t>Khadilkar, Hersh S (Research):</t>
        </r>
        <r>
          <rPr>
            <sz val="9"/>
            <color indexed="81"/>
            <rFont val="Tahoma"/>
            <family val="2"/>
          </rPr>
          <t xml:space="preserve">
$615mm of IPO proceeds from CBSO spin, $100mm left at CBSO</t>
        </r>
      </text>
    </comment>
    <comment ref="W283" authorId="10">
      <text>
        <r>
          <rPr>
            <b/>
            <sz val="9"/>
            <color indexed="81"/>
            <rFont val="Tahoma"/>
            <family val="2"/>
          </rPr>
          <t>Khadilkar, Hersh S (Research):</t>
        </r>
        <r>
          <rPr>
            <sz val="9"/>
            <color indexed="81"/>
            <rFont val="Tahoma"/>
            <family val="2"/>
          </rPr>
          <t xml:space="preserve">
$1.6bn debt issued by CBSO, ~$1.55bn left at CBS</t>
        </r>
      </text>
    </comment>
    <comment ref="K289" authorId="0">
      <text>
        <r>
          <rPr>
            <b/>
            <sz val="8"/>
            <color indexed="81"/>
            <rFont val="Tahoma"/>
            <family val="2"/>
          </rPr>
          <t>farrantj:</t>
        </r>
        <r>
          <rPr>
            <sz val="8"/>
            <color indexed="81"/>
            <rFont val="Tahoma"/>
            <family val="2"/>
          </rPr>
          <t xml:space="preserve">
6132.4</t>
        </r>
      </text>
    </comment>
    <comment ref="AA292" authorId="2">
      <text>
        <r>
          <rPr>
            <b/>
            <sz val="9"/>
            <color indexed="81"/>
            <rFont val="Tahoma"/>
            <family val="2"/>
          </rPr>
          <t>Ripps, Maria (Research):</t>
        </r>
        <r>
          <rPr>
            <sz val="9"/>
            <color indexed="81"/>
            <rFont val="Tahoma"/>
            <family val="2"/>
          </rPr>
          <t xml:space="preserve">
includes CBS Radio debt raise</t>
        </r>
      </text>
    </comment>
    <comment ref="K293" authorId="3">
      <text>
        <r>
          <rPr>
            <b/>
            <sz val="8"/>
            <color indexed="81"/>
            <rFont val="Tahoma"/>
            <family val="2"/>
          </rPr>
          <t>svetlana:</t>
        </r>
        <r>
          <rPr>
            <sz val="8"/>
            <color indexed="81"/>
            <rFont val="Tahoma"/>
            <family val="2"/>
          </rPr>
          <t xml:space="preserve">
$5bn for Old VIA 5000</t>
        </r>
      </text>
    </comment>
    <comment ref="B294" authorId="3">
      <text>
        <r>
          <rPr>
            <b/>
            <sz val="8"/>
            <color indexed="81"/>
            <rFont val="Tahoma"/>
            <family val="2"/>
          </rPr>
          <t>svetlana:</t>
        </r>
        <r>
          <rPr>
            <sz val="8"/>
            <color indexed="81"/>
            <rFont val="Tahoma"/>
            <family val="2"/>
          </rPr>
          <t xml:space="preserve">
proceeds from exercise of stock options</t>
        </r>
      </text>
    </comment>
    <comment ref="C294" authorId="3">
      <text>
        <r>
          <rPr>
            <b/>
            <sz val="8"/>
            <color indexed="81"/>
            <rFont val="Tahoma"/>
            <family val="2"/>
          </rPr>
          <t>svetlana:</t>
        </r>
        <r>
          <rPr>
            <sz val="8"/>
            <color indexed="81"/>
            <rFont val="Tahoma"/>
            <family val="2"/>
          </rPr>
          <t xml:space="preserve">
proceeds from exercise of stock options</t>
        </r>
      </text>
    </comment>
    <comment ref="K295" authorId="0">
      <text>
        <r>
          <rPr>
            <b/>
            <sz val="8"/>
            <color indexed="81"/>
            <rFont val="Tahoma"/>
            <family val="2"/>
          </rPr>
          <t>farrantj:</t>
        </r>
        <r>
          <rPr>
            <sz val="8"/>
            <color indexed="81"/>
            <rFont val="Tahoma"/>
            <family val="2"/>
          </rPr>
          <t xml:space="preserve">
442.2</t>
        </r>
      </text>
    </comment>
    <comment ref="S296" authorId="1">
      <text>
        <r>
          <rPr>
            <b/>
            <sz val="8"/>
            <color indexed="81"/>
            <rFont val="Tahoma"/>
            <family val="2"/>
          </rPr>
          <t>krisbon:</t>
        </r>
        <r>
          <rPr>
            <sz val="8"/>
            <color indexed="81"/>
            <rFont val="Tahoma"/>
            <family val="2"/>
          </rPr>
          <t xml:space="preserve">
decrease to termination of A/R securitization program plus $45m early extinguisment of debt</t>
        </r>
      </text>
    </comment>
    <comment ref="R320" authorId="1">
      <text>
        <r>
          <rPr>
            <b/>
            <sz val="8"/>
            <color indexed="81"/>
            <rFont val="Tahoma"/>
            <family val="2"/>
          </rPr>
          <t>krisbon:</t>
        </r>
        <r>
          <rPr>
            <sz val="8"/>
            <color indexed="81"/>
            <rFont val="Tahoma"/>
            <family val="2"/>
          </rPr>
          <t xml:space="preserve">
$2bn facility expires Dec 2012</t>
        </r>
      </text>
    </comment>
    <comment ref="L325" authorId="0">
      <text>
        <r>
          <rPr>
            <b/>
            <sz val="8"/>
            <color indexed="81"/>
            <rFont val="Tahoma"/>
            <family val="2"/>
          </rPr>
          <t>farrantj:</t>
        </r>
        <r>
          <rPr>
            <sz val="8"/>
            <color indexed="81"/>
            <rFont val="Tahoma"/>
            <family val="2"/>
          </rPr>
          <t xml:space="preserve">
52.2mm repurchased during the first 6 months of the year </t>
        </r>
      </text>
    </comment>
    <comment ref="L326" authorId="0">
      <text>
        <r>
          <rPr>
            <b/>
            <sz val="8"/>
            <color indexed="81"/>
            <rFont val="Tahoma"/>
            <family val="2"/>
          </rPr>
          <t>farrantj:</t>
        </r>
        <r>
          <rPr>
            <sz val="8"/>
            <color indexed="81"/>
            <rFont val="Tahoma"/>
            <family val="2"/>
          </rPr>
          <t xml:space="preserve">
50mm repurchased during the first 6 months</t>
        </r>
      </text>
    </comment>
    <comment ref="S326" authorId="1">
      <text>
        <r>
          <rPr>
            <b/>
            <sz val="8"/>
            <color indexed="81"/>
            <rFont val="Tahoma"/>
            <family val="2"/>
          </rPr>
          <t>krisbon:</t>
        </r>
        <r>
          <rPr>
            <sz val="8"/>
            <color indexed="81"/>
            <rFont val="Tahoma"/>
            <family val="2"/>
          </rPr>
          <t xml:space="preserve">
$400m tendered in April, remained called for redemption Dec 31, 2010</t>
        </r>
      </text>
    </comment>
    <comment ref="S327" authorId="1">
      <text>
        <r>
          <rPr>
            <b/>
            <sz val="8"/>
            <color indexed="81"/>
            <rFont val="Tahoma"/>
            <family val="2"/>
          </rPr>
          <t>krisbon:</t>
        </r>
        <r>
          <rPr>
            <sz val="8"/>
            <color indexed="81"/>
            <rFont val="Tahoma"/>
            <family val="2"/>
          </rPr>
          <t xml:space="preserve">
$42.6m tendered in April. $55.1m tendered in Nov</t>
        </r>
      </text>
    </comment>
    <comment ref="U327" authorId="9">
      <text>
        <r>
          <rPr>
            <b/>
            <sz val="8"/>
            <color indexed="81"/>
            <rFont val="Tahoma"/>
            <family val="2"/>
          </rPr>
          <t>fiftrya:</t>
        </r>
        <r>
          <rPr>
            <sz val="8"/>
            <color indexed="81"/>
            <rFont val="Tahoma"/>
            <family val="2"/>
          </rPr>
          <t xml:space="preserve">
Aug 1</t>
        </r>
      </text>
    </comment>
    <comment ref="S328" authorId="1">
      <text>
        <r>
          <rPr>
            <b/>
            <sz val="8"/>
            <color indexed="81"/>
            <rFont val="Tahoma"/>
            <family val="2"/>
          </rPr>
          <t>krisbon:</t>
        </r>
        <r>
          <rPr>
            <sz val="8"/>
            <color indexed="81"/>
            <rFont val="Tahoma"/>
            <family val="2"/>
          </rPr>
          <t xml:space="preserve">
$57.4m tendered in April and $194.9 tendered in Nov</t>
        </r>
      </text>
    </comment>
    <comment ref="U328" authorId="9">
      <text>
        <r>
          <rPr>
            <b/>
            <sz val="8"/>
            <color indexed="81"/>
            <rFont val="Tahoma"/>
            <family val="2"/>
          </rPr>
          <t>fiftrya:</t>
        </r>
        <r>
          <rPr>
            <sz val="8"/>
            <color indexed="81"/>
            <rFont val="Tahoma"/>
            <family val="2"/>
          </rPr>
          <t xml:space="preserve">
July</t>
        </r>
      </text>
    </comment>
    <comment ref="W329" authorId="10">
      <text>
        <r>
          <rPr>
            <b/>
            <sz val="9"/>
            <color indexed="81"/>
            <rFont val="Tahoma"/>
            <family val="2"/>
          </rPr>
          <t>Khadilkar, Hersh S (Research):</t>
        </r>
        <r>
          <rPr>
            <sz val="9"/>
            <color indexed="81"/>
            <rFont val="Tahoma"/>
            <family val="2"/>
          </rPr>
          <t xml:space="preserve">
due 6/14/2014</t>
        </r>
      </text>
    </comment>
    <comment ref="U331" authorId="9">
      <text>
        <r>
          <rPr>
            <b/>
            <sz val="8"/>
            <color indexed="81"/>
            <rFont val="Tahoma"/>
            <family val="2"/>
          </rPr>
          <t>fiftrya:</t>
        </r>
        <r>
          <rPr>
            <sz val="8"/>
            <color indexed="81"/>
            <rFont val="Tahoma"/>
            <family val="2"/>
          </rPr>
          <t xml:space="preserve">
July</t>
        </r>
      </text>
    </comment>
    <comment ref="W333" authorId="10">
      <text>
        <r>
          <rPr>
            <b/>
            <sz val="9"/>
            <color indexed="81"/>
            <rFont val="Tahoma"/>
            <family val="2"/>
          </rPr>
          <t>Khadilkar, Hersh S (Research):</t>
        </r>
        <r>
          <rPr>
            <sz val="9"/>
            <color indexed="81"/>
            <rFont val="Tahoma"/>
            <family val="2"/>
          </rPr>
          <t xml:space="preserve">
redeemed august 21</t>
        </r>
      </text>
    </comment>
    <comment ref="W334" authorId="10">
      <text>
        <r>
          <rPr>
            <b/>
            <sz val="9"/>
            <color indexed="81"/>
            <rFont val="Tahoma"/>
            <family val="2"/>
          </rPr>
          <t>Khadilkar, Hersh S (Research):</t>
        </r>
        <r>
          <rPr>
            <sz val="9"/>
            <color indexed="81"/>
            <rFont val="Tahoma"/>
            <family val="2"/>
          </rPr>
          <t xml:space="preserve">
redeemed september 20</t>
        </r>
      </text>
    </comment>
    <comment ref="AC335" authorId="2">
      <text>
        <r>
          <rPr>
            <b/>
            <sz val="9"/>
            <color indexed="81"/>
            <rFont val="Tahoma"/>
            <family val="2"/>
          </rPr>
          <t>Ripps, Maria (Research):</t>
        </r>
        <r>
          <rPr>
            <sz val="9"/>
            <color indexed="81"/>
            <rFont val="Tahoma"/>
            <family val="2"/>
          </rPr>
          <t xml:space="preserve">
Redeemed at the end of November 2017</t>
        </r>
      </text>
    </comment>
    <comment ref="W337" authorId="10">
      <text>
        <r>
          <rPr>
            <b/>
            <sz val="9"/>
            <color indexed="81"/>
            <rFont val="Tahoma"/>
            <family val="2"/>
          </rPr>
          <t>Khadilkar, Hersh S (Research):</t>
        </r>
        <r>
          <rPr>
            <sz val="9"/>
            <color indexed="81"/>
            <rFont val="Tahoma"/>
            <family val="2"/>
          </rPr>
          <t xml:space="preserve">
partially redeemed august 21</t>
        </r>
      </text>
    </comment>
    <comment ref="W338" authorId="10">
      <text>
        <r>
          <rPr>
            <b/>
            <sz val="9"/>
            <color indexed="81"/>
            <rFont val="Tahoma"/>
            <family val="2"/>
          </rPr>
          <t>Khadilkar, Hersh S (Research):</t>
        </r>
        <r>
          <rPr>
            <sz val="9"/>
            <color indexed="81"/>
            <rFont val="Tahoma"/>
            <family val="2"/>
          </rPr>
          <t xml:space="preserve">
partially redeemed august 21</t>
        </r>
      </text>
    </comment>
    <comment ref="W339" authorId="10">
      <text>
        <r>
          <rPr>
            <b/>
            <sz val="9"/>
            <color indexed="81"/>
            <rFont val="Tahoma"/>
            <family val="2"/>
          </rPr>
          <t>Khadilkar, Hersh S (Research):</t>
        </r>
        <r>
          <rPr>
            <sz val="9"/>
            <color indexed="81"/>
            <rFont val="Tahoma"/>
            <family val="2"/>
          </rPr>
          <t xml:space="preserve">
partially redeemed august 21</t>
        </r>
      </text>
    </comment>
    <comment ref="U344" authorId="9">
      <text>
        <r>
          <rPr>
            <b/>
            <sz val="8"/>
            <color indexed="81"/>
            <rFont val="Tahoma"/>
            <family val="2"/>
          </rPr>
          <t>fiftrya:</t>
        </r>
        <r>
          <rPr>
            <sz val="8"/>
            <color indexed="81"/>
            <rFont val="Tahoma"/>
            <family val="2"/>
          </rPr>
          <t xml:space="preserve">
Raise early March
Proceeds to pay down 6.75% senior notes</t>
        </r>
      </text>
    </comment>
    <comment ref="U345" authorId="9">
      <text>
        <r>
          <rPr>
            <b/>
            <sz val="8"/>
            <color indexed="81"/>
            <rFont val="Tahoma"/>
            <family val="2"/>
          </rPr>
          <t>fiftrya:</t>
        </r>
        <r>
          <rPr>
            <sz val="8"/>
            <color indexed="81"/>
            <rFont val="Tahoma"/>
            <family val="2"/>
          </rPr>
          <t xml:space="preserve">
Raise mid-June</t>
        </r>
      </text>
    </comment>
    <comment ref="U346" authorId="9">
      <text>
        <r>
          <rPr>
            <b/>
            <sz val="8"/>
            <color indexed="81"/>
            <rFont val="Tahoma"/>
            <family val="2"/>
          </rPr>
          <t>fiftrya:</t>
        </r>
        <r>
          <rPr>
            <sz val="8"/>
            <color indexed="81"/>
            <rFont val="Tahoma"/>
            <family val="2"/>
          </rPr>
          <t xml:space="preserve">
Raise mid-June</t>
        </r>
      </text>
    </comment>
    <comment ref="A347" authorId="10">
      <text>
        <r>
          <rPr>
            <b/>
            <sz val="9"/>
            <color indexed="81"/>
            <rFont val="Tahoma"/>
            <family val="2"/>
          </rPr>
          <t>Khadilkar, Hersh S (Research):</t>
        </r>
        <r>
          <rPr>
            <sz val="9"/>
            <color indexed="81"/>
            <rFont val="Tahoma"/>
            <family val="2"/>
          </rPr>
          <t xml:space="preserve">
matures 2021 (LIBOR +225bps) floor +75bps</t>
        </r>
      </text>
    </comment>
    <comment ref="W347" authorId="10">
      <text>
        <r>
          <rPr>
            <b/>
            <sz val="9"/>
            <color indexed="81"/>
            <rFont val="Tahoma"/>
            <family val="2"/>
          </rPr>
          <t>Khadilkar, Hersh S (Research):</t>
        </r>
        <r>
          <rPr>
            <sz val="9"/>
            <color indexed="81"/>
            <rFont val="Tahoma"/>
            <family val="2"/>
          </rPr>
          <t xml:space="preserve">
not outstanding at YE</t>
        </r>
      </text>
    </comment>
    <comment ref="W348" authorId="10">
      <text>
        <r>
          <rPr>
            <b/>
            <sz val="9"/>
            <color indexed="81"/>
            <rFont val="Tahoma"/>
            <family val="2"/>
          </rPr>
          <t>Khadilkar, Hersh S (Research):</t>
        </r>
        <r>
          <rPr>
            <sz val="9"/>
            <color indexed="81"/>
            <rFont val="Tahoma"/>
            <family val="2"/>
          </rPr>
          <t xml:space="preserve">
accrues interest august 15</t>
        </r>
      </text>
    </comment>
    <comment ref="A351" authorId="2">
      <text>
        <r>
          <rPr>
            <b/>
            <sz val="9"/>
            <color indexed="81"/>
            <rFont val="Tahoma"/>
            <family val="2"/>
          </rPr>
          <t>Ripps, Maria (Research):</t>
        </r>
        <r>
          <rPr>
            <sz val="9"/>
            <color indexed="81"/>
            <rFont val="Tahoma"/>
            <family val="2"/>
          </rPr>
          <t xml:space="preserve">
Jan 7, 2015
</t>
        </r>
      </text>
    </comment>
    <comment ref="A352" authorId="2">
      <text>
        <r>
          <rPr>
            <b/>
            <sz val="9"/>
            <color indexed="81"/>
            <rFont val="Tahoma"/>
            <family val="2"/>
          </rPr>
          <t>Ripps, Maria (Research):</t>
        </r>
        <r>
          <rPr>
            <sz val="9"/>
            <color indexed="81"/>
            <rFont val="Tahoma"/>
            <family val="2"/>
          </rPr>
          <t xml:space="preserve">
Jan 7, 2015</t>
        </r>
      </text>
    </comment>
    <comment ref="A353" authorId="2">
      <text>
        <r>
          <rPr>
            <b/>
            <sz val="9"/>
            <color indexed="81"/>
            <rFont val="Tahoma"/>
            <family val="2"/>
          </rPr>
          <t>Ripps, Maria (Research):</t>
        </r>
        <r>
          <rPr>
            <sz val="9"/>
            <color indexed="81"/>
            <rFont val="Tahoma"/>
            <family val="2"/>
          </rPr>
          <t xml:space="preserve">
expected to close on 07/10/15</t>
        </r>
      </text>
    </comment>
    <comment ref="A354" authorId="2">
      <text>
        <r>
          <rPr>
            <b/>
            <sz val="9"/>
            <color indexed="81"/>
            <rFont val="Tahoma"/>
            <family val="2"/>
          </rPr>
          <t>Ripps, Maria (Research):</t>
        </r>
        <r>
          <rPr>
            <sz val="9"/>
            <color indexed="81"/>
            <rFont val="Tahoma"/>
            <family val="2"/>
          </rPr>
          <t xml:space="preserve">
expected to close on 07/10/15</t>
        </r>
      </text>
    </comment>
    <comment ref="AA354" authorId="2">
      <text>
        <r>
          <rPr>
            <b/>
            <sz val="9"/>
            <color indexed="81"/>
            <rFont val="Tahoma"/>
            <family val="2"/>
          </rPr>
          <t>Ripps, Maria (Research):</t>
        </r>
        <r>
          <rPr>
            <sz val="9"/>
            <color indexed="81"/>
            <rFont val="Tahoma"/>
            <family val="2"/>
          </rPr>
          <t xml:space="preserve">
priced 07/06/16</t>
        </r>
      </text>
    </comment>
    <comment ref="AC355" authorId="2">
      <text>
        <r>
          <rPr>
            <b/>
            <sz val="9"/>
            <color indexed="81"/>
            <rFont val="Tahoma"/>
            <family val="2"/>
          </rPr>
          <t>Ripps, Maria (Research):</t>
        </r>
        <r>
          <rPr>
            <sz val="9"/>
            <color indexed="81"/>
            <rFont val="Tahoma"/>
            <family val="2"/>
          </rPr>
          <t xml:space="preserve">
Raised at the end of 2Q</t>
        </r>
      </text>
    </comment>
    <comment ref="AC356" authorId="2">
      <text>
        <r>
          <rPr>
            <b/>
            <sz val="9"/>
            <color indexed="81"/>
            <rFont val="Tahoma"/>
            <family val="2"/>
          </rPr>
          <t>Ripps, Maria (Research):</t>
        </r>
        <r>
          <rPr>
            <sz val="9"/>
            <color indexed="81"/>
            <rFont val="Tahoma"/>
            <family val="2"/>
          </rPr>
          <t xml:space="preserve">
Raised at the end of 2Q</t>
        </r>
      </text>
    </comment>
    <comment ref="AC357" authorId="2">
      <text>
        <r>
          <rPr>
            <b/>
            <sz val="9"/>
            <color indexed="81"/>
            <rFont val="Tahoma"/>
            <family val="2"/>
          </rPr>
          <t>Ripps, Maria (Research):</t>
        </r>
        <r>
          <rPr>
            <sz val="9"/>
            <color indexed="81"/>
            <rFont val="Tahoma"/>
            <family val="2"/>
          </rPr>
          <t xml:space="preserve">
Mid-Nov 2017 close</t>
        </r>
      </text>
    </comment>
    <comment ref="AC358" authorId="2">
      <text>
        <r>
          <rPr>
            <b/>
            <sz val="9"/>
            <color indexed="81"/>
            <rFont val="Tahoma"/>
            <family val="2"/>
          </rPr>
          <t>Ripps, Maria (Research):</t>
        </r>
        <r>
          <rPr>
            <sz val="9"/>
            <color indexed="81"/>
            <rFont val="Tahoma"/>
            <family val="2"/>
          </rPr>
          <t xml:space="preserve">
Mid-Nov 2017 close</t>
        </r>
      </text>
    </comment>
    <comment ref="Z371" authorId="2">
      <text>
        <r>
          <rPr>
            <b/>
            <sz val="9"/>
            <color indexed="81"/>
            <rFont val="Tahoma"/>
            <family val="2"/>
          </rPr>
          <t>Ripps, Maria (Research):</t>
        </r>
        <r>
          <rPr>
            <sz val="9"/>
            <color indexed="81"/>
            <rFont val="Tahoma"/>
            <family val="2"/>
          </rPr>
          <t xml:space="preserve">
05/07/15, Q2 EC: Gross leverage increased to 2.5-2.75x from 2.5x prior</t>
        </r>
      </text>
    </comment>
    <comment ref="W374" authorId="10">
      <text>
        <r>
          <rPr>
            <b/>
            <sz val="9"/>
            <color indexed="81"/>
            <rFont val="Tahoma"/>
            <family val="2"/>
          </rPr>
          <t>Khadilkar, Hersh S (Research):</t>
        </r>
        <r>
          <rPr>
            <sz val="9"/>
            <color indexed="81"/>
            <rFont val="Tahoma"/>
            <family val="2"/>
          </rPr>
          <t xml:space="preserve">
assumes revolver drawn towards end of year</t>
        </r>
      </text>
    </comment>
    <comment ref="R386" authorId="1">
      <text>
        <r>
          <rPr>
            <b/>
            <sz val="8"/>
            <color indexed="81"/>
            <rFont val="Tahoma"/>
            <family val="2"/>
          </rPr>
          <t>krisbon:</t>
        </r>
        <r>
          <rPr>
            <sz val="8"/>
            <color indexed="81"/>
            <rFont val="Tahoma"/>
            <family val="2"/>
          </rPr>
          <t xml:space="preserve">
Issued May 8 2009</t>
        </r>
      </text>
    </comment>
    <comment ref="AC387" authorId="2">
      <text>
        <r>
          <rPr>
            <b/>
            <sz val="9"/>
            <color indexed="81"/>
            <rFont val="Tahoma"/>
            <family val="2"/>
          </rPr>
          <t>Ripps, Maria (Research):</t>
        </r>
        <r>
          <rPr>
            <sz val="9"/>
            <color indexed="81"/>
            <rFont val="Tahoma"/>
            <family val="2"/>
          </rPr>
          <t xml:space="preserve">
Redeemed at the end of 2Q'17</t>
        </r>
      </text>
    </comment>
    <comment ref="R388" authorId="1">
      <text>
        <r>
          <rPr>
            <b/>
            <sz val="8"/>
            <color indexed="81"/>
            <rFont val="Tahoma"/>
            <family val="2"/>
          </rPr>
          <t>krisbon:</t>
        </r>
        <r>
          <rPr>
            <sz val="8"/>
            <color indexed="81"/>
            <rFont val="Tahoma"/>
            <family val="2"/>
          </rPr>
          <t xml:space="preserve">
Issued May 8 2009</t>
        </r>
      </text>
    </comment>
    <comment ref="R389" authorId="1">
      <text>
        <r>
          <rPr>
            <b/>
            <sz val="8"/>
            <color indexed="81"/>
            <rFont val="Tahoma"/>
            <family val="2"/>
          </rPr>
          <t>krisbon:</t>
        </r>
        <r>
          <rPr>
            <sz val="8"/>
            <color indexed="81"/>
            <rFont val="Tahoma"/>
            <family val="2"/>
          </rPr>
          <t xml:space="preserve">
Issued May 28, 2009</t>
        </r>
      </text>
    </comment>
    <comment ref="S390" authorId="1">
      <text>
        <r>
          <rPr>
            <b/>
            <sz val="8"/>
            <color indexed="81"/>
            <rFont val="Tahoma"/>
            <family val="2"/>
          </rPr>
          <t>krisbon:</t>
        </r>
        <r>
          <rPr>
            <sz val="8"/>
            <color indexed="81"/>
            <rFont val="Tahoma"/>
            <family val="2"/>
          </rPr>
          <t xml:space="preserve">
Issued April 30, 2010 so 8 months of interest expense</t>
        </r>
      </text>
    </comment>
    <comment ref="AC400" authorId="2">
      <text>
        <r>
          <rPr>
            <b/>
            <sz val="9"/>
            <color indexed="81"/>
            <rFont val="Tahoma"/>
            <family val="2"/>
          </rPr>
          <t>Ripps, Maria (Research):</t>
        </r>
        <r>
          <rPr>
            <sz val="9"/>
            <color indexed="81"/>
            <rFont val="Tahoma"/>
            <family val="2"/>
          </rPr>
          <t xml:space="preserve">
Redeemed at the end of 2Q'17</t>
        </r>
      </text>
    </comment>
    <comment ref="W402" authorId="10">
      <text>
        <r>
          <rPr>
            <b/>
            <sz val="9"/>
            <color indexed="81"/>
            <rFont val="Tahoma"/>
            <family val="2"/>
          </rPr>
          <t>Khadilkar, Hersh S (Research):</t>
        </r>
        <r>
          <rPr>
            <sz val="9"/>
            <color indexed="81"/>
            <rFont val="Tahoma"/>
            <family val="2"/>
          </rPr>
          <t xml:space="preserve">
outstanding for CBSO for 11 months, but consolidated in CBS only from Feb to September</t>
        </r>
      </text>
    </comment>
    <comment ref="CV403" authorId="10">
      <text>
        <r>
          <rPr>
            <b/>
            <sz val="9"/>
            <color indexed="81"/>
            <rFont val="Tahoma"/>
            <family val="2"/>
          </rPr>
          <t>Khadilkar, Hersh S (Research):</t>
        </r>
        <r>
          <rPr>
            <sz val="9"/>
            <color indexed="81"/>
            <rFont val="Tahoma"/>
            <family val="2"/>
          </rPr>
          <t xml:space="preserve">
begins accruing august 15</t>
        </r>
      </text>
    </comment>
    <comment ref="CV404" authorId="10">
      <text>
        <r>
          <rPr>
            <b/>
            <sz val="9"/>
            <color indexed="81"/>
            <rFont val="Tahoma"/>
            <family val="2"/>
          </rPr>
          <t>Khadilkar, Hersh S (Research):</t>
        </r>
        <r>
          <rPr>
            <sz val="9"/>
            <color indexed="81"/>
            <rFont val="Tahoma"/>
            <family val="2"/>
          </rPr>
          <t xml:space="preserve">
begins accruing august 15</t>
        </r>
      </text>
    </comment>
    <comment ref="CV405" authorId="10">
      <text>
        <r>
          <rPr>
            <b/>
            <sz val="9"/>
            <color indexed="81"/>
            <rFont val="Tahoma"/>
            <family val="2"/>
          </rPr>
          <t>Khadilkar, Hersh S (Research):</t>
        </r>
        <r>
          <rPr>
            <sz val="9"/>
            <color indexed="81"/>
            <rFont val="Tahoma"/>
            <family val="2"/>
          </rPr>
          <t xml:space="preserve">
begins accruing august 15</t>
        </r>
      </text>
    </comment>
    <comment ref="AA418" authorId="2">
      <text>
        <r>
          <rPr>
            <b/>
            <sz val="9"/>
            <color indexed="81"/>
            <rFont val="Tahoma"/>
            <family val="2"/>
          </rPr>
          <t>Ripps, Maria (Research):</t>
        </r>
        <r>
          <rPr>
            <sz val="9"/>
            <color indexed="81"/>
            <rFont val="Tahoma"/>
            <family val="2"/>
          </rPr>
          <t xml:space="preserve">
PF interest</t>
        </r>
      </text>
    </comment>
    <comment ref="AA422" authorId="2">
      <text>
        <r>
          <rPr>
            <b/>
            <sz val="9"/>
            <color indexed="81"/>
            <rFont val="Tahoma"/>
            <family val="2"/>
          </rPr>
          <t>Ripps, Maria (Research):</t>
        </r>
        <r>
          <rPr>
            <sz val="9"/>
            <color indexed="81"/>
            <rFont val="Tahoma"/>
            <family val="2"/>
          </rPr>
          <t xml:space="preserve">
2016 10K: avg interest rate of 0.98% </t>
        </r>
      </text>
    </comment>
    <comment ref="W492" authorId="10">
      <text>
        <r>
          <rPr>
            <b/>
            <sz val="9"/>
            <color indexed="81"/>
            <rFont val="Tahoma"/>
            <family val="2"/>
          </rPr>
          <t>Khadilkar, Hersh S (Research):</t>
        </r>
        <r>
          <rPr>
            <sz val="9"/>
            <color indexed="81"/>
            <rFont val="Tahoma"/>
            <family val="2"/>
          </rPr>
          <t xml:space="preserve">
Cash proceeds from CBSO ($1.4bn debt and $615mm IPO proceeds) removed from Long Term Assets</t>
        </r>
      </text>
    </comment>
    <comment ref="K545" authorId="0">
      <text>
        <r>
          <rPr>
            <b/>
            <sz val="8"/>
            <color indexed="81"/>
            <rFont val="Tahoma"/>
            <family val="2"/>
          </rPr>
          <t>farrantj:</t>
        </r>
        <r>
          <rPr>
            <sz val="8"/>
            <color indexed="81"/>
            <rFont val="Tahoma"/>
            <family val="2"/>
          </rPr>
          <t xml:space="preserve">
1443.6</t>
        </r>
      </text>
    </comment>
    <comment ref="Z545" authorId="2">
      <text>
        <r>
          <rPr>
            <b/>
            <sz val="9"/>
            <color indexed="81"/>
            <rFont val="Tahoma"/>
            <family val="2"/>
          </rPr>
          <t>Ripps, Maria (Research):</t>
        </r>
        <r>
          <rPr>
            <sz val="9"/>
            <color indexed="81"/>
            <rFont val="Tahoma"/>
            <family val="2"/>
          </rPr>
          <t xml:space="preserve">
$350M Super Bowl pmt</t>
        </r>
      </text>
    </comment>
    <comment ref="K548" authorId="0">
      <text>
        <r>
          <rPr>
            <b/>
            <sz val="8"/>
            <color indexed="81"/>
            <rFont val="Tahoma"/>
            <family val="2"/>
          </rPr>
          <t>farrantj:</t>
        </r>
        <r>
          <rPr>
            <sz val="8"/>
            <color indexed="81"/>
            <rFont val="Tahoma"/>
            <family val="2"/>
          </rPr>
          <t xml:space="preserve">
10.2</t>
        </r>
      </text>
    </comment>
    <comment ref="J576" authorId="3">
      <text>
        <r>
          <rPr>
            <b/>
            <sz val="8"/>
            <color indexed="81"/>
            <rFont val="Tahoma"/>
            <family val="2"/>
          </rPr>
          <t>svetlana:</t>
        </r>
        <r>
          <rPr>
            <sz val="8"/>
            <color indexed="81"/>
            <rFont val="Tahoma"/>
            <family val="2"/>
          </rPr>
          <t xml:space="preserve">
Assumption</t>
        </r>
      </text>
    </comment>
    <comment ref="K576" authorId="3">
      <text>
        <r>
          <rPr>
            <b/>
            <sz val="8"/>
            <color indexed="81"/>
            <rFont val="Tahoma"/>
            <family val="2"/>
          </rPr>
          <t>svetlana:</t>
        </r>
        <r>
          <rPr>
            <sz val="8"/>
            <color indexed="81"/>
            <rFont val="Tahoma"/>
            <family val="2"/>
          </rPr>
          <t xml:space="preserve">
Assumption</t>
        </r>
      </text>
    </comment>
    <comment ref="L576" authorId="3">
      <text>
        <r>
          <rPr>
            <b/>
            <sz val="8"/>
            <color indexed="81"/>
            <rFont val="Tahoma"/>
            <family val="2"/>
          </rPr>
          <t>svetlana:</t>
        </r>
        <r>
          <rPr>
            <sz val="8"/>
            <color indexed="81"/>
            <rFont val="Tahoma"/>
            <family val="2"/>
          </rPr>
          <t xml:space="preserve">
Assumption</t>
        </r>
      </text>
    </comment>
    <comment ref="M576" authorId="12">
      <text>
        <r>
          <rPr>
            <b/>
            <sz val="8"/>
            <color indexed="81"/>
            <rFont val="Tahoma"/>
            <family val="2"/>
          </rPr>
          <t>Chad Harris:</t>
        </r>
        <r>
          <rPr>
            <sz val="8"/>
            <color indexed="81"/>
            <rFont val="Tahoma"/>
            <family val="2"/>
          </rPr>
          <t xml:space="preserve">
Liberty Media and Cereberus TV divestiture, $355 mm</t>
        </r>
      </text>
    </comment>
    <comment ref="K597" authorId="0">
      <text>
        <r>
          <rPr>
            <b/>
            <sz val="8"/>
            <color indexed="81"/>
            <rFont val="Tahoma"/>
            <family val="2"/>
          </rPr>
          <t>farrantj:</t>
        </r>
        <r>
          <rPr>
            <sz val="8"/>
            <color indexed="81"/>
            <rFont val="Tahoma"/>
            <family val="2"/>
          </rPr>
          <t xml:space="preserve">
1447</t>
        </r>
      </text>
    </comment>
    <comment ref="I598" authorId="3">
      <text>
        <r>
          <rPr>
            <b/>
            <sz val="8"/>
            <color indexed="81"/>
            <rFont val="Tahoma"/>
            <family val="2"/>
          </rPr>
          <t>svetlana:</t>
        </r>
        <r>
          <rPr>
            <sz val="8"/>
            <color indexed="81"/>
            <rFont val="Tahoma"/>
            <family val="2"/>
          </rPr>
          <t xml:space="preserve">
Old Via's amortization less New Via's amortization</t>
        </r>
      </text>
    </comment>
    <comment ref="K598" authorId="0">
      <text>
        <r>
          <rPr>
            <b/>
            <sz val="8"/>
            <color indexed="81"/>
            <rFont val="Tahoma"/>
            <family val="2"/>
          </rPr>
          <t>farrantj:</t>
        </r>
        <r>
          <rPr>
            <sz val="8"/>
            <color indexed="81"/>
            <rFont val="Tahoma"/>
            <family val="2"/>
          </rPr>
          <t xml:space="preserve">
-580</t>
        </r>
      </text>
    </comment>
    <comment ref="AA618" authorId="2">
      <text>
        <r>
          <rPr>
            <b/>
            <sz val="9"/>
            <color indexed="81"/>
            <rFont val="Tahoma"/>
            <family val="2"/>
          </rPr>
          <t>Ripps, Maria (Research):</t>
        </r>
        <r>
          <rPr>
            <sz val="9"/>
            <color indexed="81"/>
            <rFont val="Tahoma"/>
            <family val="2"/>
          </rPr>
          <t xml:space="preserve">
Radio separation</t>
        </r>
      </text>
    </comment>
    <comment ref="K632" authorId="3">
      <text>
        <r>
          <rPr>
            <b/>
            <sz val="8"/>
            <color indexed="81"/>
            <rFont val="Tahoma"/>
            <family val="2"/>
          </rPr>
          <t>svetlana:</t>
        </r>
        <r>
          <rPr>
            <sz val="8"/>
            <color indexed="81"/>
            <rFont val="Tahoma"/>
            <family val="2"/>
          </rPr>
          <t xml:space="preserve">
Assumed that the whole consideration for KOVR-TV is paid in VIA equity</t>
        </r>
      </text>
    </comment>
    <comment ref="L632" authorId="3">
      <text>
        <r>
          <rPr>
            <b/>
            <sz val="8"/>
            <color indexed="81"/>
            <rFont val="Tahoma"/>
            <family val="2"/>
          </rPr>
          <t>svetlana:</t>
        </r>
        <r>
          <rPr>
            <sz val="8"/>
            <color indexed="81"/>
            <rFont val="Tahoma"/>
            <family val="2"/>
          </rPr>
          <t xml:space="preserve">
The whole consideration for CSTV will be paid in CBS equity</t>
        </r>
      </text>
    </comment>
    <comment ref="J634" authorId="3">
      <text>
        <r>
          <rPr>
            <b/>
            <sz val="8"/>
            <color indexed="81"/>
            <rFont val="Tahoma"/>
            <family val="2"/>
          </rPr>
          <t>svetlana:</t>
        </r>
        <r>
          <rPr>
            <sz val="8"/>
            <color indexed="81"/>
            <rFont val="Tahoma"/>
            <family val="2"/>
          </rPr>
          <t xml:space="preserve">
Old Via's total acquisitions less New VIA's $393.6 (VIVA)
CBS' acquisitions included Outdoor properties and 10% interest in Spanish Broadcasting System, Inc.</t>
        </r>
      </text>
    </comment>
    <comment ref="K634" authorId="3">
      <text>
        <r>
          <rPr>
            <b/>
            <sz val="8"/>
            <color indexed="81"/>
            <rFont val="Tahoma"/>
            <family val="2"/>
          </rPr>
          <t>svetlana:</t>
        </r>
        <r>
          <rPr>
            <sz val="8"/>
            <color indexed="81"/>
            <rFont val="Tahoma"/>
            <family val="2"/>
          </rPr>
          <t xml:space="preserve">
Acquisition of KOVR-TV station
</t>
        </r>
      </text>
    </comment>
    <comment ref="L634" authorId="3">
      <text>
        <r>
          <rPr>
            <b/>
            <sz val="8"/>
            <color indexed="81"/>
            <rFont val="Tahoma"/>
            <family val="2"/>
          </rPr>
          <t>svetlana:</t>
        </r>
        <r>
          <rPr>
            <sz val="8"/>
            <color indexed="81"/>
            <rFont val="Tahoma"/>
            <family val="2"/>
          </rPr>
          <t xml:space="preserve">
Acquisition of CSTV Networks by CBS
Will close in Jan 2006</t>
        </r>
      </text>
    </comment>
    <comment ref="AA656" authorId="2">
      <text>
        <r>
          <rPr>
            <b/>
            <sz val="9"/>
            <color indexed="81"/>
            <rFont val="Tahoma"/>
            <family val="2"/>
          </rPr>
          <t>Ripps, Maria (Research):</t>
        </r>
        <r>
          <rPr>
            <sz val="9"/>
            <color indexed="81"/>
            <rFont val="Tahoma"/>
            <family val="2"/>
          </rPr>
          <t xml:space="preserve">
ex-Radio</t>
        </r>
      </text>
    </comment>
    <comment ref="AC656" authorId="2">
      <text>
        <r>
          <rPr>
            <b/>
            <sz val="9"/>
            <color indexed="81"/>
            <rFont val="Tahoma"/>
            <family val="2"/>
          </rPr>
          <t>Ripps, Maria (Research):</t>
        </r>
        <r>
          <rPr>
            <sz val="9"/>
            <color indexed="81"/>
            <rFont val="Tahoma"/>
            <family val="2"/>
          </rPr>
          <t xml:space="preserve">
ex-Radio</t>
        </r>
      </text>
    </comment>
    <comment ref="H657" authorId="3">
      <text>
        <r>
          <rPr>
            <b/>
            <sz val="8"/>
            <color indexed="81"/>
            <rFont val="Tahoma"/>
            <family val="2"/>
          </rPr>
          <t>svetlana:</t>
        </r>
        <r>
          <rPr>
            <sz val="8"/>
            <color indexed="81"/>
            <rFont val="Tahoma"/>
            <family val="2"/>
          </rPr>
          <t xml:space="preserve">
Assumed same ratio of deferred taxes as % of total tax provision as for New Viacom</t>
        </r>
      </text>
    </comment>
    <comment ref="Z657" authorId="2">
      <text>
        <r>
          <rPr>
            <b/>
            <sz val="9"/>
            <color indexed="81"/>
            <rFont val="Tahoma"/>
            <family val="2"/>
          </rPr>
          <t>Ripps, Maria (Research):</t>
        </r>
        <r>
          <rPr>
            <sz val="9"/>
            <color indexed="81"/>
            <rFont val="Tahoma"/>
            <family val="2"/>
          </rPr>
          <t xml:space="preserve">
10K</t>
        </r>
      </text>
    </comment>
    <comment ref="AA657" authorId="2">
      <text>
        <r>
          <rPr>
            <b/>
            <sz val="9"/>
            <color indexed="81"/>
            <rFont val="Tahoma"/>
            <family val="2"/>
          </rPr>
          <t>Ripps, Maria (Research):</t>
        </r>
        <r>
          <rPr>
            <sz val="9"/>
            <color indexed="81"/>
            <rFont val="Tahoma"/>
            <family val="2"/>
          </rPr>
          <t xml:space="preserve">
10K: Cash taxes included in operating activities from continuing operations</t>
        </r>
      </text>
    </comment>
    <comment ref="AD658" authorId="2">
      <text>
        <r>
          <rPr>
            <b/>
            <sz val="9"/>
            <color indexed="81"/>
            <rFont val="Tahoma"/>
            <family val="2"/>
          </rPr>
          <t>Ripps, Maria (Research):</t>
        </r>
        <r>
          <rPr>
            <sz val="9"/>
            <color indexed="81"/>
            <rFont val="Tahoma"/>
            <family val="2"/>
          </rPr>
          <t xml:space="preserve">
MSe: 15-17%</t>
        </r>
      </text>
    </comment>
    <comment ref="AA663" authorId="2">
      <text>
        <r>
          <rPr>
            <b/>
            <sz val="9"/>
            <color indexed="81"/>
            <rFont val="Tahoma"/>
            <family val="2"/>
          </rPr>
          <t>Ripps, Maria (Research):</t>
        </r>
        <r>
          <rPr>
            <sz val="9"/>
            <color indexed="81"/>
            <rFont val="Tahoma"/>
            <family val="2"/>
          </rPr>
          <t xml:space="preserve">
ex-Radio</t>
        </r>
      </text>
    </comment>
    <comment ref="Z664" authorId="2">
      <text>
        <r>
          <rPr>
            <b/>
            <sz val="9"/>
            <color indexed="81"/>
            <rFont val="Tahoma"/>
            <family val="2"/>
          </rPr>
          <t>Ripps, Maria (Research):</t>
        </r>
        <r>
          <rPr>
            <sz val="9"/>
            <color indexed="81"/>
            <rFont val="Tahoma"/>
            <family val="2"/>
          </rPr>
          <t xml:space="preserve">
</t>
        </r>
        <r>
          <rPr>
            <b/>
            <sz val="9"/>
            <color indexed="81"/>
            <rFont val="Tahoma"/>
            <family val="2"/>
          </rPr>
          <t xml:space="preserve">10K: </t>
        </r>
        <r>
          <rPr>
            <sz val="9"/>
            <color indexed="81"/>
            <rFont val="Tahoma"/>
            <family val="2"/>
          </rPr>
          <t xml:space="preserve">
Federal + State/local taxes: 
$798M, $55M</t>
        </r>
      </text>
    </comment>
    <comment ref="AA664" authorId="2">
      <text>
        <r>
          <rPr>
            <b/>
            <sz val="9"/>
            <color indexed="81"/>
            <rFont val="Tahoma"/>
            <family val="2"/>
          </rPr>
          <t>Ripps, Maria (Research):</t>
        </r>
        <r>
          <rPr>
            <sz val="9"/>
            <color indexed="81"/>
            <rFont val="Tahoma"/>
            <family val="2"/>
          </rPr>
          <t xml:space="preserve">
</t>
        </r>
        <r>
          <rPr>
            <b/>
            <sz val="9"/>
            <color indexed="81"/>
            <rFont val="Tahoma"/>
            <family val="2"/>
          </rPr>
          <t xml:space="preserve">10K: </t>
        </r>
        <r>
          <rPr>
            <sz val="9"/>
            <color indexed="81"/>
            <rFont val="Tahoma"/>
            <family val="2"/>
          </rPr>
          <t xml:space="preserve">
Federal + State/local taxes: 
$780M, $59M</t>
        </r>
      </text>
    </comment>
    <comment ref="AD664" authorId="2">
      <text>
        <r>
          <rPr>
            <b/>
            <sz val="9"/>
            <color indexed="81"/>
            <rFont val="Tahoma"/>
            <family val="2"/>
          </rPr>
          <t>Ripps, Maria (Research):</t>
        </r>
        <r>
          <rPr>
            <sz val="9"/>
            <color indexed="81"/>
            <rFont val="Tahoma"/>
            <family val="2"/>
          </rPr>
          <t xml:space="preserve">
MSe: 24-25%
21% federal, 3-4% local</t>
        </r>
      </text>
    </comment>
    <comment ref="U670" authorId="2">
      <text>
        <r>
          <rPr>
            <b/>
            <sz val="9"/>
            <color indexed="81"/>
            <rFont val="Tahoma"/>
            <family val="2"/>
          </rPr>
          <t>Ripps, Maria (Research):</t>
        </r>
        <r>
          <rPr>
            <sz val="9"/>
            <color indexed="81"/>
            <rFont val="Tahoma"/>
            <family val="2"/>
          </rPr>
          <t xml:space="preserve">
2014 10K: 34%</t>
        </r>
      </text>
    </comment>
    <comment ref="V670" authorId="2">
      <text>
        <r>
          <rPr>
            <b/>
            <sz val="9"/>
            <color indexed="81"/>
            <rFont val="Tahoma"/>
            <family val="2"/>
          </rPr>
          <t>Ripps, Maria (Research):</t>
        </r>
        <r>
          <rPr>
            <sz val="9"/>
            <color indexed="81"/>
            <rFont val="Tahoma"/>
            <family val="2"/>
          </rPr>
          <t xml:space="preserve">
2014 10K: 33%</t>
        </r>
      </text>
    </comment>
    <comment ref="W670" authorId="2">
      <text>
        <r>
          <rPr>
            <b/>
            <sz val="9"/>
            <color indexed="81"/>
            <rFont val="Tahoma"/>
            <family val="2"/>
          </rPr>
          <t>Ripps, Maria (Research):</t>
        </r>
        <r>
          <rPr>
            <sz val="9"/>
            <color indexed="81"/>
            <rFont val="Tahoma"/>
            <family val="2"/>
          </rPr>
          <t xml:space="preserve">
2014 10K:
Effective tax rate: 35.2%</t>
        </r>
      </text>
    </comment>
    <comment ref="Z670" authorId="2">
      <text>
        <r>
          <rPr>
            <b/>
            <sz val="9"/>
            <color indexed="81"/>
            <rFont val="Tahoma"/>
            <family val="2"/>
          </rPr>
          <t>Ripps, Maria (Research):</t>
        </r>
        <r>
          <rPr>
            <sz val="9"/>
            <color indexed="81"/>
            <rFont val="Tahoma"/>
            <family val="2"/>
          </rPr>
          <t xml:space="preserve">
2015 10K:
Effective tax rate: 29%</t>
        </r>
      </text>
    </comment>
    <comment ref="AA670" authorId="2">
      <text>
        <r>
          <rPr>
            <b/>
            <sz val="9"/>
            <color indexed="81"/>
            <rFont val="Tahoma"/>
            <family val="2"/>
          </rPr>
          <t>Ripps, Maria (Research):</t>
        </r>
        <r>
          <rPr>
            <sz val="9"/>
            <color indexed="81"/>
            <rFont val="Tahoma"/>
            <family val="2"/>
          </rPr>
          <t xml:space="preserve">
10K: Effective tax rate of 33.5%</t>
        </r>
      </text>
    </comment>
    <comment ref="DN670" authorId="2">
      <text>
        <r>
          <rPr>
            <b/>
            <sz val="9"/>
            <color indexed="81"/>
            <rFont val="Tahoma"/>
            <family val="2"/>
          </rPr>
          <t>Ripps, Maria (Research):</t>
        </r>
        <r>
          <rPr>
            <sz val="9"/>
            <color indexed="81"/>
            <rFont val="Tahoma"/>
            <family val="2"/>
          </rPr>
          <t xml:space="preserve">
MSe: 24-25% total</t>
        </r>
      </text>
    </comment>
    <comment ref="AA671" authorId="2">
      <text>
        <r>
          <rPr>
            <b/>
            <sz val="9"/>
            <color indexed="81"/>
            <rFont val="Tahoma"/>
            <family val="2"/>
          </rPr>
          <t>Ripps, Maria (Research):</t>
        </r>
        <r>
          <rPr>
            <sz val="9"/>
            <color indexed="81"/>
            <rFont val="Tahoma"/>
            <family val="2"/>
          </rPr>
          <t xml:space="preserve">
Includes a one-time tax benefit of $47 million associated with a multiyear adjustment to a tax deduction, which was approved by the IRS during the third quarter of 2016</t>
        </r>
      </text>
    </comment>
    <comment ref="R678" authorId="5">
      <text>
        <r>
          <rPr>
            <b/>
            <sz val="8"/>
            <color indexed="81"/>
            <rFont val="Tahoma"/>
            <family val="2"/>
          </rPr>
          <t>Kristi Bonner:</t>
        </r>
        <r>
          <rPr>
            <sz val="8"/>
            <color indexed="81"/>
            <rFont val="Tahoma"/>
            <family val="2"/>
          </rPr>
          <t xml:space="preserve">
Total CNET NOL=$450m.  Assuming 2009 beginning balance is $410m.</t>
        </r>
      </text>
    </comment>
    <comment ref="R679" authorId="5">
      <text>
        <r>
          <rPr>
            <b/>
            <sz val="8"/>
            <color indexed="81"/>
            <rFont val="Tahoma"/>
            <family val="2"/>
          </rPr>
          <t>Kristi Bonner:</t>
        </r>
        <r>
          <rPr>
            <sz val="8"/>
            <color indexed="81"/>
            <rFont val="Tahoma"/>
            <family val="2"/>
          </rPr>
          <t xml:space="preserve">
Limitation on use of acquired NOL's (section 382).  Assuming $150m per year limitation</t>
        </r>
      </text>
    </comment>
  </commentList>
</comments>
</file>

<file path=xl/comments4.xml><?xml version="1.0" encoding="utf-8"?>
<comments xmlns="http://schemas.openxmlformats.org/spreadsheetml/2006/main">
  <authors>
    <author>Kristi Bonner</author>
    <author>benswin</author>
    <author>Micah Nance</author>
    <author>Ripps, Maria (Research)</author>
  </authors>
  <commentList>
    <comment ref="A8" authorId="0">
      <text>
        <r>
          <rPr>
            <b/>
            <sz val="8"/>
            <color indexed="81"/>
            <rFont val="Tahoma"/>
            <family val="2"/>
          </rPr>
          <t>Kristi Bonner:</t>
        </r>
        <r>
          <rPr>
            <sz val="8"/>
            <color indexed="81"/>
            <rFont val="Tahoma"/>
            <family val="2"/>
          </rPr>
          <t xml:space="preserve">
Adjusted for non-cash interest expense</t>
        </r>
      </text>
    </comment>
    <comment ref="I11" authorId="1">
      <text>
        <r>
          <rPr>
            <b/>
            <sz val="8"/>
            <color indexed="81"/>
            <rFont val="Tahoma"/>
            <family val="2"/>
          </rPr>
          <t>benswin:</t>
        </r>
        <r>
          <rPr>
            <sz val="8"/>
            <color indexed="81"/>
            <rFont val="Tahoma"/>
            <family val="2"/>
          </rPr>
          <t xml:space="preserve">
$300 reduction in securitization liability</t>
        </r>
      </text>
    </comment>
    <comment ref="K11" authorId="2">
      <text>
        <r>
          <rPr>
            <b/>
            <sz val="8"/>
            <color indexed="81"/>
            <rFont val="Tahoma"/>
            <family val="2"/>
          </rPr>
          <t>Micah Nance:</t>
        </r>
        <r>
          <rPr>
            <sz val="8"/>
            <color indexed="81"/>
            <rFont val="Tahoma"/>
            <family val="2"/>
          </rPr>
          <t xml:space="preserve">
excludes pension contributions</t>
        </r>
      </text>
    </comment>
    <comment ref="L11" authorId="2">
      <text>
        <r>
          <rPr>
            <b/>
            <sz val="8"/>
            <color indexed="81"/>
            <rFont val="Tahoma"/>
            <family val="2"/>
          </rPr>
          <t>Micah Nance:</t>
        </r>
        <r>
          <rPr>
            <sz val="8"/>
            <color indexed="81"/>
            <rFont val="Tahoma"/>
            <family val="2"/>
          </rPr>
          <t xml:space="preserve">
working cap drag from cash pmts to NFL ahead of '13 superbowl</t>
        </r>
      </text>
    </comment>
    <comment ref="M11" authorId="2">
      <text>
        <r>
          <rPr>
            <b/>
            <sz val="8"/>
            <color indexed="81"/>
            <rFont val="Tahoma"/>
            <family val="2"/>
          </rPr>
          <t>Micah Nance:</t>
        </r>
        <r>
          <rPr>
            <sz val="8"/>
            <color indexed="81"/>
            <rFont val="Tahoma"/>
            <family val="2"/>
          </rPr>
          <t xml:space="preserve">
superbowl working cap reverses, offset in part by higher digital</t>
        </r>
      </text>
    </comment>
    <comment ref="T41" authorId="3">
      <text>
        <r>
          <rPr>
            <b/>
            <sz val="9"/>
            <color indexed="81"/>
            <rFont val="Tahoma"/>
            <family val="2"/>
          </rPr>
          <t>Ripps, Maria (Research):</t>
        </r>
        <r>
          <rPr>
            <sz val="9"/>
            <color indexed="81"/>
            <rFont val="Tahoma"/>
            <family val="2"/>
          </rPr>
          <t xml:space="preserve">
Adjusted for pension liability</t>
        </r>
      </text>
    </comment>
  </commentList>
</comments>
</file>

<file path=xl/comments5.xml><?xml version="1.0" encoding="utf-8"?>
<comments xmlns="http://schemas.openxmlformats.org/spreadsheetml/2006/main">
  <authors>
    <author>krisbon</author>
    <author>svetlana</author>
    <author>farrantj</author>
    <author>Kristi Bonner</author>
  </authors>
  <commentList>
    <comment ref="W5" authorId="0">
      <text>
        <r>
          <rPr>
            <b/>
            <sz val="8"/>
            <color indexed="81"/>
            <rFont val="Tahoma"/>
            <family val="2"/>
          </rPr>
          <t>krisbon:</t>
        </r>
        <r>
          <rPr>
            <sz val="8"/>
            <color indexed="81"/>
            <rFont val="Tahoma"/>
            <family val="2"/>
          </rPr>
          <t xml:space="preserve">
Includes full year of CNET</t>
        </r>
      </text>
    </comment>
    <comment ref="X5" authorId="0">
      <text>
        <r>
          <rPr>
            <b/>
            <sz val="8"/>
            <color indexed="81"/>
            <rFont val="Tahoma"/>
            <family val="2"/>
          </rPr>
          <t>krisbon:</t>
        </r>
        <r>
          <rPr>
            <sz val="8"/>
            <color indexed="81"/>
            <rFont val="Tahoma"/>
            <family val="2"/>
          </rPr>
          <t xml:space="preserve">
Includes full year of CNET</t>
        </r>
      </text>
    </comment>
    <comment ref="CJ5" authorId="1">
      <text>
        <r>
          <rPr>
            <b/>
            <sz val="8"/>
            <color indexed="81"/>
            <rFont val="Tahoma"/>
            <family val="2"/>
          </rPr>
          <t>svetlana:</t>
        </r>
        <r>
          <rPr>
            <sz val="8"/>
            <color indexed="81"/>
            <rFont val="Tahoma"/>
            <family val="2"/>
          </rPr>
          <t xml:space="preserve">
Pro Forma for Split
</t>
        </r>
      </text>
    </comment>
    <comment ref="CK5" authorId="1">
      <text>
        <r>
          <rPr>
            <b/>
            <sz val="8"/>
            <color indexed="81"/>
            <rFont val="Tahoma"/>
            <family val="2"/>
          </rPr>
          <t>svetlana:</t>
        </r>
        <r>
          <rPr>
            <sz val="8"/>
            <color indexed="81"/>
            <rFont val="Tahoma"/>
            <family val="2"/>
          </rPr>
          <t xml:space="preserve">
Pro Forma for Split
</t>
        </r>
      </text>
    </comment>
    <comment ref="DJ36" authorId="0">
      <text>
        <r>
          <rPr>
            <b/>
            <sz val="8"/>
            <color indexed="81"/>
            <rFont val="Tahoma"/>
            <family val="2"/>
          </rPr>
          <t>krisbon:</t>
        </r>
        <r>
          <rPr>
            <sz val="8"/>
            <color indexed="81"/>
            <rFont val="Tahoma"/>
            <family val="2"/>
          </rPr>
          <t xml:space="preserve">
Superbowl</t>
        </r>
      </text>
    </comment>
    <comment ref="Z44" authorId="0">
      <text>
        <r>
          <rPr>
            <b/>
            <sz val="8"/>
            <color indexed="81"/>
            <rFont val="Tahoma"/>
            <family val="2"/>
          </rPr>
          <t>krisbon:</t>
        </r>
        <r>
          <rPr>
            <sz val="8"/>
            <color indexed="81"/>
            <rFont val="Tahoma"/>
            <family val="2"/>
          </rPr>
          <t xml:space="preserve">
includes new film division losses</t>
        </r>
      </text>
    </comment>
    <comment ref="AA44" authorId="0">
      <text>
        <r>
          <rPr>
            <b/>
            <sz val="8"/>
            <color indexed="81"/>
            <rFont val="Tahoma"/>
            <family val="2"/>
          </rPr>
          <t>krisbon:</t>
        </r>
        <r>
          <rPr>
            <sz val="8"/>
            <color indexed="81"/>
            <rFont val="Tahoma"/>
            <family val="2"/>
          </rPr>
          <t xml:space="preserve">
includes new film division losses</t>
        </r>
      </text>
    </comment>
    <comment ref="DK45" authorId="0">
      <text>
        <r>
          <rPr>
            <b/>
            <sz val="8"/>
            <color indexed="81"/>
            <rFont val="Tahoma"/>
            <family val="2"/>
          </rPr>
          <t>krisbon:</t>
        </r>
        <r>
          <rPr>
            <sz val="8"/>
            <color indexed="81"/>
            <rFont val="Tahoma"/>
            <family val="2"/>
          </rPr>
          <t xml:space="preserve">
tough syndication comp</t>
        </r>
      </text>
    </comment>
    <comment ref="CT49" authorId="0">
      <text>
        <r>
          <rPr>
            <b/>
            <sz val="8"/>
            <color indexed="81"/>
            <rFont val="Tahoma"/>
            <family val="2"/>
          </rPr>
          <t>krisbon:</t>
        </r>
        <r>
          <rPr>
            <sz val="8"/>
            <color indexed="81"/>
            <rFont val="Tahoma"/>
            <family val="2"/>
          </rPr>
          <t xml:space="preserve">
per 10-K.  CBS interactive ex-CNET</t>
        </r>
      </text>
    </comment>
    <comment ref="CU49" authorId="0">
      <text>
        <r>
          <rPr>
            <b/>
            <sz val="8"/>
            <color indexed="81"/>
            <rFont val="Tahoma"/>
            <family val="2"/>
          </rPr>
          <t>krisbon:</t>
        </r>
        <r>
          <rPr>
            <sz val="8"/>
            <color indexed="81"/>
            <rFont val="Tahoma"/>
            <family val="2"/>
          </rPr>
          <t xml:space="preserve">
per 10-K.  CBS interactive ex-CNET</t>
        </r>
      </text>
    </comment>
    <comment ref="CV49" authorId="0">
      <text>
        <r>
          <rPr>
            <b/>
            <sz val="8"/>
            <color indexed="81"/>
            <rFont val="Tahoma"/>
            <family val="2"/>
          </rPr>
          <t>krisbon:</t>
        </r>
        <r>
          <rPr>
            <sz val="8"/>
            <color indexed="81"/>
            <rFont val="Tahoma"/>
            <family val="2"/>
          </rPr>
          <t xml:space="preserve">
per 10-K.  CBS interactive ex-CNET</t>
        </r>
      </text>
    </comment>
    <comment ref="CW49" authorId="0">
      <text>
        <r>
          <rPr>
            <b/>
            <sz val="8"/>
            <color indexed="81"/>
            <rFont val="Tahoma"/>
            <family val="2"/>
          </rPr>
          <t>krisbon:</t>
        </r>
        <r>
          <rPr>
            <sz val="8"/>
            <color indexed="81"/>
            <rFont val="Tahoma"/>
            <family val="2"/>
          </rPr>
          <t xml:space="preserve">
per 10-K.  CBS interactive ex-CNET</t>
        </r>
      </text>
    </comment>
    <comment ref="CY49" authorId="0">
      <text>
        <r>
          <rPr>
            <b/>
            <sz val="8"/>
            <color indexed="81"/>
            <rFont val="Tahoma"/>
            <family val="2"/>
          </rPr>
          <t>krisbon:</t>
        </r>
        <r>
          <rPr>
            <sz val="8"/>
            <color indexed="81"/>
            <rFont val="Tahoma"/>
            <family val="2"/>
          </rPr>
          <t xml:space="preserve">
per 10-K.  CBS interactive ex-CNET</t>
        </r>
      </text>
    </comment>
    <comment ref="CZ49" authorId="0">
      <text>
        <r>
          <rPr>
            <b/>
            <sz val="8"/>
            <color indexed="81"/>
            <rFont val="Tahoma"/>
            <family val="2"/>
          </rPr>
          <t>krisbon:</t>
        </r>
        <r>
          <rPr>
            <sz val="8"/>
            <color indexed="81"/>
            <rFont val="Tahoma"/>
            <family val="2"/>
          </rPr>
          <t xml:space="preserve">
per 10-K.  CBS interactive ex-CNET</t>
        </r>
      </text>
    </comment>
    <comment ref="CT51" authorId="0">
      <text>
        <r>
          <rPr>
            <b/>
            <sz val="8"/>
            <color indexed="81"/>
            <rFont val="Tahoma"/>
            <family val="2"/>
          </rPr>
          <t>krisbon:</t>
        </r>
        <r>
          <rPr>
            <sz val="8"/>
            <color indexed="81"/>
            <rFont val="Tahoma"/>
            <family val="2"/>
          </rPr>
          <t xml:space="preserve">
per 10-K.  CBS interactive ex-CNET</t>
        </r>
      </text>
    </comment>
    <comment ref="CU51" authorId="0">
      <text>
        <r>
          <rPr>
            <b/>
            <sz val="8"/>
            <color indexed="81"/>
            <rFont val="Tahoma"/>
            <family val="2"/>
          </rPr>
          <t>krisbon:</t>
        </r>
        <r>
          <rPr>
            <sz val="8"/>
            <color indexed="81"/>
            <rFont val="Tahoma"/>
            <family val="2"/>
          </rPr>
          <t xml:space="preserve">
per 10-K.  CBS interactive ex-CNET</t>
        </r>
      </text>
    </comment>
    <comment ref="CV51" authorId="0">
      <text>
        <r>
          <rPr>
            <b/>
            <sz val="8"/>
            <color indexed="81"/>
            <rFont val="Tahoma"/>
            <family val="2"/>
          </rPr>
          <t>krisbon:</t>
        </r>
        <r>
          <rPr>
            <sz val="8"/>
            <color indexed="81"/>
            <rFont val="Tahoma"/>
            <family val="2"/>
          </rPr>
          <t xml:space="preserve">
per 10-K.  CBS interactive ex-CNET</t>
        </r>
      </text>
    </comment>
    <comment ref="CW51" authorId="0">
      <text>
        <r>
          <rPr>
            <b/>
            <sz val="8"/>
            <color indexed="81"/>
            <rFont val="Tahoma"/>
            <family val="2"/>
          </rPr>
          <t>krisbon:</t>
        </r>
        <r>
          <rPr>
            <sz val="8"/>
            <color indexed="81"/>
            <rFont val="Tahoma"/>
            <family val="2"/>
          </rPr>
          <t xml:space="preserve">
per 10-K.  CBS interactive ex-CNET</t>
        </r>
      </text>
    </comment>
    <comment ref="CY51" authorId="0">
      <text>
        <r>
          <rPr>
            <b/>
            <sz val="8"/>
            <color indexed="81"/>
            <rFont val="Tahoma"/>
            <family val="2"/>
          </rPr>
          <t>krisbon:</t>
        </r>
        <r>
          <rPr>
            <sz val="8"/>
            <color indexed="81"/>
            <rFont val="Tahoma"/>
            <family val="2"/>
          </rPr>
          <t xml:space="preserve">
per 10-K.  CBS interactive ex-CNET</t>
        </r>
      </text>
    </comment>
    <comment ref="CZ51" authorId="0">
      <text>
        <r>
          <rPr>
            <b/>
            <sz val="8"/>
            <color indexed="81"/>
            <rFont val="Tahoma"/>
            <family val="2"/>
          </rPr>
          <t>krisbon:</t>
        </r>
        <r>
          <rPr>
            <sz val="8"/>
            <color indexed="81"/>
            <rFont val="Tahoma"/>
            <family val="2"/>
          </rPr>
          <t xml:space="preserve">
per 10-K.  CBS interactive ex-CNET</t>
        </r>
      </text>
    </comment>
    <comment ref="CT58" authorId="0">
      <text>
        <r>
          <rPr>
            <b/>
            <sz val="8"/>
            <color indexed="81"/>
            <rFont val="Tahoma"/>
            <family val="2"/>
          </rPr>
          <t>krisbon:</t>
        </r>
        <r>
          <rPr>
            <sz val="8"/>
            <color indexed="81"/>
            <rFont val="Tahoma"/>
            <family val="2"/>
          </rPr>
          <t xml:space="preserve">
per 10-K.  CBS interactive ex-CNET</t>
        </r>
      </text>
    </comment>
    <comment ref="CU58" authorId="0">
      <text>
        <r>
          <rPr>
            <b/>
            <sz val="8"/>
            <color indexed="81"/>
            <rFont val="Tahoma"/>
            <family val="2"/>
          </rPr>
          <t>krisbon:</t>
        </r>
        <r>
          <rPr>
            <sz val="8"/>
            <color indexed="81"/>
            <rFont val="Tahoma"/>
            <family val="2"/>
          </rPr>
          <t xml:space="preserve">
per 10-K.  CBS interactive ex-CNET</t>
        </r>
      </text>
    </comment>
    <comment ref="CV58" authorId="0">
      <text>
        <r>
          <rPr>
            <b/>
            <sz val="8"/>
            <color indexed="81"/>
            <rFont val="Tahoma"/>
            <family val="2"/>
          </rPr>
          <t>krisbon:</t>
        </r>
        <r>
          <rPr>
            <sz val="8"/>
            <color indexed="81"/>
            <rFont val="Tahoma"/>
            <family val="2"/>
          </rPr>
          <t xml:space="preserve">
per 10-K.  CBS interactive ex-CNET</t>
        </r>
      </text>
    </comment>
    <comment ref="CW58" authorId="0">
      <text>
        <r>
          <rPr>
            <b/>
            <sz val="8"/>
            <color indexed="81"/>
            <rFont val="Tahoma"/>
            <family val="2"/>
          </rPr>
          <t>krisbon:</t>
        </r>
        <r>
          <rPr>
            <sz val="8"/>
            <color indexed="81"/>
            <rFont val="Tahoma"/>
            <family val="2"/>
          </rPr>
          <t xml:space="preserve">
per 10-K.  CBS interactive ex-CNET</t>
        </r>
      </text>
    </comment>
    <comment ref="CY58" authorId="0">
      <text>
        <r>
          <rPr>
            <b/>
            <sz val="8"/>
            <color indexed="81"/>
            <rFont val="Tahoma"/>
            <family val="2"/>
          </rPr>
          <t>krisbon:</t>
        </r>
        <r>
          <rPr>
            <sz val="8"/>
            <color indexed="81"/>
            <rFont val="Tahoma"/>
            <family val="2"/>
          </rPr>
          <t xml:space="preserve">
per 10-K.  CBS interactive ex-CNET</t>
        </r>
      </text>
    </comment>
    <comment ref="CZ58" authorId="0">
      <text>
        <r>
          <rPr>
            <b/>
            <sz val="8"/>
            <color indexed="81"/>
            <rFont val="Tahoma"/>
            <family val="2"/>
          </rPr>
          <t>krisbon:</t>
        </r>
        <r>
          <rPr>
            <sz val="8"/>
            <color indexed="81"/>
            <rFont val="Tahoma"/>
            <family val="2"/>
          </rPr>
          <t xml:space="preserve">
per 10-K.  CBS interactive ex-CNET</t>
        </r>
      </text>
    </comment>
    <comment ref="DA58" authorId="0">
      <text>
        <r>
          <rPr>
            <b/>
            <sz val="8"/>
            <color indexed="81"/>
            <rFont val="Tahoma"/>
            <family val="2"/>
          </rPr>
          <t>krisbon:</t>
        </r>
        <r>
          <rPr>
            <sz val="8"/>
            <color indexed="81"/>
            <rFont val="Tahoma"/>
            <family val="2"/>
          </rPr>
          <t xml:space="preserve">
includes CNET</t>
        </r>
      </text>
    </comment>
    <comment ref="DB58" authorId="0">
      <text>
        <r>
          <rPr>
            <b/>
            <sz val="8"/>
            <color indexed="81"/>
            <rFont val="Tahoma"/>
            <family val="2"/>
          </rPr>
          <t>krisbon:</t>
        </r>
        <r>
          <rPr>
            <sz val="8"/>
            <color indexed="81"/>
            <rFont val="Tahoma"/>
            <family val="2"/>
          </rPr>
          <t xml:space="preserve">
Includes CNET</t>
        </r>
      </text>
    </comment>
    <comment ref="CO83" authorId="2">
      <text>
        <r>
          <rPr>
            <b/>
            <sz val="8"/>
            <color indexed="81"/>
            <rFont val="Tahoma"/>
            <family val="2"/>
          </rPr>
          <t>farrantj:</t>
        </r>
        <r>
          <rPr>
            <sz val="8"/>
            <color indexed="81"/>
            <rFont val="Tahoma"/>
            <family val="2"/>
          </rPr>
          <t xml:space="preserve">
have to strip out the option expense that's running through corporate</t>
        </r>
      </text>
    </comment>
    <comment ref="DB83" authorId="0">
      <text>
        <r>
          <rPr>
            <b/>
            <sz val="8"/>
            <color indexed="81"/>
            <rFont val="Tahoma"/>
            <family val="2"/>
          </rPr>
          <t>krisbon:</t>
        </r>
        <r>
          <rPr>
            <sz val="8"/>
            <color indexed="81"/>
            <rFont val="Tahoma"/>
            <family val="2"/>
          </rPr>
          <t xml:space="preserve">
adding back restructuring charge</t>
        </r>
      </text>
    </comment>
    <comment ref="O84" authorId="1">
      <text>
        <r>
          <rPr>
            <b/>
            <sz val="8"/>
            <color indexed="81"/>
            <rFont val="Tahoma"/>
            <family val="2"/>
          </rPr>
          <t>svetlana:</t>
        </r>
        <r>
          <rPr>
            <sz val="8"/>
            <color indexed="81"/>
            <rFont val="Tahoma"/>
            <family val="2"/>
          </rPr>
          <t xml:space="preserve">
Assume that all of old Via's residual costs are assigned to new VIA</t>
        </r>
      </text>
    </comment>
    <comment ref="T84" authorId="2">
      <text>
        <r>
          <rPr>
            <b/>
            <sz val="8"/>
            <color indexed="81"/>
            <rFont val="Tahoma"/>
            <family val="2"/>
          </rPr>
          <t>farrantj:</t>
        </r>
        <r>
          <rPr>
            <sz val="8"/>
            <color indexed="81"/>
            <rFont val="Tahoma"/>
            <family val="2"/>
          </rPr>
          <t xml:space="preserve">
=S77-(('GAAP Financial Statements'!L267+'GAAP Financial Statements'!M267)*0.07*0.5)</t>
        </r>
      </text>
    </comment>
    <comment ref="Y84" authorId="0">
      <text>
        <r>
          <rPr>
            <b/>
            <sz val="8"/>
            <color indexed="81"/>
            <rFont val="Tahoma"/>
            <family val="2"/>
          </rPr>
          <t>krisbon:</t>
        </r>
        <r>
          <rPr>
            <sz val="8"/>
            <color indexed="81"/>
            <rFont val="Tahoma"/>
            <family val="2"/>
          </rPr>
          <t xml:space="preserve">
additional pension expense in 2009</t>
        </r>
      </text>
    </comment>
    <comment ref="Z84" authorId="0">
      <text>
        <r>
          <rPr>
            <b/>
            <sz val="8"/>
            <color indexed="81"/>
            <rFont val="Tahoma"/>
            <family val="2"/>
          </rPr>
          <t>krisbon:</t>
        </r>
        <r>
          <rPr>
            <sz val="8"/>
            <color indexed="81"/>
            <rFont val="Tahoma"/>
            <family val="2"/>
          </rPr>
          <t xml:space="preserve">
Lower pension expense due to market improvements vs. PY</t>
        </r>
      </text>
    </comment>
    <comment ref="R86" authorId="1">
      <text>
        <r>
          <rPr>
            <b/>
            <sz val="8"/>
            <color indexed="81"/>
            <rFont val="Tahoma"/>
            <family val="2"/>
          </rPr>
          <t>svetlana:</t>
        </r>
        <r>
          <rPr>
            <sz val="8"/>
            <color indexed="81"/>
            <rFont val="Tahoma"/>
            <family val="2"/>
          </rPr>
          <t xml:space="preserve">
On the reported basis, includes non-recurring charges in Outdoor and Television segments</t>
        </r>
      </text>
    </comment>
    <comment ref="S86" authorId="1">
      <text>
        <r>
          <rPr>
            <b/>
            <sz val="8"/>
            <color indexed="81"/>
            <rFont val="Tahoma"/>
            <family val="2"/>
          </rPr>
          <t>svetlana:</t>
        </r>
        <r>
          <rPr>
            <sz val="8"/>
            <color indexed="81"/>
            <rFont val="Tahoma"/>
            <family val="2"/>
          </rPr>
          <t xml:space="preserve">
On the reported basis, includes non-recurring charges in Outdoor and Television segments</t>
        </r>
      </text>
    </comment>
    <comment ref="DA86" authorId="3">
      <text>
        <r>
          <rPr>
            <b/>
            <sz val="8"/>
            <color indexed="81"/>
            <rFont val="Tahoma"/>
            <family val="2"/>
          </rPr>
          <t>Kristi Bonner:</t>
        </r>
        <r>
          <rPr>
            <sz val="8"/>
            <color indexed="81"/>
            <rFont val="Tahoma"/>
            <family val="2"/>
          </rPr>
          <t xml:space="preserve">
reported 638.8+5.9 restructuring charges</t>
        </r>
      </text>
    </comment>
  </commentList>
</comments>
</file>

<file path=xl/comments6.xml><?xml version="1.0" encoding="utf-8"?>
<comments xmlns="http://schemas.openxmlformats.org/spreadsheetml/2006/main">
  <authors>
    <author>benswin</author>
    <author>Micah Nance</author>
    <author>Khadilkar, Hersh S (Research)</author>
    <author>krisbon</author>
    <author>fiftrya</author>
    <author>matheemi</author>
    <author>hershk</author>
    <author>Ripps, Maria (Research)</author>
    <author>Swinburne, Benjamin (Research)</author>
  </authors>
  <commentList>
    <comment ref="BQ8" authorId="0">
      <text>
        <r>
          <rPr>
            <b/>
            <sz val="8"/>
            <color indexed="81"/>
            <rFont val="Tahoma"/>
            <family val="2"/>
          </rPr>
          <t>benswin:</t>
        </r>
        <r>
          <rPr>
            <sz val="8"/>
            <color indexed="81"/>
            <rFont val="Tahoma"/>
            <family val="2"/>
          </rPr>
          <t xml:space="preserve">
$200 mm incremental</t>
        </r>
      </text>
    </comment>
    <comment ref="BV8" authorId="1">
      <text>
        <r>
          <rPr>
            <b/>
            <sz val="8"/>
            <color indexed="81"/>
            <rFont val="Tahoma"/>
            <family val="2"/>
          </rPr>
          <t>Micah Nance:</t>
        </r>
        <r>
          <rPr>
            <sz val="8"/>
            <color indexed="81"/>
            <rFont val="Tahoma"/>
            <family val="2"/>
          </rPr>
          <t xml:space="preserve">
Super Bowl and addt'l NCAA tourney revs in 1Q10 comp</t>
        </r>
      </text>
    </comment>
    <comment ref="CK8" authorId="2">
      <text>
        <r>
          <rPr>
            <b/>
            <sz val="9"/>
            <color indexed="81"/>
            <rFont val="Tahoma"/>
            <family val="2"/>
          </rPr>
          <t>Khadilkar, Hersh S (Research):</t>
        </r>
        <r>
          <rPr>
            <sz val="9"/>
            <color indexed="81"/>
            <rFont val="Tahoma"/>
            <family val="2"/>
          </rPr>
          <t xml:space="preserve">
down LSD excluding Superbowl and March Madness (we estimate ~$286mm revs)</t>
        </r>
      </text>
    </comment>
    <comment ref="BQ9" authorId="0">
      <text>
        <r>
          <rPr>
            <b/>
            <sz val="8"/>
            <color indexed="81"/>
            <rFont val="Tahoma"/>
            <family val="2"/>
          </rPr>
          <t>benswin:</t>
        </r>
        <r>
          <rPr>
            <sz val="8"/>
            <color indexed="81"/>
            <rFont val="Tahoma"/>
            <family val="2"/>
          </rPr>
          <t xml:space="preserve">
superbowl</t>
        </r>
      </text>
    </comment>
    <comment ref="BR9" authorId="3">
      <text>
        <r>
          <rPr>
            <b/>
            <sz val="8"/>
            <color indexed="81"/>
            <rFont val="Tahoma"/>
            <family val="2"/>
          </rPr>
          <t>krisbon:</t>
        </r>
        <r>
          <rPr>
            <sz val="8"/>
            <color indexed="81"/>
            <rFont val="Tahoma"/>
            <family val="2"/>
          </rPr>
          <t xml:space="preserve">
ad sales up 5% at the network</t>
        </r>
      </text>
    </comment>
    <comment ref="BT9" authorId="3">
      <text>
        <r>
          <rPr>
            <b/>
            <sz val="8"/>
            <color indexed="81"/>
            <rFont val="Tahoma"/>
            <family val="2"/>
          </rPr>
          <t>krisbon:</t>
        </r>
        <r>
          <rPr>
            <sz val="8"/>
            <color indexed="81"/>
            <rFont val="Tahoma"/>
            <family val="2"/>
          </rPr>
          <t xml:space="preserve">
up 8% per call</t>
        </r>
      </text>
    </comment>
    <comment ref="BX9" authorId="1">
      <text>
        <r>
          <rPr>
            <b/>
            <sz val="8"/>
            <color indexed="81"/>
            <rFont val="Tahoma"/>
            <family val="2"/>
          </rPr>
          <t>Micah Nance:</t>
        </r>
        <r>
          <rPr>
            <sz val="8"/>
            <color indexed="81"/>
            <rFont val="Tahoma"/>
            <family val="2"/>
          </rPr>
          <t xml:space="preserve">
CBS PT revs up 4%, one fewer NFL game YoY</t>
        </r>
      </text>
    </comment>
    <comment ref="BY9" authorId="1">
      <text>
        <r>
          <rPr>
            <b/>
            <sz val="8"/>
            <color indexed="81"/>
            <rFont val="Tahoma"/>
            <family val="2"/>
          </rPr>
          <t>Micah Nance:</t>
        </r>
        <r>
          <rPr>
            <sz val="8"/>
            <color indexed="81"/>
            <rFont val="Tahoma"/>
            <family val="2"/>
          </rPr>
          <t xml:space="preserve">
ad revs essentially flat YoY</t>
        </r>
      </text>
    </comment>
    <comment ref="CA9" authorId="1">
      <text>
        <r>
          <rPr>
            <b/>
            <sz val="8"/>
            <color indexed="81"/>
            <rFont val="Tahoma"/>
            <family val="2"/>
          </rPr>
          <t xml:space="preserve">fiftrya:
</t>
        </r>
        <r>
          <rPr>
            <sz val="8"/>
            <color indexed="81"/>
            <rFont val="Tahoma"/>
            <family val="2"/>
          </rPr>
          <t xml:space="preserve">Network advert up 8%
+4% underlying, +4% from NCAA timing
</t>
        </r>
        <r>
          <rPr>
            <b/>
            <sz val="8"/>
            <color indexed="81"/>
            <rFont val="Tahoma"/>
            <family val="2"/>
          </rPr>
          <t xml:space="preserve">
Micah Nance:</t>
        </r>
        <r>
          <rPr>
            <sz val="8"/>
            <color indexed="81"/>
            <rFont val="Tahoma"/>
            <family val="2"/>
          </rPr>
          <t xml:space="preserve">
re-trans drives roughly 3.9% of growth in 2012 (vs 1.6% in 2011)</t>
        </r>
      </text>
    </comment>
    <comment ref="CB9" authorId="1">
      <text>
        <r>
          <rPr>
            <b/>
            <sz val="8"/>
            <color indexed="81"/>
            <rFont val="Tahoma"/>
            <family val="2"/>
          </rPr>
          <t xml:space="preserve">fiftrya:
</t>
        </r>
        <r>
          <rPr>
            <sz val="8"/>
            <color indexed="81"/>
            <rFont val="Tahoma"/>
            <family val="2"/>
          </rPr>
          <t xml:space="preserve">Network advert flat excluding NCAA tournament impact
</t>
        </r>
      </text>
    </comment>
    <comment ref="CC9" authorId="4">
      <text>
        <r>
          <rPr>
            <b/>
            <sz val="8"/>
            <color indexed="81"/>
            <rFont val="Tahoma"/>
            <family val="2"/>
          </rPr>
          <t>fiftrya:</t>
        </r>
        <r>
          <rPr>
            <sz val="8"/>
            <color indexed="81"/>
            <rFont val="Tahoma"/>
            <family val="2"/>
          </rPr>
          <t xml:space="preserve">
Ad revs down YoY</t>
        </r>
      </text>
    </comment>
    <comment ref="CF9" authorId="5">
      <text>
        <r>
          <rPr>
            <b/>
            <sz val="8"/>
            <color indexed="81"/>
            <rFont val="Tahoma"/>
            <family val="2"/>
          </rPr>
          <t>matheemi:</t>
        </r>
        <r>
          <rPr>
            <sz val="8"/>
            <color indexed="81"/>
            <rFont val="Tahoma"/>
            <family val="2"/>
          </rPr>
          <t xml:space="preserve">
solving for advert (ex Superbowl and Final Four timing) up LSDs</t>
        </r>
      </text>
    </comment>
    <comment ref="CG9" authorId="5">
      <text>
        <r>
          <rPr>
            <b/>
            <sz val="8"/>
            <color indexed="81"/>
            <rFont val="Tahoma"/>
            <family val="2"/>
          </rPr>
          <t>hershk:</t>
        </r>
        <r>
          <rPr>
            <sz val="8"/>
            <color indexed="81"/>
            <rFont val="Tahoma"/>
            <family val="2"/>
          </rPr>
          <t xml:space="preserve">
solved for advertising growth of 11%</t>
        </r>
      </text>
    </comment>
    <comment ref="CH9" authorId="6">
      <text>
        <r>
          <rPr>
            <b/>
            <sz val="8"/>
            <color indexed="81"/>
            <rFont val="Tahoma"/>
            <family val="2"/>
          </rPr>
          <t>hershk:</t>
        </r>
        <r>
          <rPr>
            <sz val="8"/>
            <color indexed="81"/>
            <rFont val="Tahoma"/>
            <family val="2"/>
          </rPr>
          <t xml:space="preserve">
solved for ad + retrans growth: network advertising +13%, retrans up 32% YoY</t>
        </r>
      </text>
    </comment>
    <comment ref="CI9" authorId="6">
      <text>
        <r>
          <rPr>
            <b/>
            <sz val="8"/>
            <color indexed="81"/>
            <rFont val="Tahoma"/>
            <family val="2"/>
          </rPr>
          <t>hershk:</t>
        </r>
        <r>
          <rPr>
            <sz val="8"/>
            <color indexed="81"/>
            <rFont val="Tahoma"/>
            <family val="2"/>
          </rPr>
          <t xml:space="preserve">
newtork advertising +4%, assumes retrans +10%</t>
        </r>
      </text>
    </comment>
    <comment ref="CL9" authorId="2">
      <text>
        <r>
          <rPr>
            <b/>
            <sz val="9"/>
            <color indexed="81"/>
            <rFont val="Tahoma"/>
            <family val="2"/>
          </rPr>
          <t>Khadilkar, Hersh S (Research):</t>
        </r>
        <r>
          <rPr>
            <sz val="9"/>
            <color indexed="81"/>
            <rFont val="Tahoma"/>
            <family val="2"/>
          </rPr>
          <t xml:space="preserve">
plug to get to 13% decline in content licensing</t>
        </r>
      </text>
    </comment>
    <comment ref="CM9" authorId="2">
      <text>
        <r>
          <rPr>
            <b/>
            <sz val="9"/>
            <color indexed="81"/>
            <rFont val="Tahoma"/>
            <family val="2"/>
          </rPr>
          <t>Khadilkar, Hersh S (Research):</t>
        </r>
        <r>
          <rPr>
            <sz val="9"/>
            <color indexed="81"/>
            <rFont val="Tahoma"/>
            <family val="2"/>
          </rPr>
          <t xml:space="preserve">
plug to get to 2% increase in content licensing, 1% decline in advertising at network</t>
        </r>
      </text>
    </comment>
    <comment ref="CN9" authorId="7">
      <text>
        <r>
          <rPr>
            <b/>
            <sz val="9"/>
            <color indexed="81"/>
            <rFont val="Tahoma"/>
            <family val="2"/>
          </rPr>
          <t>Ripps, Maria (Research):</t>
        </r>
        <r>
          <rPr>
            <sz val="9"/>
            <color indexed="81"/>
            <rFont val="Tahoma"/>
            <family val="2"/>
          </rPr>
          <t xml:space="preserve">
plug to get to 2% increase in advertising at network, and 2% decline in content licensing</t>
        </r>
      </text>
    </comment>
    <comment ref="CP9" authorId="7">
      <text>
        <r>
          <rPr>
            <b/>
            <sz val="9"/>
            <color indexed="81"/>
            <rFont val="Tahoma"/>
            <family val="2"/>
          </rPr>
          <t>Ripps, Maria (Research):</t>
        </r>
        <r>
          <rPr>
            <sz val="9"/>
            <color indexed="81"/>
            <rFont val="Tahoma"/>
            <family val="2"/>
          </rPr>
          <t xml:space="preserve">
plug to get to 4% decline in network advertising</t>
        </r>
      </text>
    </comment>
    <comment ref="CR9" authorId="7">
      <text>
        <r>
          <rPr>
            <b/>
            <sz val="9"/>
            <color indexed="81"/>
            <rFont val="Tahoma"/>
            <family val="2"/>
          </rPr>
          <t>Ripps, Maria (Research):</t>
        </r>
        <r>
          <rPr>
            <sz val="9"/>
            <color indexed="81"/>
            <rFont val="Tahoma"/>
            <family val="2"/>
          </rPr>
          <t xml:space="preserve">
plug to get to +1% in network advertising</t>
        </r>
      </text>
    </comment>
    <comment ref="CS9" authorId="7">
      <text>
        <r>
          <rPr>
            <b/>
            <sz val="9"/>
            <color indexed="81"/>
            <rFont val="Tahoma"/>
            <family val="2"/>
          </rPr>
          <t>Ripps, Maria (Research):</t>
        </r>
        <r>
          <rPr>
            <sz val="9"/>
            <color indexed="81"/>
            <rFont val="Tahoma"/>
            <family val="2"/>
          </rPr>
          <t xml:space="preserve">
plug to get to +8% in network advertising</t>
        </r>
      </text>
    </comment>
    <comment ref="CU9" authorId="7">
      <text>
        <r>
          <rPr>
            <b/>
            <sz val="9"/>
            <color indexed="81"/>
            <rFont val="Tahoma"/>
            <family val="2"/>
          </rPr>
          <t>Ripps, Maria (Research):</t>
        </r>
        <r>
          <rPr>
            <sz val="9"/>
            <color indexed="81"/>
            <rFont val="Tahoma"/>
            <family val="2"/>
          </rPr>
          <t xml:space="preserve">
plug to get to +49% in network advertising</t>
        </r>
      </text>
    </comment>
    <comment ref="CW9" authorId="7">
      <text>
        <r>
          <rPr>
            <b/>
            <sz val="9"/>
            <color indexed="81"/>
            <rFont val="Tahoma"/>
            <family val="2"/>
          </rPr>
          <t>Ripps, Maria (Research):</t>
        </r>
        <r>
          <rPr>
            <sz val="9"/>
            <color indexed="81"/>
            <rFont val="Tahoma"/>
            <family val="2"/>
          </rPr>
          <t xml:space="preserve">
plug to get to -2% in network advertising</t>
        </r>
      </text>
    </comment>
    <comment ref="CX9" authorId="7">
      <text>
        <r>
          <rPr>
            <b/>
            <sz val="9"/>
            <color indexed="81"/>
            <rFont val="Tahoma"/>
            <family val="2"/>
          </rPr>
          <t>Ripps, Maria (Research):</t>
        </r>
        <r>
          <rPr>
            <sz val="9"/>
            <color indexed="81"/>
            <rFont val="Tahoma"/>
            <family val="2"/>
          </rPr>
          <t xml:space="preserve">
plug to get to -8% in network advertising</t>
        </r>
      </text>
    </comment>
    <comment ref="CZ9" authorId="7">
      <text>
        <r>
          <rPr>
            <b/>
            <sz val="9"/>
            <color indexed="81"/>
            <rFont val="Tahoma"/>
            <family val="2"/>
          </rPr>
          <t>Ripps, Maria (Research):</t>
        </r>
        <r>
          <rPr>
            <sz val="9"/>
            <color indexed="81"/>
            <rFont val="Tahoma"/>
            <family val="2"/>
          </rPr>
          <t xml:space="preserve">
plug to get to -26% in network advertising</t>
        </r>
      </text>
    </comment>
    <comment ref="DA9" authorId="7">
      <text>
        <r>
          <rPr>
            <b/>
            <sz val="9"/>
            <color indexed="81"/>
            <rFont val="Tahoma"/>
            <family val="2"/>
          </rPr>
          <t>Ripps, Maria (Research):</t>
        </r>
        <r>
          <rPr>
            <sz val="9"/>
            <color indexed="81"/>
            <rFont val="Tahoma"/>
            <family val="2"/>
          </rPr>
          <t xml:space="preserve">
plug to get to +7% in network advertising</t>
        </r>
      </text>
    </comment>
    <comment ref="DB9" authorId="7">
      <text>
        <r>
          <rPr>
            <b/>
            <sz val="9"/>
            <color indexed="81"/>
            <rFont val="Tahoma"/>
            <family val="2"/>
          </rPr>
          <t>Ripps, Maria (Research):</t>
        </r>
        <r>
          <rPr>
            <sz val="9"/>
            <color indexed="81"/>
            <rFont val="Tahoma"/>
            <family val="2"/>
          </rPr>
          <t xml:space="preserve">
Plug to get to -3% in network advertising</t>
        </r>
      </text>
    </comment>
    <comment ref="CQ12" authorId="7">
      <text>
        <r>
          <rPr>
            <b/>
            <sz val="9"/>
            <color indexed="81"/>
            <rFont val="Tahoma"/>
            <family val="2"/>
          </rPr>
          <t>Ripps, Maria (Research):</t>
        </r>
        <r>
          <rPr>
            <sz val="9"/>
            <color indexed="81"/>
            <rFont val="Tahoma"/>
            <family val="2"/>
          </rPr>
          <t xml:space="preserve">
network rev was up 4% - Q2 EC</t>
        </r>
      </text>
    </comment>
    <comment ref="CB15" authorId="1">
      <text>
        <r>
          <rPr>
            <b/>
            <sz val="8"/>
            <color indexed="81"/>
            <rFont val="Tahoma"/>
            <family val="2"/>
          </rPr>
          <t>Micah Nance:</t>
        </r>
        <r>
          <rPr>
            <sz val="8"/>
            <color indexed="81"/>
            <rFont val="Tahoma"/>
            <family val="2"/>
          </rPr>
          <t xml:space="preserve">
comping against frasier 3rd cycle syndication (~50mm in revs) + 140mm in original NFLX revs
assumes:
~$10M in other digital (AMZN, NFLX int'l, hulu japan, CW)</t>
        </r>
      </text>
    </comment>
    <comment ref="CC15" authorId="1">
      <text>
        <r>
          <rPr>
            <b/>
            <sz val="8"/>
            <color indexed="81"/>
            <rFont val="Tahoma"/>
            <family val="2"/>
          </rPr>
          <t>Micah Nance:</t>
        </r>
        <r>
          <rPr>
            <sz val="8"/>
            <color indexed="81"/>
            <rFont val="Tahoma"/>
            <family val="2"/>
          </rPr>
          <t xml:space="preserve">
cold case / ghost whisperer / numbers comp (shows not delivered into another syndication season - were not renewed at network)
Some int'l digital comp
Most of CSI Miami delivered to NFLX this Q, some in 4Q</t>
        </r>
      </text>
    </comment>
    <comment ref="CD15" authorId="1">
      <text>
        <r>
          <rPr>
            <b/>
            <sz val="8"/>
            <color indexed="81"/>
            <rFont val="Tahoma"/>
            <family val="2"/>
          </rPr>
          <t>Micah Nance:</t>
        </r>
        <r>
          <rPr>
            <sz val="8"/>
            <color indexed="81"/>
            <rFont val="Tahoma"/>
            <family val="2"/>
          </rPr>
          <t xml:space="preserve">
assumes:
5mm from AMZN
10mm CW</t>
        </r>
      </text>
    </comment>
    <comment ref="CF15" authorId="5">
      <text>
        <r>
          <rPr>
            <b/>
            <sz val="8"/>
            <color indexed="81"/>
            <rFont val="Tahoma"/>
            <family val="2"/>
          </rPr>
          <t>matheemi:</t>
        </r>
        <r>
          <rPr>
            <sz val="8"/>
            <color indexed="81"/>
            <rFont val="Tahoma"/>
            <family val="2"/>
          </rPr>
          <t xml:space="preserve">
comping CSI-Miami sale, partially offset by significantly higher OVD revs Content licensing and distribution down 1%</t>
        </r>
      </text>
    </comment>
    <comment ref="CG15" authorId="4">
      <text>
        <r>
          <rPr>
            <b/>
            <sz val="8"/>
            <color indexed="81"/>
            <rFont val="Tahoma"/>
            <family val="2"/>
          </rPr>
          <t>fiftrya:</t>
        </r>
        <r>
          <rPr>
            <sz val="8"/>
            <color indexed="81"/>
            <rFont val="Tahoma"/>
            <family val="2"/>
          </rPr>
          <t xml:space="preserve">
CSI NY / NFLX deal</t>
        </r>
      </text>
    </comment>
    <comment ref="CH15" authorId="4">
      <text>
        <r>
          <rPr>
            <b/>
            <sz val="8"/>
            <color indexed="81"/>
            <rFont val="Tahoma"/>
            <family val="2"/>
          </rPr>
          <t>fiftrya:</t>
        </r>
        <r>
          <rPr>
            <sz val="8"/>
            <color indexed="81"/>
            <rFont val="Tahoma"/>
            <family val="2"/>
          </rPr>
          <t xml:space="preserve">
Assume NCIS LA and GoodWife delivered in 3Q</t>
        </r>
      </text>
    </comment>
    <comment ref="CR15" authorId="7">
      <text>
        <r>
          <rPr>
            <b/>
            <sz val="9"/>
            <color indexed="81"/>
            <rFont val="Tahoma"/>
            <family val="2"/>
          </rPr>
          <t>Ripps, Maria (Research):</t>
        </r>
        <r>
          <rPr>
            <sz val="9"/>
            <color indexed="81"/>
            <rFont val="Tahoma"/>
            <family val="2"/>
          </rPr>
          <t xml:space="preserve">
PR: down 3% y/y
MSe: down ~$60M y/y on tougher comps</t>
        </r>
      </text>
    </comment>
    <comment ref="CS15" authorId="7">
      <text>
        <r>
          <rPr>
            <b/>
            <sz val="9"/>
            <color indexed="81"/>
            <rFont val="Tahoma"/>
            <family val="2"/>
          </rPr>
          <t>Ripps, Maria (Research):</t>
        </r>
        <r>
          <rPr>
            <sz val="9"/>
            <color indexed="81"/>
            <rFont val="Tahoma"/>
            <family val="2"/>
          </rPr>
          <t xml:space="preserve">
PR: +7%</t>
        </r>
      </text>
    </comment>
    <comment ref="CW15" authorId="7">
      <text>
        <r>
          <rPr>
            <b/>
            <sz val="9"/>
            <color indexed="81"/>
            <rFont val="Tahoma"/>
            <family val="2"/>
          </rPr>
          <t>Ripps, Maria (Research):</t>
        </r>
        <r>
          <rPr>
            <sz val="9"/>
            <color indexed="81"/>
            <rFont val="Tahoma"/>
            <family val="2"/>
          </rPr>
          <t xml:space="preserve">
comping Elementary delivered in Q3'15</t>
        </r>
      </text>
    </comment>
    <comment ref="DA15" authorId="7">
      <text>
        <r>
          <rPr>
            <b/>
            <sz val="9"/>
            <color indexed="81"/>
            <rFont val="Tahoma"/>
            <family val="2"/>
          </rPr>
          <t>Ripps, Maria (Research):</t>
        </r>
        <r>
          <rPr>
            <sz val="9"/>
            <color indexed="81"/>
            <rFont val="Tahoma"/>
            <family val="2"/>
          </rPr>
          <t xml:space="preserve">
EC: increase was driven by our domestic and international volume deals, which included dozens of titles from
across multiple platforms</t>
        </r>
      </text>
    </comment>
    <comment ref="DB15" authorId="7">
      <text>
        <r>
          <rPr>
            <b/>
            <sz val="9"/>
            <color indexed="81"/>
            <rFont val="Tahoma"/>
            <family val="2"/>
          </rPr>
          <t>Ripps, Maria (Research):</t>
        </r>
        <r>
          <rPr>
            <sz val="9"/>
            <color indexed="81"/>
            <rFont val="Tahoma"/>
            <family val="2"/>
          </rPr>
          <t xml:space="preserve">
PR: down 26% =&gt; mainly as a result of the timing of domestic television licensing sales, which was partially offset by growth in international licensing sales</t>
        </r>
      </text>
    </comment>
    <comment ref="BQ16" authorId="3">
      <text>
        <r>
          <rPr>
            <b/>
            <sz val="8"/>
            <color indexed="81"/>
            <rFont val="Tahoma"/>
            <family val="2"/>
          </rPr>
          <t>krisbon:</t>
        </r>
        <r>
          <rPr>
            <sz val="8"/>
            <color indexed="81"/>
            <rFont val="Tahoma"/>
            <family val="2"/>
          </rPr>
          <t xml:space="preserve">
flat </t>
        </r>
      </text>
    </comment>
    <comment ref="BR16" authorId="3">
      <text>
        <r>
          <rPr>
            <b/>
            <sz val="8"/>
            <color indexed="81"/>
            <rFont val="Tahoma"/>
            <family val="2"/>
          </rPr>
          <t>krisbon:</t>
        </r>
        <r>
          <rPr>
            <sz val="8"/>
            <color indexed="81"/>
            <rFont val="Tahoma"/>
            <family val="2"/>
          </rPr>
          <t xml:space="preserve">
up 12% per press release</t>
        </r>
      </text>
    </comment>
    <comment ref="BS16" authorId="3">
      <text>
        <r>
          <rPr>
            <b/>
            <sz val="8"/>
            <color indexed="81"/>
            <rFont val="Tahoma"/>
            <family val="2"/>
          </rPr>
          <t>krisbon:</t>
        </r>
        <r>
          <rPr>
            <sz val="8"/>
            <color indexed="81"/>
            <rFont val="Tahoma"/>
            <family val="2"/>
          </rPr>
          <t xml:space="preserve">
comping against 5 syndications deals in 3Q09</t>
        </r>
      </text>
    </comment>
    <comment ref="BT16" authorId="3">
      <text>
        <r>
          <rPr>
            <b/>
            <sz val="8"/>
            <color indexed="81"/>
            <rFont val="Tahoma"/>
            <family val="2"/>
          </rPr>
          <t>krisbon:</t>
        </r>
        <r>
          <rPr>
            <sz val="8"/>
            <color indexed="81"/>
            <rFont val="Tahoma"/>
            <family val="2"/>
          </rPr>
          <t xml:space="preserve">
2nd cycle CSI</t>
        </r>
      </text>
    </comment>
    <comment ref="BW16" authorId="1">
      <text>
        <r>
          <rPr>
            <b/>
            <sz val="8"/>
            <color indexed="81"/>
            <rFont val="Tahoma"/>
            <family val="2"/>
          </rPr>
          <t>Micah Nance:</t>
        </r>
        <r>
          <rPr>
            <sz val="8"/>
            <color indexed="81"/>
            <rFont val="Tahoma"/>
            <family val="2"/>
          </rPr>
          <t xml:space="preserve">
NFLX revs of ~140mm
+3rd cycle of Frasier syndie</t>
        </r>
      </text>
    </comment>
    <comment ref="BX16" authorId="1">
      <text>
        <r>
          <rPr>
            <b/>
            <sz val="8"/>
            <color indexed="81"/>
            <rFont val="Tahoma"/>
            <family val="2"/>
          </rPr>
          <t>Micah Nance:</t>
        </r>
        <r>
          <rPr>
            <sz val="8"/>
            <color indexed="81"/>
            <rFont val="Tahoma"/>
            <family val="2"/>
          </rPr>
          <t xml:space="preserve">
50mm of NFLX revs</t>
        </r>
      </text>
    </comment>
    <comment ref="BY16" authorId="1">
      <text>
        <r>
          <rPr>
            <b/>
            <sz val="8"/>
            <color indexed="81"/>
            <rFont val="Tahoma"/>
            <family val="2"/>
          </rPr>
          <t>Micah Nance:</t>
        </r>
        <r>
          <rPr>
            <sz val="8"/>
            <color indexed="81"/>
            <rFont val="Tahoma"/>
            <family val="2"/>
          </rPr>
          <t xml:space="preserve">
comping against CSI 2nd cycle
$60-70mm of NFLX revs</t>
        </r>
      </text>
    </comment>
    <comment ref="CH16" authorId="6">
      <text>
        <r>
          <rPr>
            <b/>
            <sz val="8"/>
            <color indexed="81"/>
            <rFont val="Tahoma"/>
            <family val="2"/>
          </rPr>
          <t>hershk:</t>
        </r>
        <r>
          <rPr>
            <sz val="8"/>
            <color indexed="81"/>
            <rFont val="Tahoma"/>
            <family val="2"/>
          </rPr>
          <t xml:space="preserve">
Content licensing and distribution +11% at Entertainment</t>
        </r>
      </text>
    </comment>
    <comment ref="CK16" authorId="2">
      <text>
        <r>
          <rPr>
            <b/>
            <sz val="9"/>
            <color indexed="81"/>
            <rFont val="Tahoma"/>
            <family val="2"/>
          </rPr>
          <t>Khadilkar, Hersh S (Research):</t>
        </r>
        <r>
          <rPr>
            <sz val="9"/>
            <color indexed="81"/>
            <rFont val="Tahoma"/>
            <family val="2"/>
          </rPr>
          <t xml:space="preserve">
+6% in content licensing</t>
        </r>
      </text>
    </comment>
    <comment ref="CL16" authorId="2">
      <text>
        <r>
          <rPr>
            <b/>
            <sz val="9"/>
            <color indexed="81"/>
            <rFont val="Tahoma"/>
            <family val="2"/>
          </rPr>
          <t>Khadilkar, Hersh S (Research):</t>
        </r>
        <r>
          <rPr>
            <sz val="9"/>
            <color indexed="81"/>
            <rFont val="Tahoma"/>
            <family val="2"/>
          </rPr>
          <t xml:space="preserve">
down 13% (10-Q)</t>
        </r>
      </text>
    </comment>
    <comment ref="CM16" authorId="2">
      <text>
        <r>
          <rPr>
            <b/>
            <sz val="9"/>
            <color indexed="81"/>
            <rFont val="Tahoma"/>
            <family val="2"/>
          </rPr>
          <t>Khadilkar, Hersh S (Research):</t>
        </r>
        <r>
          <rPr>
            <sz val="9"/>
            <color indexed="81"/>
            <rFont val="Tahoma"/>
            <family val="2"/>
          </rPr>
          <t xml:space="preserve">
+2% in quarter</t>
        </r>
      </text>
    </comment>
    <comment ref="CN16" authorId="7">
      <text>
        <r>
          <rPr>
            <b/>
            <sz val="9"/>
            <color indexed="81"/>
            <rFont val="Tahoma"/>
            <family val="2"/>
          </rPr>
          <t>Ripps, Maria (Research):</t>
        </r>
        <r>
          <rPr>
            <sz val="9"/>
            <color indexed="81"/>
            <rFont val="Tahoma"/>
            <family val="2"/>
          </rPr>
          <t xml:space="preserve">
PR: -2% in Q4</t>
        </r>
      </text>
    </comment>
    <comment ref="CP16" authorId="7">
      <text>
        <r>
          <rPr>
            <b/>
            <sz val="9"/>
            <color indexed="81"/>
            <rFont val="Tahoma"/>
            <family val="2"/>
          </rPr>
          <t>Ripps, Maria (Research):</t>
        </r>
        <r>
          <rPr>
            <sz val="9"/>
            <color indexed="81"/>
            <rFont val="Tahoma"/>
            <family val="2"/>
          </rPr>
          <t xml:space="preserve">
-12% excluding $66M (MSe) in CSI licensing rev to HULU in Q115
NCIS domestic licensing in Q1'15</t>
        </r>
      </text>
    </comment>
    <comment ref="CV16" authorId="7">
      <text>
        <r>
          <rPr>
            <b/>
            <sz val="9"/>
            <color indexed="81"/>
            <rFont val="Tahoma"/>
            <family val="2"/>
          </rPr>
          <t>Ripps, Maria (Research):</t>
        </r>
        <r>
          <rPr>
            <sz val="9"/>
            <color indexed="81"/>
            <rFont val="Tahoma"/>
            <family val="2"/>
          </rPr>
          <t xml:space="preserve">
10Q: content licensing +19%
MSe: Star Trek ~$100M</t>
        </r>
      </text>
    </comment>
    <comment ref="CW16" authorId="7">
      <text>
        <r>
          <rPr>
            <b/>
            <sz val="9"/>
            <color indexed="81"/>
            <rFont val="Tahoma"/>
            <family val="2"/>
          </rPr>
          <t>Ripps, Maria (Research):</t>
        </r>
        <r>
          <rPr>
            <sz val="9"/>
            <color indexed="81"/>
            <rFont val="Tahoma"/>
            <family val="2"/>
          </rPr>
          <t xml:space="preserve">
10Q: content licensing down 3%</t>
        </r>
      </text>
    </comment>
    <comment ref="CZ16" authorId="7">
      <text>
        <r>
          <rPr>
            <b/>
            <sz val="9"/>
            <color indexed="81"/>
            <rFont val="Tahoma"/>
            <family val="2"/>
          </rPr>
          <t>Ripps, Maria (Research):</t>
        </r>
        <r>
          <rPr>
            <sz val="9"/>
            <color indexed="81"/>
            <rFont val="Tahoma"/>
            <family val="2"/>
          </rPr>
          <t xml:space="preserve">
PR: Entertainment - Content licensing and distribution revenues were up 21%</t>
        </r>
      </text>
    </comment>
    <comment ref="K18" authorId="4">
      <text>
        <r>
          <rPr>
            <b/>
            <sz val="8"/>
            <color indexed="81"/>
            <rFont val="Tahoma"/>
            <family val="2"/>
          </rPr>
          <t>fiftrya:</t>
        </r>
        <r>
          <rPr>
            <sz val="8"/>
            <color indexed="81"/>
            <rFont val="Tahoma"/>
            <family val="2"/>
          </rPr>
          <t xml:space="preserve">
Ballpark $580M</t>
        </r>
      </text>
    </comment>
    <comment ref="L19" authorId="1">
      <text>
        <r>
          <rPr>
            <b/>
            <sz val="8"/>
            <color indexed="81"/>
            <rFont val="Tahoma"/>
            <family val="2"/>
          </rPr>
          <t>Micah Nance:</t>
        </r>
        <r>
          <rPr>
            <sz val="8"/>
            <color indexed="81"/>
            <rFont val="Tahoma"/>
            <family val="2"/>
          </rPr>
          <t xml:space="preserve">
comping March Madness on demand loss boosts growth (35mm in lost revs during 2010)</t>
        </r>
      </text>
    </comment>
    <comment ref="BO19" authorId="0">
      <text>
        <r>
          <rPr>
            <b/>
            <sz val="8"/>
            <color indexed="81"/>
            <rFont val="Tahoma"/>
            <family val="2"/>
          </rPr>
          <t>benswin:</t>
        </r>
        <r>
          <rPr>
            <sz val="8"/>
            <color indexed="81"/>
            <rFont val="Tahoma"/>
            <family val="2"/>
          </rPr>
          <t xml:space="preserve">
down 9%.  Display down 3%, search down more.</t>
        </r>
      </text>
    </comment>
    <comment ref="BW19" authorId="1">
      <text>
        <r>
          <rPr>
            <b/>
            <sz val="8"/>
            <color indexed="81"/>
            <rFont val="Tahoma"/>
            <family val="2"/>
          </rPr>
          <t>Micah Nance:</t>
        </r>
        <r>
          <rPr>
            <sz val="8"/>
            <color indexed="81"/>
            <rFont val="Tahoma"/>
            <family val="2"/>
          </rPr>
          <t xml:space="preserve">
modest Madness on demand headwinds
(10mm)</t>
        </r>
      </text>
    </comment>
    <comment ref="CF19" authorId="5">
      <text>
        <r>
          <rPr>
            <b/>
            <sz val="8"/>
            <color indexed="81"/>
            <rFont val="Tahoma"/>
            <family val="2"/>
          </rPr>
          <t>matheemi:</t>
        </r>
        <r>
          <rPr>
            <sz val="8"/>
            <color indexed="81"/>
            <rFont val="Tahoma"/>
            <family val="2"/>
          </rPr>
          <t xml:space="preserve">
up +22%</t>
        </r>
      </text>
    </comment>
    <comment ref="CG19" authorId="5">
      <text>
        <r>
          <rPr>
            <b/>
            <sz val="8"/>
            <color indexed="81"/>
            <rFont val="Tahoma"/>
            <family val="2"/>
          </rPr>
          <t>hershk:</t>
        </r>
        <r>
          <rPr>
            <sz val="8"/>
            <color indexed="81"/>
            <rFont val="Tahoma"/>
            <family val="2"/>
          </rPr>
          <t xml:space="preserve">
double digit revenue growth, CNET up 25%</t>
        </r>
      </text>
    </comment>
    <comment ref="CH19" authorId="5">
      <text>
        <r>
          <rPr>
            <b/>
            <sz val="8"/>
            <color indexed="81"/>
            <rFont val="Tahoma"/>
            <family val="2"/>
          </rPr>
          <t>hershk:</t>
        </r>
        <r>
          <rPr>
            <sz val="8"/>
            <color indexed="81"/>
            <rFont val="Tahoma"/>
            <family val="2"/>
          </rPr>
          <t xml:space="preserve">
double digit revenue growth</t>
        </r>
      </text>
    </comment>
    <comment ref="CI19" authorId="2">
      <text>
        <r>
          <rPr>
            <b/>
            <sz val="9"/>
            <color indexed="81"/>
            <rFont val="Tahoma"/>
            <family val="2"/>
          </rPr>
          <t>Khadilkar, Hersh S (Research):</t>
        </r>
        <r>
          <rPr>
            <sz val="9"/>
            <color indexed="81"/>
            <rFont val="Tahoma"/>
            <family val="2"/>
          </rPr>
          <t xml:space="preserve">
+14%</t>
        </r>
      </text>
    </comment>
    <comment ref="CU19" authorId="7">
      <text>
        <r>
          <rPr>
            <b/>
            <sz val="9"/>
            <color indexed="81"/>
            <rFont val="Tahoma"/>
            <family val="2"/>
          </rPr>
          <t>Ripps, Maria (Research):</t>
        </r>
        <r>
          <rPr>
            <sz val="9"/>
            <color indexed="81"/>
            <rFont val="Tahoma"/>
            <family val="2"/>
          </rPr>
          <t xml:space="preserve">
Sale of biz offset by All Access growth</t>
        </r>
      </text>
    </comment>
    <comment ref="CV19" authorId="7">
      <text>
        <r>
          <rPr>
            <b/>
            <sz val="9"/>
            <color indexed="81"/>
            <rFont val="Tahoma"/>
            <family val="2"/>
          </rPr>
          <t>Ripps, Maria (Research):</t>
        </r>
        <r>
          <rPr>
            <sz val="9"/>
            <color indexed="81"/>
            <rFont val="Tahoma"/>
            <family val="2"/>
          </rPr>
          <t xml:space="preserve">
Sale of biz offset by All Access growth</t>
        </r>
      </text>
    </comment>
    <comment ref="CW19" authorId="7">
      <text>
        <r>
          <rPr>
            <b/>
            <sz val="9"/>
            <color indexed="81"/>
            <rFont val="Tahoma"/>
            <family val="2"/>
          </rPr>
          <t>Ripps, Maria (Research):</t>
        </r>
        <r>
          <rPr>
            <sz val="9"/>
            <color indexed="81"/>
            <rFont val="Tahoma"/>
            <family val="2"/>
          </rPr>
          <t xml:space="preserve">
Sale of biz offset by All Access growth</t>
        </r>
      </text>
    </comment>
    <comment ref="CX19" authorId="7">
      <text>
        <r>
          <rPr>
            <b/>
            <sz val="9"/>
            <color indexed="81"/>
            <rFont val="Tahoma"/>
            <family val="2"/>
          </rPr>
          <t>Ripps, Maria (Research):</t>
        </r>
        <r>
          <rPr>
            <sz val="9"/>
            <color indexed="81"/>
            <rFont val="Tahoma"/>
            <family val="2"/>
          </rPr>
          <t xml:space="preserve">
Sale of biz offset by All Access growth</t>
        </r>
      </text>
    </comment>
    <comment ref="A21" authorId="7">
      <text>
        <r>
          <rPr>
            <b/>
            <sz val="9"/>
            <color indexed="81"/>
            <rFont val="Tahoma"/>
            <family val="2"/>
          </rPr>
          <t>Ripps, Maria (Research):</t>
        </r>
        <r>
          <rPr>
            <sz val="9"/>
            <color indexed="81"/>
            <rFont val="Tahoma"/>
            <family val="2"/>
          </rPr>
          <t xml:space="preserve">
This transaction adds Network Ten to CBS Corporation's global content and distribution portfolios. In addition to core linear channel TEN, the deal includes digital terrestrial television (DTT) channel ELEVEN, which CBS already had a stake in, as well as the DTT channel ONE and Network Ten's rapidly growing digital platform, TENPLAY</t>
        </r>
      </text>
    </comment>
    <comment ref="DC21" authorId="7">
      <text>
        <r>
          <rPr>
            <b/>
            <sz val="9"/>
            <color indexed="81"/>
            <rFont val="Tahoma"/>
            <family val="2"/>
          </rPr>
          <t>Ripps, Maria (Research):</t>
        </r>
        <r>
          <rPr>
            <sz val="9"/>
            <color indexed="81"/>
            <rFont val="Tahoma"/>
            <family val="2"/>
          </rPr>
          <t xml:space="preserve">
Nov 16 close, 1/2 of Q4</t>
        </r>
      </text>
    </comment>
    <comment ref="A24" authorId="3">
      <text>
        <r>
          <rPr>
            <b/>
            <sz val="8"/>
            <color indexed="81"/>
            <rFont val="Tahoma"/>
            <family val="2"/>
          </rPr>
          <t>krisbon:</t>
        </r>
        <r>
          <rPr>
            <sz val="8"/>
            <color indexed="81"/>
            <rFont val="Tahoma"/>
            <family val="2"/>
          </rPr>
          <t xml:space="preserve">
Includes film.</t>
        </r>
      </text>
    </comment>
    <comment ref="BV24" authorId="3">
      <text>
        <r>
          <rPr>
            <b/>
            <sz val="8"/>
            <color indexed="81"/>
            <rFont val="Tahoma"/>
            <family val="2"/>
          </rPr>
          <t>krisbon:</t>
        </r>
        <r>
          <rPr>
            <sz val="8"/>
            <color indexed="81"/>
            <rFont val="Tahoma"/>
            <family val="2"/>
          </rPr>
          <t xml:space="preserve">
The Mechanic released Jan 28</t>
        </r>
      </text>
    </comment>
    <comment ref="BW24" authorId="3">
      <text>
        <r>
          <rPr>
            <b/>
            <sz val="8"/>
            <color indexed="81"/>
            <rFont val="Tahoma"/>
            <family val="2"/>
          </rPr>
          <t>krisbon:</t>
        </r>
        <r>
          <rPr>
            <sz val="8"/>
            <color indexed="81"/>
            <rFont val="Tahoma"/>
            <family val="2"/>
          </rPr>
          <t xml:space="preserve">
beastly released March 18</t>
        </r>
      </text>
    </comment>
    <comment ref="CI24" authorId="8">
      <text>
        <r>
          <rPr>
            <b/>
            <sz val="9"/>
            <color indexed="81"/>
            <rFont val="Tahoma"/>
            <family val="2"/>
          </rPr>
          <t>Swinburne, Benjamin (Research):</t>
        </r>
        <r>
          <rPr>
            <sz val="9"/>
            <color indexed="81"/>
            <rFont val="Tahoma"/>
            <family val="2"/>
          </rPr>
          <t xml:space="preserve">
$45 mm of theatrical</t>
        </r>
      </text>
    </comment>
    <comment ref="CF25" authorId="5">
      <text>
        <r>
          <rPr>
            <b/>
            <sz val="8"/>
            <color indexed="81"/>
            <rFont val="Tahoma"/>
            <family val="2"/>
          </rPr>
          <t>matheemi:</t>
        </r>
        <r>
          <rPr>
            <sz val="8"/>
            <color indexed="81"/>
            <rFont val="Tahoma"/>
            <family val="2"/>
          </rPr>
          <t xml:space="preserve">
comping Woman in Black from last year</t>
        </r>
      </text>
    </comment>
    <comment ref="BX30" authorId="4">
      <text>
        <r>
          <rPr>
            <b/>
            <sz val="8"/>
            <color indexed="81"/>
            <rFont val="Tahoma"/>
            <family val="2"/>
          </rPr>
          <t>fiftrya:</t>
        </r>
        <r>
          <rPr>
            <sz val="8"/>
            <color indexed="81"/>
            <rFont val="Tahoma"/>
            <family val="2"/>
          </rPr>
          <t xml:space="preserve">
$15-20M licensing revenue</t>
        </r>
      </text>
    </comment>
    <comment ref="CA30" authorId="4">
      <text>
        <r>
          <rPr>
            <b/>
            <sz val="8"/>
            <color indexed="81"/>
            <rFont val="Tahoma"/>
            <family val="2"/>
          </rPr>
          <t>fiftrya:</t>
        </r>
        <r>
          <rPr>
            <sz val="8"/>
            <color indexed="81"/>
            <rFont val="Tahoma"/>
            <family val="2"/>
          </rPr>
          <t xml:space="preserve">
Nearly half of $60M rev increase at cable nets from digital streaming</t>
        </r>
      </text>
    </comment>
    <comment ref="CH30" authorId="6">
      <text>
        <r>
          <rPr>
            <b/>
            <sz val="8"/>
            <color indexed="81"/>
            <rFont val="Tahoma"/>
            <family val="2"/>
          </rPr>
          <t>hershk:</t>
        </r>
        <r>
          <rPr>
            <sz val="8"/>
            <color indexed="81"/>
            <rFont val="Tahoma"/>
            <family val="2"/>
          </rPr>
          <t xml:space="preserve">
- syndication of 4 seasons of Dexter (~$50mm); 
- Int'l licensing of Ray Donovan ($11mm) and Masters of Sex (smaller)
- revs from mayweather fight ~$77mm</t>
        </r>
      </text>
    </comment>
    <comment ref="CK30" authorId="2">
      <text>
        <r>
          <rPr>
            <b/>
            <sz val="9"/>
            <color indexed="81"/>
            <rFont val="Tahoma"/>
            <family val="2"/>
          </rPr>
          <t>Khadilkar, Hersh S (Research):</t>
        </r>
        <r>
          <rPr>
            <sz val="9"/>
            <color indexed="81"/>
            <rFont val="Tahoma"/>
            <family val="2"/>
          </rPr>
          <t xml:space="preserve">
$48mm licensing revs from second delivery of Dexter to NFLX, but comping some licensing from 1Q13 that goes away</t>
        </r>
      </text>
    </comment>
    <comment ref="CL30" authorId="2">
      <text>
        <r>
          <rPr>
            <b/>
            <sz val="9"/>
            <color indexed="81"/>
            <rFont val="Tahoma"/>
            <family val="2"/>
          </rPr>
          <t>Khadilkar, Hersh S (Research):</t>
        </r>
        <r>
          <rPr>
            <sz val="9"/>
            <color indexed="81"/>
            <rFont val="Tahoma"/>
            <family val="2"/>
          </rPr>
          <t xml:space="preserve">
YoY decline driven by decrease in int'l licensing revs offset by growth in affiliate</t>
        </r>
      </text>
    </comment>
    <comment ref="CM30" authorId="2">
      <text>
        <r>
          <rPr>
            <b/>
            <sz val="9"/>
            <color indexed="81"/>
            <rFont val="Tahoma"/>
            <family val="2"/>
          </rPr>
          <t>Khadilkar, Hersh S (Research):</t>
        </r>
        <r>
          <rPr>
            <sz val="9"/>
            <color indexed="81"/>
            <rFont val="Tahoma"/>
            <family val="2"/>
          </rPr>
          <t xml:space="preserve">
~$40mm of PPV revenue comping $75mm in 3Q13, helped by licensing and underlying affilate revenue growth</t>
        </r>
      </text>
    </comment>
    <comment ref="CN30" authorId="2">
      <text>
        <r>
          <rPr>
            <b/>
            <sz val="9"/>
            <color indexed="81"/>
            <rFont val="Tahoma"/>
            <family val="2"/>
          </rPr>
          <t>Khadilkar, Hersh S (Research):</t>
        </r>
        <r>
          <rPr>
            <sz val="9"/>
            <color indexed="81"/>
            <rFont val="Tahoma"/>
            <family val="2"/>
          </rPr>
          <t xml:space="preserve">
includes assumed licensing of Californication (7 seasons, 12 episodes).  $23 mm in 4Q.</t>
        </r>
      </text>
    </comment>
    <comment ref="CQ30" authorId="7">
      <text>
        <r>
          <rPr>
            <b/>
            <sz val="9"/>
            <color indexed="81"/>
            <rFont val="Tahoma"/>
            <family val="2"/>
          </rPr>
          <t>Ripps, Maria (Research):</t>
        </r>
        <r>
          <rPr>
            <sz val="9"/>
            <color indexed="81"/>
            <rFont val="Tahoma"/>
            <family val="2"/>
          </rPr>
          <t xml:space="preserve">
Mayweather/Pacquiao fight, May 
assume 1/2 of 60% of $400M (4M buys at $99)
2013 Maywether fight - $150M / 2.2M buys  </t>
        </r>
      </text>
    </comment>
    <comment ref="CR30" authorId="7">
      <text>
        <r>
          <rPr>
            <b/>
            <sz val="9"/>
            <color indexed="81"/>
            <rFont val="Tahoma"/>
            <family val="2"/>
          </rPr>
          <t>Ripps, Maria (Research):</t>
        </r>
        <r>
          <rPr>
            <sz val="9"/>
            <color indexed="81"/>
            <rFont val="Tahoma"/>
            <family val="2"/>
          </rPr>
          <t xml:space="preserve">
Tougher comp on Californication / Dexter
underlying affiliate rev growth of ~2%
</t>
        </r>
      </text>
    </comment>
    <comment ref="CV30" authorId="7">
      <text>
        <r>
          <rPr>
            <b/>
            <sz val="9"/>
            <color indexed="81"/>
            <rFont val="Tahoma"/>
            <family val="2"/>
          </rPr>
          <t>Ripps, Maria (Research):</t>
        </r>
        <r>
          <rPr>
            <sz val="9"/>
            <color indexed="81"/>
            <rFont val="Tahoma"/>
            <family val="2"/>
          </rPr>
          <t xml:space="preserve">
comping Mayweather/Pacquiao fight</t>
        </r>
      </text>
    </comment>
    <comment ref="BV31" authorId="1">
      <text>
        <r>
          <rPr>
            <b/>
            <sz val="8"/>
            <color indexed="81"/>
            <rFont val="Tahoma"/>
            <family val="2"/>
          </rPr>
          <t>Micah Nance:</t>
        </r>
        <r>
          <rPr>
            <sz val="8"/>
            <color indexed="81"/>
            <rFont val="Tahoma"/>
            <family val="2"/>
          </rPr>
          <t xml:space="preserve">
up 7% YoY</t>
        </r>
      </text>
    </comment>
    <comment ref="CB31" authorId="1">
      <text>
        <r>
          <rPr>
            <b/>
            <sz val="8"/>
            <color indexed="81"/>
            <rFont val="Tahoma"/>
            <family val="2"/>
          </rPr>
          <t>fiftrya:</t>
        </r>
        <r>
          <rPr>
            <sz val="8"/>
            <color indexed="81"/>
            <rFont val="Tahoma"/>
            <family val="2"/>
          </rPr>
          <t xml:space="preserve">
Higher licensing from digital streaming.  Also higher rates and subs</t>
        </r>
      </text>
    </comment>
    <comment ref="CC31" authorId="1">
      <text>
        <r>
          <rPr>
            <b/>
            <sz val="8"/>
            <color indexed="81"/>
            <rFont val="Tahoma"/>
            <family val="2"/>
          </rPr>
          <t>fiftrya:</t>
        </r>
        <r>
          <rPr>
            <sz val="8"/>
            <color indexed="81"/>
            <rFont val="Tahoma"/>
            <family val="2"/>
          </rPr>
          <t xml:space="preserve">
Affiliate fees steady at MSD, licensing revenue down on digital
comping against licensing sales OUS in 2011</t>
        </r>
      </text>
    </comment>
    <comment ref="CG31" authorId="6">
      <text>
        <r>
          <rPr>
            <b/>
            <sz val="8"/>
            <color indexed="81"/>
            <rFont val="Tahoma"/>
            <family val="2"/>
          </rPr>
          <t>hershk:</t>
        </r>
        <r>
          <rPr>
            <sz val="8"/>
            <color indexed="81"/>
            <rFont val="Tahoma"/>
            <family val="2"/>
          </rPr>
          <t xml:space="preserve">
estimate 600bps growth due to Floyd Mayweather PPV event </t>
        </r>
      </text>
    </comment>
    <comment ref="CH31" authorId="6">
      <text>
        <r>
          <rPr>
            <b/>
            <sz val="8"/>
            <color indexed="81"/>
            <rFont val="Tahoma"/>
            <family val="2"/>
          </rPr>
          <t>hershk:</t>
        </r>
        <r>
          <rPr>
            <sz val="8"/>
            <color indexed="81"/>
            <rFont val="Tahoma"/>
            <family val="2"/>
          </rPr>
          <t xml:space="preserve">
includes PPV revs from Floyd Mayweather fight ($75mm estimated) and syndication of Dexter (4 episodes)</t>
        </r>
      </text>
    </comment>
    <comment ref="K33" authorId="4">
      <text>
        <r>
          <rPr>
            <b/>
            <sz val="8"/>
            <color indexed="81"/>
            <rFont val="Tahoma"/>
            <family val="2"/>
          </rPr>
          <t>fiftrya:</t>
        </r>
        <r>
          <rPr>
            <sz val="8"/>
            <color indexed="81"/>
            <rFont val="Tahoma"/>
            <family val="2"/>
          </rPr>
          <t xml:space="preserve">
Roughly $70-80M total revs</t>
        </r>
      </text>
    </comment>
    <comment ref="CV36" authorId="7">
      <text>
        <r>
          <rPr>
            <b/>
            <sz val="9"/>
            <color indexed="81"/>
            <rFont val="Tahoma"/>
            <family val="2"/>
          </rPr>
          <t>Ripps, Maria (Research):</t>
        </r>
        <r>
          <rPr>
            <sz val="9"/>
            <color indexed="81"/>
            <rFont val="Tahoma"/>
            <family val="2"/>
          </rPr>
          <t xml:space="preserve">
10Q: Floyd Mayweather / Manny Pacquiao boxing event negatively impacted the revenue comparison by 24 percentage points in Q2</t>
        </r>
      </text>
    </comment>
    <comment ref="CG37" authorId="6">
      <text>
        <r>
          <rPr>
            <b/>
            <sz val="8"/>
            <color indexed="81"/>
            <rFont val="Tahoma"/>
            <family val="2"/>
          </rPr>
          <t>hershk:</t>
        </r>
        <r>
          <rPr>
            <sz val="8"/>
            <color indexed="81"/>
            <rFont val="Tahoma"/>
            <family val="2"/>
          </rPr>
          <t xml:space="preserve">
</t>
        </r>
        <r>
          <rPr>
            <b/>
            <u/>
            <sz val="8"/>
            <color indexed="81"/>
            <rFont val="Tahoma"/>
            <family val="2"/>
          </rPr>
          <t>Assumes</t>
        </r>
        <r>
          <rPr>
            <sz val="8"/>
            <color indexed="81"/>
            <rFont val="Tahoma"/>
            <family val="2"/>
          </rPr>
          <t xml:space="preserve">
~$30mm from PPV boxing event, no margin
$20mm from SVOD in Germany / UK</t>
        </r>
      </text>
    </comment>
    <comment ref="CS39" authorId="7">
      <text>
        <r>
          <rPr>
            <b/>
            <sz val="9"/>
            <color indexed="81"/>
            <rFont val="Tahoma"/>
            <family val="2"/>
          </rPr>
          <t>Ripps, Maria (Research):</t>
        </r>
        <r>
          <rPr>
            <sz val="9"/>
            <color indexed="81"/>
            <rFont val="Tahoma"/>
            <family val="2"/>
          </rPr>
          <t xml:space="preserve">
Includes a best seller from Stephen King</t>
        </r>
      </text>
    </comment>
    <comment ref="CW39" authorId="7">
      <text>
        <r>
          <rPr>
            <b/>
            <sz val="9"/>
            <color indexed="81"/>
            <rFont val="Tahoma"/>
            <family val="2"/>
          </rPr>
          <t>Ripps, Maria (Research):</t>
        </r>
        <r>
          <rPr>
            <sz val="9"/>
            <color indexed="81"/>
            <rFont val="Tahoma"/>
            <family val="2"/>
          </rPr>
          <t xml:space="preserve">
"Born to Run", end of Sep</t>
        </r>
      </text>
    </comment>
    <comment ref="CX39" authorId="7">
      <text>
        <r>
          <rPr>
            <b/>
            <sz val="9"/>
            <color indexed="81"/>
            <rFont val="Tahoma"/>
            <family val="2"/>
          </rPr>
          <t>Ripps, Maria (Research):</t>
        </r>
        <r>
          <rPr>
            <sz val="9"/>
            <color indexed="81"/>
            <rFont val="Tahoma"/>
            <family val="2"/>
          </rPr>
          <t xml:space="preserve">
Comping a best seller from Stephen King</t>
        </r>
      </text>
    </comment>
    <comment ref="BV51" authorId="3">
      <text>
        <r>
          <rPr>
            <b/>
            <sz val="8"/>
            <color indexed="81"/>
            <rFont val="Tahoma"/>
            <family val="2"/>
          </rPr>
          <t>krisbon:</t>
        </r>
        <r>
          <rPr>
            <sz val="8"/>
            <color indexed="81"/>
            <rFont val="Tahoma"/>
            <family val="2"/>
          </rPr>
          <t xml:space="preserve">
comping against slight loss Sbowl in 1Q10, splitting March madness costs with Turner in 2011.  ~$80m total cost improvement from NCAA but semis and final in April</t>
        </r>
      </text>
    </comment>
    <comment ref="BW51" authorId="1">
      <text>
        <r>
          <rPr>
            <b/>
            <sz val="8"/>
            <color indexed="81"/>
            <rFont val="Tahoma"/>
            <family val="2"/>
          </rPr>
          <t>Micah Nance:</t>
        </r>
        <r>
          <rPr>
            <sz val="8"/>
            <color indexed="81"/>
            <rFont val="Tahoma"/>
            <family val="2"/>
          </rPr>
          <t xml:space="preserve">
NCAA benefit (3 games in April)</t>
        </r>
      </text>
    </comment>
    <comment ref="CH51" authorId="6">
      <text>
        <r>
          <rPr>
            <b/>
            <sz val="8"/>
            <color indexed="81"/>
            <rFont val="Tahoma"/>
            <family val="2"/>
          </rPr>
          <t>hershk:</t>
        </r>
        <r>
          <rPr>
            <sz val="8"/>
            <color indexed="81"/>
            <rFont val="Tahoma"/>
            <family val="2"/>
          </rPr>
          <t xml:space="preserve">
YoY opex growth near revenue growth for the segment</t>
        </r>
      </text>
    </comment>
    <comment ref="CN51" authorId="7">
      <text>
        <r>
          <rPr>
            <b/>
            <sz val="9"/>
            <color indexed="81"/>
            <rFont val="Tahoma"/>
            <family val="2"/>
          </rPr>
          <t>Ripps, Maria (Research):</t>
        </r>
        <r>
          <rPr>
            <sz val="9"/>
            <color indexed="81"/>
            <rFont val="Tahoma"/>
            <family val="2"/>
          </rPr>
          <t xml:space="preserve">
Mse
</t>
        </r>
      </text>
    </comment>
    <comment ref="CU51" authorId="7">
      <text>
        <r>
          <rPr>
            <b/>
            <sz val="9"/>
            <color indexed="81"/>
            <rFont val="Tahoma"/>
            <family val="2"/>
          </rPr>
          <t>Ripps, Maria (Research):</t>
        </r>
        <r>
          <rPr>
            <sz val="9"/>
            <color indexed="81"/>
            <rFont val="Tahoma"/>
            <family val="2"/>
          </rPr>
          <t xml:space="preserve">
higher ad rev growth, higher retrans</t>
        </r>
      </text>
    </comment>
    <comment ref="BW59" authorId="1">
      <text>
        <r>
          <rPr>
            <b/>
            <sz val="8"/>
            <color indexed="81"/>
            <rFont val="Tahoma"/>
            <family val="2"/>
          </rPr>
          <t>Micah Nance:</t>
        </r>
        <r>
          <rPr>
            <sz val="8"/>
            <color indexed="81"/>
            <rFont val="Tahoma"/>
            <family val="2"/>
          </rPr>
          <t xml:space="preserve">
NFLX revs flow thru at 50% EBITDA margin</t>
        </r>
      </text>
    </comment>
    <comment ref="BX59" authorId="1">
      <text>
        <r>
          <rPr>
            <b/>
            <sz val="8"/>
            <color indexed="81"/>
            <rFont val="Tahoma"/>
            <family val="2"/>
          </rPr>
          <t>Micah Nance:</t>
        </r>
        <r>
          <rPr>
            <sz val="8"/>
            <color indexed="81"/>
            <rFont val="Tahoma"/>
            <family val="2"/>
          </rPr>
          <t xml:space="preserve">
50mm NFLX Revs</t>
        </r>
      </text>
    </comment>
    <comment ref="BY59" authorId="1">
      <text>
        <r>
          <rPr>
            <b/>
            <sz val="8"/>
            <color indexed="81"/>
            <rFont val="Tahoma"/>
            <family val="2"/>
          </rPr>
          <t>Micah Nance:</t>
        </r>
        <r>
          <rPr>
            <sz val="8"/>
            <color indexed="81"/>
            <rFont val="Tahoma"/>
            <family val="2"/>
          </rPr>
          <t xml:space="preserve">
$10 mm hit from oprah
$40mm NFLX revs
</t>
        </r>
      </text>
    </comment>
    <comment ref="CG59" authorId="6">
      <text>
        <r>
          <rPr>
            <b/>
            <sz val="8"/>
            <color indexed="81"/>
            <rFont val="Tahoma"/>
            <family val="2"/>
          </rPr>
          <t>hershk:</t>
        </r>
        <r>
          <rPr>
            <sz val="8"/>
            <color indexed="81"/>
            <rFont val="Tahoma"/>
            <family val="2"/>
          </rPr>
          <t xml:space="preserve">
CSI NY / NFLX deal - CBS books revs gross, only owns 50% of show - assumes 60% margin on CBS' share of revenue</t>
        </r>
      </text>
    </comment>
    <comment ref="CL59" authorId="2">
      <text>
        <r>
          <rPr>
            <b/>
            <sz val="9"/>
            <color indexed="81"/>
            <rFont val="Tahoma"/>
            <family val="2"/>
          </rPr>
          <t>Khadilkar, Hersh S (Research):</t>
        </r>
        <r>
          <rPr>
            <sz val="9"/>
            <color indexed="81"/>
            <rFont val="Tahoma"/>
            <family val="2"/>
          </rPr>
          <t xml:space="preserve">
assumes similar margins to 2Q13 excluding CSI NY which had lower margin as rev recognized gross but EBITDA only on 1/2 of revs</t>
        </r>
      </text>
    </comment>
    <comment ref="BY61" authorId="1">
      <text>
        <r>
          <rPr>
            <b/>
            <sz val="8"/>
            <color indexed="81"/>
            <rFont val="Tahoma"/>
            <family val="2"/>
          </rPr>
          <t>Micah Nance:</t>
        </r>
        <r>
          <rPr>
            <sz val="8"/>
            <color indexed="81"/>
            <rFont val="Tahoma"/>
            <family val="2"/>
          </rPr>
          <t xml:space="preserve">
assumes organic margins down slightly on oprah hit, + bene from incremental NFLX revs</t>
        </r>
      </text>
    </comment>
    <comment ref="A67" authorId="7">
      <text>
        <r>
          <rPr>
            <b/>
            <sz val="9"/>
            <color indexed="81"/>
            <rFont val="Tahoma"/>
            <family val="2"/>
          </rPr>
          <t>Ripps, Maria (Research):</t>
        </r>
        <r>
          <rPr>
            <sz val="9"/>
            <color indexed="81"/>
            <rFont val="Tahoma"/>
            <family val="2"/>
          </rPr>
          <t xml:space="preserve">
This transaction adds Network Ten to CBS Corporation's global content and distribution portfolios. In addition to core linear channel TEN, the deal includes digital terrestrial television (DTT) channel ELEVEN, which CBS already had a stake in, as well as the DTT channel ONE and Network Ten's rapidly growing digital platform, TENPLAY</t>
        </r>
      </text>
    </comment>
    <comment ref="I71" authorId="3">
      <text>
        <r>
          <rPr>
            <b/>
            <sz val="8"/>
            <color indexed="81"/>
            <rFont val="Tahoma"/>
            <family val="2"/>
          </rPr>
          <t>krisbon:</t>
        </r>
        <r>
          <rPr>
            <sz val="8"/>
            <color indexed="81"/>
            <rFont val="Tahoma"/>
            <family val="2"/>
          </rPr>
          <t xml:space="preserve">
P&amp;A for 1Q10 films</t>
        </r>
      </text>
    </comment>
    <comment ref="J71" authorId="3">
      <text>
        <r>
          <rPr>
            <b/>
            <sz val="8"/>
            <color indexed="81"/>
            <rFont val="Tahoma"/>
            <family val="2"/>
          </rPr>
          <t>krisbon:</t>
        </r>
        <r>
          <rPr>
            <sz val="8"/>
            <color indexed="81"/>
            <rFont val="Tahoma"/>
            <family val="2"/>
          </rPr>
          <t xml:space="preserve"> Estimated losses on 2010 films</t>
        </r>
      </text>
    </comment>
    <comment ref="CC71" authorId="6">
      <text>
        <r>
          <rPr>
            <b/>
            <sz val="8"/>
            <color indexed="81"/>
            <rFont val="Tahoma"/>
            <family val="2"/>
          </rPr>
          <t>hershk:</t>
        </r>
        <r>
          <rPr>
            <sz val="8"/>
            <color indexed="81"/>
            <rFont val="Tahoma"/>
            <family val="2"/>
          </rPr>
          <t xml:space="preserve">
P&amp;A related to Film releases</t>
        </r>
      </text>
    </comment>
    <comment ref="BJ75" authorId="3">
      <text>
        <r>
          <rPr>
            <b/>
            <sz val="8"/>
            <color indexed="81"/>
            <rFont val="Tahoma"/>
            <family val="2"/>
          </rPr>
          <t>krisbon:</t>
        </r>
        <r>
          <rPr>
            <sz val="8"/>
            <color indexed="81"/>
            <rFont val="Tahoma"/>
            <family val="2"/>
          </rPr>
          <t xml:space="preserve">
adding back $2.6m restructuring charge</t>
        </r>
      </text>
    </comment>
    <comment ref="CC76" authorId="4">
      <text>
        <r>
          <rPr>
            <b/>
            <sz val="8"/>
            <color indexed="81"/>
            <rFont val="Tahoma"/>
            <family val="2"/>
          </rPr>
          <t>fiftrya:</t>
        </r>
        <r>
          <rPr>
            <sz val="8"/>
            <color indexed="81"/>
            <rFont val="Tahoma"/>
            <family val="2"/>
          </rPr>
          <t xml:space="preserve">
Down primarily on timing of P&amp;A -- 2 films vs. none prior</t>
        </r>
      </text>
    </comment>
    <comment ref="CG79" authorId="6">
      <text>
        <r>
          <rPr>
            <b/>
            <sz val="8"/>
            <color indexed="81"/>
            <rFont val="Tahoma"/>
            <family val="2"/>
          </rPr>
          <t>hershk:</t>
        </r>
        <r>
          <rPr>
            <sz val="8"/>
            <color indexed="81"/>
            <rFont val="Tahoma"/>
            <family val="2"/>
          </rPr>
          <t xml:space="preserve">
assumes ~$30mm of revs on PPV no margin</t>
        </r>
      </text>
    </comment>
    <comment ref="CH79" authorId="6">
      <text>
        <r>
          <rPr>
            <b/>
            <sz val="8"/>
            <color indexed="81"/>
            <rFont val="Tahoma"/>
            <family val="2"/>
          </rPr>
          <t>hershk:</t>
        </r>
        <r>
          <rPr>
            <sz val="8"/>
            <color indexed="81"/>
            <rFont val="Tahoma"/>
            <family val="2"/>
          </rPr>
          <t xml:space="preserve">
includes PPV revs from Floyd Mayweather fight ($77mm revs, $1mm EBITDA ) and syndication of Dexter (4 episodes)</t>
        </r>
      </text>
    </comment>
    <comment ref="CK79" authorId="2">
      <text>
        <r>
          <rPr>
            <b/>
            <sz val="9"/>
            <color indexed="81"/>
            <rFont val="Tahoma"/>
            <family val="2"/>
          </rPr>
          <t>Khadilkar, Hersh S (Research):</t>
        </r>
        <r>
          <rPr>
            <sz val="9"/>
            <color indexed="81"/>
            <rFont val="Tahoma"/>
            <family val="2"/>
          </rPr>
          <t xml:space="preserve">
assumes ~5% opex growth + 40% margin on Dexter syndication</t>
        </r>
      </text>
    </comment>
    <comment ref="CL79" authorId="2">
      <text>
        <r>
          <rPr>
            <b/>
            <sz val="9"/>
            <color indexed="81"/>
            <rFont val="Tahoma"/>
            <family val="2"/>
          </rPr>
          <t>Khadilkar, Hersh S (Research):</t>
        </r>
        <r>
          <rPr>
            <sz val="9"/>
            <color indexed="81"/>
            <rFont val="Tahoma"/>
            <family val="2"/>
          </rPr>
          <t xml:space="preserve">
assumes ~5% opex growth (ex PPV) + 2% margins on PPV event</t>
        </r>
      </text>
    </comment>
    <comment ref="CM79" authorId="2">
      <text>
        <r>
          <rPr>
            <b/>
            <sz val="9"/>
            <color indexed="81"/>
            <rFont val="Tahoma"/>
            <family val="2"/>
          </rPr>
          <t>Khadilkar, Hersh S (Research):</t>
        </r>
        <r>
          <rPr>
            <sz val="9"/>
            <color indexed="81"/>
            <rFont val="Tahoma"/>
            <family val="2"/>
          </rPr>
          <t xml:space="preserve">
assumes ~5% opex growth ex-PPV and 3Q13 Dexter syndication + 2% margins on 3Q14 PPV event</t>
        </r>
      </text>
    </comment>
    <comment ref="CN79" authorId="2">
      <text>
        <r>
          <rPr>
            <b/>
            <sz val="9"/>
            <color indexed="81"/>
            <rFont val="Tahoma"/>
            <family val="2"/>
          </rPr>
          <t>Khadilkar, Hersh S (Research):</t>
        </r>
        <r>
          <rPr>
            <sz val="9"/>
            <color indexed="81"/>
            <rFont val="Tahoma"/>
            <family val="2"/>
          </rPr>
          <t xml:space="preserve">
assumes ~5% opex growth + 50% margins on Californication</t>
        </r>
      </text>
    </comment>
    <comment ref="CQ79" authorId="7">
      <text>
        <r>
          <rPr>
            <b/>
            <sz val="9"/>
            <color indexed="81"/>
            <rFont val="Tahoma"/>
            <family val="2"/>
          </rPr>
          <t>Ripps, Maria (Research):</t>
        </r>
        <r>
          <rPr>
            <sz val="9"/>
            <color indexed="81"/>
            <rFont val="Tahoma"/>
            <family val="2"/>
          </rPr>
          <t xml:space="preserve">
Assume M-P fight @ 5% margin</t>
        </r>
      </text>
    </comment>
    <comment ref="CF81" authorId="5">
      <text>
        <r>
          <rPr>
            <b/>
            <sz val="8"/>
            <color indexed="81"/>
            <rFont val="Tahoma"/>
            <family val="2"/>
          </rPr>
          <t>matheemi:</t>
        </r>
        <r>
          <rPr>
            <sz val="8"/>
            <color indexed="81"/>
            <rFont val="Tahoma"/>
            <family val="2"/>
          </rPr>
          <t xml:space="preserve">
cable margin expanded over 210 bp</t>
        </r>
      </text>
    </comment>
    <comment ref="CH81" authorId="6">
      <text>
        <r>
          <rPr>
            <b/>
            <sz val="8"/>
            <color indexed="81"/>
            <rFont val="Tahoma"/>
            <family val="2"/>
          </rPr>
          <t>hershk:</t>
        </r>
        <r>
          <rPr>
            <sz val="8"/>
            <color indexed="81"/>
            <rFont val="Tahoma"/>
            <family val="2"/>
          </rPr>
          <t xml:space="preserve">
excluding Mayweather ($77mm revs, $1mm EBITDA), Dexter syndication ($50mm at 25% margin) margins modestly up YoY </t>
        </r>
      </text>
    </comment>
    <comment ref="CN81" authorId="7">
      <text>
        <r>
          <rPr>
            <b/>
            <sz val="9"/>
            <color indexed="81"/>
            <rFont val="Tahoma"/>
            <family val="2"/>
          </rPr>
          <t>Ripps, Maria (Research):</t>
        </r>
        <r>
          <rPr>
            <sz val="9"/>
            <color indexed="81"/>
            <rFont val="Tahoma"/>
            <family val="2"/>
          </rPr>
          <t xml:space="preserve">
MSe</t>
        </r>
      </text>
    </comment>
    <comment ref="CX81" authorId="7">
      <text>
        <r>
          <rPr>
            <b/>
            <sz val="9"/>
            <color indexed="81"/>
            <rFont val="Tahoma"/>
            <family val="2"/>
          </rPr>
          <t>Ripps, Maria (Research):</t>
        </r>
        <r>
          <rPr>
            <sz val="9"/>
            <color indexed="81"/>
            <rFont val="Tahoma"/>
            <family val="2"/>
          </rPr>
          <t xml:space="preserve">
MSe: less library licensing, lower margins</t>
        </r>
      </text>
    </comment>
    <comment ref="DB81" authorId="7">
      <text>
        <r>
          <rPr>
            <b/>
            <sz val="9"/>
            <color indexed="81"/>
            <rFont val="Tahoma"/>
            <family val="2"/>
          </rPr>
          <t>Ripps, Maria (Research):</t>
        </r>
        <r>
          <rPr>
            <sz val="9"/>
            <color indexed="81"/>
            <rFont val="Tahoma"/>
            <family val="2"/>
          </rPr>
          <t xml:space="preserve">
Lower margins =&gt; Mayweather McGgrgegor fight</t>
        </r>
      </text>
    </comment>
    <comment ref="CU88" authorId="7">
      <text>
        <r>
          <rPr>
            <b/>
            <sz val="9"/>
            <color indexed="81"/>
            <rFont val="Tahoma"/>
            <family val="2"/>
          </rPr>
          <t>Ripps, Maria (Research):</t>
        </r>
        <r>
          <rPr>
            <sz val="9"/>
            <color indexed="81"/>
            <rFont val="Tahoma"/>
            <family val="2"/>
          </rPr>
          <t xml:space="preserve">
Y/Y decline: 
1) Int'l licensing rev comp
2) Incremental costs - Billions premiere</t>
        </r>
      </text>
    </comment>
    <comment ref="CN89" authorId="7">
      <text>
        <r>
          <rPr>
            <b/>
            <sz val="9"/>
            <color indexed="81"/>
            <rFont val="Tahoma"/>
            <family val="2"/>
          </rPr>
          <t>Ripps, Maria (Research):</t>
        </r>
        <r>
          <rPr>
            <sz val="9"/>
            <color indexed="81"/>
            <rFont val="Tahoma"/>
            <family val="2"/>
          </rPr>
          <t xml:space="preserve">
Lower programming costs as a result of the timing of premieres</t>
        </r>
      </text>
    </comment>
    <comment ref="BM91" authorId="3">
      <text>
        <r>
          <rPr>
            <b/>
            <sz val="8"/>
            <color indexed="81"/>
            <rFont val="Tahoma"/>
            <family val="2"/>
          </rPr>
          <t>krisbon:</t>
        </r>
        <r>
          <rPr>
            <sz val="8"/>
            <color indexed="81"/>
            <rFont val="Tahoma"/>
            <family val="2"/>
          </rPr>
          <t xml:space="preserve">
adds back $2.2m restructuring charge</t>
        </r>
      </text>
    </comment>
    <comment ref="CB91" authorId="4">
      <text>
        <r>
          <rPr>
            <b/>
            <sz val="8"/>
            <color indexed="81"/>
            <rFont val="Tahoma"/>
            <family val="2"/>
          </rPr>
          <t>fiftrya:</t>
        </r>
        <r>
          <rPr>
            <sz val="8"/>
            <color indexed="81"/>
            <rFont val="Tahoma"/>
            <family val="2"/>
          </rPr>
          <t xml:space="preserve">
Charge related to e-book litigation settlement</t>
        </r>
      </text>
    </comment>
    <comment ref="BJ105" authorId="3">
      <text>
        <r>
          <rPr>
            <b/>
            <sz val="8"/>
            <color indexed="81"/>
            <rFont val="Tahoma"/>
            <family val="2"/>
          </rPr>
          <t>krisbon:</t>
        </r>
        <r>
          <rPr>
            <sz val="8"/>
            <color indexed="81"/>
            <rFont val="Tahoma"/>
            <family val="2"/>
          </rPr>
          <t xml:space="preserve">
adjusting for restructuring charge</t>
        </r>
      </text>
    </comment>
    <comment ref="BJ114" authorId="3">
      <text>
        <r>
          <rPr>
            <b/>
            <sz val="8"/>
            <color indexed="81"/>
            <rFont val="Tahoma"/>
            <family val="2"/>
          </rPr>
          <t>krisbon:</t>
        </r>
        <r>
          <rPr>
            <sz val="8"/>
            <color indexed="81"/>
            <rFont val="Tahoma"/>
            <family val="2"/>
          </rPr>
          <t xml:space="preserve">
includes $2.6m restructuring charge add back</t>
        </r>
      </text>
    </comment>
    <comment ref="CF121" authorId="4">
      <text>
        <r>
          <rPr>
            <b/>
            <sz val="8"/>
            <color indexed="81"/>
            <rFont val="Tahoma"/>
            <family val="2"/>
          </rPr>
          <t>fiftrya:</t>
        </r>
        <r>
          <rPr>
            <sz val="8"/>
            <color indexed="81"/>
            <rFont val="Tahoma"/>
            <family val="2"/>
          </rPr>
          <t xml:space="preserve"> Puts and takes
No Lakers, $10-$15M headwind at KCAL
~$10-15M</t>
        </r>
        <r>
          <rPr>
            <sz val="8"/>
            <color indexed="81"/>
            <rFont val="Tahoma"/>
            <family val="2"/>
          </rPr>
          <t xml:space="preserve"> headwind from final four in 2Q vs. 1Q last yr
Assuming ~$25M rev benefit from the Super Bowl
Some underlying growth</t>
        </r>
      </text>
    </comment>
    <comment ref="CG121" authorId="4">
      <text>
        <r>
          <rPr>
            <b/>
            <sz val="8"/>
            <color indexed="81"/>
            <rFont val="Tahoma"/>
            <family val="2"/>
          </rPr>
          <t>fiftrya:</t>
        </r>
        <r>
          <rPr>
            <sz val="8"/>
            <color indexed="81"/>
            <rFont val="Tahoma"/>
            <family val="2"/>
          </rPr>
          <t xml:space="preserve">
Expecting $10-15M tailwind from final four in 2Q vs. 1Q last yr</t>
        </r>
      </text>
    </comment>
    <comment ref="CK121" authorId="2">
      <text>
        <r>
          <rPr>
            <b/>
            <sz val="9"/>
            <color indexed="81"/>
            <rFont val="Tahoma"/>
            <family val="2"/>
          </rPr>
          <t>Khadilkar, Hersh S (Research):</t>
        </r>
        <r>
          <rPr>
            <sz val="9"/>
            <color indexed="81"/>
            <rFont val="Tahoma"/>
            <family val="2"/>
          </rPr>
          <t xml:space="preserve">
~$5mm impact from fewer March Madness games</t>
        </r>
      </text>
    </comment>
    <comment ref="CL121" authorId="2">
      <text>
        <r>
          <rPr>
            <b/>
            <sz val="9"/>
            <color indexed="81"/>
            <rFont val="Tahoma"/>
            <family val="2"/>
          </rPr>
          <t>Khadilkar, Hersh S (Research):</t>
        </r>
        <r>
          <rPr>
            <sz val="9"/>
            <color indexed="81"/>
            <rFont val="Tahoma"/>
            <family val="2"/>
          </rPr>
          <t xml:space="preserve">
~$5mm impact from fewer March Madness games</t>
        </r>
      </text>
    </comment>
    <comment ref="CM121" authorId="2">
      <text>
        <r>
          <rPr>
            <b/>
            <sz val="9"/>
            <color indexed="81"/>
            <rFont val="Tahoma"/>
            <family val="2"/>
          </rPr>
          <t>Khadilkar, Hersh S (Research):</t>
        </r>
        <r>
          <rPr>
            <sz val="9"/>
            <color indexed="81"/>
            <rFont val="Tahoma"/>
            <family val="2"/>
          </rPr>
          <t xml:space="preserve">
We assume $300mm of ad revs from NFL Thursday night footaball, 50% in 3Q/4Q, with 15% at stations 85% at network + political all at 70% incremental</t>
        </r>
      </text>
    </comment>
    <comment ref="CN121" authorId="2">
      <text>
        <r>
          <rPr>
            <b/>
            <sz val="9"/>
            <color indexed="81"/>
            <rFont val="Tahoma"/>
            <family val="2"/>
          </rPr>
          <t>Khadilkar, Hersh S (Research):</t>
        </r>
        <r>
          <rPr>
            <sz val="9"/>
            <color indexed="81"/>
            <rFont val="Tahoma"/>
            <family val="2"/>
          </rPr>
          <t xml:space="preserve">
We assume $300mm of ad revs from NFL Thursday night footaball, 50% in 3Q/4Q, with 15% at stations 85% at network + political</t>
        </r>
      </text>
    </comment>
    <comment ref="CS121" authorId="6">
      <text>
        <r>
          <rPr>
            <b/>
            <sz val="8"/>
            <color indexed="81"/>
            <rFont val="Tahoma"/>
            <family val="2"/>
          </rPr>
          <t>hershk:</t>
        </r>
        <r>
          <rPr>
            <sz val="8"/>
            <color indexed="81"/>
            <rFont val="Tahoma"/>
            <family val="2"/>
          </rPr>
          <t xml:space="preserve">
backs out 2014 political  benefit at 70% incremental</t>
        </r>
      </text>
    </comment>
    <comment ref="CU121" authorId="7">
      <text>
        <r>
          <rPr>
            <b/>
            <sz val="9"/>
            <color indexed="81"/>
            <rFont val="Tahoma"/>
            <family val="2"/>
          </rPr>
          <t>Ripps, Maria (Research):</t>
        </r>
        <r>
          <rPr>
            <sz val="9"/>
            <color indexed="81"/>
            <rFont val="Tahoma"/>
            <family val="2"/>
          </rPr>
          <t xml:space="preserve">
includes ~$30M in SuperBowl revs</t>
        </r>
      </text>
    </comment>
    <comment ref="DE121" authorId="7">
      <text>
        <r>
          <rPr>
            <b/>
            <sz val="9"/>
            <color indexed="81"/>
            <rFont val="Tahoma"/>
            <family val="2"/>
          </rPr>
          <t>Ripps, Maria (Research):</t>
        </r>
        <r>
          <rPr>
            <sz val="9"/>
            <color indexed="81"/>
            <rFont val="Tahoma"/>
            <family val="2"/>
          </rPr>
          <t xml:space="preserve">
Inlcudes AFC extra game benefit</t>
        </r>
      </text>
    </comment>
    <comment ref="CP123" authorId="7">
      <text>
        <r>
          <rPr>
            <b/>
            <sz val="9"/>
            <color indexed="81"/>
            <rFont val="Tahoma"/>
            <family val="2"/>
          </rPr>
          <t>Ripps, Maria (Research):</t>
        </r>
        <r>
          <rPr>
            <sz val="9"/>
            <color indexed="81"/>
            <rFont val="Tahoma"/>
            <family val="2"/>
          </rPr>
          <t xml:space="preserve">
Restated, 8K, 10/14/16</t>
        </r>
      </text>
    </comment>
    <comment ref="CQ123" authorId="7">
      <text>
        <r>
          <rPr>
            <b/>
            <sz val="9"/>
            <color indexed="81"/>
            <rFont val="Tahoma"/>
            <family val="2"/>
          </rPr>
          <t>Ripps, Maria (Research):</t>
        </r>
        <r>
          <rPr>
            <sz val="9"/>
            <color indexed="81"/>
            <rFont val="Tahoma"/>
            <family val="2"/>
          </rPr>
          <t xml:space="preserve">
Restated, 8K, 10/14/16</t>
        </r>
      </text>
    </comment>
    <comment ref="CR123" authorId="7">
      <text>
        <r>
          <rPr>
            <b/>
            <sz val="9"/>
            <color indexed="81"/>
            <rFont val="Tahoma"/>
            <family val="2"/>
          </rPr>
          <t>Ripps, Maria (Research):</t>
        </r>
        <r>
          <rPr>
            <sz val="9"/>
            <color indexed="81"/>
            <rFont val="Tahoma"/>
            <family val="2"/>
          </rPr>
          <t xml:space="preserve">
Restated, 8K, 10/14/16</t>
        </r>
      </text>
    </comment>
    <comment ref="CS123" authorId="7">
      <text>
        <r>
          <rPr>
            <b/>
            <sz val="9"/>
            <color indexed="81"/>
            <rFont val="Tahoma"/>
            <family val="2"/>
          </rPr>
          <t>Ripps, Maria (Research):</t>
        </r>
        <r>
          <rPr>
            <sz val="9"/>
            <color indexed="81"/>
            <rFont val="Tahoma"/>
            <family val="2"/>
          </rPr>
          <t xml:space="preserve">
Restated, 8K, 10/14/16</t>
        </r>
      </text>
    </comment>
    <comment ref="CU123" authorId="7">
      <text>
        <r>
          <rPr>
            <b/>
            <sz val="9"/>
            <color indexed="81"/>
            <rFont val="Tahoma"/>
            <family val="2"/>
          </rPr>
          <t>Ripps, Maria (Research):</t>
        </r>
        <r>
          <rPr>
            <sz val="9"/>
            <color indexed="81"/>
            <rFont val="Tahoma"/>
            <family val="2"/>
          </rPr>
          <t xml:space="preserve">
Restated, 8K, 10/14/16</t>
        </r>
      </text>
    </comment>
    <comment ref="CV123" authorId="7">
      <text>
        <r>
          <rPr>
            <b/>
            <sz val="9"/>
            <color indexed="81"/>
            <rFont val="Tahoma"/>
            <family val="2"/>
          </rPr>
          <t>Ripps, Maria (Research):</t>
        </r>
        <r>
          <rPr>
            <sz val="9"/>
            <color indexed="81"/>
            <rFont val="Tahoma"/>
            <family val="2"/>
          </rPr>
          <t xml:space="preserve">
Restated, 8K, 10/14/16</t>
        </r>
      </text>
    </comment>
    <comment ref="L124" authorId="1">
      <text>
        <r>
          <rPr>
            <b/>
            <sz val="8"/>
            <color indexed="81"/>
            <rFont val="Tahoma"/>
            <family val="2"/>
          </rPr>
          <t>Micah Nance:</t>
        </r>
        <r>
          <rPr>
            <sz val="8"/>
            <color indexed="81"/>
            <rFont val="Tahoma"/>
            <family val="2"/>
          </rPr>
          <t xml:space="preserve">
4% ad growth (-3-4% organic, + political), remainder from re-trans step-up</t>
        </r>
      </text>
    </comment>
    <comment ref="BI124" authorId="3">
      <text>
        <r>
          <rPr>
            <b/>
            <sz val="8"/>
            <color indexed="81"/>
            <rFont val="Tahoma"/>
            <family val="2"/>
          </rPr>
          <t>krisbon:</t>
        </r>
        <r>
          <rPr>
            <sz val="8"/>
            <color indexed="81"/>
            <rFont val="Tahoma"/>
            <family val="2"/>
          </rPr>
          <t xml:space="preserve">
$20m political</t>
        </r>
      </text>
    </comment>
    <comment ref="BJ124" authorId="3">
      <text>
        <r>
          <rPr>
            <b/>
            <sz val="8"/>
            <color indexed="81"/>
            <rFont val="Tahoma"/>
            <family val="2"/>
          </rPr>
          <t>krisbon:</t>
        </r>
        <r>
          <rPr>
            <sz val="8"/>
            <color indexed="81"/>
            <rFont val="Tahoma"/>
            <family val="2"/>
          </rPr>
          <t xml:space="preserve">
$60m political</t>
        </r>
      </text>
    </comment>
    <comment ref="BO124" authorId="3">
      <text>
        <r>
          <rPr>
            <b/>
            <sz val="8"/>
            <color indexed="81"/>
            <rFont val="Tahoma"/>
            <family val="2"/>
          </rPr>
          <t>krisbon:</t>
        </r>
        <r>
          <rPr>
            <sz val="8"/>
            <color indexed="81"/>
            <rFont val="Tahoma"/>
            <family val="2"/>
          </rPr>
          <t xml:space="preserve">
political comp</t>
        </r>
      </text>
    </comment>
    <comment ref="BQ124" authorId="3">
      <text>
        <r>
          <rPr>
            <b/>
            <sz val="8"/>
            <color indexed="81"/>
            <rFont val="Tahoma"/>
            <family val="2"/>
          </rPr>
          <t>krisbon:</t>
        </r>
        <r>
          <rPr>
            <sz val="8"/>
            <color indexed="81"/>
            <rFont val="Tahoma"/>
            <family val="2"/>
          </rPr>
          <t xml:space="preserve">
Superbowl lift</t>
        </r>
      </text>
    </comment>
    <comment ref="BR124" authorId="3">
      <text>
        <r>
          <rPr>
            <b/>
            <sz val="8"/>
            <color indexed="81"/>
            <rFont val="Tahoma"/>
            <family val="2"/>
          </rPr>
          <t>krisbon:</t>
        </r>
        <r>
          <rPr>
            <sz val="8"/>
            <color indexed="81"/>
            <rFont val="Tahoma"/>
            <family val="2"/>
          </rPr>
          <t xml:space="preserve">
approx $20m contribution from political</t>
        </r>
      </text>
    </comment>
    <comment ref="BS124" authorId="3">
      <text>
        <r>
          <rPr>
            <b/>
            <sz val="8"/>
            <color indexed="81"/>
            <rFont val="Tahoma"/>
            <family val="2"/>
          </rPr>
          <t>krisbon:</t>
        </r>
        <r>
          <rPr>
            <sz val="8"/>
            <color indexed="81"/>
            <rFont val="Tahoma"/>
            <family val="2"/>
          </rPr>
          <t>$37m local political in Q3, majority at TV stations</t>
        </r>
      </text>
    </comment>
    <comment ref="BT124" authorId="1">
      <text>
        <r>
          <rPr>
            <b/>
            <sz val="8"/>
            <color indexed="81"/>
            <rFont val="Tahoma"/>
            <family val="2"/>
          </rPr>
          <t>Micah Nance:</t>
        </r>
        <r>
          <rPr>
            <sz val="8"/>
            <color indexed="81"/>
            <rFont val="Tahoma"/>
            <family val="2"/>
          </rPr>
          <t xml:space="preserve">
75mm in political revs</t>
        </r>
      </text>
    </comment>
    <comment ref="BV124" authorId="3">
      <text>
        <r>
          <rPr>
            <b/>
            <sz val="8"/>
            <color indexed="81"/>
            <rFont val="Tahoma"/>
            <family val="2"/>
          </rPr>
          <t>krisbon:</t>
        </r>
        <r>
          <rPr>
            <sz val="8"/>
            <color indexed="81"/>
            <rFont val="Tahoma"/>
            <family val="2"/>
          </rPr>
          <t xml:space="preserve">
$20-$25m superbowl comp, loss of some NCAA revs</t>
        </r>
      </text>
    </comment>
    <comment ref="BW124" authorId="1">
      <text>
        <r>
          <rPr>
            <b/>
            <sz val="8"/>
            <color indexed="81"/>
            <rFont val="Tahoma"/>
            <family val="2"/>
          </rPr>
          <t>Micah Nance:</t>
        </r>
        <r>
          <rPr>
            <sz val="8"/>
            <color indexed="81"/>
            <rFont val="Tahoma"/>
            <family val="2"/>
          </rPr>
          <t xml:space="preserve">
approx $20m political comp
advert pacing up low singles</t>
        </r>
      </text>
    </comment>
    <comment ref="BX124" authorId="1">
      <text>
        <r>
          <rPr>
            <b/>
            <sz val="8"/>
            <color indexed="81"/>
            <rFont val="Tahoma"/>
            <family val="2"/>
          </rPr>
          <t>Micah Nance:</t>
        </r>
        <r>
          <rPr>
            <sz val="8"/>
            <color indexed="81"/>
            <rFont val="Tahoma"/>
            <family val="2"/>
          </rPr>
          <t xml:space="preserve">
25mm in political comp</t>
        </r>
      </text>
    </comment>
    <comment ref="BY124" authorId="1">
      <text>
        <r>
          <rPr>
            <b/>
            <sz val="8"/>
            <color indexed="81"/>
            <rFont val="Tahoma"/>
            <family val="2"/>
          </rPr>
          <t>Micah Nance:</t>
        </r>
        <r>
          <rPr>
            <sz val="8"/>
            <color indexed="81"/>
            <rFont val="Tahoma"/>
            <family val="2"/>
          </rPr>
          <t xml:space="preserve">
approx $75m political comp
pacing up LSD, ex political</t>
        </r>
      </text>
    </comment>
    <comment ref="CK124" authorId="2">
      <text>
        <r>
          <rPr>
            <b/>
            <sz val="9"/>
            <color indexed="81"/>
            <rFont val="Tahoma"/>
            <family val="2"/>
          </rPr>
          <t>Khadilkar, Hersh S (Research):</t>
        </r>
        <r>
          <rPr>
            <sz val="9"/>
            <color indexed="81"/>
            <rFont val="Tahoma"/>
            <family val="2"/>
          </rPr>
          <t xml:space="preserve">
up MSD ex-Superbowl and NCAA ($25mm and $5mm MS estimate)</t>
        </r>
      </text>
    </comment>
    <comment ref="CL124" authorId="2">
      <text>
        <r>
          <rPr>
            <b/>
            <sz val="9"/>
            <color indexed="81"/>
            <rFont val="Tahoma"/>
            <family val="2"/>
          </rPr>
          <t>Khadilkar, Hersh S (Research):</t>
        </r>
        <r>
          <rPr>
            <sz val="9"/>
            <color indexed="81"/>
            <rFont val="Tahoma"/>
            <family val="2"/>
          </rPr>
          <t xml:space="preserve">
down 6%, 300bps due to nonrenewal of sports programming contract and absence of NCAA</t>
        </r>
      </text>
    </comment>
    <comment ref="CP124" authorId="7">
      <text>
        <r>
          <rPr>
            <b/>
            <sz val="9"/>
            <color indexed="81"/>
            <rFont val="Tahoma"/>
            <family val="2"/>
          </rPr>
          <t>Ripps, Maria (Research):</t>
        </r>
        <r>
          <rPr>
            <sz val="9"/>
            <color indexed="81"/>
            <rFont val="Tahoma"/>
            <family val="2"/>
          </rPr>
          <t xml:space="preserve">
Underlying prior to restatement: down 3%</t>
        </r>
      </text>
    </comment>
    <comment ref="CQ124" authorId="7">
      <text>
        <r>
          <rPr>
            <b/>
            <sz val="9"/>
            <color indexed="81"/>
            <rFont val="Tahoma"/>
            <family val="2"/>
          </rPr>
          <t>Ripps, Maria (Research):</t>
        </r>
        <r>
          <rPr>
            <sz val="9"/>
            <color indexed="81"/>
            <rFont val="Tahoma"/>
            <family val="2"/>
          </rPr>
          <t xml:space="preserve">
Underlying prior to restatement: up 1%
</t>
        </r>
      </text>
    </comment>
    <comment ref="CR124" authorId="7">
      <text>
        <r>
          <rPr>
            <b/>
            <sz val="9"/>
            <color indexed="81"/>
            <rFont val="Tahoma"/>
            <family val="2"/>
          </rPr>
          <t>Ripps, Maria (Research):</t>
        </r>
        <r>
          <rPr>
            <sz val="9"/>
            <color indexed="81"/>
            <rFont val="Tahoma"/>
            <family val="2"/>
          </rPr>
          <t xml:space="preserve">
Underlying prior to restatement: down MSD (-6%) - political comp</t>
        </r>
      </text>
    </comment>
    <comment ref="CS124" authorId="7">
      <text>
        <r>
          <rPr>
            <b/>
            <sz val="9"/>
            <color indexed="81"/>
            <rFont val="Tahoma"/>
            <family val="2"/>
          </rPr>
          <t>Ripps, Maria (Research):</t>
        </r>
        <r>
          <rPr>
            <sz val="9"/>
            <color indexed="81"/>
            <rFont val="Tahoma"/>
            <family val="2"/>
          </rPr>
          <t xml:space="preserve">
Underlying prior to restatement: down DD on a reported basis</t>
        </r>
      </text>
    </comment>
    <comment ref="CU124" authorId="7">
      <text>
        <r>
          <rPr>
            <b/>
            <sz val="9"/>
            <color indexed="81"/>
            <rFont val="Tahoma"/>
            <family val="2"/>
          </rPr>
          <t>Ripps, Maria (Research):</t>
        </r>
        <r>
          <rPr>
            <sz val="9"/>
            <color indexed="81"/>
            <rFont val="Tahoma"/>
            <family val="2"/>
          </rPr>
          <t xml:space="preserve">
10Q: +18% =&gt; 1) Super Bowl, 2) political ad revs, 3) retrans growth</t>
        </r>
      </text>
    </comment>
    <comment ref="CV124" authorId="7">
      <text>
        <r>
          <rPr>
            <b/>
            <sz val="9"/>
            <color indexed="81"/>
            <rFont val="Tahoma"/>
            <family val="2"/>
          </rPr>
          <t>Ripps, Maria (Research):</t>
        </r>
        <r>
          <rPr>
            <sz val="9"/>
            <color indexed="81"/>
            <rFont val="Tahoma"/>
            <family val="2"/>
          </rPr>
          <t xml:space="preserve">
absense of NCAA</t>
        </r>
      </text>
    </comment>
    <comment ref="CS125" authorId="7">
      <text>
        <r>
          <rPr>
            <b/>
            <sz val="9"/>
            <color indexed="81"/>
            <rFont val="Tahoma"/>
            <family val="2"/>
          </rPr>
          <t>Ripps, Maria (Research):</t>
        </r>
        <r>
          <rPr>
            <sz val="9"/>
            <color indexed="81"/>
            <rFont val="Tahoma"/>
            <family val="2"/>
          </rPr>
          <t xml:space="preserve">
down DDs on reported basis</t>
        </r>
      </text>
    </comment>
    <comment ref="CA126" authorId="4">
      <text>
        <r>
          <rPr>
            <b/>
            <sz val="8"/>
            <color indexed="81"/>
            <rFont val="Tahoma"/>
            <family val="2"/>
          </rPr>
          <t>fiftrya:</t>
        </r>
        <r>
          <rPr>
            <sz val="8"/>
            <color indexed="81"/>
            <rFont val="Tahoma"/>
            <family val="2"/>
          </rPr>
          <t xml:space="preserve">
Up 2%</t>
        </r>
      </text>
    </comment>
    <comment ref="CB126" authorId="4">
      <text>
        <r>
          <rPr>
            <b/>
            <sz val="8"/>
            <color indexed="81"/>
            <rFont val="Tahoma"/>
            <family val="2"/>
          </rPr>
          <t>fiftrya:</t>
        </r>
        <r>
          <rPr>
            <sz val="8"/>
            <color indexed="81"/>
            <rFont val="Tahoma"/>
            <family val="2"/>
          </rPr>
          <t xml:space="preserve">
Up 6%</t>
        </r>
      </text>
    </comment>
    <comment ref="CC126" authorId="1">
      <text>
        <r>
          <rPr>
            <b/>
            <sz val="8"/>
            <color indexed="81"/>
            <rFont val="Tahoma"/>
            <family val="2"/>
          </rPr>
          <t>fiftrya:</t>
        </r>
        <r>
          <rPr>
            <sz val="8"/>
            <color indexed="81"/>
            <rFont val="Tahoma"/>
            <family val="2"/>
          </rPr>
          <t xml:space="preserve">
Up 7%
Assuming political 10mm, roughly 70% incremental, implies organic up ~8% (ex-political, ex-retrans)</t>
        </r>
      </text>
    </comment>
    <comment ref="CD126" authorId="1">
      <text>
        <r>
          <rPr>
            <b/>
            <sz val="8"/>
            <color indexed="81"/>
            <rFont val="Tahoma"/>
            <family val="2"/>
          </rPr>
          <t>fiftrya:</t>
        </r>
        <r>
          <rPr>
            <sz val="8"/>
            <color indexed="81"/>
            <rFont val="Tahoma"/>
            <family val="2"/>
          </rPr>
          <t xml:space="preserve">
Up 17%.  Assuming political ~80mm (70% incremental)</t>
        </r>
      </text>
    </comment>
    <comment ref="CF126" authorId="5">
      <text>
        <r>
          <rPr>
            <b/>
            <sz val="8"/>
            <color indexed="81"/>
            <rFont val="Tahoma"/>
            <family val="2"/>
          </rPr>
          <t>matheemi:</t>
        </r>
        <r>
          <rPr>
            <sz val="8"/>
            <color indexed="81"/>
            <rFont val="Tahoma"/>
            <family val="2"/>
          </rPr>
          <t xml:space="preserve">
up 5%</t>
        </r>
      </text>
    </comment>
    <comment ref="CG126" authorId="6">
      <text>
        <r>
          <rPr>
            <b/>
            <sz val="8"/>
            <color indexed="81"/>
            <rFont val="Tahoma"/>
            <family val="2"/>
          </rPr>
          <t>hershk:</t>
        </r>
        <r>
          <rPr>
            <sz val="8"/>
            <color indexed="81"/>
            <rFont val="Tahoma"/>
            <family val="2"/>
          </rPr>
          <t xml:space="preserve">
advertising +1% ex-political</t>
        </r>
      </text>
    </comment>
    <comment ref="CH126" authorId="6">
      <text>
        <r>
          <rPr>
            <b/>
            <sz val="8"/>
            <color indexed="81"/>
            <rFont val="Tahoma"/>
            <family val="2"/>
          </rPr>
          <t>hershk:</t>
        </r>
        <r>
          <rPr>
            <sz val="8"/>
            <color indexed="81"/>
            <rFont val="Tahoma"/>
            <family val="2"/>
          </rPr>
          <t xml:space="preserve">
pacing flat to up LSD as of 2Q call</t>
        </r>
      </text>
    </comment>
    <comment ref="CI126" authorId="2">
      <text>
        <r>
          <rPr>
            <b/>
            <sz val="9"/>
            <color indexed="81"/>
            <rFont val="Tahoma"/>
            <family val="2"/>
          </rPr>
          <t>Khadilkar, Hersh S (Research):</t>
        </r>
        <r>
          <rPr>
            <sz val="9"/>
            <color indexed="81"/>
            <rFont val="Tahoma"/>
            <family val="2"/>
          </rPr>
          <t xml:space="preserve">
down 12%, +9% ex political (includes retrans)</t>
        </r>
      </text>
    </comment>
    <comment ref="CL126" authorId="2">
      <text>
        <r>
          <rPr>
            <b/>
            <sz val="9"/>
            <color indexed="81"/>
            <rFont val="Tahoma"/>
            <family val="2"/>
          </rPr>
          <t>Khadilkar, Hersh S (Research):</t>
        </r>
        <r>
          <rPr>
            <sz val="9"/>
            <color indexed="81"/>
            <rFont val="Tahoma"/>
            <family val="2"/>
          </rPr>
          <t xml:space="preserve">
down 6%</t>
        </r>
      </text>
    </comment>
    <comment ref="R128" authorId="7">
      <text>
        <r>
          <rPr>
            <b/>
            <sz val="9"/>
            <color indexed="81"/>
            <rFont val="Tahoma"/>
            <family val="2"/>
          </rPr>
          <t>Ripps, Maria (Research):</t>
        </r>
        <r>
          <rPr>
            <sz val="9"/>
            <color indexed="81"/>
            <rFont val="Tahoma"/>
            <family val="2"/>
          </rPr>
          <t xml:space="preserve">
10K</t>
        </r>
      </text>
    </comment>
    <comment ref="CD128" authorId="1">
      <text>
        <r>
          <rPr>
            <b/>
            <sz val="8"/>
            <color indexed="81"/>
            <rFont val="Tahoma"/>
            <family val="2"/>
          </rPr>
          <t>fiftrya:</t>
        </r>
        <r>
          <rPr>
            <sz val="8"/>
            <color indexed="81"/>
            <rFont val="Tahoma"/>
            <family val="2"/>
          </rPr>
          <t xml:space="preserve">
20mm in political, implies 
-3% organic</t>
        </r>
      </text>
    </comment>
    <comment ref="CP128" authorId="7">
      <text>
        <r>
          <rPr>
            <b/>
            <sz val="9"/>
            <color indexed="81"/>
            <rFont val="Tahoma"/>
            <family val="2"/>
          </rPr>
          <t>Ripps, Maria (Research):</t>
        </r>
        <r>
          <rPr>
            <sz val="9"/>
            <color indexed="81"/>
            <rFont val="Tahoma"/>
            <family val="2"/>
          </rPr>
          <t xml:space="preserve">
Restated, 8K, 10/14/16</t>
        </r>
      </text>
    </comment>
    <comment ref="CQ128" authorId="7">
      <text>
        <r>
          <rPr>
            <b/>
            <sz val="9"/>
            <color indexed="81"/>
            <rFont val="Tahoma"/>
            <family val="2"/>
          </rPr>
          <t>Ripps, Maria (Research):</t>
        </r>
        <r>
          <rPr>
            <sz val="9"/>
            <color indexed="81"/>
            <rFont val="Tahoma"/>
            <family val="2"/>
          </rPr>
          <t xml:space="preserve">
Restated, 8K, 10/14/16</t>
        </r>
      </text>
    </comment>
    <comment ref="CR128" authorId="7">
      <text>
        <r>
          <rPr>
            <b/>
            <sz val="9"/>
            <color indexed="81"/>
            <rFont val="Tahoma"/>
            <family val="2"/>
          </rPr>
          <t>Ripps, Maria (Research):</t>
        </r>
        <r>
          <rPr>
            <sz val="9"/>
            <color indexed="81"/>
            <rFont val="Tahoma"/>
            <family val="2"/>
          </rPr>
          <t xml:space="preserve">
Restated, 8K, 10/14/16</t>
        </r>
      </text>
    </comment>
    <comment ref="CS128" authorId="7">
      <text>
        <r>
          <rPr>
            <b/>
            <sz val="9"/>
            <color indexed="81"/>
            <rFont val="Tahoma"/>
            <family val="2"/>
          </rPr>
          <t>Ripps, Maria (Research):</t>
        </r>
        <r>
          <rPr>
            <sz val="9"/>
            <color indexed="81"/>
            <rFont val="Tahoma"/>
            <family val="2"/>
          </rPr>
          <t xml:space="preserve">
Restated, 8K, 10/14/16</t>
        </r>
      </text>
    </comment>
    <comment ref="CU128" authorId="7">
      <text>
        <r>
          <rPr>
            <b/>
            <sz val="9"/>
            <color indexed="81"/>
            <rFont val="Tahoma"/>
            <family val="2"/>
          </rPr>
          <t>Ripps, Maria (Research):</t>
        </r>
        <r>
          <rPr>
            <sz val="9"/>
            <color indexed="81"/>
            <rFont val="Tahoma"/>
            <family val="2"/>
          </rPr>
          <t xml:space="preserve">
Restated, 8K, 10/14/16</t>
        </r>
      </text>
    </comment>
    <comment ref="CV128" authorId="7">
      <text>
        <r>
          <rPr>
            <b/>
            <sz val="9"/>
            <color indexed="81"/>
            <rFont val="Tahoma"/>
            <family val="2"/>
          </rPr>
          <t>Ripps, Maria (Research):</t>
        </r>
        <r>
          <rPr>
            <sz val="9"/>
            <color indexed="81"/>
            <rFont val="Tahoma"/>
            <family val="2"/>
          </rPr>
          <t xml:space="preserve">
Restated, 8K, 10/14/16</t>
        </r>
      </text>
    </comment>
    <comment ref="BS129" authorId="0">
      <text>
        <r>
          <rPr>
            <b/>
            <sz val="8"/>
            <color indexed="81"/>
            <rFont val="Tahoma"/>
            <family val="2"/>
          </rPr>
          <t>benswin:</t>
        </r>
        <r>
          <rPr>
            <sz val="8"/>
            <color indexed="81"/>
            <rFont val="Tahoma"/>
            <family val="2"/>
          </rPr>
          <t xml:space="preserve">
$10 mm in political</t>
        </r>
      </text>
    </comment>
    <comment ref="BT129" authorId="1">
      <text>
        <r>
          <rPr>
            <b/>
            <sz val="8"/>
            <color indexed="81"/>
            <rFont val="Tahoma"/>
            <family val="2"/>
          </rPr>
          <t>Micah Nance:</t>
        </r>
        <r>
          <rPr>
            <sz val="8"/>
            <color indexed="81"/>
            <rFont val="Tahoma"/>
            <family val="2"/>
          </rPr>
          <t xml:space="preserve">
15mm in political</t>
        </r>
      </text>
    </comment>
    <comment ref="BY129" authorId="1">
      <text>
        <r>
          <rPr>
            <b/>
            <sz val="8"/>
            <color indexed="81"/>
            <rFont val="Tahoma"/>
            <family val="2"/>
          </rPr>
          <t>Micah Nance:</t>
        </r>
        <r>
          <rPr>
            <sz val="8"/>
            <color indexed="81"/>
            <rFont val="Tahoma"/>
            <family val="2"/>
          </rPr>
          <t xml:space="preserve">
assuming $15m radio political revs in comp
pacing up 2%, ex-political</t>
        </r>
      </text>
    </comment>
    <comment ref="CA129" authorId="4">
      <text>
        <r>
          <rPr>
            <b/>
            <sz val="8"/>
            <color indexed="81"/>
            <rFont val="Tahoma"/>
            <family val="2"/>
          </rPr>
          <t>fiftrya:</t>
        </r>
        <r>
          <rPr>
            <sz val="8"/>
            <color indexed="81"/>
            <rFont val="Tahoma"/>
            <family val="2"/>
          </rPr>
          <t xml:space="preserve">
Down 2%</t>
        </r>
      </text>
    </comment>
    <comment ref="CB129" authorId="4">
      <text>
        <r>
          <rPr>
            <b/>
            <sz val="8"/>
            <color indexed="81"/>
            <rFont val="Tahoma"/>
            <family val="2"/>
          </rPr>
          <t>fiftrya:</t>
        </r>
        <r>
          <rPr>
            <sz val="8"/>
            <color indexed="81"/>
            <rFont val="Tahoma"/>
            <family val="2"/>
          </rPr>
          <t xml:space="preserve">
Down 2%, impacted by West Palm Beach radio cluster sale.  Top 10 markets flat</t>
        </r>
      </text>
    </comment>
    <comment ref="CC129" authorId="4">
      <text>
        <r>
          <rPr>
            <b/>
            <sz val="8"/>
            <color indexed="81"/>
            <rFont val="Tahoma"/>
            <family val="2"/>
          </rPr>
          <t>fiftrya:</t>
        </r>
        <r>
          <rPr>
            <sz val="8"/>
            <color indexed="81"/>
            <rFont val="Tahoma"/>
            <family val="2"/>
          </rPr>
          <t xml:space="preserve">
Down 5%</t>
        </r>
      </text>
    </comment>
    <comment ref="CD129" authorId="4">
      <text>
        <r>
          <rPr>
            <b/>
            <sz val="8"/>
            <color indexed="81"/>
            <rFont val="Tahoma"/>
            <family val="2"/>
          </rPr>
          <t>fiftrya:</t>
        </r>
        <r>
          <rPr>
            <sz val="8"/>
            <color indexed="81"/>
            <rFont val="Tahoma"/>
            <family val="2"/>
          </rPr>
          <t xml:space="preserve">
Up 1%</t>
        </r>
      </text>
    </comment>
    <comment ref="CF129" authorId="5">
      <text>
        <r>
          <rPr>
            <b/>
            <sz val="8"/>
            <color indexed="81"/>
            <rFont val="Tahoma"/>
            <family val="2"/>
          </rPr>
          <t>matheemi:</t>
        </r>
        <r>
          <rPr>
            <sz val="8"/>
            <color indexed="81"/>
            <rFont val="Tahoma"/>
            <family val="2"/>
          </rPr>
          <t xml:space="preserve">
copmarable to last year</t>
        </r>
      </text>
    </comment>
    <comment ref="CG129" authorId="5">
      <text>
        <r>
          <rPr>
            <b/>
            <sz val="8"/>
            <color indexed="81"/>
            <rFont val="Tahoma"/>
            <family val="2"/>
          </rPr>
          <t>hershk:</t>
        </r>
        <r>
          <rPr>
            <sz val="8"/>
            <color indexed="81"/>
            <rFont val="Tahoma"/>
            <family val="2"/>
          </rPr>
          <t xml:space="preserve">
flat YoY</t>
        </r>
      </text>
    </comment>
    <comment ref="CH129" authorId="5">
      <text>
        <r>
          <rPr>
            <b/>
            <sz val="8"/>
            <color indexed="81"/>
            <rFont val="Tahoma"/>
            <family val="2"/>
          </rPr>
          <t>hershk:</t>
        </r>
        <r>
          <rPr>
            <sz val="8"/>
            <color indexed="81"/>
            <rFont val="Tahoma"/>
            <family val="2"/>
          </rPr>
          <t xml:space="preserve">
+1%</t>
        </r>
      </text>
    </comment>
    <comment ref="CI129" authorId="5">
      <text>
        <r>
          <rPr>
            <b/>
            <sz val="8"/>
            <color indexed="81"/>
            <rFont val="Tahoma"/>
            <family val="2"/>
          </rPr>
          <t>hershk:</t>
        </r>
        <r>
          <rPr>
            <sz val="8"/>
            <color indexed="81"/>
            <rFont val="Tahoma"/>
            <family val="2"/>
          </rPr>
          <t xml:space="preserve">
down 4%, flat ex-political</t>
        </r>
      </text>
    </comment>
    <comment ref="CK129" authorId="2">
      <text>
        <r>
          <rPr>
            <b/>
            <sz val="9"/>
            <color indexed="81"/>
            <rFont val="Tahoma"/>
            <family val="2"/>
          </rPr>
          <t>Khadilkar, Hersh S (Research):</t>
        </r>
        <r>
          <rPr>
            <sz val="9"/>
            <color indexed="81"/>
            <rFont val="Tahoma"/>
            <family val="2"/>
          </rPr>
          <t xml:space="preserve">
+2%</t>
        </r>
      </text>
    </comment>
    <comment ref="CN129" authorId="7">
      <text>
        <r>
          <rPr>
            <b/>
            <sz val="9"/>
            <color indexed="81"/>
            <rFont val="Tahoma"/>
            <family val="2"/>
          </rPr>
          <t>Ripps, Maria (Research):</t>
        </r>
        <r>
          <rPr>
            <sz val="9"/>
            <color indexed="81"/>
            <rFont val="Tahoma"/>
            <family val="2"/>
          </rPr>
          <t xml:space="preserve">
up 2%</t>
        </r>
      </text>
    </comment>
    <comment ref="CP129" authorId="7">
      <text>
        <r>
          <rPr>
            <b/>
            <sz val="9"/>
            <color indexed="81"/>
            <rFont val="Tahoma"/>
            <family val="2"/>
          </rPr>
          <t>Ripps, Maria (Research):</t>
        </r>
        <r>
          <rPr>
            <sz val="9"/>
            <color indexed="81"/>
            <rFont val="Tahoma"/>
            <family val="2"/>
          </rPr>
          <t xml:space="preserve">
Underlying prior to restatement: radio stations were down 7%</t>
        </r>
      </text>
    </comment>
    <comment ref="CQ129" authorId="7">
      <text>
        <r>
          <rPr>
            <b/>
            <sz val="9"/>
            <color indexed="81"/>
            <rFont val="Tahoma"/>
            <family val="2"/>
          </rPr>
          <t>Ripps, Maria (Research):</t>
        </r>
        <r>
          <rPr>
            <sz val="9"/>
            <color indexed="81"/>
            <rFont val="Tahoma"/>
            <family val="2"/>
          </rPr>
          <t xml:space="preserve">
Underlying prior to restatement: radio stations were down 5%</t>
        </r>
      </text>
    </comment>
    <comment ref="CR129" authorId="7">
      <text>
        <r>
          <rPr>
            <b/>
            <sz val="9"/>
            <color indexed="81"/>
            <rFont val="Tahoma"/>
            <family val="2"/>
          </rPr>
          <t>Ripps, Maria (Research):</t>
        </r>
        <r>
          <rPr>
            <sz val="9"/>
            <color indexed="81"/>
            <rFont val="Tahoma"/>
            <family val="2"/>
          </rPr>
          <t xml:space="preserve">
Underlying prior to restatement: Radio is -7%</t>
        </r>
      </text>
    </comment>
    <comment ref="CS129" authorId="7">
      <text>
        <r>
          <rPr>
            <b/>
            <sz val="9"/>
            <color indexed="81"/>
            <rFont val="Tahoma"/>
            <family val="2"/>
          </rPr>
          <t>Ripps, Maria (Research):</t>
        </r>
        <r>
          <rPr>
            <sz val="9"/>
            <color indexed="81"/>
            <rFont val="Tahoma"/>
            <family val="2"/>
          </rPr>
          <t xml:space="preserve">
Underlying prior to restatement: MSe down MSD</t>
        </r>
      </text>
    </comment>
    <comment ref="CU129" authorId="7">
      <text>
        <r>
          <rPr>
            <b/>
            <sz val="9"/>
            <color indexed="81"/>
            <rFont val="Tahoma"/>
            <family val="2"/>
          </rPr>
          <t>Ripps, Maria (Research):</t>
        </r>
        <r>
          <rPr>
            <sz val="9"/>
            <color indexed="81"/>
            <rFont val="Tahoma"/>
            <family val="2"/>
          </rPr>
          <t xml:space="preserve">
growth includes political</t>
        </r>
      </text>
    </comment>
    <comment ref="CV129" authorId="7">
      <text>
        <r>
          <rPr>
            <b/>
            <sz val="9"/>
            <color indexed="81"/>
            <rFont val="Tahoma"/>
            <family val="2"/>
          </rPr>
          <t>Ripps, Maria (Research):</t>
        </r>
        <r>
          <rPr>
            <sz val="9"/>
            <color indexed="81"/>
            <rFont val="Tahoma"/>
            <family val="2"/>
          </rPr>
          <t xml:space="preserve">
EC: Radio -1%</t>
        </r>
      </text>
    </comment>
    <comment ref="CM131" authorId="7">
      <text>
        <r>
          <rPr>
            <b/>
            <sz val="9"/>
            <color indexed="81"/>
            <rFont val="Tahoma"/>
            <family val="2"/>
          </rPr>
          <t>Ripps, Maria (Research):</t>
        </r>
        <r>
          <rPr>
            <sz val="9"/>
            <color indexed="81"/>
            <rFont val="Tahoma"/>
            <family val="2"/>
          </rPr>
          <t xml:space="preserve">
Includes around $70-75M in political, assume $10M in radio</t>
        </r>
      </text>
    </comment>
    <comment ref="CN131" authorId="7">
      <text>
        <r>
          <rPr>
            <b/>
            <sz val="9"/>
            <color indexed="81"/>
            <rFont val="Tahoma"/>
            <family val="2"/>
          </rPr>
          <t xml:space="preserve">Ripps, Maria (Research):
</t>
        </r>
        <r>
          <rPr>
            <sz val="9"/>
            <color indexed="81"/>
            <rFont val="Tahoma"/>
            <family val="2"/>
          </rPr>
          <t>Total 2014 political is $160-165M, with ~$90M in Q4/14; assume $12.5M in radio in Q4
Q4 call - $88m in total political; $8m in radio</t>
        </r>
      </text>
    </comment>
    <comment ref="DA131" authorId="7">
      <text>
        <r>
          <rPr>
            <b/>
            <sz val="9"/>
            <color indexed="81"/>
            <rFont val="Tahoma"/>
            <family val="2"/>
          </rPr>
          <t>Ripps, Maria (Research):</t>
        </r>
        <r>
          <rPr>
            <sz val="9"/>
            <color indexed="81"/>
            <rFont val="Tahoma"/>
            <family val="2"/>
          </rPr>
          <t xml:space="preserve">
Benefits from NCAA FF &amp; Championship game</t>
        </r>
      </text>
    </comment>
    <comment ref="BR132" authorId="3">
      <text>
        <r>
          <rPr>
            <b/>
            <sz val="8"/>
            <color indexed="81"/>
            <rFont val="Tahoma"/>
            <family val="2"/>
          </rPr>
          <t>krisbon:</t>
        </r>
        <r>
          <rPr>
            <sz val="8"/>
            <color indexed="81"/>
            <rFont val="Tahoma"/>
            <family val="2"/>
          </rPr>
          <t xml:space="preserve">
political contributed 4 points of growth per 10-Q</t>
        </r>
      </text>
    </comment>
    <comment ref="BV134" authorId="0">
      <text>
        <r>
          <rPr>
            <b/>
            <sz val="8"/>
            <color indexed="81"/>
            <rFont val="Tahoma"/>
            <family val="2"/>
          </rPr>
          <t>benswin:</t>
        </r>
        <r>
          <rPr>
            <sz val="8"/>
            <color indexed="81"/>
            <rFont val="Tahoma"/>
            <family val="2"/>
          </rPr>
          <t xml:space="preserve">
Easiest comp, NY transit contract not in 1Q10.</t>
        </r>
      </text>
    </comment>
    <comment ref="CK134" authorId="2">
      <text>
        <r>
          <rPr>
            <b/>
            <sz val="9"/>
            <color indexed="81"/>
            <rFont val="Tahoma"/>
            <family val="2"/>
          </rPr>
          <t>Khadilkar, Hersh S (Research):</t>
        </r>
        <r>
          <rPr>
            <sz val="9"/>
            <color indexed="81"/>
            <rFont val="Tahoma"/>
            <family val="2"/>
          </rPr>
          <t xml:space="preserve">
moved to discontinued operations</t>
        </r>
      </text>
    </comment>
    <comment ref="CL134" authorId="2">
      <text>
        <r>
          <rPr>
            <b/>
            <sz val="9"/>
            <color indexed="81"/>
            <rFont val="Tahoma"/>
            <family val="2"/>
          </rPr>
          <t>Khadilkar, Hersh S (Research):</t>
        </r>
        <r>
          <rPr>
            <sz val="9"/>
            <color indexed="81"/>
            <rFont val="Tahoma"/>
            <family val="2"/>
          </rPr>
          <t xml:space="preserve">
Split off Outdoor announced 6/11/2014 - moved to discontinued operations</t>
        </r>
      </text>
    </comment>
    <comment ref="CC135" authorId="4">
      <text>
        <r>
          <rPr>
            <b/>
            <sz val="8"/>
            <color indexed="81"/>
            <rFont val="Tahoma"/>
            <family val="2"/>
          </rPr>
          <t>fiftrya:</t>
        </r>
        <r>
          <rPr>
            <sz val="8"/>
            <color indexed="81"/>
            <rFont val="Tahoma"/>
            <family val="2"/>
          </rPr>
          <t xml:space="preserve">
Up 1%</t>
        </r>
      </text>
    </comment>
    <comment ref="CC138" authorId="4">
      <text>
        <r>
          <rPr>
            <b/>
            <sz val="8"/>
            <color indexed="81"/>
            <rFont val="Tahoma"/>
            <family val="2"/>
          </rPr>
          <t>fiftrya:</t>
        </r>
        <r>
          <rPr>
            <sz val="8"/>
            <color indexed="81"/>
            <rFont val="Tahoma"/>
            <family val="2"/>
          </rPr>
          <t xml:space="preserve">
up 14% in constant dollars</t>
        </r>
      </text>
    </comment>
    <comment ref="CD143" authorId="4">
      <text>
        <r>
          <rPr>
            <b/>
            <sz val="8"/>
            <color indexed="81"/>
            <rFont val="Tahoma"/>
            <family val="2"/>
          </rPr>
          <t>fiftrya:</t>
        </r>
        <r>
          <rPr>
            <sz val="8"/>
            <color indexed="81"/>
            <rFont val="Tahoma"/>
            <family val="2"/>
          </rPr>
          <t xml:space="preserve">
Pacing LSD</t>
        </r>
      </text>
    </comment>
    <comment ref="CG149" authorId="4">
      <text>
        <r>
          <rPr>
            <b/>
            <sz val="8"/>
            <color indexed="81"/>
            <rFont val="Tahoma"/>
            <family val="2"/>
          </rPr>
          <t>fiftrya:</t>
        </r>
        <r>
          <rPr>
            <sz val="8"/>
            <color indexed="81"/>
            <rFont val="Tahoma"/>
            <family val="2"/>
          </rPr>
          <t xml:space="preserve">
Assuming some incremental cost for Final Four shift</t>
        </r>
      </text>
    </comment>
    <comment ref="CK149" authorId="2">
      <text>
        <r>
          <rPr>
            <b/>
            <sz val="9"/>
            <color indexed="81"/>
            <rFont val="Tahoma"/>
            <family val="2"/>
          </rPr>
          <t>Khadilkar, Hersh S (Research):</t>
        </r>
        <r>
          <rPr>
            <sz val="9"/>
            <color indexed="81"/>
            <rFont val="Tahoma"/>
            <family val="2"/>
          </rPr>
          <t xml:space="preserve">
100% impact from March Madness on Local TV stations</t>
        </r>
      </text>
    </comment>
    <comment ref="K153" authorId="7">
      <text>
        <r>
          <rPr>
            <b/>
            <sz val="9"/>
            <color indexed="81"/>
            <rFont val="Tahoma"/>
            <family val="2"/>
          </rPr>
          <t>Ripps, Maria (Research):</t>
        </r>
        <r>
          <rPr>
            <sz val="9"/>
            <color indexed="81"/>
            <rFont val="Tahoma"/>
            <family val="2"/>
          </rPr>
          <t xml:space="preserve">
S-1: FY11 $416.6M adj. EBITDA
less: SBC
add: 9% of corp expenses to get to segment EBITDA </t>
        </r>
      </text>
    </comment>
    <comment ref="L153" authorId="7">
      <text>
        <r>
          <rPr>
            <b/>
            <sz val="9"/>
            <color indexed="81"/>
            <rFont val="Tahoma"/>
            <family val="2"/>
          </rPr>
          <t>Ripps, Maria (Research):</t>
        </r>
        <r>
          <rPr>
            <sz val="9"/>
            <color indexed="81"/>
            <rFont val="Tahoma"/>
            <family val="2"/>
          </rPr>
          <t xml:space="preserve">
S-1: FY12 $425.5M adj. EBITDA 
less: SBC
add: 9% of corp expenses to get to segment EBITDA </t>
        </r>
      </text>
    </comment>
    <comment ref="M153" authorId="7">
      <text>
        <r>
          <rPr>
            <b/>
            <sz val="9"/>
            <color indexed="81"/>
            <rFont val="Tahoma"/>
            <family val="2"/>
          </rPr>
          <t>Ripps, Maria (Research):</t>
        </r>
        <r>
          <rPr>
            <sz val="9"/>
            <color indexed="81"/>
            <rFont val="Tahoma"/>
            <family val="2"/>
          </rPr>
          <t xml:space="preserve">
S-1: FY13  $413.1M adj. EBITDA 
less: SBC
add: 9% of corp expenses to get to segment EBITDA </t>
        </r>
      </text>
    </comment>
    <comment ref="N153" authorId="7">
      <text>
        <r>
          <rPr>
            <b/>
            <sz val="9"/>
            <color indexed="81"/>
            <rFont val="Tahoma"/>
            <family val="2"/>
          </rPr>
          <t>Ripps, Maria (Research):</t>
        </r>
        <r>
          <rPr>
            <sz val="9"/>
            <color indexed="81"/>
            <rFont val="Tahoma"/>
            <family val="2"/>
          </rPr>
          <t xml:space="preserve">
S-1: FY14 $402.3M adj. EBITDA 
less: SBC
add: 9% of corp expenses to get to segment EBITDA  </t>
        </r>
      </text>
    </comment>
    <comment ref="Q153" authorId="7">
      <text>
        <r>
          <rPr>
            <b/>
            <sz val="9"/>
            <color indexed="81"/>
            <rFont val="Tahoma"/>
            <family val="2"/>
          </rPr>
          <t>Ripps, Maria (Research):</t>
        </r>
        <r>
          <rPr>
            <sz val="9"/>
            <color indexed="81"/>
            <rFont val="Tahoma"/>
            <family val="2"/>
          </rPr>
          <t xml:space="preserve">
S-1: FY15 $321.8M adj. EBITDA less: SBC
add: 9% of corp expenses to get to segment EBITDA </t>
        </r>
      </text>
    </comment>
    <comment ref="BY153" authorId="7">
      <text>
        <r>
          <rPr>
            <b/>
            <sz val="9"/>
            <color indexed="81"/>
            <rFont val="Tahoma"/>
            <family val="2"/>
          </rPr>
          <t>Ripps, Maria (Research):</t>
        </r>
        <r>
          <rPr>
            <sz val="9"/>
            <color indexed="81"/>
            <rFont val="Tahoma"/>
            <family val="2"/>
          </rPr>
          <t xml:space="preserve">
S-1: FY11 $416.6M adj. EBITDA 
less: SBC
add: 9% of corp expenses to get to segment EBITDA 
Quarters are estimated based on historicals </t>
        </r>
      </text>
    </comment>
    <comment ref="CD153" authorId="7">
      <text>
        <r>
          <rPr>
            <b/>
            <sz val="9"/>
            <color indexed="81"/>
            <rFont val="Tahoma"/>
            <family val="2"/>
          </rPr>
          <t>Ripps, Maria (Research):</t>
        </r>
        <r>
          <rPr>
            <sz val="9"/>
            <color indexed="81"/>
            <rFont val="Tahoma"/>
            <family val="2"/>
          </rPr>
          <t xml:space="preserve">
S-1: FY12 $425.5M adj. EBITDA 
less: SBC
add: 9% of corp expenses to get to segment EBITDA 
Quarters are estimated based on historicals </t>
        </r>
      </text>
    </comment>
    <comment ref="CI153" authorId="7">
      <text>
        <r>
          <rPr>
            <b/>
            <sz val="9"/>
            <color indexed="81"/>
            <rFont val="Tahoma"/>
            <family val="2"/>
          </rPr>
          <t>Ripps, Maria (Research):</t>
        </r>
        <r>
          <rPr>
            <sz val="9"/>
            <color indexed="81"/>
            <rFont val="Tahoma"/>
            <family val="2"/>
          </rPr>
          <t xml:space="preserve">
S-1: FY13 $413.1M adj. EBITDA 
less: SBC
add: 9% of corp expenses to get to segment EBITDA  
Quarters are estimated based on historicals</t>
        </r>
      </text>
    </comment>
    <comment ref="CN153" authorId="7">
      <text>
        <r>
          <rPr>
            <b/>
            <sz val="9"/>
            <color indexed="81"/>
            <rFont val="Tahoma"/>
            <family val="2"/>
          </rPr>
          <t>Ripps, Maria (Research):</t>
        </r>
        <r>
          <rPr>
            <sz val="9"/>
            <color indexed="81"/>
            <rFont val="Tahoma"/>
            <family val="2"/>
          </rPr>
          <t xml:space="preserve">
S-1: FY14 $402.3M adj. EBITDA
less: SBC
add: 9% of corp expenses to get to segment EBITDA 
Quarters are estimated based on historicals </t>
        </r>
      </text>
    </comment>
    <comment ref="CS153" authorId="7">
      <text>
        <r>
          <rPr>
            <b/>
            <sz val="9"/>
            <color indexed="81"/>
            <rFont val="Tahoma"/>
            <family val="2"/>
          </rPr>
          <t>Ripps, Maria (Research):</t>
        </r>
        <r>
          <rPr>
            <sz val="9"/>
            <color indexed="81"/>
            <rFont val="Tahoma"/>
            <family val="2"/>
          </rPr>
          <t xml:space="preserve">
S-1: FY15 $321.8M adj. EBITDA 
less: SBC
</t>
        </r>
      </text>
    </comment>
    <comment ref="BG157" authorId="3">
      <text>
        <r>
          <rPr>
            <b/>
            <sz val="8"/>
            <color indexed="81"/>
            <rFont val="Tahoma"/>
            <family val="2"/>
          </rPr>
          <t>krisbon:</t>
        </r>
        <r>
          <rPr>
            <sz val="8"/>
            <color indexed="81"/>
            <rFont val="Tahoma"/>
            <family val="2"/>
          </rPr>
          <t xml:space="preserve">
adding back $10m restructuring charge at radio and $34.9m charge at TV</t>
        </r>
      </text>
    </comment>
    <comment ref="BJ157" authorId="3">
      <text>
        <r>
          <rPr>
            <b/>
            <sz val="8"/>
            <color indexed="81"/>
            <rFont val="Tahoma"/>
            <family val="2"/>
          </rPr>
          <t>krisbon:</t>
        </r>
        <r>
          <rPr>
            <sz val="8"/>
            <color indexed="81"/>
            <rFont val="Tahoma"/>
            <family val="2"/>
          </rPr>
          <t xml:space="preserve">
adding back $25.4m TV restructuring charge</t>
        </r>
      </text>
    </comment>
    <comment ref="CI161" authorId="2">
      <text>
        <r>
          <rPr>
            <b/>
            <sz val="9"/>
            <color indexed="81"/>
            <rFont val="Tahoma"/>
            <family val="2"/>
          </rPr>
          <t>Khadilkar, Hersh S (Research):</t>
        </r>
        <r>
          <rPr>
            <sz val="9"/>
            <color indexed="81"/>
            <rFont val="Tahoma"/>
            <family val="2"/>
          </rPr>
          <t xml:space="preserve">
includes ~$20mm gain on transit sale to JC Decaux</t>
        </r>
      </text>
    </comment>
    <comment ref="CK161" authorId="2">
      <text>
        <r>
          <rPr>
            <b/>
            <sz val="9"/>
            <color indexed="81"/>
            <rFont val="Tahoma"/>
            <family val="2"/>
          </rPr>
          <t>Khadilkar, Hersh S (Research):</t>
        </r>
        <r>
          <rPr>
            <sz val="9"/>
            <color indexed="81"/>
            <rFont val="Tahoma"/>
            <family val="2"/>
          </rPr>
          <t xml:space="preserve">
moved to discontinued operations</t>
        </r>
      </text>
    </comment>
    <comment ref="CL161" authorId="2">
      <text>
        <r>
          <rPr>
            <b/>
            <sz val="9"/>
            <color indexed="81"/>
            <rFont val="Tahoma"/>
            <family val="2"/>
          </rPr>
          <t>Khadilkar, Hersh S (Research):</t>
        </r>
        <r>
          <rPr>
            <sz val="9"/>
            <color indexed="81"/>
            <rFont val="Tahoma"/>
            <family val="2"/>
          </rPr>
          <t xml:space="preserve">
Split off Outdoor announced 6/11/2014 - moved to discontinued operations</t>
        </r>
      </text>
    </comment>
    <comment ref="BV162" authorId="0">
      <text>
        <r>
          <rPr>
            <b/>
            <sz val="8"/>
            <color indexed="81"/>
            <rFont val="Tahoma"/>
            <family val="2"/>
          </rPr>
          <t>benswin:</t>
        </r>
        <r>
          <rPr>
            <sz val="8"/>
            <color indexed="81"/>
            <rFont val="Tahoma"/>
            <family val="2"/>
          </rPr>
          <t xml:space="preserve">
benefit yoy from DC contract</t>
        </r>
      </text>
    </comment>
    <comment ref="BX162" authorId="1">
      <text>
        <r>
          <rPr>
            <b/>
            <sz val="8"/>
            <color indexed="81"/>
            <rFont val="Tahoma"/>
            <family val="2"/>
          </rPr>
          <t>Micah Nance:</t>
        </r>
        <r>
          <rPr>
            <sz val="8"/>
            <color indexed="81"/>
            <rFont val="Tahoma"/>
            <family val="2"/>
          </rPr>
          <t xml:space="preserve">
begin to lap benefits of renegotiating MTA contract</t>
        </r>
      </text>
    </comment>
    <comment ref="BG165" authorId="3">
      <text>
        <r>
          <rPr>
            <b/>
            <sz val="8"/>
            <color indexed="81"/>
            <rFont val="Tahoma"/>
            <family val="2"/>
          </rPr>
          <t>krisbon:</t>
        </r>
        <r>
          <rPr>
            <sz val="8"/>
            <color indexed="81"/>
            <rFont val="Tahoma"/>
            <family val="2"/>
          </rPr>
          <t xml:space="preserve">
adding back $10m restructuring charge at radio and $34.9m charge at TV</t>
        </r>
      </text>
    </comment>
    <comment ref="BH165" authorId="3">
      <text>
        <r>
          <rPr>
            <b/>
            <sz val="8"/>
            <color indexed="81"/>
            <rFont val="Tahoma"/>
            <family val="2"/>
          </rPr>
          <t>krisbon:</t>
        </r>
        <r>
          <rPr>
            <sz val="8"/>
            <color indexed="81"/>
            <rFont val="Tahoma"/>
            <family val="2"/>
          </rPr>
          <t xml:space="preserve">
includes addback of $2.6m in restructuring charges at outdoor</t>
        </r>
      </text>
    </comment>
    <comment ref="BI165" authorId="3">
      <text>
        <r>
          <rPr>
            <b/>
            <sz val="8"/>
            <color indexed="81"/>
            <rFont val="Tahoma"/>
            <family val="2"/>
          </rPr>
          <t>krisbon:</t>
        </r>
        <r>
          <rPr>
            <sz val="8"/>
            <color indexed="81"/>
            <rFont val="Tahoma"/>
            <family val="2"/>
          </rPr>
          <t xml:space="preserve">
reported plus 4.7m restructuring charge at outdoor</t>
        </r>
      </text>
    </comment>
    <comment ref="BJ165" authorId="3">
      <text>
        <r>
          <rPr>
            <b/>
            <sz val="8"/>
            <color indexed="81"/>
            <rFont val="Tahoma"/>
            <family val="2"/>
          </rPr>
          <t>krisbon:</t>
        </r>
        <r>
          <rPr>
            <sz val="8"/>
            <color indexed="81"/>
            <rFont val="Tahoma"/>
            <family val="2"/>
          </rPr>
          <t xml:space="preserve">
adding back $25.4m TV restructuring charge and 43.7 radio restructuring charge</t>
        </r>
      </text>
    </comment>
    <comment ref="BM165" authorId="3">
      <text>
        <r>
          <rPr>
            <b/>
            <sz val="8"/>
            <color indexed="81"/>
            <rFont val="Tahoma"/>
            <family val="2"/>
          </rPr>
          <t>krisbon:</t>
        </r>
        <r>
          <rPr>
            <sz val="8"/>
            <color indexed="81"/>
            <rFont val="Tahoma"/>
            <family val="2"/>
          </rPr>
          <t xml:space="preserve">
adds back 2.5m restructuring charge at outdoor</t>
        </r>
      </text>
    </comment>
    <comment ref="BO165" authorId="3">
      <text>
        <r>
          <rPr>
            <b/>
            <sz val="8"/>
            <color indexed="81"/>
            <rFont val="Tahoma"/>
            <family val="2"/>
          </rPr>
          <t>krisbon:</t>
        </r>
        <r>
          <rPr>
            <sz val="8"/>
            <color indexed="81"/>
            <rFont val="Tahoma"/>
            <family val="2"/>
          </rPr>
          <t xml:space="preserve">
adding back 13.2m restructuring charge and adding estimate of spectrum sale gain</t>
        </r>
      </text>
    </comment>
    <comment ref="CP177" authorId="7">
      <text>
        <r>
          <rPr>
            <b/>
            <sz val="9"/>
            <color indexed="81"/>
            <rFont val="Tahoma"/>
            <family val="2"/>
          </rPr>
          <t>Ripps, Maria (Research):</t>
        </r>
        <r>
          <rPr>
            <sz val="9"/>
            <color indexed="81"/>
            <rFont val="Tahoma"/>
            <family val="2"/>
          </rPr>
          <t xml:space="preserve">
Restated, 8K, 10/14/16</t>
        </r>
      </text>
    </comment>
    <comment ref="CQ177" authorId="7">
      <text>
        <r>
          <rPr>
            <b/>
            <sz val="9"/>
            <color indexed="81"/>
            <rFont val="Tahoma"/>
            <family val="2"/>
          </rPr>
          <t>Ripps, Maria (Research):</t>
        </r>
        <r>
          <rPr>
            <sz val="9"/>
            <color indexed="81"/>
            <rFont val="Tahoma"/>
            <family val="2"/>
          </rPr>
          <t xml:space="preserve">
Restated, 8K, 10/14/16</t>
        </r>
      </text>
    </comment>
    <comment ref="CR177" authorId="7">
      <text>
        <r>
          <rPr>
            <b/>
            <sz val="9"/>
            <color indexed="81"/>
            <rFont val="Tahoma"/>
            <family val="2"/>
          </rPr>
          <t>Ripps, Maria (Research):</t>
        </r>
        <r>
          <rPr>
            <sz val="9"/>
            <color indexed="81"/>
            <rFont val="Tahoma"/>
            <family val="2"/>
          </rPr>
          <t xml:space="preserve">
Restated, 8K, 10/14/16</t>
        </r>
      </text>
    </comment>
    <comment ref="CS177" authorId="7">
      <text>
        <r>
          <rPr>
            <b/>
            <sz val="9"/>
            <color indexed="81"/>
            <rFont val="Tahoma"/>
            <family val="2"/>
          </rPr>
          <t>Ripps, Maria (Research):</t>
        </r>
        <r>
          <rPr>
            <sz val="9"/>
            <color indexed="81"/>
            <rFont val="Tahoma"/>
            <family val="2"/>
          </rPr>
          <t xml:space="preserve">
Restated, 8K, 10/14/16</t>
        </r>
      </text>
    </comment>
    <comment ref="CU177" authorId="7">
      <text>
        <r>
          <rPr>
            <b/>
            <sz val="9"/>
            <color indexed="81"/>
            <rFont val="Tahoma"/>
            <family val="2"/>
          </rPr>
          <t>Ripps, Maria (Research):</t>
        </r>
        <r>
          <rPr>
            <sz val="9"/>
            <color indexed="81"/>
            <rFont val="Tahoma"/>
            <family val="2"/>
          </rPr>
          <t xml:space="preserve">
Restated, 8K, 10/14/16</t>
        </r>
      </text>
    </comment>
    <comment ref="CV177" authorId="7">
      <text>
        <r>
          <rPr>
            <b/>
            <sz val="9"/>
            <color indexed="81"/>
            <rFont val="Tahoma"/>
            <family val="2"/>
          </rPr>
          <t>Ripps, Maria (Research):</t>
        </r>
        <r>
          <rPr>
            <sz val="9"/>
            <color indexed="81"/>
            <rFont val="Tahoma"/>
            <family val="2"/>
          </rPr>
          <t xml:space="preserve">
Restated, 8K, 10/14/16</t>
        </r>
      </text>
    </comment>
    <comment ref="R178" authorId="7">
      <text>
        <r>
          <rPr>
            <b/>
            <sz val="9"/>
            <color indexed="81"/>
            <rFont val="Tahoma"/>
            <family val="2"/>
          </rPr>
          <t>Ripps, Maria (Research):</t>
        </r>
        <r>
          <rPr>
            <sz val="9"/>
            <color indexed="81"/>
            <rFont val="Tahoma"/>
            <family val="2"/>
          </rPr>
          <t xml:space="preserve">
Q1-Q3 reported
Backed into Q4 to match FY16 radio opex</t>
        </r>
      </text>
    </comment>
    <comment ref="CP178" authorId="7">
      <text>
        <r>
          <rPr>
            <b/>
            <sz val="9"/>
            <color indexed="81"/>
            <rFont val="Tahoma"/>
            <family val="2"/>
          </rPr>
          <t>Ripps, Maria (Research):</t>
        </r>
        <r>
          <rPr>
            <sz val="9"/>
            <color indexed="81"/>
            <rFont val="Tahoma"/>
            <family val="2"/>
          </rPr>
          <t xml:space="preserve">
Restated, 8K, 10/14/16</t>
        </r>
      </text>
    </comment>
    <comment ref="CQ178" authorId="7">
      <text>
        <r>
          <rPr>
            <b/>
            <sz val="9"/>
            <color indexed="81"/>
            <rFont val="Tahoma"/>
            <family val="2"/>
          </rPr>
          <t>Ripps, Maria (Research):</t>
        </r>
        <r>
          <rPr>
            <sz val="9"/>
            <color indexed="81"/>
            <rFont val="Tahoma"/>
            <family val="2"/>
          </rPr>
          <t xml:space="preserve">
Restated, 8K, 10/14/16</t>
        </r>
      </text>
    </comment>
    <comment ref="CR178" authorId="7">
      <text>
        <r>
          <rPr>
            <b/>
            <sz val="9"/>
            <color indexed="81"/>
            <rFont val="Tahoma"/>
            <family val="2"/>
          </rPr>
          <t>Ripps, Maria (Research):</t>
        </r>
        <r>
          <rPr>
            <sz val="9"/>
            <color indexed="81"/>
            <rFont val="Tahoma"/>
            <family val="2"/>
          </rPr>
          <t xml:space="preserve">
Restated, 8K, 10/14/16</t>
        </r>
      </text>
    </comment>
    <comment ref="CS178" authorId="7">
      <text>
        <r>
          <rPr>
            <b/>
            <sz val="9"/>
            <color indexed="81"/>
            <rFont val="Tahoma"/>
            <family val="2"/>
          </rPr>
          <t>Ripps, Maria (Research):</t>
        </r>
        <r>
          <rPr>
            <sz val="9"/>
            <color indexed="81"/>
            <rFont val="Tahoma"/>
            <family val="2"/>
          </rPr>
          <t xml:space="preserve">
Restated, 8K, 10/14/16</t>
        </r>
      </text>
    </comment>
    <comment ref="BO179" authorId="3">
      <text>
        <r>
          <rPr>
            <b/>
            <sz val="8"/>
            <color indexed="81"/>
            <rFont val="Tahoma"/>
            <family val="2"/>
          </rPr>
          <t>krisbon:</t>
        </r>
        <r>
          <rPr>
            <sz val="8"/>
            <color indexed="81"/>
            <rFont val="Tahoma"/>
            <family val="2"/>
          </rPr>
          <t xml:space="preserve">
reduced for estimated spectrum sale gain</t>
        </r>
      </text>
    </comment>
    <comment ref="BO180" authorId="3">
      <text>
        <r>
          <rPr>
            <b/>
            <sz val="8"/>
            <color indexed="81"/>
            <rFont val="Tahoma"/>
            <family val="2"/>
          </rPr>
          <t>krisbon:</t>
        </r>
        <r>
          <rPr>
            <sz val="8"/>
            <color indexed="81"/>
            <rFont val="Tahoma"/>
            <family val="2"/>
          </rPr>
          <t xml:space="preserve">
includes $13.2m restructuring charge addback</t>
        </r>
      </text>
    </comment>
    <comment ref="O190" authorId="2">
      <text>
        <r>
          <rPr>
            <b/>
            <sz val="9"/>
            <color indexed="81"/>
            <rFont val="Tahoma"/>
            <family val="2"/>
          </rPr>
          <t>Khadilkar, Hersh S (Research):</t>
        </r>
        <r>
          <rPr>
            <sz val="9"/>
            <color indexed="81"/>
            <rFont val="Tahoma"/>
            <family val="2"/>
          </rPr>
          <t xml:space="preserve">
CBS PF 8-K</t>
        </r>
      </text>
    </comment>
    <comment ref="T190" authorId="7">
      <text>
        <r>
          <rPr>
            <b/>
            <sz val="9"/>
            <color indexed="81"/>
            <rFont val="Tahoma"/>
            <family val="2"/>
          </rPr>
          <t>Ripps, Maria (Research):</t>
        </r>
        <r>
          <rPr>
            <sz val="9"/>
            <color indexed="81"/>
            <rFont val="Tahoma"/>
            <family val="2"/>
          </rPr>
          <t xml:space="preserve">
adjusted for new disclosures</t>
        </r>
      </text>
    </comment>
    <comment ref="CP190" authorId="7">
      <text>
        <r>
          <rPr>
            <b/>
            <sz val="9"/>
            <color indexed="81"/>
            <rFont val="Tahoma"/>
            <family val="2"/>
          </rPr>
          <t>Ripps, Maria (Research):</t>
        </r>
        <r>
          <rPr>
            <sz val="9"/>
            <color indexed="81"/>
            <rFont val="Tahoma"/>
            <family val="2"/>
          </rPr>
          <t xml:space="preserve">
Restated, 8K, 10/14/16</t>
        </r>
      </text>
    </comment>
    <comment ref="CQ190" authorId="7">
      <text>
        <r>
          <rPr>
            <b/>
            <sz val="9"/>
            <color indexed="81"/>
            <rFont val="Tahoma"/>
            <family val="2"/>
          </rPr>
          <t>Ripps, Maria (Research):</t>
        </r>
        <r>
          <rPr>
            <sz val="9"/>
            <color indexed="81"/>
            <rFont val="Tahoma"/>
            <family val="2"/>
          </rPr>
          <t xml:space="preserve">
Restated, 8K, 10/14/16</t>
        </r>
      </text>
    </comment>
    <comment ref="CR190" authorId="7">
      <text>
        <r>
          <rPr>
            <b/>
            <sz val="9"/>
            <color indexed="81"/>
            <rFont val="Tahoma"/>
            <family val="2"/>
          </rPr>
          <t>Ripps, Maria (Research):</t>
        </r>
        <r>
          <rPr>
            <sz val="9"/>
            <color indexed="81"/>
            <rFont val="Tahoma"/>
            <family val="2"/>
          </rPr>
          <t xml:space="preserve">
Restated, 8K, 10/14/16</t>
        </r>
      </text>
    </comment>
    <comment ref="CS190" authorId="7">
      <text>
        <r>
          <rPr>
            <b/>
            <sz val="9"/>
            <color indexed="81"/>
            <rFont val="Tahoma"/>
            <family val="2"/>
          </rPr>
          <t>Ripps, Maria (Research):</t>
        </r>
        <r>
          <rPr>
            <sz val="9"/>
            <color indexed="81"/>
            <rFont val="Tahoma"/>
            <family val="2"/>
          </rPr>
          <t xml:space="preserve">
Restated, 8K, 10/14/16</t>
        </r>
      </text>
    </comment>
    <comment ref="CU190" authorId="7">
      <text>
        <r>
          <rPr>
            <b/>
            <sz val="9"/>
            <color indexed="81"/>
            <rFont val="Tahoma"/>
            <family val="2"/>
          </rPr>
          <t>Ripps, Maria (Research):</t>
        </r>
        <r>
          <rPr>
            <sz val="9"/>
            <color indexed="81"/>
            <rFont val="Tahoma"/>
            <family val="2"/>
          </rPr>
          <t xml:space="preserve">
Restated, 8K, 10/14/16
Restated again after radio moved to disc ops, 4Q16</t>
        </r>
      </text>
    </comment>
    <comment ref="CV190" authorId="7">
      <text>
        <r>
          <rPr>
            <b/>
            <sz val="9"/>
            <color indexed="81"/>
            <rFont val="Tahoma"/>
            <family val="2"/>
          </rPr>
          <t>Ripps, Maria (Research):</t>
        </r>
        <r>
          <rPr>
            <sz val="9"/>
            <color indexed="81"/>
            <rFont val="Tahoma"/>
            <family val="2"/>
          </rPr>
          <t xml:space="preserve">
Restated, 8K, 10/14/16
Restated again after radio moved to disc ops, 4Q16</t>
        </r>
      </text>
    </comment>
    <comment ref="CW190" authorId="7">
      <text>
        <r>
          <rPr>
            <b/>
            <sz val="9"/>
            <color indexed="81"/>
            <rFont val="Tahoma"/>
            <family val="2"/>
          </rPr>
          <t>Ripps, Maria (Research):</t>
        </r>
        <r>
          <rPr>
            <sz val="9"/>
            <color indexed="81"/>
            <rFont val="Tahoma"/>
            <family val="2"/>
          </rPr>
          <t xml:space="preserve">
Restated after radio moved to disc ops, 4Q16</t>
        </r>
      </text>
    </comment>
    <comment ref="O195" authorId="2">
      <text>
        <r>
          <rPr>
            <b/>
            <sz val="9"/>
            <color indexed="81"/>
            <rFont val="Tahoma"/>
            <family val="2"/>
          </rPr>
          <t>Khadilkar, Hersh S (Research):</t>
        </r>
        <r>
          <rPr>
            <sz val="9"/>
            <color indexed="81"/>
            <rFont val="Tahoma"/>
            <family val="2"/>
          </rPr>
          <t xml:space="preserve">
CBS PF 8-K</t>
        </r>
      </text>
    </comment>
    <comment ref="Q195" authorId="2">
      <text>
        <r>
          <rPr>
            <b/>
            <sz val="9"/>
            <color indexed="81"/>
            <rFont val="Tahoma"/>
            <family val="2"/>
          </rPr>
          <t>Khadilkar, Hersh S (Research):</t>
        </r>
        <r>
          <rPr>
            <sz val="9"/>
            <color indexed="81"/>
            <rFont val="Tahoma"/>
            <family val="2"/>
          </rPr>
          <t xml:space="preserve">
backs out REIT related expenses from 2014</t>
        </r>
      </text>
    </comment>
    <comment ref="CH195" authorId="6">
      <text>
        <r>
          <rPr>
            <b/>
            <sz val="8"/>
            <color indexed="81"/>
            <rFont val="Tahoma"/>
            <family val="2"/>
          </rPr>
          <t>hershk:</t>
        </r>
        <r>
          <rPr>
            <sz val="8"/>
            <color indexed="81"/>
            <rFont val="Tahoma"/>
            <family val="2"/>
          </rPr>
          <t xml:space="preserve">
mark to market stock comp expense and REIT costs of $15-20mm</t>
        </r>
      </text>
    </comment>
    <comment ref="CI195" authorId="2">
      <text>
        <r>
          <rPr>
            <b/>
            <sz val="9"/>
            <color indexed="81"/>
            <rFont val="Tahoma"/>
            <family val="2"/>
          </rPr>
          <t>Khadilkar, Hersh S (Research):</t>
        </r>
        <r>
          <rPr>
            <sz val="9"/>
            <color indexed="81"/>
            <rFont val="Tahoma"/>
            <family val="2"/>
          </rPr>
          <t xml:space="preserve">
accrual of Sumner stock comp, REIT / Outdoor spin related expenses</t>
        </r>
      </text>
    </comment>
    <comment ref="CP195" authorId="2">
      <text>
        <r>
          <rPr>
            <b/>
            <sz val="9"/>
            <color indexed="81"/>
            <rFont val="Tahoma"/>
            <family val="2"/>
          </rPr>
          <t>Khadilkar, Hersh S (Research):</t>
        </r>
        <r>
          <rPr>
            <sz val="9"/>
            <color indexed="81"/>
            <rFont val="Tahoma"/>
            <family val="2"/>
          </rPr>
          <t xml:space="preserve">
backs out REIT related expenses from 2014; 
per mgt</t>
        </r>
      </text>
    </comment>
    <comment ref="CQ195" authorId="2">
      <text>
        <r>
          <rPr>
            <b/>
            <sz val="9"/>
            <color indexed="81"/>
            <rFont val="Tahoma"/>
            <family val="2"/>
          </rPr>
          <t>Khadilkar, Hersh S (Research):</t>
        </r>
        <r>
          <rPr>
            <sz val="9"/>
            <color indexed="81"/>
            <rFont val="Tahoma"/>
            <family val="2"/>
          </rPr>
          <t xml:space="preserve">
backs out REIT related expenses from 2014</t>
        </r>
      </text>
    </comment>
    <comment ref="CR195" authorId="2">
      <text>
        <r>
          <rPr>
            <b/>
            <sz val="9"/>
            <color indexed="81"/>
            <rFont val="Tahoma"/>
            <family val="2"/>
          </rPr>
          <t>Khadilkar, Hersh S (Research):</t>
        </r>
        <r>
          <rPr>
            <sz val="9"/>
            <color indexed="81"/>
            <rFont val="Tahoma"/>
            <family val="2"/>
          </rPr>
          <t xml:space="preserve">
backs out REIT related expenses from 2014</t>
        </r>
      </text>
    </comment>
    <comment ref="CS195" authorId="2">
      <text>
        <r>
          <rPr>
            <b/>
            <sz val="9"/>
            <color indexed="81"/>
            <rFont val="Tahoma"/>
            <family val="2"/>
          </rPr>
          <t>Khadilkar, Hersh S (Research):</t>
        </r>
        <r>
          <rPr>
            <sz val="9"/>
            <color indexed="81"/>
            <rFont val="Tahoma"/>
            <family val="2"/>
          </rPr>
          <t xml:space="preserve">
backs out REIT related expenses from 2014</t>
        </r>
      </text>
    </comment>
    <comment ref="L196" authorId="1">
      <text>
        <r>
          <rPr>
            <b/>
            <sz val="8"/>
            <color indexed="81"/>
            <rFont val="Tahoma"/>
            <family val="2"/>
          </rPr>
          <t>Micah Nance:</t>
        </r>
        <r>
          <rPr>
            <sz val="8"/>
            <color indexed="81"/>
            <rFont val="Tahoma"/>
            <family val="2"/>
          </rPr>
          <t xml:space="preserve">
2Q11 pension contribution helps residual costs</t>
        </r>
      </text>
    </comment>
    <comment ref="BN196" authorId="3">
      <text>
        <r>
          <rPr>
            <b/>
            <sz val="8"/>
            <color indexed="81"/>
            <rFont val="Tahoma"/>
            <family val="2"/>
          </rPr>
          <t>krisbon:</t>
        </r>
        <r>
          <rPr>
            <sz val="8"/>
            <color indexed="81"/>
            <rFont val="Tahoma"/>
            <family val="2"/>
          </rPr>
          <t xml:space="preserve">
reported -7.9 adjusted for 28m settlement benefit</t>
        </r>
      </text>
    </comment>
    <comment ref="CP208" authorId="7">
      <text>
        <r>
          <rPr>
            <b/>
            <sz val="9"/>
            <color indexed="81"/>
            <rFont val="Tahoma"/>
            <family val="2"/>
          </rPr>
          <t>Ripps, Maria (Research):</t>
        </r>
        <r>
          <rPr>
            <sz val="9"/>
            <color indexed="81"/>
            <rFont val="Tahoma"/>
            <family val="2"/>
          </rPr>
          <t xml:space="preserve">
Restated, 8K, 10/14/16</t>
        </r>
      </text>
    </comment>
    <comment ref="CQ208" authorId="7">
      <text>
        <r>
          <rPr>
            <b/>
            <sz val="9"/>
            <color indexed="81"/>
            <rFont val="Tahoma"/>
            <family val="2"/>
          </rPr>
          <t>Ripps, Maria (Research):</t>
        </r>
        <r>
          <rPr>
            <sz val="9"/>
            <color indexed="81"/>
            <rFont val="Tahoma"/>
            <family val="2"/>
          </rPr>
          <t xml:space="preserve">
Restated, 8K, 10/14/16</t>
        </r>
      </text>
    </comment>
    <comment ref="CR208" authorId="7">
      <text>
        <r>
          <rPr>
            <b/>
            <sz val="9"/>
            <color indexed="81"/>
            <rFont val="Tahoma"/>
            <family val="2"/>
          </rPr>
          <t>Ripps, Maria (Research):</t>
        </r>
        <r>
          <rPr>
            <sz val="9"/>
            <color indexed="81"/>
            <rFont val="Tahoma"/>
            <family val="2"/>
          </rPr>
          <t xml:space="preserve">
Restated, 8K, 10/14/16</t>
        </r>
      </text>
    </comment>
    <comment ref="CS208" authorId="7">
      <text>
        <r>
          <rPr>
            <b/>
            <sz val="9"/>
            <color indexed="81"/>
            <rFont val="Tahoma"/>
            <family val="2"/>
          </rPr>
          <t>Ripps, Maria (Research):</t>
        </r>
        <r>
          <rPr>
            <sz val="9"/>
            <color indexed="81"/>
            <rFont val="Tahoma"/>
            <family val="2"/>
          </rPr>
          <t xml:space="preserve">
Restated, 8K, 10/14/16</t>
        </r>
      </text>
    </comment>
    <comment ref="CU208" authorId="7">
      <text>
        <r>
          <rPr>
            <b/>
            <sz val="9"/>
            <color indexed="81"/>
            <rFont val="Tahoma"/>
            <family val="2"/>
          </rPr>
          <t>Ripps, Maria (Research):</t>
        </r>
        <r>
          <rPr>
            <sz val="9"/>
            <color indexed="81"/>
            <rFont val="Tahoma"/>
            <family val="2"/>
          </rPr>
          <t xml:space="preserve">
Restated, 8K, 10/14/16</t>
        </r>
      </text>
    </comment>
    <comment ref="CV208" authorId="7">
      <text>
        <r>
          <rPr>
            <b/>
            <sz val="9"/>
            <color indexed="81"/>
            <rFont val="Tahoma"/>
            <family val="2"/>
          </rPr>
          <t>Ripps, Maria (Research):</t>
        </r>
        <r>
          <rPr>
            <sz val="9"/>
            <color indexed="81"/>
            <rFont val="Tahoma"/>
            <family val="2"/>
          </rPr>
          <t xml:space="preserve">
Restated, 8K, 10/14/16</t>
        </r>
      </text>
    </comment>
    <comment ref="Q220" authorId="7">
      <text>
        <r>
          <rPr>
            <b/>
            <sz val="9"/>
            <color indexed="81"/>
            <rFont val="Tahoma"/>
            <family val="2"/>
          </rPr>
          <t>Ripps, Maria (Research):</t>
        </r>
        <r>
          <rPr>
            <sz val="9"/>
            <color indexed="81"/>
            <rFont val="Tahoma"/>
            <family val="2"/>
          </rPr>
          <t xml:space="preserve">
Includes 1) NW retrans, 2) gross stations retrans</t>
        </r>
      </text>
    </comment>
    <comment ref="R220" authorId="7">
      <text>
        <r>
          <rPr>
            <b/>
            <sz val="9"/>
            <color indexed="81"/>
            <rFont val="Tahoma"/>
            <family val="2"/>
          </rPr>
          <t>Ripps, Maria (Research):</t>
        </r>
        <r>
          <rPr>
            <sz val="9"/>
            <color indexed="81"/>
            <rFont val="Tahoma"/>
            <family val="2"/>
          </rPr>
          <t xml:space="preserve">
Includes 1) NW retrans, 2) gross stations retrans</t>
        </r>
      </text>
    </comment>
    <comment ref="T220" authorId="7">
      <text>
        <r>
          <rPr>
            <b/>
            <sz val="9"/>
            <color indexed="81"/>
            <rFont val="Tahoma"/>
            <family val="2"/>
          </rPr>
          <t>Ripps, Maria (Research):</t>
        </r>
        <r>
          <rPr>
            <sz val="9"/>
            <color indexed="81"/>
            <rFont val="Tahoma"/>
            <family val="2"/>
          </rPr>
          <t xml:space="preserve">
Includes 1) NW retrans, 2) gross stations retrans </t>
        </r>
      </text>
    </comment>
    <comment ref="CP220" authorId="7">
      <text>
        <r>
          <rPr>
            <b/>
            <sz val="9"/>
            <color indexed="81"/>
            <rFont val="Tahoma"/>
            <family val="2"/>
          </rPr>
          <t>Ripps, Maria (Research):</t>
        </r>
        <r>
          <rPr>
            <sz val="9"/>
            <color indexed="81"/>
            <rFont val="Tahoma"/>
            <family val="2"/>
          </rPr>
          <t xml:space="preserve">
Includes 1) NW retrans, 2) gross stations retrans </t>
        </r>
      </text>
    </comment>
    <comment ref="CQ220" authorId="7">
      <text>
        <r>
          <rPr>
            <b/>
            <sz val="9"/>
            <color indexed="81"/>
            <rFont val="Tahoma"/>
            <family val="2"/>
          </rPr>
          <t>Ripps, Maria (Research):</t>
        </r>
        <r>
          <rPr>
            <sz val="9"/>
            <color indexed="81"/>
            <rFont val="Tahoma"/>
            <family val="2"/>
          </rPr>
          <t xml:space="preserve">
Includes 1) NW retrans, 2) gross stations retrans </t>
        </r>
      </text>
    </comment>
    <comment ref="CR220" authorId="7">
      <text>
        <r>
          <rPr>
            <b/>
            <sz val="9"/>
            <color indexed="81"/>
            <rFont val="Tahoma"/>
            <family val="2"/>
          </rPr>
          <t>Ripps, Maria (Research):</t>
        </r>
        <r>
          <rPr>
            <sz val="9"/>
            <color indexed="81"/>
            <rFont val="Tahoma"/>
            <family val="2"/>
          </rPr>
          <t xml:space="preserve">
Includes 1) NW retrans, 2) gross stations retrans </t>
        </r>
      </text>
    </comment>
    <comment ref="CS220" authorId="7">
      <text>
        <r>
          <rPr>
            <b/>
            <sz val="9"/>
            <color indexed="81"/>
            <rFont val="Tahoma"/>
            <family val="2"/>
          </rPr>
          <t>Ripps, Maria (Research):</t>
        </r>
        <r>
          <rPr>
            <sz val="9"/>
            <color indexed="81"/>
            <rFont val="Tahoma"/>
            <family val="2"/>
          </rPr>
          <t xml:space="preserve">
Includes 1) NW retrans, 2) gross stations retrans </t>
        </r>
      </text>
    </comment>
    <comment ref="CU220" authorId="7">
      <text>
        <r>
          <rPr>
            <b/>
            <sz val="9"/>
            <color indexed="81"/>
            <rFont val="Tahoma"/>
            <family val="2"/>
          </rPr>
          <t>Ripps, Maria (Research):</t>
        </r>
        <r>
          <rPr>
            <sz val="9"/>
            <color indexed="81"/>
            <rFont val="Tahoma"/>
            <family val="2"/>
          </rPr>
          <t xml:space="preserve">
Includes 1) NW retrans, 2) gross stations retrans </t>
        </r>
      </text>
    </comment>
    <comment ref="CV220" authorId="7">
      <text>
        <r>
          <rPr>
            <b/>
            <sz val="9"/>
            <color indexed="81"/>
            <rFont val="Tahoma"/>
            <family val="2"/>
          </rPr>
          <t>Ripps, Maria (Research):</t>
        </r>
        <r>
          <rPr>
            <sz val="9"/>
            <color indexed="81"/>
            <rFont val="Tahoma"/>
            <family val="2"/>
          </rPr>
          <t xml:space="preserve">
Includes 1) NW retrans, 2) gross stations retrans </t>
        </r>
      </text>
    </comment>
    <comment ref="CW220" authorId="7">
      <text>
        <r>
          <rPr>
            <b/>
            <sz val="9"/>
            <color indexed="81"/>
            <rFont val="Tahoma"/>
            <family val="2"/>
          </rPr>
          <t>Ripps, Maria (Research):</t>
        </r>
        <r>
          <rPr>
            <sz val="9"/>
            <color indexed="81"/>
            <rFont val="Tahoma"/>
            <family val="2"/>
          </rPr>
          <t xml:space="preserve">
Includes 1) NW retrans, 2) gross stations retrans </t>
        </r>
      </text>
    </comment>
    <comment ref="CX220" authorId="7">
      <text>
        <r>
          <rPr>
            <b/>
            <sz val="9"/>
            <color indexed="81"/>
            <rFont val="Tahoma"/>
            <family val="2"/>
          </rPr>
          <t>Ripps, Maria (Research):</t>
        </r>
        <r>
          <rPr>
            <sz val="9"/>
            <color indexed="81"/>
            <rFont val="Tahoma"/>
            <family val="2"/>
          </rPr>
          <t xml:space="preserve">
Includes 1) NW retrans, 2) gross stations retrans </t>
        </r>
      </text>
    </comment>
    <comment ref="CP226" authorId="7">
      <text>
        <r>
          <rPr>
            <b/>
            <sz val="9"/>
            <color indexed="81"/>
            <rFont val="Tahoma"/>
            <family val="2"/>
          </rPr>
          <t>Ripps, Maria (Research):</t>
        </r>
        <r>
          <rPr>
            <sz val="9"/>
            <color indexed="81"/>
            <rFont val="Tahoma"/>
            <family val="2"/>
          </rPr>
          <t xml:space="preserve">
Includes retrans elims starting Q1'15</t>
        </r>
      </text>
    </comment>
    <comment ref="CU227" authorId="7">
      <text>
        <r>
          <rPr>
            <b/>
            <sz val="9"/>
            <color indexed="81"/>
            <rFont val="Tahoma"/>
            <family val="2"/>
          </rPr>
          <t>Ripps, Maria (Research):</t>
        </r>
        <r>
          <rPr>
            <sz val="9"/>
            <color indexed="81"/>
            <rFont val="Tahoma"/>
            <family val="2"/>
          </rPr>
          <t xml:space="preserve">
adjusted to exclude Radio</t>
        </r>
      </text>
    </comment>
    <comment ref="CV227" authorId="7">
      <text>
        <r>
          <rPr>
            <b/>
            <sz val="9"/>
            <color indexed="81"/>
            <rFont val="Tahoma"/>
            <family val="2"/>
          </rPr>
          <t>Ripps, Maria (Research):</t>
        </r>
        <r>
          <rPr>
            <sz val="9"/>
            <color indexed="81"/>
            <rFont val="Tahoma"/>
            <family val="2"/>
          </rPr>
          <t xml:space="preserve">
adjusted to exclude Radio</t>
        </r>
      </text>
    </comment>
    <comment ref="CW227" authorId="7">
      <text>
        <r>
          <rPr>
            <b/>
            <sz val="9"/>
            <color indexed="81"/>
            <rFont val="Tahoma"/>
            <family val="2"/>
          </rPr>
          <t>Ripps, Maria (Research):</t>
        </r>
        <r>
          <rPr>
            <sz val="9"/>
            <color indexed="81"/>
            <rFont val="Tahoma"/>
            <family val="2"/>
          </rPr>
          <t xml:space="preserve">
adjusted to exclude Radio</t>
        </r>
      </text>
    </comment>
    <comment ref="BR234" authorId="3">
      <text>
        <r>
          <rPr>
            <b/>
            <sz val="8"/>
            <color indexed="81"/>
            <rFont val="Tahoma"/>
            <family val="2"/>
          </rPr>
          <t>krisbon:</t>
        </r>
        <r>
          <rPr>
            <sz val="8"/>
            <color indexed="81"/>
            <rFont val="Tahoma"/>
            <family val="2"/>
          </rPr>
          <t xml:space="preserve">
significant increase in HV in the quarter.  Dexter, The Tudors</t>
        </r>
      </text>
    </comment>
    <comment ref="CG234" authorId="7">
      <text>
        <r>
          <rPr>
            <b/>
            <sz val="9"/>
            <color indexed="81"/>
            <rFont val="Tahoma"/>
            <family val="2"/>
          </rPr>
          <t>Ripps, Maria (Research):</t>
        </r>
        <r>
          <rPr>
            <sz val="9"/>
            <color indexed="81"/>
            <rFont val="Tahoma"/>
            <family val="2"/>
          </rPr>
          <t xml:space="preserve">
includes ~$27mm of revs from Mayweather PPV fight</t>
        </r>
      </text>
    </comment>
    <comment ref="CH234" authorId="7">
      <text>
        <r>
          <rPr>
            <b/>
            <sz val="9"/>
            <color indexed="81"/>
            <rFont val="Tahoma"/>
            <family val="2"/>
          </rPr>
          <t>Ripps, Maria (Research):</t>
        </r>
        <r>
          <rPr>
            <sz val="9"/>
            <color indexed="81"/>
            <rFont val="Tahoma"/>
            <family val="2"/>
          </rPr>
          <t xml:space="preserve">
includes ~$27mm of revs from Mayweather PPV fight</t>
        </r>
      </text>
    </comment>
    <comment ref="CL234" authorId="7">
      <text>
        <r>
          <rPr>
            <b/>
            <sz val="9"/>
            <color indexed="81"/>
            <rFont val="Tahoma"/>
            <family val="2"/>
          </rPr>
          <t>Ripps, Maria (Research):</t>
        </r>
        <r>
          <rPr>
            <sz val="9"/>
            <color indexed="81"/>
            <rFont val="Tahoma"/>
            <family val="2"/>
          </rPr>
          <t xml:space="preserve">
PPV fight</t>
        </r>
      </text>
    </comment>
    <comment ref="CM234" authorId="7">
      <text>
        <r>
          <rPr>
            <b/>
            <sz val="9"/>
            <color indexed="81"/>
            <rFont val="Tahoma"/>
            <family val="2"/>
          </rPr>
          <t>Ripps, Maria (Research):</t>
        </r>
        <r>
          <rPr>
            <sz val="9"/>
            <color indexed="81"/>
            <rFont val="Tahoma"/>
            <family val="2"/>
          </rPr>
          <t xml:space="preserve">
PPV fight</t>
        </r>
      </text>
    </comment>
    <comment ref="CV234" authorId="7">
      <text>
        <r>
          <rPr>
            <b/>
            <sz val="9"/>
            <color indexed="81"/>
            <rFont val="Tahoma"/>
            <family val="2"/>
          </rPr>
          <t>Ripps, Maria (Research):</t>
        </r>
        <r>
          <rPr>
            <sz val="9"/>
            <color indexed="81"/>
            <rFont val="Tahoma"/>
            <family val="2"/>
          </rPr>
          <t xml:space="preserve">
NFLX deal - lower %</t>
        </r>
      </text>
    </comment>
    <comment ref="DB234" authorId="7">
      <text>
        <r>
          <rPr>
            <b/>
            <sz val="9"/>
            <color indexed="81"/>
            <rFont val="Tahoma"/>
            <family val="2"/>
          </rPr>
          <t>Ripps, Maria (Research):</t>
        </r>
        <r>
          <rPr>
            <sz val="9"/>
            <color indexed="81"/>
            <rFont val="Tahoma"/>
            <family val="2"/>
          </rPr>
          <t xml:space="preserve">
Lower on PPV revs</t>
        </r>
      </text>
    </comment>
    <comment ref="CG240" authorId="6">
      <text>
        <r>
          <rPr>
            <b/>
            <sz val="8"/>
            <color indexed="81"/>
            <rFont val="Tahoma"/>
            <family val="2"/>
          </rPr>
          <t>hershk:</t>
        </r>
        <r>
          <rPr>
            <sz val="8"/>
            <color indexed="81"/>
            <rFont val="Tahoma"/>
            <family val="2"/>
          </rPr>
          <t xml:space="preserve">
excludes ~$27mm of revs from Mayweather PPV fight</t>
        </r>
      </text>
    </comment>
    <comment ref="CH240" authorId="6">
      <text>
        <r>
          <rPr>
            <b/>
            <sz val="8"/>
            <color indexed="81"/>
            <rFont val="Tahoma"/>
            <family val="2"/>
          </rPr>
          <t>hershk:</t>
        </r>
        <r>
          <rPr>
            <sz val="8"/>
            <color indexed="81"/>
            <rFont val="Tahoma"/>
            <family val="2"/>
          </rPr>
          <t xml:space="preserve">
excludes ~$27mm of revs from PPV fight</t>
        </r>
      </text>
    </comment>
    <comment ref="CK240" authorId="2">
      <text>
        <r>
          <rPr>
            <b/>
            <sz val="9"/>
            <color indexed="81"/>
            <rFont val="Tahoma"/>
            <family val="2"/>
          </rPr>
          <t>Khadilkar, Hersh S (Research):</t>
        </r>
        <r>
          <rPr>
            <sz val="9"/>
            <color indexed="81"/>
            <rFont val="Tahoma"/>
            <family val="2"/>
          </rPr>
          <t xml:space="preserve">
excludes Dexter syndication</t>
        </r>
      </text>
    </comment>
    <comment ref="CL240" authorId="2">
      <text>
        <r>
          <rPr>
            <b/>
            <sz val="9"/>
            <color indexed="81"/>
            <rFont val="Tahoma"/>
            <family val="2"/>
          </rPr>
          <t>Khadilkar, Hersh S (Research):</t>
        </r>
        <r>
          <rPr>
            <sz val="9"/>
            <color indexed="81"/>
            <rFont val="Tahoma"/>
            <family val="2"/>
          </rPr>
          <t xml:space="preserve">
removes PPV fights</t>
        </r>
      </text>
    </comment>
    <comment ref="CM240" authorId="2">
      <text>
        <r>
          <rPr>
            <b/>
            <sz val="9"/>
            <color indexed="81"/>
            <rFont val="Tahoma"/>
            <family val="2"/>
          </rPr>
          <t>Khadilkar, Hersh S (Research):</t>
        </r>
        <r>
          <rPr>
            <sz val="9"/>
            <color indexed="81"/>
            <rFont val="Tahoma"/>
            <family val="2"/>
          </rPr>
          <t xml:space="preserve">
removes PPV fights</t>
        </r>
      </text>
    </comment>
    <comment ref="CN240" authorId="2">
      <text>
        <r>
          <rPr>
            <b/>
            <sz val="9"/>
            <color indexed="81"/>
            <rFont val="Tahoma"/>
            <family val="2"/>
          </rPr>
          <t>Khadilkar, Hersh S (Research):</t>
        </r>
        <r>
          <rPr>
            <sz val="9"/>
            <color indexed="81"/>
            <rFont val="Tahoma"/>
            <family val="2"/>
          </rPr>
          <t xml:space="preserve">
removes Californication syndication</t>
        </r>
      </text>
    </comment>
    <comment ref="DB240" authorId="7">
      <text>
        <r>
          <rPr>
            <b/>
            <sz val="9"/>
            <color indexed="81"/>
            <rFont val="Tahoma"/>
            <family val="2"/>
          </rPr>
          <t>Ripps, Maria (Research):</t>
        </r>
        <r>
          <rPr>
            <sz val="9"/>
            <color indexed="81"/>
            <rFont val="Tahoma"/>
            <family val="2"/>
          </rPr>
          <t xml:space="preserve">
MSe: ~$270M PPV
Floyd Mayweather/Conor McGregor pay-per-view boxing event, which contributed 36 points and 12 points of the growth for the three and nine-month periods, respectively. Underlying affiliate and subscription fee revenues for each of the three and nine months ended September 30, 2017 increased 16%</t>
        </r>
      </text>
    </comment>
    <comment ref="CA242" authorId="4">
      <text>
        <r>
          <rPr>
            <b/>
            <sz val="8"/>
            <color indexed="81"/>
            <rFont val="Tahoma"/>
            <family val="2"/>
          </rPr>
          <t>fiftrya:</t>
        </r>
        <r>
          <rPr>
            <sz val="8"/>
            <color indexed="81"/>
            <rFont val="Tahoma"/>
            <family val="2"/>
          </rPr>
          <t xml:space="preserve">
Up ~$12M YoY
Ramping in 2H</t>
        </r>
      </text>
    </comment>
    <comment ref="CC242" authorId="0">
      <text>
        <r>
          <rPr>
            <b/>
            <sz val="8"/>
            <color indexed="81"/>
            <rFont val="Tahoma"/>
            <family val="2"/>
          </rPr>
          <t>benswin:</t>
        </r>
        <r>
          <rPr>
            <sz val="8"/>
            <color indexed="81"/>
            <rFont val="Tahoma"/>
            <family val="2"/>
          </rPr>
          <t xml:space="preserve">
DTV, CVC, AT&amp;T, escalator on CMCSA kicks in.</t>
        </r>
      </text>
    </comment>
    <comment ref="BT243" authorId="3">
      <text>
        <r>
          <rPr>
            <b/>
            <sz val="8"/>
            <color indexed="81"/>
            <rFont val="Tahoma"/>
            <family val="2"/>
          </rPr>
          <t>krisbon:</t>
        </r>
        <r>
          <rPr>
            <sz val="8"/>
            <color indexed="81"/>
            <rFont val="Tahoma"/>
            <family val="2"/>
          </rPr>
          <t xml:space="preserve">
more subscription weighted in Q4</t>
        </r>
      </text>
    </comment>
    <comment ref="CQ245" authorId="7">
      <text>
        <r>
          <rPr>
            <b/>
            <sz val="9"/>
            <color indexed="81"/>
            <rFont val="Tahoma"/>
            <family val="2"/>
          </rPr>
          <t>Ripps, Maria (Research):</t>
        </r>
        <r>
          <rPr>
            <sz val="9"/>
            <color indexed="81"/>
            <rFont val="Tahoma"/>
            <family val="2"/>
          </rPr>
          <t xml:space="preserve">
Assume Q2 PPV fight is in subscription revenue</t>
        </r>
      </text>
    </comment>
    <comment ref="DB245" authorId="7">
      <text>
        <r>
          <rPr>
            <b/>
            <sz val="9"/>
            <color indexed="81"/>
            <rFont val="Tahoma"/>
            <family val="2"/>
          </rPr>
          <t>Ripps, Maria (Research):</t>
        </r>
        <r>
          <rPr>
            <sz val="9"/>
            <color indexed="81"/>
            <rFont val="Tahoma"/>
            <family val="2"/>
          </rPr>
          <t xml:space="preserve">
PPV fight is in subscription revs</t>
        </r>
      </text>
    </comment>
    <comment ref="BQ253" authorId="3">
      <text>
        <r>
          <rPr>
            <b/>
            <sz val="8"/>
            <color indexed="81"/>
            <rFont val="Tahoma"/>
            <family val="2"/>
          </rPr>
          <t>krisbon:</t>
        </r>
        <r>
          <rPr>
            <sz val="8"/>
            <color indexed="81"/>
            <rFont val="Tahoma"/>
            <family val="2"/>
          </rPr>
          <t xml:space="preserve">
Superbowl</t>
        </r>
      </text>
    </comment>
    <comment ref="BV253" authorId="1">
      <text>
        <r>
          <rPr>
            <b/>
            <sz val="8"/>
            <color indexed="81"/>
            <rFont val="Tahoma"/>
            <family val="2"/>
          </rPr>
          <t>Micah Nance:</t>
        </r>
        <r>
          <rPr>
            <sz val="8"/>
            <color indexed="81"/>
            <rFont val="Tahoma"/>
            <family val="2"/>
          </rPr>
          <t xml:space="preserve">
super bowl and excess ncaa revs in 1Q10 comp</t>
        </r>
      </text>
    </comment>
    <comment ref="CV253" authorId="7">
      <text>
        <r>
          <rPr>
            <b/>
            <sz val="9"/>
            <color indexed="81"/>
            <rFont val="Tahoma"/>
            <family val="2"/>
          </rPr>
          <t>Ripps, Maria (Research):</t>
        </r>
        <r>
          <rPr>
            <sz val="9"/>
            <color indexed="81"/>
            <rFont val="Tahoma"/>
            <family val="2"/>
          </rPr>
          <t xml:space="preserve">
NCAA game to Turner, MSe: $45M</t>
        </r>
      </text>
    </comment>
    <comment ref="CU270" authorId="7">
      <text>
        <r>
          <rPr>
            <b/>
            <sz val="9"/>
            <color indexed="81"/>
            <rFont val="Tahoma"/>
            <family val="2"/>
          </rPr>
          <t>Ripps, Maria (Research):</t>
        </r>
        <r>
          <rPr>
            <sz val="9"/>
            <color indexed="81"/>
            <rFont val="Tahoma"/>
            <family val="2"/>
          </rPr>
          <t xml:space="preserve">
10Q: 42% growth in station affiliation fees and
retransmission revenues</t>
        </r>
      </text>
    </comment>
    <comment ref="CV270" authorId="7">
      <text>
        <r>
          <rPr>
            <b/>
            <sz val="9"/>
            <color indexed="81"/>
            <rFont val="Tahoma"/>
            <family val="2"/>
          </rPr>
          <t>Ripps, Maria (Research):</t>
        </r>
        <r>
          <rPr>
            <sz val="9"/>
            <color indexed="81"/>
            <rFont val="Tahoma"/>
            <family val="2"/>
          </rPr>
          <t xml:space="preserve">
10Q: 44% growth in station affiliation fees and retransmission revenues </t>
        </r>
      </text>
    </comment>
    <comment ref="CW270" authorId="7">
      <text>
        <r>
          <rPr>
            <b/>
            <sz val="9"/>
            <color indexed="81"/>
            <rFont val="Tahoma"/>
            <family val="2"/>
          </rPr>
          <t>Ripps, Maria (Research):</t>
        </r>
        <r>
          <rPr>
            <sz val="9"/>
            <color indexed="81"/>
            <rFont val="Tahoma"/>
            <family val="2"/>
          </rPr>
          <t xml:space="preserve">
+32%</t>
        </r>
      </text>
    </comment>
    <comment ref="CX270" authorId="7">
      <text>
        <r>
          <rPr>
            <b/>
            <sz val="9"/>
            <color indexed="81"/>
            <rFont val="Tahoma"/>
            <family val="2"/>
          </rPr>
          <t>Ripps, Maria (Research):</t>
        </r>
        <r>
          <rPr>
            <sz val="9"/>
            <color indexed="81"/>
            <rFont val="Tahoma"/>
            <family val="2"/>
          </rPr>
          <t xml:space="preserve">
EC: +25% y/y 
FY16: +35%</t>
        </r>
      </text>
    </comment>
    <comment ref="CZ270" authorId="7">
      <text>
        <r>
          <rPr>
            <b/>
            <sz val="9"/>
            <color indexed="81"/>
            <rFont val="Tahoma"/>
            <family val="2"/>
          </rPr>
          <t>Ripps, Maria (Research):</t>
        </r>
        <r>
          <rPr>
            <sz val="9"/>
            <color indexed="81"/>
            <rFont val="Tahoma"/>
            <family val="2"/>
          </rPr>
          <t xml:space="preserve">
PR: +28% y/y </t>
        </r>
      </text>
    </comment>
    <comment ref="DB270" authorId="7">
      <text>
        <r>
          <rPr>
            <b/>
            <sz val="9"/>
            <color indexed="81"/>
            <rFont val="Tahoma"/>
            <family val="2"/>
          </rPr>
          <t>Ripps, Maria (Research):</t>
        </r>
        <r>
          <rPr>
            <sz val="9"/>
            <color indexed="81"/>
            <rFont val="Tahoma"/>
            <family val="2"/>
          </rPr>
          <t xml:space="preserve">
10Q: 27% growth in station affiliation fees and retransmission revenues</t>
        </r>
      </text>
    </comment>
    <comment ref="DA271" authorId="7">
      <text>
        <r>
          <rPr>
            <b/>
            <sz val="9"/>
            <color indexed="81"/>
            <rFont val="Tahoma"/>
            <family val="2"/>
          </rPr>
          <t>Ripps, Maria (Research):</t>
        </r>
        <r>
          <rPr>
            <sz val="9"/>
            <color indexed="81"/>
            <rFont val="Tahoma"/>
            <family val="2"/>
          </rPr>
          <t xml:space="preserve">
PR: +25%</t>
        </r>
      </text>
    </comment>
    <comment ref="DB271" authorId="7">
      <text>
        <r>
          <rPr>
            <b/>
            <sz val="9"/>
            <color indexed="81"/>
            <rFont val="Tahoma"/>
            <family val="2"/>
          </rPr>
          <t>Ripps, Maria (Research):</t>
        </r>
        <r>
          <rPr>
            <sz val="9"/>
            <color indexed="81"/>
            <rFont val="Tahoma"/>
            <family val="2"/>
          </rPr>
          <t xml:space="preserve">
10Q: 27% growth in station affiliation fees and retransmission revenues</t>
        </r>
      </text>
    </comment>
    <comment ref="CP273" authorId="7">
      <text>
        <r>
          <rPr>
            <b/>
            <sz val="9"/>
            <color indexed="81"/>
            <rFont val="Tahoma"/>
            <family val="2"/>
          </rPr>
          <t>Ripps, Maria (Research):</t>
        </r>
        <r>
          <rPr>
            <sz val="9"/>
            <color indexed="81"/>
            <rFont val="Tahoma"/>
            <family val="2"/>
          </rPr>
          <t xml:space="preserve">
change in elims: $50M</t>
        </r>
      </text>
    </comment>
    <comment ref="CQ273" authorId="7">
      <text>
        <r>
          <rPr>
            <b/>
            <sz val="9"/>
            <color indexed="81"/>
            <rFont val="Tahoma"/>
            <family val="2"/>
          </rPr>
          <t>Ripps, Maria (Research):</t>
        </r>
        <r>
          <rPr>
            <sz val="9"/>
            <color indexed="81"/>
            <rFont val="Tahoma"/>
            <family val="2"/>
          </rPr>
          <t xml:space="preserve">
change in elims: $51M</t>
        </r>
      </text>
    </comment>
    <comment ref="CR273" authorId="7">
      <text>
        <r>
          <rPr>
            <b/>
            <sz val="9"/>
            <color indexed="81"/>
            <rFont val="Tahoma"/>
            <family val="2"/>
          </rPr>
          <t>Ripps, Maria (Research):</t>
        </r>
        <r>
          <rPr>
            <sz val="9"/>
            <color indexed="81"/>
            <rFont val="Tahoma"/>
            <family val="2"/>
          </rPr>
          <t xml:space="preserve">
change in elims: $56M</t>
        </r>
      </text>
    </comment>
    <comment ref="CS273" authorId="7">
      <text>
        <r>
          <rPr>
            <b/>
            <sz val="9"/>
            <color indexed="81"/>
            <rFont val="Tahoma"/>
            <family val="2"/>
          </rPr>
          <t>Ripps, Maria (Research):</t>
        </r>
        <r>
          <rPr>
            <sz val="9"/>
            <color indexed="81"/>
            <rFont val="Tahoma"/>
            <family val="2"/>
          </rPr>
          <t xml:space="preserve">
change in elims: $60M</t>
        </r>
      </text>
    </comment>
    <comment ref="CU273" authorId="7">
      <text>
        <r>
          <rPr>
            <b/>
            <sz val="9"/>
            <color indexed="81"/>
            <rFont val="Tahoma"/>
            <family val="2"/>
          </rPr>
          <t>Ripps, Maria (Research):</t>
        </r>
        <r>
          <rPr>
            <sz val="9"/>
            <color indexed="81"/>
            <rFont val="Tahoma"/>
            <family val="2"/>
          </rPr>
          <t xml:space="preserve">
change in elims: $64M</t>
        </r>
      </text>
    </comment>
    <comment ref="CV273" authorId="7">
      <text>
        <r>
          <rPr>
            <b/>
            <sz val="9"/>
            <color indexed="81"/>
            <rFont val="Tahoma"/>
            <family val="2"/>
          </rPr>
          <t>Ripps, Maria (Research):</t>
        </r>
        <r>
          <rPr>
            <sz val="9"/>
            <color indexed="81"/>
            <rFont val="Tahoma"/>
            <family val="2"/>
          </rPr>
          <t xml:space="preserve">
change in elims: $63M</t>
        </r>
      </text>
    </comment>
    <comment ref="CQ276" authorId="7">
      <text>
        <r>
          <rPr>
            <b/>
            <sz val="9"/>
            <color indexed="81"/>
            <rFont val="Tahoma"/>
            <family val="2"/>
          </rPr>
          <t>Ripps, Maria (Research):</t>
        </r>
        <r>
          <rPr>
            <sz val="9"/>
            <color indexed="81"/>
            <rFont val="Tahoma"/>
            <family val="2"/>
          </rPr>
          <t xml:space="preserve">
PR: Affiliate and subscription fees were up 50%, driven by growth in rates</t>
        </r>
      </text>
    </comment>
    <comment ref="CR276" authorId="7">
      <text>
        <r>
          <rPr>
            <b/>
            <sz val="9"/>
            <color indexed="81"/>
            <rFont val="Tahoma"/>
            <family val="2"/>
          </rPr>
          <t>Ripps, Maria (Research):</t>
        </r>
        <r>
          <rPr>
            <sz val="9"/>
            <color indexed="81"/>
            <rFont val="Tahoma"/>
            <family val="2"/>
          </rPr>
          <t xml:space="preserve">
PR: 55% increase in affiliate and subscription fees</t>
        </r>
      </text>
    </comment>
    <comment ref="CS276" authorId="7">
      <text>
        <r>
          <rPr>
            <b/>
            <sz val="9"/>
            <color indexed="81"/>
            <rFont val="Tahoma"/>
            <family val="2"/>
          </rPr>
          <t>Ripps, Maria (Research):</t>
        </r>
        <r>
          <rPr>
            <sz val="9"/>
            <color indexed="81"/>
            <rFont val="Tahoma"/>
            <family val="2"/>
          </rPr>
          <t xml:space="preserve">
PR: affiliate and subscription fees were up 45%</t>
        </r>
      </text>
    </comment>
    <comment ref="CU276" authorId="7">
      <text>
        <r>
          <rPr>
            <b/>
            <sz val="9"/>
            <color indexed="81"/>
            <rFont val="Tahoma"/>
            <family val="2"/>
          </rPr>
          <t>Ripps, Maria (Research):</t>
        </r>
        <r>
          <rPr>
            <sz val="9"/>
            <color indexed="81"/>
            <rFont val="Tahoma"/>
            <family val="2"/>
          </rPr>
          <t xml:space="preserve">
PR: affiliate and subscription fees grew 67% in Q1</t>
        </r>
      </text>
    </comment>
    <comment ref="CV276" authorId="7">
      <text>
        <r>
          <rPr>
            <b/>
            <sz val="9"/>
            <color indexed="81"/>
            <rFont val="Tahoma"/>
            <family val="2"/>
          </rPr>
          <t>Ripps, Maria (Research):</t>
        </r>
        <r>
          <rPr>
            <sz val="9"/>
            <color indexed="81"/>
            <rFont val="Tahoma"/>
            <family val="2"/>
          </rPr>
          <t xml:space="preserve">
PR: Affiliate and subscription fees increased 59%, reflecting higher station affiliation fees, retransmission revenues, and subscription growth for CBS All Access.</t>
        </r>
      </text>
    </comment>
    <comment ref="CW276" authorId="7">
      <text>
        <r>
          <rPr>
            <b/>
            <sz val="9"/>
            <color indexed="81"/>
            <rFont val="Tahoma"/>
            <family val="2"/>
          </rPr>
          <t>Ripps, Maria (Research):</t>
        </r>
        <r>
          <rPr>
            <sz val="9"/>
            <color indexed="81"/>
            <rFont val="Tahoma"/>
            <family val="2"/>
          </rPr>
          <t xml:space="preserve">
39% growth in affiliate and subscription fees, driven by higher station affiliation fees and subscription growth for CBS All Access</t>
        </r>
      </text>
    </comment>
    <comment ref="DB276" authorId="7">
      <text>
        <r>
          <rPr>
            <b/>
            <sz val="9"/>
            <color indexed="81"/>
            <rFont val="Tahoma"/>
            <family val="2"/>
          </rPr>
          <t>Ripps, Maria (Research):</t>
        </r>
        <r>
          <rPr>
            <sz val="9"/>
            <color indexed="81"/>
            <rFont val="Tahoma"/>
            <family val="2"/>
          </rPr>
          <t xml:space="preserve">
10Q: ENT/Network - 35% growth in affiliate and subscription fees, reflecting higher station affiliation fees and growth from new digital initiatives, including CBS All Access and third-party live television streaming services</t>
        </r>
      </text>
    </comment>
    <comment ref="CQ284" authorId="7">
      <text>
        <r>
          <rPr>
            <b/>
            <sz val="9"/>
            <color indexed="81"/>
            <rFont val="Tahoma"/>
            <family val="2"/>
          </rPr>
          <t>Ripps, Maria (Research):</t>
        </r>
        <r>
          <rPr>
            <sz val="9"/>
            <color indexed="81"/>
            <rFont val="Tahoma"/>
            <family val="2"/>
          </rPr>
          <t xml:space="preserve">
DISH &amp; COX renewal in Q1'15
~10.5% of O&amp;O footprint</t>
        </r>
      </text>
    </comment>
    <comment ref="CS284" authorId="7">
      <text>
        <r>
          <rPr>
            <b/>
            <sz val="9"/>
            <color indexed="81"/>
            <rFont val="Tahoma"/>
            <family val="2"/>
          </rPr>
          <t>Ripps, Maria (Research):</t>
        </r>
        <r>
          <rPr>
            <sz val="9"/>
            <color indexed="81"/>
            <rFont val="Tahoma"/>
            <family val="2"/>
          </rPr>
          <t xml:space="preserve">
T &amp; CVC renewal in late Q3, ~15% of O&amp;O footprint</t>
        </r>
      </text>
    </comment>
    <comment ref="CU284" authorId="7">
      <text>
        <r>
          <rPr>
            <b/>
            <sz val="9"/>
            <color indexed="81"/>
            <rFont val="Tahoma"/>
            <family val="2"/>
          </rPr>
          <t>Ripps, Maria (Research):</t>
        </r>
        <r>
          <rPr>
            <sz val="9"/>
            <color indexed="81"/>
            <rFont val="Tahoma"/>
            <family val="2"/>
          </rPr>
          <t xml:space="preserve">
~0.3% vMVPD adjustment</t>
        </r>
      </text>
    </comment>
    <comment ref="CZ284" authorId="7">
      <text>
        <r>
          <rPr>
            <b/>
            <sz val="9"/>
            <color indexed="81"/>
            <rFont val="Tahoma"/>
            <family val="2"/>
          </rPr>
          <t>Ripps, Maria (Research):</t>
        </r>
        <r>
          <rPr>
            <sz val="9"/>
            <color indexed="81"/>
            <rFont val="Tahoma"/>
            <family val="2"/>
          </rPr>
          <t xml:space="preserve">
vMVPD ~1% adjustment</t>
        </r>
      </text>
    </comment>
    <comment ref="CG290" authorId="4">
      <text>
        <r>
          <rPr>
            <b/>
            <sz val="8"/>
            <color indexed="81"/>
            <rFont val="Tahoma"/>
            <family val="2"/>
          </rPr>
          <t>fiftrya:</t>
        </r>
        <r>
          <rPr>
            <sz val="8"/>
            <color indexed="81"/>
            <rFont val="Tahoma"/>
            <family val="2"/>
          </rPr>
          <t xml:space="preserve">
~$50M rev shift from 1Q to 2Q for Final Four</t>
        </r>
      </text>
    </comment>
    <comment ref="CB291" authorId="4">
      <text>
        <r>
          <rPr>
            <b/>
            <sz val="8"/>
            <color indexed="81"/>
            <rFont val="Tahoma"/>
            <family val="2"/>
          </rPr>
          <t>fiftrya:</t>
        </r>
        <r>
          <rPr>
            <sz val="8"/>
            <color indexed="81"/>
            <rFont val="Tahoma"/>
            <family val="2"/>
          </rPr>
          <t xml:space="preserve">
Flat ex-NCAA timing, implies down 5% (based on NCAA benefit +4% in 1Q)</t>
        </r>
      </text>
    </comment>
    <comment ref="CC291" authorId="4">
      <text>
        <r>
          <rPr>
            <b/>
            <sz val="8"/>
            <color indexed="81"/>
            <rFont val="Tahoma"/>
            <family val="2"/>
          </rPr>
          <t>fiftrya:</t>
        </r>
        <r>
          <rPr>
            <sz val="8"/>
            <color indexed="81"/>
            <rFont val="Tahoma"/>
            <family val="2"/>
          </rPr>
          <t xml:space="preserve">
Ad revs "Down"</t>
        </r>
      </text>
    </comment>
    <comment ref="Q292" authorId="7">
      <text>
        <r>
          <rPr>
            <b/>
            <sz val="9"/>
            <color indexed="81"/>
            <rFont val="Tahoma"/>
            <family val="2"/>
          </rPr>
          <t>Ripps, Maria (Research):</t>
        </r>
        <r>
          <rPr>
            <sz val="9"/>
            <color indexed="81"/>
            <rFont val="Tahoma"/>
            <family val="2"/>
          </rPr>
          <t xml:space="preserve">
Restated to include gross O&amp;O retrans</t>
        </r>
      </text>
    </comment>
    <comment ref="R292" authorId="7">
      <text>
        <r>
          <rPr>
            <b/>
            <sz val="9"/>
            <color indexed="81"/>
            <rFont val="Tahoma"/>
            <family val="2"/>
          </rPr>
          <t>Ripps, Maria (Research):</t>
        </r>
        <r>
          <rPr>
            <sz val="9"/>
            <color indexed="81"/>
            <rFont val="Tahoma"/>
            <family val="2"/>
          </rPr>
          <t xml:space="preserve">
Restated to include gross O&amp;O retrans</t>
        </r>
      </text>
    </comment>
    <comment ref="CH292" authorId="6">
      <text>
        <r>
          <rPr>
            <b/>
            <sz val="8"/>
            <color indexed="81"/>
            <rFont val="Tahoma"/>
            <family val="2"/>
          </rPr>
          <t>hershk:</t>
        </r>
        <r>
          <rPr>
            <sz val="8"/>
            <color indexed="81"/>
            <rFont val="Tahoma"/>
            <family val="2"/>
          </rPr>
          <t xml:space="preserve">
pacing flat, assume $12mm headwind from TWC blackout</t>
        </r>
      </text>
    </comment>
    <comment ref="CP292" authorId="7">
      <text>
        <r>
          <rPr>
            <b/>
            <sz val="9"/>
            <color indexed="81"/>
            <rFont val="Tahoma"/>
            <family val="2"/>
          </rPr>
          <t>Ripps, Maria (Research):</t>
        </r>
        <r>
          <rPr>
            <sz val="9"/>
            <color indexed="81"/>
            <rFont val="Tahoma"/>
            <family val="2"/>
          </rPr>
          <t xml:space="preserve">
2015-2016 restated to include gross O&amp;O retrans</t>
        </r>
      </text>
    </comment>
    <comment ref="CC293" authorId="4">
      <text>
        <r>
          <rPr>
            <b/>
            <sz val="8"/>
            <color indexed="81"/>
            <rFont val="Tahoma"/>
            <family val="2"/>
          </rPr>
          <t>fiftrya:</t>
        </r>
        <r>
          <rPr>
            <sz val="8"/>
            <color indexed="81"/>
            <rFont val="Tahoma"/>
            <family val="2"/>
          </rPr>
          <t xml:space="preserve">
Up slightly</t>
        </r>
      </text>
    </comment>
    <comment ref="DA293" authorId="7">
      <text>
        <r>
          <rPr>
            <b/>
            <sz val="9"/>
            <color indexed="81"/>
            <rFont val="Tahoma"/>
            <family val="2"/>
          </rPr>
          <t>Ripps, Maria (Research):</t>
        </r>
        <r>
          <rPr>
            <sz val="9"/>
            <color indexed="81"/>
            <rFont val="Tahoma"/>
            <family val="2"/>
          </rPr>
          <t xml:space="preserve">
PR: down 2% y/y
MSe: can't get to down 2%, given aff estimates</t>
        </r>
      </text>
    </comment>
    <comment ref="CF294" authorId="4">
      <text>
        <r>
          <rPr>
            <b/>
            <sz val="8"/>
            <color indexed="81"/>
            <rFont val="Tahoma"/>
            <family val="2"/>
          </rPr>
          <t>fiftrya:</t>
        </r>
        <r>
          <rPr>
            <sz val="8"/>
            <color indexed="81"/>
            <rFont val="Tahoma"/>
            <family val="2"/>
          </rPr>
          <t xml:space="preserve"> Puts and takes
No Lakers, $10-$15M headwind at KCAL
~$10-15M</t>
        </r>
        <r>
          <rPr>
            <sz val="8"/>
            <color indexed="81"/>
            <rFont val="Tahoma"/>
            <family val="2"/>
          </rPr>
          <t xml:space="preserve"> headwind from final four in 2Q vs. 1Q last yr
Assuming ~$25M rev benefit from the Super Bowl
Some underlying growth</t>
        </r>
      </text>
    </comment>
    <comment ref="CG294" authorId="4">
      <text>
        <r>
          <rPr>
            <b/>
            <sz val="8"/>
            <color indexed="81"/>
            <rFont val="Tahoma"/>
            <family val="2"/>
          </rPr>
          <t>hershk:</t>
        </r>
        <r>
          <rPr>
            <sz val="8"/>
            <color indexed="81"/>
            <rFont val="Tahoma"/>
            <family val="2"/>
          </rPr>
          <t xml:space="preserve">
+1% ex-political</t>
        </r>
      </text>
    </comment>
    <comment ref="CQ295" authorId="7">
      <text>
        <r>
          <rPr>
            <b/>
            <sz val="9"/>
            <color indexed="81"/>
            <rFont val="Tahoma"/>
            <family val="2"/>
          </rPr>
          <t>Ripps, Maria (Research):</t>
        </r>
        <r>
          <rPr>
            <sz val="9"/>
            <color indexed="81"/>
            <rFont val="Tahoma"/>
            <family val="2"/>
          </rPr>
          <t xml:space="preserve">
station ad revs ex-political +1%, Q2 EC</t>
        </r>
      </text>
    </comment>
    <comment ref="CV295" authorId="7">
      <text>
        <r>
          <rPr>
            <b/>
            <sz val="9"/>
            <color indexed="81"/>
            <rFont val="Tahoma"/>
            <family val="2"/>
          </rPr>
          <t>Ripps, Maria (Research):</t>
        </r>
        <r>
          <rPr>
            <sz val="9"/>
            <color indexed="81"/>
            <rFont val="Tahoma"/>
            <family val="2"/>
          </rPr>
          <t xml:space="preserve">
station ad revs ex-political +1%, Q2 EC
NCAA ~$10M impact</t>
        </r>
      </text>
    </comment>
    <comment ref="DA295" authorId="7">
      <text>
        <r>
          <rPr>
            <b/>
            <sz val="9"/>
            <color indexed="81"/>
            <rFont val="Tahoma"/>
            <family val="2"/>
          </rPr>
          <t>Ripps, Maria (Research):</t>
        </r>
        <r>
          <rPr>
            <sz val="9"/>
            <color indexed="81"/>
            <rFont val="Tahoma"/>
            <family val="2"/>
          </rPr>
          <t xml:space="preserve">
station ad revs ex-political +1%, Q2 EC
NCAA ~$10M impact</t>
        </r>
      </text>
    </comment>
    <comment ref="R296" authorId="7">
      <text>
        <r>
          <rPr>
            <b/>
            <sz val="9"/>
            <color indexed="81"/>
            <rFont val="Tahoma"/>
            <family val="2"/>
          </rPr>
          <t>Ripps, Maria (Research):</t>
        </r>
        <r>
          <rPr>
            <sz val="9"/>
            <color indexed="81"/>
            <rFont val="Tahoma"/>
            <family val="2"/>
          </rPr>
          <t xml:space="preserve">
ex-SuperBowl</t>
        </r>
      </text>
    </comment>
    <comment ref="V296" authorId="7">
      <text>
        <r>
          <rPr>
            <b/>
            <sz val="9"/>
            <color indexed="81"/>
            <rFont val="Tahoma"/>
            <family val="2"/>
          </rPr>
          <t>Ripps, Maria (Research):</t>
        </r>
        <r>
          <rPr>
            <sz val="9"/>
            <color indexed="81"/>
            <rFont val="Tahoma"/>
            <family val="2"/>
          </rPr>
          <t xml:space="preserve">
ex-SuperBowl</t>
        </r>
      </text>
    </comment>
    <comment ref="Y296" authorId="7">
      <text>
        <r>
          <rPr>
            <b/>
            <sz val="9"/>
            <color indexed="81"/>
            <rFont val="Tahoma"/>
            <family val="2"/>
          </rPr>
          <t>Ripps, Maria (Research):</t>
        </r>
        <r>
          <rPr>
            <sz val="9"/>
            <color indexed="81"/>
            <rFont val="Tahoma"/>
            <family val="2"/>
          </rPr>
          <t xml:space="preserve">
ex-SuperBowl</t>
        </r>
      </text>
    </comment>
    <comment ref="AB296" authorId="7">
      <text>
        <r>
          <rPr>
            <b/>
            <sz val="9"/>
            <color indexed="81"/>
            <rFont val="Tahoma"/>
            <family val="2"/>
          </rPr>
          <t>Ripps, Maria (Research):</t>
        </r>
        <r>
          <rPr>
            <sz val="9"/>
            <color indexed="81"/>
            <rFont val="Tahoma"/>
            <family val="2"/>
          </rPr>
          <t xml:space="preserve">
ex-SuperBowl</t>
        </r>
      </text>
    </comment>
    <comment ref="CU296" authorId="7">
      <text>
        <r>
          <rPr>
            <b/>
            <sz val="9"/>
            <color indexed="81"/>
            <rFont val="Tahoma"/>
            <family val="2"/>
          </rPr>
          <t>Ripps, Maria (Research):</t>
        </r>
        <r>
          <rPr>
            <sz val="9"/>
            <color indexed="81"/>
            <rFont val="Tahoma"/>
            <family val="2"/>
          </rPr>
          <t xml:space="preserve">
MSe: Super Bowl ~$30M
AFC game: ~$5-10M</t>
        </r>
      </text>
    </comment>
    <comment ref="L300" authorId="7">
      <text>
        <r>
          <rPr>
            <b/>
            <sz val="9"/>
            <color indexed="81"/>
            <rFont val="Tahoma"/>
            <family val="2"/>
          </rPr>
          <t>Ripps, Maria (Research):</t>
        </r>
        <r>
          <rPr>
            <sz val="9"/>
            <color indexed="81"/>
            <rFont val="Tahoma"/>
            <family val="2"/>
          </rPr>
          <t xml:space="preserve">
total company political
$166M, 85% TV </t>
        </r>
      </text>
    </comment>
    <comment ref="N300" authorId="7">
      <text>
        <r>
          <rPr>
            <b/>
            <sz val="9"/>
            <color indexed="81"/>
            <rFont val="Tahoma"/>
            <family val="2"/>
          </rPr>
          <t>Ripps, Maria (Research):</t>
        </r>
        <r>
          <rPr>
            <sz val="9"/>
            <color indexed="81"/>
            <rFont val="Tahoma"/>
            <family val="2"/>
          </rPr>
          <t xml:space="preserve">
total company political
$145M, 85% TV </t>
        </r>
      </text>
    </comment>
    <comment ref="CN300" authorId="7">
      <text>
        <r>
          <rPr>
            <b/>
            <sz val="9"/>
            <color indexed="81"/>
            <rFont val="Tahoma"/>
            <family val="2"/>
          </rPr>
          <t>Ripps, Maria (Research):</t>
        </r>
        <r>
          <rPr>
            <sz val="9"/>
            <color indexed="81"/>
            <rFont val="Tahoma"/>
            <family val="2"/>
          </rPr>
          <t xml:space="preserve">
$88M in total political in Q4, MSe 85% stations / 15% radio</t>
        </r>
      </text>
    </comment>
    <comment ref="CU300" authorId="7">
      <text>
        <r>
          <rPr>
            <b/>
            <sz val="9"/>
            <color indexed="81"/>
            <rFont val="Tahoma"/>
            <family val="2"/>
          </rPr>
          <t>Ripps, Maria (Research):</t>
        </r>
        <r>
          <rPr>
            <sz val="9"/>
            <color indexed="81"/>
            <rFont val="Tahoma"/>
            <family val="2"/>
          </rPr>
          <t xml:space="preserve">
MSe: $19M</t>
        </r>
      </text>
    </comment>
    <comment ref="CV300" authorId="7">
      <text>
        <r>
          <rPr>
            <b/>
            <sz val="9"/>
            <color indexed="81"/>
            <rFont val="Tahoma"/>
            <family val="2"/>
          </rPr>
          <t>Ripps, Maria (Research):</t>
        </r>
        <r>
          <rPr>
            <sz val="9"/>
            <color indexed="81"/>
            <rFont val="Tahoma"/>
            <family val="2"/>
          </rPr>
          <t xml:space="preserve">
MSe: ~$18M</t>
        </r>
      </text>
    </comment>
    <comment ref="CX300" authorId="7">
      <text>
        <r>
          <rPr>
            <b/>
            <sz val="9"/>
            <color indexed="81"/>
            <rFont val="Tahoma"/>
            <family val="2"/>
          </rPr>
          <t>Ripps, Maria (Research):</t>
        </r>
        <r>
          <rPr>
            <sz val="9"/>
            <color indexed="81"/>
            <rFont val="Tahoma"/>
            <family val="2"/>
          </rPr>
          <t xml:space="preserve">
25% above last presidential election year</t>
        </r>
      </text>
    </comment>
    <comment ref="L301" authorId="7">
      <text>
        <r>
          <rPr>
            <b/>
            <sz val="9"/>
            <color indexed="81"/>
            <rFont val="Tahoma"/>
            <family val="2"/>
          </rPr>
          <t>Ripps, Maria (Research):</t>
        </r>
        <r>
          <rPr>
            <sz val="9"/>
            <color indexed="81"/>
            <rFont val="Tahoma"/>
            <family val="2"/>
          </rPr>
          <t xml:space="preserve">
total company political
$166M, 15% Radio </t>
        </r>
      </text>
    </comment>
    <comment ref="N301" authorId="7">
      <text>
        <r>
          <rPr>
            <b/>
            <sz val="9"/>
            <color indexed="81"/>
            <rFont val="Tahoma"/>
            <family val="2"/>
          </rPr>
          <t>Ripps, Maria (Research):</t>
        </r>
        <r>
          <rPr>
            <sz val="9"/>
            <color indexed="81"/>
            <rFont val="Tahoma"/>
            <family val="2"/>
          </rPr>
          <t xml:space="preserve">
total company political
$145M, 15% Radio</t>
        </r>
      </text>
    </comment>
    <comment ref="CU301" authorId="7">
      <text>
        <r>
          <rPr>
            <b/>
            <sz val="9"/>
            <color indexed="81"/>
            <rFont val="Tahoma"/>
            <family val="2"/>
          </rPr>
          <t>Ripps, Maria (Research):</t>
        </r>
        <r>
          <rPr>
            <sz val="9"/>
            <color indexed="81"/>
            <rFont val="Tahoma"/>
            <family val="2"/>
          </rPr>
          <t xml:space="preserve">
MSe: LSD $m</t>
        </r>
      </text>
    </comment>
    <comment ref="R302" authorId="7">
      <text>
        <r>
          <rPr>
            <b/>
            <sz val="9"/>
            <color indexed="81"/>
            <rFont val="Tahoma"/>
            <family val="2"/>
          </rPr>
          <t>Ripps, Maria (Research):</t>
        </r>
        <r>
          <rPr>
            <sz val="9"/>
            <color indexed="81"/>
            <rFont val="Tahoma"/>
            <family val="2"/>
          </rPr>
          <t xml:space="preserve">
MSe: ~$175M total, 85% stations, 15% radio</t>
        </r>
      </text>
    </comment>
    <comment ref="CF316" authorId="4">
      <text>
        <r>
          <rPr>
            <b/>
            <sz val="8"/>
            <color indexed="81"/>
            <rFont val="Tahoma"/>
            <family val="2"/>
          </rPr>
          <t>fiftrya:</t>
        </r>
        <r>
          <rPr>
            <sz val="8"/>
            <color indexed="81"/>
            <rFont val="Tahoma"/>
            <family val="2"/>
          </rPr>
          <t xml:space="preserve">
Expecting high incremental margins.  Lost Lakers revs potentially zero or negative margin.  Final Four (in 2Q vs. 1Q) probably high-margin, but offset by high-margin SB revs</t>
        </r>
      </text>
    </comment>
    <comment ref="CC326" authorId="4">
      <text>
        <r>
          <rPr>
            <b/>
            <sz val="8"/>
            <color indexed="81"/>
            <rFont val="Tahoma"/>
            <family val="2"/>
          </rPr>
          <t>fiftrya:</t>
        </r>
        <r>
          <rPr>
            <sz val="8"/>
            <color indexed="81"/>
            <rFont val="Tahoma"/>
            <family val="2"/>
          </rPr>
          <t xml:space="preserve">
Opex down -- getting better rates on licensed content</t>
        </r>
      </text>
    </comment>
    <comment ref="CF326" authorId="4">
      <text>
        <r>
          <rPr>
            <b/>
            <sz val="8"/>
            <color indexed="81"/>
            <rFont val="Tahoma"/>
            <family val="2"/>
          </rPr>
          <t>fiftrya:</t>
        </r>
        <r>
          <rPr>
            <sz val="8"/>
            <color indexed="81"/>
            <rFont val="Tahoma"/>
            <family val="2"/>
          </rPr>
          <t xml:space="preserve">
Loss of LA Lakers</t>
        </r>
      </text>
    </comment>
    <comment ref="CC327" authorId="4">
      <text>
        <r>
          <rPr>
            <b/>
            <sz val="8"/>
            <color indexed="81"/>
            <rFont val="Tahoma"/>
            <family val="2"/>
          </rPr>
          <t>fiftrya:</t>
        </r>
        <r>
          <rPr>
            <sz val="8"/>
            <color indexed="81"/>
            <rFont val="Tahoma"/>
            <family val="2"/>
          </rPr>
          <t xml:space="preserve">
Lower royalty costs including a "one-time retroactive benefit"</t>
        </r>
      </text>
    </comment>
  </commentList>
</comments>
</file>

<file path=xl/comments7.xml><?xml version="1.0" encoding="utf-8"?>
<comments xmlns="http://schemas.openxmlformats.org/spreadsheetml/2006/main">
  <authors>
    <author>fiftrya</author>
    <author>Ripps, Maria (Research)</author>
    <author>benswin</author>
    <author>Khadilkar, Hersh S (Research)</author>
    <author>Micah Nance</author>
    <author>hershk</author>
  </authors>
  <commentList>
    <comment ref="G13" authorId="0">
      <text>
        <r>
          <rPr>
            <b/>
            <sz val="8"/>
            <color indexed="81"/>
            <rFont val="Tahoma"/>
            <family val="2"/>
          </rPr>
          <t>fiftrya:</t>
        </r>
        <r>
          <rPr>
            <sz val="8"/>
            <color indexed="81"/>
            <rFont val="Tahoma"/>
            <family val="2"/>
          </rPr>
          <t xml:space="preserve">
4Q PT ratings down ~15% YoY</t>
        </r>
      </text>
    </comment>
    <comment ref="H13" authorId="0">
      <text>
        <r>
          <rPr>
            <b/>
            <sz val="8"/>
            <color indexed="81"/>
            <rFont val="Tahoma"/>
            <family val="2"/>
          </rPr>
          <t>fiftrya:</t>
        </r>
        <r>
          <rPr>
            <sz val="8"/>
            <color indexed="81"/>
            <rFont val="Tahoma"/>
            <family val="2"/>
          </rPr>
          <t xml:space="preserve">
Implies 1H13 PT ratings 
-8.5% (assuming 1H CPM +8.5%, 2H CPM +5%, 2H ratings -5%)</t>
        </r>
      </text>
    </comment>
    <comment ref="L13" authorId="1">
      <text>
        <r>
          <rPr>
            <b/>
            <sz val="9"/>
            <color indexed="81"/>
            <rFont val="Tahoma"/>
            <family val="2"/>
          </rPr>
          <t>Ripps, Maria (Research):</t>
        </r>
        <r>
          <rPr>
            <sz val="9"/>
            <color indexed="81"/>
            <rFont val="Tahoma"/>
            <family val="2"/>
          </rPr>
          <t xml:space="preserve">
comping conventions coverage in '16</t>
        </r>
      </text>
    </comment>
    <comment ref="BT13" authorId="1">
      <text>
        <r>
          <rPr>
            <b/>
            <sz val="9"/>
            <color indexed="81"/>
            <rFont val="Tahoma"/>
            <family val="2"/>
          </rPr>
          <t>Ripps, Maria (Research):</t>
        </r>
        <r>
          <rPr>
            <sz val="9"/>
            <color indexed="81"/>
            <rFont val="Tahoma"/>
            <family val="2"/>
          </rPr>
          <t xml:space="preserve">
impact of ~12-15 hours of conventions coverage &amp; the Olympics </t>
        </r>
      </text>
    </comment>
    <comment ref="BU13" authorId="1">
      <text>
        <r>
          <rPr>
            <b/>
            <sz val="9"/>
            <color indexed="81"/>
            <rFont val="Tahoma"/>
            <family val="2"/>
          </rPr>
          <t>Ripps, Maria (Research):</t>
        </r>
        <r>
          <rPr>
            <sz val="9"/>
            <color indexed="81"/>
            <rFont val="Tahoma"/>
            <family val="2"/>
          </rPr>
          <t xml:space="preserve">
10 hours of PT =&gt; 3 debates</t>
        </r>
      </text>
    </comment>
    <comment ref="H14" authorId="0">
      <text>
        <r>
          <rPr>
            <b/>
            <sz val="8"/>
            <color indexed="81"/>
            <rFont val="Tahoma"/>
            <family val="2"/>
          </rPr>
          <t>fiftrya:</t>
        </r>
        <r>
          <rPr>
            <sz val="8"/>
            <color indexed="81"/>
            <rFont val="Tahoma"/>
            <family val="2"/>
          </rPr>
          <t xml:space="preserve">
Implies 1H13 PT ratings 
-4.5% (assuming 1H CPM +8.5%, 2H CPM +5%, 2H ratings -5%)</t>
        </r>
      </text>
    </comment>
    <comment ref="H15" authorId="0">
      <text>
        <r>
          <rPr>
            <b/>
            <sz val="8"/>
            <color indexed="81"/>
            <rFont val="Tahoma"/>
            <family val="2"/>
          </rPr>
          <t>fiftrya:</t>
        </r>
        <r>
          <rPr>
            <sz val="8"/>
            <color indexed="81"/>
            <rFont val="Tahoma"/>
            <family val="2"/>
          </rPr>
          <t xml:space="preserve">
Implies 1H13 PT ratings 
down high teens  (assuming 1H CPM +8.5%, 2H CPM +5%, 2H ratings -5%)</t>
        </r>
      </text>
    </comment>
    <comment ref="BU19" authorId="1">
      <text>
        <r>
          <rPr>
            <b/>
            <sz val="9"/>
            <color indexed="81"/>
            <rFont val="Tahoma"/>
            <family val="2"/>
          </rPr>
          <t>Ripps, Maria (Research):</t>
        </r>
        <r>
          <rPr>
            <sz val="9"/>
            <color indexed="81"/>
            <rFont val="Tahoma"/>
            <family val="2"/>
          </rPr>
          <t xml:space="preserve">
NFL make goods</t>
        </r>
      </text>
    </comment>
    <comment ref="BZ19" authorId="1">
      <text>
        <r>
          <rPr>
            <b/>
            <sz val="9"/>
            <color indexed="81"/>
            <rFont val="Tahoma"/>
            <family val="2"/>
          </rPr>
          <t>Ripps, Maria (Research):</t>
        </r>
        <r>
          <rPr>
            <sz val="9"/>
            <color indexed="81"/>
            <rFont val="Tahoma"/>
            <family val="2"/>
          </rPr>
          <t xml:space="preserve">
Easier comp on NFL ratings</t>
        </r>
      </text>
    </comment>
    <comment ref="BT25" authorId="1">
      <text>
        <r>
          <rPr>
            <b/>
            <sz val="9"/>
            <color indexed="81"/>
            <rFont val="Tahoma"/>
            <family val="2"/>
          </rPr>
          <t>Ripps, Maria (Research):</t>
        </r>
        <r>
          <rPr>
            <sz val="9"/>
            <color indexed="81"/>
            <rFont val="Tahoma"/>
            <family val="2"/>
          </rPr>
          <t xml:space="preserve">
Olympics, harder comp</t>
        </r>
      </text>
    </comment>
    <comment ref="W46" authorId="1">
      <text>
        <r>
          <rPr>
            <b/>
            <sz val="9"/>
            <color indexed="81"/>
            <rFont val="Tahoma"/>
            <family val="2"/>
          </rPr>
          <t>Ripps, Maria (Research):</t>
        </r>
        <r>
          <rPr>
            <sz val="9"/>
            <color indexed="81"/>
            <rFont val="Tahoma"/>
            <family val="2"/>
          </rPr>
          <t xml:space="preserve">
Political year + SuperBowl</t>
        </r>
      </text>
    </comment>
    <comment ref="BY50" authorId="1">
      <text>
        <r>
          <rPr>
            <b/>
            <sz val="9"/>
            <color indexed="81"/>
            <rFont val="Tahoma"/>
            <family val="2"/>
          </rPr>
          <t>Ripps, Maria (Research):</t>
        </r>
        <r>
          <rPr>
            <sz val="9"/>
            <color indexed="81"/>
            <rFont val="Tahoma"/>
            <family val="2"/>
          </rPr>
          <t xml:space="preserve">
Benefit from 10PT hours positive comp at the network
Hurricane impact</t>
        </r>
      </text>
    </comment>
    <comment ref="G86" authorId="2">
      <text>
        <r>
          <rPr>
            <b/>
            <sz val="8"/>
            <color indexed="81"/>
            <rFont val="Tahoma"/>
            <family val="2"/>
          </rPr>
          <t>benswin:</t>
        </r>
        <r>
          <rPr>
            <sz val="8"/>
            <color indexed="81"/>
            <rFont val="Tahoma"/>
            <family val="2"/>
          </rPr>
          <t xml:space="preserve">
DTV renewal mid '12</t>
        </r>
      </text>
    </comment>
    <comment ref="N86" authorId="1">
      <text>
        <r>
          <rPr>
            <b/>
            <sz val="9"/>
            <color indexed="81"/>
            <rFont val="Tahoma"/>
            <family val="2"/>
          </rPr>
          <t>Ripps, Maria (Research):</t>
        </r>
        <r>
          <rPr>
            <sz val="9"/>
            <color indexed="81"/>
            <rFont val="Tahoma"/>
            <family val="2"/>
          </rPr>
          <t xml:space="preserve">
Cox renewal - end '18
DTV, T, CVC - Q3-Q4'19 renewals (~30% of footprint)</t>
        </r>
      </text>
    </comment>
    <comment ref="O86" authorId="1">
      <text>
        <r>
          <rPr>
            <b/>
            <sz val="9"/>
            <color indexed="81"/>
            <rFont val="Tahoma"/>
            <family val="2"/>
          </rPr>
          <t>Ripps, Maria (Research):</t>
        </r>
        <r>
          <rPr>
            <sz val="9"/>
            <color indexed="81"/>
            <rFont val="Tahoma"/>
            <family val="2"/>
          </rPr>
          <t xml:space="preserve">
DTV, T, CVC - Q3-Q4'19 renewals - impacting 1H'20</t>
        </r>
      </text>
    </comment>
    <comment ref="P86" authorId="3">
      <text>
        <r>
          <rPr>
            <b/>
            <sz val="9"/>
            <color indexed="81"/>
            <rFont val="Tahoma"/>
            <family val="2"/>
          </rPr>
          <t>Khadilkar, Hersh S (Research):</t>
        </r>
        <r>
          <rPr>
            <sz val="9"/>
            <color indexed="81"/>
            <rFont val="Tahoma"/>
            <family val="2"/>
          </rPr>
          <t xml:space="preserve">
CMCSA deal steps up from below market rates</t>
        </r>
      </text>
    </comment>
    <comment ref="BW86" authorId="1">
      <text>
        <r>
          <rPr>
            <b/>
            <sz val="9"/>
            <color indexed="81"/>
            <rFont val="Tahoma"/>
            <family val="2"/>
          </rPr>
          <t>Ripps, Maria (Research):</t>
        </r>
        <r>
          <rPr>
            <sz val="9"/>
            <color indexed="81"/>
            <rFont val="Tahoma"/>
            <family val="2"/>
          </rPr>
          <t xml:space="preserve">
Q1 - VZ renewal</t>
        </r>
      </text>
    </comment>
    <comment ref="BY86" authorId="1">
      <text>
        <r>
          <rPr>
            <b/>
            <sz val="9"/>
            <color indexed="81"/>
            <rFont val="Tahoma"/>
            <family val="2"/>
          </rPr>
          <t>Ripps, Maria (Research):</t>
        </r>
        <r>
          <rPr>
            <sz val="9"/>
            <color indexed="81"/>
            <rFont val="Tahoma"/>
            <family val="2"/>
          </rPr>
          <t xml:space="preserve">
accelerating from Q1-Q2, some mid-contract escalators</t>
        </r>
      </text>
    </comment>
    <comment ref="BZ86" authorId="1">
      <text>
        <r>
          <rPr>
            <b/>
            <sz val="9"/>
            <color indexed="81"/>
            <rFont val="Tahoma"/>
            <family val="2"/>
          </rPr>
          <t>Ripps, Maria (Research):</t>
        </r>
        <r>
          <rPr>
            <sz val="9"/>
            <color indexed="81"/>
            <rFont val="Tahoma"/>
            <family val="2"/>
          </rPr>
          <t xml:space="preserve">
Q4 - DISH renewals</t>
        </r>
      </text>
    </comment>
    <comment ref="CB86" authorId="1">
      <text>
        <r>
          <rPr>
            <b/>
            <sz val="9"/>
            <color indexed="81"/>
            <rFont val="Tahoma"/>
            <family val="2"/>
          </rPr>
          <t>Ripps, Maria (Research):</t>
        </r>
        <r>
          <rPr>
            <sz val="9"/>
            <color indexed="81"/>
            <rFont val="Tahoma"/>
            <family val="2"/>
          </rPr>
          <t xml:space="preserve">
Step up on DISH renewal</t>
        </r>
      </text>
    </comment>
    <comment ref="CC86" authorId="1">
      <text>
        <r>
          <rPr>
            <b/>
            <sz val="9"/>
            <color indexed="81"/>
            <rFont val="Tahoma"/>
            <family val="2"/>
          </rPr>
          <t>Ripps, Maria (Research):</t>
        </r>
        <r>
          <rPr>
            <sz val="9"/>
            <color indexed="81"/>
            <rFont val="Tahoma"/>
            <family val="2"/>
          </rPr>
          <t xml:space="preserve">
Step up on DISH and CHTR/TWC, mid-Q2</t>
        </r>
      </text>
    </comment>
    <comment ref="G92" authorId="0">
      <text>
        <r>
          <rPr>
            <b/>
            <sz val="8"/>
            <color indexed="81"/>
            <rFont val="Tahoma"/>
            <family val="2"/>
          </rPr>
          <t>fiftrya:</t>
        </r>
        <r>
          <rPr>
            <sz val="8"/>
            <color indexed="81"/>
            <rFont val="Tahoma"/>
            <family val="2"/>
          </rPr>
          <t xml:space="preserve">
Incremental deals coming in at $0.50
Assuming avg lower</t>
        </r>
      </text>
    </comment>
    <comment ref="L92" authorId="1">
      <text>
        <r>
          <rPr>
            <b/>
            <sz val="9"/>
            <color indexed="81"/>
            <rFont val="Tahoma"/>
            <family val="2"/>
          </rPr>
          <t>Ripps, Maria (Research):</t>
        </r>
        <r>
          <rPr>
            <sz val="9"/>
            <color indexed="81"/>
            <rFont val="Tahoma"/>
            <family val="2"/>
          </rPr>
          <t xml:space="preserve">
~14% of reverse retrans up for renewal</t>
        </r>
      </text>
    </comment>
    <comment ref="N92" authorId="1">
      <text>
        <r>
          <rPr>
            <b/>
            <sz val="9"/>
            <color indexed="81"/>
            <rFont val="Tahoma"/>
            <family val="2"/>
          </rPr>
          <t>Ripps, Maria (Research):</t>
        </r>
        <r>
          <rPr>
            <sz val="9"/>
            <color indexed="81"/>
            <rFont val="Tahoma"/>
            <family val="2"/>
          </rPr>
          <t xml:space="preserve">
MSe: ~10mm HH up for renewal</t>
        </r>
      </text>
    </comment>
    <comment ref="BX92" authorId="1">
      <text>
        <r>
          <rPr>
            <b/>
            <sz val="9"/>
            <color indexed="81"/>
            <rFont val="Tahoma"/>
            <family val="2"/>
          </rPr>
          <t>Ripps, Maria (Research):</t>
        </r>
        <r>
          <rPr>
            <sz val="9"/>
            <color indexed="81"/>
            <rFont val="Tahoma"/>
            <family val="2"/>
          </rPr>
          <t xml:space="preserve">
up ~40%</t>
        </r>
      </text>
    </comment>
    <comment ref="CE92" authorId="1">
      <text>
        <r>
          <rPr>
            <b/>
            <sz val="9"/>
            <color indexed="81"/>
            <rFont val="Tahoma"/>
            <family val="2"/>
          </rPr>
          <t>Ripps, Maria (Research):</t>
        </r>
        <r>
          <rPr>
            <sz val="9"/>
            <color indexed="81"/>
            <rFont val="Tahoma"/>
            <family val="2"/>
          </rPr>
          <t xml:space="preserve">
MSe: Nexstar renewal in Q4</t>
        </r>
      </text>
    </comment>
    <comment ref="BY104" authorId="1">
      <text>
        <r>
          <rPr>
            <b/>
            <sz val="9"/>
            <color indexed="81"/>
            <rFont val="Tahoma"/>
            <family val="2"/>
          </rPr>
          <t>Ripps, Maria (Research):</t>
        </r>
        <r>
          <rPr>
            <sz val="9"/>
            <color indexed="81"/>
            <rFont val="Tahoma"/>
            <family val="2"/>
          </rPr>
          <t xml:space="preserve">
Star Trek</t>
        </r>
      </text>
    </comment>
    <comment ref="BZ104" authorId="1">
      <text>
        <r>
          <rPr>
            <b/>
            <sz val="9"/>
            <color indexed="81"/>
            <rFont val="Tahoma"/>
            <family val="2"/>
          </rPr>
          <t>Ripps, Maria (Research):</t>
        </r>
        <r>
          <rPr>
            <sz val="9"/>
            <color indexed="81"/>
            <rFont val="Tahoma"/>
            <family val="2"/>
          </rPr>
          <t xml:space="preserve">
Star Trek</t>
        </r>
      </text>
    </comment>
    <comment ref="F125" authorId="0">
      <text>
        <r>
          <rPr>
            <b/>
            <sz val="8"/>
            <color indexed="81"/>
            <rFont val="Tahoma"/>
            <family val="2"/>
          </rPr>
          <t>fiftrya:</t>
        </r>
        <r>
          <rPr>
            <sz val="8"/>
            <color indexed="81"/>
            <rFont val="Tahoma"/>
            <family val="2"/>
          </rPr>
          <t xml:space="preserve">
Feb '11:  NFLX
July '11: AMZN
4Q11 CW digital</t>
        </r>
      </text>
    </comment>
    <comment ref="G125" authorId="4">
      <text>
        <r>
          <rPr>
            <b/>
            <sz val="8"/>
            <color indexed="81"/>
            <rFont val="Tahoma"/>
            <family val="2"/>
          </rPr>
          <t>Micah Nance:</t>
        </r>
        <r>
          <rPr>
            <sz val="8"/>
            <color indexed="81"/>
            <rFont val="Tahoma"/>
            <family val="2"/>
          </rPr>
          <t xml:space="preserve">
See quarters for detail
80% of Amazon + NFLX int'l + Hulu Japan licensing booked in '12
Includes TV studio's share of CW deal (roughly 45mm, recurring)
CSI Miami put to NFLX, roughly $40M 
(176 episodes, ~$225K/ep, roughly half of est. AMC rates of $450K / ep).  Most in 3Q, some delivered in 4Q
Some international deliverables in 3Q</t>
        </r>
      </text>
    </comment>
    <comment ref="H125" authorId="4">
      <text>
        <r>
          <rPr>
            <b/>
            <sz val="8"/>
            <color indexed="81"/>
            <rFont val="Tahoma"/>
            <family val="2"/>
          </rPr>
          <t>fiftrya:</t>
        </r>
        <r>
          <rPr>
            <sz val="8"/>
            <color indexed="81"/>
            <rFont val="Tahoma"/>
            <family val="2"/>
          </rPr>
          <t xml:space="preserve">
NFLX 1 yr extension
AMZN extension
NFLX Int'l expansion
Assuming 1 more series (e.g. CSI NY) put to NFLX</t>
        </r>
      </text>
    </comment>
    <comment ref="K125" authorId="1">
      <text>
        <r>
          <rPr>
            <b/>
            <sz val="9"/>
            <color indexed="81"/>
            <rFont val="Tahoma"/>
            <family val="2"/>
          </rPr>
          <t>Ripps, Maria (Research):</t>
        </r>
        <r>
          <rPr>
            <sz val="9"/>
            <color indexed="81"/>
            <rFont val="Tahoma"/>
            <family val="2"/>
          </rPr>
          <t xml:space="preserve">
NFLX StarTrek</t>
        </r>
      </text>
    </comment>
    <comment ref="AX125" authorId="0">
      <text>
        <r>
          <rPr>
            <b/>
            <sz val="8"/>
            <color indexed="81"/>
            <rFont val="Tahoma"/>
            <family val="2"/>
          </rPr>
          <t>fiftrya:</t>
        </r>
        <r>
          <rPr>
            <sz val="8"/>
            <color indexed="81"/>
            <rFont val="Tahoma"/>
            <family val="2"/>
          </rPr>
          <t xml:space="preserve">
NFLX Latam
</t>
        </r>
      </text>
    </comment>
    <comment ref="AY125" authorId="0">
      <text>
        <r>
          <rPr>
            <b/>
            <sz val="8"/>
            <color indexed="81"/>
            <rFont val="Tahoma"/>
            <family val="2"/>
          </rPr>
          <t>fiftrya:</t>
        </r>
        <r>
          <rPr>
            <sz val="8"/>
            <color indexed="81"/>
            <rFont val="Tahoma"/>
            <family val="2"/>
          </rPr>
          <t xml:space="preserve">
Light quarter, assume small amount of NFLX Int'l</t>
        </r>
      </text>
    </comment>
    <comment ref="AZ125" authorId="0">
      <text>
        <r>
          <rPr>
            <b/>
            <sz val="8"/>
            <color indexed="81"/>
            <rFont val="Tahoma"/>
            <family val="2"/>
          </rPr>
          <t>fiftrya:</t>
        </r>
        <r>
          <rPr>
            <sz val="8"/>
            <color indexed="81"/>
            <rFont val="Tahoma"/>
            <family val="2"/>
          </rPr>
          <t xml:space="preserve">
AMZN renewal (first cut July 2011)
CSI Miami put to NFLX, roughly $40M 
(176 episodes, ~$225K/ep, roughly half of est. AMC rates of $450K / ep).  Most in 3Q, some delivered in 4Q
Sept 2011:  Hulu Japan</t>
        </r>
      </text>
    </comment>
    <comment ref="BA125" authorId="0">
      <text>
        <r>
          <rPr>
            <b/>
            <sz val="8"/>
            <color indexed="81"/>
            <rFont val="Tahoma"/>
            <family val="2"/>
          </rPr>
          <t>fiftrya:</t>
        </r>
        <r>
          <rPr>
            <sz val="8"/>
            <color indexed="81"/>
            <rFont val="Tahoma"/>
            <family val="2"/>
          </rPr>
          <t xml:space="preserve">
Remainder of CSI Miami
October 2012: extended NFLX Int'l for Canada, LatAm, UK. New deal covering Scandinavia.  Rev recognition for NFLX Int'l split b/w 4Q and 1Q
Nov 2012: Hulu US (possibly split b/w 4Q and 1Q)
CW digital (TV studio's share of CW deal, ~40mm, recurring)
</t>
        </r>
      </text>
    </comment>
    <comment ref="BC125" authorId="0">
      <text>
        <r>
          <rPr>
            <b/>
            <sz val="8"/>
            <color indexed="81"/>
            <rFont val="Tahoma"/>
            <family val="2"/>
          </rPr>
          <t>fiftrya:</t>
        </r>
        <r>
          <rPr>
            <sz val="8"/>
            <color indexed="81"/>
            <rFont val="Tahoma"/>
            <family val="2"/>
          </rPr>
          <t xml:space="preserve">
Assume some NFLX Int'l
AMZN reup
NFLX reup
$36M AMZN delivery of Good Wife (part 1)</t>
        </r>
      </text>
    </comment>
    <comment ref="BD125" authorId="5">
      <text>
        <r>
          <rPr>
            <b/>
            <sz val="8"/>
            <color indexed="81"/>
            <rFont val="Tahoma"/>
            <family val="2"/>
          </rPr>
          <t>hershk:</t>
        </r>
        <r>
          <rPr>
            <sz val="8"/>
            <color indexed="81"/>
            <rFont val="Tahoma"/>
            <family val="2"/>
          </rPr>
          <t xml:space="preserve">
CSI NY / NFLX deal - 180 episodes (8 seasons) assumes $400k / episode - CBS books revs gross but only owns 50% of show
assumes $10mm from AMZN Lovefilm deal, spread over 2 quarters
</t>
        </r>
      </text>
    </comment>
    <comment ref="BE125" authorId="0">
      <text>
        <r>
          <rPr>
            <sz val="8"/>
            <color indexed="81"/>
            <rFont val="Tahoma"/>
            <family val="2"/>
          </rPr>
          <t xml:space="preserve">Hulu delivery of Good Wife
AMZN delivery of Good Wife (part 2)
AMZN lovefilm deal adds $5mm
</t>
        </r>
      </text>
    </comment>
    <comment ref="BF125" authorId="0">
      <text>
        <r>
          <rPr>
            <b/>
            <sz val="8"/>
            <color indexed="81"/>
            <rFont val="Tahoma"/>
            <family val="2"/>
          </rPr>
          <t>fiftrya:</t>
        </r>
        <r>
          <rPr>
            <sz val="8"/>
            <color indexed="81"/>
            <rFont val="Tahoma"/>
            <family val="2"/>
          </rPr>
          <t xml:space="preserve">
$45mm CW digital renewal
$70mm of other syndication revs</t>
        </r>
      </text>
    </comment>
    <comment ref="BH125" authorId="0">
      <text>
        <r>
          <rPr>
            <sz val="8"/>
            <color indexed="81"/>
            <rFont val="Tahoma"/>
            <family val="2"/>
          </rPr>
          <t>Assume some NFLX Int'l
AMZN reup
NFLX reup</t>
        </r>
      </text>
    </comment>
    <comment ref="BK125" authorId="0">
      <text>
        <r>
          <rPr>
            <b/>
            <sz val="8"/>
            <color indexed="81"/>
            <rFont val="Tahoma"/>
            <family val="2"/>
          </rPr>
          <t>fiftrya:</t>
        </r>
        <r>
          <rPr>
            <sz val="8"/>
            <color indexed="81"/>
            <rFont val="Tahoma"/>
            <family val="2"/>
          </rPr>
          <t xml:space="preserve">
$45mm CW digital renewal
$70mm of other syndication revs</t>
        </r>
      </text>
    </comment>
    <comment ref="M145" authorId="1">
      <text>
        <r>
          <rPr>
            <b/>
            <sz val="9"/>
            <color indexed="81"/>
            <rFont val="Tahoma"/>
            <family val="2"/>
          </rPr>
          <t>Ripps, Maria (Research):</t>
        </r>
        <r>
          <rPr>
            <sz val="9"/>
            <color indexed="81"/>
            <rFont val="Tahoma"/>
            <family val="2"/>
          </rPr>
          <t xml:space="preserve">
Plan to repurchase about $800m-$1,000m in 2018</t>
        </r>
      </text>
    </comment>
  </commentList>
</comments>
</file>

<file path=xl/comments8.xml><?xml version="1.0" encoding="utf-8"?>
<comments xmlns="http://schemas.openxmlformats.org/spreadsheetml/2006/main">
  <authors>
    <author>svetlana</author>
    <author>A satisfied Microsoft Office user</author>
    <author>farrantj</author>
    <author>krisbon</author>
    <author>Scott Babka</author>
    <author>Ripps, Maria (Research)</author>
    <author>fiftrya</author>
    <author>Khadilkar, Hersh S (Research)</author>
    <author>sheilsk</author>
    <author>haberlec</author>
    <author>Kristi Bonner</author>
    <author>melletc</author>
    <author>benswin</author>
    <author>babka</author>
    <author>Chad Harris</author>
    <author>Micah Nance</author>
  </authors>
  <commentList>
    <comment ref="F4" authorId="0">
      <text>
        <r>
          <rPr>
            <b/>
            <sz val="8"/>
            <color indexed="81"/>
            <rFont val="Tahoma"/>
            <family val="2"/>
          </rPr>
          <t>svetlana:</t>
        </r>
        <r>
          <rPr>
            <sz val="8"/>
            <color indexed="81"/>
            <rFont val="Tahoma"/>
            <family val="2"/>
          </rPr>
          <t xml:space="preserve">
PF for configuration at the split</t>
        </r>
      </text>
    </comment>
    <comment ref="L4" authorId="0">
      <text>
        <r>
          <rPr>
            <b/>
            <sz val="8"/>
            <color indexed="81"/>
            <rFont val="Tahoma"/>
            <family val="2"/>
          </rPr>
          <t>svetlana:</t>
        </r>
        <r>
          <rPr>
            <sz val="8"/>
            <color indexed="81"/>
            <rFont val="Tahoma"/>
            <family val="2"/>
          </rPr>
          <t xml:space="preserve">
PF for configuration at the split</t>
        </r>
      </text>
    </comment>
    <comment ref="N4" authorId="1">
      <text>
        <r>
          <rPr>
            <sz val="8"/>
            <color indexed="81"/>
            <rFont val="Tahoma"/>
            <family val="2"/>
          </rPr>
          <t>melletc:
Includes BET</t>
        </r>
      </text>
    </comment>
    <comment ref="O4" authorId="0">
      <text>
        <r>
          <rPr>
            <b/>
            <sz val="8"/>
            <color indexed="81"/>
            <rFont val="Tahoma"/>
            <family val="2"/>
          </rPr>
          <t>svetlana:</t>
        </r>
        <r>
          <rPr>
            <sz val="8"/>
            <color indexed="81"/>
            <rFont val="Tahoma"/>
            <family val="2"/>
          </rPr>
          <t xml:space="preserve">
PF for configuration at the split</t>
        </r>
      </text>
    </comment>
    <comment ref="R4" authorId="1">
      <text>
        <r>
          <rPr>
            <sz val="8"/>
            <color indexed="81"/>
            <rFont val="Tahoma"/>
            <family val="2"/>
          </rPr>
          <t>melletc:
Includes BET</t>
        </r>
      </text>
    </comment>
    <comment ref="S4" authorId="0">
      <text>
        <r>
          <rPr>
            <b/>
            <sz val="8"/>
            <color indexed="81"/>
            <rFont val="Tahoma"/>
            <family val="2"/>
          </rPr>
          <t>svetlana:</t>
        </r>
        <r>
          <rPr>
            <sz val="8"/>
            <color indexed="81"/>
            <rFont val="Tahoma"/>
            <family val="2"/>
          </rPr>
          <t xml:space="preserve">
PF for configuration at the split</t>
        </r>
      </text>
    </comment>
    <comment ref="Y4" authorId="0">
      <text>
        <r>
          <rPr>
            <b/>
            <sz val="8"/>
            <color indexed="81"/>
            <rFont val="Tahoma"/>
            <family val="2"/>
          </rPr>
          <t>svetlana:</t>
        </r>
        <r>
          <rPr>
            <sz val="8"/>
            <color indexed="81"/>
            <rFont val="Tahoma"/>
            <family val="2"/>
          </rPr>
          <t xml:space="preserve">
PF for configuration at the split</t>
        </r>
      </text>
    </comment>
    <comment ref="Z4" authorId="0">
      <text>
        <r>
          <rPr>
            <b/>
            <sz val="8"/>
            <color indexed="81"/>
            <rFont val="Tahoma"/>
            <family val="2"/>
          </rPr>
          <t>svetlana:</t>
        </r>
        <r>
          <rPr>
            <sz val="8"/>
            <color indexed="81"/>
            <rFont val="Tahoma"/>
            <family val="2"/>
          </rPr>
          <t xml:space="preserve">
PF for configuration at the split</t>
        </r>
      </text>
    </comment>
    <comment ref="AA4" authorId="0">
      <text>
        <r>
          <rPr>
            <b/>
            <sz val="8"/>
            <color indexed="81"/>
            <rFont val="Tahoma"/>
            <family val="2"/>
          </rPr>
          <t>svetlana:</t>
        </r>
        <r>
          <rPr>
            <sz val="8"/>
            <color indexed="81"/>
            <rFont val="Tahoma"/>
            <family val="2"/>
          </rPr>
          <t xml:space="preserve">
PF for configuration at the split</t>
        </r>
      </text>
    </comment>
    <comment ref="CV8" authorId="0">
      <text>
        <r>
          <rPr>
            <b/>
            <sz val="8"/>
            <color indexed="81"/>
            <rFont val="Tahoma"/>
            <family val="2"/>
          </rPr>
          <t>svetlana:</t>
        </r>
        <r>
          <rPr>
            <sz val="8"/>
            <color indexed="81"/>
            <rFont val="Tahoma"/>
            <family val="2"/>
          </rPr>
          <t xml:space="preserve">
4% growth reported</t>
        </r>
      </text>
    </comment>
    <comment ref="DB9" authorId="2">
      <text>
        <r>
          <rPr>
            <b/>
            <sz val="8"/>
            <color indexed="81"/>
            <rFont val="Tahoma"/>
            <family val="2"/>
          </rPr>
          <t>farrantj:</t>
        </r>
        <r>
          <rPr>
            <sz val="8"/>
            <color indexed="81"/>
            <rFont val="Tahoma"/>
            <family val="2"/>
          </rPr>
          <t xml:space="preserve">
an increase of $6m related to allowance for doubtful accounts </t>
        </r>
      </text>
    </comment>
    <comment ref="DD9" authorId="3">
      <text>
        <r>
          <rPr>
            <b/>
            <sz val="8"/>
            <color indexed="81"/>
            <rFont val="Tahoma"/>
            <family val="2"/>
          </rPr>
          <t>krisbon:</t>
        </r>
        <r>
          <rPr>
            <sz val="8"/>
            <color indexed="81"/>
            <rFont val="Tahoma"/>
            <family val="2"/>
          </rPr>
          <t xml:space="preserve">
The Secret title did very well</t>
        </r>
      </text>
    </comment>
    <comment ref="S10" authorId="4">
      <text>
        <r>
          <rPr>
            <b/>
            <sz val="8"/>
            <color indexed="81"/>
            <rFont val="Tahoma"/>
            <family val="2"/>
          </rPr>
          <t>Scott Babka:</t>
        </r>
        <r>
          <rPr>
            <sz val="8"/>
            <color indexed="81"/>
            <rFont val="Tahoma"/>
            <family val="2"/>
          </rPr>
          <t xml:space="preserve">
Up 9% per 10K</t>
        </r>
      </text>
    </comment>
    <comment ref="CV10" authorId="0">
      <text>
        <r>
          <rPr>
            <b/>
            <sz val="8"/>
            <color indexed="81"/>
            <rFont val="Tahoma"/>
            <family val="2"/>
          </rPr>
          <t>svetlana:</t>
        </r>
        <r>
          <rPr>
            <sz val="8"/>
            <color indexed="81"/>
            <rFont val="Tahoma"/>
            <family val="2"/>
          </rPr>
          <t xml:space="preserve">
6% decline reported</t>
        </r>
      </text>
    </comment>
    <comment ref="CY10" authorId="2">
      <text>
        <r>
          <rPr>
            <b/>
            <sz val="8"/>
            <color indexed="81"/>
            <rFont val="Tahoma"/>
            <family val="2"/>
          </rPr>
          <t>farrantj:</t>
        </r>
        <r>
          <rPr>
            <sz val="8"/>
            <color indexed="81"/>
            <rFont val="Tahoma"/>
            <family val="2"/>
          </rPr>
          <t xml:space="preserve">
"publishing's revenues increased 14% in 2006"</t>
        </r>
      </text>
    </comment>
    <comment ref="CY16" authorId="2">
      <text>
        <r>
          <rPr>
            <b/>
            <sz val="8"/>
            <color indexed="81"/>
            <rFont val="Tahoma"/>
            <family val="2"/>
          </rPr>
          <t xml:space="preserve">farrantj:
</t>
        </r>
        <r>
          <rPr>
            <sz val="8"/>
            <color indexed="81"/>
            <rFont val="Tahoma"/>
            <family val="2"/>
          </rPr>
          <t xml:space="preserve">CBS indicated that publishing op income and OIBDA were up $3m for the quarter </t>
        </r>
      </text>
    </comment>
    <comment ref="F39" authorId="0">
      <text>
        <r>
          <rPr>
            <b/>
            <sz val="8"/>
            <color indexed="81"/>
            <rFont val="Tahoma"/>
            <family val="2"/>
          </rPr>
          <t>svetlana:</t>
        </r>
        <r>
          <rPr>
            <sz val="8"/>
            <color indexed="81"/>
            <rFont val="Tahoma"/>
            <family val="2"/>
          </rPr>
          <t xml:space="preserve">
PF for configuration at the split</t>
        </r>
      </text>
    </comment>
    <comment ref="L39" authorId="0">
      <text>
        <r>
          <rPr>
            <b/>
            <sz val="8"/>
            <color indexed="81"/>
            <rFont val="Tahoma"/>
            <family val="2"/>
          </rPr>
          <t>svetlana:</t>
        </r>
        <r>
          <rPr>
            <sz val="8"/>
            <color indexed="81"/>
            <rFont val="Tahoma"/>
            <family val="2"/>
          </rPr>
          <t xml:space="preserve">
PF for configuration at the split</t>
        </r>
      </text>
    </comment>
    <comment ref="O39" authorId="0">
      <text>
        <r>
          <rPr>
            <b/>
            <sz val="8"/>
            <color indexed="81"/>
            <rFont val="Tahoma"/>
            <family val="2"/>
          </rPr>
          <t>svetlana:</t>
        </r>
        <r>
          <rPr>
            <sz val="8"/>
            <color indexed="81"/>
            <rFont val="Tahoma"/>
            <family val="2"/>
          </rPr>
          <t xml:space="preserve">
PF for configuration at the split</t>
        </r>
      </text>
    </comment>
    <comment ref="S39" authorId="0">
      <text>
        <r>
          <rPr>
            <b/>
            <sz val="8"/>
            <color indexed="81"/>
            <rFont val="Tahoma"/>
            <family val="2"/>
          </rPr>
          <t>svetlana:</t>
        </r>
        <r>
          <rPr>
            <sz val="8"/>
            <color indexed="81"/>
            <rFont val="Tahoma"/>
            <family val="2"/>
          </rPr>
          <t xml:space="preserve">
PF for configuration at the split</t>
        </r>
      </text>
    </comment>
    <comment ref="Y39" authorId="0">
      <text>
        <r>
          <rPr>
            <b/>
            <sz val="8"/>
            <color indexed="81"/>
            <rFont val="Tahoma"/>
            <family val="2"/>
          </rPr>
          <t>svetlana:</t>
        </r>
        <r>
          <rPr>
            <sz val="8"/>
            <color indexed="81"/>
            <rFont val="Tahoma"/>
            <family val="2"/>
          </rPr>
          <t xml:space="preserve">
PF for configuration at the split</t>
        </r>
      </text>
    </comment>
    <comment ref="Z39" authorId="0">
      <text>
        <r>
          <rPr>
            <b/>
            <sz val="8"/>
            <color indexed="81"/>
            <rFont val="Tahoma"/>
            <family val="2"/>
          </rPr>
          <t>svetlana:</t>
        </r>
        <r>
          <rPr>
            <sz val="8"/>
            <color indexed="81"/>
            <rFont val="Tahoma"/>
            <family val="2"/>
          </rPr>
          <t xml:space="preserve">
PF for configuration at the split</t>
        </r>
      </text>
    </comment>
    <comment ref="AA39" authorId="0">
      <text>
        <r>
          <rPr>
            <b/>
            <sz val="8"/>
            <color indexed="81"/>
            <rFont val="Tahoma"/>
            <family val="2"/>
          </rPr>
          <t>svetlana:</t>
        </r>
        <r>
          <rPr>
            <sz val="8"/>
            <color indexed="81"/>
            <rFont val="Tahoma"/>
            <family val="2"/>
          </rPr>
          <t xml:space="preserve">
PF for configuration at the split</t>
        </r>
      </text>
    </comment>
    <comment ref="AH42" authorId="5">
      <text>
        <r>
          <rPr>
            <b/>
            <sz val="9"/>
            <color indexed="81"/>
            <rFont val="Tahoma"/>
            <family val="2"/>
          </rPr>
          <t>Ripps, Maria (Research):</t>
        </r>
        <r>
          <rPr>
            <sz val="9"/>
            <color indexed="81"/>
            <rFont val="Tahoma"/>
            <family val="2"/>
          </rPr>
          <t xml:space="preserve">
S-1</t>
        </r>
      </text>
    </comment>
    <comment ref="AI42" authorId="5">
      <text>
        <r>
          <rPr>
            <b/>
            <sz val="9"/>
            <color indexed="81"/>
            <rFont val="Tahoma"/>
            <family val="2"/>
          </rPr>
          <t>Ripps, Maria (Research):</t>
        </r>
        <r>
          <rPr>
            <sz val="9"/>
            <color indexed="81"/>
            <rFont val="Tahoma"/>
            <family val="2"/>
          </rPr>
          <t xml:space="preserve">
S-1</t>
        </r>
      </text>
    </comment>
    <comment ref="AJ42" authorId="5">
      <text>
        <r>
          <rPr>
            <b/>
            <sz val="9"/>
            <color indexed="81"/>
            <rFont val="Tahoma"/>
            <family val="2"/>
          </rPr>
          <t>Ripps, Maria (Research):</t>
        </r>
        <r>
          <rPr>
            <sz val="9"/>
            <color indexed="81"/>
            <rFont val="Tahoma"/>
            <family val="2"/>
          </rPr>
          <t xml:space="preserve">
S-1</t>
        </r>
      </text>
    </comment>
    <comment ref="AK42" authorId="5">
      <text>
        <r>
          <rPr>
            <b/>
            <sz val="9"/>
            <color indexed="81"/>
            <rFont val="Tahoma"/>
            <family val="2"/>
          </rPr>
          <t>Ripps, Maria (Research):</t>
        </r>
        <r>
          <rPr>
            <sz val="9"/>
            <color indexed="81"/>
            <rFont val="Tahoma"/>
            <family val="2"/>
          </rPr>
          <t xml:space="preserve">
S-1
</t>
        </r>
      </text>
    </comment>
    <comment ref="AL42" authorId="5">
      <text>
        <r>
          <rPr>
            <b/>
            <sz val="9"/>
            <color indexed="81"/>
            <rFont val="Tahoma"/>
            <family val="2"/>
          </rPr>
          <t>Ripps, Maria (Research):</t>
        </r>
        <r>
          <rPr>
            <sz val="9"/>
            <color indexed="81"/>
            <rFont val="Tahoma"/>
            <family val="2"/>
          </rPr>
          <t xml:space="preserve">
Restated, 8K, 10/14/16</t>
        </r>
      </text>
    </comment>
    <comment ref="AH43" authorId="6">
      <text>
        <r>
          <rPr>
            <b/>
            <sz val="8"/>
            <color indexed="81"/>
            <rFont val="Tahoma"/>
            <family val="2"/>
          </rPr>
          <t>fiftrya:</t>
        </r>
        <r>
          <rPr>
            <sz val="8"/>
            <color indexed="81"/>
            <rFont val="Tahoma"/>
            <family val="2"/>
          </rPr>
          <t xml:space="preserve">
ex-Int'l</t>
        </r>
      </text>
    </comment>
    <comment ref="AK48" authorId="7">
      <text>
        <r>
          <rPr>
            <b/>
            <sz val="9"/>
            <color indexed="81"/>
            <rFont val="Tahoma"/>
            <family val="2"/>
          </rPr>
          <t>Khadilkar, Hersh S (Research):</t>
        </r>
        <r>
          <rPr>
            <sz val="9"/>
            <color indexed="81"/>
            <rFont val="Tahoma"/>
            <family val="2"/>
          </rPr>
          <t xml:space="preserve">
radio only</t>
        </r>
      </text>
    </comment>
    <comment ref="AB52" authorId="0">
      <text>
        <r>
          <rPr>
            <b/>
            <sz val="8"/>
            <color indexed="81"/>
            <rFont val="Tahoma"/>
            <family val="2"/>
          </rPr>
          <t>svetlana:</t>
        </r>
        <r>
          <rPr>
            <sz val="8"/>
            <color indexed="81"/>
            <rFont val="Tahoma"/>
            <family val="2"/>
          </rPr>
          <t xml:space="preserve">
Includes $12m in 3Q05 and $16m in 4Q05 of expenses related to hurricanes Katrina and Rita</t>
        </r>
      </text>
    </comment>
    <comment ref="AH52" authorId="6">
      <text>
        <r>
          <rPr>
            <b/>
            <sz val="8"/>
            <color indexed="81"/>
            <rFont val="Tahoma"/>
            <family val="2"/>
          </rPr>
          <t>fiftrya:</t>
        </r>
        <r>
          <rPr>
            <sz val="8"/>
            <color indexed="81"/>
            <rFont val="Tahoma"/>
            <family val="2"/>
          </rPr>
          <t xml:space="preserve">
ex-Int'l</t>
        </r>
      </text>
    </comment>
    <comment ref="CV52" authorId="0">
      <text>
        <r>
          <rPr>
            <b/>
            <sz val="8"/>
            <color indexed="81"/>
            <rFont val="Tahoma"/>
            <family val="2"/>
          </rPr>
          <t>svetlana:</t>
        </r>
        <r>
          <rPr>
            <sz val="8"/>
            <color indexed="81"/>
            <rFont val="Tahoma"/>
            <family val="2"/>
          </rPr>
          <t xml:space="preserve">
Includes $12m expenses related to hurricanes Katrina and Rita</t>
        </r>
      </text>
    </comment>
    <comment ref="CW52" authorId="0">
      <text>
        <r>
          <rPr>
            <b/>
            <sz val="8"/>
            <color indexed="81"/>
            <rFont val="Tahoma"/>
            <family val="2"/>
          </rPr>
          <t>svetlana:</t>
        </r>
        <r>
          <rPr>
            <sz val="8"/>
            <color indexed="81"/>
            <rFont val="Tahoma"/>
            <family val="2"/>
          </rPr>
          <t xml:space="preserve">
Includes $16m expenses related to hurricane Katrina </t>
        </r>
      </text>
    </comment>
    <comment ref="AH58" authorId="5">
      <text>
        <r>
          <rPr>
            <b/>
            <sz val="9"/>
            <color indexed="81"/>
            <rFont val="Tahoma"/>
            <family val="2"/>
          </rPr>
          <t>Ripps, Maria (Research):</t>
        </r>
        <r>
          <rPr>
            <sz val="9"/>
            <color indexed="81"/>
            <rFont val="Tahoma"/>
            <family val="2"/>
          </rPr>
          <t xml:space="preserve">
S-1</t>
        </r>
      </text>
    </comment>
    <comment ref="AI58" authorId="5">
      <text>
        <r>
          <rPr>
            <b/>
            <sz val="9"/>
            <color indexed="81"/>
            <rFont val="Tahoma"/>
            <family val="2"/>
          </rPr>
          <t>Ripps, Maria (Research):</t>
        </r>
        <r>
          <rPr>
            <sz val="9"/>
            <color indexed="81"/>
            <rFont val="Tahoma"/>
            <family val="2"/>
          </rPr>
          <t xml:space="preserve">
S-1</t>
        </r>
      </text>
    </comment>
    <comment ref="AJ58" authorId="5">
      <text>
        <r>
          <rPr>
            <b/>
            <sz val="9"/>
            <color indexed="81"/>
            <rFont val="Tahoma"/>
            <family val="2"/>
          </rPr>
          <t>Ripps, Maria (Research):</t>
        </r>
        <r>
          <rPr>
            <sz val="9"/>
            <color indexed="81"/>
            <rFont val="Tahoma"/>
            <family val="2"/>
          </rPr>
          <t xml:space="preserve">
S-1</t>
        </r>
      </text>
    </comment>
    <comment ref="AK58" authorId="5">
      <text>
        <r>
          <rPr>
            <b/>
            <sz val="9"/>
            <color indexed="81"/>
            <rFont val="Tahoma"/>
            <family val="2"/>
          </rPr>
          <t>Ripps, Maria (Research):</t>
        </r>
        <r>
          <rPr>
            <sz val="9"/>
            <color indexed="81"/>
            <rFont val="Tahoma"/>
            <family val="2"/>
          </rPr>
          <t xml:space="preserve">
S-1</t>
        </r>
      </text>
    </comment>
    <comment ref="AL58" authorId="5">
      <text>
        <r>
          <rPr>
            <b/>
            <sz val="9"/>
            <color indexed="81"/>
            <rFont val="Tahoma"/>
            <family val="2"/>
          </rPr>
          <t>Ripps, Maria (Research):</t>
        </r>
        <r>
          <rPr>
            <sz val="9"/>
            <color indexed="81"/>
            <rFont val="Tahoma"/>
            <family val="2"/>
          </rPr>
          <t xml:space="preserve">
S-1</t>
        </r>
      </text>
    </comment>
    <comment ref="AK61" authorId="7">
      <text>
        <r>
          <rPr>
            <b/>
            <sz val="9"/>
            <color indexed="81"/>
            <rFont val="Tahoma"/>
            <family val="2"/>
          </rPr>
          <t>Khadilkar, Hersh S (Research):</t>
        </r>
        <r>
          <rPr>
            <sz val="9"/>
            <color indexed="81"/>
            <rFont val="Tahoma"/>
            <family val="2"/>
          </rPr>
          <t xml:space="preserve">
Radio as % of revenue</t>
        </r>
      </text>
    </comment>
    <comment ref="AF75" authorId="3">
      <text>
        <r>
          <rPr>
            <b/>
            <sz val="8"/>
            <color indexed="81"/>
            <rFont val="Tahoma"/>
            <family val="2"/>
          </rPr>
          <t>krisbon:</t>
        </r>
        <r>
          <rPr>
            <sz val="8"/>
            <color indexed="81"/>
            <rFont val="Tahoma"/>
            <family val="2"/>
          </rPr>
          <t xml:space="preserve">
$25.2m as of 9/30/09</t>
        </r>
      </text>
    </comment>
    <comment ref="AJ75" authorId="5">
      <text>
        <r>
          <rPr>
            <b/>
            <sz val="9"/>
            <color indexed="81"/>
            <rFont val="Tahoma"/>
            <family val="2"/>
          </rPr>
          <t>Ripps, Maria (Research):</t>
        </r>
        <r>
          <rPr>
            <sz val="9"/>
            <color indexed="81"/>
            <rFont val="Tahoma"/>
            <family val="2"/>
          </rPr>
          <t xml:space="preserve">
S-1 2016</t>
        </r>
      </text>
    </comment>
    <comment ref="AK75" authorId="5">
      <text>
        <r>
          <rPr>
            <b/>
            <sz val="9"/>
            <color indexed="81"/>
            <rFont val="Tahoma"/>
            <family val="2"/>
          </rPr>
          <t>Ripps, Maria (Research):</t>
        </r>
        <r>
          <rPr>
            <sz val="9"/>
            <color indexed="81"/>
            <rFont val="Tahoma"/>
            <family val="2"/>
          </rPr>
          <t xml:space="preserve">
S-1 2016</t>
        </r>
      </text>
    </comment>
    <comment ref="AL75" authorId="5">
      <text>
        <r>
          <rPr>
            <b/>
            <sz val="9"/>
            <color indexed="81"/>
            <rFont val="Tahoma"/>
            <family val="2"/>
          </rPr>
          <t>Ripps, Maria (Research):</t>
        </r>
        <r>
          <rPr>
            <sz val="9"/>
            <color indexed="81"/>
            <rFont val="Tahoma"/>
            <family val="2"/>
          </rPr>
          <t xml:space="preserve">
S-1 2016</t>
        </r>
      </text>
    </comment>
    <comment ref="AM75" authorId="5">
      <text>
        <r>
          <rPr>
            <b/>
            <sz val="9"/>
            <color indexed="81"/>
            <rFont val="Tahoma"/>
            <family val="2"/>
          </rPr>
          <t>Ripps, Maria (Research):</t>
        </r>
        <r>
          <rPr>
            <sz val="9"/>
            <color indexed="81"/>
            <rFont val="Tahoma"/>
            <family val="2"/>
          </rPr>
          <t xml:space="preserve">
down ~13% 9M'16</t>
        </r>
      </text>
    </comment>
    <comment ref="AK76" authorId="7">
      <text>
        <r>
          <rPr>
            <b/>
            <sz val="9"/>
            <color indexed="81"/>
            <rFont val="Tahoma"/>
            <family val="2"/>
          </rPr>
          <t>Khadilkar, Hersh S (Research):</t>
        </r>
        <r>
          <rPr>
            <sz val="9"/>
            <color indexed="81"/>
            <rFont val="Tahoma"/>
            <family val="2"/>
          </rPr>
          <t xml:space="preserve">
8 months of Outdoor capex from CBSO model
~$34M</t>
        </r>
      </text>
    </comment>
    <comment ref="F84" authorId="0">
      <text>
        <r>
          <rPr>
            <b/>
            <sz val="8"/>
            <color indexed="81"/>
            <rFont val="Tahoma"/>
            <family val="2"/>
          </rPr>
          <t>svetlana:</t>
        </r>
        <r>
          <rPr>
            <sz val="8"/>
            <color indexed="81"/>
            <rFont val="Tahoma"/>
            <family val="2"/>
          </rPr>
          <t xml:space="preserve">
PF for configuration at the split</t>
        </r>
      </text>
    </comment>
    <comment ref="L84" authorId="0">
      <text>
        <r>
          <rPr>
            <b/>
            <sz val="8"/>
            <color indexed="81"/>
            <rFont val="Tahoma"/>
            <family val="2"/>
          </rPr>
          <t>svetlana:</t>
        </r>
        <r>
          <rPr>
            <sz val="8"/>
            <color indexed="81"/>
            <rFont val="Tahoma"/>
            <family val="2"/>
          </rPr>
          <t xml:space="preserve">
PF for configuration at the split</t>
        </r>
      </text>
    </comment>
    <comment ref="O84" authorId="0">
      <text>
        <r>
          <rPr>
            <b/>
            <sz val="8"/>
            <color indexed="81"/>
            <rFont val="Tahoma"/>
            <family val="2"/>
          </rPr>
          <t>svetlana:</t>
        </r>
        <r>
          <rPr>
            <sz val="8"/>
            <color indexed="81"/>
            <rFont val="Tahoma"/>
            <family val="2"/>
          </rPr>
          <t xml:space="preserve">
PF for configuration at the split</t>
        </r>
      </text>
    </comment>
    <comment ref="S84" authorId="0">
      <text>
        <r>
          <rPr>
            <b/>
            <sz val="8"/>
            <color indexed="81"/>
            <rFont val="Tahoma"/>
            <family val="2"/>
          </rPr>
          <t>svetlana:</t>
        </r>
        <r>
          <rPr>
            <sz val="8"/>
            <color indexed="81"/>
            <rFont val="Tahoma"/>
            <family val="2"/>
          </rPr>
          <t xml:space="preserve">
PF for configuration at the split</t>
        </r>
      </text>
    </comment>
    <comment ref="Y84" authorId="0">
      <text>
        <r>
          <rPr>
            <b/>
            <sz val="8"/>
            <color indexed="81"/>
            <rFont val="Tahoma"/>
            <family val="2"/>
          </rPr>
          <t>svetlana:</t>
        </r>
        <r>
          <rPr>
            <sz val="8"/>
            <color indexed="81"/>
            <rFont val="Tahoma"/>
            <family val="2"/>
          </rPr>
          <t xml:space="preserve">
PF for configuration at the split</t>
        </r>
      </text>
    </comment>
    <comment ref="Z84" authorId="0">
      <text>
        <r>
          <rPr>
            <b/>
            <sz val="8"/>
            <color indexed="81"/>
            <rFont val="Tahoma"/>
            <family val="2"/>
          </rPr>
          <t>svetlana:</t>
        </r>
        <r>
          <rPr>
            <sz val="8"/>
            <color indexed="81"/>
            <rFont val="Tahoma"/>
            <family val="2"/>
          </rPr>
          <t xml:space="preserve">
PF for configuration at the split</t>
        </r>
      </text>
    </comment>
    <comment ref="AA84" authorId="0">
      <text>
        <r>
          <rPr>
            <b/>
            <sz val="8"/>
            <color indexed="81"/>
            <rFont val="Tahoma"/>
            <family val="2"/>
          </rPr>
          <t>svetlana:</t>
        </r>
        <r>
          <rPr>
            <sz val="8"/>
            <color indexed="81"/>
            <rFont val="Tahoma"/>
            <family val="2"/>
          </rPr>
          <t xml:space="preserve">
PF for configuration at the split</t>
        </r>
      </text>
    </comment>
    <comment ref="BU86" authorId="1">
      <text>
        <r>
          <rPr>
            <sz val="8"/>
            <color indexed="81"/>
            <rFont val="Tahoma"/>
            <family val="2"/>
          </rPr>
          <t>melletc:
Includes the Superbowl</t>
        </r>
      </text>
    </comment>
    <comment ref="BZ86" authorId="8">
      <text>
        <r>
          <rPr>
            <b/>
            <sz val="8"/>
            <color indexed="81"/>
            <rFont val="Tahoma"/>
            <family val="2"/>
          </rPr>
          <t>sheilsk:</t>
        </r>
        <r>
          <rPr>
            <sz val="8"/>
            <color indexed="81"/>
            <rFont val="Tahoma"/>
            <family val="2"/>
          </rPr>
          <t xml:space="preserve">
competed with the Olympics on NBC in addition to tough Super Bowl comp from 1Q01</t>
        </r>
      </text>
    </comment>
    <comment ref="CF86" authorId="4">
      <text>
        <r>
          <rPr>
            <b/>
            <sz val="8"/>
            <color indexed="81"/>
            <rFont val="Tahoma"/>
            <family val="2"/>
          </rPr>
          <t>Scott Babka:</t>
        </r>
        <r>
          <rPr>
            <sz val="8"/>
            <color indexed="81"/>
            <rFont val="Tahoma"/>
            <family val="2"/>
          </rPr>
          <t xml:space="preserve">
NCAA semifinals in 2Q03</t>
        </r>
      </text>
    </comment>
    <comment ref="CK86" authorId="0">
      <text>
        <r>
          <rPr>
            <b/>
            <sz val="8"/>
            <color indexed="81"/>
            <rFont val="Tahoma"/>
            <family val="2"/>
          </rPr>
          <t>svetlana:</t>
        </r>
        <r>
          <rPr>
            <sz val="8"/>
            <color indexed="81"/>
            <rFont val="Tahoma"/>
            <family val="2"/>
          </rPr>
          <t xml:space="preserve">
Total advertising growth at both networks was 10%</t>
        </r>
      </text>
    </comment>
    <comment ref="CL86" authorId="0">
      <text>
        <r>
          <rPr>
            <b/>
            <sz val="8"/>
            <color indexed="81"/>
            <rFont val="Tahoma"/>
            <family val="2"/>
          </rPr>
          <t>svetlana:</t>
        </r>
        <r>
          <rPr>
            <sz val="8"/>
            <color indexed="81"/>
            <rFont val="Tahoma"/>
            <family val="2"/>
          </rPr>
          <t xml:space="preserve">
lower sports revenue due to 2 fewer NFL broadcasts</t>
        </r>
      </text>
    </comment>
    <comment ref="CP86" authorId="0">
      <text>
        <r>
          <rPr>
            <b/>
            <sz val="8"/>
            <color indexed="81"/>
            <rFont val="Tahoma"/>
            <family val="2"/>
          </rPr>
          <t>svetlana:</t>
        </r>
        <r>
          <rPr>
            <sz val="8"/>
            <color indexed="81"/>
            <rFont val="Tahoma"/>
            <family val="2"/>
          </rPr>
          <t xml:space="preserve">
Total advertising growth at both networks was 10%</t>
        </r>
      </text>
    </comment>
    <comment ref="CQ86" authorId="0">
      <text>
        <r>
          <rPr>
            <b/>
            <sz val="8"/>
            <color indexed="81"/>
            <rFont val="Tahoma"/>
            <family val="2"/>
          </rPr>
          <t>svetlana:</t>
        </r>
        <r>
          <rPr>
            <sz val="8"/>
            <color indexed="81"/>
            <rFont val="Tahoma"/>
            <family val="2"/>
          </rPr>
          <t xml:space="preserve">
lower sports revenue due to 2 fewer NFL broadcasts</t>
        </r>
      </text>
    </comment>
    <comment ref="CY86" authorId="2">
      <text>
        <r>
          <rPr>
            <b/>
            <sz val="8"/>
            <color indexed="81"/>
            <rFont val="Tahoma"/>
            <family val="2"/>
          </rPr>
          <t>farrantj:</t>
        </r>
        <r>
          <rPr>
            <sz val="8"/>
            <color indexed="81"/>
            <rFont val="Tahoma"/>
            <family val="2"/>
          </rPr>
          <t xml:space="preserve">
had previously expected 1,310 and +7%</t>
        </r>
      </text>
    </comment>
    <comment ref="DG86" authorId="9">
      <text>
        <r>
          <rPr>
            <b/>
            <sz val="8"/>
            <color indexed="81"/>
            <rFont val="Tahoma"/>
            <family val="2"/>
          </rPr>
          <t>haberlec:</t>
        </r>
        <r>
          <rPr>
            <sz val="8"/>
            <color indexed="81"/>
            <rFont val="Tahoma"/>
            <family val="2"/>
          </rPr>
          <t xml:space="preserve">
revenues flat versus 4Q06</t>
        </r>
      </text>
    </comment>
    <comment ref="DI86" authorId="9">
      <text>
        <r>
          <rPr>
            <b/>
            <sz val="8"/>
            <color indexed="81"/>
            <rFont val="Tahoma"/>
            <family val="2"/>
          </rPr>
          <t>haberlec:</t>
        </r>
        <r>
          <rPr>
            <sz val="8"/>
            <color indexed="81"/>
            <rFont val="Tahoma"/>
            <family val="2"/>
          </rPr>
          <t xml:space="preserve">
Absence of Super Bowl and NCAA Semifinals.  Down 2% in quarter per call</t>
        </r>
      </text>
    </comment>
    <comment ref="DJ86" authorId="9">
      <text>
        <r>
          <rPr>
            <b/>
            <sz val="8"/>
            <color indexed="81"/>
            <rFont val="Tahoma"/>
            <family val="2"/>
          </rPr>
          <t>haberlec:</t>
        </r>
        <r>
          <rPr>
            <sz val="8"/>
            <color indexed="81"/>
            <rFont val="Tahoma"/>
            <family val="2"/>
          </rPr>
          <t xml:space="preserve">
Adds NCAA Semifinals, which were in 1Q in 2007</t>
        </r>
      </text>
    </comment>
    <comment ref="DK86" authorId="10">
      <text>
        <r>
          <rPr>
            <b/>
            <sz val="8"/>
            <color indexed="81"/>
            <rFont val="Tahoma"/>
            <family val="2"/>
          </rPr>
          <t>Kristi Bonner:</t>
        </r>
        <r>
          <rPr>
            <sz val="8"/>
            <color indexed="81"/>
            <rFont val="Tahoma"/>
            <family val="2"/>
          </rPr>
          <t xml:space="preserve">
television advertising down 12% YoY in 3Q</t>
        </r>
      </text>
    </comment>
    <comment ref="BZ87" authorId="11">
      <text>
        <r>
          <rPr>
            <b/>
            <sz val="8"/>
            <color indexed="81"/>
            <rFont val="Tahoma"/>
            <family val="2"/>
          </rPr>
          <t>melletc:</t>
        </r>
        <r>
          <rPr>
            <sz val="8"/>
            <color indexed="81"/>
            <rFont val="Tahoma"/>
            <family val="2"/>
          </rPr>
          <t xml:space="preserve">
Super Bowl absent from 1Q02- assume $180mm of revenue from Super Bowl in 1Q01</t>
        </r>
      </text>
    </comment>
    <comment ref="CY87" authorId="2">
      <text>
        <r>
          <rPr>
            <b/>
            <sz val="8"/>
            <color indexed="81"/>
            <rFont val="Tahoma"/>
            <family val="2"/>
          </rPr>
          <t>farrantj:</t>
        </r>
        <r>
          <rPr>
            <sz val="8"/>
            <color indexed="81"/>
            <rFont val="Tahoma"/>
            <family val="2"/>
          </rPr>
          <t xml:space="preserve">
company indicated on the call that CBS network was +1% or so and that CSTV lost "high single digit millions" in the quarter -we had been thinking flat</t>
        </r>
      </text>
    </comment>
    <comment ref="CZ87" authorId="2">
      <text>
        <r>
          <rPr>
            <b/>
            <sz val="8"/>
            <color indexed="81"/>
            <rFont val="Tahoma"/>
            <family val="2"/>
          </rPr>
          <t>farrantj:</t>
        </r>
        <r>
          <rPr>
            <sz val="8"/>
            <color indexed="81"/>
            <rFont val="Tahoma"/>
            <family val="2"/>
          </rPr>
          <t xml:space="preserve">
CBS indicated on the call that the CBS network was down 1.5%</t>
        </r>
      </text>
    </comment>
    <comment ref="DN87" authorId="12">
      <text>
        <r>
          <rPr>
            <b/>
            <sz val="8"/>
            <color indexed="81"/>
            <rFont val="Tahoma"/>
            <family val="2"/>
          </rPr>
          <t xml:space="preserve">krisbon:  </t>
        </r>
        <r>
          <rPr>
            <sz val="8"/>
            <color indexed="81"/>
            <rFont val="Tahoma"/>
            <family val="2"/>
          </rPr>
          <t>down 8.6% per call</t>
        </r>
      </text>
    </comment>
    <comment ref="DP87" authorId="3">
      <text>
        <r>
          <rPr>
            <b/>
            <sz val="8"/>
            <color indexed="81"/>
            <rFont val="Tahoma"/>
            <family val="2"/>
          </rPr>
          <t>krisbon:</t>
        </r>
        <r>
          <rPr>
            <sz val="8"/>
            <color indexed="81"/>
            <rFont val="Tahoma"/>
            <family val="2"/>
          </rPr>
          <t xml:space="preserve">
network up slightly</t>
        </r>
      </text>
    </comment>
    <comment ref="AC88" authorId="2">
      <text>
        <r>
          <rPr>
            <b/>
            <sz val="8"/>
            <color indexed="81"/>
            <rFont val="Tahoma"/>
            <family val="2"/>
          </rPr>
          <t>farrantj:</t>
        </r>
        <r>
          <rPr>
            <sz val="8"/>
            <color indexed="81"/>
            <rFont val="Tahoma"/>
            <family val="2"/>
          </rPr>
          <t xml:space="preserve">
previosly expected 186.9</t>
        </r>
      </text>
    </comment>
    <comment ref="R89" authorId="13">
      <text>
        <r>
          <rPr>
            <b/>
            <sz val="8"/>
            <color indexed="81"/>
            <rFont val="Tahoma"/>
            <family val="2"/>
          </rPr>
          <t>babka:</t>
        </r>
        <r>
          <rPr>
            <sz val="8"/>
            <color indexed="81"/>
            <rFont val="Tahoma"/>
            <family val="2"/>
          </rPr>
          <t xml:space="preserve">
Changed from 15% on 2/11</t>
        </r>
      </text>
    </comment>
    <comment ref="CY89" authorId="2">
      <text>
        <r>
          <rPr>
            <b/>
            <sz val="8"/>
            <color indexed="81"/>
            <rFont val="Tahoma"/>
            <family val="2"/>
          </rPr>
          <t>farrantj:</t>
        </r>
        <r>
          <rPr>
            <sz val="8"/>
            <color indexed="81"/>
            <rFont val="Tahoma"/>
            <family val="2"/>
          </rPr>
          <t xml:space="preserve">
we had +4% expected - however the company indicated that UPN was out for sale given the CW announcement</t>
        </r>
      </text>
    </comment>
    <comment ref="DA90" authorId="2">
      <text>
        <r>
          <rPr>
            <b/>
            <sz val="8"/>
            <color indexed="81"/>
            <rFont val="Tahoma"/>
            <family val="2"/>
          </rPr>
          <t>farrantj:</t>
        </r>
        <r>
          <rPr>
            <sz val="8"/>
            <color indexed="81"/>
            <rFont val="Tahoma"/>
            <family val="2"/>
          </rPr>
          <t xml:space="preserve">
TV advertising revenues down 3% for the quarter - on shut down of UPN, absense of Emmy's - partially offset by political - unclear on how much network is down in total</t>
        </r>
      </text>
    </comment>
    <comment ref="X91" authorId="0">
      <text>
        <r>
          <rPr>
            <b/>
            <sz val="8"/>
            <color indexed="81"/>
            <rFont val="Tahoma"/>
            <family val="2"/>
          </rPr>
          <t>svetlana:</t>
        </r>
        <r>
          <rPr>
            <sz val="8"/>
            <color indexed="81"/>
            <rFont val="Tahoma"/>
            <family val="2"/>
          </rPr>
          <t xml:space="preserve">
12% ad growth</t>
        </r>
      </text>
    </comment>
    <comment ref="AB91" authorId="0">
      <text>
        <r>
          <rPr>
            <b/>
            <sz val="8"/>
            <color indexed="81"/>
            <rFont val="Tahoma"/>
            <family val="2"/>
          </rPr>
          <t>svetlana:</t>
        </r>
        <r>
          <rPr>
            <sz val="8"/>
            <color indexed="81"/>
            <rFont val="Tahoma"/>
            <family val="2"/>
          </rPr>
          <t xml:space="preserve">
4% growth reported</t>
        </r>
      </text>
    </comment>
    <comment ref="CM91" authorId="0">
      <text>
        <r>
          <rPr>
            <b/>
            <sz val="8"/>
            <color indexed="81"/>
            <rFont val="Tahoma"/>
            <family val="2"/>
          </rPr>
          <t>svetlana:</t>
        </r>
        <r>
          <rPr>
            <sz val="8"/>
            <color indexed="81"/>
            <rFont val="Tahoma"/>
            <family val="2"/>
          </rPr>
          <t xml:space="preserve">
5% growth for both CBS and UPN</t>
        </r>
      </text>
    </comment>
    <comment ref="CR91" authorId="0">
      <text>
        <r>
          <rPr>
            <b/>
            <sz val="8"/>
            <color indexed="81"/>
            <rFont val="Tahoma"/>
            <family val="2"/>
          </rPr>
          <t>svetlana:</t>
        </r>
        <r>
          <rPr>
            <sz val="8"/>
            <color indexed="81"/>
            <rFont val="Tahoma"/>
            <family val="2"/>
          </rPr>
          <t xml:space="preserve">
5% growth for both CBS and UPN</t>
        </r>
      </text>
    </comment>
    <comment ref="CT91" authorId="0">
      <text>
        <r>
          <rPr>
            <b/>
            <sz val="8"/>
            <color indexed="81"/>
            <rFont val="Tahoma"/>
            <family val="2"/>
          </rPr>
          <t>svetlana:</t>
        </r>
        <r>
          <rPr>
            <sz val="8"/>
            <color indexed="81"/>
            <rFont val="Tahoma"/>
            <family val="2"/>
          </rPr>
          <t xml:space="preserve">
Revenue declined 4% at combined networks</t>
        </r>
      </text>
    </comment>
    <comment ref="CW91" authorId="0">
      <text>
        <r>
          <rPr>
            <b/>
            <sz val="8"/>
            <color indexed="81"/>
            <rFont val="Tahoma"/>
            <family val="2"/>
          </rPr>
          <t>svetlana:</t>
        </r>
        <r>
          <rPr>
            <sz val="8"/>
            <color indexed="81"/>
            <rFont val="Tahoma"/>
            <family val="2"/>
          </rPr>
          <t xml:space="preserve">
6% growth reported</t>
        </r>
      </text>
    </comment>
    <comment ref="CT93" authorId="0">
      <text>
        <r>
          <rPr>
            <b/>
            <sz val="8"/>
            <color indexed="81"/>
            <rFont val="Tahoma"/>
            <family val="2"/>
          </rPr>
          <t>svetlana:</t>
        </r>
        <r>
          <rPr>
            <sz val="8"/>
            <color indexed="81"/>
            <rFont val="Tahoma"/>
            <family val="2"/>
          </rPr>
          <t xml:space="preserve">
Takes out comps on Super Bowl and political advertising</t>
        </r>
      </text>
    </comment>
    <comment ref="CU93" authorId="0">
      <text>
        <r>
          <rPr>
            <b/>
            <sz val="8"/>
            <color indexed="81"/>
            <rFont val="Tahoma"/>
            <family val="2"/>
          </rPr>
          <t>svetlana:</t>
        </r>
        <r>
          <rPr>
            <sz val="8"/>
            <color indexed="81"/>
            <rFont val="Tahoma"/>
            <family val="2"/>
          </rPr>
          <t xml:space="preserve">
Takes out comps on political advertising</t>
        </r>
      </text>
    </comment>
    <comment ref="CV93" authorId="0">
      <text>
        <r>
          <rPr>
            <b/>
            <sz val="8"/>
            <color indexed="81"/>
            <rFont val="Tahoma"/>
            <family val="2"/>
          </rPr>
          <t>svetlana:</t>
        </r>
        <r>
          <rPr>
            <sz val="8"/>
            <color indexed="81"/>
            <rFont val="Tahoma"/>
            <family val="2"/>
          </rPr>
          <t xml:space="preserve">
Takes out comps on political advertising</t>
        </r>
      </text>
    </comment>
    <comment ref="DA93" authorId="2">
      <text>
        <r>
          <rPr>
            <b/>
            <sz val="8"/>
            <color indexed="81"/>
            <rFont val="Tahoma"/>
            <family val="2"/>
          </rPr>
          <t>farrantj:</t>
        </r>
        <r>
          <rPr>
            <sz val="8"/>
            <color indexed="81"/>
            <rFont val="Tahoma"/>
            <family val="2"/>
          </rPr>
          <t xml:space="preserve">
=(CE93*(1+0.026))+((120/2)*0.25) -assumtions to get you to +5.3%</t>
        </r>
      </text>
    </comment>
    <comment ref="DB93" authorId="2">
      <text>
        <r>
          <rPr>
            <b/>
            <sz val="8"/>
            <color indexed="81"/>
            <rFont val="Tahoma"/>
            <family val="2"/>
          </rPr>
          <t>farrantj:</t>
        </r>
        <r>
          <rPr>
            <sz val="8"/>
            <color indexed="81"/>
            <rFont val="Tahoma"/>
            <family val="2"/>
          </rPr>
          <t xml:space="preserve">
but if we grow 4Q by 2.5% and assumed 85% of incremental $60 m of political falls into 4Q, we get $418 , which is 700 bps faster than 8% </t>
        </r>
      </text>
    </comment>
    <comment ref="DE93" authorId="12">
      <text>
        <r>
          <rPr>
            <b/>
            <sz val="8"/>
            <color indexed="81"/>
            <rFont val="Tahoma"/>
            <family val="2"/>
          </rPr>
          <t>benswin:</t>
        </r>
        <r>
          <rPr>
            <sz val="8"/>
            <color indexed="81"/>
            <rFont val="Tahoma"/>
            <family val="2"/>
          </rPr>
          <t xml:space="preserve">
Green Bay station sale closed April 16th, $50 mm annual reve's.  New Orleans closed February.</t>
        </r>
      </text>
    </comment>
    <comment ref="DF93" authorId="14">
      <text>
        <r>
          <rPr>
            <b/>
            <sz val="8"/>
            <color indexed="81"/>
            <rFont val="Tahoma"/>
            <family val="2"/>
          </rPr>
          <t>Chad Harris:</t>
        </r>
        <r>
          <rPr>
            <sz val="8"/>
            <color indexed="81"/>
            <rFont val="Tahoma"/>
            <family val="2"/>
          </rPr>
          <t xml:space="preserve">
Less $37 mm for station sale ($70-80 mm in revs) expected to close in 2Q07; assume 75% of revs allocated to CBS and 40% to CW</t>
        </r>
      </text>
    </comment>
    <comment ref="DG93" authorId="12">
      <text>
        <r>
          <rPr>
            <b/>
            <sz val="8"/>
            <color indexed="81"/>
            <rFont val="Tahoma"/>
            <family val="2"/>
          </rPr>
          <t>benswin:</t>
        </r>
        <r>
          <rPr>
            <sz val="8"/>
            <color indexed="81"/>
            <rFont val="Tahoma"/>
            <family val="2"/>
          </rPr>
          <t xml:space="preserve">
includes impact of N'Awlins, Green Bay, and Cerberus.</t>
        </r>
      </text>
    </comment>
    <comment ref="DJ93" authorId="9">
      <text>
        <r>
          <rPr>
            <b/>
            <sz val="8"/>
            <color indexed="81"/>
            <rFont val="Tahoma"/>
            <family val="2"/>
          </rPr>
          <t>haberlec:</t>
        </r>
        <r>
          <rPr>
            <sz val="8"/>
            <color indexed="81"/>
            <rFont val="Tahoma"/>
            <family val="2"/>
          </rPr>
          <t xml:space="preserve">
adjusted for $5mm in asset sales</t>
        </r>
      </text>
    </comment>
    <comment ref="DK93" authorId="10">
      <text>
        <r>
          <rPr>
            <b/>
            <sz val="8"/>
            <color indexed="81"/>
            <rFont val="Tahoma"/>
            <family val="2"/>
          </rPr>
          <t>Kristi Bonner:</t>
        </r>
        <r>
          <rPr>
            <sz val="8"/>
            <color indexed="81"/>
            <rFont val="Tahoma"/>
            <family val="2"/>
          </rPr>
          <t xml:space="preserve">
$20m net political at stations in 3Q08.  reported local broadcast new segment less reported radio
</t>
        </r>
      </text>
    </comment>
    <comment ref="DP93" authorId="3">
      <text>
        <r>
          <rPr>
            <b/>
            <sz val="8"/>
            <color indexed="81"/>
            <rFont val="Tahoma"/>
            <family val="2"/>
          </rPr>
          <t>krisbon:</t>
        </r>
        <r>
          <rPr>
            <sz val="8"/>
            <color indexed="81"/>
            <rFont val="Tahoma"/>
            <family val="2"/>
          </rPr>
          <t xml:space="preserve">
reported new local broadcast less reported radio</t>
        </r>
      </text>
    </comment>
    <comment ref="CV94" authorId="0">
      <text>
        <r>
          <rPr>
            <b/>
            <sz val="8"/>
            <color indexed="81"/>
            <rFont val="Tahoma"/>
            <family val="2"/>
          </rPr>
          <t>svetlana:</t>
        </r>
        <r>
          <rPr>
            <sz val="8"/>
            <color indexed="81"/>
            <rFont val="Tahoma"/>
            <family val="2"/>
          </rPr>
          <t xml:space="preserve">
1% growth stated</t>
        </r>
      </text>
    </comment>
    <comment ref="CW94" authorId="0">
      <text>
        <r>
          <rPr>
            <b/>
            <sz val="8"/>
            <color indexed="81"/>
            <rFont val="Tahoma"/>
            <family val="2"/>
          </rPr>
          <t>svetlana:</t>
        </r>
        <r>
          <rPr>
            <sz val="8"/>
            <color indexed="81"/>
            <rFont val="Tahoma"/>
            <family val="2"/>
          </rPr>
          <t xml:space="preserve">
About $50m lost in national political, but gain some of it back through non-presidential elections
The biggest negative impact of tough comps on political advertising in 4Q04</t>
        </r>
      </text>
    </comment>
    <comment ref="CY94" authorId="2">
      <text>
        <r>
          <rPr>
            <b/>
            <sz val="8"/>
            <color indexed="81"/>
            <rFont val="Tahoma"/>
            <family val="2"/>
          </rPr>
          <t>farrantj:</t>
        </r>
        <r>
          <rPr>
            <sz val="8"/>
            <color indexed="81"/>
            <rFont val="Tahoma"/>
            <family val="2"/>
          </rPr>
          <t xml:space="preserve">
CBS indicated on the call that its total station group was up 2.5%.  3% CBS growth and 1.5% UPN growth gets you to +2.5% in total</t>
        </r>
      </text>
    </comment>
    <comment ref="DL94" authorId="12">
      <text>
        <r>
          <rPr>
            <b/>
            <sz val="8"/>
            <color indexed="81"/>
            <rFont val="Tahoma"/>
            <family val="2"/>
          </rPr>
          <t>benswin:</t>
        </r>
        <r>
          <rPr>
            <sz val="8"/>
            <color indexed="81"/>
            <rFont val="Tahoma"/>
            <family val="2"/>
          </rPr>
          <t xml:space="preserve">
adjusted for political of $60m per call </t>
        </r>
      </text>
    </comment>
    <comment ref="DQ94" authorId="3">
      <text>
        <r>
          <rPr>
            <b/>
            <sz val="8"/>
            <color indexed="81"/>
            <rFont val="Tahoma"/>
            <family val="2"/>
          </rPr>
          <t>krisbon:</t>
        </r>
        <r>
          <rPr>
            <sz val="8"/>
            <color indexed="81"/>
            <rFont val="Tahoma"/>
            <family val="2"/>
          </rPr>
          <t xml:space="preserve">
adjusted for political comp</t>
        </r>
      </text>
    </comment>
    <comment ref="AB97" authorId="0">
      <text>
        <r>
          <rPr>
            <b/>
            <sz val="8"/>
            <color indexed="81"/>
            <rFont val="Tahoma"/>
            <family val="2"/>
          </rPr>
          <t>svetlana:</t>
        </r>
        <r>
          <rPr>
            <sz val="8"/>
            <color indexed="81"/>
            <rFont val="Tahoma"/>
            <family val="2"/>
          </rPr>
          <t xml:space="preserve">
Absence of political and Super Bowl advertising should lead to $80m decline, which will be offset, if stations post organic revenue growth of 4.0-4.5%
Total political advertising was $95m in 2004, of which we estimate $50m will be truly lost in 2005. Political advertising is not entirely incremental, part of it crowds out other types of advertising.  Super Bowl was $30m of ad revenue in 2004.</t>
        </r>
      </text>
    </comment>
    <comment ref="CJ97" authorId="0">
      <text>
        <r>
          <rPr>
            <b/>
            <sz val="8"/>
            <color indexed="81"/>
            <rFont val="Tahoma"/>
            <family val="2"/>
          </rPr>
          <t>svetlana:</t>
        </r>
        <r>
          <rPr>
            <sz val="8"/>
            <color indexed="81"/>
            <rFont val="Tahoma"/>
            <family val="2"/>
          </rPr>
          <t xml:space="preserve">
$12m politial and $30m Super Bowl advertising</t>
        </r>
      </text>
    </comment>
    <comment ref="CK97" authorId="0">
      <text>
        <r>
          <rPr>
            <b/>
            <sz val="8"/>
            <color indexed="81"/>
            <rFont val="Tahoma"/>
            <family val="2"/>
          </rPr>
          <t>svetlana:</t>
        </r>
        <r>
          <rPr>
            <sz val="8"/>
            <color indexed="81"/>
            <rFont val="Tahoma"/>
            <family val="2"/>
          </rPr>
          <t xml:space="preserve">
$10m total political advertising</t>
        </r>
      </text>
    </comment>
    <comment ref="CL97" authorId="0">
      <text>
        <r>
          <rPr>
            <b/>
            <sz val="8"/>
            <color indexed="81"/>
            <rFont val="Tahoma"/>
            <family val="2"/>
          </rPr>
          <t>svetlana:</t>
        </r>
        <r>
          <rPr>
            <sz val="8"/>
            <color indexed="81"/>
            <rFont val="Tahoma"/>
            <family val="2"/>
          </rPr>
          <t xml:space="preserve">
$18m total political advertising</t>
        </r>
      </text>
    </comment>
    <comment ref="CM97" authorId="0">
      <text>
        <r>
          <rPr>
            <b/>
            <sz val="8"/>
            <color indexed="81"/>
            <rFont val="Tahoma"/>
            <family val="2"/>
          </rPr>
          <t>svetlana:</t>
        </r>
        <r>
          <rPr>
            <sz val="8"/>
            <color indexed="81"/>
            <rFont val="Tahoma"/>
            <family val="2"/>
          </rPr>
          <t xml:space="preserve">
$54m total political advertising</t>
        </r>
      </text>
    </comment>
    <comment ref="CO97" authorId="0">
      <text>
        <r>
          <rPr>
            <b/>
            <sz val="8"/>
            <color indexed="81"/>
            <rFont val="Tahoma"/>
            <family val="2"/>
          </rPr>
          <t>svetlana:</t>
        </r>
        <r>
          <rPr>
            <sz val="8"/>
            <color indexed="81"/>
            <rFont val="Tahoma"/>
            <family val="2"/>
          </rPr>
          <t xml:space="preserve">
$12m politial and $30m Super Bowl advertising</t>
        </r>
      </text>
    </comment>
    <comment ref="CP97" authorId="0">
      <text>
        <r>
          <rPr>
            <b/>
            <sz val="8"/>
            <color indexed="81"/>
            <rFont val="Tahoma"/>
            <family val="2"/>
          </rPr>
          <t>svetlana:</t>
        </r>
        <r>
          <rPr>
            <sz val="8"/>
            <color indexed="81"/>
            <rFont val="Tahoma"/>
            <family val="2"/>
          </rPr>
          <t xml:space="preserve">
$10m total political advertising</t>
        </r>
      </text>
    </comment>
    <comment ref="CQ97" authorId="0">
      <text>
        <r>
          <rPr>
            <b/>
            <sz val="8"/>
            <color indexed="81"/>
            <rFont val="Tahoma"/>
            <family val="2"/>
          </rPr>
          <t>svetlana:</t>
        </r>
        <r>
          <rPr>
            <sz val="8"/>
            <color indexed="81"/>
            <rFont val="Tahoma"/>
            <family val="2"/>
          </rPr>
          <t xml:space="preserve">
$18m total political advertising</t>
        </r>
      </text>
    </comment>
    <comment ref="CR97" authorId="0">
      <text>
        <r>
          <rPr>
            <b/>
            <sz val="8"/>
            <color indexed="81"/>
            <rFont val="Tahoma"/>
            <family val="2"/>
          </rPr>
          <t>svetlana:</t>
        </r>
        <r>
          <rPr>
            <sz val="8"/>
            <color indexed="81"/>
            <rFont val="Tahoma"/>
            <family val="2"/>
          </rPr>
          <t xml:space="preserve">
$54m total political advertising</t>
        </r>
      </text>
    </comment>
    <comment ref="DI97" authorId="3">
      <text>
        <r>
          <rPr>
            <b/>
            <sz val="8"/>
            <color indexed="81"/>
            <rFont val="Tahoma"/>
            <family val="2"/>
          </rPr>
          <t>krisbon:</t>
        </r>
        <r>
          <rPr>
            <sz val="8"/>
            <color indexed="81"/>
            <rFont val="Tahoma"/>
            <family val="2"/>
          </rPr>
          <t xml:space="preserve">
$20m incremenatal political</t>
        </r>
      </text>
    </comment>
    <comment ref="DJ97" authorId="3">
      <text>
        <r>
          <rPr>
            <b/>
            <sz val="8"/>
            <color indexed="81"/>
            <rFont val="Tahoma"/>
            <family val="2"/>
          </rPr>
          <t>krisbon:</t>
        </r>
        <r>
          <rPr>
            <sz val="8"/>
            <color indexed="81"/>
            <rFont val="Tahoma"/>
            <family val="2"/>
          </rPr>
          <t xml:space="preserve">
$10m incremenatal political</t>
        </r>
      </text>
    </comment>
    <comment ref="X98" authorId="0">
      <text>
        <r>
          <rPr>
            <b/>
            <sz val="8"/>
            <color indexed="81"/>
            <rFont val="Tahoma"/>
            <family val="2"/>
          </rPr>
          <t>svetlana:</t>
        </r>
        <r>
          <rPr>
            <sz val="8"/>
            <color indexed="81"/>
            <rFont val="Tahoma"/>
            <family val="2"/>
          </rPr>
          <t xml:space="preserve">
10% growth stated, primarily due to increased political</t>
        </r>
      </text>
    </comment>
    <comment ref="CM98" authorId="0">
      <text>
        <r>
          <rPr>
            <b/>
            <sz val="8"/>
            <color indexed="81"/>
            <rFont val="Tahoma"/>
            <family val="2"/>
          </rPr>
          <t>svetlana:</t>
        </r>
        <r>
          <rPr>
            <sz val="8"/>
            <color indexed="81"/>
            <rFont val="Tahoma"/>
            <family val="2"/>
          </rPr>
          <t xml:space="preserve">
16% growth stated</t>
        </r>
      </text>
    </comment>
    <comment ref="CR98" authorId="0">
      <text>
        <r>
          <rPr>
            <b/>
            <sz val="8"/>
            <color indexed="81"/>
            <rFont val="Tahoma"/>
            <family val="2"/>
          </rPr>
          <t>svetlana:</t>
        </r>
        <r>
          <rPr>
            <sz val="8"/>
            <color indexed="81"/>
            <rFont val="Tahoma"/>
            <family val="2"/>
          </rPr>
          <t xml:space="preserve">
16% growth stated</t>
        </r>
      </text>
    </comment>
    <comment ref="CT98" authorId="0">
      <text>
        <r>
          <rPr>
            <b/>
            <sz val="8"/>
            <color indexed="81"/>
            <rFont val="Tahoma"/>
            <family val="2"/>
          </rPr>
          <t>svetlana:</t>
        </r>
        <r>
          <rPr>
            <sz val="8"/>
            <color indexed="81"/>
            <rFont val="Tahoma"/>
            <family val="2"/>
          </rPr>
          <t xml:space="preserve">
Revenue declined 4% at stations</t>
        </r>
      </text>
    </comment>
    <comment ref="CW98" authorId="0">
      <text>
        <r>
          <rPr>
            <b/>
            <sz val="8"/>
            <color indexed="81"/>
            <rFont val="Tahoma"/>
            <family val="2"/>
          </rPr>
          <t>svetlana:</t>
        </r>
        <r>
          <rPr>
            <sz val="8"/>
            <color indexed="81"/>
            <rFont val="Tahoma"/>
            <family val="2"/>
          </rPr>
          <t xml:space="preserve">
2% decline quoted on earnings call
The biggest negative impact of tough comps on political advertising in 4Q04</t>
        </r>
      </text>
    </comment>
    <comment ref="CZ98" authorId="2">
      <text>
        <r>
          <rPr>
            <b/>
            <sz val="8"/>
            <color indexed="81"/>
            <rFont val="Tahoma"/>
            <family val="2"/>
          </rPr>
          <t>farrantj:</t>
        </r>
        <r>
          <rPr>
            <sz val="8"/>
            <color indexed="81"/>
            <rFont val="Tahoma"/>
            <family val="2"/>
          </rPr>
          <t xml:space="preserve">
mgmt indicated total TV station growth was 5%.  $20 mm of political.</t>
        </r>
      </text>
    </comment>
    <comment ref="DA98" authorId="2">
      <text>
        <r>
          <rPr>
            <b/>
            <sz val="8"/>
            <color indexed="81"/>
            <rFont val="Tahoma"/>
            <family val="2"/>
          </rPr>
          <t>farrantj:</t>
        </r>
        <r>
          <rPr>
            <sz val="8"/>
            <color indexed="81"/>
            <rFont val="Tahoma"/>
            <family val="2"/>
          </rPr>
          <t xml:space="preserve">
+5.3% on the CC
$40 mm political</t>
        </r>
      </text>
    </comment>
    <comment ref="DQ98" authorId="3">
      <text>
        <r>
          <rPr>
            <b/>
            <sz val="8"/>
            <color indexed="81"/>
            <rFont val="Tahoma"/>
            <family val="2"/>
          </rPr>
          <t>krisbon:</t>
        </r>
        <r>
          <rPr>
            <sz val="8"/>
            <color indexed="81"/>
            <rFont val="Tahoma"/>
            <family val="2"/>
          </rPr>
          <t xml:space="preserve">
assuming 40m comp issue from political (i.e. get $20m of political in current quarter)</t>
        </r>
      </text>
    </comment>
    <comment ref="AI103" authorId="15">
      <text>
        <r>
          <rPr>
            <b/>
            <sz val="8"/>
            <color indexed="81"/>
            <rFont val="Tahoma"/>
            <family val="2"/>
          </rPr>
          <t>Micah Nance:</t>
        </r>
        <r>
          <rPr>
            <sz val="8"/>
            <color indexed="81"/>
            <rFont val="Tahoma"/>
            <family val="2"/>
          </rPr>
          <t xml:space="preserve">
~190mm of NFLX revs in 2011 vs ~10mm in 2012</t>
        </r>
      </text>
    </comment>
    <comment ref="CL103" authorId="0">
      <text>
        <r>
          <rPr>
            <b/>
            <sz val="8"/>
            <color indexed="81"/>
            <rFont val="Tahoma"/>
            <family val="2"/>
          </rPr>
          <t>svetlana:</t>
        </r>
        <r>
          <rPr>
            <sz val="8"/>
            <color indexed="81"/>
            <rFont val="Tahoma"/>
            <family val="2"/>
          </rPr>
          <t xml:space="preserve">
Syndication included:
CSI sold to Spike
2nd cycle of Raymond - to stations
JAG, Girlfriends - to cable
+ Star Trek DVDs </t>
        </r>
      </text>
    </comment>
    <comment ref="CM103" authorId="0">
      <text>
        <r>
          <rPr>
            <b/>
            <sz val="8"/>
            <color indexed="81"/>
            <rFont val="Tahoma"/>
            <family val="2"/>
          </rPr>
          <t>svetlana:</t>
        </r>
        <r>
          <rPr>
            <sz val="8"/>
            <color indexed="81"/>
            <rFont val="Tahoma"/>
            <family val="2"/>
          </rPr>
          <t xml:space="preserve">
Decreased due to the absence of production revenue from </t>
        </r>
        <r>
          <rPr>
            <i/>
            <sz val="8"/>
            <color indexed="81"/>
            <rFont val="Tahoma"/>
            <family val="2"/>
          </rPr>
          <t>Frasier</t>
        </r>
      </text>
    </comment>
    <comment ref="CQ103" authorId="0">
      <text>
        <r>
          <rPr>
            <b/>
            <sz val="8"/>
            <color indexed="81"/>
            <rFont val="Tahoma"/>
            <family val="2"/>
          </rPr>
          <t>svetlana:</t>
        </r>
        <r>
          <rPr>
            <sz val="8"/>
            <color indexed="81"/>
            <rFont val="Tahoma"/>
            <family val="2"/>
          </rPr>
          <t xml:space="preserve">
Syndication included:
CSI sold to Spike
2nd cycle of Raymond - to stations
JAG, Girlfriends - to cable
+ Star Trek DVDs </t>
        </r>
      </text>
    </comment>
    <comment ref="CR103" authorId="0">
      <text>
        <r>
          <rPr>
            <b/>
            <sz val="8"/>
            <color indexed="81"/>
            <rFont val="Tahoma"/>
            <family val="2"/>
          </rPr>
          <t>svetlana:</t>
        </r>
        <r>
          <rPr>
            <sz val="8"/>
            <color indexed="81"/>
            <rFont val="Tahoma"/>
            <family val="2"/>
          </rPr>
          <t xml:space="preserve">
Decreased due to the absence of production revenue from </t>
        </r>
        <r>
          <rPr>
            <i/>
            <sz val="8"/>
            <color indexed="81"/>
            <rFont val="Tahoma"/>
            <family val="2"/>
          </rPr>
          <t>Frasier</t>
        </r>
      </text>
    </comment>
    <comment ref="CT103" authorId="0">
      <text>
        <r>
          <rPr>
            <b/>
            <sz val="8"/>
            <color indexed="81"/>
            <rFont val="Tahoma"/>
            <family val="2"/>
          </rPr>
          <t>svetlana:</t>
        </r>
        <r>
          <rPr>
            <sz val="8"/>
            <color indexed="81"/>
            <rFont val="Tahoma"/>
            <family val="2"/>
          </rPr>
          <t xml:space="preserve">
Lower revenues reflect the absense of license fees for Frasier and Hollywood Squares</t>
        </r>
      </text>
    </comment>
    <comment ref="CY103" authorId="2">
      <text>
        <r>
          <rPr>
            <b/>
            <sz val="8"/>
            <color indexed="81"/>
            <rFont val="Tahoma"/>
            <family val="2"/>
          </rPr>
          <t>farrantj:</t>
        </r>
        <r>
          <rPr>
            <sz val="8"/>
            <color indexed="81"/>
            <rFont val="Tahoma"/>
            <family val="2"/>
          </rPr>
          <t xml:space="preserve">
previously at 497.2</t>
        </r>
      </text>
    </comment>
    <comment ref="CZ103" authorId="12">
      <text>
        <r>
          <rPr>
            <b/>
            <sz val="8"/>
            <color indexed="81"/>
            <rFont val="Tahoma"/>
            <family val="2"/>
          </rPr>
          <t>benswin:</t>
        </r>
        <r>
          <rPr>
            <sz val="8"/>
            <color indexed="81"/>
            <rFont val="Tahoma"/>
            <family val="2"/>
          </rPr>
          <t xml:space="preserve">
Without a trace.</t>
        </r>
      </text>
    </comment>
    <comment ref="DA103" authorId="2">
      <text>
        <r>
          <rPr>
            <b/>
            <sz val="8"/>
            <color indexed="81"/>
            <rFont val="Tahoma"/>
            <family val="2"/>
          </rPr>
          <t>farrantj:</t>
        </r>
        <r>
          <rPr>
            <sz val="8"/>
            <color indexed="81"/>
            <rFont val="Tahoma"/>
            <family val="2"/>
          </rPr>
          <t xml:space="preserve">
we know that television license fees increased 7% due to domestic syndication of CSI Miami and higher foreign syndication - -though home entertainment revenue was down 35%</t>
        </r>
      </text>
    </comment>
    <comment ref="DB103" authorId="12">
      <text>
        <r>
          <rPr>
            <b/>
            <sz val="8"/>
            <color indexed="81"/>
            <rFont val="Tahoma"/>
            <family val="2"/>
          </rPr>
          <t>benswin:</t>
        </r>
        <r>
          <rPr>
            <sz val="8"/>
            <color indexed="81"/>
            <rFont val="Tahoma"/>
            <family val="2"/>
          </rPr>
          <t xml:space="preserve">
ST Voyager syndication</t>
        </r>
      </text>
    </comment>
    <comment ref="DE103" authorId="12">
      <text>
        <r>
          <rPr>
            <b/>
            <sz val="8"/>
            <color indexed="81"/>
            <rFont val="Tahoma"/>
            <family val="2"/>
          </rPr>
          <t>benswin:</t>
        </r>
        <r>
          <rPr>
            <sz val="8"/>
            <color indexed="81"/>
            <rFont val="Tahoma"/>
            <family val="2"/>
          </rPr>
          <t xml:space="preserve">
benefited from an $83 mm increase in home entertainment rev's.</t>
        </r>
      </text>
    </comment>
    <comment ref="DF103" authorId="12">
      <text>
        <r>
          <rPr>
            <b/>
            <sz val="8"/>
            <color indexed="81"/>
            <rFont val="Tahoma"/>
            <family val="2"/>
          </rPr>
          <t>benswin:</t>
        </r>
        <r>
          <rPr>
            <sz val="8"/>
            <color indexed="81"/>
            <rFont val="Tahoma"/>
            <family val="2"/>
          </rPr>
          <t xml:space="preserve">
Cold case (50%).</t>
        </r>
      </text>
    </comment>
    <comment ref="DG103" authorId="12">
      <text>
        <r>
          <rPr>
            <b/>
            <sz val="8"/>
            <color indexed="81"/>
            <rFont val="Tahoma"/>
            <family val="2"/>
          </rPr>
          <t>benswin:</t>
        </r>
        <r>
          <rPr>
            <sz val="8"/>
            <color indexed="81"/>
            <rFont val="Tahoma"/>
            <family val="2"/>
          </rPr>
          <t xml:space="preserve">
NCIS syndication.</t>
        </r>
      </text>
    </comment>
    <comment ref="DL103" authorId="9">
      <text>
        <r>
          <rPr>
            <b/>
            <sz val="8"/>
            <color indexed="81"/>
            <rFont val="Tahoma"/>
            <family val="2"/>
          </rPr>
          <t xml:space="preserve">Kristi Bonner: </t>
        </r>
        <r>
          <rPr>
            <sz val="8"/>
            <color indexed="81"/>
            <rFont val="Tahoma"/>
            <family val="2"/>
          </rPr>
          <t xml:space="preserve">syndication of medium dealyed until 2009 </t>
        </r>
      </text>
    </comment>
    <comment ref="AH104" authorId="3">
      <text>
        <r>
          <rPr>
            <b/>
            <sz val="8"/>
            <color indexed="81"/>
            <rFont val="Tahoma"/>
            <family val="2"/>
          </rPr>
          <t>krisbon:</t>
        </r>
        <r>
          <rPr>
            <sz val="8"/>
            <color indexed="81"/>
            <rFont val="Tahoma"/>
            <family val="2"/>
          </rPr>
          <t xml:space="preserve">
NCIS LA syndication</t>
        </r>
      </text>
    </comment>
    <comment ref="AI104" authorId="15">
      <text>
        <r>
          <rPr>
            <b/>
            <sz val="8"/>
            <color indexed="81"/>
            <rFont val="Tahoma"/>
            <family val="2"/>
          </rPr>
          <t>Micah Nance:</t>
        </r>
        <r>
          <rPr>
            <sz val="8"/>
            <color indexed="81"/>
            <rFont val="Tahoma"/>
            <family val="2"/>
          </rPr>
          <t xml:space="preserve">
implies 3% organic growth (ex-NFLX revs)</t>
        </r>
      </text>
    </comment>
    <comment ref="CV104" authorId="0">
      <text>
        <r>
          <rPr>
            <b/>
            <sz val="8"/>
            <color indexed="81"/>
            <rFont val="Tahoma"/>
            <family val="2"/>
          </rPr>
          <t>svetlana:</t>
        </r>
        <r>
          <rPr>
            <sz val="8"/>
            <color indexed="81"/>
            <rFont val="Tahoma"/>
            <family val="2"/>
          </rPr>
          <t xml:space="preserve">
25% decline stated</t>
        </r>
      </text>
    </comment>
    <comment ref="DP104" authorId="10">
      <text>
        <r>
          <rPr>
            <b/>
            <sz val="8"/>
            <color indexed="81"/>
            <rFont val="Tahoma"/>
            <family val="2"/>
          </rPr>
          <t>Kristi Bonner:</t>
        </r>
        <r>
          <rPr>
            <sz val="8"/>
            <color indexed="81"/>
            <rFont val="Tahoma"/>
            <family val="2"/>
          </rPr>
          <t xml:space="preserve">
Criminal Minds, Ghost Whisperer, Everybody Hates Chris, Medium, Numbers syndication</t>
        </r>
      </text>
    </comment>
    <comment ref="CV106" authorId="0">
      <text>
        <r>
          <rPr>
            <b/>
            <sz val="8"/>
            <color indexed="81"/>
            <rFont val="Tahoma"/>
            <family val="2"/>
          </rPr>
          <t>svetlana:</t>
        </r>
        <r>
          <rPr>
            <sz val="8"/>
            <color indexed="81"/>
            <rFont val="Tahoma"/>
            <family val="2"/>
          </rPr>
          <t xml:space="preserve">
6% growth in affiliate fees; also assume growth in ancilliary revenues</t>
        </r>
      </text>
    </comment>
    <comment ref="CZ108" authorId="2">
      <text>
        <r>
          <rPr>
            <b/>
            <sz val="8"/>
            <color indexed="81"/>
            <rFont val="Tahoma"/>
            <family val="2"/>
          </rPr>
          <t>farrantj:</t>
        </r>
        <r>
          <rPr>
            <sz val="8"/>
            <color indexed="81"/>
            <rFont val="Tahoma"/>
            <family val="2"/>
          </rPr>
          <t xml:space="preserve">
our estimate of CSTV</t>
        </r>
      </text>
    </comment>
    <comment ref="CY113" authorId="2">
      <text>
        <r>
          <rPr>
            <b/>
            <sz val="8"/>
            <color indexed="81"/>
            <rFont val="Tahoma"/>
            <family val="2"/>
          </rPr>
          <t>farrantj:</t>
        </r>
        <r>
          <rPr>
            <sz val="8"/>
            <color indexed="81"/>
            <rFont val="Tahoma"/>
            <family val="2"/>
          </rPr>
          <t xml:space="preserve">
had previously expected 101m and 10% growth</t>
        </r>
      </text>
    </comment>
    <comment ref="CZ113" authorId="2">
      <text>
        <r>
          <rPr>
            <b/>
            <sz val="8"/>
            <color indexed="81"/>
            <rFont val="Tahoma"/>
            <family val="2"/>
          </rPr>
          <t>farrantj:</t>
        </r>
        <r>
          <rPr>
            <sz val="8"/>
            <color indexed="81"/>
            <rFont val="Tahoma"/>
            <family val="2"/>
          </rPr>
          <t xml:space="preserve">
had expected $154m and +4.3% in EBITDA previously </t>
        </r>
      </text>
    </comment>
    <comment ref="DP113" authorId="3">
      <text>
        <r>
          <rPr>
            <b/>
            <sz val="8"/>
            <color indexed="81"/>
            <rFont val="Tahoma"/>
            <family val="2"/>
          </rPr>
          <t>krisbon:</t>
        </r>
        <r>
          <rPr>
            <sz val="8"/>
            <color indexed="81"/>
            <rFont val="Tahoma"/>
            <family val="2"/>
          </rPr>
          <t xml:space="preserve">
Sports costs</t>
        </r>
      </text>
    </comment>
    <comment ref="DQ113" authorId="3">
      <text>
        <r>
          <rPr>
            <b/>
            <sz val="8"/>
            <color indexed="81"/>
            <rFont val="Tahoma"/>
            <family val="2"/>
          </rPr>
          <t>krisbon:</t>
        </r>
        <r>
          <rPr>
            <sz val="8"/>
            <color indexed="81"/>
            <rFont val="Tahoma"/>
            <family val="2"/>
          </rPr>
          <t xml:space="preserve">
Sports costs</t>
        </r>
      </text>
    </comment>
    <comment ref="CY115" authorId="2">
      <text>
        <r>
          <rPr>
            <b/>
            <sz val="8"/>
            <color indexed="81"/>
            <rFont val="Tahoma"/>
            <family val="2"/>
          </rPr>
          <t>farrantj:</t>
        </r>
        <r>
          <rPr>
            <sz val="8"/>
            <color indexed="81"/>
            <rFont val="Tahoma"/>
            <family val="2"/>
          </rPr>
          <t xml:space="preserve">
according to the company "UPN lost high singles"</t>
        </r>
      </text>
    </comment>
    <comment ref="DA115" authorId="2">
      <text>
        <r>
          <rPr>
            <b/>
            <sz val="8"/>
            <color indexed="81"/>
            <rFont val="Tahoma"/>
            <family val="2"/>
          </rPr>
          <t>farrantj:</t>
        </r>
        <r>
          <rPr>
            <sz val="8"/>
            <color indexed="81"/>
            <rFont val="Tahoma"/>
            <family val="2"/>
          </rPr>
          <t xml:space="preserve">
$24m of expenses related to UPN shutdown</t>
        </r>
      </text>
    </comment>
    <comment ref="X116" authorId="0">
      <text>
        <r>
          <rPr>
            <b/>
            <sz val="8"/>
            <color indexed="81"/>
            <rFont val="Tahoma"/>
            <family val="2"/>
          </rPr>
          <t>svetlana:</t>
        </r>
        <r>
          <rPr>
            <sz val="8"/>
            <color indexed="81"/>
            <rFont val="Tahoma"/>
            <family val="2"/>
          </rPr>
          <t xml:space="preserve">
According to VIA, EBITDA for broadcast networks is "closer to $300m"</t>
        </r>
      </text>
    </comment>
    <comment ref="DO120" authorId="3">
      <text>
        <r>
          <rPr>
            <b/>
            <sz val="8"/>
            <color indexed="81"/>
            <rFont val="Tahoma"/>
            <family val="2"/>
          </rPr>
          <t>krisbon:</t>
        </r>
        <r>
          <rPr>
            <sz val="8"/>
            <color indexed="81"/>
            <rFont val="Tahoma"/>
            <family val="2"/>
          </rPr>
          <t xml:space="preserve">
higher pilot expenses vs. prior year due to strike</t>
        </r>
      </text>
    </comment>
    <comment ref="DI123" authorId="3">
      <text>
        <r>
          <rPr>
            <b/>
            <sz val="8"/>
            <color indexed="81"/>
            <rFont val="Tahoma"/>
            <family val="2"/>
          </rPr>
          <t>krisbon:</t>
        </r>
        <r>
          <rPr>
            <sz val="8"/>
            <color indexed="81"/>
            <rFont val="Tahoma"/>
            <family val="2"/>
          </rPr>
          <t xml:space="preserve">
reported new local segment less reported radio</t>
        </r>
      </text>
    </comment>
    <comment ref="DJ123" authorId="3">
      <text>
        <r>
          <rPr>
            <b/>
            <sz val="8"/>
            <color indexed="81"/>
            <rFont val="Tahoma"/>
            <family val="2"/>
          </rPr>
          <t>krisbon:</t>
        </r>
        <r>
          <rPr>
            <sz val="8"/>
            <color indexed="81"/>
            <rFont val="Tahoma"/>
            <family val="2"/>
          </rPr>
          <t xml:space="preserve">
reported new local segment less reported radio</t>
        </r>
      </text>
    </comment>
    <comment ref="DK123" authorId="3">
      <text>
        <r>
          <rPr>
            <b/>
            <sz val="8"/>
            <color indexed="81"/>
            <rFont val="Tahoma"/>
            <family val="2"/>
          </rPr>
          <t>krisbon:</t>
        </r>
        <r>
          <rPr>
            <sz val="8"/>
            <color indexed="81"/>
            <rFont val="Tahoma"/>
            <family val="2"/>
          </rPr>
          <t xml:space="preserve">
reported new local segment less reported radio</t>
        </r>
      </text>
    </comment>
    <comment ref="DP123" authorId="3">
      <text>
        <r>
          <rPr>
            <b/>
            <sz val="8"/>
            <color indexed="81"/>
            <rFont val="Tahoma"/>
            <family val="2"/>
          </rPr>
          <t>krisbon:</t>
        </r>
        <r>
          <rPr>
            <sz val="8"/>
            <color indexed="81"/>
            <rFont val="Tahoma"/>
            <family val="2"/>
          </rPr>
          <t xml:space="preserve">
reported new local segment less reported radio</t>
        </r>
      </text>
    </comment>
    <comment ref="BW131" authorId="13">
      <text>
        <r>
          <rPr>
            <b/>
            <sz val="8"/>
            <color indexed="81"/>
            <rFont val="Tahoma"/>
            <family val="2"/>
          </rPr>
          <t>babka:</t>
        </r>
        <r>
          <rPr>
            <sz val="8"/>
            <color indexed="81"/>
            <rFont val="Tahoma"/>
            <family val="2"/>
          </rPr>
          <t xml:space="preserve">
Increased News Production costs </t>
        </r>
      </text>
    </comment>
    <comment ref="CG131" authorId="13">
      <text>
        <r>
          <rPr>
            <b/>
            <sz val="8"/>
            <color indexed="81"/>
            <rFont val="Tahoma"/>
            <family val="2"/>
          </rPr>
          <t>babka:</t>
        </r>
        <r>
          <rPr>
            <sz val="8"/>
            <color indexed="81"/>
            <rFont val="Tahoma"/>
            <family val="2"/>
          </rPr>
          <t xml:space="preserve">
Benefit from $27mm in insurance settlements</t>
        </r>
      </text>
    </comment>
    <comment ref="CL131" authorId="0">
      <text>
        <r>
          <rPr>
            <b/>
            <sz val="8"/>
            <color indexed="81"/>
            <rFont val="Tahoma"/>
            <family val="2"/>
          </rPr>
          <t>svetlana:</t>
        </r>
        <r>
          <rPr>
            <sz val="8"/>
            <color indexed="81"/>
            <rFont val="Tahoma"/>
            <family val="2"/>
          </rPr>
          <t xml:space="preserve">
Low margins explained by high content costs in 3Q and lower ad revenue than in 4Q</t>
        </r>
      </text>
    </comment>
    <comment ref="CQ131" authorId="0">
      <text>
        <r>
          <rPr>
            <b/>
            <sz val="8"/>
            <color indexed="81"/>
            <rFont val="Tahoma"/>
            <family val="2"/>
          </rPr>
          <t>svetlana:</t>
        </r>
        <r>
          <rPr>
            <sz val="8"/>
            <color indexed="81"/>
            <rFont val="Tahoma"/>
            <family val="2"/>
          </rPr>
          <t xml:space="preserve">
Low margins explained by high content costs in 3Q and lower ad revenue than in 4Q</t>
        </r>
      </text>
    </comment>
    <comment ref="CG132" authorId="13">
      <text>
        <r>
          <rPr>
            <b/>
            <sz val="8"/>
            <color indexed="81"/>
            <rFont val="Tahoma"/>
            <family val="2"/>
          </rPr>
          <t>babka:</t>
        </r>
        <r>
          <rPr>
            <sz val="8"/>
            <color indexed="81"/>
            <rFont val="Tahoma"/>
            <family val="2"/>
          </rPr>
          <t xml:space="preserve">
Benefits from $27mm of insurance settlements</t>
        </r>
      </text>
    </comment>
    <comment ref="CY140" authorId="2">
      <text>
        <r>
          <rPr>
            <b/>
            <sz val="8"/>
            <color indexed="81"/>
            <rFont val="Tahoma"/>
            <family val="2"/>
          </rPr>
          <t>farrantj:</t>
        </r>
        <r>
          <rPr>
            <sz val="8"/>
            <color indexed="81"/>
            <rFont val="Tahoma"/>
            <family val="2"/>
          </rPr>
          <t xml:space="preserve">
I believe we were looking for 141m in EBITDA at a 26% margin </t>
        </r>
      </text>
    </comment>
    <comment ref="CZ140" authorId="2">
      <text>
        <r>
          <rPr>
            <b/>
            <sz val="8"/>
            <color indexed="81"/>
            <rFont val="Tahoma"/>
            <family val="2"/>
          </rPr>
          <t>farrantj:</t>
        </r>
        <r>
          <rPr>
            <sz val="8"/>
            <color indexed="81"/>
            <rFont val="Tahoma"/>
            <family val="2"/>
          </rPr>
          <t xml:space="preserve">
looking for 185m and a 30% margin </t>
        </r>
      </text>
    </comment>
    <comment ref="DA140" authorId="2">
      <text>
        <r>
          <rPr>
            <b/>
            <sz val="8"/>
            <color indexed="81"/>
            <rFont val="Tahoma"/>
            <family val="2"/>
          </rPr>
          <t>farrantj:</t>
        </r>
        <r>
          <rPr>
            <sz val="8"/>
            <color indexed="81"/>
            <rFont val="Tahoma"/>
            <family val="2"/>
          </rPr>
          <t xml:space="preserve">
looking for 146m and a 22.5% margin </t>
        </r>
      </text>
    </comment>
    <comment ref="DB140" authorId="2">
      <text>
        <r>
          <rPr>
            <b/>
            <sz val="8"/>
            <color indexed="81"/>
            <rFont val="Tahoma"/>
            <family val="2"/>
          </rPr>
          <t>farrantj:</t>
        </r>
        <r>
          <rPr>
            <sz val="8"/>
            <color indexed="81"/>
            <rFont val="Tahoma"/>
            <family val="2"/>
          </rPr>
          <t xml:space="preserve">
looking for -5 and a -3% margin </t>
        </r>
      </text>
    </comment>
    <comment ref="DI140" authorId="3">
      <text>
        <r>
          <rPr>
            <b/>
            <sz val="8"/>
            <color indexed="81"/>
            <rFont val="Tahoma"/>
            <family val="2"/>
          </rPr>
          <t>krisbon:</t>
        </r>
        <r>
          <rPr>
            <sz val="8"/>
            <color indexed="81"/>
            <rFont val="Tahoma"/>
            <family val="2"/>
          </rPr>
          <t xml:space="preserve">
step up from syndication of CSI international</t>
        </r>
      </text>
    </comment>
    <comment ref="CV141" authorId="0">
      <text>
        <r>
          <rPr>
            <b/>
            <sz val="8"/>
            <color indexed="81"/>
            <rFont val="Tahoma"/>
            <family val="2"/>
          </rPr>
          <t>svetlana:</t>
        </r>
        <r>
          <rPr>
            <sz val="8"/>
            <color indexed="81"/>
            <rFont val="Tahoma"/>
            <family val="2"/>
          </rPr>
          <t xml:space="preserve">
Lower margins, as revenue declines are driven by declines in syndication revenues</t>
        </r>
      </text>
    </comment>
    <comment ref="DD141" authorId="12">
      <text>
        <r>
          <rPr>
            <b/>
            <sz val="8"/>
            <color indexed="81"/>
            <rFont val="Tahoma"/>
            <family val="2"/>
          </rPr>
          <t>benswin:</t>
        </r>
        <r>
          <rPr>
            <sz val="8"/>
            <color indexed="81"/>
            <rFont val="Tahoma"/>
            <family val="2"/>
          </rPr>
          <t xml:space="preserve">
20%+</t>
        </r>
      </text>
    </comment>
    <comment ref="DP141" authorId="10">
      <text>
        <r>
          <rPr>
            <b/>
            <sz val="8"/>
            <color indexed="81"/>
            <rFont val="Tahoma"/>
            <family val="2"/>
          </rPr>
          <t>Kristi Bonner:</t>
        </r>
        <r>
          <rPr>
            <sz val="8"/>
            <color indexed="81"/>
            <rFont val="Tahoma"/>
            <family val="2"/>
          </rPr>
          <t xml:space="preserve">
Criminal Minds, Ghost Whisperer, Everybody hates Chris higher profitability vs. CSI NY in PY</t>
        </r>
      </text>
    </comment>
    <comment ref="DN143" authorId="12">
      <text>
        <r>
          <rPr>
            <b/>
            <sz val="8"/>
            <color indexed="81"/>
            <rFont val="Tahoma"/>
            <family val="2"/>
          </rPr>
          <t>benswin:</t>
        </r>
        <r>
          <rPr>
            <sz val="8"/>
            <color indexed="81"/>
            <rFont val="Tahoma"/>
            <family val="2"/>
          </rPr>
          <t xml:space="preserve">
inside the NFL for first time.</t>
        </r>
      </text>
    </comment>
    <comment ref="K146" authorId="1">
      <text>
        <r>
          <rPr>
            <sz val="8"/>
            <color indexed="81"/>
            <rFont val="Tahoma"/>
            <family val="2"/>
          </rPr>
          <t>bilotti:
Spelling Charge and other small items
VIA took Spelling charge of $70 m out of the PF in 3Q00</t>
        </r>
      </text>
    </comment>
    <comment ref="AB147" authorId="0">
      <text>
        <r>
          <rPr>
            <b/>
            <sz val="8"/>
            <color indexed="81"/>
            <rFont val="Tahoma"/>
            <family val="2"/>
          </rPr>
          <t>svetlana:</t>
        </r>
        <r>
          <rPr>
            <sz val="8"/>
            <color indexed="81"/>
            <rFont val="Tahoma"/>
            <family val="2"/>
          </rPr>
          <t xml:space="preserve">
Includes:
3Q05: $19m impairment charge on sale of TV stations and the estimated $5m expenses related to hurricanes Katrina and Rita
4Q05:  $25m gain on sale of a building and $21m restructuring costs and losses related to Hurricane Katrina</t>
        </r>
      </text>
    </comment>
    <comment ref="AD147" authorId="3">
      <text>
        <r>
          <rPr>
            <b/>
            <sz val="8"/>
            <color indexed="81"/>
            <rFont val="Tahoma"/>
            <family val="2"/>
          </rPr>
          <t>krisbon:</t>
        </r>
        <r>
          <rPr>
            <sz val="8"/>
            <color indexed="81"/>
            <rFont val="Tahoma"/>
            <family val="2"/>
          </rPr>
          <t xml:space="preserve">
Ex-Interactive per 10-K</t>
        </r>
      </text>
    </comment>
    <comment ref="CV147" authorId="0">
      <text>
        <r>
          <rPr>
            <b/>
            <sz val="8"/>
            <color indexed="81"/>
            <rFont val="Tahoma"/>
            <family val="2"/>
          </rPr>
          <t>svetlana:</t>
        </r>
        <r>
          <rPr>
            <sz val="8"/>
            <color indexed="81"/>
            <rFont val="Tahoma"/>
            <family val="2"/>
          </rPr>
          <t xml:space="preserve">
Includes $19m impairment charge on sale of TV stations and the estimated $5m expenses related to hurricanes Katrina and Rita</t>
        </r>
      </text>
    </comment>
    <comment ref="CW147" authorId="0">
      <text>
        <r>
          <rPr>
            <b/>
            <sz val="8"/>
            <color indexed="81"/>
            <rFont val="Tahoma"/>
            <family val="2"/>
          </rPr>
          <t>svetlana:</t>
        </r>
        <r>
          <rPr>
            <sz val="8"/>
            <color indexed="81"/>
            <rFont val="Tahoma"/>
            <family val="2"/>
          </rPr>
          <t xml:space="preserve">
Includes $25m gain on sale of a building and $21m restructuring costs and losses related to Hurricane Katrina.</t>
        </r>
      </text>
    </comment>
    <comment ref="DD147" authorId="3">
      <text>
        <r>
          <rPr>
            <b/>
            <sz val="8"/>
            <color indexed="81"/>
            <rFont val="Tahoma"/>
            <family val="2"/>
          </rPr>
          <t>krisbon:</t>
        </r>
        <r>
          <rPr>
            <sz val="8"/>
            <color indexed="81"/>
            <rFont val="Tahoma"/>
            <family val="2"/>
          </rPr>
          <t xml:space="preserve">
Ex-Interactive per 10-K</t>
        </r>
      </text>
    </comment>
    <comment ref="DE147" authorId="3">
      <text>
        <r>
          <rPr>
            <b/>
            <sz val="8"/>
            <color indexed="81"/>
            <rFont val="Tahoma"/>
            <family val="2"/>
          </rPr>
          <t>krisbon:</t>
        </r>
        <r>
          <rPr>
            <sz val="8"/>
            <color indexed="81"/>
            <rFont val="Tahoma"/>
            <family val="2"/>
          </rPr>
          <t xml:space="preserve">
Ex-Interactive per 10-K</t>
        </r>
      </text>
    </comment>
    <comment ref="DF147" authorId="3">
      <text>
        <r>
          <rPr>
            <b/>
            <sz val="8"/>
            <color indexed="81"/>
            <rFont val="Tahoma"/>
            <family val="2"/>
          </rPr>
          <t>krisbon:</t>
        </r>
        <r>
          <rPr>
            <sz val="8"/>
            <color indexed="81"/>
            <rFont val="Tahoma"/>
            <family val="2"/>
          </rPr>
          <t xml:space="preserve">
Ex-Interactive per 10-K</t>
        </r>
      </text>
    </comment>
    <comment ref="DG147" authorId="3">
      <text>
        <r>
          <rPr>
            <b/>
            <sz val="8"/>
            <color indexed="81"/>
            <rFont val="Tahoma"/>
            <family val="2"/>
          </rPr>
          <t>krisbon:</t>
        </r>
        <r>
          <rPr>
            <sz val="8"/>
            <color indexed="81"/>
            <rFont val="Tahoma"/>
            <family val="2"/>
          </rPr>
          <t xml:space="preserve">
Ex-Interactive per 10-K</t>
        </r>
      </text>
    </comment>
    <comment ref="F187" authorId="0">
      <text>
        <r>
          <rPr>
            <b/>
            <sz val="8"/>
            <color indexed="81"/>
            <rFont val="Tahoma"/>
            <family val="2"/>
          </rPr>
          <t>svetlana:</t>
        </r>
        <r>
          <rPr>
            <sz val="8"/>
            <color indexed="81"/>
            <rFont val="Tahoma"/>
            <family val="2"/>
          </rPr>
          <t xml:space="preserve">
PF for configuration at the split</t>
        </r>
      </text>
    </comment>
    <comment ref="L187" authorId="0">
      <text>
        <r>
          <rPr>
            <b/>
            <sz val="8"/>
            <color indexed="81"/>
            <rFont val="Tahoma"/>
            <family val="2"/>
          </rPr>
          <t>svetlana:</t>
        </r>
        <r>
          <rPr>
            <sz val="8"/>
            <color indexed="81"/>
            <rFont val="Tahoma"/>
            <family val="2"/>
          </rPr>
          <t xml:space="preserve">
PF for configuration at the split</t>
        </r>
      </text>
    </comment>
    <comment ref="O187" authorId="0">
      <text>
        <r>
          <rPr>
            <b/>
            <sz val="8"/>
            <color indexed="81"/>
            <rFont val="Tahoma"/>
            <family val="2"/>
          </rPr>
          <t>svetlana:</t>
        </r>
        <r>
          <rPr>
            <sz val="8"/>
            <color indexed="81"/>
            <rFont val="Tahoma"/>
            <family val="2"/>
          </rPr>
          <t xml:space="preserve">
PF for configuration at the split</t>
        </r>
      </text>
    </comment>
    <comment ref="S187" authorId="0">
      <text>
        <r>
          <rPr>
            <b/>
            <sz val="8"/>
            <color indexed="81"/>
            <rFont val="Tahoma"/>
            <family val="2"/>
          </rPr>
          <t>svetlana:</t>
        </r>
        <r>
          <rPr>
            <sz val="8"/>
            <color indexed="81"/>
            <rFont val="Tahoma"/>
            <family val="2"/>
          </rPr>
          <t xml:space="preserve">
PF for configuration at the split</t>
        </r>
      </text>
    </comment>
    <comment ref="Y187" authorId="0">
      <text>
        <r>
          <rPr>
            <b/>
            <sz val="8"/>
            <color indexed="81"/>
            <rFont val="Tahoma"/>
            <family val="2"/>
          </rPr>
          <t>svetlana:</t>
        </r>
        <r>
          <rPr>
            <sz val="8"/>
            <color indexed="81"/>
            <rFont val="Tahoma"/>
            <family val="2"/>
          </rPr>
          <t xml:space="preserve">
PF for configuration at the split</t>
        </r>
      </text>
    </comment>
    <comment ref="Z187" authorId="0">
      <text>
        <r>
          <rPr>
            <b/>
            <sz val="8"/>
            <color indexed="81"/>
            <rFont val="Tahoma"/>
            <family val="2"/>
          </rPr>
          <t>svetlana:</t>
        </r>
        <r>
          <rPr>
            <sz val="8"/>
            <color indexed="81"/>
            <rFont val="Tahoma"/>
            <family val="2"/>
          </rPr>
          <t xml:space="preserve">
PF for configuration at the split</t>
        </r>
      </text>
    </comment>
    <comment ref="AA187" authorId="0">
      <text>
        <r>
          <rPr>
            <b/>
            <sz val="8"/>
            <color indexed="81"/>
            <rFont val="Tahoma"/>
            <family val="2"/>
          </rPr>
          <t>svetlana:</t>
        </r>
        <r>
          <rPr>
            <sz val="8"/>
            <color indexed="81"/>
            <rFont val="Tahoma"/>
            <family val="2"/>
          </rPr>
          <t xml:space="preserve">
PF for configuration at the split</t>
        </r>
      </text>
    </comment>
    <comment ref="ET192" authorId="5">
      <text>
        <r>
          <rPr>
            <b/>
            <sz val="9"/>
            <color indexed="81"/>
            <rFont val="Tahoma"/>
            <family val="2"/>
          </rPr>
          <t>Ripps, Maria (Research):</t>
        </r>
        <r>
          <rPr>
            <sz val="9"/>
            <color indexed="81"/>
            <rFont val="Tahoma"/>
            <family val="2"/>
          </rPr>
          <t xml:space="preserve">
3Q16 10Q</t>
        </r>
      </text>
    </comment>
    <comment ref="EW192" authorId="5">
      <text>
        <r>
          <rPr>
            <b/>
            <sz val="9"/>
            <color indexed="81"/>
            <rFont val="Tahoma"/>
            <family val="2"/>
          </rPr>
          <t>Ripps, Maria (Research):</t>
        </r>
        <r>
          <rPr>
            <sz val="9"/>
            <color indexed="81"/>
            <rFont val="Tahoma"/>
            <family val="2"/>
          </rPr>
          <t xml:space="preserve">
S-1
</t>
        </r>
      </text>
    </comment>
    <comment ref="EZ192" authorId="5">
      <text>
        <r>
          <rPr>
            <b/>
            <sz val="9"/>
            <color indexed="81"/>
            <rFont val="Tahoma"/>
            <family val="2"/>
          </rPr>
          <t>Ripps, Maria (Research):</t>
        </r>
        <r>
          <rPr>
            <sz val="9"/>
            <color indexed="81"/>
            <rFont val="Tahoma"/>
            <family val="2"/>
          </rPr>
          <t xml:space="preserve">
10K FY16 D&amp;A: $26M</t>
        </r>
      </text>
    </comment>
    <comment ref="EM193" authorId="7">
      <text>
        <r>
          <rPr>
            <b/>
            <sz val="9"/>
            <color indexed="81"/>
            <rFont val="Tahoma"/>
            <family val="2"/>
          </rPr>
          <t>Khadilkar, Hersh S (Research):</t>
        </r>
        <r>
          <rPr>
            <sz val="9"/>
            <color indexed="81"/>
            <rFont val="Tahoma"/>
            <family val="2"/>
          </rPr>
          <t xml:space="preserve">
Split off Outdoor announced 6/11/2014 - moved to discontinued operations</t>
        </r>
      </text>
    </comment>
    <comment ref="EN193" authorId="7">
      <text>
        <r>
          <rPr>
            <b/>
            <sz val="9"/>
            <color indexed="81"/>
            <rFont val="Tahoma"/>
            <family val="2"/>
          </rPr>
          <t>Khadilkar, Hersh S (Research):</t>
        </r>
        <r>
          <rPr>
            <sz val="9"/>
            <color indexed="81"/>
            <rFont val="Tahoma"/>
            <family val="2"/>
          </rPr>
          <t xml:space="preserve">
Split off Outdoor announced 6/11/2014 - moved to discontinued operations</t>
        </r>
      </text>
    </comment>
    <comment ref="CP195" authorId="0">
      <text>
        <r>
          <rPr>
            <b/>
            <sz val="8"/>
            <color indexed="81"/>
            <rFont val="Tahoma"/>
            <family val="2"/>
          </rPr>
          <t>svetlana:</t>
        </r>
        <r>
          <rPr>
            <sz val="8"/>
            <color indexed="81"/>
            <rFont val="Tahoma"/>
            <family val="2"/>
          </rPr>
          <t xml:space="preserve">
Assume $7m increase in depreciation related to Showtime consolidation (3% of Showtime's revenue) </t>
        </r>
      </text>
    </comment>
    <comment ref="B198" authorId="1">
      <text>
        <r>
          <rPr>
            <sz val="8"/>
            <color indexed="81"/>
            <rFont val="Tahoma"/>
            <family val="2"/>
          </rPr>
          <t xml:space="preserve">bilotti:
includes them park depreciation and then reversed out in the adjustment collum
</t>
        </r>
      </text>
    </comment>
    <comment ref="C198" authorId="1">
      <text>
        <r>
          <rPr>
            <sz val="8"/>
            <color indexed="81"/>
            <rFont val="Tahoma"/>
            <family val="2"/>
          </rPr>
          <t xml:space="preserve">bilotti:
includes them park depreciation and then reversed out in the adjustment collum
</t>
        </r>
      </text>
    </comment>
    <comment ref="G198" authorId="1">
      <text>
        <r>
          <rPr>
            <sz val="8"/>
            <color indexed="81"/>
            <rFont val="Tahoma"/>
            <family val="2"/>
          </rPr>
          <t xml:space="preserve">bilotti:
includes them park depreciation and then reversed out in the adjustment collum
</t>
        </r>
      </text>
    </comment>
    <comment ref="H198" authorId="1">
      <text>
        <r>
          <rPr>
            <sz val="8"/>
            <color indexed="81"/>
            <rFont val="Tahoma"/>
            <family val="2"/>
          </rPr>
          <t xml:space="preserve">bilotti:
includes them park depreciation and then reversed out in the adjustment collum
</t>
        </r>
      </text>
    </comment>
    <comment ref="AG203" authorId="7">
      <text>
        <r>
          <rPr>
            <b/>
            <sz val="9"/>
            <color indexed="81"/>
            <rFont val="Tahoma"/>
            <family val="2"/>
          </rPr>
          <t>Khadilkar, Hersh S (Research):</t>
        </r>
        <r>
          <rPr>
            <sz val="9"/>
            <color indexed="81"/>
            <rFont val="Tahoma"/>
            <family val="2"/>
          </rPr>
          <t xml:space="preserve">
from Outdoor Form 10</t>
        </r>
      </text>
    </comment>
    <comment ref="AH203" authorId="7">
      <text>
        <r>
          <rPr>
            <b/>
            <sz val="9"/>
            <color indexed="81"/>
            <rFont val="Tahoma"/>
            <family val="2"/>
          </rPr>
          <t>Khadilkar, Hersh S (Research):</t>
        </r>
        <r>
          <rPr>
            <sz val="9"/>
            <color indexed="81"/>
            <rFont val="Tahoma"/>
            <family val="2"/>
          </rPr>
          <t xml:space="preserve">
from Outdoor Form 10</t>
        </r>
      </text>
    </comment>
    <comment ref="EC203" authorId="7">
      <text>
        <r>
          <rPr>
            <b/>
            <sz val="9"/>
            <color indexed="81"/>
            <rFont val="Tahoma"/>
            <family val="2"/>
          </rPr>
          <t>Khadilkar, Hersh S (Research):</t>
        </r>
        <r>
          <rPr>
            <sz val="9"/>
            <color indexed="81"/>
            <rFont val="Tahoma"/>
            <family val="2"/>
          </rPr>
          <t xml:space="preserve">
from Outdoor Form 10</t>
        </r>
      </text>
    </comment>
    <comment ref="ED203" authorId="7">
      <text>
        <r>
          <rPr>
            <b/>
            <sz val="9"/>
            <color indexed="81"/>
            <rFont val="Tahoma"/>
            <family val="2"/>
          </rPr>
          <t>Khadilkar, Hersh S (Research):</t>
        </r>
        <r>
          <rPr>
            <sz val="9"/>
            <color indexed="81"/>
            <rFont val="Tahoma"/>
            <family val="2"/>
          </rPr>
          <t xml:space="preserve">
from Outdoor Form 10</t>
        </r>
      </text>
    </comment>
    <comment ref="EE203" authorId="7">
      <text>
        <r>
          <rPr>
            <b/>
            <sz val="9"/>
            <color indexed="81"/>
            <rFont val="Tahoma"/>
            <family val="2"/>
          </rPr>
          <t>Khadilkar, Hersh S (Research):</t>
        </r>
        <r>
          <rPr>
            <sz val="9"/>
            <color indexed="81"/>
            <rFont val="Tahoma"/>
            <family val="2"/>
          </rPr>
          <t xml:space="preserve">
from Outdoor Form 10</t>
        </r>
      </text>
    </comment>
    <comment ref="EF203" authorId="7">
      <text>
        <r>
          <rPr>
            <b/>
            <sz val="9"/>
            <color indexed="81"/>
            <rFont val="Tahoma"/>
            <family val="2"/>
          </rPr>
          <t>Khadilkar, Hersh S (Research):</t>
        </r>
        <r>
          <rPr>
            <sz val="9"/>
            <color indexed="81"/>
            <rFont val="Tahoma"/>
            <family val="2"/>
          </rPr>
          <t xml:space="preserve">
from Outdoor Form 10</t>
        </r>
      </text>
    </comment>
    <comment ref="EH203" authorId="7">
      <text>
        <r>
          <rPr>
            <b/>
            <sz val="9"/>
            <color indexed="81"/>
            <rFont val="Tahoma"/>
            <family val="2"/>
          </rPr>
          <t>Khadilkar, Hersh S (Research):</t>
        </r>
        <r>
          <rPr>
            <sz val="9"/>
            <color indexed="81"/>
            <rFont val="Tahoma"/>
            <family val="2"/>
          </rPr>
          <t xml:space="preserve">
from Outdoor Form 10</t>
        </r>
      </text>
    </comment>
    <comment ref="EI203" authorId="7">
      <text>
        <r>
          <rPr>
            <b/>
            <sz val="9"/>
            <color indexed="81"/>
            <rFont val="Tahoma"/>
            <family val="2"/>
          </rPr>
          <t>Khadilkar, Hersh S (Research):</t>
        </r>
        <r>
          <rPr>
            <sz val="9"/>
            <color indexed="81"/>
            <rFont val="Tahoma"/>
            <family val="2"/>
          </rPr>
          <t xml:space="preserve">
from Outdoor Form 10</t>
        </r>
      </text>
    </comment>
    <comment ref="EJ203" authorId="7">
      <text>
        <r>
          <rPr>
            <b/>
            <sz val="9"/>
            <color indexed="81"/>
            <rFont val="Tahoma"/>
            <family val="2"/>
          </rPr>
          <t>Khadilkar, Hersh S (Research):</t>
        </r>
        <r>
          <rPr>
            <sz val="9"/>
            <color indexed="81"/>
            <rFont val="Tahoma"/>
            <family val="2"/>
          </rPr>
          <t xml:space="preserve">
from Outdoor Form 10</t>
        </r>
      </text>
    </comment>
    <comment ref="EK203" authorId="7">
      <text>
        <r>
          <rPr>
            <b/>
            <sz val="9"/>
            <color indexed="81"/>
            <rFont val="Tahoma"/>
            <family val="2"/>
          </rPr>
          <t>Khadilkar, Hersh S (Research):</t>
        </r>
        <r>
          <rPr>
            <sz val="9"/>
            <color indexed="81"/>
            <rFont val="Tahoma"/>
            <family val="2"/>
          </rPr>
          <t xml:space="preserve">
from Outdoor Form 10</t>
        </r>
      </text>
    </comment>
    <comment ref="EM203" authorId="7">
      <text>
        <r>
          <rPr>
            <b/>
            <sz val="9"/>
            <color indexed="81"/>
            <rFont val="Tahoma"/>
            <family val="2"/>
          </rPr>
          <t>Khadilkar, Hersh S (Research):</t>
        </r>
        <r>
          <rPr>
            <sz val="9"/>
            <color indexed="81"/>
            <rFont val="Tahoma"/>
            <family val="2"/>
          </rPr>
          <t xml:space="preserve">
Split off Outdoor announced 6/11/2014 - moved to discontinued operations</t>
        </r>
      </text>
    </comment>
    <comment ref="EN203" authorId="7">
      <text>
        <r>
          <rPr>
            <b/>
            <sz val="9"/>
            <color indexed="81"/>
            <rFont val="Tahoma"/>
            <family val="2"/>
          </rPr>
          <t>Khadilkar, Hersh S (Research):</t>
        </r>
        <r>
          <rPr>
            <sz val="9"/>
            <color indexed="81"/>
            <rFont val="Tahoma"/>
            <family val="2"/>
          </rPr>
          <t xml:space="preserve">
Split off Outdoor announced 6/11/2014 - moved to discontinued operations</t>
        </r>
      </text>
    </comment>
    <comment ref="N209" authorId="1">
      <text>
        <r>
          <rPr>
            <sz val="8"/>
            <color indexed="81"/>
            <rFont val="Tahoma"/>
            <family val="2"/>
          </rPr>
          <t>melletc:
BET amort.</t>
        </r>
      </text>
    </comment>
    <comment ref="AI209" authorId="6">
      <text>
        <r>
          <rPr>
            <b/>
            <sz val="8"/>
            <color indexed="81"/>
            <rFont val="Tahoma"/>
            <family val="2"/>
          </rPr>
          <t>fiftrya:</t>
        </r>
        <r>
          <rPr>
            <sz val="8"/>
            <color indexed="81"/>
            <rFont val="Tahoma"/>
            <family val="2"/>
          </rPr>
          <t xml:space="preserve">
Reducing for Int'l Outdoor moved to disc ops</t>
        </r>
      </text>
    </comment>
    <comment ref="AJ209" authorId="5">
      <text>
        <r>
          <rPr>
            <b/>
            <sz val="9"/>
            <color indexed="81"/>
            <rFont val="Tahoma"/>
            <family val="2"/>
          </rPr>
          <t>Ripps, Maria (Research):</t>
        </r>
        <r>
          <rPr>
            <sz val="9"/>
            <color indexed="81"/>
            <rFont val="Tahoma"/>
            <family val="2"/>
          </rPr>
          <t xml:space="preserve">
Amort. was $39M in '13 (ex-outdoor)</t>
        </r>
      </text>
    </comment>
    <comment ref="AK209" authorId="5">
      <text>
        <r>
          <rPr>
            <b/>
            <sz val="9"/>
            <color indexed="81"/>
            <rFont val="Tahoma"/>
            <family val="2"/>
          </rPr>
          <t>Ripps, Maria (Research):</t>
        </r>
        <r>
          <rPr>
            <sz val="9"/>
            <color indexed="81"/>
            <rFont val="Tahoma"/>
            <family val="2"/>
          </rPr>
          <t xml:space="preserve">
Amort. was $32M in '14, 10K</t>
        </r>
      </text>
    </comment>
    <comment ref="AL209" authorId="5">
      <text>
        <r>
          <rPr>
            <b/>
            <sz val="9"/>
            <color indexed="81"/>
            <rFont val="Tahoma"/>
            <family val="2"/>
          </rPr>
          <t>Ripps, Maria (Research):</t>
        </r>
        <r>
          <rPr>
            <sz val="9"/>
            <color indexed="81"/>
            <rFont val="Tahoma"/>
            <family val="2"/>
          </rPr>
          <t xml:space="preserve">
2015 10K: amortization of $24M</t>
        </r>
      </text>
    </comment>
    <comment ref="AM209" authorId="5">
      <text>
        <r>
          <rPr>
            <b/>
            <sz val="9"/>
            <color indexed="81"/>
            <rFont val="Tahoma"/>
            <family val="2"/>
          </rPr>
          <t>Ripps, Maria (Research):</t>
        </r>
        <r>
          <rPr>
            <sz val="9"/>
            <color indexed="81"/>
            <rFont val="Tahoma"/>
            <family val="2"/>
          </rPr>
          <t xml:space="preserve">
2016 10K: $20M</t>
        </r>
      </text>
    </comment>
    <comment ref="AN209" authorId="5">
      <text>
        <r>
          <rPr>
            <b/>
            <sz val="9"/>
            <color indexed="81"/>
            <rFont val="Tahoma"/>
            <family val="2"/>
          </rPr>
          <t>Ripps, Maria (Research):</t>
        </r>
        <r>
          <rPr>
            <sz val="9"/>
            <color indexed="81"/>
            <rFont val="Tahoma"/>
            <family val="2"/>
          </rPr>
          <t xml:space="preserve">
2016 10K: $19M</t>
        </r>
      </text>
    </comment>
    <comment ref="AO209" authorId="5">
      <text>
        <r>
          <rPr>
            <b/>
            <sz val="9"/>
            <color indexed="81"/>
            <rFont val="Tahoma"/>
            <family val="2"/>
          </rPr>
          <t>Ripps, Maria (Research):</t>
        </r>
        <r>
          <rPr>
            <sz val="9"/>
            <color indexed="81"/>
            <rFont val="Tahoma"/>
            <family val="2"/>
          </rPr>
          <t xml:space="preserve">
2016 10K: $18M</t>
        </r>
      </text>
    </comment>
    <comment ref="AP209" authorId="5">
      <text>
        <r>
          <rPr>
            <b/>
            <sz val="9"/>
            <color indexed="81"/>
            <rFont val="Tahoma"/>
            <family val="2"/>
          </rPr>
          <t>Ripps, Maria (Research):</t>
        </r>
        <r>
          <rPr>
            <sz val="9"/>
            <color indexed="81"/>
            <rFont val="Tahoma"/>
            <family val="2"/>
          </rPr>
          <t xml:space="preserve">
2016 10K: $18M</t>
        </r>
      </text>
    </comment>
    <comment ref="AQ209" authorId="5">
      <text>
        <r>
          <rPr>
            <b/>
            <sz val="9"/>
            <color indexed="81"/>
            <rFont val="Tahoma"/>
            <family val="2"/>
          </rPr>
          <t>Ripps, Maria (Research):</t>
        </r>
        <r>
          <rPr>
            <sz val="9"/>
            <color indexed="81"/>
            <rFont val="Tahoma"/>
            <family val="2"/>
          </rPr>
          <t xml:space="preserve">
2016 10K: $15M</t>
        </r>
      </text>
    </comment>
    <comment ref="AR209" authorId="5">
      <text>
        <r>
          <rPr>
            <b/>
            <sz val="9"/>
            <color indexed="81"/>
            <rFont val="Tahoma"/>
            <family val="2"/>
          </rPr>
          <t>Ripps, Maria (Research):</t>
        </r>
        <r>
          <rPr>
            <sz val="9"/>
            <color indexed="81"/>
            <rFont val="Tahoma"/>
            <family val="2"/>
          </rPr>
          <t xml:space="preserve">
2016 10K: $13M</t>
        </r>
      </text>
    </comment>
    <comment ref="AF216" authorId="10">
      <text>
        <r>
          <rPr>
            <b/>
            <sz val="8"/>
            <color indexed="81"/>
            <rFont val="Tahoma"/>
            <family val="2"/>
          </rPr>
          <t>Kristi Bonner:</t>
        </r>
        <r>
          <rPr>
            <sz val="8"/>
            <color indexed="81"/>
            <rFont val="Tahoma"/>
            <family val="2"/>
          </rPr>
          <t xml:space="preserve">
lower as rollout of london underground is completed</t>
        </r>
      </text>
    </comment>
    <comment ref="AF221" authorId="10">
      <text>
        <r>
          <rPr>
            <b/>
            <sz val="8"/>
            <color indexed="81"/>
            <rFont val="Tahoma"/>
            <family val="2"/>
          </rPr>
          <t>Kristi Bonner:</t>
        </r>
        <r>
          <rPr>
            <sz val="8"/>
            <color indexed="81"/>
            <rFont val="Tahoma"/>
            <family val="2"/>
          </rPr>
          <t xml:space="preserve">
3Q09 call guidance of $250-$280m</t>
        </r>
      </text>
    </comment>
    <comment ref="A226" authorId="8">
      <text>
        <r>
          <rPr>
            <b/>
            <sz val="8"/>
            <color indexed="81"/>
            <rFont val="Tahoma"/>
            <family val="2"/>
          </rPr>
          <t>sheilsk:</t>
        </r>
        <r>
          <rPr>
            <sz val="8"/>
            <color indexed="81"/>
            <rFont val="Tahoma"/>
            <family val="2"/>
          </rPr>
          <t xml:space="preserve">
per frank bodenchek model</t>
        </r>
      </text>
    </comment>
    <comment ref="A227" authorId="8">
      <text>
        <r>
          <rPr>
            <b/>
            <sz val="8"/>
            <color indexed="81"/>
            <rFont val="Tahoma"/>
            <family val="2"/>
          </rPr>
          <t>sheilsk:</t>
        </r>
        <r>
          <rPr>
            <sz val="8"/>
            <color indexed="81"/>
            <rFont val="Tahoma"/>
            <family val="2"/>
          </rPr>
          <t xml:space="preserve">
per frank bodenchek model</t>
        </r>
      </text>
    </comment>
  </commentList>
</comments>
</file>

<file path=xl/comments9.xml><?xml version="1.0" encoding="utf-8"?>
<comments xmlns="http://schemas.openxmlformats.org/spreadsheetml/2006/main">
  <authors>
    <author>A satisfied Microsoft Office user</author>
    <author>hershk</author>
    <author>Khadilkar, Hersh S (Research)</author>
    <author>Ripps, Maria (Research)</author>
    <author>krisbon</author>
    <author>fiftrya</author>
    <author>matheemi</author>
    <author>Micah Nance</author>
    <author>Swinburne, Benjamin (Research)</author>
  </authors>
  <commentList>
    <comment ref="A8" authorId="0">
      <text>
        <r>
          <rPr>
            <sz val="8"/>
            <color indexed="81"/>
            <rFont val="Tahoma"/>
            <family val="2"/>
          </rPr>
          <t>melletc:
Through 1997, Kagan Estimates</t>
        </r>
      </text>
    </comment>
    <comment ref="AW8" authorId="1">
      <text>
        <r>
          <rPr>
            <b/>
            <sz val="8"/>
            <color indexed="81"/>
            <rFont val="Tahoma"/>
            <family val="2"/>
          </rPr>
          <t>hershk:</t>
        </r>
        <r>
          <rPr>
            <sz val="8"/>
            <color indexed="81"/>
            <rFont val="Tahoma"/>
            <family val="2"/>
          </rPr>
          <t xml:space="preserve">
+4% underlying ex-NCAA </t>
        </r>
      </text>
    </comment>
    <comment ref="AX8" authorId="1">
      <text>
        <r>
          <rPr>
            <b/>
            <sz val="8"/>
            <color indexed="81"/>
            <rFont val="Tahoma"/>
            <family val="2"/>
          </rPr>
          <t>hershk:</t>
        </r>
        <r>
          <rPr>
            <sz val="8"/>
            <color indexed="81"/>
            <rFont val="Tahoma"/>
            <family val="2"/>
          </rPr>
          <t xml:space="preserve">
underlying growth of 4% from 2Q expected to accelerate due to: 1) Under the Dome &amp; Big Brother airing; 2) more inventory to sell vs last year due to no political; 3) no Olympics sucking up ad dollars
Assumes $35mm contribution from Under the Dome
Negative $2mm from blackout on TWC during 30 days from August 2 to September 2</t>
        </r>
      </text>
    </comment>
    <comment ref="BA8" authorId="2">
      <text>
        <r>
          <rPr>
            <b/>
            <sz val="9"/>
            <color indexed="81"/>
            <rFont val="Tahoma"/>
            <family val="2"/>
          </rPr>
          <t>Khadilkar, Hersh S (Research):</t>
        </r>
        <r>
          <rPr>
            <sz val="9"/>
            <color indexed="81"/>
            <rFont val="Tahoma"/>
            <family val="2"/>
          </rPr>
          <t xml:space="preserve">
down HSD</t>
        </r>
      </text>
    </comment>
    <comment ref="BB8" authorId="2">
      <text>
        <r>
          <rPr>
            <b/>
            <sz val="9"/>
            <color indexed="81"/>
            <rFont val="Tahoma"/>
            <family val="2"/>
          </rPr>
          <t>Khadilkar, Hersh S (Research):</t>
        </r>
        <r>
          <rPr>
            <sz val="9"/>
            <color indexed="81"/>
            <rFont val="Tahoma"/>
            <family val="2"/>
          </rPr>
          <t xml:space="preserve">
assumes sports up 5% excluding $90mm of no NCAA revs, PT plugs out</t>
        </r>
      </text>
    </comment>
    <comment ref="BC8" authorId="2">
      <text>
        <r>
          <rPr>
            <b/>
            <sz val="9"/>
            <color indexed="81"/>
            <rFont val="Tahoma"/>
            <family val="2"/>
          </rPr>
          <t>Khadilkar, Hersh S (Research):</t>
        </r>
        <r>
          <rPr>
            <sz val="9"/>
            <color indexed="81"/>
            <rFont val="Tahoma"/>
            <family val="2"/>
          </rPr>
          <t xml:space="preserve">
removes PT inventory replaced by NFL Thu night football</t>
        </r>
      </text>
    </comment>
    <comment ref="BD8" authorId="2">
      <text>
        <r>
          <rPr>
            <b/>
            <sz val="9"/>
            <color indexed="81"/>
            <rFont val="Tahoma"/>
            <family val="2"/>
          </rPr>
          <t>Khadilkar, Hersh S (Research):</t>
        </r>
        <r>
          <rPr>
            <sz val="9"/>
            <color indexed="81"/>
            <rFont val="Tahoma"/>
            <family val="2"/>
          </rPr>
          <t xml:space="preserve">
removes PT inventory replaced by NFL Thu night football</t>
        </r>
      </text>
    </comment>
    <comment ref="BK8" authorId="3">
      <text>
        <r>
          <rPr>
            <b/>
            <sz val="9"/>
            <color indexed="81"/>
            <rFont val="Tahoma"/>
            <family val="2"/>
          </rPr>
          <t>Ripps, Maria (Research):</t>
        </r>
        <r>
          <rPr>
            <sz val="9"/>
            <color indexed="81"/>
            <rFont val="Tahoma"/>
            <family val="2"/>
          </rPr>
          <t xml:space="preserve">
up HSD</t>
        </r>
      </text>
    </comment>
    <comment ref="A9" authorId="0">
      <text>
        <r>
          <rPr>
            <sz val="8"/>
            <color indexed="81"/>
            <rFont val="Tahoma"/>
            <family val="2"/>
          </rPr>
          <t>melletc:
Through 1997, Kagan Estimates</t>
        </r>
      </text>
    </comment>
    <comment ref="R9" authorId="4">
      <text>
        <r>
          <rPr>
            <b/>
            <sz val="8"/>
            <color indexed="81"/>
            <rFont val="Tahoma"/>
            <family val="2"/>
          </rPr>
          <t>krisbon:</t>
        </r>
        <r>
          <rPr>
            <sz val="8"/>
            <color indexed="81"/>
            <rFont val="Tahoma"/>
            <family val="2"/>
          </rPr>
          <t xml:space="preserve">
Superbowl</t>
        </r>
      </text>
    </comment>
    <comment ref="V9" authorId="3">
      <text>
        <r>
          <rPr>
            <b/>
            <sz val="9"/>
            <color indexed="81"/>
            <rFont val="Tahoma"/>
            <family val="2"/>
          </rPr>
          <t>Ripps, Maria (Research):</t>
        </r>
        <r>
          <rPr>
            <sz val="9"/>
            <color indexed="81"/>
            <rFont val="Tahoma"/>
            <family val="2"/>
          </rPr>
          <t xml:space="preserve">
Four fewer NCAA Tournament games broadcast on CBS in 2014, moved to Turner
Partially offset by advertising revenues from the broadcast of Thursday Night Football on CBS, which premiered in 2014</t>
        </r>
      </text>
    </comment>
    <comment ref="X9" authorId="3">
      <text>
        <r>
          <rPr>
            <b/>
            <sz val="9"/>
            <color indexed="81"/>
            <rFont val="Tahoma"/>
            <family val="2"/>
          </rPr>
          <t>Ripps, Maria (Research):</t>
        </r>
        <r>
          <rPr>
            <sz val="9"/>
            <color indexed="81"/>
            <rFont val="Tahoma"/>
            <family val="2"/>
          </rPr>
          <t xml:space="preserve">
Even years: extra NFL playoff game</t>
        </r>
      </text>
    </comment>
    <comment ref="Y9" authorId="3">
      <text>
        <r>
          <rPr>
            <b/>
            <sz val="9"/>
            <color indexed="81"/>
            <rFont val="Tahoma"/>
            <family val="2"/>
          </rPr>
          <t>Ripps, Maria (Research):</t>
        </r>
        <r>
          <rPr>
            <sz val="9"/>
            <color indexed="81"/>
            <rFont val="Tahoma"/>
            <family val="2"/>
          </rPr>
          <t xml:space="preserve">
Odd years: NCAA Final Four &amp; the Championship games</t>
        </r>
      </text>
    </comment>
    <comment ref="AV9" authorId="5">
      <text>
        <r>
          <rPr>
            <b/>
            <sz val="8"/>
            <color indexed="81"/>
            <rFont val="Tahoma"/>
            <family val="2"/>
          </rPr>
          <t>fiftrya:</t>
        </r>
        <r>
          <rPr>
            <sz val="8"/>
            <color indexed="81"/>
            <rFont val="Tahoma"/>
            <family val="2"/>
          </rPr>
          <t xml:space="preserve">
less ~$50M for Final Four in 2Q</t>
        </r>
      </text>
    </comment>
    <comment ref="AW9" authorId="6">
      <text>
        <r>
          <rPr>
            <b/>
            <sz val="8"/>
            <color indexed="81"/>
            <rFont val="Tahoma"/>
            <family val="2"/>
          </rPr>
          <t>matheemi:</t>
        </r>
        <r>
          <rPr>
            <sz val="8"/>
            <color indexed="81"/>
            <rFont val="Tahoma"/>
            <family val="2"/>
          </rPr>
          <t xml:space="preserve">
benefit from final four shift</t>
        </r>
      </text>
    </comment>
    <comment ref="BA9" authorId="2">
      <text>
        <r>
          <rPr>
            <b/>
            <sz val="9"/>
            <color indexed="81"/>
            <rFont val="Tahoma"/>
            <family val="2"/>
          </rPr>
          <t>Khadilkar, Hersh S (Research):</t>
        </r>
        <r>
          <rPr>
            <sz val="9"/>
            <color indexed="81"/>
            <rFont val="Tahoma"/>
            <family val="2"/>
          </rPr>
          <t xml:space="preserve">
4 games moving from CBS to TWX in 2014: 2 elite eight games (1Q14) and 2 semi-final games (2Q14) - we assume ~$100mm total ad rev impact split 90/10 between network and stations, with 40% of revs in 1Q14 and 60% in 2Q14</t>
        </r>
      </text>
    </comment>
    <comment ref="BB9" authorId="2">
      <text>
        <r>
          <rPr>
            <b/>
            <sz val="9"/>
            <color indexed="81"/>
            <rFont val="Tahoma"/>
            <family val="2"/>
          </rPr>
          <t>Khadilkar, Hersh S (Research):</t>
        </r>
        <r>
          <rPr>
            <sz val="9"/>
            <color indexed="81"/>
            <rFont val="Tahoma"/>
            <family val="2"/>
          </rPr>
          <t xml:space="preserve">
4 games moving from CBS to TWX in 2014: 2 elite eight games (1Q14) and 2 semi-final games (2Q14) - we assume ~$100mm total ad rev impact split 90/10 between network and stations, with 40% of revs in 1Q14 and 60% in 2Q14</t>
        </r>
      </text>
    </comment>
    <comment ref="BC9" authorId="2">
      <text>
        <r>
          <rPr>
            <b/>
            <sz val="9"/>
            <color indexed="81"/>
            <rFont val="Tahoma"/>
            <family val="2"/>
          </rPr>
          <t>Khadilkar, Hersh S (Research):</t>
        </r>
        <r>
          <rPr>
            <sz val="9"/>
            <color indexed="81"/>
            <rFont val="Tahoma"/>
            <family val="2"/>
          </rPr>
          <t xml:space="preserve">
NFL Thursday night games, adjusted for softer ratings</t>
        </r>
      </text>
    </comment>
    <comment ref="BF9" authorId="3">
      <text>
        <r>
          <rPr>
            <b/>
            <sz val="9"/>
            <color indexed="81"/>
            <rFont val="Tahoma"/>
            <family val="2"/>
          </rPr>
          <t>Ripps, Maria (Research):</t>
        </r>
        <r>
          <rPr>
            <sz val="9"/>
            <color indexed="81"/>
            <rFont val="Tahoma"/>
            <family val="2"/>
          </rPr>
          <t xml:space="preserve">
~$45M NFL impact 
~$8M other sports</t>
        </r>
      </text>
    </comment>
    <comment ref="BG9" authorId="3">
      <text>
        <r>
          <rPr>
            <b/>
            <sz val="9"/>
            <color indexed="81"/>
            <rFont val="Tahoma"/>
            <family val="2"/>
          </rPr>
          <t>Ripps, Maria (Research):</t>
        </r>
        <r>
          <rPr>
            <sz val="9"/>
            <color indexed="81"/>
            <rFont val="Tahoma"/>
            <family val="2"/>
          </rPr>
          <t xml:space="preserve">
NCAA - national championship game</t>
        </r>
      </text>
    </comment>
    <comment ref="BH9" authorId="3">
      <text>
        <r>
          <rPr>
            <b/>
            <sz val="9"/>
            <color indexed="81"/>
            <rFont val="Tahoma"/>
            <family val="2"/>
          </rPr>
          <t xml:space="preserve">Ripps, Maria (Research):
</t>
        </r>
        <r>
          <rPr>
            <sz val="9"/>
            <color indexed="81"/>
            <rFont val="Tahoma"/>
            <family val="2"/>
          </rPr>
          <t>adj. for US Open ~$12M
adj. for 1 less NFL game ~$25M (from Q3 to Q4)
One less doubleheader game ~$10M (shifts to '16)
2 TNF games</t>
        </r>
      </text>
    </comment>
    <comment ref="BI9" authorId="3">
      <text>
        <r>
          <rPr>
            <b/>
            <sz val="9"/>
            <color indexed="81"/>
            <rFont val="Tahoma"/>
            <family val="2"/>
          </rPr>
          <t>Ripps, Maria (Research):</t>
        </r>
        <r>
          <rPr>
            <sz val="9"/>
            <color indexed="81"/>
            <rFont val="Tahoma"/>
            <family val="2"/>
          </rPr>
          <t xml:space="preserve">
adj. for 1 extra NFL game ~$25M
6 TNF games</t>
        </r>
      </text>
    </comment>
    <comment ref="BK9" authorId="3">
      <text>
        <r>
          <rPr>
            <b/>
            <sz val="9"/>
            <color indexed="81"/>
            <rFont val="Tahoma"/>
            <family val="2"/>
          </rPr>
          <t>Ripps, Maria (Research):</t>
        </r>
        <r>
          <rPr>
            <sz val="9"/>
            <color indexed="81"/>
            <rFont val="Tahoma"/>
            <family val="2"/>
          </rPr>
          <t xml:space="preserve">
Adjusted for extra AFC divisional playoff game, ~$35M
</t>
        </r>
        <r>
          <rPr>
            <u/>
            <sz val="9"/>
            <color indexed="81"/>
            <rFont val="Tahoma"/>
            <family val="2"/>
          </rPr>
          <t>2014-2015 season:</t>
        </r>
        <r>
          <rPr>
            <sz val="9"/>
            <color indexed="81"/>
            <rFont val="Tahoma"/>
            <family val="2"/>
          </rPr>
          <t xml:space="preserve"> one wild card game, one divisional playoff game
</t>
        </r>
        <r>
          <rPr>
            <u/>
            <sz val="9"/>
            <color indexed="81"/>
            <rFont val="Tahoma"/>
            <family val="2"/>
          </rPr>
          <t>2015-2016 season:</t>
        </r>
        <r>
          <rPr>
            <sz val="9"/>
            <color indexed="81"/>
            <rFont val="Tahoma"/>
            <family val="2"/>
          </rPr>
          <t xml:space="preserve"> one wild card game, two divisional playoff games
EC: Q1 benefited from 3 extra NFL games - two regular season Sunday games, and one playoff game</t>
        </r>
      </text>
    </comment>
    <comment ref="BL9" authorId="3">
      <text>
        <r>
          <rPr>
            <b/>
            <sz val="9"/>
            <color indexed="81"/>
            <rFont val="Tahoma"/>
            <family val="2"/>
          </rPr>
          <t>Ripps, Maria (Research):</t>
        </r>
        <r>
          <rPr>
            <sz val="9"/>
            <color indexed="81"/>
            <rFont val="Tahoma"/>
            <family val="2"/>
          </rPr>
          <t xml:space="preserve">
NCAA - national championship game is on Turner in 2016</t>
        </r>
      </text>
    </comment>
    <comment ref="BM9" authorId="3">
      <text>
        <r>
          <rPr>
            <b/>
            <sz val="9"/>
            <color indexed="81"/>
            <rFont val="Tahoma"/>
            <family val="2"/>
          </rPr>
          <t>Ripps, Maria (Research):</t>
        </r>
        <r>
          <rPr>
            <sz val="9"/>
            <color indexed="81"/>
            <rFont val="Tahoma"/>
            <family val="2"/>
          </rPr>
          <t xml:space="preserve">
Adjusted one extra doubleheader Sunday game, ~$10M
2 TNF games</t>
        </r>
      </text>
    </comment>
    <comment ref="BN9" authorId="3">
      <text>
        <r>
          <rPr>
            <b/>
            <sz val="9"/>
            <color indexed="81"/>
            <rFont val="Tahoma"/>
            <family val="2"/>
          </rPr>
          <t>Ripps, Maria (Research):</t>
        </r>
        <r>
          <rPr>
            <sz val="9"/>
            <color indexed="81"/>
            <rFont val="Tahoma"/>
            <family val="2"/>
          </rPr>
          <t xml:space="preserve">
NFL Thu: MSe $30M lower rev (incremental)
3 TNF games vs. 6 games in '15</t>
        </r>
      </text>
    </comment>
    <comment ref="BP9" authorId="3">
      <text>
        <r>
          <rPr>
            <b/>
            <sz val="9"/>
            <color indexed="81"/>
            <rFont val="Tahoma"/>
            <family val="2"/>
          </rPr>
          <t>Ripps, Maria (Research):</t>
        </r>
        <r>
          <rPr>
            <sz val="9"/>
            <color indexed="81"/>
            <rFont val="Tahoma"/>
            <family val="2"/>
          </rPr>
          <t xml:space="preserve">
One extra AFC divisional playoff game in 1Q16, ~$35M</t>
        </r>
      </text>
    </comment>
    <comment ref="BQ9" authorId="3">
      <text>
        <r>
          <rPr>
            <b/>
            <sz val="9"/>
            <color indexed="81"/>
            <rFont val="Tahoma"/>
            <family val="2"/>
          </rPr>
          <t xml:space="preserve">Ripps, Maria (Research):
</t>
        </r>
        <r>
          <rPr>
            <sz val="9"/>
            <color indexed="81"/>
            <rFont val="Tahoma"/>
            <family val="2"/>
          </rPr>
          <t xml:space="preserve">NCAA Final Four &amp; the Championship games, ~$75M net
April 1st - 3rd </t>
        </r>
      </text>
    </comment>
    <comment ref="BR9" authorId="3">
      <text>
        <r>
          <rPr>
            <b/>
            <sz val="9"/>
            <color indexed="81"/>
            <rFont val="Tahoma"/>
            <family val="2"/>
          </rPr>
          <t>Ripps, Maria (Research):</t>
        </r>
        <r>
          <rPr>
            <sz val="9"/>
            <color indexed="81"/>
            <rFont val="Tahoma"/>
            <family val="2"/>
          </rPr>
          <t xml:space="preserve">
TNF - 1 game vs. 2 games in 3Q'16 
09/28 
MSe: ~$20/game net
One less Sunday game, comes back in 4Q</t>
        </r>
      </text>
    </comment>
    <comment ref="BS9" authorId="3">
      <text>
        <r>
          <rPr>
            <b/>
            <sz val="9"/>
            <color indexed="81"/>
            <rFont val="Tahoma"/>
            <family val="2"/>
          </rPr>
          <t>Ripps, Maria (Research):</t>
        </r>
        <r>
          <rPr>
            <sz val="9"/>
            <color indexed="81"/>
            <rFont val="Tahoma"/>
            <family val="2"/>
          </rPr>
          <t xml:space="preserve">
TNF - 4 games vs. 3 games in 4Q'16
10/05
10/12
10/19
10/26
MSe: ~$20M/game, net</t>
        </r>
      </text>
    </comment>
    <comment ref="BU9" authorId="3">
      <text>
        <r>
          <rPr>
            <b/>
            <sz val="9"/>
            <color indexed="81"/>
            <rFont val="Tahoma"/>
            <family val="2"/>
          </rPr>
          <t>Ripps, Maria (Research):</t>
        </r>
        <r>
          <rPr>
            <sz val="9"/>
            <color indexed="81"/>
            <rFont val="Tahoma"/>
            <family val="2"/>
          </rPr>
          <t xml:space="preserve">
Extra AFC game, MSe ~$37M net</t>
        </r>
      </text>
    </comment>
    <comment ref="BV9" authorId="3">
      <text>
        <r>
          <rPr>
            <b/>
            <sz val="9"/>
            <color indexed="81"/>
            <rFont val="Tahoma"/>
            <family val="2"/>
          </rPr>
          <t>Ripps, Maria (Research):</t>
        </r>
        <r>
          <rPr>
            <sz val="9"/>
            <color indexed="81"/>
            <rFont val="Tahoma"/>
            <family val="2"/>
          </rPr>
          <t xml:space="preserve">
NCAA Final Four &amp; the Championship games move to Turner, MSe ~$75M net impact</t>
        </r>
      </text>
    </comment>
    <comment ref="BK10" authorId="3">
      <text>
        <r>
          <rPr>
            <b/>
            <sz val="9"/>
            <color indexed="81"/>
            <rFont val="Tahoma"/>
            <family val="2"/>
          </rPr>
          <t>Ripps, Maria (Research):</t>
        </r>
        <r>
          <rPr>
            <sz val="9"/>
            <color indexed="81"/>
            <rFont val="Tahoma"/>
            <family val="2"/>
          </rPr>
          <t xml:space="preserve">
link: cell BK161</t>
        </r>
      </text>
    </comment>
    <comment ref="BH11" authorId="3">
      <text>
        <r>
          <rPr>
            <b/>
            <sz val="9"/>
            <color indexed="81"/>
            <rFont val="Tahoma"/>
            <family val="2"/>
          </rPr>
          <t>Ripps, Maria (Research):</t>
        </r>
        <r>
          <rPr>
            <sz val="9"/>
            <color indexed="81"/>
            <rFont val="Tahoma"/>
            <family val="2"/>
          </rPr>
          <t xml:space="preserve">
Better performance of Late Show with Stephen Colbert</t>
        </r>
      </text>
    </comment>
    <comment ref="AV12" authorId="6">
      <text>
        <r>
          <rPr>
            <b/>
            <sz val="8"/>
            <color indexed="81"/>
            <rFont val="Tahoma"/>
            <family val="2"/>
          </rPr>
          <t>matheemi:</t>
        </r>
        <r>
          <rPr>
            <sz val="8"/>
            <color indexed="81"/>
            <rFont val="Tahoma"/>
            <family val="2"/>
          </rPr>
          <t xml:space="preserve">
total retrans up 61% YoTY (including reverse comp)</t>
        </r>
      </text>
    </comment>
    <comment ref="B14" authorId="0">
      <text>
        <r>
          <rPr>
            <sz val="8"/>
            <color indexed="81"/>
            <rFont val="Tahoma"/>
            <family val="2"/>
          </rPr>
          <t xml:space="preserve">melletc:
TV Dimensions 2000
</t>
        </r>
      </text>
    </comment>
    <comment ref="C14" authorId="0">
      <text>
        <r>
          <rPr>
            <sz val="8"/>
            <color indexed="81"/>
            <rFont val="Tahoma"/>
            <family val="2"/>
          </rPr>
          <t xml:space="preserve">melletc:
TV Dimensions 2000
</t>
        </r>
      </text>
    </comment>
    <comment ref="D14" authorId="0">
      <text>
        <r>
          <rPr>
            <sz val="8"/>
            <color indexed="81"/>
            <rFont val="Tahoma"/>
            <family val="2"/>
          </rPr>
          <t xml:space="preserve">melletc:
TV Dimensions 2000
</t>
        </r>
      </text>
    </comment>
    <comment ref="E14" authorId="0">
      <text>
        <r>
          <rPr>
            <sz val="8"/>
            <color indexed="81"/>
            <rFont val="Tahoma"/>
            <family val="2"/>
          </rPr>
          <t xml:space="preserve">melletc:
TV Dimensions 2000
</t>
        </r>
      </text>
    </comment>
    <comment ref="F14" authorId="0">
      <text>
        <r>
          <rPr>
            <sz val="8"/>
            <color indexed="81"/>
            <rFont val="Tahoma"/>
            <family val="2"/>
          </rPr>
          <t xml:space="preserve">melletc:
TV Dimensions 2000
</t>
        </r>
      </text>
    </comment>
    <comment ref="G14" authorId="0">
      <text>
        <r>
          <rPr>
            <sz val="8"/>
            <color indexed="81"/>
            <rFont val="Tahoma"/>
            <family val="2"/>
          </rPr>
          <t xml:space="preserve">melletc:
Broadcasting and Cable, 3/6/00
</t>
        </r>
      </text>
    </comment>
    <comment ref="AV16" authorId="6">
      <text>
        <r>
          <rPr>
            <b/>
            <sz val="8"/>
            <color indexed="81"/>
            <rFont val="Tahoma"/>
            <family val="2"/>
          </rPr>
          <t>matheemi:</t>
        </r>
        <r>
          <rPr>
            <sz val="8"/>
            <color indexed="81"/>
            <rFont val="Tahoma"/>
            <family val="2"/>
          </rPr>
          <t xml:space="preserve">
Network advert up 14%</t>
        </r>
      </text>
    </comment>
    <comment ref="AW16" authorId="6">
      <text>
        <r>
          <rPr>
            <b/>
            <sz val="8"/>
            <color indexed="81"/>
            <rFont val="Tahoma"/>
            <family val="2"/>
          </rPr>
          <t>hershk:</t>
        </r>
        <r>
          <rPr>
            <sz val="8"/>
            <color indexed="81"/>
            <rFont val="Tahoma"/>
            <family val="2"/>
          </rPr>
          <t xml:space="preserve">
+4% underlying ex- NCAA timing benefit… implies NCAA timing shift was $35mm</t>
        </r>
      </text>
    </comment>
    <comment ref="AX16" authorId="6">
      <text>
        <r>
          <rPr>
            <b/>
            <sz val="8"/>
            <color indexed="81"/>
            <rFont val="Tahoma"/>
            <family val="2"/>
          </rPr>
          <t>hershk:</t>
        </r>
        <r>
          <rPr>
            <sz val="8"/>
            <color indexed="81"/>
            <rFont val="Tahoma"/>
            <family val="2"/>
          </rPr>
          <t xml:space="preserve">
+13% advertising revenue growth</t>
        </r>
      </text>
    </comment>
    <comment ref="BB16" authorId="2">
      <text>
        <r>
          <rPr>
            <b/>
            <sz val="9"/>
            <color indexed="81"/>
            <rFont val="Tahoma"/>
            <family val="2"/>
          </rPr>
          <t>Khadilkar, Hersh S (Research):</t>
        </r>
        <r>
          <rPr>
            <sz val="9"/>
            <color indexed="81"/>
            <rFont val="Tahoma"/>
            <family val="2"/>
          </rPr>
          <t xml:space="preserve">
ad revs down 7% reflecting the broadcast of two fewer NCAA tourney and softness in ad marketplace</t>
        </r>
      </text>
    </comment>
    <comment ref="BC16" authorId="2">
      <text>
        <r>
          <rPr>
            <b/>
            <sz val="9"/>
            <color indexed="81"/>
            <rFont val="Tahoma"/>
            <family val="2"/>
          </rPr>
          <t>Khadilkar, Hersh S (Research):</t>
        </r>
        <r>
          <rPr>
            <sz val="9"/>
            <color indexed="81"/>
            <rFont val="Tahoma"/>
            <family val="2"/>
          </rPr>
          <t xml:space="preserve">
down 1%</t>
        </r>
      </text>
    </comment>
    <comment ref="BD16" authorId="3">
      <text>
        <r>
          <rPr>
            <b/>
            <sz val="9"/>
            <color indexed="81"/>
            <rFont val="Tahoma"/>
            <family val="2"/>
          </rPr>
          <t xml:space="preserve">Ripps, Maria (Research):
</t>
        </r>
        <r>
          <rPr>
            <sz val="9"/>
            <color indexed="81"/>
            <rFont val="Tahoma"/>
            <family val="2"/>
          </rPr>
          <t>plus 2% 
underlying trends were modestly down</t>
        </r>
      </text>
    </comment>
    <comment ref="BF16" authorId="3">
      <text>
        <r>
          <rPr>
            <b/>
            <sz val="9"/>
            <color indexed="81"/>
            <rFont val="Tahoma"/>
            <family val="2"/>
          </rPr>
          <t>Ripps, Maria (Research):</t>
        </r>
        <r>
          <rPr>
            <sz val="9"/>
            <color indexed="81"/>
            <rFont val="Tahoma"/>
            <family val="2"/>
          </rPr>
          <t xml:space="preserve">
Q4 EC "Network ad rev growth continues to build on Q4 strength"
Network ad rev will grow, but will have 1 less NFL game in '15, will have 1 extra game in '16
Q1 EC "underlying network advertising was up 1%", overall network ad rev down 4%; est. 1 NFL game is ~$45M in revs</t>
        </r>
      </text>
    </comment>
    <comment ref="BG16" authorId="3">
      <text>
        <r>
          <rPr>
            <b/>
            <sz val="9"/>
            <color indexed="81"/>
            <rFont val="Tahoma"/>
            <family val="2"/>
          </rPr>
          <t>Ripps, Maria (Research):</t>
        </r>
        <r>
          <rPr>
            <sz val="9"/>
            <color indexed="81"/>
            <rFont val="Tahoma"/>
            <family val="2"/>
          </rPr>
          <t xml:space="preserve">
Underlying network advertising was flat in Q2</t>
        </r>
      </text>
    </comment>
    <comment ref="BH16" authorId="3">
      <text>
        <r>
          <rPr>
            <b/>
            <sz val="9"/>
            <color indexed="81"/>
            <rFont val="Tahoma"/>
            <family val="2"/>
          </rPr>
          <t>Ripps, Maria (Research):</t>
        </r>
        <r>
          <rPr>
            <sz val="9"/>
            <color indexed="81"/>
            <rFont val="Tahoma"/>
            <family val="2"/>
          </rPr>
          <t xml:space="preserve">
Network advertsing +1%</t>
        </r>
      </text>
    </comment>
    <comment ref="BI16" authorId="3">
      <text>
        <r>
          <rPr>
            <b/>
            <sz val="9"/>
            <color indexed="81"/>
            <rFont val="Tahoma"/>
            <family val="2"/>
          </rPr>
          <t>Ripps, Maria (Research):</t>
        </r>
        <r>
          <rPr>
            <sz val="9"/>
            <color indexed="81"/>
            <rFont val="Tahoma"/>
            <family val="2"/>
          </rPr>
          <t xml:space="preserve">
8% network advertising growth, both underlying and adjusted</t>
        </r>
      </text>
    </comment>
    <comment ref="BM16" authorId="3">
      <text>
        <r>
          <rPr>
            <b/>
            <sz val="9"/>
            <color indexed="81"/>
            <rFont val="Tahoma"/>
            <family val="2"/>
          </rPr>
          <t>Ripps, Maria (Research):</t>
        </r>
        <r>
          <rPr>
            <sz val="9"/>
            <color indexed="81"/>
            <rFont val="Tahoma"/>
            <family val="2"/>
          </rPr>
          <t xml:space="preserve">
PR: down 2%</t>
        </r>
      </text>
    </comment>
    <comment ref="BN16" authorId="3">
      <text>
        <r>
          <rPr>
            <b/>
            <sz val="9"/>
            <color indexed="81"/>
            <rFont val="Tahoma"/>
            <family val="2"/>
          </rPr>
          <t>Ripps, Maria (Research):</t>
        </r>
        <r>
          <rPr>
            <sz val="9"/>
            <color indexed="81"/>
            <rFont val="Tahoma"/>
            <family val="2"/>
          </rPr>
          <t xml:space="preserve">
Reported: -8%</t>
        </r>
      </text>
    </comment>
    <comment ref="BQ16" authorId="3">
      <text>
        <r>
          <rPr>
            <b/>
            <sz val="9"/>
            <color indexed="81"/>
            <rFont val="Tahoma"/>
            <family val="2"/>
          </rPr>
          <t>Ripps, Maria (Research):</t>
        </r>
        <r>
          <rPr>
            <sz val="9"/>
            <color indexed="81"/>
            <rFont val="Tahoma"/>
            <family val="2"/>
          </rPr>
          <t xml:space="preserve">
+7% EC</t>
        </r>
      </text>
    </comment>
    <comment ref="BR16" authorId="3">
      <text>
        <r>
          <rPr>
            <b/>
            <sz val="9"/>
            <color indexed="81"/>
            <rFont val="Tahoma"/>
            <family val="2"/>
          </rPr>
          <t>Ripps, Maria (Research):</t>
        </r>
        <r>
          <rPr>
            <sz val="9"/>
            <color indexed="81"/>
            <rFont val="Tahoma"/>
            <family val="2"/>
          </rPr>
          <t xml:space="preserve">
PR: -3% ENT</t>
        </r>
      </text>
    </comment>
    <comment ref="Y17" authorId="3">
      <text>
        <r>
          <rPr>
            <b/>
            <sz val="9"/>
            <color indexed="81"/>
            <rFont val="Tahoma"/>
            <family val="2"/>
          </rPr>
          <t>Ripps, Maria (Research):</t>
        </r>
        <r>
          <rPr>
            <sz val="9"/>
            <color indexed="81"/>
            <rFont val="Tahoma"/>
            <family val="2"/>
          </rPr>
          <t xml:space="preserve">
Adjusted for sports only; 
2017 should benefit from the conventions/debate coverage and the Olympics comp: 
1) NCAA Final Four &amp; the Championship games, ~$75M net
2) Championship game in 2016, ~$35M</t>
        </r>
      </text>
    </comment>
    <comment ref="Z17" authorId="3">
      <text>
        <r>
          <rPr>
            <b/>
            <sz val="9"/>
            <color indexed="81"/>
            <rFont val="Tahoma"/>
            <family val="2"/>
          </rPr>
          <t>Ripps, Maria (Research):</t>
        </r>
        <r>
          <rPr>
            <sz val="9"/>
            <color indexed="81"/>
            <rFont val="Tahoma"/>
            <family val="2"/>
          </rPr>
          <t xml:space="preserve">
Even years - extra NFL playoff game
Odd years - NCAA (Final Four &amp; Championship game)</t>
        </r>
      </text>
    </comment>
    <comment ref="AA17" authorId="3">
      <text>
        <r>
          <rPr>
            <b/>
            <sz val="9"/>
            <color indexed="81"/>
            <rFont val="Tahoma"/>
            <family val="2"/>
          </rPr>
          <t>Ripps, Maria (Research):</t>
        </r>
        <r>
          <rPr>
            <sz val="9"/>
            <color indexed="81"/>
            <rFont val="Tahoma"/>
            <family val="2"/>
          </rPr>
          <t xml:space="preserve">
Even years - extra NFL playoff game
Odd years - NCAA (Final Four &amp; Championship game)</t>
        </r>
      </text>
    </comment>
    <comment ref="AB17" authorId="3">
      <text>
        <r>
          <rPr>
            <b/>
            <sz val="9"/>
            <color indexed="81"/>
            <rFont val="Tahoma"/>
            <family val="2"/>
          </rPr>
          <t>Ripps, Maria (Research):</t>
        </r>
        <r>
          <rPr>
            <sz val="9"/>
            <color indexed="81"/>
            <rFont val="Tahoma"/>
            <family val="2"/>
          </rPr>
          <t xml:space="preserve">
Even years - extra NFL playoff game
Odd years - NCAA (Final Four &amp; Championship game)</t>
        </r>
      </text>
    </comment>
    <comment ref="BF17" authorId="3">
      <text>
        <r>
          <rPr>
            <b/>
            <sz val="9"/>
            <color indexed="81"/>
            <rFont val="Tahoma"/>
            <family val="2"/>
          </rPr>
          <t>Ripps, Maria (Research):</t>
        </r>
        <r>
          <rPr>
            <sz val="9"/>
            <color indexed="81"/>
            <rFont val="Tahoma"/>
            <family val="2"/>
          </rPr>
          <t xml:space="preserve">
underlying +1%</t>
        </r>
      </text>
    </comment>
    <comment ref="BG17" authorId="3">
      <text>
        <r>
          <rPr>
            <b/>
            <sz val="9"/>
            <color indexed="81"/>
            <rFont val="Tahoma"/>
            <family val="2"/>
          </rPr>
          <t>Ripps, Maria (Research):</t>
        </r>
        <r>
          <rPr>
            <sz val="9"/>
            <color indexed="81"/>
            <rFont val="Tahoma"/>
            <family val="2"/>
          </rPr>
          <t xml:space="preserve">
underlying was flat</t>
        </r>
      </text>
    </comment>
    <comment ref="BH17" authorId="3">
      <text>
        <r>
          <rPr>
            <b/>
            <sz val="9"/>
            <color indexed="81"/>
            <rFont val="Tahoma"/>
            <family val="2"/>
          </rPr>
          <t>Ripps, Maria (Research):</t>
        </r>
        <r>
          <rPr>
            <sz val="9"/>
            <color indexed="81"/>
            <rFont val="Tahoma"/>
            <family val="2"/>
          </rPr>
          <t xml:space="preserve">
Q3 EC "underlying network advertising was up 8%", overall network ad rev was up 1%
Adjusted for 2 NFL games &amp; US Open</t>
        </r>
      </text>
    </comment>
    <comment ref="BI17" authorId="3">
      <text>
        <r>
          <rPr>
            <b/>
            <sz val="9"/>
            <color indexed="81"/>
            <rFont val="Tahoma"/>
            <family val="2"/>
          </rPr>
          <t>Ripps, Maria (Research):</t>
        </r>
        <r>
          <rPr>
            <sz val="9"/>
            <color indexed="81"/>
            <rFont val="Tahoma"/>
            <family val="2"/>
          </rPr>
          <t xml:space="preserve">
underlying +8%</t>
        </r>
      </text>
    </comment>
    <comment ref="BK17" authorId="3">
      <text>
        <r>
          <rPr>
            <b/>
            <sz val="9"/>
            <color indexed="81"/>
            <rFont val="Tahoma"/>
            <family val="2"/>
          </rPr>
          <t>Ripps, Maria (Research):</t>
        </r>
        <r>
          <rPr>
            <sz val="9"/>
            <color indexed="81"/>
            <rFont val="Tahoma"/>
            <family val="2"/>
          </rPr>
          <t xml:space="preserve">
underlying advertising +12%</t>
        </r>
      </text>
    </comment>
    <comment ref="BL17" authorId="3">
      <text>
        <r>
          <rPr>
            <b/>
            <sz val="9"/>
            <color indexed="81"/>
            <rFont val="Tahoma"/>
            <family val="2"/>
          </rPr>
          <t>Ripps, Maria (Research):</t>
        </r>
        <r>
          <rPr>
            <sz val="9"/>
            <color indexed="81"/>
            <rFont val="Tahoma"/>
            <family val="2"/>
          </rPr>
          <t xml:space="preserve">
underlying advertising +2%
Championship game: ~$32M
Golf: absence of PGA: ~$10M</t>
        </r>
      </text>
    </comment>
    <comment ref="BM17" authorId="3">
      <text>
        <r>
          <rPr>
            <b/>
            <sz val="9"/>
            <color indexed="81"/>
            <rFont val="Tahoma"/>
            <family val="2"/>
          </rPr>
          <t>Ripps, Maria (Research):</t>
        </r>
        <r>
          <rPr>
            <sz val="9"/>
            <color indexed="81"/>
            <rFont val="Tahoma"/>
            <family val="2"/>
          </rPr>
          <t xml:space="preserve">
• Underlying was up "slightly"
• Adjusted for (MSe: ~$19M impact): 
1) 10 hours of primetime preemptions for the Democratic and Republican conventions and the first Presidential debate; 
2) competition from the 2016 Summer Olympics
</t>
        </r>
      </text>
    </comment>
    <comment ref="BN17" authorId="3">
      <text>
        <r>
          <rPr>
            <b/>
            <sz val="9"/>
            <color indexed="81"/>
            <rFont val="Tahoma"/>
            <family val="2"/>
          </rPr>
          <t>Ripps, Maria (Research):</t>
        </r>
        <r>
          <rPr>
            <sz val="9"/>
            <color indexed="81"/>
            <rFont val="Tahoma"/>
            <family val="2"/>
          </rPr>
          <t xml:space="preserve">
• $60M TNF incremental adjustments
• $18M 9 PT hours (3 debates)
• $5M other
</t>
        </r>
      </text>
    </comment>
    <comment ref="BP17" authorId="3">
      <text>
        <r>
          <rPr>
            <b/>
            <sz val="9"/>
            <color indexed="81"/>
            <rFont val="Tahoma"/>
            <family val="2"/>
          </rPr>
          <t>Ripps, Maria (Research):</t>
        </r>
        <r>
          <rPr>
            <sz val="9"/>
            <color indexed="81"/>
            <rFont val="Tahoma"/>
            <family val="2"/>
          </rPr>
          <t xml:space="preserve">
EC: "underlying down less than 1%"
</t>
        </r>
        <r>
          <rPr>
            <u/>
            <sz val="9"/>
            <color indexed="81"/>
            <rFont val="Tahoma"/>
            <family val="2"/>
          </rPr>
          <t>Adjusted for:</t>
        </r>
        <r>
          <rPr>
            <sz val="9"/>
            <color indexed="81"/>
            <rFont val="Tahoma"/>
            <family val="2"/>
          </rPr>
          <t xml:space="preserve">
One extra AFC divisional playoff game in 1Q16, ~$35M
~$12M other adjustment to get "underlying" to -0.7% vs. -26% reported</t>
        </r>
      </text>
    </comment>
    <comment ref="BQ17" authorId="3">
      <text>
        <r>
          <rPr>
            <b/>
            <sz val="9"/>
            <color indexed="81"/>
            <rFont val="Tahoma"/>
            <family val="2"/>
          </rPr>
          <t>Ripps, Maria (Research):</t>
        </r>
        <r>
          <rPr>
            <sz val="9"/>
            <color indexed="81"/>
            <rFont val="Tahoma"/>
            <family val="2"/>
          </rPr>
          <t xml:space="preserve">
</t>
        </r>
        <r>
          <rPr>
            <u/>
            <sz val="9"/>
            <color indexed="81"/>
            <rFont val="Tahoma"/>
            <family val="2"/>
          </rPr>
          <t>Adjusted for:</t>
        </r>
        <r>
          <rPr>
            <sz val="9"/>
            <color indexed="81"/>
            <rFont val="Tahoma"/>
            <family val="2"/>
          </rPr>
          <t xml:space="preserve">
NCAA Final Four &amp; the Championship games, ~$75M net
Underlying: down less than 2% </t>
        </r>
      </text>
    </comment>
    <comment ref="BR17" authorId="3">
      <text>
        <r>
          <rPr>
            <b/>
            <sz val="9"/>
            <color indexed="81"/>
            <rFont val="Tahoma"/>
            <family val="2"/>
          </rPr>
          <t>Ripps, Maria (Research):</t>
        </r>
        <r>
          <rPr>
            <sz val="9"/>
            <color indexed="81"/>
            <rFont val="Tahoma"/>
            <family val="2"/>
          </rPr>
          <t xml:space="preserve">
EC: underlying down 2%
</t>
        </r>
        <r>
          <rPr>
            <b/>
            <sz val="9"/>
            <color indexed="81"/>
            <rFont val="Tahoma"/>
            <family val="2"/>
          </rPr>
          <t xml:space="preserve">
</t>
        </r>
        <r>
          <rPr>
            <u/>
            <sz val="9"/>
            <color indexed="81"/>
            <rFont val="Tahoma"/>
            <family val="2"/>
          </rPr>
          <t>Adjusted for:</t>
        </r>
        <r>
          <rPr>
            <sz val="9"/>
            <color indexed="81"/>
            <rFont val="Tahoma"/>
            <family val="2"/>
          </rPr>
          <t xml:space="preserve">
MSe: ~$19M impact: 
1) 10 hours of primetime preemptions for the Democratic and Republican conventions and the first Presidential debate; 
2) competition from the 2016 Summer Olympics</t>
        </r>
      </text>
    </comment>
    <comment ref="BS17" authorId="3">
      <text>
        <r>
          <rPr>
            <b/>
            <sz val="9"/>
            <color indexed="81"/>
            <rFont val="Tahoma"/>
            <family val="2"/>
          </rPr>
          <t>Ripps, Maria (Research):</t>
        </r>
        <r>
          <rPr>
            <sz val="9"/>
            <color indexed="81"/>
            <rFont val="Tahoma"/>
            <family val="2"/>
          </rPr>
          <t xml:space="preserve">
</t>
        </r>
        <r>
          <rPr>
            <u/>
            <sz val="9"/>
            <color indexed="81"/>
            <rFont val="Tahoma"/>
            <family val="2"/>
          </rPr>
          <t>Adjusted for:</t>
        </r>
        <r>
          <rPr>
            <sz val="9"/>
            <color indexed="81"/>
            <rFont val="Tahoma"/>
            <family val="2"/>
          </rPr>
          <t xml:space="preserve">
• $18M 9 PT hours (3 debates)
• $5M other (last 4Q)
• $18M TNF net impact
• $5M Sunday game, net impact</t>
        </r>
      </text>
    </comment>
    <comment ref="P20" authorId="3">
      <text>
        <r>
          <rPr>
            <b/>
            <sz val="9"/>
            <color indexed="81"/>
            <rFont val="Tahoma"/>
            <family val="2"/>
          </rPr>
          <t>Ripps, Maria (Research):</t>
        </r>
        <r>
          <rPr>
            <sz val="9"/>
            <color indexed="81"/>
            <rFont val="Tahoma"/>
            <family val="2"/>
          </rPr>
          <t xml:space="preserve">
85% fixed cost, 15% variable cost</t>
        </r>
      </text>
    </comment>
    <comment ref="Q20" authorId="3">
      <text>
        <r>
          <rPr>
            <b/>
            <sz val="9"/>
            <color indexed="81"/>
            <rFont val="Tahoma"/>
            <family val="2"/>
          </rPr>
          <t>Ripps, Maria (Research):</t>
        </r>
        <r>
          <rPr>
            <sz val="9"/>
            <color indexed="81"/>
            <rFont val="Tahoma"/>
            <family val="2"/>
          </rPr>
          <t xml:space="preserve">
85% fixed cost, 15% variable cost</t>
        </r>
      </text>
    </comment>
    <comment ref="R20" authorId="3">
      <text>
        <r>
          <rPr>
            <b/>
            <sz val="9"/>
            <color indexed="81"/>
            <rFont val="Tahoma"/>
            <family val="2"/>
          </rPr>
          <t>Ripps, Maria (Research):</t>
        </r>
        <r>
          <rPr>
            <sz val="9"/>
            <color indexed="81"/>
            <rFont val="Tahoma"/>
            <family val="2"/>
          </rPr>
          <t xml:space="preserve">
85% fixed cost, 15% variable cost</t>
        </r>
      </text>
    </comment>
    <comment ref="S20" authorId="3">
      <text>
        <r>
          <rPr>
            <b/>
            <sz val="9"/>
            <color indexed="81"/>
            <rFont val="Tahoma"/>
            <family val="2"/>
          </rPr>
          <t>Ripps, Maria (Research):</t>
        </r>
        <r>
          <rPr>
            <sz val="9"/>
            <color indexed="81"/>
            <rFont val="Tahoma"/>
            <family val="2"/>
          </rPr>
          <t xml:space="preserve">
85% fixed cost, 15% variable cost</t>
        </r>
      </text>
    </comment>
    <comment ref="T20" authorId="3">
      <text>
        <r>
          <rPr>
            <b/>
            <sz val="9"/>
            <color indexed="81"/>
            <rFont val="Tahoma"/>
            <family val="2"/>
          </rPr>
          <t>Ripps, Maria (Research):</t>
        </r>
        <r>
          <rPr>
            <sz val="9"/>
            <color indexed="81"/>
            <rFont val="Tahoma"/>
            <family val="2"/>
          </rPr>
          <t xml:space="preserve">
85% fixed cost, 15% variable cost</t>
        </r>
      </text>
    </comment>
    <comment ref="W20" authorId="3">
      <text>
        <r>
          <rPr>
            <b/>
            <sz val="9"/>
            <color indexed="81"/>
            <rFont val="Tahoma"/>
            <family val="2"/>
          </rPr>
          <t>Ripps, Maria (Research):</t>
        </r>
        <r>
          <rPr>
            <sz val="9"/>
            <color indexed="81"/>
            <rFont val="Tahoma"/>
            <family val="2"/>
          </rPr>
          <t xml:space="preserve">
12/09/14 "Our programming costs next year are probably going to be lower than they are this year, ex-sports"</t>
        </r>
      </text>
    </comment>
    <comment ref="AX20" authorId="1">
      <text>
        <r>
          <rPr>
            <b/>
            <sz val="8"/>
            <color indexed="81"/>
            <rFont val="Tahoma"/>
            <family val="2"/>
          </rPr>
          <t>hershk:</t>
        </r>
        <r>
          <rPr>
            <sz val="8"/>
            <color indexed="81"/>
            <rFont val="Tahoma"/>
            <family val="2"/>
          </rPr>
          <t xml:space="preserve">
adding $33mm production cost for Under the Dome, 11 episodes airing in 3Q at $3mm / episode</t>
        </r>
      </text>
    </comment>
    <comment ref="BC20" authorId="2">
      <text>
        <r>
          <rPr>
            <b/>
            <sz val="9"/>
            <color indexed="81"/>
            <rFont val="Tahoma"/>
            <family val="2"/>
          </rPr>
          <t>Khadilkar, Hersh S (Research):</t>
        </r>
        <r>
          <rPr>
            <sz val="9"/>
            <color indexed="81"/>
            <rFont val="Tahoma"/>
            <family val="2"/>
          </rPr>
          <t xml:space="preserve">
removes PT inventory replaced by NFL Thu night football</t>
        </r>
      </text>
    </comment>
    <comment ref="BD20" authorId="2">
      <text>
        <r>
          <rPr>
            <b/>
            <sz val="9"/>
            <color indexed="81"/>
            <rFont val="Tahoma"/>
            <family val="2"/>
          </rPr>
          <t>Khadilkar, Hersh S (Research):</t>
        </r>
        <r>
          <rPr>
            <sz val="9"/>
            <color indexed="81"/>
            <rFont val="Tahoma"/>
            <family val="2"/>
          </rPr>
          <t xml:space="preserve">
removes PT inventory replaced by NFL Thu night football</t>
        </r>
      </text>
    </comment>
    <comment ref="U21" authorId="7">
      <text>
        <r>
          <rPr>
            <b/>
            <sz val="8"/>
            <color indexed="81"/>
            <rFont val="Tahoma"/>
            <family val="2"/>
          </rPr>
          <t>Micah Nance:</t>
        </r>
        <r>
          <rPr>
            <sz val="8"/>
            <color indexed="81"/>
            <rFont val="Tahoma"/>
            <family val="2"/>
          </rPr>
          <t xml:space="preserve">
~250mm in Superbowl costs</t>
        </r>
      </text>
    </comment>
    <comment ref="V21" authorId="1">
      <text>
        <r>
          <rPr>
            <b/>
            <sz val="8"/>
            <color indexed="81"/>
            <rFont val="Tahoma"/>
            <family val="2"/>
          </rPr>
          <t>hershk:</t>
        </r>
        <r>
          <rPr>
            <sz val="8"/>
            <color indexed="81"/>
            <rFont val="Tahoma"/>
            <family val="2"/>
          </rPr>
          <t xml:space="preserve">
excludes $285mm superbowl revs from 2012, assumes 85% incremental</t>
        </r>
      </text>
    </comment>
    <comment ref="W21" authorId="2">
      <text>
        <r>
          <rPr>
            <b/>
            <sz val="9"/>
            <color indexed="81"/>
            <rFont val="Tahoma"/>
            <family val="2"/>
          </rPr>
          <t>Khadilkar, Hersh S (Research):</t>
        </r>
        <r>
          <rPr>
            <sz val="9"/>
            <color indexed="81"/>
            <rFont val="Tahoma"/>
            <family val="2"/>
          </rPr>
          <t xml:space="preserve">
NFL contract step up
~$125mm step up in 2014 season, assumes $20mm in 3Q, $55mm in 4Q, and $50mm in 1Q15 (playoffs)
Backs out $300mm on NFL Thursday night games</t>
        </r>
      </text>
    </comment>
    <comment ref="BA21" authorId="1">
      <text>
        <r>
          <rPr>
            <b/>
            <sz val="8"/>
            <color indexed="81"/>
            <rFont val="Tahoma"/>
            <family val="2"/>
          </rPr>
          <t>hershk:</t>
        </r>
        <r>
          <rPr>
            <sz val="8"/>
            <color indexed="81"/>
            <rFont val="Tahoma"/>
            <family val="2"/>
          </rPr>
          <t xml:space="preserve">
on a consolidated basis, loss of revs from March Madness shift should be EBITDA neutral - rev split between network / stations 90/10, but 100% of costs at Network</t>
        </r>
      </text>
    </comment>
    <comment ref="BB21" authorId="1">
      <text>
        <r>
          <rPr>
            <b/>
            <sz val="8"/>
            <color indexed="81"/>
            <rFont val="Tahoma"/>
            <family val="2"/>
          </rPr>
          <t>hershk:</t>
        </r>
        <r>
          <rPr>
            <sz val="8"/>
            <color indexed="81"/>
            <rFont val="Tahoma"/>
            <family val="2"/>
          </rPr>
          <t xml:space="preserve">
on a consolidated basis, loss of revs from March Madness shift should be EBITDA neutral - rev split between network / stations 90/10, but 100% of costs at Network</t>
        </r>
      </text>
    </comment>
    <comment ref="BC21" authorId="2">
      <text>
        <r>
          <rPr>
            <b/>
            <sz val="9"/>
            <color indexed="81"/>
            <rFont val="Tahoma"/>
            <family val="2"/>
          </rPr>
          <t>Khadilkar, Hersh S (Research):</t>
        </r>
        <r>
          <rPr>
            <sz val="9"/>
            <color indexed="81"/>
            <rFont val="Tahoma"/>
            <family val="2"/>
          </rPr>
          <t xml:space="preserve">
NFL contract step up
~$125mm step up in 2014 season, assumes $20mm in 3Q, $55mm in 4Q, and $50mm in 1Q15 (playoffs)
NFL Thursday night games ~$300mm</t>
        </r>
      </text>
    </comment>
    <comment ref="BD21" authorId="2">
      <text>
        <r>
          <rPr>
            <b/>
            <sz val="9"/>
            <color indexed="81"/>
            <rFont val="Tahoma"/>
            <family val="2"/>
          </rPr>
          <t>Khadilkar, Hersh S (Research):</t>
        </r>
        <r>
          <rPr>
            <sz val="9"/>
            <color indexed="81"/>
            <rFont val="Tahoma"/>
            <family val="2"/>
          </rPr>
          <t xml:space="preserve">
NFL contract step up
~$125mm step up in 2014 season, assumes $20mm in 3Q, $55mm in 4Q, and $50mm in 1Q15 (playoffs)</t>
        </r>
      </text>
    </comment>
    <comment ref="BF21" authorId="2">
      <text>
        <r>
          <rPr>
            <b/>
            <sz val="9"/>
            <color indexed="81"/>
            <rFont val="Tahoma"/>
            <family val="2"/>
          </rPr>
          <t>Khadilkar, Hersh S (Research):</t>
        </r>
        <r>
          <rPr>
            <sz val="9"/>
            <color indexed="81"/>
            <rFont val="Tahoma"/>
            <family val="2"/>
          </rPr>
          <t xml:space="preserve">
NFL contract ~$125mm step up in 2014 season, assumes $20mm in 3Q, $55mm in 4Q, and $50mm in 1Q15 (playoffs)</t>
        </r>
      </text>
    </comment>
    <comment ref="BH21" authorId="8">
      <text>
        <r>
          <rPr>
            <b/>
            <sz val="9"/>
            <color indexed="81"/>
            <rFont val="Tahoma"/>
            <family val="2"/>
          </rPr>
          <t>Swinburne, Benjamin (Research):</t>
        </r>
        <r>
          <rPr>
            <sz val="9"/>
            <color indexed="81"/>
            <rFont val="Tahoma"/>
            <family val="2"/>
          </rPr>
          <t xml:space="preserve">
US Open to ESPN
$20M in costs
</t>
        </r>
      </text>
    </comment>
    <comment ref="BI21" authorId="3">
      <text>
        <r>
          <rPr>
            <b/>
            <sz val="9"/>
            <color indexed="81"/>
            <rFont val="Tahoma"/>
            <family val="2"/>
          </rPr>
          <t>Ripps, Maria (Research):</t>
        </r>
        <r>
          <rPr>
            <sz val="9"/>
            <color indexed="81"/>
            <rFont val="Tahoma"/>
            <family val="2"/>
          </rPr>
          <t xml:space="preserve">
NFL Thu - step up of $27M in '15 (rights fees up 10%, production costs -$1M on fewer games) 
(25% in Q3 &amp; 75% in Q4; Sep-Dec)
NFL Sunday - step up of $50M, up~6% in '15 (20% in Q3, 60% in Q4, &amp; 20% in Q1/16; Sep-Jan)</t>
        </r>
      </text>
    </comment>
    <comment ref="BK21" authorId="3">
      <text>
        <r>
          <rPr>
            <b/>
            <sz val="9"/>
            <color indexed="81"/>
            <rFont val="Tahoma"/>
            <family val="2"/>
          </rPr>
          <t>Ripps, Maria (Research):</t>
        </r>
        <r>
          <rPr>
            <sz val="9"/>
            <color indexed="81"/>
            <rFont val="Tahoma"/>
            <family val="2"/>
          </rPr>
          <t xml:space="preserve">
NFL Sunday - step up of $50M, up~6% in '15 (20% in Q3, 60% in Q4, &amp; 20% in Q1/16; Sep-Jan)</t>
        </r>
      </text>
    </comment>
    <comment ref="BL21" authorId="3">
      <text>
        <r>
          <rPr>
            <b/>
            <sz val="9"/>
            <color indexed="81"/>
            <rFont val="Tahoma"/>
            <family val="2"/>
          </rPr>
          <t>Ripps, Maria (Research):</t>
        </r>
        <r>
          <rPr>
            <sz val="9"/>
            <color indexed="81"/>
            <rFont val="Tahoma"/>
            <family val="2"/>
          </rPr>
          <t xml:space="preserve">
NCAA - national championship game is on Turner in 2016</t>
        </r>
      </text>
    </comment>
    <comment ref="BM21" authorId="3">
      <text>
        <r>
          <rPr>
            <b/>
            <sz val="9"/>
            <color indexed="81"/>
            <rFont val="Tahoma"/>
            <family val="2"/>
          </rPr>
          <t>Ripps, Maria (Research):</t>
        </r>
        <r>
          <rPr>
            <sz val="9"/>
            <color indexed="81"/>
            <rFont val="Tahoma"/>
            <family val="2"/>
          </rPr>
          <t xml:space="preserve">
NFL Thu - $225M rights fees and $12.4M production costs (MSe) in '16, down from $320M/$24M in'15  (2 games in Q3 &amp; 3 games in Q4)
NFL Sunday - step up of $53M (MSe), up ~6% (MSe) in '16 (20% in Q3, 60% in Q4, &amp; 20% in Q1/16; Sep-Jan)</t>
        </r>
      </text>
    </comment>
    <comment ref="BN21" authorId="3">
      <text>
        <r>
          <rPr>
            <b/>
            <sz val="9"/>
            <color indexed="81"/>
            <rFont val="Tahoma"/>
            <family val="2"/>
          </rPr>
          <t>Ripps, Maria (Research):</t>
        </r>
        <r>
          <rPr>
            <sz val="9"/>
            <color indexed="81"/>
            <rFont val="Tahoma"/>
            <family val="2"/>
          </rPr>
          <t xml:space="preserve">
NFL Thu - $225M rights fees and $12.4M production costs (MSe) in '16, down from $320M/$24M in'15  (2 games Q3 &amp; 3 games in Q4)
NFL Sunday - step up of $53M (MSe), up ~6% (MSe) in '16 (20% in Q3, 60% in Q4, &amp; 20% in Q1/16; Sep-Jan)</t>
        </r>
      </text>
    </comment>
    <comment ref="BP21" authorId="3">
      <text>
        <r>
          <rPr>
            <b/>
            <sz val="9"/>
            <color indexed="81"/>
            <rFont val="Tahoma"/>
            <family val="2"/>
          </rPr>
          <t>Ripps, Maria (Research):</t>
        </r>
        <r>
          <rPr>
            <sz val="9"/>
            <color indexed="81"/>
            <rFont val="Tahoma"/>
            <family val="2"/>
          </rPr>
          <t xml:space="preserve">
One extra AFC divisional playoff game in 1Q16, ~$30M </t>
        </r>
      </text>
    </comment>
    <comment ref="BQ21" authorId="3">
      <text>
        <r>
          <rPr>
            <b/>
            <sz val="9"/>
            <color indexed="81"/>
            <rFont val="Tahoma"/>
            <family val="2"/>
          </rPr>
          <t>Ripps, Maria (Research):</t>
        </r>
        <r>
          <rPr>
            <sz val="9"/>
            <color indexed="81"/>
            <rFont val="Tahoma"/>
            <family val="2"/>
          </rPr>
          <t xml:space="preserve">
NCAA Final Four &amp; the Championship games, MSe: $75M</t>
        </r>
      </text>
    </comment>
    <comment ref="BR21" authorId="3">
      <text>
        <r>
          <rPr>
            <b/>
            <sz val="9"/>
            <color indexed="81"/>
            <rFont val="Tahoma"/>
            <family val="2"/>
          </rPr>
          <t>Ripps, Maria (Research):</t>
        </r>
        <r>
          <rPr>
            <sz val="9"/>
            <color indexed="81"/>
            <rFont val="Tahoma"/>
            <family val="2"/>
          </rPr>
          <t xml:space="preserve">
1TNF game vs. 2 last year. MSe: ~$45M
One less Sunday game, comes back in 4Q</t>
        </r>
      </text>
    </comment>
    <comment ref="BS21" authorId="3">
      <text>
        <r>
          <rPr>
            <b/>
            <sz val="9"/>
            <color indexed="81"/>
            <rFont val="Tahoma"/>
            <family val="2"/>
          </rPr>
          <t>Ripps, Maria (Research):</t>
        </r>
        <r>
          <rPr>
            <sz val="9"/>
            <color indexed="81"/>
            <rFont val="Tahoma"/>
            <family val="2"/>
          </rPr>
          <t xml:space="preserve">
4 TNF games vs. 3 last year, MSe: ~$45M
One extra Sunday game</t>
        </r>
      </text>
    </comment>
    <comment ref="BU21" authorId="3">
      <text>
        <r>
          <rPr>
            <b/>
            <sz val="9"/>
            <color indexed="81"/>
            <rFont val="Tahoma"/>
            <family val="2"/>
          </rPr>
          <t>Ripps, Maria (Research):</t>
        </r>
        <r>
          <rPr>
            <sz val="9"/>
            <color indexed="81"/>
            <rFont val="Tahoma"/>
            <family val="2"/>
          </rPr>
          <t xml:space="preserve">
Extra AFC game</t>
        </r>
      </text>
    </comment>
    <comment ref="BV21" authorId="3">
      <text>
        <r>
          <rPr>
            <b/>
            <sz val="9"/>
            <color indexed="81"/>
            <rFont val="Tahoma"/>
            <family val="2"/>
          </rPr>
          <t>Ripps, Maria (Research):</t>
        </r>
        <r>
          <rPr>
            <sz val="9"/>
            <color indexed="81"/>
            <rFont val="Tahoma"/>
            <family val="2"/>
          </rPr>
          <t xml:space="preserve">
NCAA Final Four &amp; the Championship games move to Turner</t>
        </r>
      </text>
    </comment>
    <comment ref="BK22" authorId="3">
      <text>
        <r>
          <rPr>
            <b/>
            <sz val="9"/>
            <color indexed="81"/>
            <rFont val="Tahoma"/>
            <family val="2"/>
          </rPr>
          <t>Ripps, Maria (Research):</t>
        </r>
        <r>
          <rPr>
            <sz val="9"/>
            <color indexed="81"/>
            <rFont val="Tahoma"/>
            <family val="2"/>
          </rPr>
          <t xml:space="preserve">
link: cell BK162</t>
        </r>
      </text>
    </comment>
    <comment ref="U25" authorId="7">
      <text>
        <r>
          <rPr>
            <b/>
            <sz val="8"/>
            <color indexed="81"/>
            <rFont val="Tahoma"/>
            <family val="2"/>
          </rPr>
          <t>Micah Nance:</t>
        </r>
        <r>
          <rPr>
            <sz val="8"/>
            <color indexed="81"/>
            <rFont val="Tahoma"/>
            <family val="2"/>
          </rPr>
          <t xml:space="preserve">
msd organic</t>
        </r>
      </text>
    </comment>
    <comment ref="B49" authorId="0">
      <text>
        <r>
          <rPr>
            <sz val="8"/>
            <color indexed="81"/>
            <rFont val="Tahoma"/>
            <family val="2"/>
          </rPr>
          <t xml:space="preserve">melletc:
TV Dimensions 2000
</t>
        </r>
      </text>
    </comment>
    <comment ref="C49" authorId="0">
      <text>
        <r>
          <rPr>
            <sz val="8"/>
            <color indexed="81"/>
            <rFont val="Tahoma"/>
            <family val="2"/>
          </rPr>
          <t xml:space="preserve">melletc:
TV Dimensions 2000
</t>
        </r>
      </text>
    </comment>
    <comment ref="D49" authorId="0">
      <text>
        <r>
          <rPr>
            <sz val="8"/>
            <color indexed="81"/>
            <rFont val="Tahoma"/>
            <family val="2"/>
          </rPr>
          <t xml:space="preserve">melletc:
TV Dimensions 2000
</t>
        </r>
      </text>
    </comment>
    <comment ref="E49" authorId="0">
      <text>
        <r>
          <rPr>
            <sz val="8"/>
            <color indexed="81"/>
            <rFont val="Tahoma"/>
            <family val="2"/>
          </rPr>
          <t xml:space="preserve">melletc:
TV Dimensions 2000
</t>
        </r>
      </text>
    </comment>
    <comment ref="F49" authorId="0">
      <text>
        <r>
          <rPr>
            <sz val="8"/>
            <color indexed="81"/>
            <rFont val="Tahoma"/>
            <family val="2"/>
          </rPr>
          <t xml:space="preserve">melletc:
TV Dimensions 2000
</t>
        </r>
      </text>
    </comment>
    <comment ref="G49" authorId="0">
      <text>
        <r>
          <rPr>
            <sz val="8"/>
            <color indexed="81"/>
            <rFont val="Tahoma"/>
            <family val="2"/>
          </rPr>
          <t xml:space="preserve">melletc:
Broadcasting and Cable, 3/6/00, however reported EBITDA rather than EBITA
</t>
        </r>
      </text>
    </comment>
    <comment ref="Q101" authorId="3">
      <text>
        <r>
          <rPr>
            <b/>
            <sz val="9"/>
            <color indexed="81"/>
            <rFont val="Tahoma"/>
            <family val="2"/>
          </rPr>
          <t>Ripps, Maria (Research):</t>
        </r>
        <r>
          <rPr>
            <sz val="9"/>
            <color indexed="81"/>
            <rFont val="Tahoma"/>
            <family val="2"/>
          </rPr>
          <t xml:space="preserve">
http://www.tvweek.com/tvbizwire/2014/05/how-many-minutes-of-commercial/
Broadcast networks averaged 13 minutes and 25 seconds of commercial time per hour in 2009, which grew to 14 minutes and 15 seconds in 2013</t>
        </r>
      </text>
    </comment>
    <comment ref="U101" authorId="3">
      <text>
        <r>
          <rPr>
            <b/>
            <sz val="9"/>
            <color indexed="81"/>
            <rFont val="Tahoma"/>
            <family val="2"/>
          </rPr>
          <t>Ripps, Maria (Research):</t>
        </r>
        <r>
          <rPr>
            <sz val="9"/>
            <color indexed="81"/>
            <rFont val="Tahoma"/>
            <family val="2"/>
          </rPr>
          <t xml:space="preserve">
http://www.tvweek.com/tvbizwire/2014/05/how-many-minutes-of-commercial/
Broadcast networks averaged 13 minutes and 25 seconds of commercial time per hour in 2009, which grew to 14 minutes and 15 seconds in 2013</t>
        </r>
      </text>
    </comment>
    <comment ref="C120" authorId="0">
      <text>
        <r>
          <rPr>
            <sz val="8"/>
            <color indexed="81"/>
            <rFont val="Tahoma"/>
            <family val="2"/>
          </rPr>
          <t>melletc:
No football</t>
        </r>
      </text>
    </comment>
    <comment ref="B122" authorId="0">
      <text>
        <r>
          <rPr>
            <sz val="8"/>
            <color indexed="81"/>
            <rFont val="Tahoma"/>
            <family val="2"/>
          </rPr>
          <t xml:space="preserve">melletc:
From Disney Model - not in TV Dimensions
</t>
        </r>
      </text>
    </comment>
    <comment ref="AP164" authorId="3">
      <text>
        <r>
          <rPr>
            <b/>
            <sz val="9"/>
            <color indexed="81"/>
            <rFont val="Tahoma"/>
            <family val="2"/>
          </rPr>
          <t>Ripps, Maria (Research):</t>
        </r>
        <r>
          <rPr>
            <sz val="9"/>
            <color indexed="81"/>
            <rFont val="Tahoma"/>
            <family val="2"/>
          </rPr>
          <t xml:space="preserve">
http://tvbythenumbers.zap2it.com/sports/fox-sports-renews-its-deal-with-the-nfl-for-nine-additional-years-now-runs-through-2022/</t>
        </r>
      </text>
    </comment>
    <comment ref="V166" authorId="2">
      <text>
        <r>
          <rPr>
            <b/>
            <sz val="9"/>
            <color indexed="81"/>
            <rFont val="Tahoma"/>
            <family val="2"/>
          </rPr>
          <t>Khadilkar, Hersh S (Research):</t>
        </r>
        <r>
          <rPr>
            <sz val="9"/>
            <color indexed="81"/>
            <rFont val="Tahoma"/>
            <family val="2"/>
          </rPr>
          <t xml:space="preserve">
4 games moving from CBS to TWX in 2014: 2 elite eight games (1Q14) and 2 semi-final games (2Q14) - we assume ~$100mm total ad rev impact split 90/10 between network and stations</t>
        </r>
      </text>
    </comment>
    <comment ref="AP167" authorId="2">
      <text>
        <r>
          <rPr>
            <b/>
            <sz val="9"/>
            <color indexed="81"/>
            <rFont val="Tahoma"/>
            <family val="2"/>
          </rPr>
          <t>Khadilkar, Hersh S (Research):</t>
        </r>
        <r>
          <rPr>
            <sz val="9"/>
            <color indexed="81"/>
            <rFont val="Tahoma"/>
            <family val="2"/>
          </rPr>
          <t xml:space="preserve">
Big 10 expires 2016
AAC expires 2019
SEC expires 2023
</t>
        </r>
      </text>
    </comment>
    <comment ref="AP168" authorId="2">
      <text>
        <r>
          <rPr>
            <b/>
            <sz val="9"/>
            <color indexed="81"/>
            <rFont val="Tahoma"/>
            <family val="2"/>
          </rPr>
          <t>Khadilkar, Hersh S (Research):</t>
        </r>
        <r>
          <rPr>
            <sz val="9"/>
            <color indexed="81"/>
            <rFont val="Tahoma"/>
            <family val="2"/>
          </rPr>
          <t xml:space="preserve">
The Masters expires 2014
PGA Championship expires 2019
PGA Tour expires 2021
</t>
        </r>
      </text>
    </comment>
    <comment ref="AP169" authorId="2">
      <text>
        <r>
          <rPr>
            <b/>
            <sz val="9"/>
            <color indexed="81"/>
            <rFont val="Tahoma"/>
            <family val="2"/>
          </rPr>
          <t>Khadilkar, Hersh S (Research):</t>
        </r>
        <r>
          <rPr>
            <sz val="9"/>
            <color indexed="81"/>
            <rFont val="Tahoma"/>
            <family val="2"/>
          </rPr>
          <t xml:space="preserve">
Year to year deal</t>
        </r>
      </text>
    </comment>
    <comment ref="V177" authorId="2">
      <text>
        <r>
          <rPr>
            <b/>
            <sz val="9"/>
            <color indexed="81"/>
            <rFont val="Tahoma"/>
            <family val="2"/>
          </rPr>
          <t>Khadilkar, Hersh S (Research):</t>
        </r>
        <r>
          <rPr>
            <sz val="9"/>
            <color indexed="81"/>
            <rFont val="Tahoma"/>
            <family val="2"/>
          </rPr>
          <t xml:space="preserve">
moves $50mm into 2015 for 2014 season playoffs</t>
        </r>
      </text>
    </comment>
    <comment ref="W177" authorId="2">
      <text>
        <r>
          <rPr>
            <b/>
            <sz val="9"/>
            <color indexed="81"/>
            <rFont val="Tahoma"/>
            <family val="2"/>
          </rPr>
          <t>Khadilkar, Hersh S (Research):</t>
        </r>
        <r>
          <rPr>
            <sz val="9"/>
            <color indexed="81"/>
            <rFont val="Tahoma"/>
            <family val="2"/>
          </rPr>
          <t xml:space="preserve">
moves $50mm into 2015 for 2014 season playoffs</t>
        </r>
      </text>
    </comment>
    <comment ref="U179" authorId="2">
      <text>
        <r>
          <rPr>
            <b/>
            <sz val="9"/>
            <color indexed="81"/>
            <rFont val="Tahoma"/>
            <family val="2"/>
          </rPr>
          <t>Khadilkar, Hersh S (Research):</t>
        </r>
        <r>
          <rPr>
            <sz val="9"/>
            <color indexed="81"/>
            <rFont val="Tahoma"/>
            <family val="2"/>
          </rPr>
          <t xml:space="preserve">
Assumes CBS at the high end of the "loss cap" in 2013
from TWX filing: 
The aggregate programming rights fee, production costs, advertising revenues and sponsorship revenues related to the NCAA Tournament and related programming are equally shared by Turner and CBS. However, if the amount paid for the programming rights fee and production costs in any given year exceeds advertising and sponsorship revenues for that year, CBS’ share of such shortfall is limited to specified annual amounts </t>
        </r>
        <r>
          <rPr>
            <b/>
            <sz val="9"/>
            <color indexed="81"/>
            <rFont val="Tahoma"/>
            <family val="2"/>
          </rPr>
          <t>(the “loss cap”), ranging from approximately $90 million to $30 million.”</t>
        </r>
      </text>
    </comment>
    <comment ref="V179" authorId="2">
      <text>
        <r>
          <rPr>
            <b/>
            <sz val="9"/>
            <color indexed="81"/>
            <rFont val="Tahoma"/>
            <family val="2"/>
          </rPr>
          <t>Khadilkar, Hersh S (Research):</t>
        </r>
        <r>
          <rPr>
            <sz val="9"/>
            <color indexed="81"/>
            <rFont val="Tahoma"/>
            <family val="2"/>
          </rPr>
          <t xml:space="preserve">
assumes no margin impact from revenue decline due to cap</t>
        </r>
      </text>
    </comment>
    <comment ref="Y180" authorId="2">
      <text>
        <r>
          <rPr>
            <b/>
            <sz val="9"/>
            <color indexed="81"/>
            <rFont val="Tahoma"/>
            <family val="2"/>
          </rPr>
          <t>Khadilkar, Hersh S (Research):</t>
        </r>
        <r>
          <rPr>
            <sz val="9"/>
            <color indexed="81"/>
            <rFont val="Tahoma"/>
            <family val="2"/>
          </rPr>
          <t xml:space="preserve">
assumes big 10 renewed (~25% of expenses)</t>
        </r>
      </text>
    </comment>
    <comment ref="W182" authorId="2">
      <text>
        <r>
          <rPr>
            <b/>
            <sz val="9"/>
            <color indexed="81"/>
            <rFont val="Tahoma"/>
            <family val="2"/>
          </rPr>
          <t>Khadilkar, Hersh S (Research):</t>
        </r>
        <r>
          <rPr>
            <sz val="9"/>
            <color indexed="81"/>
            <rFont val="Tahoma"/>
            <family val="2"/>
          </rPr>
          <t xml:space="preserve">
assumes annual renewal</t>
        </r>
      </text>
    </comment>
    <comment ref="A200" authorId="0">
      <text>
        <r>
          <rPr>
            <sz val="8"/>
            <color indexed="81"/>
            <rFont val="Tahoma"/>
            <family val="2"/>
          </rPr>
          <t>melletc:
Through 1997, Kagan Estimates</t>
        </r>
      </text>
    </comment>
    <comment ref="R200" authorId="4">
      <text>
        <r>
          <rPr>
            <b/>
            <sz val="8"/>
            <color indexed="81"/>
            <rFont val="Tahoma"/>
            <family val="2"/>
          </rPr>
          <t>krisbon:</t>
        </r>
        <r>
          <rPr>
            <sz val="8"/>
            <color indexed="81"/>
            <rFont val="Tahoma"/>
            <family val="2"/>
          </rPr>
          <t xml:space="preserve">
Superbowl</t>
        </r>
      </text>
    </comment>
    <comment ref="U200" authorId="7">
      <text>
        <r>
          <rPr>
            <b/>
            <sz val="8"/>
            <color indexed="81"/>
            <rFont val="Tahoma"/>
            <family val="2"/>
          </rPr>
          <t>Micah Nance:</t>
        </r>
        <r>
          <rPr>
            <sz val="8"/>
            <color indexed="81"/>
            <rFont val="Tahoma"/>
            <family val="2"/>
          </rPr>
          <t xml:space="preserve">
superbowl</t>
        </r>
      </text>
    </comment>
    <comment ref="U201" authorId="7">
      <text>
        <r>
          <rPr>
            <b/>
            <sz val="8"/>
            <color indexed="81"/>
            <rFont val="Tahoma"/>
            <family val="2"/>
          </rPr>
          <t>Micah Nance:</t>
        </r>
        <r>
          <rPr>
            <sz val="8"/>
            <color indexed="81"/>
            <rFont val="Tahoma"/>
            <family val="2"/>
          </rPr>
          <t xml:space="preserve">
~250mm in Superbowl costs</t>
        </r>
      </text>
    </comment>
    <comment ref="V201" authorId="7">
      <text>
        <r>
          <rPr>
            <b/>
            <sz val="8"/>
            <color indexed="81"/>
            <rFont val="Tahoma"/>
            <family val="2"/>
          </rPr>
          <t>Micah Nance:</t>
        </r>
        <r>
          <rPr>
            <sz val="8"/>
            <color indexed="81"/>
            <rFont val="Tahoma"/>
            <family val="2"/>
          </rPr>
          <t xml:space="preserve">
new NFL contract</t>
        </r>
      </text>
    </comment>
    <comment ref="V220" authorId="2">
      <text>
        <r>
          <rPr>
            <b/>
            <sz val="9"/>
            <color indexed="81"/>
            <rFont val="Tahoma"/>
            <family val="2"/>
          </rPr>
          <t>Khadilkar, Hersh S (Research):</t>
        </r>
        <r>
          <rPr>
            <sz val="9"/>
            <color indexed="81"/>
            <rFont val="Tahoma"/>
            <family val="2"/>
          </rPr>
          <t xml:space="preserve">
4 games moving from CBS to TWX in 2014: 2 elite eight games (1Q14) and 2 semi-final games (2Q14) - we assume ~$100mm total ad rev impact split 90/10 between network and stations</t>
        </r>
      </text>
    </comment>
    <comment ref="AP221" authorId="2">
      <text>
        <r>
          <rPr>
            <b/>
            <sz val="9"/>
            <color indexed="81"/>
            <rFont val="Tahoma"/>
            <family val="2"/>
          </rPr>
          <t>Khadilkar, Hersh S (Research):</t>
        </r>
        <r>
          <rPr>
            <sz val="9"/>
            <color indexed="81"/>
            <rFont val="Tahoma"/>
            <family val="2"/>
          </rPr>
          <t xml:space="preserve">
Big 10 expires 2016
AAC expires 2019
SEC expires 2023
</t>
        </r>
      </text>
    </comment>
    <comment ref="AP222" authorId="2">
      <text>
        <r>
          <rPr>
            <b/>
            <sz val="9"/>
            <color indexed="81"/>
            <rFont val="Tahoma"/>
            <family val="2"/>
          </rPr>
          <t>Khadilkar, Hersh S (Research):</t>
        </r>
        <r>
          <rPr>
            <sz val="9"/>
            <color indexed="81"/>
            <rFont val="Tahoma"/>
            <family val="2"/>
          </rPr>
          <t xml:space="preserve">
The Masters expires 2014
PGA Championship expires 2019
PGA Tour expires 2021
</t>
        </r>
      </text>
    </comment>
    <comment ref="AP223" authorId="2">
      <text>
        <r>
          <rPr>
            <b/>
            <sz val="9"/>
            <color indexed="81"/>
            <rFont val="Tahoma"/>
            <family val="2"/>
          </rPr>
          <t>Khadilkar, Hersh S (Research):</t>
        </r>
        <r>
          <rPr>
            <sz val="9"/>
            <color indexed="81"/>
            <rFont val="Tahoma"/>
            <family val="2"/>
          </rPr>
          <t xml:space="preserve">
Year to year deal</t>
        </r>
      </text>
    </comment>
    <comment ref="V231" authorId="2">
      <text>
        <r>
          <rPr>
            <b/>
            <sz val="9"/>
            <color indexed="81"/>
            <rFont val="Tahoma"/>
            <family val="2"/>
          </rPr>
          <t>Khadilkar, Hersh S (Research):</t>
        </r>
        <r>
          <rPr>
            <sz val="9"/>
            <color indexed="81"/>
            <rFont val="Tahoma"/>
            <family val="2"/>
          </rPr>
          <t xml:space="preserve">
moves $50mm into 2015 for 2014 season playoffs</t>
        </r>
      </text>
    </comment>
    <comment ref="W231" authorId="2">
      <text>
        <r>
          <rPr>
            <b/>
            <sz val="9"/>
            <color indexed="81"/>
            <rFont val="Tahoma"/>
            <family val="2"/>
          </rPr>
          <t>Khadilkar, Hersh S (Research):</t>
        </r>
        <r>
          <rPr>
            <sz val="9"/>
            <color indexed="81"/>
            <rFont val="Tahoma"/>
            <family val="2"/>
          </rPr>
          <t xml:space="preserve">
moves $50mm into 2015 for 2014 season playoffs</t>
        </r>
      </text>
    </comment>
    <comment ref="U233" authorId="2">
      <text>
        <r>
          <rPr>
            <b/>
            <sz val="9"/>
            <color indexed="81"/>
            <rFont val="Tahoma"/>
            <family val="2"/>
          </rPr>
          <t>Khadilkar, Hersh S (Research):</t>
        </r>
        <r>
          <rPr>
            <sz val="9"/>
            <color indexed="81"/>
            <rFont val="Tahoma"/>
            <family val="2"/>
          </rPr>
          <t xml:space="preserve">
Assumes CBS at the high end of the "loss cap" in 2013
from TWX filing: 
The aggregate programming rights fee, production costs, advertising revenues and sponsorship revenues related to the NCAA Tournament and related programming are equally shared by Turner and CBS. However, if the amount paid for the programming rights fee and production costs in any given year exceeds advertising and sponsorship revenues for that year, CBS’ share of such shortfall is limited to specified annual amounts </t>
        </r>
        <r>
          <rPr>
            <b/>
            <sz val="9"/>
            <color indexed="81"/>
            <rFont val="Tahoma"/>
            <family val="2"/>
          </rPr>
          <t>(the “loss cap”), ranging from approximately $90 million to $30 million.”</t>
        </r>
      </text>
    </comment>
    <comment ref="V233" authorId="2">
      <text>
        <r>
          <rPr>
            <b/>
            <sz val="9"/>
            <color indexed="81"/>
            <rFont val="Tahoma"/>
            <family val="2"/>
          </rPr>
          <t>Khadilkar, Hersh S (Research):</t>
        </r>
        <r>
          <rPr>
            <sz val="9"/>
            <color indexed="81"/>
            <rFont val="Tahoma"/>
            <family val="2"/>
          </rPr>
          <t xml:space="preserve">
assumes no margin impact from revenue decline due to cap</t>
        </r>
      </text>
    </comment>
    <comment ref="W236" authorId="2">
      <text>
        <r>
          <rPr>
            <b/>
            <sz val="9"/>
            <color indexed="81"/>
            <rFont val="Tahoma"/>
            <family val="2"/>
          </rPr>
          <t>Khadilkar, Hersh S (Research):</t>
        </r>
        <r>
          <rPr>
            <sz val="9"/>
            <color indexed="81"/>
            <rFont val="Tahoma"/>
            <family val="2"/>
          </rPr>
          <t xml:space="preserve">
assumes annual renewal</t>
        </r>
      </text>
    </comment>
  </commentList>
</comments>
</file>

<file path=xl/comments10.xml><?xml version="1.0" encoding="utf-8"?>
<comments xmlns="http://schemas.openxmlformats.org/spreadsheetml/2006/main">
  <authors>
    <author>benswin</author>
    <author>hershk</author>
    <author>Ripps, Maria (Research)</author>
    <author>Khadilkar, Hersh S (Research)</author>
  </authors>
  <commentList>
    <comment ref="D7" authorId="0">
      <text>
        <r>
          <rPr>
            <b/>
            <sz val="8"/>
            <color indexed="81"/>
            <rFont val="Tahoma"/>
            <family val="2"/>
          </rPr>
          <t>benswin:</t>
        </r>
        <r>
          <rPr>
            <sz val="8"/>
            <color indexed="81"/>
            <rFont val="Tahoma"/>
            <family val="2"/>
          </rPr>
          <t xml:space="preserve">
DTV renewal mid '12</t>
        </r>
      </text>
    </comment>
    <comment ref="E7" authorId="0">
      <text>
        <r>
          <rPr>
            <b/>
            <sz val="8"/>
            <color indexed="81"/>
            <rFont val="Tahoma"/>
            <family val="2"/>
          </rPr>
          <t>benswin:</t>
        </r>
        <r>
          <rPr>
            <sz val="8"/>
            <color indexed="81"/>
            <rFont val="Tahoma"/>
            <family val="2"/>
          </rPr>
          <t xml:space="preserve">
T, CVC, TWC between mid '12 and YE13</t>
        </r>
      </text>
    </comment>
    <comment ref="G7" authorId="1">
      <text>
        <r>
          <rPr>
            <b/>
            <sz val="8"/>
            <color indexed="81"/>
            <rFont val="Tahoma"/>
            <family val="2"/>
          </rPr>
          <t>hershk:</t>
        </r>
        <r>
          <rPr>
            <sz val="8"/>
            <color indexed="81"/>
            <rFont val="Tahoma"/>
            <family val="2"/>
          </rPr>
          <t xml:space="preserve">
assumes DISH / COX both late 2014, CVC / AT&amp;T mid-year 2015</t>
        </r>
      </text>
    </comment>
    <comment ref="H7" authorId="2">
      <text>
        <r>
          <rPr>
            <b/>
            <sz val="9"/>
            <color indexed="81"/>
            <rFont val="Tahoma"/>
            <family val="2"/>
          </rPr>
          <t>Ripps, Maria (Research):</t>
        </r>
        <r>
          <rPr>
            <sz val="9"/>
            <color indexed="81"/>
            <rFont val="Tahoma"/>
            <family val="2"/>
          </rPr>
          <t xml:space="preserve">
No major renewals in '16
</t>
        </r>
      </text>
    </comment>
    <comment ref="I7" authorId="2">
      <text>
        <r>
          <rPr>
            <b/>
            <sz val="9"/>
            <color indexed="81"/>
            <rFont val="Tahoma"/>
            <family val="2"/>
          </rPr>
          <t>Ripps, Maria (Research):</t>
        </r>
        <r>
          <rPr>
            <sz val="9"/>
            <color indexed="81"/>
            <rFont val="Tahoma"/>
            <family val="2"/>
          </rPr>
          <t xml:space="preserve">
MSe: VZ renewal in Q1
DISH renewal in Q4</t>
        </r>
      </text>
    </comment>
    <comment ref="K7" authorId="2">
      <text>
        <r>
          <rPr>
            <b/>
            <sz val="9"/>
            <color indexed="81"/>
            <rFont val="Tahoma"/>
            <family val="2"/>
          </rPr>
          <t>Ripps, Maria (Research):</t>
        </r>
        <r>
          <rPr>
            <sz val="9"/>
            <color indexed="81"/>
            <rFont val="Tahoma"/>
            <family val="2"/>
          </rPr>
          <t xml:space="preserve">
Cox renewal - end '18
DTV, T, CVC - Q3-Q4'19 renewals (~30% of footprint)</t>
        </r>
      </text>
    </comment>
    <comment ref="L7" authorId="2">
      <text>
        <r>
          <rPr>
            <b/>
            <sz val="9"/>
            <color indexed="81"/>
            <rFont val="Tahoma"/>
            <family val="2"/>
          </rPr>
          <t>Ripps, Maria (Research):</t>
        </r>
        <r>
          <rPr>
            <sz val="9"/>
            <color indexed="81"/>
            <rFont val="Tahoma"/>
            <family val="2"/>
          </rPr>
          <t xml:space="preserve">
DTV, T, CVC - Q3-Q4'19 renewals - impacting 1H'20</t>
        </r>
      </text>
    </comment>
    <comment ref="M7" authorId="3">
      <text>
        <r>
          <rPr>
            <b/>
            <sz val="9"/>
            <color indexed="81"/>
            <rFont val="Tahoma"/>
            <family val="2"/>
          </rPr>
          <t>Khadilkar, Hersh S (Research):</t>
        </r>
        <r>
          <rPr>
            <sz val="9"/>
            <color indexed="81"/>
            <rFont val="Tahoma"/>
            <family val="2"/>
          </rPr>
          <t xml:space="preserve">
CMCSA deal steps up from below market rates</t>
        </r>
      </text>
    </comment>
    <comment ref="H17" authorId="2">
      <text>
        <r>
          <rPr>
            <b/>
            <sz val="9"/>
            <color indexed="81"/>
            <rFont val="Tahoma"/>
            <family val="2"/>
          </rPr>
          <t>Ripps, Maria (Research):</t>
        </r>
        <r>
          <rPr>
            <sz val="9"/>
            <color indexed="81"/>
            <rFont val="Tahoma"/>
            <family val="2"/>
          </rPr>
          <t xml:space="preserve">
Above CBS O&amp;O fee per sub due to timing of renewals - no major renewals on the O&amp;O side in  2016
(+) CMCSA is below avg</t>
        </r>
      </text>
    </comment>
    <comment ref="H23" authorId="2">
      <text>
        <r>
          <rPr>
            <b/>
            <sz val="9"/>
            <color indexed="81"/>
            <rFont val="Tahoma"/>
            <family val="2"/>
          </rPr>
          <t>Ripps, Maria (Research):</t>
        </r>
        <r>
          <rPr>
            <sz val="9"/>
            <color indexed="81"/>
            <rFont val="Tahoma"/>
            <family val="2"/>
          </rPr>
          <t xml:space="preserve">
2/12/16 Q4 EC: 
exceed $1B in 2016</t>
        </r>
      </text>
    </comment>
    <comment ref="L23" authorId="2">
      <text>
        <r>
          <rPr>
            <b/>
            <sz val="9"/>
            <color indexed="81"/>
            <rFont val="Tahoma"/>
            <family val="2"/>
          </rPr>
          <t>Ripps, Maria (Research):</t>
        </r>
        <r>
          <rPr>
            <sz val="9"/>
            <color indexed="81"/>
            <rFont val="Tahoma"/>
            <family val="2"/>
          </rPr>
          <t xml:space="preserve">
2/12/16 Q4 EC: 
exceed $2B in 2020
3/15/16 investor day
$2.5B in 2020</t>
        </r>
      </text>
    </comment>
    <comment ref="D24" authorId="2">
      <text>
        <r>
          <rPr>
            <b/>
            <sz val="9"/>
            <color indexed="81"/>
            <rFont val="Tahoma"/>
            <family val="2"/>
          </rPr>
          <t>Ripps, Maria (Research):</t>
        </r>
        <r>
          <rPr>
            <sz val="9"/>
            <color indexed="81"/>
            <rFont val="Tahoma"/>
            <family val="2"/>
          </rPr>
          <t xml:space="preserve">
</t>
        </r>
        <r>
          <rPr>
            <b/>
            <sz val="9"/>
            <color indexed="81"/>
            <rFont val="Tahoma"/>
            <family val="2"/>
          </rPr>
          <t xml:space="preserve">2013 10K: </t>
        </r>
        <r>
          <rPr>
            <sz val="9"/>
            <color indexed="81"/>
            <rFont val="Tahoma"/>
            <family val="2"/>
          </rPr>
          <t>These increases reflected growth in retransmission revenues and network affiliation fees of 39% for 2013 and 42% for 2012</t>
        </r>
      </text>
    </comment>
    <comment ref="E24" authorId="2">
      <text>
        <r>
          <rPr>
            <b/>
            <sz val="9"/>
            <color indexed="81"/>
            <rFont val="Tahoma"/>
            <family val="2"/>
          </rPr>
          <t>Ripps, Maria (Research):</t>
        </r>
        <r>
          <rPr>
            <sz val="9"/>
            <color indexed="81"/>
            <rFont val="Tahoma"/>
            <family val="2"/>
          </rPr>
          <t xml:space="preserve">
</t>
        </r>
        <r>
          <rPr>
            <b/>
            <sz val="9"/>
            <color indexed="81"/>
            <rFont val="Tahoma"/>
            <family val="2"/>
          </rPr>
          <t>2013 10K:</t>
        </r>
        <r>
          <rPr>
            <sz val="9"/>
            <color indexed="81"/>
            <rFont val="Tahoma"/>
            <family val="2"/>
          </rPr>
          <t xml:space="preserve"> These increases reflected growth in retransmission revenues and network affiliation fees of 39% for 2013 and 42% for 2012</t>
        </r>
      </text>
    </comment>
    <comment ref="H24" authorId="2">
      <text>
        <r>
          <rPr>
            <b/>
            <sz val="9"/>
            <color indexed="81"/>
            <rFont val="Tahoma"/>
            <family val="2"/>
          </rPr>
          <t>Ripps, Maria (Research):</t>
        </r>
        <r>
          <rPr>
            <sz val="9"/>
            <color indexed="81"/>
            <rFont val="Tahoma"/>
            <family val="2"/>
          </rPr>
          <t xml:space="preserve">
4Q EC: +35% y/y</t>
        </r>
      </text>
    </comment>
    <comment ref="I24" authorId="2">
      <text>
        <r>
          <rPr>
            <b/>
            <sz val="9"/>
            <color indexed="81"/>
            <rFont val="Tahoma"/>
            <family val="2"/>
          </rPr>
          <t>Ripps, Maria (Research):</t>
        </r>
        <r>
          <rPr>
            <sz val="9"/>
            <color indexed="81"/>
            <rFont val="Tahoma"/>
            <family val="2"/>
          </rPr>
          <t xml:space="preserve">
Guide: +25% y/y</t>
        </r>
      </text>
    </comment>
    <comment ref="X24" authorId="2">
      <text>
        <r>
          <rPr>
            <b/>
            <sz val="9"/>
            <color indexed="81"/>
            <rFont val="Tahoma"/>
            <family val="2"/>
          </rPr>
          <t>Ripps, Maria (Research):</t>
        </r>
        <r>
          <rPr>
            <sz val="9"/>
            <color indexed="81"/>
            <rFont val="Tahoma"/>
            <family val="2"/>
          </rPr>
          <t xml:space="preserve">
EC: +28%</t>
        </r>
      </text>
    </comment>
    <comment ref="I31" authorId="2">
      <text>
        <r>
          <rPr>
            <b/>
            <sz val="9"/>
            <color indexed="81"/>
            <rFont val="Tahoma"/>
            <family val="2"/>
          </rPr>
          <t>Ripps, Maria (Research):</t>
        </r>
        <r>
          <rPr>
            <sz val="9"/>
            <color indexed="81"/>
            <rFont val="Tahoma"/>
            <family val="2"/>
          </rPr>
          <t xml:space="preserve">
MSe: April HULU launch</t>
        </r>
      </text>
    </comment>
    <comment ref="F114" authorId="1">
      <text>
        <r>
          <rPr>
            <b/>
            <sz val="8"/>
            <color indexed="81"/>
            <rFont val="Tahoma"/>
            <family val="2"/>
          </rPr>
          <t>hershk:</t>
        </r>
        <r>
          <rPr>
            <sz val="8"/>
            <color indexed="81"/>
            <rFont val="Tahoma"/>
            <family val="2"/>
          </rPr>
          <t xml:space="preserve">
preserves links only, does not drive model</t>
        </r>
      </text>
    </comment>
  </commentList>
</comments>
</file>

<file path=xl/comments11.xml><?xml version="1.0" encoding="utf-8"?>
<comments xmlns="http://schemas.openxmlformats.org/spreadsheetml/2006/main">
  <authors>
    <author>farrantj</author>
    <author>Ripps, Maria (Research)</author>
    <author>svetlana</author>
    <author>hershk</author>
    <author>fiftrya</author>
    <author>haberlec</author>
    <author>A satisfied Microsoft Office user</author>
    <author>rupeka</author>
  </authors>
  <commentList>
    <comment ref="CP9" authorId="0">
      <text>
        <r>
          <rPr>
            <b/>
            <sz val="8"/>
            <color indexed="81"/>
            <rFont val="Tahoma"/>
            <family val="2"/>
          </rPr>
          <t>farrantj:</t>
        </r>
        <r>
          <rPr>
            <sz val="8"/>
            <color indexed="81"/>
            <rFont val="Tahoma"/>
            <family val="2"/>
          </rPr>
          <t xml:space="preserve">
"rate and subsriber increases " ..TV license revs  increased 5%</t>
        </r>
      </text>
    </comment>
    <comment ref="DN9" authorId="1">
      <text>
        <r>
          <rPr>
            <b/>
            <sz val="9"/>
            <color indexed="81"/>
            <rFont val="Tahoma"/>
            <family val="2"/>
          </rPr>
          <t>Ripps, Maria (Research):</t>
        </r>
        <r>
          <rPr>
            <sz val="9"/>
            <color indexed="81"/>
            <rFont val="Tahoma"/>
            <family val="2"/>
          </rPr>
          <t xml:space="preserve">
Ending subs for Showtime Networks (including Showtime, The Movie Channel and Flix): 
Q1'13: 77M
Q2'13: 77M
Q3'13: 77M
Q4'13: 76M</t>
        </r>
      </text>
    </comment>
    <comment ref="DS9" authorId="1">
      <text>
        <r>
          <rPr>
            <b/>
            <sz val="9"/>
            <color indexed="81"/>
            <rFont val="Tahoma"/>
            <family val="2"/>
          </rPr>
          <t>Ripps, Maria (Research):</t>
        </r>
        <r>
          <rPr>
            <sz val="9"/>
            <color indexed="81"/>
            <rFont val="Tahoma"/>
            <family val="2"/>
          </rPr>
          <t xml:space="preserve">
Ending subs for Showtime Networks (including Showtime, The Movie Channel and Flix): 
Q1'14: 76M
Q2'14: 76M
Q3'14: 75M
Q4'14: 76M</t>
        </r>
      </text>
    </comment>
    <comment ref="DX9" authorId="1">
      <text>
        <r>
          <rPr>
            <b/>
            <sz val="9"/>
            <color indexed="81"/>
            <rFont val="Tahoma"/>
            <family val="2"/>
          </rPr>
          <t>Ripps, Maria (Research):</t>
        </r>
        <r>
          <rPr>
            <sz val="9"/>
            <color indexed="81"/>
            <rFont val="Tahoma"/>
            <family val="2"/>
          </rPr>
          <t xml:space="preserve">
Ending subs for Showtime Networks (including Showtime, The Movie Channel and Flix): 
Q1'15: 77M
Q2'15: 77M
Q3'15: 76M
Q4'15: 77M</t>
        </r>
      </text>
    </comment>
    <comment ref="DZ9" authorId="1">
      <text>
        <r>
          <rPr>
            <b/>
            <sz val="9"/>
            <color indexed="81"/>
            <rFont val="Tahoma"/>
            <family val="2"/>
          </rPr>
          <t>Ripps, Maria (Research):</t>
        </r>
        <r>
          <rPr>
            <sz val="9"/>
            <color indexed="81"/>
            <rFont val="Tahoma"/>
            <family val="2"/>
          </rPr>
          <t xml:space="preserve">
78M ending subs for Showtime Networks (including Showtime, The Movie Channel and Flix)</t>
        </r>
      </text>
    </comment>
    <comment ref="EA9" authorId="1">
      <text>
        <r>
          <rPr>
            <b/>
            <sz val="9"/>
            <color indexed="81"/>
            <rFont val="Tahoma"/>
            <family val="2"/>
          </rPr>
          <t>Ripps, Maria (Research):</t>
        </r>
        <r>
          <rPr>
            <sz val="9"/>
            <color indexed="81"/>
            <rFont val="Tahoma"/>
            <family val="2"/>
          </rPr>
          <t xml:space="preserve">
77 million for Showtime Networks (including
Showtime, The Movie Channel and Flix)</t>
        </r>
      </text>
    </comment>
    <comment ref="EB9" authorId="1">
      <text>
        <r>
          <rPr>
            <b/>
            <sz val="9"/>
            <color indexed="81"/>
            <rFont val="Tahoma"/>
            <family val="2"/>
          </rPr>
          <t>Ripps, Maria (Research):</t>
        </r>
        <r>
          <rPr>
            <sz val="9"/>
            <color indexed="81"/>
            <rFont val="Tahoma"/>
            <family val="2"/>
          </rPr>
          <t xml:space="preserve">
75 million for Showtime Networks (including
Showtime, The Movie Channel and Flix)</t>
        </r>
      </text>
    </comment>
    <comment ref="EC9" authorId="1">
      <text>
        <r>
          <rPr>
            <b/>
            <sz val="9"/>
            <color indexed="81"/>
            <rFont val="Tahoma"/>
            <family val="2"/>
          </rPr>
          <t>Ripps, Maria (Research):</t>
        </r>
        <r>
          <rPr>
            <sz val="9"/>
            <color indexed="81"/>
            <rFont val="Tahoma"/>
            <family val="2"/>
          </rPr>
          <t xml:space="preserve">
Ending subs for Showtime Networks (including Showtime, The Movie Channel and Flix): 
Q1'16: 78M
Q2'16: 77M
Q3'16: 75M
Q4'16: 76M</t>
        </r>
      </text>
    </comment>
    <comment ref="EE9" authorId="1">
      <text>
        <r>
          <rPr>
            <b/>
            <sz val="9"/>
            <color indexed="81"/>
            <rFont val="Tahoma"/>
            <family val="2"/>
          </rPr>
          <t>Ripps, Maria (Research):</t>
        </r>
        <r>
          <rPr>
            <sz val="9"/>
            <color indexed="81"/>
            <rFont val="Tahoma"/>
            <family val="2"/>
          </rPr>
          <t xml:space="preserve">
10Q: 74M ending subs for Showtime Networks (including Showtime, The Movie Channel and Flix)</t>
        </r>
      </text>
    </comment>
    <comment ref="EF9" authorId="1">
      <text>
        <r>
          <rPr>
            <b/>
            <sz val="9"/>
            <color indexed="81"/>
            <rFont val="Tahoma"/>
            <family val="2"/>
          </rPr>
          <t>Ripps, Maria (Research):</t>
        </r>
        <r>
          <rPr>
            <sz val="9"/>
            <color indexed="81"/>
            <rFont val="Tahoma"/>
            <family val="2"/>
          </rPr>
          <t xml:space="preserve">
10Q: 73 million ending subs for Showtime Networks (including Showtime, The Movie Channel and Flix)</t>
        </r>
      </text>
    </comment>
    <comment ref="EG9" authorId="1">
      <text>
        <r>
          <rPr>
            <b/>
            <sz val="9"/>
            <color indexed="81"/>
            <rFont val="Tahoma"/>
            <family val="2"/>
          </rPr>
          <t>Ripps, Maria (Research):</t>
        </r>
        <r>
          <rPr>
            <sz val="9"/>
            <color indexed="81"/>
            <rFont val="Tahoma"/>
            <family val="2"/>
          </rPr>
          <t xml:space="preserve">
25MM Showtime subs</t>
        </r>
      </text>
    </comment>
    <comment ref="EJ9" authorId="1">
      <text>
        <r>
          <rPr>
            <b/>
            <sz val="9"/>
            <color indexed="81"/>
            <rFont val="Tahoma"/>
            <family val="2"/>
          </rPr>
          <t>Ripps, Maria (Research):</t>
        </r>
        <r>
          <rPr>
            <sz val="9"/>
            <color indexed="81"/>
            <rFont val="Tahoma"/>
            <family val="2"/>
          </rPr>
          <t xml:space="preserve">
MSe</t>
        </r>
      </text>
    </comment>
    <comment ref="EK9" authorId="1">
      <text>
        <r>
          <rPr>
            <b/>
            <sz val="9"/>
            <color indexed="81"/>
            <rFont val="Tahoma"/>
            <family val="2"/>
          </rPr>
          <t>Ripps, Maria (Research):</t>
        </r>
        <r>
          <rPr>
            <sz val="9"/>
            <color indexed="81"/>
            <rFont val="Tahoma"/>
            <family val="2"/>
          </rPr>
          <t xml:space="preserve">
MSe</t>
        </r>
      </text>
    </comment>
    <comment ref="EL9" authorId="1">
      <text>
        <r>
          <rPr>
            <b/>
            <sz val="9"/>
            <color indexed="81"/>
            <rFont val="Tahoma"/>
            <family val="2"/>
          </rPr>
          <t>Ripps, Maria (Research):</t>
        </r>
        <r>
          <rPr>
            <sz val="9"/>
            <color indexed="81"/>
            <rFont val="Tahoma"/>
            <family val="2"/>
          </rPr>
          <t xml:space="preserve">
MSe</t>
        </r>
      </text>
    </comment>
    <comment ref="CF11" authorId="2">
      <text>
        <r>
          <rPr>
            <b/>
            <sz val="8"/>
            <color indexed="81"/>
            <rFont val="Tahoma"/>
            <family val="2"/>
          </rPr>
          <t>svetlana:</t>
        </r>
        <r>
          <rPr>
            <sz val="8"/>
            <color indexed="81"/>
            <rFont val="Tahoma"/>
            <family val="2"/>
          </rPr>
          <t xml:space="preserve">
Total affiliate fees were down 5%</t>
        </r>
      </text>
    </comment>
    <comment ref="Y14" authorId="3">
      <text>
        <r>
          <rPr>
            <b/>
            <sz val="8"/>
            <color indexed="81"/>
            <rFont val="Tahoma"/>
            <family val="2"/>
          </rPr>
          <t>hershk:</t>
        </r>
        <r>
          <rPr>
            <sz val="8"/>
            <color indexed="81"/>
            <rFont val="Tahoma"/>
            <family val="2"/>
          </rPr>
          <t xml:space="preserve">
2Q and 3Q13 boxing events
</t>
        </r>
      </text>
    </comment>
    <comment ref="AA14" authorId="1">
      <text>
        <r>
          <rPr>
            <b/>
            <sz val="9"/>
            <color indexed="81"/>
            <rFont val="Tahoma"/>
            <family val="2"/>
          </rPr>
          <t>Ripps, Maria (Research):</t>
        </r>
        <r>
          <rPr>
            <sz val="9"/>
            <color indexed="81"/>
            <rFont val="Tahoma"/>
            <family val="2"/>
          </rPr>
          <t xml:space="preserve">
Mayweather/Pacquiao fight, May 
assume 25% of $400M (4.4M buys at $99) 
2013 Mayweather fight - $150M / 2.2M buys  </t>
        </r>
      </text>
    </comment>
    <comment ref="AB14" authorId="3">
      <text>
        <r>
          <rPr>
            <b/>
            <sz val="8"/>
            <color indexed="81"/>
            <rFont val="Tahoma"/>
            <family val="2"/>
          </rPr>
          <t>hershk:</t>
        </r>
        <r>
          <rPr>
            <sz val="8"/>
            <color indexed="81"/>
            <rFont val="Tahoma"/>
            <family val="2"/>
          </rPr>
          <t xml:space="preserve">
Mayweather / Showtime deal expires</t>
        </r>
      </text>
    </comment>
    <comment ref="DM14" authorId="1">
      <text>
        <r>
          <rPr>
            <b/>
            <sz val="9"/>
            <color indexed="81"/>
            <rFont val="Tahoma"/>
            <family val="2"/>
          </rPr>
          <t>Ripps, Maria (Research):</t>
        </r>
        <r>
          <rPr>
            <sz val="9"/>
            <color indexed="81"/>
            <rFont val="Tahoma"/>
            <family val="2"/>
          </rPr>
          <t xml:space="preserve">
Floyd Mayweather - Canelo Alvarez fight, which was the largest pay-per-view boxing event of all time</t>
        </r>
      </text>
    </comment>
    <comment ref="DP14" authorId="1">
      <text>
        <r>
          <rPr>
            <b/>
            <sz val="9"/>
            <color indexed="81"/>
            <rFont val="Tahoma"/>
            <family val="2"/>
          </rPr>
          <t>Ripps, Maria (Research):</t>
        </r>
        <r>
          <rPr>
            <sz val="9"/>
            <color indexed="81"/>
            <rFont val="Tahoma"/>
            <family val="2"/>
          </rPr>
          <t xml:space="preserve">
Canelo Alvarez pay-per-view fight</t>
        </r>
      </text>
    </comment>
    <comment ref="DW14" authorId="1">
      <text>
        <r>
          <rPr>
            <b/>
            <sz val="9"/>
            <color indexed="81"/>
            <rFont val="Tahoma"/>
            <family val="2"/>
          </rPr>
          <t>Ripps, Maria (Research):</t>
        </r>
        <r>
          <rPr>
            <sz val="9"/>
            <color indexed="81"/>
            <rFont val="Tahoma"/>
            <family val="2"/>
          </rPr>
          <t xml:space="preserve">
some add'l PPV revs in Q3</t>
        </r>
      </text>
    </comment>
    <comment ref="EG14" authorId="1">
      <text>
        <r>
          <rPr>
            <b/>
            <sz val="9"/>
            <color indexed="81"/>
            <rFont val="Tahoma"/>
            <family val="2"/>
          </rPr>
          <t>Ripps, Maria (Research):</t>
        </r>
        <r>
          <rPr>
            <sz val="9"/>
            <color indexed="81"/>
            <rFont val="Tahoma"/>
            <family val="2"/>
          </rPr>
          <t xml:space="preserve">
10Q: Floyd Mayweather/Conor McGregor pay-per-view boxing event contributed 36 points and 12 points of the growth for the three and nine-month periods, respectively
(1145-753)*36%/52% = $271M
Priced $99.95 in the US, $32 in Ireland, and $25 in UK</t>
        </r>
      </text>
    </comment>
    <comment ref="Q16" authorId="2">
      <text>
        <r>
          <rPr>
            <b/>
            <sz val="8"/>
            <color indexed="81"/>
            <rFont val="Tahoma"/>
            <family val="2"/>
          </rPr>
          <t>svetlana:</t>
        </r>
        <r>
          <rPr>
            <sz val="8"/>
            <color indexed="81"/>
            <rFont val="Tahoma"/>
            <family val="2"/>
          </rPr>
          <t xml:space="preserve">
2% growth in license fees reported</t>
        </r>
      </text>
    </comment>
    <comment ref="CL16" authorId="2">
      <text>
        <r>
          <rPr>
            <b/>
            <sz val="8"/>
            <color indexed="81"/>
            <rFont val="Tahoma"/>
            <family val="2"/>
          </rPr>
          <t>svetlana:</t>
        </r>
        <r>
          <rPr>
            <sz val="8"/>
            <color indexed="81"/>
            <rFont val="Tahoma"/>
            <family val="2"/>
          </rPr>
          <t xml:space="preserve">
6% affiliate fee growth stated</t>
        </r>
      </text>
    </comment>
    <comment ref="DR16" authorId="1">
      <text>
        <r>
          <rPr>
            <b/>
            <sz val="9"/>
            <color indexed="81"/>
            <rFont val="Tahoma"/>
            <family val="2"/>
          </rPr>
          <t>Ripps, Maria (Research):</t>
        </r>
        <r>
          <rPr>
            <sz val="9"/>
            <color indexed="81"/>
            <rFont val="Tahoma"/>
            <family val="2"/>
          </rPr>
          <t xml:space="preserve">
underlying affiliate and subscription fees increased 6%</t>
        </r>
      </text>
    </comment>
    <comment ref="DU16" authorId="1">
      <text>
        <r>
          <rPr>
            <b/>
            <sz val="9"/>
            <color indexed="81"/>
            <rFont val="Tahoma"/>
            <family val="2"/>
          </rPr>
          <t>Ripps, Maria (Research):</t>
        </r>
        <r>
          <rPr>
            <sz val="9"/>
            <color indexed="81"/>
            <rFont val="Tahoma"/>
            <family val="2"/>
          </rPr>
          <t xml:space="preserve">
~4% growth</t>
        </r>
      </text>
    </comment>
    <comment ref="EE16" authorId="1">
      <text>
        <r>
          <rPr>
            <b/>
            <sz val="9"/>
            <color indexed="81"/>
            <rFont val="Tahoma"/>
            <family val="2"/>
          </rPr>
          <t>Ripps, Maria (Research):</t>
        </r>
        <r>
          <rPr>
            <sz val="9"/>
            <color indexed="81"/>
            <rFont val="Tahoma"/>
            <family val="2"/>
          </rPr>
          <t xml:space="preserve">
EC: subscription up ~5%, driven by OTT</t>
        </r>
      </text>
    </comment>
    <comment ref="W17" authorId="1">
      <text>
        <r>
          <rPr>
            <b/>
            <sz val="9"/>
            <color indexed="81"/>
            <rFont val="Tahoma"/>
            <family val="2"/>
          </rPr>
          <t>Ripps, Maria (Research):</t>
        </r>
        <r>
          <rPr>
            <sz val="9"/>
            <color indexed="81"/>
            <rFont val="Tahoma"/>
            <family val="2"/>
          </rPr>
          <t xml:space="preserve">
$15-20M in licensing in Q3'11</t>
        </r>
      </text>
    </comment>
    <comment ref="X17" authorId="4">
      <text>
        <r>
          <rPr>
            <b/>
            <sz val="8"/>
            <color indexed="81"/>
            <rFont val="Tahoma"/>
            <family val="2"/>
          </rPr>
          <t>fiftrya:</t>
        </r>
        <r>
          <rPr>
            <sz val="8"/>
            <color indexed="81"/>
            <rFont val="Tahoma"/>
            <family val="2"/>
          </rPr>
          <t xml:space="preserve">
Digital syndication in 1Q12
+$60M
</t>
        </r>
      </text>
    </comment>
    <comment ref="Y17" authorId="4">
      <text>
        <r>
          <rPr>
            <b/>
            <sz val="8"/>
            <color indexed="81"/>
            <rFont val="Tahoma"/>
            <family val="2"/>
          </rPr>
          <t>fiftrya:</t>
        </r>
        <r>
          <rPr>
            <sz val="8"/>
            <color indexed="81"/>
            <rFont val="Tahoma"/>
            <family val="2"/>
          </rPr>
          <t xml:space="preserve">
4 seasons of Dexter syndication in 3Q
$11mm of int'l syndication from Ray donavon in 3Q
Master of Sex - smaller</t>
        </r>
      </text>
    </comment>
    <comment ref="Z17" authorId="4">
      <text>
        <r>
          <rPr>
            <b/>
            <sz val="8"/>
            <color indexed="81"/>
            <rFont val="Tahoma"/>
            <family val="2"/>
          </rPr>
          <t>fiftrya:</t>
        </r>
        <r>
          <rPr>
            <sz val="8"/>
            <color indexed="81"/>
            <rFont val="Tahoma"/>
            <family val="2"/>
          </rPr>
          <t xml:space="preserve">
 4 seasons of Dexter syndication hit January 1 2014, same amount sold in 2013
(4 * 12 * $1M) 
assumes 7 seasons of Californication licensed (12 episodes / season) in 2H14
(7 * 12 * $0.25M)
$35M other </t>
        </r>
      </text>
    </comment>
    <comment ref="AA17" authorId="4">
      <text>
        <r>
          <rPr>
            <b/>
            <sz val="8"/>
            <color indexed="81"/>
            <rFont val="Tahoma"/>
            <family val="2"/>
          </rPr>
          <t>fiftrya:</t>
        </r>
        <r>
          <rPr>
            <sz val="8"/>
            <color indexed="81"/>
            <rFont val="Tahoma"/>
            <family val="2"/>
          </rPr>
          <t xml:space="preserve">
Backs out dexter &amp; californication from 2014, assumes some incremental licensing revs
Assumes $17.5M in BellMedia licensing in Q1, and $10M per Q (Q2-Q4)
Nurse Jackie: 80 episodes / $0.25M
Sky Deal: ~$40M</t>
        </r>
      </text>
    </comment>
    <comment ref="AB17" authorId="1">
      <text>
        <r>
          <rPr>
            <b/>
            <sz val="9"/>
            <color indexed="81"/>
            <rFont val="Tahoma"/>
            <family val="2"/>
          </rPr>
          <t>Ripps, Maria (Research):</t>
        </r>
        <r>
          <rPr>
            <sz val="9"/>
            <color indexed="81"/>
            <rFont val="Tahoma"/>
            <family val="2"/>
          </rPr>
          <t xml:space="preserve">
</t>
        </r>
        <r>
          <rPr>
            <b/>
            <sz val="9"/>
            <color indexed="81"/>
            <rFont val="Tahoma"/>
            <family val="2"/>
          </rPr>
          <t>10K:</t>
        </r>
        <r>
          <rPr>
            <sz val="9"/>
            <color indexed="81"/>
            <rFont val="Tahoma"/>
            <family val="2"/>
          </rPr>
          <t xml:space="preserve"> content licensing and distribution revenues decreased 8% from 2015, reflecting the timing of multiyear agreements for the international licensing of Showtime original series, partially offset by the domestic licensing sale of Penny Dreadful in 2016.
Q2 NFLX deal MSe ~$45M</t>
        </r>
      </text>
    </comment>
    <comment ref="CG17" authorId="2">
      <text>
        <r>
          <rPr>
            <b/>
            <sz val="8"/>
            <color indexed="81"/>
            <rFont val="Tahoma"/>
            <family val="2"/>
          </rPr>
          <t>svetlana:</t>
        </r>
        <r>
          <rPr>
            <sz val="8"/>
            <color indexed="81"/>
            <rFont val="Tahoma"/>
            <family val="2"/>
          </rPr>
          <t xml:space="preserve">
Higher foreign syndication sales </t>
        </r>
      </text>
    </comment>
    <comment ref="DL17" authorId="1">
      <text>
        <r>
          <rPr>
            <b/>
            <sz val="9"/>
            <color indexed="81"/>
            <rFont val="Tahoma"/>
            <family val="2"/>
          </rPr>
          <t>Ripps, Maria (Research):</t>
        </r>
        <r>
          <rPr>
            <sz val="9"/>
            <color indexed="81"/>
            <rFont val="Tahoma"/>
            <family val="2"/>
          </rPr>
          <t xml:space="preserve">
$20mm from SVOD in Germany / UK (int'l deal for Dexter)</t>
        </r>
      </text>
    </comment>
    <comment ref="DM17" authorId="1">
      <text>
        <r>
          <rPr>
            <b/>
            <sz val="9"/>
            <color indexed="81"/>
            <rFont val="Tahoma"/>
            <family val="2"/>
          </rPr>
          <t>Ripps, Maria (Research):</t>
        </r>
        <r>
          <rPr>
            <sz val="9"/>
            <color indexed="81"/>
            <rFont val="Tahoma"/>
            <family val="2"/>
          </rPr>
          <t xml:space="preserve">
- syndication of 4 seasons of Dexter (~$50mm); 
- Int'l licensing of Ray Donovan ($11mm) and Masters of Sex (smaller)
- revs from mayweather fight ~$77mm</t>
        </r>
      </text>
    </comment>
    <comment ref="DP17" authorId="1">
      <text>
        <r>
          <rPr>
            <b/>
            <sz val="9"/>
            <color indexed="81"/>
            <rFont val="Tahoma"/>
            <family val="2"/>
          </rPr>
          <t>Ripps, Maria (Research):</t>
        </r>
        <r>
          <rPr>
            <sz val="9"/>
            <color indexed="81"/>
            <rFont val="Tahoma"/>
            <family val="2"/>
          </rPr>
          <t xml:space="preserve">
$48mm licensing revs from second delivery of Dexter to NFLX, but comping some licensing from 1Q13 that goes away
MSe: 50% of $48 in Q1, 50% in Q3</t>
        </r>
      </text>
    </comment>
    <comment ref="DQ17" authorId="1">
      <text>
        <r>
          <rPr>
            <b/>
            <sz val="9"/>
            <color indexed="81"/>
            <rFont val="Tahoma"/>
            <family val="2"/>
          </rPr>
          <t>Ripps, Maria (Research):</t>
        </r>
        <r>
          <rPr>
            <sz val="9"/>
            <color indexed="81"/>
            <rFont val="Tahoma"/>
            <family val="2"/>
          </rPr>
          <t xml:space="preserve">
In Q2'13 we had several international syndication deals for Dexter</t>
        </r>
      </text>
    </comment>
    <comment ref="DR17" authorId="1">
      <text>
        <r>
          <rPr>
            <b/>
            <sz val="9"/>
            <color indexed="81"/>
            <rFont val="Tahoma"/>
            <family val="2"/>
          </rPr>
          <t>Ripps, Maria (Research):</t>
        </r>
        <r>
          <rPr>
            <sz val="9"/>
            <color indexed="81"/>
            <rFont val="Tahoma"/>
            <family val="2"/>
          </rPr>
          <t xml:space="preserve">
Includes Dexter / Californication
MSe: $25M other</t>
        </r>
      </text>
    </comment>
    <comment ref="DS17" authorId="1">
      <text>
        <r>
          <rPr>
            <b/>
            <sz val="9"/>
            <color indexed="81"/>
            <rFont val="Tahoma"/>
            <family val="2"/>
          </rPr>
          <t>Ripps, Maria (Research):</t>
        </r>
        <r>
          <rPr>
            <sz val="9"/>
            <color indexed="81"/>
            <rFont val="Tahoma"/>
            <family val="2"/>
          </rPr>
          <t xml:space="preserve">
MSe: Californication</t>
        </r>
      </text>
    </comment>
    <comment ref="DU17" authorId="1">
      <text>
        <r>
          <rPr>
            <b/>
            <sz val="9"/>
            <color indexed="81"/>
            <rFont val="Tahoma"/>
            <family val="2"/>
          </rPr>
          <t>Ripps, Maria (Research):</t>
        </r>
        <r>
          <rPr>
            <sz val="9"/>
            <color indexed="81"/>
            <rFont val="Tahoma"/>
            <family val="2"/>
          </rPr>
          <t xml:space="preserve">
$15-20M Bell Media Deal
$10M / Q in Q2-Q4</t>
        </r>
      </text>
    </comment>
    <comment ref="DW17" authorId="1">
      <text>
        <r>
          <rPr>
            <b/>
            <sz val="9"/>
            <color indexed="81"/>
            <rFont val="Tahoma"/>
            <family val="2"/>
          </rPr>
          <t>Ripps, Maria (Research):</t>
        </r>
        <r>
          <rPr>
            <sz val="9"/>
            <color indexed="81"/>
            <rFont val="Tahoma"/>
            <family val="2"/>
          </rPr>
          <t xml:space="preserve">
Last year we had significant content licensing sales for Dexter and
Californication as well as larger pay-per-view events</t>
        </r>
      </text>
    </comment>
    <comment ref="DZ17" authorId="1">
      <text>
        <r>
          <rPr>
            <b/>
            <sz val="9"/>
            <color indexed="81"/>
            <rFont val="Tahoma"/>
            <family val="2"/>
          </rPr>
          <t>Ripps, Maria (Research):</t>
        </r>
        <r>
          <rPr>
            <sz val="9"/>
            <color indexed="81"/>
            <rFont val="Tahoma"/>
            <family val="2"/>
          </rPr>
          <t xml:space="preserve">
MSe: $50-60M total
Billions - new output deal</t>
        </r>
      </text>
    </comment>
    <comment ref="EA17" authorId="1">
      <text>
        <r>
          <rPr>
            <b/>
            <sz val="9"/>
            <color indexed="81"/>
            <rFont val="Tahoma"/>
            <family val="2"/>
          </rPr>
          <t>Ripps, Maria (Research):</t>
        </r>
        <r>
          <rPr>
            <sz val="9"/>
            <color indexed="81"/>
            <rFont val="Tahoma"/>
            <family val="2"/>
          </rPr>
          <t xml:space="preserve">
House of Lies int'l deals</t>
        </r>
      </text>
    </comment>
    <comment ref="EB17" authorId="1">
      <text>
        <r>
          <rPr>
            <b/>
            <sz val="9"/>
            <color indexed="81"/>
            <rFont val="Tahoma"/>
            <family val="2"/>
          </rPr>
          <t>Ripps, Maria (Research):</t>
        </r>
        <r>
          <rPr>
            <sz val="9"/>
            <color indexed="81"/>
            <rFont val="Tahoma"/>
            <family val="2"/>
          </rPr>
          <t xml:space="preserve">
NFLX deal, Penny Dreadful (3 seasons/27eps, MSe ~$1.2M/ep)
~$20M other deal</t>
        </r>
      </text>
    </comment>
    <comment ref="EC17" authorId="1">
      <text>
        <r>
          <rPr>
            <b/>
            <sz val="9"/>
            <color indexed="81"/>
            <rFont val="Tahoma"/>
            <family val="2"/>
          </rPr>
          <t>Ripps, Maria (Research):</t>
        </r>
        <r>
          <rPr>
            <sz val="9"/>
            <color indexed="81"/>
            <rFont val="Tahoma"/>
            <family val="2"/>
          </rPr>
          <t xml:space="preserve">
Comping over $45M Sky deal in Q4'15
Q3 - pull forward from Q4</t>
        </r>
      </text>
    </comment>
    <comment ref="EF17" authorId="1">
      <text>
        <r>
          <rPr>
            <b/>
            <sz val="9"/>
            <color indexed="81"/>
            <rFont val="Tahoma"/>
            <family val="2"/>
          </rPr>
          <t>Ripps, Maria (Research):</t>
        </r>
        <r>
          <rPr>
            <sz val="9"/>
            <color indexed="81"/>
            <rFont val="Tahoma"/>
            <family val="2"/>
          </rPr>
          <t xml:space="preserve">
MSe: up mid-teens</t>
        </r>
      </text>
    </comment>
    <comment ref="EG17" authorId="1">
      <text>
        <r>
          <rPr>
            <b/>
            <sz val="9"/>
            <color indexed="81"/>
            <rFont val="Tahoma"/>
            <family val="2"/>
          </rPr>
          <t>Ripps, Maria (Research):</t>
        </r>
        <r>
          <rPr>
            <sz val="9"/>
            <color indexed="81"/>
            <rFont val="Tahoma"/>
            <family val="2"/>
          </rPr>
          <t xml:space="preserve">
Domestic licensing of Penny Dreadful in 3Q16</t>
        </r>
      </text>
    </comment>
    <comment ref="DQ18" authorId="1">
      <text>
        <r>
          <rPr>
            <b/>
            <sz val="9"/>
            <color indexed="81"/>
            <rFont val="Tahoma"/>
            <family val="2"/>
          </rPr>
          <t>Ripps, Maria (Research):</t>
        </r>
        <r>
          <rPr>
            <sz val="9"/>
            <color indexed="81"/>
            <rFont val="Tahoma"/>
            <family val="2"/>
          </rPr>
          <t xml:space="preserve">
YoY decline driven by decrease in int'l licensing revs offset by growth in affiliate</t>
        </r>
      </text>
    </comment>
    <comment ref="DR18" authorId="1">
      <text>
        <r>
          <rPr>
            <b/>
            <sz val="9"/>
            <color indexed="81"/>
            <rFont val="Tahoma"/>
            <family val="2"/>
          </rPr>
          <t>Ripps, Maria (Research):</t>
        </r>
        <r>
          <rPr>
            <sz val="9"/>
            <color indexed="81"/>
            <rFont val="Tahoma"/>
            <family val="2"/>
          </rPr>
          <t xml:space="preserve">
~$40mm of PPV revenue comping $75mm in 3Q13, helped by licensing and underlying affilate revenue growth</t>
        </r>
      </text>
    </comment>
    <comment ref="EE18" authorId="1">
      <text>
        <r>
          <rPr>
            <b/>
            <sz val="9"/>
            <color indexed="81"/>
            <rFont val="Tahoma"/>
            <family val="2"/>
          </rPr>
          <t>Ripps, Maria (Research):</t>
        </r>
        <r>
          <rPr>
            <sz val="9"/>
            <color indexed="81"/>
            <rFont val="Tahoma"/>
            <family val="2"/>
          </rPr>
          <t xml:space="preserve">
10Q: For the three months ended March 31, 2017, the 3% increase in revenues was driven by higher affiliate and subscription fees, led by subscription growth for the Showtime digital streaming subscription offering, partially offset by the timing of international television licensing sales of Showtime original series</t>
        </r>
      </text>
    </comment>
    <comment ref="DU19" authorId="1">
      <text>
        <r>
          <rPr>
            <b/>
            <sz val="9"/>
            <color indexed="81"/>
            <rFont val="Tahoma"/>
            <family val="2"/>
          </rPr>
          <t>Ripps, Maria (Research):</t>
        </r>
        <r>
          <rPr>
            <sz val="9"/>
            <color indexed="81"/>
            <rFont val="Tahoma"/>
            <family val="2"/>
          </rPr>
          <t xml:space="preserve">
~4% growth</t>
        </r>
      </text>
    </comment>
    <comment ref="DZ19" authorId="1">
      <text>
        <r>
          <rPr>
            <b/>
            <sz val="9"/>
            <color indexed="81"/>
            <rFont val="Tahoma"/>
            <family val="2"/>
          </rPr>
          <t>Ripps, Maria (Research):</t>
        </r>
        <r>
          <rPr>
            <sz val="9"/>
            <color indexed="81"/>
            <rFont val="Tahoma"/>
            <family val="2"/>
          </rPr>
          <t xml:space="preserve">
~2% growth</t>
        </r>
      </text>
    </comment>
    <comment ref="EA19" authorId="1">
      <text>
        <r>
          <rPr>
            <b/>
            <sz val="9"/>
            <color indexed="81"/>
            <rFont val="Tahoma"/>
            <family val="2"/>
          </rPr>
          <t>Ripps, Maria (Research):</t>
        </r>
        <r>
          <rPr>
            <sz val="9"/>
            <color indexed="81"/>
            <rFont val="Tahoma"/>
            <family val="2"/>
          </rPr>
          <t xml:space="preserve">
EC: ~5% growth</t>
        </r>
      </text>
    </comment>
    <comment ref="EB19" authorId="1">
      <text>
        <r>
          <rPr>
            <b/>
            <sz val="9"/>
            <color indexed="81"/>
            <rFont val="Tahoma"/>
            <family val="2"/>
          </rPr>
          <t>Ripps, Maria (Research):</t>
        </r>
        <r>
          <rPr>
            <sz val="9"/>
            <color indexed="81"/>
            <rFont val="Tahoma"/>
            <family val="2"/>
          </rPr>
          <t xml:space="preserve">
MSe: MSD growth</t>
        </r>
      </text>
    </comment>
    <comment ref="EC19" authorId="1">
      <text>
        <r>
          <rPr>
            <b/>
            <sz val="9"/>
            <color indexed="81"/>
            <rFont val="Tahoma"/>
            <family val="2"/>
          </rPr>
          <t>Ripps, Maria (Research):</t>
        </r>
      </text>
    </comment>
    <comment ref="EG19" authorId="1">
      <text>
        <r>
          <rPr>
            <b/>
            <sz val="9"/>
            <color indexed="81"/>
            <rFont val="Tahoma"/>
            <family val="2"/>
          </rPr>
          <t>Ripps, Maria (Research):</t>
        </r>
        <r>
          <rPr>
            <sz val="9"/>
            <color indexed="81"/>
            <rFont val="Tahoma"/>
            <family val="2"/>
          </rPr>
          <t xml:space="preserve">
EC: affiliate revs +6%</t>
        </r>
      </text>
    </comment>
    <comment ref="CG21" authorId="2">
      <text>
        <r>
          <rPr>
            <b/>
            <sz val="8"/>
            <color indexed="81"/>
            <rFont val="Tahoma"/>
            <family val="2"/>
          </rPr>
          <t>svetlana:</t>
        </r>
        <r>
          <rPr>
            <sz val="8"/>
            <color indexed="81"/>
            <rFont val="Tahoma"/>
            <family val="2"/>
          </rPr>
          <t xml:space="preserve">
Total affiliate fees at Showtime declined 1%</t>
        </r>
      </text>
    </comment>
    <comment ref="AA24" authorId="1">
      <text>
        <r>
          <rPr>
            <b/>
            <sz val="9"/>
            <color indexed="81"/>
            <rFont val="Tahoma"/>
            <family val="2"/>
          </rPr>
          <t>Ripps, Maria (Research):</t>
        </r>
        <r>
          <rPr>
            <sz val="9"/>
            <color indexed="81"/>
            <rFont val="Tahoma"/>
            <family val="2"/>
          </rPr>
          <t xml:space="preserve">
Assume M-P fight @ 5% margin</t>
        </r>
      </text>
    </comment>
    <comment ref="CL24" authorId="2">
      <text>
        <r>
          <rPr>
            <b/>
            <sz val="8"/>
            <color indexed="81"/>
            <rFont val="Tahoma"/>
            <family val="2"/>
          </rPr>
          <t>svetlana:</t>
        </r>
        <r>
          <rPr>
            <sz val="8"/>
            <color indexed="81"/>
            <rFont val="Tahoma"/>
            <family val="2"/>
          </rPr>
          <t xml:space="preserve">
Icnrease in original productions</t>
        </r>
      </text>
    </comment>
    <comment ref="CQ24" authorId="2">
      <text>
        <r>
          <rPr>
            <b/>
            <sz val="8"/>
            <color indexed="81"/>
            <rFont val="Tahoma"/>
            <family val="2"/>
          </rPr>
          <t>svetlana:</t>
        </r>
        <r>
          <rPr>
            <sz val="8"/>
            <color indexed="81"/>
            <rFont val="Tahoma"/>
            <family val="2"/>
          </rPr>
          <t xml:space="preserve">
Icnrease in original productions</t>
        </r>
      </text>
    </comment>
    <comment ref="CV24" authorId="2">
      <text>
        <r>
          <rPr>
            <b/>
            <sz val="8"/>
            <color indexed="81"/>
            <rFont val="Tahoma"/>
            <family val="2"/>
          </rPr>
          <t>svetlana:</t>
        </r>
        <r>
          <rPr>
            <sz val="8"/>
            <color indexed="81"/>
            <rFont val="Tahoma"/>
            <family val="2"/>
          </rPr>
          <t xml:space="preserve">
Icnrease in original productions</t>
        </r>
      </text>
    </comment>
    <comment ref="A57" authorId="5">
      <text>
        <r>
          <rPr>
            <b/>
            <sz val="8"/>
            <color indexed="81"/>
            <rFont val="Tahoma"/>
            <family val="2"/>
          </rPr>
          <t>haberlec:</t>
        </r>
        <r>
          <rPr>
            <sz val="8"/>
            <color indexed="81"/>
            <rFont val="Tahoma"/>
            <family val="2"/>
          </rPr>
          <t xml:space="preserve">
Assumes 2 Hours Per Movie, and 3 PT Showings</t>
        </r>
      </text>
    </comment>
    <comment ref="AD59" authorId="1">
      <text>
        <r>
          <rPr>
            <b/>
            <sz val="9"/>
            <color indexed="81"/>
            <rFont val="Tahoma"/>
            <family val="2"/>
          </rPr>
          <t>Ripps, Maria (Research):</t>
        </r>
        <r>
          <rPr>
            <sz val="9"/>
            <color indexed="81"/>
            <rFont val="Tahoma"/>
            <family val="2"/>
          </rPr>
          <t xml:space="preserve">
Assume higher programming investments in 2018</t>
        </r>
      </text>
    </comment>
    <comment ref="G75" authorId="6">
      <text>
        <r>
          <rPr>
            <sz val="8"/>
            <color indexed="81"/>
            <rFont val="Tahoma"/>
            <family val="2"/>
          </rPr>
          <t xml:space="preserve">These come from a 3/13/96 conversation with Reed Nolte
</t>
        </r>
      </text>
    </comment>
    <comment ref="U121" authorId="3">
      <text>
        <r>
          <rPr>
            <b/>
            <sz val="8"/>
            <color indexed="81"/>
            <rFont val="Tahoma"/>
            <family val="2"/>
          </rPr>
          <t>hershk:</t>
        </r>
        <r>
          <rPr>
            <sz val="8"/>
            <color indexed="81"/>
            <rFont val="Tahoma"/>
            <family val="2"/>
          </rPr>
          <t xml:space="preserve">
grew 1.9mm subs in 2009</t>
        </r>
      </text>
    </comment>
    <comment ref="W121" authorId="3">
      <text>
        <r>
          <rPr>
            <b/>
            <sz val="8"/>
            <color indexed="81"/>
            <rFont val="Tahoma"/>
            <family val="2"/>
          </rPr>
          <t>hershk:</t>
        </r>
        <r>
          <rPr>
            <sz val="8"/>
            <color indexed="81"/>
            <rFont val="Tahoma"/>
            <family val="2"/>
          </rPr>
          <t xml:space="preserve">
showtime at nearly 21mm subs per 11/3/11 earnings call, up 11%</t>
        </r>
      </text>
    </comment>
    <comment ref="X121" authorId="3">
      <text>
        <r>
          <rPr>
            <b/>
            <sz val="8"/>
            <color indexed="81"/>
            <rFont val="Tahoma"/>
            <family val="2"/>
          </rPr>
          <t>hershk:</t>
        </r>
        <r>
          <rPr>
            <sz val="8"/>
            <color indexed="81"/>
            <rFont val="Tahoma"/>
            <family val="2"/>
          </rPr>
          <t xml:space="preserve">
showtime reached 22mm subs per 11/7/12 earnings call</t>
        </r>
      </text>
    </comment>
    <comment ref="AA121" authorId="1">
      <text>
        <r>
          <rPr>
            <b/>
            <sz val="9"/>
            <color indexed="81"/>
            <rFont val="Tahoma"/>
            <family val="2"/>
          </rPr>
          <t>Ripps, Maria (Research):</t>
        </r>
        <r>
          <rPr>
            <sz val="9"/>
            <color indexed="81"/>
            <rFont val="Tahoma"/>
            <family val="2"/>
          </rPr>
          <t xml:space="preserve">
23.5M - Q3 EC
"just under 24M" - Q4 EC</t>
        </r>
      </text>
    </comment>
    <comment ref="AB121" authorId="1">
      <text>
        <r>
          <rPr>
            <b/>
            <sz val="9"/>
            <color indexed="81"/>
            <rFont val="Tahoma"/>
            <family val="2"/>
          </rPr>
          <t>Ripps, Maria (Research):</t>
        </r>
        <r>
          <rPr>
            <sz val="9"/>
            <color indexed="81"/>
            <rFont val="Tahoma"/>
            <family val="2"/>
          </rPr>
          <t xml:space="preserve">
4Q EC: FY subs +3% y/y</t>
        </r>
      </text>
    </comment>
    <comment ref="AC121" authorId="1">
      <text>
        <r>
          <rPr>
            <b/>
            <sz val="9"/>
            <color indexed="81"/>
            <rFont val="Tahoma"/>
            <family val="2"/>
          </rPr>
          <t>Ripps, Maria (Research):</t>
        </r>
        <r>
          <rPr>
            <sz val="9"/>
            <color indexed="81"/>
            <rFont val="Tahoma"/>
            <family val="2"/>
          </rPr>
          <t xml:space="preserve">
3Q17: 25MM subs</t>
        </r>
      </text>
    </comment>
    <comment ref="T122" authorId="7">
      <text>
        <r>
          <rPr>
            <b/>
            <sz val="8"/>
            <color indexed="81"/>
            <rFont val="Tahoma"/>
            <family val="2"/>
          </rPr>
          <t>rupeka:</t>
        </r>
        <r>
          <rPr>
            <sz val="8"/>
            <color indexed="81"/>
            <rFont val="Tahoma"/>
            <family val="2"/>
          </rPr>
          <t xml:space="preserve">
As stated in the February 18th 2009 investor newsletter</t>
        </r>
      </text>
    </comment>
    <comment ref="W124" authorId="1">
      <text>
        <r>
          <rPr>
            <b/>
            <sz val="9"/>
            <color indexed="81"/>
            <rFont val="Tahoma"/>
            <family val="2"/>
          </rPr>
          <t>Ripps, Maria (Research):</t>
        </r>
        <r>
          <rPr>
            <sz val="9"/>
            <color indexed="81"/>
            <rFont val="Tahoma"/>
            <family val="2"/>
          </rPr>
          <t xml:space="preserve">
Ending subs for Showtime Networks (including Showtime, The Movie Channel and Flix): 73M (10K)</t>
        </r>
      </text>
    </comment>
    <comment ref="X124" authorId="1">
      <text>
        <r>
          <rPr>
            <b/>
            <sz val="9"/>
            <color indexed="81"/>
            <rFont val="Tahoma"/>
            <family val="2"/>
          </rPr>
          <t>Ripps, Maria (Research):</t>
        </r>
        <r>
          <rPr>
            <sz val="9"/>
            <color indexed="81"/>
            <rFont val="Tahoma"/>
            <family val="2"/>
          </rPr>
          <t xml:space="preserve">
Ending subs for Showtime Networks (including Showtime, The Movie Channel and Flix): 76M (10K)</t>
        </r>
      </text>
    </comment>
    <comment ref="Y124" authorId="1">
      <text>
        <r>
          <rPr>
            <b/>
            <sz val="9"/>
            <color indexed="81"/>
            <rFont val="Tahoma"/>
            <family val="2"/>
          </rPr>
          <t>Ripps, Maria (Research):</t>
        </r>
        <r>
          <rPr>
            <sz val="9"/>
            <color indexed="81"/>
            <rFont val="Tahoma"/>
            <family val="2"/>
          </rPr>
          <t xml:space="preserve">
Ending subs for Showtime Networks (including Showtime, The Movie Channel and Flix): 
Q1'13: 77M
Q2'13: 77M
Q3'13: 77M
Q4'13: 76M</t>
        </r>
      </text>
    </comment>
    <comment ref="Z124" authorId="1">
      <text>
        <r>
          <rPr>
            <b/>
            <sz val="9"/>
            <color indexed="81"/>
            <rFont val="Tahoma"/>
            <family val="2"/>
          </rPr>
          <t>Ripps, Maria (Research):</t>
        </r>
        <r>
          <rPr>
            <sz val="9"/>
            <color indexed="81"/>
            <rFont val="Tahoma"/>
            <family val="2"/>
          </rPr>
          <t xml:space="preserve">
Ending subs for Showtime Networks (including Showtime, The Movie Channel and Flix): 
Q1'14: 76M
Q2'14: 76M
Q3'14: 75M
Q4'14: 76M</t>
        </r>
      </text>
    </comment>
    <comment ref="AA124" authorId="1">
      <text>
        <r>
          <rPr>
            <b/>
            <sz val="9"/>
            <color indexed="81"/>
            <rFont val="Tahoma"/>
            <family val="2"/>
          </rPr>
          <t>Ripps, Maria (Research):</t>
        </r>
        <r>
          <rPr>
            <sz val="9"/>
            <color indexed="81"/>
            <rFont val="Tahoma"/>
            <family val="2"/>
          </rPr>
          <t xml:space="preserve">
Ending subs for Showtime Networks (including Showtime, The Movie Channel and Flix): 
Q1'15: 77M
Q2'15: 77M
Q3'15: 76M
Q4'15: 77M</t>
        </r>
      </text>
    </comment>
    <comment ref="AB124" authorId="1">
      <text>
        <r>
          <rPr>
            <b/>
            <sz val="9"/>
            <color indexed="81"/>
            <rFont val="Tahoma"/>
            <family val="2"/>
          </rPr>
          <t>Ripps, Maria (Research):</t>
        </r>
        <r>
          <rPr>
            <sz val="9"/>
            <color indexed="81"/>
            <rFont val="Tahoma"/>
            <family val="2"/>
          </rPr>
          <t xml:space="preserve">
Ending subs for Showtime Networks (including Showtime, The Movie Channel and Flix): 
Q1'16: 78M
Q2'16: 77M
Q3'16: 75M
Q4'16: 76M</t>
        </r>
      </text>
    </comment>
    <comment ref="AB127" authorId="1">
      <text>
        <r>
          <rPr>
            <b/>
            <sz val="9"/>
            <color indexed="81"/>
            <rFont val="Tahoma"/>
            <family val="2"/>
          </rPr>
          <t>Ripps, Maria (Research):</t>
        </r>
        <r>
          <rPr>
            <sz val="9"/>
            <color indexed="81"/>
            <rFont val="Tahoma"/>
            <family val="2"/>
          </rPr>
          <t xml:space="preserve">
4Q EC: FY subs +3% y/y</t>
        </r>
      </text>
    </comment>
    <comment ref="AB160" authorId="1">
      <text>
        <r>
          <rPr>
            <b/>
            <sz val="9"/>
            <color indexed="81"/>
            <rFont val="Tahoma"/>
            <family val="2"/>
          </rPr>
          <t>Ripps, Maria (Research):</t>
        </r>
        <r>
          <rPr>
            <sz val="9"/>
            <color indexed="81"/>
            <rFont val="Tahoma"/>
            <family val="2"/>
          </rPr>
          <t xml:space="preserve">
July 2016: ~1mm subs (2Q16 EC) </t>
        </r>
      </text>
    </comment>
  </commentList>
</comments>
</file>

<file path=xl/comments12.xml><?xml version="1.0" encoding="utf-8"?>
<comments xmlns="http://schemas.openxmlformats.org/spreadsheetml/2006/main">
  <authors>
    <author>krisbon</author>
    <author>Ramji Srinivasan</author>
    <author>hershk</author>
    <author>Ripps, Maria (Research)</author>
    <author>Micah Nance</author>
    <author>matheemi</author>
    <author>benswin</author>
    <author>Kristi Bonner</author>
    <author>haberlec</author>
  </authors>
  <commentList>
    <comment ref="L7" authorId="0">
      <text>
        <r>
          <rPr>
            <b/>
            <sz val="8"/>
            <color indexed="81"/>
            <rFont val="Tahoma"/>
            <family val="2"/>
          </rPr>
          <t>krisbon:</t>
        </r>
        <r>
          <rPr>
            <sz val="8"/>
            <color indexed="81"/>
            <rFont val="Tahoma"/>
            <family val="2"/>
          </rPr>
          <t xml:space="preserve">
Includes CNET &amp; CBS Interactive.</t>
        </r>
      </text>
    </comment>
    <comment ref="M7" authorId="0">
      <text>
        <r>
          <rPr>
            <b/>
            <sz val="8"/>
            <color indexed="81"/>
            <rFont val="Tahoma"/>
            <family val="2"/>
          </rPr>
          <t>krisbon:</t>
        </r>
        <r>
          <rPr>
            <sz val="8"/>
            <color indexed="81"/>
            <rFont val="Tahoma"/>
            <family val="2"/>
          </rPr>
          <t xml:space="preserve">
Includes CNET &amp; CBS Interactive.  CNET acquired end of Q208</t>
        </r>
      </text>
    </comment>
    <comment ref="J8" authorId="1">
      <text>
        <r>
          <rPr>
            <b/>
            <sz val="8"/>
            <color indexed="81"/>
            <rFont val="Tahoma"/>
            <family val="2"/>
          </rPr>
          <t>Ramji Srinivasan:</t>
        </r>
        <r>
          <rPr>
            <sz val="8"/>
            <color indexed="81"/>
            <rFont val="Tahoma"/>
            <family val="2"/>
          </rPr>
          <t xml:space="preserve">
$310-320MM Guidance
</t>
        </r>
      </text>
    </comment>
    <comment ref="CC8" authorId="2">
      <text>
        <r>
          <rPr>
            <b/>
            <sz val="8"/>
            <color indexed="81"/>
            <rFont val="Tahoma"/>
            <family val="2"/>
          </rPr>
          <t>hershk:</t>
        </r>
        <r>
          <rPr>
            <sz val="8"/>
            <color indexed="81"/>
            <rFont val="Tahoma"/>
            <family val="2"/>
          </rPr>
          <t xml:space="preserve">
CNET up 25%</t>
        </r>
      </text>
    </comment>
    <comment ref="AX11" authorId="0">
      <text>
        <r>
          <rPr>
            <b/>
            <sz val="8"/>
            <color indexed="81"/>
            <rFont val="Tahoma"/>
            <family val="2"/>
          </rPr>
          <t>krisbon:</t>
        </r>
        <r>
          <rPr>
            <sz val="8"/>
            <color indexed="81"/>
            <rFont val="Tahoma"/>
            <family val="2"/>
          </rPr>
          <t xml:space="preserve">
per 10-K</t>
        </r>
      </text>
    </comment>
    <comment ref="AY11" authorId="0">
      <text>
        <r>
          <rPr>
            <b/>
            <sz val="8"/>
            <color indexed="81"/>
            <rFont val="Tahoma"/>
            <family val="2"/>
          </rPr>
          <t>krisbon:</t>
        </r>
        <r>
          <rPr>
            <sz val="8"/>
            <color indexed="81"/>
            <rFont val="Tahoma"/>
            <family val="2"/>
          </rPr>
          <t xml:space="preserve">
per 10-K</t>
        </r>
      </text>
    </comment>
    <comment ref="AZ11" authorId="0">
      <text>
        <r>
          <rPr>
            <b/>
            <sz val="8"/>
            <color indexed="81"/>
            <rFont val="Tahoma"/>
            <family val="2"/>
          </rPr>
          <t>krisbon:</t>
        </r>
        <r>
          <rPr>
            <sz val="8"/>
            <color indexed="81"/>
            <rFont val="Tahoma"/>
            <family val="2"/>
          </rPr>
          <t xml:space="preserve">
per 10-K</t>
        </r>
      </text>
    </comment>
    <comment ref="BA11" authorId="0">
      <text>
        <r>
          <rPr>
            <b/>
            <sz val="8"/>
            <color indexed="81"/>
            <rFont val="Tahoma"/>
            <family val="2"/>
          </rPr>
          <t>krisbon:</t>
        </r>
        <r>
          <rPr>
            <sz val="8"/>
            <color indexed="81"/>
            <rFont val="Tahoma"/>
            <family val="2"/>
          </rPr>
          <t xml:space="preserve">
per 10-K</t>
        </r>
      </text>
    </comment>
    <comment ref="BC11" authorId="0">
      <text>
        <r>
          <rPr>
            <b/>
            <sz val="8"/>
            <color indexed="81"/>
            <rFont val="Tahoma"/>
            <family val="2"/>
          </rPr>
          <t>krisbon:</t>
        </r>
        <r>
          <rPr>
            <sz val="8"/>
            <color indexed="81"/>
            <rFont val="Tahoma"/>
            <family val="2"/>
          </rPr>
          <t xml:space="preserve">
per 10-K</t>
        </r>
      </text>
    </comment>
    <comment ref="BD11" authorId="0">
      <text>
        <r>
          <rPr>
            <b/>
            <sz val="8"/>
            <color indexed="81"/>
            <rFont val="Tahoma"/>
            <family val="2"/>
          </rPr>
          <t>krisbon:</t>
        </r>
        <r>
          <rPr>
            <sz val="8"/>
            <color indexed="81"/>
            <rFont val="Tahoma"/>
            <family val="2"/>
          </rPr>
          <t xml:space="preserve">
per 10-K</t>
        </r>
      </text>
    </comment>
    <comment ref="CQ13" authorId="3">
      <text>
        <r>
          <rPr>
            <b/>
            <sz val="9"/>
            <color indexed="81"/>
            <rFont val="Tahoma"/>
            <family val="2"/>
          </rPr>
          <t>Ripps, Maria (Research):</t>
        </r>
        <r>
          <rPr>
            <sz val="9"/>
            <color indexed="81"/>
            <rFont val="Tahoma"/>
            <family val="2"/>
          </rPr>
          <t xml:space="preserve">
adjusting for the sale of Chinese biz; MSe: ~$10M/Q
Q1: Low to MSD reported</t>
        </r>
      </text>
    </comment>
    <comment ref="P14" authorId="4">
      <text>
        <r>
          <rPr>
            <b/>
            <sz val="8"/>
            <color indexed="81"/>
            <rFont val="Tahoma"/>
            <family val="2"/>
          </rPr>
          <t>Micah Nance:</t>
        </r>
        <r>
          <rPr>
            <sz val="8"/>
            <color indexed="81"/>
            <rFont val="Tahoma"/>
            <family val="2"/>
          </rPr>
          <t xml:space="preserve">
loss of march madness on demand skews growth</t>
        </r>
      </text>
    </comment>
    <comment ref="Q14" authorId="4">
      <text>
        <r>
          <rPr>
            <b/>
            <sz val="8"/>
            <color indexed="81"/>
            <rFont val="Tahoma"/>
            <family val="2"/>
          </rPr>
          <t>Micah Nance:</t>
        </r>
        <r>
          <rPr>
            <sz val="8"/>
            <color indexed="81"/>
            <rFont val="Tahoma"/>
            <family val="2"/>
          </rPr>
          <t xml:space="preserve">
comping loss of march madness on demand skews growth</t>
        </r>
      </text>
    </comment>
    <comment ref="CB14" authorId="5">
      <text>
        <r>
          <rPr>
            <b/>
            <sz val="8"/>
            <color indexed="81"/>
            <rFont val="Tahoma"/>
            <family val="2"/>
          </rPr>
          <t>matheemi:</t>
        </r>
        <r>
          <rPr>
            <sz val="8"/>
            <color indexed="81"/>
            <rFont val="Tahoma"/>
            <family val="2"/>
          </rPr>
          <t xml:space="preserve">
22% revenue growth</t>
        </r>
      </text>
    </comment>
    <comment ref="CC14" authorId="2">
      <text>
        <r>
          <rPr>
            <b/>
            <sz val="8"/>
            <color indexed="81"/>
            <rFont val="Tahoma"/>
            <family val="2"/>
          </rPr>
          <t>hershk:</t>
        </r>
        <r>
          <rPr>
            <sz val="8"/>
            <color indexed="81"/>
            <rFont val="Tahoma"/>
            <family val="2"/>
          </rPr>
          <t xml:space="preserve">
DD revenue growth, CNET up 25%</t>
        </r>
      </text>
    </comment>
    <comment ref="AX18" authorId="0">
      <text>
        <r>
          <rPr>
            <b/>
            <sz val="8"/>
            <color indexed="81"/>
            <rFont val="Tahoma"/>
            <family val="2"/>
          </rPr>
          <t>krisbon:</t>
        </r>
        <r>
          <rPr>
            <sz val="8"/>
            <color indexed="81"/>
            <rFont val="Tahoma"/>
            <family val="2"/>
          </rPr>
          <t xml:space="preserve">
$3.8m EBITDA at CBS Interactive per 10-K</t>
        </r>
      </text>
    </comment>
    <comment ref="AY18" authorId="0">
      <text>
        <r>
          <rPr>
            <b/>
            <sz val="8"/>
            <color indexed="81"/>
            <rFont val="Tahoma"/>
            <family val="2"/>
          </rPr>
          <t>krisbon:</t>
        </r>
        <r>
          <rPr>
            <sz val="8"/>
            <color indexed="81"/>
            <rFont val="Tahoma"/>
            <family val="2"/>
          </rPr>
          <t xml:space="preserve">
-$10.7m EBITDA at CBS Interactive per 10-K</t>
        </r>
      </text>
    </comment>
    <comment ref="AZ18" authorId="0">
      <text>
        <r>
          <rPr>
            <b/>
            <sz val="8"/>
            <color indexed="81"/>
            <rFont val="Tahoma"/>
            <family val="2"/>
          </rPr>
          <t>krisbon:</t>
        </r>
        <r>
          <rPr>
            <sz val="8"/>
            <color indexed="81"/>
            <rFont val="Tahoma"/>
            <family val="2"/>
          </rPr>
          <t xml:space="preserve">
-$10.3m EBITDA at CBS Interactive per 10-K</t>
        </r>
      </text>
    </comment>
    <comment ref="BA18" authorId="0">
      <text>
        <r>
          <rPr>
            <b/>
            <sz val="8"/>
            <color indexed="81"/>
            <rFont val="Tahoma"/>
            <family val="2"/>
          </rPr>
          <t>krisbon:</t>
        </r>
        <r>
          <rPr>
            <sz val="8"/>
            <color indexed="81"/>
            <rFont val="Tahoma"/>
            <family val="2"/>
          </rPr>
          <t xml:space="preserve">
$6.9m EBITDA at CBS Interactive per 10-K</t>
        </r>
      </text>
    </comment>
    <comment ref="BC18" authorId="0">
      <text>
        <r>
          <rPr>
            <b/>
            <sz val="8"/>
            <color indexed="81"/>
            <rFont val="Tahoma"/>
            <family val="2"/>
          </rPr>
          <t>krisbon:</t>
        </r>
        <r>
          <rPr>
            <sz val="8"/>
            <color indexed="81"/>
            <rFont val="Tahoma"/>
            <family val="2"/>
          </rPr>
          <t xml:space="preserve">
$1.1m in EBITDA for CBS Interactive ex-CNET per 10-K</t>
        </r>
      </text>
    </comment>
    <comment ref="BD18" authorId="0">
      <text>
        <r>
          <rPr>
            <b/>
            <sz val="8"/>
            <color indexed="81"/>
            <rFont val="Tahoma"/>
            <family val="2"/>
          </rPr>
          <t>krisbon:</t>
        </r>
        <r>
          <rPr>
            <sz val="8"/>
            <color indexed="81"/>
            <rFont val="Tahoma"/>
            <family val="2"/>
          </rPr>
          <t xml:space="preserve">
-$16.8m in EBITDA for CBS Interactive ex-CNET per 10-K</t>
        </r>
      </text>
    </comment>
    <comment ref="CQ24" authorId="3">
      <text>
        <r>
          <rPr>
            <b/>
            <sz val="9"/>
            <color indexed="81"/>
            <rFont val="Tahoma"/>
            <family val="2"/>
          </rPr>
          <t>Ripps, Maria (Research):</t>
        </r>
        <r>
          <rPr>
            <sz val="9"/>
            <color indexed="81"/>
            <rFont val="Tahoma"/>
            <family val="2"/>
          </rPr>
          <t xml:space="preserve">
adjusted for sale of biz</t>
        </r>
      </text>
    </comment>
    <comment ref="BC28" authorId="6">
      <text>
        <r>
          <rPr>
            <b/>
            <sz val="8"/>
            <color indexed="81"/>
            <rFont val="Tahoma"/>
            <family val="2"/>
          </rPr>
          <t>benswin:</t>
        </r>
        <r>
          <rPr>
            <sz val="8"/>
            <color indexed="81"/>
            <rFont val="Tahoma"/>
            <family val="2"/>
          </rPr>
          <t xml:space="preserve">
-8 mm from CNET and 1 mm from CBS digital.</t>
        </r>
      </text>
    </comment>
    <comment ref="BE28" authorId="7">
      <text>
        <r>
          <rPr>
            <b/>
            <sz val="8"/>
            <color indexed="81"/>
            <rFont val="Tahoma"/>
            <family val="2"/>
          </rPr>
          <t>Kristi Bonner:</t>
        </r>
        <r>
          <rPr>
            <sz val="8"/>
            <color indexed="81"/>
            <rFont val="Tahoma"/>
            <family val="2"/>
          </rPr>
          <t xml:space="preserve">
adjusted for .8m restructuring charge</t>
        </r>
      </text>
    </comment>
    <comment ref="BF28" authorId="0">
      <text>
        <r>
          <rPr>
            <b/>
            <sz val="8"/>
            <color indexed="81"/>
            <rFont val="Tahoma"/>
            <family val="2"/>
          </rPr>
          <t>krisbon:</t>
        </r>
        <r>
          <rPr>
            <sz val="8"/>
            <color indexed="81"/>
            <rFont val="Tahoma"/>
            <family val="2"/>
          </rPr>
          <t xml:space="preserve">
adjusted for $2.6m restructuring charge</t>
        </r>
      </text>
    </comment>
    <comment ref="AX31" authorId="0">
      <text>
        <r>
          <rPr>
            <b/>
            <sz val="8"/>
            <color indexed="81"/>
            <rFont val="Tahoma"/>
            <family val="2"/>
          </rPr>
          <t>krisbon:</t>
        </r>
        <r>
          <rPr>
            <sz val="8"/>
            <color indexed="81"/>
            <rFont val="Tahoma"/>
            <family val="2"/>
          </rPr>
          <t xml:space="preserve">
CNET actual plus CBS Interactive</t>
        </r>
      </text>
    </comment>
    <comment ref="AY31" authorId="0">
      <text>
        <r>
          <rPr>
            <b/>
            <sz val="8"/>
            <color indexed="81"/>
            <rFont val="Tahoma"/>
            <family val="2"/>
          </rPr>
          <t>krisbon:</t>
        </r>
        <r>
          <rPr>
            <sz val="8"/>
            <color indexed="81"/>
            <rFont val="Tahoma"/>
            <family val="2"/>
          </rPr>
          <t xml:space="preserve">
CNET actual plus CBS Interactive</t>
        </r>
      </text>
    </comment>
    <comment ref="AZ31" authorId="0">
      <text>
        <r>
          <rPr>
            <b/>
            <sz val="8"/>
            <color indexed="81"/>
            <rFont val="Tahoma"/>
            <family val="2"/>
          </rPr>
          <t>krisbon:</t>
        </r>
        <r>
          <rPr>
            <sz val="8"/>
            <color indexed="81"/>
            <rFont val="Tahoma"/>
            <family val="2"/>
          </rPr>
          <t xml:space="preserve">
CNET actual plus CBS Interactive</t>
        </r>
      </text>
    </comment>
    <comment ref="BA31" authorId="0">
      <text>
        <r>
          <rPr>
            <b/>
            <sz val="8"/>
            <color indexed="81"/>
            <rFont val="Tahoma"/>
            <family val="2"/>
          </rPr>
          <t>krisbon:</t>
        </r>
        <r>
          <rPr>
            <sz val="8"/>
            <color indexed="81"/>
            <rFont val="Tahoma"/>
            <family val="2"/>
          </rPr>
          <t xml:space="preserve">
CNET actual plus CBS Interactive</t>
        </r>
      </text>
    </comment>
    <comment ref="BC31" authorId="0">
      <text>
        <r>
          <rPr>
            <b/>
            <sz val="8"/>
            <color indexed="81"/>
            <rFont val="Tahoma"/>
            <family val="2"/>
          </rPr>
          <t>krisbon:</t>
        </r>
        <r>
          <rPr>
            <sz val="8"/>
            <color indexed="81"/>
            <rFont val="Tahoma"/>
            <family val="2"/>
          </rPr>
          <t xml:space="preserve">
CNET actual plus CBS Interactive</t>
        </r>
      </text>
    </comment>
    <comment ref="BE33" authorId="7">
      <text>
        <r>
          <rPr>
            <b/>
            <sz val="8"/>
            <color indexed="81"/>
            <rFont val="Tahoma"/>
            <family val="2"/>
          </rPr>
          <t>Kristi Bonner:</t>
        </r>
        <r>
          <rPr>
            <sz val="8"/>
            <color indexed="81"/>
            <rFont val="Tahoma"/>
            <family val="2"/>
          </rPr>
          <t xml:space="preserve">
adjusted for .8m restructuring charge</t>
        </r>
      </text>
    </comment>
    <comment ref="AX39" authorId="0">
      <text>
        <r>
          <rPr>
            <b/>
            <sz val="8"/>
            <color indexed="81"/>
            <rFont val="Tahoma"/>
            <family val="2"/>
          </rPr>
          <t>krisbon:</t>
        </r>
        <r>
          <rPr>
            <sz val="8"/>
            <color indexed="81"/>
            <rFont val="Tahoma"/>
            <family val="2"/>
          </rPr>
          <t xml:space="preserve">
PF CNET G&amp;A figures</t>
        </r>
      </text>
    </comment>
    <comment ref="AY39" authorId="0">
      <text>
        <r>
          <rPr>
            <b/>
            <sz val="8"/>
            <color indexed="81"/>
            <rFont val="Tahoma"/>
            <family val="2"/>
          </rPr>
          <t>krisbon:</t>
        </r>
        <r>
          <rPr>
            <sz val="8"/>
            <color indexed="81"/>
            <rFont val="Tahoma"/>
            <family val="2"/>
          </rPr>
          <t xml:space="preserve">
PF CNET G&amp;A figures</t>
        </r>
      </text>
    </comment>
    <comment ref="AZ39" authorId="0">
      <text>
        <r>
          <rPr>
            <b/>
            <sz val="8"/>
            <color indexed="81"/>
            <rFont val="Tahoma"/>
            <family val="2"/>
          </rPr>
          <t>krisbon:</t>
        </r>
        <r>
          <rPr>
            <sz val="8"/>
            <color indexed="81"/>
            <rFont val="Tahoma"/>
            <family val="2"/>
          </rPr>
          <t xml:space="preserve">
PF CNET G&amp;A figures</t>
        </r>
      </text>
    </comment>
    <comment ref="BA39" authorId="0">
      <text>
        <r>
          <rPr>
            <b/>
            <sz val="8"/>
            <color indexed="81"/>
            <rFont val="Tahoma"/>
            <family val="2"/>
          </rPr>
          <t>krisbon:</t>
        </r>
        <r>
          <rPr>
            <sz val="8"/>
            <color indexed="81"/>
            <rFont val="Tahoma"/>
            <family val="2"/>
          </rPr>
          <t xml:space="preserve">
PF CNET G&amp;A figures</t>
        </r>
      </text>
    </comment>
    <comment ref="J46" authorId="8">
      <text>
        <r>
          <rPr>
            <b/>
            <sz val="8"/>
            <color indexed="8"/>
            <rFont val="Tahoma"/>
            <family val="2"/>
          </rPr>
          <t>haberlec:</t>
        </r>
        <r>
          <rPr>
            <sz val="8"/>
            <color indexed="8"/>
            <rFont val="Tahoma"/>
            <family val="2"/>
          </rPr>
          <t xml:space="preserve">
Nielsen Netratings (internetworldstats.com)</t>
        </r>
      </text>
    </comment>
    <comment ref="L46" authorId="8">
      <text>
        <r>
          <rPr>
            <b/>
            <sz val="8"/>
            <color indexed="8"/>
            <rFont val="Tahoma"/>
            <family val="2"/>
          </rPr>
          <t>haberlec:</t>
        </r>
        <r>
          <rPr>
            <sz val="8"/>
            <color indexed="8"/>
            <rFont val="Tahoma"/>
            <family val="2"/>
          </rPr>
          <t xml:space="preserve">
Nielsen Netratings (internetworldstats.com)</t>
        </r>
      </text>
    </comment>
    <comment ref="Y111" authorId="3">
      <text>
        <r>
          <rPr>
            <b/>
            <sz val="9"/>
            <color indexed="81"/>
            <rFont val="Tahoma"/>
            <family val="2"/>
          </rPr>
          <t>Ripps, Maria (Research):</t>
        </r>
        <r>
          <rPr>
            <sz val="9"/>
            <color indexed="81"/>
            <rFont val="Tahoma"/>
            <family val="2"/>
          </rPr>
          <t xml:space="preserve">
LT target: 4MM subs (2016 analyst day)</t>
        </r>
      </text>
    </comment>
    <comment ref="CT111" authorId="3">
      <text>
        <r>
          <rPr>
            <b/>
            <sz val="9"/>
            <color indexed="81"/>
            <rFont val="Tahoma"/>
            <family val="2"/>
          </rPr>
          <t>Ripps, Maria (Research):</t>
        </r>
        <r>
          <rPr>
            <sz val="9"/>
            <color indexed="81"/>
            <rFont val="Tahoma"/>
            <family val="2"/>
          </rPr>
          <t xml:space="preserve">
12/14/16 WSJ: 
About 1.2M subs</t>
        </r>
      </text>
    </comment>
    <comment ref="CX112" authorId="3">
      <text>
        <r>
          <rPr>
            <b/>
            <sz val="9"/>
            <color indexed="81"/>
            <rFont val="Tahoma"/>
            <family val="2"/>
          </rPr>
          <t>Ripps, Maria (Research):</t>
        </r>
        <r>
          <rPr>
            <sz val="9"/>
            <color indexed="81"/>
            <rFont val="Tahoma"/>
            <family val="2"/>
          </rPr>
          <t xml:space="preserve">
Star Trek</t>
        </r>
      </text>
    </comment>
    <comment ref="CY112" authorId="3">
      <text>
        <r>
          <rPr>
            <b/>
            <sz val="9"/>
            <color indexed="81"/>
            <rFont val="Tahoma"/>
            <family val="2"/>
          </rPr>
          <t>Ripps, Maria (Research):</t>
        </r>
        <r>
          <rPr>
            <sz val="9"/>
            <color indexed="81"/>
            <rFont val="Tahoma"/>
            <family val="2"/>
          </rPr>
          <t xml:space="preserve">
Star Trek</t>
        </r>
      </text>
    </comment>
    <comment ref="CS116" authorId="3">
      <text>
        <r>
          <rPr>
            <b/>
            <sz val="9"/>
            <color indexed="81"/>
            <rFont val="Tahoma"/>
            <family val="2"/>
          </rPr>
          <t>Ripps, Maria (Research):</t>
        </r>
        <r>
          <rPr>
            <sz val="9"/>
            <color indexed="81"/>
            <rFont val="Tahoma"/>
            <family val="2"/>
          </rPr>
          <t xml:space="preserve">
08/31/16 
CBS launches ad-free All Access tier, $9.99 </t>
        </r>
      </text>
    </comment>
    <comment ref="CX117" authorId="3">
      <text>
        <r>
          <rPr>
            <b/>
            <sz val="9"/>
            <color indexed="81"/>
            <rFont val="Tahoma"/>
            <family val="2"/>
          </rPr>
          <t>Ripps, Maria (Research):</t>
        </r>
        <r>
          <rPr>
            <sz val="9"/>
            <color indexed="81"/>
            <rFont val="Tahoma"/>
            <family val="2"/>
          </rPr>
          <t xml:space="preserve">
3Q17 EC: "20% of our subscribers take the ad free product" </t>
        </r>
      </text>
    </comment>
    <comment ref="A124" authorId="3">
      <text>
        <r>
          <rPr>
            <b/>
            <sz val="9"/>
            <color indexed="81"/>
            <rFont val="Tahoma"/>
            <family val="2"/>
          </rPr>
          <t>Ripps, Maria (Research):</t>
        </r>
        <r>
          <rPr>
            <sz val="9"/>
            <color indexed="81"/>
            <rFont val="Tahoma"/>
            <family val="2"/>
          </rPr>
          <t xml:space="preserve">
03/15/16 Analyst Day: 
$5 net/sub/month subscription few; ~$3.5 net/sub/month in ad revs (~$8.50 total sub/month) * 4M subs =&gt; ~$400M in revs by 2020</t>
        </r>
      </text>
    </comment>
    <comment ref="CJ124" authorId="3">
      <text>
        <r>
          <rPr>
            <b/>
            <sz val="9"/>
            <color indexed="81"/>
            <rFont val="Tahoma"/>
            <family val="2"/>
          </rPr>
          <t>Ripps, Maria (Research):</t>
        </r>
        <r>
          <rPr>
            <sz val="9"/>
            <color indexed="81"/>
            <rFont val="Tahoma"/>
            <family val="2"/>
          </rPr>
          <t xml:space="preserve">
Showtime OTT
Retail ARPU: $10.99
Effective ARPU: $8.25</t>
        </r>
      </text>
    </comment>
    <comment ref="A130" authorId="3">
      <text>
        <r>
          <rPr>
            <b/>
            <sz val="9"/>
            <color indexed="81"/>
            <rFont val="Tahoma"/>
            <family val="2"/>
          </rPr>
          <t>Ripps, Maria (Research):</t>
        </r>
        <r>
          <rPr>
            <sz val="9"/>
            <color indexed="81"/>
            <rFont val="Tahoma"/>
            <family val="2"/>
          </rPr>
          <t xml:space="preserve">
03/15/16 Analyst Day: 
$5 net/sub/month subscription few; ~$3.5 net/sub/month in ad revs (~$8.50 total sub/month) * 4M subs =&gt; ~$400M in revs by 2020</t>
        </r>
      </text>
    </comment>
    <comment ref="U166" authorId="3">
      <text>
        <r>
          <rPr>
            <b/>
            <sz val="9"/>
            <color indexed="81"/>
            <rFont val="Tahoma"/>
            <family val="2"/>
          </rPr>
          <t>Ripps, Maria (Research):</t>
        </r>
        <r>
          <rPr>
            <sz val="9"/>
            <color indexed="81"/>
            <rFont val="Tahoma"/>
            <family val="2"/>
          </rPr>
          <t xml:space="preserve">
~70% for HULU</t>
        </r>
      </text>
    </comment>
  </commentList>
</comments>
</file>

<file path=xl/comments13.xml><?xml version="1.0" encoding="utf-8"?>
<comments xmlns="http://schemas.openxmlformats.org/spreadsheetml/2006/main">
  <authors>
    <author>benswin</author>
    <author>Scott Babka</author>
    <author>farrantj</author>
    <author>Kristi Bonner</author>
    <author>Micah Nance</author>
    <author>svetlana</author>
  </authors>
  <commentList>
    <comment ref="M16" authorId="0">
      <text>
        <r>
          <rPr>
            <b/>
            <sz val="8"/>
            <color indexed="81"/>
            <rFont val="Tahoma"/>
            <family val="2"/>
          </rPr>
          <t>benswin:</t>
        </r>
        <r>
          <rPr>
            <sz val="8"/>
            <color indexed="81"/>
            <rFont val="Tahoma"/>
            <family val="2"/>
          </rPr>
          <t xml:space="preserve">
over $1 bn of international sales.</t>
        </r>
      </text>
    </comment>
    <comment ref="D19" authorId="1">
      <text>
        <r>
          <rPr>
            <b/>
            <sz val="8"/>
            <color indexed="81"/>
            <rFont val="Tahoma"/>
            <family val="2"/>
          </rPr>
          <t>Scott Babka:</t>
        </r>
        <r>
          <rPr>
            <sz val="8"/>
            <color indexed="81"/>
            <rFont val="Tahoma"/>
            <family val="2"/>
          </rPr>
          <t xml:space="preserve">
Est. 85% sold internationally.</t>
        </r>
      </text>
    </comment>
    <comment ref="D20" authorId="1">
      <text>
        <r>
          <rPr>
            <b/>
            <sz val="8"/>
            <color indexed="81"/>
            <rFont val="Tahoma"/>
            <family val="2"/>
          </rPr>
          <t>Scott Babka:</t>
        </r>
        <r>
          <rPr>
            <sz val="8"/>
            <color indexed="81"/>
            <rFont val="Tahoma"/>
            <family val="2"/>
          </rPr>
          <t xml:space="preserve">
Est. 75% have full 22 episodes</t>
        </r>
      </text>
    </comment>
    <comment ref="D22" authorId="1">
      <text>
        <r>
          <rPr>
            <b/>
            <sz val="8"/>
            <color indexed="81"/>
            <rFont val="Tahoma"/>
            <family val="2"/>
          </rPr>
          <t>Scott Babka:</t>
        </r>
        <r>
          <rPr>
            <sz val="8"/>
            <color indexed="81"/>
            <rFont val="Tahoma"/>
            <family val="2"/>
          </rPr>
          <t xml:space="preserve">
Per Variety (March 2003)</t>
        </r>
      </text>
    </comment>
    <comment ref="D23" authorId="1">
      <text>
        <r>
          <rPr>
            <b/>
            <sz val="8"/>
            <color indexed="81"/>
            <rFont val="Tahoma"/>
            <family val="2"/>
          </rPr>
          <t>Scott Babka:</t>
        </r>
        <r>
          <rPr>
            <sz val="8"/>
            <color indexed="81"/>
            <rFont val="Tahoma"/>
            <family val="2"/>
          </rPr>
          <t xml:space="preserve">
Per Variety (March 2003)</t>
        </r>
      </text>
    </comment>
    <comment ref="G28" authorId="2">
      <text>
        <r>
          <rPr>
            <b/>
            <sz val="8"/>
            <color indexed="81"/>
            <rFont val="Tahoma"/>
            <family val="2"/>
          </rPr>
          <t>farrantj:</t>
        </r>
        <r>
          <rPr>
            <sz val="8"/>
            <color indexed="81"/>
            <rFont val="Tahoma"/>
            <family val="2"/>
          </rPr>
          <t xml:space="preserve">
previously expected 415</t>
        </r>
      </text>
    </comment>
    <comment ref="F30" authorId="3">
      <text>
        <r>
          <rPr>
            <b/>
            <sz val="8"/>
            <color indexed="81"/>
            <rFont val="Tahoma"/>
            <family val="2"/>
          </rPr>
          <t>Kristi Bonner:</t>
        </r>
        <r>
          <rPr>
            <sz val="8"/>
            <color indexed="81"/>
            <rFont val="Tahoma"/>
            <family val="2"/>
          </rPr>
          <t xml:space="preserve">
10Q</t>
        </r>
      </text>
    </comment>
    <comment ref="G30" authorId="3">
      <text>
        <r>
          <rPr>
            <b/>
            <sz val="8"/>
            <color indexed="81"/>
            <rFont val="Tahoma"/>
            <family val="2"/>
          </rPr>
          <t>Kristi Bonner:</t>
        </r>
        <r>
          <rPr>
            <sz val="8"/>
            <color indexed="81"/>
            <rFont val="Tahoma"/>
            <family val="2"/>
          </rPr>
          <t xml:space="preserve">
10Q</t>
        </r>
      </text>
    </comment>
    <comment ref="H30" authorId="3">
      <text>
        <r>
          <rPr>
            <b/>
            <sz val="8"/>
            <color indexed="81"/>
            <rFont val="Tahoma"/>
            <family val="2"/>
          </rPr>
          <t>Kristi Bonner:</t>
        </r>
        <r>
          <rPr>
            <sz val="8"/>
            <color indexed="81"/>
            <rFont val="Tahoma"/>
            <family val="2"/>
          </rPr>
          <t xml:space="preserve">
10Q</t>
        </r>
      </text>
    </comment>
    <comment ref="L31" authorId="4">
      <text>
        <r>
          <rPr>
            <b/>
            <sz val="8"/>
            <color indexed="81"/>
            <rFont val="Tahoma"/>
            <family val="2"/>
          </rPr>
          <t>Micah Nance:</t>
        </r>
        <r>
          <rPr>
            <sz val="8"/>
            <color indexed="81"/>
            <rFont val="Tahoma"/>
            <family val="2"/>
          </rPr>
          <t xml:space="preserve">
Majority of NFLX in 1Q11 (roughly $200M, vast majority in '11, a bit spill into '12)
AMZN</t>
        </r>
      </text>
    </comment>
    <comment ref="M31" authorId="4">
      <text>
        <r>
          <rPr>
            <b/>
            <sz val="8"/>
            <color indexed="81"/>
            <rFont val="Tahoma"/>
            <family val="2"/>
          </rPr>
          <t>Micah Nance:</t>
        </r>
        <r>
          <rPr>
            <sz val="8"/>
            <color indexed="81"/>
            <rFont val="Tahoma"/>
            <family val="2"/>
          </rPr>
          <t xml:space="preserve">
80% of Amazon + NFLX int'l + Hulu Japan licensing booked in '12
Includes TV studio's share of CW deal (roughly 45mm, recurring)</t>
        </r>
      </text>
    </comment>
    <comment ref="E32" authorId="5">
      <text>
        <r>
          <rPr>
            <b/>
            <sz val="8"/>
            <color indexed="81"/>
            <rFont val="Tahoma"/>
            <family val="2"/>
          </rPr>
          <t>svetlana:</t>
        </r>
        <r>
          <rPr>
            <sz val="8"/>
            <color indexed="81"/>
            <rFont val="Tahoma"/>
            <family val="2"/>
          </rPr>
          <t xml:space="preserve">
Decline reflects reclassification of International Pay TV Channels from Television Segment to Cable Networks</t>
        </r>
      </text>
    </comment>
    <comment ref="I32" authorId="0">
      <text>
        <r>
          <rPr>
            <b/>
            <sz val="8"/>
            <color indexed="81"/>
            <rFont val="Tahoma"/>
            <family val="2"/>
          </rPr>
          <t>benswin:</t>
        </r>
        <r>
          <rPr>
            <sz val="8"/>
            <color indexed="81"/>
            <rFont val="Tahoma"/>
            <family val="2"/>
          </rPr>
          <t xml:space="preserve">
one-time step up on accounting change from net to gross on int'l CSI distribution</t>
        </r>
      </text>
    </comment>
    <comment ref="P47" authorId="4">
      <text>
        <r>
          <rPr>
            <b/>
            <sz val="8"/>
            <color indexed="81"/>
            <rFont val="Tahoma"/>
            <family val="2"/>
          </rPr>
          <t>Micah Nance:</t>
        </r>
        <r>
          <rPr>
            <sz val="8"/>
            <color indexed="81"/>
            <rFont val="Tahoma"/>
            <family val="2"/>
          </rPr>
          <t xml:space="preserve">
Syndication comp in '14 a drag on revs</t>
        </r>
      </text>
    </comment>
    <comment ref="L65" authorId="4">
      <text>
        <r>
          <rPr>
            <b/>
            <sz val="8"/>
            <color indexed="81"/>
            <rFont val="Tahoma"/>
            <family val="2"/>
          </rPr>
          <t>Micah Nance:</t>
        </r>
        <r>
          <rPr>
            <sz val="8"/>
            <color indexed="81"/>
            <rFont val="Tahoma"/>
            <family val="2"/>
          </rPr>
          <t xml:space="preserve">
lower on NFLX revs (roughly 60% EBITDA margins)</t>
        </r>
      </text>
    </comment>
  </commentList>
</comments>
</file>

<file path=xl/comments14.xml><?xml version="1.0" encoding="utf-8"?>
<comments xmlns="http://schemas.openxmlformats.org/spreadsheetml/2006/main">
  <authors>
    <author>Ripps, Maria (Research)</author>
    <author>Micah Nance</author>
    <author>matheemi</author>
    <author>Emmy Mathews</author>
    <author>Kristi Bonner</author>
    <author>svetlana</author>
  </authors>
  <commentList>
    <comment ref="B39" authorId="0">
      <text>
        <r>
          <rPr>
            <b/>
            <sz val="9"/>
            <color indexed="81"/>
            <rFont val="Tahoma"/>
            <family val="2"/>
          </rPr>
          <t>Ripps, Maria (Research):</t>
        </r>
        <r>
          <rPr>
            <sz val="9"/>
            <color indexed="81"/>
            <rFont val="Tahoma"/>
            <family val="2"/>
          </rPr>
          <t xml:space="preserve">
Ended after S-7</t>
        </r>
      </text>
    </comment>
    <comment ref="B47" authorId="0">
      <text>
        <r>
          <rPr>
            <b/>
            <sz val="9"/>
            <color indexed="81"/>
            <rFont val="Tahoma"/>
            <family val="2"/>
          </rPr>
          <t>Ripps, Maria (Research):</t>
        </r>
        <r>
          <rPr>
            <sz val="9"/>
            <color indexed="81"/>
            <rFont val="Tahoma"/>
            <family val="2"/>
          </rPr>
          <t xml:space="preserve">
Canceled after S-4</t>
        </r>
      </text>
    </comment>
    <comment ref="B50" authorId="0">
      <text>
        <r>
          <rPr>
            <b/>
            <sz val="9"/>
            <color indexed="81"/>
            <rFont val="Tahoma"/>
            <family val="2"/>
          </rPr>
          <t>Ripps, Maria (Research):</t>
        </r>
        <r>
          <rPr>
            <sz val="9"/>
            <color indexed="81"/>
            <rFont val="Tahoma"/>
            <family val="2"/>
          </rPr>
          <t xml:space="preserve">
Ended after S-4</t>
        </r>
      </text>
    </comment>
    <comment ref="B57" authorId="0">
      <text>
        <r>
          <rPr>
            <b/>
            <sz val="9"/>
            <color indexed="81"/>
            <rFont val="Tahoma"/>
            <family val="2"/>
          </rPr>
          <t>Ripps, Maria (Research):</t>
        </r>
        <r>
          <rPr>
            <sz val="9"/>
            <color indexed="81"/>
            <rFont val="Tahoma"/>
            <family val="2"/>
          </rPr>
          <t xml:space="preserve">
Canceled after S2</t>
        </r>
      </text>
    </comment>
    <comment ref="B58" authorId="0">
      <text>
        <r>
          <rPr>
            <b/>
            <sz val="9"/>
            <color indexed="81"/>
            <rFont val="Tahoma"/>
            <family val="2"/>
          </rPr>
          <t>Ripps, Maria (Research):</t>
        </r>
        <r>
          <rPr>
            <sz val="9"/>
            <color indexed="81"/>
            <rFont val="Tahoma"/>
            <family val="2"/>
          </rPr>
          <t xml:space="preserve">
Season 3: 
July'16 - Sep'16</t>
        </r>
      </text>
    </comment>
    <comment ref="B71" authorId="0">
      <text>
        <r>
          <rPr>
            <b/>
            <sz val="9"/>
            <color indexed="81"/>
            <rFont val="Tahoma"/>
            <family val="2"/>
          </rPr>
          <t>Ripps, Maria (Research):</t>
        </r>
        <r>
          <rPr>
            <sz val="9"/>
            <color indexed="81"/>
            <rFont val="Tahoma"/>
            <family val="2"/>
          </rPr>
          <t xml:space="preserve">
Ended after S-9</t>
        </r>
      </text>
    </comment>
    <comment ref="B77" authorId="0">
      <text>
        <r>
          <rPr>
            <b/>
            <sz val="9"/>
            <color indexed="81"/>
            <rFont val="Tahoma"/>
            <family val="2"/>
          </rPr>
          <t>Ripps, Maria (Research):</t>
        </r>
        <r>
          <rPr>
            <sz val="9"/>
            <color indexed="81"/>
            <rFont val="Tahoma"/>
            <family val="2"/>
          </rPr>
          <t xml:space="preserve">
Canceled after S-2</t>
        </r>
      </text>
    </comment>
    <comment ref="B81" authorId="0">
      <text>
        <r>
          <rPr>
            <b/>
            <sz val="9"/>
            <color indexed="81"/>
            <rFont val="Tahoma"/>
            <family val="2"/>
          </rPr>
          <t>Ripps, Maria (Research):</t>
        </r>
        <r>
          <rPr>
            <sz val="9"/>
            <color indexed="81"/>
            <rFont val="Tahoma"/>
            <family val="2"/>
          </rPr>
          <t xml:space="preserve">
Canceled after S-2</t>
        </r>
      </text>
    </comment>
    <comment ref="B87" authorId="0">
      <text>
        <r>
          <rPr>
            <b/>
            <sz val="9"/>
            <color indexed="81"/>
            <rFont val="Tahoma"/>
            <family val="2"/>
          </rPr>
          <t>Ripps, Maria (Research):</t>
        </r>
        <r>
          <rPr>
            <sz val="9"/>
            <color indexed="81"/>
            <rFont val="Tahoma"/>
            <family val="2"/>
          </rPr>
          <t xml:space="preserve">
Concluded after S-3</t>
        </r>
      </text>
    </comment>
    <comment ref="B92" authorId="0">
      <text>
        <r>
          <rPr>
            <b/>
            <sz val="9"/>
            <color indexed="81"/>
            <rFont val="Tahoma"/>
            <family val="2"/>
          </rPr>
          <t>Ripps, Maria (Research):</t>
        </r>
        <r>
          <rPr>
            <sz val="9"/>
            <color indexed="81"/>
            <rFont val="Tahoma"/>
            <family val="2"/>
          </rPr>
          <t xml:space="preserve">
Canceled after S-4</t>
        </r>
      </text>
    </comment>
    <comment ref="B109" authorId="0">
      <text>
        <r>
          <rPr>
            <b/>
            <sz val="9"/>
            <color indexed="81"/>
            <rFont val="Tahoma"/>
            <family val="2"/>
          </rPr>
          <t>Ripps, Maria (Research):</t>
        </r>
        <r>
          <rPr>
            <sz val="9"/>
            <color indexed="81"/>
            <rFont val="Tahoma"/>
            <family val="2"/>
          </rPr>
          <t xml:space="preserve">
As of 06/30/13</t>
        </r>
      </text>
    </comment>
    <comment ref="B141" authorId="1">
      <text>
        <r>
          <rPr>
            <b/>
            <sz val="8"/>
            <color indexed="81"/>
            <rFont val="Tahoma"/>
            <family val="2"/>
          </rPr>
          <t>Micah Nance:</t>
        </r>
        <r>
          <rPr>
            <sz val="8"/>
            <color indexed="81"/>
            <rFont val="Tahoma"/>
            <family val="2"/>
          </rPr>
          <t xml:space="preserve">
formerly Reagan's Law</t>
        </r>
      </text>
    </comment>
    <comment ref="B145" authorId="0">
      <text>
        <r>
          <rPr>
            <b/>
            <sz val="9"/>
            <color indexed="81"/>
            <rFont val="Tahoma"/>
            <family val="2"/>
          </rPr>
          <t>Ripps, Maria (Research):</t>
        </r>
        <r>
          <rPr>
            <sz val="9"/>
            <color indexed="81"/>
            <rFont val="Tahoma"/>
            <family val="2"/>
          </rPr>
          <t xml:space="preserve">
canceled after S-9</t>
        </r>
      </text>
    </comment>
    <comment ref="B153" authorId="2">
      <text>
        <r>
          <rPr>
            <b/>
            <sz val="8"/>
            <color indexed="81"/>
            <rFont val="Tahoma"/>
            <family val="2"/>
          </rPr>
          <t>matheemi:</t>
        </r>
        <r>
          <rPr>
            <sz val="8"/>
            <color indexed="81"/>
            <rFont val="Tahoma"/>
            <family val="2"/>
          </rPr>
          <t xml:space="preserve">
formerly First Cut</t>
        </r>
      </text>
    </comment>
    <comment ref="AV163" authorId="3">
      <text>
        <r>
          <rPr>
            <b/>
            <sz val="8"/>
            <color indexed="81"/>
            <rFont val="Tahoma"/>
            <family val="2"/>
          </rPr>
          <t>Emmy Mathews:</t>
        </r>
        <r>
          <rPr>
            <sz val="8"/>
            <color indexed="81"/>
            <rFont val="Tahoma"/>
            <family val="2"/>
          </rPr>
          <t xml:space="preserve">
canceled</t>
        </r>
      </text>
    </comment>
    <comment ref="B164" authorId="3">
      <text>
        <r>
          <rPr>
            <b/>
            <sz val="8"/>
            <color indexed="81"/>
            <rFont val="Tahoma"/>
            <family val="2"/>
          </rPr>
          <t>Emmy Mathews:</t>
        </r>
        <r>
          <rPr>
            <sz val="8"/>
            <color indexed="81"/>
            <rFont val="Tahoma"/>
            <family val="2"/>
          </rPr>
          <t xml:space="preserve">
coming in 2012</t>
        </r>
      </text>
    </comment>
    <comment ref="AV182" authorId="3">
      <text>
        <r>
          <rPr>
            <b/>
            <sz val="8"/>
            <color indexed="81"/>
            <rFont val="Tahoma"/>
            <family val="2"/>
          </rPr>
          <t>Emmy Mathews:</t>
        </r>
        <r>
          <rPr>
            <sz val="8"/>
            <color indexed="81"/>
            <rFont val="Tahoma"/>
            <family val="2"/>
          </rPr>
          <t xml:space="preserve">
according to Futon Critic</t>
        </r>
      </text>
    </comment>
    <comment ref="AB244" authorId="4">
      <text>
        <r>
          <rPr>
            <b/>
            <sz val="8"/>
            <color indexed="81"/>
            <rFont val="Tahoma"/>
            <family val="2"/>
          </rPr>
          <t>Kristi Bonner:</t>
        </r>
        <r>
          <rPr>
            <sz val="8"/>
            <color indexed="81"/>
            <rFont val="Tahoma"/>
            <family val="2"/>
          </rPr>
          <t xml:space="preserve">
$2m international license fee oer Les Moonves @ UBS conference.  Using same rate</t>
        </r>
      </text>
    </comment>
    <comment ref="B245" authorId="4">
      <text>
        <r>
          <rPr>
            <b/>
            <sz val="8"/>
            <color indexed="81"/>
            <rFont val="Tahoma"/>
            <family val="2"/>
          </rPr>
          <t>Kristi Bonner:</t>
        </r>
        <r>
          <rPr>
            <sz val="8"/>
            <color indexed="81"/>
            <rFont val="Tahoma"/>
            <family val="2"/>
          </rPr>
          <t xml:space="preserve">
multiple seasons but not on prior production list in newsletter</t>
        </r>
      </text>
    </comment>
    <comment ref="B267" authorId="5">
      <text>
        <r>
          <rPr>
            <b/>
            <sz val="8"/>
            <color indexed="81"/>
            <rFont val="Tahoma"/>
            <family val="2"/>
          </rPr>
          <t>svetlana:</t>
        </r>
        <r>
          <rPr>
            <sz val="8"/>
            <color indexed="81"/>
            <rFont val="Tahoma"/>
            <family val="2"/>
          </rPr>
          <t xml:space="preserve">
Joint with WB</t>
        </r>
      </text>
    </comment>
    <comment ref="AR279" authorId="4">
      <text>
        <r>
          <rPr>
            <b/>
            <sz val="8"/>
            <color indexed="81"/>
            <rFont val="Tahoma"/>
            <family val="2"/>
          </rPr>
          <t>Kristi Bonner:</t>
        </r>
        <r>
          <rPr>
            <sz val="8"/>
            <color indexed="81"/>
            <rFont val="Tahoma"/>
            <family val="2"/>
          </rPr>
          <t xml:space="preserve">
canceled after 7 episodes in season 2</t>
        </r>
      </text>
    </comment>
    <comment ref="B290" authorId="5">
      <text>
        <r>
          <rPr>
            <b/>
            <sz val="8"/>
            <color indexed="81"/>
            <rFont val="Tahoma"/>
            <family val="2"/>
          </rPr>
          <t>svetlana:</t>
        </r>
        <r>
          <rPr>
            <sz val="8"/>
            <color indexed="81"/>
            <rFont val="Tahoma"/>
            <family val="2"/>
          </rPr>
          <t xml:space="preserve">
Joint with WB</t>
        </r>
      </text>
    </comment>
    <comment ref="B308" authorId="5">
      <text>
        <r>
          <rPr>
            <b/>
            <sz val="8"/>
            <color indexed="81"/>
            <rFont val="Tahoma"/>
            <family val="2"/>
          </rPr>
          <t>svetlana:</t>
        </r>
        <r>
          <rPr>
            <sz val="8"/>
            <color indexed="81"/>
            <rFont val="Tahoma"/>
            <family val="2"/>
          </rPr>
          <t xml:space="preserve">
Joint with WB</t>
        </r>
      </text>
    </comment>
    <comment ref="D315" authorId="4">
      <text>
        <r>
          <rPr>
            <b/>
            <sz val="8"/>
            <color indexed="81"/>
            <rFont val="Tahoma"/>
            <family val="2"/>
          </rPr>
          <t>Kristi Bonner:</t>
        </r>
        <r>
          <rPr>
            <sz val="8"/>
            <color indexed="81"/>
            <rFont val="Tahoma"/>
            <family val="2"/>
          </rPr>
          <t xml:space="preserve">
formerly on WB</t>
        </r>
      </text>
    </comment>
    <comment ref="AQ316" authorId="4">
      <text>
        <r>
          <rPr>
            <b/>
            <sz val="8"/>
            <color indexed="81"/>
            <rFont val="Tahoma"/>
            <family val="2"/>
          </rPr>
          <t>Kristi Bonner:</t>
        </r>
        <r>
          <rPr>
            <sz val="8"/>
            <color indexed="81"/>
            <rFont val="Tahoma"/>
            <family val="2"/>
          </rPr>
          <t xml:space="preserve">
canceled after 3 episodes although 8 episodes were taped</t>
        </r>
      </text>
    </comment>
    <comment ref="AQ317" authorId="4">
      <text>
        <r>
          <rPr>
            <b/>
            <sz val="8"/>
            <color indexed="81"/>
            <rFont val="Tahoma"/>
            <family val="2"/>
          </rPr>
          <t>Kristi Bonner:</t>
        </r>
        <r>
          <rPr>
            <sz val="8"/>
            <color indexed="81"/>
            <rFont val="Tahoma"/>
            <family val="2"/>
          </rPr>
          <t xml:space="preserve">
midseason replacement</t>
        </r>
      </text>
    </comment>
    <comment ref="B339" authorId="5">
      <text>
        <r>
          <rPr>
            <b/>
            <sz val="8"/>
            <color indexed="81"/>
            <rFont val="Tahoma"/>
            <family val="2"/>
          </rPr>
          <t>svetlana:</t>
        </r>
        <r>
          <rPr>
            <sz val="8"/>
            <color indexed="81"/>
            <rFont val="Tahoma"/>
            <family val="2"/>
          </rPr>
          <t xml:space="preserve">
Joint with WB</t>
        </r>
      </text>
    </comment>
    <comment ref="B357" authorId="5">
      <text>
        <r>
          <rPr>
            <b/>
            <sz val="8"/>
            <color indexed="81"/>
            <rFont val="Tahoma"/>
            <family val="2"/>
          </rPr>
          <t>svetlana:</t>
        </r>
        <r>
          <rPr>
            <sz val="8"/>
            <color indexed="81"/>
            <rFont val="Tahoma"/>
            <family val="2"/>
          </rPr>
          <t xml:space="preserve">
Joint with WB</t>
        </r>
      </text>
    </comment>
    <comment ref="B366" authorId="5">
      <text>
        <r>
          <rPr>
            <b/>
            <sz val="8"/>
            <color indexed="81"/>
            <rFont val="Tahoma"/>
            <family val="2"/>
          </rPr>
          <t>svetlana:</t>
        </r>
        <r>
          <rPr>
            <sz val="8"/>
            <color indexed="81"/>
            <rFont val="Tahoma"/>
            <family val="2"/>
          </rPr>
          <t xml:space="preserve">
last year in production</t>
        </r>
      </text>
    </comment>
    <comment ref="B371" authorId="5">
      <text>
        <r>
          <rPr>
            <b/>
            <sz val="8"/>
            <color indexed="81"/>
            <rFont val="Tahoma"/>
            <family val="2"/>
          </rPr>
          <t>svetlana:</t>
        </r>
        <r>
          <rPr>
            <sz val="8"/>
            <color indexed="81"/>
            <rFont val="Tahoma"/>
            <family val="2"/>
          </rPr>
          <t xml:space="preserve">
Joint with HBO</t>
        </r>
      </text>
    </comment>
    <comment ref="U401" authorId="5">
      <text>
        <r>
          <rPr>
            <b/>
            <sz val="8"/>
            <color indexed="81"/>
            <rFont val="Tahoma"/>
            <family val="2"/>
          </rPr>
          <t>svetlana:</t>
        </r>
        <r>
          <rPr>
            <sz val="8"/>
            <color indexed="81"/>
            <rFont val="Tahoma"/>
            <family val="2"/>
          </rPr>
          <t xml:space="preserve">
kagan</t>
        </r>
      </text>
    </comment>
  </commentList>
</comments>
</file>

<file path=xl/comments15.xml><?xml version="1.0" encoding="utf-8"?>
<comments xmlns="http://schemas.openxmlformats.org/spreadsheetml/2006/main">
  <authors>
    <author>svetlana</author>
    <author>Kristi Bonner</author>
  </authors>
  <commentList>
    <comment ref="J8" authorId="0">
      <text>
        <r>
          <rPr>
            <b/>
            <sz val="8"/>
            <color indexed="81"/>
            <rFont val="Tahoma"/>
            <family val="2"/>
          </rPr>
          <t>svetlana:</t>
        </r>
        <r>
          <rPr>
            <sz val="8"/>
            <color indexed="81"/>
            <rFont val="Tahoma"/>
            <family val="2"/>
          </rPr>
          <t xml:space="preserve">
Reflects four months of the show</t>
        </r>
      </text>
    </comment>
    <comment ref="B21" authorId="0">
      <text>
        <r>
          <rPr>
            <b/>
            <sz val="8"/>
            <color indexed="81"/>
            <rFont val="Tahoma"/>
            <family val="2"/>
          </rPr>
          <t>svetlana:</t>
        </r>
        <r>
          <rPr>
            <sz val="8"/>
            <color indexed="81"/>
            <rFont val="Tahoma"/>
            <family val="2"/>
          </rPr>
          <t xml:space="preserve">
First show ran from 1966 to 1981</t>
        </r>
      </text>
    </comment>
    <comment ref="M21" authorId="0">
      <text>
        <r>
          <rPr>
            <b/>
            <sz val="8"/>
            <color indexed="81"/>
            <rFont val="Tahoma"/>
            <family val="2"/>
          </rPr>
          <t>svetlana:</t>
        </r>
        <r>
          <rPr>
            <sz val="8"/>
            <color indexed="81"/>
            <rFont val="Tahoma"/>
            <family val="2"/>
          </rPr>
          <t xml:space="preserve">
Is cancelled</t>
        </r>
      </text>
    </comment>
    <comment ref="A22" authorId="1">
      <text>
        <r>
          <rPr>
            <b/>
            <sz val="8"/>
            <color indexed="81"/>
            <rFont val="Tahoma"/>
            <family val="2"/>
          </rPr>
          <t>Kristi Bonner:</t>
        </r>
        <r>
          <rPr>
            <sz val="8"/>
            <color indexed="81"/>
            <rFont val="Tahoma"/>
            <family val="2"/>
          </rPr>
          <t xml:space="preserve">
Dr. Phil spin-off.  New for 09</t>
        </r>
      </text>
    </comment>
    <comment ref="A23" authorId="1">
      <text>
        <r>
          <rPr>
            <b/>
            <sz val="8"/>
            <color indexed="81"/>
            <rFont val="Tahoma"/>
            <family val="2"/>
          </rPr>
          <t>Kristi Bonner:</t>
        </r>
        <r>
          <rPr>
            <sz val="8"/>
            <color indexed="81"/>
            <rFont val="Tahoma"/>
            <family val="2"/>
          </rPr>
          <t xml:space="preserve">
Owned by Sony, distributed by CBS</t>
        </r>
      </text>
    </comment>
    <comment ref="A24" authorId="1">
      <text>
        <r>
          <rPr>
            <b/>
            <sz val="8"/>
            <color indexed="81"/>
            <rFont val="Tahoma"/>
            <family val="2"/>
          </rPr>
          <t>Kristi Bonner:</t>
        </r>
        <r>
          <rPr>
            <sz val="8"/>
            <color indexed="81"/>
            <rFont val="Tahoma"/>
            <family val="2"/>
          </rPr>
          <t xml:space="preserve">
Owned by Sony, distributed by CBS</t>
        </r>
      </text>
    </comment>
  </commentList>
</comments>
</file>

<file path=xl/comments16.xml><?xml version="1.0" encoding="utf-8"?>
<comments xmlns="http://schemas.openxmlformats.org/spreadsheetml/2006/main">
  <authors>
    <author>svetlana</author>
    <author>krisbon</author>
    <author>Kristi Bonner</author>
    <author>benswin</author>
    <author>farrantj</author>
    <author>fiftrya</author>
    <author>haberlec</author>
    <author>Khadilkar, Hersh S (Research)</author>
    <author>Micah Nance</author>
    <author>Ripps, Maria (Research)</author>
  </authors>
  <commentList>
    <comment ref="J8" authorId="0">
      <text>
        <r>
          <rPr>
            <b/>
            <sz val="8"/>
            <color indexed="81"/>
            <rFont val="Tahoma"/>
            <family val="2"/>
          </rPr>
          <t>svetlana:</t>
        </r>
        <r>
          <rPr>
            <sz val="8"/>
            <color indexed="81"/>
            <rFont val="Tahoma"/>
            <family val="2"/>
          </rPr>
          <t xml:space="preserve">
$3,100 on Kagan
$2,500 on Variety
I assume 30% in barter</t>
        </r>
      </text>
    </comment>
    <comment ref="J9" authorId="0">
      <text>
        <r>
          <rPr>
            <b/>
            <sz val="8"/>
            <color indexed="81"/>
            <rFont val="Tahoma"/>
            <family val="2"/>
          </rPr>
          <t>svetlana:</t>
        </r>
        <r>
          <rPr>
            <sz val="8"/>
            <color indexed="81"/>
            <rFont val="Tahoma"/>
            <family val="2"/>
          </rPr>
          <t xml:space="preserve">
Variety: Lifetime paid $600
- DK: sounds a bit high</t>
        </r>
      </text>
    </comment>
    <comment ref="A10" authorId="0">
      <text>
        <r>
          <rPr>
            <b/>
            <sz val="8"/>
            <color indexed="81"/>
            <rFont val="Tahoma"/>
            <family val="2"/>
          </rPr>
          <t>svetlana:</t>
        </r>
        <r>
          <rPr>
            <sz val="8"/>
            <color indexed="81"/>
            <rFont val="Tahoma"/>
            <family val="2"/>
          </rPr>
          <t xml:space="preserve">
Joint with WB
</t>
        </r>
      </text>
    </comment>
    <comment ref="J10" authorId="0">
      <text>
        <r>
          <rPr>
            <b/>
            <sz val="8"/>
            <color indexed="81"/>
            <rFont val="Tahoma"/>
            <family val="2"/>
          </rPr>
          <t>svetlana:</t>
        </r>
        <r>
          <rPr>
            <sz val="8"/>
            <color indexed="81"/>
            <rFont val="Tahoma"/>
            <family val="2"/>
          </rPr>
          <t xml:space="preserve">
Variety: "$3.5m per episode in the first cycle of syndication", price in 2nd cycle was higher
2.5mm according to Kagan
</t>
        </r>
      </text>
    </comment>
    <comment ref="A11" authorId="0">
      <text>
        <r>
          <rPr>
            <b/>
            <sz val="8"/>
            <color indexed="81"/>
            <rFont val="Tahoma"/>
            <family val="2"/>
          </rPr>
          <t>svetlana:</t>
        </r>
        <r>
          <rPr>
            <sz val="8"/>
            <color indexed="81"/>
            <rFont val="Tahoma"/>
            <family val="2"/>
          </rPr>
          <t xml:space="preserve">
Joint with WB</t>
        </r>
      </text>
    </comment>
    <comment ref="J11" authorId="0">
      <text>
        <r>
          <rPr>
            <b/>
            <sz val="8"/>
            <color indexed="81"/>
            <rFont val="Tahoma"/>
            <family val="2"/>
          </rPr>
          <t>svetlana:</t>
        </r>
        <r>
          <rPr>
            <sz val="8"/>
            <color indexed="81"/>
            <rFont val="Tahoma"/>
            <family val="2"/>
          </rPr>
          <t xml:space="preserve">
Variety: " Up from $3.5m per episode in the first cycle of syndication"
Kagan: $2.5m
</t>
        </r>
      </text>
    </comment>
    <comment ref="M11" authorId="0">
      <text>
        <r>
          <rPr>
            <b/>
            <sz val="8"/>
            <color indexed="81"/>
            <rFont val="Tahoma"/>
            <family val="2"/>
          </rPr>
          <t>svetlana:</t>
        </r>
        <r>
          <rPr>
            <sz val="8"/>
            <color indexed="81"/>
            <rFont val="Tahoma"/>
            <family val="2"/>
          </rPr>
          <t xml:space="preserve">
AT TWX, 3Q02 and 3Q03 benefited from syndication revenue from Everybody Loves Raymond.  Same assumed for VIA
We need an adjustment here to show some revenue in 02/03</t>
        </r>
      </text>
    </comment>
    <comment ref="A12" authorId="0">
      <text>
        <r>
          <rPr>
            <b/>
            <sz val="8"/>
            <color indexed="81"/>
            <rFont val="Tahoma"/>
            <family val="2"/>
          </rPr>
          <t>svetlana:</t>
        </r>
        <r>
          <rPr>
            <sz val="8"/>
            <color indexed="81"/>
            <rFont val="Tahoma"/>
            <family val="2"/>
          </rPr>
          <t xml:space="preserve">
Joint with WB</t>
        </r>
      </text>
    </comment>
    <comment ref="J13" authorId="0">
      <text>
        <r>
          <rPr>
            <b/>
            <sz val="8"/>
            <color indexed="81"/>
            <rFont val="Tahoma"/>
            <family val="2"/>
          </rPr>
          <t>svetlana:</t>
        </r>
        <r>
          <rPr>
            <sz val="8"/>
            <color indexed="81"/>
            <rFont val="Tahoma"/>
            <family val="2"/>
          </rPr>
          <t xml:space="preserve">
Variety</t>
        </r>
      </text>
    </comment>
    <comment ref="J14" authorId="0">
      <text>
        <r>
          <rPr>
            <b/>
            <sz val="8"/>
            <color indexed="81"/>
            <rFont val="Tahoma"/>
            <family val="2"/>
          </rPr>
          <t>svetlana:</t>
        </r>
        <r>
          <rPr>
            <sz val="8"/>
            <color indexed="81"/>
            <rFont val="Tahoma"/>
            <family val="2"/>
          </rPr>
          <t xml:space="preserve">
Variety</t>
        </r>
      </text>
    </comment>
    <comment ref="J15" authorId="0">
      <text>
        <r>
          <rPr>
            <b/>
            <sz val="8"/>
            <color indexed="81"/>
            <rFont val="Tahoma"/>
            <family val="2"/>
          </rPr>
          <t>svetlana:</t>
        </r>
        <r>
          <rPr>
            <sz val="8"/>
            <color indexed="81"/>
            <rFont val="Tahoma"/>
            <family val="2"/>
          </rPr>
          <t xml:space="preserve">
$425 according to Variety, $2m according to Kagan</t>
        </r>
      </text>
    </comment>
    <comment ref="J16" authorId="0">
      <text>
        <r>
          <rPr>
            <b/>
            <sz val="8"/>
            <color indexed="81"/>
            <rFont val="Tahoma"/>
            <family val="2"/>
          </rPr>
          <t>svetlana:</t>
        </r>
        <r>
          <rPr>
            <sz val="8"/>
            <color indexed="81"/>
            <rFont val="Tahoma"/>
            <family val="2"/>
          </rPr>
          <t xml:space="preserve">
Assumption</t>
        </r>
      </text>
    </comment>
    <comment ref="J17" authorId="0">
      <text>
        <r>
          <rPr>
            <b/>
            <sz val="8"/>
            <color indexed="81"/>
            <rFont val="Tahoma"/>
            <family val="2"/>
          </rPr>
          <t>svetlana:</t>
        </r>
        <r>
          <rPr>
            <sz val="8"/>
            <color indexed="81"/>
            <rFont val="Tahoma"/>
            <family val="2"/>
          </rPr>
          <t xml:space="preserve">
Variety</t>
        </r>
      </text>
    </comment>
    <comment ref="J18" authorId="0">
      <text>
        <r>
          <rPr>
            <b/>
            <sz val="8"/>
            <color indexed="81"/>
            <rFont val="Tahoma"/>
            <family val="2"/>
          </rPr>
          <t>svetlana:</t>
        </r>
        <r>
          <rPr>
            <sz val="8"/>
            <color indexed="81"/>
            <rFont val="Tahoma"/>
            <family val="2"/>
          </rPr>
          <t xml:space="preserve">
Assumption</t>
        </r>
      </text>
    </comment>
    <comment ref="J19" authorId="0">
      <text>
        <r>
          <rPr>
            <b/>
            <sz val="8"/>
            <color indexed="81"/>
            <rFont val="Tahoma"/>
            <family val="2"/>
          </rPr>
          <t>svetlana:</t>
        </r>
        <r>
          <rPr>
            <sz val="8"/>
            <color indexed="81"/>
            <rFont val="Tahoma"/>
            <family val="2"/>
          </rPr>
          <t xml:space="preserve">
Assumption</t>
        </r>
      </text>
    </comment>
    <comment ref="J20" authorId="0">
      <text>
        <r>
          <rPr>
            <b/>
            <sz val="8"/>
            <color indexed="81"/>
            <rFont val="Tahoma"/>
            <family val="2"/>
          </rPr>
          <t>svetlana:</t>
        </r>
        <r>
          <rPr>
            <sz val="8"/>
            <color indexed="81"/>
            <rFont val="Tahoma"/>
            <family val="2"/>
          </rPr>
          <t xml:space="preserve">
Assumption
DK: 80 sounds low</t>
        </r>
      </text>
    </comment>
    <comment ref="J21" authorId="0">
      <text>
        <r>
          <rPr>
            <b/>
            <sz val="8"/>
            <color indexed="81"/>
            <rFont val="Tahoma"/>
            <family val="2"/>
          </rPr>
          <t>svetlana:</t>
        </r>
        <r>
          <rPr>
            <sz val="8"/>
            <color indexed="81"/>
            <rFont val="Tahoma"/>
            <family val="2"/>
          </rPr>
          <t xml:space="preserve">
Assumption</t>
        </r>
      </text>
    </comment>
    <comment ref="J22" authorId="0">
      <text>
        <r>
          <rPr>
            <b/>
            <sz val="8"/>
            <color indexed="81"/>
            <rFont val="Tahoma"/>
            <family val="2"/>
          </rPr>
          <t>svetlana:</t>
        </r>
        <r>
          <rPr>
            <sz val="8"/>
            <color indexed="81"/>
            <rFont val="Tahoma"/>
            <family val="2"/>
          </rPr>
          <t xml:space="preserve">
Assumption</t>
        </r>
      </text>
    </comment>
    <comment ref="J23" authorId="0">
      <text>
        <r>
          <rPr>
            <b/>
            <sz val="8"/>
            <color indexed="81"/>
            <rFont val="Tahoma"/>
            <family val="2"/>
          </rPr>
          <t>svetlana:</t>
        </r>
        <r>
          <rPr>
            <sz val="8"/>
            <color indexed="81"/>
            <rFont val="Tahoma"/>
            <family val="2"/>
          </rPr>
          <t xml:space="preserve">
Assumption</t>
        </r>
      </text>
    </comment>
    <comment ref="A24" authorId="0">
      <text>
        <r>
          <rPr>
            <b/>
            <sz val="8"/>
            <color indexed="81"/>
            <rFont val="Tahoma"/>
            <family val="2"/>
          </rPr>
          <t>svetlana:</t>
        </r>
        <r>
          <rPr>
            <sz val="8"/>
            <color indexed="81"/>
            <rFont val="Tahoma"/>
            <family val="2"/>
          </rPr>
          <t xml:space="preserve">
Joint with FOX</t>
        </r>
      </text>
    </comment>
    <comment ref="J24" authorId="0">
      <text>
        <r>
          <rPr>
            <b/>
            <sz val="8"/>
            <color indexed="81"/>
            <rFont val="Tahoma"/>
            <family val="2"/>
          </rPr>
          <t>svetlana:</t>
        </r>
        <r>
          <rPr>
            <sz val="8"/>
            <color indexed="81"/>
            <rFont val="Tahoma"/>
            <family val="2"/>
          </rPr>
          <t xml:space="preserve">
Variety</t>
        </r>
      </text>
    </comment>
    <comment ref="J25" authorId="0">
      <text>
        <r>
          <rPr>
            <b/>
            <sz val="8"/>
            <color indexed="81"/>
            <rFont val="Tahoma"/>
            <family val="2"/>
          </rPr>
          <t>svetlana:</t>
        </r>
        <r>
          <rPr>
            <sz val="8"/>
            <color indexed="81"/>
            <rFont val="Tahoma"/>
            <family val="2"/>
          </rPr>
          <t xml:space="preserve">
Assumption</t>
        </r>
      </text>
    </comment>
    <comment ref="J26" authorId="0">
      <text>
        <r>
          <rPr>
            <b/>
            <sz val="8"/>
            <color indexed="81"/>
            <rFont val="Tahoma"/>
            <family val="2"/>
          </rPr>
          <t>svetlana:</t>
        </r>
        <r>
          <rPr>
            <sz val="8"/>
            <color indexed="81"/>
            <rFont val="Tahoma"/>
            <family val="2"/>
          </rPr>
          <t xml:space="preserve">
Assumption</t>
        </r>
      </text>
    </comment>
    <comment ref="J27" authorId="0">
      <text>
        <r>
          <rPr>
            <b/>
            <sz val="8"/>
            <color indexed="81"/>
            <rFont val="Tahoma"/>
            <family val="2"/>
          </rPr>
          <t>svetlana:</t>
        </r>
        <r>
          <rPr>
            <sz val="8"/>
            <color indexed="81"/>
            <rFont val="Tahoma"/>
            <family val="2"/>
          </rPr>
          <t xml:space="preserve">
Assumption</t>
        </r>
      </text>
    </comment>
    <comment ref="J28" authorId="0">
      <text>
        <r>
          <rPr>
            <b/>
            <sz val="8"/>
            <color indexed="81"/>
            <rFont val="Tahoma"/>
            <family val="2"/>
          </rPr>
          <t>svetlana:</t>
        </r>
        <r>
          <rPr>
            <sz val="8"/>
            <color indexed="81"/>
            <rFont val="Tahoma"/>
            <family val="2"/>
          </rPr>
          <t xml:space="preserve">
Variety</t>
        </r>
      </text>
    </comment>
    <comment ref="U28" authorId="1">
      <text>
        <r>
          <rPr>
            <b/>
            <sz val="8"/>
            <color indexed="81"/>
            <rFont val="Tahoma"/>
            <family val="2"/>
          </rPr>
          <t>krisbon:</t>
        </r>
        <r>
          <rPr>
            <sz val="8"/>
            <color indexed="81"/>
            <rFont val="Tahoma"/>
            <family val="2"/>
          </rPr>
          <t xml:space="preserve">
assuming 2nd cycle CSI deal in 2010</t>
        </r>
      </text>
    </comment>
    <comment ref="AO28" authorId="2">
      <text>
        <r>
          <rPr>
            <b/>
            <sz val="8"/>
            <color indexed="81"/>
            <rFont val="Tahoma"/>
            <family val="2"/>
          </rPr>
          <t>Kristi Bonner:</t>
        </r>
        <r>
          <rPr>
            <sz val="8"/>
            <color indexed="81"/>
            <rFont val="Tahoma"/>
            <family val="2"/>
          </rPr>
          <t xml:space="preserve">
17 episodes due to writer's strike</t>
        </r>
      </text>
    </comment>
    <comment ref="J29" authorId="0">
      <text>
        <r>
          <rPr>
            <b/>
            <sz val="8"/>
            <color indexed="81"/>
            <rFont val="Tahoma"/>
            <family val="2"/>
          </rPr>
          <t>svetlana:</t>
        </r>
        <r>
          <rPr>
            <sz val="8"/>
            <color indexed="81"/>
            <rFont val="Tahoma"/>
            <family val="2"/>
          </rPr>
          <t xml:space="preserve">
Assumption</t>
        </r>
      </text>
    </comment>
    <comment ref="J30" authorId="0">
      <text>
        <r>
          <rPr>
            <b/>
            <sz val="8"/>
            <color indexed="81"/>
            <rFont val="Tahoma"/>
            <family val="2"/>
          </rPr>
          <t>svetlana:</t>
        </r>
        <r>
          <rPr>
            <sz val="8"/>
            <color indexed="81"/>
            <rFont val="Tahoma"/>
            <family val="2"/>
          </rPr>
          <t xml:space="preserve">
Cash + Barter
The cash amount is assumed</t>
        </r>
      </text>
    </comment>
    <comment ref="AM30" authorId="1">
      <text>
        <r>
          <rPr>
            <b/>
            <sz val="8"/>
            <color indexed="81"/>
            <rFont val="Tahoma"/>
            <family val="2"/>
          </rPr>
          <t>krisbon:</t>
        </r>
        <r>
          <rPr>
            <sz val="8"/>
            <color indexed="81"/>
            <rFont val="Tahoma"/>
            <family val="2"/>
          </rPr>
          <t xml:space="preserve">
canceled.  final episode aired 2/11/08.</t>
        </r>
      </text>
    </comment>
    <comment ref="A31" authorId="3">
      <text>
        <r>
          <rPr>
            <b/>
            <sz val="8"/>
            <color indexed="81"/>
            <rFont val="Tahoma"/>
            <family val="2"/>
          </rPr>
          <t>benswin:</t>
        </r>
        <r>
          <rPr>
            <sz val="8"/>
            <color indexed="81"/>
            <rFont val="Tahoma"/>
            <family val="2"/>
          </rPr>
          <t xml:space="preserve">
CBS owns 50%</t>
        </r>
      </text>
    </comment>
    <comment ref="J31" authorId="4">
      <text>
        <r>
          <rPr>
            <b/>
            <sz val="8"/>
            <color indexed="81"/>
            <rFont val="Tahoma"/>
            <family val="2"/>
          </rPr>
          <t xml:space="preserve">Morgan Stanley </t>
        </r>
        <r>
          <rPr>
            <sz val="8"/>
            <color indexed="81"/>
            <rFont val="Tahoma"/>
            <family val="2"/>
          </rPr>
          <t xml:space="preserve">
changed from $1,350 - </t>
        </r>
      </text>
    </comment>
    <comment ref="W31" authorId="5">
      <text>
        <r>
          <rPr>
            <b/>
            <sz val="8"/>
            <color indexed="81"/>
            <rFont val="Tahoma"/>
            <family val="2"/>
          </rPr>
          <t>fiftrya:</t>
        </r>
        <r>
          <rPr>
            <sz val="8"/>
            <color indexed="81"/>
            <rFont val="Tahoma"/>
            <family val="2"/>
          </rPr>
          <t xml:space="preserve">
Gave up exclusivity, lower fee</t>
        </r>
      </text>
    </comment>
    <comment ref="AM31" authorId="2">
      <text>
        <r>
          <rPr>
            <b/>
            <sz val="8"/>
            <color indexed="81"/>
            <rFont val="Tahoma"/>
            <family val="2"/>
          </rPr>
          <t>Kristi Bonner:</t>
        </r>
        <r>
          <rPr>
            <sz val="8"/>
            <color indexed="81"/>
            <rFont val="Tahoma"/>
            <family val="2"/>
          </rPr>
          <t xml:space="preserve">
2007-2008 broadcast season had 21 episodes due to writers strike</t>
        </r>
      </text>
    </comment>
    <comment ref="A32" authorId="0">
      <text>
        <r>
          <rPr>
            <b/>
            <sz val="8"/>
            <color indexed="81"/>
            <rFont val="Tahoma"/>
            <family val="2"/>
          </rPr>
          <t>svetlana:</t>
        </r>
        <r>
          <rPr>
            <sz val="8"/>
            <color indexed="81"/>
            <rFont val="Tahoma"/>
            <family val="2"/>
          </rPr>
          <t xml:space="preserve">
Joint with WB, CBS owns less than 10%</t>
        </r>
      </text>
    </comment>
    <comment ref="J32" authorId="0">
      <text>
        <r>
          <rPr>
            <b/>
            <sz val="8"/>
            <color indexed="81"/>
            <rFont val="Tahoma"/>
            <family val="2"/>
          </rPr>
          <t>svetlana:</t>
        </r>
        <r>
          <rPr>
            <sz val="8"/>
            <color indexed="81"/>
            <rFont val="Tahoma"/>
            <family val="2"/>
          </rPr>
          <t xml:space="preserve">
Assumption</t>
        </r>
      </text>
    </comment>
    <comment ref="AM32" authorId="2">
      <text>
        <r>
          <rPr>
            <b/>
            <sz val="8"/>
            <color indexed="81"/>
            <rFont val="Tahoma"/>
            <family val="2"/>
          </rPr>
          <t>Kristi Bonner:</t>
        </r>
        <r>
          <rPr>
            <sz val="8"/>
            <color indexed="81"/>
            <rFont val="Tahoma"/>
            <family val="2"/>
          </rPr>
          <t xml:space="preserve">
19 episodes due to writer's strike</t>
        </r>
      </text>
    </comment>
    <comment ref="A33" authorId="0">
      <text>
        <r>
          <rPr>
            <b/>
            <sz val="8"/>
            <color indexed="81"/>
            <rFont val="Tahoma"/>
            <family val="2"/>
          </rPr>
          <t>svetlana:</t>
        </r>
        <r>
          <rPr>
            <sz val="8"/>
            <color indexed="81"/>
            <rFont val="Tahoma"/>
            <family val="2"/>
          </rPr>
          <t xml:space="preserve">
Joint with WB</t>
        </r>
      </text>
    </comment>
    <comment ref="J33" authorId="6">
      <text>
        <r>
          <rPr>
            <b/>
            <sz val="8"/>
            <color indexed="81"/>
            <rFont val="Tahoma"/>
            <family val="2"/>
          </rPr>
          <t>haberlec:</t>
        </r>
        <r>
          <rPr>
            <sz val="8"/>
            <color indexed="81"/>
            <rFont val="Tahoma"/>
            <family val="2"/>
          </rPr>
          <t xml:space="preserve">
per variety</t>
        </r>
      </text>
    </comment>
    <comment ref="W33" authorId="1">
      <text>
        <r>
          <rPr>
            <b/>
            <sz val="8"/>
            <color indexed="81"/>
            <rFont val="Tahoma"/>
            <family val="2"/>
          </rPr>
          <t>krisbon:</t>
        </r>
        <r>
          <rPr>
            <sz val="8"/>
            <color indexed="81"/>
            <rFont val="Tahoma"/>
            <family val="2"/>
          </rPr>
          <t xml:space="preserve">
2009/2010 was final season</t>
        </r>
      </text>
    </comment>
    <comment ref="A34" authorId="0">
      <text>
        <r>
          <rPr>
            <b/>
            <sz val="8"/>
            <color indexed="81"/>
            <rFont val="Tahoma"/>
            <family val="2"/>
          </rPr>
          <t>svetlana:</t>
        </r>
        <r>
          <rPr>
            <sz val="8"/>
            <color indexed="81"/>
            <rFont val="Tahoma"/>
            <family val="2"/>
          </rPr>
          <t xml:space="preserve">
Joint with WB</t>
        </r>
      </text>
    </comment>
    <comment ref="J34" authorId="0">
      <text>
        <r>
          <rPr>
            <b/>
            <sz val="8"/>
            <color indexed="81"/>
            <rFont val="Tahoma"/>
            <family val="2"/>
          </rPr>
          <t>svetlana:</t>
        </r>
        <r>
          <rPr>
            <sz val="8"/>
            <color indexed="81"/>
            <rFont val="Tahoma"/>
            <family val="2"/>
          </rPr>
          <t xml:space="preserve">
Assumption</t>
        </r>
      </text>
    </comment>
    <comment ref="AN34" authorId="1">
      <text>
        <r>
          <rPr>
            <b/>
            <sz val="8"/>
            <color indexed="81"/>
            <rFont val="Tahoma"/>
            <family val="2"/>
          </rPr>
          <t>krisbon:</t>
        </r>
        <r>
          <rPr>
            <sz val="8"/>
            <color indexed="81"/>
            <rFont val="Tahoma"/>
            <family val="2"/>
          </rPr>
          <t xml:space="preserve">
2008/2009 final season.  canceled</t>
        </r>
      </text>
    </comment>
    <comment ref="J35" authorId="6">
      <text>
        <r>
          <rPr>
            <b/>
            <sz val="8"/>
            <color indexed="81"/>
            <rFont val="Tahoma"/>
            <family val="2"/>
          </rPr>
          <t>haberlec:</t>
        </r>
        <r>
          <rPr>
            <sz val="8"/>
            <color indexed="81"/>
            <rFont val="Tahoma"/>
            <family val="2"/>
          </rPr>
          <t xml:space="preserve">
per variety</t>
        </r>
      </text>
    </comment>
    <comment ref="AL35" authorId="2">
      <text>
        <r>
          <rPr>
            <b/>
            <sz val="8"/>
            <color indexed="81"/>
            <rFont val="Tahoma"/>
            <family val="2"/>
          </rPr>
          <t>Kristi Bonner:</t>
        </r>
        <r>
          <rPr>
            <sz val="8"/>
            <color indexed="81"/>
            <rFont val="Tahoma"/>
            <family val="2"/>
          </rPr>
          <t xml:space="preserve">
18 episodes due to writer's strike</t>
        </r>
      </text>
    </comment>
    <comment ref="I36" authorId="2">
      <text>
        <r>
          <rPr>
            <b/>
            <sz val="8"/>
            <color indexed="81"/>
            <rFont val="Tahoma"/>
            <family val="2"/>
          </rPr>
          <t>Kristi Bonner:</t>
        </r>
        <r>
          <rPr>
            <sz val="8"/>
            <color indexed="81"/>
            <rFont val="Tahoma"/>
            <family val="2"/>
          </rPr>
          <t xml:space="preserve">
2007-2008 season had only 21 episodes due to the writers strike
</t>
        </r>
      </text>
    </comment>
    <comment ref="J36" authorId="6">
      <text>
        <r>
          <rPr>
            <b/>
            <sz val="8"/>
            <color indexed="81"/>
            <rFont val="Tahoma"/>
            <family val="2"/>
          </rPr>
          <t>haberlec:</t>
        </r>
        <r>
          <rPr>
            <sz val="8"/>
            <color indexed="81"/>
            <rFont val="Tahoma"/>
            <family val="2"/>
          </rPr>
          <t xml:space="preserve">
per variety</t>
        </r>
      </text>
    </comment>
    <comment ref="AM36" authorId="1">
      <text>
        <r>
          <rPr>
            <b/>
            <sz val="8"/>
            <color indexed="81"/>
            <rFont val="Tahoma"/>
            <family val="2"/>
          </rPr>
          <t>krisbon:</t>
        </r>
        <r>
          <rPr>
            <sz val="8"/>
            <color indexed="81"/>
            <rFont val="Tahoma"/>
            <family val="2"/>
          </rPr>
          <t xml:space="preserve">
25 episodes in 08/09 season</t>
        </r>
      </text>
    </comment>
    <comment ref="J37" authorId="6">
      <text>
        <r>
          <rPr>
            <b/>
            <sz val="8"/>
            <color indexed="81"/>
            <rFont val="Tahoma"/>
            <family val="2"/>
          </rPr>
          <t>haberlec:</t>
        </r>
        <r>
          <rPr>
            <sz val="8"/>
            <color indexed="81"/>
            <rFont val="Tahoma"/>
            <family val="2"/>
          </rPr>
          <t xml:space="preserve">
per hollywood reporter</t>
        </r>
      </text>
    </comment>
    <comment ref="I38" authorId="6">
      <text>
        <r>
          <rPr>
            <b/>
            <sz val="8"/>
            <color indexed="81"/>
            <rFont val="Tahoma"/>
            <family val="2"/>
          </rPr>
          <t>haberlec:</t>
        </r>
        <r>
          <rPr>
            <sz val="8"/>
            <color indexed="81"/>
            <rFont val="Tahoma"/>
            <family val="2"/>
          </rPr>
          <t xml:space="preserve">
estimated # of episodes to be sold when up for syndication
</t>
        </r>
      </text>
    </comment>
    <comment ref="J38" authorId="6">
      <text>
        <r>
          <rPr>
            <b/>
            <sz val="8"/>
            <color indexed="81"/>
            <rFont val="Tahoma"/>
            <family val="2"/>
          </rPr>
          <t>haberlec:</t>
        </r>
        <r>
          <rPr>
            <sz val="8"/>
            <color indexed="81"/>
            <rFont val="Tahoma"/>
            <family val="2"/>
          </rPr>
          <t xml:space="preserve">
estimate</t>
        </r>
      </text>
    </comment>
    <comment ref="W38" authorId="1">
      <text>
        <r>
          <rPr>
            <b/>
            <sz val="8"/>
            <color indexed="81"/>
            <rFont val="Tahoma"/>
            <family val="2"/>
          </rPr>
          <t>krisbon:</t>
        </r>
        <r>
          <rPr>
            <sz val="8"/>
            <color indexed="81"/>
            <rFont val="Tahoma"/>
            <family val="2"/>
          </rPr>
          <t xml:space="preserve">
2009/2010 was final season</t>
        </r>
      </text>
    </comment>
    <comment ref="I39" authorId="6">
      <text>
        <r>
          <rPr>
            <b/>
            <sz val="8"/>
            <color indexed="81"/>
            <rFont val="Tahoma"/>
            <family val="2"/>
          </rPr>
          <t>haberlec:</t>
        </r>
        <r>
          <rPr>
            <sz val="8"/>
            <color indexed="81"/>
            <rFont val="Tahoma"/>
            <family val="2"/>
          </rPr>
          <t xml:space="preserve">
estimated # of episodes to be sold when up for syndication
</t>
        </r>
      </text>
    </comment>
    <comment ref="J39" authorId="6">
      <text>
        <r>
          <rPr>
            <b/>
            <sz val="8"/>
            <color indexed="81"/>
            <rFont val="Tahoma"/>
            <family val="2"/>
          </rPr>
          <t>haberlec:</t>
        </r>
        <r>
          <rPr>
            <sz val="8"/>
            <color indexed="81"/>
            <rFont val="Tahoma"/>
            <family val="2"/>
          </rPr>
          <t xml:space="preserve">
actual</t>
        </r>
      </text>
    </comment>
    <comment ref="J40" authorId="6">
      <text>
        <r>
          <rPr>
            <b/>
            <sz val="8"/>
            <color indexed="81"/>
            <rFont val="Tahoma"/>
            <family val="2"/>
          </rPr>
          <t>haberlec:</t>
        </r>
        <r>
          <rPr>
            <sz val="8"/>
            <color indexed="81"/>
            <rFont val="Tahoma"/>
            <family val="2"/>
          </rPr>
          <t xml:space="preserve">
actual</t>
        </r>
      </text>
    </comment>
    <comment ref="W40" authorId="1">
      <text>
        <r>
          <rPr>
            <b/>
            <sz val="8"/>
            <color indexed="81"/>
            <rFont val="Tahoma"/>
            <family val="2"/>
          </rPr>
          <t>krisbon:</t>
        </r>
        <r>
          <rPr>
            <sz val="8"/>
            <color indexed="81"/>
            <rFont val="Tahoma"/>
            <family val="2"/>
          </rPr>
          <t xml:space="preserve">
2009/2010 was final season</t>
        </r>
      </text>
    </comment>
    <comment ref="J41" authorId="6">
      <text>
        <r>
          <rPr>
            <b/>
            <sz val="8"/>
            <color indexed="81"/>
            <rFont val="Tahoma"/>
            <family val="2"/>
          </rPr>
          <t>haberlec:</t>
        </r>
        <r>
          <rPr>
            <sz val="8"/>
            <color indexed="81"/>
            <rFont val="Tahoma"/>
            <family val="2"/>
          </rPr>
          <t xml:space="preserve">
From Broadcasting and Cable</t>
        </r>
      </text>
    </comment>
    <comment ref="D42" authorId="1">
      <text>
        <r>
          <rPr>
            <b/>
            <sz val="8"/>
            <color indexed="81"/>
            <rFont val="Tahoma"/>
            <family val="2"/>
          </rPr>
          <t>krisbon:</t>
        </r>
        <r>
          <rPr>
            <sz val="8"/>
            <color indexed="81"/>
            <rFont val="Tahoma"/>
            <family val="2"/>
          </rPr>
          <t xml:space="preserve">
in first season currently, will have 2 seasons by deal close</t>
        </r>
      </text>
    </comment>
    <comment ref="J45" authorId="7">
      <text>
        <r>
          <rPr>
            <b/>
            <sz val="9"/>
            <color indexed="81"/>
            <rFont val="Tahoma"/>
            <family val="2"/>
          </rPr>
          <t>Khadilkar, Hersh S (Research):</t>
        </r>
        <r>
          <rPr>
            <sz val="9"/>
            <color indexed="81"/>
            <rFont val="Tahoma"/>
            <family val="2"/>
          </rPr>
          <t xml:space="preserve">
Hallmark:  4 seasons in 1q14 @ ~$350K per, season 5 delivered 3Q14 @ $350k per
Stations:  5 seasons in 3Q14 @ ~$150k
Amazon: 3 seasons in 1Q13 @ ~$550k, season 4 delivered in 3Q13 @$550k, season 5 delivered 3Q14 @$550 k
Hulu: 4 seasons in 3Q13 @ ~$250k, season 5 delivered 3Q14 @ $250 k
</t>
        </r>
      </text>
    </comment>
    <comment ref="I46" authorId="7">
      <text>
        <r>
          <rPr>
            <b/>
            <sz val="9"/>
            <color indexed="81"/>
            <rFont val="Tahoma"/>
            <family val="2"/>
          </rPr>
          <t>Khadilkar, Hersh S (Research):</t>
        </r>
        <r>
          <rPr>
            <sz val="9"/>
            <color indexed="81"/>
            <rFont val="Tahoma"/>
            <family val="2"/>
          </rPr>
          <t xml:space="preserve">
delivered one season later</t>
        </r>
      </text>
    </comment>
    <comment ref="I47" authorId="7">
      <text>
        <r>
          <rPr>
            <b/>
            <sz val="9"/>
            <color indexed="81"/>
            <rFont val="Tahoma"/>
            <family val="2"/>
          </rPr>
          <t>Khadilkar, Hersh S (Research):</t>
        </r>
        <r>
          <rPr>
            <sz val="9"/>
            <color indexed="81"/>
            <rFont val="Tahoma"/>
            <family val="2"/>
          </rPr>
          <t xml:space="preserve">
assumes early syndication, 3 seasons in</t>
        </r>
      </text>
    </comment>
    <comment ref="I48" authorId="7">
      <text>
        <r>
          <rPr>
            <b/>
            <sz val="9"/>
            <color indexed="81"/>
            <rFont val="Tahoma"/>
            <family val="2"/>
          </rPr>
          <t>Khadilkar, Hersh S (Research):</t>
        </r>
        <r>
          <rPr>
            <sz val="9"/>
            <color indexed="81"/>
            <rFont val="Tahoma"/>
            <family val="2"/>
          </rPr>
          <t xml:space="preserve">
assumes early syndication, 3 seasons in</t>
        </r>
      </text>
    </comment>
    <comment ref="I49" authorId="7">
      <text>
        <r>
          <rPr>
            <b/>
            <sz val="9"/>
            <color indexed="81"/>
            <rFont val="Tahoma"/>
            <family val="2"/>
          </rPr>
          <t>Khadilkar, Hersh S (Research):</t>
        </r>
        <r>
          <rPr>
            <sz val="9"/>
            <color indexed="81"/>
            <rFont val="Tahoma"/>
            <family val="2"/>
          </rPr>
          <t xml:space="preserve">
earliest CBS could syndicate is 2016, would be only 3 seasons in</t>
        </r>
      </text>
    </comment>
    <comment ref="W51" authorId="8">
      <text>
        <r>
          <rPr>
            <b/>
            <sz val="8"/>
            <color indexed="81"/>
            <rFont val="Tahoma"/>
            <family val="2"/>
          </rPr>
          <t>Micah Nance:</t>
        </r>
        <r>
          <rPr>
            <sz val="8"/>
            <color indexed="81"/>
            <rFont val="Tahoma"/>
            <family val="2"/>
          </rPr>
          <t xml:space="preserve">
2nd cycle sale to AMC (non exclusive)</t>
        </r>
      </text>
    </comment>
    <comment ref="D52" authorId="9">
      <text>
        <r>
          <rPr>
            <b/>
            <sz val="9"/>
            <color indexed="81"/>
            <rFont val="Tahoma"/>
            <family val="2"/>
          </rPr>
          <t>Ripps, Maria (Research):</t>
        </r>
        <r>
          <rPr>
            <sz val="9"/>
            <color indexed="81"/>
            <rFont val="Tahoma"/>
            <family val="2"/>
          </rPr>
          <t xml:space="preserve">
05/28/15
3 seasons / 57 episodes</t>
        </r>
      </text>
    </comment>
    <comment ref="D53" authorId="9">
      <text>
        <r>
          <rPr>
            <b/>
            <sz val="9"/>
            <color indexed="81"/>
            <rFont val="Tahoma"/>
            <family val="2"/>
          </rPr>
          <t>Ripps, Maria (Research):</t>
        </r>
        <r>
          <rPr>
            <sz val="9"/>
            <color indexed="81"/>
            <rFont val="Tahoma"/>
            <family val="2"/>
          </rPr>
          <t xml:space="preserve">
05/28/15
6 seasons / 133 episodes</t>
        </r>
      </text>
    </comment>
    <comment ref="D54" authorId="9">
      <text>
        <r>
          <rPr>
            <b/>
            <sz val="9"/>
            <color indexed="81"/>
            <rFont val="Tahoma"/>
            <family val="2"/>
          </rPr>
          <t>Ripps, Maria (Research):</t>
        </r>
        <r>
          <rPr>
            <sz val="9"/>
            <color indexed="81"/>
            <rFont val="Tahoma"/>
            <family val="2"/>
          </rPr>
          <t xml:space="preserve">
assume 3 seasons by 2017</t>
        </r>
      </text>
    </comment>
    <comment ref="J54" authorId="9">
      <text>
        <r>
          <rPr>
            <b/>
            <sz val="9"/>
            <color indexed="81"/>
            <rFont val="Tahoma"/>
            <family val="2"/>
          </rPr>
          <t>Ripps, Maria (Research):</t>
        </r>
        <r>
          <rPr>
            <sz val="9"/>
            <color indexed="81"/>
            <rFont val="Tahoma"/>
            <family val="2"/>
          </rPr>
          <t xml:space="preserve">
lower price per episode / already sold to NFLX</t>
        </r>
      </text>
    </comment>
    <comment ref="D55" authorId="9">
      <text>
        <r>
          <rPr>
            <b/>
            <sz val="9"/>
            <color indexed="81"/>
            <rFont val="Tahoma"/>
            <family val="2"/>
          </rPr>
          <t>Ripps, Maria (Research):</t>
        </r>
        <r>
          <rPr>
            <sz val="9"/>
            <color indexed="81"/>
            <rFont val="Tahoma"/>
            <family val="2"/>
          </rPr>
          <t xml:space="preserve">
assume 4 seasons by 2018</t>
        </r>
      </text>
    </comment>
    <comment ref="D56" authorId="9">
      <text>
        <r>
          <rPr>
            <b/>
            <sz val="9"/>
            <color indexed="81"/>
            <rFont val="Tahoma"/>
            <family val="2"/>
          </rPr>
          <t>Ripps, Maria (Research):</t>
        </r>
        <r>
          <rPr>
            <sz val="9"/>
            <color indexed="81"/>
            <rFont val="Tahoma"/>
            <family val="2"/>
          </rPr>
          <t xml:space="preserve">
assume 3 seasons by 2017</t>
        </r>
      </text>
    </comment>
    <comment ref="D57" authorId="9">
      <text>
        <r>
          <rPr>
            <b/>
            <sz val="9"/>
            <color indexed="81"/>
            <rFont val="Tahoma"/>
            <family val="2"/>
          </rPr>
          <t>Ripps, Maria (Research):</t>
        </r>
        <r>
          <rPr>
            <sz val="9"/>
            <color indexed="81"/>
            <rFont val="Tahoma"/>
            <family val="2"/>
          </rPr>
          <t xml:space="preserve">
assume 4 seasons by 2018</t>
        </r>
      </text>
    </comment>
    <comment ref="X70" authorId="7">
      <text>
        <r>
          <rPr>
            <b/>
            <sz val="9"/>
            <color indexed="81"/>
            <rFont val="Tahoma"/>
            <family val="2"/>
          </rPr>
          <t>Khadilkar, Hersh S (Research):</t>
        </r>
        <r>
          <rPr>
            <sz val="9"/>
            <color indexed="81"/>
            <rFont val="Tahoma"/>
            <family val="2"/>
          </rPr>
          <t xml:space="preserve">
digital licensing deal with NFLX in 2Q13 (reported gross but CBS only records 50% of margins)
2 year deal
</t>
        </r>
      </text>
    </comment>
    <comment ref="AM70" authorId="7">
      <text>
        <r>
          <rPr>
            <b/>
            <sz val="9"/>
            <color indexed="81"/>
            <rFont val="Tahoma"/>
            <family val="2"/>
          </rPr>
          <t>Khadilkar, Hersh S (Research):</t>
        </r>
        <r>
          <rPr>
            <sz val="9"/>
            <color indexed="81"/>
            <rFont val="Tahoma"/>
            <family val="2"/>
          </rPr>
          <t xml:space="preserve">
assumes re-newed after 2 year deal expires at a discount to prior seasons</t>
        </r>
      </text>
    </comment>
    <comment ref="X73" authorId="9">
      <text>
        <r>
          <rPr>
            <b/>
            <sz val="9"/>
            <color indexed="81"/>
            <rFont val="Tahoma"/>
            <family val="2"/>
          </rPr>
          <t>Ripps, Maria (Research):</t>
        </r>
        <r>
          <rPr>
            <sz val="9"/>
            <color indexed="81"/>
            <rFont val="Tahoma"/>
            <family val="2"/>
          </rPr>
          <t xml:space="preserve">
• 02/11/13 CBS-AMZN content licensing deal for exclusive, in-season rights for Under the Dome
• S1 aired 06/24/13 - 09/16/13 (13 episodes)
• Dec'14 Les Moonves "AMZN was paying $700K / episode for the rights to stream last year’s first season of Under the Dome”</t>
        </r>
      </text>
    </comment>
    <comment ref="Y73" authorId="9">
      <text>
        <r>
          <rPr>
            <b/>
            <sz val="9"/>
            <color indexed="81"/>
            <rFont val="Tahoma"/>
            <family val="2"/>
          </rPr>
          <t>Ripps, Maria (Research):</t>
        </r>
        <r>
          <rPr>
            <sz val="9"/>
            <color indexed="81"/>
            <rFont val="Tahoma"/>
            <family val="2"/>
          </rPr>
          <t xml:space="preserve">
• 01/08/14 CBS-AMZN content licensing deal for exclusive, in-season (available 4 days after broadcast) rights for "Extant"
• S1 aired 07/09/14 - 09/17/14 (13 episodes)
• S2 aired 07/01/15 - 09/09/15 (13 episodes)
• Extant was canceled on 10/09/15</t>
        </r>
      </text>
    </comment>
    <comment ref="Z73" authorId="9">
      <text>
        <r>
          <rPr>
            <b/>
            <sz val="9"/>
            <color indexed="81"/>
            <rFont val="Tahoma"/>
            <family val="2"/>
          </rPr>
          <t>Ripps, Maria (Research):</t>
        </r>
        <r>
          <rPr>
            <sz val="9"/>
            <color indexed="81"/>
            <rFont val="Tahoma"/>
            <family val="2"/>
          </rPr>
          <t xml:space="preserve">
10/01/15 Extended agreement for Under the Dome, and Extant; added Braindead; the deal is through 2018 </t>
        </r>
      </text>
    </comment>
    <comment ref="X74" authorId="9">
      <text>
        <r>
          <rPr>
            <b/>
            <sz val="9"/>
            <color indexed="81"/>
            <rFont val="Tahoma"/>
            <family val="2"/>
          </rPr>
          <t>Ripps, Maria (Research):</t>
        </r>
        <r>
          <rPr>
            <sz val="9"/>
            <color indexed="81"/>
            <rFont val="Tahoma"/>
            <family val="2"/>
          </rPr>
          <t xml:space="preserve">
MSe: NFLX int'l $100M in '13</t>
        </r>
      </text>
    </comment>
    <comment ref="Z77" authorId="9">
      <text>
        <r>
          <rPr>
            <b/>
            <sz val="9"/>
            <color indexed="81"/>
            <rFont val="Tahoma"/>
            <family val="2"/>
          </rPr>
          <t>Ripps, Maria (Research):</t>
        </r>
        <r>
          <rPr>
            <sz val="9"/>
            <color indexed="81"/>
            <rFont val="Tahoma"/>
            <family val="2"/>
          </rPr>
          <t xml:space="preserve">
15 seasons / 333 episodes; 
assume $200K / episode
</t>
        </r>
      </text>
    </comment>
    <comment ref="Z78" authorId="9">
      <text>
        <r>
          <rPr>
            <b/>
            <sz val="9"/>
            <color indexed="81"/>
            <rFont val="Tahoma"/>
            <family val="2"/>
          </rPr>
          <t>Ripps, Maria (Research):</t>
        </r>
        <r>
          <rPr>
            <sz val="9"/>
            <color indexed="81"/>
            <rFont val="Tahoma"/>
            <family val="2"/>
          </rPr>
          <t xml:space="preserve">
12 seasons / 282 episodes;  assume $200K / episode</t>
        </r>
      </text>
    </comment>
    <comment ref="Z79" authorId="9">
      <text>
        <r>
          <rPr>
            <b/>
            <sz val="9"/>
            <color indexed="81"/>
            <rFont val="Tahoma"/>
            <family val="2"/>
          </rPr>
          <t>Ripps, Maria (Research):</t>
        </r>
        <r>
          <rPr>
            <sz val="9"/>
            <color indexed="81"/>
            <rFont val="Tahoma"/>
            <family val="2"/>
          </rPr>
          <t xml:space="preserve">
09/28/15 On Monday, Oct. 12, season one of JANE THE VIRGIN will launch in the U.S., the same day season two premieres on The CW Network
JANE THE VIRGIN will be available later in 2015 or 2016 in all countries Netflix operates, except Canada
MSe: 2015 is US only</t>
        </r>
      </text>
    </comment>
    <comment ref="AA79" authorId="9">
      <text>
        <r>
          <rPr>
            <b/>
            <sz val="9"/>
            <color indexed="81"/>
            <rFont val="Tahoma"/>
            <family val="2"/>
          </rPr>
          <t>Ripps, Maria (Research):</t>
        </r>
        <r>
          <rPr>
            <sz val="9"/>
            <color indexed="81"/>
            <rFont val="Tahoma"/>
            <family val="2"/>
          </rPr>
          <t xml:space="preserve">
MSe: $1M / episode - global rights</t>
        </r>
      </text>
    </comment>
    <comment ref="Z80" authorId="9">
      <text>
        <r>
          <rPr>
            <b/>
            <sz val="9"/>
            <color indexed="81"/>
            <rFont val="Tahoma"/>
            <family val="2"/>
          </rPr>
          <t>Ripps, Maria (Research):</t>
        </r>
        <r>
          <rPr>
            <sz val="9"/>
            <color indexed="81"/>
            <rFont val="Tahoma"/>
            <family val="2"/>
          </rPr>
          <t xml:space="preserve">
09/28/15 The first season of ZOO is now available on Netflix in the U.S., and in the coming months will be available in all Netflix territories
S-1, 13 episodes, MSe $1M/episode, global rights
MSe: 2015 is US only</t>
        </r>
      </text>
    </comment>
    <comment ref="AA80" authorId="9">
      <text>
        <r>
          <rPr>
            <b/>
            <sz val="9"/>
            <color indexed="81"/>
            <rFont val="Tahoma"/>
            <family val="2"/>
          </rPr>
          <t>Ripps, Maria (Research):</t>
        </r>
        <r>
          <rPr>
            <sz val="9"/>
            <color indexed="81"/>
            <rFont val="Tahoma"/>
            <family val="2"/>
          </rPr>
          <t xml:space="preserve">
09/28/15 The first season of ZOO is now available on Netflix in the U.S., and in the coming months will be available in all Netflix territories</t>
        </r>
      </text>
    </comment>
    <comment ref="X81" authorId="9">
      <text>
        <r>
          <rPr>
            <b/>
            <sz val="9"/>
            <color indexed="81"/>
            <rFont val="Tahoma"/>
            <family val="2"/>
          </rPr>
          <t>Ripps, Maria (Research):</t>
        </r>
        <r>
          <rPr>
            <sz val="9"/>
            <color indexed="81"/>
            <rFont val="Tahoma"/>
            <family val="2"/>
          </rPr>
          <t xml:space="preserve">
MSe: NFLX total domestic $300M in '13</t>
        </r>
      </text>
    </comment>
    <comment ref="AA81" authorId="9">
      <text>
        <r>
          <rPr>
            <b/>
            <sz val="9"/>
            <color indexed="81"/>
            <rFont val="Tahoma"/>
            <family val="2"/>
          </rPr>
          <t>Ripps, Maria (Research):</t>
        </r>
        <r>
          <rPr>
            <sz val="9"/>
            <color indexed="81"/>
            <rFont val="Tahoma"/>
            <family val="2"/>
          </rPr>
          <t xml:space="preserve">
part of CBS/Showtime deal, MSe ~$10M
</t>
        </r>
      </text>
    </comment>
    <comment ref="AA82" authorId="9">
      <text>
        <r>
          <rPr>
            <b/>
            <sz val="9"/>
            <color indexed="81"/>
            <rFont val="Tahoma"/>
            <family val="2"/>
          </rPr>
          <t>Ripps, Maria (Research):</t>
        </r>
        <r>
          <rPr>
            <sz val="9"/>
            <color indexed="81"/>
            <rFont val="Tahoma"/>
            <family val="2"/>
          </rPr>
          <t xml:space="preserve">
MSe: $300-$500M/episode</t>
        </r>
      </text>
    </comment>
    <comment ref="AA83" authorId="9">
      <text>
        <r>
          <rPr>
            <b/>
            <sz val="9"/>
            <color indexed="81"/>
            <rFont val="Tahoma"/>
            <family val="2"/>
          </rPr>
          <t>Ripps, Maria (Research):</t>
        </r>
        <r>
          <rPr>
            <sz val="9"/>
            <color indexed="81"/>
            <rFont val="Tahoma"/>
            <family val="2"/>
          </rPr>
          <t xml:space="preserve">
New episodes + 727 existing episodes
https://media.netflix.com/en/press-releases/netflix-to-beam-new-cbs-star-trek-television-series-in-188-countries-around-the-world
</t>
        </r>
      </text>
    </comment>
    <comment ref="AB83" authorId="9">
      <text>
        <r>
          <rPr>
            <b/>
            <sz val="9"/>
            <color indexed="81"/>
            <rFont val="Tahoma"/>
            <family val="2"/>
          </rPr>
          <t>Ripps, Maria (Research):</t>
        </r>
        <r>
          <rPr>
            <sz val="9"/>
            <color indexed="81"/>
            <rFont val="Tahoma"/>
            <family val="2"/>
          </rPr>
          <t xml:space="preserve">
Star Trek to NFLX Int'l
S1: 15 episodes, $5M/episode
S1: 8 episodes in FY17, 
7 in FY18</t>
        </r>
      </text>
    </comment>
    <comment ref="A89" authorId="0">
      <text>
        <r>
          <rPr>
            <b/>
            <sz val="8"/>
            <color indexed="81"/>
            <rFont val="Tahoma"/>
            <family val="2"/>
          </rPr>
          <t>svetlana:</t>
        </r>
        <r>
          <rPr>
            <sz val="8"/>
            <color indexed="81"/>
            <rFont val="Tahoma"/>
            <family val="2"/>
          </rPr>
          <t xml:space="preserve">
Joint with WB
</t>
        </r>
      </text>
    </comment>
    <comment ref="J89" authorId="0">
      <text>
        <r>
          <rPr>
            <b/>
            <sz val="8"/>
            <color indexed="81"/>
            <rFont val="Tahoma"/>
            <family val="2"/>
          </rPr>
          <t>svetlana:</t>
        </r>
        <r>
          <rPr>
            <sz val="8"/>
            <color indexed="81"/>
            <rFont val="Tahoma"/>
            <family val="2"/>
          </rPr>
          <t xml:space="preserve">
Variety: "$3.5m per episode in the first cycle of syndication", price in 2nd cycle was higher
2.5mm according to Kagan
</t>
        </r>
      </text>
    </comment>
    <comment ref="J90" authorId="0">
      <text>
        <r>
          <rPr>
            <b/>
            <sz val="8"/>
            <color indexed="81"/>
            <rFont val="Tahoma"/>
            <family val="2"/>
          </rPr>
          <t>svetlana:</t>
        </r>
        <r>
          <rPr>
            <sz val="8"/>
            <color indexed="81"/>
            <rFont val="Tahoma"/>
            <family val="2"/>
          </rPr>
          <t xml:space="preserve">
Assumption</t>
        </r>
      </text>
    </comment>
    <comment ref="I91" authorId="6">
      <text>
        <r>
          <rPr>
            <b/>
            <sz val="8"/>
            <color indexed="81"/>
            <rFont val="Tahoma"/>
            <family val="2"/>
          </rPr>
          <t>haberlec:</t>
        </r>
        <r>
          <rPr>
            <sz val="8"/>
            <color indexed="81"/>
            <rFont val="Tahoma"/>
            <family val="2"/>
          </rPr>
          <t xml:space="preserve">
estimated # of episodes to be sold when up for syndication
</t>
        </r>
      </text>
    </comment>
    <comment ref="J91" authorId="6">
      <text>
        <r>
          <rPr>
            <b/>
            <sz val="8"/>
            <color indexed="81"/>
            <rFont val="Tahoma"/>
            <family val="2"/>
          </rPr>
          <t>haberlec:</t>
        </r>
        <r>
          <rPr>
            <sz val="8"/>
            <color indexed="81"/>
            <rFont val="Tahoma"/>
            <family val="2"/>
          </rPr>
          <t xml:space="preserve">
Deal includes 2 minutes of national barter for the first three years of the four year deal</t>
        </r>
      </text>
    </comment>
    <comment ref="AP104" authorId="5">
      <text>
        <r>
          <rPr>
            <b/>
            <sz val="8"/>
            <color indexed="81"/>
            <rFont val="Tahoma"/>
            <family val="2"/>
          </rPr>
          <t>fiftrya:</t>
        </r>
        <r>
          <rPr>
            <sz val="8"/>
            <color indexed="81"/>
            <rFont val="Tahoma"/>
            <family val="2"/>
          </rPr>
          <t xml:space="preserve">
March 14</t>
        </r>
      </text>
    </comment>
    <comment ref="AR104" authorId="5">
      <text>
        <r>
          <rPr>
            <b/>
            <sz val="8"/>
            <color indexed="81"/>
            <rFont val="Tahoma"/>
            <family val="2"/>
          </rPr>
          <t>fiftrya:</t>
        </r>
        <r>
          <rPr>
            <sz val="8"/>
            <color indexed="81"/>
            <rFont val="Tahoma"/>
            <family val="2"/>
          </rPr>
          <t xml:space="preserve">
"Later this year", timing unknown</t>
        </r>
      </text>
    </comment>
    <comment ref="AR105" authorId="5">
      <text>
        <r>
          <rPr>
            <b/>
            <sz val="8"/>
            <color indexed="81"/>
            <rFont val="Tahoma"/>
            <family val="2"/>
          </rPr>
          <t>fiftrya:</t>
        </r>
        <r>
          <rPr>
            <sz val="8"/>
            <color indexed="81"/>
            <rFont val="Tahoma"/>
            <family val="2"/>
          </rPr>
          <t xml:space="preserve">
September 2013</t>
        </r>
      </text>
    </comment>
    <comment ref="AR106" authorId="7">
      <text>
        <r>
          <rPr>
            <b/>
            <sz val="9"/>
            <color indexed="81"/>
            <rFont val="Tahoma"/>
            <family val="2"/>
          </rPr>
          <t>Khadilkar, Hersh S (Research):</t>
        </r>
        <r>
          <rPr>
            <sz val="9"/>
            <color indexed="81"/>
            <rFont val="Tahoma"/>
            <family val="2"/>
          </rPr>
          <t xml:space="preserve">
Hallmark 4 seasons in 3Q</t>
        </r>
      </text>
    </comment>
    <comment ref="AU107" authorId="5">
      <text>
        <r>
          <rPr>
            <b/>
            <sz val="8"/>
            <color indexed="81"/>
            <rFont val="Tahoma"/>
            <family val="2"/>
          </rPr>
          <t>fiftrya:</t>
        </r>
        <r>
          <rPr>
            <sz val="8"/>
            <color indexed="81"/>
            <rFont val="Tahoma"/>
            <family val="2"/>
          </rPr>
          <t xml:space="preserve">
Stations get 4 seasons beginning in 1Q14, 5th season in 3Q14</t>
        </r>
      </text>
    </comment>
  </commentList>
</comments>
</file>

<file path=xl/comments17.xml><?xml version="1.0" encoding="utf-8"?>
<comments xmlns="http://schemas.openxmlformats.org/spreadsheetml/2006/main">
  <authors>
    <author>Ripps, Maria (Research)</author>
  </authors>
  <commentList>
    <comment ref="V7" authorId="0">
      <text>
        <r>
          <rPr>
            <b/>
            <sz val="9"/>
            <color indexed="81"/>
            <rFont val="Tahoma"/>
            <family val="2"/>
          </rPr>
          <t>Ripps, Maria (Research):</t>
        </r>
        <r>
          <rPr>
            <sz val="9"/>
            <color indexed="81"/>
            <rFont val="Tahoma"/>
            <family val="2"/>
          </rPr>
          <t xml:space="preserve">
more difficult comp</t>
        </r>
      </text>
    </comment>
  </commentList>
</comments>
</file>

<file path=xl/comments18.xml><?xml version="1.0" encoding="utf-8"?>
<comments xmlns="http://schemas.openxmlformats.org/spreadsheetml/2006/main">
  <authors>
    <author>hershk</author>
    <author>Kristi Bonner</author>
    <author>Ripps, Maria (Research)</author>
    <author>A satisfied Microsoft Office user</author>
    <author>Chad Harris</author>
    <author>farrantj</author>
    <author>fiftrya</author>
    <author>babka</author>
    <author>Khadilkar, Hersh S (Research)</author>
  </authors>
  <commentList>
    <comment ref="Z7" authorId="0">
      <text>
        <r>
          <rPr>
            <b/>
            <sz val="8"/>
            <color indexed="81"/>
            <rFont val="Tahoma"/>
            <family val="2"/>
          </rPr>
          <t>hershk:</t>
        </r>
        <r>
          <rPr>
            <sz val="8"/>
            <color indexed="81"/>
            <rFont val="Tahoma"/>
            <family val="2"/>
          </rPr>
          <t xml:space="preserve">
TWC blackout from August 2 to Sept 2 in 2013 helps YoY compare</t>
        </r>
      </text>
    </comment>
    <comment ref="U8" authorId="1">
      <text>
        <r>
          <rPr>
            <b/>
            <sz val="8"/>
            <color indexed="81"/>
            <rFont val="Tahoma"/>
            <family val="2"/>
          </rPr>
          <t>Kristi Bonner:</t>
        </r>
        <r>
          <rPr>
            <sz val="8"/>
            <color indexed="81"/>
            <rFont val="Tahoma"/>
            <family val="2"/>
          </rPr>
          <t xml:space="preserve">
44m subs at O&amp;O stations per Moonves comments at conference</t>
        </r>
      </text>
    </comment>
    <comment ref="AA8" authorId="2">
      <text>
        <r>
          <rPr>
            <b/>
            <sz val="9"/>
            <color indexed="81"/>
            <rFont val="Tahoma"/>
            <family val="2"/>
          </rPr>
          <t>Ripps, Maria (Research):</t>
        </r>
        <r>
          <rPr>
            <sz val="9"/>
            <color indexed="81"/>
            <rFont val="Tahoma"/>
            <family val="2"/>
          </rPr>
          <t xml:space="preserve">
re-stated to include 100% retrans</t>
        </r>
      </text>
    </comment>
    <comment ref="B9" authorId="3">
      <text>
        <r>
          <rPr>
            <sz val="8"/>
            <color indexed="81"/>
            <rFont val="Tahoma"/>
            <family val="2"/>
          </rPr>
          <t xml:space="preserve">melletc:
TV Dimensions 2000
</t>
        </r>
      </text>
    </comment>
    <comment ref="C9" authorId="3">
      <text>
        <r>
          <rPr>
            <sz val="8"/>
            <color indexed="81"/>
            <rFont val="Tahoma"/>
            <family val="2"/>
          </rPr>
          <t xml:space="preserve">melletc:
TV Dimensions 2000
</t>
        </r>
      </text>
    </comment>
    <comment ref="D9" authorId="3">
      <text>
        <r>
          <rPr>
            <sz val="8"/>
            <color indexed="81"/>
            <rFont val="Tahoma"/>
            <family val="2"/>
          </rPr>
          <t xml:space="preserve">melletc:
TV Dimensions 2000
</t>
        </r>
      </text>
    </comment>
    <comment ref="E9" authorId="3">
      <text>
        <r>
          <rPr>
            <sz val="8"/>
            <color indexed="81"/>
            <rFont val="Tahoma"/>
            <family val="2"/>
          </rPr>
          <t xml:space="preserve">melletc:
TV Dimensions 2000
</t>
        </r>
      </text>
    </comment>
    <comment ref="F9" authorId="3">
      <text>
        <r>
          <rPr>
            <sz val="8"/>
            <color indexed="81"/>
            <rFont val="Tahoma"/>
            <family val="2"/>
          </rPr>
          <t xml:space="preserve">melletc:
TV Dimensions 2000
</t>
        </r>
      </text>
    </comment>
    <comment ref="G9" authorId="3">
      <text>
        <r>
          <rPr>
            <sz val="8"/>
            <color indexed="81"/>
            <rFont val="Tahoma"/>
            <family val="2"/>
          </rPr>
          <t xml:space="preserve">melletc:
TV Dimensions 2000
</t>
        </r>
      </text>
    </comment>
    <comment ref="H9" authorId="3">
      <text>
        <r>
          <rPr>
            <sz val="8"/>
            <color indexed="81"/>
            <rFont val="Tahoma"/>
            <family val="2"/>
          </rPr>
          <t xml:space="preserve">melletc:
TV Dimensions 2000
</t>
        </r>
      </text>
    </comment>
    <comment ref="I9" authorId="3">
      <text>
        <r>
          <rPr>
            <sz val="8"/>
            <color indexed="81"/>
            <rFont val="Tahoma"/>
            <family val="2"/>
          </rPr>
          <t xml:space="preserve">melletc:
TV Dimensions 2000
</t>
        </r>
      </text>
    </comment>
    <comment ref="J9" authorId="3">
      <text>
        <r>
          <rPr>
            <sz val="8"/>
            <color indexed="81"/>
            <rFont val="Tahoma"/>
            <family val="2"/>
          </rPr>
          <t xml:space="preserve">melletc:
TV Dimensions 2000
</t>
        </r>
      </text>
    </comment>
    <comment ref="K9" authorId="3">
      <text>
        <r>
          <rPr>
            <sz val="8"/>
            <color indexed="81"/>
            <rFont val="Tahoma"/>
            <family val="2"/>
          </rPr>
          <t xml:space="preserve">melletc:
Broadcasting and Cable, 3/6/00
</t>
        </r>
      </text>
    </comment>
    <comment ref="J16" authorId="3">
      <text>
        <r>
          <rPr>
            <sz val="8"/>
            <color indexed="81"/>
            <rFont val="Tahoma"/>
            <family val="2"/>
          </rPr>
          <t xml:space="preserve">melletc:
TV Dimensions 2000
</t>
        </r>
      </text>
    </comment>
    <comment ref="K16" authorId="3">
      <text>
        <r>
          <rPr>
            <sz val="8"/>
            <color indexed="81"/>
            <rFont val="Tahoma"/>
            <family val="2"/>
          </rPr>
          <t xml:space="preserve">melletc:
Broadcasting and Cable, 3/6/00
</t>
        </r>
      </text>
    </comment>
    <comment ref="B23" authorId="3">
      <text>
        <r>
          <rPr>
            <sz val="8"/>
            <color indexed="81"/>
            <rFont val="Tahoma"/>
            <family val="2"/>
          </rPr>
          <t xml:space="preserve">melletc:
TV Dimensions 2000
</t>
        </r>
      </text>
    </comment>
    <comment ref="C23" authorId="3">
      <text>
        <r>
          <rPr>
            <sz val="8"/>
            <color indexed="81"/>
            <rFont val="Tahoma"/>
            <family val="2"/>
          </rPr>
          <t xml:space="preserve">melletc:
TV Dimensions 2000
</t>
        </r>
      </text>
    </comment>
    <comment ref="D23" authorId="3">
      <text>
        <r>
          <rPr>
            <sz val="8"/>
            <color indexed="81"/>
            <rFont val="Tahoma"/>
            <family val="2"/>
          </rPr>
          <t xml:space="preserve">melletc:
TV Dimensions 2000
</t>
        </r>
      </text>
    </comment>
    <comment ref="E23" authorId="3">
      <text>
        <r>
          <rPr>
            <sz val="8"/>
            <color indexed="81"/>
            <rFont val="Tahoma"/>
            <family val="2"/>
          </rPr>
          <t xml:space="preserve">melletc:
TV Dimensions 2000
</t>
        </r>
      </text>
    </comment>
    <comment ref="F23" authorId="3">
      <text>
        <r>
          <rPr>
            <sz val="8"/>
            <color indexed="81"/>
            <rFont val="Tahoma"/>
            <family val="2"/>
          </rPr>
          <t xml:space="preserve">melletc:
TV Dimensions 2000
</t>
        </r>
      </text>
    </comment>
    <comment ref="G23" authorId="3">
      <text>
        <r>
          <rPr>
            <sz val="8"/>
            <color indexed="81"/>
            <rFont val="Tahoma"/>
            <family val="2"/>
          </rPr>
          <t xml:space="preserve">melletc:
TV Dimensions 2000
</t>
        </r>
      </text>
    </comment>
    <comment ref="H23" authorId="3">
      <text>
        <r>
          <rPr>
            <sz val="8"/>
            <color indexed="81"/>
            <rFont val="Tahoma"/>
            <family val="2"/>
          </rPr>
          <t xml:space="preserve">melletc:
TV Dimensions 2000
</t>
        </r>
      </text>
    </comment>
    <comment ref="I23" authorId="3">
      <text>
        <r>
          <rPr>
            <sz val="8"/>
            <color indexed="81"/>
            <rFont val="Tahoma"/>
            <family val="2"/>
          </rPr>
          <t xml:space="preserve">melletc:
TV Dimensions 2000
</t>
        </r>
      </text>
    </comment>
    <comment ref="S59" authorId="4">
      <text>
        <r>
          <rPr>
            <b/>
            <sz val="8"/>
            <color indexed="81"/>
            <rFont val="Tahoma"/>
            <family val="2"/>
          </rPr>
          <t>Chad Harris:</t>
        </r>
        <r>
          <rPr>
            <sz val="8"/>
            <color indexed="81"/>
            <rFont val="Tahoma"/>
            <family val="2"/>
          </rPr>
          <t xml:space="preserve">
Less $75 mm for station sales ($70- $80 mm in revs, $15-20 mm in OCF), assume 60% allocated to CBS stations and 40% to CW</t>
        </r>
      </text>
    </comment>
    <comment ref="Z59" authorId="0">
      <text>
        <r>
          <rPr>
            <b/>
            <sz val="8"/>
            <color indexed="81"/>
            <rFont val="Tahoma"/>
            <family val="2"/>
          </rPr>
          <t>hershk:</t>
        </r>
        <r>
          <rPr>
            <sz val="8"/>
            <color indexed="81"/>
            <rFont val="Tahoma"/>
            <family val="2"/>
          </rPr>
          <t xml:space="preserve">
TWC blackout from August 2 to Sept 2 in 2013 helps YoY compare
15% of NFL Thursday night revs ($300mm)</t>
        </r>
      </text>
    </comment>
    <comment ref="AA59" authorId="0">
      <text>
        <r>
          <rPr>
            <b/>
            <sz val="8"/>
            <color indexed="81"/>
            <rFont val="Tahoma"/>
            <family val="2"/>
          </rPr>
          <t>hershk:</t>
        </r>
        <r>
          <rPr>
            <sz val="8"/>
            <color indexed="81"/>
            <rFont val="Tahoma"/>
            <family val="2"/>
          </rPr>
          <t xml:space="preserve">
backs out 2014 political  benefit at 70% incremental</t>
        </r>
      </text>
    </comment>
    <comment ref="S61" authorId="5">
      <text>
        <r>
          <rPr>
            <b/>
            <sz val="8"/>
            <color indexed="81"/>
            <rFont val="Tahoma"/>
            <family val="2"/>
          </rPr>
          <t>farrantj:</t>
        </r>
        <r>
          <rPr>
            <sz val="8"/>
            <color indexed="81"/>
            <rFont val="Tahoma"/>
            <family val="2"/>
          </rPr>
          <t xml:space="preserve">
assumes about $80m comes out as incremental political</t>
        </r>
      </text>
    </comment>
    <comment ref="Y68" authorId="2">
      <text>
        <r>
          <rPr>
            <b/>
            <sz val="9"/>
            <color indexed="81"/>
            <rFont val="Tahoma"/>
            <family val="2"/>
          </rPr>
          <t>Ripps, Maria (Research):</t>
        </r>
        <r>
          <rPr>
            <sz val="9"/>
            <color indexed="81"/>
            <rFont val="Tahoma"/>
            <family val="2"/>
          </rPr>
          <t xml:space="preserve">
$25M Net</t>
        </r>
      </text>
    </comment>
    <comment ref="X73" authorId="6">
      <text>
        <r>
          <rPr>
            <b/>
            <sz val="8"/>
            <color indexed="81"/>
            <rFont val="Tahoma"/>
            <family val="2"/>
          </rPr>
          <t>fiftrya:</t>
        </r>
        <r>
          <rPr>
            <sz val="8"/>
            <color indexed="81"/>
            <rFont val="Tahoma"/>
            <family val="2"/>
          </rPr>
          <t xml:space="preserve">
Reduction in licensed content costs</t>
        </r>
      </text>
    </comment>
    <comment ref="AB73" authorId="2">
      <text>
        <r>
          <rPr>
            <b/>
            <sz val="9"/>
            <color indexed="81"/>
            <rFont val="Tahoma"/>
            <family val="2"/>
          </rPr>
          <t>Ripps, Maria (Research):</t>
        </r>
        <r>
          <rPr>
            <sz val="9"/>
            <color indexed="81"/>
            <rFont val="Tahoma"/>
            <family val="2"/>
          </rPr>
          <t xml:space="preserve">
Superbowl
</t>
        </r>
      </text>
    </comment>
    <comment ref="AC73" authorId="2">
      <text>
        <r>
          <rPr>
            <b/>
            <sz val="9"/>
            <color indexed="81"/>
            <rFont val="Tahoma"/>
            <family val="2"/>
          </rPr>
          <t>Ripps, Maria (Research):</t>
        </r>
        <r>
          <rPr>
            <sz val="9"/>
            <color indexed="81"/>
            <rFont val="Tahoma"/>
            <family val="2"/>
          </rPr>
          <t xml:space="preserve">
Comping SuperBowl</t>
        </r>
      </text>
    </comment>
    <comment ref="O78" authorId="7">
      <text>
        <r>
          <rPr>
            <b/>
            <sz val="8"/>
            <color indexed="81"/>
            <rFont val="Tahoma"/>
            <family val="2"/>
          </rPr>
          <t>babka:</t>
        </r>
        <r>
          <rPr>
            <sz val="8"/>
            <color indexed="81"/>
            <rFont val="Tahoma"/>
            <family val="2"/>
          </rPr>
          <t xml:space="preserve">
Insurance settlement of $27mm in 3Q03</t>
        </r>
      </text>
    </comment>
    <comment ref="AA78" authorId="8">
      <text>
        <r>
          <rPr>
            <b/>
            <sz val="9"/>
            <color indexed="81"/>
            <rFont val="Tahoma"/>
            <family val="2"/>
          </rPr>
          <t>Khadilkar, Hersh S (Research):</t>
        </r>
        <r>
          <rPr>
            <sz val="9"/>
            <color indexed="81"/>
            <rFont val="Tahoma"/>
            <family val="2"/>
          </rPr>
          <t xml:space="preserve">
backs out 3Q impairment charge taken</t>
        </r>
      </text>
    </comment>
    <comment ref="AB92" authorId="2">
      <text>
        <r>
          <rPr>
            <b/>
            <sz val="9"/>
            <color indexed="81"/>
            <rFont val="Tahoma"/>
            <family val="2"/>
          </rPr>
          <t>Ripps, Maria (Research):</t>
        </r>
        <r>
          <rPr>
            <sz val="9"/>
            <color indexed="81"/>
            <rFont val="Tahoma"/>
            <family val="2"/>
          </rPr>
          <t xml:space="preserve">
AFC extra game =&gt; even years</t>
        </r>
      </text>
    </comment>
    <comment ref="AC92" authorId="2">
      <text>
        <r>
          <rPr>
            <b/>
            <sz val="9"/>
            <color indexed="81"/>
            <rFont val="Tahoma"/>
            <family val="2"/>
          </rPr>
          <t>Ripps, Maria (Research):</t>
        </r>
        <r>
          <rPr>
            <sz val="9"/>
            <color indexed="81"/>
            <rFont val="Tahoma"/>
            <family val="2"/>
          </rPr>
          <t xml:space="preserve">
NCAA FF + Championship game =&gt; odd years</t>
        </r>
      </text>
    </comment>
  </commentList>
</comments>
</file>

<file path=xl/comments19.xml><?xml version="1.0" encoding="utf-8"?>
<comments xmlns="http://schemas.openxmlformats.org/spreadsheetml/2006/main">
  <authors>
    <author>svetlana</author>
    <author>A satisfied Microsoft Office user</author>
    <author>Chad Harris</author>
    <author>Bagadia, Kajal (Research)</author>
  </authors>
  <commentList>
    <comment ref="F9" authorId="0">
      <text>
        <r>
          <rPr>
            <b/>
            <sz val="8"/>
            <color indexed="81"/>
            <rFont val="Tahoma"/>
            <family val="2"/>
          </rPr>
          <t>svetlana:</t>
        </r>
        <r>
          <rPr>
            <sz val="8"/>
            <color indexed="81"/>
            <rFont val="Tahoma"/>
            <family val="2"/>
          </rPr>
          <t xml:space="preserve">
from via supplemental.xls model</t>
        </r>
      </text>
    </comment>
    <comment ref="G9" authorId="0">
      <text>
        <r>
          <rPr>
            <b/>
            <sz val="8"/>
            <color indexed="81"/>
            <rFont val="Tahoma"/>
            <family val="2"/>
          </rPr>
          <t>svetlana:</t>
        </r>
        <r>
          <rPr>
            <sz val="8"/>
            <color indexed="81"/>
            <rFont val="Tahoma"/>
            <family val="2"/>
          </rPr>
          <t xml:space="preserve">
from via supplemental.xls model</t>
        </r>
      </text>
    </comment>
    <comment ref="D11" authorId="1">
      <text>
        <r>
          <rPr>
            <sz val="8"/>
            <color indexed="81"/>
            <rFont val="Tahoma"/>
            <family val="2"/>
          </rPr>
          <t xml:space="preserve">Does not include 10.1mm of other revenue which VIA includes in broadcasting
</t>
        </r>
      </text>
    </comment>
    <comment ref="F11" authorId="0">
      <text>
        <r>
          <rPr>
            <b/>
            <sz val="8"/>
            <color indexed="81"/>
            <rFont val="Tahoma"/>
            <family val="2"/>
          </rPr>
          <t>svetlana:</t>
        </r>
        <r>
          <rPr>
            <sz val="8"/>
            <color indexed="81"/>
            <rFont val="Tahoma"/>
            <family val="2"/>
          </rPr>
          <t xml:space="preserve">
from via supplemental.xls model</t>
        </r>
      </text>
    </comment>
    <comment ref="G11" authorId="0">
      <text>
        <r>
          <rPr>
            <b/>
            <sz val="8"/>
            <color indexed="81"/>
            <rFont val="Tahoma"/>
            <family val="2"/>
          </rPr>
          <t>svetlana:</t>
        </r>
        <r>
          <rPr>
            <sz val="8"/>
            <color indexed="81"/>
            <rFont val="Tahoma"/>
            <family val="2"/>
          </rPr>
          <t xml:space="preserve">
from via supplemental.xls model</t>
        </r>
      </text>
    </comment>
    <comment ref="F15" authorId="0">
      <text>
        <r>
          <rPr>
            <b/>
            <sz val="8"/>
            <color indexed="81"/>
            <rFont val="Tahoma"/>
            <family val="2"/>
          </rPr>
          <t>svetlana:</t>
        </r>
        <r>
          <rPr>
            <sz val="8"/>
            <color indexed="81"/>
            <rFont val="Tahoma"/>
            <family val="2"/>
          </rPr>
          <t xml:space="preserve">
from via supplemental.xls model</t>
        </r>
      </text>
    </comment>
    <comment ref="G15" authorId="0">
      <text>
        <r>
          <rPr>
            <b/>
            <sz val="8"/>
            <color indexed="81"/>
            <rFont val="Tahoma"/>
            <family val="2"/>
          </rPr>
          <t>svetlana:</t>
        </r>
        <r>
          <rPr>
            <sz val="8"/>
            <color indexed="81"/>
            <rFont val="Tahoma"/>
            <family val="2"/>
          </rPr>
          <t xml:space="preserve">
from via supplemental.xls model</t>
        </r>
      </text>
    </comment>
    <comment ref="F17" authorId="0">
      <text>
        <r>
          <rPr>
            <b/>
            <sz val="8"/>
            <color indexed="81"/>
            <rFont val="Tahoma"/>
            <family val="2"/>
          </rPr>
          <t>svetlana:</t>
        </r>
        <r>
          <rPr>
            <sz val="8"/>
            <color indexed="81"/>
            <rFont val="Tahoma"/>
            <family val="2"/>
          </rPr>
          <t xml:space="preserve">
from via supplemental.xls model</t>
        </r>
      </text>
    </comment>
    <comment ref="G17" authorId="0">
      <text>
        <r>
          <rPr>
            <b/>
            <sz val="8"/>
            <color indexed="81"/>
            <rFont val="Tahoma"/>
            <family val="2"/>
          </rPr>
          <t>svetlana:</t>
        </r>
        <r>
          <rPr>
            <sz val="8"/>
            <color indexed="81"/>
            <rFont val="Tahoma"/>
            <family val="2"/>
          </rPr>
          <t xml:space="preserve">
from via supplemental.xls model</t>
        </r>
      </text>
    </comment>
    <comment ref="F33" authorId="0">
      <text>
        <r>
          <rPr>
            <b/>
            <sz val="8"/>
            <color indexed="81"/>
            <rFont val="Tahoma"/>
            <family val="2"/>
          </rPr>
          <t>svetlana:</t>
        </r>
        <r>
          <rPr>
            <sz val="8"/>
            <color indexed="81"/>
            <rFont val="Tahoma"/>
            <family val="2"/>
          </rPr>
          <t xml:space="preserve">
from viacom supplemental.xls model</t>
        </r>
      </text>
    </comment>
    <comment ref="G33" authorId="0">
      <text>
        <r>
          <rPr>
            <b/>
            <sz val="8"/>
            <color indexed="81"/>
            <rFont val="Tahoma"/>
            <family val="2"/>
          </rPr>
          <t>svetlana:</t>
        </r>
        <r>
          <rPr>
            <sz val="8"/>
            <color indexed="81"/>
            <rFont val="Tahoma"/>
            <family val="2"/>
          </rPr>
          <t xml:space="preserve">
from viacom supplemental.xls model</t>
        </r>
      </text>
    </comment>
    <comment ref="H33" authorId="0">
      <text>
        <r>
          <rPr>
            <b/>
            <sz val="8"/>
            <color indexed="81"/>
            <rFont val="Tahoma"/>
            <family val="2"/>
          </rPr>
          <t>svetlana:</t>
        </r>
        <r>
          <rPr>
            <sz val="8"/>
            <color indexed="81"/>
            <rFont val="Tahoma"/>
            <family val="2"/>
          </rPr>
          <t xml:space="preserve">
from viacom supplemental.xls model</t>
        </r>
      </text>
    </comment>
    <comment ref="G40" authorId="0">
      <text>
        <r>
          <rPr>
            <b/>
            <sz val="8"/>
            <color indexed="81"/>
            <rFont val="Tahoma"/>
            <family val="2"/>
          </rPr>
          <t>svetlana:</t>
        </r>
        <r>
          <rPr>
            <sz val="8"/>
            <color indexed="81"/>
            <rFont val="Tahoma"/>
            <family val="2"/>
          </rPr>
          <t xml:space="preserve">
from viacom supplemental.xls model</t>
        </r>
      </text>
    </comment>
    <comment ref="H40" authorId="0">
      <text>
        <r>
          <rPr>
            <b/>
            <sz val="8"/>
            <color indexed="81"/>
            <rFont val="Tahoma"/>
            <family val="2"/>
          </rPr>
          <t>svetlana:</t>
        </r>
        <r>
          <rPr>
            <sz val="8"/>
            <color indexed="81"/>
            <rFont val="Tahoma"/>
            <family val="2"/>
          </rPr>
          <t xml:space="preserve">
from viacom supplemental.xls model</t>
        </r>
      </text>
    </comment>
    <comment ref="G43" authorId="0">
      <text>
        <r>
          <rPr>
            <b/>
            <sz val="8"/>
            <color indexed="81"/>
            <rFont val="Tahoma"/>
            <family val="2"/>
          </rPr>
          <t>svetlana:</t>
        </r>
        <r>
          <rPr>
            <sz val="8"/>
            <color indexed="81"/>
            <rFont val="Tahoma"/>
            <family val="2"/>
          </rPr>
          <t xml:space="preserve">
from viacom supplemental.xls model</t>
        </r>
      </text>
    </comment>
    <comment ref="Q43" authorId="2">
      <text>
        <r>
          <rPr>
            <b/>
            <sz val="8"/>
            <color indexed="81"/>
            <rFont val="Tahoma"/>
            <family val="2"/>
          </rPr>
          <t>Chad Harris:</t>
        </r>
        <r>
          <rPr>
            <sz val="8"/>
            <color indexed="81"/>
            <rFont val="Tahoma"/>
            <family val="2"/>
          </rPr>
          <t xml:space="preserve">
Assume 40% of $75 annual TV sales revs allocated to CW</t>
        </r>
      </text>
    </comment>
    <comment ref="F95" authorId="1">
      <text>
        <r>
          <rPr>
            <sz val="8"/>
            <color indexed="81"/>
            <rFont val="Tahoma"/>
            <family val="2"/>
          </rPr>
          <t>abadc:
From tv_nets.xls</t>
        </r>
      </text>
    </comment>
    <comment ref="F96" authorId="0">
      <text>
        <r>
          <rPr>
            <b/>
            <sz val="8"/>
            <color indexed="81"/>
            <rFont val="Tahoma"/>
            <family val="2"/>
          </rPr>
          <t>svetlana:</t>
        </r>
        <r>
          <rPr>
            <sz val="8"/>
            <color indexed="81"/>
            <rFont val="Tahoma"/>
            <family val="2"/>
          </rPr>
          <t xml:space="preserve">
from viacom supplemental.xls model</t>
        </r>
      </text>
    </comment>
    <comment ref="G96" authorId="0">
      <text>
        <r>
          <rPr>
            <b/>
            <sz val="8"/>
            <color indexed="81"/>
            <rFont val="Tahoma"/>
            <family val="2"/>
          </rPr>
          <t>svetlana:</t>
        </r>
        <r>
          <rPr>
            <sz val="8"/>
            <color indexed="81"/>
            <rFont val="Tahoma"/>
            <family val="2"/>
          </rPr>
          <t xml:space="preserve">
from viacom supplemental.xls model</t>
        </r>
      </text>
    </comment>
    <comment ref="H96" authorId="0">
      <text>
        <r>
          <rPr>
            <b/>
            <sz val="8"/>
            <color indexed="81"/>
            <rFont val="Tahoma"/>
            <family val="2"/>
          </rPr>
          <t>svetlana:</t>
        </r>
        <r>
          <rPr>
            <sz val="8"/>
            <color indexed="81"/>
            <rFont val="Tahoma"/>
            <family val="2"/>
          </rPr>
          <t xml:space="preserve">
from viacom supplemental.xls model</t>
        </r>
      </text>
    </comment>
    <comment ref="AB103" authorId="3">
      <text>
        <r>
          <rPr>
            <b/>
            <sz val="9"/>
            <color indexed="81"/>
            <rFont val="Tahoma"/>
            <family val="2"/>
          </rPr>
          <t>Bagadia, Kajal (Research):</t>
        </r>
        <r>
          <rPr>
            <sz val="9"/>
            <color indexed="81"/>
            <rFont val="Tahoma"/>
            <family val="2"/>
          </rPr>
          <t xml:space="preserve">
was PY-0.2% earlier</t>
        </r>
      </text>
    </comment>
  </commentList>
</comments>
</file>

<file path=xl/sharedStrings.xml><?xml version="1.0" encoding="utf-8"?>
<sst xmlns="http://schemas.openxmlformats.org/spreadsheetml/2006/main" count="7253" uniqueCount="2228">
  <si>
    <t>Big Ticket TV/CBS Productions./Pariah/Carter</t>
  </si>
  <si>
    <t>Enterprise</t>
  </si>
  <si>
    <t>Paramount Network TV</t>
  </si>
  <si>
    <t>The Guardian</t>
  </si>
  <si>
    <t>CBS Interactive</t>
  </si>
  <si>
    <t>(US$ in Thousands, Except per Share Data)</t>
  </si>
  <si>
    <t>Interactive</t>
  </si>
  <si>
    <t>CBS Digital</t>
  </si>
  <si>
    <t>Gross Profit</t>
  </si>
  <si>
    <t>Sales &amp; Marketing</t>
  </si>
  <si>
    <t>Expenses as % of Revenue</t>
  </si>
  <si>
    <t>US Broadband Households</t>
  </si>
  <si>
    <t>US Online Audience</t>
  </si>
  <si>
    <t>Total CBS Interactive</t>
  </si>
  <si>
    <t>Average Monthly Unique Visitors (mm)</t>
  </si>
  <si>
    <t>Total Page Views (mm)</t>
  </si>
  <si>
    <t>Monthly PV/UV</t>
  </si>
  <si>
    <t>Total Minutes Spent (mm)</t>
  </si>
  <si>
    <t>CNet</t>
  </si>
  <si>
    <t>% of US Online Audience</t>
  </si>
  <si>
    <t>Avg. Monthly PV / UV</t>
  </si>
  <si>
    <t>Total Monthly Ad Revenue per 1,000 PV's</t>
  </si>
  <si>
    <t>Monthly Advertising Revenue per UV</t>
  </si>
  <si>
    <t>Monthly Minutes per UV</t>
  </si>
  <si>
    <t>Minutes per PV</t>
  </si>
  <si>
    <t>Ads as % of PV</t>
  </si>
  <si>
    <t>Annual Impressions</t>
  </si>
  <si>
    <t>Effective CPM</t>
  </si>
  <si>
    <t>2007PF</t>
  </si>
  <si>
    <t>2008PF</t>
  </si>
  <si>
    <t>Columbia TriStar Television/CBS Productions.</t>
  </si>
  <si>
    <t>The District</t>
  </si>
  <si>
    <t>CBS Productions/Studios USA</t>
  </si>
  <si>
    <t>Frasier (Final Season)</t>
  </si>
  <si>
    <t>Paramount Network TV/Grub Street</t>
  </si>
  <si>
    <t>Shows in Production in '02-'03 Season Discontinued in '03-'04</t>
  </si>
  <si>
    <t>Abby (MSR)</t>
  </si>
  <si>
    <t>Bram and Alice</t>
  </si>
  <si>
    <t>Do Over</t>
  </si>
  <si>
    <t>Paramount/Littlefield</t>
  </si>
  <si>
    <t>Haunted</t>
  </si>
  <si>
    <t>Industry/Viacom/CBS Productions.</t>
  </si>
  <si>
    <t xml:space="preserve">Touched by an Angel </t>
  </si>
  <si>
    <t>Sabrina the Teenage Witch</t>
  </si>
  <si>
    <t>Hartbreak Productions/Viacom Productions</t>
  </si>
  <si>
    <t xml:space="preserve">Becker </t>
  </si>
  <si>
    <t>Paramount/Dave Hackel/Industry</t>
  </si>
  <si>
    <t>The Agency</t>
  </si>
  <si>
    <t>Studios USA/Radiant/CBS Productions</t>
  </si>
  <si>
    <t>Shows in Production in '01-'02 Season Discontinued in '02-'03</t>
  </si>
  <si>
    <t>Philly</t>
  </si>
  <si>
    <t>Paramount Network Television/Bocho</t>
  </si>
  <si>
    <t>The Education of Max Bickford</t>
  </si>
  <si>
    <t>Terminal EBDITA</t>
  </si>
  <si>
    <t>Terminal Taxes</t>
  </si>
  <si>
    <t>Less Retransmission</t>
  </si>
  <si>
    <t>Terminal Free Cash Flow</t>
  </si>
  <si>
    <t>Terminal FCF Multiple</t>
  </si>
  <si>
    <t>Terminal EBDITA Multiple</t>
  </si>
  <si>
    <t>Future Terminal Value</t>
  </si>
  <si>
    <t>Present Terminal Value</t>
  </si>
  <si>
    <t>Years to Terminal</t>
  </si>
  <si>
    <t>CBS Interactive Revenue</t>
  </si>
  <si>
    <t>Present Value of Est. Free Cash Flow</t>
  </si>
  <si>
    <t>Total Present Value</t>
  </si>
  <si>
    <t>DCF VALUATION</t>
  </si>
  <si>
    <t>CBS Paramount/ABC Studios</t>
  </si>
  <si>
    <t>Terminal Capital Spending</t>
  </si>
  <si>
    <t>Stock Based Compensation</t>
  </si>
  <si>
    <t>Total CFFO</t>
  </si>
  <si>
    <t>Total CFFI</t>
  </si>
  <si>
    <t>Total CFFF</t>
  </si>
  <si>
    <t>Multiple of Concurrent EBITDA</t>
  </si>
  <si>
    <t>Multiple of Forward EBITDA</t>
  </si>
  <si>
    <t>Unleveraged Taxes</t>
  </si>
  <si>
    <t>Unleveraged Free Cash Flow</t>
  </si>
  <si>
    <t>20th Century Fox/CBS TV/Regency</t>
  </si>
  <si>
    <t>Wolf Lake</t>
  </si>
  <si>
    <t>Big Ticket TV/CBS Prods.</t>
  </si>
  <si>
    <t>First Monday (MSR)</t>
  </si>
  <si>
    <t>Bellisarius Prods.</t>
  </si>
  <si>
    <t xml:space="preserve">Family Law </t>
  </si>
  <si>
    <t>Repurchase of Stock</t>
  </si>
  <si>
    <t xml:space="preserve">Sale of Stock </t>
  </si>
  <si>
    <t xml:space="preserve">   Prepayment of Pension Obligations</t>
  </si>
  <si>
    <t>CBS Prods./Columbia TriStar Television</t>
  </si>
  <si>
    <t>That's Life</t>
  </si>
  <si>
    <t>Special Unit 2</t>
  </si>
  <si>
    <t>Paramount Network TV/Rego Park</t>
  </si>
  <si>
    <t>Men, Women &amp; Dogs</t>
  </si>
  <si>
    <t>Paramount Ntwk TV</t>
  </si>
  <si>
    <t>Currency</t>
  </si>
  <si>
    <t>Count</t>
  </si>
  <si>
    <t>Raising Dad</t>
  </si>
  <si>
    <t>Total Revenue from Primetime Series Production</t>
  </si>
  <si>
    <t>Average Rating</t>
  </si>
  <si>
    <t>Change In Debt</t>
  </si>
  <si>
    <t>Revolver</t>
  </si>
  <si>
    <t>Inter-segment Revenue (Cable Networks)</t>
  </si>
  <si>
    <t>Intra-Segment Revenue (CBS/UPN Networks and Stations)</t>
  </si>
  <si>
    <t>Third-Party Revenue</t>
  </si>
  <si>
    <t xml:space="preserve">Income Taxes Payable + Deferred Tax Liabilities </t>
  </si>
  <si>
    <t>Net Contribution from Viacom Inc.</t>
  </si>
  <si>
    <t>Number of Shows in Production</t>
  </si>
  <si>
    <t>First-Run Syndications</t>
  </si>
  <si>
    <t>License fee + barter</t>
  </si>
  <si>
    <t xml:space="preserve">Syndciation </t>
  </si>
  <si>
    <t xml:space="preserve">Last Season </t>
  </si>
  <si>
    <t xml:space="preserve">Seasons </t>
  </si>
  <si>
    <t>per Episode</t>
  </si>
  <si>
    <t>Syndication Revenue ($ 000s)</t>
  </si>
  <si>
    <t>Premiere</t>
  </si>
  <si>
    <t>in Syndication</t>
  </si>
  <si>
    <t>Produced</t>
  </si>
  <si>
    <t xml:space="preserve"># of Episodes </t>
  </si>
  <si>
    <t>'03/'04 Season ($ 000s)</t>
  </si>
  <si>
    <t>2006/2007</t>
  </si>
  <si>
    <t>VIA - Paramount</t>
  </si>
  <si>
    <t>Dr. Phil</t>
  </si>
  <si>
    <t>6.75% Senior Notes due 2056</t>
  </si>
  <si>
    <t>'02/'03</t>
  </si>
  <si>
    <t>In production</t>
  </si>
  <si>
    <t>Stations</t>
  </si>
  <si>
    <t>Entertainment Tonight</t>
  </si>
  <si>
    <t>'81/'82</t>
  </si>
  <si>
    <t>Hot Ticket</t>
  </si>
  <si>
    <t>'01/'02</t>
  </si>
  <si>
    <t>'03/'04</t>
  </si>
  <si>
    <t>2004 Cash Flow Adjustment (for Modelware)</t>
  </si>
  <si>
    <t>FAS 123 Stock Compensation Expense</t>
  </si>
  <si>
    <t>Total EBIT before FAS 123 Expense</t>
  </si>
  <si>
    <t>Judge Joe Brown</t>
  </si>
  <si>
    <t>'98/'99</t>
  </si>
  <si>
    <t>Judge Judy</t>
  </si>
  <si>
    <t>'96/'97</t>
  </si>
  <si>
    <t>Maximum Exposure</t>
  </si>
  <si>
    <t>1Q08</t>
  </si>
  <si>
    <t>The Insider</t>
  </si>
  <si>
    <t>'04/'05</t>
  </si>
  <si>
    <t>1Q11</t>
  </si>
  <si>
    <t>The Montel Williams Show</t>
  </si>
  <si>
    <t>'91/'92</t>
  </si>
  <si>
    <t>Unexplained Mysteries</t>
  </si>
  <si>
    <t>Total:</t>
  </si>
  <si>
    <t>VIA - King World</t>
  </si>
  <si>
    <t>Hollywood Squares</t>
  </si>
  <si>
    <t>Notes payable to banks</t>
  </si>
  <si>
    <t>7.15% Senior Notes due 2005</t>
  </si>
  <si>
    <t>7.75% Senior Notes due 2005</t>
  </si>
  <si>
    <t>6.40% Senior Notes due 2006</t>
  </si>
  <si>
    <t>5.625% Senior Notes due 2007</t>
  </si>
  <si>
    <t>7.70% Senior Notes due 2010</t>
  </si>
  <si>
    <t>6.625% Senior Notes due 2011</t>
  </si>
  <si>
    <t>8.625% Debentures due 2012</t>
  </si>
  <si>
    <t>5.625% Senior Notes due 2012</t>
  </si>
  <si>
    <t>8.875% Notes due 2014</t>
  </si>
  <si>
    <t>7.625% Senior Debentures due 2016</t>
  </si>
  <si>
    <t>4.625% Senior Notes due 2018</t>
  </si>
  <si>
    <t>7.875% Debentures due 2023</t>
  </si>
  <si>
    <t>7.125% Senior Notes due 2023 (b)</t>
  </si>
  <si>
    <t>7.875% Senior Debentures due 2030</t>
  </si>
  <si>
    <t>5.50% Senior Debentures due 2033</t>
  </si>
  <si>
    <t>7.25% Senior Notes due 2051</t>
  </si>
  <si>
    <t>Other notes</t>
  </si>
  <si>
    <t>Obligations under capital leases</t>
  </si>
  <si>
    <t>Other Fees and Expenses</t>
  </si>
  <si>
    <t>Wheel of Fortune</t>
  </si>
  <si>
    <t>'75/'76</t>
  </si>
  <si>
    <t>Jeopardy!</t>
  </si>
  <si>
    <t>'63/'64</t>
  </si>
  <si>
    <t>Oprah Winfrey Show</t>
  </si>
  <si>
    <t>'86/'87</t>
  </si>
  <si>
    <t>Bob Vila's Home Again</t>
  </si>
  <si>
    <t>'99/'00</t>
  </si>
  <si>
    <t>Stations, TLC</t>
  </si>
  <si>
    <t>Inside Edition</t>
  </si>
  <si>
    <t>'88/'89</t>
  </si>
  <si>
    <t>Living It Up! With Ali &amp; Jack</t>
  </si>
  <si>
    <t>Rachael Ray</t>
  </si>
  <si>
    <t>Martha Stewart Living</t>
  </si>
  <si>
    <t>'93/'94</t>
  </si>
  <si>
    <t>TOTAL SYNDICATION REVENUE:</t>
  </si>
  <si>
    <t>Off-Network Syndication</t>
  </si>
  <si>
    <t>Retransmission</t>
  </si>
  <si>
    <t>Cash Fees:</t>
  </si>
  <si>
    <t xml:space="preserve">Total </t>
  </si>
  <si>
    <t>Season in</t>
  </si>
  <si>
    <t>1st Season</t>
  </si>
  <si>
    <t>Last Season</t>
  </si>
  <si>
    <t>Seasons</t>
  </si>
  <si>
    <t>Syndication</t>
  </si>
  <si>
    <t>License fee per</t>
  </si>
  <si>
    <t>Syndication Revenue ($ 000s per Season)</t>
  </si>
  <si>
    <t>Name of the Show</t>
  </si>
  <si>
    <t>in Broadcast</t>
  </si>
  <si>
    <t>Episode ($ 000s)</t>
  </si>
  <si>
    <t>2007/2008</t>
  </si>
  <si>
    <t>CNET Interactive</t>
  </si>
  <si>
    <t>Frasier</t>
  </si>
  <si>
    <t>P / E</t>
  </si>
  <si>
    <t>'97/'98</t>
  </si>
  <si>
    <t>Frasier (2nd cycle)</t>
  </si>
  <si>
    <t>06/'07</t>
  </si>
  <si>
    <t>Lifetime</t>
  </si>
  <si>
    <t>01/'02</t>
  </si>
  <si>
    <t xml:space="preserve">Everybody Loves Raymond </t>
  </si>
  <si>
    <t>TBS</t>
  </si>
  <si>
    <t>Everybody Loves Raymond (2nd cycle)</t>
  </si>
  <si>
    <t>Touched by an Angel</t>
  </si>
  <si>
    <t>'94/'95</t>
  </si>
  <si>
    <t>Seventh Heaven</t>
  </si>
  <si>
    <t>'02/03</t>
  </si>
  <si>
    <t>ABC Family</t>
  </si>
  <si>
    <t>King of Queens</t>
  </si>
  <si>
    <t>Diagnosis Murder</t>
  </si>
  <si>
    <t>'92/'93</t>
  </si>
  <si>
    <t>'00/'01</t>
  </si>
  <si>
    <t>JAG</t>
  </si>
  <si>
    <t>'95/'96</t>
  </si>
  <si>
    <t>'99/00</t>
  </si>
  <si>
    <t>USA</t>
  </si>
  <si>
    <t>2016E</t>
  </si>
  <si>
    <t>(In Millions Except Per Share Data)</t>
  </si>
  <si>
    <t>% of Total</t>
  </si>
  <si>
    <t>Multiple</t>
  </si>
  <si>
    <t>Advertising Revenue</t>
  </si>
  <si>
    <t>Consolidated Operations</t>
  </si>
  <si>
    <t>Corporate Overhead</t>
  </si>
  <si>
    <t>Unconsolidated Investments</t>
  </si>
  <si>
    <t>Total Estimated Asset Value</t>
  </si>
  <si>
    <t>Less:</t>
  </si>
  <si>
    <t>Post Retirement Benefits</t>
  </si>
  <si>
    <t>Plus:</t>
  </si>
  <si>
    <t>Cash</t>
  </si>
  <si>
    <t>Total Fair Market Value</t>
  </si>
  <si>
    <t>Class A Shares Outstanding</t>
  </si>
  <si>
    <t>Class B Shares Outstanding</t>
  </si>
  <si>
    <t xml:space="preserve">  Total Shares Outstanding</t>
  </si>
  <si>
    <t>Total Fair Market Value Per Share</t>
  </si>
  <si>
    <t>EPS for Consensus</t>
  </si>
  <si>
    <t>Fully Taxed FCF as % of Adj. EPS</t>
  </si>
  <si>
    <t>Fully Taxed FCF as % of EPS for Consensus</t>
  </si>
  <si>
    <t>CBS Network Television</t>
  </si>
  <si>
    <t xml:space="preserve">Unleveraged Free Cash Flow </t>
  </si>
  <si>
    <t xml:space="preserve">CW / Other Stations </t>
  </si>
  <si>
    <t xml:space="preserve">CBS Stations </t>
  </si>
  <si>
    <t>Average Interest Rate</t>
  </si>
  <si>
    <t>Required Return on Equity</t>
  </si>
  <si>
    <t>Debt/Capital</t>
  </si>
  <si>
    <t>Tax Rate</t>
  </si>
  <si>
    <t>Required Return on Investment</t>
  </si>
  <si>
    <t>Long-term Growth Rate</t>
  </si>
  <si>
    <t>Beginning Class A Shares Outstanding</t>
  </si>
  <si>
    <t>Ending Class A Shares Outstanding</t>
  </si>
  <si>
    <t>Beginning Class B Shares Outstanding</t>
  </si>
  <si>
    <t>2012/2013</t>
  </si>
  <si>
    <t>Ending Class B Shares Outstanding</t>
  </si>
  <si>
    <t>Showtime</t>
  </si>
  <si>
    <t>Nash Bridges</t>
  </si>
  <si>
    <t>Sabrina, the Teenage Witch</t>
  </si>
  <si>
    <t>Nickelodeon</t>
  </si>
  <si>
    <t>Star Trek: Voyager</t>
  </si>
  <si>
    <t>Stations, Spike, SciFi</t>
  </si>
  <si>
    <t>Star Trek: Deep Space Nine</t>
  </si>
  <si>
    <t>SpikeTV</t>
  </si>
  <si>
    <t>Star Trek: The Next Generation</t>
  </si>
  <si>
    <t>'87/'88</t>
  </si>
  <si>
    <t>Becker</t>
  </si>
  <si>
    <t xml:space="preserve">Stations  </t>
  </si>
  <si>
    <t>Judging Amy</t>
  </si>
  <si>
    <t>TNT</t>
  </si>
  <si>
    <t>The Parkers</t>
  </si>
  <si>
    <t>Charmed</t>
  </si>
  <si>
    <t>Any Day Now</t>
  </si>
  <si>
    <t>The Division</t>
  </si>
  <si>
    <t>Stations, BET</t>
  </si>
  <si>
    <t>CSI: Miami</t>
  </si>
  <si>
    <t>A&amp;E</t>
  </si>
  <si>
    <t>'05/'06</t>
  </si>
  <si>
    <t>Barter Fees:</t>
  </si>
  <si>
    <t>'04/'05E</t>
  </si>
  <si>
    <t>Costs</t>
  </si>
  <si>
    <t>Fully-taxed FCF</t>
  </si>
  <si>
    <t>Average affiliate households paying reverse comp per bottom up build</t>
  </si>
  <si>
    <t>4.3% Senior Notes due 2021</t>
  </si>
  <si>
    <t>2.3% Senior Notes due 2019</t>
  </si>
  <si>
    <t>3.7% Senior Notes due 2024</t>
  </si>
  <si>
    <t>4.9% Senior Notes due 2044</t>
  </si>
  <si>
    <t>5.9% Senior Notes due 2040</t>
  </si>
  <si>
    <t>Accidentally on Purpose</t>
  </si>
  <si>
    <t>Melrose Place</t>
  </si>
  <si>
    <t>The Bridge</t>
  </si>
  <si>
    <t>The Good Wife</t>
  </si>
  <si>
    <t>Ringer</t>
  </si>
  <si>
    <t>Unforgettable</t>
  </si>
  <si>
    <t>A Gifted Man</t>
  </si>
  <si>
    <t>CBS Studios</t>
  </si>
  <si>
    <t>How to be a Gentleman</t>
  </si>
  <si>
    <t>The 2-2</t>
  </si>
  <si>
    <t>CSI NY</t>
  </si>
  <si>
    <t>NCIS Los Angeles</t>
  </si>
  <si>
    <t>WB / CBS</t>
  </si>
  <si>
    <t>ABC / CBS</t>
  </si>
  <si>
    <t>Sony / CBS</t>
  </si>
  <si>
    <t>Hart of Dixie</t>
  </si>
  <si>
    <t>Three Rivers</t>
  </si>
  <si>
    <t>Shows in Production in '09-'10 Season</t>
  </si>
  <si>
    <t>The Beautiful Life</t>
  </si>
  <si>
    <t>Interactive Ad</t>
  </si>
  <si>
    <t xml:space="preserve">P&amp;S </t>
  </si>
  <si>
    <t>Home Video</t>
  </si>
  <si>
    <t>Interactive subscription</t>
  </si>
  <si>
    <t>Vampire Diaries</t>
  </si>
  <si>
    <t>1Q12</t>
  </si>
  <si>
    <t>NCIS Lost Angeles</t>
  </si>
  <si>
    <t>CBS/Time Warner</t>
  </si>
  <si>
    <t>2009/20010</t>
  </si>
  <si>
    <t>TV Stations</t>
  </si>
  <si>
    <t>2Q08</t>
  </si>
  <si>
    <t>3Q08</t>
  </si>
  <si>
    <t>4Q08</t>
  </si>
  <si>
    <t>'08/'09</t>
  </si>
  <si>
    <t>2014 PF</t>
  </si>
  <si>
    <t>Pro Forma for CBSO Split-off</t>
  </si>
  <si>
    <t>Forward</t>
  </si>
  <si>
    <t>Revs</t>
  </si>
  <si>
    <t>Elementary</t>
  </si>
  <si>
    <t>Emily Owens, MD</t>
  </si>
  <si>
    <t>Beauty And The Beast</t>
  </si>
  <si>
    <t>CBS Studios / ABC Studios</t>
  </si>
  <si>
    <t>Welcome to The Captain</t>
  </si>
  <si>
    <t>Jericho</t>
  </si>
  <si>
    <t>Taxes related to on-going operations</t>
  </si>
  <si>
    <t>Taxes related to gains</t>
  </si>
  <si>
    <t>Total Tax Provision</t>
  </si>
  <si>
    <t>Multiple Analyisis</t>
  </si>
  <si>
    <t>5.75% Senior Notes due 2020 (due late April)</t>
  </si>
  <si>
    <t xml:space="preserve"> </t>
  </si>
  <si>
    <t xml:space="preserve">Spin Off of New Viacom </t>
  </si>
  <si>
    <t>Conversion to Stock Options to Purchase CBS</t>
  </si>
  <si>
    <t>Conversion to Current Presentation</t>
  </si>
  <si>
    <t>Conversion Factor</t>
  </si>
  <si>
    <t>2Q09</t>
  </si>
  <si>
    <t>3Q09</t>
  </si>
  <si>
    <t xml:space="preserve">% Change </t>
  </si>
  <si>
    <t>2021E</t>
  </si>
  <si>
    <t>2022E</t>
  </si>
  <si>
    <t>Buyback</t>
  </si>
  <si>
    <t>NM</t>
  </si>
  <si>
    <t>% Growth</t>
  </si>
  <si>
    <t>2015/2016</t>
  </si>
  <si>
    <t>2Q10</t>
  </si>
  <si>
    <t>3Q10</t>
  </si>
  <si>
    <t>Total Segment EBIT</t>
  </si>
  <si>
    <t>OVD Revenue</t>
  </si>
  <si>
    <t>OVD direct expenses</t>
  </si>
  <si>
    <t>% of OVD Revenue</t>
  </si>
  <si>
    <t>OVD EBITDA</t>
  </si>
  <si>
    <t>Total Recurring EBIT</t>
  </si>
  <si>
    <t>EBIT Check</t>
  </si>
  <si>
    <t>2010/2011</t>
  </si>
  <si>
    <t>F2011</t>
  </si>
  <si>
    <t>Total Reported EBITDA</t>
  </si>
  <si>
    <t>1Q10</t>
  </si>
  <si>
    <t>Company</t>
  </si>
  <si>
    <t>(historical data based on as reported, not pro forma)</t>
  </si>
  <si>
    <t>(in millions)</t>
  </si>
  <si>
    <t>2005</t>
  </si>
  <si>
    <t>CBS.N</t>
  </si>
  <si>
    <t>Net Interest Expense</t>
  </si>
  <si>
    <t>Cash Taxes</t>
  </si>
  <si>
    <t>Increase in Working Capital</t>
  </si>
  <si>
    <t>Fully Diluted Shares</t>
  </si>
  <si>
    <t>FCF/Share</t>
  </si>
  <si>
    <t>Long-term Value/Share =  100 % of Historical Avg. S&amp;P Free Cash Flow Multiple</t>
  </si>
  <si>
    <t>Target Forward P/FCF Multiple</t>
  </si>
  <si>
    <t>Other (CSTV)</t>
  </si>
  <si>
    <t>Target Price (ex. unconsol. assets)</t>
  </si>
  <si>
    <t>Unconsolidated Assets/Share</t>
  </si>
  <si>
    <t>Target Return on Equity</t>
  </si>
  <si>
    <t>Impact of full taxes</t>
  </si>
  <si>
    <t>Reverse Retrans Rev from Aff Stations</t>
  </si>
  <si>
    <t>Cost per hour of original programming</t>
  </si>
  <si>
    <t>Minority Interest Expense</t>
  </si>
  <si>
    <t>Ending Gross Goodwill</t>
  </si>
  <si>
    <t>2019E</t>
  </si>
  <si>
    <t>Net Share Issuance/ (Repurchases)- ModelWare</t>
  </si>
  <si>
    <t>Average Fully Diluted Shares Outstanding for EPS</t>
  </si>
  <si>
    <t>Fully Diluted Shares Modelware</t>
  </si>
  <si>
    <t>Options Outstanding - Beginning of Period</t>
  </si>
  <si>
    <t>Options Exercised</t>
  </si>
  <si>
    <t>% of Options Outstanding - Beginning of Period</t>
  </si>
  <si>
    <t>1Q13</t>
  </si>
  <si>
    <t>2Q13</t>
  </si>
  <si>
    <t>3Q13</t>
  </si>
  <si>
    <t>4Q13</t>
  </si>
  <si>
    <t>AMZN</t>
  </si>
  <si>
    <t>Hulu</t>
  </si>
  <si>
    <t>Hallmark</t>
  </si>
  <si>
    <t>B'cast stations</t>
  </si>
  <si>
    <t>Options Outstanding - End of Period</t>
  </si>
  <si>
    <t>Dividends on Common Stock</t>
  </si>
  <si>
    <t>Dividends per Share</t>
  </si>
  <si>
    <t>Current Assets:</t>
  </si>
  <si>
    <t>Intangible Assets Subject to Amortization, Net</t>
  </si>
  <si>
    <t>Intangible Assets Not Subject to Amortization</t>
  </si>
  <si>
    <t>Liabilities:</t>
  </si>
  <si>
    <t xml:space="preserve">Accounts Payable </t>
  </si>
  <si>
    <t>Accumulated Other Comprehensive Income (Loss)</t>
  </si>
  <si>
    <t>Long-term Debt from Continuing Ops</t>
  </si>
  <si>
    <t>check</t>
  </si>
  <si>
    <t>Sources and Uses of Funds</t>
  </si>
  <si>
    <t>Equity in Profits (Losses) of Affiliated Companies, Net</t>
  </si>
  <si>
    <t>Cash From Operations Before Changes in Oper. Assets/Liab.</t>
  </si>
  <si>
    <t>CSTV</t>
  </si>
  <si>
    <t>THE CONTENT GROUP</t>
  </si>
  <si>
    <t>TOTAL CONTENT GROUP REVENUE</t>
  </si>
  <si>
    <t>ABC/CBS</t>
  </si>
  <si>
    <t>CBS/Warner Bros</t>
  </si>
  <si>
    <t>TOTAL CONTENT GROUP EBITDA</t>
  </si>
  <si>
    <t>THE LOCAL GROUP</t>
  </si>
  <si>
    <t>TOTAL LOCAL GROUP REVENUE</t>
  </si>
  <si>
    <t>CONSOLIDATED RESULTS</t>
  </si>
  <si>
    <t>TOTAL LOCAL GROUP EBITDA</t>
  </si>
  <si>
    <t>CW Stations</t>
  </si>
  <si>
    <t xml:space="preserve">CBS Corporation </t>
  </si>
  <si>
    <t>($ mm)</t>
  </si>
  <si>
    <t>% Total Revenue</t>
  </si>
  <si>
    <t>Changes In Operating Assets and Liabilities:</t>
  </si>
  <si>
    <t xml:space="preserve">   Accounts Receivable</t>
  </si>
  <si>
    <t xml:space="preserve">Payout </t>
  </si>
  <si>
    <t>Net Share Repurchases / (Issuance)</t>
  </si>
  <si>
    <t>Total Payout</t>
  </si>
  <si>
    <t>Debt Analysis</t>
  </si>
  <si>
    <t>Current Portion of Long Term Debt</t>
  </si>
  <si>
    <t>Interest</t>
  </si>
  <si>
    <t>Operating Asset Analysis</t>
  </si>
  <si>
    <t>2009</t>
  </si>
  <si>
    <t>Total Cost of Revenues</t>
  </si>
  <si>
    <t>Total SG&amp;A</t>
  </si>
  <si>
    <t>As a % of Revenue</t>
  </si>
  <si>
    <t>Average Exercise Price</t>
  </si>
  <si>
    <t>As a % of Cost of Revenue</t>
  </si>
  <si>
    <t>As a % of SG&amp;A</t>
  </si>
  <si>
    <t>Total Operating Assets</t>
  </si>
  <si>
    <t>Other Long-term Liabilities</t>
  </si>
  <si>
    <t>Net Operating Assets</t>
  </si>
  <si>
    <t>Change in Net Operating Assets</t>
  </si>
  <si>
    <t>'11/'12</t>
  </si>
  <si>
    <t>Property, Plant and Equipment</t>
  </si>
  <si>
    <t xml:space="preserve">EBITDA </t>
  </si>
  <si>
    <t>1Q14</t>
  </si>
  <si>
    <t>Total TV Growth</t>
  </si>
  <si>
    <t>Average Depreciable Life</t>
  </si>
  <si>
    <t>Retirement Rate</t>
  </si>
  <si>
    <t>Intangible Assets Subject to Amortization</t>
  </si>
  <si>
    <t>Gross Intangible Assets Subject toAmortization</t>
  </si>
  <si>
    <t>Accumulated Amortization</t>
  </si>
  <si>
    <t>Average Gross Intangible Assets Subject toAmortization</t>
  </si>
  <si>
    <t>Average Amortization Rate</t>
  </si>
  <si>
    <t>Beginning Acc. Amortization</t>
  </si>
  <si>
    <t>Ending Acc. Amortization</t>
  </si>
  <si>
    <t>Cumulative Writedowns</t>
  </si>
  <si>
    <t>Dividends</t>
  </si>
  <si>
    <t>Retransmission Sub Base (avg)</t>
  </si>
  <si>
    <t>Monthly Fee per Subscriber (avg)</t>
  </si>
  <si>
    <t>Affiliate Pay-TV Subscribers (avg)</t>
  </si>
  <si>
    <t>Acquisitions and Other (Sales)</t>
  </si>
  <si>
    <t>Ending Gross PP&amp;E</t>
  </si>
  <si>
    <t>2017E</t>
  </si>
  <si>
    <t>Gross PP&amp;E</t>
  </si>
  <si>
    <t>Accumulated Depreciation</t>
  </si>
  <si>
    <t>8.875% Notes due 2019 (due late May)</t>
  </si>
  <si>
    <t>2014/2015</t>
  </si>
  <si>
    <t>Non-Recurring Charges</t>
  </si>
  <si>
    <t>Options Granted</t>
  </si>
  <si>
    <t>Average Diluted Shares Outstanding</t>
  </si>
  <si>
    <t>3Q14</t>
  </si>
  <si>
    <t>New Viacom</t>
  </si>
  <si>
    <t>US$ Millions</t>
  </si>
  <si>
    <t>Total Advertising Sales</t>
  </si>
  <si>
    <t>Total Content Licensing and Distribution</t>
  </si>
  <si>
    <t>Fully Taxed FCF Per Share</t>
  </si>
  <si>
    <t>Amortization of Intangible Assets</t>
  </si>
  <si>
    <t>Shows in Production in '08-'09 Season</t>
  </si>
  <si>
    <t>Worst Week</t>
  </si>
  <si>
    <t>The Game</t>
  </si>
  <si>
    <t>2Q11</t>
  </si>
  <si>
    <t>3Q11</t>
  </si>
  <si>
    <t>Equity in the Losses of Equity-Method Affililates</t>
  </si>
  <si>
    <t>F2009</t>
  </si>
  <si>
    <t>Num3bers</t>
  </si>
  <si>
    <t>Other Income/ (Expense)</t>
  </si>
  <si>
    <t>Cash Tax (Expense) / Benefit</t>
  </si>
  <si>
    <t>Deferred Tax (Expense) / Benefit</t>
  </si>
  <si>
    <t>Add: Amortization of Intangible Assets</t>
  </si>
  <si>
    <t>Tax Prov./(Benefit) Related to Non-recurring Items</t>
  </si>
  <si>
    <t>Adjusted Net Income</t>
  </si>
  <si>
    <t>Adjustment for Additional Com. Share Equivalents</t>
  </si>
  <si>
    <t>Adjusted Average Diluted Shares Outstanding</t>
  </si>
  <si>
    <t>Adj. Net Income per Adj. Avg. Diluted Share</t>
  </si>
  <si>
    <t>Share Analysis</t>
  </si>
  <si>
    <t>Average Basic Shares</t>
  </si>
  <si>
    <t>Average Unvested Restricted Shares</t>
  </si>
  <si>
    <t xml:space="preserve">Cash Interest Expense </t>
  </si>
  <si>
    <t>Noncash Interest Expense</t>
  </si>
  <si>
    <t>Interest Income</t>
  </si>
  <si>
    <t xml:space="preserve">   % of cash</t>
  </si>
  <si>
    <t>Capitalized Interest</t>
  </si>
  <si>
    <t>CBS Digital (excluding CBS Radio)</t>
  </si>
  <si>
    <t>Interest Expense, net</t>
  </si>
  <si>
    <t>Operating Expenses</t>
  </si>
  <si>
    <t>WWON</t>
  </si>
  <si>
    <t>Beginning Gross PP&amp;E</t>
  </si>
  <si>
    <t>Additions</t>
  </si>
  <si>
    <t>Retirements</t>
  </si>
  <si>
    <t>Total Revs ($mn)</t>
  </si>
  <si>
    <t>Trad. Synd. Revs ($mn)</t>
  </si>
  <si>
    <t>Average Basic Shares Outstanding</t>
  </si>
  <si>
    <t>Acquisitions</t>
  </si>
  <si>
    <t>Goodwill</t>
  </si>
  <si>
    <t>3 Lbs</t>
  </si>
  <si>
    <t>Beginning Acc. Depreciation</t>
  </si>
  <si>
    <t>Retained Earnings</t>
  </si>
  <si>
    <t>Average Gross PP&amp;E</t>
  </si>
  <si>
    <t>Net Income (Loss)</t>
  </si>
  <si>
    <t>Other, Net</t>
  </si>
  <si>
    <t>Beginning Cash Balance</t>
  </si>
  <si>
    <t>Net Increase/(Decrease) in Cash</t>
  </si>
  <si>
    <t>Superbowl</t>
  </si>
  <si>
    <t>NFL - regular season / playoffs</t>
  </si>
  <si>
    <t>March Madness</t>
  </si>
  <si>
    <t>Golf</t>
  </si>
  <si>
    <t>USTA</t>
  </si>
  <si>
    <t>Growth (%)</t>
  </si>
  <si>
    <t>March Madness (no EBITDA impact due to cap)</t>
  </si>
  <si>
    <t>College Basketball / Football</t>
  </si>
  <si>
    <t>Sports revs (ex Super Bowl)</t>
  </si>
  <si>
    <t>Hardcoded growth rate</t>
  </si>
  <si>
    <t>Sports revs per above</t>
  </si>
  <si>
    <t>Sports expenses per above</t>
  </si>
  <si>
    <t>Sports program amortization (ex Super Bowl)</t>
  </si>
  <si>
    <t>Contract</t>
  </si>
  <si>
    <t>Expire?</t>
  </si>
  <si>
    <t>Various</t>
  </si>
  <si>
    <t>Total sports revs (ex Super Bowl)</t>
  </si>
  <si>
    <t>Total sports amortization (ex Super Bowl)</t>
  </si>
  <si>
    <t>Gross profit margin by contract</t>
  </si>
  <si>
    <t>Total gross profit</t>
  </si>
  <si>
    <t>Goodwife</t>
  </si>
  <si>
    <t>NFLX domestic</t>
  </si>
  <si>
    <t>Amazon domestic</t>
  </si>
  <si>
    <t>NFLX int'l</t>
  </si>
  <si>
    <t>AMZN int'l</t>
  </si>
  <si>
    <t>The Millers</t>
  </si>
  <si>
    <t>F2015</t>
  </si>
  <si>
    <t>F2016</t>
  </si>
  <si>
    <t>F2017</t>
  </si>
  <si>
    <t>F2018</t>
  </si>
  <si>
    <t>Total Traditional Licensing</t>
  </si>
  <si>
    <t>Digital Licensing Deals</t>
  </si>
  <si>
    <t>Amazon</t>
  </si>
  <si>
    <t>Netflix</t>
  </si>
  <si>
    <t>LoveFilm</t>
  </si>
  <si>
    <t>NO DEAL YET</t>
  </si>
  <si>
    <t>First</t>
  </si>
  <si>
    <t>Deal</t>
  </si>
  <si>
    <t>Total Traditional + Barter Fees</t>
  </si>
  <si>
    <t>Total Digital Licensing</t>
  </si>
  <si>
    <t>Total Off-Network Licensing</t>
  </si>
  <si>
    <t>Total Barter Fees</t>
  </si>
  <si>
    <t>Off-network Syndication Revenue (Traditional)</t>
  </si>
  <si>
    <t>Other OVD</t>
  </si>
  <si>
    <t>Growth by Revenue Stream</t>
  </si>
  <si>
    <t>Hulu Plus Library deal</t>
  </si>
  <si>
    <t>Hulu Plus</t>
  </si>
  <si>
    <t>WGN</t>
  </si>
  <si>
    <t>ION Stations</t>
  </si>
  <si>
    <t>Ending Cash Balance</t>
  </si>
  <si>
    <t xml:space="preserve">Net Prop., Plant, &amp; Equip. </t>
  </si>
  <si>
    <t>Other Adjustments</t>
  </si>
  <si>
    <t xml:space="preserve">Other Assets </t>
  </si>
  <si>
    <t>Cash &amp; Marketable Securities</t>
  </si>
  <si>
    <t>Accounts Receivable</t>
  </si>
  <si>
    <t>Other Current Assets</t>
  </si>
  <si>
    <t>Current Assets</t>
  </si>
  <si>
    <t>Total Pay TV Subs</t>
  </si>
  <si>
    <t>Ending Acc. Depreciation</t>
  </si>
  <si>
    <t>Income Statement</t>
  </si>
  <si>
    <t>Balance Sheet</t>
  </si>
  <si>
    <t>Total Interest Expense</t>
  </si>
  <si>
    <t>Investments</t>
  </si>
  <si>
    <t>Shows in Production in '07-'08 Season</t>
  </si>
  <si>
    <t>Criminal Minds</t>
  </si>
  <si>
    <t>Everybody Hates Chris</t>
  </si>
  <si>
    <t>CW</t>
  </si>
  <si>
    <t>UPN/CW</t>
  </si>
  <si>
    <t>The 4400</t>
  </si>
  <si>
    <t>CBS Paramount</t>
  </si>
  <si>
    <t>1Q09</t>
  </si>
  <si>
    <t>Cane</t>
  </si>
  <si>
    <t>Viva Laughlin</t>
  </si>
  <si>
    <t>Life Is Wild</t>
  </si>
  <si>
    <t>Aliens In America</t>
  </si>
  <si>
    <t>Swingtown</t>
  </si>
  <si>
    <t>Eight Days a Week</t>
  </si>
  <si>
    <t>'07/'08</t>
  </si>
  <si>
    <t>Tribune Stations</t>
  </si>
  <si>
    <t>2008/2009</t>
  </si>
  <si>
    <t>Harper's Island</t>
  </si>
  <si>
    <t>Stylista</t>
  </si>
  <si>
    <t>Flashpoint</t>
  </si>
  <si>
    <t>Gossip Girl</t>
  </si>
  <si>
    <t>Rules of Engagement</t>
  </si>
  <si>
    <t>Survivor</t>
  </si>
  <si>
    <t>Audience</t>
  </si>
  <si>
    <t>'06/'07</t>
  </si>
  <si>
    <t>Equity Compensation</t>
  </si>
  <si>
    <t>2018E</t>
  </si>
  <si>
    <t>2Q14</t>
  </si>
  <si>
    <t>Share Buyback</t>
  </si>
  <si>
    <t>Cash used for share buyback</t>
  </si>
  <si>
    <t xml:space="preserve">CNet Cost of Sales </t>
  </si>
  <si>
    <t>Share Price</t>
  </si>
  <si>
    <t>% of Cash Used for Buyback</t>
  </si>
  <si>
    <t>Shares Repurchased</t>
  </si>
  <si>
    <t>Buy Back ? (1 = Y, 0 = N)</t>
  </si>
  <si>
    <t>Terminal EBITDA Multiple</t>
  </si>
  <si>
    <t>Equity Compensation, Net of Tax</t>
  </si>
  <si>
    <t>Viacom</t>
  </si>
  <si>
    <t>Corporate Overhead  &amp; Residuals</t>
  </si>
  <si>
    <t>Corp Overhead &amp; Residuals</t>
  </si>
  <si>
    <t>Reported</t>
  </si>
  <si>
    <t>Adjusted</t>
  </si>
  <si>
    <t>INF</t>
  </si>
  <si>
    <t>Adj.</t>
  </si>
  <si>
    <t>Pro Forma</t>
  </si>
  <si>
    <t>PF VIA</t>
  </si>
  <si>
    <t>CBS</t>
  </si>
  <si>
    <t>Actual</t>
  </si>
  <si>
    <t xml:space="preserve">Pro Forma 1999 </t>
  </si>
  <si>
    <t xml:space="preserve"> Pro Forma 2000</t>
  </si>
  <si>
    <t>2004, Reclassified</t>
  </si>
  <si>
    <t>($ Millions)</t>
  </si>
  <si>
    <t>1998A</t>
  </si>
  <si>
    <t>1999A</t>
  </si>
  <si>
    <t>Adj</t>
  </si>
  <si>
    <t>2002PF</t>
  </si>
  <si>
    <t>Target Price</t>
  </si>
  <si>
    <t>Target Forward P/Adj. EPS Multiple</t>
  </si>
  <si>
    <t>2003PF</t>
  </si>
  <si>
    <t>Radio Depreciation</t>
  </si>
  <si>
    <t>Outdoor Depreciation</t>
  </si>
  <si>
    <t>Radio Amortization</t>
  </si>
  <si>
    <t>Outdoor Amortization</t>
  </si>
  <si>
    <t>Infinity Total</t>
  </si>
  <si>
    <t>Radio EBITA</t>
  </si>
  <si>
    <t>Outdoor EBITA</t>
  </si>
  <si>
    <t>Radio EBIT</t>
  </si>
  <si>
    <t>Outdoor EBIT</t>
  </si>
  <si>
    <t>Opex Growth</t>
  </si>
  <si>
    <t>Radio Capital Expenditures</t>
  </si>
  <si>
    <t>2012</t>
  </si>
  <si>
    <t>Outdoor Capital Expenditures</t>
  </si>
  <si>
    <t>2011E</t>
  </si>
  <si>
    <t>2012E</t>
  </si>
  <si>
    <t>2013E</t>
  </si>
  <si>
    <t>2014E</t>
  </si>
  <si>
    <t xml:space="preserve">Publishing </t>
  </si>
  <si>
    <t>2015E</t>
  </si>
  <si>
    <t>1Q</t>
  </si>
  <si>
    <t>2Q</t>
  </si>
  <si>
    <t>3Q</t>
  </si>
  <si>
    <t>4Q</t>
  </si>
  <si>
    <t>4QE</t>
  </si>
  <si>
    <t>Total Revenue</t>
  </si>
  <si>
    <t>% Change</t>
  </si>
  <si>
    <t>Other</t>
  </si>
  <si>
    <t>EBITDA</t>
  </si>
  <si>
    <t>Total EBITDA</t>
  </si>
  <si>
    <t>Operating Margin</t>
  </si>
  <si>
    <t>Depreciation Expense</t>
  </si>
  <si>
    <t>As % of Revenue</t>
  </si>
  <si>
    <t>EBITA</t>
  </si>
  <si>
    <t>Amortization of Intangibles</t>
  </si>
  <si>
    <t>EBIT</t>
  </si>
  <si>
    <t>Capital Expenditures</t>
  </si>
  <si>
    <t>Total Depreciation and amortization</t>
  </si>
  <si>
    <t>Theme Parks</t>
  </si>
  <si>
    <t>Publishing</t>
  </si>
  <si>
    <t>% Margin</t>
  </si>
  <si>
    <t>% growth</t>
  </si>
  <si>
    <t>Depreciation</t>
  </si>
  <si>
    <t>Infinity</t>
  </si>
  <si>
    <t>CBS Network</t>
  </si>
  <si>
    <t>CBS Stations</t>
  </si>
  <si>
    <t>Online</t>
  </si>
  <si>
    <t>Note: Open Production &amp; Syndication before adding rows</t>
  </si>
  <si>
    <t>Total Non O&amp;O HH</t>
  </si>
  <si>
    <t>CSI: Miami (2nd Cycle)</t>
  </si>
  <si>
    <t xml:space="preserve">Monthly Fee per Subscriber </t>
  </si>
  <si>
    <t>Hawaii Five-O</t>
  </si>
  <si>
    <t>'10/'11</t>
  </si>
  <si>
    <t xml:space="preserve">Entertainment </t>
  </si>
  <si>
    <t xml:space="preserve">Cable Networks </t>
  </si>
  <si>
    <t xml:space="preserve">Theme Parks </t>
  </si>
  <si>
    <t xml:space="preserve">CBS Network </t>
  </si>
  <si>
    <t xml:space="preserve">Broadcast Network </t>
  </si>
  <si>
    <t xml:space="preserve">TV Prod. &amp; Synd. </t>
  </si>
  <si>
    <t xml:space="preserve">Interactive </t>
  </si>
  <si>
    <t xml:space="preserve">Showtime </t>
  </si>
  <si>
    <t xml:space="preserve">CSTV </t>
  </si>
  <si>
    <t xml:space="preserve">TV Stations </t>
  </si>
  <si>
    <t xml:space="preserve">Local Broadcasting </t>
  </si>
  <si>
    <t xml:space="preserve">International </t>
  </si>
  <si>
    <t>REVENUE</t>
  </si>
  <si>
    <t>E = Morgan Stanley Estimates</t>
  </si>
  <si>
    <t>Dividend Yield</t>
  </si>
  <si>
    <t>Depreciation &amp; Amortization</t>
  </si>
  <si>
    <t>Cable Networks</t>
  </si>
  <si>
    <t>Content Group</t>
  </si>
  <si>
    <t>Local Broadcasting</t>
  </si>
  <si>
    <t>TOTAL LOCAL GROUP EBIT</t>
  </si>
  <si>
    <t>D&amp;A Check</t>
  </si>
  <si>
    <t>Total Segment D&amp;A</t>
  </si>
  <si>
    <t>Corporate D&amp;A</t>
  </si>
  <si>
    <t>Total D&amp;A</t>
  </si>
  <si>
    <t>TOTAL CONTENT GROUP EBIT</t>
  </si>
  <si>
    <t>Total Local Group D&amp;A</t>
  </si>
  <si>
    <t>% of revenue</t>
  </si>
  <si>
    <t>Depreciation and Amortization Reconciliation</t>
  </si>
  <si>
    <t>Corporate &amp; Other</t>
  </si>
  <si>
    <t>Total</t>
  </si>
  <si>
    <t>Amortization</t>
  </si>
  <si>
    <t>Advertising Revenues</t>
  </si>
  <si>
    <t>Radio &amp; Outdoor</t>
  </si>
  <si>
    <t>Total Advertising Revenue</t>
  </si>
  <si>
    <t>NA</t>
  </si>
  <si>
    <t>Revenue</t>
  </si>
  <si>
    <t>% of Revenue</t>
  </si>
  <si>
    <t>% of total</t>
  </si>
  <si>
    <t>($ Millions Except Per Data)</t>
  </si>
  <si>
    <t>1995</t>
  </si>
  <si>
    <t>1996</t>
  </si>
  <si>
    <t>Cash Tax Benefit</t>
  </si>
  <si>
    <t>Operating Cash Flow</t>
  </si>
  <si>
    <t xml:space="preserve">  % growth</t>
  </si>
  <si>
    <t xml:space="preserve">  % growth of license fee</t>
  </si>
  <si>
    <t>Total revenue</t>
  </si>
  <si>
    <t>SG&amp;A</t>
  </si>
  <si>
    <t>Total expenses</t>
  </si>
  <si>
    <t>Cash flow</t>
  </si>
  <si>
    <t xml:space="preserve">  % growth of cash flow</t>
  </si>
  <si>
    <t>% of revenues</t>
  </si>
  <si>
    <t>Free Cash Flow</t>
  </si>
  <si>
    <t>Showtime Networks Domestic Operating Cash Flow</t>
  </si>
  <si>
    <t>2001</t>
  </si>
  <si>
    <t>2002</t>
  </si>
  <si>
    <t>2003</t>
  </si>
  <si>
    <t>2004</t>
  </si>
  <si>
    <t xml:space="preserve">Americas Outdoor </t>
  </si>
  <si>
    <t>Year-end premium subs</t>
  </si>
  <si>
    <t>Average premium subs</t>
  </si>
  <si>
    <t>Investment in Affiliates included in FCF</t>
  </si>
  <si>
    <t>Average license fee/sub/month</t>
  </si>
  <si>
    <t>Subscriber license fees</t>
  </si>
  <si>
    <t>Ancillary revenues</t>
  </si>
  <si>
    <t>Movie acquisition costs</t>
  </si>
  <si>
    <t>Other programming expenses</t>
  </si>
  <si>
    <t>Sales and marketing</t>
  </si>
  <si>
    <t>General and Admin. Oper. Exp.</t>
  </si>
  <si>
    <t>Supplemental Information</t>
  </si>
  <si>
    <t>NCIS:LA</t>
  </si>
  <si>
    <t>Total Payout Ratio as % of Fully Taxed FCF</t>
  </si>
  <si>
    <t>Dividend Payout Ratio as % of Fully Taxed FCF</t>
  </si>
  <si>
    <t>2Q12</t>
  </si>
  <si>
    <t>As % of fully taxed FCF</t>
  </si>
  <si>
    <t>% increase</t>
  </si>
  <si>
    <t>Other operating expenses</t>
  </si>
  <si>
    <t>Revenue growth (ex-Superbowl)</t>
  </si>
  <si>
    <t>Expense growth (ex-Superbowl)</t>
  </si>
  <si>
    <t>Superbowl costs</t>
  </si>
  <si>
    <t>Difference</t>
  </si>
  <si>
    <t>Incremental Superbowl revenues</t>
  </si>
  <si>
    <t xml:space="preserve">  </t>
  </si>
  <si>
    <t>Original productions</t>
  </si>
  <si>
    <t>3.375% Senior Notes due 2022</t>
  </si>
  <si>
    <t>Original Production Costs</t>
  </si>
  <si>
    <t>Minority Interests</t>
  </si>
  <si>
    <t>Other Liabilities</t>
  </si>
  <si>
    <t>Total Equity</t>
  </si>
  <si>
    <t>Total Liabilities &amp; Equity</t>
  </si>
  <si>
    <t>Common Stock</t>
  </si>
  <si>
    <t>Total Assets</t>
  </si>
  <si>
    <t>Net Debt/Current Year EBITDA</t>
  </si>
  <si>
    <t>Issuance/Reduction of Long-Term Debt</t>
  </si>
  <si>
    <t>Reverse Fee / Sub / Month to CBS</t>
  </si>
  <si>
    <t>Other Current Liabilities</t>
  </si>
  <si>
    <t>Effective Tax Rate</t>
  </si>
  <si>
    <t>Revenue and Operating Cash Flow</t>
  </si>
  <si>
    <t>($ in Millions)</t>
  </si>
  <si>
    <t>2000</t>
  </si>
  <si>
    <t>Total Segment Revenue</t>
  </si>
  <si>
    <t>Total EBIT</t>
  </si>
  <si>
    <t>Two and a Half Men</t>
  </si>
  <si>
    <t>Pro-Forma</t>
  </si>
  <si>
    <t>2000 PF for BET</t>
  </si>
  <si>
    <t>2002 Actual</t>
  </si>
  <si>
    <t>2003 Actual</t>
  </si>
  <si>
    <t>2004 Actual</t>
  </si>
  <si>
    <t>2004 Pro Forma for Split</t>
  </si>
  <si>
    <t>1994PF</t>
  </si>
  <si>
    <t>Growth %</t>
  </si>
  <si>
    <t>Fixed Cost</t>
  </si>
  <si>
    <t>%</t>
  </si>
  <si>
    <t>2010</t>
  </si>
  <si>
    <t>Var. Cost</t>
  </si>
  <si>
    <t>Programming Cost</t>
  </si>
  <si>
    <t>Unconsolidated Operations</t>
  </si>
  <si>
    <t xml:space="preserve">   Total Estimated Value</t>
  </si>
  <si>
    <t>Shares issued upon conv. of Stk Options</t>
  </si>
  <si>
    <t xml:space="preserve">   Total Shares</t>
  </si>
  <si>
    <t>Upside from Last Close</t>
  </si>
  <si>
    <t>Last Close</t>
  </si>
  <si>
    <t>EV / Current EBITDA</t>
  </si>
  <si>
    <t>EV / Fwd EBITDA</t>
  </si>
  <si>
    <t>Total Operating Expenses</t>
  </si>
  <si>
    <t>Other unconsolidated investments</t>
  </si>
  <si>
    <t>Other Unconsolidated Investments</t>
  </si>
  <si>
    <t>FAS 123 Stock Expense</t>
  </si>
  <si>
    <t>Westwood One (16% of common shares)</t>
  </si>
  <si>
    <t>Changes in Opening Cash Balance</t>
  </si>
  <si>
    <t>2006</t>
  </si>
  <si>
    <t>2007</t>
  </si>
  <si>
    <t>Net Income Per Share from Continuing Ops.</t>
  </si>
  <si>
    <t>Total Estimated Unconsolidated Asset Value</t>
  </si>
  <si>
    <t>Depreciation as % of Revenue</t>
  </si>
  <si>
    <t>as % of Revenue</t>
  </si>
  <si>
    <t>Supplemental Data</t>
  </si>
  <si>
    <t>'13/'14</t>
  </si>
  <si>
    <t>2013/2014</t>
  </si>
  <si>
    <t>$1.6bn issued for CBSO (3 pieces, avg rate 4.23%</t>
  </si>
  <si>
    <t>2013PF</t>
  </si>
  <si>
    <t>2014PF</t>
  </si>
  <si>
    <t>2013</t>
  </si>
  <si>
    <t>Total EBITDA (pro forma)</t>
  </si>
  <si>
    <t>Total Forward EBITDA (pro forma)</t>
  </si>
  <si>
    <t>Recurring EPS (pro forma)</t>
  </si>
  <si>
    <t>Forward Recurring EPS (pro forma)</t>
  </si>
  <si>
    <t>Recurring FCF (pro forma)</t>
  </si>
  <si>
    <t>Forward Recurring FCF (pro forma)</t>
  </si>
  <si>
    <t>Forward Fully-taxed FCF (pro forma)</t>
  </si>
  <si>
    <t>2012A</t>
  </si>
  <si>
    <t>2013A</t>
  </si>
  <si>
    <t>Network PT expense growth</t>
  </si>
  <si>
    <t>Studio margins</t>
  </si>
  <si>
    <t>Bull case debt issued</t>
  </si>
  <si>
    <t>Special Distribution Received from Subsidiary</t>
  </si>
  <si>
    <t>Pro forma for Outdoor split off</t>
  </si>
  <si>
    <t>Growth</t>
  </si>
  <si>
    <t>n.a.</t>
  </si>
  <si>
    <t>Eliminations</t>
  </si>
  <si>
    <t>Total Segment EBITDA</t>
  </si>
  <si>
    <t>Corporate Expenses</t>
  </si>
  <si>
    <t>Total EBITA</t>
  </si>
  <si>
    <t>Total Revenues</t>
  </si>
  <si>
    <t>Total Big 27 broadcast gross ad revenue</t>
  </si>
  <si>
    <t>Selling, General and Administrative Expenses</t>
  </si>
  <si>
    <t>Minority Interest, Net of Tax</t>
  </si>
  <si>
    <t>Earnings (Loss) from Discontinued Operations</t>
  </si>
  <si>
    <t>Income Tax on Earnings from Discontinued Operations</t>
  </si>
  <si>
    <t>Net Earnings (Loss) from Discontinued Operations</t>
  </si>
  <si>
    <t>Average Unvested Restricted Share Units (RSUs)</t>
  </si>
  <si>
    <t>Phantom Shares</t>
  </si>
  <si>
    <t>Net Dilutive Effect of Options (Treasury Stock Method)</t>
  </si>
  <si>
    <t>2007 PF</t>
  </si>
  <si>
    <t>2008 PF</t>
  </si>
  <si>
    <t>Options Cancelled</t>
  </si>
  <si>
    <t>Tax Shield</t>
  </si>
  <si>
    <t>Options</t>
  </si>
  <si>
    <t xml:space="preserve">CBS  </t>
  </si>
  <si>
    <t>Current Stock Price</t>
  </si>
  <si>
    <t>Total Reported EBITA before FAS 123 Expense</t>
  </si>
  <si>
    <t>Pre-Tax Income before FAS 123 Expense</t>
  </si>
  <si>
    <t>Net Effect of Accounting Change</t>
  </si>
  <si>
    <t>Net Income from Continuing Ops.  before FAS 123 Expense</t>
  </si>
  <si>
    <t>Net Income from Continuing Ops. After FAS 123 Expense</t>
  </si>
  <si>
    <t>Prepaid Expenses</t>
  </si>
  <si>
    <t>Current Assets of Discontinued Operations</t>
  </si>
  <si>
    <t>Accumulated Depreciation &amp; Amortization</t>
  </si>
  <si>
    <t>Inventory</t>
  </si>
  <si>
    <t>Deferred Tax Asset, Net</t>
  </si>
  <si>
    <t>Other Assets of Discontinued Operations</t>
  </si>
  <si>
    <t>Accrued Expenses</t>
  </si>
  <si>
    <t>Accrued Compensation</t>
  </si>
  <si>
    <t>Participants' Share, Residuals and Royalties Payable</t>
  </si>
  <si>
    <t>Program Rights</t>
  </si>
  <si>
    <t>Deferred Income</t>
  </si>
  <si>
    <t>Current Liabilities of Discontinued Operations</t>
  </si>
  <si>
    <t>Other Liabilities of Discontinued Operations</t>
  </si>
  <si>
    <t>Minority Interests of Discontinued Operations</t>
  </si>
  <si>
    <t>Less: Net Income (Loss) from Discontinued Operations</t>
  </si>
  <si>
    <t>Non-cash interest expense</t>
  </si>
  <si>
    <t>Mr. Food</t>
  </si>
  <si>
    <t>The Doctors</t>
  </si>
  <si>
    <t>08/09</t>
  </si>
  <si>
    <t>Bull</t>
  </si>
  <si>
    <t>Base</t>
  </si>
  <si>
    <t>Bear</t>
  </si>
  <si>
    <t>Base Case</t>
  </si>
  <si>
    <t>Bull Case</t>
  </si>
  <si>
    <t>Less: Effect of Accounting Change, Net</t>
  </si>
  <si>
    <t>Net Income (Loss) from Continuing Operations</t>
  </si>
  <si>
    <t>Distributions from Affiliated Companies</t>
  </si>
  <si>
    <t>Exercise Price</t>
  </si>
  <si>
    <t>Implied Proceeds</t>
  </si>
  <si>
    <t>Forecasted Share Price</t>
  </si>
  <si>
    <t>Tax Shield plus Implied Proceeds</t>
  </si>
  <si>
    <t>Shares Repurchased Under GAAP Treas. Method</t>
  </si>
  <si>
    <t xml:space="preserve">   Other Assets</t>
  </si>
  <si>
    <t xml:space="preserve">NCIS </t>
  </si>
  <si>
    <t>Ownership</t>
  </si>
  <si>
    <t>Privileged</t>
  </si>
  <si>
    <t>2009/2010</t>
  </si>
  <si>
    <t xml:space="preserve">   Income Taxes Payable </t>
  </si>
  <si>
    <t xml:space="preserve">   Deferred Income</t>
  </si>
  <si>
    <t xml:space="preserve">   Other, Net</t>
  </si>
  <si>
    <t xml:space="preserve">   Net Operating Cash Flow from Discontinued Operations</t>
  </si>
  <si>
    <t xml:space="preserve">   Film Inventory</t>
  </si>
  <si>
    <t>Gary Unmarried</t>
  </si>
  <si>
    <t>Ghost Whisperer</t>
  </si>
  <si>
    <t>The Cleaner</t>
  </si>
  <si>
    <t>Amazing Race</t>
  </si>
  <si>
    <t xml:space="preserve">   Investment in Program Rights </t>
  </si>
  <si>
    <t xml:space="preserve">   Other Inventories</t>
  </si>
  <si>
    <t>CBS EPS ex-stock comp</t>
  </si>
  <si>
    <t xml:space="preserve">   Other Accounts Payable and Accrued Liabilities</t>
  </si>
  <si>
    <t>Net Investing Cash Flow from Discontinued Operations</t>
  </si>
  <si>
    <t>Long Term Debt</t>
  </si>
  <si>
    <t>Current Liabilities, excl. ST Debt and Capital Leases</t>
  </si>
  <si>
    <t>Payment of Capital Lease Obligations</t>
  </si>
  <si>
    <t>Dividends (Cash Only)</t>
  </si>
  <si>
    <t>Net Financing Cash Flow from Discontinued Operations</t>
  </si>
  <si>
    <t>Debt</t>
  </si>
  <si>
    <t>Interest Rate</t>
  </si>
  <si>
    <t>4Q12</t>
  </si>
  <si>
    <t>Pension &amp; Postretirement Benefit Obligations</t>
  </si>
  <si>
    <t xml:space="preserve">   Released</t>
  </si>
  <si>
    <t xml:space="preserve">   Completed and Not Released</t>
  </si>
  <si>
    <t xml:space="preserve">   In Production</t>
  </si>
  <si>
    <t>Merchandise Inventory</t>
  </si>
  <si>
    <t>Total Current Inventory</t>
  </si>
  <si>
    <t xml:space="preserve">% CBS Change </t>
  </si>
  <si>
    <t xml:space="preserve">% CW Change </t>
  </si>
  <si>
    <t xml:space="preserve">% Total Change </t>
  </si>
  <si>
    <t>Total Non-Current Inventory</t>
  </si>
  <si>
    <t>Total Inventory (Current and Long Term)</t>
  </si>
  <si>
    <t>Total Theatrical Inventory</t>
  </si>
  <si>
    <t>3Q12</t>
  </si>
  <si>
    <t>Debt/EBITDA after FAS 123 Expense</t>
  </si>
  <si>
    <t>Pre-Tax Income after FAS 123 Expense</t>
  </si>
  <si>
    <t xml:space="preserve">Total Tax Provision </t>
  </si>
  <si>
    <t xml:space="preserve">   In Development or Pre-Production</t>
  </si>
  <si>
    <t>Theatrical Inventory</t>
  </si>
  <si>
    <t>As % of Total Inventory</t>
  </si>
  <si>
    <t>Estimated Fair Market Value</t>
  </si>
  <si>
    <t>Tax Analysis</t>
  </si>
  <si>
    <t xml:space="preserve">    Current Taxes</t>
  </si>
  <si>
    <t>% of Current Taxes</t>
  </si>
  <si>
    <t>% of Deferred Taxes</t>
  </si>
  <si>
    <t>Tax rate</t>
  </si>
  <si>
    <t>Taxes from tax rate</t>
  </si>
  <si>
    <t>Tax "overage"</t>
  </si>
  <si>
    <t>Adjustment to income: tax overage grossed up</t>
  </si>
  <si>
    <t>Nonrecuring adjustments</t>
  </si>
  <si>
    <t>Adjusted Tax Rate</t>
  </si>
  <si>
    <t>Deferred Tax Assets, Long Term</t>
  </si>
  <si>
    <t>The Ghost Whisperer</t>
  </si>
  <si>
    <t>ION, NBC, WE</t>
  </si>
  <si>
    <t>Nick at Nite</t>
  </si>
  <si>
    <t>'09/'10</t>
  </si>
  <si>
    <t>ION, A&amp;E</t>
  </si>
  <si>
    <t>Nonrecurring Tax (Expense) / Benefit</t>
  </si>
  <si>
    <t>F2010</t>
  </si>
  <si>
    <t>Total Other</t>
  </si>
  <si>
    <t>Total Affiliate and Subscription Revenue</t>
  </si>
  <si>
    <t>Deferred Tax Assets, Short Term</t>
  </si>
  <si>
    <t>F2008</t>
  </si>
  <si>
    <t>F2007</t>
  </si>
  <si>
    <t>Participants' Share, Residuals and Royalties Payable, ST</t>
  </si>
  <si>
    <t>Output Deal Title Counts</t>
  </si>
  <si>
    <t>MGM</t>
  </si>
  <si>
    <t>Lionsgate</t>
  </si>
  <si>
    <t>Paramount Vantage</t>
  </si>
  <si>
    <t>United Artists</t>
  </si>
  <si>
    <t># of First Run Movies Purchased</t>
  </si>
  <si>
    <t>Total PT Hours Purchased</t>
  </si>
  <si>
    <t>% of PT Hours</t>
  </si>
  <si>
    <t>Original Programming Hours</t>
  </si>
  <si>
    <t>Implied 2nd Run Hours</t>
  </si>
  <si>
    <t>Total Movie Acquisition Costs</t>
  </si>
  <si>
    <t>Movie Acquisitions Expense</t>
  </si>
  <si>
    <t>Total Programming Costs</t>
  </si>
  <si>
    <t>PPV/VOD Revenue Per Movie</t>
  </si>
  <si>
    <t>Programming Cost Analysis</t>
  </si>
  <si>
    <t>Movie acquisition costs Per Film</t>
  </si>
  <si>
    <t>Participants' Share, Residuals and Royalties Payable, LT</t>
  </si>
  <si>
    <t>Program Rights, ST</t>
  </si>
  <si>
    <t>Change in Short-Term Debt</t>
  </si>
  <si>
    <t>Terminal EBITDA</t>
  </si>
  <si>
    <t>Other Long Term Assets</t>
  </si>
  <si>
    <t>Inventory, Short Term</t>
  </si>
  <si>
    <t>Inventory, Long Term</t>
  </si>
  <si>
    <t xml:space="preserve">Total Interest Expense </t>
  </si>
  <si>
    <t xml:space="preserve">Total Reported EBITA </t>
  </si>
  <si>
    <t>Pre-Tax Income</t>
  </si>
  <si>
    <t>Marginal Tax Rate</t>
  </si>
  <si>
    <t xml:space="preserve">Total Reported EBIT </t>
  </si>
  <si>
    <t>Tax Provision</t>
  </si>
  <si>
    <t>Net Income from Continuing Ops.</t>
  </si>
  <si>
    <t>Net Income before Acctg. Change</t>
  </si>
  <si>
    <t>Reported Net Income</t>
  </si>
  <si>
    <t>Reported Net Income per Avg. Basic Share</t>
  </si>
  <si>
    <t>Total Reported EBITA after FAS 123 Expense</t>
  </si>
  <si>
    <t>FAS 123R as % of EBITA</t>
  </si>
  <si>
    <t>FAS 123R as % of Pre-tax Income</t>
  </si>
  <si>
    <t>FAS 123R as % of Net Income</t>
  </si>
  <si>
    <t>Adjusted Net Income per Avg. Diluted Share before FAS 123</t>
  </si>
  <si>
    <t>Adjusted Net Income per Avg. Diluted Share after FAS 123</t>
  </si>
  <si>
    <t>Reported Net Income from Cont. Opers.</t>
  </si>
  <si>
    <t>Add:  Nonrecurring Losses/(Income)</t>
  </si>
  <si>
    <t>Add: Nonrecurring Tax Expense / (Benefit)</t>
  </si>
  <si>
    <t>Old Viacom</t>
  </si>
  <si>
    <t xml:space="preserve">Treasury Stock </t>
  </si>
  <si>
    <t>Additional Paid-In Capital</t>
  </si>
  <si>
    <t>Adjustments</t>
  </si>
  <si>
    <t>Short-Term Debt, incl. Capital Leases</t>
  </si>
  <si>
    <t xml:space="preserve">Reported taxable income </t>
  </si>
  <si>
    <t>Film and Television Inventory and Program Rights</t>
  </si>
  <si>
    <t>Television Inventory</t>
  </si>
  <si>
    <t xml:space="preserve">   In-Process and Other</t>
  </si>
  <si>
    <t>Total Television Inventory</t>
  </si>
  <si>
    <t>Beginning CNET NOL</t>
  </si>
  <si>
    <t>NOL Used in Current Year</t>
  </si>
  <si>
    <t>Ending NOL</t>
  </si>
  <si>
    <t>Pre-tax income</t>
  </si>
  <si>
    <t>Taxable Income</t>
  </si>
  <si>
    <t>Impairment Charge</t>
  </si>
  <si>
    <t>Gain on Sale and Other Items, Net</t>
  </si>
  <si>
    <t xml:space="preserve">Amortization of Deferred Financing Costs </t>
  </si>
  <si>
    <t xml:space="preserve"> Adjusted Pro Forma 2000</t>
  </si>
  <si>
    <t>Parks and Publishing</t>
  </si>
  <si>
    <t>PF 2000E</t>
  </si>
  <si>
    <t>Radio/Outdoor</t>
  </si>
  <si>
    <t>Radio</t>
  </si>
  <si>
    <t>Outdoor</t>
  </si>
  <si>
    <t>Radio % Change</t>
  </si>
  <si>
    <t>Outdoor % Change</t>
  </si>
  <si>
    <t>Television</t>
  </si>
  <si>
    <t>UPN</t>
  </si>
  <si>
    <t>Broadcast Network Revenue</t>
  </si>
  <si>
    <t>TV Station Revenue</t>
  </si>
  <si>
    <t>King World</t>
  </si>
  <si>
    <t>Paramount Television</t>
  </si>
  <si>
    <t>TV Prod. &amp; Synd. Revenue</t>
  </si>
  <si>
    <t>Showtime Revenue</t>
  </si>
  <si>
    <t>Total Television Revenue</t>
  </si>
  <si>
    <t>Broadcast Network EBITDA</t>
  </si>
  <si>
    <t>Inputs</t>
  </si>
  <si>
    <t>% Margin - Total Broadcast Networks</t>
  </si>
  <si>
    <t>F2013</t>
  </si>
  <si>
    <t>Period End Basic Shares</t>
  </si>
  <si>
    <t>F2014</t>
  </si>
  <si>
    <t>% Margin - CBS Network</t>
  </si>
  <si>
    <t>% Margin - UPN Network</t>
  </si>
  <si>
    <t>TV Stations EBITDA</t>
  </si>
  <si>
    <t>% Margin- Total TV Stations</t>
  </si>
  <si>
    <t>% Margin - CBS Stations</t>
  </si>
  <si>
    <t xml:space="preserve">% Margin   </t>
  </si>
  <si>
    <t>TV Prod. &amp; Synd. EBITDA</t>
  </si>
  <si>
    <t>2020E</t>
  </si>
  <si>
    <t>Showtime EBITDA</t>
  </si>
  <si>
    <t>Total Television EBITDA</t>
  </si>
  <si>
    <t>Total Depreciation &amp; Amortization</t>
  </si>
  <si>
    <t>Parks and Pubilshing</t>
  </si>
  <si>
    <t>CBS Interactive Cost of Sales</t>
  </si>
  <si>
    <t>Radio Maintenance Capex</t>
  </si>
  <si>
    <t>Outdoor Maintenance Capex</t>
  </si>
  <si>
    <t>Paramount Station Group</t>
  </si>
  <si>
    <t>CBS Station Group</t>
  </si>
  <si>
    <t>CBS TV Network</t>
  </si>
  <si>
    <t>Primetime</t>
  </si>
  <si>
    <t>Sports</t>
  </si>
  <si>
    <t>Programming Costs</t>
  </si>
  <si>
    <t>Gross Profits</t>
  </si>
  <si>
    <t>Total Network</t>
  </si>
  <si>
    <t xml:space="preserve">  % of revenue</t>
  </si>
  <si>
    <t>Network Affiliate Compensation</t>
  </si>
  <si>
    <t>Network Aff. Comp. as % Rev.</t>
  </si>
  <si>
    <t>SG&amp;A as % of Rev.</t>
  </si>
  <si>
    <t>Operating Income</t>
  </si>
  <si>
    <t>EBIT Margin</t>
  </si>
  <si>
    <t>Capital Expd. as % of Rev.</t>
  </si>
  <si>
    <t>Free Cash Flow as % Rev.</t>
  </si>
  <si>
    <t>Hours of Prog. per Week</t>
  </si>
  <si>
    <t>Minutes of Advertising per Hour</t>
  </si>
  <si>
    <t>Residual Costs of Discontinued Businesses</t>
  </si>
  <si>
    <t>Advertising Spots (30 sec. per spot)</t>
  </si>
  <si>
    <t>Revenue per Spot</t>
  </si>
  <si>
    <t>Household Rating</t>
  </si>
  <si>
    <t>Avg. Households (000)</t>
  </si>
  <si>
    <t>Household CPM</t>
  </si>
  <si>
    <t>Adult 18-49 Rating</t>
  </si>
  <si>
    <t>N.A.</t>
  </si>
  <si>
    <t xml:space="preserve">                                                                                                                                                                                                    </t>
  </si>
  <si>
    <t>Avg. Adults 18-49</t>
  </si>
  <si>
    <t>Adj. Fully Diluted EPS</t>
  </si>
  <si>
    <t>Adult 18-49 CPM</t>
  </si>
  <si>
    <t>Estimated CBS CPM</t>
  </si>
  <si>
    <t>Advertising Spots</t>
  </si>
  <si>
    <t>Avg. Households</t>
  </si>
  <si>
    <t>Aggregate US Data</t>
  </si>
  <si>
    <t>2023E</t>
  </si>
  <si>
    <t>2024E</t>
  </si>
  <si>
    <t>TV Households - Sept 30 Avg. (000)</t>
  </si>
  <si>
    <t>TV Households - Prev. Dec. 31 Yr. End.</t>
  </si>
  <si>
    <t>Adults 18-49</t>
  </si>
  <si>
    <t>Women 18-49 per Household</t>
  </si>
  <si>
    <t>Men 18-49 per Household</t>
  </si>
  <si>
    <t>Broadcast TV-Owned and Operated Stations</t>
  </si>
  <si>
    <t>Depreciation as % of Rev.</t>
  </si>
  <si>
    <t xml:space="preserve">   % of Total</t>
  </si>
  <si>
    <t xml:space="preserve">   % Growth</t>
  </si>
  <si>
    <t>Net revenues</t>
  </si>
  <si>
    <t>Other revenues</t>
  </si>
  <si>
    <t>Engineering Expense</t>
  </si>
  <si>
    <t>Program expense</t>
  </si>
  <si>
    <t>Production expense</t>
  </si>
  <si>
    <t>News expense</t>
  </si>
  <si>
    <t>Sales expense</t>
  </si>
  <si>
    <t>Advertising &amp; Promotion</t>
  </si>
  <si>
    <t>Total Recurring EBITDA</t>
  </si>
  <si>
    <t>Total Recurring EBITDA after SBC</t>
  </si>
  <si>
    <t>General &amp; Administrative</t>
  </si>
  <si>
    <t>Total estimated station operating costs</t>
  </si>
  <si>
    <t>Incremental Margins</t>
  </si>
  <si>
    <t>Broadcast Network</t>
  </si>
  <si>
    <t>TV Prod. &amp; Synd.</t>
  </si>
  <si>
    <t>TOTAL CONTENT GROUP</t>
  </si>
  <si>
    <t>TOTAL LOCAL GROUP</t>
  </si>
  <si>
    <t>Film</t>
  </si>
  <si>
    <t>Other-iTunes etc</t>
  </si>
  <si>
    <t>Showtime (ex-home video)</t>
  </si>
  <si>
    <t>2011/2012</t>
  </si>
  <si>
    <t>F2012</t>
  </si>
  <si>
    <t>Shows in Production in '10-'11 Season</t>
  </si>
  <si>
    <t>Life Unexpected</t>
  </si>
  <si>
    <t>Blue Bloods</t>
  </si>
  <si>
    <t>Defenders</t>
  </si>
  <si>
    <t>Hawaii 5-0</t>
  </si>
  <si>
    <t>Hellcats</t>
  </si>
  <si>
    <t>Betwixt</t>
  </si>
  <si>
    <t>HMS</t>
  </si>
  <si>
    <t>Nomads</t>
  </si>
  <si>
    <t>The Damn Thorpes</t>
  </si>
  <si>
    <t>Radio Opex Growth</t>
  </si>
  <si>
    <t>Current Price</t>
  </si>
  <si>
    <t>Class A Common Stock - Shares Outstanding</t>
  </si>
  <si>
    <t>Total Market Value</t>
  </si>
  <si>
    <t>Total Debt and Preferred Equity (excl. Collateralized Debt)</t>
  </si>
  <si>
    <t>Minority Interest</t>
  </si>
  <si>
    <t>Cash + Marketable Securities</t>
  </si>
  <si>
    <t>Cash from Stock Options (a)</t>
  </si>
  <si>
    <t>Unconsolidated/ Other Assets</t>
  </si>
  <si>
    <t xml:space="preserve">     Total Other Assets</t>
  </si>
  <si>
    <t>Enterprise Value</t>
  </si>
  <si>
    <t>EV / EBITDA</t>
  </si>
  <si>
    <t>EV / Forward EBITDA</t>
  </si>
  <si>
    <t>P / FCF</t>
  </si>
  <si>
    <t>Unlevered Free Cash Flow</t>
  </si>
  <si>
    <t>Enterprise Value / Free Cash Flow</t>
  </si>
  <si>
    <t>Levered Free Cash Flow</t>
  </si>
  <si>
    <t>Net Market Cap. / Free Cash Flow</t>
  </si>
  <si>
    <t>CBS- Stock Price</t>
  </si>
  <si>
    <t>Class B Common Stock- Shares Outstanding</t>
  </si>
  <si>
    <t>Recurring Dividend</t>
  </si>
  <si>
    <t>Secret Circle</t>
  </si>
  <si>
    <t>Expenses as % of Net Revenues</t>
  </si>
  <si>
    <t>1995PF</t>
  </si>
  <si>
    <t>1996PF</t>
  </si>
  <si>
    <t>TV stations</t>
  </si>
  <si>
    <t>Radio stations</t>
  </si>
  <si>
    <t>Broadcasting</t>
  </si>
  <si>
    <t>Operating Cash Flow Margins</t>
  </si>
  <si>
    <t>15 TV Stations</t>
  </si>
  <si>
    <t>1997PF</t>
  </si>
  <si>
    <t>Aggregate Paramount Markets</t>
  </si>
  <si>
    <t>Total Gross Market Revenues</t>
  </si>
  <si>
    <t>%Change</t>
  </si>
  <si>
    <t>Total Net Market Revenues</t>
  </si>
  <si>
    <t>PSG Gross Market Rev. Share</t>
  </si>
  <si>
    <t>PSG Net Market Rev. Share</t>
  </si>
  <si>
    <t>Audience Share</t>
  </si>
  <si>
    <t>Gross Rev. Share / Audience Share</t>
  </si>
  <si>
    <t>Est. Gross Revenues</t>
  </si>
  <si>
    <t xml:space="preserve">Radio </t>
  </si>
  <si>
    <t xml:space="preserve">Outdoor </t>
  </si>
  <si>
    <t xml:space="preserve">Broadcast Network Revenue </t>
  </si>
  <si>
    <t xml:space="preserve">% Margin </t>
  </si>
  <si>
    <t>CW / Other Stations</t>
  </si>
  <si>
    <t>% Margin - CW / Other Stations</t>
  </si>
  <si>
    <t xml:space="preserve">Net Dilutive Effect of Stock Options </t>
  </si>
  <si>
    <t xml:space="preserve">% Organic Growth </t>
  </si>
  <si>
    <t xml:space="preserve">% Total Growth </t>
  </si>
  <si>
    <t xml:space="preserve">% FX Impact </t>
  </si>
  <si>
    <t>$/ep (MSe)</t>
  </si>
  <si>
    <t>Estimated number of episodes delivered</t>
  </si>
  <si>
    <t>Good Wife: Multi-Platform Syndication, First 5 Seasons</t>
  </si>
  <si>
    <t>Morgan Stanley Prior Forecast</t>
  </si>
  <si>
    <t xml:space="preserve">Consolidated Results </t>
  </si>
  <si>
    <t xml:space="preserve">Total Revenues </t>
  </si>
  <si>
    <t xml:space="preserve">Total EBITDA </t>
  </si>
  <si>
    <t xml:space="preserve">Total Segment Revenues </t>
  </si>
  <si>
    <t>3QE</t>
  </si>
  <si>
    <t xml:space="preserve">Eliminations </t>
  </si>
  <si>
    <t xml:space="preserve">Total Segment EBITDA </t>
  </si>
  <si>
    <t>Net as % of Gross Revenue</t>
  </si>
  <si>
    <t>Reported Net Revenue</t>
  </si>
  <si>
    <t>Operating Costs</t>
  </si>
  <si>
    <t>U.S. Aggregate Market Rev. and TVHH</t>
  </si>
  <si>
    <t xml:space="preserve">Total Households in Paramount Markets </t>
  </si>
  <si>
    <t>% Coverage</t>
  </si>
  <si>
    <t>December Year End</t>
  </si>
  <si>
    <t>Total US Stations Gross Advertising Revenue</t>
  </si>
  <si>
    <t>Total US Stations Net Advertising Revenue</t>
  </si>
  <si>
    <t>Paramount Gross Market Rev. as % of Total</t>
  </si>
  <si>
    <t>Paramount Net Market Rev. as % of Total</t>
  </si>
  <si>
    <t>x</t>
  </si>
  <si>
    <t>Supplemental  Information</t>
  </si>
  <si>
    <t>Check</t>
  </si>
  <si>
    <t>Retrans</t>
  </si>
  <si>
    <t>NW ex retrans</t>
  </si>
  <si>
    <t>Stations ex retrans</t>
  </si>
  <si>
    <t>Frasier (3rd Cycle)</t>
  </si>
  <si>
    <t>2008</t>
  </si>
  <si>
    <t>Paramount</t>
  </si>
  <si>
    <t>Subscriber breakout</t>
  </si>
  <si>
    <t>The Movie Channel</t>
  </si>
  <si>
    <t>FLIX</t>
  </si>
  <si>
    <t>Total subscriber</t>
  </si>
  <si>
    <t>Subscriber growth %</t>
  </si>
  <si>
    <t>Average monthly license fees</t>
  </si>
  <si>
    <t>Licensing Revenue by Premium Network</t>
  </si>
  <si>
    <t>Total licensing revenue</t>
  </si>
  <si>
    <t>Growth in license fees</t>
  </si>
  <si>
    <t>Total subs (weighted avg)</t>
  </si>
  <si>
    <t>Total subscribers</t>
  </si>
  <si>
    <t>License fee growth %</t>
  </si>
  <si>
    <t>SHOWTIME</t>
  </si>
  <si>
    <t>Showtime sub growth</t>
  </si>
  <si>
    <t>Showtime original programming expense growth</t>
  </si>
  <si>
    <t>Total revenue per Showtime sub</t>
  </si>
  <si>
    <t>4Q11</t>
  </si>
  <si>
    <t>2011</t>
  </si>
  <si>
    <t>PV of Dividends through 2014</t>
  </si>
  <si>
    <t>as % of Capex</t>
  </si>
  <si>
    <t>Total TV Households</t>
  </si>
  <si>
    <t>Total Basic Cable Subscribers</t>
  </si>
  <si>
    <t>Distribution Fee</t>
  </si>
  <si>
    <t>Distribution Revenue</t>
  </si>
  <si>
    <t>To Open</t>
  </si>
  <si>
    <t>Industry</t>
  </si>
  <si>
    <t>EntertainmentComps.xls</t>
  </si>
  <si>
    <t>L:\MEDIA\Bilotti\Ent\Industry</t>
  </si>
  <si>
    <t>Usage Backup Data.xls</t>
  </si>
  <si>
    <t>Outdoor Sale Analysis.xls</t>
  </si>
  <si>
    <t>Local vs. National Assets.xls</t>
  </si>
  <si>
    <t>CBS Scorecard.xls</t>
  </si>
  <si>
    <t>CBS Bull-Bear-Base.xls</t>
  </si>
  <si>
    <t>CBS EPS step chart.xls</t>
  </si>
  <si>
    <t>CBS Charts.xls</t>
  </si>
  <si>
    <t>L:\MEDIA\Bilotti\Ent\Cos\Time Warner</t>
  </si>
  <si>
    <t>TWX_charts.xls</t>
  </si>
  <si>
    <t>Total DBS Subscribers</t>
  </si>
  <si>
    <t xml:space="preserve">  % Overlap</t>
  </si>
  <si>
    <t>Total Overlap</t>
  </si>
  <si>
    <t>2004, Originally Reported</t>
  </si>
  <si>
    <t>PF 2000</t>
  </si>
  <si>
    <t>Entertainment</t>
  </si>
  <si>
    <t>8.20% Senior Notes due 2014</t>
  </si>
  <si>
    <t>8.875% Senior Notes due 2019</t>
  </si>
  <si>
    <t>CBS Corporation</t>
  </si>
  <si>
    <t>Divestitures</t>
  </si>
  <si>
    <t>Reported Divestiture</t>
  </si>
  <si>
    <t>Gross Divestiture Proceeds</t>
  </si>
  <si>
    <t>Amount Allocated to Gross PP&amp;E</t>
  </si>
  <si>
    <t>Amount Allocated to Acc. Dep.</t>
  </si>
  <si>
    <t>Pretax Gain</t>
  </si>
  <si>
    <t>USD</t>
  </si>
  <si>
    <t xml:space="preserve">CW Network </t>
  </si>
  <si>
    <t>Option Proceeds</t>
  </si>
  <si>
    <t>Revenue Check</t>
  </si>
  <si>
    <t>EBITDA Check</t>
  </si>
  <si>
    <t>Total Operating Liabilities</t>
  </si>
  <si>
    <t>in millions except per sub amounts</t>
  </si>
  <si>
    <t>O&amp;O Subscribers</t>
  </si>
  <si>
    <t>% of Sub Base Paying Retransmission</t>
  </si>
  <si>
    <t>Retransmission Sub Base</t>
  </si>
  <si>
    <t>O&amp;O Retransmission Revenue</t>
  </si>
  <si>
    <t>Total Pay-TV Subscribers</t>
  </si>
  <si>
    <t>Less O&amp;O Subscribers</t>
  </si>
  <si>
    <t>Affiliate Retransmission Revenue</t>
  </si>
  <si>
    <t>Total Retransmission Revenue</t>
  </si>
  <si>
    <t>% to CBS Network</t>
  </si>
  <si>
    <t>Monthly Fee per Subscriber to CBS Network</t>
  </si>
  <si>
    <t>Shares Issued/(Repurchased)</t>
  </si>
  <si>
    <t>Investments in Affiliates</t>
  </si>
  <si>
    <t>Repayments</t>
  </si>
  <si>
    <t>Additional Borrowing</t>
  </si>
  <si>
    <t>As % of Television Revenue</t>
  </si>
  <si>
    <t>Television Revenue</t>
  </si>
  <si>
    <t>Parks and Publishing Revenue</t>
  </si>
  <si>
    <t>Infinity Radio and Broadcasting Revenue</t>
  </si>
  <si>
    <t>As % of Total Revenue</t>
  </si>
  <si>
    <t>As a % of Television Revenue</t>
  </si>
  <si>
    <t>Beginning Gross Goodwill</t>
  </si>
  <si>
    <t>Impairment of Goodwill and Other Intangible Assets</t>
  </si>
  <si>
    <t>Additions/Acquisitions</t>
  </si>
  <si>
    <t>Beginning Accumulated Amortization of Goodwill</t>
  </si>
  <si>
    <t>Ending Accumulated Amortization of Goodwill</t>
  </si>
  <si>
    <t>Net Goodwill</t>
  </si>
  <si>
    <t>Reported Acquisitions</t>
  </si>
  <si>
    <t>Assumed Debt</t>
  </si>
  <si>
    <t>Equity Issued</t>
  </si>
  <si>
    <t>Other Liabilities/(Assets)</t>
  </si>
  <si>
    <t>Amount Allocated to Goodwill</t>
  </si>
  <si>
    <t>Amount Allocated to Intangibles Subject to Amortization</t>
  </si>
  <si>
    <t>Total Broadcast TV</t>
  </si>
  <si>
    <t>Advertising and Audience</t>
  </si>
  <si>
    <t>Total basic cable gross ad growth</t>
  </si>
  <si>
    <t>Avg. HH HUT</t>
  </si>
  <si>
    <t>Broadcast basic share of TV viewing</t>
  </si>
  <si>
    <t>% of CATV basic HH</t>
  </si>
  <si>
    <t>Basic CATV audience</t>
  </si>
  <si>
    <t>Share of Total TV audience</t>
  </si>
  <si>
    <t>Actual share of Broadcast Advert Rev</t>
  </si>
  <si>
    <t>Power Ratio</t>
  </si>
  <si>
    <t xml:space="preserve">CBS Channel Share of </t>
  </si>
  <si>
    <t>CBS 18-49 primetime rating</t>
  </si>
  <si>
    <t>CBS TV HH</t>
  </si>
  <si>
    <t>Amount Allocated to PP&amp;E</t>
  </si>
  <si>
    <t>Other Assets/(Liabilities)</t>
  </si>
  <si>
    <t>Gross Acquisition Price</t>
  </si>
  <si>
    <t>Goodwill Impairment</t>
  </si>
  <si>
    <t>Total Revenue from TV Production</t>
  </si>
  <si>
    <t>Reconciliation to Reported Revenue</t>
  </si>
  <si>
    <t xml:space="preserve">CBS </t>
  </si>
  <si>
    <t>Gross Revenue before Inter and Intra-segment Elims</t>
  </si>
  <si>
    <t>Intra-segment Eliminations</t>
  </si>
  <si>
    <t>Rptd. Net Segment Revenue before Inter-segment Elims.</t>
  </si>
  <si>
    <t>Intersegment Eliminations with Cable Networks</t>
  </si>
  <si>
    <t>Other Intersegment Eliminations</t>
  </si>
  <si>
    <t>Rptd.  Television Prod. &amp; Synd. Rev. After Elims.</t>
  </si>
  <si>
    <t>Estimated Rptd. Barter Revenue</t>
  </si>
  <si>
    <t>Rptd. License Fee and Synd. Rev. after Inter-seg. Elims.</t>
  </si>
  <si>
    <t>Total Primetime Series</t>
  </si>
  <si>
    <t>Avg. Domestic Revenue per Series (mm)</t>
  </si>
  <si>
    <t>Gross Domestic Primetime Revenue</t>
  </si>
  <si>
    <t>Primetime Series Sold Internationally</t>
  </si>
  <si>
    <t>Avg. Episodes per Show</t>
  </si>
  <si>
    <t>Total Episodes</t>
  </si>
  <si>
    <t>Revenue per Hourly Drama Episode</t>
  </si>
  <si>
    <t>Revenue per Half-hour Comedy Episode</t>
  </si>
  <si>
    <t>Average Revenue per Series</t>
  </si>
  <si>
    <t>International Primetime License Revenue</t>
  </si>
  <si>
    <t>First Run &amp; Reality Syndication Revenue</t>
  </si>
  <si>
    <t>Television DVD/VHS Revenue</t>
  </si>
  <si>
    <t>Global Library Syndication &amp; Other Revenue</t>
  </si>
  <si>
    <t>Total Syndication Revenue</t>
  </si>
  <si>
    <t>Inter-segment Primetime Eliminations</t>
  </si>
  <si>
    <t>Inter-segment Off-Network Eliminations</t>
  </si>
  <si>
    <t>Inter-segment First-Run Eliminations</t>
  </si>
  <si>
    <t>Primetime Production amortization</t>
  </si>
  <si>
    <t>Dividend Payout Ratio</t>
  </si>
  <si>
    <t>Dividends and Share Repurchases</t>
  </si>
  <si>
    <t>Total Payout Ratio</t>
  </si>
  <si>
    <t>% of Primetime Revenue</t>
  </si>
  <si>
    <t>Primetime direct expenses</t>
  </si>
  <si>
    <t>Primetime Eliminations</t>
  </si>
  <si>
    <t>Foreign Direct Expenses</t>
  </si>
  <si>
    <t>% of Foreign Revenues</t>
  </si>
  <si>
    <t>First Run Syndication direct expenses</t>
  </si>
  <si>
    <t>% of Syndication Revenue</t>
  </si>
  <si>
    <t>First-Run Eliminations</t>
  </si>
  <si>
    <t>Off-network syndication direct expenses</t>
  </si>
  <si>
    <t>TV Production &amp; Syndication</t>
  </si>
  <si>
    <t>CBS Television Studio</t>
  </si>
  <si>
    <t>CW Stations Group</t>
  </si>
  <si>
    <t>Retrans Assumptions</t>
  </si>
  <si>
    <t>O&amp;O Fee / Sub / Month</t>
  </si>
  <si>
    <t>4Q09</t>
  </si>
  <si>
    <t>Off-network syndication Eliminations</t>
  </si>
  <si>
    <t>Library direct expenses</t>
  </si>
  <si>
    <t>% of Library Revenue</t>
  </si>
  <si>
    <t>DVD Costs</t>
  </si>
  <si>
    <t>% of DVD Revenue</t>
  </si>
  <si>
    <t xml:space="preserve">SG&amp;A </t>
  </si>
  <si>
    <t>04/'05</t>
  </si>
  <si>
    <t>05/'06</t>
  </si>
  <si>
    <t>Shows in Production in '06-'07 Season</t>
  </si>
  <si>
    <t>% of Gross Revenue</t>
  </si>
  <si>
    <t xml:space="preserve">Margin % </t>
  </si>
  <si>
    <t>Primetime EBITDA</t>
  </si>
  <si>
    <t>Foreign EBITDA</t>
  </si>
  <si>
    <t>First-Run EBITDA</t>
  </si>
  <si>
    <t>Syndication EBITDA</t>
  </si>
  <si>
    <t>Library EBITDA</t>
  </si>
  <si>
    <t>DVD EBITDA</t>
  </si>
  <si>
    <t>Overhead</t>
  </si>
  <si>
    <t>TV Production</t>
  </si>
  <si>
    <t>Reality</t>
  </si>
  <si>
    <t xml:space="preserve">Episode </t>
  </si>
  <si>
    <t>A18-49 Season Ratings</t>
  </si>
  <si>
    <t>License Fee per Episode (in 000s)</t>
  </si>
  <si>
    <t>Number of Episodes</t>
  </si>
  <si>
    <t>Total Revenue (in 000s)</t>
  </si>
  <si>
    <t>Growth in License Fee per Episode</t>
  </si>
  <si>
    <t>Cash Flow for One Time Items</t>
  </si>
  <si>
    <t>AMC</t>
  </si>
  <si>
    <t>Show Duration (min)</t>
  </si>
  <si>
    <t>Season</t>
  </si>
  <si>
    <t>Title</t>
  </si>
  <si>
    <t>Production Studio</t>
  </si>
  <si>
    <t>Network</t>
  </si>
  <si>
    <t>Duration</t>
  </si>
  <si>
    <t>2001/2002</t>
  </si>
  <si>
    <t>2002/2003</t>
  </si>
  <si>
    <t>2003/2004</t>
  </si>
  <si>
    <t>2004/2005</t>
  </si>
  <si>
    <t>2005/2006</t>
  </si>
  <si>
    <t>Shows in Production in '05-'06 Season</t>
  </si>
  <si>
    <t>Bad Girls Guide</t>
  </si>
  <si>
    <t>MSR</t>
  </si>
  <si>
    <t>Love Monkey</t>
  </si>
  <si>
    <t>Everything I Know About Men</t>
  </si>
  <si>
    <t>South Beach</t>
  </si>
  <si>
    <t>Britney and Kevin: Chaotic</t>
  </si>
  <si>
    <t>The Cut</t>
  </si>
  <si>
    <t>Cuts</t>
  </si>
  <si>
    <t>Medium</t>
  </si>
  <si>
    <t>NBC</t>
  </si>
  <si>
    <t>Numb3rs</t>
  </si>
  <si>
    <t>Road to Stardom</t>
  </si>
  <si>
    <t>CSI: NY</t>
  </si>
  <si>
    <t>CBS Prods / Alliance Atlantis</t>
  </si>
  <si>
    <t>-</t>
  </si>
  <si>
    <t>Cold Case</t>
  </si>
  <si>
    <t>CBS Productions/Warner Brothers TV/Bruckheimer</t>
  </si>
  <si>
    <t>Deferred Tax Liabilities, Net</t>
  </si>
  <si>
    <t>America's Next Top Model</t>
  </si>
  <si>
    <t>10  by 10 Entertainment/Ty Ty Baby Prods.</t>
  </si>
  <si>
    <t>NCIS</t>
  </si>
  <si>
    <t>Belisarius Productions/Paramount Television</t>
  </si>
  <si>
    <t>'14/'15</t>
  </si>
  <si>
    <t>CSI Miami</t>
  </si>
  <si>
    <t>Alliance Atlantis/CBS Productions</t>
  </si>
  <si>
    <t>Half &amp; Half</t>
  </si>
  <si>
    <t>CBS Productions.</t>
  </si>
  <si>
    <t>Still Standing</t>
  </si>
  <si>
    <t>20th Century Fox/CBS Productions.</t>
  </si>
  <si>
    <t>Without a Trace</t>
  </si>
  <si>
    <t>Bruckheimer/Warner Bros./CBS Productions.</t>
  </si>
  <si>
    <t>One on One</t>
  </si>
  <si>
    <t>Paramount/Greenblat Janollari</t>
  </si>
  <si>
    <t>1.95% Senior Notes due 2017</t>
  </si>
  <si>
    <t>4.85% Senior Notes due 2042</t>
  </si>
  <si>
    <t>4Q10</t>
  </si>
  <si>
    <t>CSI</t>
  </si>
  <si>
    <t>CBS Productions./Alliance Atlantis</t>
  </si>
  <si>
    <t>Girlfriends</t>
  </si>
  <si>
    <t>Paramount/Gramnet</t>
  </si>
  <si>
    <t xml:space="preserve">Charmed </t>
  </si>
  <si>
    <t>Spelling TV</t>
  </si>
  <si>
    <t>WB</t>
  </si>
  <si>
    <t xml:space="preserve">The King of Queens </t>
  </si>
  <si>
    <t>CBS Productions./Columbia TriStar Television</t>
  </si>
  <si>
    <t xml:space="preserve">7th Heaven </t>
  </si>
  <si>
    <t xml:space="preserve">JAG </t>
  </si>
  <si>
    <t>Paramount TV/Bellisarius</t>
  </si>
  <si>
    <t>Shows in Production in '04-'05 Season</t>
  </si>
  <si>
    <t>Blind Justice</t>
  </si>
  <si>
    <t>ABC</t>
  </si>
  <si>
    <t>Medical Investigation</t>
  </si>
  <si>
    <t>Joan of Arcadia</t>
  </si>
  <si>
    <t>CBS Productions/Sony Pictures Television</t>
  </si>
  <si>
    <t>The Amazing Race</t>
  </si>
  <si>
    <t>Touchstone/CBS Productions./Bruckheimer Films</t>
  </si>
  <si>
    <t xml:space="preserve">Judging Amy </t>
  </si>
  <si>
    <t>CBS Productions./20th Century Fox</t>
  </si>
  <si>
    <t>60 Minutes II</t>
  </si>
  <si>
    <t>CBS News</t>
  </si>
  <si>
    <t>Everybody Loves Raymond</t>
  </si>
  <si>
    <t>HBO Independent/Worldwide Pants/CBS</t>
  </si>
  <si>
    <t xml:space="preserve">48 Hours </t>
  </si>
  <si>
    <t xml:space="preserve">60 Minutes </t>
  </si>
  <si>
    <t>Shows in Production in '03-'04 Season Discontinued in '04-'05</t>
  </si>
  <si>
    <t>A Minute with Stan Hooper</t>
  </si>
  <si>
    <t>Gross Debt/EBITDA</t>
  </si>
  <si>
    <t>Paramount TV</t>
  </si>
  <si>
    <t>Fox</t>
  </si>
  <si>
    <t>10-8</t>
  </si>
  <si>
    <t>Spelling Television/Touchston Television</t>
  </si>
  <si>
    <t>The Handler</t>
  </si>
  <si>
    <t>Viacom Productions</t>
  </si>
  <si>
    <t>It's All Relative</t>
  </si>
  <si>
    <t>Touchstone Television/Paramount</t>
  </si>
  <si>
    <t>Jake 2.0</t>
  </si>
  <si>
    <t>Viacom Prods/Roundtable Ent.</t>
  </si>
  <si>
    <t>Hack</t>
  </si>
  <si>
    <t>2025E</t>
  </si>
  <si>
    <t>Total RBOC Video Subscribers</t>
  </si>
  <si>
    <t>Theft and Other</t>
  </si>
  <si>
    <t xml:space="preserve">  % Growth</t>
  </si>
  <si>
    <t>Subscriber Growth Haircut</t>
  </si>
  <si>
    <t>Subscriber Growth</t>
  </si>
  <si>
    <t>3.5% Senior Notes due 2025</t>
  </si>
  <si>
    <t>4.6% Senior notes due 2045</t>
  </si>
  <si>
    <t xml:space="preserve">   </t>
  </si>
  <si>
    <t>1-base, 2-bull, 3-bear</t>
  </si>
  <si>
    <t>2014</t>
  </si>
  <si>
    <t>Deferred income tax provision</t>
  </si>
  <si>
    <t>2014A</t>
  </si>
  <si>
    <t>4Q14</t>
  </si>
  <si>
    <t>Do not delete</t>
  </si>
  <si>
    <t>1Q15</t>
  </si>
  <si>
    <t>NFL Thursday Night</t>
  </si>
  <si>
    <t>O&amp;O Retrans Revenue (60% Share)</t>
  </si>
  <si>
    <t xml:space="preserve">   Corporate / EBIT</t>
  </si>
  <si>
    <t xml:space="preserve">Political Stations </t>
  </si>
  <si>
    <t xml:space="preserve">Political Radio </t>
  </si>
  <si>
    <t xml:space="preserve">Total Political </t>
  </si>
  <si>
    <t xml:space="preserve">Political Revenue </t>
  </si>
  <si>
    <t>Net Ad Revenue, ex-political, ex-SB</t>
  </si>
  <si>
    <t xml:space="preserve">% Growth </t>
  </si>
  <si>
    <t>Beauty and the Beast</t>
  </si>
  <si>
    <t xml:space="preserve">Scorpion </t>
  </si>
  <si>
    <t xml:space="preserve">Madam Secretary </t>
  </si>
  <si>
    <t>The Vampire Diaries (co-prod)</t>
  </si>
  <si>
    <t>'12/'13</t>
  </si>
  <si>
    <t xml:space="preserve">'14/'15 </t>
  </si>
  <si>
    <t>4.0% Senior notes due 2026</t>
  </si>
  <si>
    <t>'17/18</t>
  </si>
  <si>
    <t>'18/19</t>
  </si>
  <si>
    <t xml:space="preserve">ARPU </t>
  </si>
  <si>
    <t>Ending Subs, mm</t>
  </si>
  <si>
    <t>Net additions, mm</t>
  </si>
  <si>
    <t>Average Subs, mm</t>
  </si>
  <si>
    <t>BB only HHs, mm</t>
  </si>
  <si>
    <t>OTT Opportunity</t>
  </si>
  <si>
    <t xml:space="preserve">     growth %</t>
  </si>
  <si>
    <t xml:space="preserve">     Showtime % penetration</t>
  </si>
  <si>
    <t>CBS Network Primetime Revs</t>
  </si>
  <si>
    <t xml:space="preserve">CBS Sports (ex-Superbowl) </t>
  </si>
  <si>
    <t>CBS Network, Other</t>
  </si>
  <si>
    <t>Network Expense Growth</t>
  </si>
  <si>
    <t>Other programming expense growth</t>
  </si>
  <si>
    <t xml:space="preserve">CW Stations </t>
  </si>
  <si>
    <t>Operating Cash Flow (EBITDA)</t>
  </si>
  <si>
    <t xml:space="preserve">Radio opex, $mm </t>
  </si>
  <si>
    <t xml:space="preserve">Operating Cash Flow (EBITDA) </t>
  </si>
  <si>
    <t>CBS TV Stations Programming Expense</t>
  </si>
  <si>
    <t>CBS TV Stations News Expense</t>
  </si>
  <si>
    <t>CBS Network Ad Revenue</t>
  </si>
  <si>
    <t>CBS Network Ad Revenue (ex-SB)</t>
  </si>
  <si>
    <t>CSI: Cyber</t>
  </si>
  <si>
    <t>The 100</t>
  </si>
  <si>
    <t>Big Brother</t>
  </si>
  <si>
    <t>BET</t>
  </si>
  <si>
    <t xml:space="preserve">The Talk </t>
  </si>
  <si>
    <t xml:space="preserve">Reality Shows </t>
  </si>
  <si>
    <t>Total Programming expense ex-SB</t>
  </si>
  <si>
    <t>Y-Y Growth</t>
  </si>
  <si>
    <t xml:space="preserve">     Showtime % penetration of PayTV HHs</t>
  </si>
  <si>
    <t>Total Pay TV HHs, mm</t>
  </si>
  <si>
    <t>Total Showtime subscribers, mm</t>
  </si>
  <si>
    <t xml:space="preserve">     Less OTT subscribers, mm</t>
  </si>
  <si>
    <t xml:space="preserve">     OTT net additions, mm</t>
  </si>
  <si>
    <t>MVPD Showtime subscribers, mm</t>
  </si>
  <si>
    <t>Gross leverage</t>
  </si>
  <si>
    <t>Upside to Consolidated CBS EBIT</t>
  </si>
  <si>
    <t>B0SRLH6</t>
  </si>
  <si>
    <r>
      <t xml:space="preserve">Adjustments for EV </t>
    </r>
    <r>
      <rPr>
        <b/>
        <sz val="8"/>
        <rFont val="Arial"/>
        <family val="2"/>
      </rPr>
      <t>(For Global media comps)</t>
    </r>
  </si>
  <si>
    <t xml:space="preserve">     Average OTT subs, mm</t>
  </si>
  <si>
    <t xml:space="preserve">Incremental OTT Revenue </t>
  </si>
  <si>
    <t>Incremental EBIT</t>
  </si>
  <si>
    <t>2Q15</t>
  </si>
  <si>
    <t xml:space="preserve">Scenario: </t>
  </si>
  <si>
    <t>Investments in and advances to investee companies</t>
  </si>
  <si>
    <t>Bull Case:</t>
  </si>
  <si>
    <t>Base Case:</t>
  </si>
  <si>
    <t>Bear Case:</t>
  </si>
  <si>
    <t>TV Production and Syndication</t>
  </si>
  <si>
    <t>Jane the Virgin (NFLX)</t>
  </si>
  <si>
    <t>Zoo (NFLX)</t>
  </si>
  <si>
    <t>Showtime OTT Opportunity</t>
  </si>
  <si>
    <t>3Q15</t>
  </si>
  <si>
    <t>Stations (CBS, CW) ex-retrans, ex-political</t>
  </si>
  <si>
    <t>Hulu (exclusive)</t>
  </si>
  <si>
    <t>Other NFLX</t>
  </si>
  <si>
    <t>2026E</t>
  </si>
  <si>
    <t>Terrestrial Radio - Broadcast &amp; Online (Advert)</t>
  </si>
  <si>
    <t>CBS TV Stations, Organic Growth</t>
  </si>
  <si>
    <t>4Q15</t>
  </si>
  <si>
    <t>F2019</t>
  </si>
  <si>
    <t>F2020</t>
  </si>
  <si>
    <t xml:space="preserve">15/'16 </t>
  </si>
  <si>
    <t xml:space="preserve">16/'17 </t>
  </si>
  <si>
    <t>'19/20</t>
  </si>
  <si>
    <t>'20/21</t>
  </si>
  <si>
    <t>New '19 show</t>
  </si>
  <si>
    <t>OTT Revenue</t>
  </si>
  <si>
    <t>New '20 show</t>
  </si>
  <si>
    <t>Content Licensing Showtime</t>
  </si>
  <si>
    <t xml:space="preserve">Super Bowl Revs </t>
  </si>
  <si>
    <t>Super Bowl expenses</t>
  </si>
  <si>
    <t>links</t>
  </si>
  <si>
    <t>SuperBowl (live link)</t>
  </si>
  <si>
    <t xml:space="preserve">Subscriber revenue growth </t>
  </si>
  <si>
    <t>2015A</t>
  </si>
  <si>
    <t>2015</t>
  </si>
  <si>
    <t>1Q16</t>
  </si>
  <si>
    <t>2.9% Senior notes due 2027</t>
  </si>
  <si>
    <t>2Q16</t>
  </si>
  <si>
    <t>&lt;=drives model</t>
  </si>
  <si>
    <t xml:space="preserve">  % growth total revenue</t>
  </si>
  <si>
    <t xml:space="preserve">  % growth total ad revenue</t>
  </si>
  <si>
    <t>Young and Hungry</t>
  </si>
  <si>
    <t>American Gothic</t>
  </si>
  <si>
    <t xml:space="preserve">Brain Dead </t>
  </si>
  <si>
    <t xml:space="preserve">Criminal Minds: Beyond Borders </t>
  </si>
  <si>
    <t xml:space="preserve">The Good Wife </t>
  </si>
  <si>
    <t>Hawaii Five-0</t>
  </si>
  <si>
    <t>The Late Show with James Corden</t>
  </si>
  <si>
    <t>The Late Show with Stephen Colbert</t>
  </si>
  <si>
    <t>NCIS: LA</t>
  </si>
  <si>
    <t>NCIS: New Orleans</t>
  </si>
  <si>
    <t xml:space="preserve">The Odd Couple </t>
  </si>
  <si>
    <t>Scorpion</t>
  </si>
  <si>
    <t>The Talk</t>
  </si>
  <si>
    <t>Zoo</t>
  </si>
  <si>
    <t>Crazy Ex-Girlfriend</t>
  </si>
  <si>
    <t>Jane the Virgin</t>
  </si>
  <si>
    <t xml:space="preserve">The Originals </t>
  </si>
  <si>
    <t xml:space="preserve">Reign </t>
  </si>
  <si>
    <t>Code Black</t>
  </si>
  <si>
    <t>Power</t>
  </si>
  <si>
    <t>Starz</t>
  </si>
  <si>
    <t xml:space="preserve">The Game </t>
  </si>
  <si>
    <t>CSI:Cyber</t>
  </si>
  <si>
    <t>Extant</t>
  </si>
  <si>
    <t>Under the Dome</t>
  </si>
  <si>
    <t>Impastor</t>
  </si>
  <si>
    <t>TV Land</t>
  </si>
  <si>
    <t xml:space="preserve">Odd Couple </t>
  </si>
  <si>
    <t>Heart of Dixie</t>
  </si>
  <si>
    <t>8-9</t>
  </si>
  <si>
    <t xml:space="preserve">CBS / Warner Bros </t>
  </si>
  <si>
    <t>3-4</t>
  </si>
  <si>
    <t>2016/2017</t>
  </si>
  <si>
    <t>ABC Freeform</t>
  </si>
  <si>
    <t>Shows in Production in '11-'12 Season (67% 2012)</t>
  </si>
  <si>
    <t>Shows in Production in '16-'17 Season (67% 2017)</t>
  </si>
  <si>
    <r>
      <t>Shows in Production in '15-'16 Season (67% 2016)</t>
    </r>
    <r>
      <rPr>
        <b/>
        <i/>
        <sz val="8"/>
        <color indexed="10"/>
        <rFont val="Arial"/>
        <family val="2"/>
      </rPr>
      <t xml:space="preserve"> </t>
    </r>
    <r>
      <rPr>
        <b/>
        <i/>
        <sz val="8"/>
        <color indexed="9"/>
        <rFont val="Arial"/>
        <family val="2"/>
      </rPr>
      <t>=&gt; Q3'15, Q4'15, Q1'16, Q2'16</t>
    </r>
  </si>
  <si>
    <r>
      <t>Shows in Production in '14-'15 Season (67% 2015)</t>
    </r>
    <r>
      <rPr>
        <b/>
        <i/>
        <sz val="8"/>
        <color indexed="9"/>
        <rFont val="Arial"/>
        <family val="2"/>
      </rPr>
      <t xml:space="preserve"> =&gt; Q3'14, Q4'14, Q1'15, Q2'15</t>
    </r>
  </si>
  <si>
    <r>
      <t xml:space="preserve">Shows in Production in '13-'14 Season (67% 2014) </t>
    </r>
    <r>
      <rPr>
        <b/>
        <i/>
        <sz val="8"/>
        <color indexed="9"/>
        <rFont val="Arial"/>
        <family val="2"/>
      </rPr>
      <t>=&gt; Q3'13, Q4'13, Q1'14, Q2'14</t>
    </r>
  </si>
  <si>
    <r>
      <t xml:space="preserve">Shows in Production in '12-'13 Season (67% 2013) </t>
    </r>
    <r>
      <rPr>
        <b/>
        <i/>
        <sz val="8"/>
        <color indexed="9"/>
        <rFont val="Arial"/>
        <family val="2"/>
      </rPr>
      <t>=&gt; Q3'12, Q4'12, Q1'13, Q2'13</t>
    </r>
  </si>
  <si>
    <t>Other / Eliminations</t>
  </si>
  <si>
    <t>Total Growth %</t>
  </si>
  <si>
    <t xml:space="preserve">Total Network </t>
  </si>
  <si>
    <t>O&amp;O Retrans</t>
  </si>
  <si>
    <t xml:space="preserve">Reverse Retrans </t>
  </si>
  <si>
    <t>O&amp;O Retrans Revs Growth %</t>
  </si>
  <si>
    <t>Reverse Retrans Growth %</t>
  </si>
  <si>
    <t>Network O&amp;O Retrans</t>
  </si>
  <si>
    <t>Network Reverse Retrans</t>
  </si>
  <si>
    <t xml:space="preserve">Stations, O&amp;O Retrans, net  </t>
  </si>
  <si>
    <t xml:space="preserve">O&amp;O Retrans to Network </t>
  </si>
  <si>
    <t>O&amp;O Retrans to Stations</t>
  </si>
  <si>
    <t xml:space="preserve">Total Retrans Check </t>
  </si>
  <si>
    <t xml:space="preserve">  % growth underlying ad revenue</t>
  </si>
  <si>
    <t>3Q16</t>
  </si>
  <si>
    <t>Link / check</t>
  </si>
  <si>
    <t xml:space="preserve">   Eliminations Other </t>
  </si>
  <si>
    <t xml:space="preserve">   Eliminations O&amp;O retrans</t>
  </si>
  <si>
    <t>Adj. EPS For Consensus</t>
  </si>
  <si>
    <t>Adj. net income for consensus</t>
  </si>
  <si>
    <t>Cable &amp; DBS Subscriber Comps -- LIVE LINK</t>
  </si>
  <si>
    <t>4Q17E</t>
  </si>
  <si>
    <t>2027E</t>
  </si>
  <si>
    <t>Total PayTV Subs (ex-vMVPDs)</t>
  </si>
  <si>
    <t>vMVPDs</t>
  </si>
  <si>
    <t>% footprint renewed since 1Q'15</t>
  </si>
  <si>
    <t>ALL ACCESS</t>
  </si>
  <si>
    <t>Average subscribers, mm</t>
  </si>
  <si>
    <t>Total subscribers, EOP, mm</t>
  </si>
  <si>
    <t>ARPU</t>
  </si>
  <si>
    <t>Subscription revenue, mm</t>
  </si>
  <si>
    <t xml:space="preserve">Limited Commercials, % subs </t>
  </si>
  <si>
    <t>Commercial Free, % subs</t>
  </si>
  <si>
    <t xml:space="preserve">Effective ARPU </t>
  </si>
  <si>
    <t xml:space="preserve">Limited Commercials, avg subs, mm </t>
  </si>
  <si>
    <t>Commercial Free, avg subs, mm</t>
  </si>
  <si>
    <t>Advertising ARPU</t>
  </si>
  <si>
    <t>Advertising revenue, mm</t>
  </si>
  <si>
    <t xml:space="preserve">Advertising, % </t>
  </si>
  <si>
    <t xml:space="preserve">Subscription, % </t>
  </si>
  <si>
    <t>Advertising / Limited Commercials Tier</t>
  </si>
  <si>
    <t>Subscription / Limited Commercials Tier</t>
  </si>
  <si>
    <t>Subscription / Commercial Free Tier</t>
  </si>
  <si>
    <t>Effective ARPU</t>
  </si>
  <si>
    <t xml:space="preserve">Cost of sales (platform fee) </t>
  </si>
  <si>
    <t>Programming</t>
  </si>
  <si>
    <t>General &amp; Administrative (incl. Tech &amp; Dev)</t>
  </si>
  <si>
    <t>OPEX as % of revenues</t>
  </si>
  <si>
    <t>CBS Interactive (incl. All Access)</t>
  </si>
  <si>
    <t>Gross advertising revenues</t>
  </si>
  <si>
    <t xml:space="preserve">Tax Rate </t>
  </si>
  <si>
    <t>Tax Expense</t>
  </si>
  <si>
    <t>CSI: Cyber - canceled after S-2</t>
  </si>
  <si>
    <t>Star Trek (NFLX)</t>
  </si>
  <si>
    <t xml:space="preserve">  as % of vMVPD HH</t>
  </si>
  <si>
    <t>CBS vMVPD subscribers, YE, mm</t>
  </si>
  <si>
    <t>Total vMVPD Pay-TV HH (MSe), mm</t>
  </si>
  <si>
    <t>Average CBS vMVPD subscribers, mm</t>
  </si>
  <si>
    <t xml:space="preserve">  Net Subscriber Additions </t>
  </si>
  <si>
    <t>All Access, Net Sub Additions</t>
  </si>
  <si>
    <t>Total Subscribers, YE</t>
  </si>
  <si>
    <t>DISH Sling</t>
  </si>
  <si>
    <t>DTV Now</t>
  </si>
  <si>
    <t>Sony Vue</t>
  </si>
  <si>
    <t>Hulu Live</t>
  </si>
  <si>
    <t xml:space="preserve">Monthly Fee per Subscriber (avg) to CBS </t>
  </si>
  <si>
    <t>Total Retrans Revenue (vMVPDs)</t>
  </si>
  <si>
    <t>Retrans Affiliate file</t>
  </si>
  <si>
    <t xml:space="preserve">Total Distribution Revenues </t>
  </si>
  <si>
    <t xml:space="preserve">  As % of total revenue (PF for Radio)</t>
  </si>
  <si>
    <t>vMVPDs Retransmission Revenue</t>
  </si>
  <si>
    <t>O&amp;O Avg Subscribers, mm</t>
  </si>
  <si>
    <t>Affiliate Avg Subscribers, mm</t>
  </si>
  <si>
    <t>All Access Subscription Revenue</t>
  </si>
  <si>
    <t>All Access (subscription)</t>
  </si>
  <si>
    <t>RETRANS (incl. vMVPD)</t>
  </si>
  <si>
    <t>Traditional MVPDs Retransmission Revenue</t>
  </si>
  <si>
    <t>Includes All Access starting 2014</t>
  </si>
  <si>
    <t>US Total TV HH - Dec. Year End</t>
  </si>
  <si>
    <t xml:space="preserve">Retrans Eliminations </t>
  </si>
  <si>
    <t>Total Net Revenue</t>
  </si>
  <si>
    <t>vMVPDs YE subscribers</t>
  </si>
  <si>
    <t>2016E PF</t>
  </si>
  <si>
    <t>PF for Radio</t>
  </si>
  <si>
    <t>2016 PF</t>
  </si>
  <si>
    <t>PF for Outdoor split-off</t>
  </si>
  <si>
    <t xml:space="preserve">Other or (Options Exercised, Shares Issued/Repurchased, Other) </t>
  </si>
  <si>
    <t>`</t>
  </si>
  <si>
    <t>2016A</t>
  </si>
  <si>
    <t>2016A PF</t>
  </si>
  <si>
    <t>2016</t>
  </si>
  <si>
    <t>4Q16</t>
  </si>
  <si>
    <t xml:space="preserve">NCIS: New Orleans </t>
  </si>
  <si>
    <t>Total includes Radio</t>
  </si>
  <si>
    <t>CBS Stations ex-retrans, ex-political, ex-SB, ex-other sports</t>
  </si>
  <si>
    <t>Discontinued Operations Debt / CP</t>
  </si>
  <si>
    <t>Notes payable to banks / Commercial Paper</t>
  </si>
  <si>
    <t>Prepaid  income taxes</t>
  </si>
  <si>
    <t>Deferred Revenues</t>
  </si>
  <si>
    <t>SuperBowl Revenue / other sports</t>
  </si>
  <si>
    <t xml:space="preserve">TV Stations (total) - Total Rev Growth </t>
  </si>
  <si>
    <t>CBS Stations, total ad rev growth</t>
  </si>
  <si>
    <t>CBS Stations, underlying ad rev growth</t>
  </si>
  <si>
    <t>Beginning Gross Intangible Assets Subject to Amortization</t>
  </si>
  <si>
    <t>Ending Gross Intangible Assets Subject to Amortization</t>
  </si>
  <si>
    <t>Madam Secretary (NXLX)</t>
  </si>
  <si>
    <t>1Q17</t>
  </si>
  <si>
    <t>Total Growth % (incl. vMVPD)</t>
  </si>
  <si>
    <t>Retrans Growth % (ex. vMVPD)</t>
  </si>
  <si>
    <t>Network Retrans + AA subscription revs</t>
  </si>
  <si>
    <t>Other sports</t>
  </si>
  <si>
    <t>2.5% Senior noted due 2023</t>
  </si>
  <si>
    <t>3.375% Senior noted due 2028</t>
  </si>
  <si>
    <t>2Q17</t>
  </si>
  <si>
    <t>DISH Sling (YE)=&gt; no agreement</t>
  </si>
  <si>
    <t>Hulu Live =&gt; included</t>
  </si>
  <si>
    <t>YouTube TV</t>
  </si>
  <si>
    <t>YouTube TV =&gt; included</t>
  </si>
  <si>
    <t xml:space="preserve">DTV Now =&gt; included (Aug 2017) </t>
  </si>
  <si>
    <t>Sony Vue =&gt; included</t>
  </si>
  <si>
    <t xml:space="preserve">FCF (CFFO less CAPEX) </t>
  </si>
  <si>
    <t>1QE</t>
  </si>
  <si>
    <t>2QE</t>
  </si>
  <si>
    <t>1Q18E</t>
  </si>
  <si>
    <t>2Q18E</t>
  </si>
  <si>
    <t>3Q18E</t>
  </si>
  <si>
    <t>4Q18E</t>
  </si>
  <si>
    <t>2028E</t>
  </si>
  <si>
    <t>D&amp;A</t>
  </si>
  <si>
    <t>D&amp;A as % of Revenue</t>
  </si>
  <si>
    <t>Estimated Fair Market Value (FY18)</t>
  </si>
  <si>
    <t>2018E EBITDA (Current Multiples)</t>
  </si>
  <si>
    <t>Est. Asset Value/2018E EBITDA</t>
  </si>
  <si>
    <t>2019E EBITDA (Fwd. Multiples)</t>
  </si>
  <si>
    <t>Est. Asset Value/2019E EBITDA</t>
  </si>
  <si>
    <t>2.90% Senior notes due 2023</t>
  </si>
  <si>
    <t>3.70% Senior notes due 2028</t>
  </si>
  <si>
    <t>3Q17</t>
  </si>
  <si>
    <t>Ancillary revenue growth</t>
  </si>
  <si>
    <t>Total revenue growth</t>
  </si>
  <si>
    <t>Affiliate Payments</t>
  </si>
  <si>
    <t>Total affiliate payments</t>
  </si>
  <si>
    <t>Affiliate monthly payment per subscriber</t>
  </si>
  <si>
    <t>% of footprint</t>
  </si>
  <si>
    <t>Network Ten (Australia)</t>
  </si>
  <si>
    <t>Check:</t>
  </si>
  <si>
    <t>Quarterly station ad revenue estimates are "core", rather than "total"</t>
  </si>
  <si>
    <t>Radio Revenue Growth / Other</t>
  </si>
  <si>
    <t>Cable &amp; DBS Subscriber Comps -- hardcoded 09/28/17</t>
  </si>
  <si>
    <t>CBS Total Distribution Revenue</t>
  </si>
  <si>
    <t>CBS Interactive / All-Access</t>
  </si>
  <si>
    <t>Working Capital</t>
  </si>
  <si>
    <t>Terminal Working Capital</t>
  </si>
  <si>
    <t>CBS Interactive (Includes All Access)</t>
  </si>
  <si>
    <t xml:space="preserve">Working Capital </t>
  </si>
  <si>
    <t>Termina Working Capital</t>
  </si>
  <si>
    <t>Live Link (updated 01/09/18)</t>
  </si>
  <si>
    <t>College Basketball / Football (PLUG)</t>
  </si>
  <si>
    <t>Blended average, adj. for timing</t>
  </si>
  <si>
    <t>JV - Loss / Profit structure</t>
  </si>
  <si>
    <t xml:space="preserve">    Cash Tax, %</t>
  </si>
  <si>
    <t>Recurring adjustments / interest deductibility</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</si>
  <si>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</si>
  <si>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</si>
  <si>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</si>
  <si>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</si>
  <si>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</si>
  <si>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</si>
  <si>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</si>
  <si>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</si>
  <si>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Benjamin Swinburne, Maria Ripps</t>
  </si>
  <si>
    <t>Date: 23 Jan 2018</t>
  </si>
  <si>
    <t>Ticker: CBS.N</t>
  </si>
  <si>
    <t>Stock Rating: Overweight</t>
  </si>
  <si>
    <t>Industry: Media</t>
  </si>
  <si>
    <t>Industry View: Attractive</t>
  </si>
  <si>
    <t>Price as of 23 Jan 2018: 57.53</t>
  </si>
  <si>
    <t>Target Price: 68</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</si>
  <si>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</si>
  <si>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</si>
  <si>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</si>
  <si>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</si>
  <si>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CBS Corporation.</t>
  </si>
  <si>
    <t>STOCK RATINGS</t>
  </si>
  <si>
    <t>Global Stock Ratings Distribution</t>
  </si>
  <si>
    <t>(as of December 31, 2017)</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</si>
  <si>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</si>
  <si>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</si>
  <si>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</si>
  <si>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</si>
  <si>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</si>
  <si>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</si>
  <si>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</si>
  <si>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</si>
  <si>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</si>
  <si>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</si>
  <si>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</si>
  <si>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</si>
  <si>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</si>
  <si>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</si>
  <si>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</si>
  <si>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</si>
  <si>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</si>
  <si>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</si>
  <si>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</si>
  <si>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</si>
  <si>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</si>
  <si>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</si>
  <si>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</si>
  <si>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</si>
  <si>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</si>
  <si>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</si>
  <si>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</si>
  <si>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</si>
  <si>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</si>
  <si>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</si>
  <si>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</si>
  <si>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</si>
  <si>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</si>
  <si>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</si>
  <si>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</si>
  <si>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</si>
  <si>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</si>
  <si>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</si>
  <si>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</si>
  <si>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</si>
  <si>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</si>
  <si>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</si>
  <si>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</si>
  <si>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</si>
  <si>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</si>
  <si>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</si>
  <si>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</si>
  <si>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</si>
  <si>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</si>
  <si>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</si>
  <si>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</si>
  <si>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</si>
  <si>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</si>
  <si>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</si>
  <si>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</si>
  <si>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</si>
  <si>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</si>
  <si>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</si>
  <si>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</si>
  <si>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</si>
  <si>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</si>
  <si>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</si>
  <si>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</si>
  <si>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</si>
  <si>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</si>
  <si>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</si>
  <si>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</si>
  <si>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</si>
  <si>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</si>
  <si>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</si>
  <si>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</si>
  <si>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</si>
  <si>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</si>
  <si>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</si>
  <si>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</si>
  <si>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</si>
  <si>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</si>
  <si>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</si>
  <si>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</si>
  <si>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</si>
  <si>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</si>
  <si>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</si>
  <si>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</si>
  <si>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</si>
  <si>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</si>
  <si>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</si>
  <si>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</si>
  <si>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</si>
  <si>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</si>
  <si>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</si>
  <si>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</si>
  <si>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</si>
  <si>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</si>
  <si>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</si>
  <si>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</si>
  <si>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</si>
  <si>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</si>
  <si>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</si>
  <si>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</si>
  <si>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</si>
  <si>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</si>
  <si>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</si>
  <si>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</si>
  <si>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</si>
  <si>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</si>
  <si>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</si>
  <si>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</si>
  <si>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</si>
  <si>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</si>
  <si>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</si>
  <si>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</si>
  <si>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</si>
  <si>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</si>
  <si>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</si>
  <si>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</si>
  <si>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</si>
  <si>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</si>
  <si>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</si>
  <si>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</si>
  <si>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</si>
  <si>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</si>
  <si>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</si>
  <si>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</si>
  <si>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</si>
  <si>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</si>
  <si>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</si>
  <si>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</si>
  <si>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</si>
  <si>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</si>
  <si>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</si>
  <si>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</si>
  <si>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</si>
  <si>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</si>
  <si>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</si>
  <si>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</si>
  <si>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</si>
  <si>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</si>
  <si>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</si>
  <si>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</si>
  <si>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</si>
  <si>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</si>
  <si>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</si>
  <si>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</si>
  <si>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</si>
  <si>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</si>
  <si>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</si>
  <si>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</si>
  <si>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</si>
  <si>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</si>
  <si>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</si>
  <si>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</si>
  <si>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</si>
  <si>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</si>
  <si>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</si>
  <si>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</si>
  <si>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</si>
  <si>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</si>
  <si>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</si>
  <si>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</si>
  <si>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</si>
  <si>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</si>
  <si>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</si>
  <si>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</si>
  <si>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</si>
  <si>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</si>
  <si>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</si>
  <si>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</si>
  <si>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</si>
  <si>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</si>
  <si>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</si>
  <si>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</si>
  <si>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</si>
  <si>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CBS Corporation.</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</si>
  <si>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</si>
  <si>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</si>
  <si>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</si>
  <si>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</si>
  <si>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</si>
  <si>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</si>
  <si>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</si>
  <si>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</si>
  <si>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</si>
  <si>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</si>
  <si>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</si>
  <si>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</si>
  <si>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</si>
  <si>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</si>
  <si>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</si>
  <si>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</si>
  <si>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</si>
  <si>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</si>
  <si>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</si>
  <si>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</si>
  <si>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</si>
  <si>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</si>
  <si>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</si>
  <si>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</si>
  <si>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</si>
  <si>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</si>
  <si>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</si>
  <si>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</si>
  <si>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</si>
  <si>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</si>
  <si>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</si>
  <si>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</si>
  <si>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</si>
  <si>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</si>
  <si>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</si>
  <si>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</si>
  <si>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</si>
  <si>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</si>
  <si>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</si>
  <si>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</si>
  <si>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</si>
  <si>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</si>
  <si>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</si>
  <si>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</si>
  <si>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</si>
  <si>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</si>
  <si>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</si>
  <si>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</si>
  <si>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</si>
  <si>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</si>
  <si>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</si>
  <si>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</si>
  <si>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</si>
  <si>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</si>
  <si>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</si>
  <si>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</si>
  <si>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</si>
  <si>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</si>
  <si>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</si>
  <si>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</si>
  <si>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</si>
  <si>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</si>
  <si>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</si>
  <si>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</si>
  <si>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</si>
  <si>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</si>
  <si>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</si>
  <si>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</si>
  <si>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CBS Corporation.</t>
  </si>
  <si>
    <t>Within the last 12 months, Morgan Stanley has provided or is providing investment banking services to,</t>
  </si>
  <si>
    <t>or has an investment banking client relationship with, the following company: CBS Corporation.</t>
  </si>
  <si>
    <t>In the next 3 months, Morgan Stanley expects to receive or intends to seek compensation for investment</t>
  </si>
  <si>
    <t>banking services from CBS Corporation.</t>
  </si>
  <si>
    <t>As of December 29, 2017, Morgan Stanley beneficially owned 1% or more of a class of common equity</t>
  </si>
  <si>
    <t>securities of the following companies covered in Morgan Stanley Research: CBS Corporation.</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</si>
  <si>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</si>
  <si>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</si>
  <si>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</si>
  <si>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</si>
  <si>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</si>
  <si>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Benjamin Swinburne,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</si>
  <si>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</si>
  <si>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</si>
  <si>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</si>
  <si>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</si>
  <si>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</si>
  <si>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</si>
  <si>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</si>
  <si>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</si>
  <si>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</si>
  <si>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</si>
  <si>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</si>
  <si>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</si>
  <si>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</si>
  <si>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</si>
  <si>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</si>
  <si>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</si>
  <si>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</si>
  <si>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</si>
  <si>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</si>
  <si>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</si>
  <si>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</si>
  <si>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</si>
  <si>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</si>
  <si>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</si>
  <si>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</si>
  <si>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</si>
  <si>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</si>
  <si>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</si>
  <si>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</si>
  <si>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</si>
  <si>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</si>
  <si>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</si>
  <si>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</si>
  <si>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</si>
  <si>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</si>
  <si>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</si>
  <si>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</si>
  <si>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</si>
  <si>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</si>
  <si>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</si>
  <si>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</si>
  <si>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</si>
  <si>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</si>
  <si>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</si>
  <si>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</si>
  <si>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</si>
  <si>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</si>
  <si>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</si>
  <si>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</si>
  <si>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</si>
  <si>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</si>
  <si>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</si>
  <si>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</si>
  <si>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</si>
  <si>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</si>
  <si>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</si>
  <si>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</si>
  <si>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</si>
  <si>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</si>
  <si>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</si>
  <si>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</si>
  <si>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</si>
  <si>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</si>
  <si>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</si>
  <si>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</si>
  <si>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</si>
  <si>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</si>
  <si>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Attractive</t>
  </si>
  <si>
    <t>Regular Update</t>
  </si>
  <si>
    <t>NorthAmerica</t>
  </si>
  <si>
    <t>ripps</t>
  </si>
  <si>
    <t>MSA10954, MSA40LMC</t>
  </si>
  <si>
    <t>L:\MEDIA\Bilotti\Ent\Cos\CBS\CBS.xlsm</t>
  </si>
  <si>
    <t>[BRO MSA]</t>
  </si>
  <si>
    <t>[PRODUCT MODEL]</t>
  </si>
  <si>
    <t>[EMAIL_ALERT YES]</t>
  </si>
  <si>
    <t>[DISCIPLINE Company]</t>
  </si>
  <si>
    <t>[SUPPRESSED NO]</t>
  </si>
  <si>
    <t>[DOCDAT 2018-01-23]</t>
  </si>
  <si>
    <t>[DOCTIME 16:24]</t>
  </si>
  <si>
    <t>[PSYM CBS.N(S&amp;P) (None)]</t>
  </si>
  <si>
    <t>[COU 1]</t>
  </si>
  <si>
    <t>[ANA MSA40LMC]</t>
  </si>
  <si>
    <t>[HL CBS.N Model]</t>
  </si>
  <si>
    <t>[IND ]</t>
  </si>
  <si>
    <t>[PANA MSA10954]</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</si>
  <si>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</si>
  <si>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</si>
  <si>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</si>
  <si>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</si>
  <si>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</si>
  <si>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</si>
  <si>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</si>
  <si>
    <t>Sheet Name</t>
  </si>
  <si>
    <t>Visible Status</t>
  </si>
  <si>
    <t>ImportantDisclosures</t>
  </si>
  <si>
    <t>SheetVisibilityStatus</t>
  </si>
  <si>
    <t>CircularReferenceAlert</t>
  </si>
  <si>
    <t>Multiples</t>
  </si>
  <si>
    <t>FMV Summary</t>
  </si>
  <si>
    <t>FMV</t>
  </si>
  <si>
    <t>GAAP Financial Statements</t>
  </si>
  <si>
    <t>Revenue and OCF</t>
  </si>
  <si>
    <t>Drivers</t>
  </si>
  <si>
    <t>Scenarios</t>
  </si>
  <si>
    <t>Segment Detail</t>
  </si>
  <si>
    <t>First-run Syndication</t>
  </si>
  <si>
    <t>Off-network Syndication</t>
  </si>
  <si>
    <t>Publishing (new)</t>
  </si>
  <si>
    <t>Corporate and FAS 123</t>
  </si>
  <si>
    <t>IndexInformation</t>
  </si>
  <si>
    <t>ModPubIndex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</si>
</sst>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82">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_-* #,##0.00_-;\-* #,##0.00_-;_-* &quot;-&quot;??_-;_-@_-"/>
    <numFmt numFmtId="165" formatCode="#,##0.0_);[Red]\(#,##0.0\)"/>
    <numFmt numFmtId="166" formatCode="0.0%"/>
    <numFmt numFmtId="167" formatCode="_(* #,##0.0_);_(* \(#,##0.0\);_(* &quot;-&quot;??_);_(@_)"/>
    <numFmt numFmtId="168" formatCode="#,##0.0"/>
    <numFmt numFmtId="169" formatCode="&quot;$&quot;#,##0.0;[Red]\(&quot;$&quot;#,##0.0\)"/>
    <numFmt numFmtId="170" formatCode="#,##0.0;[Red]\(#,##0.0\)"/>
    <numFmt numFmtId="171" formatCode="_(* #,##0_);_(* \(#,##0\);_(* &quot;-&quot;??_);_(@_)"/>
    <numFmt numFmtId="172" formatCode="_(* #,##0.000_);_(* \(#,##0.000\);_(* &quot;-&quot;??_);_(@_)"/>
    <numFmt numFmtId="173" formatCode="0.0"/>
    <numFmt numFmtId="174" formatCode="&quot;$&quot;#,##0.0_);[Red]\(&quot;$&quot;#,##0.0\)"/>
    <numFmt numFmtId="175" formatCode="#,##0;[Red]\(#,##0\)"/>
    <numFmt numFmtId="176" formatCode="#,##0.0\x;[Red]\(#,##0.0\x\)"/>
    <numFmt numFmtId="177" formatCode="#,##0.0_);\(#,##0.0\)"/>
    <numFmt numFmtId="178" formatCode="_(* #,##0.0_);_(* \(#,##0.0\);_(* &quot;-&quot;?_);_(@_)"/>
    <numFmt numFmtId="179" formatCode="0.0_)"/>
    <numFmt numFmtId="180" formatCode="&quot;$&quot;#,##0.00"/>
    <numFmt numFmtId="181" formatCode="#,##0.0\x_);[Red]\(#,##0.0\x\)"/>
    <numFmt numFmtId="182" formatCode="#,##0.000_);[Red]\(#,##0.000\)"/>
    <numFmt numFmtId="183" formatCode="0.0\x"/>
    <numFmt numFmtId="184" formatCode="&quot;$&quot;#,##0.0"/>
    <numFmt numFmtId="185" formatCode="_-* #,##0_-;\-* #,##0_-;_-* &quot;-&quot;??_-;_-@_-"/>
    <numFmt numFmtId="186" formatCode="_-* #,##0.0_-;\-* #,##0.0_-;_-* &quot;-&quot;??_-;_-@_-"/>
    <numFmt numFmtId="187" formatCode="0.000%"/>
    <numFmt numFmtId="188" formatCode="0&quot;E&quot;"/>
    <numFmt numFmtId="190" formatCode="&quot;$&quot;#,##0"/>
    <numFmt numFmtId="191" formatCode="0.0_);[Red]\(0.0\)"/>
    <numFmt numFmtId="192" formatCode="#,##0.0000_);[Red]\(#,##0.0000\)"/>
    <numFmt numFmtId="193" formatCode="&quot;$&quot;#,##0.0_);\(&quot;$&quot;#,##0.0\)"/>
    <numFmt numFmtId="194" formatCode="&quot;$&quot;#,##0.00;[Red]\(&quot;$&quot;#,##0.00\)"/>
    <numFmt numFmtId="195" formatCode="#,##0.0\x;[Red]\(#,##0.0\)\x"/>
    <numFmt numFmtId="196" formatCode="#,##0.000000_);[Red]\(#,##0.000000\)"/>
    <numFmt numFmtId="197" formatCode="&quot;$&quot;#,##0.000_);[Red]\(&quot;$&quot;#,##0.000\)"/>
    <numFmt numFmtId="198" formatCode="0.000"/>
    <numFmt numFmtId="199" formatCode="_(* #,##0.0_);_(* \(#,##0.0\);_(* &quot;-&quot;????_);_(@_)"/>
    <numFmt numFmtId="200" formatCode="#,##0.000;[Red]\(#,##0.000\)"/>
    <numFmt numFmtId="201" formatCode="#,##0.0;\(#,##0.0\)"/>
    <numFmt numFmtId="202" formatCode="#,##0;\(#,##0\)"/>
    <numFmt numFmtId="203" formatCode="General&quot;E&quot;"/>
    <numFmt numFmtId="204" formatCode="#.0&quot;x&quot;"/>
    <numFmt numFmtId="205" formatCode="&quot;$&quot;#,##0.0;[Red]&quot;$&quot;#,##0.0"/>
    <numFmt numFmtId="213" formatCode="_(* #,##0.0000_);_(* \(#,##0.0000\);_(* &quot;-&quot;??_);_(@_)"/>
    <numFmt numFmtId="214" formatCode="&quot;$&quot;#,##0_%_);\(&quot;$&quot;#,##0\)_%;&quot;$&quot;#,##0_%_);@_%_)"/>
    <numFmt numFmtId="215" formatCode="&quot;$&quot;#,##0.0_%_);\(&quot;$&quot;#,##0.0\)_%;&quot;$&quot;#,##0.0_%_);@_%_)"/>
    <numFmt numFmtId="216" formatCode="#,##0.0_%_);\(#,##0.0\)_%;#,##0.0_%_);@_%_)"/>
    <numFmt numFmtId="217" formatCode="#,##0_%_);\(#,##0\)_%;#,##0_%_);@_%_)"/>
    <numFmt numFmtId="218" formatCode="0.0\%_);\(0.0\%\);0.0\%_);@_%_)"/>
    <numFmt numFmtId="219" formatCode="0\%_);\(0\%\);0\%_);@_%_)"/>
    <numFmt numFmtId="220" formatCode="&quot;$&quot;#,##0.00;[Red]&quot;$&quot;#,##0.00"/>
    <numFmt numFmtId="221" formatCode="0.0_);\(0.0\)"/>
    <numFmt numFmtId="222" formatCode="\-"/>
    <numFmt numFmtId="223" formatCode="#,##0.0%_);\(#,##0.0%\)"/>
    <numFmt numFmtId="224" formatCode="#,##0%_);\(#,##0%\)"/>
    <numFmt numFmtId="225" formatCode="_(&quot;$&quot;* #,##0.0_);_(&quot;$&quot;* \(#,##0.0\);_(&quot;$&quot;* &quot;-&quot;??_);_(@_)"/>
    <numFmt numFmtId="226" formatCode="#,##0.0000000000"/>
    <numFmt numFmtId="227" formatCode="#,##0.0000000000000"/>
    <numFmt numFmtId="228" formatCode="_(&quot;$&quot;* #,##0.000_);_(&quot;$&quot;* \(#,##0.000\);_(&quot;$&quot;* &quot;-&quot;??_);_(@_)"/>
    <numFmt numFmtId="229" formatCode="&quot;$&quot;#,##0&quot;K&quot;"/>
    <numFmt numFmtId="231" formatCode="0.00_);\(0.00\)"/>
    <numFmt numFmtId="234" formatCode="_(* #,##0.00_);_(* \(#,##0.00\);_(* &quot;-&quot;?_);_(@_)"/>
    <numFmt numFmtId="235" formatCode="0_)"/>
    <numFmt numFmtId="238" formatCode="#,##0.000_);\(#,##0.000\)"/>
    <numFmt numFmtId="239" formatCode="#,##0.00\x;[Red]\(#,##0.00\x\)"/>
    <numFmt numFmtId="240" formatCode="_(* #,##0.00000_);_(* \(#,##0.00000\);_(* &quot;-&quot;??_);_(@_)"/>
    <numFmt numFmtId="241" formatCode="&quot;$&quot;#,##0.000"/>
    <numFmt numFmtId="242" formatCode="#,##0.000"/>
    <numFmt numFmtId="244" formatCode="_(* #,##0.000_);_(* \(#,##0.000\);_(* &quot;-&quot;?_);_(@_)"/>
    <numFmt numFmtId="247" formatCode="_(* #,##0_);_(* \(#,##0\);_(* &quot;-&quot;?_);_(@_)"/>
    <numFmt numFmtId="248" formatCode="_(* #,##0.0000_);_(* \(#,##0.0000\);_(* &quot;-&quot;?_);_(@_)"/>
    <numFmt numFmtId="249" formatCode="0.00;[Red]0.00"/>
    <numFmt numFmtId="250" formatCode="0.0;[Red]0.0"/>
    <numFmt numFmtId="251" formatCode="#,##0;[Red]#,##0"/>
    <numFmt numFmtId="252" formatCode="_(* #,##0.00000_);_(* \(#,##0.00000\);_(* &quot;-&quot;?_);_(@_)"/>
    <numFmt numFmtId="253" formatCode="0.000000000"/>
    <numFmt numFmtId="259" formatCode="mm/dd/yy\ hh:mm"/>
  </numFmts>
  <fonts count="161">
    <font>
      <sz val="10"/>
      <name val="Arial"/>
    </font>
    <font>
      <sz val="11"/>
      <color theme="1"/>
      <name val="Calibri"/>
      <family val="2"/>
      <scheme val="minor"/>
    </font>
    <font>
      <sz val="10"/>
      <name val="Arial"/>
      <family val="2"/>
    </font>
    <font>
      <sz val="8"/>
      <name val="Arial"/>
      <family val="2"/>
    </font>
    <font>
      <sz val="10"/>
      <name val="MS Sans Serif"/>
      <family val="2"/>
    </font>
    <font>
      <sz val="8"/>
      <name val="Times New Roman"/>
      <family val="1"/>
    </font>
    <font>
      <b/>
      <sz val="10"/>
      <color indexed="8"/>
      <name val="Times New Roman"/>
      <family val="1"/>
    </font>
    <font>
      <b/>
      <sz val="10"/>
      <name val="Arial"/>
      <family val="2"/>
    </font>
    <font>
      <sz val="8"/>
      <name val="Arial"/>
      <family val="2"/>
    </font>
    <font>
      <b/>
      <sz val="12"/>
      <name val="Arial"/>
      <family val="2"/>
    </font>
    <font>
      <sz val="10"/>
      <color indexed="8"/>
      <name val="Times New Roman"/>
      <family val="1"/>
    </font>
    <font>
      <sz val="8"/>
      <name val="Times New Roman"/>
      <family val="1"/>
    </font>
    <font>
      <sz val="8"/>
      <color indexed="81"/>
      <name val="Tahoma"/>
      <family val="2"/>
    </font>
    <font>
      <b/>
      <sz val="8"/>
      <color indexed="81"/>
      <name val="Tahoma"/>
      <family val="2"/>
    </font>
    <font>
      <sz val="8"/>
      <color indexed="12"/>
      <name val="Arial"/>
      <family val="2"/>
    </font>
    <font>
      <b/>
      <sz val="8"/>
      <name val="Arial"/>
      <family val="2"/>
    </font>
    <font>
      <sz val="10"/>
      <name val="Arial"/>
      <family val="2"/>
    </font>
    <font>
      <sz val="10"/>
      <name val="Geneva"/>
    </font>
    <font>
      <i/>
      <sz val="8"/>
      <color indexed="81"/>
      <name val="Tahoma"/>
      <family val="2"/>
    </font>
    <font>
      <u/>
      <sz val="8"/>
      <color indexed="81"/>
      <name val="Tahoma"/>
      <family val="2"/>
    </font>
    <font>
      <b/>
      <sz val="11"/>
      <name val="Arial"/>
      <family val="2"/>
    </font>
    <font>
      <sz val="8"/>
      <color indexed="9"/>
      <name val="Arial"/>
      <family val="2"/>
    </font>
    <font>
      <i/>
      <sz val="8"/>
      <color indexed="8"/>
      <name val="Arial"/>
      <family val="2"/>
    </font>
    <font>
      <i/>
      <sz val="8"/>
      <name val="Arial"/>
      <family val="2"/>
    </font>
    <font>
      <sz val="8"/>
      <color indexed="10"/>
      <name val="Arial"/>
      <family val="2"/>
    </font>
    <font>
      <u/>
      <sz val="8"/>
      <color indexed="17"/>
      <name val="Arial"/>
      <family val="2"/>
    </font>
    <font>
      <u/>
      <sz val="8"/>
      <name val="Arial"/>
      <family val="2"/>
    </font>
    <font>
      <sz val="8"/>
      <color indexed="17"/>
      <name val="Arial"/>
      <family val="2"/>
    </font>
    <font>
      <sz val="8"/>
      <color indexed="14"/>
      <name val="Arial"/>
      <family val="2"/>
    </font>
    <font>
      <u/>
      <sz val="8"/>
      <color indexed="14"/>
      <name val="Arial"/>
      <family val="2"/>
    </font>
    <font>
      <u/>
      <sz val="8"/>
      <color indexed="12"/>
      <name val="Arial"/>
      <family val="2"/>
    </font>
    <font>
      <b/>
      <sz val="8"/>
      <color indexed="12"/>
      <name val="Arial"/>
      <family val="2"/>
    </font>
    <font>
      <b/>
      <sz val="8"/>
      <color indexed="8"/>
      <name val="Arial"/>
      <family val="2"/>
    </font>
    <font>
      <sz val="8"/>
      <color indexed="8"/>
      <name val="Arial"/>
      <family val="2"/>
    </font>
    <font>
      <sz val="8"/>
      <color indexed="21"/>
      <name val="Arial"/>
      <family val="2"/>
    </font>
    <font>
      <b/>
      <u/>
      <sz val="8"/>
      <name val="Arial"/>
      <family val="2"/>
    </font>
    <font>
      <b/>
      <sz val="11"/>
      <color indexed="8"/>
      <name val="Arial"/>
      <family val="2"/>
    </font>
    <font>
      <u/>
      <sz val="8"/>
      <color indexed="8"/>
      <name val="Arial"/>
      <family val="2"/>
    </font>
    <font>
      <b/>
      <i/>
      <sz val="8"/>
      <name val="Arial"/>
      <family val="2"/>
    </font>
    <font>
      <b/>
      <sz val="11"/>
      <color indexed="9"/>
      <name val="Arial"/>
      <family val="2"/>
    </font>
    <font>
      <u/>
      <sz val="10"/>
      <name val="Arial"/>
      <family val="2"/>
    </font>
    <font>
      <sz val="10"/>
      <color indexed="14"/>
      <name val="Arial"/>
      <family val="2"/>
    </font>
    <font>
      <b/>
      <sz val="8"/>
      <color indexed="17"/>
      <name val="Arial"/>
      <family val="2"/>
    </font>
    <font>
      <i/>
      <sz val="8"/>
      <color indexed="12"/>
      <name val="Arial"/>
      <family val="2"/>
    </font>
    <font>
      <sz val="8"/>
      <color indexed="20"/>
      <name val="Arial"/>
      <family val="2"/>
    </font>
    <font>
      <sz val="9"/>
      <name val="Times New Roman"/>
      <family val="1"/>
    </font>
    <font>
      <i/>
      <u/>
      <sz val="8"/>
      <name val="Arial"/>
      <family val="2"/>
    </font>
    <font>
      <u/>
      <sz val="8"/>
      <name val="Arial"/>
      <family val="2"/>
    </font>
    <font>
      <sz val="8"/>
      <color indexed="12"/>
      <name val="Arial"/>
      <family val="2"/>
    </font>
    <font>
      <b/>
      <sz val="8"/>
      <name val="Arial"/>
      <family val="2"/>
    </font>
    <font>
      <sz val="8"/>
      <color indexed="9"/>
      <name val="Arial"/>
      <family val="2"/>
    </font>
    <font>
      <sz val="8"/>
      <color indexed="10"/>
      <name val="Arial"/>
      <family val="2"/>
    </font>
    <font>
      <sz val="8"/>
      <color indexed="8"/>
      <name val="Arial"/>
      <family val="2"/>
    </font>
    <font>
      <i/>
      <sz val="8"/>
      <name val="Arial"/>
      <family val="2"/>
    </font>
    <font>
      <i/>
      <sz val="8"/>
      <color indexed="10"/>
      <name val="Arial"/>
      <family val="2"/>
    </font>
    <font>
      <b/>
      <u/>
      <sz val="8"/>
      <name val="Arial"/>
      <family val="2"/>
    </font>
    <font>
      <sz val="8"/>
      <color indexed="17"/>
      <name val="Arial"/>
      <family val="2"/>
    </font>
    <font>
      <b/>
      <sz val="8"/>
      <color indexed="8"/>
      <name val="Tahoma"/>
      <family val="2"/>
    </font>
    <font>
      <sz val="8"/>
      <color indexed="8"/>
      <name val="Tahoma"/>
      <family val="2"/>
    </font>
    <font>
      <sz val="8"/>
      <color indexed="14"/>
      <name val="Arial"/>
      <family val="2"/>
    </font>
    <font>
      <b/>
      <sz val="8"/>
      <color indexed="14"/>
      <name val="Arial"/>
      <family val="2"/>
    </font>
    <font>
      <i/>
      <sz val="8"/>
      <name val="Times New Roman"/>
      <family val="1"/>
    </font>
    <font>
      <b/>
      <sz val="8"/>
      <color indexed="12"/>
      <name val="Arial"/>
      <family val="2"/>
    </font>
    <font>
      <b/>
      <sz val="8"/>
      <color indexed="17"/>
      <name val="Arial"/>
      <family val="2"/>
    </font>
    <font>
      <sz val="8"/>
      <color indexed="47"/>
      <name val="Arial"/>
      <family val="2"/>
    </font>
    <font>
      <b/>
      <sz val="8"/>
      <color indexed="9"/>
      <name val="Arial"/>
      <family val="2"/>
    </font>
    <font>
      <sz val="8"/>
      <color indexed="23"/>
      <name val="Arial"/>
      <family val="2"/>
    </font>
    <font>
      <sz val="8"/>
      <color indexed="23"/>
      <name val="Arial"/>
      <family val="2"/>
    </font>
    <font>
      <b/>
      <sz val="9"/>
      <name val="Arial"/>
      <family val="2"/>
    </font>
    <font>
      <b/>
      <u/>
      <sz val="8"/>
      <color indexed="81"/>
      <name val="Tahoma"/>
      <family val="2"/>
    </font>
    <font>
      <sz val="9"/>
      <color indexed="81"/>
      <name val="Tahoma"/>
      <family val="2"/>
    </font>
    <font>
      <b/>
      <sz val="9"/>
      <color indexed="81"/>
      <name val="Tahoma"/>
      <family val="2"/>
    </font>
    <font>
      <sz val="8"/>
      <name val="Arial"/>
      <family val="2"/>
    </font>
    <font>
      <sz val="8"/>
      <color indexed="12"/>
      <name val="Arial"/>
      <family val="2"/>
    </font>
    <font>
      <sz val="8"/>
      <color indexed="8"/>
      <name val="Arial"/>
      <family val="2"/>
    </font>
    <font>
      <b/>
      <sz val="8"/>
      <name val="Arial"/>
      <family val="2"/>
    </font>
    <font>
      <b/>
      <sz val="8"/>
      <color indexed="10"/>
      <name val="Arial"/>
      <family val="2"/>
    </font>
    <font>
      <sz val="8"/>
      <color indexed="17"/>
      <name val="Arial"/>
      <family val="2"/>
    </font>
    <font>
      <sz val="8"/>
      <color indexed="30"/>
      <name val="Arial"/>
      <family val="2"/>
    </font>
    <font>
      <sz val="8"/>
      <color indexed="40"/>
      <name val="Arial"/>
      <family val="2"/>
    </font>
    <font>
      <sz val="8"/>
      <color indexed="57"/>
      <name val="Arial"/>
      <family val="2"/>
    </font>
    <font>
      <sz val="8"/>
      <color indexed="10"/>
      <name val="Arial"/>
      <family val="2"/>
    </font>
    <font>
      <i/>
      <sz val="8"/>
      <color indexed="14"/>
      <name val="Arial"/>
      <family val="2"/>
    </font>
    <font>
      <sz val="8"/>
      <color indexed="57"/>
      <name val="Arial"/>
      <family val="2"/>
    </font>
    <font>
      <sz val="8"/>
      <color indexed="12"/>
      <name val="Arial"/>
      <family val="2"/>
    </font>
    <font>
      <sz val="8"/>
      <color indexed="17"/>
      <name val="Arial"/>
      <family val="2"/>
    </font>
    <font>
      <sz val="8"/>
      <color indexed="12"/>
      <name val="Arial"/>
      <family val="2"/>
    </font>
    <font>
      <sz val="8"/>
      <color indexed="57"/>
      <name val="Arial"/>
      <family val="2"/>
    </font>
    <font>
      <sz val="10"/>
      <name val="MS Sans Serif"/>
      <family val="2"/>
    </font>
    <font>
      <b/>
      <sz val="10"/>
      <color indexed="8"/>
      <name val="Times New Roman"/>
      <family val="1"/>
    </font>
    <font>
      <sz val="10"/>
      <color indexed="8"/>
      <name val="Times New Roman"/>
      <family val="1"/>
    </font>
    <font>
      <sz val="8"/>
      <color indexed="17"/>
      <name val="Arial"/>
      <family val="2"/>
    </font>
    <font>
      <sz val="10"/>
      <name val="Arial"/>
      <family val="2"/>
    </font>
    <font>
      <sz val="10"/>
      <name val="Arial"/>
      <family val="2"/>
    </font>
    <font>
      <i/>
      <sz val="10"/>
      <name val="Arial"/>
      <family val="2"/>
    </font>
    <font>
      <u/>
      <sz val="9"/>
      <color indexed="12"/>
      <name val="Arial"/>
      <family val="2"/>
    </font>
    <font>
      <sz val="8"/>
      <color indexed="14"/>
      <name val="Arial"/>
      <family val="2"/>
    </font>
    <font>
      <sz val="8"/>
      <color indexed="12"/>
      <name val="Arial"/>
      <family val="2"/>
    </font>
    <font>
      <sz val="8"/>
      <color indexed="8"/>
      <name val="Arial"/>
      <family val="2"/>
    </font>
    <font>
      <u/>
      <sz val="8"/>
      <color indexed="8"/>
      <name val="Arial"/>
      <family val="2"/>
    </font>
    <font>
      <sz val="8"/>
      <color indexed="17"/>
      <name val="Arial"/>
      <family val="2"/>
    </font>
    <font>
      <sz val="8"/>
      <color indexed="30"/>
      <name val="Arial"/>
      <family val="2"/>
    </font>
    <font>
      <sz val="8"/>
      <color indexed="56"/>
      <name val="Arial"/>
      <family val="2"/>
    </font>
    <font>
      <sz val="10"/>
      <name val="Arial"/>
      <family val="2"/>
    </font>
    <font>
      <sz val="10"/>
      <name val="Arial"/>
      <family val="2"/>
    </font>
    <font>
      <sz val="10"/>
      <name val="Arial"/>
      <family val="2"/>
    </font>
    <font>
      <sz val="7"/>
      <name val="Arial"/>
      <family val="2"/>
    </font>
    <font>
      <sz val="10"/>
      <name val="Arial"/>
      <family val="2"/>
    </font>
    <font>
      <u/>
      <sz val="9"/>
      <color indexed="81"/>
      <name val="Tahoma"/>
      <family val="2"/>
    </font>
    <font>
      <i/>
      <sz val="8"/>
      <color indexed="17"/>
      <name val="Arial"/>
      <family val="2"/>
    </font>
    <font>
      <sz val="10"/>
      <name val="Arial"/>
      <family val="2"/>
    </font>
    <font>
      <b/>
      <i/>
      <sz val="8"/>
      <color indexed="12"/>
      <name val="Arial"/>
      <family val="2"/>
    </font>
    <font>
      <b/>
      <i/>
      <sz val="8"/>
      <color indexed="10"/>
      <name val="Arial"/>
      <family val="2"/>
    </font>
    <font>
      <b/>
      <i/>
      <sz val="8"/>
      <color indexed="9"/>
      <name val="Arial"/>
      <family val="2"/>
    </font>
    <font>
      <b/>
      <i/>
      <sz val="10"/>
      <name val="Arial"/>
      <family val="2"/>
    </font>
    <font>
      <sz val="8"/>
      <color indexed="56"/>
      <name val="Arial"/>
      <family val="2"/>
    </font>
    <font>
      <sz val="8"/>
      <color indexed="9"/>
      <name val="Arial"/>
      <family val="2"/>
    </font>
    <font>
      <sz val="8"/>
      <color indexed="23"/>
      <name val="Arial"/>
      <family val="2"/>
    </font>
    <font>
      <i/>
      <sz val="8"/>
      <color indexed="23"/>
      <name val="Arial"/>
      <family val="2"/>
    </font>
    <font>
      <sz val="8"/>
      <color indexed="26"/>
      <name val="Arial"/>
      <family val="2"/>
    </font>
    <font>
      <sz val="8"/>
      <color indexed="10"/>
      <name val="Arial"/>
      <family val="2"/>
    </font>
    <font>
      <b/>
      <i/>
      <sz val="8"/>
      <color indexed="23"/>
      <name val="Arial"/>
      <family val="2"/>
    </font>
    <font>
      <i/>
      <sz val="10"/>
      <color indexed="23"/>
      <name val="Arial"/>
      <family val="2"/>
    </font>
    <font>
      <b/>
      <sz val="8"/>
      <color indexed="10"/>
      <name val="Arial"/>
      <family val="2"/>
    </font>
    <font>
      <b/>
      <sz val="8"/>
      <color indexed="23"/>
      <name val="Arial"/>
      <family val="2"/>
    </font>
    <font>
      <b/>
      <sz val="8"/>
      <color indexed="12"/>
      <name val="Arial"/>
      <family val="2"/>
    </font>
    <font>
      <i/>
      <sz val="8"/>
      <color indexed="8"/>
      <name val="Arial"/>
      <family val="2"/>
    </font>
    <font>
      <sz val="10"/>
      <color indexed="23"/>
      <name val="Arial"/>
      <family val="2"/>
    </font>
    <font>
      <u/>
      <sz val="8"/>
      <color indexed="23"/>
      <name val="Arial"/>
      <family val="2"/>
    </font>
    <font>
      <sz val="8"/>
      <color indexed="23"/>
      <name val="Arial"/>
      <family val="2"/>
    </font>
    <font>
      <sz val="10"/>
      <color indexed="23"/>
      <name val="Arial"/>
      <family val="2"/>
    </font>
    <font>
      <b/>
      <sz val="8"/>
      <color indexed="23"/>
      <name val="Arial"/>
      <family val="2"/>
    </font>
    <font>
      <b/>
      <sz val="8"/>
      <color indexed="23"/>
      <name val="Arial"/>
      <family val="2"/>
    </font>
    <font>
      <sz val="8"/>
      <color indexed="23"/>
      <name val="Arial"/>
      <family val="2"/>
    </font>
    <font>
      <sz val="8"/>
      <color indexed="23"/>
      <name val="Arial"/>
      <family val="2"/>
    </font>
    <font>
      <b/>
      <sz val="8"/>
      <color indexed="23"/>
      <name val="Arial"/>
      <family val="2"/>
    </font>
    <font>
      <i/>
      <sz val="8"/>
      <color indexed="23"/>
      <name val="Arial"/>
      <family val="2"/>
    </font>
    <font>
      <u/>
      <sz val="8"/>
      <color indexed="23"/>
      <name val="Arial"/>
      <family val="2"/>
    </font>
    <font>
      <sz val="10"/>
      <color indexed="23"/>
      <name val="Arial"/>
      <family val="2"/>
    </font>
    <font>
      <i/>
      <sz val="10"/>
      <color indexed="23"/>
      <name val="Arial"/>
      <family val="2"/>
    </font>
    <font>
      <b/>
      <i/>
      <sz val="8"/>
      <color indexed="23"/>
      <name val="Arial"/>
      <family val="2"/>
    </font>
    <font>
      <sz val="11"/>
      <color theme="1"/>
      <name val="Calibri"/>
      <family val="2"/>
      <scheme val="minor"/>
    </font>
    <font>
      <sz val="8"/>
      <color theme="0" tint="-0.499984740745262"/>
      <name val="Arial"/>
      <family val="2"/>
    </font>
    <font>
      <b/>
      <sz val="8"/>
      <color theme="0" tint="-0.499984740745262"/>
      <name val="Arial"/>
      <family val="2"/>
    </font>
    <font>
      <sz val="8"/>
      <color rgb="FF0070C0"/>
      <name val="Arial"/>
      <family val="2"/>
    </font>
    <font>
      <sz val="8"/>
      <color rgb="FF00B050"/>
      <name val="Arial"/>
      <family val="2"/>
    </font>
    <font>
      <sz val="8"/>
      <color rgb="FF0000FF"/>
      <name val="Arial"/>
      <family val="2"/>
    </font>
    <font>
      <i/>
      <sz val="8"/>
      <color theme="0" tint="-0.499984740745262"/>
      <name val="Arial"/>
      <family val="2"/>
    </font>
    <font>
      <sz val="10"/>
      <name val="Arial"/>
      <family val="2"/>
    </font>
    <font>
      <sz val="10"/>
      <name val="Arial"/>
      <family val="2"/>
    </font>
    <font>
      <sz val="10"/>
      <color theme="0" tint="-0.499984740745262"/>
      <name val="Arial"/>
      <family val="2"/>
    </font>
    <font>
      <i/>
      <sz val="10"/>
      <color theme="0" tint="-0.499984740745262"/>
      <name val="Arial"/>
      <family val="2"/>
    </font>
    <font>
      <sz val="10"/>
      <name val="Arial"/>
      <family val="2"/>
    </font>
    <font>
      <sz val="10"/>
      <name val="Courier"/>
      <family val="3"/>
    </font>
    <font>
      <sz val="11"/>
      <name val="Arial"/>
      <family val="2"/>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
      <b/>
      <sz val="18"/>
      <name val="Arial"/>
      <family val="2"/>
    </font>
  </fonts>
  <fills count="14">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4"/>
        <bgColor indexed="64"/>
      </patternFill>
    </fill>
    <fill>
      <patternFill patternType="solid">
        <fgColor indexed="47"/>
        <bgColor indexed="64"/>
      </patternFill>
    </fill>
    <fill>
      <patternFill patternType="solid">
        <fgColor indexed="13"/>
        <bgColor indexed="64"/>
      </patternFill>
    </fill>
    <fill>
      <patternFill patternType="solid">
        <fgColor indexed="9"/>
        <bgColor indexed="64"/>
      </patternFill>
    </fill>
    <fill>
      <patternFill patternType="solid">
        <fgColor indexed="42"/>
        <bgColor indexed="64"/>
      </patternFill>
    </fill>
    <fill>
      <patternFill patternType="solid">
        <fgColor indexed="10"/>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indexed="65"/>
        <bgColor indexed="64"/>
      </patternFill>
    </fill>
  </fills>
  <borders count="33">
    <border>
      <left/>
      <right/>
      <top/>
      <bottom/>
      <diagonal/>
    </border>
    <border>
      <left/>
      <right/>
      <top/>
      <bottom style="thin">
        <color indexed="8"/>
      </bottom>
      <diagonal/>
    </border>
    <border>
      <left/>
      <right/>
      <top/>
      <bottom style="thin">
        <color indexed="64"/>
      </bottom>
      <diagonal/>
    </border>
    <border>
      <left/>
      <right/>
      <top style="thin">
        <color indexed="8"/>
      </top>
      <bottom style="thin">
        <color indexed="64"/>
      </bottom>
      <diagonal/>
    </border>
    <border>
      <left/>
      <right/>
      <top style="thin">
        <color indexed="8"/>
      </top>
      <bottom/>
      <diagonal/>
    </border>
    <border>
      <left/>
      <right/>
      <top style="thin">
        <color indexed="64"/>
      </top>
      <bottom style="thin">
        <color indexed="64"/>
      </bottom>
      <diagonal/>
    </border>
    <border>
      <left/>
      <right/>
      <top style="thin">
        <color indexed="64"/>
      </top>
      <bottom style="medium">
        <color indexed="64"/>
      </bottom>
      <diagonal/>
    </border>
    <border>
      <left/>
      <right/>
      <top/>
      <bottom style="medium">
        <color indexed="64"/>
      </bottom>
      <diagonal/>
    </border>
    <border>
      <left/>
      <right/>
      <top style="thin">
        <color indexed="64"/>
      </top>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dotted">
        <color indexed="64"/>
      </left>
      <right style="thin">
        <color indexed="64"/>
      </right>
      <top/>
      <bottom style="thin">
        <color indexed="64"/>
      </bottom>
      <diagonal/>
    </border>
    <border>
      <left style="dotted">
        <color indexed="64"/>
      </left>
      <right style="thin">
        <color indexed="64"/>
      </right>
      <top/>
      <bottom/>
      <diagonal/>
    </border>
    <border>
      <left style="dotted">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top style="medium">
        <color indexed="64"/>
      </top>
      <bottom style="medium">
        <color indexed="64"/>
      </bottom>
      <diagonal/>
    </border>
    <border>
      <left/>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98">
    <xf numFmtId="0" fontId="0" fillId="0" borderId="0"/>
    <xf numFmtId="0" fontId="2" fillId="0" borderId="0"/>
    <xf numFmtId="0" fontId="16" fillId="0" borderId="0"/>
    <xf numFmtId="0" fontId="2" fillId="0" borderId="0"/>
    <xf numFmtId="0" fontId="2" fillId="0" borderId="0"/>
    <xf numFmtId="0" fontId="16" fillId="0" borderId="0"/>
    <xf numFmtId="0" fontId="2" fillId="0" borderId="0"/>
    <xf numFmtId="0" fontId="2" fillId="0" borderId="0"/>
    <xf numFmtId="0" fontId="16" fillId="0" borderId="0"/>
    <xf numFmtId="0" fontId="2" fillId="0" borderId="0"/>
    <xf numFmtId="0" fontId="4" fillId="0" borderId="0"/>
    <xf numFmtId="0" fontId="88" fillId="0" borderId="0"/>
    <xf numFmtId="0" fontId="4" fillId="0" borderId="0"/>
    <xf numFmtId="0" fontId="4" fillId="0" borderId="0"/>
    <xf numFmtId="0" fontId="88" fillId="0" borderId="0"/>
    <xf numFmtId="0" fontId="4" fillId="0" borderId="0"/>
    <xf numFmtId="0" fontId="6" fillId="0" borderId="0"/>
    <xf numFmtId="0" fontId="89" fillId="0" borderId="0"/>
    <xf numFmtId="0" fontId="6" fillId="0" borderId="0"/>
    <xf numFmtId="43" fontId="2" fillId="0" borderId="0" applyFont="0" applyFill="0" applyBorder="0" applyAlignment="0" applyProtection="0"/>
    <xf numFmtId="170" fontId="5" fillId="0" borderId="0"/>
    <xf numFmtId="170" fontId="5" fillId="0" borderId="0"/>
    <xf numFmtId="41" fontId="2" fillId="0" borderId="0" applyFont="0" applyFill="0" applyBorder="0" applyAlignment="0" applyProtection="0"/>
    <xf numFmtId="41" fontId="16" fillId="0" borderId="0" applyFont="0" applyFill="0" applyBorder="0" applyAlignment="0" applyProtection="0"/>
    <xf numFmtId="41" fontId="2" fillId="0" borderId="0" applyFont="0" applyFill="0" applyBorder="0" applyAlignment="0" applyProtection="0"/>
    <xf numFmtId="43" fontId="16" fillId="0" borderId="0" applyFont="0" applyFill="0" applyBorder="0" applyAlignment="0" applyProtection="0"/>
    <xf numFmtId="43" fontId="2" fillId="0" borderId="0" applyFont="0" applyFill="0" applyBorder="0" applyAlignment="0" applyProtection="0"/>
    <xf numFmtId="43" fontId="16" fillId="0" borderId="0" applyFont="0" applyFill="0" applyBorder="0" applyAlignment="0" applyProtection="0"/>
    <xf numFmtId="43" fontId="2" fillId="0" borderId="0" applyFont="0" applyFill="0" applyBorder="0" applyAlignment="0" applyProtection="0"/>
    <xf numFmtId="43" fontId="110"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169" fontId="5" fillId="0" borderId="0"/>
    <xf numFmtId="44" fontId="92" fillId="0" borderId="0" applyFont="0" applyFill="0" applyBorder="0" applyAlignment="0" applyProtection="0"/>
    <xf numFmtId="44" fontId="16"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93" fillId="0" borderId="0" applyFont="0" applyFill="0" applyBorder="0" applyAlignment="0" applyProtection="0"/>
    <xf numFmtId="44" fontId="16"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16" fillId="0" borderId="0" applyFont="0" applyFill="0" applyBorder="0" applyAlignment="0" applyProtection="0"/>
    <xf numFmtId="44" fontId="2" fillId="0" borderId="0" applyFont="0" applyFill="0" applyBorder="0" applyAlignment="0" applyProtection="0"/>
    <xf numFmtId="44" fontId="16" fillId="0" borderId="0" applyFont="0" applyFill="0" applyBorder="0" applyAlignment="0" applyProtection="0"/>
    <xf numFmtId="44" fontId="2" fillId="0" borderId="0" applyFont="0" applyFill="0" applyBorder="0" applyAlignment="0" applyProtection="0"/>
    <xf numFmtId="44" fontId="16" fillId="0" borderId="0" applyFont="0" applyFill="0" applyBorder="0" applyAlignment="0" applyProtection="0"/>
    <xf numFmtId="44" fontId="2" fillId="0" borderId="0" applyFont="0" applyFill="0" applyBorder="0" applyAlignment="0" applyProtection="0"/>
    <xf numFmtId="44" fontId="104" fillId="0" borderId="0" applyFont="0" applyFill="0" applyBorder="0" applyAlignment="0" applyProtection="0"/>
    <xf numFmtId="44" fontId="2" fillId="0" borderId="0" applyFont="0" applyFill="0" applyBorder="0" applyAlignment="0" applyProtection="0"/>
    <xf numFmtId="194" fontId="2" fillId="0" borderId="0" applyFont="0" applyFill="0" applyBorder="0" applyAlignment="0" applyProtection="0"/>
    <xf numFmtId="194" fontId="2" fillId="0" borderId="0" applyFont="0" applyFill="0" applyBorder="0" applyAlignment="0" applyProtection="0"/>
    <xf numFmtId="0" fontId="16" fillId="0" borderId="0"/>
    <xf numFmtId="0" fontId="2" fillId="0" borderId="0"/>
    <xf numFmtId="0" fontId="2" fillId="0" borderId="0"/>
    <xf numFmtId="0" fontId="141" fillId="0" borderId="0"/>
    <xf numFmtId="38" fontId="5" fillId="0" borderId="0"/>
    <xf numFmtId="0" fontId="5" fillId="0" borderId="0"/>
    <xf numFmtId="0" fontId="5" fillId="0" borderId="0"/>
    <xf numFmtId="0" fontId="5" fillId="0" borderId="0"/>
    <xf numFmtId="0" fontId="5" fillId="0" borderId="0"/>
    <xf numFmtId="0" fontId="11" fillId="0" borderId="0"/>
    <xf numFmtId="0" fontId="5" fillId="0" borderId="0"/>
    <xf numFmtId="0" fontId="5" fillId="0" borderId="0"/>
    <xf numFmtId="0" fontId="5" fillId="0" borderId="0"/>
    <xf numFmtId="0" fontId="5" fillId="0" borderId="0"/>
    <xf numFmtId="0" fontId="5" fillId="0" borderId="0"/>
    <xf numFmtId="0" fontId="2" fillId="0" borderId="0"/>
    <xf numFmtId="0" fontId="5" fillId="0" borderId="0"/>
    <xf numFmtId="0" fontId="17" fillId="0" borderId="0"/>
    <xf numFmtId="0" fontId="45" fillId="0" borderId="0">
      <alignment vertical="center"/>
    </xf>
    <xf numFmtId="9" fontId="2" fillId="0" borderId="0" applyFont="0" applyFill="0" applyBorder="0" applyAlignment="0" applyProtection="0"/>
    <xf numFmtId="166" fontId="5" fillId="0" borderId="0"/>
    <xf numFmtId="9" fontId="16" fillId="0" borderId="0" applyFont="0" applyFill="0" applyBorder="0" applyAlignment="0" applyProtection="0"/>
    <xf numFmtId="9" fontId="2" fillId="0" borderId="0" applyFont="0" applyFill="0" applyBorder="0" applyAlignment="0" applyProtection="0"/>
    <xf numFmtId="9" fontId="16" fillId="0" borderId="0" applyFont="0" applyFill="0" applyBorder="0" applyAlignment="0" applyProtection="0"/>
    <xf numFmtId="9" fontId="2" fillId="0" borderId="0" applyFont="0" applyFill="0" applyBorder="0" applyAlignment="0" applyProtection="0"/>
    <xf numFmtId="9" fontId="16" fillId="0" borderId="0" applyFont="0" applyFill="0" applyBorder="0" applyAlignment="0" applyProtection="0"/>
    <xf numFmtId="9" fontId="2" fillId="0" borderId="0" applyFont="0" applyFill="0" applyBorder="0" applyAlignment="0" applyProtection="0"/>
    <xf numFmtId="0" fontId="16" fillId="2" borderId="0" applyNumberFormat="0" applyFont="0" applyBorder="0" applyAlignment="0" applyProtection="0"/>
    <xf numFmtId="0" fontId="2" fillId="2" borderId="0" applyNumberFormat="0" applyFont="0" applyBorder="0" applyAlignment="0" applyProtection="0"/>
    <xf numFmtId="0" fontId="10" fillId="0" borderId="0"/>
    <xf numFmtId="0" fontId="90" fillId="0" borderId="0"/>
    <xf numFmtId="0" fontId="10" fillId="0" borderId="0"/>
    <xf numFmtId="0" fontId="10" fillId="0" borderId="1">
      <alignment horizontal="centerContinuous"/>
    </xf>
    <xf numFmtId="0" fontId="90" fillId="0" borderId="1">
      <alignment horizontal="centerContinuous"/>
    </xf>
    <xf numFmtId="0" fontId="10" fillId="0" borderId="1">
      <alignment horizontal="centerContinuous"/>
    </xf>
    <xf numFmtId="0" fontId="61" fillId="0" borderId="1"/>
    <xf numFmtId="0" fontId="2" fillId="0" borderId="0"/>
    <xf numFmtId="0" fontId="16" fillId="0" borderId="0"/>
    <xf numFmtId="0" fontId="2" fillId="0" borderId="0"/>
    <xf numFmtId="0" fontId="2" fillId="0" borderId="0">
      <alignment vertical="top"/>
    </xf>
    <xf numFmtId="0" fontId="16" fillId="0" borderId="0">
      <alignment vertical="top"/>
    </xf>
    <xf numFmtId="0" fontId="2" fillId="0" borderId="0">
      <alignment vertical="top"/>
    </xf>
    <xf numFmtId="0" fontId="1" fillId="0" borderId="0"/>
    <xf numFmtId="44" fontId="148" fillId="0" borderId="0" applyFont="0" applyFill="0" applyBorder="0" applyAlignment="0" applyProtection="0"/>
    <xf numFmtId="44" fontId="149" fillId="0" borderId="0" applyFont="0" applyFill="0" applyBorder="0" applyAlignment="0" applyProtection="0"/>
    <xf numFmtId="44" fontId="152" fillId="0" borderId="0" applyFont="0" applyFill="0" applyBorder="0" applyAlignment="0" applyProtection="0"/>
    <xf numFmtId="0" fontId="153" fillId="0" borderId="0"/>
  </cellStyleXfs>
  <cellXfs count="3631">
    <xf numFmtId="0" fontId="0" fillId="0" borderId="0" xfId="0"/>
    <xf numFmtId="0" fontId="15" fillId="0" borderId="0" xfId="0" applyFont="1" applyBorder="1" applyAlignment="1">
      <alignment horizontal="center"/>
    </xf>
    <xf numFmtId="0" fontId="8" fillId="0" borderId="2" xfId="0" applyFont="1" applyBorder="1" applyAlignment="1">
      <alignment horizontal="center"/>
    </xf>
    <xf numFmtId="49" fontId="33" fillId="0" borderId="0" xfId="64" applyNumberFormat="1" applyFont="1" applyFill="1" applyAlignment="1" applyProtection="1">
      <alignment horizontal="left"/>
    </xf>
    <xf numFmtId="171" fontId="8" fillId="0" borderId="0" xfId="19" applyNumberFormat="1" applyFont="1"/>
    <xf numFmtId="0" fontId="20" fillId="0" borderId="0" xfId="0" applyFont="1"/>
    <xf numFmtId="0" fontId="8" fillId="0" borderId="0" xfId="0" applyFont="1"/>
    <xf numFmtId="167" fontId="8" fillId="0" borderId="0" xfId="19" applyNumberFormat="1" applyFont="1" applyAlignment="1">
      <alignment horizontal="left"/>
    </xf>
    <xf numFmtId="43" fontId="21" fillId="0" borderId="0" xfId="19" applyFont="1" applyAlignment="1">
      <alignment horizontal="left"/>
    </xf>
    <xf numFmtId="0" fontId="15" fillId="0" borderId="0" xfId="0" applyFont="1" applyFill="1"/>
    <xf numFmtId="174" fontId="8" fillId="0" borderId="0" xfId="0" applyNumberFormat="1" applyFont="1"/>
    <xf numFmtId="0" fontId="8" fillId="0" borderId="0" xfId="0" applyFont="1" applyFill="1"/>
    <xf numFmtId="49" fontId="22" fillId="0" borderId="0" xfId="64" applyNumberFormat="1" applyFont="1" applyFill="1" applyBorder="1" applyAlignment="1" applyProtection="1">
      <alignment horizontal="left"/>
    </xf>
    <xf numFmtId="165" fontId="8" fillId="0" borderId="0" xfId="0" applyNumberFormat="1" applyFont="1"/>
    <xf numFmtId="165" fontId="8" fillId="0" borderId="0" xfId="0" applyNumberFormat="1" applyFont="1" applyFill="1"/>
    <xf numFmtId="14" fontId="8" fillId="0" borderId="0" xfId="0" applyNumberFormat="1" applyFont="1"/>
    <xf numFmtId="0" fontId="15" fillId="0" borderId="2" xfId="0" applyFont="1" applyBorder="1" applyAlignment="1">
      <alignment horizontal="centerContinuous"/>
    </xf>
    <xf numFmtId="2" fontId="15" fillId="0" borderId="2" xfId="0" applyNumberFormat="1" applyFont="1" applyBorder="1" applyAlignment="1">
      <alignment horizontal="centerContinuous"/>
    </xf>
    <xf numFmtId="0" fontId="15" fillId="0" borderId="2" xfId="0" applyFont="1" applyFill="1" applyBorder="1" applyAlignment="1">
      <alignment horizontal="centerContinuous"/>
    </xf>
    <xf numFmtId="0" fontId="8" fillId="0" borderId="2" xfId="0" applyFont="1" applyFill="1" applyBorder="1"/>
    <xf numFmtId="0" fontId="8" fillId="0" borderId="2" xfId="0" applyFont="1" applyBorder="1"/>
    <xf numFmtId="43" fontId="8" fillId="0" borderId="2" xfId="19" applyFont="1" applyBorder="1"/>
    <xf numFmtId="0" fontId="15" fillId="0" borderId="2" xfId="64" applyFont="1" applyBorder="1" applyAlignment="1">
      <alignment horizontal="centerContinuous"/>
    </xf>
    <xf numFmtId="0" fontId="15" fillId="0" borderId="0" xfId="64" applyFont="1" applyBorder="1" applyAlignment="1">
      <alignment horizontal="centerContinuous"/>
    </xf>
    <xf numFmtId="171" fontId="15" fillId="0" borderId="0" xfId="19" applyNumberFormat="1" applyFont="1" applyBorder="1" applyAlignment="1">
      <alignment horizontal="centerContinuous"/>
    </xf>
    <xf numFmtId="0" fontId="15" fillId="0" borderId="2" xfId="64" applyFont="1" applyFill="1" applyBorder="1" applyAlignment="1">
      <alignment horizontal="centerContinuous"/>
    </xf>
    <xf numFmtId="0" fontId="23" fillId="0" borderId="2" xfId="0" applyFont="1" applyBorder="1"/>
    <xf numFmtId="0" fontId="15" fillId="0" borderId="2" xfId="64" quotePrefix="1" applyFont="1" applyBorder="1" applyAlignment="1" applyProtection="1">
      <alignment horizontal="right"/>
    </xf>
    <xf numFmtId="1" fontId="15" fillId="0" borderId="2" xfId="64" applyNumberFormat="1" applyFont="1" applyBorder="1" applyAlignment="1" applyProtection="1">
      <alignment horizontal="right"/>
    </xf>
    <xf numFmtId="1" fontId="15" fillId="0" borderId="2" xfId="64" quotePrefix="1" applyNumberFormat="1" applyFont="1" applyBorder="1" applyAlignment="1" applyProtection="1">
      <alignment horizontal="right"/>
    </xf>
    <xf numFmtId="1" fontId="15" fillId="0" borderId="2" xfId="64" applyNumberFormat="1" applyFont="1" applyFill="1" applyBorder="1" applyAlignment="1" applyProtection="1">
      <alignment horizontal="right"/>
    </xf>
    <xf numFmtId="1" fontId="15" fillId="0" borderId="2" xfId="64" quotePrefix="1" applyNumberFormat="1" applyFont="1" applyFill="1" applyBorder="1" applyAlignment="1" applyProtection="1">
      <alignment horizontal="right"/>
    </xf>
    <xf numFmtId="0" fontId="15" fillId="0" borderId="2" xfId="64" applyFont="1" applyBorder="1" applyAlignment="1" applyProtection="1">
      <alignment horizontal="right"/>
    </xf>
    <xf numFmtId="0" fontId="15" fillId="0" borderId="0" xfId="64" applyFont="1" applyBorder="1" applyAlignment="1" applyProtection="1">
      <alignment horizontal="right"/>
    </xf>
    <xf numFmtId="171" fontId="15" fillId="0" borderId="0" xfId="19" applyNumberFormat="1" applyFont="1" applyBorder="1" applyAlignment="1" applyProtection="1">
      <alignment horizontal="right"/>
    </xf>
    <xf numFmtId="0" fontId="15" fillId="0" borderId="2" xfId="64" applyFont="1" applyFill="1" applyBorder="1" applyAlignment="1" applyProtection="1">
      <alignment horizontal="right"/>
    </xf>
    <xf numFmtId="0" fontId="15" fillId="0" borderId="0" xfId="0" applyFont="1"/>
    <xf numFmtId="174" fontId="8" fillId="0" borderId="0" xfId="0" applyNumberFormat="1" applyFont="1" applyFill="1"/>
    <xf numFmtId="166" fontId="8" fillId="0" borderId="0" xfId="70" applyNumberFormat="1" applyFont="1"/>
    <xf numFmtId="166" fontId="8" fillId="0" borderId="0" xfId="70" applyNumberFormat="1" applyFont="1" applyFill="1"/>
    <xf numFmtId="171" fontId="21" fillId="0" borderId="0" xfId="19" applyNumberFormat="1" applyFont="1"/>
    <xf numFmtId="171" fontId="21" fillId="0" borderId="0" xfId="19" applyNumberFormat="1" applyFont="1" applyAlignment="1">
      <alignment horizontal="left"/>
    </xf>
    <xf numFmtId="178" fontId="8" fillId="0" borderId="0" xfId="0" applyNumberFormat="1" applyFont="1"/>
    <xf numFmtId="0" fontId="23" fillId="0" borderId="0" xfId="0" applyFont="1"/>
    <xf numFmtId="171" fontId="21" fillId="0" borderId="0" xfId="19" applyNumberFormat="1" applyFont="1" applyFill="1"/>
    <xf numFmtId="171" fontId="21" fillId="0" borderId="0" xfId="19" applyNumberFormat="1" applyFont="1" applyFill="1" applyAlignment="1">
      <alignment horizontal="left"/>
    </xf>
    <xf numFmtId="166" fontId="8" fillId="0" borderId="0" xfId="70" applyNumberFormat="1" applyFont="1" applyAlignment="1">
      <alignment horizontal="right"/>
    </xf>
    <xf numFmtId="174" fontId="14" fillId="0" borderId="0" xfId="0" applyNumberFormat="1" applyFont="1" applyFill="1"/>
    <xf numFmtId="167" fontId="8" fillId="0" borderId="0" xfId="19" applyNumberFormat="1" applyFont="1"/>
    <xf numFmtId="167" fontId="8" fillId="0" borderId="0" xfId="19" applyNumberFormat="1" applyFont="1" applyFill="1"/>
    <xf numFmtId="43" fontId="21" fillId="0" borderId="0" xfId="19" applyFont="1" applyFill="1" applyAlignment="1">
      <alignment horizontal="left"/>
    </xf>
    <xf numFmtId="10" fontId="8" fillId="0" borderId="0" xfId="70" applyNumberFormat="1" applyFont="1"/>
    <xf numFmtId="9" fontId="8" fillId="0" borderId="0" xfId="70" applyFont="1"/>
    <xf numFmtId="43" fontId="8" fillId="0" borderId="0" xfId="19" applyFont="1" applyFill="1"/>
    <xf numFmtId="173" fontId="8" fillId="0" borderId="0" xfId="0" applyNumberFormat="1" applyFont="1" applyFill="1"/>
    <xf numFmtId="172" fontId="21" fillId="0" borderId="0" xfId="19" applyNumberFormat="1" applyFont="1" applyFill="1"/>
    <xf numFmtId="174" fontId="21" fillId="0" borderId="0" xfId="19" applyNumberFormat="1" applyFont="1" applyAlignment="1">
      <alignment horizontal="left"/>
    </xf>
    <xf numFmtId="9" fontId="24" fillId="0" borderId="0" xfId="70" applyFont="1" applyAlignment="1">
      <alignment horizontal="left"/>
    </xf>
    <xf numFmtId="10" fontId="8" fillId="0" borderId="0" xfId="70" applyNumberFormat="1" applyFont="1" applyFill="1"/>
    <xf numFmtId="197" fontId="8" fillId="0" borderId="0" xfId="0" applyNumberFormat="1" applyFont="1" applyFill="1"/>
    <xf numFmtId="8" fontId="8" fillId="0" borderId="0" xfId="0" applyNumberFormat="1" applyFont="1"/>
    <xf numFmtId="165" fontId="26" fillId="0" borderId="0" xfId="0" applyNumberFormat="1" applyFont="1" applyFill="1"/>
    <xf numFmtId="165" fontId="26" fillId="0" borderId="0" xfId="0" applyNumberFormat="1" applyFont="1"/>
    <xf numFmtId="165" fontId="14" fillId="0" borderId="0" xfId="19" applyNumberFormat="1" applyFont="1" applyFill="1"/>
    <xf numFmtId="167" fontId="14" fillId="0" borderId="0" xfId="19" applyNumberFormat="1" applyFont="1" applyFill="1"/>
    <xf numFmtId="171" fontId="14" fillId="0" borderId="0" xfId="19" applyNumberFormat="1" applyFont="1" applyAlignment="1">
      <alignment horizontal="left"/>
    </xf>
    <xf numFmtId="167" fontId="21" fillId="0" borderId="0" xfId="19" applyNumberFormat="1" applyFont="1" applyFill="1" applyAlignment="1">
      <alignment horizontal="left"/>
    </xf>
    <xf numFmtId="167" fontId="21" fillId="0" borderId="0" xfId="19" applyNumberFormat="1" applyFont="1" applyAlignment="1">
      <alignment horizontal="left"/>
    </xf>
    <xf numFmtId="171" fontId="8" fillId="0" borderId="0" xfId="19" applyNumberFormat="1" applyFont="1" applyFill="1" applyAlignment="1">
      <alignment horizontal="left"/>
    </xf>
    <xf numFmtId="0" fontId="8" fillId="0" borderId="0" xfId="0" applyFont="1" applyFill="1" applyBorder="1"/>
    <xf numFmtId="177" fontId="14" fillId="0" borderId="0" xfId="0" applyNumberFormat="1" applyFont="1"/>
    <xf numFmtId="177" fontId="14" fillId="0" borderId="0" xfId="0" applyNumberFormat="1" applyFont="1" applyFill="1"/>
    <xf numFmtId="167" fontId="27" fillId="0" borderId="0" xfId="19" applyNumberFormat="1" applyFont="1"/>
    <xf numFmtId="167" fontId="27" fillId="0" borderId="0" xfId="19" applyNumberFormat="1" applyFont="1" applyFill="1"/>
    <xf numFmtId="167" fontId="8" fillId="0" borderId="0" xfId="19" applyNumberFormat="1" applyFont="1" applyAlignment="1">
      <alignment horizontal="right"/>
    </xf>
    <xf numFmtId="168" fontId="8" fillId="0" borderId="0" xfId="70" applyNumberFormat="1" applyFont="1" applyFill="1"/>
    <xf numFmtId="165" fontId="14" fillId="0" borderId="0" xfId="0" applyNumberFormat="1" applyFont="1"/>
    <xf numFmtId="165" fontId="14" fillId="0" borderId="0" xfId="0" applyNumberFormat="1" applyFont="1" applyFill="1"/>
    <xf numFmtId="167" fontId="14" fillId="0" borderId="0" xfId="0" applyNumberFormat="1" applyFont="1" applyFill="1"/>
    <xf numFmtId="171" fontId="8" fillId="0" borderId="0" xfId="19" applyNumberFormat="1" applyFont="1" applyBorder="1"/>
    <xf numFmtId="166" fontId="8" fillId="0" borderId="0" xfId="70" applyNumberFormat="1" applyFont="1" applyBorder="1"/>
    <xf numFmtId="167" fontId="8" fillId="0" borderId="0" xfId="19" applyNumberFormat="1" applyFont="1" applyBorder="1" applyAlignment="1">
      <alignment horizontal="left"/>
    </xf>
    <xf numFmtId="43" fontId="21" fillId="0" borderId="0" xfId="19" applyFont="1" applyBorder="1" applyAlignment="1">
      <alignment horizontal="left"/>
    </xf>
    <xf numFmtId="43" fontId="8" fillId="0" borderId="0" xfId="0" applyNumberFormat="1" applyFont="1"/>
    <xf numFmtId="0" fontId="8" fillId="0" borderId="0" xfId="0" applyFont="1" applyBorder="1"/>
    <xf numFmtId="171" fontId="15" fillId="0" borderId="0" xfId="19" applyNumberFormat="1" applyFont="1" applyBorder="1"/>
    <xf numFmtId="0" fontId="15" fillId="0" borderId="0" xfId="0" applyFont="1" applyBorder="1" applyAlignment="1">
      <alignment horizontal="right"/>
    </xf>
    <xf numFmtId="167" fontId="8" fillId="0" borderId="0" xfId="19" applyNumberFormat="1" applyFont="1" applyBorder="1"/>
    <xf numFmtId="9" fontId="8" fillId="0" borderId="0" xfId="70" applyFont="1" applyFill="1"/>
    <xf numFmtId="40" fontId="8" fillId="0" borderId="0" xfId="0" applyNumberFormat="1" applyFont="1"/>
    <xf numFmtId="0" fontId="21" fillId="0" borderId="0" xfId="0" applyFont="1" applyAlignment="1">
      <alignment horizontal="right"/>
    </xf>
    <xf numFmtId="0" fontId="16" fillId="0" borderId="0" xfId="0" applyFont="1"/>
    <xf numFmtId="0" fontId="8" fillId="0" borderId="2" xfId="0" applyFont="1" applyFill="1" applyBorder="1" applyAlignment="1">
      <alignment horizontal="centerContinuous"/>
    </xf>
    <xf numFmtId="0" fontId="8" fillId="0" borderId="0" xfId="0" applyFont="1" applyFill="1" applyBorder="1" applyAlignment="1">
      <alignment horizontal="centerContinuous"/>
    </xf>
    <xf numFmtId="0" fontId="21" fillId="0" borderId="0" xfId="0" applyFont="1" applyFill="1" applyAlignment="1">
      <alignment horizontal="right"/>
    </xf>
    <xf numFmtId="171" fontId="8" fillId="0" borderId="0" xfId="19" applyNumberFormat="1" applyFont="1" applyFill="1"/>
    <xf numFmtId="0" fontId="15" fillId="0" borderId="0" xfId="0" applyFont="1" applyFill="1" applyAlignment="1">
      <alignment horizontal="right"/>
    </xf>
    <xf numFmtId="40" fontId="15" fillId="0" borderId="0" xfId="0" applyNumberFormat="1" applyFont="1" applyFill="1" applyAlignment="1">
      <alignment horizontal="right"/>
    </xf>
    <xf numFmtId="40" fontId="8" fillId="0" borderId="0" xfId="0" applyNumberFormat="1" applyFont="1" applyFill="1"/>
    <xf numFmtId="0" fontId="15" fillId="3" borderId="2" xfId="0" applyFont="1" applyFill="1" applyBorder="1" applyAlignment="1">
      <alignment horizontal="right"/>
    </xf>
    <xf numFmtId="0" fontId="15" fillId="4" borderId="2" xfId="0" applyFont="1" applyFill="1" applyBorder="1" applyAlignment="1">
      <alignment horizontal="right"/>
    </xf>
    <xf numFmtId="0" fontId="15" fillId="5" borderId="2" xfId="0" applyFont="1" applyFill="1" applyBorder="1" applyAlignment="1">
      <alignment horizontal="right"/>
    </xf>
    <xf numFmtId="0" fontId="15" fillId="0" borderId="2" xfId="0" applyFont="1" applyBorder="1" applyAlignment="1">
      <alignment horizontal="right"/>
    </xf>
    <xf numFmtId="0" fontId="8" fillId="0" borderId="0" xfId="0" applyFont="1" applyFill="1" applyAlignment="1">
      <alignment horizontal="right"/>
    </xf>
    <xf numFmtId="165" fontId="28" fillId="0" borderId="0" xfId="19" applyNumberFormat="1" applyFont="1" applyFill="1"/>
    <xf numFmtId="165" fontId="8" fillId="0" borderId="0" xfId="19" applyNumberFormat="1" applyFont="1" applyFill="1"/>
    <xf numFmtId="165" fontId="8" fillId="0" borderId="0" xfId="19" applyNumberFormat="1" applyFont="1"/>
    <xf numFmtId="49" fontId="8" fillId="0" borderId="0" xfId="0" applyNumberFormat="1" applyFont="1"/>
    <xf numFmtId="165" fontId="27" fillId="0" borderId="0" xfId="19" applyNumberFormat="1" applyFont="1" applyFill="1"/>
    <xf numFmtId="165" fontId="27" fillId="0" borderId="0" xfId="70" applyNumberFormat="1" applyFont="1" applyFill="1"/>
    <xf numFmtId="165" fontId="8" fillId="0" borderId="0" xfId="70" applyNumberFormat="1" applyFont="1"/>
    <xf numFmtId="165" fontId="8" fillId="0" borderId="0" xfId="70" applyNumberFormat="1" applyFont="1" applyFill="1"/>
    <xf numFmtId="165" fontId="14" fillId="0" borderId="0" xfId="70" applyNumberFormat="1" applyFont="1"/>
    <xf numFmtId="165" fontId="14" fillId="0" borderId="0" xfId="70" applyNumberFormat="1" applyFont="1" applyFill="1"/>
    <xf numFmtId="49" fontId="8" fillId="0" borderId="0" xfId="0" applyNumberFormat="1" applyFont="1" applyFill="1" applyAlignment="1" applyProtection="1">
      <alignment horizontal="left"/>
    </xf>
    <xf numFmtId="165" fontId="15" fillId="0" borderId="0" xfId="0" applyNumberFormat="1" applyFont="1" applyFill="1" applyAlignment="1" applyProtection="1">
      <alignment horizontal="left"/>
    </xf>
    <xf numFmtId="173" fontId="8" fillId="0" borderId="0" xfId="70" applyNumberFormat="1" applyFont="1" applyFill="1"/>
    <xf numFmtId="165" fontId="8" fillId="0" borderId="0" xfId="0" applyNumberFormat="1" applyFont="1" applyFill="1" applyAlignment="1" applyProtection="1">
      <alignment horizontal="left"/>
    </xf>
    <xf numFmtId="166" fontId="8" fillId="0" borderId="0" xfId="70" applyNumberFormat="1" applyFont="1" applyFill="1" applyAlignment="1">
      <alignment horizontal="right"/>
    </xf>
    <xf numFmtId="166" fontId="14" fillId="0" borderId="0" xfId="70" applyNumberFormat="1" applyFont="1" applyFill="1"/>
    <xf numFmtId="165" fontId="26" fillId="0" borderId="0" xfId="0" applyNumberFormat="1" applyFont="1" applyAlignment="1" applyProtection="1">
      <alignment horizontal="left"/>
    </xf>
    <xf numFmtId="165" fontId="8" fillId="0" borderId="0" xfId="0" applyNumberFormat="1" applyFont="1" applyAlignment="1" applyProtection="1">
      <alignment horizontal="left"/>
    </xf>
    <xf numFmtId="167" fontId="14" fillId="0" borderId="0" xfId="19" applyNumberFormat="1" applyFont="1"/>
    <xf numFmtId="38" fontId="8" fillId="0" borderId="0" xfId="0" applyNumberFormat="1" applyFont="1"/>
    <xf numFmtId="167" fontId="8" fillId="0" borderId="0" xfId="0" applyNumberFormat="1" applyFont="1" applyFill="1"/>
    <xf numFmtId="8" fontId="8" fillId="0" borderId="0" xfId="0" applyNumberFormat="1" applyFont="1" applyFill="1"/>
    <xf numFmtId="167" fontId="8" fillId="0" borderId="0" xfId="0" applyNumberFormat="1" applyFont="1"/>
    <xf numFmtId="38" fontId="8" fillId="0" borderId="0" xfId="0" applyNumberFormat="1" applyFont="1" applyFill="1"/>
    <xf numFmtId="165" fontId="28" fillId="0" borderId="0" xfId="0" applyNumberFormat="1" applyFont="1"/>
    <xf numFmtId="165" fontId="28" fillId="0" borderId="0" xfId="0" applyNumberFormat="1" applyFont="1" applyFill="1"/>
    <xf numFmtId="166" fontId="14" fillId="0" borderId="0" xfId="70" applyNumberFormat="1" applyFont="1"/>
    <xf numFmtId="166" fontId="27" fillId="0" borderId="0" xfId="70" applyNumberFormat="1" applyFont="1" applyFill="1"/>
    <xf numFmtId="166" fontId="27" fillId="0" borderId="0" xfId="70" applyNumberFormat="1" applyFont="1"/>
    <xf numFmtId="180" fontId="8" fillId="0" borderId="0" xfId="0" applyNumberFormat="1" applyFont="1" applyFill="1"/>
    <xf numFmtId="0" fontId="8" fillId="4" borderId="0" xfId="0" applyFont="1" applyFill="1"/>
    <xf numFmtId="166" fontId="8" fillId="4" borderId="0" xfId="70" applyNumberFormat="1" applyFont="1" applyFill="1"/>
    <xf numFmtId="40" fontId="8" fillId="4" borderId="0" xfId="70" applyNumberFormat="1" applyFont="1" applyFill="1"/>
    <xf numFmtId="0" fontId="15" fillId="0" borderId="2" xfId="0" applyFont="1" applyFill="1" applyBorder="1"/>
    <xf numFmtId="0" fontId="15" fillId="0" borderId="2" xfId="0" applyFont="1" applyFill="1" applyBorder="1" applyAlignment="1">
      <alignment horizontal="right"/>
    </xf>
    <xf numFmtId="0" fontId="16" fillId="0" borderId="0" xfId="0" applyFont="1" applyFill="1" applyBorder="1"/>
    <xf numFmtId="40" fontId="8" fillId="0" borderId="0" xfId="70" applyNumberFormat="1" applyFont="1" applyFill="1"/>
    <xf numFmtId="173" fontId="8" fillId="0" borderId="0" xfId="70" applyNumberFormat="1" applyFont="1"/>
    <xf numFmtId="165" fontId="27" fillId="0" borderId="0" xfId="70" applyNumberFormat="1" applyFont="1"/>
    <xf numFmtId="0" fontId="15" fillId="0" borderId="0" xfId="0" applyFont="1" applyFill="1" applyBorder="1"/>
    <xf numFmtId="165" fontId="28" fillId="0" borderId="0" xfId="70" applyNumberFormat="1" applyFont="1"/>
    <xf numFmtId="173" fontId="8" fillId="0" borderId="0" xfId="0" applyNumberFormat="1" applyFont="1"/>
    <xf numFmtId="0" fontId="8" fillId="0" borderId="0" xfId="57" applyFont="1" applyFill="1" applyAlignment="1">
      <alignment horizontal="left"/>
    </xf>
    <xf numFmtId="0" fontId="8" fillId="0" borderId="0" xfId="57" applyFont="1" applyAlignment="1">
      <alignment horizontal="left"/>
    </xf>
    <xf numFmtId="165" fontId="28" fillId="0" borderId="0" xfId="70" applyNumberFormat="1" applyFont="1" applyFill="1"/>
    <xf numFmtId="0" fontId="8" fillId="0" borderId="0" xfId="57" quotePrefix="1" applyFont="1" applyAlignment="1">
      <alignment horizontal="left"/>
    </xf>
    <xf numFmtId="49" fontId="32" fillId="0" borderId="0" xfId="64" applyNumberFormat="1" applyFont="1" applyAlignment="1" applyProtection="1">
      <alignment horizontal="left"/>
    </xf>
    <xf numFmtId="49" fontId="32" fillId="0" borderId="0" xfId="64" applyNumberFormat="1" applyFont="1" applyFill="1" applyAlignment="1" applyProtection="1">
      <alignment horizontal="left"/>
    </xf>
    <xf numFmtId="49" fontId="33" fillId="0" borderId="0" xfId="64" applyNumberFormat="1" applyFont="1" applyAlignment="1" applyProtection="1">
      <alignment horizontal="left"/>
    </xf>
    <xf numFmtId="191" fontId="14" fillId="0" borderId="0" xfId="0" applyNumberFormat="1" applyFont="1" applyFill="1"/>
    <xf numFmtId="40" fontId="14" fillId="0" borderId="0" xfId="0" applyNumberFormat="1" applyFont="1" applyFill="1"/>
    <xf numFmtId="8" fontId="14" fillId="0" borderId="0" xfId="70" applyNumberFormat="1" applyFont="1" applyFill="1"/>
    <xf numFmtId="40" fontId="14" fillId="0" borderId="0" xfId="70" applyNumberFormat="1" applyFont="1" applyFill="1"/>
    <xf numFmtId="196" fontId="14" fillId="0" borderId="0" xfId="70" applyNumberFormat="1" applyFont="1" applyFill="1"/>
    <xf numFmtId="40" fontId="8" fillId="0" borderId="0" xfId="70" applyNumberFormat="1" applyFont="1"/>
    <xf numFmtId="165" fontId="8" fillId="0" borderId="0" xfId="0" applyNumberFormat="1" applyFont="1" applyFill="1" applyAlignment="1">
      <alignment horizontal="right"/>
    </xf>
    <xf numFmtId="165" fontId="21" fillId="0" borderId="0" xfId="0" applyNumberFormat="1" applyFont="1" applyFill="1"/>
    <xf numFmtId="174" fontId="14" fillId="0" borderId="0" xfId="70" applyNumberFormat="1" applyFont="1" applyFill="1"/>
    <xf numFmtId="8" fontId="8" fillId="0" borderId="0" xfId="70" applyNumberFormat="1" applyFont="1" applyFill="1"/>
    <xf numFmtId="8" fontId="28" fillId="0" borderId="0" xfId="70" applyNumberFormat="1" applyFont="1" applyFill="1"/>
    <xf numFmtId="0" fontId="15" fillId="0" borderId="0" xfId="0" applyFont="1" applyFill="1" applyBorder="1" applyAlignment="1">
      <alignment horizontal="right"/>
    </xf>
    <xf numFmtId="38" fontId="14" fillId="0" borderId="0" xfId="0" applyNumberFormat="1" applyFont="1"/>
    <xf numFmtId="165" fontId="27" fillId="0" borderId="0" xfId="0" applyNumberFormat="1" applyFont="1"/>
    <xf numFmtId="165" fontId="27" fillId="0" borderId="0" xfId="0" applyNumberFormat="1" applyFont="1" applyFill="1"/>
    <xf numFmtId="38" fontId="30" fillId="0" borderId="0" xfId="0" applyNumberFormat="1" applyFont="1"/>
    <xf numFmtId="165" fontId="25" fillId="0" borderId="0" xfId="0" applyNumberFormat="1" applyFont="1" applyFill="1"/>
    <xf numFmtId="165" fontId="30" fillId="0" borderId="0" xfId="0" applyNumberFormat="1" applyFont="1" applyFill="1"/>
    <xf numFmtId="38" fontId="26" fillId="0" borderId="0" xfId="0" applyNumberFormat="1" applyFont="1" applyFill="1"/>
    <xf numFmtId="165" fontId="8" fillId="0" borderId="0" xfId="0" applyNumberFormat="1" applyFont="1" applyProtection="1"/>
    <xf numFmtId="165" fontId="8" fillId="0" borderId="0" xfId="0" applyNumberFormat="1" applyFont="1" applyFill="1" applyProtection="1"/>
    <xf numFmtId="9" fontId="8" fillId="0" borderId="0" xfId="0" applyNumberFormat="1" applyFont="1"/>
    <xf numFmtId="165" fontId="15" fillId="4" borderId="0" xfId="0" applyNumberFormat="1" applyFont="1" applyFill="1" applyAlignment="1" applyProtection="1">
      <alignment horizontal="left"/>
    </xf>
    <xf numFmtId="38" fontId="8" fillId="4" borderId="0" xfId="0" applyNumberFormat="1" applyFont="1" applyFill="1"/>
    <xf numFmtId="40" fontId="8" fillId="4" borderId="0" xfId="0" applyNumberFormat="1" applyFont="1" applyFill="1"/>
    <xf numFmtId="49" fontId="15" fillId="0" borderId="0" xfId="0" applyNumberFormat="1" applyFont="1" applyFill="1" applyBorder="1" applyAlignment="1" applyProtection="1">
      <alignment horizontal="left"/>
    </xf>
    <xf numFmtId="0" fontId="15" fillId="0" borderId="0" xfId="0" applyFont="1" applyAlignment="1">
      <alignment horizontal="right"/>
    </xf>
    <xf numFmtId="40" fontId="15" fillId="0" borderId="0" xfId="0" applyNumberFormat="1" applyFont="1" applyAlignment="1">
      <alignment horizontal="right"/>
    </xf>
    <xf numFmtId="177" fontId="8" fillId="0" borderId="0" xfId="0" applyNumberFormat="1" applyFont="1" applyFill="1"/>
    <xf numFmtId="40" fontId="14" fillId="0" borderId="0" xfId="19" applyNumberFormat="1" applyFont="1" applyFill="1"/>
    <xf numFmtId="49" fontId="8" fillId="0" borderId="0" xfId="0" applyNumberFormat="1" applyFont="1" applyFill="1"/>
    <xf numFmtId="38" fontId="26" fillId="0" borderId="0" xfId="0" applyNumberFormat="1" applyFont="1"/>
    <xf numFmtId="165" fontId="23" fillId="0" borderId="0" xfId="0" applyNumberFormat="1" applyFont="1" applyFill="1"/>
    <xf numFmtId="0" fontId="23" fillId="0" borderId="0" xfId="0" applyFont="1" applyFill="1"/>
    <xf numFmtId="49" fontId="8" fillId="4" borderId="0" xfId="0" applyNumberFormat="1" applyFont="1" applyFill="1"/>
    <xf numFmtId="49" fontId="15" fillId="0" borderId="0" xfId="0" applyNumberFormat="1" applyFont="1" applyFill="1" applyBorder="1" applyAlignment="1">
      <alignment horizontal="left"/>
    </xf>
    <xf numFmtId="0" fontId="23" fillId="0" borderId="0" xfId="0" applyFont="1" applyFill="1" applyBorder="1"/>
    <xf numFmtId="0" fontId="8" fillId="0" borderId="0" xfId="0" applyFont="1" applyFill="1" applyAlignment="1"/>
    <xf numFmtId="0" fontId="8" fillId="0" borderId="0" xfId="0" applyFont="1" applyFill="1" applyAlignment="1">
      <alignment wrapText="1"/>
    </xf>
    <xf numFmtId="165" fontId="8" fillId="0" borderId="0" xfId="19" applyNumberFormat="1" applyFont="1" applyFill="1" applyAlignment="1">
      <alignment horizontal="right" wrapText="1"/>
    </xf>
    <xf numFmtId="165" fontId="27" fillId="0" borderId="0" xfId="19" applyNumberFormat="1" applyFont="1" applyFill="1" applyAlignment="1">
      <alignment horizontal="right" wrapText="1"/>
    </xf>
    <xf numFmtId="165" fontId="14" fillId="0" borderId="0" xfId="19" applyNumberFormat="1" applyFont="1" applyFill="1" applyAlignment="1">
      <alignment horizontal="right" wrapText="1"/>
    </xf>
    <xf numFmtId="0" fontId="8" fillId="0" borderId="0" xfId="0" applyFont="1" applyFill="1" applyBorder="1" applyAlignment="1"/>
    <xf numFmtId="183" fontId="8" fillId="0" borderId="0" xfId="19" applyNumberFormat="1" applyFont="1"/>
    <xf numFmtId="40" fontId="8" fillId="0" borderId="0" xfId="19" applyNumberFormat="1" applyFont="1"/>
    <xf numFmtId="167" fontId="28" fillId="0" borderId="0" xfId="19" applyNumberFormat="1" applyFont="1"/>
    <xf numFmtId="40" fontId="8" fillId="0" borderId="0" xfId="19" applyNumberFormat="1" applyFont="1" applyFill="1"/>
    <xf numFmtId="40" fontId="28" fillId="0" borderId="0" xfId="19" applyNumberFormat="1" applyFont="1"/>
    <xf numFmtId="187" fontId="8" fillId="0" borderId="0" xfId="70" applyNumberFormat="1" applyFont="1"/>
    <xf numFmtId="187" fontId="14" fillId="0" borderId="0" xfId="70" applyNumberFormat="1" applyFont="1"/>
    <xf numFmtId="187" fontId="14" fillId="0" borderId="0" xfId="70" applyNumberFormat="1" applyFont="1" applyFill="1"/>
    <xf numFmtId="187" fontId="8" fillId="0" borderId="0" xfId="70" applyNumberFormat="1" applyFont="1" applyFill="1"/>
    <xf numFmtId="167" fontId="8" fillId="4" borderId="0" xfId="19" applyNumberFormat="1" applyFont="1" applyFill="1"/>
    <xf numFmtId="40" fontId="8" fillId="4" borderId="0" xfId="19" applyNumberFormat="1" applyFont="1" applyFill="1"/>
    <xf numFmtId="0" fontId="20" fillId="0" borderId="0" xfId="0" applyFont="1" applyFill="1"/>
    <xf numFmtId="171" fontId="15" fillId="0" borderId="0" xfId="19" applyNumberFormat="1" applyFont="1" applyAlignment="1">
      <alignment horizontal="right"/>
    </xf>
    <xf numFmtId="40" fontId="15" fillId="0" borderId="0" xfId="19" applyNumberFormat="1" applyFont="1" applyAlignment="1">
      <alignment horizontal="right"/>
    </xf>
    <xf numFmtId="171" fontId="8" fillId="0" borderId="0" xfId="0" applyNumberFormat="1" applyFont="1"/>
    <xf numFmtId="171" fontId="8" fillId="0" borderId="0" xfId="0" applyNumberFormat="1" applyFont="1" applyFill="1"/>
    <xf numFmtId="41" fontId="8" fillId="0" borderId="0" xfId="0" applyNumberFormat="1" applyFont="1" applyFill="1"/>
    <xf numFmtId="165" fontId="8" fillId="4" borderId="0" xfId="0" quotePrefix="1" applyNumberFormat="1" applyFont="1" applyFill="1" applyAlignment="1">
      <alignment horizontal="left"/>
    </xf>
    <xf numFmtId="165" fontId="8" fillId="0" borderId="0" xfId="0" quotePrefix="1" applyNumberFormat="1" applyFont="1" applyFill="1" applyAlignment="1">
      <alignment horizontal="left"/>
    </xf>
    <xf numFmtId="49" fontId="15" fillId="0" borderId="0" xfId="0" quotePrefix="1" applyNumberFormat="1" applyFont="1" applyAlignment="1">
      <alignment horizontal="left"/>
    </xf>
    <xf numFmtId="165" fontId="8" fillId="0" borderId="0" xfId="0" applyNumberFormat="1" applyFont="1" applyAlignment="1">
      <alignment horizontal="left"/>
    </xf>
    <xf numFmtId="40" fontId="14" fillId="0" borderId="0" xfId="19" applyNumberFormat="1" applyFont="1"/>
    <xf numFmtId="165" fontId="26" fillId="0" borderId="0" xfId="0" applyNumberFormat="1" applyFont="1" applyAlignment="1">
      <alignment horizontal="left"/>
    </xf>
    <xf numFmtId="167" fontId="30" fillId="0" borderId="0" xfId="19" applyNumberFormat="1" applyFont="1"/>
    <xf numFmtId="40" fontId="30" fillId="0" borderId="0" xfId="19" applyNumberFormat="1" applyFont="1"/>
    <xf numFmtId="167" fontId="26" fillId="0" borderId="0" xfId="19" applyNumberFormat="1" applyFont="1"/>
    <xf numFmtId="38" fontId="26" fillId="0" borderId="2" xfId="0" applyNumberFormat="1" applyFont="1" applyBorder="1"/>
    <xf numFmtId="165" fontId="8" fillId="0" borderId="0" xfId="0" quotePrefix="1" applyNumberFormat="1" applyFont="1" applyAlignment="1">
      <alignment horizontal="left"/>
    </xf>
    <xf numFmtId="165" fontId="23" fillId="0" borderId="0" xfId="0" applyNumberFormat="1" applyFont="1" applyAlignment="1">
      <alignment horizontal="left"/>
    </xf>
    <xf numFmtId="167" fontId="28" fillId="0" borderId="0" xfId="19" applyNumberFormat="1" applyFont="1" applyFill="1"/>
    <xf numFmtId="167" fontId="29" fillId="0" borderId="0" xfId="19" applyNumberFormat="1" applyFont="1" applyFill="1"/>
    <xf numFmtId="37" fontId="27" fillId="0" borderId="0" xfId="0" applyNumberFormat="1" applyFont="1" applyFill="1"/>
    <xf numFmtId="38" fontId="14" fillId="0" borderId="0" xfId="0" applyNumberFormat="1" applyFont="1" applyFill="1"/>
    <xf numFmtId="38" fontId="8" fillId="0" borderId="0" xfId="19" applyNumberFormat="1" applyFont="1"/>
    <xf numFmtId="38" fontId="8" fillId="0" borderId="0" xfId="19" applyNumberFormat="1" applyFont="1" applyFill="1"/>
    <xf numFmtId="181" fontId="8" fillId="0" borderId="0" xfId="19" applyNumberFormat="1" applyFont="1"/>
    <xf numFmtId="181" fontId="8" fillId="0" borderId="0" xfId="19" applyNumberFormat="1" applyFont="1" applyFill="1"/>
    <xf numFmtId="38" fontId="27" fillId="0" borderId="0" xfId="0" applyNumberFormat="1" applyFont="1"/>
    <xf numFmtId="171" fontId="28" fillId="0" borderId="0" xfId="19" applyNumberFormat="1" applyFont="1" applyFill="1"/>
    <xf numFmtId="177" fontId="27" fillId="0" borderId="0" xfId="0" applyNumberFormat="1" applyFont="1"/>
    <xf numFmtId="181" fontId="14" fillId="0" borderId="0" xfId="19" applyNumberFormat="1" applyFont="1"/>
    <xf numFmtId="181" fontId="14" fillId="0" borderId="0" xfId="19" applyNumberFormat="1" applyFont="1" applyFill="1"/>
    <xf numFmtId="37" fontId="14" fillId="0" borderId="0" xfId="0" applyNumberFormat="1" applyFont="1" applyFill="1"/>
    <xf numFmtId="165" fontId="8" fillId="0" borderId="0" xfId="0" applyNumberFormat="1" applyFont="1" applyFill="1" applyAlignment="1">
      <alignment horizontal="left"/>
    </xf>
    <xf numFmtId="38" fontId="28" fillId="0" borderId="0" xfId="0" applyNumberFormat="1" applyFont="1" applyFill="1"/>
    <xf numFmtId="177" fontId="27" fillId="0" borderId="0" xfId="0" applyNumberFormat="1" applyFont="1" applyFill="1"/>
    <xf numFmtId="166" fontId="8" fillId="0" borderId="0" xfId="0" applyNumberFormat="1" applyFont="1" applyFill="1"/>
    <xf numFmtId="166" fontId="27" fillId="0" borderId="0" xfId="0" applyNumberFormat="1" applyFont="1" applyFill="1"/>
    <xf numFmtId="165" fontId="33" fillId="0" borderId="0" xfId="19" applyNumberFormat="1" applyFont="1"/>
    <xf numFmtId="166" fontId="8" fillId="0" borderId="0" xfId="0" applyNumberFormat="1" applyFont="1"/>
    <xf numFmtId="165" fontId="33" fillId="0" borderId="0" xfId="19" quotePrefix="1" applyNumberFormat="1" applyFont="1" applyAlignment="1">
      <alignment horizontal="left"/>
    </xf>
    <xf numFmtId="165" fontId="33" fillId="0" borderId="0" xfId="19" applyNumberFormat="1" applyFont="1" applyFill="1"/>
    <xf numFmtId="165" fontId="8" fillId="0" borderId="0" xfId="19" applyNumberFormat="1" applyFont="1" applyAlignment="1"/>
    <xf numFmtId="165" fontId="8" fillId="0" borderId="0" xfId="19" applyNumberFormat="1" applyFont="1" applyFill="1" applyAlignment="1"/>
    <xf numFmtId="165" fontId="33" fillId="0" borderId="0" xfId="19" applyNumberFormat="1" applyFont="1" applyAlignment="1">
      <alignment horizontal="left"/>
    </xf>
    <xf numFmtId="165" fontId="34" fillId="0" borderId="0" xfId="0" applyNumberFormat="1" applyFont="1" applyFill="1"/>
    <xf numFmtId="165" fontId="34" fillId="0" borderId="0" xfId="0" applyNumberFormat="1" applyFont="1"/>
    <xf numFmtId="166" fontId="33" fillId="0" borderId="0" xfId="19" applyNumberFormat="1" applyFont="1" applyAlignment="1">
      <alignment horizontal="left"/>
    </xf>
    <xf numFmtId="43" fontId="8" fillId="0" borderId="0" xfId="19" applyFont="1"/>
    <xf numFmtId="0" fontId="15" fillId="0" borderId="3" xfId="0" applyFont="1" applyBorder="1" applyAlignment="1">
      <alignment horizontal="right"/>
    </xf>
    <xf numFmtId="171" fontId="26" fillId="0" borderId="0" xfId="19" applyNumberFormat="1" applyFont="1" applyFill="1"/>
    <xf numFmtId="0" fontId="26" fillId="0" borderId="0" xfId="0" applyFont="1"/>
    <xf numFmtId="0" fontId="26" fillId="0" borderId="0" xfId="0" applyFont="1" applyFill="1"/>
    <xf numFmtId="0" fontId="15" fillId="0" borderId="0" xfId="0" applyFont="1" applyBorder="1"/>
    <xf numFmtId="166" fontId="8" fillId="0" borderId="0" xfId="70" quotePrefix="1" applyNumberFormat="1" applyFont="1" applyAlignment="1">
      <alignment horizontal="right"/>
    </xf>
    <xf numFmtId="171" fontId="8" fillId="0" borderId="0" xfId="19" applyNumberFormat="1" applyFont="1" applyFill="1" applyAlignment="1">
      <alignment horizontal="right"/>
    </xf>
    <xf numFmtId="3" fontId="8" fillId="0" borderId="0" xfId="0" applyNumberFormat="1" applyFont="1" applyFill="1" applyAlignment="1">
      <alignment horizontal="right"/>
    </xf>
    <xf numFmtId="1" fontId="8" fillId="0" borderId="0" xfId="0" applyNumberFormat="1" applyFont="1"/>
    <xf numFmtId="0" fontId="36" fillId="0" borderId="0" xfId="63" applyFont="1" applyFill="1" applyBorder="1" applyAlignment="1" applyProtection="1">
      <alignment horizontal="left"/>
    </xf>
    <xf numFmtId="0" fontId="8" fillId="0" borderId="0" xfId="63" applyFont="1"/>
    <xf numFmtId="0" fontId="20" fillId="0" borderId="0" xfId="63" quotePrefix="1" applyFont="1" applyBorder="1" applyAlignment="1">
      <alignment horizontal="left"/>
    </xf>
    <xf numFmtId="0" fontId="8" fillId="0" borderId="0" xfId="63" applyFont="1" applyBorder="1"/>
    <xf numFmtId="0" fontId="23" fillId="0" borderId="4" xfId="63" quotePrefix="1" applyFont="1" applyBorder="1" applyAlignment="1">
      <alignment horizontal="left"/>
    </xf>
    <xf numFmtId="0" fontId="33" fillId="0" borderId="4" xfId="62" quotePrefix="1" applyFont="1" applyBorder="1" applyAlignment="1">
      <alignment horizontal="right"/>
    </xf>
    <xf numFmtId="0" fontId="33" fillId="0" borderId="4" xfId="62" applyFont="1" applyBorder="1" applyAlignment="1">
      <alignment horizontal="center" wrapText="1"/>
    </xf>
    <xf numFmtId="0" fontId="23" fillId="0" borderId="0" xfId="63" applyFont="1"/>
    <xf numFmtId="0" fontId="33" fillId="0" borderId="0" xfId="62" applyFont="1" applyAlignment="1">
      <alignment horizontal="right"/>
    </xf>
    <xf numFmtId="0" fontId="8" fillId="0" borderId="0" xfId="62" applyFont="1" applyAlignment="1">
      <alignment horizontal="right"/>
    </xf>
    <xf numFmtId="0" fontId="8" fillId="0" borderId="0" xfId="0" applyFont="1" applyFill="1" applyBorder="1" applyAlignment="1">
      <alignment horizontal="right"/>
    </xf>
    <xf numFmtId="0" fontId="8" fillId="0" borderId="0" xfId="0" applyFont="1" applyAlignment="1">
      <alignment horizontal="right"/>
    </xf>
    <xf numFmtId="0" fontId="33" fillId="0" borderId="0" xfId="0" applyFont="1" applyFill="1" applyBorder="1" applyAlignment="1">
      <alignment horizontal="right"/>
    </xf>
    <xf numFmtId="0" fontId="8" fillId="0" borderId="0" xfId="62" applyFont="1" applyFill="1" applyBorder="1" applyAlignment="1">
      <alignment horizontal="left"/>
    </xf>
    <xf numFmtId="0" fontId="8" fillId="0" borderId="0" xfId="62" applyFont="1" applyFill="1" applyAlignment="1">
      <alignment horizontal="left"/>
    </xf>
    <xf numFmtId="0" fontId="8" fillId="0" borderId="0" xfId="62" applyFont="1" applyAlignment="1">
      <alignment horizontal="left"/>
    </xf>
    <xf numFmtId="165" fontId="8" fillId="0" borderId="0" xfId="20" quotePrefix="1" applyNumberFormat="1" applyFont="1" applyFill="1"/>
    <xf numFmtId="166" fontId="8" fillId="0" borderId="2" xfId="70" applyNumberFormat="1" applyFont="1" applyBorder="1"/>
    <xf numFmtId="165" fontId="8" fillId="0" borderId="0" xfId="63" applyNumberFormat="1" applyFont="1"/>
    <xf numFmtId="0" fontId="32" fillId="0" borderId="0" xfId="62" quotePrefix="1" applyFont="1" applyAlignment="1">
      <alignment horizontal="left"/>
    </xf>
    <xf numFmtId="165" fontId="33" fillId="0" borderId="0" xfId="62" applyNumberFormat="1" applyFont="1"/>
    <xf numFmtId="0" fontId="15" fillId="0" borderId="0" xfId="62" applyFont="1"/>
    <xf numFmtId="0" fontId="23" fillId="0" borderId="0" xfId="62" applyFont="1"/>
    <xf numFmtId="0" fontId="8" fillId="0" borderId="0" xfId="62" quotePrefix="1" applyFont="1" applyAlignment="1">
      <alignment horizontal="left"/>
    </xf>
    <xf numFmtId="0" fontId="33" fillId="0" borderId="0" xfId="62" applyFont="1" applyBorder="1" applyAlignment="1">
      <alignment horizontal="left"/>
    </xf>
    <xf numFmtId="0" fontId="8" fillId="0" borderId="0" xfId="62" applyFont="1"/>
    <xf numFmtId="0" fontId="33" fillId="0" borderId="0" xfId="62" applyFont="1"/>
    <xf numFmtId="0" fontId="33" fillId="0" borderId="0" xfId="62" applyFont="1" applyAlignment="1">
      <alignment horizontal="left"/>
    </xf>
    <xf numFmtId="0" fontId="33" fillId="0" borderId="0" xfId="62" quotePrefix="1" applyFont="1" applyAlignment="1">
      <alignment horizontal="left"/>
    </xf>
    <xf numFmtId="0" fontId="22" fillId="0" borderId="2" xfId="62" applyFont="1" applyBorder="1"/>
    <xf numFmtId="195" fontId="8" fillId="0" borderId="0" xfId="20" applyNumberFormat="1" applyFont="1"/>
    <xf numFmtId="49" fontId="8" fillId="0" borderId="0" xfId="19" applyNumberFormat="1" applyFont="1" applyAlignment="1">
      <alignment horizontal="left"/>
    </xf>
    <xf numFmtId="10" fontId="28" fillId="0" borderId="0" xfId="70" quotePrefix="1" applyNumberFormat="1" applyFont="1"/>
    <xf numFmtId="10" fontId="14" fillId="0" borderId="0" xfId="0" applyNumberFormat="1" applyFont="1" applyProtection="1"/>
    <xf numFmtId="10" fontId="8" fillId="0" borderId="0" xfId="0" applyNumberFormat="1" applyFont="1" applyProtection="1"/>
    <xf numFmtId="0" fontId="15" fillId="0" borderId="0" xfId="0" applyFont="1" applyAlignment="1">
      <alignment horizontal="left"/>
    </xf>
    <xf numFmtId="182" fontId="8" fillId="0" borderId="0" xfId="0" applyNumberFormat="1" applyFont="1" applyAlignment="1">
      <alignment horizontal="center"/>
    </xf>
    <xf numFmtId="7" fontId="8" fillId="0" borderId="0" xfId="31" applyNumberFormat="1" applyFont="1" applyAlignment="1">
      <alignment horizontal="left"/>
    </xf>
    <xf numFmtId="7" fontId="8" fillId="0" borderId="0" xfId="0" applyNumberFormat="1" applyFont="1"/>
    <xf numFmtId="167" fontId="15" fillId="0" borderId="0" xfId="19" applyNumberFormat="1" applyFont="1"/>
    <xf numFmtId="0" fontId="16" fillId="0" borderId="0" xfId="0" applyFont="1" applyFill="1"/>
    <xf numFmtId="0" fontId="33" fillId="0" borderId="0" xfId="62" applyFont="1" applyFill="1" applyBorder="1" applyAlignment="1">
      <alignment horizontal="right"/>
    </xf>
    <xf numFmtId="174" fontId="8" fillId="0" borderId="0" xfId="19" applyNumberFormat="1" applyFont="1" applyFill="1" applyBorder="1"/>
    <xf numFmtId="165" fontId="8" fillId="0" borderId="0" xfId="19" quotePrefix="1" applyNumberFormat="1" applyFont="1" applyFill="1" applyBorder="1"/>
    <xf numFmtId="174" fontId="8" fillId="0" borderId="0" xfId="19" applyNumberFormat="1" applyFont="1" applyFill="1"/>
    <xf numFmtId="165" fontId="8" fillId="0" borderId="0" xfId="19" applyNumberFormat="1" applyFont="1" applyFill="1" applyBorder="1"/>
    <xf numFmtId="0" fontId="15" fillId="0" borderId="0" xfId="63" quotePrefix="1" applyFont="1" applyFill="1" applyAlignment="1">
      <alignment horizontal="left"/>
    </xf>
    <xf numFmtId="0" fontId="8" fillId="0" borderId="0" xfId="63" applyFont="1" applyFill="1"/>
    <xf numFmtId="170" fontId="8" fillId="0" borderId="0" xfId="20" quotePrefix="1" applyFont="1" applyFill="1"/>
    <xf numFmtId="0" fontId="9" fillId="0" borderId="0" xfId="0" applyFont="1"/>
    <xf numFmtId="2" fontId="8" fillId="0" borderId="0" xfId="0" applyNumberFormat="1" applyFont="1"/>
    <xf numFmtId="0" fontId="38" fillId="0" borderId="2" xfId="0" applyFont="1" applyFill="1" applyBorder="1"/>
    <xf numFmtId="0" fontId="15" fillId="0" borderId="2" xfId="0" applyFont="1" applyBorder="1"/>
    <xf numFmtId="165" fontId="8" fillId="0" borderId="2" xfId="0" applyNumberFormat="1" applyFont="1" applyFill="1" applyBorder="1"/>
    <xf numFmtId="165" fontId="15" fillId="0" borderId="0" xfId="0" applyNumberFormat="1" applyFont="1"/>
    <xf numFmtId="165" fontId="15" fillId="0" borderId="0" xfId="0" applyNumberFormat="1" applyFont="1" applyFill="1"/>
    <xf numFmtId="0" fontId="35" fillId="0" borderId="0" xfId="0" applyFont="1" applyBorder="1"/>
    <xf numFmtId="195" fontId="8" fillId="0" borderId="0" xfId="20" applyNumberFormat="1" applyFont="1" applyFill="1"/>
    <xf numFmtId="195" fontId="14" fillId="0" borderId="0" xfId="20" applyNumberFormat="1" applyFont="1" applyFill="1"/>
    <xf numFmtId="166" fontId="15" fillId="0" borderId="0" xfId="0" applyNumberFormat="1" applyFont="1" applyFill="1"/>
    <xf numFmtId="190" fontId="27" fillId="0" borderId="0" xfId="0" applyNumberFormat="1" applyFont="1"/>
    <xf numFmtId="190" fontId="27" fillId="0" borderId="0" xfId="0" applyNumberFormat="1" applyFont="1" applyFill="1"/>
    <xf numFmtId="0" fontId="8" fillId="0" borderId="5" xfId="0" applyFont="1" applyBorder="1"/>
    <xf numFmtId="190" fontId="8" fillId="0" borderId="0" xfId="0" applyNumberFormat="1" applyFont="1"/>
    <xf numFmtId="173" fontId="27" fillId="0" borderId="0" xfId="70" applyNumberFormat="1" applyFont="1"/>
    <xf numFmtId="173" fontId="27" fillId="0" borderId="0" xfId="0" applyNumberFormat="1" applyFont="1"/>
    <xf numFmtId="0" fontId="8" fillId="0" borderId="0" xfId="0" applyFont="1" applyAlignment="1">
      <alignment horizontal="center"/>
    </xf>
    <xf numFmtId="167" fontId="14" fillId="0" borderId="2" xfId="19" applyNumberFormat="1" applyFont="1" applyBorder="1"/>
    <xf numFmtId="167" fontId="8" fillId="0" borderId="2" xfId="19" applyNumberFormat="1" applyFont="1" applyBorder="1"/>
    <xf numFmtId="2" fontId="14" fillId="0" borderId="0" xfId="0" applyNumberFormat="1" applyFont="1"/>
    <xf numFmtId="165" fontId="8" fillId="0" borderId="2" xfId="0" applyNumberFormat="1" applyFont="1" applyBorder="1"/>
    <xf numFmtId="165" fontId="14" fillId="0" borderId="2" xfId="0" applyNumberFormat="1" applyFont="1" applyBorder="1"/>
    <xf numFmtId="40" fontId="8" fillId="0" borderId="2" xfId="19" applyNumberFormat="1" applyFont="1" applyBorder="1"/>
    <xf numFmtId="0" fontId="14" fillId="0" borderId="0" xfId="0" applyFont="1"/>
    <xf numFmtId="49" fontId="20" fillId="0" borderId="0" xfId="0" applyNumberFormat="1" applyFont="1"/>
    <xf numFmtId="43" fontId="8" fillId="0" borderId="0" xfId="19" applyFont="1" applyAlignment="1">
      <alignment horizontal="right"/>
    </xf>
    <xf numFmtId="49" fontId="20" fillId="0" borderId="2" xfId="0" applyNumberFormat="1" applyFont="1" applyBorder="1"/>
    <xf numFmtId="0" fontId="8" fillId="0" borderId="0" xfId="0" applyFont="1" applyFill="1" applyAlignment="1">
      <alignment horizontal="center"/>
    </xf>
    <xf numFmtId="0" fontId="8" fillId="0" borderId="0" xfId="0" applyFont="1" applyBorder="1" applyAlignment="1">
      <alignment horizontal="center"/>
    </xf>
    <xf numFmtId="0" fontId="8" fillId="0" borderId="0" xfId="0" applyFont="1" applyFill="1" applyBorder="1" applyAlignment="1">
      <alignment horizontal="center"/>
    </xf>
    <xf numFmtId="0" fontId="8" fillId="0" borderId="2" xfId="0" applyFont="1" applyFill="1" applyBorder="1" applyAlignment="1">
      <alignment horizontal="right"/>
    </xf>
    <xf numFmtId="0" fontId="8" fillId="0" borderId="2" xfId="0" applyFont="1" applyFill="1" applyBorder="1" applyAlignment="1">
      <alignment horizontal="center"/>
    </xf>
    <xf numFmtId="0" fontId="8" fillId="0" borderId="2" xfId="0" quotePrefix="1" applyFont="1" applyFill="1" applyBorder="1" applyAlignment="1">
      <alignment horizontal="center"/>
    </xf>
    <xf numFmtId="0" fontId="8" fillId="0" borderId="2" xfId="0" quotePrefix="1" applyFont="1" applyFill="1" applyBorder="1" applyAlignment="1">
      <alignment horizontal="right"/>
    </xf>
    <xf numFmtId="171" fontId="8" fillId="0" borderId="2" xfId="19" applyNumberFormat="1" applyFont="1" applyFill="1" applyBorder="1"/>
    <xf numFmtId="49" fontId="39" fillId="0" borderId="0" xfId="0" applyNumberFormat="1" applyFont="1" applyFill="1" applyBorder="1" applyAlignment="1">
      <alignment vertical="center"/>
    </xf>
    <xf numFmtId="167" fontId="8" fillId="0" borderId="0" xfId="19" applyNumberFormat="1" applyFont="1" applyFill="1" applyBorder="1"/>
    <xf numFmtId="165" fontId="16" fillId="0" borderId="0" xfId="0" applyNumberFormat="1" applyFont="1" applyFill="1" applyBorder="1"/>
    <xf numFmtId="165" fontId="16" fillId="0" borderId="0" xfId="0" applyNumberFormat="1" applyFont="1" applyFill="1"/>
    <xf numFmtId="166" fontId="8" fillId="0" borderId="0" xfId="0" applyNumberFormat="1" applyFont="1" applyFill="1" applyBorder="1" applyAlignment="1"/>
    <xf numFmtId="165" fontId="8" fillId="0" borderId="0" xfId="0" applyNumberFormat="1" applyFont="1" applyFill="1" applyBorder="1"/>
    <xf numFmtId="165" fontId="27" fillId="0" borderId="0" xfId="0" applyNumberFormat="1" applyFont="1" applyFill="1" applyBorder="1"/>
    <xf numFmtId="165" fontId="14" fillId="0" borderId="0" xfId="0" applyNumberFormat="1" applyFont="1" applyFill="1" applyBorder="1"/>
    <xf numFmtId="178" fontId="16" fillId="0" borderId="0" xfId="0" applyNumberFormat="1" applyFont="1" applyFill="1" applyBorder="1"/>
    <xf numFmtId="166" fontId="8" fillId="0" borderId="0" xfId="0" applyNumberFormat="1" applyFont="1" applyFill="1" applyAlignment="1"/>
    <xf numFmtId="166" fontId="8" fillId="0" borderId="0" xfId="70" applyNumberFormat="1" applyFont="1" applyFill="1" applyBorder="1"/>
    <xf numFmtId="166" fontId="8" fillId="0" borderId="0" xfId="70" applyNumberFormat="1" applyFont="1" applyFill="1" applyBorder="1" applyAlignment="1">
      <alignment horizontal="right"/>
    </xf>
    <xf numFmtId="165" fontId="8" fillId="0" borderId="0" xfId="0" applyNumberFormat="1" applyFont="1" applyFill="1" applyBorder="1" applyAlignment="1">
      <alignment horizontal="right"/>
    </xf>
    <xf numFmtId="165" fontId="8" fillId="0" borderId="0" xfId="0" applyNumberFormat="1" applyFont="1" applyFill="1" applyBorder="1" applyAlignment="1">
      <alignment vertical="center"/>
    </xf>
    <xf numFmtId="166" fontId="8" fillId="0" borderId="2" xfId="0" applyNumberFormat="1" applyFont="1" applyFill="1" applyBorder="1" applyAlignment="1">
      <alignment vertical="center"/>
    </xf>
    <xf numFmtId="165" fontId="8" fillId="0" borderId="2" xfId="70" applyNumberFormat="1" applyFont="1" applyFill="1" applyBorder="1"/>
    <xf numFmtId="165" fontId="14" fillId="0" borderId="2" xfId="0" applyNumberFormat="1" applyFont="1" applyFill="1" applyBorder="1"/>
    <xf numFmtId="166" fontId="8" fillId="0" borderId="2" xfId="70" applyNumberFormat="1" applyFont="1" applyFill="1" applyBorder="1"/>
    <xf numFmtId="166" fontId="14" fillId="0" borderId="2" xfId="70" applyNumberFormat="1" applyFont="1" applyFill="1" applyBorder="1"/>
    <xf numFmtId="165" fontId="15" fillId="0" borderId="0" xfId="19" applyNumberFormat="1" applyFont="1" applyFill="1" applyAlignment="1"/>
    <xf numFmtId="165" fontId="8" fillId="0" borderId="0" xfId="19" applyNumberFormat="1" applyFont="1" applyFill="1" applyAlignment="1">
      <alignment vertical="center"/>
    </xf>
    <xf numFmtId="165" fontId="8" fillId="0" borderId="0" xfId="70" applyNumberFormat="1" applyFont="1" applyFill="1" applyBorder="1"/>
    <xf numFmtId="9" fontId="8" fillId="0" borderId="0" xfId="70" applyNumberFormat="1" applyFont="1" applyFill="1" applyAlignment="1">
      <alignment horizontal="right"/>
    </xf>
    <xf numFmtId="166" fontId="8" fillId="0" borderId="0" xfId="0" applyNumberFormat="1" applyFont="1" applyFill="1" applyAlignment="1">
      <alignment vertical="center"/>
    </xf>
    <xf numFmtId="167" fontId="8" fillId="0" borderId="0" xfId="70" applyNumberFormat="1" applyFont="1" applyFill="1"/>
    <xf numFmtId="9" fontId="16" fillId="0" borderId="0" xfId="70" applyFont="1" applyFill="1" applyBorder="1"/>
    <xf numFmtId="166" fontId="8" fillId="0" borderId="0" xfId="19" applyNumberFormat="1" applyFont="1" applyFill="1" applyAlignment="1">
      <alignment vertical="center"/>
    </xf>
    <xf numFmtId="49" fontId="15" fillId="0" borderId="0" xfId="19" applyNumberFormat="1" applyFont="1" applyFill="1" applyAlignment="1">
      <alignment vertical="center"/>
    </xf>
    <xf numFmtId="43" fontId="8" fillId="0" borderId="0" xfId="19" applyFont="1" applyFill="1" applyAlignment="1">
      <alignment horizontal="right"/>
    </xf>
    <xf numFmtId="165" fontId="15" fillId="0" borderId="0" xfId="19" applyNumberFormat="1" applyFont="1" applyFill="1" applyAlignment="1">
      <alignment vertical="center"/>
    </xf>
    <xf numFmtId="49" fontId="8" fillId="0" borderId="0" xfId="0" applyNumberFormat="1" applyFont="1" applyFill="1" applyAlignment="1">
      <alignment vertical="center"/>
    </xf>
    <xf numFmtId="49" fontId="20" fillId="0" borderId="0" xfId="0" applyNumberFormat="1" applyFont="1" applyFill="1" applyAlignment="1">
      <alignment vertical="center"/>
    </xf>
    <xf numFmtId="49" fontId="20" fillId="0" borderId="2" xfId="0" applyNumberFormat="1" applyFont="1" applyFill="1" applyBorder="1" applyAlignment="1">
      <alignment vertical="center"/>
    </xf>
    <xf numFmtId="43" fontId="8" fillId="0" borderId="2" xfId="19" applyFont="1" applyFill="1" applyBorder="1" applyAlignment="1">
      <alignment horizontal="right"/>
    </xf>
    <xf numFmtId="43" fontId="8" fillId="0" borderId="2" xfId="19" applyFont="1" applyFill="1" applyBorder="1"/>
    <xf numFmtId="0" fontId="8" fillId="0" borderId="2" xfId="0" applyFont="1" applyBorder="1" applyAlignment="1">
      <alignment horizontal="centerContinuous"/>
    </xf>
    <xf numFmtId="0" fontId="8" fillId="0" borderId="5" xfId="0" applyFont="1" applyFill="1" applyBorder="1" applyAlignment="1">
      <alignment horizontal="centerContinuous"/>
    </xf>
    <xf numFmtId="49" fontId="8" fillId="0" borderId="2" xfId="0" applyNumberFormat="1" applyFont="1" applyFill="1" applyBorder="1"/>
    <xf numFmtId="0" fontId="8" fillId="0" borderId="2" xfId="0" quotePrefix="1" applyFont="1" applyBorder="1" applyAlignment="1">
      <alignment horizontal="right"/>
    </xf>
    <xf numFmtId="0" fontId="8" fillId="0" borderId="5" xfId="0" applyFont="1" applyFill="1" applyBorder="1" applyAlignment="1">
      <alignment horizontal="right"/>
    </xf>
    <xf numFmtId="49" fontId="15" fillId="0" borderId="0" xfId="0" applyNumberFormat="1" applyFont="1" applyFill="1" applyAlignment="1">
      <alignment vertical="center"/>
    </xf>
    <xf numFmtId="165" fontId="8" fillId="0" borderId="0" xfId="0" applyNumberFormat="1" applyFont="1" applyFill="1" applyAlignment="1">
      <alignment vertical="center"/>
    </xf>
    <xf numFmtId="166" fontId="16" fillId="0" borderId="0" xfId="0" applyNumberFormat="1" applyFont="1" applyFill="1"/>
    <xf numFmtId="170" fontId="8" fillId="0" borderId="0" xfId="0" applyNumberFormat="1" applyFont="1" applyFill="1"/>
    <xf numFmtId="172" fontId="8" fillId="0" borderId="0" xfId="19" applyNumberFormat="1" applyFont="1" applyFill="1"/>
    <xf numFmtId="166" fontId="14" fillId="0" borderId="0" xfId="0" applyNumberFormat="1" applyFont="1" applyFill="1"/>
    <xf numFmtId="165" fontId="8" fillId="0" borderId="0" xfId="0" quotePrefix="1" applyNumberFormat="1" applyFont="1" applyFill="1"/>
    <xf numFmtId="165" fontId="8" fillId="0" borderId="0" xfId="0" quotePrefix="1" applyNumberFormat="1" applyFont="1"/>
    <xf numFmtId="49" fontId="8" fillId="0" borderId="0" xfId="19" applyNumberFormat="1" applyFont="1" applyFill="1" applyAlignment="1">
      <alignment vertical="center"/>
    </xf>
    <xf numFmtId="9" fontId="14" fillId="0" borderId="0" xfId="70" applyFont="1" applyFill="1"/>
    <xf numFmtId="49" fontId="20" fillId="0" borderId="0" xfId="0" applyNumberFormat="1" applyFont="1" applyFill="1" applyBorder="1" applyAlignment="1">
      <alignment vertical="center"/>
    </xf>
    <xf numFmtId="9" fontId="8" fillId="0" borderId="2" xfId="0" applyNumberFormat="1" applyFont="1" applyFill="1" applyBorder="1"/>
    <xf numFmtId="0" fontId="16" fillId="0" borderId="4" xfId="0" applyFont="1" applyFill="1" applyBorder="1"/>
    <xf numFmtId="0" fontId="8" fillId="0" borderId="4" xfId="0" applyFont="1" applyFill="1" applyBorder="1" applyAlignment="1">
      <alignment horizontal="right"/>
    </xf>
    <xf numFmtId="0" fontId="8" fillId="0" borderId="4" xfId="0" applyFont="1" applyFill="1" applyBorder="1"/>
    <xf numFmtId="166" fontId="8" fillId="0" borderId="4" xfId="70" applyNumberFormat="1" applyFont="1" applyFill="1" applyBorder="1"/>
    <xf numFmtId="43" fontId="8" fillId="0" borderId="4" xfId="19" applyFont="1" applyFill="1" applyBorder="1"/>
    <xf numFmtId="167" fontId="8" fillId="0" borderId="4" xfId="0" applyNumberFormat="1" applyFont="1" applyFill="1" applyBorder="1"/>
    <xf numFmtId="9" fontId="8" fillId="0" borderId="0" xfId="19" applyNumberFormat="1" applyFont="1" applyFill="1" applyAlignment="1">
      <alignment horizontal="right"/>
    </xf>
    <xf numFmtId="172" fontId="8" fillId="0" borderId="0" xfId="19" applyNumberFormat="1" applyFont="1" applyFill="1" applyAlignment="1">
      <alignment horizontal="right"/>
    </xf>
    <xf numFmtId="166" fontId="30" fillId="0" borderId="0" xfId="70" applyNumberFormat="1" applyFont="1" applyFill="1"/>
    <xf numFmtId="166" fontId="26" fillId="0" borderId="0" xfId="70" applyNumberFormat="1" applyFont="1" applyFill="1"/>
    <xf numFmtId="166" fontId="26" fillId="0" borderId="0" xfId="70" applyNumberFormat="1" applyFont="1" applyFill="1" applyAlignment="1">
      <alignment horizontal="right"/>
    </xf>
    <xf numFmtId="166" fontId="15" fillId="0" borderId="0" xfId="0" applyNumberFormat="1" applyFont="1" applyFill="1" applyAlignment="1">
      <alignment vertical="center"/>
    </xf>
    <xf numFmtId="166" fontId="8" fillId="0" borderId="0" xfId="70" applyNumberFormat="1" applyFont="1" applyFill="1" applyAlignment="1">
      <alignment vertical="center"/>
    </xf>
    <xf numFmtId="166" fontId="16" fillId="0" borderId="0" xfId="70" applyNumberFormat="1" applyFont="1" applyFill="1"/>
    <xf numFmtId="12" fontId="8" fillId="0" borderId="0" xfId="19" applyNumberFormat="1" applyFont="1" applyFill="1" applyAlignment="1">
      <alignment horizontal="right"/>
    </xf>
    <xf numFmtId="166" fontId="8" fillId="0" borderId="0" xfId="0" applyNumberFormat="1" applyFont="1" applyFill="1" applyBorder="1" applyAlignment="1">
      <alignment vertical="center"/>
    </xf>
    <xf numFmtId="165" fontId="27" fillId="0" borderId="0" xfId="19" applyNumberFormat="1" applyFont="1" applyFill="1" applyBorder="1"/>
    <xf numFmtId="43" fontId="8" fillId="0" borderId="0" xfId="19" applyFont="1" applyFill="1" applyBorder="1"/>
    <xf numFmtId="171" fontId="8" fillId="0" borderId="0" xfId="19" applyNumberFormat="1" applyFont="1" applyFill="1" applyBorder="1"/>
    <xf numFmtId="43" fontId="8" fillId="0" borderId="0" xfId="19" applyFont="1" applyFill="1" applyBorder="1" applyAlignment="1">
      <alignment horizontal="right"/>
    </xf>
    <xf numFmtId="166" fontId="8" fillId="0" borderId="0" xfId="0" applyNumberFormat="1" applyFont="1" applyFill="1" applyBorder="1"/>
    <xf numFmtId="171" fontId="16" fillId="0" borderId="0" xfId="19" applyNumberFormat="1" applyFont="1" applyFill="1"/>
    <xf numFmtId="167" fontId="34" fillId="0" borderId="0" xfId="19" applyNumberFormat="1" applyFont="1" applyFill="1" applyBorder="1"/>
    <xf numFmtId="167" fontId="28" fillId="0" borderId="0" xfId="19" applyNumberFormat="1" applyFont="1" applyFill="1" applyBorder="1"/>
    <xf numFmtId="165" fontId="15" fillId="0" borderId="0" xfId="0" applyNumberFormat="1" applyFont="1" applyFill="1" applyBorder="1" applyAlignment="1">
      <alignment vertical="center"/>
    </xf>
    <xf numFmtId="165" fontId="8" fillId="0" borderId="6" xfId="0" applyNumberFormat="1" applyFont="1" applyFill="1" applyBorder="1"/>
    <xf numFmtId="165" fontId="14" fillId="0" borderId="6" xfId="0" applyNumberFormat="1" applyFont="1" applyFill="1" applyBorder="1"/>
    <xf numFmtId="165" fontId="28" fillId="0" borderId="6" xfId="0" applyNumberFormat="1" applyFont="1" applyFill="1" applyBorder="1"/>
    <xf numFmtId="165" fontId="27" fillId="0" borderId="6" xfId="0" applyNumberFormat="1" applyFont="1" applyFill="1" applyBorder="1"/>
    <xf numFmtId="171" fontId="14" fillId="0" borderId="0" xfId="19" applyNumberFormat="1" applyFont="1" applyFill="1"/>
    <xf numFmtId="9" fontId="16" fillId="0" borderId="0" xfId="0" applyNumberFormat="1" applyFont="1" applyFill="1"/>
    <xf numFmtId="43" fontId="8" fillId="0" borderId="0" xfId="0" applyNumberFormat="1" applyFont="1" applyFill="1"/>
    <xf numFmtId="43" fontId="16" fillId="0" borderId="0" xfId="19" applyFont="1" applyFill="1" applyAlignment="1">
      <alignment horizontal="right"/>
    </xf>
    <xf numFmtId="43" fontId="16" fillId="0" borderId="0" xfId="19" applyFont="1" applyFill="1"/>
    <xf numFmtId="167" fontId="16" fillId="0" borderId="0" xfId="19" applyNumberFormat="1" applyFont="1" applyFill="1"/>
    <xf numFmtId="166" fontId="8" fillId="0" borderId="0" xfId="19" applyNumberFormat="1" applyFont="1" applyFill="1"/>
    <xf numFmtId="10" fontId="8" fillId="0" borderId="0" xfId="19" applyNumberFormat="1" applyFont="1" applyFill="1"/>
    <xf numFmtId="10" fontId="8" fillId="0" borderId="0" xfId="0" applyNumberFormat="1" applyFont="1" applyFill="1"/>
    <xf numFmtId="167" fontId="34" fillId="0" borderId="0" xfId="19" applyNumberFormat="1" applyFont="1" applyFill="1"/>
    <xf numFmtId="43" fontId="8" fillId="0" borderId="0" xfId="19" applyFont="1" applyBorder="1" applyAlignment="1">
      <alignment horizontal="right"/>
    </xf>
    <xf numFmtId="173" fontId="8" fillId="0" borderId="0" xfId="0" applyNumberFormat="1" applyFont="1" applyFill="1" applyBorder="1"/>
    <xf numFmtId="165" fontId="15" fillId="0" borderId="0" xfId="0" applyNumberFormat="1" applyFont="1" applyFill="1" applyAlignment="1">
      <alignment vertical="center"/>
    </xf>
    <xf numFmtId="165" fontId="8" fillId="0" borderId="7" xfId="0" applyNumberFormat="1" applyFont="1" applyFill="1" applyBorder="1"/>
    <xf numFmtId="165" fontId="14" fillId="0" borderId="7" xfId="0" applyNumberFormat="1" applyFont="1" applyFill="1" applyBorder="1"/>
    <xf numFmtId="165" fontId="28" fillId="0" borderId="7" xfId="0" applyNumberFormat="1" applyFont="1" applyFill="1" applyBorder="1"/>
    <xf numFmtId="167" fontId="14" fillId="0" borderId="7" xfId="19" applyNumberFormat="1" applyFont="1" applyFill="1" applyBorder="1"/>
    <xf numFmtId="165" fontId="27" fillId="0" borderId="7" xfId="0" applyNumberFormat="1" applyFont="1" applyFill="1" applyBorder="1"/>
    <xf numFmtId="167" fontId="8" fillId="0" borderId="2" xfId="0" applyNumberFormat="1" applyFont="1" applyFill="1" applyBorder="1"/>
    <xf numFmtId="0" fontId="23" fillId="0" borderId="0" xfId="0" applyFont="1" applyFill="1" applyAlignment="1">
      <alignment vertical="center"/>
    </xf>
    <xf numFmtId="0" fontId="35" fillId="0" borderId="0" xfId="0" applyFont="1" applyFill="1"/>
    <xf numFmtId="43" fontId="26" fillId="0" borderId="0" xfId="19" applyFont="1" applyFill="1" applyAlignment="1">
      <alignment horizontal="right"/>
    </xf>
    <xf numFmtId="43" fontId="26" fillId="0" borderId="0" xfId="19" applyFont="1" applyFill="1"/>
    <xf numFmtId="165" fontId="40" fillId="0" borderId="0" xfId="0" applyNumberFormat="1" applyFont="1" applyFill="1"/>
    <xf numFmtId="43" fontId="28" fillId="0" borderId="0" xfId="19" applyFont="1" applyFill="1" applyAlignment="1">
      <alignment horizontal="right"/>
    </xf>
    <xf numFmtId="43" fontId="28" fillId="0" borderId="0" xfId="19" applyFont="1" applyFill="1"/>
    <xf numFmtId="165" fontId="41" fillId="0" borderId="0" xfId="0" applyNumberFormat="1" applyFont="1" applyFill="1"/>
    <xf numFmtId="165" fontId="35" fillId="0" borderId="0" xfId="0" applyNumberFormat="1" applyFont="1" applyFill="1"/>
    <xf numFmtId="165" fontId="29" fillId="0" borderId="0" xfId="0" applyNumberFormat="1" applyFont="1" applyFill="1"/>
    <xf numFmtId="167" fontId="26" fillId="0" borderId="0" xfId="19" applyNumberFormat="1" applyFont="1" applyFill="1"/>
    <xf numFmtId="173" fontId="14" fillId="0" borderId="0" xfId="0" applyNumberFormat="1" applyFont="1" applyFill="1"/>
    <xf numFmtId="165" fontId="33" fillId="0" borderId="0" xfId="0" applyNumberFormat="1" applyFont="1" applyFill="1"/>
    <xf numFmtId="168" fontId="8" fillId="0" borderId="0" xfId="0" applyNumberFormat="1" applyFont="1"/>
    <xf numFmtId="166" fontId="8" fillId="0" borderId="8" xfId="70" applyNumberFormat="1" applyFont="1" applyBorder="1"/>
    <xf numFmtId="0" fontId="8" fillId="0" borderId="0" xfId="0" applyFont="1" applyBorder="1" applyAlignment="1">
      <alignment horizontal="right"/>
    </xf>
    <xf numFmtId="166" fontId="15" fillId="0" borderId="0" xfId="70" applyNumberFormat="1" applyFont="1" applyFill="1" applyBorder="1" applyAlignment="1">
      <alignment horizontal="right"/>
    </xf>
    <xf numFmtId="166" fontId="8" fillId="0" borderId="0" xfId="70" applyNumberFormat="1" applyFont="1" applyBorder="1" applyAlignment="1">
      <alignment horizontal="right"/>
    </xf>
    <xf numFmtId="166" fontId="23" fillId="0" borderId="0" xfId="70" applyNumberFormat="1" applyFont="1" applyFill="1" applyBorder="1"/>
    <xf numFmtId="0" fontId="8" fillId="0" borderId="0" xfId="0" applyFont="1" applyAlignment="1">
      <alignment horizontal="left" indent="1"/>
    </xf>
    <xf numFmtId="0" fontId="14" fillId="0" borderId="0" xfId="0" applyFont="1" applyFill="1"/>
    <xf numFmtId="0" fontId="15" fillId="0" borderId="9" xfId="0" applyFont="1" applyBorder="1" applyAlignment="1">
      <alignment horizontal="right"/>
    </xf>
    <xf numFmtId="166" fontId="14" fillId="0" borderId="0" xfId="70" applyNumberFormat="1" applyFont="1" applyFill="1" applyBorder="1"/>
    <xf numFmtId="173" fontId="14" fillId="0" borderId="0" xfId="0" applyNumberFormat="1" applyFont="1"/>
    <xf numFmtId="0" fontId="8" fillId="0" borderId="0" xfId="0" applyFont="1" applyAlignment="1">
      <alignment horizontal="left"/>
    </xf>
    <xf numFmtId="166" fontId="14" fillId="0" borderId="0" xfId="70" applyNumberFormat="1" applyFont="1" applyBorder="1"/>
    <xf numFmtId="9" fontId="8" fillId="0" borderId="0" xfId="70" applyFont="1" applyBorder="1" applyAlignment="1">
      <alignment horizontal="right"/>
    </xf>
    <xf numFmtId="2" fontId="8" fillId="0" borderId="0" xfId="0" applyNumberFormat="1" applyFont="1" applyFill="1" applyBorder="1"/>
    <xf numFmtId="2" fontId="8" fillId="0" borderId="0" xfId="0" applyNumberFormat="1" applyFont="1" applyBorder="1"/>
    <xf numFmtId="0" fontId="8" fillId="0" borderId="10" xfId="0" applyFont="1" applyBorder="1"/>
    <xf numFmtId="2" fontId="15" fillId="0" borderId="0" xfId="60" applyNumberFormat="1" applyFont="1"/>
    <xf numFmtId="2" fontId="23" fillId="0" borderId="0" xfId="60" applyNumberFormat="1" applyFont="1"/>
    <xf numFmtId="1" fontId="15" fillId="0" borderId="2" xfId="0" applyNumberFormat="1" applyFont="1" applyBorder="1" applyAlignment="1">
      <alignment horizontal="right"/>
    </xf>
    <xf numFmtId="2" fontId="8" fillId="0" borderId="0" xfId="60" applyNumberFormat="1" applyFont="1"/>
    <xf numFmtId="2" fontId="8" fillId="0" borderId="0" xfId="67" applyNumberFormat="1" applyFont="1"/>
    <xf numFmtId="2" fontId="8" fillId="0" borderId="0" xfId="67" applyNumberFormat="1" applyFont="1" applyFill="1"/>
    <xf numFmtId="166" fontId="14" fillId="0" borderId="0" xfId="0" applyNumberFormat="1" applyFont="1"/>
    <xf numFmtId="165" fontId="8" fillId="0" borderId="0" xfId="67" applyNumberFormat="1" applyFont="1" applyFill="1"/>
    <xf numFmtId="10" fontId="14" fillId="0" borderId="0" xfId="0" quotePrefix="1" applyNumberFormat="1" applyFont="1" applyBorder="1" applyAlignment="1">
      <alignment horizontal="right"/>
    </xf>
    <xf numFmtId="10" fontId="28" fillId="0" borderId="0" xfId="70" applyNumberFormat="1" applyFont="1"/>
    <xf numFmtId="177" fontId="8" fillId="0" borderId="0" xfId="0" applyNumberFormat="1" applyFont="1"/>
    <xf numFmtId="49" fontId="8" fillId="0" borderId="0" xfId="19" quotePrefix="1" applyNumberFormat="1" applyFont="1" applyAlignment="1">
      <alignment horizontal="left"/>
    </xf>
    <xf numFmtId="177" fontId="26" fillId="0" borderId="0" xfId="0" applyNumberFormat="1" applyFont="1"/>
    <xf numFmtId="179" fontId="8" fillId="0" borderId="0" xfId="0" applyNumberFormat="1" applyFont="1" applyProtection="1"/>
    <xf numFmtId="169" fontId="8" fillId="0" borderId="0" xfId="0" applyNumberFormat="1" applyFont="1" applyProtection="1"/>
    <xf numFmtId="176" fontId="8" fillId="0" borderId="0" xfId="20" applyNumberFormat="1" applyFont="1"/>
    <xf numFmtId="49" fontId="8" fillId="0" borderId="0" xfId="0" quotePrefix="1" applyNumberFormat="1" applyFont="1" applyAlignment="1">
      <alignment horizontal="left"/>
    </xf>
    <xf numFmtId="2" fontId="23" fillId="0" borderId="2" xfId="60" applyNumberFormat="1" applyFont="1" applyBorder="1"/>
    <xf numFmtId="1" fontId="15" fillId="0" borderId="2" xfId="0" applyNumberFormat="1" applyFont="1" applyBorder="1"/>
    <xf numFmtId="2" fontId="15" fillId="0" borderId="0" xfId="67" applyNumberFormat="1" applyFont="1"/>
    <xf numFmtId="174" fontId="14" fillId="0" borderId="0" xfId="0" applyNumberFormat="1" applyFont="1"/>
    <xf numFmtId="174" fontId="28" fillId="0" borderId="0" xfId="0" applyNumberFormat="1" applyFont="1"/>
    <xf numFmtId="184" fontId="31" fillId="0" borderId="0" xfId="60" applyNumberFormat="1" applyFont="1"/>
    <xf numFmtId="184" fontId="15" fillId="0" borderId="0" xfId="60" applyNumberFormat="1" applyFont="1"/>
    <xf numFmtId="174" fontId="34" fillId="0" borderId="0" xfId="0" applyNumberFormat="1" applyFont="1"/>
    <xf numFmtId="2" fontId="8" fillId="0" borderId="0" xfId="0" applyNumberFormat="1" applyFont="1" applyAlignment="1">
      <alignment horizontal="left"/>
    </xf>
    <xf numFmtId="172" fontId="8" fillId="0" borderId="0" xfId="19" applyNumberFormat="1" applyFont="1"/>
    <xf numFmtId="165" fontId="34" fillId="0" borderId="2" xfId="0" applyNumberFormat="1" applyFont="1" applyBorder="1"/>
    <xf numFmtId="2" fontId="8" fillId="0" borderId="0" xfId="0" quotePrefix="1" applyNumberFormat="1" applyFont="1" applyAlignment="1">
      <alignment horizontal="left"/>
    </xf>
    <xf numFmtId="2" fontId="8" fillId="0" borderId="0" xfId="67" quotePrefix="1" applyNumberFormat="1" applyFont="1" applyAlignment="1">
      <alignment horizontal="left"/>
    </xf>
    <xf numFmtId="166" fontId="14" fillId="0" borderId="0" xfId="70" quotePrefix="1" applyNumberFormat="1" applyFont="1" applyAlignment="1">
      <alignment horizontal="right"/>
    </xf>
    <xf numFmtId="1" fontId="8" fillId="0" borderId="0" xfId="0" applyNumberFormat="1" applyFont="1" applyFill="1"/>
    <xf numFmtId="166" fontId="28" fillId="0" borderId="0" xfId="70" applyNumberFormat="1" applyFont="1"/>
    <xf numFmtId="174" fontId="14" fillId="0" borderId="0" xfId="60" applyNumberFormat="1" applyFont="1"/>
    <xf numFmtId="2" fontId="8" fillId="0" borderId="0" xfId="0" applyNumberFormat="1" applyFont="1" applyFill="1"/>
    <xf numFmtId="166" fontId="28" fillId="0" borderId="0" xfId="70" applyNumberFormat="1" applyFont="1" applyFill="1"/>
    <xf numFmtId="2" fontId="35" fillId="0" borderId="0" xfId="67" applyNumberFormat="1" applyFont="1"/>
    <xf numFmtId="165" fontId="8" fillId="0" borderId="0" xfId="67" applyNumberFormat="1" applyFont="1"/>
    <xf numFmtId="185" fontId="8" fillId="0" borderId="0" xfId="0" applyNumberFormat="1" applyFont="1"/>
    <xf numFmtId="2" fontId="14" fillId="0" borderId="0" xfId="67" applyNumberFormat="1" applyFont="1"/>
    <xf numFmtId="173" fontId="14" fillId="0" borderId="0" xfId="67" applyNumberFormat="1" applyFont="1"/>
    <xf numFmtId="164" fontId="8" fillId="0" borderId="0" xfId="0" applyNumberFormat="1" applyFont="1"/>
    <xf numFmtId="2" fontId="8" fillId="0" borderId="0" xfId="67" applyNumberFormat="1" applyFont="1" applyAlignment="1">
      <alignment horizontal="left"/>
    </xf>
    <xf numFmtId="2" fontId="14" fillId="0" borderId="0" xfId="60" applyNumberFormat="1" applyFont="1"/>
    <xf numFmtId="186" fontId="8" fillId="0" borderId="0" xfId="0" applyNumberFormat="1" applyFont="1"/>
    <xf numFmtId="186" fontId="8" fillId="0" borderId="0" xfId="60" applyNumberFormat="1" applyFont="1" applyFill="1"/>
    <xf numFmtId="186" fontId="8" fillId="0" borderId="0" xfId="60" applyNumberFormat="1" applyFont="1"/>
    <xf numFmtId="186" fontId="33" fillId="0" borderId="0" xfId="0" applyNumberFormat="1" applyFont="1"/>
    <xf numFmtId="185" fontId="8" fillId="0" borderId="0" xfId="0" applyNumberFormat="1" applyFont="1" applyFill="1"/>
    <xf numFmtId="164" fontId="8" fillId="0" borderId="0" xfId="0" applyNumberFormat="1" applyFont="1" applyFill="1"/>
    <xf numFmtId="2" fontId="8" fillId="0" borderId="0" xfId="67" quotePrefix="1" applyNumberFormat="1" applyFont="1" applyFill="1" applyAlignment="1">
      <alignment horizontal="left"/>
    </xf>
    <xf numFmtId="9" fontId="8" fillId="0" borderId="0" xfId="70" quotePrefix="1" applyFont="1" applyFill="1" applyAlignment="1">
      <alignment horizontal="right"/>
    </xf>
    <xf numFmtId="166" fontId="14" fillId="0" borderId="0" xfId="70" quotePrefix="1" applyNumberFormat="1" applyFont="1" applyFill="1" applyAlignment="1">
      <alignment horizontal="right"/>
    </xf>
    <xf numFmtId="1" fontId="15" fillId="0" borderId="2" xfId="0" applyNumberFormat="1" applyFont="1" applyFill="1" applyBorder="1" applyAlignment="1">
      <alignment horizontal="right"/>
    </xf>
    <xf numFmtId="173" fontId="28" fillId="0" borderId="0" xfId="0" applyNumberFormat="1" applyFont="1"/>
    <xf numFmtId="166" fontId="28" fillId="0" borderId="0" xfId="0" applyNumberFormat="1" applyFont="1"/>
    <xf numFmtId="166" fontId="28" fillId="0" borderId="0" xfId="0" applyNumberFormat="1" applyFont="1" applyFill="1"/>
    <xf numFmtId="10" fontId="8" fillId="0" borderId="0" xfId="0" applyNumberFormat="1" applyFont="1" applyFill="1" applyProtection="1"/>
    <xf numFmtId="177" fontId="26" fillId="0" borderId="0" xfId="0" applyNumberFormat="1" applyFont="1" applyFill="1"/>
    <xf numFmtId="178" fontId="8" fillId="0" borderId="0" xfId="0" applyNumberFormat="1" applyFont="1" applyFill="1"/>
    <xf numFmtId="179" fontId="8" fillId="0" borderId="0" xfId="0" applyNumberFormat="1" applyFont="1" applyFill="1" applyProtection="1"/>
    <xf numFmtId="169" fontId="8" fillId="0" borderId="0" xfId="0" applyNumberFormat="1" applyFont="1" applyFill="1" applyProtection="1"/>
    <xf numFmtId="176" fontId="8" fillId="0" borderId="0" xfId="20" applyNumberFormat="1" applyFont="1" applyFill="1"/>
    <xf numFmtId="49" fontId="15" fillId="0" borderId="0" xfId="19" applyNumberFormat="1" applyFont="1"/>
    <xf numFmtId="49" fontId="23" fillId="0" borderId="0" xfId="19" applyNumberFormat="1" applyFont="1"/>
    <xf numFmtId="49" fontId="8" fillId="0" borderId="8" xfId="19" applyNumberFormat="1" applyFont="1" applyBorder="1"/>
    <xf numFmtId="49" fontId="23" fillId="0" borderId="2" xfId="19" applyNumberFormat="1" applyFont="1" applyBorder="1"/>
    <xf numFmtId="49" fontId="23" fillId="0" borderId="0" xfId="19" applyNumberFormat="1" applyFont="1" applyBorder="1"/>
    <xf numFmtId="0" fontId="15" fillId="0" borderId="0" xfId="66" applyFont="1"/>
    <xf numFmtId="184" fontId="15" fillId="0" borderId="0" xfId="0" applyNumberFormat="1" applyFont="1"/>
    <xf numFmtId="184" fontId="8" fillId="0" borderId="0" xfId="0" applyNumberFormat="1" applyFont="1"/>
    <xf numFmtId="0" fontId="8" fillId="0" borderId="0" xfId="66" applyFont="1"/>
    <xf numFmtId="0" fontId="28" fillId="0" borderId="0" xfId="0" applyFont="1"/>
    <xf numFmtId="0" fontId="8" fillId="0" borderId="0" xfId="60" applyFont="1"/>
    <xf numFmtId="173" fontId="8" fillId="0" borderId="0" xfId="19" applyNumberFormat="1" applyFont="1" applyBorder="1"/>
    <xf numFmtId="173" fontId="14" fillId="0" borderId="0" xfId="19" applyNumberFormat="1" applyFont="1" applyBorder="1"/>
    <xf numFmtId="0" fontId="15" fillId="0" borderId="0" xfId="60" applyFont="1"/>
    <xf numFmtId="49" fontId="8" fillId="0" borderId="0" xfId="19" applyNumberFormat="1" applyFont="1"/>
    <xf numFmtId="184" fontId="8" fillId="0" borderId="0" xfId="0" applyNumberFormat="1" applyFont="1" applyFill="1"/>
    <xf numFmtId="9" fontId="14" fillId="0" borderId="0" xfId="70" applyFont="1"/>
    <xf numFmtId="49" fontId="8" fillId="0" borderId="0" xfId="60" applyNumberFormat="1" applyFont="1"/>
    <xf numFmtId="49" fontId="8" fillId="0" borderId="0" xfId="19" applyNumberFormat="1" applyFont="1" applyBorder="1"/>
    <xf numFmtId="173" fontId="8" fillId="0" borderId="0" xfId="19" applyNumberFormat="1" applyFont="1" applyFill="1" applyBorder="1"/>
    <xf numFmtId="49" fontId="26" fillId="0" borderId="0" xfId="19" applyNumberFormat="1" applyFont="1" applyBorder="1"/>
    <xf numFmtId="166" fontId="14" fillId="0" borderId="0" xfId="70" applyNumberFormat="1" applyFont="1" applyBorder="1" applyAlignment="1">
      <alignment horizontal="right"/>
    </xf>
    <xf numFmtId="166" fontId="8" fillId="0" borderId="2" xfId="70" applyNumberFormat="1" applyFont="1" applyFill="1" applyBorder="1" applyAlignment="1">
      <alignment horizontal="right"/>
    </xf>
    <xf numFmtId="43" fontId="8" fillId="0" borderId="0" xfId="19" applyFont="1" applyBorder="1"/>
    <xf numFmtId="49" fontId="20" fillId="0" borderId="0" xfId="0" quotePrefix="1" applyNumberFormat="1" applyFont="1" applyAlignment="1">
      <alignment horizontal="left"/>
    </xf>
    <xf numFmtId="49" fontId="20" fillId="0" borderId="0" xfId="0" applyNumberFormat="1" applyFont="1" applyAlignment="1">
      <alignment horizontal="left"/>
    </xf>
    <xf numFmtId="167" fontId="8" fillId="0" borderId="8" xfId="19" applyNumberFormat="1" applyFont="1" applyBorder="1"/>
    <xf numFmtId="1" fontId="8" fillId="0" borderId="2" xfId="19" applyNumberFormat="1" applyFont="1" applyBorder="1" applyAlignment="1">
      <alignment horizontal="right"/>
    </xf>
    <xf numFmtId="1" fontId="8" fillId="0" borderId="2" xfId="19" quotePrefix="1" applyNumberFormat="1" applyFont="1" applyBorder="1" applyAlignment="1">
      <alignment horizontal="right"/>
    </xf>
    <xf numFmtId="1" fontId="8" fillId="0" borderId="0" xfId="19" quotePrefix="1" applyNumberFormat="1" applyFont="1" applyBorder="1" applyAlignment="1">
      <alignment horizontal="right"/>
    </xf>
    <xf numFmtId="167" fontId="23" fillId="0" borderId="0" xfId="19" applyNumberFormat="1" applyFont="1" applyBorder="1"/>
    <xf numFmtId="173" fontId="8" fillId="0" borderId="0" xfId="19" applyNumberFormat="1" applyFont="1"/>
    <xf numFmtId="173" fontId="14" fillId="0" borderId="0" xfId="19" applyNumberFormat="1" applyFont="1"/>
    <xf numFmtId="173" fontId="44" fillId="0" borderId="0" xfId="19" applyNumberFormat="1" applyFont="1"/>
    <xf numFmtId="49" fontId="26" fillId="0" borderId="0" xfId="19" applyNumberFormat="1" applyFont="1"/>
    <xf numFmtId="173" fontId="30" fillId="0" borderId="0" xfId="19" applyNumberFormat="1" applyFont="1"/>
    <xf numFmtId="173" fontId="30" fillId="0" borderId="0" xfId="70" applyNumberFormat="1" applyFont="1" applyAlignment="1">
      <alignment horizontal="right"/>
    </xf>
    <xf numFmtId="173" fontId="33" fillId="0" borderId="0" xfId="19" applyNumberFormat="1" applyFont="1"/>
    <xf numFmtId="173" fontId="30" fillId="0" borderId="0" xfId="0" applyNumberFormat="1" applyFont="1"/>
    <xf numFmtId="0" fontId="15" fillId="0" borderId="0" xfId="0" quotePrefix="1" applyFont="1" applyAlignment="1">
      <alignment horizontal="left"/>
    </xf>
    <xf numFmtId="166" fontId="26" fillId="0" borderId="0" xfId="70" applyNumberFormat="1" applyFont="1"/>
    <xf numFmtId="166" fontId="26" fillId="0" borderId="0" xfId="70" applyNumberFormat="1" applyFont="1" applyAlignment="1">
      <alignment horizontal="right"/>
    </xf>
    <xf numFmtId="170" fontId="8" fillId="0" borderId="0" xfId="20" applyFont="1"/>
    <xf numFmtId="170" fontId="8" fillId="0" borderId="0" xfId="20" applyFont="1" applyBorder="1"/>
    <xf numFmtId="0" fontId="8" fillId="0" borderId="0" xfId="0" applyFont="1" applyBorder="1" applyAlignment="1">
      <alignment horizontal="centerContinuous"/>
    </xf>
    <xf numFmtId="0" fontId="8" fillId="0" borderId="0" xfId="0" applyFont="1" applyAlignment="1">
      <alignment horizontal="centerContinuous"/>
    </xf>
    <xf numFmtId="0" fontId="16" fillId="0" borderId="0" xfId="0" applyFont="1" applyAlignment="1">
      <alignment horizontal="centerContinuous"/>
    </xf>
    <xf numFmtId="170" fontId="23" fillId="0" borderId="2" xfId="20" quotePrefix="1" applyFont="1" applyBorder="1" applyAlignment="1">
      <alignment horizontal="left"/>
    </xf>
    <xf numFmtId="1" fontId="8" fillId="0" borderId="2" xfId="20" applyNumberFormat="1" applyFont="1" applyBorder="1"/>
    <xf numFmtId="1" fontId="8" fillId="0" borderId="2" xfId="20" applyNumberFormat="1" applyFont="1" applyBorder="1" applyAlignment="1">
      <alignment horizontal="right"/>
    </xf>
    <xf numFmtId="0" fontId="8" fillId="0" borderId="2" xfId="0" applyFont="1" applyBorder="1" applyAlignment="1">
      <alignment horizontal="right"/>
    </xf>
    <xf numFmtId="0" fontId="8" fillId="0" borderId="2" xfId="64" quotePrefix="1" applyFont="1" applyBorder="1" applyAlignment="1" applyProtection="1">
      <alignment horizontal="center"/>
    </xf>
    <xf numFmtId="0" fontId="8" fillId="0" borderId="2" xfId="64" applyFont="1" applyBorder="1" applyAlignment="1" applyProtection="1">
      <alignment horizontal="center"/>
    </xf>
    <xf numFmtId="170" fontId="8" fillId="0" borderId="2" xfId="20" quotePrefix="1" applyFont="1" applyBorder="1" applyAlignment="1">
      <alignment horizontal="center"/>
    </xf>
    <xf numFmtId="170" fontId="8" fillId="0" borderId="2" xfId="20" quotePrefix="1" applyFont="1" applyFill="1" applyBorder="1" applyAlignment="1">
      <alignment horizontal="center"/>
    </xf>
    <xf numFmtId="170" fontId="23" fillId="0" borderId="0" xfId="20" quotePrefix="1" applyFont="1" applyBorder="1" applyAlignment="1">
      <alignment horizontal="left"/>
    </xf>
    <xf numFmtId="1" fontId="8" fillId="0" borderId="0" xfId="20" applyNumberFormat="1" applyFont="1" applyBorder="1"/>
    <xf numFmtId="0" fontId="8" fillId="0" borderId="0" xfId="0" quotePrefix="1" applyFont="1" applyBorder="1" applyAlignment="1">
      <alignment horizontal="right"/>
    </xf>
    <xf numFmtId="0" fontId="26" fillId="0" borderId="0" xfId="66" applyFont="1" applyAlignment="1">
      <alignment horizontal="left"/>
    </xf>
    <xf numFmtId="0" fontId="8" fillId="0" borderId="0" xfId="68" applyFont="1"/>
    <xf numFmtId="175" fontId="8" fillId="0" borderId="0" xfId="68" applyNumberFormat="1" applyFont="1"/>
    <xf numFmtId="167" fontId="44" fillId="0" borderId="0" xfId="19" applyNumberFormat="1" applyFont="1"/>
    <xf numFmtId="170" fontId="8" fillId="0" borderId="0" xfId="68" applyNumberFormat="1" applyFont="1"/>
    <xf numFmtId="0" fontId="8" fillId="0" borderId="0" xfId="66" quotePrefix="1" applyFont="1" applyAlignment="1">
      <alignment horizontal="left"/>
    </xf>
    <xf numFmtId="0" fontId="8" fillId="0" borderId="0" xfId="66" applyFont="1" applyAlignment="1">
      <alignment horizontal="left"/>
    </xf>
    <xf numFmtId="166" fontId="44" fillId="0" borderId="0" xfId="70" applyNumberFormat="1" applyFont="1"/>
    <xf numFmtId="176" fontId="8" fillId="0" borderId="0" xfId="70" applyNumberFormat="1" applyFont="1"/>
    <xf numFmtId="176" fontId="14" fillId="0" borderId="0" xfId="70" applyNumberFormat="1" applyFont="1"/>
    <xf numFmtId="173" fontId="8" fillId="0" borderId="0" xfId="68" applyNumberFormat="1" applyFont="1"/>
    <xf numFmtId="177" fontId="14" fillId="0" borderId="0" xfId="20" applyNumberFormat="1" applyFont="1" applyAlignment="1"/>
    <xf numFmtId="173" fontId="14" fillId="0" borderId="0" xfId="68" applyNumberFormat="1" applyFont="1"/>
    <xf numFmtId="168" fontId="14" fillId="0" borderId="0" xfId="19" applyNumberFormat="1" applyFont="1" applyBorder="1"/>
    <xf numFmtId="166" fontId="8" fillId="0" borderId="0" xfId="71" applyNumberFormat="1" applyFont="1"/>
    <xf numFmtId="173" fontId="8" fillId="0" borderId="0" xfId="20" applyNumberFormat="1" applyFont="1" applyBorder="1"/>
    <xf numFmtId="170" fontId="14" fillId="0" borderId="0" xfId="20" applyNumberFormat="1" applyFont="1"/>
    <xf numFmtId="1" fontId="28" fillId="0" borderId="0" xfId="20" applyNumberFormat="1" applyFont="1" applyBorder="1"/>
    <xf numFmtId="170" fontId="8" fillId="0" borderId="0" xfId="20" applyNumberFormat="1" applyFont="1"/>
    <xf numFmtId="168" fontId="14" fillId="0" borderId="0" xfId="0" applyNumberFormat="1" applyFont="1"/>
    <xf numFmtId="170" fontId="8" fillId="0" borderId="0" xfId="0" applyNumberFormat="1" applyFont="1"/>
    <xf numFmtId="0" fontId="26" fillId="0" borderId="0" xfId="66" applyFont="1"/>
    <xf numFmtId="175" fontId="8" fillId="0" borderId="0" xfId="20" applyNumberFormat="1" applyFont="1"/>
    <xf numFmtId="175" fontId="14" fillId="0" borderId="0" xfId="20" applyNumberFormat="1" applyFont="1"/>
    <xf numFmtId="175" fontId="28" fillId="0" borderId="0" xfId="20" applyNumberFormat="1" applyFont="1"/>
    <xf numFmtId="171" fontId="28" fillId="0" borderId="0" xfId="19" applyNumberFormat="1" applyFont="1"/>
    <xf numFmtId="38" fontId="28" fillId="0" borderId="0" xfId="19" applyNumberFormat="1" applyFont="1"/>
    <xf numFmtId="37" fontId="14" fillId="0" borderId="0" xfId="19" applyNumberFormat="1" applyFont="1"/>
    <xf numFmtId="171" fontId="34" fillId="0" borderId="0" xfId="19" applyNumberFormat="1" applyFont="1" applyFill="1"/>
    <xf numFmtId="171" fontId="14" fillId="0" borderId="0" xfId="19" applyNumberFormat="1" applyFont="1"/>
    <xf numFmtId="180" fontId="14" fillId="0" borderId="0" xfId="31" applyNumberFormat="1" applyFont="1"/>
    <xf numFmtId="180" fontId="8" fillId="0" borderId="0" xfId="31" applyNumberFormat="1" applyFont="1"/>
    <xf numFmtId="171" fontId="27" fillId="0" borderId="2" xfId="19" applyNumberFormat="1" applyFont="1" applyFill="1" applyBorder="1"/>
    <xf numFmtId="171" fontId="14" fillId="0" borderId="2" xfId="19" applyNumberFormat="1" applyFont="1" applyFill="1" applyBorder="1"/>
    <xf numFmtId="171" fontId="8" fillId="0" borderId="0" xfId="70" applyNumberFormat="1" applyFont="1" applyFill="1"/>
    <xf numFmtId="171" fontId="8" fillId="0" borderId="0" xfId="70" applyNumberFormat="1" applyFont="1"/>
    <xf numFmtId="167" fontId="34" fillId="0" borderId="0" xfId="19" applyNumberFormat="1" applyFont="1"/>
    <xf numFmtId="0" fontId="15" fillId="0" borderId="0" xfId="0" applyFont="1" applyAlignment="1">
      <alignment horizontal="center"/>
    </xf>
    <xf numFmtId="0" fontId="15" fillId="0" borderId="2" xfId="0" applyFont="1" applyBorder="1" applyAlignment="1">
      <alignment horizontal="center"/>
    </xf>
    <xf numFmtId="0" fontId="8" fillId="0" borderId="5" xfId="0" applyFont="1" applyBorder="1" applyAlignment="1">
      <alignment horizontal="right"/>
    </xf>
    <xf numFmtId="0" fontId="38" fillId="0" borderId="0" xfId="0" applyFont="1" applyBorder="1" applyAlignment="1">
      <alignment horizontal="left"/>
    </xf>
    <xf numFmtId="0" fontId="14" fillId="0" borderId="0" xfId="19" applyNumberFormat="1" applyFont="1" applyBorder="1" applyAlignment="1">
      <alignment horizontal="center"/>
    </xf>
    <xf numFmtId="173" fontId="14" fillId="0" borderId="0" xfId="19" applyNumberFormat="1" applyFont="1" applyBorder="1" applyAlignment="1">
      <alignment horizontal="center"/>
    </xf>
    <xf numFmtId="171" fontId="8" fillId="0" borderId="0" xfId="19" applyNumberFormat="1" applyFont="1" applyBorder="1" applyAlignment="1">
      <alignment horizontal="center"/>
    </xf>
    <xf numFmtId="0" fontId="14" fillId="0" borderId="0" xfId="0" applyFont="1" applyAlignment="1">
      <alignment horizontal="right"/>
    </xf>
    <xf numFmtId="190" fontId="8" fillId="0" borderId="0" xfId="0" applyNumberFormat="1" applyFont="1" applyBorder="1" applyAlignment="1">
      <alignment horizontal="center"/>
    </xf>
    <xf numFmtId="0" fontId="14" fillId="0" borderId="0" xfId="19" applyNumberFormat="1" applyFont="1" applyFill="1" applyBorder="1" applyAlignment="1">
      <alignment horizontal="right"/>
    </xf>
    <xf numFmtId="0" fontId="14" fillId="0" borderId="0" xfId="19" applyNumberFormat="1" applyFont="1" applyBorder="1" applyAlignment="1">
      <alignment horizontal="right"/>
    </xf>
    <xf numFmtId="190" fontId="8" fillId="0" borderId="0" xfId="0" applyNumberFormat="1" applyFont="1" applyFill="1" applyBorder="1" applyAlignment="1">
      <alignment horizontal="center"/>
    </xf>
    <xf numFmtId="0" fontId="14" fillId="0" borderId="0" xfId="0" applyFont="1" applyFill="1" applyAlignment="1">
      <alignment horizontal="right"/>
    </xf>
    <xf numFmtId="0" fontId="14" fillId="0" borderId="0" xfId="19" applyNumberFormat="1" applyFont="1" applyFill="1" applyBorder="1" applyAlignment="1">
      <alignment horizontal="center"/>
    </xf>
    <xf numFmtId="171" fontId="14" fillId="0" borderId="0" xfId="19" applyNumberFormat="1" applyFont="1" applyAlignment="1">
      <alignment horizontal="right"/>
    </xf>
    <xf numFmtId="171" fontId="14" fillId="0" borderId="0" xfId="19" applyNumberFormat="1" applyFont="1" applyBorder="1" applyAlignment="1">
      <alignment horizontal="center"/>
    </xf>
    <xf numFmtId="171" fontId="14" fillId="0" borderId="0" xfId="19" applyNumberFormat="1" applyFont="1" applyFill="1" applyBorder="1" applyAlignment="1">
      <alignment horizontal="center"/>
    </xf>
    <xf numFmtId="165" fontId="8" fillId="0" borderId="0" xfId="0" applyNumberFormat="1" applyFont="1" applyFill="1" applyBorder="1" applyAlignment="1">
      <alignment horizontal="center"/>
    </xf>
    <xf numFmtId="173" fontId="14" fillId="0" borderId="0" xfId="0" applyNumberFormat="1" applyFont="1" applyFill="1" applyBorder="1" applyAlignment="1">
      <alignment horizontal="center"/>
    </xf>
    <xf numFmtId="0" fontId="15" fillId="0" borderId="0" xfId="0" applyFont="1" applyBorder="1" applyAlignment="1">
      <alignment horizontal="left"/>
    </xf>
    <xf numFmtId="0" fontId="15" fillId="0" borderId="0" xfId="19" applyNumberFormat="1" applyFont="1" applyBorder="1" applyAlignment="1">
      <alignment horizontal="center"/>
    </xf>
    <xf numFmtId="0" fontId="31" fillId="0" borderId="0" xfId="19" applyNumberFormat="1" applyFont="1" applyBorder="1" applyAlignment="1">
      <alignment horizontal="center"/>
    </xf>
    <xf numFmtId="0" fontId="26" fillId="0" borderId="0" xfId="0" applyFont="1" applyBorder="1"/>
    <xf numFmtId="49" fontId="8" fillId="0" borderId="0" xfId="0" applyNumberFormat="1" applyFont="1" applyFill="1" applyBorder="1"/>
    <xf numFmtId="0" fontId="14" fillId="0" borderId="0" xfId="0" applyFont="1" applyBorder="1" applyAlignment="1">
      <alignment horizontal="center"/>
    </xf>
    <xf numFmtId="165" fontId="8" fillId="0" borderId="0" xfId="0" applyNumberFormat="1" applyFont="1" applyBorder="1" applyAlignment="1">
      <alignment horizontal="center"/>
    </xf>
    <xf numFmtId="173" fontId="14" fillId="0" borderId="0" xfId="19" applyNumberFormat="1" applyFont="1" applyFill="1" applyBorder="1" applyAlignment="1">
      <alignment horizontal="center"/>
    </xf>
    <xf numFmtId="173" fontId="14" fillId="0" borderId="0" xfId="0" applyNumberFormat="1" applyFont="1" applyBorder="1" applyAlignment="1">
      <alignment horizontal="center"/>
    </xf>
    <xf numFmtId="167" fontId="33" fillId="0" borderId="0" xfId="19" applyNumberFormat="1" applyFont="1" applyFill="1"/>
    <xf numFmtId="173" fontId="14" fillId="0" borderId="0" xfId="0" applyNumberFormat="1" applyFont="1" applyAlignment="1">
      <alignment horizontal="center"/>
    </xf>
    <xf numFmtId="0" fontId="14" fillId="0" borderId="0" xfId="19" applyNumberFormat="1" applyFont="1" applyAlignment="1">
      <alignment horizontal="center"/>
    </xf>
    <xf numFmtId="173" fontId="8" fillId="0" borderId="0" xfId="0" applyNumberFormat="1" applyFont="1" applyBorder="1" applyAlignment="1">
      <alignment horizontal="center"/>
    </xf>
    <xf numFmtId="173" fontId="8" fillId="0" borderId="0" xfId="0" applyNumberFormat="1" applyFont="1" applyAlignment="1">
      <alignment horizontal="center"/>
    </xf>
    <xf numFmtId="38" fontId="8" fillId="0" borderId="0" xfId="0" applyNumberFormat="1" applyFont="1" applyAlignment="1">
      <alignment horizontal="center"/>
    </xf>
    <xf numFmtId="38" fontId="8" fillId="0" borderId="0" xfId="0" applyNumberFormat="1" applyFont="1" applyAlignment="1">
      <alignment horizontal="right"/>
    </xf>
    <xf numFmtId="9" fontId="8" fillId="0" borderId="0" xfId="70" applyFont="1" applyAlignment="1">
      <alignment horizontal="center"/>
    </xf>
    <xf numFmtId="173" fontId="8" fillId="0" borderId="0" xfId="0" applyNumberFormat="1" applyFont="1" applyAlignment="1">
      <alignment horizontal="right"/>
    </xf>
    <xf numFmtId="0" fontId="15" fillId="0" borderId="6" xfId="0" applyFont="1" applyBorder="1"/>
    <xf numFmtId="0" fontId="8" fillId="0" borderId="6" xfId="0" applyFont="1" applyBorder="1"/>
    <xf numFmtId="190" fontId="8" fillId="0" borderId="6" xfId="0" applyNumberFormat="1" applyFont="1" applyBorder="1" applyAlignment="1">
      <alignment horizontal="center"/>
    </xf>
    <xf numFmtId="165" fontId="8" fillId="0" borderId="6" xfId="0" applyNumberFormat="1" applyFont="1" applyFill="1" applyBorder="1" applyAlignment="1">
      <alignment horizontal="center"/>
    </xf>
    <xf numFmtId="173" fontId="8" fillId="0" borderId="6" xfId="0" applyNumberFormat="1" applyFont="1" applyBorder="1" applyAlignment="1">
      <alignment horizontal="center"/>
    </xf>
    <xf numFmtId="38" fontId="8" fillId="0" borderId="6" xfId="0" applyNumberFormat="1" applyFont="1" applyBorder="1" applyAlignment="1">
      <alignment horizontal="center"/>
    </xf>
    <xf numFmtId="38" fontId="8" fillId="0" borderId="6" xfId="0" applyNumberFormat="1" applyFont="1" applyBorder="1" applyAlignment="1">
      <alignment horizontal="right"/>
    </xf>
    <xf numFmtId="0" fontId="8" fillId="0" borderId="6" xfId="0" applyFont="1" applyBorder="1" applyAlignment="1">
      <alignment horizontal="center"/>
    </xf>
    <xf numFmtId="9" fontId="8" fillId="0" borderId="6" xfId="70" applyFont="1" applyBorder="1" applyAlignment="1">
      <alignment horizontal="center"/>
    </xf>
    <xf numFmtId="0" fontId="8" fillId="0" borderId="6" xfId="0" applyFont="1" applyBorder="1" applyAlignment="1">
      <alignment horizontal="right"/>
    </xf>
    <xf numFmtId="173" fontId="8" fillId="0" borderId="6" xfId="0" applyNumberFormat="1" applyFont="1" applyBorder="1" applyAlignment="1">
      <alignment horizontal="right"/>
    </xf>
    <xf numFmtId="171" fontId="8" fillId="0" borderId="6" xfId="19" applyNumberFormat="1" applyFont="1" applyBorder="1"/>
    <xf numFmtId="171" fontId="8" fillId="0" borderId="6" xfId="70" applyNumberFormat="1" applyFont="1" applyBorder="1"/>
    <xf numFmtId="167" fontId="8" fillId="0" borderId="6" xfId="70" applyNumberFormat="1" applyFont="1" applyBorder="1"/>
    <xf numFmtId="171" fontId="14" fillId="0" borderId="0" xfId="0" applyNumberFormat="1" applyFont="1"/>
    <xf numFmtId="0" fontId="7" fillId="0" borderId="0" xfId="0" applyFont="1" applyAlignment="1">
      <alignment horizontal="left"/>
    </xf>
    <xf numFmtId="0" fontId="8" fillId="0" borderId="2" xfId="0" applyFont="1" applyBorder="1" applyAlignment="1"/>
    <xf numFmtId="0" fontId="8" fillId="0" borderId="2" xfId="0" quotePrefix="1" applyFont="1" applyBorder="1" applyAlignment="1">
      <alignment horizontal="center"/>
    </xf>
    <xf numFmtId="0" fontId="35" fillId="0" borderId="0" xfId="0" applyFont="1" applyAlignment="1">
      <alignment horizontal="left"/>
    </xf>
    <xf numFmtId="0" fontId="8" fillId="0" borderId="0" xfId="0" quotePrefix="1" applyFont="1" applyAlignment="1">
      <alignment horizontal="center"/>
    </xf>
    <xf numFmtId="190" fontId="14" fillId="0" borderId="0" xfId="0" applyNumberFormat="1" applyFont="1" applyBorder="1" applyAlignment="1">
      <alignment horizontal="center"/>
    </xf>
    <xf numFmtId="0" fontId="8" fillId="0" borderId="0" xfId="0" quotePrefix="1" applyFont="1" applyFill="1" applyAlignment="1">
      <alignment horizontal="center"/>
    </xf>
    <xf numFmtId="43" fontId="26" fillId="0" borderId="0" xfId="0" applyNumberFormat="1" applyFont="1"/>
    <xf numFmtId="190" fontId="14" fillId="0" borderId="2" xfId="0" applyNumberFormat="1" applyFont="1" applyBorder="1" applyAlignment="1">
      <alignment horizontal="center"/>
    </xf>
    <xf numFmtId="0" fontId="15" fillId="0" borderId="0" xfId="0" applyFont="1" applyFill="1" applyAlignment="1">
      <alignment horizontal="center"/>
    </xf>
    <xf numFmtId="0" fontId="35" fillId="0" borderId="0" xfId="0" applyFont="1" applyFill="1" applyAlignment="1">
      <alignment horizontal="left"/>
    </xf>
    <xf numFmtId="0" fontId="8" fillId="0" borderId="0" xfId="0" quotePrefix="1" applyFont="1" applyFill="1" applyBorder="1" applyAlignment="1">
      <alignment horizontal="center"/>
    </xf>
    <xf numFmtId="0" fontId="8" fillId="0" borderId="6" xfId="0" applyFont="1" applyFill="1" applyBorder="1"/>
    <xf numFmtId="171" fontId="8" fillId="0" borderId="6" xfId="0" applyNumberFormat="1" applyFont="1" applyFill="1" applyBorder="1"/>
    <xf numFmtId="0" fontId="7" fillId="0" borderId="0" xfId="0" applyFont="1" applyBorder="1"/>
    <xf numFmtId="0" fontId="8" fillId="0" borderId="0" xfId="0" quotePrefix="1" applyFont="1" applyBorder="1" applyAlignment="1">
      <alignment horizontal="center"/>
    </xf>
    <xf numFmtId="190" fontId="14" fillId="0" borderId="0" xfId="0" applyNumberFormat="1" applyFont="1" applyFill="1" applyBorder="1" applyAlignment="1">
      <alignment horizontal="center"/>
    </xf>
    <xf numFmtId="190" fontId="27" fillId="0" borderId="0" xfId="0" applyNumberFormat="1" applyFont="1" applyFill="1" applyBorder="1" applyAlignment="1">
      <alignment horizontal="center"/>
    </xf>
    <xf numFmtId="171" fontId="8" fillId="0" borderId="0" xfId="19" applyNumberFormat="1" applyFont="1" applyFill="1" applyBorder="1" applyAlignment="1">
      <alignment horizontal="center"/>
    </xf>
    <xf numFmtId="167" fontId="8" fillId="0" borderId="0" xfId="19" applyNumberFormat="1" applyFont="1" applyFill="1" applyBorder="1" applyAlignment="1">
      <alignment horizontal="center"/>
    </xf>
    <xf numFmtId="167" fontId="8" fillId="0" borderId="0" xfId="19" applyNumberFormat="1" applyFont="1" applyBorder="1" applyAlignment="1">
      <alignment horizontal="center"/>
    </xf>
    <xf numFmtId="190" fontId="30" fillId="0" borderId="0" xfId="0" applyNumberFormat="1" applyFont="1" applyBorder="1" applyAlignment="1">
      <alignment horizontal="center"/>
    </xf>
    <xf numFmtId="0" fontId="14" fillId="0" borderId="2" xfId="0" applyFont="1" applyBorder="1" applyAlignment="1">
      <alignment horizontal="center"/>
    </xf>
    <xf numFmtId="171" fontId="8" fillId="0" borderId="2" xfId="19" applyNumberFormat="1" applyFont="1" applyBorder="1" applyAlignment="1">
      <alignment horizontal="center"/>
    </xf>
    <xf numFmtId="167" fontId="8" fillId="0" borderId="2" xfId="19" applyNumberFormat="1" applyFont="1" applyBorder="1" applyAlignment="1">
      <alignment horizontal="center"/>
    </xf>
    <xf numFmtId="190" fontId="26" fillId="0" borderId="0" xfId="0" applyNumberFormat="1" applyFont="1" applyBorder="1" applyAlignment="1">
      <alignment horizontal="center"/>
    </xf>
    <xf numFmtId="171" fontId="8" fillId="0" borderId="0" xfId="19" applyNumberFormat="1" applyFont="1" applyBorder="1" applyAlignment="1"/>
    <xf numFmtId="0" fontId="14" fillId="0" borderId="6" xfId="0" applyFont="1" applyBorder="1"/>
    <xf numFmtId="190" fontId="14" fillId="0" borderId="6" xfId="0" applyNumberFormat="1" applyFont="1" applyBorder="1" applyAlignment="1">
      <alignment horizontal="center"/>
    </xf>
    <xf numFmtId="171" fontId="8" fillId="0" borderId="6" xfId="19" applyNumberFormat="1" applyFont="1" applyBorder="1" applyAlignment="1">
      <alignment horizontal="center"/>
    </xf>
    <xf numFmtId="0" fontId="14" fillId="0" borderId="0" xfId="0" applyFont="1" applyBorder="1"/>
    <xf numFmtId="9" fontId="8" fillId="0" borderId="0" xfId="70" applyFont="1" applyBorder="1" applyAlignment="1">
      <alignment horizontal="center"/>
    </xf>
    <xf numFmtId="10" fontId="8" fillId="0" borderId="0" xfId="70" applyNumberFormat="1" applyFont="1" applyBorder="1" applyAlignment="1">
      <alignment horizontal="center"/>
    </xf>
    <xf numFmtId="167" fontId="26" fillId="0" borderId="0" xfId="0" applyNumberFormat="1" applyFont="1"/>
    <xf numFmtId="0" fontId="15" fillId="0" borderId="0" xfId="0" applyFont="1" applyBorder="1" applyAlignment="1">
      <alignment horizontal="centerContinuous"/>
    </xf>
    <xf numFmtId="1" fontId="15" fillId="0" borderId="0" xfId="0" applyNumberFormat="1" applyFont="1" applyBorder="1" applyAlignment="1">
      <alignment horizontal="right"/>
    </xf>
    <xf numFmtId="0" fontId="8" fillId="0" borderId="0" xfId="0" applyFont="1" applyBorder="1" applyAlignment="1">
      <alignment horizontal="left"/>
    </xf>
    <xf numFmtId="0" fontId="35" fillId="0" borderId="0" xfId="0" applyFont="1"/>
    <xf numFmtId="49" fontId="15" fillId="0" borderId="0" xfId="0" applyNumberFormat="1" applyFont="1" applyAlignment="1">
      <alignment horizontal="left"/>
    </xf>
    <xf numFmtId="9" fontId="15" fillId="0" borderId="0" xfId="70" applyFont="1"/>
    <xf numFmtId="49" fontId="23" fillId="0" borderId="8" xfId="0" quotePrefix="1" applyNumberFormat="1" applyFont="1" applyBorder="1" applyAlignment="1">
      <alignment horizontal="left"/>
    </xf>
    <xf numFmtId="9" fontId="8" fillId="0" borderId="8" xfId="70" applyFont="1" applyBorder="1"/>
    <xf numFmtId="0" fontId="8" fillId="0" borderId="2" xfId="64" applyFont="1" applyBorder="1" applyAlignment="1">
      <alignment horizontal="centerContinuous"/>
    </xf>
    <xf numFmtId="43" fontId="8" fillId="0" borderId="0" xfId="19" applyFont="1" applyBorder="1" applyAlignment="1">
      <alignment horizontal="centerContinuous"/>
    </xf>
    <xf numFmtId="1" fontId="8" fillId="0" borderId="2" xfId="19" applyNumberFormat="1" applyFont="1" applyBorder="1"/>
    <xf numFmtId="0" fontId="8" fillId="0" borderId="2" xfId="64" quotePrefix="1" applyFont="1" applyBorder="1" applyAlignment="1" applyProtection="1">
      <alignment horizontal="right"/>
    </xf>
    <xf numFmtId="0" fontId="8" fillId="0" borderId="2" xfId="64" applyFont="1" applyBorder="1" applyAlignment="1" applyProtection="1">
      <alignment horizontal="right"/>
    </xf>
    <xf numFmtId="43" fontId="8" fillId="0" borderId="0" xfId="19" quotePrefix="1" applyFont="1" applyBorder="1" applyAlignment="1" applyProtection="1">
      <alignment horizontal="right"/>
    </xf>
    <xf numFmtId="0" fontId="8" fillId="0" borderId="2" xfId="64" quotePrefix="1" applyFont="1" applyFill="1" applyBorder="1" applyAlignment="1" applyProtection="1">
      <alignment horizontal="right"/>
    </xf>
    <xf numFmtId="167" fontId="8" fillId="0" borderId="0" xfId="0" applyNumberFormat="1" applyFont="1" applyBorder="1" applyAlignment="1">
      <alignment horizontal="right"/>
    </xf>
    <xf numFmtId="167" fontId="33" fillId="0" borderId="0" xfId="19" applyNumberFormat="1" applyFont="1"/>
    <xf numFmtId="167" fontId="14" fillId="0" borderId="0" xfId="0" applyNumberFormat="1" applyFont="1"/>
    <xf numFmtId="43" fontId="33" fillId="0" borderId="0" xfId="19" applyFont="1"/>
    <xf numFmtId="43" fontId="33" fillId="0" borderId="0" xfId="19" applyFont="1" applyFill="1"/>
    <xf numFmtId="43" fontId="14" fillId="0" borderId="0" xfId="19" applyFont="1"/>
    <xf numFmtId="43" fontId="14" fillId="0" borderId="0" xfId="0" applyNumberFormat="1" applyFont="1"/>
    <xf numFmtId="7" fontId="8" fillId="0" borderId="0" xfId="0" applyNumberFormat="1" applyFont="1" applyFill="1"/>
    <xf numFmtId="168" fontId="8" fillId="0" borderId="0" xfId="32" applyNumberFormat="1" applyFont="1" applyAlignment="1"/>
    <xf numFmtId="168" fontId="30" fillId="0" borderId="0" xfId="32" applyNumberFormat="1" applyFont="1" applyAlignment="1"/>
    <xf numFmtId="167" fontId="25" fillId="0" borderId="0" xfId="19" applyNumberFormat="1" applyFont="1"/>
    <xf numFmtId="168" fontId="8" fillId="0" borderId="0" xfId="0" applyNumberFormat="1" applyFont="1" applyFill="1"/>
    <xf numFmtId="167" fontId="14" fillId="0" borderId="0" xfId="70" applyNumberFormat="1" applyFont="1"/>
    <xf numFmtId="167" fontId="8" fillId="0" borderId="0" xfId="70" applyNumberFormat="1" applyFont="1"/>
    <xf numFmtId="168" fontId="27" fillId="0" borderId="0" xfId="0" applyNumberFormat="1" applyFont="1"/>
    <xf numFmtId="173" fontId="26" fillId="0" borderId="0" xfId="0" applyNumberFormat="1" applyFont="1"/>
    <xf numFmtId="167" fontId="37" fillId="0" borderId="0" xfId="19" applyNumberFormat="1" applyFont="1"/>
    <xf numFmtId="168" fontId="27" fillId="0" borderId="2" xfId="0" applyNumberFormat="1" applyFont="1" applyBorder="1"/>
    <xf numFmtId="168" fontId="14" fillId="0" borderId="0" xfId="20" applyNumberFormat="1" applyFont="1"/>
    <xf numFmtId="167" fontId="27" fillId="0" borderId="0" xfId="0" applyNumberFormat="1" applyFont="1" applyFill="1"/>
    <xf numFmtId="166" fontId="33" fillId="0" borderId="0" xfId="70" applyNumberFormat="1" applyFont="1"/>
    <xf numFmtId="1" fontId="8" fillId="0" borderId="0" xfId="19" applyNumberFormat="1" applyFont="1" applyBorder="1" applyAlignment="1">
      <alignment horizontal="right"/>
    </xf>
    <xf numFmtId="166" fontId="33" fillId="0" borderId="0" xfId="19" applyNumberFormat="1" applyFont="1"/>
    <xf numFmtId="49" fontId="23" fillId="0" borderId="0" xfId="0" applyNumberFormat="1" applyFont="1"/>
    <xf numFmtId="49" fontId="15" fillId="0" borderId="0" xfId="0" applyNumberFormat="1" applyFont="1"/>
    <xf numFmtId="49" fontId="8" fillId="0" borderId="0" xfId="0" applyNumberFormat="1" applyFont="1" applyBorder="1"/>
    <xf numFmtId="167" fontId="27" fillId="0" borderId="0" xfId="0" applyNumberFormat="1" applyFont="1"/>
    <xf numFmtId="43" fontId="8" fillId="0" borderId="0" xfId="19" applyNumberFormat="1" applyFont="1" applyFill="1"/>
    <xf numFmtId="167" fontId="27" fillId="0" borderId="2" xfId="19" applyNumberFormat="1" applyFont="1" applyBorder="1"/>
    <xf numFmtId="170" fontId="8" fillId="0" borderId="0" xfId="20" applyFont="1" applyFill="1"/>
    <xf numFmtId="0" fontId="15" fillId="0" borderId="2" xfId="0" applyFont="1" applyBorder="1" applyAlignment="1">
      <alignment horizontal="left"/>
    </xf>
    <xf numFmtId="0" fontId="2" fillId="0" borderId="0" xfId="0" applyFont="1"/>
    <xf numFmtId="166" fontId="8" fillId="0" borderId="0" xfId="70" quotePrefix="1" applyNumberFormat="1" applyFont="1" applyFill="1" applyAlignment="1">
      <alignment horizontal="right"/>
    </xf>
    <xf numFmtId="179" fontId="14" fillId="0" borderId="0" xfId="0" applyNumberFormat="1" applyFont="1" applyFill="1" applyProtection="1"/>
    <xf numFmtId="1" fontId="15" fillId="0" borderId="0" xfId="19" applyNumberFormat="1" applyFont="1"/>
    <xf numFmtId="0" fontId="23" fillId="0" borderId="2" xfId="63" applyFont="1" applyFill="1" applyBorder="1"/>
    <xf numFmtId="10" fontId="14" fillId="0" borderId="0" xfId="0" applyNumberFormat="1" applyFont="1" applyBorder="1" applyAlignment="1">
      <alignment horizontal="right"/>
    </xf>
    <xf numFmtId="10" fontId="28" fillId="0" borderId="0" xfId="70" applyNumberFormat="1" applyFont="1" applyFill="1"/>
    <xf numFmtId="49" fontId="8" fillId="0" borderId="0" xfId="19" applyNumberFormat="1" applyFont="1" applyFill="1" applyAlignment="1">
      <alignment horizontal="left"/>
    </xf>
    <xf numFmtId="49" fontId="8" fillId="0" borderId="0" xfId="19" quotePrefix="1" applyNumberFormat="1" applyFont="1" applyFill="1" applyAlignment="1">
      <alignment horizontal="left"/>
    </xf>
    <xf numFmtId="49" fontId="8" fillId="0" borderId="0" xfId="0" quotePrefix="1" applyNumberFormat="1" applyFont="1" applyFill="1" applyAlignment="1">
      <alignment horizontal="left"/>
    </xf>
    <xf numFmtId="182" fontId="15" fillId="0" borderId="5" xfId="0" applyNumberFormat="1" applyFont="1" applyBorder="1"/>
    <xf numFmtId="182" fontId="8" fillId="0" borderId="5" xfId="0" applyNumberFormat="1" applyFont="1" applyBorder="1"/>
    <xf numFmtId="182" fontId="8" fillId="0" borderId="5" xfId="0" applyNumberFormat="1" applyFont="1" applyBorder="1" applyAlignment="1">
      <alignment horizontal="center"/>
    </xf>
    <xf numFmtId="0" fontId="16" fillId="0" borderId="5" xfId="0" applyFont="1" applyBorder="1"/>
    <xf numFmtId="1" fontId="8" fillId="0" borderId="0" xfId="19" quotePrefix="1" applyNumberFormat="1" applyFont="1" applyFill="1" applyBorder="1" applyAlignment="1">
      <alignment horizontal="right"/>
    </xf>
    <xf numFmtId="173" fontId="30" fillId="0" borderId="0" xfId="70" applyNumberFormat="1" applyFont="1" applyFill="1" applyAlignment="1">
      <alignment horizontal="right"/>
    </xf>
    <xf numFmtId="173" fontId="33" fillId="0" borderId="0" xfId="19" applyNumberFormat="1" applyFont="1" applyFill="1"/>
    <xf numFmtId="173" fontId="8" fillId="0" borderId="0" xfId="19" applyNumberFormat="1" applyFont="1" applyFill="1"/>
    <xf numFmtId="175" fontId="8" fillId="0" borderId="0" xfId="68" applyNumberFormat="1" applyFont="1" applyFill="1"/>
    <xf numFmtId="176" fontId="14" fillId="0" borderId="0" xfId="70" applyNumberFormat="1" applyFont="1" applyFill="1"/>
    <xf numFmtId="173" fontId="8" fillId="0" borderId="0" xfId="68" applyNumberFormat="1" applyFont="1" applyFill="1"/>
    <xf numFmtId="166" fontId="8" fillId="0" borderId="0" xfId="71" applyNumberFormat="1" applyFont="1" applyFill="1"/>
    <xf numFmtId="170" fontId="14" fillId="0" borderId="0" xfId="20" applyNumberFormat="1" applyFont="1" applyFill="1"/>
    <xf numFmtId="170" fontId="8" fillId="0" borderId="0" xfId="20" applyNumberFormat="1" applyFont="1" applyFill="1"/>
    <xf numFmtId="191" fontId="8" fillId="0" borderId="0" xfId="0" applyNumberFormat="1" applyFont="1" applyFill="1"/>
    <xf numFmtId="0" fontId="8" fillId="0" borderId="0" xfId="61" applyFont="1"/>
    <xf numFmtId="169" fontId="15" fillId="0" borderId="0" xfId="32" applyFont="1" applyFill="1"/>
    <xf numFmtId="0" fontId="8" fillId="0" borderId="0" xfId="58" applyFont="1"/>
    <xf numFmtId="0" fontId="20" fillId="0" borderId="0" xfId="58" quotePrefix="1" applyFont="1" applyBorder="1" applyAlignment="1">
      <alignment horizontal="left"/>
    </xf>
    <xf numFmtId="0" fontId="8" fillId="0" borderId="0" xfId="58" applyFont="1" applyBorder="1"/>
    <xf numFmtId="0" fontId="23" fillId="0" borderId="4" xfId="58" quotePrefix="1" applyFont="1" applyBorder="1" applyAlignment="1">
      <alignment horizontal="left"/>
    </xf>
    <xf numFmtId="0" fontId="8" fillId="0" borderId="4" xfId="58" applyFont="1" applyBorder="1"/>
    <xf numFmtId="0" fontId="8" fillId="0" borderId="0" xfId="58" applyFont="1" applyFill="1"/>
    <xf numFmtId="203" fontId="15" fillId="0" borderId="0" xfId="0" applyNumberFormat="1" applyFont="1"/>
    <xf numFmtId="0" fontId="8" fillId="0" borderId="0" xfId="58" applyFont="1" applyFill="1" applyBorder="1"/>
    <xf numFmtId="0" fontId="46" fillId="0" borderId="0" xfId="58" applyFont="1" applyFill="1" applyBorder="1"/>
    <xf numFmtId="0" fontId="8" fillId="0" borderId="0" xfId="58" quotePrefix="1" applyFont="1" applyFill="1" applyAlignment="1">
      <alignment horizontal="left"/>
    </xf>
    <xf numFmtId="169" fontId="8" fillId="0" borderId="0" xfId="58" applyNumberFormat="1" applyFont="1" applyFill="1"/>
    <xf numFmtId="0" fontId="8" fillId="0" borderId="0" xfId="58" applyFont="1" applyFill="1" applyAlignment="1">
      <alignment horizontal="left"/>
    </xf>
    <xf numFmtId="170" fontId="8" fillId="0" borderId="0" xfId="58" applyNumberFormat="1" applyFont="1" applyFill="1"/>
    <xf numFmtId="170" fontId="8" fillId="0" borderId="0" xfId="58" applyNumberFormat="1" applyFont="1" applyFill="1" applyBorder="1"/>
    <xf numFmtId="170" fontId="8" fillId="0" borderId="2" xfId="58" applyNumberFormat="1" applyFont="1" applyFill="1" applyBorder="1"/>
    <xf numFmtId="0" fontId="15" fillId="0" borderId="0" xfId="58" applyFont="1" applyFill="1"/>
    <xf numFmtId="0" fontId="23" fillId="0" borderId="0" xfId="58" applyFont="1" applyFill="1"/>
    <xf numFmtId="169" fontId="8" fillId="0" borderId="0" xfId="32" applyFont="1" applyFill="1"/>
    <xf numFmtId="0" fontId="15" fillId="0" borderId="0" xfId="58" quotePrefix="1" applyFont="1" applyFill="1" applyAlignment="1">
      <alignment horizontal="left"/>
    </xf>
    <xf numFmtId="169" fontId="15" fillId="0" borderId="0" xfId="58" applyNumberFormat="1" applyFont="1" applyFill="1"/>
    <xf numFmtId="198" fontId="8" fillId="0" borderId="0" xfId="58" applyNumberFormat="1" applyFont="1" applyFill="1" applyBorder="1"/>
    <xf numFmtId="198" fontId="8" fillId="0" borderId="2" xfId="58" applyNumberFormat="1" applyFont="1" applyFill="1" applyBorder="1"/>
    <xf numFmtId="198" fontId="8" fillId="0" borderId="0" xfId="58" applyNumberFormat="1" applyFont="1" applyFill="1"/>
    <xf numFmtId="194" fontId="15" fillId="0" borderId="0" xfId="49" applyFont="1" applyFill="1"/>
    <xf numFmtId="8" fontId="8" fillId="0" borderId="0" xfId="58" applyNumberFormat="1" applyFont="1"/>
    <xf numFmtId="0" fontId="8" fillId="0" borderId="1" xfId="58" applyFont="1" applyFill="1" applyBorder="1"/>
    <xf numFmtId="9" fontId="8" fillId="0" borderId="1" xfId="70" applyFont="1" applyFill="1" applyBorder="1"/>
    <xf numFmtId="0" fontId="8" fillId="0" borderId="11" xfId="0" applyFont="1" applyBorder="1"/>
    <xf numFmtId="204" fontId="8" fillId="0" borderId="8" xfId="0" applyNumberFormat="1" applyFont="1" applyBorder="1"/>
    <xf numFmtId="204" fontId="8" fillId="0" borderId="0" xfId="0" applyNumberFormat="1" applyFont="1" applyBorder="1"/>
    <xf numFmtId="204" fontId="8" fillId="0" borderId="2" xfId="0" applyNumberFormat="1" applyFont="1" applyBorder="1"/>
    <xf numFmtId="0" fontId="8" fillId="0" borderId="9" xfId="0" applyFont="1" applyBorder="1"/>
    <xf numFmtId="204" fontId="8" fillId="0" borderId="5" xfId="0" applyNumberFormat="1" applyFont="1" applyBorder="1"/>
    <xf numFmtId="0" fontId="8" fillId="0" borderId="7" xfId="0" applyFont="1" applyBorder="1"/>
    <xf numFmtId="170" fontId="8" fillId="0" borderId="2" xfId="22" applyNumberFormat="1" applyFont="1" applyBorder="1"/>
    <xf numFmtId="0" fontId="20" fillId="0" borderId="0" xfId="58" applyFont="1" applyAlignment="1">
      <alignment horizontal="left"/>
    </xf>
    <xf numFmtId="170" fontId="15" fillId="0" borderId="0" xfId="58" applyNumberFormat="1" applyFont="1" applyFill="1" applyBorder="1"/>
    <xf numFmtId="165" fontId="8" fillId="0" borderId="2" xfId="19" applyNumberFormat="1" applyFont="1" applyFill="1" applyBorder="1"/>
    <xf numFmtId="165" fontId="14" fillId="0" borderId="2" xfId="19" applyNumberFormat="1" applyFont="1" applyFill="1" applyBorder="1"/>
    <xf numFmtId="165" fontId="27" fillId="0" borderId="2" xfId="70" applyNumberFormat="1" applyFont="1" applyFill="1" applyBorder="1"/>
    <xf numFmtId="165" fontId="14" fillId="0" borderId="2" xfId="70" applyNumberFormat="1" applyFont="1" applyFill="1" applyBorder="1"/>
    <xf numFmtId="165" fontId="14" fillId="0" borderId="2" xfId="70" applyNumberFormat="1" applyFont="1" applyBorder="1"/>
    <xf numFmtId="165" fontId="27" fillId="0" borderId="2" xfId="70" applyNumberFormat="1" applyFont="1" applyBorder="1"/>
    <xf numFmtId="165" fontId="27" fillId="0" borderId="2" xfId="0" applyNumberFormat="1" applyFont="1" applyFill="1" applyBorder="1"/>
    <xf numFmtId="38" fontId="8" fillId="0" borderId="2" xfId="0" applyNumberFormat="1" applyFont="1" applyFill="1" applyBorder="1"/>
    <xf numFmtId="165" fontId="27" fillId="0" borderId="2" xfId="0" applyNumberFormat="1" applyFont="1" applyBorder="1"/>
    <xf numFmtId="205" fontId="8" fillId="0" borderId="0" xfId="19" applyNumberFormat="1" applyFont="1" applyFill="1"/>
    <xf numFmtId="165" fontId="8" fillId="0" borderId="2" xfId="19" applyNumberFormat="1" applyFont="1" applyFill="1" applyBorder="1" applyAlignment="1">
      <alignment horizontal="right" wrapText="1"/>
    </xf>
    <xf numFmtId="205" fontId="14" fillId="0" borderId="0" xfId="19" applyNumberFormat="1" applyFont="1" applyFill="1"/>
    <xf numFmtId="0" fontId="8" fillId="0" borderId="2" xfId="19" applyNumberFormat="1" applyFont="1" applyBorder="1"/>
    <xf numFmtId="0" fontId="14" fillId="0" borderId="2" xfId="19" applyNumberFormat="1" applyFont="1" applyBorder="1"/>
    <xf numFmtId="0" fontId="14" fillId="0" borderId="2" xfId="70" applyNumberFormat="1" applyFont="1" applyFill="1" applyBorder="1"/>
    <xf numFmtId="167" fontId="14" fillId="0" borderId="2" xfId="19" applyNumberFormat="1" applyFont="1" applyFill="1" applyBorder="1"/>
    <xf numFmtId="166" fontId="14" fillId="0" borderId="2" xfId="70" applyNumberFormat="1" applyFont="1" applyBorder="1"/>
    <xf numFmtId="38" fontId="14" fillId="0" borderId="2" xfId="0" applyNumberFormat="1" applyFont="1" applyFill="1" applyBorder="1"/>
    <xf numFmtId="38" fontId="27" fillId="0" borderId="2" xfId="0" applyNumberFormat="1" applyFont="1" applyFill="1" applyBorder="1"/>
    <xf numFmtId="38" fontId="27" fillId="0" borderId="2" xfId="0" applyNumberFormat="1" applyFont="1" applyBorder="1"/>
    <xf numFmtId="38" fontId="14" fillId="0" borderId="2" xfId="0" applyNumberFormat="1" applyFont="1" applyBorder="1"/>
    <xf numFmtId="4" fontId="8" fillId="0" borderId="0" xfId="70" applyNumberFormat="1" applyFont="1" applyFill="1"/>
    <xf numFmtId="9" fontId="8" fillId="0" borderId="0" xfId="0" applyNumberFormat="1" applyFont="1" applyFill="1"/>
    <xf numFmtId="0" fontId="21" fillId="0" borderId="0" xfId="0" applyFont="1"/>
    <xf numFmtId="178" fontId="21" fillId="0" borderId="0" xfId="0" applyNumberFormat="1" applyFont="1"/>
    <xf numFmtId="167" fontId="21" fillId="0" borderId="0" xfId="19" applyNumberFormat="1" applyFont="1"/>
    <xf numFmtId="174" fontId="14" fillId="0" borderId="6" xfId="0" applyNumberFormat="1" applyFont="1" applyFill="1" applyBorder="1"/>
    <xf numFmtId="174" fontId="8" fillId="0" borderId="6" xfId="0" applyNumberFormat="1" applyFont="1" applyFill="1" applyBorder="1"/>
    <xf numFmtId="182" fontId="16" fillId="0" borderId="0" xfId="0" applyNumberFormat="1" applyFont="1" applyFill="1"/>
    <xf numFmtId="0" fontId="3" fillId="0" borderId="0" xfId="0" applyFont="1"/>
    <xf numFmtId="174" fontId="3" fillId="0" borderId="0" xfId="0" applyNumberFormat="1" applyFont="1"/>
    <xf numFmtId="38" fontId="3" fillId="0" borderId="0" xfId="0" applyNumberFormat="1" applyFont="1"/>
    <xf numFmtId="0" fontId="3" fillId="0" borderId="0" xfId="0" applyFont="1" applyBorder="1"/>
    <xf numFmtId="174" fontId="3" fillId="0" borderId="0" xfId="0" applyNumberFormat="1" applyFont="1" applyBorder="1"/>
    <xf numFmtId="9" fontId="3" fillId="0" borderId="0" xfId="70" applyFont="1"/>
    <xf numFmtId="9" fontId="3" fillId="0" borderId="0" xfId="0" applyNumberFormat="1" applyFont="1"/>
    <xf numFmtId="174" fontId="3" fillId="0" borderId="0" xfId="0" applyNumberFormat="1" applyFont="1" applyFill="1"/>
    <xf numFmtId="8" fontId="3" fillId="0" borderId="0" xfId="0" applyNumberFormat="1" applyFont="1" applyFill="1"/>
    <xf numFmtId="178" fontId="8" fillId="0" borderId="0" xfId="0" applyNumberFormat="1" applyFont="1" applyFill="1" applyBorder="1"/>
    <xf numFmtId="6" fontId="14" fillId="0" borderId="0" xfId="70" applyNumberFormat="1" applyFont="1" applyFill="1"/>
    <xf numFmtId="165" fontId="16" fillId="0" borderId="2" xfId="0" applyNumberFormat="1" applyFont="1" applyFill="1" applyBorder="1"/>
    <xf numFmtId="9" fontId="16" fillId="0" borderId="0" xfId="70" applyFont="1" applyFill="1"/>
    <xf numFmtId="0" fontId="7" fillId="0" borderId="0" xfId="0" applyFont="1"/>
    <xf numFmtId="0" fontId="3" fillId="0" borderId="7" xfId="0" applyFont="1" applyBorder="1"/>
    <xf numFmtId="166" fontId="3" fillId="0" borderId="0" xfId="70" applyNumberFormat="1" applyFont="1"/>
    <xf numFmtId="166" fontId="3" fillId="0" borderId="2" xfId="70" applyNumberFormat="1" applyFont="1" applyBorder="1"/>
    <xf numFmtId="174" fontId="15" fillId="0" borderId="0" xfId="0" applyNumberFormat="1" applyFont="1"/>
    <xf numFmtId="174" fontId="15" fillId="0" borderId="0" xfId="19" applyNumberFormat="1" applyFont="1" applyFill="1"/>
    <xf numFmtId="165" fontId="3" fillId="0" borderId="0" xfId="0" applyNumberFormat="1" applyFont="1"/>
    <xf numFmtId="165" fontId="3" fillId="0" borderId="2" xfId="0" applyNumberFormat="1" applyFont="1" applyBorder="1"/>
    <xf numFmtId="0" fontId="3" fillId="0" borderId="2" xfId="0" applyFont="1" applyBorder="1"/>
    <xf numFmtId="165" fontId="14" fillId="0" borderId="0" xfId="19" applyNumberFormat="1" applyFont="1" applyFill="1" applyBorder="1"/>
    <xf numFmtId="165" fontId="14" fillId="0" borderId="0" xfId="70" applyNumberFormat="1" applyFont="1" applyFill="1" applyBorder="1"/>
    <xf numFmtId="165" fontId="8" fillId="0" borderId="0" xfId="0" applyNumberFormat="1" applyFont="1" applyBorder="1"/>
    <xf numFmtId="165" fontId="21" fillId="0" borderId="0" xfId="0" applyNumberFormat="1" applyFont="1" applyFill="1" applyAlignment="1">
      <alignment horizontal="right"/>
    </xf>
    <xf numFmtId="166" fontId="3" fillId="0" borderId="0" xfId="0" applyNumberFormat="1" applyFont="1"/>
    <xf numFmtId="167" fontId="8" fillId="0" borderId="2" xfId="19" quotePrefix="1" applyNumberFormat="1" applyFont="1" applyBorder="1" applyAlignment="1">
      <alignment horizontal="left"/>
    </xf>
    <xf numFmtId="2" fontId="8" fillId="0" borderId="2" xfId="0" applyNumberFormat="1" applyFont="1" applyBorder="1"/>
    <xf numFmtId="2" fontId="8" fillId="0" borderId="2" xfId="0" applyNumberFormat="1" applyFont="1" applyFill="1" applyBorder="1"/>
    <xf numFmtId="166" fontId="8" fillId="0" borderId="2" xfId="0" applyNumberFormat="1" applyFont="1" applyFill="1" applyBorder="1" applyAlignment="1">
      <alignment horizontal="right"/>
    </xf>
    <xf numFmtId="166" fontId="14" fillId="0" borderId="2" xfId="0" applyNumberFormat="1" applyFont="1" applyFill="1" applyBorder="1"/>
    <xf numFmtId="166" fontId="27" fillId="0" borderId="2" xfId="0" applyNumberFormat="1" applyFont="1" applyFill="1" applyBorder="1"/>
    <xf numFmtId="166" fontId="8" fillId="0" borderId="2" xfId="0" applyNumberFormat="1" applyFont="1" applyFill="1" applyBorder="1"/>
    <xf numFmtId="174" fontId="8" fillId="0" borderId="2" xfId="0" applyNumberFormat="1" applyFont="1" applyFill="1" applyBorder="1"/>
    <xf numFmtId="8" fontId="3" fillId="0" borderId="0" xfId="0" applyNumberFormat="1" applyFont="1"/>
    <xf numFmtId="168" fontId="8" fillId="0" borderId="0" xfId="0" applyNumberFormat="1" applyFont="1" applyFill="1" applyBorder="1"/>
    <xf numFmtId="173" fontId="27" fillId="0" borderId="0" xfId="70" applyNumberFormat="1" applyFont="1" applyFill="1"/>
    <xf numFmtId="173" fontId="27" fillId="0" borderId="2" xfId="70" applyNumberFormat="1" applyFont="1" applyFill="1" applyBorder="1"/>
    <xf numFmtId="165" fontId="14" fillId="0" borderId="0" xfId="0" applyNumberFormat="1" applyFont="1" applyFill="1" applyAlignment="1">
      <alignment horizontal="right"/>
    </xf>
    <xf numFmtId="166" fontId="48" fillId="0" borderId="0" xfId="70" applyNumberFormat="1" applyFont="1"/>
    <xf numFmtId="0" fontId="47" fillId="0" borderId="0" xfId="0" applyFont="1"/>
    <xf numFmtId="0" fontId="23" fillId="0" borderId="0" xfId="0" applyFont="1" applyAlignment="1">
      <alignment horizontal="right"/>
    </xf>
    <xf numFmtId="166" fontId="3" fillId="0" borderId="0" xfId="70" applyNumberFormat="1" applyFont="1" applyBorder="1"/>
    <xf numFmtId="0" fontId="3" fillId="0" borderId="0" xfId="0" applyFont="1" applyFill="1"/>
    <xf numFmtId="2" fontId="8" fillId="0" borderId="2" xfId="0" applyNumberFormat="1" applyFont="1" applyBorder="1" applyAlignment="1">
      <alignment horizontal="left"/>
    </xf>
    <xf numFmtId="2" fontId="8" fillId="0" borderId="2" xfId="0" applyNumberFormat="1" applyFont="1" applyBorder="1" applyAlignment="1">
      <alignment horizontal="center"/>
    </xf>
    <xf numFmtId="2" fontId="8" fillId="0" borderId="0" xfId="0" applyNumberFormat="1" applyFont="1" applyBorder="1" applyAlignment="1">
      <alignment horizontal="center"/>
    </xf>
    <xf numFmtId="10" fontId="14" fillId="0" borderId="0" xfId="0" applyNumberFormat="1" applyFont="1"/>
    <xf numFmtId="10" fontId="14" fillId="0" borderId="0" xfId="70" applyNumberFormat="1" applyFont="1" applyFill="1"/>
    <xf numFmtId="180" fontId="8" fillId="0" borderId="0" xfId="58" applyNumberFormat="1" applyFont="1"/>
    <xf numFmtId="40" fontId="8" fillId="0" borderId="0" xfId="0" applyNumberFormat="1" applyFont="1" applyAlignment="1">
      <alignment horizontal="right"/>
    </xf>
    <xf numFmtId="2" fontId="15" fillId="0" borderId="0" xfId="0" applyNumberFormat="1" applyFont="1"/>
    <xf numFmtId="173" fontId="3" fillId="0" borderId="0" xfId="0" applyNumberFormat="1" applyFont="1"/>
    <xf numFmtId="38" fontId="8" fillId="0" borderId="2" xfId="0" applyNumberFormat="1" applyFont="1" applyBorder="1"/>
    <xf numFmtId="174" fontId="8" fillId="0" borderId="2" xfId="0" applyNumberFormat="1" applyFont="1" applyBorder="1"/>
    <xf numFmtId="0" fontId="49" fillId="0" borderId="0" xfId="0" applyFont="1"/>
    <xf numFmtId="9" fontId="8" fillId="0" borderId="0" xfId="19" applyNumberFormat="1" applyFont="1" applyFill="1"/>
    <xf numFmtId="165" fontId="15" fillId="0" borderId="0" xfId="0" applyNumberFormat="1" applyFont="1" applyBorder="1" applyAlignment="1">
      <alignment horizontal="right"/>
    </xf>
    <xf numFmtId="10" fontId="16" fillId="0" borderId="0" xfId="0" applyNumberFormat="1" applyFont="1" applyFill="1"/>
    <xf numFmtId="169" fontId="8" fillId="0" borderId="0" xfId="31" applyNumberFormat="1" applyFont="1" applyFill="1" applyBorder="1"/>
    <xf numFmtId="9" fontId="8" fillId="0" borderId="0" xfId="70" applyNumberFormat="1" applyFont="1" applyFill="1"/>
    <xf numFmtId="49" fontId="35" fillId="0" borderId="0" xfId="64" applyNumberFormat="1" applyFont="1" applyFill="1"/>
    <xf numFmtId="0" fontId="14" fillId="0" borderId="0" xfId="58" applyFont="1" applyFill="1"/>
    <xf numFmtId="4" fontId="16" fillId="0" borderId="0" xfId="0" applyNumberFormat="1" applyFont="1" applyFill="1"/>
    <xf numFmtId="190" fontId="8" fillId="0" borderId="2" xfId="0" applyNumberFormat="1" applyFont="1" applyFill="1" applyBorder="1" applyAlignment="1">
      <alignment horizontal="center"/>
    </xf>
    <xf numFmtId="171" fontId="33" fillId="0" borderId="0" xfId="19" applyNumberFormat="1" applyFont="1"/>
    <xf numFmtId="171" fontId="27" fillId="0" borderId="0" xfId="19" applyNumberFormat="1" applyFont="1"/>
    <xf numFmtId="174" fontId="33" fillId="0" borderId="0" xfId="19" applyNumberFormat="1" applyFont="1"/>
    <xf numFmtId="167" fontId="33" fillId="0" borderId="0" xfId="19" applyNumberFormat="1" applyFont="1" applyBorder="1"/>
    <xf numFmtId="174" fontId="32" fillId="0" borderId="0" xfId="19" applyNumberFormat="1" applyFont="1"/>
    <xf numFmtId="2" fontId="15" fillId="0" borderId="2" xfId="67" applyNumberFormat="1" applyFont="1" applyBorder="1"/>
    <xf numFmtId="2" fontId="15" fillId="0" borderId="0" xfId="67" applyNumberFormat="1" applyFont="1" applyBorder="1"/>
    <xf numFmtId="0" fontId="50" fillId="0" borderId="0" xfId="0" applyFont="1" applyFill="1" applyBorder="1"/>
    <xf numFmtId="4" fontId="3" fillId="0" borderId="0" xfId="0" applyNumberFormat="1" applyFont="1" applyFill="1"/>
    <xf numFmtId="0" fontId="51" fillId="0" borderId="0" xfId="0" applyFont="1"/>
    <xf numFmtId="0" fontId="3" fillId="0" borderId="0" xfId="0" applyFont="1" applyFill="1" applyBorder="1"/>
    <xf numFmtId="9" fontId="3" fillId="0" borderId="0" xfId="70" applyFont="1" applyFill="1"/>
    <xf numFmtId="43" fontId="3" fillId="0" borderId="0" xfId="19" applyFont="1" applyFill="1"/>
    <xf numFmtId="214" fontId="3" fillId="0" borderId="0" xfId="0" applyNumberFormat="1" applyFont="1" applyFill="1"/>
    <xf numFmtId="215" fontId="3" fillId="0" borderId="0" xfId="0" applyNumberFormat="1" applyFont="1" applyFill="1"/>
    <xf numFmtId="0" fontId="49" fillId="0" borderId="0" xfId="0" applyFont="1" applyBorder="1"/>
    <xf numFmtId="214" fontId="49" fillId="0" borderId="0" xfId="0" applyNumberFormat="1" applyFont="1"/>
    <xf numFmtId="214" fontId="48" fillId="0" borderId="0" xfId="0" applyNumberFormat="1" applyFont="1" applyFill="1" applyAlignment="1">
      <alignment horizontal="right"/>
    </xf>
    <xf numFmtId="43" fontId="51" fillId="0" borderId="0" xfId="19" applyFont="1" applyFill="1"/>
    <xf numFmtId="4" fontId="3" fillId="0" borderId="0" xfId="0" applyNumberFormat="1" applyFont="1"/>
    <xf numFmtId="0" fontId="3" fillId="0" borderId="2" xfId="0" applyFont="1" applyFill="1" applyBorder="1"/>
    <xf numFmtId="0" fontId="49" fillId="0" borderId="0" xfId="0" applyFont="1" applyFill="1" applyBorder="1" applyAlignment="1">
      <alignment horizontal="centerContinuous"/>
    </xf>
    <xf numFmtId="0" fontId="49" fillId="0" borderId="5" xfId="0" applyFont="1" applyFill="1" applyBorder="1" applyAlignment="1">
      <alignment horizontal="centerContinuous"/>
    </xf>
    <xf numFmtId="0" fontId="49" fillId="0" borderId="0" xfId="0" applyFont="1" applyFill="1"/>
    <xf numFmtId="216" fontId="49" fillId="0" borderId="2" xfId="0" applyNumberFormat="1" applyFont="1" applyFill="1" applyBorder="1" applyAlignment="1">
      <alignment horizontal="left"/>
    </xf>
    <xf numFmtId="216" fontId="49" fillId="0" borderId="2" xfId="0" applyNumberFormat="1" applyFont="1" applyFill="1" applyBorder="1" applyAlignment="1">
      <alignment horizontal="right"/>
    </xf>
    <xf numFmtId="0" fontId="49" fillId="0" borderId="2" xfId="64" quotePrefix="1" applyFont="1" applyBorder="1" applyAlignment="1" applyProtection="1">
      <alignment horizontal="right"/>
    </xf>
    <xf numFmtId="1" fontId="49" fillId="0" borderId="2" xfId="64" applyNumberFormat="1" applyFont="1" applyBorder="1" applyAlignment="1" applyProtection="1">
      <alignment horizontal="right"/>
    </xf>
    <xf numFmtId="1" fontId="49" fillId="0" borderId="2" xfId="64" quotePrefix="1" applyNumberFormat="1" applyFont="1" applyBorder="1" applyAlignment="1" applyProtection="1">
      <alignment horizontal="right"/>
    </xf>
    <xf numFmtId="1" fontId="49" fillId="0" borderId="2" xfId="64" applyNumberFormat="1" applyFont="1" applyFill="1" applyBorder="1" applyAlignment="1" applyProtection="1">
      <alignment horizontal="right"/>
    </xf>
    <xf numFmtId="1" fontId="49" fillId="0" borderId="2" xfId="64" quotePrefix="1" applyNumberFormat="1" applyFont="1" applyFill="1" applyBorder="1" applyAlignment="1" applyProtection="1">
      <alignment horizontal="right"/>
    </xf>
    <xf numFmtId="0" fontId="49" fillId="0" borderId="2" xfId="64" applyFont="1" applyBorder="1" applyAlignment="1" applyProtection="1">
      <alignment horizontal="right"/>
    </xf>
    <xf numFmtId="0" fontId="49" fillId="0" borderId="2" xfId="64" quotePrefix="1" applyFont="1" applyFill="1" applyBorder="1" applyAlignment="1" applyProtection="1">
      <alignment horizontal="right"/>
    </xf>
    <xf numFmtId="0" fontId="49" fillId="0" borderId="2" xfId="64" applyFont="1" applyFill="1" applyBorder="1" applyAlignment="1" applyProtection="1">
      <alignment horizontal="right"/>
    </xf>
    <xf numFmtId="174" fontId="3" fillId="0" borderId="0" xfId="0" applyNumberFormat="1" applyFont="1" applyFill="1" applyBorder="1" applyAlignment="1">
      <alignment horizontal="right"/>
    </xf>
    <xf numFmtId="174" fontId="3" fillId="0" borderId="0" xfId="0" applyNumberFormat="1" applyFont="1" applyFill="1" applyAlignment="1">
      <alignment horizontal="right"/>
    </xf>
    <xf numFmtId="174" fontId="48" fillId="0" borderId="0" xfId="0" applyNumberFormat="1" applyFont="1" applyFill="1"/>
    <xf numFmtId="178" fontId="3" fillId="0" borderId="0" xfId="0" applyNumberFormat="1" applyFont="1" applyFill="1"/>
    <xf numFmtId="174" fontId="52" fillId="0" borderId="0" xfId="0" applyNumberFormat="1" applyFont="1" applyFill="1" applyAlignment="1">
      <alignment horizontal="right"/>
    </xf>
    <xf numFmtId="219" fontId="3" fillId="0" borderId="0" xfId="0" applyNumberFormat="1" applyFont="1" applyFill="1" applyBorder="1" applyAlignment="1">
      <alignment horizontal="left" indent="1"/>
    </xf>
    <xf numFmtId="218" fontId="3" fillId="0" borderId="0" xfId="0" applyNumberFormat="1" applyFont="1" applyFill="1" applyBorder="1" applyAlignment="1">
      <alignment horizontal="right"/>
    </xf>
    <xf numFmtId="166" fontId="3" fillId="0" borderId="0" xfId="0" applyNumberFormat="1" applyFont="1" applyFill="1" applyBorder="1" applyAlignment="1">
      <alignment horizontal="right"/>
    </xf>
    <xf numFmtId="219" fontId="53" fillId="0" borderId="0" xfId="0" applyNumberFormat="1" applyFont="1" applyFill="1" applyBorder="1" applyAlignment="1">
      <alignment horizontal="right"/>
    </xf>
    <xf numFmtId="217" fontId="54" fillId="0" borderId="0" xfId="0" applyNumberFormat="1" applyFont="1" applyFill="1" applyBorder="1" applyAlignment="1">
      <alignment horizontal="right"/>
    </xf>
    <xf numFmtId="174" fontId="3" fillId="0" borderId="0" xfId="55" applyNumberFormat="1" applyFont="1" applyAlignment="1">
      <alignment horizontal="right"/>
    </xf>
    <xf numFmtId="174" fontId="48" fillId="0" borderId="0" xfId="0" applyNumberFormat="1" applyFont="1" applyFill="1" applyAlignment="1">
      <alignment horizontal="right"/>
    </xf>
    <xf numFmtId="4" fontId="3" fillId="0" borderId="0" xfId="0" applyNumberFormat="1" applyFont="1" applyFill="1" applyBorder="1"/>
    <xf numFmtId="166" fontId="3" fillId="0" borderId="2" xfId="0" applyNumberFormat="1" applyFont="1" applyBorder="1"/>
    <xf numFmtId="174" fontId="49" fillId="0" borderId="0" xfId="0" applyNumberFormat="1" applyFont="1"/>
    <xf numFmtId="174" fontId="49" fillId="0" borderId="0" xfId="0" applyNumberFormat="1" applyFont="1" applyFill="1"/>
    <xf numFmtId="174" fontId="3" fillId="0" borderId="2" xfId="0" applyNumberFormat="1" applyFont="1" applyFill="1" applyBorder="1" applyAlignment="1">
      <alignment horizontal="right"/>
    </xf>
    <xf numFmtId="174" fontId="48" fillId="0" borderId="0" xfId="0" applyNumberFormat="1" applyFont="1" applyFill="1" applyBorder="1"/>
    <xf numFmtId="178" fontId="3" fillId="0" borderId="0" xfId="0" applyNumberFormat="1" applyFont="1" applyFill="1" applyBorder="1"/>
    <xf numFmtId="174" fontId="3" fillId="0" borderId="0" xfId="0" applyNumberFormat="1" applyFont="1" applyFill="1" applyBorder="1"/>
    <xf numFmtId="166" fontId="48" fillId="0" borderId="2" xfId="0" applyNumberFormat="1" applyFont="1" applyBorder="1"/>
    <xf numFmtId="0" fontId="49" fillId="0" borderId="0" xfId="0" applyFont="1" applyFill="1" applyBorder="1"/>
    <xf numFmtId="174" fontId="49" fillId="0" borderId="0" xfId="0" applyNumberFormat="1" applyFont="1" applyFill="1" applyBorder="1" applyAlignment="1">
      <alignment horizontal="right"/>
    </xf>
    <xf numFmtId="174" fontId="3" fillId="0" borderId="2" xfId="0" applyNumberFormat="1" applyFont="1" applyBorder="1"/>
    <xf numFmtId="174" fontId="48" fillId="0" borderId="2" xfId="0" applyNumberFormat="1" applyFont="1" applyFill="1" applyBorder="1"/>
    <xf numFmtId="174" fontId="49" fillId="0" borderId="0" xfId="0" applyNumberFormat="1" applyFont="1" applyBorder="1"/>
    <xf numFmtId="4" fontId="49" fillId="0" borderId="0" xfId="0" applyNumberFormat="1" applyFont="1" applyFill="1" applyBorder="1"/>
    <xf numFmtId="166" fontId="3" fillId="0" borderId="0" xfId="0" applyNumberFormat="1" applyFont="1" applyBorder="1"/>
    <xf numFmtId="166" fontId="3" fillId="0" borderId="0" xfId="0" applyNumberFormat="1" applyFont="1" applyFill="1"/>
    <xf numFmtId="166" fontId="48" fillId="0" borderId="0" xfId="0" applyNumberFormat="1" applyFont="1"/>
    <xf numFmtId="166" fontId="48" fillId="0" borderId="0" xfId="0" applyNumberFormat="1" applyFont="1" applyFill="1"/>
    <xf numFmtId="4" fontId="3" fillId="0" borderId="2" xfId="0" applyNumberFormat="1" applyFont="1" applyFill="1" applyBorder="1"/>
    <xf numFmtId="0" fontId="53" fillId="0" borderId="0" xfId="55" applyNumberFormat="1" applyFont="1" applyAlignment="1">
      <alignment horizontal="left"/>
    </xf>
    <xf numFmtId="0" fontId="49" fillId="0" borderId="0" xfId="55" applyNumberFormat="1" applyFont="1" applyAlignment="1">
      <alignment horizontal="left"/>
    </xf>
    <xf numFmtId="38" fontId="3" fillId="0" borderId="0" xfId="55" applyFont="1" applyAlignment="1">
      <alignment horizontal="left"/>
    </xf>
    <xf numFmtId="2" fontId="3" fillId="0" borderId="0" xfId="0" applyNumberFormat="1" applyFont="1"/>
    <xf numFmtId="0" fontId="3" fillId="0" borderId="0" xfId="55" applyNumberFormat="1" applyFont="1" applyAlignment="1">
      <alignment horizontal="left"/>
    </xf>
    <xf numFmtId="38" fontId="55" fillId="0" borderId="0" xfId="55" applyFont="1" applyAlignment="1">
      <alignment horizontal="left"/>
    </xf>
    <xf numFmtId="2" fontId="56" fillId="0" borderId="0" xfId="0" applyNumberFormat="1" applyFont="1"/>
    <xf numFmtId="4" fontId="56" fillId="0" borderId="0" xfId="0" applyNumberFormat="1" applyFont="1"/>
    <xf numFmtId="40" fontId="56" fillId="0" borderId="0" xfId="0" applyNumberFormat="1" applyFont="1"/>
    <xf numFmtId="2" fontId="51" fillId="0" borderId="0" xfId="0" applyNumberFormat="1" applyFont="1"/>
    <xf numFmtId="40" fontId="3" fillId="0" borderId="0" xfId="0" applyNumberFormat="1" applyFont="1"/>
    <xf numFmtId="38" fontId="3" fillId="0" borderId="0" xfId="55" applyFont="1" applyAlignment="1">
      <alignment horizontal="left" indent="1"/>
    </xf>
    <xf numFmtId="0" fontId="3" fillId="0" borderId="0" xfId="0" applyFont="1" applyAlignment="1">
      <alignment horizontal="left" wrapText="1"/>
    </xf>
    <xf numFmtId="201" fontId="3" fillId="0" borderId="0" xfId="19" applyNumberFormat="1" applyFont="1"/>
    <xf numFmtId="201" fontId="48" fillId="0" borderId="0" xfId="19" applyNumberFormat="1" applyFont="1"/>
    <xf numFmtId="177" fontId="3" fillId="0" borderId="0" xfId="0" applyNumberFormat="1" applyFont="1" applyFill="1"/>
    <xf numFmtId="177" fontId="59" fillId="0" borderId="0" xfId="0" applyNumberFormat="1" applyFont="1" applyFill="1"/>
    <xf numFmtId="173" fontId="3" fillId="0" borderId="0" xfId="0" applyNumberFormat="1" applyFont="1" applyFill="1"/>
    <xf numFmtId="173" fontId="48" fillId="0" borderId="0" xfId="0" applyNumberFormat="1" applyFont="1" applyFill="1"/>
    <xf numFmtId="165" fontId="48" fillId="0" borderId="2" xfId="0" applyNumberFormat="1" applyFont="1" applyFill="1" applyBorder="1"/>
    <xf numFmtId="165" fontId="3" fillId="0" borderId="2" xfId="0" applyNumberFormat="1" applyFont="1" applyFill="1" applyBorder="1"/>
    <xf numFmtId="166" fontId="48" fillId="0" borderId="0" xfId="0" applyNumberFormat="1" applyFont="1" applyBorder="1"/>
    <xf numFmtId="166" fontId="48" fillId="0" borderId="0" xfId="0" applyNumberFormat="1" applyFont="1" applyFill="1" applyBorder="1"/>
    <xf numFmtId="174" fontId="14" fillId="0" borderId="2" xfId="0" applyNumberFormat="1" applyFont="1" applyFill="1" applyBorder="1"/>
    <xf numFmtId="166" fontId="16" fillId="0" borderId="0" xfId="0" applyNumberFormat="1" applyFont="1"/>
    <xf numFmtId="169" fontId="8" fillId="0" borderId="2" xfId="0" applyNumberFormat="1" applyFont="1" applyFill="1" applyBorder="1" applyProtection="1"/>
    <xf numFmtId="174" fontId="3" fillId="0" borderId="2" xfId="0" applyNumberFormat="1" applyFont="1" applyFill="1" applyBorder="1"/>
    <xf numFmtId="177" fontId="27" fillId="0" borderId="2" xfId="0" applyNumberFormat="1" applyFont="1" applyBorder="1"/>
    <xf numFmtId="177" fontId="27" fillId="0" borderId="2" xfId="0" applyNumberFormat="1" applyFont="1" applyFill="1" applyBorder="1"/>
    <xf numFmtId="167" fontId="28" fillId="0" borderId="2" xfId="19" applyNumberFormat="1" applyFont="1" applyBorder="1"/>
    <xf numFmtId="167" fontId="28" fillId="0" borderId="2" xfId="19" applyNumberFormat="1" applyFont="1" applyFill="1" applyBorder="1"/>
    <xf numFmtId="167" fontId="15" fillId="0" borderId="0" xfId="19" applyNumberFormat="1" applyFont="1" applyFill="1"/>
    <xf numFmtId="174" fontId="60" fillId="0" borderId="0" xfId="19" applyNumberFormat="1" applyFont="1"/>
    <xf numFmtId="174" fontId="27" fillId="0" borderId="0" xfId="0" applyNumberFormat="1" applyFont="1"/>
    <xf numFmtId="174" fontId="27" fillId="0" borderId="0" xfId="0" applyNumberFormat="1" applyFont="1" applyFill="1"/>
    <xf numFmtId="168" fontId="14" fillId="0" borderId="2" xfId="32" applyNumberFormat="1" applyFont="1" applyBorder="1" applyAlignment="1"/>
    <xf numFmtId="165" fontId="2" fillId="0" borderId="2" xfId="0" applyNumberFormat="1" applyFont="1" applyBorder="1"/>
    <xf numFmtId="167" fontId="56" fillId="0" borderId="2" xfId="19" applyNumberFormat="1" applyFont="1" applyBorder="1"/>
    <xf numFmtId="167" fontId="48" fillId="0" borderId="2" xfId="19" applyNumberFormat="1" applyFont="1" applyBorder="1"/>
    <xf numFmtId="49" fontId="0" fillId="0" borderId="0" xfId="0" applyNumberFormat="1"/>
    <xf numFmtId="166" fontId="3" fillId="0" borderId="2" xfId="70" applyNumberFormat="1" applyFont="1" applyFill="1" applyBorder="1"/>
    <xf numFmtId="166" fontId="48" fillId="0" borderId="0" xfId="70" applyNumberFormat="1" applyFont="1" applyFill="1"/>
    <xf numFmtId="166" fontId="59" fillId="0" borderId="0" xfId="70" applyNumberFormat="1" applyFont="1" applyFill="1"/>
    <xf numFmtId="1" fontId="28" fillId="0" borderId="2" xfId="20" applyNumberFormat="1" applyFont="1" applyBorder="1"/>
    <xf numFmtId="9" fontId="8" fillId="0" borderId="2" xfId="70" applyFont="1" applyBorder="1" applyAlignment="1">
      <alignment horizontal="right"/>
    </xf>
    <xf numFmtId="9" fontId="8" fillId="0" borderId="2" xfId="70" applyFont="1" applyFill="1" applyBorder="1" applyAlignment="1">
      <alignment horizontal="right"/>
    </xf>
    <xf numFmtId="177" fontId="27" fillId="0" borderId="2" xfId="70" applyNumberFormat="1" applyFont="1" applyFill="1" applyBorder="1"/>
    <xf numFmtId="177" fontId="27" fillId="0" borderId="0" xfId="70" applyNumberFormat="1" applyFont="1" applyFill="1"/>
    <xf numFmtId="167" fontId="23" fillId="0" borderId="0" xfId="19" applyNumberFormat="1" applyFont="1" applyFill="1"/>
    <xf numFmtId="203" fontId="15" fillId="0" borderId="2" xfId="0" applyNumberFormat="1" applyFont="1" applyBorder="1"/>
    <xf numFmtId="203" fontId="15" fillId="0" borderId="2" xfId="0" applyNumberFormat="1" applyFont="1" applyBorder="1" applyAlignment="1">
      <alignment horizontal="right"/>
    </xf>
    <xf numFmtId="170" fontId="8" fillId="0" borderId="0" xfId="22" applyNumberFormat="1" applyFont="1" applyBorder="1"/>
    <xf numFmtId="0" fontId="15" fillId="0" borderId="0" xfId="58" applyFont="1" applyFill="1" applyBorder="1" applyAlignment="1">
      <alignment horizontal="left"/>
    </xf>
    <xf numFmtId="0" fontId="8" fillId="0" borderId="0" xfId="58" applyFont="1" applyFill="1" applyBorder="1" applyAlignment="1">
      <alignment horizontal="left"/>
    </xf>
    <xf numFmtId="0" fontId="0" fillId="0" borderId="0" xfId="0" applyFill="1"/>
    <xf numFmtId="174" fontId="62" fillId="0" borderId="0" xfId="0" applyNumberFormat="1" applyFont="1" applyFill="1"/>
    <xf numFmtId="174" fontId="56" fillId="0" borderId="0" xfId="0" applyNumberFormat="1" applyFont="1" applyFill="1" applyAlignment="1">
      <alignment horizontal="right"/>
    </xf>
    <xf numFmtId="174" fontId="62" fillId="0" borderId="0" xfId="0" applyNumberFormat="1" applyFont="1"/>
    <xf numFmtId="174" fontId="63" fillId="0" borderId="0" xfId="0" applyNumberFormat="1" applyFont="1" applyBorder="1"/>
    <xf numFmtId="193" fontId="31" fillId="0" borderId="0" xfId="0" applyNumberFormat="1" applyFont="1"/>
    <xf numFmtId="174" fontId="59" fillId="0" borderId="0" xfId="0" applyNumberFormat="1" applyFont="1" applyFill="1"/>
    <xf numFmtId="165" fontId="56" fillId="0" borderId="2" xfId="0" applyNumberFormat="1" applyFont="1" applyFill="1" applyBorder="1"/>
    <xf numFmtId="204" fontId="8" fillId="0" borderId="0" xfId="0" applyNumberFormat="1" applyFont="1" applyFill="1" applyBorder="1"/>
    <xf numFmtId="180" fontId="8" fillId="4" borderId="0" xfId="70" applyNumberFormat="1" applyFont="1" applyFill="1"/>
    <xf numFmtId="9" fontId="8" fillId="4" borderId="0" xfId="19" applyNumberFormat="1" applyFont="1" applyFill="1"/>
    <xf numFmtId="173" fontId="8" fillId="0" borderId="2" xfId="19" applyNumberFormat="1" applyFont="1" applyBorder="1"/>
    <xf numFmtId="173" fontId="14" fillId="0" borderId="2" xfId="19" applyNumberFormat="1" applyFont="1" applyBorder="1"/>
    <xf numFmtId="177" fontId="8" fillId="0" borderId="2" xfId="0" applyNumberFormat="1" applyFont="1" applyFill="1" applyBorder="1"/>
    <xf numFmtId="167" fontId="27" fillId="0" borderId="2" xfId="19" applyNumberFormat="1" applyFont="1" applyFill="1" applyBorder="1"/>
    <xf numFmtId="173" fontId="14" fillId="0" borderId="2" xfId="0" applyNumberFormat="1" applyFont="1" applyBorder="1"/>
    <xf numFmtId="173" fontId="27" fillId="0" borderId="2" xfId="0" applyNumberFormat="1" applyFont="1" applyBorder="1"/>
    <xf numFmtId="167" fontId="33" fillId="0" borderId="2" xfId="19" applyNumberFormat="1" applyFont="1" applyBorder="1"/>
    <xf numFmtId="185" fontId="8" fillId="0" borderId="0" xfId="60" applyNumberFormat="1" applyFont="1" applyFill="1"/>
    <xf numFmtId="185" fontId="14" fillId="0" borderId="0" xfId="0" applyNumberFormat="1" applyFont="1" applyFill="1"/>
    <xf numFmtId="3" fontId="8" fillId="0" borderId="0" xfId="0" applyNumberFormat="1" applyFont="1" applyBorder="1"/>
    <xf numFmtId="9" fontId="8" fillId="0" borderId="0" xfId="70" applyFont="1" applyFill="1" applyBorder="1" applyAlignment="1">
      <alignment horizontal="center"/>
    </xf>
    <xf numFmtId="3" fontId="8" fillId="0" borderId="0" xfId="0" applyNumberFormat="1" applyFont="1" applyFill="1" applyBorder="1"/>
    <xf numFmtId="171" fontId="28" fillId="0" borderId="2" xfId="19" applyNumberFormat="1" applyFont="1" applyFill="1" applyBorder="1"/>
    <xf numFmtId="190" fontId="28" fillId="0" borderId="0" xfId="0" applyNumberFormat="1" applyFont="1"/>
    <xf numFmtId="3" fontId="14" fillId="0" borderId="0" xfId="0" applyNumberFormat="1" applyFont="1" applyBorder="1"/>
    <xf numFmtId="3" fontId="14" fillId="0" borderId="0" xfId="0" applyNumberFormat="1" applyFont="1" applyFill="1" applyBorder="1"/>
    <xf numFmtId="173" fontId="27" fillId="0" borderId="2" xfId="0" applyNumberFormat="1" applyFont="1" applyFill="1" applyBorder="1"/>
    <xf numFmtId="221" fontId="8" fillId="0" borderId="0" xfId="70" applyNumberFormat="1" applyFont="1"/>
    <xf numFmtId="221" fontId="8" fillId="0" borderId="0" xfId="0" applyNumberFormat="1" applyFont="1"/>
    <xf numFmtId="167" fontId="8" fillId="0" borderId="0" xfId="19" applyNumberFormat="1" applyFont="1" applyFill="1" applyAlignment="1"/>
    <xf numFmtId="173" fontId="16" fillId="0" borderId="0" xfId="0" applyNumberFormat="1" applyFont="1" applyFill="1"/>
    <xf numFmtId="174" fontId="15" fillId="0" borderId="0" xfId="0" applyNumberFormat="1" applyFont="1" applyFill="1"/>
    <xf numFmtId="190" fontId="8" fillId="0" borderId="0" xfId="0" applyNumberFormat="1" applyFont="1" applyFill="1"/>
    <xf numFmtId="165" fontId="14" fillId="0" borderId="2" xfId="19" applyNumberFormat="1" applyFont="1" applyFill="1" applyBorder="1" applyAlignment="1">
      <alignment horizontal="right" wrapText="1"/>
    </xf>
    <xf numFmtId="0" fontId="16" fillId="0" borderId="2" xfId="0" applyFont="1" applyFill="1" applyBorder="1"/>
    <xf numFmtId="174" fontId="31" fillId="0" borderId="0" xfId="0" applyNumberFormat="1" applyFont="1"/>
    <xf numFmtId="168" fontId="27" fillId="0" borderId="0" xfId="21" applyNumberFormat="1" applyFont="1" applyFill="1"/>
    <xf numFmtId="170" fontId="8" fillId="0" borderId="0" xfId="20" applyFont="1" applyFill="1" applyBorder="1"/>
    <xf numFmtId="9" fontId="8" fillId="0" borderId="0" xfId="70" applyFont="1" applyFill="1" applyAlignment="1">
      <alignment horizontal="right"/>
    </xf>
    <xf numFmtId="168" fontId="15" fillId="0" borderId="0" xfId="0" applyNumberFormat="1" applyFont="1" applyBorder="1" applyAlignment="1">
      <alignment horizontal="right"/>
    </xf>
    <xf numFmtId="165" fontId="0" fillId="0" borderId="0" xfId="0" applyNumberFormat="1"/>
    <xf numFmtId="2" fontId="64" fillId="0" borderId="0" xfId="0" applyNumberFormat="1" applyFont="1"/>
    <xf numFmtId="2" fontId="3" fillId="0" borderId="2" xfId="70" applyNumberFormat="1" applyFont="1" applyBorder="1"/>
    <xf numFmtId="2" fontId="3" fillId="0" borderId="0" xfId="70" applyNumberFormat="1" applyFont="1"/>
    <xf numFmtId="0" fontId="8" fillId="0" borderId="4" xfId="63" applyFont="1" applyFill="1" applyBorder="1"/>
    <xf numFmtId="1" fontId="8" fillId="0" borderId="0" xfId="0" applyNumberFormat="1" applyFont="1" applyFill="1" applyBorder="1" applyAlignment="1">
      <alignment horizontal="right"/>
    </xf>
    <xf numFmtId="0" fontId="33" fillId="0" borderId="2" xfId="0" applyFont="1" applyFill="1" applyBorder="1" applyAlignment="1">
      <alignment horizontal="right"/>
    </xf>
    <xf numFmtId="9" fontId="0" fillId="0" borderId="0" xfId="70" applyFont="1"/>
    <xf numFmtId="174" fontId="8" fillId="0" borderId="0" xfId="70" applyNumberFormat="1" applyFont="1"/>
    <xf numFmtId="166" fontId="3" fillId="0" borderId="0" xfId="70" applyNumberFormat="1" applyFont="1" applyFill="1" applyBorder="1"/>
    <xf numFmtId="184" fontId="3" fillId="0" borderId="2" xfId="70" applyNumberFormat="1" applyFont="1" applyFill="1" applyBorder="1"/>
    <xf numFmtId="9" fontId="8" fillId="0" borderId="0" xfId="70" applyFont="1" applyFill="1" applyBorder="1"/>
    <xf numFmtId="0" fontId="0" fillId="0" borderId="0" xfId="0" applyBorder="1"/>
    <xf numFmtId="0" fontId="15" fillId="0" borderId="3" xfId="0" applyFont="1" applyBorder="1"/>
    <xf numFmtId="178" fontId="8" fillId="0" borderId="0" xfId="0" applyNumberFormat="1" applyFont="1" applyBorder="1" applyAlignment="1">
      <alignment horizontal="right"/>
    </xf>
    <xf numFmtId="166" fontId="23" fillId="0" borderId="0" xfId="70" applyNumberFormat="1" applyFont="1" applyFill="1"/>
    <xf numFmtId="165" fontId="8" fillId="7" borderId="0" xfId="19" applyNumberFormat="1" applyFont="1" applyFill="1"/>
    <xf numFmtId="0" fontId="8" fillId="0" borderId="0" xfId="0" applyFont="1" applyFill="1" applyAlignment="1">
      <alignment horizontal="left" indent="2"/>
    </xf>
    <xf numFmtId="49" fontId="8" fillId="0" borderId="0" xfId="19" applyNumberFormat="1" applyFont="1" applyFill="1" applyAlignment="1">
      <alignment horizontal="left" vertical="center" indent="1"/>
    </xf>
    <xf numFmtId="0" fontId="8" fillId="7" borderId="0" xfId="0" applyFont="1" applyFill="1"/>
    <xf numFmtId="0" fontId="8" fillId="7" borderId="0" xfId="0" applyFont="1" applyFill="1" applyBorder="1"/>
    <xf numFmtId="166" fontId="8" fillId="7" borderId="0" xfId="70" applyNumberFormat="1" applyFont="1" applyFill="1"/>
    <xf numFmtId="0" fontId="8" fillId="0" borderId="0" xfId="0" applyFont="1" applyAlignment="1">
      <alignment horizontal="left" indent="2"/>
    </xf>
    <xf numFmtId="173" fontId="14" fillId="0" borderId="0" xfId="70" applyNumberFormat="1" applyFont="1" applyFill="1"/>
    <xf numFmtId="184" fontId="14" fillId="0" borderId="0" xfId="0" applyNumberFormat="1" applyFont="1"/>
    <xf numFmtId="184" fontId="27" fillId="0" borderId="0" xfId="0" applyNumberFormat="1" applyFont="1"/>
    <xf numFmtId="165" fontId="27" fillId="0" borderId="2" xfId="19" applyNumberFormat="1" applyFont="1" applyFill="1" applyBorder="1" applyAlignment="1">
      <alignment horizontal="right" wrapText="1"/>
    </xf>
    <xf numFmtId="0" fontId="0" fillId="0" borderId="2" xfId="0" applyBorder="1"/>
    <xf numFmtId="165" fontId="3" fillId="0" borderId="0" xfId="0" applyNumberFormat="1" applyFont="1" applyFill="1" applyBorder="1"/>
    <xf numFmtId="173" fontId="28" fillId="0" borderId="0" xfId="70" applyNumberFormat="1" applyFont="1" applyFill="1"/>
    <xf numFmtId="173" fontId="28" fillId="0" borderId="0" xfId="68" applyNumberFormat="1" applyFont="1"/>
    <xf numFmtId="178" fontId="8" fillId="0" borderId="0" xfId="0" applyNumberFormat="1" applyFont="1" applyFill="1" applyBorder="1" applyAlignment="1">
      <alignment horizontal="right"/>
    </xf>
    <xf numFmtId="165" fontId="27" fillId="0" borderId="0" xfId="0" applyNumberFormat="1" applyFont="1" applyBorder="1"/>
    <xf numFmtId="165" fontId="14" fillId="0" borderId="0" xfId="0" applyNumberFormat="1" applyFont="1" applyBorder="1"/>
    <xf numFmtId="0" fontId="15" fillId="0" borderId="2" xfId="0" applyNumberFormat="1" applyFont="1" applyBorder="1" applyAlignment="1">
      <alignment horizontal="centerContinuous"/>
    </xf>
    <xf numFmtId="177" fontId="3" fillId="0" borderId="0" xfId="0" applyNumberFormat="1" applyFont="1"/>
    <xf numFmtId="0" fontId="3" fillId="0" borderId="0" xfId="0" applyFont="1" applyAlignment="1">
      <alignment horizontal="right"/>
    </xf>
    <xf numFmtId="178" fontId="8" fillId="0" borderId="0" xfId="70" applyNumberFormat="1" applyFont="1" applyFill="1"/>
    <xf numFmtId="174" fontId="59" fillId="0" borderId="2" xfId="0" applyNumberFormat="1" applyFont="1" applyFill="1" applyBorder="1"/>
    <xf numFmtId="193" fontId="8" fillId="0" borderId="0" xfId="0" applyNumberFormat="1" applyFont="1" applyFill="1"/>
    <xf numFmtId="165" fontId="34" fillId="0" borderId="0" xfId="0" applyNumberFormat="1" applyFont="1" applyBorder="1"/>
    <xf numFmtId="174" fontId="34" fillId="0" borderId="0" xfId="0" applyNumberFormat="1" applyFont="1" applyFill="1"/>
    <xf numFmtId="174" fontId="28" fillId="0" borderId="0" xfId="0" applyNumberFormat="1" applyFont="1" applyFill="1"/>
    <xf numFmtId="168" fontId="8" fillId="0" borderId="2" xfId="0" applyNumberFormat="1" applyFont="1" applyFill="1" applyBorder="1"/>
    <xf numFmtId="184" fontId="3" fillId="0" borderId="2" xfId="70" applyNumberFormat="1" applyFont="1" applyBorder="1"/>
    <xf numFmtId="0" fontId="15" fillId="6" borderId="12" xfId="0" applyFont="1" applyFill="1" applyBorder="1" applyAlignment="1" applyProtection="1">
      <alignment horizontal="left"/>
    </xf>
    <xf numFmtId="9" fontId="8" fillId="7" borderId="0" xfId="70" applyFont="1" applyFill="1"/>
    <xf numFmtId="1" fontId="15" fillId="0" borderId="0" xfId="0" applyNumberFormat="1" applyFont="1" applyFill="1" applyBorder="1" applyAlignment="1">
      <alignment horizontal="right"/>
    </xf>
    <xf numFmtId="0" fontId="8" fillId="0" borderId="0" xfId="0" applyFont="1" applyFill="1" applyAlignment="1" applyProtection="1">
      <alignment horizontal="left"/>
    </xf>
    <xf numFmtId="169" fontId="8" fillId="0" borderId="0" xfId="31" applyNumberFormat="1" applyFont="1" applyFill="1"/>
    <xf numFmtId="174" fontId="8" fillId="0" borderId="0" xfId="0" applyNumberFormat="1" applyFont="1" applyFill="1" applyAlignment="1">
      <alignment horizontal="right"/>
    </xf>
    <xf numFmtId="174" fontId="27" fillId="0" borderId="0" xfId="0" applyNumberFormat="1" applyFont="1" applyFill="1" applyAlignment="1">
      <alignment horizontal="right"/>
    </xf>
    <xf numFmtId="169" fontId="8" fillId="0" borderId="0" xfId="0" applyNumberFormat="1" applyFont="1" applyFill="1"/>
    <xf numFmtId="8" fontId="8" fillId="0" borderId="2" xfId="70" applyNumberFormat="1" applyFont="1" applyFill="1" applyBorder="1"/>
    <xf numFmtId="38" fontId="14" fillId="0" borderId="0" xfId="21" applyNumberFormat="1" applyFont="1" applyFill="1"/>
    <xf numFmtId="0" fontId="3" fillId="0" borderId="2" xfId="0" applyFont="1" applyFill="1" applyBorder="1" applyAlignment="1">
      <alignment horizontal="centerContinuous"/>
    </xf>
    <xf numFmtId="0" fontId="3" fillId="0" borderId="2" xfId="0" applyFont="1" applyFill="1" applyBorder="1" applyAlignment="1">
      <alignment horizontal="right"/>
    </xf>
    <xf numFmtId="173" fontId="8" fillId="7" borderId="0" xfId="0" applyNumberFormat="1" applyFont="1" applyFill="1"/>
    <xf numFmtId="1" fontId="15" fillId="0" borderId="2" xfId="0" applyNumberFormat="1" applyFont="1" applyBorder="1" applyAlignment="1">
      <alignment horizontal="centerContinuous"/>
    </xf>
    <xf numFmtId="166" fontId="16" fillId="0" borderId="0" xfId="70" applyNumberFormat="1" applyFont="1"/>
    <xf numFmtId="165" fontId="56" fillId="0" borderId="2" xfId="0" applyNumberFormat="1" applyFont="1" applyBorder="1"/>
    <xf numFmtId="169" fontId="14" fillId="0" borderId="0" xfId="0" applyNumberFormat="1" applyFont="1" applyFill="1"/>
    <xf numFmtId="0" fontId="14" fillId="0" borderId="0" xfId="0" applyFont="1" applyFill="1" applyBorder="1" applyAlignment="1">
      <alignment horizontal="center"/>
    </xf>
    <xf numFmtId="190" fontId="30" fillId="0" borderId="0" xfId="0" applyNumberFormat="1" applyFont="1" applyFill="1" applyBorder="1" applyAlignment="1">
      <alignment horizontal="center"/>
    </xf>
    <xf numFmtId="8" fontId="27" fillId="0" borderId="0" xfId="70" applyNumberFormat="1" applyFont="1" applyFill="1" applyBorder="1"/>
    <xf numFmtId="0" fontId="14" fillId="0" borderId="0" xfId="0" applyFont="1" applyFill="1" applyBorder="1"/>
    <xf numFmtId="223" fontId="14" fillId="0" borderId="0" xfId="0" applyNumberFormat="1" applyFont="1" applyBorder="1"/>
    <xf numFmtId="223" fontId="3" fillId="0" borderId="0" xfId="0" applyNumberFormat="1" applyFont="1" applyFill="1"/>
    <xf numFmtId="173" fontId="8" fillId="0" borderId="0" xfId="58" applyNumberFormat="1" applyFont="1" applyFill="1" applyBorder="1"/>
    <xf numFmtId="173" fontId="8" fillId="0" borderId="2" xfId="58" applyNumberFormat="1" applyFont="1" applyFill="1" applyBorder="1"/>
    <xf numFmtId="173" fontId="8" fillId="0" borderId="0" xfId="58" applyNumberFormat="1" applyFont="1" applyFill="1"/>
    <xf numFmtId="8" fontId="8" fillId="0" borderId="0" xfId="63" applyNumberFormat="1" applyFont="1"/>
    <xf numFmtId="174" fontId="56" fillId="0" borderId="0" xfId="0" applyNumberFormat="1" applyFont="1" applyFill="1"/>
    <xf numFmtId="0" fontId="28" fillId="0" borderId="0" xfId="58" applyFont="1" applyFill="1"/>
    <xf numFmtId="166" fontId="3" fillId="0" borderId="2" xfId="0" applyNumberFormat="1" applyFont="1" applyFill="1" applyBorder="1"/>
    <xf numFmtId="166" fontId="8" fillId="7" borderId="0" xfId="0" applyNumberFormat="1" applyFont="1" applyFill="1"/>
    <xf numFmtId="205" fontId="28" fillId="0" borderId="0" xfId="19" applyNumberFormat="1" applyFont="1" applyFill="1"/>
    <xf numFmtId="9" fontId="28" fillId="0" borderId="0" xfId="19" applyNumberFormat="1" applyFont="1" applyFill="1"/>
    <xf numFmtId="171" fontId="8" fillId="0" borderId="0" xfId="0" applyNumberFormat="1" applyFont="1" applyFill="1" applyBorder="1"/>
    <xf numFmtId="171" fontId="8" fillId="0" borderId="0" xfId="0" applyNumberFormat="1" applyFont="1" applyBorder="1"/>
    <xf numFmtId="198" fontId="8" fillId="0" borderId="0" xfId="0" applyNumberFormat="1" applyFont="1"/>
    <xf numFmtId="165" fontId="8" fillId="8" borderId="0" xfId="0" applyNumberFormat="1" applyFont="1" applyFill="1"/>
    <xf numFmtId="165" fontId="3" fillId="8" borderId="2" xfId="0" applyNumberFormat="1" applyFont="1" applyFill="1" applyBorder="1"/>
    <xf numFmtId="165" fontId="8" fillId="8" borderId="2" xfId="0" applyNumberFormat="1" applyFont="1" applyFill="1" applyBorder="1"/>
    <xf numFmtId="165" fontId="3" fillId="8" borderId="0" xfId="0" applyNumberFormat="1" applyFont="1" applyFill="1" applyBorder="1"/>
    <xf numFmtId="166" fontId="3" fillId="0" borderId="0" xfId="70" applyNumberFormat="1" applyFont="1" applyFill="1"/>
    <xf numFmtId="168" fontId="48" fillId="0" borderId="0" xfId="70" applyNumberFormat="1" applyFont="1" applyFill="1"/>
    <xf numFmtId="184" fontId="15" fillId="0" borderId="0" xfId="0" applyNumberFormat="1" applyFont="1" applyFill="1"/>
    <xf numFmtId="176" fontId="8" fillId="0" borderId="0" xfId="31" applyNumberFormat="1" applyFont="1" applyFill="1" applyBorder="1"/>
    <xf numFmtId="169" fontId="28" fillId="0" borderId="0" xfId="31" applyNumberFormat="1" applyFont="1" applyFill="1"/>
    <xf numFmtId="169" fontId="48" fillId="0" borderId="0" xfId="31" applyNumberFormat="1" applyFont="1" applyFill="1"/>
    <xf numFmtId="184" fontId="48" fillId="0" borderId="0" xfId="70" applyNumberFormat="1" applyFont="1" applyFill="1"/>
    <xf numFmtId="180" fontId="3" fillId="0" borderId="0" xfId="0" applyNumberFormat="1" applyFont="1" applyFill="1" applyBorder="1"/>
    <xf numFmtId="173" fontId="28" fillId="0" borderId="0" xfId="68" applyNumberFormat="1" applyFont="1" applyFill="1"/>
    <xf numFmtId="170" fontId="27" fillId="0" borderId="0" xfId="20" applyNumberFormat="1" applyFont="1" applyFill="1"/>
    <xf numFmtId="170" fontId="28" fillId="0" borderId="0" xfId="20" applyNumberFormat="1" applyFont="1" applyFill="1"/>
    <xf numFmtId="37" fontId="14" fillId="0" borderId="0" xfId="19" applyNumberFormat="1" applyFont="1" applyFill="1"/>
    <xf numFmtId="190" fontId="28" fillId="0" borderId="0" xfId="0" applyNumberFormat="1" applyFont="1" applyFill="1"/>
    <xf numFmtId="9" fontId="15" fillId="0" borderId="2" xfId="0" applyNumberFormat="1" applyFont="1" applyFill="1" applyBorder="1" applyAlignment="1">
      <alignment horizontal="centerContinuous"/>
    </xf>
    <xf numFmtId="227" fontId="8" fillId="0" borderId="0" xfId="0" applyNumberFormat="1" applyFont="1" applyFill="1"/>
    <xf numFmtId="178" fontId="3" fillId="4" borderId="0" xfId="0" applyNumberFormat="1" applyFont="1" applyFill="1"/>
    <xf numFmtId="38" fontId="51" fillId="4" borderId="0" xfId="0" applyNumberFormat="1" applyFont="1" applyFill="1"/>
    <xf numFmtId="228" fontId="3" fillId="0" borderId="0" xfId="31" applyNumberFormat="1" applyFont="1"/>
    <xf numFmtId="0" fontId="3" fillId="4" borderId="0" xfId="0" applyFont="1" applyFill="1"/>
    <xf numFmtId="38" fontId="56" fillId="4" borderId="0" xfId="0" applyNumberFormat="1" applyFont="1" applyFill="1"/>
    <xf numFmtId="38" fontId="3" fillId="4" borderId="0" xfId="0" applyNumberFormat="1" applyFont="1" applyFill="1"/>
    <xf numFmtId="4" fontId="3" fillId="4" borderId="0" xfId="0" applyNumberFormat="1" applyFont="1" applyFill="1"/>
    <xf numFmtId="0" fontId="0" fillId="4" borderId="0" xfId="0" applyFill="1"/>
    <xf numFmtId="38" fontId="3" fillId="4" borderId="0" xfId="55" applyFont="1" applyFill="1" applyAlignment="1">
      <alignment horizontal="left"/>
    </xf>
    <xf numFmtId="220" fontId="3" fillId="4" borderId="0" xfId="0" applyNumberFormat="1" applyFont="1" applyFill="1"/>
    <xf numFmtId="220" fontId="48" fillId="4" borderId="0" xfId="0" applyNumberFormat="1" applyFont="1" applyFill="1"/>
    <xf numFmtId="166" fontId="67" fillId="0" borderId="2" xfId="70" applyNumberFormat="1" applyFont="1" applyBorder="1"/>
    <xf numFmtId="166" fontId="67" fillId="0" borderId="0" xfId="70" applyNumberFormat="1" applyFont="1"/>
    <xf numFmtId="174" fontId="56" fillId="0" borderId="0" xfId="0" applyNumberFormat="1" applyFont="1" applyBorder="1"/>
    <xf numFmtId="174" fontId="56" fillId="0" borderId="0" xfId="55" applyNumberFormat="1" applyFont="1" applyFill="1" applyAlignment="1">
      <alignment horizontal="right"/>
    </xf>
    <xf numFmtId="220" fontId="56" fillId="4" borderId="0" xfId="0" applyNumberFormat="1" applyFont="1" applyFill="1"/>
    <xf numFmtId="202" fontId="3" fillId="4" borderId="0" xfId="19" applyNumberFormat="1" applyFont="1" applyFill="1"/>
    <xf numFmtId="8" fontId="27" fillId="0" borderId="0" xfId="70" applyNumberFormat="1" applyFont="1" applyFill="1"/>
    <xf numFmtId="40" fontId="56" fillId="0" borderId="0" xfId="0" applyNumberFormat="1" applyFont="1" applyFill="1"/>
    <xf numFmtId="201" fontId="3" fillId="0" borderId="0" xfId="19" applyNumberFormat="1" applyFont="1" applyFill="1"/>
    <xf numFmtId="194" fontId="15" fillId="0" borderId="0" xfId="49" applyFont="1" applyFill="1" applyBorder="1"/>
    <xf numFmtId="38" fontId="14" fillId="0" borderId="0" xfId="0" applyNumberFormat="1" applyFont="1" applyFill="1" applyBorder="1"/>
    <xf numFmtId="167" fontId="8" fillId="0" borderId="0" xfId="0" applyNumberFormat="1" applyFont="1" applyFill="1" applyBorder="1"/>
    <xf numFmtId="165" fontId="14" fillId="0" borderId="0" xfId="70" applyNumberFormat="1" applyFont="1" applyBorder="1"/>
    <xf numFmtId="8" fontId="8" fillId="0" borderId="0" xfId="70" applyNumberFormat="1" applyFont="1" applyFill="1" applyBorder="1"/>
    <xf numFmtId="38" fontId="8" fillId="0" borderId="0" xfId="0" applyNumberFormat="1" applyFont="1" applyFill="1" applyBorder="1"/>
    <xf numFmtId="165" fontId="8" fillId="0" borderId="0" xfId="19" applyNumberFormat="1" applyFont="1" applyFill="1" applyBorder="1" applyAlignment="1">
      <alignment horizontal="right" wrapText="1"/>
    </xf>
    <xf numFmtId="184" fontId="3" fillId="0" borderId="0" xfId="70" applyNumberFormat="1" applyFont="1" applyBorder="1"/>
    <xf numFmtId="1" fontId="15" fillId="0" borderId="0" xfId="64" quotePrefix="1" applyNumberFormat="1" applyFont="1" applyBorder="1" applyAlignment="1" applyProtection="1">
      <alignment horizontal="right"/>
    </xf>
    <xf numFmtId="174" fontId="8" fillId="0" borderId="0" xfId="0" applyNumberFormat="1" applyFont="1" applyFill="1" applyBorder="1"/>
    <xf numFmtId="166" fontId="28" fillId="0" borderId="0" xfId="70" applyNumberFormat="1" applyFont="1" applyFill="1" applyBorder="1"/>
    <xf numFmtId="1" fontId="49" fillId="0" borderId="0" xfId="64" quotePrefix="1" applyNumberFormat="1" applyFont="1" applyBorder="1" applyAlignment="1" applyProtection="1">
      <alignment horizontal="right"/>
    </xf>
    <xf numFmtId="168" fontId="14" fillId="0" borderId="0" xfId="32" applyNumberFormat="1" applyFont="1" applyBorder="1" applyAlignment="1"/>
    <xf numFmtId="167" fontId="48" fillId="0" borderId="0" xfId="19" applyNumberFormat="1" applyFont="1" applyBorder="1"/>
    <xf numFmtId="167" fontId="14" fillId="0" borderId="0" xfId="19" applyNumberFormat="1" applyFont="1" applyBorder="1"/>
    <xf numFmtId="0" fontId="16" fillId="0" borderId="0" xfId="0" applyFont="1" applyBorder="1"/>
    <xf numFmtId="173" fontId="30" fillId="0" borderId="0" xfId="70" applyNumberFormat="1" applyFont="1" applyFill="1" applyBorder="1" applyAlignment="1">
      <alignment horizontal="right"/>
    </xf>
    <xf numFmtId="173" fontId="33" fillId="0" borderId="0" xfId="19" applyNumberFormat="1" applyFont="1" applyFill="1" applyBorder="1"/>
    <xf numFmtId="166" fontId="26" fillId="0" borderId="0" xfId="70" applyNumberFormat="1" applyFont="1" applyFill="1" applyBorder="1" applyAlignment="1">
      <alignment horizontal="right"/>
    </xf>
    <xf numFmtId="167" fontId="26" fillId="0" borderId="0" xfId="19" applyNumberFormat="1" applyFont="1" applyFill="1" applyBorder="1"/>
    <xf numFmtId="175" fontId="8" fillId="0" borderId="0" xfId="68" applyNumberFormat="1" applyFont="1" applyBorder="1"/>
    <xf numFmtId="10" fontId="8" fillId="0" borderId="0" xfId="0" applyNumberFormat="1" applyFont="1" applyFill="1" applyBorder="1" applyProtection="1"/>
    <xf numFmtId="177" fontId="8" fillId="0" borderId="0" xfId="0" applyNumberFormat="1" applyFont="1" applyFill="1" applyBorder="1"/>
    <xf numFmtId="177" fontId="26" fillId="0" borderId="0" xfId="0" applyNumberFormat="1" applyFont="1" applyFill="1" applyBorder="1"/>
    <xf numFmtId="179" fontId="14" fillId="0" borderId="0" xfId="0" applyNumberFormat="1" applyFont="1" applyFill="1" applyBorder="1" applyProtection="1"/>
    <xf numFmtId="179" fontId="8" fillId="0" borderId="0" xfId="0" applyNumberFormat="1" applyFont="1" applyFill="1" applyBorder="1" applyProtection="1"/>
    <xf numFmtId="169" fontId="8" fillId="0" borderId="0" xfId="0" applyNumberFormat="1" applyFont="1" applyFill="1" applyBorder="1" applyProtection="1"/>
    <xf numFmtId="176" fontId="8" fillId="0" borderId="0" xfId="20" applyNumberFormat="1" applyFont="1" applyBorder="1"/>
    <xf numFmtId="0" fontId="8" fillId="0" borderId="0" xfId="68" applyFont="1" applyBorder="1"/>
    <xf numFmtId="175" fontId="8" fillId="0" borderId="0" xfId="20" applyNumberFormat="1" applyFont="1" applyBorder="1"/>
    <xf numFmtId="166" fontId="28" fillId="0" borderId="0" xfId="70" applyNumberFormat="1" applyFont="1" applyBorder="1"/>
    <xf numFmtId="188" fontId="15" fillId="0" borderId="2" xfId="0" applyNumberFormat="1" applyFont="1" applyFill="1" applyBorder="1" applyAlignment="1">
      <alignment horizontal="right"/>
    </xf>
    <xf numFmtId="174" fontId="56" fillId="0" borderId="0" xfId="0" applyNumberFormat="1" applyFont="1" applyFill="1" applyBorder="1" applyAlignment="1">
      <alignment horizontal="right"/>
    </xf>
    <xf numFmtId="174" fontId="56" fillId="0" borderId="2" xfId="0" applyNumberFormat="1" applyFont="1" applyFill="1" applyBorder="1" applyAlignment="1">
      <alignment horizontal="right"/>
    </xf>
    <xf numFmtId="174" fontId="3" fillId="0" borderId="0" xfId="55" applyNumberFormat="1" applyFont="1" applyFill="1" applyAlignment="1">
      <alignment horizontal="right"/>
    </xf>
    <xf numFmtId="166" fontId="48" fillId="0" borderId="2" xfId="0" applyNumberFormat="1" applyFont="1" applyFill="1" applyBorder="1"/>
    <xf numFmtId="174" fontId="49" fillId="0" borderId="0" xfId="0" applyNumberFormat="1" applyFont="1" applyFill="1" applyBorder="1"/>
    <xf numFmtId="166" fontId="3" fillId="0" borderId="0" xfId="0" applyNumberFormat="1" applyFont="1" applyFill="1" applyBorder="1"/>
    <xf numFmtId="40" fontId="3" fillId="0" borderId="0" xfId="0" applyNumberFormat="1" applyFont="1" applyFill="1"/>
    <xf numFmtId="38" fontId="3" fillId="0" borderId="0" xfId="0" applyNumberFormat="1" applyFont="1" applyFill="1"/>
    <xf numFmtId="2" fontId="3" fillId="0" borderId="0" xfId="0" applyNumberFormat="1" applyFont="1" applyFill="1"/>
    <xf numFmtId="201" fontId="48" fillId="0" borderId="0" xfId="19" applyNumberFormat="1" applyFont="1" applyFill="1"/>
    <xf numFmtId="198" fontId="8" fillId="0" borderId="0" xfId="0" applyNumberFormat="1" applyFont="1" applyFill="1"/>
    <xf numFmtId="186" fontId="8" fillId="0" borderId="0" xfId="0" applyNumberFormat="1" applyFont="1" applyFill="1"/>
    <xf numFmtId="2" fontId="14" fillId="0" borderId="0" xfId="67" applyNumberFormat="1" applyFont="1" applyFill="1"/>
    <xf numFmtId="186" fontId="33" fillId="0" borderId="0" xfId="0" applyNumberFormat="1" applyFont="1" applyFill="1"/>
    <xf numFmtId="2" fontId="15" fillId="0" borderId="0" xfId="0" applyNumberFormat="1" applyFont="1" applyFill="1"/>
    <xf numFmtId="0" fontId="8" fillId="0" borderId="0" xfId="68" applyFont="1" applyFill="1"/>
    <xf numFmtId="175" fontId="8" fillId="0" borderId="0" xfId="20" applyNumberFormat="1" applyFont="1" applyFill="1"/>
    <xf numFmtId="167" fontId="8" fillId="0" borderId="8" xfId="19" applyNumberFormat="1" applyFont="1" applyFill="1" applyBorder="1"/>
    <xf numFmtId="1" fontId="8" fillId="0" borderId="2" xfId="19" applyNumberFormat="1" applyFont="1" applyFill="1" applyBorder="1" applyAlignment="1">
      <alignment horizontal="right"/>
    </xf>
    <xf numFmtId="168" fontId="8" fillId="0" borderId="0" xfId="32" applyNumberFormat="1" applyFont="1" applyFill="1" applyAlignment="1"/>
    <xf numFmtId="171" fontId="33" fillId="0" borderId="0" xfId="19" applyNumberFormat="1" applyFont="1" applyFill="1"/>
    <xf numFmtId="171" fontId="27" fillId="0" borderId="0" xfId="19" applyNumberFormat="1" applyFont="1" applyFill="1"/>
    <xf numFmtId="166" fontId="33" fillId="0" borderId="0" xfId="19" applyNumberFormat="1" applyFont="1" applyFill="1"/>
    <xf numFmtId="167" fontId="33" fillId="0" borderId="0" xfId="19" applyNumberFormat="1" applyFont="1" applyFill="1" applyBorder="1"/>
    <xf numFmtId="174" fontId="32" fillId="0" borderId="0" xfId="19" applyNumberFormat="1" applyFont="1" applyFill="1"/>
    <xf numFmtId="182" fontId="15" fillId="0" borderId="5" xfId="0" applyNumberFormat="1" applyFont="1" applyFill="1" applyBorder="1"/>
    <xf numFmtId="182" fontId="8" fillId="0" borderId="5" xfId="0" applyNumberFormat="1" applyFont="1" applyFill="1" applyBorder="1"/>
    <xf numFmtId="182" fontId="8" fillId="0" borderId="5" xfId="0" applyNumberFormat="1" applyFont="1" applyFill="1" applyBorder="1" applyAlignment="1">
      <alignment horizontal="center"/>
    </xf>
    <xf numFmtId="0" fontId="16" fillId="0" borderId="5" xfId="0" applyFont="1" applyFill="1" applyBorder="1"/>
    <xf numFmtId="7" fontId="8" fillId="0" borderId="0" xfId="31" applyNumberFormat="1" applyFont="1" applyFill="1" applyAlignment="1">
      <alignment horizontal="left"/>
    </xf>
    <xf numFmtId="1" fontId="15" fillId="0" borderId="0" xfId="19" applyNumberFormat="1" applyFont="1" applyFill="1"/>
    <xf numFmtId="167" fontId="8" fillId="0" borderId="0" xfId="19" applyNumberFormat="1" applyFont="1" applyFill="1" applyAlignment="1">
      <alignment horizontal="right"/>
    </xf>
    <xf numFmtId="184" fontId="60" fillId="0" borderId="0" xfId="60" applyNumberFormat="1" applyFont="1"/>
    <xf numFmtId="165" fontId="28" fillId="0" borderId="0" xfId="0" applyNumberFormat="1" applyFont="1" applyFill="1" applyBorder="1"/>
    <xf numFmtId="165" fontId="28" fillId="0" borderId="2" xfId="0" applyNumberFormat="1" applyFont="1" applyFill="1" applyBorder="1"/>
    <xf numFmtId="0" fontId="15" fillId="0" borderId="3" xfId="0" applyFont="1" applyFill="1" applyBorder="1" applyAlignment="1">
      <alignment horizontal="right"/>
    </xf>
    <xf numFmtId="193" fontId="27" fillId="0" borderId="0" xfId="19" applyNumberFormat="1" applyFont="1" applyFill="1"/>
    <xf numFmtId="8" fontId="66" fillId="0" borderId="2" xfId="70" applyNumberFormat="1" applyFont="1" applyFill="1" applyBorder="1"/>
    <xf numFmtId="8" fontId="66" fillId="0" borderId="0" xfId="70" applyNumberFormat="1" applyFont="1" applyFill="1" applyBorder="1"/>
    <xf numFmtId="8" fontId="66" fillId="0" borderId="0" xfId="0" applyNumberFormat="1" applyFont="1" applyFill="1"/>
    <xf numFmtId="177" fontId="59" fillId="0" borderId="0" xfId="0" applyNumberFormat="1" applyFont="1"/>
    <xf numFmtId="0" fontId="8" fillId="0" borderId="0" xfId="0" applyFont="1" applyFill="1" applyAlignment="1">
      <alignment horizontal="left" indent="3"/>
    </xf>
    <xf numFmtId="193" fontId="8" fillId="0" borderId="0" xfId="19" applyNumberFormat="1" applyFont="1" applyFill="1"/>
    <xf numFmtId="193" fontId="14" fillId="0" borderId="0" xfId="19" applyNumberFormat="1" applyFont="1" applyFill="1"/>
    <xf numFmtId="0" fontId="23" fillId="0" borderId="0" xfId="0" applyFont="1" applyFill="1" applyAlignment="1">
      <alignment horizontal="left" indent="4"/>
    </xf>
    <xf numFmtId="171" fontId="23" fillId="0" borderId="0" xfId="19" quotePrefix="1" applyNumberFormat="1" applyFont="1" applyFill="1" applyAlignment="1">
      <alignment horizontal="right"/>
    </xf>
    <xf numFmtId="178" fontId="23" fillId="0" borderId="0" xfId="0" applyNumberFormat="1" applyFont="1" applyFill="1" applyBorder="1" applyAlignment="1">
      <alignment horizontal="right"/>
    </xf>
    <xf numFmtId="166" fontId="43" fillId="0" borderId="0" xfId="70" applyNumberFormat="1" applyFont="1" applyFill="1"/>
    <xf numFmtId="166" fontId="23" fillId="0" borderId="2" xfId="70" applyNumberFormat="1" applyFont="1" applyFill="1" applyBorder="1"/>
    <xf numFmtId="222" fontId="8" fillId="0" borderId="0" xfId="19" quotePrefix="1" applyNumberFormat="1" applyFont="1" applyFill="1" applyBorder="1" applyAlignment="1">
      <alignment horizontal="right"/>
    </xf>
    <xf numFmtId="0" fontId="46" fillId="0" borderId="0" xfId="0" applyFont="1" applyFill="1"/>
    <xf numFmtId="171" fontId="23" fillId="0" borderId="2" xfId="19" quotePrefix="1" applyNumberFormat="1" applyFont="1" applyFill="1" applyBorder="1" applyAlignment="1">
      <alignment horizontal="right"/>
    </xf>
    <xf numFmtId="178" fontId="23" fillId="0" borderId="0" xfId="19" applyNumberFormat="1" applyFont="1" applyFill="1" applyBorder="1" applyAlignment="1">
      <alignment horizontal="right"/>
    </xf>
    <xf numFmtId="0" fontId="23" fillId="0" borderId="0" xfId="0" applyFont="1" applyFill="1" applyAlignment="1">
      <alignment horizontal="left" indent="3"/>
    </xf>
    <xf numFmtId="178" fontId="8" fillId="0" borderId="0" xfId="19" applyNumberFormat="1" applyFont="1" applyFill="1" applyBorder="1" applyAlignment="1">
      <alignment horizontal="right"/>
    </xf>
    <xf numFmtId="0" fontId="23" fillId="0" borderId="2" xfId="0" applyFont="1" applyFill="1" applyBorder="1"/>
    <xf numFmtId="0" fontId="15" fillId="0" borderId="0" xfId="0" applyFont="1" applyFill="1" applyAlignment="1">
      <alignment horizontal="left" indent="1"/>
    </xf>
    <xf numFmtId="0" fontId="23" fillId="0" borderId="0" xfId="0" applyFont="1" applyFill="1" applyAlignment="1">
      <alignment horizontal="left" indent="2"/>
    </xf>
    <xf numFmtId="0" fontId="8" fillId="0" borderId="0" xfId="0" applyFont="1" applyFill="1" applyAlignment="1">
      <alignment horizontal="left" indent="1"/>
    </xf>
    <xf numFmtId="222" fontId="23" fillId="0" borderId="0" xfId="19" quotePrefix="1" applyNumberFormat="1" applyFont="1" applyFill="1" applyBorder="1" applyAlignment="1">
      <alignment horizontal="right"/>
    </xf>
    <xf numFmtId="49" fontId="15" fillId="0" borderId="0" xfId="0" applyNumberFormat="1" applyFont="1" applyFill="1" applyAlignment="1">
      <alignment horizontal="left" indent="1"/>
    </xf>
    <xf numFmtId="0" fontId="23" fillId="0" borderId="0" xfId="0" applyFont="1" applyFill="1" applyAlignment="1">
      <alignment horizontal="left" indent="1"/>
    </xf>
    <xf numFmtId="193" fontId="15" fillId="0" borderId="0" xfId="19" applyNumberFormat="1" applyFont="1" applyFill="1"/>
    <xf numFmtId="193" fontId="31" fillId="0" borderId="0" xfId="19" applyNumberFormat="1" applyFont="1" applyFill="1"/>
    <xf numFmtId="166" fontId="23" fillId="0" borderId="0" xfId="70" applyNumberFormat="1" applyFont="1" applyFill="1" applyAlignment="1">
      <alignment horizontal="right"/>
    </xf>
    <xf numFmtId="167" fontId="23" fillId="0" borderId="0" xfId="19" applyNumberFormat="1" applyFont="1" applyFill="1" applyBorder="1"/>
    <xf numFmtId="171" fontId="23" fillId="0" borderId="0" xfId="19" quotePrefix="1" applyNumberFormat="1" applyFont="1" applyFill="1" applyBorder="1" applyAlignment="1">
      <alignment horizontal="right"/>
    </xf>
    <xf numFmtId="166" fontId="43" fillId="0" borderId="0" xfId="0" applyNumberFormat="1" applyFont="1" applyFill="1"/>
    <xf numFmtId="184" fontId="27" fillId="0" borderId="0" xfId="0" applyNumberFormat="1" applyFont="1" applyFill="1"/>
    <xf numFmtId="184" fontId="14" fillId="0" borderId="0" xfId="0" applyNumberFormat="1" applyFont="1" applyFill="1"/>
    <xf numFmtId="173" fontId="23" fillId="0" borderId="0" xfId="0" applyNumberFormat="1" applyFont="1" applyFill="1"/>
    <xf numFmtId="43" fontId="27" fillId="0" borderId="0" xfId="70" applyNumberFormat="1" applyFont="1" applyFill="1"/>
    <xf numFmtId="166" fontId="15" fillId="0" borderId="0" xfId="70" applyNumberFormat="1" applyFont="1" applyFill="1"/>
    <xf numFmtId="180" fontId="3" fillId="0" borderId="2" xfId="70" applyNumberFormat="1" applyFont="1" applyFill="1" applyBorder="1"/>
    <xf numFmtId="171" fontId="27" fillId="0" borderId="0" xfId="70" applyNumberFormat="1" applyFont="1" applyFill="1"/>
    <xf numFmtId="4" fontId="48" fillId="0" borderId="0" xfId="70" applyNumberFormat="1" applyFont="1" applyFill="1"/>
    <xf numFmtId="180" fontId="67" fillId="0" borderId="0" xfId="70" applyNumberFormat="1" applyFont="1" applyFill="1"/>
    <xf numFmtId="180" fontId="67" fillId="0" borderId="0" xfId="0" applyNumberFormat="1" applyFont="1" applyFill="1" applyBorder="1"/>
    <xf numFmtId="0" fontId="0" fillId="0" borderId="2" xfId="0" applyFill="1" applyBorder="1"/>
    <xf numFmtId="167" fontId="56" fillId="0" borderId="2" xfId="19" applyNumberFormat="1" applyFont="1" applyFill="1" applyBorder="1"/>
    <xf numFmtId="166" fontId="27" fillId="0" borderId="2" xfId="70" applyNumberFormat="1" applyFont="1" applyFill="1" applyBorder="1"/>
    <xf numFmtId="4" fontId="56" fillId="0" borderId="0" xfId="0" applyNumberFormat="1" applyFont="1" applyFill="1"/>
    <xf numFmtId="174" fontId="60" fillId="0" borderId="0" xfId="19" applyNumberFormat="1" applyFont="1" applyFill="1"/>
    <xf numFmtId="165" fontId="0" fillId="0" borderId="0" xfId="0" applyNumberFormat="1" applyFill="1"/>
    <xf numFmtId="225" fontId="8" fillId="0" borderId="0" xfId="31" applyNumberFormat="1" applyFont="1"/>
    <xf numFmtId="182" fontId="8" fillId="4" borderId="0" xfId="0" applyNumberFormat="1" applyFont="1" applyFill="1"/>
    <xf numFmtId="205" fontId="8" fillId="0" borderId="0" xfId="0" applyNumberFormat="1" applyFont="1"/>
    <xf numFmtId="165" fontId="3" fillId="0" borderId="0" xfId="0" applyNumberFormat="1" applyFont="1" applyFill="1"/>
    <xf numFmtId="171" fontId="15" fillId="0" borderId="0" xfId="19" applyNumberFormat="1" applyFont="1" applyFill="1" applyBorder="1" applyAlignment="1">
      <alignment horizontal="left"/>
    </xf>
    <xf numFmtId="171" fontId="8" fillId="0" borderId="0" xfId="19" applyNumberFormat="1" applyFont="1" applyFill="1" applyBorder="1" applyAlignment="1">
      <alignment horizontal="right"/>
    </xf>
    <xf numFmtId="171" fontId="8" fillId="0" borderId="2" xfId="0" applyNumberFormat="1" applyFont="1" applyBorder="1"/>
    <xf numFmtId="0" fontId="15" fillId="0" borderId="0" xfId="0" applyFont="1" applyAlignment="1">
      <alignment horizontal="centerContinuous"/>
    </xf>
    <xf numFmtId="5" fontId="15" fillId="0" borderId="8" xfId="0" applyNumberFormat="1" applyFont="1" applyBorder="1"/>
    <xf numFmtId="0" fontId="15" fillId="5" borderId="9" xfId="0" applyFont="1" applyFill="1" applyBorder="1" applyAlignment="1">
      <alignment horizontal="right"/>
    </xf>
    <xf numFmtId="171" fontId="8" fillId="5" borderId="10" xfId="0" applyNumberFormat="1" applyFont="1" applyFill="1" applyBorder="1"/>
    <xf numFmtId="171" fontId="8" fillId="5" borderId="9" xfId="0" applyNumberFormat="1" applyFont="1" applyFill="1" applyBorder="1"/>
    <xf numFmtId="5" fontId="15" fillId="5" borderId="11" xfId="0" applyNumberFormat="1" applyFont="1" applyFill="1" applyBorder="1"/>
    <xf numFmtId="0" fontId="0" fillId="5" borderId="10" xfId="0" applyFill="1" applyBorder="1"/>
    <xf numFmtId="0" fontId="0" fillId="5" borderId="9" xfId="0" applyFill="1" applyBorder="1"/>
    <xf numFmtId="171" fontId="15" fillId="0" borderId="2" xfId="19" applyNumberFormat="1" applyFont="1" applyFill="1" applyBorder="1" applyAlignment="1">
      <alignment horizontal="center"/>
    </xf>
    <xf numFmtId="229" fontId="3" fillId="0" borderId="8" xfId="0" applyNumberFormat="1" applyFont="1" applyBorder="1"/>
    <xf numFmtId="229" fontId="3" fillId="0" borderId="0" xfId="0" applyNumberFormat="1" applyFont="1" applyBorder="1"/>
    <xf numFmtId="193" fontId="15" fillId="0" borderId="8" xfId="0" applyNumberFormat="1" applyFont="1" applyBorder="1"/>
    <xf numFmtId="171" fontId="8" fillId="0" borderId="10" xfId="19" applyNumberFormat="1" applyFont="1" applyFill="1" applyBorder="1" applyAlignment="1">
      <alignment horizontal="center"/>
    </xf>
    <xf numFmtId="5" fontId="15" fillId="0" borderId="11" xfId="0" applyNumberFormat="1" applyFont="1" applyBorder="1"/>
    <xf numFmtId="0" fontId="0" fillId="0" borderId="10" xfId="0" applyBorder="1"/>
    <xf numFmtId="0" fontId="15" fillId="5" borderId="13" xfId="0" applyFont="1" applyFill="1" applyBorder="1" applyAlignment="1">
      <alignment horizontal="right"/>
    </xf>
    <xf numFmtId="0" fontId="8" fillId="5" borderId="14" xfId="0" applyFont="1" applyFill="1" applyBorder="1"/>
    <xf numFmtId="5" fontId="15" fillId="5" borderId="15" xfId="0" applyNumberFormat="1" applyFont="1" applyFill="1" applyBorder="1"/>
    <xf numFmtId="0" fontId="0" fillId="5" borderId="14" xfId="0" applyFill="1" applyBorder="1"/>
    <xf numFmtId="0" fontId="0" fillId="5" borderId="13" xfId="0" applyFill="1" applyBorder="1"/>
    <xf numFmtId="0" fontId="0" fillId="0" borderId="0" xfId="0" applyFill="1" applyBorder="1"/>
    <xf numFmtId="166" fontId="0" fillId="0" borderId="0" xfId="70" applyNumberFormat="1" applyFont="1" applyFill="1"/>
    <xf numFmtId="184" fontId="60" fillId="0" borderId="0" xfId="60" applyNumberFormat="1" applyFont="1" applyFill="1"/>
    <xf numFmtId="8" fontId="15" fillId="0" borderId="0" xfId="0" applyNumberFormat="1" applyFont="1" applyFill="1"/>
    <xf numFmtId="0" fontId="0" fillId="0" borderId="8" xfId="0" applyBorder="1"/>
    <xf numFmtId="165" fontId="8" fillId="7" borderId="0" xfId="0" applyNumberFormat="1" applyFont="1" applyFill="1"/>
    <xf numFmtId="0" fontId="8" fillId="7" borderId="0" xfId="0" quotePrefix="1" applyFont="1" applyFill="1" applyBorder="1" applyAlignment="1">
      <alignment horizontal="center"/>
    </xf>
    <xf numFmtId="0" fontId="8" fillId="7" borderId="0" xfId="0" applyFont="1" applyFill="1" applyBorder="1" applyAlignment="1">
      <alignment horizontal="center"/>
    </xf>
    <xf numFmtId="190" fontId="8" fillId="7" borderId="0" xfId="0" applyNumberFormat="1" applyFont="1" applyFill="1" applyBorder="1" applyAlignment="1">
      <alignment horizontal="center"/>
    </xf>
    <xf numFmtId="0" fontId="14" fillId="7" borderId="0" xfId="0" applyFont="1" applyFill="1" applyBorder="1" applyAlignment="1">
      <alignment horizontal="center"/>
    </xf>
    <xf numFmtId="165" fontId="28" fillId="7" borderId="0" xfId="19" applyNumberFormat="1" applyFont="1" applyFill="1"/>
    <xf numFmtId="169" fontId="14" fillId="7" borderId="0" xfId="0" applyNumberFormat="1" applyFont="1" applyFill="1"/>
    <xf numFmtId="166" fontId="23" fillId="7" borderId="0" xfId="70" applyNumberFormat="1" applyFont="1" applyFill="1"/>
    <xf numFmtId="0" fontId="8" fillId="7" borderId="0" xfId="0" applyFont="1" applyFill="1" applyAlignment="1"/>
    <xf numFmtId="167" fontId="8" fillId="7" borderId="0" xfId="19" applyNumberFormat="1" applyFont="1" applyFill="1"/>
    <xf numFmtId="40" fontId="8" fillId="7" borderId="0" xfId="19" applyNumberFormat="1" applyFont="1" applyFill="1"/>
    <xf numFmtId="165" fontId="8" fillId="7" borderId="0" xfId="19" applyNumberFormat="1" applyFont="1" applyFill="1" applyAlignment="1">
      <alignment horizontal="right" wrapText="1"/>
    </xf>
    <xf numFmtId="9" fontId="8" fillId="7" borderId="0" xfId="19" applyNumberFormat="1" applyFont="1" applyFill="1"/>
    <xf numFmtId="187" fontId="8" fillId="7" borderId="0" xfId="70" applyNumberFormat="1" applyFont="1" applyFill="1"/>
    <xf numFmtId="187" fontId="14" fillId="7" borderId="0" xfId="70" applyNumberFormat="1" applyFont="1" applyFill="1"/>
    <xf numFmtId="171" fontId="8" fillId="7" borderId="0" xfId="19" applyNumberFormat="1" applyFont="1" applyFill="1" applyBorder="1"/>
    <xf numFmtId="165" fontId="8" fillId="7" borderId="0" xfId="0" applyNumberFormat="1" applyFont="1" applyFill="1" applyBorder="1"/>
    <xf numFmtId="169" fontId="59" fillId="0" borderId="0" xfId="31" applyNumberFormat="1" applyFont="1" applyFill="1"/>
    <xf numFmtId="49" fontId="8" fillId="0" borderId="8" xfId="0" applyNumberFormat="1" applyFont="1" applyBorder="1"/>
    <xf numFmtId="0" fontId="8" fillId="0" borderId="8" xfId="0" applyFont="1" applyBorder="1"/>
    <xf numFmtId="167" fontId="8" fillId="0" borderId="8" xfId="0" applyNumberFormat="1" applyFont="1" applyBorder="1"/>
    <xf numFmtId="49" fontId="35" fillId="0" borderId="0" xfId="0" applyNumberFormat="1" applyFont="1"/>
    <xf numFmtId="167" fontId="14" fillId="7" borderId="0" xfId="19" applyNumberFormat="1" applyFont="1" applyFill="1"/>
    <xf numFmtId="173" fontId="14" fillId="7" borderId="0" xfId="0" applyNumberFormat="1" applyFont="1" applyFill="1"/>
    <xf numFmtId="178" fontId="27" fillId="0" borderId="0" xfId="0" applyNumberFormat="1" applyFont="1"/>
    <xf numFmtId="49" fontId="26" fillId="0" borderId="0" xfId="0" applyNumberFormat="1" applyFont="1"/>
    <xf numFmtId="173" fontId="8" fillId="7" borderId="0" xfId="19" applyNumberFormat="1" applyFont="1" applyFill="1"/>
    <xf numFmtId="173" fontId="8" fillId="0" borderId="8" xfId="0" applyNumberFormat="1" applyFont="1" applyBorder="1"/>
    <xf numFmtId="168" fontId="8" fillId="7" borderId="0" xfId="19" applyNumberFormat="1" applyFont="1" applyFill="1"/>
    <xf numFmtId="168" fontId="8" fillId="0" borderId="8" xfId="0" applyNumberFormat="1" applyFont="1" applyBorder="1"/>
    <xf numFmtId="2" fontId="8" fillId="7" borderId="0" xfId="19" applyNumberFormat="1" applyFont="1" applyFill="1"/>
    <xf numFmtId="180" fontId="15" fillId="0" borderId="0" xfId="0" applyNumberFormat="1" applyFont="1"/>
    <xf numFmtId="9" fontId="33" fillId="0" borderId="0" xfId="70" applyFont="1"/>
    <xf numFmtId="173" fontId="0" fillId="0" borderId="0" xfId="0" applyNumberFormat="1"/>
    <xf numFmtId="43" fontId="0" fillId="0" borderId="0" xfId="19" applyFont="1"/>
    <xf numFmtId="0" fontId="15" fillId="0" borderId="8" xfId="0" applyFont="1" applyFill="1" applyBorder="1"/>
    <xf numFmtId="0" fontId="15" fillId="0" borderId="0" xfId="58" quotePrefix="1" applyFont="1" applyFill="1" applyBorder="1" applyAlignment="1">
      <alignment horizontal="left"/>
    </xf>
    <xf numFmtId="167" fontId="3" fillId="0" borderId="0" xfId="19" applyNumberFormat="1" applyFont="1"/>
    <xf numFmtId="0" fontId="3" fillId="0" borderId="0" xfId="0" applyFont="1" applyAlignment="1">
      <alignment horizontal="center"/>
    </xf>
    <xf numFmtId="0" fontId="0" fillId="9" borderId="0" xfId="0" applyFill="1"/>
    <xf numFmtId="176" fontId="8" fillId="9" borderId="0" xfId="20" applyNumberFormat="1" applyFont="1" applyFill="1"/>
    <xf numFmtId="0" fontId="8" fillId="9" borderId="0" xfId="0" applyFont="1" applyFill="1"/>
    <xf numFmtId="179" fontId="14" fillId="9" borderId="0" xfId="0" applyNumberFormat="1" applyFont="1" applyFill="1" applyProtection="1"/>
    <xf numFmtId="0" fontId="3" fillId="0" borderId="0" xfId="58" applyFont="1" applyFill="1"/>
    <xf numFmtId="235" fontId="14" fillId="0" borderId="0" xfId="0" applyNumberFormat="1" applyFont="1" applyFill="1" applyProtection="1"/>
    <xf numFmtId="235" fontId="8" fillId="0" borderId="0" xfId="0" applyNumberFormat="1" applyFont="1" applyFill="1"/>
    <xf numFmtId="166" fontId="3" fillId="0" borderId="0" xfId="70" applyNumberFormat="1" applyFont="1" applyFill="1" applyAlignment="1">
      <alignment horizontal="right"/>
    </xf>
    <xf numFmtId="0" fontId="72" fillId="0" borderId="0" xfId="0" applyFont="1" applyFill="1"/>
    <xf numFmtId="166" fontId="72" fillId="0" borderId="2" xfId="70" applyNumberFormat="1" applyFont="1" applyBorder="1"/>
    <xf numFmtId="166" fontId="73" fillId="0" borderId="0" xfId="70" applyNumberFormat="1" applyFont="1" applyFill="1"/>
    <xf numFmtId="166" fontId="72" fillId="0" borderId="2" xfId="70" applyNumberFormat="1" applyFont="1" applyFill="1" applyBorder="1"/>
    <xf numFmtId="8" fontId="72" fillId="0" borderId="0" xfId="0" applyNumberFormat="1" applyFont="1" applyFill="1"/>
    <xf numFmtId="166" fontId="72" fillId="0" borderId="0" xfId="0" applyNumberFormat="1" applyFont="1" applyFill="1"/>
    <xf numFmtId="166" fontId="73" fillId="0" borderId="0" xfId="0" applyNumberFormat="1" applyFont="1" applyFill="1"/>
    <xf numFmtId="184" fontId="72" fillId="0" borderId="2" xfId="70" applyNumberFormat="1" applyFont="1" applyBorder="1"/>
    <xf numFmtId="0" fontId="72" fillId="0" borderId="0" xfId="0" applyFont="1" applyFill="1" applyBorder="1"/>
    <xf numFmtId="166" fontId="73" fillId="7" borderId="0" xfId="0" applyNumberFormat="1" applyFont="1" applyFill="1"/>
    <xf numFmtId="166" fontId="74" fillId="0" borderId="0" xfId="0" applyNumberFormat="1" applyFont="1" applyFill="1"/>
    <xf numFmtId="184" fontId="27" fillId="0" borderId="0" xfId="70" applyNumberFormat="1" applyFont="1" applyFill="1"/>
    <xf numFmtId="180" fontId="27" fillId="0" borderId="0" xfId="0" applyNumberFormat="1" applyFont="1" applyFill="1" applyBorder="1"/>
    <xf numFmtId="0" fontId="72" fillId="0" borderId="2" xfId="0" applyFont="1" applyFill="1" applyBorder="1" applyAlignment="1">
      <alignment horizontal="right"/>
    </xf>
    <xf numFmtId="0" fontId="3" fillId="0" borderId="5" xfId="0" applyFont="1" applyFill="1" applyBorder="1" applyAlignment="1">
      <alignment horizontal="right"/>
    </xf>
    <xf numFmtId="166" fontId="3" fillId="0" borderId="2" xfId="0" applyNumberFormat="1" applyFont="1" applyFill="1" applyBorder="1" applyAlignment="1">
      <alignment horizontal="right"/>
    </xf>
    <xf numFmtId="165" fontId="3" fillId="0" borderId="6" xfId="0" applyNumberFormat="1" applyFont="1" applyFill="1" applyBorder="1"/>
    <xf numFmtId="165" fontId="3" fillId="7" borderId="0" xfId="0" applyNumberFormat="1" applyFont="1" applyFill="1" applyBorder="1"/>
    <xf numFmtId="166" fontId="3" fillId="0" borderId="0" xfId="70" quotePrefix="1" applyNumberFormat="1" applyFont="1" applyFill="1" applyAlignment="1">
      <alignment horizontal="right"/>
    </xf>
    <xf numFmtId="166" fontId="3" fillId="0" borderId="0" xfId="70" quotePrefix="1" applyNumberFormat="1" applyFont="1" applyAlignment="1">
      <alignment horizontal="right"/>
    </xf>
    <xf numFmtId="2" fontId="3" fillId="0" borderId="0" xfId="0" applyNumberFormat="1" applyFont="1" applyFill="1" applyBorder="1"/>
    <xf numFmtId="165" fontId="3" fillId="0" borderId="0" xfId="19" applyNumberFormat="1" applyFont="1" applyFill="1"/>
    <xf numFmtId="179" fontId="3" fillId="0" borderId="0" xfId="0" applyNumberFormat="1" applyFont="1" applyFill="1" applyProtection="1"/>
    <xf numFmtId="169" fontId="3" fillId="0" borderId="0" xfId="0" applyNumberFormat="1" applyFont="1" applyFill="1" applyProtection="1"/>
    <xf numFmtId="176" fontId="3" fillId="0" borderId="0" xfId="20" applyNumberFormat="1" applyFont="1" applyFill="1"/>
    <xf numFmtId="2" fontId="3" fillId="0" borderId="0" xfId="0" applyNumberFormat="1" applyFont="1" applyBorder="1"/>
    <xf numFmtId="185" fontId="3" fillId="0" borderId="0" xfId="0" applyNumberFormat="1" applyFont="1"/>
    <xf numFmtId="164" fontId="3" fillId="0" borderId="0" xfId="0" applyNumberFormat="1" applyFont="1"/>
    <xf numFmtId="186" fontId="3" fillId="0" borderId="0" xfId="0" applyNumberFormat="1" applyFont="1"/>
    <xf numFmtId="186" fontId="3" fillId="0" borderId="0" xfId="60" applyNumberFormat="1" applyFont="1"/>
    <xf numFmtId="185" fontId="3" fillId="0" borderId="0" xfId="0" applyNumberFormat="1" applyFont="1" applyFill="1"/>
    <xf numFmtId="1" fontId="3" fillId="0" borderId="0" xfId="0" applyNumberFormat="1" applyFont="1" applyFill="1"/>
    <xf numFmtId="1" fontId="3" fillId="0" borderId="0" xfId="0" applyNumberFormat="1" applyFont="1"/>
    <xf numFmtId="165" fontId="14" fillId="7" borderId="0" xfId="0" applyNumberFormat="1" applyFont="1" applyFill="1"/>
    <xf numFmtId="174" fontId="3" fillId="7" borderId="0" xfId="0" applyNumberFormat="1" applyFont="1" applyFill="1"/>
    <xf numFmtId="165" fontId="8" fillId="7" borderId="2" xfId="0" applyNumberFormat="1" applyFont="1" applyFill="1" applyBorder="1"/>
    <xf numFmtId="174" fontId="74" fillId="0" borderId="0" xfId="0" applyNumberFormat="1" applyFont="1" applyFill="1" applyAlignment="1">
      <alignment horizontal="right"/>
    </xf>
    <xf numFmtId="166" fontId="72" fillId="0" borderId="0" xfId="0" applyNumberFormat="1" applyFont="1" applyFill="1" applyBorder="1" applyAlignment="1">
      <alignment horizontal="right"/>
    </xf>
    <xf numFmtId="174" fontId="72" fillId="0" borderId="0" xfId="55" applyNumberFormat="1" applyFont="1" applyFill="1" applyAlignment="1">
      <alignment horizontal="right"/>
    </xf>
    <xf numFmtId="166" fontId="72" fillId="0" borderId="2" xfId="0" applyNumberFormat="1" applyFont="1" applyFill="1" applyBorder="1"/>
    <xf numFmtId="174" fontId="75" fillId="0" borderId="0" xfId="0" applyNumberFormat="1" applyFont="1" applyFill="1"/>
    <xf numFmtId="218" fontId="72" fillId="0" borderId="0" xfId="0" applyNumberFormat="1" applyFont="1" applyFill="1" applyBorder="1" applyAlignment="1">
      <alignment horizontal="right"/>
    </xf>
    <xf numFmtId="174" fontId="72" fillId="0" borderId="0" xfId="0" applyNumberFormat="1" applyFont="1" applyFill="1" applyBorder="1"/>
    <xf numFmtId="174" fontId="75" fillId="0" borderId="0" xfId="0" applyNumberFormat="1" applyFont="1" applyFill="1" applyBorder="1" applyAlignment="1">
      <alignment horizontal="right"/>
    </xf>
    <xf numFmtId="174" fontId="72" fillId="0" borderId="0" xfId="0" applyNumberFormat="1" applyFont="1" applyFill="1"/>
    <xf numFmtId="165" fontId="73" fillId="0" borderId="2" xfId="0" applyNumberFormat="1" applyFont="1" applyFill="1" applyBorder="1"/>
    <xf numFmtId="174" fontId="75" fillId="0" borderId="0" xfId="0" applyNumberFormat="1" applyFont="1" applyFill="1" applyBorder="1"/>
    <xf numFmtId="166" fontId="72" fillId="0" borderId="0" xfId="0" applyNumberFormat="1" applyFont="1" applyFill="1" applyBorder="1"/>
    <xf numFmtId="40" fontId="72" fillId="0" borderId="0" xfId="0" applyNumberFormat="1" applyFont="1" applyFill="1"/>
    <xf numFmtId="38" fontId="72" fillId="0" borderId="0" xfId="0" applyNumberFormat="1" applyFont="1" applyFill="1"/>
    <xf numFmtId="38" fontId="72" fillId="4" borderId="0" xfId="0" applyNumberFormat="1" applyFont="1" applyFill="1"/>
    <xf numFmtId="220" fontId="72" fillId="4" borderId="0" xfId="0" applyNumberFormat="1" applyFont="1" applyFill="1"/>
    <xf numFmtId="165" fontId="72" fillId="7" borderId="0" xfId="0" applyNumberFormat="1" applyFont="1" applyFill="1" applyBorder="1"/>
    <xf numFmtId="165" fontId="72" fillId="7" borderId="2" xfId="0" applyNumberFormat="1" applyFont="1" applyFill="1" applyBorder="1"/>
    <xf numFmtId="165" fontId="3" fillId="7" borderId="2" xfId="0" applyNumberFormat="1" applyFont="1" applyFill="1" applyBorder="1"/>
    <xf numFmtId="166" fontId="73" fillId="7" borderId="0" xfId="70" applyNumberFormat="1" applyFont="1" applyFill="1"/>
    <xf numFmtId="166" fontId="73" fillId="7" borderId="0" xfId="0" applyNumberFormat="1" applyFont="1" applyFill="1" applyBorder="1"/>
    <xf numFmtId="174" fontId="72" fillId="7" borderId="0" xfId="0" applyNumberFormat="1" applyFont="1" applyFill="1" applyBorder="1"/>
    <xf numFmtId="174" fontId="3" fillId="7" borderId="0" xfId="0" applyNumberFormat="1" applyFont="1" applyFill="1" applyBorder="1"/>
    <xf numFmtId="166" fontId="73" fillId="7" borderId="2" xfId="0" applyNumberFormat="1" applyFont="1" applyFill="1" applyBorder="1"/>
    <xf numFmtId="165" fontId="14" fillId="7" borderId="2" xfId="0" applyNumberFormat="1" applyFont="1" applyFill="1" applyBorder="1"/>
    <xf numFmtId="165" fontId="3" fillId="7" borderId="0" xfId="0" applyNumberFormat="1" applyFont="1" applyFill="1"/>
    <xf numFmtId="0" fontId="76" fillId="0" borderId="2" xfId="0" applyFont="1" applyBorder="1" applyAlignment="1">
      <alignment horizontal="right"/>
    </xf>
    <xf numFmtId="165" fontId="3" fillId="0" borderId="2" xfId="19" applyNumberFormat="1" applyFont="1" applyFill="1" applyBorder="1"/>
    <xf numFmtId="167" fontId="3" fillId="0" borderId="0" xfId="0" applyNumberFormat="1" applyFont="1" applyFill="1"/>
    <xf numFmtId="9" fontId="3" fillId="0" borderId="0" xfId="70" applyFont="1" applyFill="1" applyAlignment="1">
      <alignment horizontal="right"/>
    </xf>
    <xf numFmtId="0" fontId="3" fillId="7" borderId="0" xfId="0" applyFont="1" applyFill="1"/>
    <xf numFmtId="0" fontId="76" fillId="0" borderId="0" xfId="0" applyFont="1" applyFill="1"/>
    <xf numFmtId="0" fontId="3" fillId="7" borderId="2" xfId="0" applyFont="1" applyFill="1" applyBorder="1"/>
    <xf numFmtId="222" fontId="23" fillId="7" borderId="0" xfId="19" quotePrefix="1" applyNumberFormat="1" applyFont="1" applyFill="1" applyBorder="1" applyAlignment="1">
      <alignment horizontal="right"/>
    </xf>
    <xf numFmtId="0" fontId="23" fillId="7" borderId="2" xfId="0" applyFont="1" applyFill="1" applyBorder="1"/>
    <xf numFmtId="193" fontId="15" fillId="7" borderId="0" xfId="19" applyNumberFormat="1" applyFont="1" applyFill="1"/>
    <xf numFmtId="166" fontId="23" fillId="7" borderId="0" xfId="70" applyNumberFormat="1" applyFont="1" applyFill="1" applyBorder="1"/>
    <xf numFmtId="0" fontId="23" fillId="7" borderId="0" xfId="0" applyFont="1" applyFill="1"/>
    <xf numFmtId="174" fontId="27" fillId="7" borderId="0" xfId="0" applyNumberFormat="1" applyFont="1" applyFill="1"/>
    <xf numFmtId="165" fontId="3" fillId="0" borderId="0" xfId="70" applyNumberFormat="1" applyFont="1" applyFill="1"/>
    <xf numFmtId="166" fontId="3" fillId="4" borderId="0" xfId="70" applyNumberFormat="1" applyFont="1" applyFill="1"/>
    <xf numFmtId="8" fontId="3" fillId="0" borderId="2" xfId="70" applyNumberFormat="1" applyFont="1" applyFill="1" applyBorder="1"/>
    <xf numFmtId="166" fontId="14" fillId="7" borderId="0" xfId="70" applyNumberFormat="1" applyFont="1" applyFill="1"/>
    <xf numFmtId="2" fontId="3" fillId="0" borderId="8" xfId="0" applyNumberFormat="1" applyFont="1" applyBorder="1"/>
    <xf numFmtId="167" fontId="3" fillId="0" borderId="8" xfId="19" applyNumberFormat="1" applyFont="1" applyBorder="1"/>
    <xf numFmtId="174" fontId="8" fillId="0" borderId="8" xfId="0" applyNumberFormat="1" applyFont="1" applyBorder="1"/>
    <xf numFmtId="174" fontId="8" fillId="0" borderId="8" xfId="0" applyNumberFormat="1" applyFont="1" applyFill="1" applyBorder="1"/>
    <xf numFmtId="0" fontId="35" fillId="0" borderId="0" xfId="0" applyFont="1" applyAlignment="1">
      <alignment horizontal="center"/>
    </xf>
    <xf numFmtId="165" fontId="77" fillId="0" borderId="0" xfId="0" applyNumberFormat="1" applyFont="1"/>
    <xf numFmtId="9" fontId="3" fillId="7" borderId="0" xfId="70" applyFont="1" applyFill="1"/>
    <xf numFmtId="9" fontId="3" fillId="7" borderId="8" xfId="70" applyFont="1" applyFill="1" applyBorder="1"/>
    <xf numFmtId="0" fontId="3" fillId="0" borderId="2" xfId="0" applyFont="1" applyBorder="1" applyAlignment="1">
      <alignment horizontal="center"/>
    </xf>
    <xf numFmtId="167" fontId="3" fillId="7" borderId="2" xfId="19" applyNumberFormat="1" applyFont="1" applyFill="1" applyBorder="1"/>
    <xf numFmtId="167" fontId="3" fillId="7" borderId="0" xfId="19" applyNumberFormat="1" applyFont="1" applyFill="1"/>
    <xf numFmtId="0" fontId="15" fillId="7" borderId="0" xfId="0" applyFont="1" applyFill="1"/>
    <xf numFmtId="167" fontId="15" fillId="7" borderId="0" xfId="19" applyNumberFormat="1" applyFont="1" applyFill="1"/>
    <xf numFmtId="0" fontId="8" fillId="0" borderId="8" xfId="0" applyFont="1" applyBorder="1" applyAlignment="1">
      <alignment horizontal="center"/>
    </xf>
    <xf numFmtId="0" fontId="8" fillId="0" borderId="8" xfId="0" quotePrefix="1" applyFont="1" applyBorder="1" applyAlignment="1">
      <alignment horizontal="center"/>
    </xf>
    <xf numFmtId="190" fontId="8" fillId="0" borderId="8" xfId="0" applyNumberFormat="1" applyFont="1" applyFill="1" applyBorder="1" applyAlignment="1">
      <alignment horizontal="center"/>
    </xf>
    <xf numFmtId="190" fontId="8" fillId="0" borderId="8" xfId="0" applyNumberFormat="1" applyFont="1" applyBorder="1" applyAlignment="1">
      <alignment horizontal="center"/>
    </xf>
    <xf numFmtId="190" fontId="14" fillId="0" borderId="8" xfId="0" applyNumberFormat="1" applyFont="1" applyBorder="1" applyAlignment="1">
      <alignment horizontal="center"/>
    </xf>
    <xf numFmtId="171" fontId="8" fillId="0" borderId="8" xfId="19" applyNumberFormat="1" applyFont="1" applyBorder="1" applyAlignment="1">
      <alignment horizontal="center"/>
    </xf>
    <xf numFmtId="0" fontId="3" fillId="0" borderId="0" xfId="0" applyFont="1" applyFill="1" applyBorder="1" applyAlignment="1">
      <alignment horizontal="center"/>
    </xf>
    <xf numFmtId="0" fontId="3" fillId="0" borderId="0" xfId="0" applyFont="1" applyBorder="1" applyAlignment="1">
      <alignment horizontal="center"/>
    </xf>
    <xf numFmtId="171" fontId="8" fillId="7" borderId="0" xfId="19" applyNumberFormat="1" applyFont="1" applyFill="1" applyBorder="1" applyAlignment="1">
      <alignment horizontal="center"/>
    </xf>
    <xf numFmtId="171" fontId="3" fillId="0" borderId="0" xfId="19" applyNumberFormat="1" applyFont="1" applyFill="1" applyBorder="1" applyAlignment="1">
      <alignment horizontal="center"/>
    </xf>
    <xf numFmtId="0" fontId="15" fillId="0" borderId="8" xfId="0" applyFont="1" applyBorder="1"/>
    <xf numFmtId="0" fontId="8" fillId="0" borderId="7" xfId="0" applyFont="1" applyBorder="1" applyAlignment="1">
      <alignment horizontal="center"/>
    </xf>
    <xf numFmtId="0" fontId="14" fillId="0" borderId="7" xfId="0" applyFont="1" applyBorder="1"/>
    <xf numFmtId="190" fontId="14" fillId="0" borderId="7" xfId="0" applyNumberFormat="1" applyFont="1" applyBorder="1" applyAlignment="1">
      <alignment horizontal="center"/>
    </xf>
    <xf numFmtId="171" fontId="8" fillId="0" borderId="7" xfId="19" applyNumberFormat="1" applyFont="1" applyBorder="1" applyAlignment="1">
      <alignment horizontal="center"/>
    </xf>
    <xf numFmtId="166" fontId="79" fillId="0" borderId="0" xfId="70" applyNumberFormat="1" applyFont="1"/>
    <xf numFmtId="171" fontId="80" fillId="0" borderId="6" xfId="0" applyNumberFormat="1" applyFont="1" applyFill="1" applyBorder="1"/>
    <xf numFmtId="171" fontId="3" fillId="0" borderId="0" xfId="19" applyNumberFormat="1" applyFont="1" applyFill="1"/>
    <xf numFmtId="171" fontId="80" fillId="0" borderId="0" xfId="19" applyNumberFormat="1" applyFont="1" applyFill="1"/>
    <xf numFmtId="171" fontId="23" fillId="0" borderId="0" xfId="0" applyNumberFormat="1" applyFont="1" applyFill="1"/>
    <xf numFmtId="190" fontId="8" fillId="0" borderId="0" xfId="0" applyNumberFormat="1" applyFont="1" applyBorder="1"/>
    <xf numFmtId="190" fontId="60" fillId="0" borderId="8" xfId="0" applyNumberFormat="1" applyFont="1" applyBorder="1"/>
    <xf numFmtId="190" fontId="15" fillId="0" borderId="8" xfId="0" applyNumberFormat="1" applyFont="1" applyFill="1" applyBorder="1"/>
    <xf numFmtId="180" fontId="8" fillId="0" borderId="0" xfId="31" applyNumberFormat="1" applyFont="1" applyBorder="1"/>
    <xf numFmtId="190" fontId="15" fillId="0" borderId="8" xfId="0" applyNumberFormat="1" applyFont="1" applyBorder="1"/>
    <xf numFmtId="171" fontId="27" fillId="0" borderId="0" xfId="19" applyNumberFormat="1" applyFont="1" applyFill="1" applyBorder="1"/>
    <xf numFmtId="190" fontId="42" fillId="0" borderId="8" xfId="0" applyNumberFormat="1" applyFont="1" applyFill="1" applyBorder="1"/>
    <xf numFmtId="167" fontId="15" fillId="7" borderId="8" xfId="19" applyNumberFormat="1" applyFont="1" applyFill="1" applyBorder="1"/>
    <xf numFmtId="190" fontId="14" fillId="7" borderId="0" xfId="0" applyNumberFormat="1" applyFont="1" applyFill="1" applyBorder="1" applyAlignment="1">
      <alignment horizontal="center"/>
    </xf>
    <xf numFmtId="165" fontId="8" fillId="7" borderId="0" xfId="70" applyNumberFormat="1" applyFont="1" applyFill="1"/>
    <xf numFmtId="168" fontId="27" fillId="7" borderId="0" xfId="21" applyNumberFormat="1" applyFont="1" applyFill="1"/>
    <xf numFmtId="8" fontId="81" fillId="0" borderId="0" xfId="70" applyNumberFormat="1" applyFont="1" applyFill="1"/>
    <xf numFmtId="165" fontId="81" fillId="0" borderId="0" xfId="19" applyNumberFormat="1" applyFont="1" applyFill="1"/>
    <xf numFmtId="0" fontId="8" fillId="7" borderId="2" xfId="0" applyFont="1" applyFill="1" applyBorder="1" applyAlignment="1">
      <alignment horizontal="right"/>
    </xf>
    <xf numFmtId="190" fontId="80" fillId="0" borderId="0" xfId="0" applyNumberFormat="1" applyFont="1" applyFill="1" applyBorder="1" applyAlignment="1">
      <alignment horizontal="center"/>
    </xf>
    <xf numFmtId="165" fontId="79" fillId="0" borderId="0" xfId="19" applyNumberFormat="1" applyFont="1" applyFill="1"/>
    <xf numFmtId="49" fontId="3" fillId="0" borderId="0" xfId="19" applyNumberFormat="1" applyFont="1" applyFill="1" applyAlignment="1">
      <alignment horizontal="left"/>
    </xf>
    <xf numFmtId="177" fontId="59" fillId="0" borderId="2" xfId="0" applyNumberFormat="1" applyFont="1" applyFill="1" applyBorder="1"/>
    <xf numFmtId="0" fontId="15" fillId="7" borderId="0" xfId="0" applyFont="1" applyFill="1" applyBorder="1" applyAlignment="1">
      <alignment horizontal="right"/>
    </xf>
    <xf numFmtId="165" fontId="14" fillId="7" borderId="0" xfId="19" applyNumberFormat="1" applyFont="1" applyFill="1" applyAlignment="1">
      <alignment horizontal="right" wrapText="1"/>
    </xf>
    <xf numFmtId="0" fontId="23" fillId="7" borderId="0" xfId="0" applyFont="1" applyFill="1" applyAlignment="1"/>
    <xf numFmtId="165" fontId="23" fillId="7" borderId="0" xfId="19" applyNumberFormat="1" applyFont="1" applyFill="1" applyAlignment="1">
      <alignment horizontal="right" wrapText="1"/>
    </xf>
    <xf numFmtId="165" fontId="43" fillId="7" borderId="0" xfId="19" applyNumberFormat="1" applyFont="1" applyFill="1" applyAlignment="1">
      <alignment horizontal="right" wrapText="1"/>
    </xf>
    <xf numFmtId="9" fontId="23" fillId="7" borderId="0" xfId="19" applyNumberFormat="1" applyFont="1" applyFill="1"/>
    <xf numFmtId="167" fontId="83" fillId="0" borderId="0" xfId="19" applyNumberFormat="1" applyFont="1" applyFill="1"/>
    <xf numFmtId="204" fontId="3" fillId="0" borderId="0" xfId="0" applyNumberFormat="1" applyFont="1" applyBorder="1" applyAlignment="1">
      <alignment horizontal="right"/>
    </xf>
    <xf numFmtId="0" fontId="15" fillId="4" borderId="0" xfId="0" applyFont="1" applyFill="1" applyBorder="1"/>
    <xf numFmtId="178" fontId="8" fillId="4" borderId="0" xfId="0" applyNumberFormat="1" applyFont="1" applyFill="1" applyBorder="1" applyAlignment="1">
      <alignment horizontal="right"/>
    </xf>
    <xf numFmtId="0" fontId="23" fillId="0" borderId="0" xfId="0" applyFont="1" applyFill="1" applyBorder="1" applyAlignment="1">
      <alignment horizontal="left" indent="1"/>
    </xf>
    <xf numFmtId="9" fontId="15" fillId="0" borderId="0" xfId="70" applyFont="1" applyFill="1" applyBorder="1"/>
    <xf numFmtId="165" fontId="23" fillId="0" borderId="0" xfId="0" applyNumberFormat="1" applyFont="1" applyFill="1" applyBorder="1"/>
    <xf numFmtId="166" fontId="23" fillId="0" borderId="0" xfId="0" applyNumberFormat="1" applyFont="1" applyFill="1" applyBorder="1"/>
    <xf numFmtId="0" fontId="23" fillId="7" borderId="0" xfId="0" applyFont="1" applyFill="1" applyBorder="1"/>
    <xf numFmtId="166" fontId="23" fillId="7" borderId="0" xfId="0" applyNumberFormat="1" applyFont="1" applyFill="1" applyBorder="1"/>
    <xf numFmtId="0" fontId="23" fillId="0" borderId="2" xfId="0" applyFont="1" applyBorder="1" applyAlignment="1">
      <alignment horizontal="centerContinuous"/>
    </xf>
    <xf numFmtId="166" fontId="28" fillId="7" borderId="0" xfId="70" applyNumberFormat="1" applyFont="1" applyFill="1"/>
    <xf numFmtId="166" fontId="82" fillId="7" borderId="0" xfId="70" applyNumberFormat="1" applyFont="1" applyFill="1"/>
    <xf numFmtId="0" fontId="32" fillId="0" borderId="8" xfId="62" quotePrefix="1" applyFont="1" applyBorder="1" applyAlignment="1">
      <alignment horizontal="left"/>
    </xf>
    <xf numFmtId="193" fontId="28" fillId="0" borderId="8" xfId="19" applyNumberFormat="1" applyFont="1" applyFill="1" applyBorder="1"/>
    <xf numFmtId="0" fontId="15" fillId="0" borderId="2" xfId="0" applyNumberFormat="1" applyFont="1" applyBorder="1"/>
    <xf numFmtId="0" fontId="15" fillId="0" borderId="2" xfId="0" applyNumberFormat="1" applyFont="1" applyBorder="1" applyAlignment="1">
      <alignment horizontal="right"/>
    </xf>
    <xf numFmtId="0" fontId="15" fillId="0" borderId="2" xfId="58" applyFont="1" applyBorder="1" applyAlignment="1">
      <alignment horizontal="right"/>
    </xf>
    <xf numFmtId="167" fontId="3" fillId="0" borderId="0" xfId="19" applyNumberFormat="1" applyFont="1" applyFill="1"/>
    <xf numFmtId="205" fontId="8" fillId="7" borderId="0" xfId="19" applyNumberFormat="1" applyFont="1" applyFill="1"/>
    <xf numFmtId="167" fontId="59" fillId="0" borderId="0" xfId="19" applyNumberFormat="1" applyFont="1" applyFill="1"/>
    <xf numFmtId="9" fontId="3" fillId="0" borderId="0" xfId="70" applyFont="1" applyFill="1" applyBorder="1"/>
    <xf numFmtId="167" fontId="23" fillId="7" borderId="0" xfId="19" applyNumberFormat="1" applyFont="1" applyFill="1"/>
    <xf numFmtId="40" fontId="23" fillId="7" borderId="0" xfId="19" applyNumberFormat="1" applyFont="1" applyFill="1"/>
    <xf numFmtId="198" fontId="3" fillId="0" borderId="0" xfId="0" applyNumberFormat="1" applyFont="1"/>
    <xf numFmtId="198" fontId="3" fillId="0" borderId="0" xfId="0" applyNumberFormat="1" applyFont="1" applyFill="1"/>
    <xf numFmtId="167" fontId="86" fillId="0" borderId="0" xfId="19" applyNumberFormat="1" applyFont="1" applyFill="1"/>
    <xf numFmtId="167" fontId="87" fillId="0" borderId="0" xfId="19" applyNumberFormat="1" applyFont="1" applyFill="1"/>
    <xf numFmtId="165" fontId="87" fillId="0" borderId="0" xfId="19" applyNumberFormat="1" applyFont="1" applyFill="1" applyAlignment="1">
      <alignment horizontal="right" wrapText="1"/>
    </xf>
    <xf numFmtId="166" fontId="26" fillId="0" borderId="0" xfId="70" applyNumberFormat="1" applyFont="1" applyFill="1" applyBorder="1"/>
    <xf numFmtId="9" fontId="14" fillId="0" borderId="0" xfId="70" applyFont="1" applyFill="1" applyBorder="1"/>
    <xf numFmtId="165" fontId="30" fillId="0" borderId="0" xfId="0" applyNumberFormat="1" applyFont="1" applyFill="1" applyBorder="1"/>
    <xf numFmtId="165" fontId="33" fillId="0" borderId="0" xfId="0" applyNumberFormat="1" applyFont="1" applyFill="1" applyBorder="1"/>
    <xf numFmtId="165" fontId="26" fillId="0" borderId="0" xfId="70" applyNumberFormat="1" applyFont="1" applyFill="1" applyBorder="1"/>
    <xf numFmtId="165" fontId="26" fillId="0" borderId="0" xfId="0" applyNumberFormat="1" applyFont="1" applyFill="1" applyBorder="1"/>
    <xf numFmtId="166" fontId="14" fillId="0" borderId="0" xfId="72" applyNumberFormat="1" applyFont="1"/>
    <xf numFmtId="0" fontId="49" fillId="0" borderId="2" xfId="0" applyFont="1" applyFill="1" applyBorder="1" applyAlignment="1">
      <alignment horizontal="centerContinuous"/>
    </xf>
    <xf numFmtId="0" fontId="0" fillId="7" borderId="0" xfId="0" applyFill="1"/>
    <xf numFmtId="4" fontId="3" fillId="7" borderId="0" xfId="0" applyNumberFormat="1" applyFont="1" applyFill="1"/>
    <xf numFmtId="0" fontId="3" fillId="7" borderId="0" xfId="0" applyFont="1" applyFill="1" applyBorder="1"/>
    <xf numFmtId="0" fontId="15" fillId="7" borderId="2" xfId="0" applyFont="1" applyFill="1" applyBorder="1" applyAlignment="1">
      <alignment horizontal="centerContinuous"/>
    </xf>
    <xf numFmtId="0" fontId="49" fillId="7" borderId="2" xfId="0" applyFont="1" applyFill="1" applyBorder="1" applyAlignment="1">
      <alignment horizontal="centerContinuous"/>
    </xf>
    <xf numFmtId="0" fontId="15" fillId="7" borderId="2" xfId="64" applyFont="1" applyFill="1" applyBorder="1" applyAlignment="1" applyProtection="1">
      <alignment horizontal="right"/>
    </xf>
    <xf numFmtId="0" fontId="49" fillId="7" borderId="2" xfId="64" applyFont="1" applyFill="1" applyBorder="1" applyAlignment="1" applyProtection="1">
      <alignment horizontal="right"/>
    </xf>
    <xf numFmtId="174" fontId="33" fillId="7" borderId="0" xfId="0" applyNumberFormat="1" applyFont="1" applyFill="1" applyAlignment="1">
      <alignment horizontal="right"/>
    </xf>
    <xf numFmtId="174" fontId="52" fillId="7" borderId="0" xfId="0" applyNumberFormat="1" applyFont="1" applyFill="1" applyAlignment="1">
      <alignment horizontal="right"/>
    </xf>
    <xf numFmtId="166" fontId="3" fillId="7" borderId="0" xfId="0" applyNumberFormat="1" applyFont="1" applyFill="1" applyBorder="1" applyAlignment="1">
      <alignment horizontal="right"/>
    </xf>
    <xf numFmtId="174" fontId="3" fillId="7" borderId="0" xfId="55" applyNumberFormat="1" applyFont="1" applyFill="1" applyAlignment="1">
      <alignment horizontal="right"/>
    </xf>
    <xf numFmtId="166" fontId="3" fillId="7" borderId="2" xfId="0" applyNumberFormat="1" applyFont="1" applyFill="1" applyBorder="1"/>
    <xf numFmtId="174" fontId="15" fillId="7" borderId="0" xfId="0" applyNumberFormat="1" applyFont="1" applyFill="1"/>
    <xf numFmtId="174" fontId="49" fillId="7" borderId="0" xfId="0" applyNumberFormat="1" applyFont="1" applyFill="1"/>
    <xf numFmtId="218" fontId="3" fillId="7" borderId="0" xfId="0" applyNumberFormat="1" applyFont="1" applyFill="1" applyBorder="1" applyAlignment="1">
      <alignment horizontal="right"/>
    </xf>
    <xf numFmtId="166" fontId="14" fillId="7" borderId="0" xfId="0" applyNumberFormat="1" applyFont="1" applyFill="1" applyBorder="1"/>
    <xf numFmtId="166" fontId="14" fillId="7" borderId="2" xfId="0" applyNumberFormat="1" applyFont="1" applyFill="1" applyBorder="1"/>
    <xf numFmtId="174" fontId="15" fillId="7" borderId="0" xfId="0" applyNumberFormat="1" applyFont="1" applyFill="1" applyBorder="1" applyAlignment="1">
      <alignment horizontal="right"/>
    </xf>
    <xf numFmtId="174" fontId="49" fillId="7" borderId="0" xfId="0" applyNumberFormat="1" applyFont="1" applyFill="1" applyBorder="1" applyAlignment="1">
      <alignment horizontal="right"/>
    </xf>
    <xf numFmtId="166" fontId="3" fillId="7" borderId="0" xfId="0" applyNumberFormat="1" applyFont="1" applyFill="1"/>
    <xf numFmtId="174" fontId="15" fillId="7" borderId="0" xfId="0" applyNumberFormat="1" applyFont="1" applyFill="1" applyBorder="1"/>
    <xf numFmtId="174" fontId="49" fillId="7" borderId="0" xfId="0" applyNumberFormat="1" applyFont="1" applyFill="1" applyBorder="1"/>
    <xf numFmtId="166" fontId="3" fillId="7" borderId="0" xfId="0" applyNumberFormat="1" applyFont="1" applyFill="1" applyBorder="1"/>
    <xf numFmtId="166" fontId="14" fillId="7" borderId="0" xfId="0" applyNumberFormat="1" applyFont="1" applyFill="1"/>
    <xf numFmtId="40" fontId="3" fillId="7" borderId="0" xfId="0" applyNumberFormat="1" applyFont="1" applyFill="1"/>
    <xf numFmtId="166" fontId="14" fillId="7" borderId="0" xfId="72" applyNumberFormat="1" applyFont="1" applyFill="1"/>
    <xf numFmtId="38" fontId="3" fillId="7" borderId="0" xfId="0" applyNumberFormat="1" applyFont="1" applyFill="1"/>
    <xf numFmtId="166" fontId="48" fillId="7" borderId="0" xfId="70" applyNumberFormat="1" applyFont="1" applyFill="1"/>
    <xf numFmtId="166" fontId="48" fillId="7" borderId="0" xfId="0" applyNumberFormat="1" applyFont="1" applyFill="1"/>
    <xf numFmtId="8" fontId="3" fillId="7" borderId="0" xfId="0" applyNumberFormat="1" applyFont="1" applyFill="1"/>
    <xf numFmtId="168" fontId="3" fillId="7" borderId="0" xfId="0" applyNumberFormat="1" applyFont="1" applyFill="1"/>
    <xf numFmtId="202" fontId="3" fillId="7" borderId="0" xfId="19" applyNumberFormat="1" applyFont="1" applyFill="1"/>
    <xf numFmtId="166" fontId="3" fillId="0" borderId="0" xfId="72" applyNumberFormat="1" applyFont="1" applyFill="1"/>
    <xf numFmtId="166" fontId="3" fillId="0" borderId="0" xfId="72" quotePrefix="1" applyNumberFormat="1" applyFont="1" applyFill="1" applyAlignment="1">
      <alignment horizontal="right"/>
    </xf>
    <xf numFmtId="166" fontId="3" fillId="0" borderId="0" xfId="72" quotePrefix="1" applyNumberFormat="1" applyFont="1" applyAlignment="1">
      <alignment horizontal="right"/>
    </xf>
    <xf numFmtId="166" fontId="28" fillId="0" borderId="0" xfId="72" applyNumberFormat="1" applyFont="1" applyFill="1"/>
    <xf numFmtId="166" fontId="3" fillId="0" borderId="0" xfId="72" applyNumberFormat="1" applyFont="1"/>
    <xf numFmtId="166" fontId="14" fillId="0" borderId="0" xfId="72" quotePrefix="1" applyNumberFormat="1" applyFont="1" applyFill="1" applyAlignment="1">
      <alignment horizontal="right"/>
    </xf>
    <xf numFmtId="173" fontId="28" fillId="0" borderId="0" xfId="72" applyNumberFormat="1" applyFont="1" applyFill="1"/>
    <xf numFmtId="166" fontId="3" fillId="0" borderId="2" xfId="72" applyNumberFormat="1" applyFont="1" applyFill="1" applyBorder="1"/>
    <xf numFmtId="169" fontId="14" fillId="0" borderId="0" xfId="31" applyNumberFormat="1" applyFont="1" applyFill="1"/>
    <xf numFmtId="184" fontId="3" fillId="0" borderId="0" xfId="72" applyNumberFormat="1" applyFont="1" applyBorder="1"/>
    <xf numFmtId="178" fontId="3" fillId="4" borderId="0" xfId="0" applyNumberFormat="1" applyFont="1" applyFill="1" applyBorder="1" applyAlignment="1">
      <alignment horizontal="right"/>
    </xf>
    <xf numFmtId="166" fontId="3" fillId="0" borderId="0" xfId="72" applyNumberFormat="1" applyFont="1" applyFill="1" applyBorder="1"/>
    <xf numFmtId="9" fontId="3" fillId="0" borderId="0" xfId="72" applyFont="1" applyFill="1"/>
    <xf numFmtId="9" fontId="3" fillId="0" borderId="0" xfId="72" applyFont="1" applyFill="1" applyAlignment="1">
      <alignment horizontal="right"/>
    </xf>
    <xf numFmtId="165" fontId="3" fillId="0" borderId="0" xfId="72" applyNumberFormat="1" applyFont="1" applyFill="1"/>
    <xf numFmtId="166" fontId="3" fillId="4" borderId="0" xfId="72" applyNumberFormat="1" applyFont="1" applyFill="1"/>
    <xf numFmtId="8" fontId="3" fillId="0" borderId="2" xfId="72" applyNumberFormat="1" applyFont="1" applyFill="1" applyBorder="1"/>
    <xf numFmtId="174" fontId="8" fillId="7" borderId="0" xfId="0" applyNumberFormat="1" applyFont="1" applyFill="1"/>
    <xf numFmtId="2" fontId="3" fillId="7" borderId="0" xfId="0" applyNumberFormat="1" applyFont="1" applyFill="1"/>
    <xf numFmtId="2" fontId="8" fillId="7" borderId="0" xfId="0" applyNumberFormat="1" applyFont="1" applyFill="1"/>
    <xf numFmtId="166" fontId="3" fillId="7" borderId="0" xfId="72" applyNumberFormat="1" applyFont="1" applyFill="1" applyAlignment="1">
      <alignment horizontal="right"/>
    </xf>
    <xf numFmtId="166" fontId="8" fillId="7" borderId="0" xfId="70" applyNumberFormat="1" applyFont="1" applyFill="1" applyAlignment="1">
      <alignment horizontal="right"/>
    </xf>
    <xf numFmtId="166" fontId="3" fillId="7" borderId="0" xfId="72" quotePrefix="1" applyNumberFormat="1" applyFont="1" applyFill="1" applyAlignment="1">
      <alignment horizontal="right"/>
    </xf>
    <xf numFmtId="166" fontId="8" fillId="7" borderId="0" xfId="70" quotePrefix="1" applyNumberFormat="1" applyFont="1" applyFill="1" applyAlignment="1">
      <alignment horizontal="right"/>
    </xf>
    <xf numFmtId="165" fontId="96" fillId="0" borderId="0" xfId="0" applyNumberFormat="1" applyFont="1" applyFill="1"/>
    <xf numFmtId="165" fontId="3" fillId="7" borderId="0" xfId="19" applyNumberFormat="1" applyFont="1" applyFill="1"/>
    <xf numFmtId="165" fontId="14" fillId="7" borderId="0" xfId="19" applyNumberFormat="1" applyFont="1" applyFill="1"/>
    <xf numFmtId="165" fontId="27" fillId="7" borderId="0" xfId="19" applyNumberFormat="1" applyFont="1" applyFill="1"/>
    <xf numFmtId="165" fontId="27" fillId="7" borderId="2" xfId="19" applyNumberFormat="1" applyFont="1" applyFill="1" applyBorder="1"/>
    <xf numFmtId="165" fontId="3" fillId="7" borderId="2" xfId="19" applyNumberFormat="1" applyFont="1" applyFill="1" applyBorder="1"/>
    <xf numFmtId="165" fontId="8" fillId="7" borderId="2" xfId="19" applyNumberFormat="1" applyFont="1" applyFill="1" applyBorder="1"/>
    <xf numFmtId="166" fontId="23" fillId="7" borderId="0" xfId="0" applyNumberFormat="1" applyFont="1" applyFill="1"/>
    <xf numFmtId="166" fontId="43" fillId="7" borderId="0" xfId="0" applyNumberFormat="1" applyFont="1" applyFill="1"/>
    <xf numFmtId="0" fontId="8" fillId="7" borderId="2" xfId="0" applyFont="1" applyFill="1" applyBorder="1"/>
    <xf numFmtId="193" fontId="15" fillId="7" borderId="0" xfId="19" applyNumberFormat="1" applyFont="1" applyFill="1" applyBorder="1"/>
    <xf numFmtId="9" fontId="23" fillId="7" borderId="0" xfId="0" applyNumberFormat="1" applyFont="1" applyFill="1"/>
    <xf numFmtId="43" fontId="3" fillId="7" borderId="0" xfId="19" applyFont="1" applyFill="1"/>
    <xf numFmtId="165" fontId="14" fillId="7" borderId="0" xfId="19" applyNumberFormat="1" applyFont="1" applyFill="1" applyBorder="1"/>
    <xf numFmtId="177" fontId="14" fillId="7" borderId="0" xfId="19" applyNumberFormat="1" applyFont="1" applyFill="1"/>
    <xf numFmtId="173" fontId="3" fillId="7" borderId="0" xfId="0" applyNumberFormat="1" applyFont="1" applyFill="1"/>
    <xf numFmtId="184" fontId="3" fillId="7" borderId="0" xfId="0" applyNumberFormat="1" applyFont="1" applyFill="1"/>
    <xf numFmtId="184" fontId="8" fillId="7" borderId="0" xfId="0" applyNumberFormat="1" applyFont="1" applyFill="1"/>
    <xf numFmtId="173" fontId="23" fillId="7" borderId="0" xfId="0" applyNumberFormat="1" applyFont="1" applyFill="1"/>
    <xf numFmtId="165" fontId="98" fillId="0" borderId="0" xfId="0" applyNumberFormat="1" applyFont="1" applyFill="1"/>
    <xf numFmtId="165" fontId="99" fillId="0" borderId="0" xfId="0" applyNumberFormat="1" applyFont="1" applyFill="1"/>
    <xf numFmtId="174" fontId="8" fillId="7" borderId="0" xfId="19" applyNumberFormat="1" applyFont="1" applyFill="1"/>
    <xf numFmtId="177" fontId="14" fillId="7" borderId="0" xfId="0" applyNumberFormat="1" applyFont="1" applyFill="1"/>
    <xf numFmtId="165" fontId="3" fillId="7" borderId="0" xfId="72" applyNumberFormat="1" applyFont="1" applyFill="1"/>
    <xf numFmtId="165" fontId="14" fillId="7" borderId="2" xfId="19" applyNumberFormat="1" applyFont="1" applyFill="1" applyBorder="1"/>
    <xf numFmtId="165" fontId="8" fillId="7" borderId="2" xfId="70" applyNumberFormat="1" applyFont="1" applyFill="1" applyBorder="1"/>
    <xf numFmtId="167" fontId="3" fillId="7" borderId="0" xfId="0" applyNumberFormat="1" applyFont="1" applyFill="1"/>
    <xf numFmtId="178" fontId="3" fillId="7" borderId="0" xfId="0" applyNumberFormat="1" applyFont="1" applyFill="1"/>
    <xf numFmtId="8" fontId="8" fillId="7" borderId="0" xfId="0" applyNumberFormat="1" applyFont="1" applyFill="1"/>
    <xf numFmtId="198" fontId="3" fillId="7" borderId="0" xfId="0" applyNumberFormat="1" applyFont="1" applyFill="1"/>
    <xf numFmtId="165" fontId="14" fillId="7" borderId="0" xfId="72" applyNumberFormat="1" applyFont="1" applyFill="1"/>
    <xf numFmtId="165" fontId="14" fillId="7" borderId="0" xfId="70" applyNumberFormat="1" applyFont="1" applyFill="1"/>
    <xf numFmtId="0" fontId="8" fillId="5" borderId="0" xfId="0" applyFont="1" applyFill="1"/>
    <xf numFmtId="0" fontId="15" fillId="5" borderId="0" xfId="0" applyFont="1" applyFill="1"/>
    <xf numFmtId="0" fontId="3" fillId="5" borderId="0" xfId="0" applyFont="1" applyFill="1"/>
    <xf numFmtId="184" fontId="3" fillId="0" borderId="0" xfId="70" applyNumberFormat="1" applyFont="1" applyFill="1" applyBorder="1"/>
    <xf numFmtId="0" fontId="0" fillId="0" borderId="0" xfId="0" applyAlignment="1">
      <alignment horizontal="center"/>
    </xf>
    <xf numFmtId="169" fontId="8" fillId="0" borderId="0" xfId="58" applyNumberFormat="1" applyFont="1" applyFill="1" applyBorder="1"/>
    <xf numFmtId="169" fontId="15" fillId="0" borderId="0" xfId="32" applyFont="1" applyFill="1" applyBorder="1"/>
    <xf numFmtId="169" fontId="8" fillId="0" borderId="0" xfId="32" applyFont="1" applyFill="1" applyBorder="1"/>
    <xf numFmtId="169" fontId="15" fillId="0" borderId="0" xfId="58" applyNumberFormat="1" applyFont="1" applyFill="1" applyBorder="1"/>
    <xf numFmtId="1" fontId="15" fillId="0" borderId="0" xfId="0" applyNumberFormat="1" applyFont="1" applyBorder="1"/>
    <xf numFmtId="0" fontId="15" fillId="0" borderId="0" xfId="0" applyNumberFormat="1" applyFont="1" applyBorder="1"/>
    <xf numFmtId="194" fontId="3" fillId="0" borderId="0" xfId="49" applyFont="1" applyFill="1" applyBorder="1"/>
    <xf numFmtId="172" fontId="0" fillId="0" borderId="0" xfId="0" applyNumberFormat="1"/>
    <xf numFmtId="10" fontId="0" fillId="0" borderId="0" xfId="70" applyNumberFormat="1" applyFont="1"/>
    <xf numFmtId="165" fontId="3" fillId="0" borderId="0" xfId="19" applyNumberFormat="1" applyFont="1" applyFill="1" applyBorder="1"/>
    <xf numFmtId="165" fontId="15" fillId="0" borderId="0" xfId="19" applyNumberFormat="1" applyFont="1" applyFill="1" applyBorder="1"/>
    <xf numFmtId="165" fontId="5" fillId="0" borderId="0" xfId="59" applyNumberFormat="1"/>
    <xf numFmtId="6" fontId="27" fillId="7" borderId="0" xfId="21" applyNumberFormat="1" applyFont="1" applyFill="1"/>
    <xf numFmtId="177" fontId="8" fillId="7" borderId="0" xfId="0" applyNumberFormat="1" applyFont="1" applyFill="1"/>
    <xf numFmtId="0" fontId="0" fillId="7" borderId="0" xfId="0" applyFill="1" applyBorder="1"/>
    <xf numFmtId="177" fontId="14" fillId="7" borderId="2" xfId="0" applyNumberFormat="1" applyFont="1" applyFill="1" applyBorder="1"/>
    <xf numFmtId="165" fontId="8" fillId="7" borderId="0" xfId="0" applyNumberFormat="1" applyFont="1" applyFill="1" applyAlignment="1" applyProtection="1">
      <alignment horizontal="left"/>
    </xf>
    <xf numFmtId="38" fontId="8" fillId="7" borderId="0" xfId="0" applyNumberFormat="1" applyFont="1" applyFill="1"/>
    <xf numFmtId="192" fontId="8" fillId="7" borderId="0" xfId="0" applyNumberFormat="1" applyFont="1" applyFill="1"/>
    <xf numFmtId="40" fontId="8" fillId="7" borderId="0" xfId="0" applyNumberFormat="1" applyFont="1" applyFill="1"/>
    <xf numFmtId="171" fontId="8" fillId="7" borderId="0" xfId="19" applyNumberFormat="1" applyFont="1" applyFill="1"/>
    <xf numFmtId="165" fontId="8" fillId="7" borderId="0" xfId="0" quotePrefix="1" applyNumberFormat="1" applyFont="1" applyFill="1" applyAlignment="1" applyProtection="1">
      <alignment horizontal="left"/>
    </xf>
    <xf numFmtId="174" fontId="14" fillId="7" borderId="0" xfId="19" applyNumberFormat="1" applyFont="1" applyFill="1"/>
    <xf numFmtId="165" fontId="27" fillId="7" borderId="0" xfId="0" applyNumberFormat="1" applyFont="1" applyFill="1"/>
    <xf numFmtId="177" fontId="30" fillId="7" borderId="0" xfId="0" applyNumberFormat="1" applyFont="1" applyFill="1"/>
    <xf numFmtId="165" fontId="30" fillId="7" borderId="0" xfId="0" applyNumberFormat="1" applyFont="1" applyFill="1"/>
    <xf numFmtId="165" fontId="15" fillId="7" borderId="0" xfId="0" applyNumberFormat="1" applyFont="1" applyFill="1" applyAlignment="1" applyProtection="1">
      <alignment horizontal="left"/>
    </xf>
    <xf numFmtId="0" fontId="20" fillId="7" borderId="0" xfId="0" applyFont="1" applyFill="1"/>
    <xf numFmtId="172" fontId="8" fillId="7" borderId="0" xfId="0" applyNumberFormat="1" applyFont="1" applyFill="1"/>
    <xf numFmtId="43" fontId="8" fillId="7" borderId="0" xfId="0" applyNumberFormat="1" applyFont="1" applyFill="1"/>
    <xf numFmtId="0" fontId="21" fillId="7" borderId="0" xfId="0" applyFont="1" applyFill="1" applyAlignment="1">
      <alignment horizontal="right"/>
    </xf>
    <xf numFmtId="49" fontId="15" fillId="7" borderId="0" xfId="0" applyNumberFormat="1" applyFont="1" applyFill="1" applyBorder="1" applyAlignment="1" applyProtection="1">
      <alignment horizontal="left"/>
    </xf>
    <xf numFmtId="49" fontId="22" fillId="7" borderId="0" xfId="64" applyNumberFormat="1" applyFont="1" applyFill="1" applyBorder="1" applyAlignment="1" applyProtection="1">
      <alignment horizontal="left"/>
    </xf>
    <xf numFmtId="0" fontId="15" fillId="7" borderId="0" xfId="0" applyFont="1" applyFill="1" applyAlignment="1">
      <alignment horizontal="right"/>
    </xf>
    <xf numFmtId="40" fontId="15" fillId="7" borderId="0" xfId="0" applyNumberFormat="1" applyFont="1" applyFill="1" applyAlignment="1">
      <alignment horizontal="right"/>
    </xf>
    <xf numFmtId="49" fontId="22" fillId="7" borderId="2" xfId="64" applyNumberFormat="1" applyFont="1" applyFill="1" applyBorder="1" applyAlignment="1" applyProtection="1">
      <alignment horizontal="left"/>
    </xf>
    <xf numFmtId="0" fontId="15" fillId="7" borderId="2" xfId="0" applyFont="1" applyFill="1" applyBorder="1" applyAlignment="1">
      <alignment horizontal="right"/>
    </xf>
    <xf numFmtId="165" fontId="26" fillId="7" borderId="0" xfId="0" applyNumberFormat="1" applyFont="1" applyFill="1" applyAlignment="1" applyProtection="1">
      <alignment horizontal="left"/>
    </xf>
    <xf numFmtId="165" fontId="26" fillId="7" borderId="0" xfId="0" applyNumberFormat="1" applyFont="1" applyFill="1"/>
    <xf numFmtId="165" fontId="8" fillId="7" borderId="0" xfId="0" applyNumberFormat="1" applyFont="1" applyFill="1" applyProtection="1"/>
    <xf numFmtId="0" fontId="16" fillId="7" borderId="0" xfId="0" applyFont="1" applyFill="1"/>
    <xf numFmtId="49" fontId="8" fillId="7" borderId="0" xfId="0" applyNumberFormat="1" applyFont="1" applyFill="1"/>
    <xf numFmtId="167" fontId="8" fillId="7" borderId="2" xfId="19" applyNumberFormat="1" applyFont="1" applyFill="1" applyBorder="1"/>
    <xf numFmtId="170" fontId="8" fillId="7" borderId="0" xfId="20" applyFont="1" applyFill="1" applyBorder="1"/>
    <xf numFmtId="174" fontId="8" fillId="7" borderId="17" xfId="19" applyNumberFormat="1" applyFont="1" applyFill="1" applyBorder="1"/>
    <xf numFmtId="174" fontId="8" fillId="7" borderId="0" xfId="19" applyNumberFormat="1" applyFont="1" applyFill="1" applyBorder="1"/>
    <xf numFmtId="4" fontId="8" fillId="7" borderId="0" xfId="0" applyNumberFormat="1" applyFont="1" applyFill="1"/>
    <xf numFmtId="165" fontId="23" fillId="7" borderId="0" xfId="0" applyNumberFormat="1" applyFont="1" applyFill="1"/>
    <xf numFmtId="9" fontId="23" fillId="7" borderId="0" xfId="70" applyFont="1" applyFill="1"/>
    <xf numFmtId="40" fontId="23" fillId="7" borderId="0" xfId="0" applyNumberFormat="1" applyFont="1" applyFill="1"/>
    <xf numFmtId="40" fontId="14" fillId="7" borderId="0" xfId="0" applyNumberFormat="1" applyFont="1" applyFill="1"/>
    <xf numFmtId="49" fontId="32" fillId="7" borderId="0" xfId="64" applyNumberFormat="1" applyFont="1" applyFill="1" applyBorder="1" applyAlignment="1" applyProtection="1">
      <alignment horizontal="left"/>
    </xf>
    <xf numFmtId="38" fontId="14" fillId="7" borderId="0" xfId="0" applyNumberFormat="1" applyFont="1" applyFill="1"/>
    <xf numFmtId="38" fontId="30" fillId="7" borderId="0" xfId="0" applyNumberFormat="1" applyFont="1" applyFill="1"/>
    <xf numFmtId="167" fontId="27" fillId="7" borderId="0" xfId="19" applyNumberFormat="1" applyFont="1" applyFill="1"/>
    <xf numFmtId="165" fontId="27" fillId="7" borderId="2" xfId="0" applyNumberFormat="1" applyFont="1" applyFill="1" applyBorder="1"/>
    <xf numFmtId="165" fontId="14" fillId="7" borderId="0" xfId="0" applyNumberFormat="1" applyFont="1" applyFill="1" applyBorder="1"/>
    <xf numFmtId="167" fontId="8" fillId="7" borderId="0" xfId="0" applyNumberFormat="1" applyFont="1" applyFill="1"/>
    <xf numFmtId="165" fontId="15" fillId="7" borderId="0" xfId="0" applyNumberFormat="1" applyFont="1" applyFill="1" applyProtection="1"/>
    <xf numFmtId="9" fontId="8" fillId="7" borderId="0" xfId="0" applyNumberFormat="1" applyFont="1" applyFill="1"/>
    <xf numFmtId="165" fontId="25" fillId="7" borderId="0" xfId="0" applyNumberFormat="1" applyFont="1" applyFill="1"/>
    <xf numFmtId="165" fontId="8" fillId="7" borderId="0" xfId="0" applyNumberFormat="1" applyFont="1" applyFill="1" applyBorder="1" applyAlignment="1" applyProtection="1">
      <alignment horizontal="left"/>
    </xf>
    <xf numFmtId="171" fontId="23" fillId="7" borderId="0" xfId="19" applyNumberFormat="1" applyFont="1" applyFill="1" applyAlignment="1" applyProtection="1">
      <alignment horizontal="left"/>
    </xf>
    <xf numFmtId="171" fontId="23" fillId="7" borderId="0" xfId="19" applyNumberFormat="1" applyFont="1" applyFill="1"/>
    <xf numFmtId="165" fontId="23" fillId="7" borderId="0" xfId="19" applyNumberFormat="1" applyFont="1" applyFill="1"/>
    <xf numFmtId="43" fontId="23" fillId="7" borderId="0" xfId="19" applyNumberFormat="1" applyFont="1" applyFill="1"/>
    <xf numFmtId="213" fontId="23" fillId="7" borderId="0" xfId="19" applyNumberFormat="1" applyFont="1" applyFill="1"/>
    <xf numFmtId="166" fontId="3" fillId="7" borderId="0" xfId="70" applyNumberFormat="1" applyFont="1" applyFill="1"/>
    <xf numFmtId="9" fontId="15" fillId="7" borderId="2" xfId="0" applyNumberFormat="1" applyFont="1" applyFill="1" applyBorder="1" applyAlignment="1">
      <alignment horizontal="centerContinuous"/>
    </xf>
    <xf numFmtId="0" fontId="8" fillId="7" borderId="2" xfId="0" applyFont="1" applyFill="1" applyBorder="1" applyAlignment="1">
      <alignment horizontal="centerContinuous"/>
    </xf>
    <xf numFmtId="193" fontId="8" fillId="7" borderId="0" xfId="19" applyNumberFormat="1" applyFont="1" applyFill="1"/>
    <xf numFmtId="178" fontId="8" fillId="7" borderId="0" xfId="0" applyNumberFormat="1" applyFont="1" applyFill="1" applyBorder="1" applyAlignment="1">
      <alignment horizontal="right"/>
    </xf>
    <xf numFmtId="171" fontId="23" fillId="7" borderId="2" xfId="19" quotePrefix="1" applyNumberFormat="1" applyFont="1" applyFill="1" applyBorder="1" applyAlignment="1">
      <alignment horizontal="right"/>
    </xf>
    <xf numFmtId="193" fontId="3" fillId="7" borderId="0" xfId="19" applyNumberFormat="1" applyFont="1" applyFill="1"/>
    <xf numFmtId="165" fontId="23" fillId="0" borderId="2" xfId="59" applyNumberFormat="1" applyFont="1" applyBorder="1"/>
    <xf numFmtId="165" fontId="23" fillId="0" borderId="8" xfId="59" applyNumberFormat="1" applyFont="1" applyBorder="1"/>
    <xf numFmtId="38" fontId="3" fillId="7" borderId="0" xfId="55" applyFont="1" applyFill="1" applyAlignment="1">
      <alignment horizontal="left" indent="1"/>
    </xf>
    <xf numFmtId="38" fontId="3" fillId="7" borderId="0" xfId="55" applyFont="1" applyFill="1" applyAlignment="1">
      <alignment horizontal="left"/>
    </xf>
    <xf numFmtId="8" fontId="72" fillId="7" borderId="0" xfId="0" applyNumberFormat="1" applyFont="1" applyFill="1"/>
    <xf numFmtId="166" fontId="72" fillId="7" borderId="0" xfId="0" applyNumberFormat="1" applyFont="1" applyFill="1"/>
    <xf numFmtId="0" fontId="72" fillId="7" borderId="0" xfId="0" applyFont="1" applyFill="1"/>
    <xf numFmtId="38" fontId="56" fillId="7" borderId="0" xfId="0" applyNumberFormat="1" applyFont="1" applyFill="1"/>
    <xf numFmtId="38" fontId="51" fillId="7" borderId="0" xfId="0" applyNumberFormat="1" applyFont="1" applyFill="1"/>
    <xf numFmtId="38" fontId="72" fillId="7" borderId="0" xfId="0" applyNumberFormat="1" applyFont="1" applyFill="1"/>
    <xf numFmtId="0" fontId="49" fillId="7" borderId="0" xfId="0" applyFont="1" applyFill="1"/>
    <xf numFmtId="2" fontId="56" fillId="7" borderId="0" xfId="0" applyNumberFormat="1" applyFont="1" applyFill="1"/>
    <xf numFmtId="40" fontId="56" fillId="7" borderId="0" xfId="0" applyNumberFormat="1" applyFont="1" applyFill="1"/>
    <xf numFmtId="4" fontId="56" fillId="7" borderId="0" xfId="0" applyNumberFormat="1" applyFont="1" applyFill="1"/>
    <xf numFmtId="2" fontId="51" fillId="7" borderId="0" xfId="0" applyNumberFormat="1" applyFont="1" applyFill="1"/>
    <xf numFmtId="40" fontId="72" fillId="7" borderId="0" xfId="0" applyNumberFormat="1" applyFont="1" applyFill="1"/>
    <xf numFmtId="0" fontId="3" fillId="7" borderId="0" xfId="0" applyFont="1" applyFill="1" applyAlignment="1">
      <alignment horizontal="left" wrapText="1"/>
    </xf>
    <xf numFmtId="201" fontId="3" fillId="7" borderId="0" xfId="19" applyNumberFormat="1" applyFont="1" applyFill="1"/>
    <xf numFmtId="201" fontId="48" fillId="7" borderId="0" xfId="19" applyNumberFormat="1" applyFont="1" applyFill="1"/>
    <xf numFmtId="0" fontId="3" fillId="7" borderId="0" xfId="0" applyNumberFormat="1" applyFont="1" applyFill="1"/>
    <xf numFmtId="168" fontId="72" fillId="7" borderId="0" xfId="0" applyNumberFormat="1" applyFont="1" applyFill="1"/>
    <xf numFmtId="4" fontId="72" fillId="7" borderId="0" xfId="0" applyNumberFormat="1" applyFont="1" applyFill="1"/>
    <xf numFmtId="202" fontId="72" fillId="7" borderId="0" xfId="19" applyNumberFormat="1" applyFont="1" applyFill="1"/>
    <xf numFmtId="175" fontId="8" fillId="7" borderId="0" xfId="20" applyNumberFormat="1" applyFont="1" applyFill="1"/>
    <xf numFmtId="0" fontId="3" fillId="7" borderId="0" xfId="0" applyFont="1" applyFill="1" applyBorder="1" applyAlignment="1">
      <alignment horizontal="center"/>
    </xf>
    <xf numFmtId="167" fontId="8" fillId="7" borderId="0" xfId="19" applyNumberFormat="1" applyFont="1" applyFill="1" applyBorder="1" applyAlignment="1">
      <alignment horizontal="center"/>
    </xf>
    <xf numFmtId="171" fontId="23" fillId="7" borderId="0" xfId="19" quotePrefix="1" applyNumberFormat="1" applyFont="1" applyFill="1" applyAlignment="1">
      <alignment horizontal="right"/>
    </xf>
    <xf numFmtId="165" fontId="8" fillId="7" borderId="0" xfId="19" applyNumberFormat="1" applyFont="1" applyFill="1" applyBorder="1"/>
    <xf numFmtId="193" fontId="8" fillId="7" borderId="0" xfId="0" applyNumberFormat="1" applyFont="1" applyFill="1"/>
    <xf numFmtId="10" fontId="8" fillId="7" borderId="0" xfId="70" applyNumberFormat="1" applyFont="1" applyFill="1"/>
    <xf numFmtId="171" fontId="8" fillId="7" borderId="2" xfId="19" applyNumberFormat="1" applyFont="1" applyFill="1" applyBorder="1"/>
    <xf numFmtId="177" fontId="14" fillId="7" borderId="2" xfId="19" applyNumberFormat="1" applyFont="1" applyFill="1" applyBorder="1"/>
    <xf numFmtId="173" fontId="27" fillId="7" borderId="0" xfId="0" applyNumberFormat="1" applyFont="1" applyFill="1"/>
    <xf numFmtId="198" fontId="8" fillId="7" borderId="0" xfId="0" applyNumberFormat="1" applyFont="1" applyFill="1"/>
    <xf numFmtId="184" fontId="27" fillId="7" borderId="0" xfId="0" applyNumberFormat="1" applyFont="1" applyFill="1"/>
    <xf numFmtId="171" fontId="26" fillId="7" borderId="0" xfId="19" applyNumberFormat="1" applyFont="1" applyFill="1"/>
    <xf numFmtId="193" fontId="27" fillId="7" borderId="0" xfId="19" applyNumberFormat="1" applyFont="1" applyFill="1"/>
    <xf numFmtId="222" fontId="8" fillId="7" borderId="0" xfId="19" quotePrefix="1" applyNumberFormat="1" applyFont="1" applyFill="1" applyBorder="1" applyAlignment="1">
      <alignment horizontal="right"/>
    </xf>
    <xf numFmtId="166" fontId="23" fillId="7" borderId="2" xfId="70" applyNumberFormat="1" applyFont="1" applyFill="1" applyBorder="1"/>
    <xf numFmtId="166" fontId="8" fillId="7" borderId="2" xfId="70" applyNumberFormat="1" applyFont="1" applyFill="1" applyBorder="1"/>
    <xf numFmtId="222" fontId="23" fillId="7" borderId="2" xfId="19" quotePrefix="1" applyNumberFormat="1" applyFont="1" applyFill="1" applyBorder="1" applyAlignment="1">
      <alignment horizontal="right"/>
    </xf>
    <xf numFmtId="9" fontId="3" fillId="7" borderId="0" xfId="70" applyFont="1" applyFill="1" applyAlignment="1">
      <alignment horizontal="left" indent="2"/>
    </xf>
    <xf numFmtId="166" fontId="23" fillId="7" borderId="0" xfId="70" applyNumberFormat="1" applyFont="1" applyFill="1" applyAlignment="1">
      <alignment horizontal="right"/>
    </xf>
    <xf numFmtId="171" fontId="3" fillId="7" borderId="0" xfId="19" applyNumberFormat="1" applyFont="1" applyFill="1" applyBorder="1"/>
    <xf numFmtId="193" fontId="27" fillId="7" borderId="0" xfId="19" applyNumberFormat="1" applyFont="1" applyFill="1" applyBorder="1"/>
    <xf numFmtId="193" fontId="3" fillId="7" borderId="0" xfId="19" applyNumberFormat="1" applyFont="1" applyFill="1" applyBorder="1"/>
    <xf numFmtId="167" fontId="3" fillId="7" borderId="0" xfId="19" applyNumberFormat="1" applyFont="1" applyFill="1" applyBorder="1"/>
    <xf numFmtId="165" fontId="3" fillId="7" borderId="2" xfId="70" applyNumberFormat="1" applyFont="1" applyFill="1" applyBorder="1"/>
    <xf numFmtId="177" fontId="27" fillId="7" borderId="0" xfId="70" applyNumberFormat="1" applyFont="1" applyFill="1"/>
    <xf numFmtId="177" fontId="27" fillId="7" borderId="2" xfId="70" applyNumberFormat="1" applyFont="1" applyFill="1" applyBorder="1"/>
    <xf numFmtId="180" fontId="15" fillId="7" borderId="0" xfId="70" applyNumberFormat="1" applyFont="1" applyFill="1"/>
    <xf numFmtId="180" fontId="8" fillId="7" borderId="0" xfId="0" applyNumberFormat="1" applyFont="1" applyFill="1"/>
    <xf numFmtId="177" fontId="27" fillId="7" borderId="0" xfId="19" applyNumberFormat="1" applyFont="1" applyFill="1"/>
    <xf numFmtId="0" fontId="23" fillId="7" borderId="0" xfId="0" applyFont="1" applyFill="1" applyAlignment="1">
      <alignment horizontal="left" indent="1"/>
    </xf>
    <xf numFmtId="167" fontId="8" fillId="7" borderId="0" xfId="19" applyNumberFormat="1" applyFont="1" applyFill="1" applyBorder="1"/>
    <xf numFmtId="178" fontId="8" fillId="7" borderId="0" xfId="19" applyNumberFormat="1" applyFont="1" applyFill="1" applyBorder="1" applyAlignment="1">
      <alignment horizontal="right"/>
    </xf>
    <xf numFmtId="9" fontId="8" fillId="7" borderId="0" xfId="70" applyFont="1" applyFill="1" applyBorder="1"/>
    <xf numFmtId="166" fontId="8" fillId="7" borderId="0" xfId="70" applyNumberFormat="1" applyFont="1" applyFill="1" applyBorder="1"/>
    <xf numFmtId="166" fontId="3" fillId="7" borderId="0" xfId="70" applyNumberFormat="1" applyFont="1" applyFill="1" applyBorder="1"/>
    <xf numFmtId="3" fontId="8" fillId="7" borderId="0" xfId="0" applyNumberFormat="1" applyFont="1" applyFill="1" applyAlignment="1">
      <alignment horizontal="right"/>
    </xf>
    <xf numFmtId="3" fontId="3" fillId="7" borderId="0" xfId="0" applyNumberFormat="1" applyFont="1" applyFill="1" applyAlignment="1">
      <alignment horizontal="right"/>
    </xf>
    <xf numFmtId="165" fontId="15" fillId="7" borderId="0" xfId="0" applyNumberFormat="1" applyFont="1" applyFill="1"/>
    <xf numFmtId="0" fontId="8" fillId="7" borderId="0" xfId="0" applyFont="1" applyFill="1" applyAlignment="1">
      <alignment horizontal="left" indent="1"/>
    </xf>
    <xf numFmtId="38" fontId="8" fillId="7" borderId="0" xfId="0" applyNumberFormat="1" applyFont="1" applyFill="1" applyAlignment="1">
      <alignment horizontal="left" indent="1"/>
    </xf>
    <xf numFmtId="193" fontId="3" fillId="7" borderId="0" xfId="0" applyNumberFormat="1" applyFont="1" applyFill="1"/>
    <xf numFmtId="177" fontId="27" fillId="7" borderId="2" xfId="19" applyNumberFormat="1" applyFont="1" applyFill="1" applyBorder="1"/>
    <xf numFmtId="38" fontId="23" fillId="7" borderId="0" xfId="0" applyNumberFormat="1" applyFont="1" applyFill="1" applyAlignment="1">
      <alignment horizontal="left" indent="1"/>
    </xf>
    <xf numFmtId="178" fontId="23" fillId="7" borderId="0" xfId="0" applyNumberFormat="1" applyFont="1" applyFill="1" applyBorder="1" applyAlignment="1">
      <alignment horizontal="right"/>
    </xf>
    <xf numFmtId="177" fontId="84" fillId="7" borderId="0" xfId="19" applyNumberFormat="1" applyFont="1" applyFill="1"/>
    <xf numFmtId="177" fontId="3" fillId="7" borderId="0" xfId="19" applyNumberFormat="1" applyFont="1" applyFill="1"/>
    <xf numFmtId="9" fontId="94" fillId="0" borderId="0" xfId="70" applyFont="1"/>
    <xf numFmtId="171" fontId="3" fillId="7" borderId="0" xfId="19" applyNumberFormat="1" applyFont="1" applyFill="1"/>
    <xf numFmtId="43" fontId="8" fillId="0" borderId="0" xfId="19" applyNumberFormat="1" applyFont="1"/>
    <xf numFmtId="165" fontId="8" fillId="4" borderId="0" xfId="0" applyNumberFormat="1" applyFont="1" applyFill="1"/>
    <xf numFmtId="165" fontId="101" fillId="0" borderId="0" xfId="19" applyNumberFormat="1" applyFont="1" applyFill="1" applyAlignment="1">
      <alignment horizontal="right" wrapText="1"/>
    </xf>
    <xf numFmtId="165" fontId="102" fillId="7" borderId="2" xfId="0" applyNumberFormat="1" applyFont="1" applyFill="1" applyBorder="1"/>
    <xf numFmtId="9" fontId="14" fillId="7" borderId="0" xfId="70" applyFont="1" applyFill="1"/>
    <xf numFmtId="173" fontId="8" fillId="7" borderId="0" xfId="70" applyNumberFormat="1" applyFont="1" applyFill="1"/>
    <xf numFmtId="0" fontId="15" fillId="7" borderId="0" xfId="0" applyFont="1" applyFill="1" applyBorder="1"/>
    <xf numFmtId="0" fontId="8" fillId="7" borderId="0" xfId="0" applyFont="1" applyFill="1" applyAlignment="1">
      <alignment horizontal="left" indent="3"/>
    </xf>
    <xf numFmtId="0" fontId="23" fillId="7" borderId="0" xfId="0" applyFont="1" applyFill="1" applyAlignment="1">
      <alignment horizontal="left" indent="4"/>
    </xf>
    <xf numFmtId="222" fontId="8" fillId="7" borderId="2" xfId="19" quotePrefix="1" applyNumberFormat="1" applyFont="1" applyFill="1" applyBorder="1" applyAlignment="1">
      <alignment horizontal="right"/>
    </xf>
    <xf numFmtId="0" fontId="8" fillId="7" borderId="0" xfId="0" applyFont="1" applyFill="1" applyAlignment="1">
      <alignment horizontal="left" indent="2"/>
    </xf>
    <xf numFmtId="0" fontId="23" fillId="7" borderId="0" xfId="0" applyFont="1" applyFill="1" applyAlignment="1">
      <alignment horizontal="left" indent="3"/>
    </xf>
    <xf numFmtId="0" fontId="26" fillId="7" borderId="0" xfId="0" applyFont="1" applyFill="1" applyAlignment="1">
      <alignment horizontal="left" indent="2"/>
    </xf>
    <xf numFmtId="166" fontId="8" fillId="7" borderId="0" xfId="0" applyNumberFormat="1" applyFont="1" applyFill="1" applyAlignment="1">
      <alignment horizontal="left" vertical="center" indent="2"/>
    </xf>
    <xf numFmtId="49" fontId="23" fillId="7" borderId="0" xfId="19" applyNumberFormat="1" applyFont="1" applyFill="1" applyAlignment="1">
      <alignment horizontal="left" vertical="center" indent="3"/>
    </xf>
    <xf numFmtId="49" fontId="8" fillId="7" borderId="0" xfId="19" applyNumberFormat="1" applyFont="1" applyFill="1" applyAlignment="1">
      <alignment horizontal="left" vertical="center" indent="2"/>
    </xf>
    <xf numFmtId="49" fontId="23" fillId="7" borderId="0" xfId="19" applyNumberFormat="1" applyFont="1" applyFill="1" applyAlignment="1">
      <alignment vertical="center"/>
    </xf>
    <xf numFmtId="0" fontId="15" fillId="7" borderId="0" xfId="0" applyFont="1" applyFill="1" applyAlignment="1">
      <alignment horizontal="left" indent="1"/>
    </xf>
    <xf numFmtId="49" fontId="23" fillId="7" borderId="0" xfId="19" applyNumberFormat="1" applyFont="1" applyFill="1" applyAlignment="1">
      <alignment horizontal="left" vertical="center" indent="2"/>
    </xf>
    <xf numFmtId="0" fontId="23" fillId="7" borderId="0" xfId="0" applyFont="1" applyFill="1" applyAlignment="1">
      <alignment horizontal="left" indent="2"/>
    </xf>
    <xf numFmtId="49" fontId="15" fillId="7" borderId="0" xfId="19" applyNumberFormat="1" applyFont="1" applyFill="1" applyAlignment="1">
      <alignment horizontal="left" vertical="center" indent="1"/>
    </xf>
    <xf numFmtId="49" fontId="8" fillId="7" borderId="0" xfId="19" applyNumberFormat="1" applyFont="1" applyFill="1" applyAlignment="1">
      <alignment vertical="center"/>
    </xf>
    <xf numFmtId="49" fontId="23" fillId="7" borderId="0" xfId="19" applyNumberFormat="1" applyFont="1" applyFill="1" applyAlignment="1">
      <alignment horizontal="left" vertical="center" indent="1"/>
    </xf>
    <xf numFmtId="49" fontId="15" fillId="7" borderId="0" xfId="19" applyNumberFormat="1" applyFont="1" applyFill="1" applyAlignment="1">
      <alignment vertical="center"/>
    </xf>
    <xf numFmtId="165" fontId="8" fillId="7" borderId="0" xfId="0" applyNumberFormat="1" applyFont="1" applyFill="1" applyAlignment="1">
      <alignment horizontal="left" indent="2"/>
    </xf>
    <xf numFmtId="49" fontId="8" fillId="7" borderId="0" xfId="19" applyNumberFormat="1" applyFont="1" applyFill="1" applyAlignment="1">
      <alignment horizontal="left" vertical="center" indent="1"/>
    </xf>
    <xf numFmtId="0" fontId="23" fillId="7" borderId="0" xfId="0" applyFont="1" applyFill="1" applyBorder="1" applyAlignment="1">
      <alignment horizontal="left" indent="1"/>
    </xf>
    <xf numFmtId="9" fontId="15" fillId="7" borderId="0" xfId="70" applyFont="1" applyFill="1" applyBorder="1"/>
    <xf numFmtId="193" fontId="27" fillId="7" borderId="2" xfId="19" applyNumberFormat="1" applyFont="1" applyFill="1" applyBorder="1"/>
    <xf numFmtId="178" fontId="23" fillId="7" borderId="0" xfId="19" applyNumberFormat="1" applyFont="1" applyFill="1" applyBorder="1" applyAlignment="1">
      <alignment horizontal="right"/>
    </xf>
    <xf numFmtId="0" fontId="15" fillId="7" borderId="0" xfId="0" applyFont="1" applyFill="1" applyAlignment="1">
      <alignment horizontal="left" indent="2"/>
    </xf>
    <xf numFmtId="171" fontId="23" fillId="7" borderId="0" xfId="19" applyNumberFormat="1" applyFont="1" applyFill="1" applyBorder="1"/>
    <xf numFmtId="9" fontId="23" fillId="7" borderId="0" xfId="70" applyFont="1" applyFill="1" applyBorder="1" applyAlignment="1">
      <alignment horizontal="right"/>
    </xf>
    <xf numFmtId="193" fontId="31" fillId="7" borderId="0" xfId="19" applyNumberFormat="1" applyFont="1" applyFill="1" applyBorder="1"/>
    <xf numFmtId="167" fontId="14" fillId="7" borderId="0" xfId="19" applyNumberFormat="1" applyFont="1" applyFill="1" applyBorder="1"/>
    <xf numFmtId="167" fontId="14" fillId="7" borderId="2" xfId="19" applyNumberFormat="1" applyFont="1" applyFill="1" applyBorder="1"/>
    <xf numFmtId="193" fontId="15" fillId="7" borderId="8" xfId="19" applyNumberFormat="1" applyFont="1" applyFill="1" applyBorder="1"/>
    <xf numFmtId="166" fontId="23" fillId="7" borderId="0" xfId="0" applyNumberFormat="1" applyFont="1" applyFill="1" applyAlignment="1">
      <alignment horizontal="left" indent="1"/>
    </xf>
    <xf numFmtId="166" fontId="8" fillId="7" borderId="0" xfId="19" applyNumberFormat="1" applyFont="1" applyFill="1" applyBorder="1"/>
    <xf numFmtId="166" fontId="15" fillId="7" borderId="0" xfId="19" applyNumberFormat="1" applyFont="1" applyFill="1"/>
    <xf numFmtId="166" fontId="8" fillId="7" borderId="0" xfId="19" applyNumberFormat="1" applyFont="1" applyFill="1" applyBorder="1" applyAlignment="1">
      <alignment horizontal="right"/>
    </xf>
    <xf numFmtId="166" fontId="8" fillId="7" borderId="0" xfId="0" applyNumberFormat="1" applyFont="1" applyFill="1" applyBorder="1" applyAlignment="1">
      <alignment horizontal="right"/>
    </xf>
    <xf numFmtId="177" fontId="23" fillId="7" borderId="0" xfId="0" applyNumberFormat="1" applyFont="1" applyFill="1"/>
    <xf numFmtId="171" fontId="8" fillId="7" borderId="0" xfId="0" applyNumberFormat="1" applyFont="1" applyFill="1"/>
    <xf numFmtId="167" fontId="8" fillId="7" borderId="0" xfId="0" applyNumberFormat="1" applyFont="1" applyFill="1" applyBorder="1" applyAlignment="1">
      <alignment horizontal="right"/>
    </xf>
    <xf numFmtId="171" fontId="8" fillId="7" borderId="2" xfId="0" applyNumberFormat="1" applyFont="1" applyFill="1" applyBorder="1"/>
    <xf numFmtId="167" fontId="8" fillId="7" borderId="2" xfId="0" applyNumberFormat="1" applyFont="1" applyFill="1" applyBorder="1"/>
    <xf numFmtId="171" fontId="8" fillId="7" borderId="0" xfId="0" applyNumberFormat="1" applyFont="1" applyFill="1" applyBorder="1"/>
    <xf numFmtId="9" fontId="8" fillId="7" borderId="0" xfId="70" applyFont="1" applyFill="1" applyBorder="1" applyAlignment="1">
      <alignment horizontal="right"/>
    </xf>
    <xf numFmtId="43" fontId="8" fillId="7" borderId="0" xfId="19" applyFont="1" applyFill="1" applyBorder="1"/>
    <xf numFmtId="43" fontId="3" fillId="7" borderId="0" xfId="19" applyFont="1" applyFill="1" applyBorder="1"/>
    <xf numFmtId="184" fontId="8" fillId="7" borderId="2" xfId="0" applyNumberFormat="1" applyFont="1" applyFill="1" applyBorder="1"/>
    <xf numFmtId="184" fontId="27" fillId="7" borderId="2" xfId="0" applyNumberFormat="1" applyFont="1" applyFill="1" applyBorder="1"/>
    <xf numFmtId="173" fontId="27" fillId="7" borderId="2" xfId="0" applyNumberFormat="1" applyFont="1" applyFill="1" applyBorder="1"/>
    <xf numFmtId="180" fontId="3" fillId="7" borderId="0" xfId="0" applyNumberFormat="1" applyFont="1" applyFill="1"/>
    <xf numFmtId="9" fontId="8" fillId="7" borderId="2" xfId="70" applyFont="1" applyFill="1" applyBorder="1"/>
    <xf numFmtId="0" fontId="36" fillId="7" borderId="0" xfId="0" applyFont="1" applyFill="1"/>
    <xf numFmtId="9" fontId="8" fillId="7" borderId="0" xfId="70" applyNumberFormat="1" applyFont="1" applyFill="1"/>
    <xf numFmtId="166" fontId="8" fillId="7" borderId="0" xfId="19" applyNumberFormat="1" applyFont="1" applyFill="1"/>
    <xf numFmtId="40" fontId="15" fillId="7" borderId="2" xfId="0" applyNumberFormat="1" applyFont="1" applyFill="1" applyBorder="1" applyAlignment="1">
      <alignment horizontal="centerContinuous"/>
    </xf>
    <xf numFmtId="40" fontId="8" fillId="7" borderId="2" xfId="0" applyNumberFormat="1" applyFont="1" applyFill="1" applyBorder="1" applyAlignment="1">
      <alignment horizontal="centerContinuous"/>
    </xf>
    <xf numFmtId="14" fontId="8" fillId="7" borderId="2" xfId="0" applyNumberFormat="1" applyFont="1" applyFill="1" applyBorder="1" applyAlignment="1">
      <alignment horizontal="centerContinuous"/>
    </xf>
    <xf numFmtId="174" fontId="8" fillId="7" borderId="2" xfId="0" applyNumberFormat="1" applyFont="1" applyFill="1" applyBorder="1" applyAlignment="1">
      <alignment horizontal="centerContinuous"/>
    </xf>
    <xf numFmtId="0" fontId="23" fillId="7" borderId="2" xfId="0" applyFont="1" applyFill="1" applyBorder="1" applyAlignment="1">
      <alignment horizontal="centerContinuous"/>
    </xf>
    <xf numFmtId="49" fontId="8" fillId="7" borderId="0" xfId="0" applyNumberFormat="1" applyFont="1" applyFill="1" applyAlignment="1" applyProtection="1">
      <alignment horizontal="left"/>
    </xf>
    <xf numFmtId="38" fontId="8" fillId="7" borderId="0" xfId="64" applyNumberFormat="1" applyFont="1" applyFill="1" applyAlignment="1" applyProtection="1">
      <alignment horizontal="left"/>
    </xf>
    <xf numFmtId="165" fontId="29" fillId="7" borderId="0" xfId="19" applyNumberFormat="1" applyFont="1" applyFill="1"/>
    <xf numFmtId="38" fontId="15" fillId="7" borderId="0" xfId="64" applyNumberFormat="1" applyFont="1" applyFill="1" applyBorder="1" applyAlignment="1" applyProtection="1">
      <alignment horizontal="left"/>
    </xf>
    <xf numFmtId="165" fontId="15" fillId="7" borderId="0" xfId="19" applyNumberFormat="1" applyFont="1" applyFill="1"/>
    <xf numFmtId="165" fontId="15" fillId="7" borderId="0" xfId="70" applyNumberFormat="1" applyFont="1" applyFill="1"/>
    <xf numFmtId="173" fontId="15" fillId="7" borderId="0" xfId="70" applyNumberFormat="1" applyFont="1" applyFill="1"/>
    <xf numFmtId="166" fontId="8" fillId="7" borderId="0" xfId="70" applyNumberFormat="1" applyFont="1" applyFill="1" applyAlignment="1" applyProtection="1">
      <alignment horizontal="left"/>
    </xf>
    <xf numFmtId="165" fontId="91" fillId="7" borderId="0" xfId="19" applyNumberFormat="1" applyFont="1" applyFill="1"/>
    <xf numFmtId="165" fontId="91" fillId="7" borderId="2" xfId="19" applyNumberFormat="1" applyFont="1" applyFill="1" applyBorder="1"/>
    <xf numFmtId="174" fontId="8" fillId="7" borderId="0" xfId="70" applyNumberFormat="1" applyFont="1" applyFill="1"/>
    <xf numFmtId="165" fontId="8" fillId="7" borderId="0" xfId="64" quotePrefix="1" applyNumberFormat="1" applyFont="1" applyFill="1" applyAlignment="1" applyProtection="1">
      <alignment horizontal="left"/>
    </xf>
    <xf numFmtId="4" fontId="15" fillId="7" borderId="0" xfId="70" applyNumberFormat="1" applyFont="1" applyFill="1"/>
    <xf numFmtId="8" fontId="15" fillId="7" borderId="0" xfId="70" applyNumberFormat="1" applyFont="1" applyFill="1"/>
    <xf numFmtId="165" fontId="8" fillId="7" borderId="0" xfId="19" applyNumberFormat="1" applyFont="1" applyFill="1" applyAlignment="1">
      <alignment horizontal="right"/>
    </xf>
    <xf numFmtId="193" fontId="84" fillId="7" borderId="0" xfId="19" applyNumberFormat="1" applyFont="1" applyFill="1"/>
    <xf numFmtId="165" fontId="77" fillId="7" borderId="0" xfId="19" applyNumberFormat="1" applyFont="1" applyFill="1"/>
    <xf numFmtId="166" fontId="14" fillId="7" borderId="0" xfId="70" applyNumberFormat="1" applyFont="1" applyFill="1" applyAlignment="1">
      <alignment horizontal="right"/>
    </xf>
    <xf numFmtId="165" fontId="30" fillId="7" borderId="0" xfId="19" applyNumberFormat="1" applyFont="1" applyFill="1"/>
    <xf numFmtId="182" fontId="15" fillId="7" borderId="2" xfId="70" applyNumberFormat="1" applyFont="1" applyFill="1" applyBorder="1"/>
    <xf numFmtId="9" fontId="15" fillId="7" borderId="2" xfId="70" applyFont="1" applyFill="1" applyBorder="1"/>
    <xf numFmtId="174" fontId="8" fillId="7" borderId="2" xfId="19" applyNumberFormat="1" applyFont="1" applyFill="1" applyBorder="1"/>
    <xf numFmtId="165" fontId="8" fillId="7" borderId="0" xfId="70" applyNumberFormat="1" applyFont="1" applyFill="1" applyBorder="1"/>
    <xf numFmtId="165" fontId="26" fillId="7" borderId="0" xfId="19" applyNumberFormat="1" applyFont="1" applyFill="1"/>
    <xf numFmtId="165" fontId="8" fillId="7" borderId="2" xfId="19" applyNumberFormat="1" applyFont="1" applyFill="1" applyBorder="1" applyAlignment="1">
      <alignment horizontal="right"/>
    </xf>
    <xf numFmtId="165" fontId="31" fillId="7" borderId="0" xfId="19" applyNumberFormat="1" applyFont="1" applyFill="1"/>
    <xf numFmtId="165" fontId="27" fillId="7" borderId="0" xfId="70" applyNumberFormat="1" applyFont="1" applyFill="1"/>
    <xf numFmtId="165" fontId="3" fillId="7" borderId="0" xfId="70" applyNumberFormat="1" applyFont="1" applyFill="1"/>
    <xf numFmtId="165" fontId="14" fillId="7" borderId="0" xfId="70" applyNumberFormat="1" applyFont="1" applyFill="1" applyBorder="1"/>
    <xf numFmtId="165" fontId="30" fillId="7" borderId="0" xfId="70" applyNumberFormat="1" applyFont="1" applyFill="1"/>
    <xf numFmtId="165" fontId="27" fillId="7" borderId="2" xfId="70" applyNumberFormat="1" applyFont="1" applyFill="1" applyBorder="1"/>
    <xf numFmtId="165" fontId="14" fillId="7" borderId="2" xfId="70" applyNumberFormat="1" applyFont="1" applyFill="1" applyBorder="1"/>
    <xf numFmtId="165" fontId="101" fillId="7" borderId="0" xfId="70" applyNumberFormat="1" applyFont="1" applyFill="1"/>
    <xf numFmtId="165" fontId="80" fillId="7" borderId="0" xfId="0" applyNumberFormat="1" applyFont="1" applyFill="1"/>
    <xf numFmtId="182" fontId="26" fillId="7" borderId="0" xfId="0" applyNumberFormat="1" applyFont="1" applyFill="1"/>
    <xf numFmtId="167" fontId="8" fillId="7" borderId="0" xfId="0" applyNumberFormat="1" applyFont="1" applyFill="1" applyBorder="1"/>
    <xf numFmtId="8" fontId="8" fillId="7" borderId="0" xfId="19" applyNumberFormat="1" applyFont="1" applyFill="1"/>
    <xf numFmtId="38" fontId="15" fillId="7" borderId="0" xfId="0" applyNumberFormat="1" applyFont="1" applyFill="1"/>
    <xf numFmtId="2" fontId="15" fillId="7" borderId="0" xfId="70" applyNumberFormat="1" applyFont="1" applyFill="1"/>
    <xf numFmtId="9" fontId="15" fillId="7" borderId="0" xfId="70" applyFont="1" applyFill="1"/>
    <xf numFmtId="166" fontId="15" fillId="7" borderId="0" xfId="70" applyNumberFormat="1" applyFont="1" applyFill="1"/>
    <xf numFmtId="180" fontId="8" fillId="7" borderId="0" xfId="70" applyNumberFormat="1" applyFont="1" applyFill="1"/>
    <xf numFmtId="165" fontId="28" fillId="7" borderId="0" xfId="0" applyNumberFormat="1" applyFont="1" applyFill="1"/>
    <xf numFmtId="166" fontId="27" fillId="7" borderId="0" xfId="70" applyNumberFormat="1" applyFont="1" applyFill="1"/>
    <xf numFmtId="8" fontId="15" fillId="7" borderId="0" xfId="0" applyNumberFormat="1" applyFont="1" applyFill="1"/>
    <xf numFmtId="9" fontId="15" fillId="7" borderId="0" xfId="19" applyNumberFormat="1" applyFont="1" applyFill="1"/>
    <xf numFmtId="184" fontId="8" fillId="7" borderId="0" xfId="70" applyNumberFormat="1" applyFont="1" applyFill="1"/>
    <xf numFmtId="184" fontId="27" fillId="7" borderId="0" xfId="70" applyNumberFormat="1" applyFont="1" applyFill="1"/>
    <xf numFmtId="0" fontId="9" fillId="7" borderId="0" xfId="61" applyFont="1" applyFill="1" applyAlignment="1">
      <alignment horizontal="left"/>
    </xf>
    <xf numFmtId="0" fontId="8" fillId="7" borderId="0" xfId="61" applyFont="1" applyFill="1" applyBorder="1"/>
    <xf numFmtId="0" fontId="8" fillId="7" borderId="0" xfId="61" applyFont="1" applyFill="1"/>
    <xf numFmtId="49" fontId="9" fillId="7" borderId="0" xfId="64" applyNumberFormat="1" applyFont="1" applyFill="1" applyBorder="1" applyAlignment="1" applyProtection="1">
      <alignment horizontal="left"/>
    </xf>
    <xf numFmtId="0" fontId="16" fillId="7" borderId="0" xfId="61" applyFont="1" applyFill="1" applyBorder="1"/>
    <xf numFmtId="0" fontId="23" fillId="7" borderId="0" xfId="61" quotePrefix="1" applyFont="1" applyFill="1" applyBorder="1" applyAlignment="1" applyProtection="1">
      <alignment horizontal="left"/>
    </xf>
    <xf numFmtId="0" fontId="23" fillId="7" borderId="0" xfId="61" quotePrefix="1" applyFont="1" applyFill="1" applyAlignment="1">
      <alignment horizontal="left"/>
    </xf>
    <xf numFmtId="0" fontId="21" fillId="7" borderId="7" xfId="61" applyFont="1" applyFill="1" applyBorder="1" applyAlignment="1">
      <alignment horizontal="centerContinuous"/>
    </xf>
    <xf numFmtId="0" fontId="23" fillId="7" borderId="0" xfId="61" applyFont="1" applyFill="1" applyAlignment="1">
      <alignment horizontal="left"/>
    </xf>
    <xf numFmtId="0" fontId="8" fillId="7" borderId="2" xfId="61" applyFont="1" applyFill="1" applyBorder="1" applyAlignment="1">
      <alignment horizontal="centerContinuous"/>
    </xf>
    <xf numFmtId="0" fontId="8" fillId="7" borderId="0" xfId="61" applyFont="1" applyFill="1" applyBorder="1" applyAlignment="1">
      <alignment horizontal="centerContinuous"/>
    </xf>
    <xf numFmtId="173" fontId="8" fillId="7" borderId="0" xfId="61" applyNumberFormat="1" applyFont="1" applyFill="1"/>
    <xf numFmtId="0" fontId="23" fillId="7" borderId="4" xfId="61" quotePrefix="1" applyFont="1" applyFill="1" applyBorder="1" applyAlignment="1" applyProtection="1">
      <alignment horizontal="left"/>
    </xf>
    <xf numFmtId="0" fontId="8" fillId="7" borderId="2" xfId="61" applyNumberFormat="1" applyFont="1" applyFill="1" applyBorder="1" applyAlignment="1">
      <alignment horizontal="right"/>
    </xf>
    <xf numFmtId="0" fontId="3" fillId="7" borderId="2" xfId="61" applyNumberFormat="1" applyFont="1" applyFill="1" applyBorder="1" applyAlignment="1">
      <alignment horizontal="right"/>
    </xf>
    <xf numFmtId="14" fontId="8" fillId="7" borderId="0" xfId="61" applyNumberFormat="1" applyFont="1" applyFill="1" applyBorder="1" applyAlignment="1">
      <alignment horizontal="right"/>
    </xf>
    <xf numFmtId="14" fontId="8" fillId="7" borderId="2" xfId="61" applyNumberFormat="1" applyFont="1" applyFill="1" applyBorder="1" applyAlignment="1">
      <alignment horizontal="right"/>
    </xf>
    <xf numFmtId="0" fontId="8" fillId="7" borderId="0" xfId="61" quotePrefix="1" applyFont="1" applyFill="1" applyAlignment="1">
      <alignment horizontal="left"/>
    </xf>
    <xf numFmtId="198" fontId="8" fillId="7" borderId="0" xfId="61" applyNumberFormat="1" applyFont="1" applyFill="1" applyBorder="1"/>
    <xf numFmtId="170" fontId="8" fillId="7" borderId="0" xfId="20" applyNumberFormat="1" applyFont="1" applyFill="1"/>
    <xf numFmtId="194" fontId="8" fillId="7" borderId="0" xfId="50" applyFont="1" applyFill="1"/>
    <xf numFmtId="0" fontId="8" fillId="7" borderId="0" xfId="61" applyFont="1" applyFill="1" applyAlignment="1">
      <alignment horizontal="left" indent="1"/>
    </xf>
    <xf numFmtId="194" fontId="8" fillId="7" borderId="0" xfId="50" applyFont="1" applyFill="1" applyBorder="1"/>
    <xf numFmtId="194" fontId="14" fillId="7" borderId="2" xfId="50" applyFont="1" applyFill="1" applyBorder="1"/>
    <xf numFmtId="194" fontId="8" fillId="7" borderId="2" xfId="50" applyFont="1" applyFill="1" applyBorder="1"/>
    <xf numFmtId="168" fontId="8" fillId="7" borderId="0" xfId="50" applyNumberFormat="1" applyFont="1" applyFill="1" applyBorder="1"/>
    <xf numFmtId="0" fontId="15" fillId="7" borderId="0" xfId="61" applyFont="1" applyFill="1"/>
    <xf numFmtId="169" fontId="15" fillId="7" borderId="0" xfId="32" applyFont="1" applyFill="1" applyBorder="1"/>
    <xf numFmtId="169" fontId="15" fillId="7" borderId="0" xfId="32" applyFont="1" applyFill="1"/>
    <xf numFmtId="198" fontId="8" fillId="7" borderId="0" xfId="61" applyNumberFormat="1" applyFont="1" applyFill="1"/>
    <xf numFmtId="170" fontId="8" fillId="7" borderId="0" xfId="58" applyNumberFormat="1" applyFont="1" applyFill="1" applyBorder="1"/>
    <xf numFmtId="226" fontId="8" fillId="7" borderId="0" xfId="61" applyNumberFormat="1" applyFont="1" applyFill="1"/>
    <xf numFmtId="0" fontId="8" fillId="7" borderId="0" xfId="61" quotePrefix="1" applyFont="1" applyFill="1" applyBorder="1" applyAlignment="1">
      <alignment horizontal="left" indent="1"/>
    </xf>
    <xf numFmtId="169" fontId="8" fillId="7" borderId="0" xfId="49" applyNumberFormat="1" applyFont="1" applyFill="1" applyBorder="1"/>
    <xf numFmtId="169" fontId="8" fillId="7" borderId="0" xfId="49" applyNumberFormat="1" applyFont="1" applyFill="1"/>
    <xf numFmtId="170" fontId="8" fillId="7" borderId="0" xfId="61" applyNumberFormat="1" applyFont="1" applyFill="1"/>
    <xf numFmtId="169" fontId="8" fillId="7" borderId="0" xfId="61" applyNumberFormat="1" applyFont="1" applyFill="1"/>
    <xf numFmtId="0" fontId="16" fillId="7" borderId="0" xfId="61" applyFont="1" applyFill="1" applyAlignment="1">
      <alignment horizontal="left"/>
    </xf>
    <xf numFmtId="0" fontId="26" fillId="7" borderId="0" xfId="61" applyFont="1" applyFill="1" applyBorder="1" applyAlignment="1">
      <alignment horizontal="left"/>
    </xf>
    <xf numFmtId="170" fontId="8" fillId="7" borderId="0" xfId="61" applyNumberFormat="1" applyFont="1" applyFill="1" applyBorder="1"/>
    <xf numFmtId="0" fontId="8" fillId="7" borderId="0" xfId="61" quotePrefix="1" applyFont="1" applyFill="1" applyAlignment="1">
      <alignment horizontal="left" indent="1"/>
    </xf>
    <xf numFmtId="0" fontId="8" fillId="7" borderId="0" xfId="61" applyFont="1" applyFill="1" applyAlignment="1">
      <alignment horizontal="left"/>
    </xf>
    <xf numFmtId="0" fontId="3" fillId="7" borderId="0" xfId="61" quotePrefix="1" applyFont="1" applyFill="1" applyBorder="1" applyAlignment="1">
      <alignment horizontal="left" indent="1"/>
    </xf>
    <xf numFmtId="0" fontId="8" fillId="7" borderId="0" xfId="61" applyFont="1" applyFill="1" applyBorder="1" applyAlignment="1">
      <alignment horizontal="left" indent="1"/>
    </xf>
    <xf numFmtId="170" fontId="15" fillId="7" borderId="0" xfId="61" applyNumberFormat="1" applyFont="1" applyFill="1" applyBorder="1"/>
    <xf numFmtId="170" fontId="28" fillId="7" borderId="0" xfId="61" applyNumberFormat="1" applyFont="1" applyFill="1"/>
    <xf numFmtId="0" fontId="15" fillId="7" borderId="8" xfId="61" applyFont="1" applyFill="1" applyBorder="1"/>
    <xf numFmtId="169" fontId="15" fillId="7" borderId="0" xfId="61" applyNumberFormat="1" applyFont="1" applyFill="1" applyBorder="1"/>
    <xf numFmtId="169" fontId="15" fillId="7" borderId="0" xfId="61" applyNumberFormat="1" applyFont="1" applyFill="1"/>
    <xf numFmtId="169" fontId="15" fillId="7" borderId="8" xfId="61" applyNumberFormat="1" applyFont="1" applyFill="1" applyBorder="1"/>
    <xf numFmtId="0" fontId="15" fillId="7" borderId="2" xfId="61" applyFont="1" applyFill="1" applyBorder="1"/>
    <xf numFmtId="169" fontId="15" fillId="7" borderId="2" xfId="61" applyNumberFormat="1" applyFont="1" applyFill="1" applyBorder="1"/>
    <xf numFmtId="0" fontId="3" fillId="7" borderId="0" xfId="61" applyFont="1" applyFill="1" applyAlignment="1">
      <alignment horizontal="left"/>
    </xf>
    <xf numFmtId="169" fontId="8" fillId="7" borderId="0" xfId="61" applyNumberFormat="1" applyFont="1" applyFill="1" applyBorder="1"/>
    <xf numFmtId="0" fontId="15" fillId="7" borderId="0" xfId="61" applyFont="1" applyFill="1" applyAlignment="1">
      <alignment horizontal="left"/>
    </xf>
    <xf numFmtId="176" fontId="15" fillId="7" borderId="0" xfId="61" applyNumberFormat="1" applyFont="1" applyFill="1" applyBorder="1"/>
    <xf numFmtId="176" fontId="15" fillId="7" borderId="0" xfId="61" applyNumberFormat="1" applyFont="1" applyFill="1"/>
    <xf numFmtId="194" fontId="8" fillId="7" borderId="0" xfId="61" applyNumberFormat="1" applyFont="1" applyFill="1" applyBorder="1"/>
    <xf numFmtId="170" fontId="8" fillId="7" borderId="0" xfId="20" applyFont="1" applyFill="1"/>
    <xf numFmtId="176" fontId="8" fillId="7" borderId="0" xfId="61" applyNumberFormat="1" applyFont="1" applyFill="1" applyBorder="1"/>
    <xf numFmtId="176" fontId="8" fillId="7" borderId="0" xfId="61" applyNumberFormat="1" applyFont="1" applyFill="1" applyAlignment="1">
      <alignment horizontal="right"/>
    </xf>
    <xf numFmtId="176" fontId="8" fillId="7" borderId="0" xfId="61" applyNumberFormat="1" applyFont="1" applyFill="1"/>
    <xf numFmtId="0" fontId="16" fillId="7" borderId="0" xfId="61" quotePrefix="1" applyFont="1" applyFill="1" applyAlignment="1">
      <alignment horizontal="left"/>
    </xf>
    <xf numFmtId="0" fontId="23" fillId="7" borderId="0" xfId="61" applyFont="1" applyFill="1"/>
    <xf numFmtId="176" fontId="8" fillId="7" borderId="0" xfId="31" applyNumberFormat="1" applyFont="1" applyFill="1" applyBorder="1"/>
    <xf numFmtId="43" fontId="8" fillId="7" borderId="0" xfId="19" applyNumberFormat="1" applyFont="1" applyFill="1"/>
    <xf numFmtId="41" fontId="8" fillId="7" borderId="0" xfId="0" applyNumberFormat="1" applyFont="1" applyFill="1"/>
    <xf numFmtId="165" fontId="33" fillId="7" borderId="0" xfId="19" applyNumberFormat="1" applyFont="1" applyFill="1"/>
    <xf numFmtId="165" fontId="8" fillId="7" borderId="0" xfId="19" applyNumberFormat="1" applyFont="1" applyFill="1" applyAlignment="1"/>
    <xf numFmtId="165" fontId="100" fillId="7" borderId="0" xfId="0" applyNumberFormat="1" applyFont="1" applyFill="1"/>
    <xf numFmtId="0" fontId="3" fillId="0" borderId="0" xfId="58" applyFont="1" applyBorder="1" applyAlignment="1">
      <alignment horizontal="right"/>
    </xf>
    <xf numFmtId="180" fontId="48" fillId="7" borderId="0" xfId="0" applyNumberFormat="1" applyFont="1" applyFill="1" applyBorder="1"/>
    <xf numFmtId="3" fontId="3" fillId="7" borderId="2" xfId="70" applyNumberFormat="1" applyFont="1" applyFill="1" applyBorder="1"/>
    <xf numFmtId="166" fontId="56" fillId="7" borderId="0" xfId="70" applyNumberFormat="1" applyFont="1" applyFill="1"/>
    <xf numFmtId="171" fontId="28" fillId="0" borderId="0" xfId="19" applyNumberFormat="1" applyFont="1" applyFill="1" applyBorder="1"/>
    <xf numFmtId="190" fontId="8" fillId="0" borderId="8" xfId="0" applyNumberFormat="1" applyFont="1" applyFill="1" applyBorder="1"/>
    <xf numFmtId="0" fontId="38" fillId="7" borderId="0" xfId="0" applyFont="1" applyFill="1"/>
    <xf numFmtId="166" fontId="38" fillId="7" borderId="0" xfId="70" applyNumberFormat="1" applyFont="1" applyFill="1"/>
    <xf numFmtId="177" fontId="95" fillId="0" borderId="0" xfId="0" applyNumberFormat="1" applyFont="1" applyFill="1"/>
    <xf numFmtId="184" fontId="15" fillId="7" borderId="0" xfId="0" applyNumberFormat="1" applyFont="1" applyFill="1" applyBorder="1"/>
    <xf numFmtId="166" fontId="23" fillId="7" borderId="0" xfId="72" applyNumberFormat="1" applyFont="1" applyFill="1"/>
    <xf numFmtId="177" fontId="59" fillId="7" borderId="0" xfId="0" applyNumberFormat="1" applyFont="1" applyFill="1" applyBorder="1"/>
    <xf numFmtId="177" fontId="48" fillId="7" borderId="0" xfId="0" applyNumberFormat="1" applyFont="1" applyFill="1"/>
    <xf numFmtId="167" fontId="28" fillId="7" borderId="0" xfId="19" applyNumberFormat="1" applyFont="1" applyFill="1"/>
    <xf numFmtId="166" fontId="33" fillId="7" borderId="0" xfId="70" applyNumberFormat="1" applyFont="1" applyFill="1"/>
    <xf numFmtId="190" fontId="8" fillId="7" borderId="0" xfId="0" applyNumberFormat="1" applyFont="1" applyFill="1"/>
    <xf numFmtId="190" fontId="28" fillId="7" borderId="0" xfId="0" applyNumberFormat="1" applyFont="1" applyFill="1"/>
    <xf numFmtId="171" fontId="34" fillId="7" borderId="0" xfId="19" applyNumberFormat="1" applyFont="1" applyFill="1"/>
    <xf numFmtId="0" fontId="8" fillId="7" borderId="8" xfId="0" applyFont="1" applyFill="1" applyBorder="1"/>
    <xf numFmtId="177" fontId="3" fillId="7" borderId="0" xfId="0" applyNumberFormat="1" applyFont="1" applyFill="1"/>
    <xf numFmtId="39" fontId="3" fillId="7" borderId="0" xfId="0" applyNumberFormat="1" applyFont="1" applyFill="1"/>
    <xf numFmtId="180" fontId="3" fillId="7" borderId="0" xfId="0" applyNumberFormat="1" applyFont="1" applyFill="1" applyBorder="1"/>
    <xf numFmtId="9" fontId="48" fillId="7" borderId="2" xfId="70" applyFont="1" applyFill="1" applyBorder="1"/>
    <xf numFmtId="180" fontId="59" fillId="7" borderId="0" xfId="0" applyNumberFormat="1" applyFont="1" applyFill="1" applyBorder="1"/>
    <xf numFmtId="177" fontId="14" fillId="7" borderId="0" xfId="19" applyNumberFormat="1" applyFont="1" applyFill="1" applyBorder="1"/>
    <xf numFmtId="166" fontId="3" fillId="7" borderId="0" xfId="72" applyNumberFormat="1" applyFont="1" applyFill="1"/>
    <xf numFmtId="166" fontId="3" fillId="7" borderId="0" xfId="72" applyNumberFormat="1" applyFont="1" applyFill="1" applyBorder="1"/>
    <xf numFmtId="0" fontId="3" fillId="7" borderId="2" xfId="0" applyFont="1" applyFill="1" applyBorder="1" applyAlignment="1">
      <alignment horizontal="right"/>
    </xf>
    <xf numFmtId="178" fontId="8" fillId="7" borderId="0" xfId="0" applyNumberFormat="1" applyFont="1" applyFill="1"/>
    <xf numFmtId="165" fontId="97" fillId="7" borderId="0" xfId="0" applyNumberFormat="1" applyFont="1" applyFill="1"/>
    <xf numFmtId="165" fontId="0" fillId="7" borderId="0" xfId="0" applyNumberFormat="1" applyFill="1"/>
    <xf numFmtId="174" fontId="3" fillId="7" borderId="0" xfId="19" applyNumberFormat="1" applyFont="1" applyFill="1"/>
    <xf numFmtId="167" fontId="14" fillId="7" borderId="0" xfId="0" applyNumberFormat="1" applyFont="1" applyFill="1"/>
    <xf numFmtId="177" fontId="14" fillId="7" borderId="2" xfId="70" applyNumberFormat="1" applyFont="1" applyFill="1" applyBorder="1"/>
    <xf numFmtId="184" fontId="72" fillId="7" borderId="2" xfId="70" applyNumberFormat="1" applyFont="1" applyFill="1" applyBorder="1"/>
    <xf numFmtId="49" fontId="3" fillId="0" borderId="8" xfId="0" applyNumberFormat="1" applyFont="1" applyBorder="1"/>
    <xf numFmtId="184" fontId="31" fillId="0" borderId="8" xfId="60" applyNumberFormat="1" applyFont="1" applyBorder="1"/>
    <xf numFmtId="184" fontId="15" fillId="0" borderId="8" xfId="60" applyNumberFormat="1" applyFont="1" applyBorder="1"/>
    <xf numFmtId="174" fontId="34" fillId="0" borderId="8" xfId="0" applyNumberFormat="1" applyFont="1" applyBorder="1"/>
    <xf numFmtId="180" fontId="14" fillId="0" borderId="0" xfId="0" applyNumberFormat="1" applyFont="1" applyFill="1"/>
    <xf numFmtId="165" fontId="77" fillId="7" borderId="0" xfId="0" applyNumberFormat="1" applyFont="1" applyFill="1"/>
    <xf numFmtId="165" fontId="28" fillId="7" borderId="8" xfId="0" applyNumberFormat="1" applyFont="1" applyFill="1" applyBorder="1"/>
    <xf numFmtId="167" fontId="3" fillId="7" borderId="8" xfId="19" applyNumberFormat="1" applyFont="1" applyFill="1" applyBorder="1"/>
    <xf numFmtId="9" fontId="103" fillId="7" borderId="0" xfId="70" applyFont="1" applyFill="1"/>
    <xf numFmtId="39" fontId="8" fillId="0" borderId="0" xfId="0" applyNumberFormat="1" applyFont="1" applyFill="1"/>
    <xf numFmtId="49" fontId="3" fillId="0" borderId="0" xfId="19" applyNumberFormat="1" applyFont="1"/>
    <xf numFmtId="221" fontId="28" fillId="0" borderId="0" xfId="0" applyNumberFormat="1" applyFont="1"/>
    <xf numFmtId="180" fontId="0" fillId="7" borderId="0" xfId="0" applyNumberFormat="1" applyFill="1"/>
    <xf numFmtId="190" fontId="27" fillId="7" borderId="0" xfId="0" applyNumberFormat="1" applyFont="1" applyFill="1"/>
    <xf numFmtId="43" fontId="8" fillId="7" borderId="0" xfId="19" applyFont="1" applyFill="1"/>
    <xf numFmtId="166" fontId="43" fillId="7" borderId="0" xfId="70" applyNumberFormat="1" applyFont="1" applyFill="1"/>
    <xf numFmtId="165" fontId="28" fillId="7" borderId="2" xfId="19" applyNumberFormat="1" applyFont="1" applyFill="1" applyBorder="1"/>
    <xf numFmtId="2" fontId="3" fillId="7" borderId="0" xfId="0" applyNumberFormat="1" applyFont="1" applyFill="1" applyBorder="1"/>
    <xf numFmtId="177" fontId="15" fillId="7" borderId="0" xfId="0" applyNumberFormat="1" applyFont="1" applyFill="1"/>
    <xf numFmtId="184" fontId="3" fillId="7" borderId="2" xfId="72" applyNumberFormat="1" applyFont="1" applyFill="1" applyBorder="1"/>
    <xf numFmtId="184" fontId="14" fillId="7" borderId="8" xfId="0" applyNumberFormat="1" applyFont="1" applyFill="1" applyBorder="1"/>
    <xf numFmtId="184" fontId="14" fillId="7" borderId="0" xfId="72" applyNumberFormat="1" applyFont="1" applyFill="1"/>
    <xf numFmtId="166" fontId="8" fillId="7" borderId="8" xfId="70" applyNumberFormat="1" applyFont="1" applyFill="1" applyBorder="1"/>
    <xf numFmtId="168" fontId="115" fillId="7" borderId="0" xfId="0" applyNumberFormat="1" applyFont="1" applyFill="1"/>
    <xf numFmtId="177" fontId="26" fillId="7" borderId="0" xfId="0" applyNumberFormat="1" applyFont="1" applyFill="1"/>
    <xf numFmtId="171" fontId="78" fillId="7" borderId="0" xfId="19" applyNumberFormat="1" applyFont="1" applyFill="1" applyBorder="1" applyAlignment="1">
      <alignment horizontal="center"/>
    </xf>
    <xf numFmtId="171" fontId="28" fillId="7" borderId="0" xfId="19" applyNumberFormat="1" applyFont="1" applyFill="1"/>
    <xf numFmtId="0" fontId="3" fillId="0" borderId="5" xfId="0" applyFont="1" applyBorder="1" applyAlignment="1">
      <alignment horizontal="right"/>
    </xf>
    <xf numFmtId="0" fontId="3" fillId="0" borderId="0" xfId="0" quotePrefix="1" applyFont="1" applyFill="1" applyBorder="1" applyAlignment="1">
      <alignment horizontal="center"/>
    </xf>
    <xf numFmtId="190" fontId="8" fillId="0" borderId="0" xfId="70" applyNumberFormat="1" applyFont="1" applyFill="1"/>
    <xf numFmtId="171" fontId="3" fillId="7" borderId="0" xfId="19" applyNumberFormat="1" applyFont="1" applyFill="1" applyBorder="1" applyAlignment="1">
      <alignment horizontal="center"/>
    </xf>
    <xf numFmtId="49" fontId="3" fillId="0" borderId="0" xfId="0" applyNumberFormat="1" applyFont="1"/>
    <xf numFmtId="2" fontId="14" fillId="0" borderId="0" xfId="70" applyNumberFormat="1" applyFont="1"/>
    <xf numFmtId="166" fontId="23" fillId="0" borderId="0" xfId="70" applyNumberFormat="1" applyFont="1"/>
    <xf numFmtId="43" fontId="23" fillId="0" borderId="0" xfId="19" applyFont="1"/>
    <xf numFmtId="0" fontId="94" fillId="0" borderId="0" xfId="0" applyFont="1"/>
    <xf numFmtId="180" fontId="14" fillId="0" borderId="0" xfId="70" applyNumberFormat="1" applyFont="1"/>
    <xf numFmtId="43" fontId="15" fillId="0" borderId="0" xfId="19" applyFont="1"/>
    <xf numFmtId="49" fontId="15" fillId="0" borderId="8" xfId="0" applyNumberFormat="1" applyFont="1" applyBorder="1"/>
    <xf numFmtId="174" fontId="15" fillId="0" borderId="8" xfId="0" applyNumberFormat="1" applyFont="1" applyBorder="1"/>
    <xf numFmtId="2" fontId="15" fillId="7" borderId="0" xfId="0" applyNumberFormat="1" applyFont="1" applyFill="1"/>
    <xf numFmtId="2" fontId="15" fillId="0" borderId="0" xfId="0" applyNumberFormat="1" applyFont="1" applyAlignment="1">
      <alignment horizontal="left"/>
    </xf>
    <xf numFmtId="166" fontId="15" fillId="0" borderId="0" xfId="70" applyNumberFormat="1" applyFont="1"/>
    <xf numFmtId="166" fontId="15" fillId="0" borderId="0" xfId="72" applyNumberFormat="1" applyFont="1"/>
    <xf numFmtId="166" fontId="67" fillId="7" borderId="0" xfId="70" applyNumberFormat="1" applyFont="1" applyFill="1"/>
    <xf numFmtId="184" fontId="117" fillId="0" borderId="0" xfId="70" applyNumberFormat="1" applyFont="1" applyFill="1"/>
    <xf numFmtId="180" fontId="3" fillId="7" borderId="0" xfId="70" applyNumberFormat="1" applyFont="1" applyFill="1"/>
    <xf numFmtId="184" fontId="3" fillId="7" borderId="0" xfId="72" applyNumberFormat="1" applyFont="1" applyFill="1"/>
    <xf numFmtId="166" fontId="3" fillId="7" borderId="2" xfId="70" applyNumberFormat="1" applyFont="1" applyFill="1" applyBorder="1"/>
    <xf numFmtId="173" fontId="14" fillId="7" borderId="0" xfId="19" applyNumberFormat="1" applyFont="1" applyFill="1" applyBorder="1"/>
    <xf numFmtId="239" fontId="8" fillId="7" borderId="0" xfId="31" applyNumberFormat="1" applyFont="1" applyFill="1" applyBorder="1"/>
    <xf numFmtId="239" fontId="8" fillId="0" borderId="0" xfId="31" applyNumberFormat="1" applyFont="1" applyFill="1" applyBorder="1"/>
    <xf numFmtId="174" fontId="8" fillId="7" borderId="0" xfId="31" applyNumberFormat="1" applyFont="1" applyFill="1"/>
    <xf numFmtId="166" fontId="117" fillId="0" borderId="0" xfId="70" applyNumberFormat="1" applyFont="1"/>
    <xf numFmtId="171" fontId="117" fillId="7" borderId="0" xfId="19" applyNumberFormat="1" applyFont="1" applyFill="1"/>
    <xf numFmtId="0" fontId="8" fillId="7" borderId="0" xfId="0" applyFont="1" applyFill="1" applyBorder="1" applyAlignment="1"/>
    <xf numFmtId="224" fontId="8" fillId="7" borderId="0" xfId="0" applyNumberFormat="1" applyFont="1" applyFill="1" applyBorder="1" applyAlignment="1">
      <alignment horizontal="center"/>
    </xf>
    <xf numFmtId="184" fontId="3" fillId="7" borderId="0" xfId="70" applyNumberFormat="1" applyFont="1" applyFill="1"/>
    <xf numFmtId="184" fontId="73" fillId="7" borderId="0" xfId="70" applyNumberFormat="1" applyFont="1" applyFill="1"/>
    <xf numFmtId="180" fontId="59" fillId="7" borderId="0" xfId="0" applyNumberFormat="1" applyFont="1" applyFill="1"/>
    <xf numFmtId="0" fontId="23" fillId="0" borderId="0" xfId="0" applyFont="1" applyBorder="1"/>
    <xf numFmtId="167" fontId="60" fillId="7" borderId="0" xfId="19" applyNumberFormat="1" applyFont="1" applyFill="1"/>
    <xf numFmtId="174" fontId="15" fillId="0" borderId="0" xfId="0" applyNumberFormat="1" applyFont="1" applyBorder="1"/>
    <xf numFmtId="166" fontId="38" fillId="0" borderId="0" xfId="70" applyNumberFormat="1" applyFont="1"/>
    <xf numFmtId="1" fontId="15" fillId="0" borderId="0" xfId="0" applyNumberFormat="1" applyFont="1" applyAlignment="1">
      <alignment horizontal="right"/>
    </xf>
    <xf numFmtId="2" fontId="15" fillId="0" borderId="0" xfId="70" applyNumberFormat="1" applyFont="1"/>
    <xf numFmtId="173" fontId="14" fillId="7" borderId="2" xfId="19" applyNumberFormat="1" applyFont="1" applyFill="1" applyBorder="1"/>
    <xf numFmtId="166" fontId="24" fillId="7" borderId="0" xfId="70" applyNumberFormat="1" applyFont="1" applyFill="1" applyAlignment="1">
      <alignment horizontal="right"/>
    </xf>
    <xf numFmtId="16" fontId="8" fillId="7" borderId="0" xfId="0" applyNumberFormat="1" applyFont="1" applyFill="1"/>
    <xf numFmtId="16" fontId="8" fillId="7" borderId="2" xfId="0" applyNumberFormat="1" applyFont="1" applyFill="1" applyBorder="1"/>
    <xf numFmtId="0" fontId="21" fillId="7" borderId="2" xfId="0" applyFont="1" applyFill="1" applyBorder="1" applyAlignment="1">
      <alignment horizontal="right"/>
    </xf>
    <xf numFmtId="180" fontId="8" fillId="7" borderId="2" xfId="0" applyNumberFormat="1" applyFont="1" applyFill="1" applyBorder="1" applyAlignment="1">
      <alignment horizontal="center"/>
    </xf>
    <xf numFmtId="0" fontId="15" fillId="7" borderId="2" xfId="64" applyFont="1" applyFill="1" applyBorder="1" applyAlignment="1">
      <alignment horizontal="centerContinuous"/>
    </xf>
    <xf numFmtId="0" fontId="15" fillId="7" borderId="0" xfId="64" applyFont="1" applyFill="1" applyBorder="1" applyAlignment="1">
      <alignment horizontal="centerContinuous"/>
    </xf>
    <xf numFmtId="0" fontId="15" fillId="7" borderId="5" xfId="64" applyFont="1" applyFill="1" applyBorder="1" applyAlignment="1">
      <alignment horizontal="centerContinuous"/>
    </xf>
    <xf numFmtId="0" fontId="15" fillId="7" borderId="0" xfId="64" applyFont="1" applyFill="1" applyBorder="1" applyAlignment="1" applyProtection="1">
      <alignment horizontal="right"/>
    </xf>
    <xf numFmtId="0" fontId="15" fillId="7" borderId="5" xfId="64" applyFont="1" applyFill="1" applyBorder="1" applyAlignment="1" applyProtection="1">
      <alignment horizontal="right"/>
    </xf>
    <xf numFmtId="178" fontId="27" fillId="7" borderId="0" xfId="0" applyNumberFormat="1" applyFont="1" applyFill="1"/>
    <xf numFmtId="178" fontId="21" fillId="7" borderId="0" xfId="70" applyNumberFormat="1" applyFont="1" applyFill="1"/>
    <xf numFmtId="199" fontId="8" fillId="7" borderId="0" xfId="0" applyNumberFormat="1" applyFont="1" applyFill="1"/>
    <xf numFmtId="165" fontId="21" fillId="7" borderId="0" xfId="0" applyNumberFormat="1" applyFont="1" applyFill="1"/>
    <xf numFmtId="2" fontId="8" fillId="7" borderId="0" xfId="70" applyNumberFormat="1" applyFont="1" applyFill="1"/>
    <xf numFmtId="166" fontId="21" fillId="7" borderId="0" xfId="70" applyNumberFormat="1" applyFont="1" applyFill="1"/>
    <xf numFmtId="165" fontId="21" fillId="7" borderId="0" xfId="19" applyNumberFormat="1" applyFont="1" applyFill="1" applyAlignment="1">
      <alignment horizontal="right"/>
    </xf>
    <xf numFmtId="182" fontId="8" fillId="7" borderId="0" xfId="0" applyNumberFormat="1" applyFont="1" applyFill="1"/>
    <xf numFmtId="165" fontId="21" fillId="7" borderId="0" xfId="70" applyNumberFormat="1" applyFont="1" applyFill="1"/>
    <xf numFmtId="174" fontId="8" fillId="7" borderId="8" xfId="19" applyNumberFormat="1" applyFont="1" applyFill="1" applyBorder="1"/>
    <xf numFmtId="177" fontId="14" fillId="7" borderId="0" xfId="70" applyNumberFormat="1" applyFont="1" applyFill="1"/>
    <xf numFmtId="193" fontId="14" fillId="7" borderId="0" xfId="19" applyNumberFormat="1" applyFont="1" applyFill="1"/>
    <xf numFmtId="171" fontId="21" fillId="7" borderId="0" xfId="19" applyNumberFormat="1" applyFont="1" applyFill="1" applyAlignment="1">
      <alignment horizontal="right"/>
    </xf>
    <xf numFmtId="165" fontId="14" fillId="7" borderId="0" xfId="72" applyNumberFormat="1" applyFont="1" applyFill="1" applyBorder="1"/>
    <xf numFmtId="8" fontId="21" fillId="7" borderId="0" xfId="0" applyNumberFormat="1" applyFont="1" applyFill="1"/>
    <xf numFmtId="167" fontId="3" fillId="7" borderId="2" xfId="0" applyNumberFormat="1" applyFont="1" applyFill="1" applyBorder="1"/>
    <xf numFmtId="8" fontId="3" fillId="7" borderId="0" xfId="19" applyNumberFormat="1" applyFont="1" applyFill="1"/>
    <xf numFmtId="180" fontId="8" fillId="7" borderId="0" xfId="0" applyNumberFormat="1" applyFont="1" applyFill="1" applyAlignment="1">
      <alignment horizontal="right"/>
    </xf>
    <xf numFmtId="167" fontId="15" fillId="7" borderId="0" xfId="0" applyNumberFormat="1" applyFont="1" applyFill="1"/>
    <xf numFmtId="165" fontId="3" fillId="7" borderId="0" xfId="0" applyNumberFormat="1" applyFont="1" applyFill="1" applyProtection="1"/>
    <xf numFmtId="9" fontId="3" fillId="7" borderId="0" xfId="19" applyNumberFormat="1" applyFont="1" applyFill="1"/>
    <xf numFmtId="177" fontId="27" fillId="7" borderId="0" xfId="0" applyNumberFormat="1" applyFont="1" applyFill="1"/>
    <xf numFmtId="165" fontId="26" fillId="7" borderId="0" xfId="0" applyNumberFormat="1" applyFont="1" applyFill="1" applyProtection="1"/>
    <xf numFmtId="38" fontId="8" fillId="7" borderId="2" xfId="0" applyNumberFormat="1" applyFont="1" applyFill="1" applyBorder="1"/>
    <xf numFmtId="38" fontId="8" fillId="7" borderId="0" xfId="0" applyNumberFormat="1" applyFont="1" applyFill="1" applyBorder="1"/>
    <xf numFmtId="0" fontId="2" fillId="7" borderId="0" xfId="0" applyFont="1" applyFill="1"/>
    <xf numFmtId="165" fontId="3" fillId="7" borderId="0" xfId="0" applyNumberFormat="1" applyFont="1" applyFill="1" applyAlignment="1" applyProtection="1">
      <alignment horizontal="left"/>
    </xf>
    <xf numFmtId="177" fontId="14" fillId="7" borderId="0" xfId="0" applyNumberFormat="1" applyFont="1" applyFill="1" applyBorder="1"/>
    <xf numFmtId="177" fontId="24" fillId="7" borderId="0" xfId="0" applyNumberFormat="1" applyFont="1" applyFill="1"/>
    <xf numFmtId="49" fontId="15" fillId="7" borderId="0" xfId="0" applyNumberFormat="1" applyFont="1" applyFill="1"/>
    <xf numFmtId="49" fontId="26" fillId="7" borderId="0" xfId="0" applyNumberFormat="1" applyFont="1" applyFill="1"/>
    <xf numFmtId="38" fontId="26" fillId="7" borderId="0" xfId="0" applyNumberFormat="1" applyFont="1" applyFill="1"/>
    <xf numFmtId="49" fontId="23" fillId="7" borderId="0" xfId="0" applyNumberFormat="1" applyFont="1" applyFill="1"/>
    <xf numFmtId="38" fontId="23" fillId="7" borderId="0" xfId="0" applyNumberFormat="1" applyFont="1" applyFill="1"/>
    <xf numFmtId="44" fontId="3" fillId="7" borderId="0" xfId="31" applyFont="1" applyFill="1"/>
    <xf numFmtId="44" fontId="3" fillId="7" borderId="0" xfId="0" applyNumberFormat="1" applyFont="1" applyFill="1"/>
    <xf numFmtId="1" fontId="15" fillId="7" borderId="0" xfId="0" applyNumberFormat="1" applyFont="1" applyFill="1" applyAlignment="1">
      <alignment horizontal="right"/>
    </xf>
    <xf numFmtId="9" fontId="3" fillId="7" borderId="2" xfId="70" applyFont="1" applyFill="1" applyBorder="1"/>
    <xf numFmtId="180" fontId="59" fillId="7" borderId="2" xfId="0" applyNumberFormat="1" applyFont="1" applyFill="1" applyBorder="1"/>
    <xf numFmtId="49" fontId="23" fillId="7" borderId="0" xfId="19" quotePrefix="1" applyNumberFormat="1" applyFont="1" applyFill="1" applyBorder="1" applyAlignment="1">
      <alignment horizontal="left"/>
    </xf>
    <xf numFmtId="221" fontId="3" fillId="7" borderId="2" xfId="0" applyNumberFormat="1" applyFont="1" applyFill="1" applyBorder="1"/>
    <xf numFmtId="9" fontId="3" fillId="7" borderId="2" xfId="0" applyNumberFormat="1" applyFont="1" applyFill="1" applyBorder="1"/>
    <xf numFmtId="165" fontId="27" fillId="7" borderId="0" xfId="0" applyNumberFormat="1" applyFont="1" applyFill="1" applyBorder="1"/>
    <xf numFmtId="165" fontId="28" fillId="7" borderId="0" xfId="0" applyNumberFormat="1" applyFont="1" applyFill="1" applyBorder="1"/>
    <xf numFmtId="165" fontId="28" fillId="7" borderId="2" xfId="0" applyNumberFormat="1" applyFont="1" applyFill="1" applyBorder="1"/>
    <xf numFmtId="171" fontId="14" fillId="7" borderId="0" xfId="19" applyNumberFormat="1" applyFont="1" applyFill="1"/>
    <xf numFmtId="190" fontId="8" fillId="7" borderId="0" xfId="0" applyNumberFormat="1" applyFont="1" applyFill="1" applyBorder="1"/>
    <xf numFmtId="190" fontId="60" fillId="7" borderId="8" xfId="0" applyNumberFormat="1" applyFont="1" applyFill="1" applyBorder="1"/>
    <xf numFmtId="190" fontId="15" fillId="7" borderId="8" xfId="0" applyNumberFormat="1" applyFont="1" applyFill="1" applyBorder="1"/>
    <xf numFmtId="180" fontId="8" fillId="7" borderId="0" xfId="31" applyNumberFormat="1" applyFont="1" applyFill="1"/>
    <xf numFmtId="180" fontId="8" fillId="7" borderId="0" xfId="31" applyNumberFormat="1" applyFont="1" applyFill="1" applyBorder="1"/>
    <xf numFmtId="171" fontId="27" fillId="7" borderId="0" xfId="19" applyNumberFormat="1" applyFont="1" applyFill="1"/>
    <xf numFmtId="38" fontId="8" fillId="7" borderId="0" xfId="19" applyNumberFormat="1" applyFont="1" applyFill="1"/>
    <xf numFmtId="171" fontId="27" fillId="7" borderId="2" xfId="19" applyNumberFormat="1" applyFont="1" applyFill="1" applyBorder="1"/>
    <xf numFmtId="190" fontId="30" fillId="7" borderId="0" xfId="0" applyNumberFormat="1" applyFont="1" applyFill="1" applyBorder="1" applyAlignment="1">
      <alignment horizontal="center"/>
    </xf>
    <xf numFmtId="3" fontId="8" fillId="7" borderId="0" xfId="0" applyNumberFormat="1" applyFont="1" applyFill="1" applyBorder="1"/>
    <xf numFmtId="173" fontId="85" fillId="7" borderId="0" xfId="0" applyNumberFormat="1" applyFont="1" applyFill="1"/>
    <xf numFmtId="166" fontId="28" fillId="7" borderId="0" xfId="0" applyNumberFormat="1" applyFont="1" applyFill="1"/>
    <xf numFmtId="0" fontId="23" fillId="0" borderId="0" xfId="58" quotePrefix="1" applyFont="1" applyBorder="1" applyAlignment="1">
      <alignment horizontal="left"/>
    </xf>
    <xf numFmtId="184" fontId="3" fillId="7" borderId="2" xfId="70" applyNumberFormat="1" applyFont="1" applyFill="1" applyBorder="1"/>
    <xf numFmtId="184" fontId="48" fillId="7" borderId="8" xfId="0" applyNumberFormat="1" applyFont="1" applyFill="1" applyBorder="1"/>
    <xf numFmtId="174" fontId="14" fillId="7" borderId="0" xfId="0" applyNumberFormat="1" applyFont="1" applyFill="1"/>
    <xf numFmtId="184" fontId="60" fillId="7" borderId="0" xfId="60" applyNumberFormat="1" applyFont="1" applyFill="1"/>
    <xf numFmtId="0" fontId="15" fillId="0" borderId="16" xfId="61" applyFont="1" applyBorder="1" applyAlignment="1">
      <alignment horizontal="right"/>
    </xf>
    <xf numFmtId="169" fontId="28" fillId="7" borderId="0" xfId="31" applyNumberFormat="1" applyFont="1" applyFill="1"/>
    <xf numFmtId="165" fontId="23" fillId="0" borderId="0" xfId="59" applyNumberFormat="1" applyFont="1" applyBorder="1"/>
    <xf numFmtId="178" fontId="117" fillId="7" borderId="0" xfId="0" applyNumberFormat="1" applyFont="1" applyFill="1" applyBorder="1" applyAlignment="1">
      <alignment horizontal="right"/>
    </xf>
    <xf numFmtId="166" fontId="118" fillId="7" borderId="0" xfId="70" applyNumberFormat="1" applyFont="1" applyFill="1"/>
    <xf numFmtId="5" fontId="15" fillId="7" borderId="0" xfId="0" applyNumberFormat="1" applyFont="1" applyFill="1"/>
    <xf numFmtId="43" fontId="3" fillId="7" borderId="0" xfId="0" applyNumberFormat="1" applyFont="1" applyFill="1"/>
    <xf numFmtId="166" fontId="38" fillId="7" borderId="18" xfId="70" applyNumberFormat="1" applyFont="1" applyFill="1" applyBorder="1"/>
    <xf numFmtId="0" fontId="3" fillId="0" borderId="5" xfId="0" applyFont="1" applyBorder="1"/>
    <xf numFmtId="234" fontId="8" fillId="7" borderId="0" xfId="0" applyNumberFormat="1" applyFont="1" applyFill="1" applyBorder="1" applyAlignment="1">
      <alignment horizontal="right"/>
    </xf>
    <xf numFmtId="220" fontId="8" fillId="7" borderId="0" xfId="19" applyNumberFormat="1" applyFont="1" applyFill="1"/>
    <xf numFmtId="166" fontId="23" fillId="7" borderId="0" xfId="72" applyNumberFormat="1" applyFont="1" applyFill="1" applyBorder="1"/>
    <xf numFmtId="165" fontId="3" fillId="7" borderId="0" xfId="19" applyNumberFormat="1" applyFont="1" applyFill="1" applyBorder="1"/>
    <xf numFmtId="171" fontId="23" fillId="7" borderId="0" xfId="19" quotePrefix="1" applyNumberFormat="1" applyFont="1" applyFill="1" applyBorder="1" applyAlignment="1">
      <alignment horizontal="right"/>
    </xf>
    <xf numFmtId="166" fontId="23" fillId="7" borderId="0" xfId="70" quotePrefix="1" applyNumberFormat="1" applyFont="1" applyFill="1" applyAlignment="1">
      <alignment horizontal="right"/>
    </xf>
    <xf numFmtId="178" fontId="15" fillId="7" borderId="0" xfId="0" applyNumberFormat="1" applyFont="1" applyFill="1" applyBorder="1" applyAlignment="1">
      <alignment horizontal="right"/>
    </xf>
    <xf numFmtId="225" fontId="60" fillId="7" borderId="0" xfId="31" applyNumberFormat="1" applyFont="1" applyFill="1"/>
    <xf numFmtId="167" fontId="60" fillId="7" borderId="0" xfId="0" applyNumberFormat="1" applyFont="1" applyFill="1"/>
    <xf numFmtId="8" fontId="8" fillId="7" borderId="2" xfId="70" applyNumberFormat="1" applyFont="1" applyFill="1" applyBorder="1"/>
    <xf numFmtId="8" fontId="27" fillId="7" borderId="0" xfId="70" applyNumberFormat="1" applyFont="1" applyFill="1"/>
    <xf numFmtId="8" fontId="8" fillId="7" borderId="0" xfId="70" applyNumberFormat="1" applyFont="1" applyFill="1"/>
    <xf numFmtId="167" fontId="28" fillId="7" borderId="0" xfId="19" applyNumberFormat="1" applyFont="1" applyFill="1" applyBorder="1"/>
    <xf numFmtId="184" fontId="27" fillId="7" borderId="0" xfId="19" applyNumberFormat="1" applyFont="1" applyFill="1"/>
    <xf numFmtId="171" fontId="27" fillId="7" borderId="0" xfId="70" applyNumberFormat="1" applyFont="1" applyFill="1"/>
    <xf numFmtId="173" fontId="8" fillId="7" borderId="8" xfId="0" applyNumberFormat="1" applyFont="1" applyFill="1" applyBorder="1"/>
    <xf numFmtId="0" fontId="7" fillId="5" borderId="0" xfId="0" applyFont="1" applyFill="1"/>
    <xf numFmtId="2" fontId="38" fillId="5" borderId="0" xfId="0" applyNumberFormat="1" applyFont="1" applyFill="1"/>
    <xf numFmtId="38" fontId="72" fillId="4" borderId="8" xfId="0" applyNumberFormat="1" applyFont="1" applyFill="1" applyBorder="1"/>
    <xf numFmtId="38" fontId="3" fillId="4" borderId="8" xfId="0" applyNumberFormat="1" applyFont="1" applyFill="1" applyBorder="1"/>
    <xf numFmtId="165" fontId="119" fillId="7" borderId="0" xfId="0" applyNumberFormat="1" applyFont="1" applyFill="1" applyBorder="1"/>
    <xf numFmtId="0" fontId="0" fillId="0" borderId="0" xfId="0" applyFill="1" applyAlignment="1">
      <alignment horizontal="left"/>
    </xf>
    <xf numFmtId="0" fontId="0" fillId="0" borderId="0" xfId="0" applyFill="1" applyBorder="1" applyAlignment="1">
      <alignment horizontal="left"/>
    </xf>
    <xf numFmtId="178" fontId="3" fillId="0" borderId="0" xfId="0" applyNumberFormat="1" applyFont="1" applyFill="1" applyAlignment="1">
      <alignment horizontal="left"/>
    </xf>
    <xf numFmtId="0" fontId="3" fillId="0" borderId="0" xfId="0" applyFont="1" applyFill="1" applyAlignment="1">
      <alignment horizontal="left"/>
    </xf>
    <xf numFmtId="0" fontId="0" fillId="7" borderId="0" xfId="0" applyFill="1" applyAlignment="1">
      <alignment horizontal="left"/>
    </xf>
    <xf numFmtId="0" fontId="0" fillId="0" borderId="0" xfId="0" applyAlignment="1">
      <alignment horizontal="left"/>
    </xf>
    <xf numFmtId="10" fontId="3" fillId="7" borderId="0" xfId="72" applyNumberFormat="1" applyFont="1" applyFill="1"/>
    <xf numFmtId="182" fontId="8" fillId="0" borderId="0" xfId="0" applyNumberFormat="1" applyFont="1" applyFill="1"/>
    <xf numFmtId="165" fontId="27" fillId="7" borderId="0" xfId="19" applyNumberFormat="1" applyFont="1" applyFill="1" applyBorder="1"/>
    <xf numFmtId="1" fontId="15" fillId="7" borderId="2" xfId="64" quotePrefix="1" applyNumberFormat="1" applyFont="1" applyFill="1" applyBorder="1" applyAlignment="1" applyProtection="1">
      <alignment horizontal="right"/>
    </xf>
    <xf numFmtId="167" fontId="8" fillId="7" borderId="0" xfId="19" applyNumberFormat="1" applyFont="1" applyFill="1" applyAlignment="1">
      <alignment horizontal="right"/>
    </xf>
    <xf numFmtId="166" fontId="3" fillId="7" borderId="2" xfId="72" applyNumberFormat="1" applyFont="1" applyFill="1" applyBorder="1"/>
    <xf numFmtId="177" fontId="27" fillId="0" borderId="2" xfId="19" applyNumberFormat="1" applyFont="1" applyFill="1" applyBorder="1" applyAlignment="1">
      <alignment horizontal="right" wrapText="1"/>
    </xf>
    <xf numFmtId="9" fontId="107" fillId="7" borderId="0" xfId="70" applyFont="1" applyFill="1"/>
    <xf numFmtId="184" fontId="3" fillId="7" borderId="0" xfId="0" applyNumberFormat="1" applyFont="1" applyFill="1" applyBorder="1"/>
    <xf numFmtId="1" fontId="15" fillId="7" borderId="2" xfId="0" applyNumberFormat="1" applyFont="1" applyFill="1" applyBorder="1" applyAlignment="1">
      <alignment horizontal="right"/>
    </xf>
    <xf numFmtId="166" fontId="72" fillId="7" borderId="2" xfId="70" applyNumberFormat="1" applyFont="1" applyFill="1" applyBorder="1"/>
    <xf numFmtId="40" fontId="27" fillId="0" borderId="0" xfId="0" applyNumberFormat="1" applyFont="1" applyFill="1" applyBorder="1"/>
    <xf numFmtId="185" fontId="8" fillId="7" borderId="0" xfId="0" applyNumberFormat="1" applyFont="1" applyFill="1"/>
    <xf numFmtId="164" fontId="8" fillId="7" borderId="0" xfId="0" applyNumberFormat="1" applyFont="1" applyFill="1"/>
    <xf numFmtId="168" fontId="48" fillId="7" borderId="0" xfId="70" applyNumberFormat="1" applyFont="1" applyFill="1"/>
    <xf numFmtId="180" fontId="3" fillId="7" borderId="2" xfId="70" applyNumberFormat="1" applyFont="1" applyFill="1" applyBorder="1"/>
    <xf numFmtId="180" fontId="27" fillId="7" borderId="0" xfId="0" applyNumberFormat="1" applyFont="1" applyFill="1" applyBorder="1"/>
    <xf numFmtId="180" fontId="48" fillId="7" borderId="8" xfId="0" applyNumberFormat="1" applyFont="1" applyFill="1" applyBorder="1"/>
    <xf numFmtId="180" fontId="67" fillId="7" borderId="0" xfId="70" applyNumberFormat="1" applyFont="1" applyFill="1"/>
    <xf numFmtId="9" fontId="48" fillId="7" borderId="0" xfId="70" applyFont="1" applyFill="1"/>
    <xf numFmtId="4" fontId="48" fillId="7" borderId="0" xfId="70" applyNumberFormat="1" applyFont="1" applyFill="1"/>
    <xf numFmtId="0" fontId="15" fillId="7" borderId="3" xfId="0" applyFont="1" applyFill="1" applyBorder="1" applyAlignment="1">
      <alignment horizontal="right"/>
    </xf>
    <xf numFmtId="193" fontId="28" fillId="7" borderId="0" xfId="19" applyNumberFormat="1" applyFont="1" applyFill="1" applyBorder="1"/>
    <xf numFmtId="8" fontId="14" fillId="7" borderId="0" xfId="70" applyNumberFormat="1" applyFont="1" applyFill="1"/>
    <xf numFmtId="178" fontId="8" fillId="7" borderId="0" xfId="70" applyNumberFormat="1" applyFont="1" applyFill="1"/>
    <xf numFmtId="40" fontId="8" fillId="7" borderId="0" xfId="70" applyNumberFormat="1" applyFont="1" applyFill="1"/>
    <xf numFmtId="165" fontId="8" fillId="7" borderId="0" xfId="0" applyNumberFormat="1" applyFont="1" applyFill="1" applyAlignment="1">
      <alignment horizontal="right"/>
    </xf>
    <xf numFmtId="169" fontId="8" fillId="7" borderId="0" xfId="31" applyNumberFormat="1" applyFont="1" applyFill="1"/>
    <xf numFmtId="38" fontId="14" fillId="7" borderId="0" xfId="21" applyNumberFormat="1" applyFont="1" applyFill="1"/>
    <xf numFmtId="8" fontId="81" fillId="7" borderId="0" xfId="70" applyNumberFormat="1" applyFont="1" applyFill="1"/>
    <xf numFmtId="165" fontId="8" fillId="7" borderId="2" xfId="19" applyNumberFormat="1" applyFont="1" applyFill="1" applyBorder="1" applyAlignment="1">
      <alignment horizontal="right" wrapText="1"/>
    </xf>
    <xf numFmtId="183" fontId="8" fillId="7" borderId="0" xfId="19" applyNumberFormat="1" applyFont="1" applyFill="1"/>
    <xf numFmtId="166" fontId="14" fillId="7" borderId="2" xfId="70" applyNumberFormat="1" applyFont="1" applyFill="1" applyBorder="1"/>
    <xf numFmtId="38" fontId="14" fillId="7" borderId="2" xfId="0" applyNumberFormat="1" applyFont="1" applyFill="1" applyBorder="1"/>
    <xf numFmtId="181" fontId="8" fillId="7" borderId="0" xfId="19" applyNumberFormat="1" applyFont="1" applyFill="1"/>
    <xf numFmtId="181" fontId="14" fillId="7" borderId="0" xfId="19" applyNumberFormat="1" applyFont="1" applyFill="1"/>
    <xf numFmtId="241" fontId="8" fillId="7" borderId="0" xfId="19" applyNumberFormat="1" applyFont="1" applyFill="1"/>
    <xf numFmtId="241" fontId="8" fillId="7" borderId="0" xfId="0" applyNumberFormat="1" applyFont="1" applyFill="1"/>
    <xf numFmtId="241" fontId="15" fillId="7" borderId="0" xfId="70" applyNumberFormat="1" applyFont="1" applyFill="1"/>
    <xf numFmtId="7" fontId="8" fillId="7" borderId="0" xfId="0" applyNumberFormat="1" applyFont="1" applyFill="1"/>
    <xf numFmtId="173" fontId="42" fillId="7" borderId="0" xfId="0" applyNumberFormat="1" applyFont="1" applyFill="1"/>
    <xf numFmtId="170" fontId="28" fillId="7" borderId="0" xfId="20" applyNumberFormat="1" applyFont="1" applyFill="1"/>
    <xf numFmtId="169" fontId="117" fillId="0" borderId="0" xfId="31" applyNumberFormat="1" applyFont="1" applyFill="1"/>
    <xf numFmtId="0" fontId="21" fillId="7" borderId="0" xfId="61" applyFont="1" applyFill="1" applyBorder="1" applyAlignment="1">
      <alignment horizontal="centerContinuous"/>
    </xf>
    <xf numFmtId="194" fontId="3" fillId="7" borderId="2" xfId="50" applyFont="1" applyFill="1" applyBorder="1"/>
    <xf numFmtId="170" fontId="3" fillId="7" borderId="0" xfId="20" applyNumberFormat="1" applyFont="1" applyFill="1"/>
    <xf numFmtId="168" fontId="3" fillId="7" borderId="0" xfId="50" applyNumberFormat="1" applyFont="1" applyFill="1" applyBorder="1"/>
    <xf numFmtId="184" fontId="117" fillId="7" borderId="0" xfId="70" applyNumberFormat="1" applyFont="1" applyFill="1"/>
    <xf numFmtId="9" fontId="23" fillId="0" borderId="0" xfId="0" applyNumberFormat="1" applyFont="1"/>
    <xf numFmtId="0" fontId="94" fillId="7" borderId="0" xfId="0" applyFont="1" applyFill="1"/>
    <xf numFmtId="174" fontId="8" fillId="7" borderId="8" xfId="0" applyNumberFormat="1" applyFont="1" applyFill="1" applyBorder="1"/>
    <xf numFmtId="186" fontId="8" fillId="7" borderId="0" xfId="0" applyNumberFormat="1" applyFont="1" applyFill="1"/>
    <xf numFmtId="186" fontId="8" fillId="7" borderId="0" xfId="60" applyNumberFormat="1" applyFont="1" applyFill="1"/>
    <xf numFmtId="2" fontId="14" fillId="7" borderId="0" xfId="67" applyNumberFormat="1" applyFont="1" applyFill="1"/>
    <xf numFmtId="186" fontId="33" fillId="7" borderId="0" xfId="0" applyNumberFormat="1" applyFont="1" applyFill="1"/>
    <xf numFmtId="166" fontId="14" fillId="7" borderId="0" xfId="70" quotePrefix="1" applyNumberFormat="1" applyFont="1" applyFill="1" applyAlignment="1">
      <alignment horizontal="right"/>
    </xf>
    <xf numFmtId="185" fontId="14" fillId="7" borderId="0" xfId="0" applyNumberFormat="1" applyFont="1" applyFill="1"/>
    <xf numFmtId="1" fontId="8" fillId="7" borderId="0" xfId="0" applyNumberFormat="1" applyFont="1" applyFill="1"/>
    <xf numFmtId="10" fontId="8" fillId="7" borderId="0" xfId="0" applyNumberFormat="1" applyFont="1" applyFill="1" applyProtection="1"/>
    <xf numFmtId="179" fontId="8" fillId="7" borderId="0" xfId="0" applyNumberFormat="1" applyFont="1" applyFill="1" applyProtection="1"/>
    <xf numFmtId="169" fontId="8" fillId="7" borderId="0" xfId="0" applyNumberFormat="1" applyFont="1" applyFill="1" applyProtection="1"/>
    <xf numFmtId="176" fontId="8" fillId="7" borderId="0" xfId="20" applyNumberFormat="1" applyFont="1" applyFill="1"/>
    <xf numFmtId="2" fontId="8" fillId="7" borderId="2" xfId="0" applyNumberFormat="1" applyFont="1" applyFill="1" applyBorder="1"/>
    <xf numFmtId="165" fontId="60" fillId="7" borderId="0" xfId="19" applyNumberFormat="1" applyFont="1" applyFill="1"/>
    <xf numFmtId="180" fontId="15" fillId="7" borderId="0" xfId="0" applyNumberFormat="1" applyFont="1" applyFill="1"/>
    <xf numFmtId="188" fontId="15" fillId="7" borderId="2" xfId="0" applyNumberFormat="1" applyFont="1" applyFill="1" applyBorder="1" applyAlignment="1">
      <alignment horizontal="right"/>
    </xf>
    <xf numFmtId="169" fontId="48" fillId="7" borderId="0" xfId="31" applyNumberFormat="1" applyFont="1" applyFill="1"/>
    <xf numFmtId="176" fontId="15" fillId="7" borderId="0" xfId="61" applyNumberFormat="1" applyFont="1" applyFill="1" applyAlignment="1">
      <alignment horizontal="right"/>
    </xf>
    <xf numFmtId="171" fontId="8" fillId="7" borderId="8" xfId="19" applyNumberFormat="1" applyFont="1" applyFill="1" applyBorder="1" applyAlignment="1">
      <alignment horizontal="center"/>
    </xf>
    <xf numFmtId="166" fontId="59" fillId="7" borderId="0" xfId="70" applyNumberFormat="1" applyFont="1" applyFill="1" applyBorder="1"/>
    <xf numFmtId="178" fontId="3" fillId="7" borderId="0" xfId="0" applyNumberFormat="1" applyFont="1" applyFill="1" applyBorder="1" applyAlignment="1">
      <alignment horizontal="right"/>
    </xf>
    <xf numFmtId="165" fontId="8" fillId="7" borderId="0" xfId="0" applyNumberFormat="1" applyFont="1" applyFill="1" applyAlignment="1">
      <alignment vertical="center"/>
    </xf>
    <xf numFmtId="174" fontId="8" fillId="7" borderId="6" xfId="0" applyNumberFormat="1" applyFont="1" applyFill="1" applyBorder="1"/>
    <xf numFmtId="165" fontId="27" fillId="7" borderId="0" xfId="19" applyNumberFormat="1" applyFont="1" applyFill="1" applyAlignment="1">
      <alignment horizontal="right" wrapText="1"/>
    </xf>
    <xf numFmtId="38" fontId="28" fillId="7" borderId="0" xfId="0" applyNumberFormat="1" applyFont="1" applyFill="1"/>
    <xf numFmtId="37" fontId="27" fillId="7" borderId="0" xfId="0" applyNumberFormat="1" applyFont="1" applyFill="1"/>
    <xf numFmtId="38" fontId="27" fillId="7" borderId="2" xfId="0" applyNumberFormat="1" applyFont="1" applyFill="1" applyBorder="1"/>
    <xf numFmtId="205" fontId="8" fillId="0" borderId="0" xfId="0" applyNumberFormat="1" applyFont="1" applyFill="1"/>
    <xf numFmtId="166" fontId="26" fillId="7" borderId="0" xfId="70" applyNumberFormat="1" applyFont="1" applyFill="1" applyAlignment="1">
      <alignment horizontal="right"/>
    </xf>
    <xf numFmtId="166" fontId="117" fillId="7" borderId="0" xfId="70" applyNumberFormat="1" applyFont="1" applyFill="1"/>
    <xf numFmtId="0" fontId="15" fillId="4" borderId="0" xfId="0" applyFont="1" applyFill="1" applyAlignment="1">
      <alignment horizontal="right"/>
    </xf>
    <xf numFmtId="0" fontId="15" fillId="5" borderId="0" xfId="0" applyFont="1" applyFill="1" applyAlignment="1">
      <alignment horizontal="right"/>
    </xf>
    <xf numFmtId="190" fontId="26" fillId="0" borderId="8" xfId="0" applyNumberFormat="1" applyFont="1" applyBorder="1" applyAlignment="1">
      <alignment horizontal="center"/>
    </xf>
    <xf numFmtId="190" fontId="30" fillId="0" borderId="8" xfId="0" applyNumberFormat="1" applyFont="1" applyBorder="1" applyAlignment="1">
      <alignment horizontal="center"/>
    </xf>
    <xf numFmtId="0" fontId="3" fillId="7" borderId="0" xfId="58" applyFont="1" applyFill="1"/>
    <xf numFmtId="10" fontId="15" fillId="7" borderId="0" xfId="70" applyNumberFormat="1" applyFont="1" applyFill="1"/>
    <xf numFmtId="0" fontId="8" fillId="7" borderId="0" xfId="58" applyFont="1" applyFill="1"/>
    <xf numFmtId="49" fontId="15" fillId="0" borderId="0" xfId="0" applyNumberFormat="1" applyFont="1" applyBorder="1"/>
    <xf numFmtId="9" fontId="23" fillId="7" borderId="0" xfId="70" applyNumberFormat="1" applyFont="1" applyFill="1"/>
    <xf numFmtId="173" fontId="14" fillId="7" borderId="0" xfId="19" applyNumberFormat="1" applyFont="1" applyFill="1"/>
    <xf numFmtId="173" fontId="28" fillId="7" borderId="8" xfId="19" applyNumberFormat="1" applyFont="1" applyFill="1" applyBorder="1"/>
    <xf numFmtId="178" fontId="3" fillId="0" borderId="0" xfId="0" applyNumberFormat="1" applyFont="1"/>
    <xf numFmtId="168" fontId="8" fillId="7" borderId="0" xfId="32" applyNumberFormat="1" applyFont="1" applyFill="1" applyAlignment="1"/>
    <xf numFmtId="168" fontId="14" fillId="7" borderId="2" xfId="32" applyNumberFormat="1" applyFont="1" applyFill="1" applyBorder="1" applyAlignment="1"/>
    <xf numFmtId="2" fontId="8" fillId="0" borderId="8" xfId="0" applyNumberFormat="1" applyFont="1" applyBorder="1"/>
    <xf numFmtId="184" fontId="15" fillId="7" borderId="0" xfId="0" applyNumberFormat="1" applyFont="1" applyFill="1"/>
    <xf numFmtId="184" fontId="31" fillId="7" borderId="0" xfId="0" applyNumberFormat="1" applyFont="1" applyFill="1"/>
    <xf numFmtId="184" fontId="42" fillId="7" borderId="0" xfId="0" applyNumberFormat="1" applyFont="1" applyFill="1"/>
    <xf numFmtId="184" fontId="42" fillId="0" borderId="0" xfId="0" applyNumberFormat="1" applyFont="1" applyFill="1"/>
    <xf numFmtId="173" fontId="27" fillId="0" borderId="0" xfId="0" applyNumberFormat="1" applyFont="1" applyFill="1" applyBorder="1"/>
    <xf numFmtId="0" fontId="3" fillId="0" borderId="2" xfId="0" applyFont="1" applyBorder="1" applyAlignment="1">
      <alignment horizontal="centerContinuous"/>
    </xf>
    <xf numFmtId="0" fontId="3" fillId="0" borderId="2" xfId="64" quotePrefix="1" applyFont="1" applyBorder="1" applyAlignment="1" applyProtection="1">
      <alignment horizontal="right"/>
    </xf>
    <xf numFmtId="242" fontId="8" fillId="0" borderId="0" xfId="32" applyNumberFormat="1" applyFont="1" applyAlignment="1"/>
    <xf numFmtId="165" fontId="27" fillId="7" borderId="2" xfId="19" applyNumberFormat="1" applyFont="1" applyFill="1" applyBorder="1" applyAlignment="1">
      <alignment horizontal="right" wrapText="1"/>
    </xf>
    <xf numFmtId="165" fontId="8" fillId="7" borderId="7" xfId="0" applyNumberFormat="1" applyFont="1" applyFill="1" applyBorder="1"/>
    <xf numFmtId="40" fontId="14" fillId="0" borderId="0" xfId="0" applyNumberFormat="1" applyFont="1"/>
    <xf numFmtId="166" fontId="109" fillId="0" borderId="0" xfId="0" applyNumberFormat="1" applyFont="1"/>
    <xf numFmtId="166" fontId="94" fillId="0" borderId="0" xfId="0" applyNumberFormat="1" applyFont="1"/>
    <xf numFmtId="166" fontId="23" fillId="0" borderId="0" xfId="0" applyNumberFormat="1" applyFont="1"/>
    <xf numFmtId="166" fontId="43" fillId="0" borderId="0" xfId="0" applyNumberFormat="1" applyFont="1"/>
    <xf numFmtId="168" fontId="27" fillId="7" borderId="0" xfId="19" applyNumberFormat="1" applyFont="1" applyFill="1"/>
    <xf numFmtId="49" fontId="3" fillId="0" borderId="0" xfId="19" applyNumberFormat="1" applyFont="1" applyFill="1" applyBorder="1"/>
    <xf numFmtId="167" fontId="23" fillId="0" borderId="0" xfId="19" applyNumberFormat="1" applyFont="1"/>
    <xf numFmtId="166" fontId="43" fillId="0" borderId="0" xfId="70" applyNumberFormat="1" applyFont="1"/>
    <xf numFmtId="43" fontId="23" fillId="0" borderId="0" xfId="0" applyNumberFormat="1" applyFont="1"/>
    <xf numFmtId="9" fontId="109" fillId="0" borderId="0" xfId="0" applyNumberFormat="1" applyFont="1"/>
    <xf numFmtId="166" fontId="8" fillId="7" borderId="2" xfId="70" applyNumberFormat="1" applyFont="1" applyFill="1" applyBorder="1" applyAlignment="1">
      <alignment horizontal="right"/>
    </xf>
    <xf numFmtId="193" fontId="31" fillId="7" borderId="0" xfId="19" applyNumberFormat="1" applyFont="1" applyFill="1"/>
    <xf numFmtId="1" fontId="15" fillId="7" borderId="2" xfId="0" applyNumberFormat="1" applyFont="1" applyFill="1" applyBorder="1" applyAlignment="1">
      <alignment horizontal="centerContinuous"/>
    </xf>
    <xf numFmtId="0" fontId="15" fillId="7" borderId="2" xfId="0" applyNumberFormat="1" applyFont="1" applyFill="1" applyBorder="1" applyAlignment="1">
      <alignment horizontal="centerContinuous"/>
    </xf>
    <xf numFmtId="165" fontId="38" fillId="7" borderId="0" xfId="0" applyNumberFormat="1" applyFont="1" applyFill="1" applyAlignment="1">
      <alignment horizontal="right"/>
    </xf>
    <xf numFmtId="184" fontId="23" fillId="7" borderId="0" xfId="0" applyNumberFormat="1" applyFont="1" applyFill="1"/>
    <xf numFmtId="0" fontId="14" fillId="7" borderId="0" xfId="0" applyFont="1" applyFill="1"/>
    <xf numFmtId="165" fontId="15" fillId="7" borderId="17" xfId="0" applyNumberFormat="1" applyFont="1" applyFill="1" applyBorder="1" applyAlignment="1" applyProtection="1">
      <alignment horizontal="left"/>
    </xf>
    <xf numFmtId="165" fontId="8" fillId="7" borderId="8" xfId="0" applyNumberFormat="1" applyFont="1" applyFill="1" applyBorder="1" applyAlignment="1" applyProtection="1">
      <alignment horizontal="left"/>
    </xf>
    <xf numFmtId="165" fontId="3" fillId="7" borderId="8" xfId="0" applyNumberFormat="1" applyFont="1" applyFill="1" applyBorder="1" applyAlignment="1" applyProtection="1">
      <alignment horizontal="left"/>
    </xf>
    <xf numFmtId="165" fontId="15" fillId="7" borderId="8" xfId="0" applyNumberFormat="1" applyFont="1" applyFill="1" applyBorder="1" applyAlignment="1" applyProtection="1">
      <alignment horizontal="left"/>
    </xf>
    <xf numFmtId="165" fontId="8" fillId="7" borderId="8" xfId="0" applyNumberFormat="1" applyFont="1" applyFill="1" applyBorder="1"/>
    <xf numFmtId="9" fontId="8" fillId="7" borderId="8" xfId="19" applyNumberFormat="1" applyFont="1" applyFill="1" applyBorder="1"/>
    <xf numFmtId="193" fontId="14" fillId="7" borderId="8" xfId="19" applyNumberFormat="1" applyFont="1" applyFill="1" applyBorder="1"/>
    <xf numFmtId="193" fontId="100" fillId="7" borderId="8" xfId="19" applyNumberFormat="1" applyFont="1" applyFill="1" applyBorder="1"/>
    <xf numFmtId="165" fontId="3" fillId="7" borderId="0" xfId="0" quotePrefix="1" applyNumberFormat="1" applyFont="1" applyFill="1" applyAlignment="1" applyProtection="1">
      <alignment horizontal="left"/>
    </xf>
    <xf numFmtId="49" fontId="8" fillId="7" borderId="17" xfId="0" applyNumberFormat="1" applyFont="1" applyFill="1" applyBorder="1"/>
    <xf numFmtId="165" fontId="8" fillId="7" borderId="17" xfId="0" applyNumberFormat="1" applyFont="1" applyFill="1" applyBorder="1"/>
    <xf numFmtId="9" fontId="8" fillId="7" borderId="17" xfId="19" applyNumberFormat="1" applyFont="1" applyFill="1" applyBorder="1"/>
    <xf numFmtId="169" fontId="14" fillId="7" borderId="0" xfId="31" applyNumberFormat="1" applyFont="1" applyFill="1"/>
    <xf numFmtId="165" fontId="14" fillId="7" borderId="7" xfId="0" applyNumberFormat="1" applyFont="1" applyFill="1" applyBorder="1"/>
    <xf numFmtId="165" fontId="16" fillId="7" borderId="0" xfId="0" applyNumberFormat="1" applyFont="1" applyFill="1"/>
    <xf numFmtId="9" fontId="16" fillId="7" borderId="0" xfId="0" applyNumberFormat="1" applyFont="1" applyFill="1"/>
    <xf numFmtId="166" fontId="16" fillId="7" borderId="0" xfId="0" applyNumberFormat="1" applyFont="1" applyFill="1"/>
    <xf numFmtId="4" fontId="16" fillId="7" borderId="0" xfId="0" applyNumberFormat="1" applyFont="1" applyFill="1"/>
    <xf numFmtId="167" fontId="34" fillId="7" borderId="0" xfId="19" applyNumberFormat="1" applyFont="1" applyFill="1" applyBorder="1"/>
    <xf numFmtId="178" fontId="8" fillId="7" borderId="0" xfId="0" applyNumberFormat="1" applyFont="1" applyFill="1" applyBorder="1"/>
    <xf numFmtId="178" fontId="16" fillId="7" borderId="0" xfId="0" applyNumberFormat="1" applyFont="1" applyFill="1" applyBorder="1"/>
    <xf numFmtId="165" fontId="14" fillId="7" borderId="6" xfId="0" applyNumberFormat="1" applyFont="1" applyFill="1" applyBorder="1"/>
    <xf numFmtId="165" fontId="8" fillId="7" borderId="6" xfId="0" applyNumberFormat="1" applyFont="1" applyFill="1" applyBorder="1"/>
    <xf numFmtId="9" fontId="16" fillId="7" borderId="0" xfId="70" applyFont="1" applyFill="1"/>
    <xf numFmtId="167" fontId="8" fillId="7" borderId="0" xfId="70" applyNumberFormat="1" applyFont="1" applyFill="1"/>
    <xf numFmtId="168" fontId="8" fillId="7" borderId="8" xfId="0" applyNumberFormat="1" applyFont="1" applyFill="1" applyBorder="1"/>
    <xf numFmtId="2" fontId="8" fillId="7" borderId="8" xfId="0" applyNumberFormat="1" applyFont="1" applyFill="1" applyBorder="1"/>
    <xf numFmtId="171" fontId="27" fillId="7" borderId="0" xfId="19" applyNumberFormat="1" applyFont="1" applyFill="1" applyBorder="1"/>
    <xf numFmtId="171" fontId="23" fillId="7" borderId="0" xfId="0" applyNumberFormat="1" applyFont="1" applyFill="1"/>
    <xf numFmtId="166" fontId="38" fillId="7" borderId="0" xfId="70" applyNumberFormat="1" applyFont="1" applyFill="1" applyBorder="1"/>
    <xf numFmtId="0" fontId="38" fillId="0" borderId="0" xfId="0" applyFont="1" applyFill="1"/>
    <xf numFmtId="166" fontId="38" fillId="0" borderId="0" xfId="70" applyNumberFormat="1" applyFont="1" applyFill="1" applyBorder="1"/>
    <xf numFmtId="178" fontId="38" fillId="0" borderId="0" xfId="0" applyNumberFormat="1" applyFont="1" applyFill="1" applyBorder="1" applyAlignment="1">
      <alignment horizontal="right"/>
    </xf>
    <xf numFmtId="165" fontId="15" fillId="0" borderId="0" xfId="19" applyNumberFormat="1" applyFont="1" applyFill="1"/>
    <xf numFmtId="178" fontId="15" fillId="0" borderId="0" xfId="0" applyNumberFormat="1" applyFont="1" applyFill="1" applyBorder="1" applyAlignment="1">
      <alignment horizontal="right"/>
    </xf>
    <xf numFmtId="0" fontId="38" fillId="0" borderId="0" xfId="0" applyFont="1" applyFill="1" applyBorder="1"/>
    <xf numFmtId="0" fontId="7" fillId="7" borderId="0" xfId="0" applyFont="1" applyFill="1"/>
    <xf numFmtId="10" fontId="8" fillId="0" borderId="0" xfId="0" applyNumberFormat="1" applyFont="1"/>
    <xf numFmtId="166" fontId="74" fillId="7" borderId="0" xfId="0" applyNumberFormat="1" applyFont="1" applyFill="1"/>
    <xf numFmtId="0" fontId="3" fillId="7" borderId="0" xfId="0" applyFont="1" applyFill="1" applyAlignment="1">
      <alignment horizontal="left" indent="1"/>
    </xf>
    <xf numFmtId="0" fontId="35" fillId="7" borderId="0" xfId="0" applyFont="1" applyFill="1"/>
    <xf numFmtId="174" fontId="15" fillId="7" borderId="8" xfId="0" applyNumberFormat="1" applyFont="1" applyFill="1" applyBorder="1"/>
    <xf numFmtId="8" fontId="3" fillId="7" borderId="2" xfId="72" applyNumberFormat="1" applyFont="1" applyFill="1" applyBorder="1"/>
    <xf numFmtId="8" fontId="66" fillId="7" borderId="0" xfId="70" applyNumberFormat="1" applyFont="1" applyFill="1" applyBorder="1"/>
    <xf numFmtId="8" fontId="66" fillId="7" borderId="0" xfId="0" applyNumberFormat="1" applyFont="1" applyFill="1"/>
    <xf numFmtId="5" fontId="8" fillId="7" borderId="0" xfId="0" applyNumberFormat="1" applyFont="1" applyFill="1"/>
    <xf numFmtId="5" fontId="23" fillId="7" borderId="0" xfId="0" applyNumberFormat="1" applyFont="1" applyFill="1"/>
    <xf numFmtId="182" fontId="0" fillId="0" borderId="0" xfId="0" applyNumberFormat="1"/>
    <xf numFmtId="166" fontId="23" fillId="7" borderId="0" xfId="70" applyNumberFormat="1" applyFont="1" applyFill="1" applyBorder="1" applyAlignment="1">
      <alignment horizontal="right"/>
    </xf>
    <xf numFmtId="200" fontId="8" fillId="7" borderId="0" xfId="20" applyNumberFormat="1" applyFont="1" applyFill="1"/>
    <xf numFmtId="8" fontId="8" fillId="7" borderId="0" xfId="61" applyNumberFormat="1" applyFont="1" applyFill="1"/>
    <xf numFmtId="184" fontId="111" fillId="0" borderId="0" xfId="60" applyNumberFormat="1" applyFont="1"/>
    <xf numFmtId="2" fontId="23" fillId="0" borderId="0" xfId="0" applyNumberFormat="1" applyFont="1"/>
    <xf numFmtId="9" fontId="23" fillId="0" borderId="0" xfId="70" applyFont="1" applyFill="1"/>
    <xf numFmtId="43" fontId="23" fillId="0" borderId="0" xfId="19" applyFont="1" applyFill="1"/>
    <xf numFmtId="4" fontId="23" fillId="0" borderId="0" xfId="70" applyNumberFormat="1" applyFont="1"/>
    <xf numFmtId="2" fontId="118" fillId="0" borderId="0" xfId="60" applyNumberFormat="1" applyFont="1"/>
    <xf numFmtId="2" fontId="121" fillId="0" borderId="0" xfId="67" applyNumberFormat="1" applyFont="1"/>
    <xf numFmtId="2" fontId="118" fillId="0" borderId="0" xfId="0" applyNumberFormat="1" applyFont="1"/>
    <xf numFmtId="166" fontId="118" fillId="0" borderId="0" xfId="70" applyNumberFormat="1" applyFont="1"/>
    <xf numFmtId="198" fontId="118" fillId="0" borderId="0" xfId="0" applyNumberFormat="1" applyFont="1"/>
    <xf numFmtId="198" fontId="118" fillId="0" borderId="0" xfId="0" applyNumberFormat="1" applyFont="1" applyFill="1"/>
    <xf numFmtId="167" fontId="118" fillId="0" borderId="0" xfId="19" applyNumberFormat="1" applyFont="1" applyFill="1"/>
    <xf numFmtId="2" fontId="118" fillId="7" borderId="0" xfId="0" applyNumberFormat="1" applyFont="1" applyFill="1"/>
    <xf numFmtId="0" fontId="122" fillId="7" borderId="0" xfId="0" applyFont="1" applyFill="1"/>
    <xf numFmtId="0" fontId="122" fillId="0" borderId="0" xfId="0" applyFont="1"/>
    <xf numFmtId="43" fontId="8" fillId="7" borderId="0" xfId="19" applyNumberFormat="1" applyFont="1" applyFill="1" applyAlignment="1">
      <alignment horizontal="right"/>
    </xf>
    <xf numFmtId="0" fontId="123" fillId="0" borderId="0" xfId="0" applyFont="1" applyFill="1"/>
    <xf numFmtId="0" fontId="3" fillId="7" borderId="0" xfId="0" applyFont="1" applyFill="1" applyBorder="1" applyAlignment="1"/>
    <xf numFmtId="0" fontId="15" fillId="7" borderId="0" xfId="0" applyFont="1" applyFill="1" applyBorder="1" applyAlignment="1">
      <alignment horizontal="center"/>
    </xf>
    <xf numFmtId="0" fontId="8" fillId="7" borderId="0" xfId="0" applyFont="1" applyFill="1" applyBorder="1" applyAlignment="1">
      <alignment horizontal="right"/>
    </xf>
    <xf numFmtId="0" fontId="8" fillId="7" borderId="0" xfId="0" applyFont="1" applyFill="1" applyAlignment="1">
      <alignment horizontal="right"/>
    </xf>
    <xf numFmtId="0" fontId="15" fillId="7" borderId="0" xfId="0" applyFont="1" applyFill="1" applyBorder="1" applyAlignment="1"/>
    <xf numFmtId="9" fontId="8" fillId="7" borderId="0" xfId="70" applyFont="1" applyFill="1" applyBorder="1" applyAlignment="1">
      <alignment horizontal="center"/>
    </xf>
    <xf numFmtId="1" fontId="14" fillId="7" borderId="0" xfId="0" applyNumberFormat="1" applyFont="1" applyFill="1" applyBorder="1"/>
    <xf numFmtId="223" fontId="14" fillId="7" borderId="0" xfId="0" applyNumberFormat="1" applyFont="1" applyFill="1" applyBorder="1"/>
    <xf numFmtId="16" fontId="15" fillId="7" borderId="0" xfId="0" quotePrefix="1" applyNumberFormat="1" applyFont="1" applyFill="1" applyAlignment="1">
      <alignment horizontal="right"/>
    </xf>
    <xf numFmtId="0" fontId="14" fillId="7" borderId="0" xfId="0" applyFont="1" applyFill="1" applyBorder="1"/>
    <xf numFmtId="9" fontId="3" fillId="7" borderId="0" xfId="0" applyNumberFormat="1" applyFont="1" applyFill="1" applyBorder="1" applyAlignment="1">
      <alignment horizontal="center"/>
    </xf>
    <xf numFmtId="224" fontId="3" fillId="7" borderId="0" xfId="0" applyNumberFormat="1" applyFont="1" applyFill="1" applyBorder="1" applyAlignment="1">
      <alignment horizontal="center"/>
    </xf>
    <xf numFmtId="0" fontId="3" fillId="7" borderId="0" xfId="0" applyFont="1" applyFill="1" applyBorder="1" applyAlignment="1">
      <alignment horizontal="right"/>
    </xf>
    <xf numFmtId="0" fontId="3" fillId="7" borderId="0" xfId="0" applyFont="1" applyFill="1" applyAlignment="1">
      <alignment horizontal="right"/>
    </xf>
    <xf numFmtId="3" fontId="3" fillId="7" borderId="0" xfId="0" applyNumberFormat="1" applyFont="1" applyFill="1" applyBorder="1"/>
    <xf numFmtId="0" fontId="3" fillId="0" borderId="0" xfId="0" applyFont="1" applyBorder="1" applyAlignment="1">
      <alignment horizontal="right"/>
    </xf>
    <xf numFmtId="16" fontId="15" fillId="7" borderId="0" xfId="0" quotePrefix="1" applyNumberFormat="1" applyFont="1" applyFill="1" applyBorder="1" applyAlignment="1">
      <alignment horizontal="right"/>
    </xf>
    <xf numFmtId="0" fontId="38" fillId="7" borderId="0" xfId="0" applyFont="1" applyFill="1" applyBorder="1" applyAlignment="1">
      <alignment horizontal="left"/>
    </xf>
    <xf numFmtId="0" fontId="8" fillId="7" borderId="0" xfId="0" applyFont="1" applyFill="1" applyBorder="1" applyAlignment="1">
      <alignment horizontal="left"/>
    </xf>
    <xf numFmtId="0" fontId="8" fillId="7" borderId="0" xfId="0" applyFont="1" applyFill="1" applyAlignment="1">
      <alignment horizontal="left"/>
    </xf>
    <xf numFmtId="3" fontId="14" fillId="7" borderId="0" xfId="0" applyNumberFormat="1" applyFont="1" applyFill="1" applyBorder="1"/>
    <xf numFmtId="0" fontId="14" fillId="7" borderId="0" xfId="19" applyNumberFormat="1" applyFont="1" applyFill="1" applyBorder="1" applyAlignment="1">
      <alignment horizontal="center"/>
    </xf>
    <xf numFmtId="171" fontId="8" fillId="7" borderId="6" xfId="19" applyNumberFormat="1" applyFont="1" applyFill="1" applyBorder="1"/>
    <xf numFmtId="171" fontId="14" fillId="7" borderId="0" xfId="0" applyNumberFormat="1" applyFont="1" applyFill="1"/>
    <xf numFmtId="3" fontId="8" fillId="7" borderId="0" xfId="0" applyNumberFormat="1" applyFont="1" applyFill="1"/>
    <xf numFmtId="223" fontId="3" fillId="7" borderId="0" xfId="0" applyNumberFormat="1" applyFont="1" applyFill="1"/>
    <xf numFmtId="0" fontId="120" fillId="0" borderId="0" xfId="0" applyFont="1"/>
    <xf numFmtId="0" fontId="120" fillId="0" borderId="0" xfId="0" applyFont="1" applyBorder="1"/>
    <xf numFmtId="9" fontId="3" fillId="7" borderId="0" xfId="0" applyNumberFormat="1" applyFont="1" applyFill="1"/>
    <xf numFmtId="165" fontId="8" fillId="7" borderId="0" xfId="20" quotePrefix="1" applyNumberFormat="1" applyFont="1" applyFill="1"/>
    <xf numFmtId="165" fontId="8" fillId="7" borderId="0" xfId="19" quotePrefix="1" applyNumberFormat="1" applyFont="1" applyFill="1"/>
    <xf numFmtId="167" fontId="27" fillId="7" borderId="0" xfId="0" applyNumberFormat="1" applyFont="1" applyFill="1"/>
    <xf numFmtId="165" fontId="8" fillId="7" borderId="0" xfId="19" applyNumberFormat="1" applyFont="1" applyFill="1" applyBorder="1" applyAlignment="1">
      <alignment horizontal="right" wrapText="1"/>
    </xf>
    <xf numFmtId="205" fontId="14" fillId="7" borderId="0" xfId="19" applyNumberFormat="1" applyFont="1" applyFill="1"/>
    <xf numFmtId="165" fontId="14" fillId="7" borderId="2" xfId="19" applyNumberFormat="1" applyFont="1" applyFill="1" applyBorder="1" applyAlignment="1">
      <alignment horizontal="right" wrapText="1"/>
    </xf>
    <xf numFmtId="166" fontId="3" fillId="7" borderId="0" xfId="70" applyNumberFormat="1" applyFont="1" applyFill="1" applyAlignment="1">
      <alignment horizontal="right"/>
    </xf>
    <xf numFmtId="166" fontId="8" fillId="7" borderId="0" xfId="0" applyNumberFormat="1" applyFont="1" applyFill="1" applyBorder="1"/>
    <xf numFmtId="166" fontId="14" fillId="7" borderId="0" xfId="70" applyNumberFormat="1" applyFont="1" applyFill="1" applyBorder="1"/>
    <xf numFmtId="165" fontId="8" fillId="7" borderId="0" xfId="0" quotePrefix="1" applyNumberFormat="1" applyFont="1" applyFill="1"/>
    <xf numFmtId="165" fontId="8" fillId="7" borderId="0" xfId="0" quotePrefix="1" applyNumberFormat="1" applyFont="1" applyFill="1" applyBorder="1"/>
    <xf numFmtId="173" fontId="27" fillId="7" borderId="0" xfId="70" applyNumberFormat="1" applyFont="1" applyFill="1"/>
    <xf numFmtId="166" fontId="16" fillId="7" borderId="0" xfId="0" applyNumberFormat="1" applyFont="1" applyFill="1" applyBorder="1"/>
    <xf numFmtId="167" fontId="14" fillId="7" borderId="7" xfId="19" applyNumberFormat="1" applyFont="1" applyFill="1" applyBorder="1"/>
    <xf numFmtId="168" fontId="14" fillId="7" borderId="7" xfId="19" applyNumberFormat="1" applyFont="1" applyFill="1" applyBorder="1"/>
    <xf numFmtId="168" fontId="8" fillId="7" borderId="7" xfId="19" applyNumberFormat="1" applyFont="1" applyFill="1" applyBorder="1"/>
    <xf numFmtId="234" fontId="23" fillId="7" borderId="0" xfId="0" applyNumberFormat="1" applyFont="1" applyFill="1" applyBorder="1" applyAlignment="1">
      <alignment horizontal="right"/>
    </xf>
    <xf numFmtId="178" fontId="100" fillId="7" borderId="0" xfId="0" applyNumberFormat="1" applyFont="1" applyFill="1" applyBorder="1" applyAlignment="1">
      <alignment horizontal="right"/>
    </xf>
    <xf numFmtId="193" fontId="0" fillId="7" borderId="0" xfId="0" applyNumberFormat="1" applyFill="1"/>
    <xf numFmtId="9" fontId="8" fillId="7" borderId="2" xfId="70" applyFont="1" applyFill="1" applyBorder="1" applyAlignment="1">
      <alignment horizontal="right"/>
    </xf>
    <xf numFmtId="170" fontId="8" fillId="7" borderId="0" xfId="0" applyNumberFormat="1" applyFont="1" applyFill="1"/>
    <xf numFmtId="0" fontId="15" fillId="5" borderId="2" xfId="0" applyFont="1" applyFill="1" applyBorder="1"/>
    <xf numFmtId="167" fontId="15" fillId="7" borderId="0" xfId="0" applyNumberFormat="1" applyFont="1" applyFill="1" applyBorder="1"/>
    <xf numFmtId="167" fontId="15" fillId="7" borderId="8" xfId="0" applyNumberFormat="1" applyFont="1" applyFill="1" applyBorder="1"/>
    <xf numFmtId="167" fontId="28" fillId="7" borderId="0" xfId="0" applyNumberFormat="1" applyFont="1" applyFill="1"/>
    <xf numFmtId="225" fontId="28" fillId="7" borderId="0" xfId="31" applyNumberFormat="1" applyFont="1" applyFill="1"/>
    <xf numFmtId="184" fontId="14" fillId="7" borderId="0" xfId="0" applyNumberFormat="1" applyFont="1" applyFill="1"/>
    <xf numFmtId="0" fontId="118" fillId="7" borderId="0" xfId="0" applyFont="1" applyFill="1"/>
    <xf numFmtId="0" fontId="117" fillId="7" borderId="0" xfId="0" applyFont="1" applyFill="1"/>
    <xf numFmtId="0" fontId="117" fillId="0" borderId="0" xfId="0" applyFont="1" applyFill="1"/>
    <xf numFmtId="0" fontId="124" fillId="0" borderId="0" xfId="0" applyFont="1"/>
    <xf numFmtId="0" fontId="117" fillId="0" borderId="0" xfId="0" applyFont="1"/>
    <xf numFmtId="0" fontId="124" fillId="7" borderId="0" xfId="0" applyFont="1" applyFill="1"/>
    <xf numFmtId="173" fontId="42" fillId="7" borderId="8" xfId="0" applyNumberFormat="1" applyFont="1" applyFill="1" applyBorder="1"/>
    <xf numFmtId="173" fontId="116" fillId="7" borderId="0" xfId="0" applyNumberFormat="1" applyFont="1" applyFill="1"/>
    <xf numFmtId="38" fontId="15" fillId="7" borderId="0" xfId="19" applyNumberFormat="1" applyFont="1" applyFill="1"/>
    <xf numFmtId="174" fontId="28" fillId="7" borderId="0" xfId="0" applyNumberFormat="1" applyFont="1" applyFill="1"/>
    <xf numFmtId="238" fontId="3" fillId="7" borderId="0" xfId="0" applyNumberFormat="1" applyFont="1" applyFill="1"/>
    <xf numFmtId="221" fontId="117" fillId="7" borderId="0" xfId="19" applyNumberFormat="1" applyFont="1" applyFill="1"/>
    <xf numFmtId="0" fontId="117" fillId="7" borderId="0" xfId="0" applyFont="1" applyFill="1" applyAlignment="1">
      <alignment horizontal="left" indent="1"/>
    </xf>
    <xf numFmtId="221" fontId="27" fillId="7" borderId="0" xfId="19" applyNumberFormat="1" applyFont="1" applyFill="1" applyBorder="1"/>
    <xf numFmtId="172" fontId="23" fillId="7" borderId="0" xfId="19" applyNumberFormat="1" applyFont="1" applyFill="1"/>
    <xf numFmtId="9" fontId="8" fillId="7" borderId="0" xfId="70" applyFont="1" applyFill="1" applyAlignment="1">
      <alignment horizontal="right"/>
    </xf>
    <xf numFmtId="221" fontId="27" fillId="7" borderId="2" xfId="19" applyNumberFormat="1" applyFont="1" applyFill="1" applyBorder="1"/>
    <xf numFmtId="180" fontId="3" fillId="7" borderId="2" xfId="0" applyNumberFormat="1" applyFont="1" applyFill="1" applyBorder="1"/>
    <xf numFmtId="169" fontId="28" fillId="7" borderId="0" xfId="0" applyNumberFormat="1" applyFont="1" applyFill="1"/>
    <xf numFmtId="167" fontId="83" fillId="7" borderId="0" xfId="19" applyNumberFormat="1" applyFont="1" applyFill="1"/>
    <xf numFmtId="184" fontId="3" fillId="0" borderId="0" xfId="0" applyNumberFormat="1" applyFont="1"/>
    <xf numFmtId="168" fontId="8" fillId="7" borderId="2" xfId="0" applyNumberFormat="1" applyFont="1" applyFill="1" applyBorder="1"/>
    <xf numFmtId="184" fontId="60" fillId="7" borderId="0" xfId="0" applyNumberFormat="1" applyFont="1" applyFill="1"/>
    <xf numFmtId="184" fontId="14" fillId="7" borderId="2" xfId="0" applyNumberFormat="1" applyFont="1" applyFill="1" applyBorder="1"/>
    <xf numFmtId="8" fontId="15" fillId="0" borderId="0" xfId="0" applyNumberFormat="1" applyFont="1"/>
    <xf numFmtId="8" fontId="3" fillId="7" borderId="0" xfId="0" applyNumberFormat="1" applyFont="1" applyFill="1" applyBorder="1"/>
    <xf numFmtId="166" fontId="97" fillId="0" borderId="0" xfId="70" applyNumberFormat="1" applyFont="1" applyBorder="1"/>
    <xf numFmtId="178" fontId="0" fillId="0" borderId="0" xfId="0" applyNumberFormat="1"/>
    <xf numFmtId="165" fontId="3" fillId="7" borderId="0" xfId="19" applyNumberFormat="1" applyFont="1" applyFill="1" applyAlignment="1">
      <alignment horizontal="right" wrapText="1"/>
    </xf>
    <xf numFmtId="8" fontId="34" fillId="0" borderId="0" xfId="0" applyNumberFormat="1" applyFont="1"/>
    <xf numFmtId="165" fontId="3" fillId="7" borderId="8" xfId="0" applyNumberFormat="1" applyFont="1" applyFill="1" applyBorder="1"/>
    <xf numFmtId="0" fontId="3" fillId="7" borderId="0" xfId="0" quotePrefix="1" applyFont="1" applyFill="1" applyBorder="1" applyAlignment="1">
      <alignment horizontal="center"/>
    </xf>
    <xf numFmtId="0" fontId="35" fillId="7" borderId="0" xfId="0" applyFont="1" applyFill="1" applyAlignment="1">
      <alignment horizontal="center"/>
    </xf>
    <xf numFmtId="2" fontId="8" fillId="0" borderId="0" xfId="0" applyNumberFormat="1" applyFont="1" applyAlignment="1">
      <alignment horizontal="center"/>
    </xf>
    <xf numFmtId="2" fontId="3" fillId="0" borderId="0" xfId="0" applyNumberFormat="1" applyFont="1" applyAlignment="1">
      <alignment horizontal="center"/>
    </xf>
    <xf numFmtId="1" fontId="15" fillId="0" borderId="0" xfId="0" applyNumberFormat="1" applyFont="1" applyBorder="1" applyAlignment="1">
      <alignment horizontal="center"/>
    </xf>
    <xf numFmtId="178" fontId="8" fillId="7" borderId="0" xfId="0" applyNumberFormat="1" applyFont="1" applyFill="1" applyBorder="1" applyAlignment="1">
      <alignment horizontal="center"/>
    </xf>
    <xf numFmtId="178" fontId="8" fillId="0" borderId="0" xfId="0" applyNumberFormat="1" applyFont="1" applyFill="1" applyBorder="1" applyAlignment="1">
      <alignment horizontal="center"/>
    </xf>
    <xf numFmtId="2" fontId="8" fillId="7" borderId="0" xfId="0" applyNumberFormat="1" applyFont="1" applyFill="1" applyAlignment="1">
      <alignment horizontal="center"/>
    </xf>
    <xf numFmtId="2" fontId="8" fillId="0" borderId="0" xfId="0" applyNumberFormat="1" applyFont="1" applyFill="1" applyAlignment="1">
      <alignment horizontal="center"/>
    </xf>
    <xf numFmtId="2" fontId="15" fillId="0" borderId="0" xfId="0" applyNumberFormat="1" applyFont="1" applyAlignment="1">
      <alignment horizontal="center"/>
    </xf>
    <xf numFmtId="0" fontId="0" fillId="7" borderId="0" xfId="0" applyFill="1" applyAlignment="1">
      <alignment horizontal="center"/>
    </xf>
    <xf numFmtId="248" fontId="8" fillId="7" borderId="0" xfId="0" applyNumberFormat="1" applyFont="1" applyFill="1"/>
    <xf numFmtId="165" fontId="15" fillId="0" borderId="8" xfId="19" applyNumberFormat="1" applyFont="1" applyFill="1" applyBorder="1"/>
    <xf numFmtId="38" fontId="15" fillId="7" borderId="0" xfId="55" applyFont="1" applyFill="1" applyAlignment="1">
      <alignment horizontal="left" indent="1"/>
    </xf>
    <xf numFmtId="38" fontId="23" fillId="7" borderId="0" xfId="55" applyFont="1" applyFill="1" applyAlignment="1">
      <alignment horizontal="left" indent="1"/>
    </xf>
    <xf numFmtId="249" fontId="3" fillId="7" borderId="0" xfId="0" applyNumberFormat="1" applyFont="1" applyFill="1"/>
    <xf numFmtId="0" fontId="3" fillId="0" borderId="0" xfId="0" applyFont="1" applyAlignment="1">
      <alignment horizontal="left"/>
    </xf>
    <xf numFmtId="249" fontId="3" fillId="7" borderId="0" xfId="0" applyNumberFormat="1" applyFont="1" applyFill="1" applyBorder="1"/>
    <xf numFmtId="220" fontId="14" fillId="7" borderId="0" xfId="0" applyNumberFormat="1" applyFont="1" applyFill="1"/>
    <xf numFmtId="184" fontId="42" fillId="5" borderId="0" xfId="0" applyNumberFormat="1" applyFont="1" applyFill="1"/>
    <xf numFmtId="174" fontId="15" fillId="5" borderId="0" xfId="0" applyNumberFormat="1" applyFont="1" applyFill="1"/>
    <xf numFmtId="0" fontId="23" fillId="7" borderId="0" xfId="0" applyFont="1" applyFill="1" applyAlignment="1">
      <alignment horizontal="left"/>
    </xf>
    <xf numFmtId="220" fontId="28" fillId="7" borderId="0" xfId="19" applyNumberFormat="1" applyFont="1" applyFill="1"/>
    <xf numFmtId="9" fontId="23" fillId="0" borderId="0" xfId="70" applyFont="1"/>
    <xf numFmtId="0" fontId="3" fillId="7" borderId="0" xfId="0" applyFont="1" applyFill="1" applyAlignment="1">
      <alignment horizontal="left"/>
    </xf>
    <xf numFmtId="9" fontId="43" fillId="7" borderId="0" xfId="0" applyNumberFormat="1" applyFont="1" applyFill="1"/>
    <xf numFmtId="9" fontId="23" fillId="0" borderId="0" xfId="70" applyNumberFormat="1" applyFont="1"/>
    <xf numFmtId="220" fontId="3" fillId="7" borderId="0" xfId="0" applyNumberFormat="1" applyFont="1" applyFill="1"/>
    <xf numFmtId="249" fontId="27" fillId="7" borderId="0" xfId="0" applyNumberFormat="1" applyFont="1" applyFill="1"/>
    <xf numFmtId="249" fontId="14" fillId="7" borderId="0" xfId="0" applyNumberFormat="1" applyFont="1" applyFill="1" applyBorder="1"/>
    <xf numFmtId="249" fontId="42" fillId="7" borderId="0" xfId="0" applyNumberFormat="1" applyFont="1" applyFill="1"/>
    <xf numFmtId="249" fontId="15" fillId="7" borderId="0" xfId="0" applyNumberFormat="1" applyFont="1" applyFill="1"/>
    <xf numFmtId="249" fontId="15" fillId="7" borderId="0" xfId="0" applyNumberFormat="1" applyFont="1" applyFill="1" applyBorder="1"/>
    <xf numFmtId="219" fontId="23" fillId="0" borderId="0" xfId="0" applyNumberFormat="1" applyFont="1" applyFill="1" applyBorder="1" applyAlignment="1">
      <alignment horizontal="left" indent="1"/>
    </xf>
    <xf numFmtId="250" fontId="3" fillId="7" borderId="0" xfId="0" applyNumberFormat="1" applyFont="1" applyFill="1"/>
    <xf numFmtId="43" fontId="8" fillId="7" borderId="0" xfId="19" applyNumberFormat="1" applyFont="1" applyFill="1" applyBorder="1"/>
    <xf numFmtId="250" fontId="27" fillId="7" borderId="0" xfId="0" applyNumberFormat="1" applyFont="1" applyFill="1"/>
    <xf numFmtId="1" fontId="15" fillId="5" borderId="0" xfId="0" applyNumberFormat="1" applyFont="1" applyFill="1" applyAlignment="1">
      <alignment horizontal="right"/>
    </xf>
    <xf numFmtId="1" fontId="15" fillId="5" borderId="2" xfId="0" applyNumberFormat="1" applyFont="1" applyFill="1" applyBorder="1" applyAlignment="1">
      <alignment horizontal="right"/>
    </xf>
    <xf numFmtId="0" fontId="15" fillId="7" borderId="0" xfId="0" applyFont="1" applyFill="1" applyBorder="1" applyAlignment="1">
      <alignment horizontal="left"/>
    </xf>
    <xf numFmtId="0" fontId="33" fillId="7" borderId="0" xfId="0" applyFont="1" applyFill="1"/>
    <xf numFmtId="190" fontId="3" fillId="7" borderId="2" xfId="75" applyNumberFormat="1" applyFont="1" applyFill="1" applyBorder="1"/>
    <xf numFmtId="166" fontId="118" fillId="7" borderId="0" xfId="0" applyNumberFormat="1" applyFont="1" applyFill="1"/>
    <xf numFmtId="166" fontId="43" fillId="7" borderId="0" xfId="75" applyNumberFormat="1" applyFont="1" applyFill="1"/>
    <xf numFmtId="251" fontId="27" fillId="7" borderId="0" xfId="70" applyNumberFormat="1" applyFont="1" applyFill="1"/>
    <xf numFmtId="251" fontId="33" fillId="7" borderId="0" xfId="0" applyNumberFormat="1" applyFont="1" applyFill="1"/>
    <xf numFmtId="38" fontId="31" fillId="6" borderId="12" xfId="0" applyNumberFormat="1" applyFont="1" applyFill="1" applyBorder="1" applyAlignment="1">
      <alignment horizontal="center"/>
    </xf>
    <xf numFmtId="38" fontId="125" fillId="0" borderId="25" xfId="61" applyNumberFormat="1" applyFont="1" applyBorder="1" applyAlignment="1">
      <alignment horizontal="center"/>
    </xf>
    <xf numFmtId="49" fontId="3" fillId="7" borderId="0" xfId="19" quotePrefix="1" applyNumberFormat="1" applyFont="1" applyFill="1" applyBorder="1" applyAlignment="1">
      <alignment horizontal="left"/>
    </xf>
    <xf numFmtId="166" fontId="43" fillId="7" borderId="0" xfId="70" applyNumberFormat="1" applyFont="1" applyFill="1" applyBorder="1"/>
    <xf numFmtId="166" fontId="15" fillId="0" borderId="0" xfId="70" applyNumberFormat="1" applyFont="1" applyFill="1" applyBorder="1"/>
    <xf numFmtId="184" fontId="117" fillId="7" borderId="2" xfId="70" applyNumberFormat="1" applyFont="1" applyFill="1" applyBorder="1"/>
    <xf numFmtId="4" fontId="117" fillId="7" borderId="0" xfId="70" applyNumberFormat="1" applyFont="1" applyFill="1"/>
    <xf numFmtId="249" fontId="3" fillId="7" borderId="2" xfId="70" applyNumberFormat="1" applyFont="1" applyFill="1" applyBorder="1"/>
    <xf numFmtId="249" fontId="27" fillId="7" borderId="0" xfId="0" applyNumberFormat="1" applyFont="1" applyFill="1" applyBorder="1"/>
    <xf numFmtId="249" fontId="48" fillId="7" borderId="0" xfId="0" applyNumberFormat="1" applyFont="1" applyFill="1" applyBorder="1"/>
    <xf numFmtId="249" fontId="3" fillId="7" borderId="0" xfId="70" applyNumberFormat="1" applyFont="1" applyFill="1"/>
    <xf numFmtId="249" fontId="59" fillId="0" borderId="0" xfId="0" applyNumberFormat="1" applyFont="1" applyFill="1" applyBorder="1"/>
    <xf numFmtId="194" fontId="8" fillId="7" borderId="0" xfId="31" applyNumberFormat="1" applyFont="1" applyFill="1"/>
    <xf numFmtId="0" fontId="3" fillId="5" borderId="0" xfId="0" applyFont="1" applyFill="1" applyBorder="1"/>
    <xf numFmtId="0" fontId="15" fillId="0" borderId="17" xfId="0" applyFont="1" applyFill="1" applyBorder="1"/>
    <xf numFmtId="165" fontId="15" fillId="0" borderId="17" xfId="19" applyNumberFormat="1" applyFont="1" applyFill="1" applyBorder="1"/>
    <xf numFmtId="177" fontId="31" fillId="7" borderId="17" xfId="0" applyNumberFormat="1" applyFont="1" applyFill="1" applyBorder="1"/>
    <xf numFmtId="0" fontId="126" fillId="0" borderId="0" xfId="0" applyFont="1"/>
    <xf numFmtId="177" fontId="82" fillId="0" borderId="0" xfId="0" applyNumberFormat="1" applyFont="1" applyFill="1"/>
    <xf numFmtId="177" fontId="23" fillId="0" borderId="0" xfId="0" applyNumberFormat="1" applyFont="1" applyFill="1"/>
    <xf numFmtId="177" fontId="15" fillId="7" borderId="17" xfId="0" applyNumberFormat="1" applyFont="1" applyFill="1" applyBorder="1"/>
    <xf numFmtId="231" fontId="117" fillId="7" borderId="2" xfId="70" applyNumberFormat="1" applyFont="1" applyFill="1" applyBorder="1"/>
    <xf numFmtId="231" fontId="3" fillId="7" borderId="2" xfId="70" applyNumberFormat="1" applyFont="1" applyFill="1" applyBorder="1"/>
    <xf numFmtId="231" fontId="117" fillId="7" borderId="0" xfId="70" applyNumberFormat="1" applyFont="1" applyFill="1"/>
    <xf numFmtId="231" fontId="28" fillId="7" borderId="0" xfId="19" applyNumberFormat="1" applyFont="1" applyFill="1"/>
    <xf numFmtId="231" fontId="3" fillId="7" borderId="0" xfId="70" applyNumberFormat="1" applyFont="1" applyFill="1"/>
    <xf numFmtId="184" fontId="15" fillId="7" borderId="8" xfId="0" applyNumberFormat="1" applyFont="1" applyFill="1" applyBorder="1"/>
    <xf numFmtId="9" fontId="23" fillId="7" borderId="0" xfId="70" applyFont="1" applyFill="1" applyBorder="1"/>
    <xf numFmtId="166" fontId="3" fillId="5" borderId="2" xfId="70" applyNumberFormat="1" applyFont="1" applyFill="1" applyBorder="1"/>
    <xf numFmtId="166" fontId="15" fillId="5" borderId="2" xfId="70" applyNumberFormat="1" applyFont="1" applyFill="1" applyBorder="1" applyAlignment="1">
      <alignment horizontal="right"/>
    </xf>
    <xf numFmtId="0" fontId="68" fillId="5" borderId="0" xfId="0" applyFont="1" applyFill="1"/>
    <xf numFmtId="165" fontId="38" fillId="0" borderId="2" xfId="59" applyNumberFormat="1" applyFont="1" applyBorder="1"/>
    <xf numFmtId="0" fontId="94" fillId="0" borderId="8" xfId="0" applyFont="1" applyBorder="1"/>
    <xf numFmtId="166" fontId="43" fillId="0" borderId="8" xfId="70" applyNumberFormat="1" applyFont="1" applyBorder="1"/>
    <xf numFmtId="0" fontId="114" fillId="0" borderId="2" xfId="0" applyFont="1" applyBorder="1"/>
    <xf numFmtId="166" fontId="38" fillId="0" borderId="2" xfId="70" applyNumberFormat="1" applyFont="1" applyBorder="1"/>
    <xf numFmtId="9" fontId="23" fillId="7" borderId="0" xfId="70" applyNumberFormat="1" applyFont="1" applyFill="1" applyBorder="1"/>
    <xf numFmtId="49" fontId="15" fillId="7" borderId="0" xfId="19" quotePrefix="1" applyNumberFormat="1" applyFont="1" applyFill="1" applyBorder="1" applyAlignment="1">
      <alignment horizontal="left"/>
    </xf>
    <xf numFmtId="49" fontId="15" fillId="5" borderId="8" xfId="19" quotePrefix="1" applyNumberFormat="1" applyFont="1" applyFill="1" applyBorder="1" applyAlignment="1">
      <alignment horizontal="left"/>
    </xf>
    <xf numFmtId="184" fontId="15" fillId="5" borderId="8" xfId="0" applyNumberFormat="1" applyFont="1" applyFill="1" applyBorder="1"/>
    <xf numFmtId="177" fontId="28" fillId="0" borderId="0" xfId="0" applyNumberFormat="1" applyFont="1" applyFill="1"/>
    <xf numFmtId="40" fontId="3" fillId="7" borderId="8" xfId="19" applyNumberFormat="1" applyFont="1" applyFill="1" applyBorder="1"/>
    <xf numFmtId="220" fontId="3" fillId="7" borderId="0" xfId="0" applyNumberFormat="1" applyFont="1" applyFill="1" applyBorder="1"/>
    <xf numFmtId="220" fontId="48" fillId="7" borderId="0" xfId="0" applyNumberFormat="1" applyFont="1" applyFill="1" applyBorder="1"/>
    <xf numFmtId="220" fontId="0" fillId="0" borderId="0" xfId="0" applyNumberFormat="1"/>
    <xf numFmtId="184" fontId="60" fillId="7" borderId="8" xfId="0" applyNumberFormat="1" applyFont="1" applyFill="1" applyBorder="1"/>
    <xf numFmtId="177" fontId="3" fillId="7" borderId="2" xfId="0" applyNumberFormat="1" applyFont="1" applyFill="1" applyBorder="1"/>
    <xf numFmtId="184" fontId="42" fillId="7" borderId="0" xfId="0" applyNumberFormat="1" applyFont="1" applyFill="1" applyBorder="1"/>
    <xf numFmtId="166" fontId="43" fillId="7" borderId="2" xfId="70" applyNumberFormat="1" applyFont="1" applyFill="1" applyBorder="1"/>
    <xf numFmtId="0" fontId="16" fillId="7" borderId="5" xfId="0" applyFont="1" applyFill="1" applyBorder="1"/>
    <xf numFmtId="0" fontId="2" fillId="7" borderId="5" xfId="0" applyFont="1" applyFill="1" applyBorder="1"/>
    <xf numFmtId="169" fontId="117" fillId="7" borderId="0" xfId="0" applyNumberFormat="1" applyFont="1" applyFill="1" applyProtection="1"/>
    <xf numFmtId="170" fontId="8" fillId="7" borderId="2" xfId="58" applyNumberFormat="1" applyFont="1" applyFill="1" applyBorder="1"/>
    <xf numFmtId="169" fontId="117" fillId="0" borderId="0" xfId="0" applyNumberFormat="1" applyFont="1" applyFill="1" applyProtection="1"/>
    <xf numFmtId="169" fontId="117" fillId="0" borderId="2" xfId="0" applyNumberFormat="1" applyFont="1" applyFill="1" applyBorder="1" applyProtection="1"/>
    <xf numFmtId="177" fontId="117" fillId="0" borderId="0" xfId="0" applyNumberFormat="1" applyFont="1" applyFill="1"/>
    <xf numFmtId="165" fontId="117" fillId="0" borderId="0" xfId="0" applyNumberFormat="1" applyFont="1" applyFill="1" applyProtection="1"/>
    <xf numFmtId="0" fontId="127" fillId="0" borderId="0" xfId="0" applyFont="1"/>
    <xf numFmtId="176" fontId="117" fillId="0" borderId="0" xfId="20" applyNumberFormat="1" applyFont="1" applyFill="1"/>
    <xf numFmtId="0" fontId="128" fillId="0" borderId="0" xfId="0" applyFont="1"/>
    <xf numFmtId="0" fontId="33" fillId="7" borderId="2" xfId="62" applyFont="1" applyFill="1" applyBorder="1" applyAlignment="1">
      <alignment horizontal="right"/>
    </xf>
    <xf numFmtId="0" fontId="8" fillId="7" borderId="2" xfId="63" applyFont="1" applyFill="1" applyBorder="1" applyAlignment="1">
      <alignment horizontal="center"/>
    </xf>
    <xf numFmtId="0" fontId="15" fillId="7" borderId="0" xfId="63" quotePrefix="1" applyFont="1" applyFill="1" applyAlignment="1">
      <alignment horizontal="left"/>
    </xf>
    <xf numFmtId="0" fontId="8" fillId="7" borderId="0" xfId="63" applyFont="1" applyFill="1"/>
    <xf numFmtId="165" fontId="8" fillId="7" borderId="0" xfId="32" applyNumberFormat="1" applyFont="1" applyFill="1"/>
    <xf numFmtId="165" fontId="8" fillId="7" borderId="0" xfId="63" applyNumberFormat="1" applyFont="1" applyFill="1"/>
    <xf numFmtId="165" fontId="8" fillId="7" borderId="0" xfId="62" applyNumberFormat="1" applyFont="1" applyFill="1"/>
    <xf numFmtId="165" fontId="33" fillId="7" borderId="0" xfId="70" applyNumberFormat="1" applyFont="1" applyFill="1"/>
    <xf numFmtId="165" fontId="33" fillId="7" borderId="0" xfId="62" applyNumberFormat="1" applyFont="1" applyFill="1"/>
    <xf numFmtId="165" fontId="15" fillId="7" borderId="0" xfId="62" applyNumberFormat="1" applyFont="1" applyFill="1"/>
    <xf numFmtId="165" fontId="23" fillId="7" borderId="0" xfId="62" applyNumberFormat="1" applyFont="1" applyFill="1"/>
    <xf numFmtId="167" fontId="8" fillId="7" borderId="0" xfId="19" applyNumberFormat="1" applyFont="1" applyFill="1" applyBorder="1" applyAlignment="1">
      <alignment horizontal="left"/>
    </xf>
    <xf numFmtId="165" fontId="8" fillId="7" borderId="0" xfId="62" quotePrefix="1" applyNumberFormat="1" applyFont="1" applyFill="1" applyAlignment="1"/>
    <xf numFmtId="165" fontId="23" fillId="7" borderId="0" xfId="62" applyNumberFormat="1" applyFont="1" applyFill="1" applyAlignment="1"/>
    <xf numFmtId="40" fontId="8" fillId="7" borderId="0" xfId="63" applyNumberFormat="1" applyFont="1" applyFill="1"/>
    <xf numFmtId="165" fontId="8" fillId="7" borderId="0" xfId="62" applyNumberFormat="1" applyFont="1" applyFill="1" applyAlignment="1"/>
    <xf numFmtId="165" fontId="33" fillId="7" borderId="0" xfId="62" applyNumberFormat="1" applyFont="1" applyFill="1" applyBorder="1" applyAlignment="1">
      <alignment horizontal="left"/>
    </xf>
    <xf numFmtId="165" fontId="33" fillId="7" borderId="0" xfId="62" applyNumberFormat="1" applyFont="1" applyFill="1" applyBorder="1" applyAlignment="1"/>
    <xf numFmtId="165" fontId="33" fillId="7" borderId="0" xfId="70" quotePrefix="1" applyNumberFormat="1" applyFont="1" applyFill="1" applyBorder="1" applyAlignment="1">
      <alignment horizontal="right" wrapText="1"/>
    </xf>
    <xf numFmtId="165" fontId="8" fillId="7" borderId="0" xfId="32" quotePrefix="1" applyNumberFormat="1" applyFont="1" applyFill="1"/>
    <xf numFmtId="165" fontId="33" fillId="7" borderId="0" xfId="70" applyNumberFormat="1" applyFont="1" applyFill="1" applyBorder="1"/>
    <xf numFmtId="165" fontId="26" fillId="7" borderId="0" xfId="63" quotePrefix="1" applyNumberFormat="1" applyFont="1" applyFill="1" applyAlignment="1">
      <alignment horizontal="right"/>
    </xf>
    <xf numFmtId="165" fontId="15" fillId="7" borderId="0" xfId="63" applyNumberFormat="1" applyFont="1" applyFill="1"/>
    <xf numFmtId="165" fontId="30" fillId="7" borderId="0" xfId="20" applyNumberFormat="1" applyFont="1" applyFill="1"/>
    <xf numFmtId="165" fontId="8" fillId="7" borderId="0" xfId="20" applyNumberFormat="1" applyFont="1" applyFill="1"/>
    <xf numFmtId="0" fontId="33" fillId="7" borderId="0" xfId="62" applyFont="1" applyFill="1" applyAlignment="1">
      <alignment horizontal="right"/>
    </xf>
    <xf numFmtId="194" fontId="8" fillId="7" borderId="8" xfId="32" applyNumberFormat="1" applyFont="1" applyFill="1" applyBorder="1"/>
    <xf numFmtId="194" fontId="15" fillId="7" borderId="8" xfId="32" applyNumberFormat="1" applyFont="1" applyFill="1" applyBorder="1"/>
    <xf numFmtId="194" fontId="8" fillId="7" borderId="0" xfId="63" applyNumberFormat="1" applyFont="1" applyFill="1"/>
    <xf numFmtId="194" fontId="8" fillId="7" borderId="0" xfId="32" applyNumberFormat="1" applyFont="1" applyFill="1"/>
    <xf numFmtId="9" fontId="14" fillId="7" borderId="0" xfId="32" applyNumberFormat="1" applyFont="1" applyFill="1"/>
    <xf numFmtId="0" fontId="33" fillId="7" borderId="0" xfId="62" applyFont="1" applyFill="1"/>
    <xf numFmtId="8" fontId="33" fillId="7" borderId="0" xfId="62" applyNumberFormat="1" applyFont="1" applyFill="1"/>
    <xf numFmtId="0" fontId="16" fillId="7" borderId="2" xfId="0" applyFont="1" applyFill="1" applyBorder="1"/>
    <xf numFmtId="0" fontId="32" fillId="7" borderId="0" xfId="62" quotePrefix="1" applyFont="1" applyFill="1" applyAlignment="1">
      <alignment horizontal="left"/>
    </xf>
    <xf numFmtId="0" fontId="35" fillId="7" borderId="0" xfId="66" applyFont="1" applyFill="1"/>
    <xf numFmtId="0" fontId="8" fillId="7" borderId="0" xfId="68" applyFont="1" applyFill="1"/>
    <xf numFmtId="173" fontId="8" fillId="7" borderId="0" xfId="68" applyNumberFormat="1" applyFont="1" applyFill="1"/>
    <xf numFmtId="0" fontId="8" fillId="7" borderId="0" xfId="68" applyFont="1" applyFill="1" applyBorder="1"/>
    <xf numFmtId="0" fontId="3" fillId="7" borderId="0" xfId="66" quotePrefix="1" applyFont="1" applyFill="1" applyAlignment="1">
      <alignment horizontal="left"/>
    </xf>
    <xf numFmtId="173" fontId="14" fillId="7" borderId="0" xfId="68" applyNumberFormat="1" applyFont="1" applyFill="1"/>
    <xf numFmtId="173" fontId="28" fillId="7" borderId="0" xfId="68" applyNumberFormat="1" applyFont="1" applyFill="1"/>
    <xf numFmtId="173" fontId="8" fillId="7" borderId="0" xfId="68" applyNumberFormat="1" applyFont="1" applyFill="1" applyBorder="1"/>
    <xf numFmtId="0" fontId="8" fillId="7" borderId="0" xfId="66" quotePrefix="1" applyFont="1" applyFill="1" applyAlignment="1">
      <alignment horizontal="left"/>
    </xf>
    <xf numFmtId="173" fontId="44" fillId="7" borderId="0" xfId="19" applyNumberFormat="1" applyFont="1" applyFill="1"/>
    <xf numFmtId="193" fontId="117" fillId="0" borderId="0" xfId="0" applyNumberFormat="1" applyFont="1"/>
    <xf numFmtId="0" fontId="117" fillId="0" borderId="0" xfId="66" applyFont="1"/>
    <xf numFmtId="0" fontId="15" fillId="0" borderId="8" xfId="66" applyFont="1" applyBorder="1"/>
    <xf numFmtId="0" fontId="23" fillId="0" borderId="0" xfId="66" applyFont="1"/>
    <xf numFmtId="5" fontId="117" fillId="0" borderId="0" xfId="0" applyNumberFormat="1" applyFont="1"/>
    <xf numFmtId="170" fontId="28" fillId="7" borderId="8" xfId="20" applyNumberFormat="1" applyFont="1" applyFill="1" applyBorder="1"/>
    <xf numFmtId="49" fontId="8" fillId="7" borderId="0" xfId="19" applyNumberFormat="1" applyFont="1" applyFill="1" applyBorder="1"/>
    <xf numFmtId="166" fontId="14" fillId="7" borderId="0" xfId="70" applyNumberFormat="1" applyFont="1" applyFill="1" applyBorder="1" applyAlignment="1">
      <alignment horizontal="right"/>
    </xf>
    <xf numFmtId="0" fontId="15" fillId="7" borderId="0" xfId="0" applyFont="1" applyFill="1" applyAlignment="1"/>
    <xf numFmtId="0" fontId="3" fillId="7" borderId="0" xfId="0" applyFont="1" applyFill="1" applyAlignment="1">
      <alignment horizontal="left" indent="2"/>
    </xf>
    <xf numFmtId="184" fontId="15" fillId="0" borderId="8" xfId="0" applyNumberFormat="1" applyFont="1" applyBorder="1"/>
    <xf numFmtId="0" fontId="3" fillId="5" borderId="0" xfId="0" quotePrefix="1" applyFont="1" applyFill="1" applyBorder="1" applyAlignment="1">
      <alignment horizontal="center"/>
    </xf>
    <xf numFmtId="0" fontId="8" fillId="5" borderId="0" xfId="0" applyFont="1" applyFill="1" applyBorder="1" applyAlignment="1">
      <alignment horizontal="center"/>
    </xf>
    <xf numFmtId="166" fontId="82" fillId="0" borderId="8" xfId="70" applyNumberFormat="1" applyFont="1" applyBorder="1"/>
    <xf numFmtId="167" fontId="33" fillId="7" borderId="0" xfId="19" applyNumberFormat="1" applyFont="1" applyFill="1"/>
    <xf numFmtId="167" fontId="56" fillId="7" borderId="2" xfId="19" applyNumberFormat="1" applyFont="1" applyFill="1" applyBorder="1"/>
    <xf numFmtId="167" fontId="48" fillId="7" borderId="2" xfId="19" applyNumberFormat="1" applyFont="1" applyFill="1" applyBorder="1"/>
    <xf numFmtId="2" fontId="27" fillId="7" borderId="0" xfId="0" applyNumberFormat="1" applyFont="1" applyFill="1"/>
    <xf numFmtId="2" fontId="14" fillId="7" borderId="0" xfId="19" applyNumberFormat="1" applyFont="1" applyFill="1" applyAlignment="1">
      <alignment horizontal="right"/>
    </xf>
    <xf numFmtId="168" fontId="8" fillId="7" borderId="0" xfId="0" applyNumberFormat="1" applyFont="1" applyFill="1"/>
    <xf numFmtId="174" fontId="75" fillId="7" borderId="0" xfId="0" applyNumberFormat="1" applyFont="1" applyFill="1"/>
    <xf numFmtId="178" fontId="3" fillId="7" borderId="0" xfId="0" applyNumberFormat="1" applyFont="1" applyFill="1" applyAlignment="1">
      <alignment horizontal="left"/>
    </xf>
    <xf numFmtId="204" fontId="15" fillId="0" borderId="20" xfId="0" applyNumberFormat="1" applyFont="1" applyBorder="1"/>
    <xf numFmtId="204" fontId="15" fillId="0" borderId="2" xfId="0" applyNumberFormat="1" applyFont="1" applyBorder="1"/>
    <xf numFmtId="0" fontId="15" fillId="0" borderId="9" xfId="0" applyFont="1" applyBorder="1"/>
    <xf numFmtId="204" fontId="8" fillId="0" borderId="26" xfId="0" applyNumberFormat="1" applyFont="1" applyFill="1" applyBorder="1"/>
    <xf numFmtId="204" fontId="3" fillId="0" borderId="26" xfId="0" applyNumberFormat="1" applyFont="1" applyBorder="1" applyAlignment="1">
      <alignment horizontal="right"/>
    </xf>
    <xf numFmtId="204" fontId="8" fillId="0" borderId="26" xfId="0" applyNumberFormat="1" applyFont="1" applyBorder="1"/>
    <xf numFmtId="204" fontId="8" fillId="0" borderId="19" xfId="0" applyNumberFormat="1" applyFont="1" applyBorder="1"/>
    <xf numFmtId="174" fontId="56" fillId="7" borderId="0" xfId="0" applyNumberFormat="1" applyFont="1" applyFill="1" applyAlignment="1">
      <alignment horizontal="right"/>
    </xf>
    <xf numFmtId="191" fontId="8" fillId="7" borderId="0" xfId="0" applyNumberFormat="1" applyFont="1" applyFill="1"/>
    <xf numFmtId="176" fontId="117" fillId="7" borderId="0" xfId="20" applyNumberFormat="1" applyFont="1" applyFill="1"/>
    <xf numFmtId="165" fontId="117" fillId="7" borderId="0" xfId="0" applyNumberFormat="1" applyFont="1" applyFill="1" applyProtection="1"/>
    <xf numFmtId="177" fontId="117" fillId="7" borderId="0" xfId="0" applyNumberFormat="1" applyFont="1" applyFill="1"/>
    <xf numFmtId="169" fontId="117" fillId="7" borderId="2" xfId="0" applyNumberFormat="1" applyFont="1" applyFill="1" applyBorder="1" applyProtection="1"/>
    <xf numFmtId="0" fontId="127" fillId="7" borderId="0" xfId="0" applyFont="1" applyFill="1"/>
    <xf numFmtId="1" fontId="15" fillId="7" borderId="0" xfId="19" applyNumberFormat="1" applyFont="1" applyFill="1"/>
    <xf numFmtId="10" fontId="14" fillId="7" borderId="0" xfId="0" applyNumberFormat="1" applyFont="1" applyFill="1" applyProtection="1"/>
    <xf numFmtId="10" fontId="28" fillId="7" borderId="0" xfId="70" applyNumberFormat="1" applyFont="1" applyFill="1"/>
    <xf numFmtId="40" fontId="15" fillId="7" borderId="0" xfId="70" applyNumberFormat="1" applyFont="1" applyFill="1" applyAlignment="1">
      <alignment horizontal="right"/>
    </xf>
    <xf numFmtId="166" fontId="15" fillId="7" borderId="0" xfId="70" applyNumberFormat="1" applyFont="1" applyFill="1" applyAlignment="1">
      <alignment horizontal="right"/>
    </xf>
    <xf numFmtId="194" fontId="15" fillId="0" borderId="21" xfId="49" applyFont="1" applyFill="1" applyBorder="1"/>
    <xf numFmtId="194" fontId="15" fillId="0" borderId="25" xfId="49" applyFont="1" applyFill="1" applyBorder="1"/>
    <xf numFmtId="165" fontId="31" fillId="0" borderId="0" xfId="19" applyNumberFormat="1" applyFont="1" applyFill="1"/>
    <xf numFmtId="165" fontId="42" fillId="7" borderId="0" xfId="19" applyNumberFormat="1" applyFont="1" applyFill="1"/>
    <xf numFmtId="165" fontId="31" fillId="7" borderId="0" xfId="0" applyNumberFormat="1" applyFont="1" applyFill="1"/>
    <xf numFmtId="0" fontId="129" fillId="0" borderId="0" xfId="0" applyFont="1"/>
    <xf numFmtId="0" fontId="129" fillId="0" borderId="2" xfId="0" applyFont="1" applyBorder="1"/>
    <xf numFmtId="0" fontId="129" fillId="7" borderId="0" xfId="0" applyFont="1" applyFill="1"/>
    <xf numFmtId="174" fontId="129" fillId="7" borderId="0" xfId="0" applyNumberFormat="1" applyFont="1" applyFill="1"/>
    <xf numFmtId="166" fontId="129" fillId="7" borderId="0" xfId="70" applyNumberFormat="1" applyFont="1" applyFill="1"/>
    <xf numFmtId="167" fontId="129" fillId="7" borderId="0" xfId="19" applyNumberFormat="1" applyFont="1" applyFill="1"/>
    <xf numFmtId="0" fontId="130" fillId="0" borderId="0" xfId="0" applyFont="1"/>
    <xf numFmtId="165" fontId="129" fillId="7" borderId="2" xfId="0" applyNumberFormat="1" applyFont="1" applyFill="1" applyBorder="1"/>
    <xf numFmtId="165" fontId="129" fillId="7" borderId="0" xfId="0" applyNumberFormat="1" applyFont="1" applyFill="1"/>
    <xf numFmtId="0" fontId="130" fillId="7" borderId="0" xfId="0" applyFont="1" applyFill="1"/>
    <xf numFmtId="1" fontId="131" fillId="0" borderId="2" xfId="64" quotePrefix="1" applyNumberFormat="1" applyFont="1" applyBorder="1" applyAlignment="1" applyProtection="1">
      <alignment horizontal="right"/>
    </xf>
    <xf numFmtId="166" fontId="129" fillId="0" borderId="0" xfId="70" applyNumberFormat="1" applyFont="1"/>
    <xf numFmtId="167" fontId="129" fillId="0" borderId="0" xfId="19" applyNumberFormat="1" applyFont="1"/>
    <xf numFmtId="174" fontId="129" fillId="0" borderId="0" xfId="0" applyNumberFormat="1" applyFont="1"/>
    <xf numFmtId="167" fontId="129" fillId="7" borderId="0" xfId="19" applyNumberFormat="1" applyFont="1" applyFill="1" applyAlignment="1">
      <alignment horizontal="right"/>
    </xf>
    <xf numFmtId="173" fontId="129" fillId="7" borderId="0" xfId="70" applyNumberFormat="1" applyFont="1" applyFill="1"/>
    <xf numFmtId="1" fontId="132" fillId="7" borderId="2" xfId="64" quotePrefix="1" applyNumberFormat="1" applyFont="1" applyFill="1" applyBorder="1" applyAlignment="1" applyProtection="1">
      <alignment horizontal="right"/>
    </xf>
    <xf numFmtId="174" fontId="133" fillId="7" borderId="0" xfId="0" applyNumberFormat="1" applyFont="1" applyFill="1"/>
    <xf numFmtId="174" fontId="134" fillId="7" borderId="0" xfId="0" applyNumberFormat="1" applyFont="1" applyFill="1"/>
    <xf numFmtId="174" fontId="133" fillId="7" borderId="8" xfId="0" applyNumberFormat="1" applyFont="1" applyFill="1" applyBorder="1"/>
    <xf numFmtId="167" fontId="134" fillId="7" borderId="0" xfId="19" applyNumberFormat="1" applyFont="1" applyFill="1"/>
    <xf numFmtId="166" fontId="134" fillId="7" borderId="0" xfId="70" applyNumberFormat="1" applyFont="1" applyFill="1"/>
    <xf numFmtId="0" fontId="134" fillId="0" borderId="0" xfId="0" applyFont="1"/>
    <xf numFmtId="0" fontId="135" fillId="0" borderId="0" xfId="0" applyFont="1" applyBorder="1" applyAlignment="1">
      <alignment horizontal="right"/>
    </xf>
    <xf numFmtId="0" fontId="134" fillId="4" borderId="0" xfId="0" applyFont="1" applyFill="1"/>
    <xf numFmtId="0" fontId="134" fillId="7" borderId="0" xfId="0" applyFont="1" applyFill="1"/>
    <xf numFmtId="193" fontId="134" fillId="7" borderId="0" xfId="19" applyNumberFormat="1" applyFont="1" applyFill="1"/>
    <xf numFmtId="166" fontId="136" fillId="7" borderId="0" xfId="70" applyNumberFormat="1" applyFont="1" applyFill="1"/>
    <xf numFmtId="222" fontId="134" fillId="7" borderId="2" xfId="19" quotePrefix="1" applyNumberFormat="1" applyFont="1" applyFill="1" applyBorder="1" applyAlignment="1">
      <alignment horizontal="right"/>
    </xf>
    <xf numFmtId="171" fontId="137" fillId="7" borderId="0" xfId="19" applyNumberFormat="1" applyFont="1" applyFill="1"/>
    <xf numFmtId="165" fontId="134" fillId="7" borderId="0" xfId="19" applyNumberFormat="1" applyFont="1" applyFill="1"/>
    <xf numFmtId="222" fontId="134" fillId="7" borderId="0" xfId="19" quotePrefix="1" applyNumberFormat="1" applyFont="1" applyFill="1" applyBorder="1" applyAlignment="1">
      <alignment horizontal="right"/>
    </xf>
    <xf numFmtId="166" fontId="136" fillId="7" borderId="2" xfId="70" applyNumberFormat="1" applyFont="1" applyFill="1" applyBorder="1"/>
    <xf numFmtId="0" fontId="138" fillId="7" borderId="0" xfId="0" applyFont="1" applyFill="1"/>
    <xf numFmtId="166" fontId="134" fillId="7" borderId="2" xfId="70" applyNumberFormat="1" applyFont="1" applyFill="1" applyBorder="1"/>
    <xf numFmtId="222" fontId="136" fillId="7" borderId="0" xfId="19" quotePrefix="1" applyNumberFormat="1" applyFont="1" applyFill="1" applyBorder="1" applyAlignment="1">
      <alignment horizontal="right"/>
    </xf>
    <xf numFmtId="193" fontId="135" fillId="7" borderId="0" xfId="19" applyNumberFormat="1" applyFont="1" applyFill="1"/>
    <xf numFmtId="222" fontId="136" fillId="7" borderId="2" xfId="19" quotePrefix="1" applyNumberFormat="1" applyFont="1" applyFill="1" applyBorder="1" applyAlignment="1">
      <alignment horizontal="right"/>
    </xf>
    <xf numFmtId="9" fontId="134" fillId="7" borderId="0" xfId="70" applyFont="1" applyFill="1" applyAlignment="1">
      <alignment horizontal="left" indent="2"/>
    </xf>
    <xf numFmtId="165" fontId="134" fillId="7" borderId="2" xfId="19" applyNumberFormat="1" applyFont="1" applyFill="1" applyBorder="1"/>
    <xf numFmtId="166" fontId="136" fillId="7" borderId="0" xfId="70" applyNumberFormat="1" applyFont="1" applyFill="1" applyAlignment="1">
      <alignment horizontal="right"/>
    </xf>
    <xf numFmtId="166" fontId="136" fillId="7" borderId="0" xfId="70" applyNumberFormat="1" applyFont="1" applyFill="1" applyBorder="1"/>
    <xf numFmtId="9" fontId="135" fillId="7" borderId="0" xfId="70" applyFont="1" applyFill="1" applyBorder="1"/>
    <xf numFmtId="177" fontId="134" fillId="7" borderId="0" xfId="19" applyNumberFormat="1" applyFont="1" applyFill="1"/>
    <xf numFmtId="177" fontId="134" fillId="7" borderId="2" xfId="19" applyNumberFormat="1" applyFont="1" applyFill="1" applyBorder="1"/>
    <xf numFmtId="0" fontId="135" fillId="4" borderId="0" xfId="0" applyFont="1" applyFill="1" applyAlignment="1">
      <alignment horizontal="right"/>
    </xf>
    <xf numFmtId="171" fontId="134" fillId="7" borderId="0" xfId="19" applyNumberFormat="1" applyFont="1" applyFill="1" applyBorder="1"/>
    <xf numFmtId="193" fontId="134" fillId="7" borderId="0" xfId="19" applyNumberFormat="1" applyFont="1" applyFill="1" applyBorder="1"/>
    <xf numFmtId="193" fontId="134" fillId="7" borderId="2" xfId="19" applyNumberFormat="1" applyFont="1" applyFill="1" applyBorder="1"/>
    <xf numFmtId="178" fontId="134" fillId="7" borderId="0" xfId="0" applyNumberFormat="1" applyFont="1" applyFill="1" applyBorder="1" applyAlignment="1">
      <alignment horizontal="right"/>
    </xf>
    <xf numFmtId="171" fontId="134" fillId="7" borderId="2" xfId="19" applyNumberFormat="1" applyFont="1" applyFill="1" applyBorder="1"/>
    <xf numFmtId="167" fontId="134" fillId="7" borderId="0" xfId="19" applyNumberFormat="1" applyFont="1" applyFill="1" applyBorder="1"/>
    <xf numFmtId="193" fontId="135" fillId="7" borderId="0" xfId="19" applyNumberFormat="1" applyFont="1" applyFill="1" applyBorder="1"/>
    <xf numFmtId="9" fontId="134" fillId="7" borderId="0" xfId="70" applyFont="1" applyFill="1" applyBorder="1"/>
    <xf numFmtId="167" fontId="134" fillId="7" borderId="2" xfId="19" applyNumberFormat="1" applyFont="1" applyFill="1" applyBorder="1"/>
    <xf numFmtId="166" fontId="134" fillId="7" borderId="0" xfId="70" applyNumberFormat="1" applyFont="1" applyFill="1" applyBorder="1"/>
    <xf numFmtId="0" fontId="135" fillId="5" borderId="2" xfId="0" applyFont="1" applyFill="1" applyBorder="1" applyAlignment="1">
      <alignment horizontal="right"/>
    </xf>
    <xf numFmtId="43" fontId="134" fillId="7" borderId="0" xfId="19" applyFont="1" applyFill="1" applyBorder="1"/>
    <xf numFmtId="0" fontId="135" fillId="5" borderId="0" xfId="0" applyFont="1" applyFill="1" applyAlignment="1">
      <alignment horizontal="right"/>
    </xf>
    <xf numFmtId="184" fontId="134" fillId="7" borderId="0" xfId="0" applyNumberFormat="1" applyFont="1" applyFill="1"/>
    <xf numFmtId="173" fontId="134" fillId="7" borderId="0" xfId="0" applyNumberFormat="1" applyFont="1" applyFill="1"/>
    <xf numFmtId="173" fontId="134" fillId="7" borderId="2" xfId="0" applyNumberFormat="1" applyFont="1" applyFill="1" applyBorder="1"/>
    <xf numFmtId="184" fontId="135" fillId="7" borderId="0" xfId="0" applyNumberFormat="1" applyFont="1" applyFill="1"/>
    <xf numFmtId="180" fontId="134" fillId="7" borderId="0" xfId="0" applyNumberFormat="1" applyFont="1" applyFill="1"/>
    <xf numFmtId="173" fontId="135" fillId="7" borderId="0" xfId="0" applyNumberFormat="1" applyFont="1" applyFill="1"/>
    <xf numFmtId="0" fontId="139" fillId="0" borderId="0" xfId="0" applyFont="1"/>
    <xf numFmtId="9" fontId="134" fillId="7" borderId="0" xfId="70" applyFont="1" applyFill="1"/>
    <xf numFmtId="9" fontId="134" fillId="7" borderId="2" xfId="70" applyFont="1" applyFill="1" applyBorder="1"/>
    <xf numFmtId="9" fontId="134" fillId="7" borderId="0" xfId="0" applyNumberFormat="1" applyFont="1" applyFill="1"/>
    <xf numFmtId="167" fontId="134" fillId="7" borderId="0" xfId="0" applyNumberFormat="1" applyFont="1" applyFill="1"/>
    <xf numFmtId="167" fontId="135" fillId="7" borderId="8" xfId="0" applyNumberFormat="1" applyFont="1" applyFill="1" applyBorder="1"/>
    <xf numFmtId="166" fontId="140" fillId="7" borderId="0" xfId="70" applyNumberFormat="1" applyFont="1" applyFill="1" applyBorder="1"/>
    <xf numFmtId="177" fontId="134" fillId="7" borderId="0" xfId="0" applyNumberFormat="1" applyFont="1" applyFill="1"/>
    <xf numFmtId="173" fontId="135" fillId="7" borderId="8" xfId="0" applyNumberFormat="1" applyFont="1" applyFill="1" applyBorder="1"/>
    <xf numFmtId="43" fontId="134" fillId="7" borderId="0" xfId="0" applyNumberFormat="1" applyFont="1" applyFill="1"/>
    <xf numFmtId="184" fontId="134" fillId="0" borderId="0" xfId="0" applyNumberFormat="1" applyFont="1" applyFill="1"/>
    <xf numFmtId="0" fontId="134" fillId="0" borderId="0" xfId="0" applyFont="1" applyFill="1"/>
    <xf numFmtId="9" fontId="134" fillId="0" borderId="0" xfId="70" applyFont="1" applyFill="1"/>
    <xf numFmtId="7" fontId="134" fillId="0" borderId="0" xfId="0" applyNumberFormat="1" applyFont="1" applyFill="1"/>
    <xf numFmtId="0" fontId="138" fillId="0" borderId="0" xfId="0" applyFont="1"/>
    <xf numFmtId="0" fontId="134" fillId="7" borderId="0" xfId="0" applyFont="1" applyFill="1" applyAlignment="1">
      <alignment horizontal="centerContinuous"/>
    </xf>
    <xf numFmtId="0" fontId="135" fillId="7" borderId="3" xfId="0" applyFont="1" applyFill="1" applyBorder="1" applyAlignment="1">
      <alignment horizontal="right"/>
    </xf>
    <xf numFmtId="165" fontId="135" fillId="7" borderId="0" xfId="19" applyNumberFormat="1" applyFont="1" applyFill="1"/>
    <xf numFmtId="40" fontId="134" fillId="7" borderId="0" xfId="19" applyNumberFormat="1" applyFont="1" applyFill="1"/>
    <xf numFmtId="167" fontId="134" fillId="7" borderId="2" xfId="0" applyNumberFormat="1" applyFont="1" applyFill="1" applyBorder="1"/>
    <xf numFmtId="0" fontId="136" fillId="7" borderId="0" xfId="0" applyFont="1" applyFill="1"/>
    <xf numFmtId="166" fontId="134" fillId="0" borderId="0" xfId="70" applyNumberFormat="1" applyFont="1" applyFill="1"/>
    <xf numFmtId="166" fontId="136" fillId="0" borderId="0" xfId="70" applyNumberFormat="1" applyFont="1" applyFill="1"/>
    <xf numFmtId="165" fontId="135" fillId="0" borderId="0" xfId="0" applyNumberFormat="1" applyFont="1" applyFill="1"/>
    <xf numFmtId="193" fontId="134" fillId="0" borderId="0" xfId="0" applyNumberFormat="1" applyFont="1" applyFill="1"/>
    <xf numFmtId="0" fontId="7" fillId="0" borderId="0" xfId="0" applyFont="1" applyFill="1"/>
    <xf numFmtId="165" fontId="7" fillId="0" borderId="0" xfId="0" applyNumberFormat="1" applyFont="1" applyFill="1"/>
    <xf numFmtId="43" fontId="15" fillId="0" borderId="0" xfId="19" applyFont="1" applyFill="1"/>
    <xf numFmtId="43" fontId="15" fillId="0" borderId="0" xfId="19" applyFont="1" applyFill="1" applyAlignment="1">
      <alignment horizontal="right"/>
    </xf>
    <xf numFmtId="171" fontId="15" fillId="0" borderId="0" xfId="19" applyNumberFormat="1" applyFont="1" applyFill="1"/>
    <xf numFmtId="165" fontId="15" fillId="0" borderId="0" xfId="70" applyNumberFormat="1" applyFont="1" applyFill="1" applyBorder="1"/>
    <xf numFmtId="165" fontId="15" fillId="0" borderId="0" xfId="0" applyNumberFormat="1" applyFont="1" applyFill="1" applyBorder="1"/>
    <xf numFmtId="165" fontId="60" fillId="0" borderId="0" xfId="0" applyNumberFormat="1" applyFont="1" applyFill="1"/>
    <xf numFmtId="165" fontId="31" fillId="0" borderId="0" xfId="0" applyNumberFormat="1" applyFont="1" applyFill="1"/>
    <xf numFmtId="221" fontId="134" fillId="7" borderId="0" xfId="19" applyNumberFormat="1" applyFont="1" applyFill="1"/>
    <xf numFmtId="221" fontId="134" fillId="7" borderId="2" xfId="19" applyNumberFormat="1" applyFont="1" applyFill="1" applyBorder="1"/>
    <xf numFmtId="5" fontId="28" fillId="7" borderId="0" xfId="19" applyNumberFormat="1" applyFont="1" applyFill="1" applyBorder="1"/>
    <xf numFmtId="193" fontId="135" fillId="7" borderId="8" xfId="19" applyNumberFormat="1" applyFont="1" applyFill="1" applyBorder="1"/>
    <xf numFmtId="165" fontId="27" fillId="10" borderId="0" xfId="0" applyNumberFormat="1" applyFont="1" applyFill="1"/>
    <xf numFmtId="166" fontId="43" fillId="10" borderId="0" xfId="0" applyNumberFormat="1" applyFont="1" applyFill="1"/>
    <xf numFmtId="171" fontId="134" fillId="10" borderId="0" xfId="19" applyNumberFormat="1" applyFont="1" applyFill="1" applyBorder="1"/>
    <xf numFmtId="171" fontId="8" fillId="10" borderId="0" xfId="19" applyNumberFormat="1" applyFont="1" applyFill="1" applyBorder="1"/>
    <xf numFmtId="167" fontId="8" fillId="10" borderId="0" xfId="19" applyNumberFormat="1" applyFont="1" applyFill="1" applyBorder="1"/>
    <xf numFmtId="240" fontId="8" fillId="10" borderId="0" xfId="19" applyNumberFormat="1" applyFont="1" applyFill="1" applyBorder="1"/>
    <xf numFmtId="240" fontId="134" fillId="10" borderId="0" xfId="19" applyNumberFormat="1" applyFont="1" applyFill="1" applyBorder="1"/>
    <xf numFmtId="167" fontId="134" fillId="10" borderId="0" xfId="19" applyNumberFormat="1" applyFont="1" applyFill="1" applyBorder="1"/>
    <xf numFmtId="193" fontId="134" fillId="10" borderId="2" xfId="19" applyNumberFormat="1" applyFont="1" applyFill="1" applyBorder="1"/>
    <xf numFmtId="167" fontId="8" fillId="10" borderId="0" xfId="19" applyNumberFormat="1" applyFont="1" applyFill="1"/>
    <xf numFmtId="165" fontId="91" fillId="10" borderId="2" xfId="19" applyNumberFormat="1" applyFont="1" applyFill="1" applyBorder="1"/>
    <xf numFmtId="165" fontId="8" fillId="10" borderId="2" xfId="19" applyNumberFormat="1" applyFont="1" applyFill="1" applyBorder="1"/>
    <xf numFmtId="165" fontId="27" fillId="10" borderId="2" xfId="19" applyNumberFormat="1" applyFont="1" applyFill="1" applyBorder="1"/>
    <xf numFmtId="165" fontId="14" fillId="10" borderId="2" xfId="19" applyNumberFormat="1" applyFont="1" applyFill="1" applyBorder="1"/>
    <xf numFmtId="174" fontId="8" fillId="10" borderId="0" xfId="19" applyNumberFormat="1" applyFont="1" applyFill="1"/>
    <xf numFmtId="166" fontId="8" fillId="10" borderId="0" xfId="70" applyNumberFormat="1" applyFont="1" applyFill="1"/>
    <xf numFmtId="165" fontId="27" fillId="10" borderId="0" xfId="19" applyNumberFormat="1" applyFont="1" applyFill="1" applyBorder="1"/>
    <xf numFmtId="165" fontId="8" fillId="10" borderId="0" xfId="19" applyNumberFormat="1" applyFont="1" applyFill="1"/>
    <xf numFmtId="174" fontId="8" fillId="10" borderId="0" xfId="70" applyNumberFormat="1" applyFont="1" applyFill="1"/>
    <xf numFmtId="165" fontId="8" fillId="10" borderId="0" xfId="0" applyNumberFormat="1" applyFont="1" applyFill="1"/>
    <xf numFmtId="0" fontId="0" fillId="10" borderId="0" xfId="0" applyFill="1"/>
    <xf numFmtId="165" fontId="134" fillId="10" borderId="0" xfId="19" applyNumberFormat="1" applyFont="1" applyFill="1"/>
    <xf numFmtId="177" fontId="27" fillId="10" borderId="0" xfId="19" applyNumberFormat="1" applyFont="1" applyFill="1"/>
    <xf numFmtId="177" fontId="27" fillId="10" borderId="2" xfId="19" applyNumberFormat="1" applyFont="1" applyFill="1" applyBorder="1"/>
    <xf numFmtId="165" fontId="134" fillId="10" borderId="2" xfId="19" applyNumberFormat="1" applyFont="1" applyFill="1" applyBorder="1"/>
    <xf numFmtId="193" fontId="15" fillId="10" borderId="0" xfId="19" applyNumberFormat="1" applyFont="1" applyFill="1" applyBorder="1"/>
    <xf numFmtId="193" fontId="135" fillId="10" borderId="8" xfId="19" applyNumberFormat="1" applyFont="1" applyFill="1" applyBorder="1"/>
    <xf numFmtId="166" fontId="23" fillId="10" borderId="0" xfId="70" applyNumberFormat="1" applyFont="1" applyFill="1" applyAlignment="1">
      <alignment horizontal="right"/>
    </xf>
    <xf numFmtId="167" fontId="8" fillId="10" borderId="0" xfId="0" applyNumberFormat="1" applyFont="1" applyFill="1"/>
    <xf numFmtId="167" fontId="8" fillId="10" borderId="2" xfId="0" applyNumberFormat="1" applyFont="1" applyFill="1" applyBorder="1"/>
    <xf numFmtId="193" fontId="135" fillId="10" borderId="0" xfId="19" applyNumberFormat="1" applyFont="1" applyFill="1" applyBorder="1"/>
    <xf numFmtId="193" fontId="3" fillId="10" borderId="0" xfId="19" applyNumberFormat="1" applyFont="1" applyFill="1" applyBorder="1"/>
    <xf numFmtId="43" fontId="3" fillId="10" borderId="0" xfId="19" applyFont="1" applyFill="1" applyBorder="1"/>
    <xf numFmtId="43" fontId="134" fillId="10" borderId="0" xfId="19" applyFont="1" applyFill="1" applyBorder="1"/>
    <xf numFmtId="43" fontId="8" fillId="10" borderId="0" xfId="19" applyNumberFormat="1" applyFont="1" applyFill="1" applyBorder="1"/>
    <xf numFmtId="193" fontId="27" fillId="10" borderId="0" xfId="19" applyNumberFormat="1" applyFont="1" applyFill="1" applyBorder="1"/>
    <xf numFmtId="193" fontId="134" fillId="10" borderId="0" xfId="19" applyNumberFormat="1" applyFont="1" applyFill="1" applyBorder="1"/>
    <xf numFmtId="193" fontId="8" fillId="10" borderId="0" xfId="19" applyNumberFormat="1" applyFont="1" applyFill="1"/>
    <xf numFmtId="193" fontId="27" fillId="10" borderId="2" xfId="19" applyNumberFormat="1" applyFont="1" applyFill="1" applyBorder="1"/>
    <xf numFmtId="193" fontId="135" fillId="10" borderId="0" xfId="19" applyNumberFormat="1" applyFont="1" applyFill="1"/>
    <xf numFmtId="166" fontId="23" fillId="10" borderId="0" xfId="70" applyNumberFormat="1" applyFont="1" applyFill="1"/>
    <xf numFmtId="166" fontId="136" fillId="10" borderId="0" xfId="70" applyNumberFormat="1" applyFont="1" applyFill="1"/>
    <xf numFmtId="165" fontId="14" fillId="10" borderId="0" xfId="19" applyNumberFormat="1" applyFont="1" applyFill="1"/>
    <xf numFmtId="166" fontId="82" fillId="10" borderId="0" xfId="70" applyNumberFormat="1" applyFont="1" applyFill="1"/>
    <xf numFmtId="171" fontId="8" fillId="10" borderId="2" xfId="19" applyNumberFormat="1" applyFont="1" applyFill="1" applyBorder="1"/>
    <xf numFmtId="171" fontId="134" fillId="10" borderId="2" xfId="19" applyNumberFormat="1" applyFont="1" applyFill="1" applyBorder="1"/>
    <xf numFmtId="166" fontId="23" fillId="10" borderId="0" xfId="70" applyNumberFormat="1" applyFont="1" applyFill="1" applyBorder="1"/>
    <xf numFmtId="166" fontId="136" fillId="10" borderId="0" xfId="70" applyNumberFormat="1" applyFont="1" applyFill="1" applyBorder="1"/>
    <xf numFmtId="178" fontId="8" fillId="10" borderId="0" xfId="0" applyNumberFormat="1" applyFont="1" applyFill="1" applyBorder="1" applyAlignment="1">
      <alignment horizontal="right"/>
    </xf>
    <xf numFmtId="178" fontId="134" fillId="10" borderId="0" xfId="0" applyNumberFormat="1" applyFont="1" applyFill="1" applyBorder="1" applyAlignment="1">
      <alignment horizontal="right"/>
    </xf>
    <xf numFmtId="166" fontId="134" fillId="10" borderId="0" xfId="70" applyNumberFormat="1" applyFont="1" applyFill="1"/>
    <xf numFmtId="166" fontId="23" fillId="10" borderId="2" xfId="70" applyNumberFormat="1" applyFont="1" applyFill="1" applyBorder="1"/>
    <xf numFmtId="166" fontId="136" fillId="10" borderId="2" xfId="70" applyNumberFormat="1" applyFont="1" applyFill="1" applyBorder="1"/>
    <xf numFmtId="167" fontId="3" fillId="10" borderId="0" xfId="19" applyNumberFormat="1" applyFont="1" applyFill="1" applyBorder="1"/>
    <xf numFmtId="174" fontId="3" fillId="10" borderId="0" xfId="19" applyNumberFormat="1" applyFont="1" applyFill="1"/>
    <xf numFmtId="178" fontId="8" fillId="10" borderId="0" xfId="0" applyNumberFormat="1" applyFont="1" applyFill="1"/>
    <xf numFmtId="182" fontId="8" fillId="10" borderId="0" xfId="0" applyNumberFormat="1" applyFont="1" applyFill="1"/>
    <xf numFmtId="177" fontId="14" fillId="10" borderId="0" xfId="0" applyNumberFormat="1" applyFont="1" applyFill="1"/>
    <xf numFmtId="165" fontId="8" fillId="10" borderId="0" xfId="70" applyNumberFormat="1" applyFont="1" applyFill="1"/>
    <xf numFmtId="165" fontId="3" fillId="10" borderId="0" xfId="72" applyNumberFormat="1" applyFont="1" applyFill="1"/>
    <xf numFmtId="178" fontId="14" fillId="10" borderId="0" xfId="0" applyNumberFormat="1" applyFont="1" applyFill="1"/>
    <xf numFmtId="167" fontId="14" fillId="10" borderId="0" xfId="0" applyNumberFormat="1" applyFont="1" applyFill="1"/>
    <xf numFmtId="165" fontId="3" fillId="10" borderId="2" xfId="72" applyNumberFormat="1" applyFont="1" applyFill="1" applyBorder="1"/>
    <xf numFmtId="165" fontId="8" fillId="10" borderId="2" xfId="70" applyNumberFormat="1" applyFont="1" applyFill="1" applyBorder="1"/>
    <xf numFmtId="165" fontId="3" fillId="10" borderId="0" xfId="0" applyNumberFormat="1" applyFont="1" applyFill="1"/>
    <xf numFmtId="167" fontId="3" fillId="10" borderId="0" xfId="0" applyNumberFormat="1" applyFont="1" applyFill="1"/>
    <xf numFmtId="165" fontId="3" fillId="10" borderId="2" xfId="19" applyNumberFormat="1" applyFont="1" applyFill="1" applyBorder="1"/>
    <xf numFmtId="178" fontId="3" fillId="10" borderId="0" xfId="0" applyNumberFormat="1" applyFont="1" applyFill="1"/>
    <xf numFmtId="166" fontId="14" fillId="10" borderId="0" xfId="72" applyNumberFormat="1" applyFont="1" applyFill="1"/>
    <xf numFmtId="177" fontId="3" fillId="10" borderId="0" xfId="0" applyNumberFormat="1" applyFont="1" applyFill="1" applyBorder="1"/>
    <xf numFmtId="174" fontId="8" fillId="10" borderId="8" xfId="19" applyNumberFormat="1" applyFont="1" applyFill="1" applyBorder="1"/>
    <xf numFmtId="177" fontId="14" fillId="10" borderId="0" xfId="70" applyNumberFormat="1" applyFont="1" applyFill="1"/>
    <xf numFmtId="177" fontId="14" fillId="10" borderId="2" xfId="70" applyNumberFormat="1" applyFont="1" applyFill="1" applyBorder="1"/>
    <xf numFmtId="177" fontId="8" fillId="10" borderId="0" xfId="19" applyNumberFormat="1" applyFont="1" applyFill="1"/>
    <xf numFmtId="165" fontId="14" fillId="10" borderId="2" xfId="72" applyNumberFormat="1" applyFont="1" applyFill="1" applyBorder="1"/>
    <xf numFmtId="0" fontId="8" fillId="10" borderId="0" xfId="0" applyFont="1" applyFill="1"/>
    <xf numFmtId="166" fontId="136" fillId="10" borderId="0" xfId="70" applyNumberFormat="1" applyFont="1" applyFill="1" applyAlignment="1">
      <alignment horizontal="right"/>
    </xf>
    <xf numFmtId="177" fontId="60" fillId="7" borderId="17" xfId="0" applyNumberFormat="1" applyFont="1" applyFill="1" applyBorder="1"/>
    <xf numFmtId="180" fontId="15" fillId="10" borderId="0" xfId="70" applyNumberFormat="1" applyFont="1" applyFill="1"/>
    <xf numFmtId="166" fontId="3" fillId="10" borderId="0" xfId="70" applyNumberFormat="1" applyFont="1" applyFill="1"/>
    <xf numFmtId="0" fontId="3" fillId="10" borderId="0" xfId="0" applyFont="1" applyFill="1"/>
    <xf numFmtId="165" fontId="14" fillId="10" borderId="0" xfId="72" applyNumberFormat="1" applyFont="1" applyFill="1" applyBorder="1"/>
    <xf numFmtId="8" fontId="8" fillId="10" borderId="0" xfId="0" applyNumberFormat="1" applyFont="1" applyFill="1"/>
    <xf numFmtId="234" fontId="8" fillId="10" borderId="0" xfId="0" applyNumberFormat="1" applyFont="1" applyFill="1"/>
    <xf numFmtId="165" fontId="3" fillId="10" borderId="2" xfId="0" applyNumberFormat="1" applyFont="1" applyFill="1" applyBorder="1"/>
    <xf numFmtId="165" fontId="8" fillId="10" borderId="2" xfId="0" applyNumberFormat="1" applyFont="1" applyFill="1" applyBorder="1"/>
    <xf numFmtId="167" fontId="3" fillId="10" borderId="2" xfId="0" applyNumberFormat="1" applyFont="1" applyFill="1" applyBorder="1"/>
    <xf numFmtId="8" fontId="3" fillId="10" borderId="0" xfId="19" applyNumberFormat="1" applyFont="1" applyFill="1"/>
    <xf numFmtId="8" fontId="8" fillId="10" borderId="0" xfId="19" applyNumberFormat="1" applyFont="1" applyFill="1"/>
    <xf numFmtId="180" fontId="8" fillId="10" borderId="0" xfId="0" applyNumberFormat="1" applyFont="1" applyFill="1"/>
    <xf numFmtId="241" fontId="8" fillId="10" borderId="0" xfId="0" applyNumberFormat="1" applyFont="1" applyFill="1"/>
    <xf numFmtId="165" fontId="14" fillId="10" borderId="0" xfId="0" applyNumberFormat="1" applyFont="1" applyFill="1"/>
    <xf numFmtId="165" fontId="8" fillId="10" borderId="0" xfId="0" applyNumberFormat="1" applyFont="1" applyFill="1" applyBorder="1"/>
    <xf numFmtId="174" fontId="8" fillId="10" borderId="17" xfId="19" applyNumberFormat="1" applyFont="1" applyFill="1" applyBorder="1"/>
    <xf numFmtId="174" fontId="8" fillId="10" borderId="0" xfId="19" applyNumberFormat="1" applyFont="1" applyFill="1" applyBorder="1"/>
    <xf numFmtId="38" fontId="8" fillId="10" borderId="0" xfId="0" applyNumberFormat="1" applyFont="1" applyFill="1"/>
    <xf numFmtId="165" fontId="14" fillId="10" borderId="2" xfId="0" applyNumberFormat="1" applyFont="1" applyFill="1" applyBorder="1"/>
    <xf numFmtId="165" fontId="14" fillId="10" borderId="0" xfId="0" applyNumberFormat="1" applyFont="1" applyFill="1" applyBorder="1"/>
    <xf numFmtId="177" fontId="14" fillId="10" borderId="0" xfId="0" applyNumberFormat="1" applyFont="1" applyFill="1" applyBorder="1"/>
    <xf numFmtId="174" fontId="8" fillId="10" borderId="0" xfId="31" applyNumberFormat="1" applyFont="1" applyFill="1"/>
    <xf numFmtId="177" fontId="8" fillId="10" borderId="0" xfId="0" applyNumberFormat="1" applyFont="1" applyFill="1"/>
    <xf numFmtId="166" fontId="8" fillId="10" borderId="0" xfId="70" applyNumberFormat="1" applyFont="1" applyFill="1" applyAlignment="1">
      <alignment horizontal="right"/>
    </xf>
    <xf numFmtId="165" fontId="8" fillId="10" borderId="0" xfId="19" applyNumberFormat="1" applyFont="1" applyFill="1" applyAlignment="1">
      <alignment horizontal="right"/>
    </xf>
    <xf numFmtId="193" fontId="27" fillId="10" borderId="0" xfId="19" applyNumberFormat="1" applyFont="1" applyFill="1"/>
    <xf numFmtId="177" fontId="3" fillId="10" borderId="0" xfId="19" applyNumberFormat="1" applyFont="1" applyFill="1"/>
    <xf numFmtId="177" fontId="84" fillId="10" borderId="0" xfId="19" applyNumberFormat="1" applyFont="1" applyFill="1"/>
    <xf numFmtId="165" fontId="14" fillId="10" borderId="2" xfId="70" applyNumberFormat="1" applyFont="1" applyFill="1" applyBorder="1"/>
    <xf numFmtId="0" fontId="15" fillId="10" borderId="0" xfId="0" applyFont="1" applyFill="1"/>
    <xf numFmtId="165" fontId="3" fillId="10" borderId="0" xfId="70" applyNumberFormat="1" applyFont="1" applyFill="1"/>
    <xf numFmtId="165" fontId="3" fillId="10" borderId="0" xfId="19" applyNumberFormat="1" applyFont="1" applyFill="1"/>
    <xf numFmtId="166" fontId="14" fillId="10" borderId="0" xfId="70" applyNumberFormat="1" applyFont="1" applyFill="1"/>
    <xf numFmtId="171" fontId="3" fillId="10" borderId="0" xfId="19" applyNumberFormat="1" applyFont="1" applyFill="1" applyBorder="1"/>
    <xf numFmtId="0" fontId="8" fillId="11" borderId="0" xfId="0" applyFont="1" applyFill="1"/>
    <xf numFmtId="165" fontId="21" fillId="10" borderId="0" xfId="19" applyNumberFormat="1" applyFont="1" applyFill="1" applyAlignment="1">
      <alignment horizontal="right"/>
    </xf>
    <xf numFmtId="178" fontId="21" fillId="10" borderId="0" xfId="70" applyNumberFormat="1" applyFont="1" applyFill="1"/>
    <xf numFmtId="199" fontId="8" fillId="10" borderId="0" xfId="0" applyNumberFormat="1" applyFont="1" applyFill="1"/>
    <xf numFmtId="165" fontId="14" fillId="10" borderId="0" xfId="19" applyNumberFormat="1" applyFont="1" applyFill="1" applyBorder="1"/>
    <xf numFmtId="177" fontId="8" fillId="10" borderId="2" xfId="0" applyNumberFormat="1" applyFont="1" applyFill="1" applyBorder="1"/>
    <xf numFmtId="174" fontId="3" fillId="10" borderId="8" xfId="19" applyNumberFormat="1" applyFont="1" applyFill="1" applyBorder="1"/>
    <xf numFmtId="165" fontId="14" fillId="10" borderId="0" xfId="70" applyNumberFormat="1" applyFont="1" applyFill="1"/>
    <xf numFmtId="165" fontId="14" fillId="10" borderId="0" xfId="70" applyNumberFormat="1" applyFont="1" applyFill="1" applyBorder="1"/>
    <xf numFmtId="177" fontId="27" fillId="10" borderId="0" xfId="70" applyNumberFormat="1" applyFont="1" applyFill="1"/>
    <xf numFmtId="177" fontId="14" fillId="10" borderId="0" xfId="72" applyNumberFormat="1" applyFont="1" applyFill="1"/>
    <xf numFmtId="37" fontId="14" fillId="10" borderId="2" xfId="70" applyNumberFormat="1" applyFont="1" applyFill="1" applyBorder="1"/>
    <xf numFmtId="193" fontId="14" fillId="10" borderId="0" xfId="19" applyNumberFormat="1" applyFont="1" applyFill="1"/>
    <xf numFmtId="182" fontId="3" fillId="10" borderId="0" xfId="0" applyNumberFormat="1" applyFont="1" applyFill="1"/>
    <xf numFmtId="171" fontId="21" fillId="10" borderId="0" xfId="19" applyNumberFormat="1" applyFont="1" applyFill="1" applyAlignment="1">
      <alignment horizontal="right"/>
    </xf>
    <xf numFmtId="171" fontId="8" fillId="10" borderId="0" xfId="19" applyNumberFormat="1" applyFont="1" applyFill="1"/>
    <xf numFmtId="0" fontId="94" fillId="10" borderId="0" xfId="0" applyFont="1" applyFill="1"/>
    <xf numFmtId="9" fontId="23" fillId="10" borderId="0" xfId="0" applyNumberFormat="1" applyFont="1" applyFill="1"/>
    <xf numFmtId="166" fontId="23" fillId="10" borderId="0" xfId="0" applyNumberFormat="1" applyFont="1" applyFill="1"/>
    <xf numFmtId="250" fontId="27" fillId="10" borderId="0" xfId="0" applyNumberFormat="1" applyFont="1" applyFill="1"/>
    <xf numFmtId="250" fontId="3" fillId="10" borderId="0" xfId="0" applyNumberFormat="1" applyFont="1" applyFill="1"/>
    <xf numFmtId="201" fontId="48" fillId="10" borderId="0" xfId="19" applyNumberFormat="1" applyFont="1" applyFill="1"/>
    <xf numFmtId="174" fontId="15" fillId="10" borderId="8" xfId="0" applyNumberFormat="1" applyFont="1" applyFill="1" applyBorder="1"/>
    <xf numFmtId="165" fontId="14" fillId="10" borderId="0" xfId="19" applyNumberFormat="1" applyFont="1" applyFill="1" applyAlignment="1">
      <alignment horizontal="right" wrapText="1"/>
    </xf>
    <xf numFmtId="165" fontId="8" fillId="10" borderId="0" xfId="19" applyNumberFormat="1" applyFont="1" applyFill="1" applyAlignment="1">
      <alignment horizontal="right" wrapText="1"/>
    </xf>
    <xf numFmtId="165" fontId="27" fillId="10" borderId="2" xfId="70" applyNumberFormat="1" applyFont="1" applyFill="1" applyBorder="1"/>
    <xf numFmtId="40" fontId="8" fillId="10" borderId="0" xfId="0" applyNumberFormat="1" applyFont="1" applyFill="1"/>
    <xf numFmtId="43" fontId="8" fillId="10" borderId="0" xfId="19" applyFont="1" applyFill="1"/>
    <xf numFmtId="167" fontId="3" fillId="10" borderId="0" xfId="19" applyNumberFormat="1" applyFont="1" applyFill="1"/>
    <xf numFmtId="167" fontId="86" fillId="10" borderId="0" xfId="19" applyNumberFormat="1" applyFont="1" applyFill="1"/>
    <xf numFmtId="205" fontId="3" fillId="10" borderId="8" xfId="19" applyNumberFormat="1" applyFont="1" applyFill="1" applyBorder="1"/>
    <xf numFmtId="8" fontId="3" fillId="10" borderId="2" xfId="72" applyNumberFormat="1" applyFont="1" applyFill="1" applyBorder="1"/>
    <xf numFmtId="8" fontId="142" fillId="10" borderId="0" xfId="72" applyNumberFormat="1" applyFont="1" applyFill="1" applyBorder="1"/>
    <xf numFmtId="2" fontId="8" fillId="10" borderId="0" xfId="0" applyNumberFormat="1" applyFont="1" applyFill="1"/>
    <xf numFmtId="173" fontId="14" fillId="10" borderId="0" xfId="0" applyNumberFormat="1" applyFont="1" applyFill="1"/>
    <xf numFmtId="0" fontId="8" fillId="10" borderId="0" xfId="0" applyFont="1" applyFill="1" applyBorder="1"/>
    <xf numFmtId="165" fontId="27" fillId="10" borderId="0" xfId="70" applyNumberFormat="1" applyFont="1" applyFill="1"/>
    <xf numFmtId="43" fontId="8" fillId="10" borderId="0" xfId="0" applyNumberFormat="1" applyFont="1" applyFill="1"/>
    <xf numFmtId="0" fontId="23" fillId="10" borderId="0" xfId="0" applyFont="1" applyFill="1"/>
    <xf numFmtId="174" fontId="8" fillId="10" borderId="0" xfId="0" applyNumberFormat="1" applyFont="1" applyFill="1"/>
    <xf numFmtId="174" fontId="129" fillId="10" borderId="0" xfId="0" applyNumberFormat="1" applyFont="1" applyFill="1"/>
    <xf numFmtId="166" fontId="129" fillId="10" borderId="0" xfId="70" applyNumberFormat="1" applyFont="1" applyFill="1"/>
    <xf numFmtId="167" fontId="129" fillId="10" borderId="0" xfId="19" applyNumberFormat="1" applyFont="1" applyFill="1"/>
    <xf numFmtId="0" fontId="129" fillId="10" borderId="0" xfId="0" applyFont="1" applyFill="1"/>
    <xf numFmtId="174" fontId="133" fillId="10" borderId="0" xfId="0" applyNumberFormat="1" applyFont="1" applyFill="1"/>
    <xf numFmtId="172" fontId="8" fillId="10" borderId="0" xfId="19" applyNumberFormat="1" applyFont="1" applyFill="1"/>
    <xf numFmtId="0" fontId="130" fillId="10" borderId="0" xfId="0" applyFont="1" applyFill="1"/>
    <xf numFmtId="166" fontId="48" fillId="10" borderId="0" xfId="70" applyNumberFormat="1" applyFont="1" applyFill="1"/>
    <xf numFmtId="184" fontId="3" fillId="10" borderId="2" xfId="70" applyNumberFormat="1" applyFont="1" applyFill="1" applyBorder="1"/>
    <xf numFmtId="184" fontId="27" fillId="10" borderId="0" xfId="70" applyNumberFormat="1" applyFont="1" applyFill="1"/>
    <xf numFmtId="169" fontId="48" fillId="10" borderId="0" xfId="31" applyNumberFormat="1" applyFont="1" applyFill="1"/>
    <xf numFmtId="184" fontId="3" fillId="10" borderId="0" xfId="70" applyNumberFormat="1" applyFont="1" applyFill="1"/>
    <xf numFmtId="166" fontId="28" fillId="10" borderId="0" xfId="70" applyNumberFormat="1" applyFont="1" applyFill="1"/>
    <xf numFmtId="165" fontId="28" fillId="10" borderId="0" xfId="19" applyNumberFormat="1" applyFont="1" applyFill="1"/>
    <xf numFmtId="177" fontId="3" fillId="10" borderId="0" xfId="70" applyNumberFormat="1" applyFont="1" applyFill="1"/>
    <xf numFmtId="166" fontId="3" fillId="10" borderId="2" xfId="70" applyNumberFormat="1" applyFont="1" applyFill="1" applyBorder="1"/>
    <xf numFmtId="166" fontId="67" fillId="10" borderId="0" xfId="70" applyNumberFormat="1" applyFont="1" applyFill="1"/>
    <xf numFmtId="166" fontId="3" fillId="10" borderId="2" xfId="72" applyNumberFormat="1" applyFont="1" applyFill="1" applyBorder="1"/>
    <xf numFmtId="166" fontId="74" fillId="10" borderId="0" xfId="0" applyNumberFormat="1" applyFont="1" applyFill="1"/>
    <xf numFmtId="166" fontId="3" fillId="10" borderId="0" xfId="0" applyNumberFormat="1" applyFont="1" applyFill="1"/>
    <xf numFmtId="184" fontId="3" fillId="10" borderId="2" xfId="72" applyNumberFormat="1" applyFont="1" applyFill="1" applyBorder="1"/>
    <xf numFmtId="184" fontId="14" fillId="10" borderId="8" xfId="0" applyNumberFormat="1" applyFont="1" applyFill="1" applyBorder="1"/>
    <xf numFmtId="184" fontId="117" fillId="10" borderId="0" xfId="70" applyNumberFormat="1" applyFont="1" applyFill="1"/>
    <xf numFmtId="184" fontId="3" fillId="10" borderId="0" xfId="72" applyNumberFormat="1" applyFont="1" applyFill="1"/>
    <xf numFmtId="184" fontId="14" fillId="10" borderId="0" xfId="72" applyNumberFormat="1" applyFont="1" applyFill="1"/>
    <xf numFmtId="184" fontId="3" fillId="10" borderId="0" xfId="0" applyNumberFormat="1" applyFont="1" applyFill="1"/>
    <xf numFmtId="174" fontId="3" fillId="10" borderId="0" xfId="0" applyNumberFormat="1" applyFont="1" applyFill="1"/>
    <xf numFmtId="184" fontId="3" fillId="10" borderId="0" xfId="70" applyNumberFormat="1" applyFont="1" applyFill="1" applyBorder="1"/>
    <xf numFmtId="184" fontId="3" fillId="10" borderId="0" xfId="72" applyNumberFormat="1" applyFont="1" applyFill="1" applyBorder="1"/>
    <xf numFmtId="0" fontId="8" fillId="10" borderId="0" xfId="0" applyFont="1" applyFill="1" applyAlignment="1">
      <alignment horizontal="left" indent="2"/>
    </xf>
    <xf numFmtId="178" fontId="8" fillId="10" borderId="0" xfId="19" applyNumberFormat="1" applyFont="1" applyFill="1" applyBorder="1" applyAlignment="1">
      <alignment horizontal="right"/>
    </xf>
    <xf numFmtId="165" fontId="27" fillId="10" borderId="0" xfId="19" applyNumberFormat="1" applyFont="1" applyFill="1"/>
    <xf numFmtId="0" fontId="23" fillId="10" borderId="0" xfId="0" applyFont="1" applyFill="1" applyAlignment="1">
      <alignment horizontal="left" indent="3"/>
    </xf>
    <xf numFmtId="171" fontId="23" fillId="10" borderId="0" xfId="19" quotePrefix="1" applyNumberFormat="1" applyFont="1" applyFill="1" applyAlignment="1">
      <alignment horizontal="right"/>
    </xf>
    <xf numFmtId="178" fontId="23" fillId="10" borderId="0" xfId="19" applyNumberFormat="1" applyFont="1" applyFill="1" applyBorder="1" applyAlignment="1">
      <alignment horizontal="right"/>
    </xf>
    <xf numFmtId="166" fontId="22" fillId="10" borderId="0" xfId="70" applyNumberFormat="1" applyFont="1" applyFill="1"/>
    <xf numFmtId="178" fontId="3" fillId="10" borderId="0" xfId="0" applyNumberFormat="1" applyFont="1" applyFill="1" applyBorder="1" applyAlignment="1">
      <alignment horizontal="right"/>
    </xf>
    <xf numFmtId="0" fontId="8" fillId="10" borderId="2" xfId="0" applyFont="1" applyFill="1" applyBorder="1"/>
    <xf numFmtId="0" fontId="3" fillId="10" borderId="2" xfId="0" applyFont="1" applyFill="1" applyBorder="1"/>
    <xf numFmtId="0" fontId="15" fillId="10" borderId="0" xfId="0" applyFont="1" applyFill="1" applyAlignment="1">
      <alignment horizontal="left" indent="1"/>
    </xf>
    <xf numFmtId="178" fontId="23" fillId="10" borderId="0" xfId="70" applyNumberFormat="1" applyFont="1" applyFill="1" applyBorder="1" applyAlignment="1">
      <alignment horizontal="right"/>
    </xf>
    <xf numFmtId="166" fontId="23" fillId="10" borderId="0" xfId="72" applyNumberFormat="1" applyFont="1" applyFill="1"/>
    <xf numFmtId="166" fontId="23" fillId="10" borderId="0" xfId="70" quotePrefix="1" applyNumberFormat="1" applyFont="1" applyFill="1" applyAlignment="1">
      <alignment horizontal="right"/>
    </xf>
    <xf numFmtId="178" fontId="23" fillId="10" borderId="0" xfId="70" quotePrefix="1" applyNumberFormat="1" applyFont="1" applyFill="1" applyBorder="1" applyAlignment="1">
      <alignment horizontal="right"/>
    </xf>
    <xf numFmtId="0" fontId="8" fillId="10" borderId="0" xfId="0" applyFont="1" applyFill="1" applyAlignment="1">
      <alignment horizontal="left" indent="1"/>
    </xf>
    <xf numFmtId="171" fontId="3" fillId="10" borderId="2" xfId="19" applyNumberFormat="1" applyFont="1" applyFill="1" applyBorder="1"/>
    <xf numFmtId="0" fontId="3" fillId="10" borderId="0" xfId="0" applyFont="1" applyFill="1" applyBorder="1"/>
    <xf numFmtId="167" fontId="27" fillId="10" borderId="0" xfId="19" applyNumberFormat="1" applyFont="1" applyFill="1" applyBorder="1"/>
    <xf numFmtId="167" fontId="14" fillId="10" borderId="0" xfId="19" applyNumberFormat="1" applyFont="1" applyFill="1" applyBorder="1"/>
    <xf numFmtId="167" fontId="8" fillId="10" borderId="2" xfId="19" applyNumberFormat="1" applyFont="1" applyFill="1" applyBorder="1"/>
    <xf numFmtId="167" fontId="28" fillId="10" borderId="2" xfId="19" applyNumberFormat="1" applyFont="1" applyFill="1" applyBorder="1"/>
    <xf numFmtId="0" fontId="8" fillId="10" borderId="0" xfId="0" applyFont="1" applyFill="1" applyAlignment="1"/>
    <xf numFmtId="193" fontId="15" fillId="10" borderId="0" xfId="19" applyNumberFormat="1" applyFont="1" applyFill="1"/>
    <xf numFmtId="193" fontId="15" fillId="10" borderId="8" xfId="19" applyNumberFormat="1" applyFont="1" applyFill="1" applyBorder="1"/>
    <xf numFmtId="0" fontId="134" fillId="10" borderId="0" xfId="0" applyFont="1" applyFill="1"/>
    <xf numFmtId="173" fontId="42" fillId="10" borderId="0" xfId="0" applyNumberFormat="1" applyFont="1" applyFill="1"/>
    <xf numFmtId="173" fontId="135" fillId="10" borderId="0" xfId="0" applyNumberFormat="1" applyFont="1" applyFill="1"/>
    <xf numFmtId="184" fontId="8" fillId="10" borderId="0" xfId="0" applyNumberFormat="1" applyFont="1" applyFill="1"/>
    <xf numFmtId="9" fontId="8" fillId="10" borderId="0" xfId="70" applyFont="1" applyFill="1" applyBorder="1"/>
    <xf numFmtId="9" fontId="134" fillId="10" borderId="0" xfId="70" applyFont="1" applyFill="1" applyBorder="1"/>
    <xf numFmtId="167" fontId="14" fillId="10" borderId="2" xfId="19" applyNumberFormat="1" applyFont="1" applyFill="1" applyBorder="1"/>
    <xf numFmtId="167" fontId="134" fillId="10" borderId="2" xfId="19" applyNumberFormat="1" applyFont="1" applyFill="1" applyBorder="1"/>
    <xf numFmtId="165" fontId="3" fillId="10" borderId="8" xfId="0" applyNumberFormat="1" applyFont="1" applyFill="1" applyBorder="1"/>
    <xf numFmtId="165" fontId="8" fillId="10" borderId="8" xfId="0" applyNumberFormat="1" applyFont="1" applyFill="1" applyBorder="1"/>
    <xf numFmtId="166" fontId="3" fillId="10" borderId="0" xfId="72" applyNumberFormat="1" applyFont="1" applyFill="1"/>
    <xf numFmtId="165" fontId="96" fillId="10" borderId="0" xfId="0" applyNumberFormat="1" applyFont="1" applyFill="1"/>
    <xf numFmtId="173" fontId="28" fillId="10" borderId="0" xfId="70" applyNumberFormat="1" applyFont="1" applyFill="1"/>
    <xf numFmtId="173" fontId="28" fillId="10" borderId="0" xfId="72" applyNumberFormat="1" applyFont="1" applyFill="1"/>
    <xf numFmtId="166" fontId="3" fillId="10" borderId="2" xfId="0" applyNumberFormat="1" applyFont="1" applyFill="1" applyBorder="1"/>
    <xf numFmtId="165" fontId="28" fillId="10" borderId="0" xfId="0" applyNumberFormat="1" applyFont="1" applyFill="1"/>
    <xf numFmtId="167" fontId="28" fillId="10" borderId="0" xfId="19" applyNumberFormat="1" applyFont="1" applyFill="1" applyBorder="1"/>
    <xf numFmtId="165" fontId="3" fillId="10" borderId="6" xfId="0" applyNumberFormat="1" applyFont="1" applyFill="1" applyBorder="1"/>
    <xf numFmtId="165" fontId="28" fillId="12" borderId="0" xfId="0" applyNumberFormat="1" applyFont="1" applyFill="1"/>
    <xf numFmtId="167" fontId="14" fillId="12" borderId="0" xfId="19" applyNumberFormat="1" applyFont="1" applyFill="1"/>
    <xf numFmtId="165" fontId="8" fillId="12" borderId="0" xfId="0" applyNumberFormat="1" applyFont="1" applyFill="1"/>
    <xf numFmtId="166" fontId="8" fillId="12" borderId="0" xfId="70" applyNumberFormat="1" applyFont="1" applyFill="1"/>
    <xf numFmtId="166" fontId="3" fillId="12" borderId="0" xfId="70" applyNumberFormat="1" applyFont="1" applyFill="1" applyAlignment="1">
      <alignment horizontal="right"/>
    </xf>
    <xf numFmtId="0" fontId="8" fillId="12" borderId="0" xfId="0" applyFont="1" applyFill="1"/>
    <xf numFmtId="165" fontId="27" fillId="12" borderId="0" xfId="0" applyNumberFormat="1" applyFont="1" applyFill="1"/>
    <xf numFmtId="167" fontId="8" fillId="12" borderId="0" xfId="19" applyNumberFormat="1" applyFont="1" applyFill="1"/>
    <xf numFmtId="166" fontId="14" fillId="12" borderId="0" xfId="70" applyNumberFormat="1" applyFont="1" applyFill="1"/>
    <xf numFmtId="0" fontId="8" fillId="12" borderId="0" xfId="0" applyFont="1" applyFill="1" applyBorder="1"/>
    <xf numFmtId="165" fontId="8" fillId="12" borderId="0" xfId="0" quotePrefix="1" applyNumberFormat="1" applyFont="1" applyFill="1"/>
    <xf numFmtId="165" fontId="14" fillId="12" borderId="0" xfId="0" applyNumberFormat="1" applyFont="1" applyFill="1"/>
    <xf numFmtId="165" fontId="8" fillId="12" borderId="0" xfId="70" applyNumberFormat="1" applyFont="1" applyFill="1"/>
    <xf numFmtId="178" fontId="8" fillId="10" borderId="0" xfId="0" applyNumberFormat="1" applyFont="1" applyFill="1" applyBorder="1" applyAlignment="1">
      <alignment horizontal="center"/>
    </xf>
    <xf numFmtId="166" fontId="118" fillId="10" borderId="0" xfId="70" applyNumberFormat="1" applyFont="1" applyFill="1"/>
    <xf numFmtId="174" fontId="27" fillId="10" borderId="0" xfId="0" applyNumberFormat="1" applyFont="1" applyFill="1"/>
    <xf numFmtId="174" fontId="14" fillId="10" borderId="0" xfId="0" applyNumberFormat="1" applyFont="1" applyFill="1"/>
    <xf numFmtId="165" fontId="27" fillId="10" borderId="0" xfId="0" applyNumberFormat="1" applyFont="1" applyFill="1" applyBorder="1"/>
    <xf numFmtId="165" fontId="28" fillId="10" borderId="0" xfId="0" applyNumberFormat="1" applyFont="1" applyFill="1" applyBorder="1"/>
    <xf numFmtId="165" fontId="27" fillId="10" borderId="2" xfId="0" applyNumberFormat="1" applyFont="1" applyFill="1" applyBorder="1"/>
    <xf numFmtId="165" fontId="28" fillId="10" borderId="2" xfId="0" applyNumberFormat="1" applyFont="1" applyFill="1" applyBorder="1"/>
    <xf numFmtId="184" fontId="15" fillId="10" borderId="0" xfId="60" applyNumberFormat="1" applyFont="1" applyFill="1"/>
    <xf numFmtId="198" fontId="8" fillId="10" borderId="0" xfId="0" applyNumberFormat="1" applyFont="1" applyFill="1"/>
    <xf numFmtId="173" fontId="3" fillId="10" borderId="0" xfId="0" applyNumberFormat="1" applyFont="1" applyFill="1"/>
    <xf numFmtId="165" fontId="15" fillId="10" borderId="0" xfId="0" applyNumberFormat="1" applyFont="1" applyFill="1"/>
    <xf numFmtId="177" fontId="3" fillId="10" borderId="0" xfId="0" applyNumberFormat="1" applyFont="1" applyFill="1"/>
    <xf numFmtId="222" fontId="3" fillId="7" borderId="2" xfId="19" quotePrefix="1" applyNumberFormat="1" applyFont="1" applyFill="1" applyBorder="1" applyAlignment="1">
      <alignment horizontal="right"/>
    </xf>
    <xf numFmtId="9" fontId="48" fillId="10" borderId="2" xfId="70" applyFont="1" applyFill="1" applyBorder="1"/>
    <xf numFmtId="0" fontId="0" fillId="12" borderId="0" xfId="0" applyFill="1"/>
    <xf numFmtId="244" fontId="8" fillId="10" borderId="0" xfId="0" applyNumberFormat="1" applyFont="1" applyFill="1" applyBorder="1" applyAlignment="1">
      <alignment horizontal="right"/>
    </xf>
    <xf numFmtId="193" fontId="3" fillId="10" borderId="0" xfId="0" applyNumberFormat="1" applyFont="1" applyFill="1"/>
    <xf numFmtId="177" fontId="14" fillId="10" borderId="0" xfId="19" applyNumberFormat="1" applyFont="1" applyFill="1"/>
    <xf numFmtId="166" fontId="38" fillId="10" borderId="0" xfId="70" applyNumberFormat="1" applyFont="1" applyFill="1"/>
    <xf numFmtId="221" fontId="117" fillId="10" borderId="0" xfId="19" applyNumberFormat="1" applyFont="1" applyFill="1"/>
    <xf numFmtId="221" fontId="27" fillId="10" borderId="0" xfId="19" applyNumberFormat="1" applyFont="1" applyFill="1" applyBorder="1"/>
    <xf numFmtId="177" fontId="14" fillId="10" borderId="2" xfId="19" applyNumberFormat="1" applyFont="1" applyFill="1" applyBorder="1"/>
    <xf numFmtId="166" fontId="109" fillId="10" borderId="0" xfId="0" applyNumberFormat="1" applyFont="1" applyFill="1"/>
    <xf numFmtId="166" fontId="43" fillId="10" borderId="0" xfId="70" applyNumberFormat="1" applyFont="1" applyFill="1"/>
    <xf numFmtId="167" fontId="14" fillId="10" borderId="0" xfId="19" applyNumberFormat="1" applyFont="1" applyFill="1"/>
    <xf numFmtId="168" fontId="8" fillId="10" borderId="0" xfId="32" applyNumberFormat="1" applyFont="1" applyFill="1" applyAlignment="1"/>
    <xf numFmtId="168" fontId="27" fillId="10" borderId="0" xfId="19" applyNumberFormat="1" applyFont="1" applyFill="1"/>
    <xf numFmtId="165" fontId="2" fillId="7" borderId="0" xfId="0" applyNumberFormat="1" applyFont="1" applyFill="1"/>
    <xf numFmtId="0" fontId="3" fillId="0" borderId="0" xfId="0" applyFont="1" applyFill="1" applyAlignment="1"/>
    <xf numFmtId="165" fontId="3" fillId="10" borderId="0" xfId="19" applyNumberFormat="1" applyFont="1" applyFill="1" applyAlignment="1">
      <alignment horizontal="right" wrapText="1"/>
    </xf>
    <xf numFmtId="165" fontId="3" fillId="0" borderId="0" xfId="0" quotePrefix="1" applyNumberFormat="1" applyFont="1" applyAlignment="1">
      <alignment horizontal="left"/>
    </xf>
    <xf numFmtId="165" fontId="8" fillId="10" borderId="0" xfId="19" applyNumberFormat="1" applyFont="1" applyFill="1" applyAlignment="1"/>
    <xf numFmtId="165" fontId="100" fillId="10" borderId="0" xfId="0" applyNumberFormat="1" applyFont="1" applyFill="1"/>
    <xf numFmtId="38" fontId="14" fillId="10" borderId="0" xfId="0" applyNumberFormat="1" applyFont="1" applyFill="1"/>
    <xf numFmtId="38" fontId="8" fillId="10" borderId="0" xfId="19" applyNumberFormat="1" applyFont="1" applyFill="1"/>
    <xf numFmtId="177" fontId="8" fillId="7" borderId="2" xfId="0" applyNumberFormat="1" applyFont="1" applyFill="1" applyBorder="1" applyAlignment="1">
      <alignment horizontal="centerContinuous"/>
    </xf>
    <xf numFmtId="0" fontId="15" fillId="10" borderId="0" xfId="0" applyFont="1" applyFill="1" applyBorder="1"/>
    <xf numFmtId="0" fontId="16" fillId="10" borderId="0" xfId="0" applyFont="1" applyFill="1" applyBorder="1"/>
    <xf numFmtId="0" fontId="8" fillId="10" borderId="0" xfId="57" applyFont="1" applyFill="1" applyAlignment="1">
      <alignment horizontal="left"/>
    </xf>
    <xf numFmtId="38" fontId="8" fillId="10" borderId="0" xfId="64" applyNumberFormat="1" applyFont="1" applyFill="1" applyAlignment="1" applyProtection="1">
      <alignment horizontal="left"/>
    </xf>
    <xf numFmtId="174" fontId="134" fillId="10" borderId="0" xfId="0" applyNumberFormat="1" applyFont="1" applyFill="1"/>
    <xf numFmtId="167" fontId="134" fillId="10" borderId="0" xfId="19" applyNumberFormat="1" applyFont="1" applyFill="1"/>
    <xf numFmtId="166" fontId="15" fillId="5" borderId="2" xfId="70" quotePrefix="1" applyNumberFormat="1" applyFont="1" applyFill="1" applyBorder="1" applyAlignment="1">
      <alignment horizontal="right"/>
    </xf>
    <xf numFmtId="170" fontId="8" fillId="10" borderId="0" xfId="58" applyNumberFormat="1" applyFont="1" applyFill="1" applyBorder="1"/>
    <xf numFmtId="170" fontId="8" fillId="10" borderId="2" xfId="58" applyNumberFormat="1" applyFont="1" applyFill="1" applyBorder="1"/>
    <xf numFmtId="174" fontId="14" fillId="10" borderId="0" xfId="19" applyNumberFormat="1" applyFont="1" applyFill="1"/>
    <xf numFmtId="0" fontId="15" fillId="10" borderId="2" xfId="0" applyFont="1" applyFill="1" applyBorder="1" applyAlignment="1">
      <alignment horizontal="right"/>
    </xf>
    <xf numFmtId="177" fontId="27" fillId="10" borderId="0" xfId="0" applyNumberFormat="1" applyFont="1" applyFill="1"/>
    <xf numFmtId="193" fontId="100" fillId="10" borderId="8" xfId="19" applyNumberFormat="1" applyFont="1" applyFill="1" applyBorder="1"/>
    <xf numFmtId="38" fontId="8" fillId="10" borderId="0" xfId="0" applyNumberFormat="1" applyFont="1" applyFill="1" applyBorder="1"/>
    <xf numFmtId="193" fontId="14" fillId="10" borderId="8" xfId="19" applyNumberFormat="1" applyFont="1" applyFill="1" applyBorder="1"/>
    <xf numFmtId="38" fontId="14" fillId="10" borderId="2" xfId="0" applyNumberFormat="1" applyFont="1" applyFill="1" applyBorder="1"/>
    <xf numFmtId="205" fontId="8" fillId="10" borderId="0" xfId="19" applyNumberFormat="1" applyFont="1" applyFill="1"/>
    <xf numFmtId="166" fontId="27" fillId="10" borderId="0" xfId="70" applyNumberFormat="1" applyFont="1" applyFill="1"/>
    <xf numFmtId="166" fontId="109" fillId="10" borderId="0" xfId="70" applyNumberFormat="1" applyFont="1" applyFill="1"/>
    <xf numFmtId="165" fontId="33" fillId="10" borderId="0" xfId="19" applyNumberFormat="1" applyFont="1" applyFill="1"/>
    <xf numFmtId="178" fontId="14" fillId="10" borderId="2" xfId="0" applyNumberFormat="1" applyFont="1" applyFill="1" applyBorder="1"/>
    <xf numFmtId="165" fontId="66" fillId="10" borderId="0" xfId="0" applyNumberFormat="1" applyFont="1" applyFill="1"/>
    <xf numFmtId="165" fontId="28" fillId="10" borderId="2" xfId="19" applyNumberFormat="1" applyFont="1" applyFill="1" applyBorder="1"/>
    <xf numFmtId="184" fontId="8" fillId="10" borderId="0" xfId="70" applyNumberFormat="1" applyFont="1" applyFill="1"/>
    <xf numFmtId="0" fontId="23" fillId="10" borderId="2" xfId="0" applyFont="1" applyFill="1" applyBorder="1"/>
    <xf numFmtId="0" fontId="23" fillId="10" borderId="0" xfId="0" applyFont="1" applyFill="1" applyBorder="1"/>
    <xf numFmtId="177" fontId="14" fillId="10" borderId="0" xfId="19" applyNumberFormat="1" applyFont="1" applyFill="1" applyBorder="1"/>
    <xf numFmtId="165" fontId="15" fillId="10" borderId="0" xfId="19" applyNumberFormat="1" applyFont="1" applyFill="1"/>
    <xf numFmtId="166" fontId="8" fillId="10" borderId="0" xfId="70" applyNumberFormat="1" applyFont="1" applyFill="1" applyBorder="1"/>
    <xf numFmtId="7" fontId="8" fillId="10" borderId="0" xfId="0" applyNumberFormat="1" applyFont="1" applyFill="1"/>
    <xf numFmtId="193" fontId="28" fillId="10" borderId="0" xfId="19" applyNumberFormat="1" applyFont="1" applyFill="1"/>
    <xf numFmtId="171" fontId="23" fillId="10" borderId="2" xfId="19" quotePrefix="1" applyNumberFormat="1" applyFont="1" applyFill="1" applyBorder="1" applyAlignment="1">
      <alignment horizontal="right"/>
    </xf>
    <xf numFmtId="166" fontId="43" fillId="10" borderId="0" xfId="72" applyNumberFormat="1" applyFont="1" applyFill="1"/>
    <xf numFmtId="165" fontId="14" fillId="10" borderId="8" xfId="19" applyNumberFormat="1" applyFont="1" applyFill="1" applyBorder="1"/>
    <xf numFmtId="166" fontId="23" fillId="10" borderId="0" xfId="72" applyNumberFormat="1" applyFont="1" applyFill="1" applyBorder="1"/>
    <xf numFmtId="165" fontId="23" fillId="10" borderId="0" xfId="0" applyNumberFormat="1" applyFont="1" applyFill="1"/>
    <xf numFmtId="173" fontId="8" fillId="10" borderId="0" xfId="0" applyNumberFormat="1" applyFont="1" applyFill="1"/>
    <xf numFmtId="173" fontId="27" fillId="10" borderId="0" xfId="0" applyNumberFormat="1" applyFont="1" applyFill="1"/>
    <xf numFmtId="184" fontId="31" fillId="10" borderId="0" xfId="0" applyNumberFormat="1" applyFont="1" applyFill="1"/>
    <xf numFmtId="184" fontId="15" fillId="10" borderId="0" xfId="0" applyNumberFormat="1" applyFont="1" applyFill="1"/>
    <xf numFmtId="173" fontId="23" fillId="10" borderId="0" xfId="0" applyNumberFormat="1" applyFont="1" applyFill="1"/>
    <xf numFmtId="178" fontId="15" fillId="10" borderId="0" xfId="0" applyNumberFormat="1" applyFont="1" applyFill="1" applyBorder="1" applyAlignment="1">
      <alignment horizontal="right"/>
    </xf>
    <xf numFmtId="9" fontId="15" fillId="10" borderId="0" xfId="70" applyFont="1" applyFill="1" applyBorder="1" applyAlignment="1">
      <alignment horizontal="right"/>
    </xf>
    <xf numFmtId="184" fontId="42" fillId="10" borderId="0" xfId="0" applyNumberFormat="1" applyFont="1" applyFill="1"/>
    <xf numFmtId="180" fontId="0" fillId="10" borderId="0" xfId="0" applyNumberFormat="1" applyFill="1"/>
    <xf numFmtId="178" fontId="23" fillId="10" borderId="0" xfId="0" applyNumberFormat="1" applyFont="1" applyFill="1" applyBorder="1" applyAlignment="1">
      <alignment horizontal="right"/>
    </xf>
    <xf numFmtId="167" fontId="28" fillId="10" borderId="0" xfId="0" applyNumberFormat="1" applyFont="1" applyFill="1"/>
    <xf numFmtId="167" fontId="15" fillId="10" borderId="8" xfId="0" applyNumberFormat="1" applyFont="1" applyFill="1" applyBorder="1"/>
    <xf numFmtId="166" fontId="38" fillId="10" borderId="0" xfId="70" applyNumberFormat="1" applyFont="1" applyFill="1" applyBorder="1"/>
    <xf numFmtId="167" fontId="60" fillId="10" borderId="0" xfId="0" applyNumberFormat="1" applyFont="1" applyFill="1"/>
    <xf numFmtId="167" fontId="15" fillId="10" borderId="0" xfId="0" applyNumberFormat="1" applyFont="1" applyFill="1"/>
    <xf numFmtId="184" fontId="14" fillId="10" borderId="0" xfId="0" applyNumberFormat="1" applyFont="1" applyFill="1"/>
    <xf numFmtId="166" fontId="82" fillId="10" borderId="0" xfId="72" applyNumberFormat="1" applyFont="1" applyFill="1"/>
    <xf numFmtId="171" fontId="137" fillId="10" borderId="0" xfId="19" applyNumberFormat="1" applyFont="1" applyFill="1"/>
    <xf numFmtId="171" fontId="26" fillId="10" borderId="0" xfId="19" applyNumberFormat="1" applyFont="1" applyFill="1"/>
    <xf numFmtId="193" fontId="134" fillId="10" borderId="0" xfId="19" applyNumberFormat="1" applyFont="1" applyFill="1"/>
    <xf numFmtId="193" fontId="28" fillId="10" borderId="0" xfId="19" applyNumberFormat="1" applyFont="1" applyFill="1" applyBorder="1"/>
    <xf numFmtId="2" fontId="23" fillId="10" borderId="0" xfId="0" applyNumberFormat="1" applyFont="1" applyFill="1"/>
    <xf numFmtId="2" fontId="118" fillId="10" borderId="0" xfId="0" applyNumberFormat="1" applyFont="1" applyFill="1"/>
    <xf numFmtId="0" fontId="8" fillId="10" borderId="0" xfId="0" applyFont="1" applyFill="1" applyBorder="1" applyAlignment="1">
      <alignment horizontal="center"/>
    </xf>
    <xf numFmtId="0" fontId="14" fillId="10" borderId="0" xfId="0" applyFont="1" applyFill="1" applyBorder="1" applyAlignment="1">
      <alignment horizontal="center"/>
    </xf>
    <xf numFmtId="190" fontId="14" fillId="10" borderId="0" xfId="0" applyNumberFormat="1" applyFont="1" applyFill="1" applyBorder="1" applyAlignment="1">
      <alignment horizontal="center"/>
    </xf>
    <xf numFmtId="190" fontId="30" fillId="10" borderId="0" xfId="0" applyNumberFormat="1" applyFont="1" applyFill="1" applyBorder="1" applyAlignment="1">
      <alignment horizontal="center"/>
    </xf>
    <xf numFmtId="171" fontId="8" fillId="10" borderId="0" xfId="19" applyNumberFormat="1" applyFont="1" applyFill="1" applyBorder="1" applyAlignment="1">
      <alignment horizontal="center"/>
    </xf>
    <xf numFmtId="167" fontId="8" fillId="10" borderId="0" xfId="19" applyNumberFormat="1" applyFont="1" applyFill="1" applyBorder="1" applyAlignment="1">
      <alignment horizontal="center"/>
    </xf>
    <xf numFmtId="3" fontId="8" fillId="10" borderId="0" xfId="0" applyNumberFormat="1" applyFont="1" applyFill="1" applyBorder="1"/>
    <xf numFmtId="171" fontId="3" fillId="10" borderId="0" xfId="19" applyNumberFormat="1" applyFont="1" applyFill="1" applyBorder="1" applyAlignment="1">
      <alignment horizontal="center"/>
    </xf>
    <xf numFmtId="171" fontId="78" fillId="10" borderId="0" xfId="19" applyNumberFormat="1" applyFont="1" applyFill="1" applyBorder="1" applyAlignment="1">
      <alignment horizontal="center"/>
    </xf>
    <xf numFmtId="173" fontId="14" fillId="10" borderId="0" xfId="19" applyNumberFormat="1" applyFont="1" applyFill="1" applyBorder="1"/>
    <xf numFmtId="168" fontId="0" fillId="0" borderId="0" xfId="0" applyNumberFormat="1"/>
    <xf numFmtId="171" fontId="15" fillId="7" borderId="0" xfId="19" applyNumberFormat="1" applyFont="1" applyFill="1" applyBorder="1"/>
    <xf numFmtId="178" fontId="15" fillId="7" borderId="0" xfId="19" applyNumberFormat="1" applyFont="1" applyFill="1" applyBorder="1" applyAlignment="1">
      <alignment horizontal="right"/>
    </xf>
    <xf numFmtId="167" fontId="15" fillId="7" borderId="0" xfId="19" applyNumberFormat="1" applyFont="1" applyFill="1" applyBorder="1"/>
    <xf numFmtId="165" fontId="15" fillId="7" borderId="2" xfId="19" applyNumberFormat="1" applyFont="1" applyFill="1" applyBorder="1"/>
    <xf numFmtId="165" fontId="15" fillId="7" borderId="0" xfId="19" applyNumberFormat="1" applyFont="1" applyFill="1" applyBorder="1"/>
    <xf numFmtId="167" fontId="15" fillId="7" borderId="2" xfId="19" applyNumberFormat="1" applyFont="1" applyFill="1" applyBorder="1"/>
    <xf numFmtId="193" fontId="124" fillId="7" borderId="0" xfId="19" applyNumberFormat="1" applyFont="1" applyFill="1"/>
    <xf numFmtId="193" fontId="124" fillId="10" borderId="0" xfId="19" applyNumberFormat="1" applyFont="1" applyFill="1"/>
    <xf numFmtId="167" fontId="15" fillId="10" borderId="0" xfId="19" applyNumberFormat="1" applyFont="1" applyFill="1" applyBorder="1"/>
    <xf numFmtId="167" fontId="31" fillId="7" borderId="2" xfId="19" applyNumberFormat="1" applyFont="1" applyFill="1" applyBorder="1"/>
    <xf numFmtId="167" fontId="124" fillId="7" borderId="2" xfId="19" applyNumberFormat="1" applyFont="1" applyFill="1" applyBorder="1"/>
    <xf numFmtId="167" fontId="31" fillId="10" borderId="2" xfId="19" applyNumberFormat="1" applyFont="1" applyFill="1" applyBorder="1"/>
    <xf numFmtId="167" fontId="124" fillId="10" borderId="2" xfId="19" applyNumberFormat="1" applyFont="1" applyFill="1" applyBorder="1"/>
    <xf numFmtId="193" fontId="124" fillId="7" borderId="8" xfId="19" applyNumberFormat="1" applyFont="1" applyFill="1" applyBorder="1"/>
    <xf numFmtId="193" fontId="124" fillId="10" borderId="8" xfId="19" applyNumberFormat="1" applyFont="1" applyFill="1" applyBorder="1"/>
    <xf numFmtId="165" fontId="66" fillId="7" borderId="0" xfId="19" applyNumberFormat="1" applyFont="1" applyFill="1"/>
    <xf numFmtId="165" fontId="66" fillId="10" borderId="0" xfId="19" applyNumberFormat="1" applyFont="1" applyFill="1"/>
    <xf numFmtId="178" fontId="3" fillId="7" borderId="0" xfId="19" applyNumberFormat="1" applyFont="1" applyFill="1" applyBorder="1" applyAlignment="1">
      <alignment horizontal="right"/>
    </xf>
    <xf numFmtId="244" fontId="3" fillId="7" borderId="0" xfId="0" applyNumberFormat="1" applyFont="1" applyFill="1" applyBorder="1" applyAlignment="1">
      <alignment horizontal="right"/>
    </xf>
    <xf numFmtId="165" fontId="66" fillId="7" borderId="2" xfId="19" applyNumberFormat="1" applyFont="1" applyFill="1" applyBorder="1"/>
    <xf numFmtId="165" fontId="66" fillId="10" borderId="2" xfId="19" applyNumberFormat="1" applyFont="1" applyFill="1" applyBorder="1"/>
    <xf numFmtId="167" fontId="3" fillId="10" borderId="2" xfId="19" applyNumberFormat="1" applyFont="1" applyFill="1" applyBorder="1"/>
    <xf numFmtId="166" fontId="8" fillId="10" borderId="0" xfId="0" applyNumberFormat="1" applyFont="1" applyFill="1"/>
    <xf numFmtId="165" fontId="97" fillId="10" borderId="0" xfId="0" applyNumberFormat="1" applyFont="1" applyFill="1"/>
    <xf numFmtId="182" fontId="27" fillId="10" borderId="2" xfId="19" applyNumberFormat="1" applyFont="1" applyFill="1" applyBorder="1"/>
    <xf numFmtId="40" fontId="27" fillId="10" borderId="0" xfId="19" applyNumberFormat="1" applyFont="1" applyFill="1"/>
    <xf numFmtId="1" fontId="142" fillId="7" borderId="0" xfId="0" applyNumberFormat="1" applyFont="1" applyFill="1"/>
    <xf numFmtId="178" fontId="3" fillId="10" borderId="2" xfId="0" applyNumberFormat="1" applyFont="1" applyFill="1" applyBorder="1"/>
    <xf numFmtId="178" fontId="3" fillId="7" borderId="2" xfId="0" applyNumberFormat="1" applyFont="1" applyFill="1" applyBorder="1"/>
    <xf numFmtId="167" fontId="3" fillId="12" borderId="0" xfId="19" applyNumberFormat="1" applyFont="1" applyFill="1"/>
    <xf numFmtId="184" fontId="117" fillId="10" borderId="0" xfId="0" applyNumberFormat="1" applyFont="1" applyFill="1" applyBorder="1"/>
    <xf numFmtId="2" fontId="3" fillId="10" borderId="0" xfId="0" applyNumberFormat="1" applyFont="1" applyFill="1"/>
    <xf numFmtId="2" fontId="3" fillId="10" borderId="2" xfId="70" applyNumberFormat="1" applyFont="1" applyFill="1" applyBorder="1"/>
    <xf numFmtId="2" fontId="28" fillId="10" borderId="0" xfId="19" applyNumberFormat="1" applyFont="1" applyFill="1"/>
    <xf numFmtId="2" fontId="142" fillId="10" borderId="0" xfId="72" applyNumberFormat="1" applyFont="1" applyFill="1"/>
    <xf numFmtId="167" fontId="3" fillId="7" borderId="8" xfId="0" applyNumberFormat="1" applyFont="1" applyFill="1" applyBorder="1"/>
    <xf numFmtId="0" fontId="66" fillId="7" borderId="0" xfId="0" applyFont="1" applyFill="1"/>
    <xf numFmtId="173" fontId="27" fillId="7" borderId="8" xfId="0" applyNumberFormat="1" applyFont="1" applyFill="1" applyBorder="1"/>
    <xf numFmtId="173" fontId="66" fillId="7" borderId="8" xfId="0" applyNumberFormat="1" applyFont="1" applyFill="1" applyBorder="1"/>
    <xf numFmtId="167" fontId="3" fillId="10" borderId="8" xfId="0" applyNumberFormat="1" applyFont="1" applyFill="1" applyBorder="1"/>
    <xf numFmtId="166" fontId="118" fillId="7" borderId="0" xfId="70" applyNumberFormat="1" applyFont="1" applyFill="1" applyBorder="1"/>
    <xf numFmtId="177" fontId="66" fillId="7" borderId="0" xfId="0" applyNumberFormat="1" applyFont="1" applyFill="1"/>
    <xf numFmtId="2" fontId="14" fillId="10" borderId="0" xfId="0" applyNumberFormat="1" applyFont="1" applyFill="1" applyBorder="1"/>
    <xf numFmtId="2" fontId="3" fillId="10" borderId="0" xfId="72" applyNumberFormat="1" applyFont="1" applyFill="1"/>
    <xf numFmtId="173" fontId="144" fillId="0" borderId="0" xfId="0" applyNumberFormat="1" applyFont="1"/>
    <xf numFmtId="173" fontId="28" fillId="10" borderId="0" xfId="0" applyNumberFormat="1" applyFont="1" applyFill="1"/>
    <xf numFmtId="165" fontId="77" fillId="10" borderId="0" xfId="0" applyNumberFormat="1" applyFont="1" applyFill="1"/>
    <xf numFmtId="165" fontId="28" fillId="10" borderId="8" xfId="0" applyNumberFormat="1" applyFont="1" applyFill="1" applyBorder="1"/>
    <xf numFmtId="167" fontId="3" fillId="10" borderId="8" xfId="19" applyNumberFormat="1" applyFont="1" applyFill="1" applyBorder="1"/>
    <xf numFmtId="165" fontId="0" fillId="10" borderId="0" xfId="0" applyNumberFormat="1" applyFill="1"/>
    <xf numFmtId="0" fontId="20" fillId="10" borderId="0" xfId="0" applyFont="1" applyFill="1"/>
    <xf numFmtId="9" fontId="8" fillId="10" borderId="0" xfId="19" applyNumberFormat="1" applyFont="1" applyFill="1"/>
    <xf numFmtId="221" fontId="27" fillId="10" borderId="2" xfId="19" applyNumberFormat="1" applyFont="1" applyFill="1" applyBorder="1"/>
    <xf numFmtId="165" fontId="3" fillId="10" borderId="2" xfId="70" applyNumberFormat="1" applyFont="1" applyFill="1" applyBorder="1"/>
    <xf numFmtId="182" fontId="8" fillId="10" borderId="0" xfId="70" applyNumberFormat="1" applyFont="1" applyFill="1"/>
    <xf numFmtId="166" fontId="21" fillId="10" borderId="0" xfId="70" applyNumberFormat="1" applyFont="1" applyFill="1"/>
    <xf numFmtId="10" fontId="105" fillId="10" borderId="0" xfId="70" applyNumberFormat="1" applyFont="1" applyFill="1"/>
    <xf numFmtId="178" fontId="27" fillId="10" borderId="0" xfId="0" applyNumberFormat="1" applyFont="1" applyFill="1" applyBorder="1"/>
    <xf numFmtId="178" fontId="27" fillId="10" borderId="2" xfId="0" applyNumberFormat="1" applyFont="1" applyFill="1" applyBorder="1"/>
    <xf numFmtId="49" fontId="8" fillId="10" borderId="0" xfId="0" applyNumberFormat="1" applyFont="1" applyFill="1" applyAlignment="1" applyProtection="1">
      <alignment horizontal="left"/>
    </xf>
    <xf numFmtId="178" fontId="27" fillId="10" borderId="0" xfId="0" applyNumberFormat="1" applyFont="1" applyFill="1"/>
    <xf numFmtId="38" fontId="15" fillId="10" borderId="0" xfId="64" applyNumberFormat="1" applyFont="1" applyFill="1" applyBorder="1" applyAlignment="1" applyProtection="1">
      <alignment horizontal="left"/>
    </xf>
    <xf numFmtId="165" fontId="21" fillId="10" borderId="0" xfId="0" applyNumberFormat="1" applyFont="1" applyFill="1"/>
    <xf numFmtId="178" fontId="8" fillId="10" borderId="2" xfId="0" applyNumberFormat="1" applyFont="1" applyFill="1" applyBorder="1"/>
    <xf numFmtId="166" fontId="8" fillId="10" borderId="0" xfId="70" applyNumberFormat="1" applyFont="1" applyFill="1" applyAlignment="1" applyProtection="1">
      <alignment horizontal="left"/>
    </xf>
    <xf numFmtId="165" fontId="15" fillId="10" borderId="0" xfId="0" applyNumberFormat="1" applyFont="1" applyFill="1" applyAlignment="1" applyProtection="1">
      <alignment horizontal="left"/>
    </xf>
    <xf numFmtId="165" fontId="8" fillId="10" borderId="0" xfId="64" quotePrefix="1" applyNumberFormat="1" applyFont="1" applyFill="1" applyAlignment="1" applyProtection="1">
      <alignment horizontal="left"/>
    </xf>
    <xf numFmtId="165" fontId="21" fillId="10" borderId="0" xfId="0" applyNumberFormat="1" applyFont="1" applyFill="1" applyBorder="1"/>
    <xf numFmtId="165" fontId="8" fillId="10" borderId="0" xfId="0" quotePrefix="1" applyNumberFormat="1" applyFont="1" applyFill="1" applyAlignment="1" applyProtection="1">
      <alignment horizontal="left"/>
    </xf>
    <xf numFmtId="165" fontId="21" fillId="10" borderId="0" xfId="70" applyNumberFormat="1" applyFont="1" applyFill="1"/>
    <xf numFmtId="165" fontId="8" fillId="10" borderId="0" xfId="0" applyNumberFormat="1" applyFont="1" applyFill="1" applyAlignment="1" applyProtection="1">
      <alignment horizontal="left"/>
    </xf>
    <xf numFmtId="184" fontId="60" fillId="10" borderId="0" xfId="60" applyNumberFormat="1" applyFont="1" applyFill="1"/>
    <xf numFmtId="166" fontId="0" fillId="10" borderId="0" xfId="70" applyNumberFormat="1" applyFont="1" applyFill="1"/>
    <xf numFmtId="0" fontId="3" fillId="12" borderId="0" xfId="0" applyFont="1" applyFill="1"/>
    <xf numFmtId="8" fontId="0" fillId="7" borderId="0" xfId="0" applyNumberFormat="1" applyFill="1"/>
    <xf numFmtId="190" fontId="3" fillId="10" borderId="0" xfId="31" applyNumberFormat="1" applyFont="1" applyFill="1"/>
    <xf numFmtId="190" fontId="117" fillId="10" borderId="0" xfId="70" applyNumberFormat="1" applyFont="1" applyFill="1"/>
    <xf numFmtId="190" fontId="117" fillId="0" borderId="0" xfId="70" applyNumberFormat="1" applyFont="1" applyFill="1"/>
    <xf numFmtId="190" fontId="14" fillId="10" borderId="0" xfId="31" applyNumberFormat="1" applyFont="1" applyFill="1"/>
    <xf numFmtId="190" fontId="59" fillId="10" borderId="0" xfId="31" applyNumberFormat="1" applyFont="1" applyFill="1"/>
    <xf numFmtId="190" fontId="59" fillId="0" borderId="0" xfId="31" applyNumberFormat="1" applyFont="1" applyFill="1"/>
    <xf numFmtId="190" fontId="3" fillId="10" borderId="2" xfId="72" applyNumberFormat="1" applyFont="1" applyFill="1" applyBorder="1"/>
    <xf numFmtId="190" fontId="3" fillId="10" borderId="0" xfId="0" applyNumberFormat="1" applyFont="1" applyFill="1"/>
    <xf numFmtId="190" fontId="3" fillId="0" borderId="2" xfId="72" applyNumberFormat="1" applyFont="1" applyBorder="1"/>
    <xf numFmtId="190" fontId="72" fillId="7" borderId="2" xfId="70" applyNumberFormat="1" applyFont="1" applyFill="1" applyBorder="1"/>
    <xf numFmtId="171" fontId="78" fillId="7" borderId="0" xfId="19" applyNumberFormat="1" applyFont="1" applyFill="1" applyBorder="1" applyAlignment="1">
      <alignment horizontal="center"/>
    </xf>
    <xf numFmtId="0" fontId="3" fillId="10" borderId="0" xfId="0" applyFont="1" applyFill="1" applyAlignment="1"/>
    <xf numFmtId="0" fontId="23" fillId="10" borderId="0" xfId="0" applyFont="1" applyFill="1" applyAlignment="1"/>
    <xf numFmtId="0" fontId="23" fillId="10" borderId="0" xfId="0" applyFont="1" applyFill="1" applyAlignment="1">
      <alignment wrapText="1"/>
    </xf>
    <xf numFmtId="0" fontId="38" fillId="10" borderId="0" xfId="0" applyFont="1" applyFill="1" applyBorder="1" applyAlignment="1">
      <alignment horizontal="right"/>
    </xf>
    <xf numFmtId="165" fontId="23" fillId="10" borderId="0" xfId="19" applyNumberFormat="1" applyFont="1" applyFill="1" applyAlignment="1">
      <alignment horizontal="right" wrapText="1"/>
    </xf>
    <xf numFmtId="165" fontId="43" fillId="10" borderId="0" xfId="19" applyNumberFormat="1" applyFont="1" applyFill="1" applyAlignment="1">
      <alignment horizontal="right" wrapText="1"/>
    </xf>
    <xf numFmtId="9" fontId="23" fillId="10" borderId="0" xfId="19" applyNumberFormat="1" applyFont="1" applyFill="1"/>
    <xf numFmtId="177" fontId="14" fillId="10" borderId="0" xfId="56" applyNumberFormat="1" applyFont="1" applyFill="1" applyBorder="1"/>
    <xf numFmtId="10" fontId="3" fillId="10" borderId="0" xfId="0" applyNumberFormat="1" applyFont="1" applyFill="1" applyAlignment="1"/>
    <xf numFmtId="0" fontId="8" fillId="10" borderId="0" xfId="0" applyFont="1" applyFill="1" applyAlignment="1">
      <alignment wrapText="1"/>
    </xf>
    <xf numFmtId="0" fontId="15" fillId="10" borderId="0" xfId="0" applyFont="1" applyFill="1" applyBorder="1" applyAlignment="1">
      <alignment horizontal="right"/>
    </xf>
    <xf numFmtId="0" fontId="21" fillId="10" borderId="0" xfId="0" applyFont="1" applyFill="1" applyAlignment="1">
      <alignment horizontal="right"/>
    </xf>
    <xf numFmtId="180" fontId="3" fillId="10" borderId="0" xfId="0" applyNumberFormat="1" applyFont="1" applyFill="1"/>
    <xf numFmtId="0" fontId="65" fillId="10" borderId="0" xfId="0" applyFont="1" applyFill="1" applyAlignment="1">
      <alignment horizontal="right"/>
    </xf>
    <xf numFmtId="180" fontId="15" fillId="10" borderId="0" xfId="72" applyNumberFormat="1" applyFont="1" applyFill="1"/>
    <xf numFmtId="165" fontId="26" fillId="10" borderId="0" xfId="19" applyNumberFormat="1" applyFont="1" applyFill="1"/>
    <xf numFmtId="165" fontId="30" fillId="10" borderId="0" xfId="70" applyNumberFormat="1" applyFont="1" applyFill="1"/>
    <xf numFmtId="165" fontId="14" fillId="10" borderId="2" xfId="19" applyNumberFormat="1" applyFont="1" applyFill="1" applyBorder="1" applyAlignment="1">
      <alignment horizontal="right" wrapText="1"/>
    </xf>
    <xf numFmtId="165" fontId="8" fillId="10" borderId="2" xfId="19" applyNumberFormat="1" applyFont="1" applyFill="1" applyBorder="1" applyAlignment="1">
      <alignment horizontal="right" wrapText="1"/>
    </xf>
    <xf numFmtId="177" fontId="27" fillId="10" borderId="2" xfId="19" applyNumberFormat="1" applyFont="1" applyFill="1" applyBorder="1" applyAlignment="1">
      <alignment horizontal="right" wrapText="1"/>
    </xf>
    <xf numFmtId="205" fontId="28" fillId="10" borderId="0" xfId="19" applyNumberFormat="1" applyFont="1" applyFill="1"/>
    <xf numFmtId="187" fontId="14" fillId="10" borderId="0" xfId="70" applyNumberFormat="1" applyFont="1" applyFill="1"/>
    <xf numFmtId="187" fontId="8" fillId="10" borderId="0" xfId="70" applyNumberFormat="1" applyFont="1" applyFill="1"/>
    <xf numFmtId="252" fontId="3" fillId="10" borderId="0" xfId="0" applyNumberFormat="1" applyFont="1" applyFill="1" applyBorder="1" applyAlignment="1">
      <alignment horizontal="right"/>
    </xf>
    <xf numFmtId="166" fontId="23" fillId="12" borderId="0" xfId="70" applyNumberFormat="1" applyFont="1" applyFill="1"/>
    <xf numFmtId="171" fontId="28" fillId="10" borderId="0" xfId="19" applyNumberFormat="1" applyFont="1" applyFill="1"/>
    <xf numFmtId="171" fontId="28" fillId="10" borderId="0" xfId="19" applyNumberFormat="1" applyFont="1" applyFill="1" applyBorder="1"/>
    <xf numFmtId="171" fontId="14" fillId="10" borderId="0" xfId="19" applyNumberFormat="1" applyFont="1" applyFill="1"/>
    <xf numFmtId="171" fontId="14" fillId="10" borderId="0" xfId="19" applyNumberFormat="1" applyFont="1" applyFill="1" applyBorder="1"/>
    <xf numFmtId="171" fontId="27" fillId="10" borderId="0" xfId="19" applyNumberFormat="1" applyFont="1" applyFill="1" applyBorder="1"/>
    <xf numFmtId="171" fontId="28" fillId="10" borderId="2" xfId="19" applyNumberFormat="1" applyFont="1" applyFill="1" applyBorder="1"/>
    <xf numFmtId="190" fontId="15" fillId="10" borderId="8" xfId="0" applyNumberFormat="1" applyFont="1" applyFill="1" applyBorder="1"/>
    <xf numFmtId="190" fontId="15" fillId="10" borderId="0" xfId="0" applyNumberFormat="1" applyFont="1" applyFill="1" applyBorder="1"/>
    <xf numFmtId="167" fontId="60" fillId="10" borderId="0" xfId="19" applyNumberFormat="1" applyFont="1" applyFill="1"/>
    <xf numFmtId="2" fontId="15" fillId="10" borderId="0" xfId="70" applyNumberFormat="1" applyFont="1" applyFill="1"/>
    <xf numFmtId="2" fontId="14" fillId="10" borderId="0" xfId="70" applyNumberFormat="1" applyFont="1" applyFill="1"/>
    <xf numFmtId="167" fontId="8" fillId="10" borderId="0" xfId="70" applyNumberFormat="1" applyFont="1" applyFill="1"/>
    <xf numFmtId="167" fontId="33" fillId="10" borderId="0" xfId="19" applyNumberFormat="1" applyFont="1" applyFill="1"/>
    <xf numFmtId="167" fontId="56" fillId="10" borderId="2" xfId="19" applyNumberFormat="1" applyFont="1" applyFill="1" applyBorder="1"/>
    <xf numFmtId="184" fontId="0" fillId="0" borderId="0" xfId="0" applyNumberFormat="1"/>
    <xf numFmtId="8" fontId="66" fillId="10" borderId="0" xfId="70" applyNumberFormat="1" applyFont="1" applyFill="1" applyBorder="1"/>
    <xf numFmtId="0" fontId="22" fillId="0" borderId="0" xfId="0" applyFont="1"/>
    <xf numFmtId="0" fontId="94" fillId="12" borderId="0" xfId="0" applyFont="1" applyFill="1"/>
    <xf numFmtId="177" fontId="23" fillId="12" borderId="0" xfId="0" applyNumberFormat="1" applyFont="1" applyFill="1"/>
    <xf numFmtId="0" fontId="22" fillId="12" borderId="0" xfId="0" applyFont="1" applyFill="1"/>
    <xf numFmtId="184" fontId="15" fillId="10" borderId="0" xfId="0" applyNumberFormat="1" applyFont="1" applyFill="1" applyBorder="1"/>
    <xf numFmtId="8" fontId="23" fillId="0" borderId="0" xfId="0" applyNumberFormat="1" applyFont="1"/>
    <xf numFmtId="8" fontId="23" fillId="0" borderId="0" xfId="0" applyNumberFormat="1" applyFont="1" applyFill="1"/>
    <xf numFmtId="8" fontId="0" fillId="10" borderId="0" xfId="0" applyNumberFormat="1" applyFill="1"/>
    <xf numFmtId="0" fontId="122" fillId="10" borderId="0" xfId="0" applyFont="1" applyFill="1"/>
    <xf numFmtId="165" fontId="2" fillId="10" borderId="0" xfId="0" applyNumberFormat="1" applyFont="1" applyFill="1"/>
    <xf numFmtId="166" fontId="67" fillId="10" borderId="2" xfId="70" applyNumberFormat="1" applyFont="1" applyFill="1" applyBorder="1"/>
    <xf numFmtId="166" fontId="72" fillId="10" borderId="2" xfId="70" applyNumberFormat="1" applyFont="1" applyFill="1" applyBorder="1"/>
    <xf numFmtId="166" fontId="56" fillId="10" borderId="0" xfId="70" applyNumberFormat="1" applyFont="1" applyFill="1"/>
    <xf numFmtId="166" fontId="8" fillId="0" borderId="0" xfId="70" quotePrefix="1" applyNumberFormat="1" applyFont="1" applyBorder="1" applyAlignment="1">
      <alignment horizontal="right"/>
    </xf>
    <xf numFmtId="166" fontId="8" fillId="7" borderId="0" xfId="70" quotePrefix="1" applyNumberFormat="1" applyFont="1" applyFill="1" applyBorder="1" applyAlignment="1">
      <alignment horizontal="right"/>
    </xf>
    <xf numFmtId="165" fontId="3" fillId="10" borderId="0" xfId="0" applyNumberFormat="1" applyFont="1" applyFill="1" applyBorder="1"/>
    <xf numFmtId="0" fontId="3" fillId="7" borderId="0" xfId="0" applyFont="1" applyFill="1" applyBorder="1" applyAlignment="1">
      <alignment horizontal="centerContinuous"/>
    </xf>
    <xf numFmtId="2" fontId="142" fillId="10" borderId="0" xfId="70" applyNumberFormat="1" applyFont="1" applyFill="1"/>
    <xf numFmtId="166" fontId="3" fillId="12" borderId="0" xfId="70" applyNumberFormat="1" applyFont="1" applyFill="1"/>
    <xf numFmtId="166" fontId="3" fillId="12" borderId="2" xfId="70" applyNumberFormat="1" applyFont="1" applyFill="1" applyBorder="1"/>
    <xf numFmtId="0" fontId="3" fillId="12" borderId="2" xfId="0" applyFont="1" applyFill="1" applyBorder="1"/>
    <xf numFmtId="165" fontId="8" fillId="10" borderId="8" xfId="19" applyNumberFormat="1" applyFont="1" applyFill="1" applyBorder="1"/>
    <xf numFmtId="178" fontId="8" fillId="7" borderId="2" xfId="0" applyNumberFormat="1" applyFont="1" applyFill="1" applyBorder="1"/>
    <xf numFmtId="184" fontId="27" fillId="7" borderId="0" xfId="0" applyNumberFormat="1" applyFont="1" applyFill="1" applyBorder="1"/>
    <xf numFmtId="173" fontId="27" fillId="7" borderId="0" xfId="0" applyNumberFormat="1" applyFont="1" applyFill="1" applyBorder="1"/>
    <xf numFmtId="184" fontId="8" fillId="7" borderId="0" xfId="0" applyNumberFormat="1" applyFont="1" applyFill="1" applyBorder="1"/>
    <xf numFmtId="173" fontId="85" fillId="7" borderId="0" xfId="0" applyNumberFormat="1" applyFont="1" applyFill="1" applyBorder="1"/>
    <xf numFmtId="165" fontId="28" fillId="7" borderId="0" xfId="19" applyNumberFormat="1" applyFont="1" applyFill="1" applyBorder="1"/>
    <xf numFmtId="172" fontId="8" fillId="10" borderId="0" xfId="0" applyNumberFormat="1" applyFont="1" applyFill="1"/>
    <xf numFmtId="43" fontId="8" fillId="10" borderId="0" xfId="0" applyNumberFormat="1" applyFont="1" applyFill="1" applyBorder="1" applyAlignment="1">
      <alignment horizontal="right"/>
    </xf>
    <xf numFmtId="6" fontId="8" fillId="7" borderId="0" xfId="19" applyNumberFormat="1" applyFont="1" applyFill="1"/>
    <xf numFmtId="167" fontId="27" fillId="10" borderId="2" xfId="0" applyNumberFormat="1" applyFont="1" applyFill="1" applyBorder="1"/>
    <xf numFmtId="167" fontId="27" fillId="10" borderId="0" xfId="0" applyNumberFormat="1" applyFont="1" applyFill="1" applyBorder="1"/>
    <xf numFmtId="178" fontId="8" fillId="10" borderId="8" xfId="0" applyNumberFormat="1" applyFont="1" applyFill="1" applyBorder="1"/>
    <xf numFmtId="221" fontId="8" fillId="10" borderId="0" xfId="0" applyNumberFormat="1" applyFont="1" applyFill="1"/>
    <xf numFmtId="221" fontId="3" fillId="10" borderId="0" xfId="70" applyNumberFormat="1" applyFont="1" applyFill="1"/>
    <xf numFmtId="221" fontId="8" fillId="10" borderId="0" xfId="70" applyNumberFormat="1" applyFont="1" applyFill="1"/>
    <xf numFmtId="221" fontId="8" fillId="0" borderId="0" xfId="19" applyNumberFormat="1" applyFont="1" applyFill="1"/>
    <xf numFmtId="221" fontId="80" fillId="10" borderId="0" xfId="0" applyNumberFormat="1" applyFont="1" applyFill="1"/>
    <xf numFmtId="221" fontId="14" fillId="10" borderId="0" xfId="0" applyNumberFormat="1" applyFont="1" applyFill="1"/>
    <xf numFmtId="221" fontId="8" fillId="0" borderId="0" xfId="0" applyNumberFormat="1" applyFont="1" applyFill="1"/>
    <xf numFmtId="221" fontId="14" fillId="10" borderId="0" xfId="70" applyNumberFormat="1" applyFont="1" applyFill="1"/>
    <xf numFmtId="221" fontId="27" fillId="10" borderId="0" xfId="70" applyNumberFormat="1" applyFont="1" applyFill="1"/>
    <xf numFmtId="221" fontId="14" fillId="10" borderId="0" xfId="72" applyNumberFormat="1" applyFont="1" applyFill="1"/>
    <xf numFmtId="176" fontId="8" fillId="10" borderId="0" xfId="20" applyNumberFormat="1" applyFont="1" applyFill="1"/>
    <xf numFmtId="177" fontId="26" fillId="10" borderId="0" xfId="0" applyNumberFormat="1" applyFont="1" applyFill="1"/>
    <xf numFmtId="9" fontId="8" fillId="10" borderId="0" xfId="70" applyFont="1" applyFill="1"/>
    <xf numFmtId="165" fontId="15" fillId="0" borderId="0" xfId="70" applyNumberFormat="1" applyFont="1" applyFill="1"/>
    <xf numFmtId="165" fontId="31" fillId="0" borderId="0" xfId="0" applyNumberFormat="1" applyFont="1" applyFill="1" applyBorder="1"/>
    <xf numFmtId="165" fontId="42" fillId="0" borderId="0" xfId="0" applyNumberFormat="1" applyFont="1" applyFill="1" applyBorder="1"/>
    <xf numFmtId="165" fontId="60" fillId="0" borderId="0" xfId="0" applyNumberFormat="1" applyFont="1" applyFill="1" applyBorder="1"/>
    <xf numFmtId="171" fontId="15" fillId="0" borderId="0" xfId="19" applyNumberFormat="1" applyFont="1"/>
    <xf numFmtId="43" fontId="15" fillId="0" borderId="0" xfId="19" applyFont="1" applyAlignment="1">
      <alignment horizontal="right"/>
    </xf>
    <xf numFmtId="165" fontId="42" fillId="0" borderId="0" xfId="0" applyNumberFormat="1" applyFont="1" applyFill="1"/>
    <xf numFmtId="167" fontId="15" fillId="0" borderId="0" xfId="19" applyNumberFormat="1" applyFont="1" applyBorder="1"/>
    <xf numFmtId="167" fontId="15" fillId="0" borderId="0" xfId="19" applyNumberFormat="1" applyFont="1" applyFill="1" applyBorder="1"/>
    <xf numFmtId="178" fontId="15" fillId="0" borderId="0" xfId="0" applyNumberFormat="1" applyFont="1" applyFill="1" applyBorder="1"/>
    <xf numFmtId="178" fontId="7" fillId="0" borderId="0" xfId="0" applyNumberFormat="1" applyFont="1" applyFill="1" applyBorder="1"/>
    <xf numFmtId="178" fontId="15" fillId="0" borderId="0" xfId="0" applyNumberFormat="1" applyFont="1" applyFill="1"/>
    <xf numFmtId="177" fontId="15" fillId="0" borderId="0" xfId="0" applyNumberFormat="1" applyFont="1" applyFill="1"/>
    <xf numFmtId="177" fontId="31" fillId="0" borderId="0" xfId="0" applyNumberFormat="1" applyFont="1" applyFill="1"/>
    <xf numFmtId="165" fontId="31" fillId="0" borderId="0" xfId="70" applyNumberFormat="1" applyFont="1" applyFill="1"/>
    <xf numFmtId="2" fontId="3" fillId="0" borderId="0" xfId="67" applyNumberFormat="1" applyFont="1"/>
    <xf numFmtId="2" fontId="3" fillId="0" borderId="0" xfId="67" quotePrefix="1" applyNumberFormat="1" applyFont="1" applyAlignment="1">
      <alignment horizontal="left"/>
    </xf>
    <xf numFmtId="165" fontId="129" fillId="10" borderId="2" xfId="0" applyNumberFormat="1" applyFont="1" applyFill="1" applyBorder="1"/>
    <xf numFmtId="174" fontId="133" fillId="10" borderId="2" xfId="0" applyNumberFormat="1" applyFont="1" applyFill="1" applyBorder="1"/>
    <xf numFmtId="174" fontId="133" fillId="10" borderId="8" xfId="0" applyNumberFormat="1" applyFont="1" applyFill="1" applyBorder="1"/>
    <xf numFmtId="0" fontId="8" fillId="10" borderId="0" xfId="19" applyNumberFormat="1" applyFont="1" applyFill="1"/>
    <xf numFmtId="0" fontId="15" fillId="0" borderId="2" xfId="0" applyFont="1" applyFill="1" applyBorder="1" applyAlignment="1">
      <alignment horizontal="center"/>
    </xf>
    <xf numFmtId="0" fontId="15" fillId="0" borderId="2" xfId="0" quotePrefix="1" applyFont="1" applyFill="1" applyBorder="1" applyAlignment="1">
      <alignment horizontal="center"/>
    </xf>
    <xf numFmtId="0" fontId="15" fillId="0" borderId="5" xfId="0" applyFont="1" applyFill="1" applyBorder="1"/>
    <xf numFmtId="0" fontId="15" fillId="0" borderId="5" xfId="0" quotePrefix="1" applyFont="1" applyFill="1" applyBorder="1" applyAlignment="1">
      <alignment horizontal="right"/>
    </xf>
    <xf numFmtId="0" fontId="15" fillId="0" borderId="2" xfId="0" quotePrefix="1" applyFont="1" applyFill="1" applyBorder="1" applyAlignment="1">
      <alignment horizontal="right"/>
    </xf>
    <xf numFmtId="171" fontId="15" fillId="0" borderId="2" xfId="19" applyNumberFormat="1" applyFont="1" applyFill="1" applyBorder="1"/>
    <xf numFmtId="43" fontId="15" fillId="0" borderId="2" xfId="19" applyFont="1" applyBorder="1" applyAlignment="1">
      <alignment horizontal="right"/>
    </xf>
    <xf numFmtId="43" fontId="15" fillId="0" borderId="2" xfId="19" applyFont="1" applyBorder="1"/>
    <xf numFmtId="167" fontId="15" fillId="0" borderId="2" xfId="19" applyNumberFormat="1" applyFont="1" applyBorder="1"/>
    <xf numFmtId="167" fontId="15" fillId="0" borderId="2" xfId="19" applyNumberFormat="1" applyFont="1" applyFill="1" applyBorder="1"/>
    <xf numFmtId="0" fontId="7" fillId="0" borderId="2" xfId="0" applyFont="1" applyBorder="1"/>
    <xf numFmtId="165" fontId="3" fillId="0" borderId="8" xfId="0" applyNumberFormat="1" applyFont="1" applyFill="1" applyBorder="1"/>
    <xf numFmtId="0" fontId="3" fillId="10" borderId="5" xfId="0" applyFont="1" applyFill="1" applyBorder="1" applyAlignment="1">
      <alignment horizontal="right"/>
    </xf>
    <xf numFmtId="165" fontId="98" fillId="10" borderId="0" xfId="0" applyNumberFormat="1" applyFont="1" applyFill="1"/>
    <xf numFmtId="165" fontId="25" fillId="10" borderId="0" xfId="0" applyNumberFormat="1" applyFont="1" applyFill="1"/>
    <xf numFmtId="165" fontId="99" fillId="10" borderId="0" xfId="0" applyNumberFormat="1" applyFont="1" applyFill="1"/>
    <xf numFmtId="165" fontId="60" fillId="10" borderId="0" xfId="0" applyNumberFormat="1" applyFont="1" applyFill="1"/>
    <xf numFmtId="0" fontId="16" fillId="10" borderId="0" xfId="0" applyFont="1" applyFill="1"/>
    <xf numFmtId="166" fontId="15" fillId="10" borderId="0" xfId="70" applyNumberFormat="1" applyFont="1" applyFill="1"/>
    <xf numFmtId="0" fontId="7" fillId="10" borderId="0" xfId="0" applyFont="1" applyFill="1"/>
    <xf numFmtId="168" fontId="14" fillId="7" borderId="0" xfId="32" applyNumberFormat="1" applyFont="1" applyFill="1" applyBorder="1" applyAlignment="1"/>
    <xf numFmtId="0" fontId="16" fillId="10" borderId="5" xfId="0" applyFont="1" applyFill="1" applyBorder="1"/>
    <xf numFmtId="1" fontId="15" fillId="10" borderId="0" xfId="19" applyNumberFormat="1" applyFont="1" applyFill="1"/>
    <xf numFmtId="167" fontId="28" fillId="10" borderId="0" xfId="19" applyNumberFormat="1" applyFont="1" applyFill="1"/>
    <xf numFmtId="166" fontId="14" fillId="10" borderId="0" xfId="0" applyNumberFormat="1" applyFont="1" applyFill="1"/>
    <xf numFmtId="0" fontId="33" fillId="10" borderId="0" xfId="62" applyFont="1" applyFill="1"/>
    <xf numFmtId="169" fontId="8" fillId="10" borderId="0" xfId="32" quotePrefix="1" applyFont="1" applyFill="1"/>
    <xf numFmtId="0" fontId="33" fillId="10" borderId="0" xfId="62" applyFont="1" applyFill="1" applyAlignment="1">
      <alignment horizontal="left"/>
    </xf>
    <xf numFmtId="195" fontId="8" fillId="10" borderId="0" xfId="20" applyNumberFormat="1" applyFont="1" applyFill="1"/>
    <xf numFmtId="195" fontId="8" fillId="10" borderId="0" xfId="20" applyNumberFormat="1" applyFont="1" applyFill="1" applyAlignment="1">
      <alignment horizontal="right"/>
    </xf>
    <xf numFmtId="0" fontId="8" fillId="10" borderId="0" xfId="63" applyFont="1" applyFill="1"/>
    <xf numFmtId="0" fontId="8" fillId="10" borderId="4" xfId="63" applyFont="1" applyFill="1" applyBorder="1"/>
    <xf numFmtId="1" fontId="8" fillId="10" borderId="0" xfId="0" applyNumberFormat="1" applyFont="1" applyFill="1" applyBorder="1" applyAlignment="1">
      <alignment horizontal="right"/>
    </xf>
    <xf numFmtId="0" fontId="33" fillId="10" borderId="2" xfId="0" applyFont="1" applyFill="1" applyBorder="1" applyAlignment="1">
      <alignment horizontal="right"/>
    </xf>
    <xf numFmtId="167" fontId="145" fillId="10" borderId="0" xfId="19" applyNumberFormat="1" applyFont="1" applyFill="1"/>
    <xf numFmtId="166" fontId="43" fillId="10" borderId="0" xfId="70" applyNumberFormat="1" applyFont="1" applyFill="1" applyBorder="1"/>
    <xf numFmtId="190" fontId="14" fillId="10" borderId="0" xfId="0" applyNumberFormat="1" applyFont="1" applyFill="1" applyBorder="1"/>
    <xf numFmtId="190" fontId="14" fillId="10" borderId="2" xfId="0" applyNumberFormat="1" applyFont="1" applyFill="1" applyBorder="1"/>
    <xf numFmtId="37" fontId="14" fillId="10" borderId="0" xfId="19" applyNumberFormat="1" applyFont="1" applyFill="1"/>
    <xf numFmtId="178" fontId="23" fillId="0" borderId="0" xfId="0" applyNumberFormat="1" applyFont="1"/>
    <xf numFmtId="168" fontId="31" fillId="0" borderId="0" xfId="32" applyNumberFormat="1" applyFont="1" applyAlignment="1"/>
    <xf numFmtId="167" fontId="31" fillId="0" borderId="0" xfId="19" applyNumberFormat="1" applyFont="1"/>
    <xf numFmtId="168" fontId="31" fillId="0" borderId="0" xfId="19" applyNumberFormat="1" applyFont="1" applyBorder="1"/>
    <xf numFmtId="168" fontId="31" fillId="0" borderId="0" xfId="19" applyNumberFormat="1" applyFont="1" applyFill="1" applyBorder="1"/>
    <xf numFmtId="168" fontId="15" fillId="0" borderId="0" xfId="0" applyNumberFormat="1" applyFont="1"/>
    <xf numFmtId="165" fontId="31" fillId="0" borderId="0" xfId="0" applyNumberFormat="1" applyFont="1" applyFill="1" applyAlignment="1"/>
    <xf numFmtId="167" fontId="42" fillId="0" borderId="0" xfId="19" applyNumberFormat="1" applyFont="1"/>
    <xf numFmtId="173" fontId="15" fillId="0" borderId="0" xfId="0" applyNumberFormat="1" applyFont="1"/>
    <xf numFmtId="167" fontId="31" fillId="0" borderId="0" xfId="0" applyNumberFormat="1" applyFont="1"/>
    <xf numFmtId="43" fontId="15" fillId="0" borderId="0" xfId="0" applyNumberFormat="1" applyFont="1"/>
    <xf numFmtId="167" fontId="15" fillId="0" borderId="0" xfId="0" applyNumberFormat="1" applyFont="1"/>
    <xf numFmtId="178" fontId="15" fillId="0" borderId="0" xfId="0" applyNumberFormat="1" applyFont="1"/>
    <xf numFmtId="168" fontId="15" fillId="0" borderId="0" xfId="0" applyNumberFormat="1" applyFont="1" applyFill="1"/>
    <xf numFmtId="167" fontId="60" fillId="7" borderId="8" xfId="19" applyNumberFormat="1" applyFont="1" applyFill="1" applyBorder="1"/>
    <xf numFmtId="167" fontId="31" fillId="7" borderId="0" xfId="19" applyNumberFormat="1" applyFont="1" applyFill="1"/>
    <xf numFmtId="167" fontId="60" fillId="10" borderId="8" xfId="19" applyNumberFormat="1" applyFont="1" applyFill="1" applyBorder="1"/>
    <xf numFmtId="167" fontId="15" fillId="10" borderId="0" xfId="19" applyNumberFormat="1" applyFont="1" applyFill="1"/>
    <xf numFmtId="178" fontId="7" fillId="0" borderId="0" xfId="0" applyNumberFormat="1" applyFont="1"/>
    <xf numFmtId="168" fontId="15" fillId="10" borderId="8" xfId="32" applyNumberFormat="1" applyFont="1" applyFill="1" applyBorder="1" applyAlignment="1"/>
    <xf numFmtId="49" fontId="38" fillId="0" borderId="0" xfId="19" applyNumberFormat="1" applyFont="1"/>
    <xf numFmtId="167" fontId="38" fillId="0" borderId="0" xfId="19" applyNumberFormat="1" applyFont="1"/>
    <xf numFmtId="0" fontId="38" fillId="0" borderId="0" xfId="0" applyFont="1"/>
    <xf numFmtId="166" fontId="38" fillId="0" borderId="0" xfId="0" applyNumberFormat="1" applyFont="1"/>
    <xf numFmtId="43" fontId="38" fillId="0" borderId="0" xfId="19" applyFont="1"/>
    <xf numFmtId="166" fontId="111" fillId="0" borderId="0" xfId="70" applyNumberFormat="1" applyFont="1"/>
    <xf numFmtId="166" fontId="111" fillId="0" borderId="0" xfId="70" applyNumberFormat="1" applyFont="1" applyFill="1"/>
    <xf numFmtId="178" fontId="38" fillId="0" borderId="0" xfId="0" applyNumberFormat="1" applyFont="1"/>
    <xf numFmtId="0" fontId="114" fillId="0" borderId="0" xfId="0" applyFont="1"/>
    <xf numFmtId="0" fontId="114" fillId="7" borderId="0" xfId="0" applyFont="1" applyFill="1"/>
    <xf numFmtId="0" fontId="114" fillId="10" borderId="0" xfId="0" applyFont="1" applyFill="1"/>
    <xf numFmtId="167" fontId="15" fillId="0" borderId="8" xfId="19" applyNumberFormat="1" applyFont="1" applyFill="1" applyBorder="1"/>
    <xf numFmtId="184" fontId="42" fillId="10" borderId="8" xfId="0" applyNumberFormat="1" applyFont="1" applyFill="1" applyBorder="1"/>
    <xf numFmtId="9" fontId="109" fillId="7" borderId="0" xfId="70" applyNumberFormat="1" applyFont="1" applyFill="1"/>
    <xf numFmtId="166" fontId="23" fillId="7" borderId="0" xfId="0" applyNumberFormat="1" applyFont="1" applyFill="1" applyAlignment="1">
      <alignment horizontal="right"/>
    </xf>
    <xf numFmtId="174" fontId="49" fillId="10" borderId="0" xfId="0" applyNumberFormat="1" applyFont="1" applyFill="1"/>
    <xf numFmtId="174" fontId="62" fillId="10" borderId="0" xfId="0" applyNumberFormat="1" applyFont="1" applyFill="1"/>
    <xf numFmtId="174" fontId="75" fillId="10" borderId="0" xfId="0" applyNumberFormat="1" applyFont="1" applyFill="1"/>
    <xf numFmtId="174" fontId="15" fillId="10" borderId="0" xfId="0" applyNumberFormat="1" applyFont="1" applyFill="1"/>
    <xf numFmtId="178" fontId="3" fillId="10" borderId="0" xfId="0" applyNumberFormat="1" applyFont="1" applyFill="1" applyAlignment="1">
      <alignment horizontal="left"/>
    </xf>
    <xf numFmtId="166" fontId="3" fillId="10" borderId="0" xfId="0" applyNumberFormat="1" applyFont="1" applyFill="1" applyBorder="1" applyAlignment="1">
      <alignment horizontal="right"/>
    </xf>
    <xf numFmtId="174" fontId="56" fillId="10" borderId="0" xfId="0" applyNumberFormat="1" applyFont="1" applyFill="1" applyAlignment="1">
      <alignment horizontal="right"/>
    </xf>
    <xf numFmtId="174" fontId="56" fillId="10" borderId="0" xfId="0" applyNumberFormat="1" applyFont="1" applyFill="1" applyBorder="1" applyAlignment="1">
      <alignment horizontal="right"/>
    </xf>
    <xf numFmtId="166" fontId="3" fillId="10" borderId="0" xfId="0" applyNumberFormat="1" applyFont="1" applyFill="1" applyBorder="1"/>
    <xf numFmtId="2" fontId="3" fillId="10" borderId="0" xfId="70" applyNumberFormat="1" applyFont="1" applyFill="1"/>
    <xf numFmtId="49" fontId="3" fillId="7" borderId="0" xfId="19" applyNumberFormat="1" applyFont="1" applyFill="1" applyAlignment="1">
      <alignment horizontal="left" vertical="center" indent="2"/>
    </xf>
    <xf numFmtId="49" fontId="3" fillId="7" borderId="0" xfId="0" applyNumberFormat="1" applyFont="1" applyFill="1"/>
    <xf numFmtId="176" fontId="3" fillId="0" borderId="0" xfId="20" applyNumberFormat="1" applyFont="1" applyFill="1" applyAlignment="1">
      <alignment horizontal="right"/>
    </xf>
    <xf numFmtId="176" fontId="8" fillId="0" borderId="0" xfId="20" applyNumberFormat="1" applyFont="1" applyFill="1" applyAlignment="1">
      <alignment horizontal="right"/>
    </xf>
    <xf numFmtId="8" fontId="33" fillId="0" borderId="0" xfId="0" applyNumberFormat="1" applyFont="1" applyFill="1" applyBorder="1" applyAlignment="1">
      <alignment horizontal="right"/>
    </xf>
    <xf numFmtId="169" fontId="8" fillId="10" borderId="0" xfId="31" applyNumberFormat="1" applyFont="1" applyFill="1" applyBorder="1"/>
    <xf numFmtId="166" fontId="147" fillId="7" borderId="0" xfId="75" applyNumberFormat="1" applyFont="1" applyFill="1"/>
    <xf numFmtId="0" fontId="31" fillId="11" borderId="12" xfId="0" applyFont="1" applyFill="1" applyBorder="1" applyAlignment="1">
      <alignment horizontal="center"/>
    </xf>
    <xf numFmtId="177" fontId="0" fillId="0" borderId="0" xfId="0" applyNumberFormat="1"/>
    <xf numFmtId="182" fontId="15" fillId="0" borderId="0" xfId="19" applyNumberFormat="1" applyFont="1" applyFill="1" applyBorder="1"/>
    <xf numFmtId="176" fontId="15" fillId="10" borderId="0" xfId="61" applyNumberFormat="1" applyFont="1" applyFill="1"/>
    <xf numFmtId="194" fontId="8" fillId="10" borderId="0" xfId="61" applyNumberFormat="1" applyFont="1" applyFill="1" applyBorder="1"/>
    <xf numFmtId="8" fontId="14" fillId="10" borderId="0" xfId="72" applyNumberFormat="1" applyFont="1" applyFill="1" applyBorder="1"/>
    <xf numFmtId="8" fontId="3" fillId="10" borderId="0" xfId="72" applyNumberFormat="1" applyFont="1" applyFill="1" applyBorder="1"/>
    <xf numFmtId="180" fontId="3" fillId="10" borderId="0" xfId="0" applyNumberFormat="1" applyFont="1" applyFill="1" applyBorder="1"/>
    <xf numFmtId="180" fontId="59" fillId="10" borderId="0" xfId="0" applyNumberFormat="1" applyFont="1" applyFill="1" applyBorder="1"/>
    <xf numFmtId="180" fontId="59" fillId="10" borderId="2" xfId="0" applyNumberFormat="1" applyFont="1" applyFill="1" applyBorder="1"/>
    <xf numFmtId="177" fontId="48" fillId="10" borderId="0" xfId="0" applyNumberFormat="1" applyFont="1" applyFill="1"/>
    <xf numFmtId="249" fontId="3" fillId="10" borderId="0" xfId="0" applyNumberFormat="1" applyFont="1" applyFill="1"/>
    <xf numFmtId="169" fontId="8" fillId="10" borderId="0" xfId="0" applyNumberFormat="1" applyFont="1" applyFill="1" applyProtection="1"/>
    <xf numFmtId="0" fontId="8" fillId="10" borderId="0" xfId="62" applyFont="1" applyFill="1" applyAlignment="1">
      <alignment horizontal="left"/>
    </xf>
    <xf numFmtId="0" fontId="8" fillId="10" borderId="0" xfId="58" applyFont="1" applyFill="1"/>
    <xf numFmtId="0" fontId="142" fillId="10" borderId="0" xfId="62" applyFont="1" applyFill="1" applyAlignment="1">
      <alignment horizontal="left"/>
    </xf>
    <xf numFmtId="170" fontId="142" fillId="10" borderId="2" xfId="58" applyNumberFormat="1" applyFont="1" applyFill="1" applyBorder="1"/>
    <xf numFmtId="177" fontId="142" fillId="10" borderId="2" xfId="19" applyNumberFormat="1" applyFont="1" applyFill="1" applyBorder="1"/>
    <xf numFmtId="204" fontId="8" fillId="0" borderId="23" xfId="0" applyNumberFormat="1" applyFont="1" applyBorder="1"/>
    <xf numFmtId="204" fontId="8" fillId="0" borderId="24" xfId="0" applyNumberFormat="1" applyFont="1" applyBorder="1"/>
    <xf numFmtId="0" fontId="142" fillId="0" borderId="0" xfId="62" applyFont="1" applyFill="1" applyAlignment="1">
      <alignment horizontal="left"/>
    </xf>
    <xf numFmtId="170" fontId="142" fillId="0" borderId="0" xfId="58" applyNumberFormat="1" applyFont="1" applyFill="1" applyBorder="1"/>
    <xf numFmtId="170" fontId="142" fillId="7" borderId="0" xfId="58" applyNumberFormat="1" applyFont="1" applyFill="1" applyBorder="1"/>
    <xf numFmtId="170" fontId="142" fillId="10" borderId="0" xfId="58" applyNumberFormat="1" applyFont="1" applyFill="1" applyBorder="1"/>
    <xf numFmtId="10" fontId="8" fillId="10" borderId="0" xfId="70" applyNumberFormat="1" applyFont="1" applyFill="1"/>
    <xf numFmtId="0" fontId="8" fillId="10" borderId="0" xfId="0" applyFont="1" applyFill="1" applyAlignment="1">
      <alignment horizontal="center"/>
    </xf>
    <xf numFmtId="49" fontId="26" fillId="10" borderId="0" xfId="19" quotePrefix="1" applyNumberFormat="1" applyFont="1" applyFill="1" applyAlignment="1">
      <alignment horizontal="left"/>
    </xf>
    <xf numFmtId="173" fontId="14" fillId="10" borderId="2" xfId="19" applyNumberFormat="1" applyFont="1" applyFill="1" applyBorder="1"/>
    <xf numFmtId="170" fontId="8" fillId="10" borderId="0" xfId="61" applyNumberFormat="1" applyFont="1" applyFill="1"/>
    <xf numFmtId="168" fontId="8" fillId="10" borderId="0" xfId="50" applyNumberFormat="1" applyFont="1" applyFill="1" applyBorder="1"/>
    <xf numFmtId="0" fontId="8" fillId="10" borderId="0" xfId="61" applyFont="1" applyFill="1"/>
    <xf numFmtId="170" fontId="28" fillId="10" borderId="0" xfId="61" applyNumberFormat="1" applyFont="1" applyFill="1"/>
    <xf numFmtId="169" fontId="15" fillId="10" borderId="8" xfId="61" applyNumberFormat="1" applyFont="1" applyFill="1" applyBorder="1"/>
    <xf numFmtId="169" fontId="15" fillId="10" borderId="0" xfId="61" applyNumberFormat="1" applyFont="1" applyFill="1"/>
    <xf numFmtId="169" fontId="15" fillId="10" borderId="0" xfId="61" applyNumberFormat="1" applyFont="1" applyFill="1" applyBorder="1"/>
    <xf numFmtId="169" fontId="8" fillId="10" borderId="0" xfId="61" applyNumberFormat="1" applyFont="1" applyFill="1" applyBorder="1"/>
    <xf numFmtId="0" fontId="8" fillId="10" borderId="0" xfId="61" applyFont="1" applyFill="1" applyBorder="1"/>
    <xf numFmtId="169" fontId="8" fillId="10" borderId="0" xfId="61" applyNumberFormat="1" applyFont="1" applyFill="1"/>
    <xf numFmtId="0" fontId="15" fillId="10" borderId="0" xfId="61" applyFont="1" applyFill="1"/>
    <xf numFmtId="253" fontId="8" fillId="10" borderId="0" xfId="61" applyNumberFormat="1" applyFont="1" applyFill="1"/>
    <xf numFmtId="176" fontId="15" fillId="10" borderId="0" xfId="61" applyNumberFormat="1" applyFont="1" applyFill="1" applyAlignment="1">
      <alignment horizontal="right"/>
    </xf>
    <xf numFmtId="194" fontId="8" fillId="10" borderId="0" xfId="50" applyFont="1" applyFill="1"/>
    <xf numFmtId="194" fontId="8" fillId="10" borderId="2" xfId="50" applyFont="1" applyFill="1" applyBorder="1"/>
    <xf numFmtId="194" fontId="3" fillId="10" borderId="2" xfId="50" applyFont="1" applyFill="1" applyBorder="1"/>
    <xf numFmtId="194" fontId="14" fillId="10" borderId="2" xfId="50" applyFont="1" applyFill="1" applyBorder="1"/>
    <xf numFmtId="169" fontId="15" fillId="10" borderId="0" xfId="32" applyFont="1" applyFill="1"/>
    <xf numFmtId="198" fontId="8" fillId="10" borderId="0" xfId="61" applyNumberFormat="1" applyFont="1" applyFill="1"/>
    <xf numFmtId="8" fontId="8" fillId="10" borderId="0" xfId="61" applyNumberFormat="1" applyFont="1" applyFill="1"/>
    <xf numFmtId="177" fontId="146" fillId="10" borderId="0" xfId="19" applyNumberFormat="1" applyFont="1" applyFill="1" applyBorder="1"/>
    <xf numFmtId="49" fontId="3" fillId="0" borderId="0" xfId="19" quotePrefix="1" applyNumberFormat="1" applyFont="1" applyFill="1" applyAlignment="1">
      <alignment horizontal="left"/>
    </xf>
    <xf numFmtId="169" fontId="8" fillId="10" borderId="0" xfId="32" applyFont="1" applyFill="1" applyBorder="1"/>
    <xf numFmtId="166" fontId="43" fillId="10" borderId="0" xfId="75" applyNumberFormat="1" applyFont="1" applyFill="1"/>
    <xf numFmtId="222" fontId="134" fillId="10" borderId="0" xfId="19" quotePrefix="1" applyNumberFormat="1" applyFont="1" applyFill="1" applyBorder="1" applyAlignment="1">
      <alignment horizontal="right"/>
    </xf>
    <xf numFmtId="222" fontId="8" fillId="10" borderId="0" xfId="19" quotePrefix="1" applyNumberFormat="1" applyFont="1" applyFill="1" applyBorder="1" applyAlignment="1">
      <alignment horizontal="right"/>
    </xf>
    <xf numFmtId="9" fontId="23" fillId="10" borderId="0" xfId="70" applyNumberFormat="1" applyFont="1" applyFill="1"/>
    <xf numFmtId="171" fontId="23" fillId="10" borderId="0" xfId="19" quotePrefix="1" applyNumberFormat="1" applyFont="1" applyFill="1" applyBorder="1" applyAlignment="1">
      <alignment horizontal="right"/>
    </xf>
    <xf numFmtId="165" fontId="42" fillId="10" borderId="0" xfId="19" applyNumberFormat="1" applyFont="1" applyFill="1"/>
    <xf numFmtId="247" fontId="8" fillId="10" borderId="0" xfId="0" applyNumberFormat="1" applyFont="1" applyFill="1" applyBorder="1" applyAlignment="1">
      <alignment horizontal="right"/>
    </xf>
    <xf numFmtId="248" fontId="8" fillId="10" borderId="0" xfId="0" applyNumberFormat="1" applyFont="1" applyFill="1"/>
    <xf numFmtId="8" fontId="14" fillId="10" borderId="0" xfId="70" applyNumberFormat="1" applyFont="1" applyFill="1"/>
    <xf numFmtId="2" fontId="3" fillId="10" borderId="0" xfId="67" applyNumberFormat="1" applyFont="1" applyFill="1"/>
    <xf numFmtId="2" fontId="8" fillId="10" borderId="0" xfId="67" applyNumberFormat="1" applyFont="1" applyFill="1"/>
    <xf numFmtId="165" fontId="8" fillId="10" borderId="0" xfId="67" applyNumberFormat="1" applyFont="1" applyFill="1"/>
    <xf numFmtId="165" fontId="8" fillId="10" borderId="0" xfId="0" applyNumberFormat="1" applyFont="1" applyFill="1" applyAlignment="1">
      <alignment horizontal="center"/>
    </xf>
    <xf numFmtId="2" fontId="8" fillId="10" borderId="0" xfId="0" applyNumberFormat="1" applyFont="1" applyFill="1" applyAlignment="1">
      <alignment horizontal="center"/>
    </xf>
    <xf numFmtId="49" fontId="8" fillId="10" borderId="0" xfId="19" applyNumberFormat="1" applyFont="1" applyFill="1" applyAlignment="1">
      <alignment horizontal="left"/>
    </xf>
    <xf numFmtId="10" fontId="14" fillId="10" borderId="0" xfId="0" quotePrefix="1" applyNumberFormat="1" applyFont="1" applyFill="1" applyBorder="1" applyAlignment="1">
      <alignment horizontal="right"/>
    </xf>
    <xf numFmtId="10" fontId="28" fillId="10" borderId="0" xfId="70" applyNumberFormat="1" applyFont="1" applyFill="1"/>
    <xf numFmtId="10" fontId="8" fillId="10" borderId="0" xfId="0" applyNumberFormat="1" applyFont="1" applyFill="1" applyProtection="1"/>
    <xf numFmtId="10" fontId="3" fillId="10" borderId="0" xfId="0" applyNumberFormat="1" applyFont="1" applyFill="1" applyProtection="1"/>
    <xf numFmtId="49" fontId="8" fillId="10" borderId="0" xfId="19" quotePrefix="1" applyNumberFormat="1" applyFont="1" applyFill="1" applyAlignment="1">
      <alignment horizontal="left"/>
    </xf>
    <xf numFmtId="49" fontId="3" fillId="10" borderId="0" xfId="19" quotePrefix="1" applyNumberFormat="1" applyFont="1" applyFill="1" applyAlignment="1">
      <alignment horizontal="left"/>
    </xf>
    <xf numFmtId="10" fontId="3" fillId="10" borderId="0" xfId="70" applyNumberFormat="1" applyFont="1" applyFill="1"/>
    <xf numFmtId="0" fontId="3" fillId="10" borderId="0" xfId="0" applyFont="1" applyFill="1" applyAlignment="1">
      <alignment horizontal="center"/>
    </xf>
    <xf numFmtId="0" fontId="2" fillId="10" borderId="0" xfId="0" applyFont="1" applyFill="1"/>
    <xf numFmtId="165" fontId="8" fillId="10" borderId="0" xfId="19" quotePrefix="1" applyNumberFormat="1" applyFont="1" applyFill="1"/>
    <xf numFmtId="170" fontId="8" fillId="10" borderId="0" xfId="20" quotePrefix="1" applyFont="1" applyFill="1"/>
    <xf numFmtId="167" fontId="8" fillId="10" borderId="0" xfId="19" applyNumberFormat="1" applyFont="1" applyFill="1" applyBorder="1" applyAlignment="1">
      <alignment horizontal="left"/>
    </xf>
    <xf numFmtId="170" fontId="3" fillId="10" borderId="0" xfId="20" quotePrefix="1" applyFont="1" applyFill="1" applyAlignment="1">
      <alignment horizontal="right"/>
    </xf>
    <xf numFmtId="0" fontId="3" fillId="10" borderId="0" xfId="62" applyFont="1" applyFill="1" applyAlignment="1">
      <alignment horizontal="left"/>
    </xf>
    <xf numFmtId="165" fontId="33" fillId="10" borderId="0" xfId="19" applyNumberFormat="1" applyFont="1" applyFill="1" applyBorder="1" applyAlignment="1">
      <alignment horizontal="right"/>
    </xf>
    <xf numFmtId="165" fontId="8" fillId="10" borderId="0" xfId="20" quotePrefix="1" applyNumberFormat="1" applyFont="1" applyFill="1"/>
    <xf numFmtId="165" fontId="33" fillId="10" borderId="0" xfId="19" applyNumberFormat="1" applyFont="1" applyFill="1" applyAlignment="1">
      <alignment horizontal="right"/>
    </xf>
    <xf numFmtId="0" fontId="8" fillId="10" borderId="2" xfId="62" applyFont="1" applyFill="1" applyBorder="1" applyAlignment="1">
      <alignment horizontal="left"/>
    </xf>
    <xf numFmtId="165" fontId="33" fillId="10" borderId="2" xfId="19" applyNumberFormat="1" applyFont="1" applyFill="1" applyBorder="1" applyAlignment="1">
      <alignment horizontal="right"/>
    </xf>
    <xf numFmtId="166" fontId="8" fillId="10" borderId="2" xfId="70" applyNumberFormat="1" applyFont="1" applyFill="1" applyBorder="1"/>
    <xf numFmtId="165" fontId="8" fillId="10" borderId="2" xfId="63" applyNumberFormat="1" applyFont="1" applyFill="1" applyBorder="1"/>
    <xf numFmtId="170" fontId="8" fillId="10" borderId="2" xfId="20" quotePrefix="1" applyFont="1" applyFill="1" applyBorder="1"/>
    <xf numFmtId="165" fontId="8" fillId="10" borderId="0" xfId="32" applyNumberFormat="1" applyFont="1" applyFill="1"/>
    <xf numFmtId="165" fontId="8" fillId="10" borderId="0" xfId="63" applyNumberFormat="1" applyFont="1" applyFill="1"/>
    <xf numFmtId="165" fontId="8" fillId="10" borderId="0" xfId="62" applyNumberFormat="1" applyFont="1" applyFill="1" applyAlignment="1">
      <alignment horizontal="left"/>
    </xf>
    <xf numFmtId="165" fontId="8" fillId="10" borderId="0" xfId="62" applyNumberFormat="1" applyFont="1" applyFill="1"/>
    <xf numFmtId="0" fontId="15" fillId="10" borderId="0" xfId="62" applyFont="1" applyFill="1" applyAlignment="1">
      <alignment horizontal="left"/>
    </xf>
    <xf numFmtId="165" fontId="15" fillId="10" borderId="0" xfId="62" applyNumberFormat="1" applyFont="1" applyFill="1" applyAlignment="1">
      <alignment horizontal="left"/>
    </xf>
    <xf numFmtId="169" fontId="33" fillId="10" borderId="0" xfId="62" applyNumberFormat="1" applyFont="1" applyFill="1" applyBorder="1" applyAlignment="1">
      <alignment horizontal="right"/>
    </xf>
    <xf numFmtId="0" fontId="32" fillId="10" borderId="0" xfId="62" applyFont="1" applyFill="1" applyAlignment="1">
      <alignment horizontal="left"/>
    </xf>
    <xf numFmtId="167" fontId="33" fillId="10" borderId="0" xfId="19" applyNumberFormat="1" applyFont="1" applyFill="1" applyAlignment="1">
      <alignment horizontal="right"/>
    </xf>
    <xf numFmtId="167" fontId="8" fillId="10" borderId="0" xfId="19" quotePrefix="1" applyNumberFormat="1" applyFont="1" applyFill="1"/>
    <xf numFmtId="2" fontId="8" fillId="10" borderId="0" xfId="63" applyNumberFormat="1" applyFont="1" applyFill="1"/>
    <xf numFmtId="0" fontId="32" fillId="10" borderId="8" xfId="62" quotePrefix="1" applyFont="1" applyFill="1" applyBorder="1" applyAlignment="1">
      <alignment horizontal="left"/>
    </xf>
    <xf numFmtId="167" fontId="8" fillId="10" borderId="8" xfId="19" applyNumberFormat="1" applyFont="1" applyFill="1" applyBorder="1" applyAlignment="1">
      <alignment horizontal="left"/>
    </xf>
    <xf numFmtId="0" fontId="32" fillId="10" borderId="0" xfId="62" quotePrefix="1" applyFont="1" applyFill="1" applyAlignment="1">
      <alignment horizontal="left"/>
    </xf>
    <xf numFmtId="167" fontId="8" fillId="10" borderId="0" xfId="19" applyNumberFormat="1" applyFont="1" applyFill="1" applyAlignment="1">
      <alignment horizontal="left"/>
    </xf>
    <xf numFmtId="0" fontId="32" fillId="10" borderId="0" xfId="62" applyFont="1" applyFill="1"/>
    <xf numFmtId="165" fontId="33" fillId="10" borderId="0" xfId="70" applyNumberFormat="1" applyFont="1" applyFill="1"/>
    <xf numFmtId="165" fontId="33" fillId="10" borderId="0" xfId="62" applyNumberFormat="1" applyFont="1" applyFill="1"/>
    <xf numFmtId="169" fontId="142" fillId="10" borderId="0" xfId="62" applyNumberFormat="1" applyFont="1" applyFill="1" applyBorder="1" applyAlignment="1">
      <alignment horizontal="right"/>
    </xf>
    <xf numFmtId="0" fontId="143" fillId="10" borderId="0" xfId="62" applyFont="1" applyFill="1" applyAlignment="1">
      <alignment horizontal="left"/>
    </xf>
    <xf numFmtId="167" fontId="142" fillId="10" borderId="0" xfId="19" applyNumberFormat="1" applyFont="1" applyFill="1" applyAlignment="1">
      <alignment horizontal="right"/>
    </xf>
    <xf numFmtId="167" fontId="142" fillId="10" borderId="0" xfId="19" quotePrefix="1" applyNumberFormat="1" applyFont="1" applyFill="1"/>
    <xf numFmtId="0" fontId="142" fillId="10" borderId="0" xfId="63" applyFont="1" applyFill="1"/>
    <xf numFmtId="0" fontId="142" fillId="10" borderId="0" xfId="63" applyFont="1" applyFill="1" applyBorder="1"/>
    <xf numFmtId="2" fontId="142" fillId="10" borderId="0" xfId="63" applyNumberFormat="1" applyFont="1" applyFill="1" applyBorder="1"/>
    <xf numFmtId="165" fontId="142" fillId="10" borderId="0" xfId="19" applyNumberFormat="1" applyFont="1" applyFill="1" applyAlignment="1">
      <alignment horizontal="right"/>
    </xf>
    <xf numFmtId="0" fontId="150" fillId="0" borderId="0" xfId="0" applyFont="1"/>
    <xf numFmtId="165" fontId="142" fillId="0" borderId="0" xfId="20" quotePrefix="1" applyNumberFormat="1" applyFont="1" applyFill="1"/>
    <xf numFmtId="0" fontId="142" fillId="0" borderId="0" xfId="63" applyFont="1"/>
    <xf numFmtId="0" fontId="150" fillId="0" borderId="0" xfId="0" applyFont="1" applyFill="1"/>
    <xf numFmtId="179" fontId="8" fillId="10" borderId="0" xfId="0" applyNumberFormat="1" applyFont="1" applyFill="1" applyProtection="1"/>
    <xf numFmtId="220" fontId="14" fillId="10" borderId="0" xfId="0" applyNumberFormat="1" applyFont="1" applyFill="1"/>
    <xf numFmtId="168" fontId="48" fillId="10" borderId="0" xfId="70" applyNumberFormat="1" applyFont="1" applyFill="1"/>
    <xf numFmtId="166" fontId="118" fillId="10" borderId="0" xfId="0" applyNumberFormat="1" applyFont="1" applyFill="1"/>
    <xf numFmtId="49" fontId="23" fillId="10" borderId="0" xfId="65" applyNumberFormat="1" applyFont="1" applyFill="1" applyAlignment="1">
      <alignment horizontal="left"/>
    </xf>
    <xf numFmtId="177" fontId="43" fillId="10" borderId="0" xfId="56" applyNumberFormat="1" applyFont="1" applyFill="1" applyBorder="1"/>
    <xf numFmtId="190" fontId="15" fillId="5" borderId="8" xfId="0" applyNumberFormat="1" applyFont="1" applyFill="1" applyBorder="1"/>
    <xf numFmtId="0" fontId="3" fillId="12" borderId="0" xfId="61" applyFont="1" applyFill="1" applyAlignment="1">
      <alignment horizontal="left"/>
    </xf>
    <xf numFmtId="6" fontId="3" fillId="12" borderId="0" xfId="61" applyNumberFormat="1" applyFont="1" applyFill="1"/>
    <xf numFmtId="0" fontId="3" fillId="12" borderId="0" xfId="61" applyFont="1" applyFill="1" applyBorder="1" applyAlignment="1">
      <alignment horizontal="left"/>
    </xf>
    <xf numFmtId="165" fontId="142" fillId="10" borderId="0" xfId="19" applyNumberFormat="1" applyFont="1" applyFill="1" applyBorder="1" applyAlignment="1">
      <alignment horizontal="left"/>
    </xf>
    <xf numFmtId="38" fontId="142" fillId="10" borderId="8" xfId="32" applyNumberFormat="1" applyFont="1" applyFill="1" applyBorder="1" applyAlignment="1">
      <alignment horizontal="left"/>
    </xf>
    <xf numFmtId="169" fontId="28" fillId="10" borderId="0" xfId="0" applyNumberFormat="1" applyFont="1" applyFill="1"/>
    <xf numFmtId="8" fontId="142" fillId="10" borderId="0" xfId="0" applyNumberFormat="1" applyFont="1" applyFill="1"/>
    <xf numFmtId="166" fontId="142" fillId="10" borderId="0" xfId="70" applyNumberFormat="1" applyFont="1" applyFill="1"/>
    <xf numFmtId="0" fontId="142" fillId="10" borderId="0" xfId="0" applyFont="1" applyFill="1"/>
    <xf numFmtId="0" fontId="8" fillId="10" borderId="0" xfId="60" applyFont="1" applyFill="1"/>
    <xf numFmtId="166" fontId="28" fillId="10" borderId="0" xfId="0" applyNumberFormat="1" applyFont="1" applyFill="1"/>
    <xf numFmtId="166" fontId="8" fillId="10" borderId="8" xfId="70" applyNumberFormat="1" applyFont="1" applyFill="1" applyBorder="1"/>
    <xf numFmtId="1" fontId="15" fillId="10" borderId="0" xfId="0" applyNumberFormat="1" applyFont="1" applyFill="1" applyAlignment="1">
      <alignment horizontal="right"/>
    </xf>
    <xf numFmtId="174" fontId="15" fillId="10" borderId="0" xfId="0" applyNumberFormat="1" applyFont="1" applyFill="1" applyBorder="1"/>
    <xf numFmtId="166" fontId="38" fillId="10" borderId="18" xfId="70" applyNumberFormat="1" applyFont="1" applyFill="1" applyBorder="1"/>
    <xf numFmtId="2" fontId="15" fillId="10" borderId="0" xfId="0" applyNumberFormat="1" applyFont="1" applyFill="1"/>
    <xf numFmtId="178" fontId="0" fillId="10" borderId="0" xfId="0" applyNumberFormat="1" applyFill="1"/>
    <xf numFmtId="178" fontId="7" fillId="10" borderId="0" xfId="0" applyNumberFormat="1" applyFont="1" applyFill="1"/>
    <xf numFmtId="171" fontId="8" fillId="10" borderId="0" xfId="0" applyNumberFormat="1" applyFont="1" applyFill="1"/>
    <xf numFmtId="0" fontId="0" fillId="10" borderId="0" xfId="0" applyFill="1" applyBorder="1"/>
    <xf numFmtId="0" fontId="0" fillId="10" borderId="2" xfId="0" applyFill="1" applyBorder="1"/>
    <xf numFmtId="171" fontId="14" fillId="10" borderId="8" xfId="19" applyNumberFormat="1" applyFont="1" applyFill="1" applyBorder="1"/>
    <xf numFmtId="180" fontId="8" fillId="10" borderId="0" xfId="31" applyNumberFormat="1" applyFont="1" applyFill="1"/>
    <xf numFmtId="170" fontId="28" fillId="10" borderId="8" xfId="20" applyNumberFormat="1" applyFont="1" applyFill="1" applyBorder="1"/>
    <xf numFmtId="170" fontId="8" fillId="10" borderId="8" xfId="20" applyNumberFormat="1" applyFont="1" applyFill="1" applyBorder="1"/>
    <xf numFmtId="166" fontId="14" fillId="10" borderId="0" xfId="70" applyNumberFormat="1" applyFont="1" applyFill="1" applyBorder="1"/>
    <xf numFmtId="170" fontId="8" fillId="10" borderId="0" xfId="0" applyNumberFormat="1" applyFont="1" applyFill="1"/>
    <xf numFmtId="2" fontId="15" fillId="0" borderId="8" xfId="0" applyNumberFormat="1" applyFont="1" applyBorder="1"/>
    <xf numFmtId="0" fontId="7" fillId="0" borderId="8" xfId="0" applyFont="1" applyBorder="1"/>
    <xf numFmtId="166" fontId="3" fillId="10" borderId="0" xfId="70" applyNumberFormat="1" applyFont="1" applyFill="1" applyAlignment="1">
      <alignment horizontal="right"/>
    </xf>
    <xf numFmtId="166" fontId="15" fillId="10" borderId="8" xfId="70" applyNumberFormat="1" applyFont="1" applyFill="1" applyBorder="1"/>
    <xf numFmtId="2" fontId="15" fillId="0" borderId="0" xfId="0" applyNumberFormat="1" applyFont="1" applyBorder="1"/>
    <xf numFmtId="2" fontId="8" fillId="12" borderId="0" xfId="0" applyNumberFormat="1" applyFont="1" applyFill="1"/>
    <xf numFmtId="166" fontId="3" fillId="12" borderId="0" xfId="70" applyNumberFormat="1" applyFont="1" applyFill="1" applyAlignment="1">
      <alignment horizontal="left"/>
    </xf>
    <xf numFmtId="165" fontId="3" fillId="0" borderId="0" xfId="0" applyNumberFormat="1" applyFont="1" applyAlignment="1" applyProtection="1">
      <alignment horizontal="left"/>
    </xf>
    <xf numFmtId="165" fontId="147" fillId="10" borderId="0" xfId="0" applyNumberFormat="1" applyFont="1" applyFill="1" applyAlignment="1" applyProtection="1">
      <alignment horizontal="left"/>
    </xf>
    <xf numFmtId="0" fontId="147" fillId="10" borderId="0" xfId="0" applyFont="1" applyFill="1"/>
    <xf numFmtId="40" fontId="147" fillId="10" borderId="0" xfId="0" applyNumberFormat="1" applyFont="1" applyFill="1"/>
    <xf numFmtId="9" fontId="147" fillId="10" borderId="0" xfId="19" applyNumberFormat="1" applyFont="1" applyFill="1"/>
    <xf numFmtId="166" fontId="147" fillId="10" borderId="0" xfId="70" applyNumberFormat="1" applyFont="1" applyFill="1"/>
    <xf numFmtId="38" fontId="147" fillId="10" borderId="0" xfId="0" applyNumberFormat="1" applyFont="1" applyFill="1"/>
    <xf numFmtId="0" fontId="151" fillId="10" borderId="0" xfId="0" applyFont="1" applyFill="1"/>
    <xf numFmtId="0" fontId="8" fillId="10" borderId="0" xfId="58" applyFont="1" applyFill="1" applyBorder="1"/>
    <xf numFmtId="194" fontId="15" fillId="10" borderId="16" xfId="49" applyFont="1" applyFill="1" applyBorder="1"/>
    <xf numFmtId="194" fontId="15" fillId="10" borderId="21" xfId="49" applyFont="1" applyFill="1" applyBorder="1"/>
    <xf numFmtId="0" fontId="3" fillId="10" borderId="0" xfId="58" applyFont="1" applyFill="1"/>
    <xf numFmtId="10" fontId="15" fillId="10" borderId="0" xfId="70" applyNumberFormat="1" applyFont="1" applyFill="1"/>
    <xf numFmtId="8" fontId="15" fillId="10" borderId="0" xfId="0" applyNumberFormat="1" applyFont="1" applyFill="1"/>
    <xf numFmtId="0" fontId="106" fillId="0" borderId="22" xfId="0" applyFont="1" applyBorder="1" applyAlignment="1">
      <alignment horizontal="center"/>
    </xf>
    <xf numFmtId="0" fontId="15" fillId="7" borderId="2" xfId="64" applyFont="1" applyFill="1" applyBorder="1" applyAlignment="1">
      <alignment horizontal="center"/>
    </xf>
    <xf numFmtId="0" fontId="15" fillId="0" borderId="2" xfId="64" applyFont="1" applyBorder="1" applyAlignment="1">
      <alignment horizontal="center"/>
    </xf>
    <xf numFmtId="0" fontId="3" fillId="0" borderId="2" xfId="0" applyFont="1" applyFill="1" applyBorder="1" applyAlignment="1">
      <alignment horizontal="center"/>
    </xf>
    <xf numFmtId="0" fontId="8" fillId="0" borderId="2" xfId="0" applyFont="1" applyFill="1" applyBorder="1" applyAlignment="1">
      <alignment horizontal="center"/>
    </xf>
    <xf numFmtId="0" fontId="8" fillId="10" borderId="2" xfId="0" applyFont="1" applyFill="1" applyBorder="1" applyAlignment="1">
      <alignment horizontal="center"/>
    </xf>
    <xf numFmtId="0" fontId="3" fillId="7" borderId="2" xfId="0" applyFont="1" applyFill="1" applyBorder="1" applyAlignment="1">
      <alignment horizontal="center"/>
    </xf>
    <xf numFmtId="0" fontId="8" fillId="0" borderId="2" xfId="0" applyFont="1" applyBorder="1" applyAlignment="1">
      <alignment horizontal="center"/>
    </xf>
    <xf numFmtId="0" fontId="15" fillId="0" borderId="0" xfId="0" applyFont="1" applyBorder="1" applyAlignment="1">
      <alignment horizontal="center"/>
    </xf>
    <xf numFmtId="0" fontId="8" fillId="0" borderId="5" xfId="0" applyFont="1" applyBorder="1" applyAlignment="1">
      <alignment horizontal="center"/>
    </xf>
    <xf numFmtId="166" fontId="33" fillId="10" borderId="0" xfId="70" applyNumberFormat="1" applyFont="1" applyFill="1"/>
    <xf numFmtId="0" fontId="2" fillId="13" borderId="0" xfId="97" applyFont="1" applyFill="1" applyAlignment="1">
      <alignment vertical="top"/>
    </xf>
    <xf numFmtId="0" fontId="0" fillId="13" borderId="0" xfId="0" applyFill="1" applyAlignment="1">
      <alignment vertical="top"/>
    </xf>
    <xf numFmtId="0" fontId="0" fillId="13" borderId="0" xfId="0" applyFill="1"/>
    <xf numFmtId="0" fontId="154" fillId="13" borderId="0" xfId="97" applyFont="1" applyFill="1" applyAlignment="1">
      <alignment horizontal="left" vertical="top"/>
    </xf>
    <xf numFmtId="0" fontId="2" fillId="13" borderId="0" xfId="0" applyFont="1" applyFill="1" applyAlignment="1">
      <alignment vertical="top"/>
    </xf>
    <xf numFmtId="0" fontId="94" fillId="13" borderId="0" xfId="97" applyFont="1" applyFill="1" applyAlignment="1">
      <alignment vertical="top"/>
    </xf>
    <xf numFmtId="0" fontId="155" fillId="13" borderId="0" xfId="0" applyFont="1" applyFill="1" applyAlignment="1">
      <alignment vertical="top"/>
    </xf>
    <xf numFmtId="0" fontId="156" fillId="13" borderId="0" xfId="0" applyFont="1" applyFill="1" applyAlignment="1">
      <alignment vertical="top"/>
    </xf>
    <xf numFmtId="0" fontId="156" fillId="13" borderId="0" xfId="0" applyFont="1" applyFill="1" applyAlignment="1">
      <alignment vertical="top"/>
    </xf>
    <xf numFmtId="0" fontId="155" fillId="13" borderId="0" xfId="0" applyFont="1" applyFill="1" applyAlignment="1">
      <alignment vertical="top"/>
    </xf>
    <xf numFmtId="0" fontId="0" fillId="13" borderId="0" xfId="0" applyFill="1" applyAlignment="1">
      <alignment vertical="top"/>
    </xf>
    <xf numFmtId="0" fontId="0" fillId="13" borderId="31" xfId="0" applyFill="1" applyBorder="1" applyAlignment="1">
      <alignment vertical="top"/>
    </xf>
    <xf numFmtId="0" fontId="155" fillId="13" borderId="27" xfId="0" applyFont="1" applyFill="1" applyBorder="1" applyAlignment="1">
      <alignment vertical="top"/>
    </xf>
    <xf numFmtId="0" fontId="155" fillId="13" borderId="28" xfId="0" applyFont="1" applyFill="1" applyBorder="1" applyAlignment="1">
      <alignment vertical="top"/>
    </xf>
    <xf numFmtId="0" fontId="155" fillId="13" borderId="29" xfId="0" applyFont="1" applyFill="1" applyBorder="1" applyAlignment="1">
      <alignment vertical="top"/>
    </xf>
    <xf numFmtId="0" fontId="155" fillId="13" borderId="30" xfId="0" applyFont="1" applyFill="1" applyBorder="1" applyAlignment="1">
      <alignment vertical="top"/>
    </xf>
    <xf numFmtId="9" fontId="155" fillId="13" borderId="27" xfId="0" applyNumberFormat="1" applyFont="1" applyFill="1" applyBorder="1" applyAlignment="1">
      <alignment vertical="top"/>
    </xf>
    <xf numFmtId="3" fontId="155" fillId="13" borderId="27" xfId="0" applyNumberFormat="1" applyFont="1" applyFill="1" applyBorder="1" applyAlignment="1">
      <alignment vertical="top"/>
    </xf>
    <xf numFmtId="0" fontId="0" fillId="13" borderId="32" xfId="0" applyFill="1" applyBorder="1" applyAlignment="1">
      <alignment vertical="top"/>
    </xf>
    <xf numFmtId="0" fontId="2" fillId="0" borderId="0" xfId="52"/>
    <xf numFmtId="2" fontId="2" fillId="0" borderId="0" xfId="52" applyNumberFormat="1" applyAlignment="1">
      <alignment horizontal="left"/>
    </xf>
    <xf numFmtId="0" fontId="2" fillId="0" borderId="0" xfId="52" applyNumberFormat="1" applyAlignment="1">
      <alignment horizontal="left"/>
    </xf>
    <xf numFmtId="1" fontId="2" fillId="0" borderId="0" xfId="52" applyNumberFormat="1" applyAlignment="1">
      <alignment horizontal="left"/>
    </xf>
    <xf numFmtId="0" fontId="2" fillId="0" borderId="0" xfId="52" applyFont="1"/>
    <xf numFmtId="259" fontId="2" fillId="0" borderId="0" xfId="52" applyNumberFormat="1" applyAlignment="1">
      <alignment horizontal="left"/>
    </xf>
    <xf numFmtId="49" fontId="2" fillId="0" borderId="0" xfId="52" applyNumberFormat="1"/>
    <xf numFmtId="0" fontId="157" fillId="0" borderId="0" xfId="52" applyFont="1" applyAlignment="1">
      <alignment wrapText="1"/>
    </xf>
    <xf numFmtId="0" fontId="157" fillId="0" borderId="0" xfId="52" applyFont="1" applyAlignment="1">
      <alignment horizontal="left" wrapText="1" indent="3"/>
    </xf>
    <xf numFmtId="0" fontId="157" fillId="0" borderId="0" xfId="52" applyFont="1" applyAlignment="1">
      <alignment horizontal="left" wrapText="1" indent="1"/>
    </xf>
    <xf numFmtId="0" fontId="159" fillId="0" borderId="0" xfId="52" applyFont="1" applyAlignment="1">
      <alignment wrapText="1"/>
    </xf>
  </cellXfs>
  <cellStyles count="98">
    <cellStyle name="%" xfId="1"/>
    <cellStyle name="% 2" xfId="2"/>
    <cellStyle name="% 2 2" xfId="3"/>
    <cellStyle name="_SUMMARY " xfId="4"/>
    <cellStyle name="_SUMMARY  2" xfId="5"/>
    <cellStyle name="_SUMMARY  2 2" xfId="6"/>
    <cellStyle name="=C:\WINNT35\SYSTEM32\COMMAND.COM" xfId="7"/>
    <cellStyle name="=C:\WINNT35\SYSTEM32\COMMAND.COM 2" xfId="8"/>
    <cellStyle name="=C:\WINNT35\SYSTEM32\COMMAND.COM 2 2" xfId="9"/>
    <cellStyle name="0_Capex &amp; Depreciation " xfId="10"/>
    <cellStyle name="0_Capex &amp; Depreciation _RRST3" xfId="11"/>
    <cellStyle name="0_Capex &amp; Depreciation _RRST3 2" xfId="12"/>
    <cellStyle name="0_Valuing BP " xfId="13"/>
    <cellStyle name="0_Valuing BP _RRST3" xfId="14"/>
    <cellStyle name="0_Valuing BP _RRST3 2" xfId="15"/>
    <cellStyle name="c_HardInc " xfId="16"/>
    <cellStyle name="c_HardInc _RRST3" xfId="17"/>
    <cellStyle name="c_HardInc _RRST3 2" xfId="18"/>
    <cellStyle name="Comma" xfId="19" builtinId="3"/>
    <cellStyle name="comma (1)" xfId="20"/>
    <cellStyle name="comma (1)_Inputs" xfId="21"/>
    <cellStyle name="Comma [0]" xfId="22" builtinId="6"/>
    <cellStyle name="Comma [0] 2" xfId="23"/>
    <cellStyle name="Comma [0] 2 2" xfId="24"/>
    <cellStyle name="Comma 2" xfId="25"/>
    <cellStyle name="Comma 2 2" xfId="26"/>
    <cellStyle name="Comma 3" xfId="27"/>
    <cellStyle name="Comma 3 2" xfId="28"/>
    <cellStyle name="Comma 4" xfId="29"/>
    <cellStyle name="Comma 4 2" xfId="30"/>
    <cellStyle name="Currency" xfId="31" builtinId="4"/>
    <cellStyle name="Currency (1)" xfId="32"/>
    <cellStyle name="Currency 10" xfId="96"/>
    <cellStyle name="Currency 2" xfId="33"/>
    <cellStyle name="Currency 2 2" xfId="34"/>
    <cellStyle name="Currency 2 2 2" xfId="35"/>
    <cellStyle name="Currency 2 3" xfId="36"/>
    <cellStyle name="Currency 3" xfId="37"/>
    <cellStyle name="Currency 3 2" xfId="38"/>
    <cellStyle name="Currency 3 2 2" xfId="39"/>
    <cellStyle name="Currency 3 3" xfId="40"/>
    <cellStyle name="Currency 4" xfId="41"/>
    <cellStyle name="Currency 4 2" xfId="42"/>
    <cellStyle name="Currency 5" xfId="43"/>
    <cellStyle name="Currency 5 2" xfId="44"/>
    <cellStyle name="Currency 6" xfId="45"/>
    <cellStyle name="Currency 6 2" xfId="46"/>
    <cellStyle name="Currency 7" xfId="47"/>
    <cellStyle name="Currency 7 2" xfId="48"/>
    <cellStyle name="Currency 8" xfId="94"/>
    <cellStyle name="Currency 9" xfId="95"/>
    <cellStyle name="Currency_CVC" xfId="49"/>
    <cellStyle name="Currency_DTV Consolidated" xfId="50"/>
    <cellStyle name="Normal" xfId="0" builtinId="0"/>
    <cellStyle name="Normal 2" xfId="51"/>
    <cellStyle name="Normal 2 2" xfId="52"/>
    <cellStyle name="Normal 3" xfId="53"/>
    <cellStyle name="Normal 4" xfId="54"/>
    <cellStyle name="Normal 4 2" xfId="93"/>
    <cellStyle name="Normal_Aol" xfId="55"/>
    <cellStyle name="Normal_Consol. Cash Flow" xfId="56"/>
    <cellStyle name="Normal_Consol. Income" xfId="57"/>
    <cellStyle name="Normal_CVC" xfId="58"/>
    <cellStyle name="Normal_DisclaimerSheet Samples" xfId="97"/>
    <cellStyle name="Normal_DiscoveryCommunications WIP" xfId="59"/>
    <cellStyle name="Normal_DISNEY" xfId="60"/>
    <cellStyle name="Normal_DTV Consolidated" xfId="61"/>
    <cellStyle name="Normal_FMV '96" xfId="62"/>
    <cellStyle name="Normal_FMV '97" xfId="63"/>
    <cellStyle name="Normal_Inputs" xfId="64"/>
    <cellStyle name="Normal_Inputs_1" xfId="65"/>
    <cellStyle name="Normal_Segments_Station Group" xfId="66"/>
    <cellStyle name="Normal_Sheet1_1" xfId="67"/>
    <cellStyle name="Normal_Station Group" xfId="68"/>
    <cellStyle name="p " xfId="69"/>
    <cellStyle name="Percent" xfId="70" builtinId="5"/>
    <cellStyle name="Percent (1)" xfId="71"/>
    <cellStyle name="Percent 2" xfId="72"/>
    <cellStyle name="Percent 2 2" xfId="73"/>
    <cellStyle name="Percent 3" xfId="74"/>
    <cellStyle name="Percent 3 2" xfId="75"/>
    <cellStyle name="Percent 4" xfId="76"/>
    <cellStyle name="Percent 4 2" xfId="77"/>
    <cellStyle name="RRSInstruction" xfId="78"/>
    <cellStyle name="RRSInstruction 2" xfId="79"/>
    <cellStyle name="s_HardInc " xfId="80"/>
    <cellStyle name="s_HardInc _RRST3" xfId="81"/>
    <cellStyle name="s_HardInc _RRST3 2" xfId="82"/>
    <cellStyle name="s_Valuation " xfId="83"/>
    <cellStyle name="s_Valuation _RRST3" xfId="84"/>
    <cellStyle name="s_Valuation _RRST3 2" xfId="85"/>
    <cellStyle name="ssp " xfId="86"/>
    <cellStyle name="Style 1" xfId="87"/>
    <cellStyle name="Style 1 2" xfId="88"/>
    <cellStyle name="Style 1 2 2" xfId="89"/>
    <cellStyle name="Style 2" xfId="90"/>
    <cellStyle name="Style 2 2" xfId="91"/>
    <cellStyle name="Style 2 2 2" xfId="92"/>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32C464"/>
      <rgbColor rgb="00CCFFFF"/>
      <rgbColor rgb="00660066"/>
      <rgbColor rgb="00F37B53"/>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3399FF"/>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externalLinks/externalLink1.xml" Type="http://schemas.openxmlformats.org/officeDocument/2006/relationships/externalLink"/>
<Relationship Id="rId28" Target="externalLinks/externalLink2.xml" Type="http://schemas.openxmlformats.org/officeDocument/2006/relationships/externalLink"/>
<Relationship Id="rId29" Target="externalLinks/externalLink3.xml" Type="http://schemas.openxmlformats.org/officeDocument/2006/relationships/externalLink"/>
<Relationship Id="rId3" Target="worksheets/sheet3.xml" Type="http://schemas.openxmlformats.org/officeDocument/2006/relationships/worksheet"/>
<Relationship Id="rId30" Target="externalLinks/externalLink4.xml" Type="http://schemas.openxmlformats.org/officeDocument/2006/relationships/externalLink"/>
<Relationship Id="rId31" Target="externalLinks/externalLink5.xml" Type="http://schemas.openxmlformats.org/officeDocument/2006/relationships/externalLink"/>
<Relationship Id="rId32" Target="externalLinks/externalLink6.xml" Type="http://schemas.openxmlformats.org/officeDocument/2006/relationships/externalLink"/>
<Relationship Id="rId33" Target="theme/theme1.xml" Type="http://schemas.openxmlformats.org/officeDocument/2006/relationships/theme"/>
<Relationship Id="rId34" Target="styles.xml" Type="http://schemas.openxmlformats.org/officeDocument/2006/relationships/styles"/>
<Relationship Id="rId35" Target="sharedStrings.xml" Type="http://schemas.openxmlformats.org/officeDocument/2006/relationships/sharedStrings"/>
<Relationship Id="rId36" Target="calcChain.xml" Type="http://schemas.openxmlformats.org/officeDocument/2006/relationships/calcChain"/>
<Relationship Id="rId37"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174</xdr:row>
      <xdr:rowOff>0</xdr:rowOff>
    </xdr:from>
    <xdr:to>
      <xdr:col>7</xdr:col>
      <xdr:colOff>390525</xdr:colOff>
      <xdr:row>197</xdr:row>
      <xdr:rowOff>104775</xdr:rowOff>
    </xdr:to>
    <xdr:pic>
      <xdr:nvPicPr>
        <xdr:cNvPr id="41709569" name="Picture 1" descr="C:\Users\ripps\AppData\Local\Temp\MercuryPriceRatingHistoryChart\CBS.N_2018_01_22_18_59_52.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8033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11</xdr:row>
          <xdr:rowOff>152400</xdr:rowOff>
        </xdr:from>
        <xdr:to>
          <xdr:col>1</xdr:col>
          <xdr:colOff>2819400</xdr:colOff>
          <xdr:row>14</xdr:row>
          <xdr:rowOff>152400</xdr:rowOff>
        </xdr:to>
        <xdr:sp macro="" textlink="">
          <xdr:nvSpPr>
            <xdr:cNvPr id="41710593" name="Button 1" hidden="1">
              <a:extLst>
                <a:ext uri="{63B3BB69-23CF-44E3-9099-C40C66FF867C}">
                  <a14:compatExt spid="_x0000_s41710593"/>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Apply Circular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3067050</xdr:colOff>
          <xdr:row>11</xdr:row>
          <xdr:rowOff>152400</xdr:rowOff>
        </xdr:from>
        <xdr:to>
          <xdr:col>2</xdr:col>
          <xdr:colOff>0</xdr:colOff>
          <xdr:row>14</xdr:row>
          <xdr:rowOff>152400</xdr:rowOff>
        </xdr:to>
        <xdr:sp macro="" textlink="">
          <xdr:nvSpPr>
            <xdr:cNvPr id="41710594" name="Button 2" hidden="1">
              <a:extLst>
                <a:ext uri="{63B3BB69-23CF-44E3-9099-C40C66FF867C}">
                  <a14:compatExt spid="_x0000_s41710594"/>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Just Display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95250</xdr:colOff>
      <xdr:row>28</xdr:row>
      <xdr:rowOff>19050</xdr:rowOff>
    </xdr:from>
    <xdr:to>
      <xdr:col>12</xdr:col>
      <xdr:colOff>114300</xdr:colOff>
      <xdr:row>48</xdr:row>
      <xdr:rowOff>66675</xdr:rowOff>
    </xdr:to>
    <xdr:sp macro="" textlink="">
      <xdr:nvSpPr>
        <xdr:cNvPr id="41744639" name="Rectangle 6"/>
        <xdr:cNvSpPr>
          <a:spLocks noChangeArrowheads="1"/>
        </xdr:cNvSpPr>
      </xdr:nvSpPr>
      <xdr:spPr bwMode="auto">
        <a:xfrm>
          <a:off x="2847975" y="3705225"/>
          <a:ext cx="2047875" cy="290512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xmlns:mc="http://schemas.openxmlformats.org/markup-compatibility/2006" xmlns:a14="http://schemas.microsoft.com/office/drawing/2010/main" val="000000" mc:Ignorable="a14" a14:legacySpreadsheetColorIndex="8"/>
          </a:outerShdw>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53640926-AAD7-44D8-BBD7-CCE9431645EC}">
            <a14:shadowObscured xmlns:a14="http://schemas.microsoft.com/office/drawing/2010/main" val="1"/>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44</xdr:row>
      <xdr:rowOff>0</xdr:rowOff>
    </xdr:from>
    <xdr:to>
      <xdr:col>13</xdr:col>
      <xdr:colOff>0</xdr:colOff>
      <xdr:row>45</xdr:row>
      <xdr:rowOff>0</xdr:rowOff>
    </xdr:to>
    <xdr:sp macro="" textlink="">
      <xdr:nvSpPr>
        <xdr:cNvPr id="39613438" name="Rectangle 2"/>
        <xdr:cNvSpPr>
          <a:spLocks noChangeArrowheads="1"/>
        </xdr:cNvSpPr>
      </xdr:nvSpPr>
      <xdr:spPr bwMode="auto">
        <a:xfrm>
          <a:off x="2143125" y="6515100"/>
          <a:ext cx="0" cy="161925"/>
        </a:xfrm>
        <a:prstGeom prst="rect">
          <a:avLst/>
        </a:prstGeom>
        <a:noFill/>
        <a:ln w="9525">
          <a:solidFill>
            <a:srgbClr val="000000"/>
          </a:solidFill>
          <a:miter lim="800000"/>
          <a:headEnd/>
          <a:tailEnd/>
        </a:ln>
        <a:effectLst>
          <a:outerShdw dist="35921" dir="2700000" algn="ctr" rotWithShape="0">
            <a:srgbClr val="808080"/>
          </a:outerShdw>
        </a:effectLst>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266700</xdr:colOff>
      <xdr:row>54</xdr:row>
      <xdr:rowOff>9525</xdr:rowOff>
    </xdr:from>
    <xdr:to>
      <xdr:col>11</xdr:col>
      <xdr:colOff>571500</xdr:colOff>
      <xdr:row>55</xdr:row>
      <xdr:rowOff>0</xdr:rowOff>
    </xdr:to>
    <xdr:sp macro="" textlink="">
      <xdr:nvSpPr>
        <xdr:cNvPr id="5" name="Rounded Rectangle 4"/>
        <xdr:cNvSpPr/>
      </xdr:nvSpPr>
      <xdr:spPr>
        <a:xfrm>
          <a:off x="3800475" y="8496300"/>
          <a:ext cx="2628900" cy="152400"/>
        </a:xfrm>
        <a:prstGeom prst="roundRect">
          <a:avLst/>
        </a:prstGeom>
        <a:noFill/>
        <a:ln w="9525">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10</xdr:col>
      <xdr:colOff>104775</xdr:colOff>
      <xdr:row>7</xdr:row>
      <xdr:rowOff>161923</xdr:rowOff>
    </xdr:from>
    <xdr:to>
      <xdr:col>11</xdr:col>
      <xdr:colOff>571500</xdr:colOff>
      <xdr:row>9</xdr:row>
      <xdr:rowOff>9524</xdr:rowOff>
    </xdr:to>
    <xdr:sp macro="" textlink="">
      <xdr:nvSpPr>
        <xdr:cNvPr id="3" name="Rounded Rectangle 2"/>
        <xdr:cNvSpPr/>
      </xdr:nvSpPr>
      <xdr:spPr>
        <a:xfrm>
          <a:off x="5381625" y="1295398"/>
          <a:ext cx="1047750" cy="171451"/>
        </a:xfrm>
        <a:prstGeom prst="roundRect">
          <a:avLst/>
        </a:prstGeom>
        <a:noFill/>
        <a:ln w="9525">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8</xdr:col>
      <xdr:colOff>142875</xdr:colOff>
      <xdr:row>20</xdr:row>
      <xdr:rowOff>9525</xdr:rowOff>
    </xdr:from>
    <xdr:to>
      <xdr:col>10</xdr:col>
      <xdr:colOff>47625</xdr:colOff>
      <xdr:row>21</xdr:row>
      <xdr:rowOff>9526</xdr:rowOff>
    </xdr:to>
    <xdr:sp macro="" textlink="">
      <xdr:nvSpPr>
        <xdr:cNvPr id="4" name="Rounded Rectangle 3"/>
        <xdr:cNvSpPr/>
      </xdr:nvSpPr>
      <xdr:spPr>
        <a:xfrm>
          <a:off x="4257675" y="3248025"/>
          <a:ext cx="1066800" cy="161926"/>
        </a:xfrm>
        <a:prstGeom prst="roundRect">
          <a:avLst/>
        </a:prstGeom>
        <a:noFill/>
        <a:ln w="9525">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5</xdr:row>
      <xdr:rowOff>76200</xdr:rowOff>
    </xdr:from>
    <xdr:to>
      <xdr:col>3</xdr:col>
      <xdr:colOff>0</xdr:colOff>
      <xdr:row>6</xdr:row>
      <xdr:rowOff>76200</xdr:rowOff>
    </xdr:to>
    <xdr:sp macro="" textlink="">
      <xdr:nvSpPr>
        <xdr:cNvPr id="42452798" name="Line 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799" name="Line 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00" name="Line 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01" name="Line 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02" name="Line 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03" name="Line 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04" name="Line 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05" name="Line 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06" name="Line 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07" name="Line 1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08" name="Line 1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09" name="Line 1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10" name="Line 1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11" name="Line 1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12" name="Line 1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13" name="Line 1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14" name="Line 1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15" name="Line 1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16" name="Line 1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17" name="Line 2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18" name="Line 2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19" name="Line 2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20" name="Line 2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21" name="Line 2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22" name="Line 2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23" name="Line 2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24" name="Line 2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25" name="Line 2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26" name="Line 2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27" name="Line 3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28" name="Line 3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29" name="Line 3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30" name="Line 3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31" name="Line 3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32" name="Line 3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33" name="Line 3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34" name="Line 3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35" name="Line 3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36" name="Line 3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37" name="Line 4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38" name="Line 4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39" name="Line 4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40" name="Line 4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41" name="Line 4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42" name="Line 4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43" name="Line 4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44" name="Line 4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45" name="Line 4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46" name="Line 4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47" name="Line 5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48" name="Line 5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49" name="Line 5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50" name="Line 5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51" name="Line 5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52" name="Line 5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53" name="Line 5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54" name="Line 5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55" name="Line 5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56" name="Line 5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57" name="Line 6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58" name="Line 6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59" name="Line 6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60" name="Line 6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61" name="Line 6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62" name="Line 6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63" name="Line 6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64" name="Line 6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65" name="Line 6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66" name="Line 6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67" name="Line 7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68" name="Line 7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69" name="Line 7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70" name="Line 7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71" name="Line 7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72" name="Line 7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73" name="Line 7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74" name="Line 7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75" name="Line 7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76" name="Line 7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77" name="Line 8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78" name="Line 8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79" name="Line 8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80" name="Line 8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81" name="Line 8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82" name="Line 8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83" name="Line 8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84" name="Line 8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85" name="Line 8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86" name="Line 8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87" name="Line 9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88" name="Line 9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89" name="Line 9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90" name="Line 9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91" name="Line 9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92" name="Line 9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93" name="Line 9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94" name="Line 9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95" name="Line 9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96" name="Line 9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897" name="Line 10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98" name="Line 10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899" name="Line 10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00" name="Line 10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01" name="Line 10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02" name="Line 10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03" name="Line 10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04" name="Line 10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05" name="Line 10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06" name="Line 10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07" name="Line 11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08" name="Line 11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09" name="Line 11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10" name="Line 11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11" name="Line 11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12" name="Line 11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13" name="Line 11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14" name="Line 11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15" name="Line 11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16" name="Line 11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17" name="Line 12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18" name="Line 12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19" name="Line 12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20" name="Line 12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21" name="Line 12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22" name="Line 12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23" name="Line 12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24" name="Line 12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25" name="Line 12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26" name="Line 12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27" name="Line 13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28" name="Line 13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29" name="Line 13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30" name="Line 13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31" name="Line 13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32" name="Line 13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33" name="Line 13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34" name="Line 13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35" name="Line 13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36" name="Line 13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37" name="Line 14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38" name="Line 14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39" name="Line 14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40" name="Line 14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41" name="Line 14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42" name="Line 14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43" name="Line 14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44" name="Line 14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45" name="Line 14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46" name="Line 14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47" name="Line 15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48" name="Line 15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49" name="Line 15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50" name="Line 15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51" name="Line 15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52" name="Line 15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53" name="Line 15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54" name="Line 15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55" name="Line 15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56" name="Line 15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57" name="Line 16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58" name="Line 16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59" name="Line 16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60" name="Line 16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61" name="Line 16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62" name="Line 16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63" name="Line 16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64" name="Line 16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65" name="Line 16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66" name="Line 16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67" name="Line 17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68" name="Line 17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69" name="Line 17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70" name="Line 17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71" name="Line 17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72" name="Line 17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73" name="Line 17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2974" name="Line 17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75" name="Line 17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76" name="Line 17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77" name="Line 18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78" name="Line 18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79" name="Line 18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80" name="Line 18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81" name="Line 18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82" name="Line 18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83" name="Line 18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84" name="Line 18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85" name="Line 18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86" name="Line 18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87" name="Line 19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88" name="Line 19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89" name="Line 19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90" name="Line 19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2991" name="Line 19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16" name="Line 19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17" name="Line 19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18" name="Line 19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19" name="Line 19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20" name="Line 19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21" name="Line 20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22" name="Line 20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23" name="Line 20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24" name="Line 20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25" name="Line 20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26" name="Line 20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27" name="Line 20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28" name="Line 20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29" name="Line 20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30" name="Line 20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31" name="Line 21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32" name="Line 21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33" name="Line 21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34" name="Line 21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35" name="Line 21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36" name="Line 21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37" name="Line 21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38" name="Line 21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39" name="Line 21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40" name="Line 21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41" name="Line 22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42" name="Line 22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43" name="Line 22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44" name="Line 22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45" name="Line 22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46" name="Line 22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47" name="Line 22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48" name="Line 22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49" name="Line 22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50" name="Line 22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51" name="Line 23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52" name="Line 23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53" name="Line 23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54" name="Line 23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55" name="Line 23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56" name="Line 23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57" name="Line 23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58" name="Line 23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59" name="Line 23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60" name="Line 23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61" name="Line 24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62" name="Line 24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63" name="Line 24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64" name="Line 24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65" name="Line 24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66" name="Line 24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67" name="Line 24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68" name="Line 24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69" name="Line 24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70" name="Line 24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71" name="Line 25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72" name="Line 25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73" name="Line 25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74" name="Line 25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75" name="Line 25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76" name="Line 25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77" name="Line 25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78" name="Line 25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79" name="Line 25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80" name="Line 25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81" name="Line 26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82" name="Line 26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83" name="Line 26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84" name="Line 26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85" name="Line 26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86" name="Line 26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87" name="Line 26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88" name="Line 26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89" name="Line 26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90" name="Line 26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91" name="Line 27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92" name="Line 27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93" name="Line 27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94" name="Line 27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95" name="Line 27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96" name="Line 27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97" name="Line 27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098" name="Line 27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099" name="Line 27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00" name="Line 27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01" name="Line 28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02" name="Line 28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03" name="Line 28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04" name="Line 28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05" name="Line 28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06" name="Line 28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07" name="Line 28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08" name="Line 28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09" name="Line 28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10" name="Line 28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11" name="Line 29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12" name="Line 29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13" name="Line 29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14" name="Line 29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15" name="Line 29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16" name="Line 29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17" name="Line 29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18" name="Line 29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19" name="Line 29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20" name="Line 29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21" name="Line 30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22" name="Line 30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23" name="Line 30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24" name="Line 30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25" name="Line 30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26" name="Line 30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27" name="Line 30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28" name="Line 30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29" name="Line 30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30" name="Line 30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31" name="Line 31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32" name="Line 31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33" name="Line 31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34" name="Line 31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35" name="Line 31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36" name="Line 31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37" name="Line 31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38" name="Line 31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39" name="Line 31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40" name="Line 31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41" name="Line 32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42" name="Line 32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43" name="Line 32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44" name="Line 32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45" name="Line 32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46" name="Line 32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47" name="Line 32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48" name="Line 32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49" name="Line 32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50" name="Line 32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51" name="Line 33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52" name="Line 33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53" name="Line 33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54" name="Line 33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55" name="Line 33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56" name="Line 33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57" name="Line 33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58" name="Line 33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59" name="Line 33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60" name="Line 33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61" name="Line 34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62" name="Line 34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63" name="Line 34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64" name="Line 34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65" name="Line 34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66" name="Line 34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67" name="Line 34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68" name="Line 34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69" name="Line 34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70" name="Line 34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71" name="Line 35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72" name="Line 35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73" name="Line 35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74" name="Line 35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75" name="Line 35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76" name="Line 35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77" name="Line 35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78" name="Line 35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79" name="Line 35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80" name="Line 35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81" name="Line 36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82" name="Line 36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83" name="Line 36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84" name="Line 36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85" name="Line 36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86" name="Line 36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87" name="Line 36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88" name="Line 36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89" name="Line 36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90" name="Line 36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91" name="Line 37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92" name="Line 37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93" name="Line 37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194" name="Line 37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95" name="Line 37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96" name="Line 37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97" name="Line 37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98" name="Line 37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199" name="Line 37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00" name="Line 37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01" name="Line 38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02" name="Line 38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03" name="Line 38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04" name="Line 38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05" name="Line 38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85725</xdr:rowOff>
    </xdr:from>
    <xdr:to>
      <xdr:col>39</xdr:col>
      <xdr:colOff>0</xdr:colOff>
      <xdr:row>6</xdr:row>
      <xdr:rowOff>85725</xdr:rowOff>
    </xdr:to>
    <xdr:sp macro="" textlink="">
      <xdr:nvSpPr>
        <xdr:cNvPr id="42454206" name="Line 385"/>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07" name="Line 38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08" name="Line 38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09" name="Line 38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10" name="Line 38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11" name="Line 39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12" name="Line 39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13" name="Line 39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14" name="Line 39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15" name="Line 39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16" name="Line 39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17" name="Line 39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18" name="Line 39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19" name="Line 39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20" name="Line 39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21" name="Line 40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22" name="Line 40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23" name="Line 40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24" name="Line 40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25" name="Line 40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26" name="Line 40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27" name="Line 40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28" name="Line 40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29" name="Line 40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30" name="Line 40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31" name="Line 41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32" name="Line 41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33" name="Line 41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34" name="Line 41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35" name="Line 41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36" name="Line 41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37" name="Line 41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38" name="Line 41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39" name="Line 41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40" name="Line 41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41" name="Line 42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42" name="Line 42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43" name="Line 42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44" name="Line 42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45" name="Line 42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46" name="Line 42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47" name="Line 42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48" name="Line 42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49" name="Line 42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50" name="Line 42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51" name="Line 43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52" name="Line 43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53" name="Line 43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54" name="Line 43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55" name="Line 43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56" name="Line 43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57" name="Line 43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58" name="Line 43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59" name="Line 43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60" name="Line 43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61" name="Line 44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62" name="Line 44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63" name="Line 44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64" name="Line 44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65" name="Line 44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66" name="Line 44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67" name="Line 44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68" name="Line 44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69" name="Line 44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70" name="Line 44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71" name="Line 45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72" name="Line 45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73" name="Line 45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74" name="Line 45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75" name="Line 45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76" name="Line 45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277" name="Line 45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78" name="Line 45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79" name="Line 45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80" name="Line 45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81" name="Line 46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82" name="Line 46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83" name="Line 46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84" name="Line 46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85" name="Line 46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86" name="Line 46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87" name="Line 46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88" name="Line 46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89" name="Line 46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90" name="Line 46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91" name="Line 47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92" name="Line 47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93" name="Line 47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94" name="Line 47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95" name="Line 47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96" name="Line 47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97" name="Line 47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98" name="Line 47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299" name="Line 47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00" name="Line 47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01" name="Line 48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02" name="Line 48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03" name="Line 48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04" name="Line 48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05" name="Line 48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06" name="Line 48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07" name="Line 48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08" name="Line 48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09" name="Line 48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10" name="Line 48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11" name="Line 49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12" name="Line 49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13" name="Line 49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14" name="Line 49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15" name="Line 49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16" name="Line 49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17" name="Line 49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18" name="Line 49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19" name="Line 49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20" name="Line 49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21" name="Line 50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22" name="Line 50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23" name="Line 50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24" name="Line 50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25" name="Line 50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26" name="Line 50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27" name="Line 50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28" name="Line 50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29" name="Line 50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30" name="Line 50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31" name="Line 51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32" name="Line 51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33" name="Line 51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34" name="Line 51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35" name="Line 51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36" name="Line 51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37" name="Line 51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38" name="Line 51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39" name="Line 51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40" name="Line 51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41" name="Line 52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42" name="Line 52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43" name="Line 52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44" name="Line 52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45" name="Line 52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46" name="Line 52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47" name="Line 52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48" name="Line 52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49" name="Line 52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50" name="Line 52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51" name="Line 53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52" name="Line 53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53" name="Line 53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54" name="Line 53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55" name="Line 53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56" name="Line 53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57" name="Line 53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58" name="Line 537"/>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59" name="Line 538"/>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60" name="Line 539"/>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61" name="Line 540"/>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62" name="Line 541"/>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63" name="Line 542"/>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64" name="Line 543"/>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65" name="Line 544"/>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66" name="Line 545"/>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5</xdr:row>
      <xdr:rowOff>76200</xdr:rowOff>
    </xdr:from>
    <xdr:to>
      <xdr:col>3</xdr:col>
      <xdr:colOff>0</xdr:colOff>
      <xdr:row>6</xdr:row>
      <xdr:rowOff>76200</xdr:rowOff>
    </xdr:to>
    <xdr:sp macro="" textlink="">
      <xdr:nvSpPr>
        <xdr:cNvPr id="42454367" name="Line 546"/>
        <xdr:cNvSpPr>
          <a:spLocks noChangeShapeType="1"/>
        </xdr:cNvSpPr>
      </xdr:nvSpPr>
      <xdr:spPr bwMode="auto">
        <a:xfrm>
          <a:off x="2276475"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68" name="Line 54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69" name="Line 54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70" name="Line 54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71" name="Line 55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72" name="Line 55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73" name="Line 55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74" name="Line 55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75" name="Line 55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76" name="Line 55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77" name="Line 55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78" name="Line 55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79" name="Line 55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80" name="Line 55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81" name="Line 56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82" name="Line 56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83" name="Line 56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84" name="Line 56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85" name="Line 56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86" name="Line 56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87" name="Line 56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88" name="Line 56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89" name="Line 56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90" name="Line 56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91" name="Line 57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92" name="Line 57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93" name="Line 57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94" name="Line 57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95" name="Line 57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96" name="Line 57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97" name="Line 57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98" name="Line 57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399" name="Line 57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00" name="Line 57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01" name="Line 58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02" name="Line 58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03" name="Line 58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04" name="Line 58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05" name="Line 58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06" name="Line 58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07" name="Line 58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08" name="Line 58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09" name="Line 58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10" name="Line 58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11" name="Line 59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12" name="Line 59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13" name="Line 59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14" name="Line 59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15" name="Line 59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16" name="Line 59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17" name="Line 59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18" name="Line 59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19" name="Line 59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20" name="Line 59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21" name="Line 60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22" name="Line 60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23" name="Line 60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24" name="Line 60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25" name="Line 60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26" name="Line 60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5</xdr:row>
      <xdr:rowOff>76200</xdr:rowOff>
    </xdr:from>
    <xdr:to>
      <xdr:col>39</xdr:col>
      <xdr:colOff>0</xdr:colOff>
      <xdr:row>6</xdr:row>
      <xdr:rowOff>76200</xdr:rowOff>
    </xdr:to>
    <xdr:sp macro="" textlink="">
      <xdr:nvSpPr>
        <xdr:cNvPr id="42454427" name="Line 60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9525</xdr:colOff>
      <xdr:row>5</xdr:row>
      <xdr:rowOff>85725</xdr:rowOff>
    </xdr:from>
    <xdr:to>
      <xdr:col>39</xdr:col>
      <xdr:colOff>9525</xdr:colOff>
      <xdr:row>6</xdr:row>
      <xdr:rowOff>85725</xdr:rowOff>
    </xdr:to>
    <xdr:sp macro="" textlink="">
      <xdr:nvSpPr>
        <xdr:cNvPr id="42454428" name="Line 607"/>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5</xdr:row>
      <xdr:rowOff>76200</xdr:rowOff>
    </xdr:from>
    <xdr:to>
      <xdr:col>39</xdr:col>
      <xdr:colOff>19050</xdr:colOff>
      <xdr:row>6</xdr:row>
      <xdr:rowOff>76200</xdr:rowOff>
    </xdr:to>
    <xdr:sp macro="" textlink="">
      <xdr:nvSpPr>
        <xdr:cNvPr id="42454429" name="Line 60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5</xdr:row>
      <xdr:rowOff>76200</xdr:rowOff>
    </xdr:from>
    <xdr:to>
      <xdr:col>39</xdr:col>
      <xdr:colOff>19050</xdr:colOff>
      <xdr:row>6</xdr:row>
      <xdr:rowOff>76200</xdr:rowOff>
    </xdr:to>
    <xdr:sp macro="" textlink="">
      <xdr:nvSpPr>
        <xdr:cNvPr id="42454430" name="Line 60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5</xdr:row>
      <xdr:rowOff>76200</xdr:rowOff>
    </xdr:from>
    <xdr:to>
      <xdr:col>39</xdr:col>
      <xdr:colOff>19050</xdr:colOff>
      <xdr:row>6</xdr:row>
      <xdr:rowOff>76200</xdr:rowOff>
    </xdr:to>
    <xdr:sp macro="" textlink="">
      <xdr:nvSpPr>
        <xdr:cNvPr id="42454431" name="Line 61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5</xdr:row>
      <xdr:rowOff>76200</xdr:rowOff>
    </xdr:from>
    <xdr:to>
      <xdr:col>39</xdr:col>
      <xdr:colOff>19050</xdr:colOff>
      <xdr:row>6</xdr:row>
      <xdr:rowOff>76200</xdr:rowOff>
    </xdr:to>
    <xdr:sp macro="" textlink="">
      <xdr:nvSpPr>
        <xdr:cNvPr id="42454432" name="Line 61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5</xdr:row>
      <xdr:rowOff>76200</xdr:rowOff>
    </xdr:from>
    <xdr:to>
      <xdr:col>39</xdr:col>
      <xdr:colOff>19050</xdr:colOff>
      <xdr:row>6</xdr:row>
      <xdr:rowOff>76200</xdr:rowOff>
    </xdr:to>
    <xdr:sp macro="" textlink="">
      <xdr:nvSpPr>
        <xdr:cNvPr id="42454433" name="Line 61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5</xdr:row>
      <xdr:rowOff>76200</xdr:rowOff>
    </xdr:from>
    <xdr:to>
      <xdr:col>39</xdr:col>
      <xdr:colOff>19050</xdr:colOff>
      <xdr:row>6</xdr:row>
      <xdr:rowOff>76200</xdr:rowOff>
    </xdr:to>
    <xdr:sp macro="" textlink="">
      <xdr:nvSpPr>
        <xdr:cNvPr id="42454434" name="Line 61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5</xdr:row>
      <xdr:rowOff>76200</xdr:rowOff>
    </xdr:from>
    <xdr:to>
      <xdr:col>39</xdr:col>
      <xdr:colOff>19050</xdr:colOff>
      <xdr:row>6</xdr:row>
      <xdr:rowOff>76200</xdr:rowOff>
    </xdr:to>
    <xdr:sp macro="" textlink="">
      <xdr:nvSpPr>
        <xdr:cNvPr id="42454435" name="Line 61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5</xdr:row>
      <xdr:rowOff>76200</xdr:rowOff>
    </xdr:from>
    <xdr:to>
      <xdr:col>39</xdr:col>
      <xdr:colOff>19050</xdr:colOff>
      <xdr:row>6</xdr:row>
      <xdr:rowOff>76200</xdr:rowOff>
    </xdr:to>
    <xdr:sp macro="" textlink="">
      <xdr:nvSpPr>
        <xdr:cNvPr id="42454436" name="Line 61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5</xdr:row>
      <xdr:rowOff>76200</xdr:rowOff>
    </xdr:from>
    <xdr:to>
      <xdr:col>39</xdr:col>
      <xdr:colOff>19050</xdr:colOff>
      <xdr:row>6</xdr:row>
      <xdr:rowOff>76200</xdr:rowOff>
    </xdr:to>
    <xdr:sp macro="" textlink="">
      <xdr:nvSpPr>
        <xdr:cNvPr id="42454437" name="Line 61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5</xdr:row>
      <xdr:rowOff>76200</xdr:rowOff>
    </xdr:from>
    <xdr:to>
      <xdr:col>39</xdr:col>
      <xdr:colOff>19050</xdr:colOff>
      <xdr:row>6</xdr:row>
      <xdr:rowOff>76200</xdr:rowOff>
    </xdr:to>
    <xdr:sp macro="" textlink="">
      <xdr:nvSpPr>
        <xdr:cNvPr id="42454438" name="Line 61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5</xdr:row>
      <xdr:rowOff>76200</xdr:rowOff>
    </xdr:from>
    <xdr:to>
      <xdr:col>39</xdr:col>
      <xdr:colOff>19050</xdr:colOff>
      <xdr:row>6</xdr:row>
      <xdr:rowOff>76200</xdr:rowOff>
    </xdr:to>
    <xdr:sp macro="" textlink="">
      <xdr:nvSpPr>
        <xdr:cNvPr id="42454439" name="Line 61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5</xdr:row>
      <xdr:rowOff>76200</xdr:rowOff>
    </xdr:from>
    <xdr:to>
      <xdr:col>39</xdr:col>
      <xdr:colOff>19050</xdr:colOff>
      <xdr:row>6</xdr:row>
      <xdr:rowOff>76200</xdr:rowOff>
    </xdr:to>
    <xdr:sp macro="" textlink="">
      <xdr:nvSpPr>
        <xdr:cNvPr id="42454440" name="Line 61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5</xdr:row>
      <xdr:rowOff>76200</xdr:rowOff>
    </xdr:from>
    <xdr:to>
      <xdr:col>39</xdr:col>
      <xdr:colOff>19050</xdr:colOff>
      <xdr:row>6</xdr:row>
      <xdr:rowOff>76200</xdr:rowOff>
    </xdr:to>
    <xdr:sp macro="" textlink="">
      <xdr:nvSpPr>
        <xdr:cNvPr id="42454441" name="Line 62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5</xdr:row>
      <xdr:rowOff>76200</xdr:rowOff>
    </xdr:from>
    <xdr:to>
      <xdr:col>39</xdr:col>
      <xdr:colOff>19050</xdr:colOff>
      <xdr:row>6</xdr:row>
      <xdr:rowOff>76200</xdr:rowOff>
    </xdr:to>
    <xdr:sp macro="" textlink="">
      <xdr:nvSpPr>
        <xdr:cNvPr id="42454442" name="Line 62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5</xdr:row>
      <xdr:rowOff>76200</xdr:rowOff>
    </xdr:from>
    <xdr:to>
      <xdr:col>39</xdr:col>
      <xdr:colOff>19050</xdr:colOff>
      <xdr:row>6</xdr:row>
      <xdr:rowOff>76200</xdr:rowOff>
    </xdr:to>
    <xdr:sp macro="" textlink="">
      <xdr:nvSpPr>
        <xdr:cNvPr id="42454443" name="Line 62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9525</xdr:colOff>
      <xdr:row>5</xdr:row>
      <xdr:rowOff>85725</xdr:rowOff>
    </xdr:from>
    <xdr:to>
      <xdr:col>44</xdr:col>
      <xdr:colOff>9525</xdr:colOff>
      <xdr:row>6</xdr:row>
      <xdr:rowOff>85725</xdr:rowOff>
    </xdr:to>
    <xdr:sp macro="" textlink="">
      <xdr:nvSpPr>
        <xdr:cNvPr id="42454444" name="Line 624"/>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5</xdr:row>
      <xdr:rowOff>76200</xdr:rowOff>
    </xdr:from>
    <xdr:to>
      <xdr:col>44</xdr:col>
      <xdr:colOff>19050</xdr:colOff>
      <xdr:row>6</xdr:row>
      <xdr:rowOff>76200</xdr:rowOff>
    </xdr:to>
    <xdr:sp macro="" textlink="">
      <xdr:nvSpPr>
        <xdr:cNvPr id="42454445" name="Line 62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5</xdr:row>
      <xdr:rowOff>76200</xdr:rowOff>
    </xdr:from>
    <xdr:to>
      <xdr:col>44</xdr:col>
      <xdr:colOff>19050</xdr:colOff>
      <xdr:row>6</xdr:row>
      <xdr:rowOff>76200</xdr:rowOff>
    </xdr:to>
    <xdr:sp macro="" textlink="">
      <xdr:nvSpPr>
        <xdr:cNvPr id="42454446" name="Line 62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5</xdr:row>
      <xdr:rowOff>76200</xdr:rowOff>
    </xdr:from>
    <xdr:to>
      <xdr:col>44</xdr:col>
      <xdr:colOff>19050</xdr:colOff>
      <xdr:row>6</xdr:row>
      <xdr:rowOff>76200</xdr:rowOff>
    </xdr:to>
    <xdr:sp macro="" textlink="">
      <xdr:nvSpPr>
        <xdr:cNvPr id="42454447" name="Line 62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5</xdr:row>
      <xdr:rowOff>76200</xdr:rowOff>
    </xdr:from>
    <xdr:to>
      <xdr:col>44</xdr:col>
      <xdr:colOff>19050</xdr:colOff>
      <xdr:row>6</xdr:row>
      <xdr:rowOff>76200</xdr:rowOff>
    </xdr:to>
    <xdr:sp macro="" textlink="">
      <xdr:nvSpPr>
        <xdr:cNvPr id="42454448" name="Line 62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5</xdr:row>
      <xdr:rowOff>76200</xdr:rowOff>
    </xdr:from>
    <xdr:to>
      <xdr:col>44</xdr:col>
      <xdr:colOff>19050</xdr:colOff>
      <xdr:row>6</xdr:row>
      <xdr:rowOff>76200</xdr:rowOff>
    </xdr:to>
    <xdr:sp macro="" textlink="">
      <xdr:nvSpPr>
        <xdr:cNvPr id="42454449" name="Line 62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5</xdr:row>
      <xdr:rowOff>76200</xdr:rowOff>
    </xdr:from>
    <xdr:to>
      <xdr:col>44</xdr:col>
      <xdr:colOff>19050</xdr:colOff>
      <xdr:row>6</xdr:row>
      <xdr:rowOff>76200</xdr:rowOff>
    </xdr:to>
    <xdr:sp macro="" textlink="">
      <xdr:nvSpPr>
        <xdr:cNvPr id="42454450" name="Line 63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5</xdr:row>
      <xdr:rowOff>76200</xdr:rowOff>
    </xdr:from>
    <xdr:to>
      <xdr:col>44</xdr:col>
      <xdr:colOff>19050</xdr:colOff>
      <xdr:row>6</xdr:row>
      <xdr:rowOff>76200</xdr:rowOff>
    </xdr:to>
    <xdr:sp macro="" textlink="">
      <xdr:nvSpPr>
        <xdr:cNvPr id="42454451" name="Line 63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5</xdr:row>
      <xdr:rowOff>76200</xdr:rowOff>
    </xdr:from>
    <xdr:to>
      <xdr:col>44</xdr:col>
      <xdr:colOff>19050</xdr:colOff>
      <xdr:row>6</xdr:row>
      <xdr:rowOff>76200</xdr:rowOff>
    </xdr:to>
    <xdr:sp macro="" textlink="">
      <xdr:nvSpPr>
        <xdr:cNvPr id="42454452" name="Line 63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5</xdr:row>
      <xdr:rowOff>76200</xdr:rowOff>
    </xdr:from>
    <xdr:to>
      <xdr:col>44</xdr:col>
      <xdr:colOff>19050</xdr:colOff>
      <xdr:row>6</xdr:row>
      <xdr:rowOff>76200</xdr:rowOff>
    </xdr:to>
    <xdr:sp macro="" textlink="">
      <xdr:nvSpPr>
        <xdr:cNvPr id="42454453" name="Line 63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5</xdr:row>
      <xdr:rowOff>76200</xdr:rowOff>
    </xdr:from>
    <xdr:to>
      <xdr:col>44</xdr:col>
      <xdr:colOff>19050</xdr:colOff>
      <xdr:row>6</xdr:row>
      <xdr:rowOff>76200</xdr:rowOff>
    </xdr:to>
    <xdr:sp macro="" textlink="">
      <xdr:nvSpPr>
        <xdr:cNvPr id="42454454" name="Line 63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5</xdr:row>
      <xdr:rowOff>76200</xdr:rowOff>
    </xdr:from>
    <xdr:to>
      <xdr:col>44</xdr:col>
      <xdr:colOff>19050</xdr:colOff>
      <xdr:row>6</xdr:row>
      <xdr:rowOff>76200</xdr:rowOff>
    </xdr:to>
    <xdr:sp macro="" textlink="">
      <xdr:nvSpPr>
        <xdr:cNvPr id="42454455" name="Line 63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5</xdr:row>
      <xdr:rowOff>76200</xdr:rowOff>
    </xdr:from>
    <xdr:to>
      <xdr:col>44</xdr:col>
      <xdr:colOff>19050</xdr:colOff>
      <xdr:row>6</xdr:row>
      <xdr:rowOff>76200</xdr:rowOff>
    </xdr:to>
    <xdr:sp macro="" textlink="">
      <xdr:nvSpPr>
        <xdr:cNvPr id="42454456" name="Line 63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5</xdr:row>
      <xdr:rowOff>76200</xdr:rowOff>
    </xdr:from>
    <xdr:to>
      <xdr:col>44</xdr:col>
      <xdr:colOff>19050</xdr:colOff>
      <xdr:row>6</xdr:row>
      <xdr:rowOff>76200</xdr:rowOff>
    </xdr:to>
    <xdr:sp macro="" textlink="">
      <xdr:nvSpPr>
        <xdr:cNvPr id="42454457" name="Line 63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5</xdr:row>
      <xdr:rowOff>76200</xdr:rowOff>
    </xdr:from>
    <xdr:to>
      <xdr:col>44</xdr:col>
      <xdr:colOff>19050</xdr:colOff>
      <xdr:row>6</xdr:row>
      <xdr:rowOff>76200</xdr:rowOff>
    </xdr:to>
    <xdr:sp macro="" textlink="">
      <xdr:nvSpPr>
        <xdr:cNvPr id="42454458" name="Line 63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5</xdr:row>
      <xdr:rowOff>76200</xdr:rowOff>
    </xdr:from>
    <xdr:to>
      <xdr:col>44</xdr:col>
      <xdr:colOff>19050</xdr:colOff>
      <xdr:row>6</xdr:row>
      <xdr:rowOff>76200</xdr:rowOff>
    </xdr:to>
    <xdr:sp macro="" textlink="">
      <xdr:nvSpPr>
        <xdr:cNvPr id="42454459" name="Line 63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5</xdr:row>
      <xdr:rowOff>76200</xdr:rowOff>
    </xdr:from>
    <xdr:to>
      <xdr:col>44</xdr:col>
      <xdr:colOff>19050</xdr:colOff>
      <xdr:row>6</xdr:row>
      <xdr:rowOff>76200</xdr:rowOff>
    </xdr:to>
    <xdr:sp macro="" textlink="">
      <xdr:nvSpPr>
        <xdr:cNvPr id="42454460" name="Line 64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5</xdr:row>
      <xdr:rowOff>76200</xdr:rowOff>
    </xdr:from>
    <xdr:to>
      <xdr:col>44</xdr:col>
      <xdr:colOff>19050</xdr:colOff>
      <xdr:row>6</xdr:row>
      <xdr:rowOff>76200</xdr:rowOff>
    </xdr:to>
    <xdr:sp macro="" textlink="">
      <xdr:nvSpPr>
        <xdr:cNvPr id="42454461" name="Line 64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5</xdr:row>
      <xdr:rowOff>76200</xdr:rowOff>
    </xdr:from>
    <xdr:to>
      <xdr:col>44</xdr:col>
      <xdr:colOff>19050</xdr:colOff>
      <xdr:row>6</xdr:row>
      <xdr:rowOff>76200</xdr:rowOff>
    </xdr:to>
    <xdr:sp macro="" textlink="">
      <xdr:nvSpPr>
        <xdr:cNvPr id="42454462" name="Line 64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5</xdr:row>
      <xdr:rowOff>76200</xdr:rowOff>
    </xdr:from>
    <xdr:to>
      <xdr:col>44</xdr:col>
      <xdr:colOff>19050</xdr:colOff>
      <xdr:row>6</xdr:row>
      <xdr:rowOff>76200</xdr:rowOff>
    </xdr:to>
    <xdr:sp macro="" textlink="">
      <xdr:nvSpPr>
        <xdr:cNvPr id="42454463" name="Line 64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9525</xdr:colOff>
      <xdr:row>5</xdr:row>
      <xdr:rowOff>85725</xdr:rowOff>
    </xdr:from>
    <xdr:to>
      <xdr:col>49</xdr:col>
      <xdr:colOff>9525</xdr:colOff>
      <xdr:row>6</xdr:row>
      <xdr:rowOff>85725</xdr:rowOff>
    </xdr:to>
    <xdr:sp macro="" textlink="">
      <xdr:nvSpPr>
        <xdr:cNvPr id="42454464" name="Line 645"/>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5</xdr:row>
      <xdr:rowOff>76200</xdr:rowOff>
    </xdr:from>
    <xdr:to>
      <xdr:col>49</xdr:col>
      <xdr:colOff>19050</xdr:colOff>
      <xdr:row>6</xdr:row>
      <xdr:rowOff>76200</xdr:rowOff>
    </xdr:to>
    <xdr:sp macro="" textlink="">
      <xdr:nvSpPr>
        <xdr:cNvPr id="42454465" name="Line 64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5</xdr:row>
      <xdr:rowOff>76200</xdr:rowOff>
    </xdr:from>
    <xdr:to>
      <xdr:col>49</xdr:col>
      <xdr:colOff>19050</xdr:colOff>
      <xdr:row>6</xdr:row>
      <xdr:rowOff>76200</xdr:rowOff>
    </xdr:to>
    <xdr:sp macro="" textlink="">
      <xdr:nvSpPr>
        <xdr:cNvPr id="42454466" name="Line 64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5</xdr:row>
      <xdr:rowOff>76200</xdr:rowOff>
    </xdr:from>
    <xdr:to>
      <xdr:col>49</xdr:col>
      <xdr:colOff>19050</xdr:colOff>
      <xdr:row>6</xdr:row>
      <xdr:rowOff>76200</xdr:rowOff>
    </xdr:to>
    <xdr:sp macro="" textlink="">
      <xdr:nvSpPr>
        <xdr:cNvPr id="42454467" name="Line 64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5</xdr:row>
      <xdr:rowOff>76200</xdr:rowOff>
    </xdr:from>
    <xdr:to>
      <xdr:col>49</xdr:col>
      <xdr:colOff>19050</xdr:colOff>
      <xdr:row>6</xdr:row>
      <xdr:rowOff>76200</xdr:rowOff>
    </xdr:to>
    <xdr:sp macro="" textlink="">
      <xdr:nvSpPr>
        <xdr:cNvPr id="42454468" name="Line 64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5</xdr:row>
      <xdr:rowOff>76200</xdr:rowOff>
    </xdr:from>
    <xdr:to>
      <xdr:col>49</xdr:col>
      <xdr:colOff>19050</xdr:colOff>
      <xdr:row>6</xdr:row>
      <xdr:rowOff>76200</xdr:rowOff>
    </xdr:to>
    <xdr:sp macro="" textlink="">
      <xdr:nvSpPr>
        <xdr:cNvPr id="42454469" name="Line 65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5</xdr:row>
      <xdr:rowOff>76200</xdr:rowOff>
    </xdr:from>
    <xdr:to>
      <xdr:col>49</xdr:col>
      <xdr:colOff>19050</xdr:colOff>
      <xdr:row>6</xdr:row>
      <xdr:rowOff>76200</xdr:rowOff>
    </xdr:to>
    <xdr:sp macro="" textlink="">
      <xdr:nvSpPr>
        <xdr:cNvPr id="42454470" name="Line 65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5</xdr:row>
      <xdr:rowOff>76200</xdr:rowOff>
    </xdr:from>
    <xdr:to>
      <xdr:col>49</xdr:col>
      <xdr:colOff>19050</xdr:colOff>
      <xdr:row>6</xdr:row>
      <xdr:rowOff>76200</xdr:rowOff>
    </xdr:to>
    <xdr:sp macro="" textlink="">
      <xdr:nvSpPr>
        <xdr:cNvPr id="42454471" name="Line 65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5</xdr:row>
      <xdr:rowOff>76200</xdr:rowOff>
    </xdr:from>
    <xdr:to>
      <xdr:col>49</xdr:col>
      <xdr:colOff>19050</xdr:colOff>
      <xdr:row>6</xdr:row>
      <xdr:rowOff>76200</xdr:rowOff>
    </xdr:to>
    <xdr:sp macro="" textlink="">
      <xdr:nvSpPr>
        <xdr:cNvPr id="42454472" name="Line 65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5</xdr:row>
      <xdr:rowOff>76200</xdr:rowOff>
    </xdr:from>
    <xdr:to>
      <xdr:col>49</xdr:col>
      <xdr:colOff>19050</xdr:colOff>
      <xdr:row>6</xdr:row>
      <xdr:rowOff>76200</xdr:rowOff>
    </xdr:to>
    <xdr:sp macro="" textlink="">
      <xdr:nvSpPr>
        <xdr:cNvPr id="42454473" name="Line 65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5</xdr:row>
      <xdr:rowOff>76200</xdr:rowOff>
    </xdr:from>
    <xdr:to>
      <xdr:col>49</xdr:col>
      <xdr:colOff>19050</xdr:colOff>
      <xdr:row>6</xdr:row>
      <xdr:rowOff>76200</xdr:rowOff>
    </xdr:to>
    <xdr:sp macro="" textlink="">
      <xdr:nvSpPr>
        <xdr:cNvPr id="42454474" name="Line 65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5</xdr:row>
      <xdr:rowOff>76200</xdr:rowOff>
    </xdr:from>
    <xdr:to>
      <xdr:col>49</xdr:col>
      <xdr:colOff>19050</xdr:colOff>
      <xdr:row>6</xdr:row>
      <xdr:rowOff>76200</xdr:rowOff>
    </xdr:to>
    <xdr:sp macro="" textlink="">
      <xdr:nvSpPr>
        <xdr:cNvPr id="42454475" name="Line 65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5</xdr:row>
      <xdr:rowOff>76200</xdr:rowOff>
    </xdr:from>
    <xdr:to>
      <xdr:col>49</xdr:col>
      <xdr:colOff>19050</xdr:colOff>
      <xdr:row>6</xdr:row>
      <xdr:rowOff>76200</xdr:rowOff>
    </xdr:to>
    <xdr:sp macro="" textlink="">
      <xdr:nvSpPr>
        <xdr:cNvPr id="42454476" name="Line 65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5</xdr:row>
      <xdr:rowOff>76200</xdr:rowOff>
    </xdr:from>
    <xdr:to>
      <xdr:col>49</xdr:col>
      <xdr:colOff>19050</xdr:colOff>
      <xdr:row>6</xdr:row>
      <xdr:rowOff>76200</xdr:rowOff>
    </xdr:to>
    <xdr:sp macro="" textlink="">
      <xdr:nvSpPr>
        <xdr:cNvPr id="42454477" name="Line 65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5</xdr:row>
      <xdr:rowOff>76200</xdr:rowOff>
    </xdr:from>
    <xdr:to>
      <xdr:col>49</xdr:col>
      <xdr:colOff>19050</xdr:colOff>
      <xdr:row>6</xdr:row>
      <xdr:rowOff>76200</xdr:rowOff>
    </xdr:to>
    <xdr:sp macro="" textlink="">
      <xdr:nvSpPr>
        <xdr:cNvPr id="42454478" name="Line 65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5</xdr:row>
      <xdr:rowOff>76200</xdr:rowOff>
    </xdr:from>
    <xdr:to>
      <xdr:col>49</xdr:col>
      <xdr:colOff>19050</xdr:colOff>
      <xdr:row>6</xdr:row>
      <xdr:rowOff>76200</xdr:rowOff>
    </xdr:to>
    <xdr:sp macro="" textlink="">
      <xdr:nvSpPr>
        <xdr:cNvPr id="42454479" name="Line 66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5</xdr:row>
      <xdr:rowOff>76200</xdr:rowOff>
    </xdr:from>
    <xdr:to>
      <xdr:col>49</xdr:col>
      <xdr:colOff>19050</xdr:colOff>
      <xdr:row>6</xdr:row>
      <xdr:rowOff>76200</xdr:rowOff>
    </xdr:to>
    <xdr:sp macro="" textlink="">
      <xdr:nvSpPr>
        <xdr:cNvPr id="42454480" name="Line 66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5</xdr:row>
      <xdr:rowOff>76200</xdr:rowOff>
    </xdr:from>
    <xdr:to>
      <xdr:col>49</xdr:col>
      <xdr:colOff>19050</xdr:colOff>
      <xdr:row>6</xdr:row>
      <xdr:rowOff>76200</xdr:rowOff>
    </xdr:to>
    <xdr:sp macro="" textlink="">
      <xdr:nvSpPr>
        <xdr:cNvPr id="42454481" name="Line 66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5</xdr:row>
      <xdr:rowOff>76200</xdr:rowOff>
    </xdr:from>
    <xdr:to>
      <xdr:col>49</xdr:col>
      <xdr:colOff>19050</xdr:colOff>
      <xdr:row>6</xdr:row>
      <xdr:rowOff>76200</xdr:rowOff>
    </xdr:to>
    <xdr:sp macro="" textlink="">
      <xdr:nvSpPr>
        <xdr:cNvPr id="42454482" name="Line 66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5</xdr:row>
      <xdr:rowOff>76200</xdr:rowOff>
    </xdr:from>
    <xdr:to>
      <xdr:col>49</xdr:col>
      <xdr:colOff>19050</xdr:colOff>
      <xdr:row>6</xdr:row>
      <xdr:rowOff>76200</xdr:rowOff>
    </xdr:to>
    <xdr:sp macro="" textlink="">
      <xdr:nvSpPr>
        <xdr:cNvPr id="42454483" name="Line 66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9525</xdr:colOff>
      <xdr:row>5</xdr:row>
      <xdr:rowOff>85725</xdr:rowOff>
    </xdr:from>
    <xdr:to>
      <xdr:col>54</xdr:col>
      <xdr:colOff>9525</xdr:colOff>
      <xdr:row>6</xdr:row>
      <xdr:rowOff>85725</xdr:rowOff>
    </xdr:to>
    <xdr:sp macro="" textlink="">
      <xdr:nvSpPr>
        <xdr:cNvPr id="42454484" name="Line 665"/>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485" name="Line 66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486" name="Line 66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487" name="Line 66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488" name="Line 66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489" name="Line 67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490" name="Line 67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491" name="Line 67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492" name="Line 67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493" name="Line 67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494" name="Line 67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495" name="Line 67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496" name="Line 67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497" name="Line 67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498" name="Line 67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499" name="Line 68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500" name="Line 68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501" name="Line 68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502" name="Line 68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503" name="Line 68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04" name="Line 68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05" name="Line 68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06" name="Line 68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07" name="Line 68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08" name="Line 68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09" name="Line 69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10" name="Line 69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11" name="Line 69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12" name="Line 69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13" name="Line 69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14" name="Line 69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15" name="Line 69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16" name="Line 69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17" name="Line 69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18" name="Line 69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19" name="Line 70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20" name="Line 70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21" name="Line 70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22" name="Line 70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23" name="Line 70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24" name="Line 70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25" name="Line 70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26" name="Line 70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27" name="Line 70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28" name="Line 70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29" name="Line 71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30" name="Line 71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31" name="Line 71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32" name="Line 71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33" name="Line 71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34" name="Line 71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35" name="Line 71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36" name="Line 71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37" name="Line 71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38" name="Line 71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39" name="Line 72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40" name="Line 72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41" name="Line 72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42" name="Line 72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43" name="Line 72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44" name="Line 72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45" name="Line 72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46" name="Line 72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47" name="Line 72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48" name="Line 72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49" name="Line 73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50" name="Line 73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51" name="Line 73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52" name="Line 73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53" name="Line 73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54" name="Line 73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55" name="Line 73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56" name="Line 73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57" name="Line 73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58" name="Line 73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59" name="Line 74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60" name="Line 74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61" name="Line 74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62" name="Line 74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63" name="Line 74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64" name="Line 74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65" name="Line 74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66" name="Line 74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67" name="Line 74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68" name="Line 74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69" name="Line 75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70" name="Line 75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71" name="Line 75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72" name="Line 75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73" name="Line 75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74" name="Line 75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75" name="Line 75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76" name="Line 75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77" name="Line 75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78" name="Line 75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79" name="Line 76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80" name="Line 76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81" name="Line 76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82" name="Line 76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83" name="Line 76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84" name="Line 76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85" name="Line 76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86" name="Line 76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87" name="Line 76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88" name="Line 76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89" name="Line 77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90" name="Line 77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91" name="Line 77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92" name="Line 77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93" name="Line 77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94" name="Line 77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95" name="Line 77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96" name="Line 77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97" name="Line 77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98" name="Line 77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599" name="Line 78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00" name="Line 78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01" name="Line 78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02" name="Line 78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03" name="Line 78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04" name="Line 78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05" name="Line 78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06" name="Line 78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07" name="Line 78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08" name="Line 78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09" name="Line 79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10" name="Line 79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11" name="Line 79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12" name="Line 79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13" name="Line 79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14" name="Line 79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15" name="Line 79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16" name="Line 79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17" name="Line 79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18" name="Line 79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19" name="Line 80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20" name="Line 80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21" name="Line 80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22" name="Line 80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23" name="Line 80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24" name="Line 80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25" name="Line 80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26" name="Line 80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27" name="Line 80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28" name="Line 80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29" name="Line 81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30" name="Line 81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31" name="Line 81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32" name="Line 81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33" name="Line 81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34" name="Line 81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35" name="Line 81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36" name="Line 81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37" name="Line 81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38" name="Line 81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39" name="Line 82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40" name="Line 82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41" name="Line 82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42" name="Line 82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43" name="Line 82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44" name="Line 82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45" name="Line 82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46" name="Line 82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47" name="Line 82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48" name="Line 82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49" name="Line 83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50" name="Line 83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51" name="Line 83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52" name="Line 83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53" name="Line 83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54" name="Line 83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55" name="Line 83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56" name="Line 83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57" name="Line 83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58" name="Line 83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59" name="Line 84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60" name="Line 84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61" name="Line 84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62" name="Line 84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63" name="Line 84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64" name="Line 84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65" name="Line 84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66" name="Line 84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67" name="Line 84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68" name="Line 84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69" name="Line 85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70" name="Line 85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71" name="Line 85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72" name="Line 85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73" name="Line 85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74" name="Line 85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75" name="Line 85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76" name="Line 85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77" name="Line 85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78" name="Line 85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79" name="Line 86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80" name="Line 86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81" name="Line 86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82" name="Line 86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83" name="Line 86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84" name="Line 86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85" name="Line 86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86" name="Line 86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87" name="Line 86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88" name="Line 86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89" name="Line 87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90" name="Line 87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91" name="Line 87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92" name="Line 87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93" name="Line 87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94" name="Line 87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95" name="Line 87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96" name="Line 87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97" name="Line 87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98" name="Line 87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699" name="Line 88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00" name="Line 88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01" name="Line 88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02" name="Line 88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03" name="Line 88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04" name="Line 88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05" name="Line 88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06" name="Line 88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07" name="Line 88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08" name="Line 88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09" name="Line 89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10" name="Line 89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11" name="Line 89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12" name="Line 89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13" name="Line 89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14" name="Line 89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15" name="Line 89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16" name="Line 89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17" name="Line 89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18" name="Line 89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19" name="Line 90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20" name="Line 90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21" name="Line 90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22" name="Line 90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23" name="Line 90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24" name="Line 90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725" name="Line 90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9525</xdr:colOff>
      <xdr:row>14</xdr:row>
      <xdr:rowOff>0</xdr:rowOff>
    </xdr:from>
    <xdr:to>
      <xdr:col>39</xdr:col>
      <xdr:colOff>9525</xdr:colOff>
      <xdr:row>14</xdr:row>
      <xdr:rowOff>0</xdr:rowOff>
    </xdr:to>
    <xdr:sp macro="" textlink="">
      <xdr:nvSpPr>
        <xdr:cNvPr id="42454726" name="Line 90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4727" name="Line 90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4728" name="Line 90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4729" name="Line 91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4730" name="Line 91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4731" name="Line 91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4732" name="Line 91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4733" name="Line 91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4734" name="Line 91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4735" name="Line 91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4736" name="Line 91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4737" name="Line 91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4738" name="Line 91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4739" name="Line 92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4740" name="Line 92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4741" name="Line 92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9525</xdr:colOff>
      <xdr:row>14</xdr:row>
      <xdr:rowOff>0</xdr:rowOff>
    </xdr:from>
    <xdr:to>
      <xdr:col>44</xdr:col>
      <xdr:colOff>9525</xdr:colOff>
      <xdr:row>14</xdr:row>
      <xdr:rowOff>0</xdr:rowOff>
    </xdr:to>
    <xdr:sp macro="" textlink="">
      <xdr:nvSpPr>
        <xdr:cNvPr id="42454742" name="Line 92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4743" name="Line 92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4744" name="Line 92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4745" name="Line 92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4746" name="Line 92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4747" name="Line 92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4748" name="Line 92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4749" name="Line 93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4750" name="Line 93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4751" name="Line 93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4752" name="Line 93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4753" name="Line 93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4754" name="Line 93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4755" name="Line 93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4756" name="Line 93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4757" name="Line 93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4758" name="Line 93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4759" name="Line 94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4760" name="Line 94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4761" name="Line 94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9525</xdr:colOff>
      <xdr:row>14</xdr:row>
      <xdr:rowOff>0</xdr:rowOff>
    </xdr:from>
    <xdr:to>
      <xdr:col>49</xdr:col>
      <xdr:colOff>9525</xdr:colOff>
      <xdr:row>14</xdr:row>
      <xdr:rowOff>0</xdr:rowOff>
    </xdr:to>
    <xdr:sp macro="" textlink="">
      <xdr:nvSpPr>
        <xdr:cNvPr id="42454762" name="Line 94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4763" name="Line 94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4764" name="Line 94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4765" name="Line 94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4766" name="Line 94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4767" name="Line 94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4768" name="Line 94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4769" name="Line 95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4770" name="Line 95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4771" name="Line 95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4772" name="Line 95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4773" name="Line 95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4774" name="Line 95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4775" name="Line 95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4776" name="Line 95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4777" name="Line 95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4778" name="Line 95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4779" name="Line 96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4780" name="Line 96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4781" name="Line 96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9525</xdr:colOff>
      <xdr:row>14</xdr:row>
      <xdr:rowOff>0</xdr:rowOff>
    </xdr:from>
    <xdr:to>
      <xdr:col>54</xdr:col>
      <xdr:colOff>9525</xdr:colOff>
      <xdr:row>14</xdr:row>
      <xdr:rowOff>0</xdr:rowOff>
    </xdr:to>
    <xdr:sp macro="" textlink="">
      <xdr:nvSpPr>
        <xdr:cNvPr id="42454782" name="Line 96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4783" name="Line 96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4784" name="Line 96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4785" name="Line 96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4786" name="Line 96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4787" name="Line 96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4788" name="Line 96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4789" name="Line 97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4790" name="Line 97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4791" name="Line 97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4792" name="Line 97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4793" name="Line 97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4794" name="Line 97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4795" name="Line 97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4796" name="Line 97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4797" name="Line 97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4798" name="Line 97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4799" name="Line 98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4800" name="Line 98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4801" name="Line 98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9525</xdr:colOff>
      <xdr:row>5</xdr:row>
      <xdr:rowOff>85725</xdr:rowOff>
    </xdr:from>
    <xdr:to>
      <xdr:col>59</xdr:col>
      <xdr:colOff>9525</xdr:colOff>
      <xdr:row>6</xdr:row>
      <xdr:rowOff>85725</xdr:rowOff>
    </xdr:to>
    <xdr:sp macro="" textlink="">
      <xdr:nvSpPr>
        <xdr:cNvPr id="42454802" name="Line 983"/>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03" name="Line 98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04" name="Line 98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05" name="Line 98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06" name="Line 98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07" name="Line 98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08" name="Line 98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09" name="Line 99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10" name="Line 99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11" name="Line 99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12" name="Line 99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13" name="Line 99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14" name="Line 99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15" name="Line 99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16" name="Line 99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17" name="Line 99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18" name="Line 99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19" name="Line 100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20" name="Line 100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21" name="Line 100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9525</xdr:colOff>
      <xdr:row>14</xdr:row>
      <xdr:rowOff>0</xdr:rowOff>
    </xdr:from>
    <xdr:to>
      <xdr:col>59</xdr:col>
      <xdr:colOff>9525</xdr:colOff>
      <xdr:row>14</xdr:row>
      <xdr:rowOff>0</xdr:rowOff>
    </xdr:to>
    <xdr:sp macro="" textlink="">
      <xdr:nvSpPr>
        <xdr:cNvPr id="42454822" name="Line 100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4823" name="Line 100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4824" name="Line 100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4825" name="Line 100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4826" name="Line 100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4827" name="Line 100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4828" name="Line 100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4829" name="Line 101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4830" name="Line 101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4831" name="Line 101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4832" name="Line 101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4833" name="Line 101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4834" name="Line 101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4835" name="Line 101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4836" name="Line 101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4837" name="Line 101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4838" name="Line 101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4839" name="Line 102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4840" name="Line 102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4841" name="Line 102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9525</xdr:colOff>
      <xdr:row>5</xdr:row>
      <xdr:rowOff>85725</xdr:rowOff>
    </xdr:from>
    <xdr:to>
      <xdr:col>54</xdr:col>
      <xdr:colOff>9525</xdr:colOff>
      <xdr:row>6</xdr:row>
      <xdr:rowOff>85725</xdr:rowOff>
    </xdr:to>
    <xdr:sp macro="" textlink="">
      <xdr:nvSpPr>
        <xdr:cNvPr id="42454842" name="Line 1023"/>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843" name="Line 102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844" name="Line 102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845" name="Line 102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846" name="Line 102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381000</xdr:colOff>
      <xdr:row>2</xdr:row>
      <xdr:rowOff>28575</xdr:rowOff>
    </xdr:from>
    <xdr:to>
      <xdr:col>52</xdr:col>
      <xdr:colOff>571500</xdr:colOff>
      <xdr:row>2</xdr:row>
      <xdr:rowOff>47625</xdr:rowOff>
    </xdr:to>
    <xdr:sp macro="" textlink="">
      <xdr:nvSpPr>
        <xdr:cNvPr id="42454847" name="Line 1028"/>
        <xdr:cNvSpPr>
          <a:spLocks noChangeShapeType="1"/>
        </xdr:cNvSpPr>
      </xdr:nvSpPr>
      <xdr:spPr bwMode="auto">
        <a:xfrm>
          <a:off x="12534900" y="333375"/>
          <a:ext cx="0" cy="1905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5</xdr:row>
      <xdr:rowOff>76200</xdr:rowOff>
    </xdr:from>
    <xdr:to>
      <xdr:col>54</xdr:col>
      <xdr:colOff>19050</xdr:colOff>
      <xdr:row>6</xdr:row>
      <xdr:rowOff>76200</xdr:rowOff>
    </xdr:to>
    <xdr:sp macro="" textlink="">
      <xdr:nvSpPr>
        <xdr:cNvPr id="42454848" name="Line 1029"/>
        <xdr:cNvSpPr>
          <a:spLocks noChangeShapeType="1"/>
        </xdr:cNvSpPr>
      </xdr:nvSpPr>
      <xdr:spPr bwMode="auto">
        <a:xfrm>
          <a:off x="12534900" y="685800"/>
          <a:ext cx="0" cy="1428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38100">
              <a:solidFill>
                <a:srgbClr val="000000"/>
              </a:solidFill>
              <a:round/>
              <a:headEnd/>
              <a:tailEnd/>
            </a14:hiddenLine>
          </a:ext>
        </a:extLst>
      </xdr:spPr>
    </xdr:sp>
    <xdr:clientData/>
  </xdr:twoCellAnchor>
  <xdr:twoCellAnchor>
    <xdr:from>
      <xdr:col>52</xdr:col>
      <xdr:colOff>238125</xdr:colOff>
      <xdr:row>1</xdr:row>
      <xdr:rowOff>66675</xdr:rowOff>
    </xdr:from>
    <xdr:to>
      <xdr:col>52</xdr:col>
      <xdr:colOff>238125</xdr:colOff>
      <xdr:row>2</xdr:row>
      <xdr:rowOff>66675</xdr:rowOff>
    </xdr:to>
    <xdr:sp macro="" textlink="">
      <xdr:nvSpPr>
        <xdr:cNvPr id="42454849" name="Line 1030"/>
        <xdr:cNvSpPr>
          <a:spLocks noChangeShapeType="1"/>
        </xdr:cNvSpPr>
      </xdr:nvSpPr>
      <xdr:spPr bwMode="auto">
        <a:xfrm>
          <a:off x="12534900" y="2286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9525</xdr:colOff>
      <xdr:row>5</xdr:row>
      <xdr:rowOff>85725</xdr:rowOff>
    </xdr:from>
    <xdr:to>
      <xdr:col>59</xdr:col>
      <xdr:colOff>9525</xdr:colOff>
      <xdr:row>6</xdr:row>
      <xdr:rowOff>85725</xdr:rowOff>
    </xdr:to>
    <xdr:sp macro="" textlink="">
      <xdr:nvSpPr>
        <xdr:cNvPr id="42454850" name="Line 1031"/>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51" name="Line 103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52" name="Line 103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53" name="Line 103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54" name="Line 103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55" name="Line 103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56" name="Line 103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57" name="Line 103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58" name="Line 103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59" name="Line 104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60" name="Line 104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61" name="Line 104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62" name="Line 104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63" name="Line 104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64" name="Line 104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65" name="Line 104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66" name="Line 104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67" name="Line 104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68" name="Line 104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5</xdr:row>
      <xdr:rowOff>76200</xdr:rowOff>
    </xdr:from>
    <xdr:to>
      <xdr:col>59</xdr:col>
      <xdr:colOff>19050</xdr:colOff>
      <xdr:row>6</xdr:row>
      <xdr:rowOff>76200</xdr:rowOff>
    </xdr:to>
    <xdr:sp macro="" textlink="">
      <xdr:nvSpPr>
        <xdr:cNvPr id="42454869" name="Line 105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70" name="Line 105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71" name="Line 105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72" name="Line 105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73" name="Line 105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74" name="Line 105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75" name="Line 105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76" name="Line 105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77" name="Line 105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78" name="Line 105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79" name="Line 106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80" name="Line 106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81" name="Line 106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82" name="Line 106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83" name="Line 106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84" name="Line 106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85" name="Line 106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86" name="Line 106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87" name="Line 106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88" name="Line 106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89" name="Line 107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90" name="Line 107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91" name="Line 107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92" name="Line 107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93" name="Line 107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94" name="Line 107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95" name="Line 107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96" name="Line 107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97" name="Line 107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98" name="Line 107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899" name="Line 108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00" name="Line 108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01" name="Line 108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02" name="Line 108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03" name="Line 108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04" name="Line 108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05" name="Line 108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06" name="Line 108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07" name="Line 108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08" name="Line 108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09" name="Line 109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10" name="Line 109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11" name="Line 109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12" name="Line 109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13" name="Line 109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14" name="Line 109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15" name="Line 109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16" name="Line 109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17" name="Line 109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18" name="Line 109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19" name="Line 110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20" name="Line 110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21" name="Line 110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22" name="Line 110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23" name="Line 110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24" name="Line 110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25" name="Line 110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26" name="Line 110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27" name="Line 110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28" name="Line 110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29" name="Line 111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30" name="Line 111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31" name="Line 111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32" name="Line 111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33" name="Line 111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34" name="Line 111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35" name="Line 111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36" name="Line 111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37" name="Line 111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38" name="Line 111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39" name="Line 112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40" name="Line 112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41" name="Line 112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42" name="Line 112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43" name="Line 112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44" name="Line 112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45" name="Line 112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46" name="Line 112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47" name="Line 112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48" name="Line 112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49" name="Line 113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50" name="Line 113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51" name="Line 113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52" name="Line 113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53" name="Line 113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54" name="Line 113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55" name="Line 113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56" name="Line 113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57" name="Line 113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58" name="Line 113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59" name="Line 114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60" name="Line 114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61" name="Line 114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62" name="Line 114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63" name="Line 114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64" name="Line 114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65" name="Line 114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66" name="Line 114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67" name="Line 114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68" name="Line 114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69" name="Line 115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70" name="Line 115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71" name="Line 115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72" name="Line 115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73" name="Line 115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74" name="Line 115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75" name="Line 115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76" name="Line 115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77" name="Line 115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78" name="Line 115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79" name="Line 116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80" name="Line 116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81" name="Line 116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82" name="Line 116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83" name="Line 116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84" name="Line 116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85" name="Line 116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86" name="Line 116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87" name="Line 116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88" name="Line 116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89" name="Line 117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90" name="Line 117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91" name="Line 117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92" name="Line 117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93" name="Line 117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94" name="Line 117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95" name="Line 117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96" name="Line 117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97" name="Line 117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98" name="Line 117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4999" name="Line 118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00" name="Line 118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01" name="Line 118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02" name="Line 118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03" name="Line 118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04" name="Line 118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05" name="Line 118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06" name="Line 118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07" name="Line 118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08" name="Line 118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09" name="Line 119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10" name="Line 119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11" name="Line 119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12" name="Line 119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13" name="Line 119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14" name="Line 119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15" name="Line 119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16" name="Line 119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17" name="Line 119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18" name="Line 119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19" name="Line 120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20" name="Line 120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21" name="Line 120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22" name="Line 120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23" name="Line 120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24" name="Line 120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25" name="Line 120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26" name="Line 120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27" name="Line 120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28" name="Line 120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29" name="Line 121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30" name="Line 121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31" name="Line 121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32" name="Line 121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33" name="Line 121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34" name="Line 121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35" name="Line 121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36" name="Line 121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37" name="Line 121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38" name="Line 121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39" name="Line 122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40" name="Line 122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41" name="Line 122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42" name="Line 122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43" name="Line 122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44" name="Line 122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45" name="Line 122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46" name="Line 122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47" name="Line 122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48" name="Line 122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49" name="Line 123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50" name="Line 123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51" name="Line 123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52" name="Line 123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53" name="Line 123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54" name="Line 123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55" name="Line 123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56" name="Line 123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57" name="Line 123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58" name="Line 123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59" name="Line 124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60" name="Line 124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61" name="Line 124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62" name="Line 124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63" name="Line 124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64" name="Line 124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65" name="Line 124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66" name="Line 124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67" name="Line 124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68" name="Line 124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69" name="Line 125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70" name="Line 125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71" name="Line 125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72" name="Line 125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73" name="Line 125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74" name="Line 125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75" name="Line 125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76" name="Line 125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77" name="Line 125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78" name="Line 125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79" name="Line 126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80" name="Line 126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81" name="Line 126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82" name="Line 126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83" name="Line 126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84" name="Line 126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85" name="Line 126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86" name="Line 126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87" name="Line 126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88" name="Line 126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89" name="Line 127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90" name="Line 127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0</xdr:colOff>
      <xdr:row>14</xdr:row>
      <xdr:rowOff>0</xdr:rowOff>
    </xdr:from>
    <xdr:to>
      <xdr:col>39</xdr:col>
      <xdr:colOff>0</xdr:colOff>
      <xdr:row>14</xdr:row>
      <xdr:rowOff>0</xdr:rowOff>
    </xdr:to>
    <xdr:sp macro="" textlink="">
      <xdr:nvSpPr>
        <xdr:cNvPr id="42455091" name="Line 127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9525</xdr:colOff>
      <xdr:row>14</xdr:row>
      <xdr:rowOff>0</xdr:rowOff>
    </xdr:from>
    <xdr:to>
      <xdr:col>39</xdr:col>
      <xdr:colOff>9525</xdr:colOff>
      <xdr:row>14</xdr:row>
      <xdr:rowOff>0</xdr:rowOff>
    </xdr:to>
    <xdr:sp macro="" textlink="">
      <xdr:nvSpPr>
        <xdr:cNvPr id="42455092" name="Line 127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5093" name="Line 127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5094" name="Line 127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5095" name="Line 127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5096" name="Line 127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5097" name="Line 127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5098" name="Line 127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5099" name="Line 128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5100" name="Line 128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5101" name="Line 128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5102" name="Line 128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5103" name="Line 128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5104" name="Line 128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5105" name="Line 128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5106" name="Line 128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39</xdr:col>
      <xdr:colOff>19050</xdr:colOff>
      <xdr:row>14</xdr:row>
      <xdr:rowOff>0</xdr:rowOff>
    </xdr:from>
    <xdr:to>
      <xdr:col>39</xdr:col>
      <xdr:colOff>19050</xdr:colOff>
      <xdr:row>14</xdr:row>
      <xdr:rowOff>0</xdr:rowOff>
    </xdr:to>
    <xdr:sp macro="" textlink="">
      <xdr:nvSpPr>
        <xdr:cNvPr id="42455107" name="Line 128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9525</xdr:colOff>
      <xdr:row>14</xdr:row>
      <xdr:rowOff>0</xdr:rowOff>
    </xdr:from>
    <xdr:to>
      <xdr:col>44</xdr:col>
      <xdr:colOff>9525</xdr:colOff>
      <xdr:row>14</xdr:row>
      <xdr:rowOff>0</xdr:rowOff>
    </xdr:to>
    <xdr:sp macro="" textlink="">
      <xdr:nvSpPr>
        <xdr:cNvPr id="42455108" name="Line 128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5109" name="Line 129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5110" name="Line 129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5111" name="Line 129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5112" name="Line 129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5113" name="Line 129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5114" name="Line 129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5115" name="Line 129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5116" name="Line 129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5117" name="Line 129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5118" name="Line 129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5119" name="Line 130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5120" name="Line 130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5121" name="Line 130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5122" name="Line 130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5123" name="Line 130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5124" name="Line 130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5125" name="Line 130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5126" name="Line 130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44</xdr:col>
      <xdr:colOff>19050</xdr:colOff>
      <xdr:row>14</xdr:row>
      <xdr:rowOff>0</xdr:rowOff>
    </xdr:from>
    <xdr:to>
      <xdr:col>44</xdr:col>
      <xdr:colOff>19050</xdr:colOff>
      <xdr:row>14</xdr:row>
      <xdr:rowOff>0</xdr:rowOff>
    </xdr:to>
    <xdr:sp macro="" textlink="">
      <xdr:nvSpPr>
        <xdr:cNvPr id="42455127" name="Line 130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9525</xdr:colOff>
      <xdr:row>14</xdr:row>
      <xdr:rowOff>0</xdr:rowOff>
    </xdr:from>
    <xdr:to>
      <xdr:col>49</xdr:col>
      <xdr:colOff>9525</xdr:colOff>
      <xdr:row>14</xdr:row>
      <xdr:rowOff>0</xdr:rowOff>
    </xdr:to>
    <xdr:sp macro="" textlink="">
      <xdr:nvSpPr>
        <xdr:cNvPr id="42455128" name="Line 130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5129" name="Line 131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5130" name="Line 131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5131" name="Line 131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5132" name="Line 131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5133" name="Line 131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5134" name="Line 131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5135" name="Line 131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5136" name="Line 131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5137" name="Line 131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5138" name="Line 131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5139" name="Line 132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5140" name="Line 132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5141" name="Line 132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5142" name="Line 132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5143" name="Line 132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5144" name="Line 132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5145" name="Line 132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5146" name="Line 132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19050</xdr:colOff>
      <xdr:row>14</xdr:row>
      <xdr:rowOff>0</xdr:rowOff>
    </xdr:from>
    <xdr:to>
      <xdr:col>49</xdr:col>
      <xdr:colOff>19050</xdr:colOff>
      <xdr:row>14</xdr:row>
      <xdr:rowOff>0</xdr:rowOff>
    </xdr:to>
    <xdr:sp macro="" textlink="">
      <xdr:nvSpPr>
        <xdr:cNvPr id="42455147" name="Line 132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9525</xdr:colOff>
      <xdr:row>14</xdr:row>
      <xdr:rowOff>0</xdr:rowOff>
    </xdr:from>
    <xdr:to>
      <xdr:col>54</xdr:col>
      <xdr:colOff>9525</xdr:colOff>
      <xdr:row>14</xdr:row>
      <xdr:rowOff>0</xdr:rowOff>
    </xdr:to>
    <xdr:sp macro="" textlink="">
      <xdr:nvSpPr>
        <xdr:cNvPr id="42455148" name="Line 132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49" name="Line 133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50" name="Line 133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51" name="Line 133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52" name="Line 133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53" name="Line 133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54" name="Line 133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55" name="Line 133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56" name="Line 133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57" name="Line 133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58" name="Line 133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59" name="Line 134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60" name="Line 134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61" name="Line 134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62" name="Line 134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63" name="Line 134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64" name="Line 134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65" name="Line 134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66" name="Line 134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67" name="Line 134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9525</xdr:colOff>
      <xdr:row>14</xdr:row>
      <xdr:rowOff>0</xdr:rowOff>
    </xdr:from>
    <xdr:to>
      <xdr:col>59</xdr:col>
      <xdr:colOff>9525</xdr:colOff>
      <xdr:row>14</xdr:row>
      <xdr:rowOff>0</xdr:rowOff>
    </xdr:to>
    <xdr:sp macro="" textlink="">
      <xdr:nvSpPr>
        <xdr:cNvPr id="42455168" name="Line 134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69" name="Line 135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70" name="Line 135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71" name="Line 135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72" name="Line 135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73" name="Line 135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74" name="Line 135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75" name="Line 135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76" name="Line 135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77" name="Line 135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78" name="Line 135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79" name="Line 136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80" name="Line 136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81" name="Line 136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82" name="Line 136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83" name="Line 136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84" name="Line 136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85" name="Line 136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86" name="Line 136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87" name="Line 136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9525</xdr:colOff>
      <xdr:row>14</xdr:row>
      <xdr:rowOff>0</xdr:rowOff>
    </xdr:from>
    <xdr:to>
      <xdr:col>54</xdr:col>
      <xdr:colOff>9525</xdr:colOff>
      <xdr:row>14</xdr:row>
      <xdr:rowOff>0</xdr:rowOff>
    </xdr:to>
    <xdr:sp macro="" textlink="">
      <xdr:nvSpPr>
        <xdr:cNvPr id="42455188" name="Line 136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89" name="Line 137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90" name="Line 137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91" name="Line 137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92" name="Line 137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19050</xdr:colOff>
      <xdr:row>14</xdr:row>
      <xdr:rowOff>0</xdr:rowOff>
    </xdr:from>
    <xdr:to>
      <xdr:col>54</xdr:col>
      <xdr:colOff>19050</xdr:colOff>
      <xdr:row>14</xdr:row>
      <xdr:rowOff>0</xdr:rowOff>
    </xdr:to>
    <xdr:sp macro="" textlink="">
      <xdr:nvSpPr>
        <xdr:cNvPr id="42455193" name="Line 1374"/>
        <xdr:cNvSpPr>
          <a:spLocks noChangeShapeType="1"/>
        </xdr:cNvSpPr>
      </xdr:nvSpPr>
      <xdr:spPr bwMode="auto">
        <a:xfrm>
          <a:off x="12534900" y="1885950"/>
          <a:ext cx="0" cy="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38100">
              <a:solidFill>
                <a:srgbClr val="000000"/>
              </a:solidFill>
              <a:round/>
              <a:headEnd/>
              <a:tailEnd/>
            </a14:hiddenLine>
          </a:ext>
        </a:extLst>
      </xdr:spPr>
    </xdr:sp>
    <xdr:clientData/>
  </xdr:twoCellAnchor>
  <xdr:twoCellAnchor>
    <xdr:from>
      <xdr:col>59</xdr:col>
      <xdr:colOff>9525</xdr:colOff>
      <xdr:row>14</xdr:row>
      <xdr:rowOff>0</xdr:rowOff>
    </xdr:from>
    <xdr:to>
      <xdr:col>59</xdr:col>
      <xdr:colOff>9525</xdr:colOff>
      <xdr:row>14</xdr:row>
      <xdr:rowOff>0</xdr:rowOff>
    </xdr:to>
    <xdr:sp macro="" textlink="">
      <xdr:nvSpPr>
        <xdr:cNvPr id="42455194" name="Line 137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95" name="Line 137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96" name="Line 137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97" name="Line 137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98" name="Line 137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199" name="Line 138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200" name="Line 138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201" name="Line 138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202" name="Line 138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203" name="Line 138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204" name="Line 1385"/>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205" name="Line 1386"/>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206" name="Line 1387"/>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207" name="Line 1388"/>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208" name="Line 1389"/>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209" name="Line 1390"/>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210" name="Line 1391"/>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211" name="Line 1392"/>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212" name="Line 1393"/>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59</xdr:col>
      <xdr:colOff>19050</xdr:colOff>
      <xdr:row>14</xdr:row>
      <xdr:rowOff>0</xdr:rowOff>
    </xdr:from>
    <xdr:to>
      <xdr:col>59</xdr:col>
      <xdr:colOff>19050</xdr:colOff>
      <xdr:row>14</xdr:row>
      <xdr:rowOff>0</xdr:rowOff>
    </xdr:to>
    <xdr:sp macro="" textlink="">
      <xdr:nvSpPr>
        <xdr:cNvPr id="42455213" name="Line 1394"/>
        <xdr:cNvSpPr>
          <a:spLocks noChangeShapeType="1"/>
        </xdr:cNvSpPr>
      </xdr:nvSpPr>
      <xdr:spPr bwMode="auto">
        <a:xfrm>
          <a:off x="12534900" y="1885950"/>
          <a:ext cx="0" cy="0"/>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9525</xdr:colOff>
      <xdr:row>5</xdr:row>
      <xdr:rowOff>85725</xdr:rowOff>
    </xdr:from>
    <xdr:to>
      <xdr:col>64</xdr:col>
      <xdr:colOff>9525</xdr:colOff>
      <xdr:row>6</xdr:row>
      <xdr:rowOff>85725</xdr:rowOff>
    </xdr:to>
    <xdr:sp macro="" textlink="">
      <xdr:nvSpPr>
        <xdr:cNvPr id="42455214" name="Line 983"/>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15" name="Line 98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16" name="Line 98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17" name="Line 98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18" name="Line 98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19" name="Line 98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20" name="Line 98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21" name="Line 99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22" name="Line 99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23" name="Line 99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24" name="Line 99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25" name="Line 99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26" name="Line 99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27" name="Line 99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28" name="Line 99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29" name="Line 99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30" name="Line 99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31" name="Line 100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32" name="Line 100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33" name="Line 100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9525</xdr:colOff>
      <xdr:row>5</xdr:row>
      <xdr:rowOff>85725</xdr:rowOff>
    </xdr:from>
    <xdr:to>
      <xdr:col>64</xdr:col>
      <xdr:colOff>9525</xdr:colOff>
      <xdr:row>6</xdr:row>
      <xdr:rowOff>85725</xdr:rowOff>
    </xdr:to>
    <xdr:sp macro="" textlink="">
      <xdr:nvSpPr>
        <xdr:cNvPr id="42455234" name="Line 1031"/>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35" name="Line 103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36" name="Line 103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37" name="Line 103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38" name="Line 103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39" name="Line 103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40" name="Line 103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41" name="Line 103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42" name="Line 103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43" name="Line 104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44" name="Line 104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45" name="Line 104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46" name="Line 104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47" name="Line 104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48" name="Line 104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49" name="Line 104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50" name="Line 104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51" name="Line 104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52" name="Line 104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64</xdr:col>
      <xdr:colOff>19050</xdr:colOff>
      <xdr:row>5</xdr:row>
      <xdr:rowOff>76200</xdr:rowOff>
    </xdr:from>
    <xdr:to>
      <xdr:col>64</xdr:col>
      <xdr:colOff>19050</xdr:colOff>
      <xdr:row>6</xdr:row>
      <xdr:rowOff>76200</xdr:rowOff>
    </xdr:to>
    <xdr:sp macro="" textlink="">
      <xdr:nvSpPr>
        <xdr:cNvPr id="42455253" name="Line 105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85725</xdr:rowOff>
    </xdr:from>
    <xdr:to>
      <xdr:col>69</xdr:col>
      <xdr:colOff>0</xdr:colOff>
      <xdr:row>6</xdr:row>
      <xdr:rowOff>85725</xdr:rowOff>
    </xdr:to>
    <xdr:sp macro="" textlink="">
      <xdr:nvSpPr>
        <xdr:cNvPr id="42455254" name="Line 983"/>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55" name="Line 98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56" name="Line 98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57" name="Line 98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58" name="Line 98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59" name="Line 98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60" name="Line 98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61" name="Line 99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62" name="Line 99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63" name="Line 99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64" name="Line 99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65" name="Line 99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66" name="Line 99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67" name="Line 99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68" name="Line 99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69" name="Line 99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70" name="Line 99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71" name="Line 100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72" name="Line 100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73" name="Line 100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85725</xdr:rowOff>
    </xdr:from>
    <xdr:to>
      <xdr:col>69</xdr:col>
      <xdr:colOff>0</xdr:colOff>
      <xdr:row>6</xdr:row>
      <xdr:rowOff>85725</xdr:rowOff>
    </xdr:to>
    <xdr:sp macro="" textlink="">
      <xdr:nvSpPr>
        <xdr:cNvPr id="42455274" name="Line 1031"/>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75" name="Line 103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76" name="Line 103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77" name="Line 103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78" name="Line 103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79" name="Line 103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80" name="Line 103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81" name="Line 103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82" name="Line 103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83" name="Line 104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84" name="Line 104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85" name="Line 104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86" name="Line 104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87" name="Line 104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88" name="Line 104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89" name="Line 104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90" name="Line 104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91" name="Line 104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92" name="Line 104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93" name="Line 105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85725</xdr:rowOff>
    </xdr:from>
    <xdr:to>
      <xdr:col>69</xdr:col>
      <xdr:colOff>0</xdr:colOff>
      <xdr:row>6</xdr:row>
      <xdr:rowOff>85725</xdr:rowOff>
    </xdr:to>
    <xdr:sp macro="" textlink="">
      <xdr:nvSpPr>
        <xdr:cNvPr id="42455294" name="Line 983"/>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95" name="Line 98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96" name="Line 98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97" name="Line 98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98" name="Line 98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299" name="Line 98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00" name="Line 98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01" name="Line 99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02" name="Line 99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03" name="Line 99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04" name="Line 99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05" name="Line 99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06" name="Line 99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07" name="Line 99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08" name="Line 99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09" name="Line 99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10" name="Line 99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11" name="Line 100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12" name="Line 100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13" name="Line 100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85725</xdr:rowOff>
    </xdr:from>
    <xdr:to>
      <xdr:col>69</xdr:col>
      <xdr:colOff>0</xdr:colOff>
      <xdr:row>6</xdr:row>
      <xdr:rowOff>85725</xdr:rowOff>
    </xdr:to>
    <xdr:sp macro="" textlink="">
      <xdr:nvSpPr>
        <xdr:cNvPr id="42455314" name="Line 1031"/>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15" name="Line 103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16" name="Line 103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17" name="Line 103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18" name="Line 103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19" name="Line 103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20" name="Line 103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21" name="Line 103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22" name="Line 103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23" name="Line 104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24" name="Line 104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25" name="Line 104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26" name="Line 104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27" name="Line 104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28" name="Line 104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29" name="Line 104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85725</xdr:rowOff>
    </xdr:from>
    <xdr:to>
      <xdr:col>69</xdr:col>
      <xdr:colOff>0</xdr:colOff>
      <xdr:row>6</xdr:row>
      <xdr:rowOff>85725</xdr:rowOff>
    </xdr:to>
    <xdr:sp macro="" textlink="">
      <xdr:nvSpPr>
        <xdr:cNvPr id="42455330" name="Line 983"/>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31" name="Line 98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32" name="Line 98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33" name="Line 98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34" name="Line 98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35" name="Line 98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36" name="Line 98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37" name="Line 99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38" name="Line 99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39" name="Line 99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40" name="Line 99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41" name="Line 99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42" name="Line 99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43" name="Line 99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44" name="Line 99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45" name="Line 99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46" name="Line 99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47" name="Line 100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48" name="Line 100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49" name="Line 100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85725</xdr:rowOff>
    </xdr:from>
    <xdr:to>
      <xdr:col>69</xdr:col>
      <xdr:colOff>0</xdr:colOff>
      <xdr:row>6</xdr:row>
      <xdr:rowOff>85725</xdr:rowOff>
    </xdr:to>
    <xdr:sp macro="" textlink="">
      <xdr:nvSpPr>
        <xdr:cNvPr id="42455350" name="Line 1031"/>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51" name="Line 103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52" name="Line 103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53" name="Line 103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54" name="Line 103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55" name="Line 103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56" name="Line 103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57" name="Line 103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58" name="Line 103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59" name="Line 104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60" name="Line 104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61" name="Line 104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62" name="Line 104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63" name="Line 104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64" name="Line 104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65" name="Line 104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66" name="Line 104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85725</xdr:rowOff>
    </xdr:from>
    <xdr:to>
      <xdr:col>69</xdr:col>
      <xdr:colOff>0</xdr:colOff>
      <xdr:row>6</xdr:row>
      <xdr:rowOff>85725</xdr:rowOff>
    </xdr:to>
    <xdr:sp macro="" textlink="">
      <xdr:nvSpPr>
        <xdr:cNvPr id="42455367" name="Line 983"/>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68" name="Line 98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69" name="Line 98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70" name="Line 98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71" name="Line 98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72" name="Line 98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73" name="Line 98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74" name="Line 99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75" name="Line 99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76" name="Line 99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77" name="Line 99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78" name="Line 99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79" name="Line 99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80" name="Line 99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81" name="Line 99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82" name="Line 99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83" name="Line 99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84" name="Line 100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85" name="Line 100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86" name="Line 100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85725</xdr:rowOff>
    </xdr:from>
    <xdr:to>
      <xdr:col>69</xdr:col>
      <xdr:colOff>0</xdr:colOff>
      <xdr:row>6</xdr:row>
      <xdr:rowOff>85725</xdr:rowOff>
    </xdr:to>
    <xdr:sp macro="" textlink="">
      <xdr:nvSpPr>
        <xdr:cNvPr id="42455387" name="Line 1031"/>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88" name="Line 103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89" name="Line 103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90" name="Line 103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91" name="Line 103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92" name="Line 103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93" name="Line 103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94" name="Line 103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95" name="Line 103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96" name="Line 104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97" name="Line 104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98" name="Line 104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399" name="Line 104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00" name="Line 104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01" name="Line 104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02" name="Line 1047"/>
        <xdr:cNvSpPr>
          <a:spLocks noChangeShapeType="1"/>
        </xdr:cNvSpPr>
      </xdr:nvSpPr>
      <xdr:spPr bwMode="auto">
        <a:xfrm>
          <a:off x="12534900" y="685800"/>
          <a:ext cx="0" cy="1428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38100">
              <a:solidFill>
                <a:srgbClr val="FFFFFF"/>
              </a:solidFill>
              <a:round/>
              <a:headEnd/>
              <a:tailEnd/>
            </a14:hiddenLine>
          </a:ext>
        </a:extLst>
      </xdr:spPr>
    </xdr:sp>
    <xdr:clientData/>
  </xdr:twoCellAnchor>
  <xdr:twoCellAnchor>
    <xdr:from>
      <xdr:col>69</xdr:col>
      <xdr:colOff>0</xdr:colOff>
      <xdr:row>5</xdr:row>
      <xdr:rowOff>85725</xdr:rowOff>
    </xdr:from>
    <xdr:to>
      <xdr:col>69</xdr:col>
      <xdr:colOff>0</xdr:colOff>
      <xdr:row>6</xdr:row>
      <xdr:rowOff>85725</xdr:rowOff>
    </xdr:to>
    <xdr:sp macro="" textlink="">
      <xdr:nvSpPr>
        <xdr:cNvPr id="42455403" name="Line 983"/>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04" name="Line 98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05" name="Line 98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06" name="Line 98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07" name="Line 98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08" name="Line 98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09" name="Line 98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10" name="Line 99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11" name="Line 99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12" name="Line 99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13" name="Line 99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14" name="Line 99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15" name="Line 99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16" name="Line 99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17" name="Line 99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18" name="Line 99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19" name="Line 99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20" name="Line 100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21" name="Line 100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22" name="Line 100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85725</xdr:rowOff>
    </xdr:from>
    <xdr:to>
      <xdr:col>69</xdr:col>
      <xdr:colOff>0</xdr:colOff>
      <xdr:row>6</xdr:row>
      <xdr:rowOff>85725</xdr:rowOff>
    </xdr:to>
    <xdr:sp macro="" textlink="">
      <xdr:nvSpPr>
        <xdr:cNvPr id="42455423" name="Line 1031"/>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24" name="Line 103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25" name="Line 103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26" name="Line 103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27" name="Line 103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28" name="Line 103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29" name="Line 103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30" name="Line 103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31" name="Line 103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32" name="Line 104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33" name="Line 104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34" name="Line 104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35" name="Line 104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36" name="Line 104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37" name="Line 104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38" name="Line 104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39" name="Line 104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40" name="Line 104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41" name="Line 104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0</xdr:colOff>
      <xdr:row>5</xdr:row>
      <xdr:rowOff>76200</xdr:rowOff>
    </xdr:from>
    <xdr:to>
      <xdr:col>69</xdr:col>
      <xdr:colOff>0</xdr:colOff>
      <xdr:row>6</xdr:row>
      <xdr:rowOff>76200</xdr:rowOff>
    </xdr:to>
    <xdr:sp macro="" textlink="">
      <xdr:nvSpPr>
        <xdr:cNvPr id="42455442" name="Line 105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9525</xdr:colOff>
      <xdr:row>5</xdr:row>
      <xdr:rowOff>85725</xdr:rowOff>
    </xdr:from>
    <xdr:to>
      <xdr:col>69</xdr:col>
      <xdr:colOff>9525</xdr:colOff>
      <xdr:row>6</xdr:row>
      <xdr:rowOff>85725</xdr:rowOff>
    </xdr:to>
    <xdr:sp macro="" textlink="">
      <xdr:nvSpPr>
        <xdr:cNvPr id="42455443" name="Line 983"/>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44" name="Line 98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45" name="Line 98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46" name="Line 98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47" name="Line 98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48" name="Line 98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49" name="Line 98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50" name="Line 99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51" name="Line 99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52" name="Line 99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53" name="Line 99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54" name="Line 99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55" name="Line 99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56" name="Line 99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57" name="Line 99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58" name="Line 99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59" name="Line 99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60" name="Line 100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61" name="Line 100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62" name="Line 100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9525</xdr:colOff>
      <xdr:row>5</xdr:row>
      <xdr:rowOff>85725</xdr:rowOff>
    </xdr:from>
    <xdr:to>
      <xdr:col>69</xdr:col>
      <xdr:colOff>9525</xdr:colOff>
      <xdr:row>6</xdr:row>
      <xdr:rowOff>85725</xdr:rowOff>
    </xdr:to>
    <xdr:sp macro="" textlink="">
      <xdr:nvSpPr>
        <xdr:cNvPr id="42455463" name="Line 1031"/>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64" name="Line 103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65" name="Line 103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66" name="Line 103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67" name="Line 103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68" name="Line 103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69" name="Line 103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70" name="Line 103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71" name="Line 103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72" name="Line 104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73" name="Line 104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74" name="Line 104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75" name="Line 104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76" name="Line 104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77" name="Line 104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78" name="Line 104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79" name="Line 104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80" name="Line 104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81" name="Line 104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19050</xdr:colOff>
      <xdr:row>5</xdr:row>
      <xdr:rowOff>76200</xdr:rowOff>
    </xdr:from>
    <xdr:to>
      <xdr:col>69</xdr:col>
      <xdr:colOff>19050</xdr:colOff>
      <xdr:row>6</xdr:row>
      <xdr:rowOff>76200</xdr:rowOff>
    </xdr:to>
    <xdr:sp macro="" textlink="">
      <xdr:nvSpPr>
        <xdr:cNvPr id="42455482" name="Line 105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9525</xdr:colOff>
      <xdr:row>5</xdr:row>
      <xdr:rowOff>85725</xdr:rowOff>
    </xdr:from>
    <xdr:to>
      <xdr:col>74</xdr:col>
      <xdr:colOff>9525</xdr:colOff>
      <xdr:row>6</xdr:row>
      <xdr:rowOff>85725</xdr:rowOff>
    </xdr:to>
    <xdr:sp macro="" textlink="">
      <xdr:nvSpPr>
        <xdr:cNvPr id="42455483" name="Line 983"/>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484" name="Line 98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485" name="Line 98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486" name="Line 98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487" name="Line 98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488" name="Line 98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489" name="Line 98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490" name="Line 99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491" name="Line 99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492" name="Line 99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493" name="Line 99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494" name="Line 99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495" name="Line 99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496" name="Line 99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497" name="Line 99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498" name="Line 99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499" name="Line 99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00" name="Line 100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01" name="Line 100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02" name="Line 100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9525</xdr:colOff>
      <xdr:row>5</xdr:row>
      <xdr:rowOff>85725</xdr:rowOff>
    </xdr:from>
    <xdr:to>
      <xdr:col>74</xdr:col>
      <xdr:colOff>9525</xdr:colOff>
      <xdr:row>6</xdr:row>
      <xdr:rowOff>85725</xdr:rowOff>
    </xdr:to>
    <xdr:sp macro="" textlink="">
      <xdr:nvSpPr>
        <xdr:cNvPr id="42455503" name="Line 1031"/>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04" name="Line 103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05" name="Line 103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06" name="Line 103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07" name="Line 103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08" name="Line 103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09" name="Line 103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10" name="Line 103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11" name="Line 103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12" name="Line 104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13" name="Line 104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14" name="Line 104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15" name="Line 104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16" name="Line 104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17" name="Line 104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18" name="Line 104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19" name="Line 104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20" name="Line 104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21" name="Line 104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74</xdr:col>
      <xdr:colOff>19050</xdr:colOff>
      <xdr:row>5</xdr:row>
      <xdr:rowOff>76200</xdr:rowOff>
    </xdr:from>
    <xdr:to>
      <xdr:col>74</xdr:col>
      <xdr:colOff>19050</xdr:colOff>
      <xdr:row>6</xdr:row>
      <xdr:rowOff>76200</xdr:rowOff>
    </xdr:to>
    <xdr:sp macro="" textlink="">
      <xdr:nvSpPr>
        <xdr:cNvPr id="42455522" name="Line 105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9525</xdr:colOff>
      <xdr:row>5</xdr:row>
      <xdr:rowOff>85725</xdr:rowOff>
    </xdr:from>
    <xdr:to>
      <xdr:col>79</xdr:col>
      <xdr:colOff>9525</xdr:colOff>
      <xdr:row>6</xdr:row>
      <xdr:rowOff>85725</xdr:rowOff>
    </xdr:to>
    <xdr:sp macro="" textlink="">
      <xdr:nvSpPr>
        <xdr:cNvPr id="42455523" name="Line 983"/>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24" name="Line 98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25" name="Line 98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26" name="Line 98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27" name="Line 98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28" name="Line 98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29" name="Line 98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30" name="Line 99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31" name="Line 99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32" name="Line 99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33" name="Line 99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34" name="Line 99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35" name="Line 99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36" name="Line 99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37" name="Line 99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38" name="Line 99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39" name="Line 99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40" name="Line 100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41" name="Line 100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42" name="Line 100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9525</xdr:colOff>
      <xdr:row>5</xdr:row>
      <xdr:rowOff>85725</xdr:rowOff>
    </xdr:from>
    <xdr:to>
      <xdr:col>79</xdr:col>
      <xdr:colOff>9525</xdr:colOff>
      <xdr:row>6</xdr:row>
      <xdr:rowOff>85725</xdr:rowOff>
    </xdr:to>
    <xdr:sp macro="" textlink="">
      <xdr:nvSpPr>
        <xdr:cNvPr id="42455543" name="Line 1031"/>
        <xdr:cNvSpPr>
          <a:spLocks noChangeShapeType="1"/>
        </xdr:cNvSpPr>
      </xdr:nvSpPr>
      <xdr:spPr bwMode="auto">
        <a:xfrm>
          <a:off x="12534900" y="695325"/>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44" name="Line 103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45" name="Line 103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46" name="Line 103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47" name="Line 103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48" name="Line 103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49" name="Line 103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50" name="Line 103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51" name="Line 103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52" name="Line 104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53" name="Line 1041"/>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54" name="Line 1042"/>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55" name="Line 1043"/>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56" name="Line 1044"/>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57" name="Line 1045"/>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58" name="Line 1046"/>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59" name="Line 1047"/>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60" name="Line 1048"/>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61" name="Line 1049"/>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twoCellAnchor>
    <xdr:from>
      <xdr:col>79</xdr:col>
      <xdr:colOff>19050</xdr:colOff>
      <xdr:row>5</xdr:row>
      <xdr:rowOff>76200</xdr:rowOff>
    </xdr:from>
    <xdr:to>
      <xdr:col>79</xdr:col>
      <xdr:colOff>19050</xdr:colOff>
      <xdr:row>6</xdr:row>
      <xdr:rowOff>76200</xdr:rowOff>
    </xdr:to>
    <xdr:sp macro="" textlink="">
      <xdr:nvSpPr>
        <xdr:cNvPr id="42455562" name="Line 1050"/>
        <xdr:cNvSpPr>
          <a:spLocks noChangeShapeType="1"/>
        </xdr:cNvSpPr>
      </xdr:nvSpPr>
      <xdr:spPr bwMode="auto">
        <a:xfrm>
          <a:off x="12534900" y="685800"/>
          <a:ext cx="0" cy="142875"/>
        </a:xfrm>
        <a:prstGeom prst="line">
          <a:avLst/>
        </a:prstGeom>
        <a:noFill/>
        <a:ln w="38100">
          <a:solidFill>
            <a:srgbClr val="FFFFFF"/>
          </a:solidFill>
          <a:round/>
          <a:headEnd/>
          <a:tailEnd/>
        </a:ln>
        <a:extLst>
          <a:ext uri="{909E8E84-426E-40DD-AFC4-6F175D3DCCD1}">
            <a14:hiddenFill xmlns:a14="http://schemas.microsoft.com/office/drawing/2010/main">
              <a:noFill/>
            </a14:hiddenFill>
          </a:ext>
        </a:extLst>
      </xdr:spPr>
    </xdr:sp>
    <xdr:clientData/>
  </xdr:twoCellAnchor>
</xdr:wsDr>
</file>

<file path=xl/externalLinks/_rels/externalLink1.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Book8" TargetMode="External" Type="http://schemas.microsoft.com/office/2006/relationships/xlExternalLinkPath/xlPathMissing"/>
</Relationships>

</file>

<file path=xl/externalLinks/_rels/externalLink3.xml.rels><?xml version="1.0" encoding="UTF-8" standalone="yes"?>
<Relationships xmlns="http://schemas.openxmlformats.org/package/2006/relationships">
<Relationship Id="rId1" Target="MEDIA/Bilotti/Ent/Cos/CBS/Infinity%20&amp;%20other%20tabs%20removed%20from%20CBS%20model%205.04.2014.xls" TargetMode="External" Type="http://schemas.microsoft.com/office/2006/relationships/xlExternalLinkPath/xlAlternateStartup"/>
</Relationships>

</file>

<file path=xl/externalLinks/_rels/externalLink4.xml.rels><?xml version="1.0" encoding="UTF-8" standalone="yes"?>
<Relationships xmlns="http://schemas.openxmlformats.org/package/2006/relationships">
<Relationship Id="rId1" Target="MEDIA/Bilotti/Ent/Cos/CBS/CBS_Radio_Charts.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MEDIA/Bilotti/Ent/Cos/CBS/CBS%20restricted%20worksheets%20-%20delete%20post%201Q14.xls"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Book12" TargetMode="External" Type="http://schemas.microsoft.com/office/2006/relationships/xlExternalLinkPath/xlPathMissing"/>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ARNMOD"/>
      <sheetName val="Good 12-00 (2)"/>
      <sheetName val="Good 11-36"/>
      <sheetName val="Good 11-50"/>
      <sheetName val="Sheet3 (5)"/>
      <sheetName val="Operating Leases tagged"/>
      <sheetName val="exh 11"/>
      <sheetName val="exh 14"/>
      <sheetName val="exh 12"/>
      <sheetName val="exh 10"/>
      <sheetName val="exh 1 and 5"/>
      <sheetName val="exh 15"/>
      <sheetName val="exh 3"/>
      <sheetName val="exh 9"/>
      <sheetName val="WACC"/>
      <sheetName val="Sheet1"/>
      <sheetName val="Fixed Line Mkt"/>
      <sheetName val="Cash Flow"/>
      <sheetName val="upside_downside"/>
      <sheetName val="Income Statement"/>
      <sheetName val="Balance Sheet"/>
      <sheetName val="Valsum"/>
      <sheetName val="DCF"/>
      <sheetName val="OP"/>
      <sheetName val="Inputs"/>
      <sheetName val="MWA RR"/>
      <sheetName val="Summary"/>
      <sheetName val="IS"/>
      <sheetName val="Total_Production"/>
      <sheetName val="RFS"/>
      <sheetName val="Corn_Uses"/>
      <sheetName val="US_Production"/>
      <sheetName val="Risk-Reward_View_Chart"/>
      <sheetName val="variables"/>
      <sheetName val="IS Quarterly"/>
      <sheetName val="Sheet1 (2)"/>
      <sheetName val="1Q11 Preview"/>
      <sheetName val="2Q11 Preview"/>
      <sheetName val="Model"/>
      <sheetName val="Intrinsic Value"/>
      <sheetName val="Rev by Geo"/>
      <sheetName val="Exclusion List"/>
      <sheetName val="Report template"/>
      <sheetName val="Model (WIP)"/>
      <sheetName val="fin"/>
      <sheetName val="sales bkd"/>
      <sheetName val="Presentation"/>
      <sheetName val="Valuation"/>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ow r="3">
          <cell r="AB3" t="str">
            <v>2007</v>
          </cell>
          <cell r="AC3" t="str">
            <v>2008</v>
          </cell>
          <cell r="AD3" t="str">
            <v>2009</v>
          </cell>
          <cell r="AE3">
            <v>2010</v>
          </cell>
        </row>
        <row r="4">
          <cell r="C4" t="str">
            <v>EPS Adj. for Consensus</v>
          </cell>
          <cell r="AB4">
            <v>1.7096550768804541</v>
          </cell>
          <cell r="AC4">
            <v>-17.428187518662295</v>
          </cell>
          <cell r="AD4">
            <v>0.33167374432567043</v>
          </cell>
          <cell r="AE4">
            <v>1.0375358166189115</v>
          </cell>
        </row>
        <row r="5">
          <cell r="C5" t="str">
            <v>Recession Case EPS 
Adj. for Consensus</v>
          </cell>
          <cell r="AB5">
            <v>1.77</v>
          </cell>
          <cell r="AC5">
            <v>1.8384418407492396</v>
          </cell>
          <cell r="AD5">
            <v>1.9230208747557416</v>
          </cell>
          <cell r="AE5">
            <v>2.1015458762402681</v>
          </cell>
        </row>
        <row r="7">
          <cell r="C7" t="str">
            <v>Base Case MW EPS</v>
          </cell>
          <cell r="AB7">
            <v>1.8808399058435503</v>
          </cell>
          <cell r="AC7">
            <v>1.8861413854882036</v>
          </cell>
          <cell r="AD7">
            <v>2.1795942202137848</v>
          </cell>
          <cell r="AE7">
            <v>2.3689847624691258</v>
          </cell>
        </row>
        <row r="8">
          <cell r="C8" t="str">
            <v xml:space="preserve">    P/E Multiple</v>
          </cell>
          <cell r="AB8">
            <v>0</v>
          </cell>
          <cell r="AC8">
            <v>0</v>
          </cell>
          <cell r="AD8">
            <v>0</v>
          </cell>
          <cell r="AE8">
            <v>0</v>
          </cell>
        </row>
        <row r="10">
          <cell r="C10" t="str">
            <v>Recession Case MW EPS</v>
          </cell>
          <cell r="AB10">
            <v>1.9021653925990807</v>
          </cell>
          <cell r="AC10">
            <v>1.9091316686053035</v>
          </cell>
          <cell r="AD10">
            <v>1.9921784987647506</v>
          </cell>
          <cell r="AE10">
            <v>2.1687534935483432</v>
          </cell>
        </row>
        <row r="11">
          <cell r="C11" t="str">
            <v xml:space="preserve">  @</v>
          </cell>
          <cell r="AB11">
            <v>0</v>
          </cell>
          <cell r="AC11">
            <v>0</v>
          </cell>
          <cell r="AD11">
            <v>0</v>
          </cell>
          <cell r="AE11">
            <v>0</v>
          </cell>
        </row>
        <row r="12">
          <cell r="C12" t="str">
            <v xml:space="preserve"> Implied Recession Px</v>
          </cell>
          <cell r="AB12">
            <v>0</v>
          </cell>
          <cell r="AC12">
            <v>0</v>
          </cell>
          <cell r="AD12">
            <v>0</v>
          </cell>
          <cell r="AE12">
            <v>0</v>
          </cell>
        </row>
        <row r="14">
          <cell r="C14" t="str">
            <v xml:space="preserve">  @</v>
          </cell>
          <cell r="AB14">
            <v>-1</v>
          </cell>
          <cell r="AC14">
            <v>-1</v>
          </cell>
          <cell r="AD14">
            <v>-1</v>
          </cell>
          <cell r="AE14">
            <v>-1</v>
          </cell>
        </row>
        <row r="15">
          <cell r="C15" t="str">
            <v xml:space="preserve"> Implied Recession Px</v>
          </cell>
          <cell r="AB15">
            <v>-1.9021653925990807</v>
          </cell>
          <cell r="AC15">
            <v>-1.9091316686053035</v>
          </cell>
          <cell r="AD15">
            <v>-1.9921784987647506</v>
          </cell>
          <cell r="AE15">
            <v>-2.1687534935483432</v>
          </cell>
        </row>
        <row r="18">
          <cell r="AG18" t="str">
            <v>Bull</v>
          </cell>
        </row>
        <row r="19">
          <cell r="AH19" t="str">
            <v>2008E</v>
          </cell>
          <cell r="AI19" t="str">
            <v>2009E</v>
          </cell>
        </row>
        <row r="20">
          <cell r="AG20" t="str">
            <v xml:space="preserve">Ad Growth </v>
          </cell>
          <cell r="AH20">
            <v>4.4427188236492166E-2</v>
          </cell>
          <cell r="AI20">
            <v>3.7105617813042446E-2</v>
          </cell>
        </row>
        <row r="21">
          <cell r="AG21" t="str">
            <v>Revenue</v>
          </cell>
          <cell r="AH21">
            <v>14727.676666760424</v>
          </cell>
          <cell r="AI21">
            <v>15274.156208431299</v>
          </cell>
        </row>
        <row r="22">
          <cell r="AG22" t="str">
            <v>EBIT</v>
          </cell>
          <cell r="AH22">
            <v>2913.1966473516713</v>
          </cell>
          <cell r="AI22">
            <v>3065.214738113646</v>
          </cell>
        </row>
        <row r="23">
          <cell r="AG23" t="str">
            <v>EPS</v>
          </cell>
          <cell r="AH23">
            <v>1.951761251652673</v>
          </cell>
          <cell r="AI23">
            <v>2.0038446662232388</v>
          </cell>
        </row>
        <row r="25">
          <cell r="AG25" t="str">
            <v>Base</v>
          </cell>
        </row>
        <row r="26">
          <cell r="AH26" t="str">
            <v>2008E</v>
          </cell>
          <cell r="AI26" t="str">
            <v>2009E</v>
          </cell>
        </row>
        <row r="27">
          <cell r="AG27" t="str">
            <v xml:space="preserve">Ad Growth </v>
          </cell>
          <cell r="AH27">
            <v>1.5173441393396159E-2</v>
          </cell>
          <cell r="AI27">
            <v>-7.7895671634657271E-2</v>
          </cell>
        </row>
        <row r="28">
          <cell r="AG28" t="str">
            <v>Revenue</v>
          </cell>
          <cell r="AH28">
            <v>14314.757662400003</v>
          </cell>
          <cell r="AI28">
            <v>13199.699999999999</v>
          </cell>
        </row>
        <row r="29">
          <cell r="AG29" t="str">
            <v>EBIT</v>
          </cell>
          <cell r="AH29">
            <v>2379.38774896</v>
          </cell>
          <cell r="AI29">
            <v>1503.2</v>
          </cell>
        </row>
        <row r="30">
          <cell r="AG30" t="str">
            <v>EPS</v>
          </cell>
          <cell r="AH30">
            <v>-17.428187518662295</v>
          </cell>
          <cell r="AI30">
            <v>0.33167374432567043</v>
          </cell>
        </row>
        <row r="32">
          <cell r="AG32" t="str">
            <v>Bear</v>
          </cell>
        </row>
        <row r="33">
          <cell r="AH33" t="str">
            <v>2008E</v>
          </cell>
          <cell r="AI33" t="str">
            <v>2009E</v>
          </cell>
        </row>
        <row r="34">
          <cell r="AG34" t="str">
            <v xml:space="preserve">Ad Growth </v>
          </cell>
          <cell r="AH34">
            <v>2.6870421436118175E-2</v>
          </cell>
          <cell r="AI34">
            <v>2.0563226454301198E-2</v>
          </cell>
          <cell r="AK34">
            <v>14100.800000000001</v>
          </cell>
          <cell r="AL34">
            <v>14314.757662400003</v>
          </cell>
          <cell r="AM34">
            <v>13199.699999999999</v>
          </cell>
        </row>
        <row r="35">
          <cell r="AG35" t="str">
            <v>Revenue</v>
          </cell>
          <cell r="AH35">
            <v>14480.10518675499</v>
          </cell>
          <cell r="AI35">
            <v>14777.862868792334</v>
          </cell>
        </row>
        <row r="36">
          <cell r="AG36" t="str">
            <v>EBIT</v>
          </cell>
          <cell r="AH36">
            <v>2740.8438595749358</v>
          </cell>
          <cell r="AI36">
            <v>2709.8313546860527</v>
          </cell>
        </row>
        <row r="37">
          <cell r="AG37" t="str">
            <v>EPS</v>
          </cell>
          <cell r="AH37">
            <v>1.7870942971956281</v>
          </cell>
          <cell r="AI37">
            <v>1.6726181561697768</v>
          </cell>
          <cell r="AK37" t="str">
            <v>Base Case</v>
          </cell>
          <cell r="AO37" t="str">
            <v>Bear Case</v>
          </cell>
          <cell r="AS37" t="str">
            <v>Bull Case</v>
          </cell>
        </row>
        <row r="38">
          <cell r="AG38" t="str">
            <v>($ mm, except per share data)</v>
          </cell>
          <cell r="AL38" t="str">
            <v>2008E</v>
          </cell>
          <cell r="AM38" t="str">
            <v>2009E</v>
          </cell>
          <cell r="AP38" t="str">
            <v>2008E</v>
          </cell>
          <cell r="AQ38" t="str">
            <v>2009E</v>
          </cell>
          <cell r="AT38" t="str">
            <v>2008E</v>
          </cell>
          <cell r="AU38" t="str">
            <v>2009E</v>
          </cell>
        </row>
        <row r="39">
          <cell r="AK39" t="str">
            <v>% Ad Growth</v>
          </cell>
          <cell r="AO39" t="str">
            <v>% Ad Growth</v>
          </cell>
          <cell r="AS39" t="str">
            <v>% Ad Growth</v>
          </cell>
        </row>
        <row r="40">
          <cell r="AK40" t="str">
            <v>TV</v>
          </cell>
          <cell r="AL40">
            <v>2.7778997760112834E-3</v>
          </cell>
          <cell r="AM40">
            <v>-2.4269167073437958E-2</v>
          </cell>
          <cell r="AO40" t="str">
            <v>TV</v>
          </cell>
          <cell r="AP40">
            <v>-1.7589903549490971E-2</v>
          </cell>
          <cell r="AQ40">
            <v>2.3388746992217602E-2</v>
          </cell>
          <cell r="AS40" t="str">
            <v>TV</v>
          </cell>
          <cell r="AT40">
            <v>9.4549703327513335E-3</v>
          </cell>
          <cell r="AU40">
            <v>4.0681834406904427E-2</v>
          </cell>
        </row>
        <row r="41">
          <cell r="AK41" t="str">
            <v xml:space="preserve">Radio </v>
          </cell>
          <cell r="AL41">
            <v>-0.12236984661002437</v>
          </cell>
          <cell r="AM41">
            <v>-0.2057696056136703</v>
          </cell>
          <cell r="AO41" t="str">
            <v xml:space="preserve">Radio </v>
          </cell>
          <cell r="AP41">
            <v>-6.8240912465643788E-2</v>
          </cell>
          <cell r="AQ41">
            <v>-4.0297186570471322E-2</v>
          </cell>
          <cell r="AS41" t="str">
            <v xml:space="preserve">Radio </v>
          </cell>
          <cell r="AT41">
            <v>-6.8240912465643788E-2</v>
          </cell>
          <cell r="AU41">
            <v>-1.1188746281885931E-2</v>
          </cell>
        </row>
        <row r="42">
          <cell r="AK42" t="str">
            <v>Outdoor</v>
          </cell>
          <cell r="AL42">
            <v>-7.6349837699447587E-3</v>
          </cell>
          <cell r="AM42">
            <v>-0.20639454528701728</v>
          </cell>
          <cell r="AO42" t="str">
            <v>Outdoor</v>
          </cell>
          <cell r="AP42">
            <v>7.8136708212637185E-2</v>
          </cell>
          <cell r="AQ42">
            <v>3.4645876329089775E-2</v>
          </cell>
          <cell r="AS42" t="str">
            <v>Outdoor</v>
          </cell>
          <cell r="AT42">
            <v>7.8136708212637185E-2</v>
          </cell>
          <cell r="AU42">
            <v>4.9780639161977724E-2</v>
          </cell>
        </row>
        <row r="43">
          <cell r="AK43" t="str">
            <v>Publishing</v>
          </cell>
          <cell r="AL43" t="str">
            <v>NA</v>
          </cell>
          <cell r="AM43" t="str">
            <v>NA</v>
          </cell>
          <cell r="AO43" t="str">
            <v>Publishing</v>
          </cell>
          <cell r="AP43" t="str">
            <v>NA</v>
          </cell>
          <cell r="AQ43" t="str">
            <v>NA</v>
          </cell>
          <cell r="AS43" t="str">
            <v>Publishing</v>
          </cell>
          <cell r="AT43" t="str">
            <v>NA</v>
          </cell>
          <cell r="AU43" t="str">
            <v>NA</v>
          </cell>
        </row>
        <row r="44">
          <cell r="AK44" t="str">
            <v>Interactive</v>
          </cell>
          <cell r="AL44">
            <v>7.4236072692943189E-2</v>
          </cell>
          <cell r="AM44">
            <v>-0.10498654404118313</v>
          </cell>
          <cell r="AO44" t="str">
            <v>Interactive</v>
          </cell>
          <cell r="AP44">
            <v>0.21848551821181039</v>
          </cell>
          <cell r="AQ44">
            <v>0.1002043983921248</v>
          </cell>
          <cell r="AS44" t="str">
            <v>Interactive</v>
          </cell>
          <cell r="AT44">
            <v>0.21848551821181039</v>
          </cell>
          <cell r="AU44">
            <v>0.1002043983921248</v>
          </cell>
        </row>
        <row r="45">
          <cell r="AK45" t="str">
            <v>Total</v>
          </cell>
          <cell r="AL45">
            <v>1.5173441393396159E-2</v>
          </cell>
          <cell r="AM45">
            <v>-7.7895671634657271E-2</v>
          </cell>
          <cell r="AO45" t="str">
            <v>Total</v>
          </cell>
          <cell r="AP45">
            <v>2.7262008850318153E-2</v>
          </cell>
          <cell r="AQ45">
            <v>2.0641020246868536E-2</v>
          </cell>
          <cell r="AS45" t="str">
            <v>Total</v>
          </cell>
          <cell r="AT45">
            <v>4.4818775650692144E-2</v>
          </cell>
          <cell r="AU45">
            <v>3.7184239134137487E-2</v>
          </cell>
        </row>
        <row r="47">
          <cell r="AK47" t="str">
            <v>Revenue</v>
          </cell>
          <cell r="AO47" t="str">
            <v>Revenue</v>
          </cell>
          <cell r="AS47" t="str">
            <v>Revenue</v>
          </cell>
        </row>
        <row r="48">
          <cell r="AK48" t="str">
            <v>TV</v>
          </cell>
          <cell r="AL48">
            <v>9132.9000000000015</v>
          </cell>
          <cell r="AM48">
            <v>8911.2521240349997</v>
          </cell>
          <cell r="AO48" t="str">
            <v>TV</v>
          </cell>
          <cell r="AP48">
            <v>8993.0802639176054</v>
          </cell>
          <cell r="AQ48">
            <v>9203.4171428910795</v>
          </cell>
          <cell r="AS48" t="str">
            <v>TV</v>
          </cell>
          <cell r="AT48">
            <v>9240.6517439230392</v>
          </cell>
          <cell r="AU48">
            <v>9616.5784079811892</v>
          </cell>
        </row>
        <row r="49">
          <cell r="AK49" t="str">
            <v xml:space="preserve">Radio </v>
          </cell>
          <cell r="AL49">
            <v>1539.1000000000001</v>
          </cell>
          <cell r="AM49">
            <v>1222.4000000000001</v>
          </cell>
          <cell r="AO49" t="str">
            <v xml:space="preserve">Radio </v>
          </cell>
          <cell r="AP49">
            <v>1634.0259118090003</v>
          </cell>
          <cell r="AQ49">
            <v>1568.1792647798484</v>
          </cell>
          <cell r="AS49" t="str">
            <v xml:space="preserve">Radio </v>
          </cell>
          <cell r="AT49">
            <v>1634.0259118090003</v>
          </cell>
          <cell r="AU49">
            <v>1615.7432104637421</v>
          </cell>
        </row>
        <row r="50">
          <cell r="AK50" t="str">
            <v>Outdoor</v>
          </cell>
          <cell r="AL50">
            <v>2170.6</v>
          </cell>
          <cell r="AM50">
            <v>1722.6000000000001</v>
          </cell>
          <cell r="AO50" t="str">
            <v>Outdoor</v>
          </cell>
          <cell r="AP50">
            <v>2358.2084218735017</v>
          </cell>
          <cell r="AQ50">
            <v>2439.9106192159493</v>
          </cell>
          <cell r="AS50" t="str">
            <v>Outdoor</v>
          </cell>
          <cell r="AT50">
            <v>2358.2084218735017</v>
          </cell>
          <cell r="AU50">
            <v>2475.6015443915235</v>
          </cell>
        </row>
        <row r="51">
          <cell r="AK51" t="str">
            <v>Publishing</v>
          </cell>
          <cell r="AL51">
            <v>857.7</v>
          </cell>
          <cell r="AM51">
            <v>793.5</v>
          </cell>
          <cell r="AO51" t="str">
            <v>Publishing</v>
          </cell>
          <cell r="AP51">
            <v>859.51700000000005</v>
          </cell>
          <cell r="AQ51">
            <v>868.11217000000011</v>
          </cell>
          <cell r="AS51" t="str">
            <v>Publishing</v>
          </cell>
          <cell r="AT51">
            <v>859.51700000000005</v>
          </cell>
          <cell r="AU51">
            <v>868.11217000000011</v>
          </cell>
        </row>
        <row r="52">
          <cell r="AK52" t="str">
            <v>Interactive</v>
          </cell>
          <cell r="AL52">
            <v>614.4576624</v>
          </cell>
          <cell r="AM52">
            <v>549.94787596499998</v>
          </cell>
          <cell r="AO52" t="str">
            <v>Interactive</v>
          </cell>
          <cell r="AP52">
            <v>640.7954416</v>
          </cell>
          <cell r="AQ52">
            <v>705.00596331794395</v>
          </cell>
          <cell r="AS52" t="str">
            <v>Interactive</v>
          </cell>
          <cell r="AT52">
            <v>640.7954416</v>
          </cell>
          <cell r="AU52">
            <v>705.00596331794395</v>
          </cell>
        </row>
        <row r="53">
          <cell r="AK53" t="str">
            <v>Total</v>
          </cell>
          <cell r="AL53">
            <v>14314.757662400003</v>
          </cell>
          <cell r="AM53">
            <v>13199.699999999999</v>
          </cell>
          <cell r="AO53" t="str">
            <v>Total</v>
          </cell>
          <cell r="AP53">
            <v>14485.627039200106</v>
          </cell>
          <cell r="AQ53">
            <v>14784.625160204821</v>
          </cell>
          <cell r="AS53" t="str">
            <v>Total</v>
          </cell>
          <cell r="AT53">
            <v>14733.19851920554</v>
          </cell>
          <cell r="AU53">
            <v>15281.041296154401</v>
          </cell>
        </row>
        <row r="55">
          <cell r="AK55" t="str">
            <v>EBIT</v>
          </cell>
          <cell r="AO55" t="str">
            <v>EBIT</v>
          </cell>
          <cell r="AS55" t="str">
            <v>EBIT</v>
          </cell>
        </row>
        <row r="56">
          <cell r="AK56" t="str">
            <v>TV</v>
          </cell>
          <cell r="AL56">
            <v>1570.3999999999999</v>
          </cell>
          <cell r="AM56">
            <v>1246.490404187778</v>
          </cell>
          <cell r="AO56" t="str">
            <v>TV</v>
          </cell>
          <cell r="AP56">
            <v>1678.6940403850574</v>
          </cell>
          <cell r="AQ56">
            <v>1602.0161444340015</v>
          </cell>
          <cell r="AS56" t="str">
            <v>TV</v>
          </cell>
          <cell r="AT56">
            <v>1851.0468281617932</v>
          </cell>
          <cell r="AU56">
            <v>1895.5166984718485</v>
          </cell>
        </row>
        <row r="57">
          <cell r="AK57" t="str">
            <v xml:space="preserve">Radio </v>
          </cell>
          <cell r="AL57">
            <v>520.70000000000016</v>
          </cell>
          <cell r="AM57">
            <v>292.32365782972215</v>
          </cell>
          <cell r="AO57" t="str">
            <v xml:space="preserve">Radio </v>
          </cell>
          <cell r="AP57">
            <v>559.42422893653475</v>
          </cell>
          <cell r="AQ57">
            <v>493.13805817128468</v>
          </cell>
          <cell r="AS57" t="str">
            <v xml:space="preserve">Radio </v>
          </cell>
          <cell r="AT57">
            <v>559.42422893653475</v>
          </cell>
          <cell r="AU57">
            <v>534.58393301659885</v>
          </cell>
        </row>
        <row r="58">
          <cell r="AK58" t="str">
            <v>Outdoor</v>
          </cell>
          <cell r="AL58">
            <v>230.80000000000007</v>
          </cell>
          <cell r="AM58">
            <v>-81.200000000000017</v>
          </cell>
          <cell r="AO58" t="str">
            <v>Outdoor</v>
          </cell>
          <cell r="AP58">
            <v>424.41916259039988</v>
          </cell>
          <cell r="AQ58">
            <v>454.26353240689565</v>
          </cell>
          <cell r="AS58" t="str">
            <v>Outdoor</v>
          </cell>
          <cell r="AT58">
            <v>424.41916259039988</v>
          </cell>
          <cell r="AU58">
            <v>474.66192581648875</v>
          </cell>
        </row>
        <row r="59">
          <cell r="AK59" t="str">
            <v>Publishing</v>
          </cell>
          <cell r="AL59">
            <v>78.7</v>
          </cell>
          <cell r="AM59">
            <v>44.699999999999996</v>
          </cell>
          <cell r="AO59" t="str">
            <v>Publishing</v>
          </cell>
          <cell r="AP59">
            <v>72.207737500000007</v>
          </cell>
          <cell r="AQ59">
            <v>72.959814875000006</v>
          </cell>
          <cell r="AS59" t="str">
            <v>Publishing</v>
          </cell>
          <cell r="AT59">
            <v>72.207737500000007</v>
          </cell>
          <cell r="AU59">
            <v>72.959814875000006</v>
          </cell>
        </row>
        <row r="60">
          <cell r="AK60" t="str">
            <v>Interactive</v>
          </cell>
          <cell r="AL60">
            <v>-21.212251040000087</v>
          </cell>
          <cell r="AM60">
            <v>0.88593798249993938</v>
          </cell>
          <cell r="AO60" t="str">
            <v>Interactive</v>
          </cell>
          <cell r="AP60">
            <v>68.818400671821678</v>
          </cell>
          <cell r="AQ60">
            <v>78.434597431268045</v>
          </cell>
          <cell r="AS60" t="str">
            <v>Interactive</v>
          </cell>
          <cell r="AT60">
            <v>68.818400671821678</v>
          </cell>
          <cell r="AU60">
            <v>78.434597431268045</v>
          </cell>
        </row>
        <row r="61">
          <cell r="AK61" t="str">
            <v>Total</v>
          </cell>
          <cell r="AL61">
            <v>2379.38774896</v>
          </cell>
          <cell r="AM61">
            <v>1503.2</v>
          </cell>
          <cell r="AO61" t="str">
            <v>Total</v>
          </cell>
          <cell r="AP61">
            <v>2803.5635700838138</v>
          </cell>
          <cell r="AQ61">
            <v>2700.8121473184501</v>
          </cell>
          <cell r="AS61" t="str">
            <v>Total</v>
          </cell>
          <cell r="AT61">
            <v>2975.9163578605494</v>
          </cell>
          <cell r="AU61">
            <v>3056.1569696112042</v>
          </cell>
        </row>
      </sheetData>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inity PF"/>
      <sheetName val="Infinity DCF"/>
      <sheetName val="Rev Growth Drivers"/>
      <sheetName val="Publishing"/>
      <sheetName val="Charts"/>
      <sheetName val="Theme Parks"/>
      <sheetName val="CW Network"/>
      <sheetName val="Share Options"/>
      <sheetName val="Scorecard"/>
      <sheetName val="King World"/>
    </sheetNames>
    <sheetDataSet>
      <sheetData sheetId="0">
        <row r="102">
          <cell r="U102">
            <v>223.19699999999997</v>
          </cell>
          <cell r="V102">
            <v>255.12517112331133</v>
          </cell>
          <cell r="W102">
            <v>244.79717120000004</v>
          </cell>
          <cell r="X102">
            <v>241.15919980560756</v>
          </cell>
          <cell r="Y102">
            <v>964.27854212891884</v>
          </cell>
          <cell r="AD102">
            <v>1027.4304043616453</v>
          </cell>
        </row>
      </sheetData>
      <sheetData sheetId="1"/>
      <sheetData sheetId="2"/>
      <sheetData sheetId="3"/>
      <sheetData sheetId="4">
        <row r="3">
          <cell r="B3" t="str">
            <v>Potential Radio Sale</v>
          </cell>
        </row>
        <row r="5">
          <cell r="D5" t="str">
            <v>FY05</v>
          </cell>
          <cell r="E5" t="str">
            <v>FY06</v>
          </cell>
          <cell r="F5" t="str">
            <v>FY07</v>
          </cell>
        </row>
        <row r="6">
          <cell r="B6" t="str">
            <v>Radio EBITDA</v>
          </cell>
          <cell r="D6">
            <v>925.00000000000023</v>
          </cell>
          <cell r="E6">
            <v>820</v>
          </cell>
          <cell r="F6">
            <v>685.29999999999973</v>
          </cell>
        </row>
        <row r="8">
          <cell r="B8" t="str">
            <v xml:space="preserve">  Sale Multiple</v>
          </cell>
          <cell r="F8">
            <v>11</v>
          </cell>
          <cell r="AA8">
            <v>2008</v>
          </cell>
          <cell r="AB8">
            <v>2009</v>
          </cell>
          <cell r="AC8" t="str">
            <v>2008E</v>
          </cell>
          <cell r="AD8" t="str">
            <v>2009E</v>
          </cell>
        </row>
        <row r="9">
          <cell r="F9">
            <v>7538.2999999999975</v>
          </cell>
          <cell r="Z9" t="str">
            <v>Radio</v>
          </cell>
          <cell r="AA9">
            <v>292.32365782972215</v>
          </cell>
          <cell r="AB9">
            <v>405.49374140411487</v>
          </cell>
          <cell r="AC9">
            <v>0.10037884916035894</v>
          </cell>
          <cell r="AD9">
            <v>0.19621297851742708</v>
          </cell>
        </row>
        <row r="10">
          <cell r="Z10" t="str">
            <v>Outdoor</v>
          </cell>
          <cell r="AA10">
            <v>-81.200000000000017</v>
          </cell>
          <cell r="AB10">
            <v>39.699999999999932</v>
          </cell>
          <cell r="AC10">
            <v>-2.7882664757051406E-2</v>
          </cell>
          <cell r="AD10">
            <v>1.9210297106358232E-2</v>
          </cell>
        </row>
        <row r="11">
          <cell r="B11" t="str">
            <v>CBS Share Price</v>
          </cell>
          <cell r="F11">
            <v>33.739200000000004</v>
          </cell>
          <cell r="Z11" t="str">
            <v>CBS Primetime</v>
          </cell>
          <cell r="AA11">
            <v>190.04427766626947</v>
          </cell>
          <cell r="AB11">
            <v>1.1257762598748968</v>
          </cell>
          <cell r="AC11">
            <v>6.525789264981012E-2</v>
          </cell>
          <cell r="AD11">
            <v>5.4474802084336432E-4</v>
          </cell>
        </row>
        <row r="12">
          <cell r="B12" t="str">
            <v>Total Shares Repurchased</v>
          </cell>
          <cell r="F12">
            <v>223.4285341679707</v>
          </cell>
          <cell r="Z12" t="str">
            <v>CBS Station Group</v>
          </cell>
          <cell r="AA12">
            <v>380.7</v>
          </cell>
          <cell r="AB12">
            <v>165.97634217027792</v>
          </cell>
          <cell r="AC12">
            <v>0.1307257447414959</v>
          </cell>
          <cell r="AD12">
            <v>8.0313724073491674E-2</v>
          </cell>
        </row>
        <row r="13">
          <cell r="Z13" t="str">
            <v>Production and Syndicaton</v>
          </cell>
          <cell r="AA13">
            <v>793.45572233373059</v>
          </cell>
          <cell r="AB13">
            <v>834.1305693001251</v>
          </cell>
          <cell r="AC13">
            <v>0.27245886582999351</v>
          </cell>
          <cell r="AD13">
            <v>0.40362458593831652</v>
          </cell>
        </row>
        <row r="14">
          <cell r="B14" t="str">
            <v>Radio Depreciation</v>
          </cell>
          <cell r="F14">
            <v>23.899999999999977</v>
          </cell>
          <cell r="Z14" t="str">
            <v>Showtime</v>
          </cell>
          <cell r="AA14">
            <v>409.59335677471427</v>
          </cell>
          <cell r="AB14">
            <v>474.56026879543333</v>
          </cell>
          <cell r="AC14">
            <v>0.14064721987271805</v>
          </cell>
          <cell r="AD14">
            <v>0.22963334404114644</v>
          </cell>
        </row>
        <row r="15">
          <cell r="B15" t="str">
            <v>Effective Tax Rate</v>
          </cell>
          <cell r="F15">
            <v>0.4</v>
          </cell>
          <cell r="Z15" t="str">
            <v>Publishing</v>
          </cell>
          <cell r="AA15">
            <v>44.699999999999996</v>
          </cell>
          <cell r="AB15">
            <v>64.700000000000017</v>
          </cell>
          <cell r="AC15">
            <v>1.5349200919214254E-2</v>
          </cell>
          <cell r="AD15">
            <v>3.1307461531017135E-2</v>
          </cell>
        </row>
        <row r="16">
          <cell r="Z16" t="str">
            <v>Total</v>
          </cell>
          <cell r="AA16">
            <v>2912.2037189599996</v>
          </cell>
          <cell r="AB16">
            <v>2066.6000000000004</v>
          </cell>
          <cell r="AC16">
            <v>1</v>
          </cell>
          <cell r="AD16">
            <v>1</v>
          </cell>
        </row>
        <row r="17">
          <cell r="B17" t="str">
            <v>FY07 Net Income</v>
          </cell>
          <cell r="D17">
            <v>-8321.7999999999993</v>
          </cell>
          <cell r="E17">
            <v>1382.8999999999999</v>
          </cell>
          <cell r="F17">
            <v>837.3599999999999</v>
          </cell>
          <cell r="AL17">
            <v>2006</v>
          </cell>
          <cell r="AM17">
            <v>2007</v>
          </cell>
          <cell r="AN17">
            <v>2008</v>
          </cell>
          <cell r="AO17">
            <v>2009</v>
          </cell>
          <cell r="AP17">
            <v>2010</v>
          </cell>
          <cell r="AQ17">
            <v>2011</v>
          </cell>
        </row>
        <row r="18">
          <cell r="B18" t="str">
            <v>Diluted Shares Outst.</v>
          </cell>
          <cell r="E18">
            <v>771.8</v>
          </cell>
          <cell r="F18">
            <v>721.9</v>
          </cell>
          <cell r="AA18">
            <v>2008</v>
          </cell>
          <cell r="AB18">
            <v>2009</v>
          </cell>
          <cell r="AC18">
            <v>2007</v>
          </cell>
          <cell r="AD18" t="str">
            <v>2008E</v>
          </cell>
          <cell r="AE18" t="str">
            <v>2009E</v>
          </cell>
          <cell r="AF18" t="str">
            <v>2010E</v>
          </cell>
          <cell r="AG18" t="str">
            <v>2011E</v>
          </cell>
          <cell r="AL18">
            <v>10362.349761470148</v>
          </cell>
          <cell r="AM18">
            <v>10158.508233914044</v>
          </cell>
          <cell r="AN18">
            <v>9409.725936645591</v>
          </cell>
          <cell r="AO18">
            <v>8390.2232146084662</v>
          </cell>
          <cell r="AP18">
            <v>9354.4421781178207</v>
          </cell>
          <cell r="AQ18">
            <v>8614.8488665585137</v>
          </cell>
        </row>
        <row r="19">
          <cell r="B19" t="str">
            <v>EPS Before Repurchase</v>
          </cell>
          <cell r="E19">
            <v>1.7917854366416168</v>
          </cell>
          <cell r="F19">
            <v>1.1599390497298794</v>
          </cell>
          <cell r="Z19" t="str">
            <v>Radio</v>
          </cell>
          <cell r="AC19">
            <v>-0.1052094494617074</v>
          </cell>
          <cell r="AD19">
            <v>-0.11849358788371145</v>
          </cell>
          <cell r="AE19">
            <v>-0.2057696056136703</v>
          </cell>
          <cell r="AF19">
            <v>0.10863779658204731</v>
          </cell>
          <cell r="AG19">
            <v>3.1080663491402927E-3</v>
          </cell>
          <cell r="AL19">
            <v>281.60000000000002</v>
          </cell>
          <cell r="AM19">
            <v>124.39999999999998</v>
          </cell>
          <cell r="AN19">
            <v>263</v>
          </cell>
        </row>
        <row r="20">
          <cell r="B20" t="str">
            <v>EPS After Repurchase</v>
          </cell>
          <cell r="F20">
            <v>1.6798554328527331</v>
          </cell>
          <cell r="Z20" t="str">
            <v>Outdoor</v>
          </cell>
          <cell r="AC20">
            <v>3.9887800703622744E-2</v>
          </cell>
          <cell r="AD20">
            <v>-7.6349837699447587E-3</v>
          </cell>
          <cell r="AE20">
            <v>-0.20639454528701728</v>
          </cell>
          <cell r="AF20">
            <v>5.6078021595262983E-2</v>
          </cell>
          <cell r="AG20">
            <v>4.1116974494283198E-2</v>
          </cell>
          <cell r="AL20">
            <v>10080.749761470148</v>
          </cell>
          <cell r="AM20">
            <v>10034.108233914045</v>
          </cell>
          <cell r="AN20">
            <v>9146.725936645591</v>
          </cell>
          <cell r="AO20">
            <v>8390.2232146084662</v>
          </cell>
          <cell r="AP20">
            <v>9354.4421781178207</v>
          </cell>
          <cell r="AQ20">
            <v>8614.8488665585137</v>
          </cell>
        </row>
        <row r="21">
          <cell r="Z21" t="str">
            <v>CBS Primetime</v>
          </cell>
          <cell r="AC21">
            <v>-6.25E-2</v>
          </cell>
          <cell r="AD21">
            <v>-0.17000000000000004</v>
          </cell>
          <cell r="AE21">
            <v>-2.2127089996026306E-2</v>
          </cell>
          <cell r="AF21">
            <v>0.11351194540773824</v>
          </cell>
          <cell r="AG21">
            <v>-1.9774779976529433E-2</v>
          </cell>
          <cell r="AM21">
            <v>-4.6267915244134761E-3</v>
          </cell>
          <cell r="AN21">
            <v>-8.8436588143350092E-2</v>
          </cell>
          <cell r="AO21">
            <v>-8.2707487605620744E-2</v>
          </cell>
          <cell r="AP21">
            <v>0.11492172959481284</v>
          </cell>
          <cell r="AQ21">
            <v>-7.9063326008833035E-2</v>
          </cell>
        </row>
        <row r="22">
          <cell r="B22" t="str">
            <v>EPS % Growth</v>
          </cell>
          <cell r="F22">
            <v>-6.2468419209097181E-2</v>
          </cell>
          <cell r="Z22" t="str">
            <v>CBS Station Group</v>
          </cell>
          <cell r="AC22">
            <v>-6.5969723999601659E-2</v>
          </cell>
          <cell r="AD22">
            <v>-0.26089798360561534</v>
          </cell>
          <cell r="AE22">
            <v>-0.21186140437894141</v>
          </cell>
          <cell r="AF22">
            <v>0.25171536455992083</v>
          </cell>
          <cell r="AG22">
            <v>-8.0961249028973392E-2</v>
          </cell>
        </row>
        <row r="23">
          <cell r="Z23" t="str">
            <v>Total Ad Growth</v>
          </cell>
          <cell r="AC23">
            <v>-4.6267915244134761E-3</v>
          </cell>
          <cell r="AD23">
            <v>-8.8436588143350092E-2</v>
          </cell>
          <cell r="AE23">
            <v>-8.2707487605620744E-2</v>
          </cell>
          <cell r="AF23">
            <v>0.11492172959481284</v>
          </cell>
          <cell r="AG23">
            <v>-7.9063326008833035E-2</v>
          </cell>
        </row>
        <row r="27">
          <cell r="AD27" t="str">
            <v>Radio</v>
          </cell>
          <cell r="AE27" t="str">
            <v>1Q06</v>
          </cell>
          <cell r="AF27" t="str">
            <v>2Q06</v>
          </cell>
          <cell r="AG27" t="str">
            <v>3Q06</v>
          </cell>
          <cell r="AH27" t="str">
            <v>4Q06</v>
          </cell>
          <cell r="AI27" t="str">
            <v>FY06</v>
          </cell>
          <cell r="AK27" t="str">
            <v>1Q07</v>
          </cell>
          <cell r="AL27" t="str">
            <v>2Q07</v>
          </cell>
          <cell r="AM27" t="str">
            <v>3Q07</v>
          </cell>
          <cell r="AN27" t="str">
            <v>4Q07</v>
          </cell>
          <cell r="AO27" t="str">
            <v>FY07</v>
          </cell>
          <cell r="AQ27" t="str">
            <v>1Q08</v>
          </cell>
          <cell r="AR27" t="str">
            <v>2Q08</v>
          </cell>
          <cell r="AS27" t="str">
            <v>3Q08</v>
          </cell>
          <cell r="AT27" t="str">
            <v>4Q08</v>
          </cell>
          <cell r="AU27" t="str">
            <v>FY08E</v>
          </cell>
        </row>
        <row r="28">
          <cell r="AD28" t="str">
            <v>Reported</v>
          </cell>
          <cell r="AE28">
            <v>434.5</v>
          </cell>
          <cell r="AF28">
            <v>519.1</v>
          </cell>
          <cell r="AG28">
            <v>508.1</v>
          </cell>
          <cell r="AH28">
            <v>498.2</v>
          </cell>
          <cell r="AI28">
            <v>1959.9</v>
          </cell>
          <cell r="AK28">
            <v>397.5</v>
          </cell>
          <cell r="AL28">
            <v>463.4</v>
          </cell>
          <cell r="AM28">
            <v>445.7</v>
          </cell>
          <cell r="AN28">
            <v>447.1</v>
          </cell>
          <cell r="AO28">
            <v>1753.6999999999998</v>
          </cell>
          <cell r="AQ28">
            <v>363.5</v>
          </cell>
          <cell r="AR28">
            <v>416.4</v>
          </cell>
          <cell r="AS28">
            <v>392.5</v>
          </cell>
          <cell r="AT28">
            <v>366.7</v>
          </cell>
          <cell r="AU28">
            <v>1539.1000000000001</v>
          </cell>
        </row>
        <row r="29">
          <cell r="AD29" t="str">
            <v>Political</v>
          </cell>
          <cell r="AE29">
            <v>2</v>
          </cell>
          <cell r="AF29">
            <v>1</v>
          </cell>
          <cell r="AG29">
            <v>5</v>
          </cell>
          <cell r="AH29">
            <v>10</v>
          </cell>
          <cell r="AI29">
            <v>18</v>
          </cell>
          <cell r="AK29">
            <v>1</v>
          </cell>
          <cell r="AL29">
            <v>1</v>
          </cell>
          <cell r="AM29">
            <v>1</v>
          </cell>
          <cell r="AN29">
            <v>3</v>
          </cell>
          <cell r="AO29">
            <v>6</v>
          </cell>
          <cell r="AQ29">
            <v>0</v>
          </cell>
          <cell r="AR29">
            <v>4</v>
          </cell>
          <cell r="AS29">
            <v>2</v>
          </cell>
          <cell r="AT29">
            <v>10</v>
          </cell>
          <cell r="AU29">
            <v>20</v>
          </cell>
        </row>
        <row r="30">
          <cell r="AD30" t="str">
            <v>Station Sales</v>
          </cell>
          <cell r="AE30">
            <v>27.699999999999989</v>
          </cell>
          <cell r="AF30">
            <v>34.900000000000034</v>
          </cell>
          <cell r="AG30">
            <v>25.600000000000023</v>
          </cell>
          <cell r="AH30">
            <v>15.399999999999977</v>
          </cell>
          <cell r="AI30">
            <v>103.60000000000002</v>
          </cell>
          <cell r="AK30">
            <v>9</v>
          </cell>
          <cell r="AL30">
            <v>6.5999999999999659</v>
          </cell>
          <cell r="AM30">
            <v>6.0999999999999659</v>
          </cell>
          <cell r="AN30">
            <v>2.7000000000000455</v>
          </cell>
          <cell r="AO30">
            <v>24.399999999999977</v>
          </cell>
          <cell r="AQ30">
            <v>0</v>
          </cell>
          <cell r="AR30">
            <v>0</v>
          </cell>
          <cell r="AS30">
            <v>0</v>
          </cell>
          <cell r="AT30">
            <v>0</v>
          </cell>
          <cell r="AU30">
            <v>0</v>
          </cell>
        </row>
        <row r="31">
          <cell r="AD31" t="str">
            <v>Sports</v>
          </cell>
          <cell r="AE31">
            <v>0</v>
          </cell>
          <cell r="AF31">
            <v>0</v>
          </cell>
          <cell r="AG31">
            <v>0</v>
          </cell>
          <cell r="AH31">
            <v>0</v>
          </cell>
          <cell r="AI31">
            <v>0</v>
          </cell>
          <cell r="AK31">
            <v>0</v>
          </cell>
          <cell r="AL31">
            <v>0</v>
          </cell>
          <cell r="AM31">
            <v>0</v>
          </cell>
          <cell r="AN31">
            <v>0</v>
          </cell>
          <cell r="AO31">
            <v>0</v>
          </cell>
          <cell r="AQ31">
            <v>0</v>
          </cell>
          <cell r="AR31">
            <v>0</v>
          </cell>
          <cell r="AS31">
            <v>0</v>
          </cell>
          <cell r="AT31">
            <v>0</v>
          </cell>
          <cell r="AU31">
            <v>0</v>
          </cell>
        </row>
        <row r="32">
          <cell r="AD32" t="str">
            <v>Pro Forma</v>
          </cell>
          <cell r="AE32">
            <v>404.8</v>
          </cell>
          <cell r="AF32">
            <v>483.2</v>
          </cell>
          <cell r="AG32">
            <v>477.5</v>
          </cell>
          <cell r="AH32">
            <v>472.8</v>
          </cell>
          <cell r="AI32">
            <v>1838.3</v>
          </cell>
          <cell r="AK32">
            <v>387.5</v>
          </cell>
          <cell r="AL32">
            <v>455.8</v>
          </cell>
          <cell r="AM32">
            <v>438.6</v>
          </cell>
          <cell r="AN32">
            <v>441.4</v>
          </cell>
          <cell r="AO32">
            <v>1723.3000000000002</v>
          </cell>
          <cell r="AQ32">
            <v>363.5</v>
          </cell>
          <cell r="AR32">
            <v>412.4</v>
          </cell>
          <cell r="AS32">
            <v>390.5</v>
          </cell>
          <cell r="AT32">
            <v>356.7</v>
          </cell>
          <cell r="AU32">
            <v>1519.1000000000001</v>
          </cell>
        </row>
        <row r="33">
          <cell r="AD33" t="str">
            <v>% PF Growth</v>
          </cell>
          <cell r="AK33">
            <v>-4.2737154150197632E-2</v>
          </cell>
          <cell r="AL33">
            <v>-5.6705298013244976E-2</v>
          </cell>
          <cell r="AM33">
            <v>-8.1465968586387438E-2</v>
          </cell>
          <cell r="AN33">
            <v>-6.6412859560067705E-2</v>
          </cell>
          <cell r="AO33">
            <v>-6.255779796551153E-2</v>
          </cell>
          <cell r="AQ33">
            <v>-6.19354838709677E-2</v>
          </cell>
          <cell r="AR33">
            <v>-9.5217200526546808E-2</v>
          </cell>
          <cell r="AS33">
            <v>-0.1096671226630187</v>
          </cell>
          <cell r="AT33">
            <v>-0.19188944268237429</v>
          </cell>
          <cell r="AU33">
            <v>-0.11849358788371145</v>
          </cell>
        </row>
        <row r="34">
          <cell r="AD34" t="str">
            <v>% From Political</v>
          </cell>
          <cell r="AK34">
            <v>2.2704212802869828E-3</v>
          </cell>
          <cell r="AL34">
            <v>-1.175970510436386E-4</v>
          </cell>
          <cell r="AM34">
            <v>7.6035347239535866E-3</v>
          </cell>
          <cell r="AN34">
            <v>1.3690301219531742E-2</v>
          </cell>
          <cell r="AO34">
            <v>5.9737184181842817E-3</v>
          </cell>
          <cell r="AQ34">
            <v>2.4270750740724711E-3</v>
          </cell>
          <cell r="AR34">
            <v>-6.8056666678244504E-3</v>
          </cell>
          <cell r="AS34">
            <v>-2.5358023826851372E-3</v>
          </cell>
          <cell r="AT34">
            <v>-1.728026534682281E-2</v>
          </cell>
          <cell r="AU34">
            <v>-8.566331757585921E-3</v>
          </cell>
        </row>
        <row r="35">
          <cell r="AD35" t="str">
            <v>% From Station Sales</v>
          </cell>
          <cell r="AK35">
            <v>4.6865026658233777E-2</v>
          </cell>
          <cell r="AL35">
            <v>5.8834967498896384E-2</v>
          </cell>
          <cell r="AM35">
            <v>3.9402823211281635E-2</v>
          </cell>
          <cell r="AN35">
            <v>2.657146312372749E-2</v>
          </cell>
          <cell r="AO35">
            <v>4.2720271077588912E-2</v>
          </cell>
          <cell r="AQ35">
            <v>2.2422316081663451E-2</v>
          </cell>
          <cell r="AR35">
            <v>1.3223224177860593E-2</v>
          </cell>
          <cell r="AS35">
            <v>1.2550549611172968E-2</v>
          </cell>
          <cell r="AT35">
            <v>4.9007156032160326E-3</v>
          </cell>
          <cell r="AU35">
            <v>1.2581805163182969E-2</v>
          </cell>
        </row>
        <row r="36">
          <cell r="AD36" t="str">
            <v>% From Sports</v>
          </cell>
          <cell r="AK36">
            <v>0</v>
          </cell>
          <cell r="AL36">
            <v>0</v>
          </cell>
          <cell r="AM36">
            <v>0</v>
          </cell>
          <cell r="AN36">
            <v>0</v>
          </cell>
          <cell r="AO36">
            <v>0</v>
          </cell>
          <cell r="AQ36">
            <v>0</v>
          </cell>
          <cell r="AR36">
            <v>0</v>
          </cell>
          <cell r="AS36">
            <v>0</v>
          </cell>
          <cell r="AT36">
            <v>0</v>
          </cell>
          <cell r="AU36">
            <v>0</v>
          </cell>
        </row>
        <row r="37">
          <cell r="AD37" t="str">
            <v>% Reported Growth</v>
          </cell>
          <cell r="AK37">
            <v>-8.5155350978135758E-2</v>
          </cell>
          <cell r="AL37">
            <v>-0.10730109805432486</v>
          </cell>
          <cell r="AM37">
            <v>-0.1228104703798466</v>
          </cell>
          <cell r="AN37">
            <v>-0.1025692492974708</v>
          </cell>
          <cell r="AO37">
            <v>-0.1052094494617074</v>
          </cell>
          <cell r="AQ37">
            <v>-8.5534591194968534E-2</v>
          </cell>
          <cell r="AR37">
            <v>-0.10142425550280532</v>
          </cell>
          <cell r="AS37">
            <v>-0.11936280008974642</v>
          </cell>
          <cell r="AT37">
            <v>-0.17982554238425419</v>
          </cell>
          <cell r="AU37">
            <v>-0.12236984661002437</v>
          </cell>
        </row>
        <row r="40">
          <cell r="AD40" t="str">
            <v>TV Stations</v>
          </cell>
          <cell r="AE40" t="str">
            <v>1Q06</v>
          </cell>
          <cell r="AF40" t="str">
            <v>2Q06</v>
          </cell>
          <cell r="AG40" t="str">
            <v>3Q06</v>
          </cell>
          <cell r="AH40" t="str">
            <v>4Q06</v>
          </cell>
          <cell r="AI40" t="str">
            <v>FY06</v>
          </cell>
          <cell r="AK40" t="str">
            <v>1Q07</v>
          </cell>
          <cell r="AL40" t="str">
            <v>2Q07</v>
          </cell>
          <cell r="AM40" t="str">
            <v>3Q07</v>
          </cell>
          <cell r="AN40" t="str">
            <v>4Q07</v>
          </cell>
          <cell r="AO40" t="str">
            <v>FY07</v>
          </cell>
          <cell r="AQ40" t="str">
            <v>1Q08</v>
          </cell>
          <cell r="AR40" t="str">
            <v>2Q08</v>
          </cell>
          <cell r="AS40" t="str">
            <v>3Q08</v>
          </cell>
          <cell r="AT40" t="str">
            <v>4Q08</v>
          </cell>
          <cell r="AU40" t="str">
            <v>FY08E</v>
          </cell>
        </row>
        <row r="41">
          <cell r="AD41" t="str">
            <v>Reported</v>
          </cell>
          <cell r="AE41">
            <v>408.50827469157343</v>
          </cell>
          <cell r="AF41">
            <v>468.85783680079322</v>
          </cell>
          <cell r="AG41">
            <v>454.27961104887902</v>
          </cell>
          <cell r="AH41">
            <v>520.6997961845866</v>
          </cell>
          <cell r="AI41">
            <v>1852.3455187258321</v>
          </cell>
          <cell r="AK41">
            <v>437.29488348861855</v>
          </cell>
          <cell r="AL41">
            <v>437.41293503010274</v>
          </cell>
          <cell r="AM41">
            <v>421.2512227174127</v>
          </cell>
          <cell r="AN41">
            <v>378.74291070739207</v>
          </cell>
          <cell r="AO41">
            <v>1674.7019519435262</v>
          </cell>
          <cell r="AQ41">
            <v>369.79999999999995</v>
          </cell>
          <cell r="AR41">
            <v>359</v>
          </cell>
          <cell r="AS41">
            <v>313.39999999999998</v>
          </cell>
          <cell r="AT41">
            <v>369.09999999999997</v>
          </cell>
          <cell r="AU41">
            <v>1411.2999999999997</v>
          </cell>
        </row>
        <row r="42">
          <cell r="AD42" t="str">
            <v>Political</v>
          </cell>
          <cell r="AE42">
            <v>12.5</v>
          </cell>
          <cell r="AF42">
            <v>12.5</v>
          </cell>
          <cell r="AG42">
            <v>45</v>
          </cell>
          <cell r="AH42">
            <v>90</v>
          </cell>
          <cell r="AI42">
            <v>160</v>
          </cell>
          <cell r="AK42">
            <v>2</v>
          </cell>
          <cell r="AL42">
            <v>2</v>
          </cell>
          <cell r="AM42">
            <v>2</v>
          </cell>
          <cell r="AN42">
            <v>12</v>
          </cell>
          <cell r="AO42">
            <v>18</v>
          </cell>
          <cell r="AQ42">
            <v>20</v>
          </cell>
          <cell r="AR42">
            <v>8</v>
          </cell>
          <cell r="AS42">
            <v>60</v>
          </cell>
          <cell r="AT42">
            <v>120</v>
          </cell>
          <cell r="AU42">
            <v>208</v>
          </cell>
        </row>
        <row r="43">
          <cell r="AD43" t="str">
            <v>Station Sales</v>
          </cell>
          <cell r="AE43">
            <v>0</v>
          </cell>
          <cell r="AF43">
            <v>0</v>
          </cell>
          <cell r="AG43">
            <v>0</v>
          </cell>
          <cell r="AH43">
            <v>0</v>
          </cell>
          <cell r="AI43">
            <v>0</v>
          </cell>
          <cell r="AK43">
            <v>0</v>
          </cell>
          <cell r="AL43">
            <v>15</v>
          </cell>
          <cell r="AM43">
            <v>18</v>
          </cell>
          <cell r="AN43">
            <v>18</v>
          </cell>
          <cell r="AO43">
            <v>51</v>
          </cell>
          <cell r="AQ43">
            <v>18</v>
          </cell>
          <cell r="AR43">
            <v>9</v>
          </cell>
          <cell r="AS43">
            <v>4</v>
          </cell>
          <cell r="AT43">
            <v>4</v>
          </cell>
          <cell r="AU43">
            <v>35</v>
          </cell>
        </row>
        <row r="44">
          <cell r="S44" t="str">
            <v>Morgan Stanley Estimates</v>
          </cell>
          <cell r="AD44" t="str">
            <v>Sports</v>
          </cell>
          <cell r="AE44">
            <v>0</v>
          </cell>
          <cell r="AF44">
            <v>0</v>
          </cell>
          <cell r="AG44">
            <v>0</v>
          </cell>
          <cell r="AH44">
            <v>0</v>
          </cell>
          <cell r="AI44">
            <v>0</v>
          </cell>
          <cell r="AK44">
            <v>25</v>
          </cell>
          <cell r="AL44">
            <v>0</v>
          </cell>
          <cell r="AM44">
            <v>0</v>
          </cell>
          <cell r="AN44">
            <v>0</v>
          </cell>
          <cell r="AO44">
            <v>25</v>
          </cell>
          <cell r="AQ44">
            <v>0</v>
          </cell>
          <cell r="AR44">
            <v>0</v>
          </cell>
          <cell r="AS44">
            <v>0</v>
          </cell>
          <cell r="AT44">
            <v>0</v>
          </cell>
          <cell r="AU44">
            <v>0</v>
          </cell>
        </row>
        <row r="45">
          <cell r="T45" t="str">
            <v>2Q07</v>
          </cell>
          <cell r="U45" t="str">
            <v>FY07</v>
          </cell>
          <cell r="V45" t="str">
            <v>FY08</v>
          </cell>
          <cell r="AD45" t="str">
            <v>Pro Forma</v>
          </cell>
          <cell r="AE45">
            <v>396.00827469157343</v>
          </cell>
          <cell r="AF45">
            <v>456.35783680079322</v>
          </cell>
          <cell r="AG45">
            <v>409.27961104887902</v>
          </cell>
          <cell r="AH45">
            <v>430.6997961845866</v>
          </cell>
          <cell r="AI45">
            <v>1692.3455187258321</v>
          </cell>
          <cell r="AK45">
            <v>410.29488348861855</v>
          </cell>
          <cell r="AL45">
            <v>420.41293503010274</v>
          </cell>
          <cell r="AM45">
            <v>401.2512227174127</v>
          </cell>
          <cell r="AN45">
            <v>348.74291070739207</v>
          </cell>
          <cell r="AO45">
            <v>1580.7019519435262</v>
          </cell>
          <cell r="AQ45">
            <v>331.79999999999995</v>
          </cell>
          <cell r="AR45">
            <v>342</v>
          </cell>
          <cell r="AS45">
            <v>249.39999999999998</v>
          </cell>
          <cell r="AT45">
            <v>245.09999999999997</v>
          </cell>
          <cell r="AU45">
            <v>1168.3</v>
          </cell>
        </row>
        <row r="46">
          <cell r="S46" t="str">
            <v>Revenue</v>
          </cell>
          <cell r="T46">
            <v>3374.9</v>
          </cell>
          <cell r="U46">
            <v>14072.9</v>
          </cell>
          <cell r="V46">
            <v>13950.4</v>
          </cell>
          <cell r="AD46" t="str">
            <v>% PF Growth</v>
          </cell>
          <cell r="AK46">
            <v>3.6076541097965986E-2</v>
          </cell>
          <cell r="AL46">
            <v>-7.8764729937969569E-2</v>
          </cell>
          <cell r="AM46">
            <v>-1.9615900999543134E-2</v>
          </cell>
          <cell r="AN46">
            <v>-0.19028772756156576</v>
          </cell>
          <cell r="AO46">
            <v>-6.5969723999601659E-2</v>
          </cell>
          <cell r="AQ46">
            <v>-0.1913133374250231</v>
          </cell>
          <cell r="AR46">
            <v>-0.18651408768973332</v>
          </cell>
          <cell r="AS46">
            <v>-0.37844426164990475</v>
          </cell>
          <cell r="AT46">
            <v>-0.2971900145501517</v>
          </cell>
          <cell r="AU46">
            <v>-0.26089798360561534</v>
          </cell>
        </row>
        <row r="47">
          <cell r="S47" t="str">
            <v>EBITDA</v>
          </cell>
          <cell r="T47">
            <v>860.25000000000011</v>
          </cell>
          <cell r="U47">
            <v>3077.5</v>
          </cell>
          <cell r="V47">
            <v>2689.7999999999997</v>
          </cell>
          <cell r="AD47" t="str">
            <v>% From Political</v>
          </cell>
          <cell r="AK47">
            <v>2.8554681831914897E-2</v>
          </cell>
          <cell r="AL47">
            <v>2.143803733276417E-2</v>
          </cell>
          <cell r="AM47">
            <v>0.11561801203682864</v>
          </cell>
          <cell r="AN47">
            <v>0.17867373330179004</v>
          </cell>
          <cell r="AO47">
            <v>8.5780160253518978E-2</v>
          </cell>
          <cell r="AQ47">
            <v>-4.5022917058823331E-2</v>
          </cell>
          <cell r="AR47">
            <v>-1.523143201803967E-2</v>
          </cell>
          <cell r="AS47">
            <v>-0.14716771090488934</v>
          </cell>
          <cell r="AT47">
            <v>-0.33130995969665933</v>
          </cell>
          <cell r="AU47">
            <v>-0.12458944168000696</v>
          </cell>
        </row>
        <row r="48">
          <cell r="S48" t="str">
            <v>EPS</v>
          </cell>
          <cell r="T48">
            <v>0.54613380860981642</v>
          </cell>
          <cell r="U48">
            <v>1.7096550768804541</v>
          </cell>
          <cell r="V48">
            <v>-17.428187518662295</v>
          </cell>
          <cell r="AD48" t="str">
            <v>% From Station Sales</v>
          </cell>
          <cell r="AK48">
            <v>0</v>
          </cell>
          <cell r="AL48">
            <v>-3.3794604389810745E-2</v>
          </cell>
          <cell r="AM48">
            <v>-4.9412592563641278E-2</v>
          </cell>
          <cell r="AN48">
            <v>-5.2832435480084095E-2</v>
          </cell>
          <cell r="AO48">
            <v>-3.3282310925806802E-2</v>
          </cell>
          <cell r="AQ48">
            <v>-4.4085783897661268E-2</v>
          </cell>
          <cell r="AR48">
            <v>7.3716456418569942E-3</v>
          </cell>
          <cell r="AS48">
            <v>1.1905494916610415E-2</v>
          </cell>
          <cell r="AT48">
            <v>8.429992866646363E-3</v>
          </cell>
          <cell r="AU48">
            <v>-2.4210186967487113E-3</v>
          </cell>
        </row>
        <row r="49">
          <cell r="AD49" t="str">
            <v>% From Sports</v>
          </cell>
          <cell r="AK49">
            <v>-6.5187641701096477E-2</v>
          </cell>
          <cell r="AL49">
            <v>0</v>
          </cell>
          <cell r="AM49">
            <v>0</v>
          </cell>
          <cell r="AN49">
            <v>0</v>
          </cell>
          <cell r="AO49">
            <v>-1.6314858296964219E-2</v>
          </cell>
          <cell r="AQ49">
            <v>4.6933705132530146E-2</v>
          </cell>
          <cell r="AR49">
            <v>0</v>
          </cell>
          <cell r="AS49">
            <v>0</v>
          </cell>
          <cell r="AT49">
            <v>0</v>
          </cell>
          <cell r="AU49">
            <v>1.0292775145977595E-2</v>
          </cell>
        </row>
        <row r="50">
          <cell r="S50" t="str">
            <v>Consensus Estimates</v>
          </cell>
          <cell r="AD50" t="str">
            <v>% Reported Growth</v>
          </cell>
          <cell r="AK50">
            <v>7.0467627170537117E-2</v>
          </cell>
          <cell r="AL50">
            <v>-6.7067028217448144E-2</v>
          </cell>
          <cell r="AM50">
            <v>-7.27049762484554E-2</v>
          </cell>
          <cell r="AN50">
            <v>-0.27262711934473505</v>
          </cell>
          <cell r="AO50">
            <v>-9.5901960507077111E-2</v>
          </cell>
          <cell r="AQ50">
            <v>-0.15434638281189783</v>
          </cell>
          <cell r="AR50">
            <v>-0.17926524057800519</v>
          </cell>
          <cell r="AS50">
            <v>-0.25602589832662015</v>
          </cell>
          <cell r="AT50">
            <v>-2.5460306806487032E-2</v>
          </cell>
          <cell r="AU50">
            <v>-0.15728288346343844</v>
          </cell>
        </row>
        <row r="51">
          <cell r="T51" t="str">
            <v>2Q07</v>
          </cell>
          <cell r="U51" t="str">
            <v>FY07</v>
          </cell>
          <cell r="V51" t="str">
            <v>FY08</v>
          </cell>
        </row>
        <row r="52">
          <cell r="S52" t="str">
            <v>Revenue</v>
          </cell>
          <cell r="T52">
            <v>3404</v>
          </cell>
          <cell r="U52">
            <v>14303</v>
          </cell>
          <cell r="V52">
            <v>14782</v>
          </cell>
        </row>
        <row r="53">
          <cell r="S53" t="str">
            <v>EBITDA</v>
          </cell>
          <cell r="T53">
            <v>852</v>
          </cell>
          <cell r="U53">
            <v>3124</v>
          </cell>
          <cell r="V53">
            <v>3329</v>
          </cell>
        </row>
        <row r="54">
          <cell r="S54" t="str">
            <v>EPS</v>
          </cell>
          <cell r="T54">
            <v>0.52</v>
          </cell>
          <cell r="U54">
            <v>1.78</v>
          </cell>
          <cell r="V54">
            <v>2</v>
          </cell>
        </row>
        <row r="57">
          <cell r="AA57" t="str">
            <v>2009E</v>
          </cell>
          <cell r="AB57" t="str">
            <v>2010E</v>
          </cell>
        </row>
        <row r="58">
          <cell r="AA58">
            <v>13014.6</v>
          </cell>
          <cell r="AB58">
            <v>14059.799999999997</v>
          </cell>
        </row>
      </sheetData>
      <sheetData sheetId="5"/>
      <sheetData sheetId="6"/>
      <sheetData sheetId="7"/>
      <sheetData sheetId="8">
        <row r="2">
          <cell r="B2" t="str">
            <v>CBS Actuals vs Morgan Stanley Estimates</v>
          </cell>
        </row>
        <row r="4">
          <cell r="B4" t="str">
            <v>(US$ millions)</v>
          </cell>
          <cell r="C4" t="str">
            <v>3Q09A</v>
          </cell>
          <cell r="E4" t="str">
            <v>3Q09E</v>
          </cell>
          <cell r="G4" t="str">
            <v>Variance</v>
          </cell>
          <cell r="H4" t="str">
            <v>3Q08A</v>
          </cell>
          <cell r="I4" t="str">
            <v>YoY % 
Growth</v>
          </cell>
        </row>
        <row r="6">
          <cell r="B6" t="str">
            <v>Radio</v>
          </cell>
          <cell r="C6">
            <v>318.89999999999998</v>
          </cell>
          <cell r="E6">
            <v>316.36430277363246</v>
          </cell>
          <cell r="G6">
            <v>2.5356972263675175</v>
          </cell>
          <cell r="H6">
            <v>392.5</v>
          </cell>
          <cell r="I6">
            <v>-0.18751592356687907</v>
          </cell>
        </row>
        <row r="7">
          <cell r="B7" t="str">
            <v>Outdoor</v>
          </cell>
          <cell r="C7">
            <v>424.9</v>
          </cell>
          <cell r="E7">
            <v>438.40777011128773</v>
          </cell>
          <cell r="G7">
            <v>-13.507770111287755</v>
          </cell>
          <cell r="H7">
            <v>549.29999999999995</v>
          </cell>
          <cell r="I7">
            <v>-0.22647005279446564</v>
          </cell>
          <cell r="K7" t="str">
            <v>Domestic billboard down 17% vs. expected down 14% and LAMR down 13%</v>
          </cell>
        </row>
        <row r="8">
          <cell r="B8" t="str">
            <v>Television</v>
          </cell>
          <cell r="C8">
            <v>2269</v>
          </cell>
          <cell r="E8">
            <v>2205.1039350744818</v>
          </cell>
          <cell r="G8">
            <v>63.896064925518203</v>
          </cell>
          <cell r="H8">
            <v>2107.3000000000002</v>
          </cell>
          <cell r="I8">
            <v>7.6733260570398087E-2</v>
          </cell>
          <cell r="K8" t="str">
            <v>TV stations down 13.6% vs. expected down 21%, network up slightly vs. expected flat</v>
          </cell>
        </row>
        <row r="9">
          <cell r="B9" t="str">
            <v>Publishing</v>
          </cell>
          <cell r="C9">
            <v>230.4</v>
          </cell>
          <cell r="E9">
            <v>202.5</v>
          </cell>
          <cell r="G9">
            <v>27.900000000000006</v>
          </cell>
          <cell r="H9">
            <v>225</v>
          </cell>
          <cell r="I9">
            <v>2.4000000000000021E-2</v>
          </cell>
          <cell r="K9" t="str">
            <v>Up 4% in constant dollars</v>
          </cell>
        </row>
        <row r="10">
          <cell r="B10" t="str">
            <v>Interactive</v>
          </cell>
          <cell r="C10">
            <v>121.3</v>
          </cell>
          <cell r="E10">
            <v>143.23227322320002</v>
          </cell>
          <cell r="G10">
            <v>-21.932273223200028</v>
          </cell>
          <cell r="H10">
            <v>142.30000000000001</v>
          </cell>
          <cell r="I10" t="str">
            <v>NM</v>
          </cell>
        </row>
        <row r="11">
          <cell r="B11" t="str">
            <v>Intercompany Eliminations</v>
          </cell>
          <cell r="C11">
            <v>-14.5</v>
          </cell>
          <cell r="E11">
            <v>-7.7441250000000013</v>
          </cell>
          <cell r="G11">
            <v>-6.7558749999999987</v>
          </cell>
          <cell r="H11">
            <v>-40.700000000000003</v>
          </cell>
          <cell r="I11">
            <v>-0.64373464373464384</v>
          </cell>
        </row>
        <row r="12">
          <cell r="B12" t="str">
            <v xml:space="preserve">Total Revenues </v>
          </cell>
          <cell r="C12">
            <v>3350.0000000000005</v>
          </cell>
          <cell r="E12">
            <v>3297.8641561826021</v>
          </cell>
          <cell r="G12">
            <v>52.135843817398381</v>
          </cell>
          <cell r="H12">
            <v>3375.7000000000007</v>
          </cell>
          <cell r="I12">
            <v>-7.6132357733211808E-3</v>
          </cell>
        </row>
        <row r="14">
          <cell r="B14" t="str">
            <v>Radio</v>
          </cell>
          <cell r="C14">
            <v>93.1</v>
          </cell>
          <cell r="E14">
            <v>93.973185628558724</v>
          </cell>
          <cell r="G14">
            <v>-0.87318562855872983</v>
          </cell>
          <cell r="H14">
            <v>139.6</v>
          </cell>
          <cell r="I14">
            <v>-0.33309455587392556</v>
          </cell>
        </row>
        <row r="15">
          <cell r="B15" t="str">
            <v>Outdoor</v>
          </cell>
          <cell r="C15">
            <v>32.6</v>
          </cell>
          <cell r="E15">
            <v>36.83874773608909</v>
          </cell>
          <cell r="G15">
            <v>-4.2387477360890884</v>
          </cell>
          <cell r="H15">
            <v>118.60000000000001</v>
          </cell>
          <cell r="I15">
            <v>-0.72512647554806064</v>
          </cell>
        </row>
        <row r="16">
          <cell r="B16" t="str">
            <v>Television</v>
          </cell>
          <cell r="C16">
            <v>483.9</v>
          </cell>
          <cell r="E16">
            <v>449.46147135461916</v>
          </cell>
          <cell r="G16">
            <v>34.438528645380813</v>
          </cell>
          <cell r="H16">
            <v>412.29999999999995</v>
          </cell>
          <cell r="I16">
            <v>0.17365995634246922</v>
          </cell>
        </row>
        <row r="17">
          <cell r="B17" t="str">
            <v>Publishing</v>
          </cell>
          <cell r="C17">
            <v>28.4</v>
          </cell>
          <cell r="E17">
            <v>6.0750000000000002</v>
          </cell>
          <cell r="G17">
            <v>22.324999999999999</v>
          </cell>
          <cell r="H17">
            <v>25.8</v>
          </cell>
          <cell r="I17">
            <v>0.10077519379844957</v>
          </cell>
        </row>
        <row r="18">
          <cell r="B18" t="str">
            <v>Interactive</v>
          </cell>
          <cell r="C18">
            <v>4.0999999999999996</v>
          </cell>
          <cell r="E18">
            <v>7.8123910380320183</v>
          </cell>
          <cell r="G18">
            <v>-3.7123910380320186</v>
          </cell>
          <cell r="H18">
            <v>3.3</v>
          </cell>
          <cell r="I18" t="str">
            <v>NM</v>
          </cell>
        </row>
        <row r="19">
          <cell r="B19" t="str">
            <v>Eliminations</v>
          </cell>
          <cell r="C19">
            <v>-2.1</v>
          </cell>
          <cell r="E19">
            <v>0</v>
          </cell>
          <cell r="G19">
            <v>-2.1</v>
          </cell>
          <cell r="H19">
            <v>0</v>
          </cell>
          <cell r="I19" t="str">
            <v>NM</v>
          </cell>
        </row>
        <row r="20">
          <cell r="B20" t="str">
            <v xml:space="preserve">Total Segment EBITDA </v>
          </cell>
          <cell r="C20">
            <v>639.99999999999989</v>
          </cell>
          <cell r="E20">
            <v>594.16079575729907</v>
          </cell>
          <cell r="G20">
            <v>45.839204242700816</v>
          </cell>
          <cell r="H20">
            <v>699.59999999999991</v>
          </cell>
          <cell r="I20">
            <v>-8.5191538021726743E-2</v>
          </cell>
        </row>
        <row r="22">
          <cell r="B22" t="str">
            <v xml:space="preserve">Corporate &amp; Eliminations </v>
          </cell>
          <cell r="C22">
            <v>34.799999999999997</v>
          </cell>
          <cell r="E22">
            <v>32</v>
          </cell>
          <cell r="G22">
            <v>2.7999999999999972</v>
          </cell>
          <cell r="H22">
            <v>37.799999999999997</v>
          </cell>
        </row>
        <row r="23">
          <cell r="B23" t="str">
            <v>Residual Costs of Discont. Businesses</v>
          </cell>
          <cell r="C23">
            <v>35.9</v>
          </cell>
          <cell r="E23">
            <v>35.9</v>
          </cell>
          <cell r="G23">
            <v>0</v>
          </cell>
          <cell r="H23">
            <v>18.3</v>
          </cell>
          <cell r="K23" t="str">
            <v>Normalized for $28m settlement benefit</v>
          </cell>
        </row>
        <row r="24">
          <cell r="B24" t="str">
            <v xml:space="preserve"> Recurring EBITDA</v>
          </cell>
          <cell r="C24">
            <v>569.29999999999995</v>
          </cell>
          <cell r="E24">
            <v>526.26079575729909</v>
          </cell>
          <cell r="G24">
            <v>43.039204242700862</v>
          </cell>
          <cell r="H24">
            <v>643.5</v>
          </cell>
          <cell r="I24">
            <v>-0.11530691530691539</v>
          </cell>
        </row>
        <row r="26">
          <cell r="B26" t="str">
            <v>Non-Recurring Charges</v>
          </cell>
          <cell r="C26">
            <v>-28</v>
          </cell>
          <cell r="E26">
            <v>0</v>
          </cell>
          <cell r="G26">
            <v>-28</v>
          </cell>
          <cell r="H26">
            <v>2.7</v>
          </cell>
          <cell r="K26" t="str">
            <v>Reclassing $28m settlement benefit out of residual costs line</v>
          </cell>
        </row>
        <row r="27">
          <cell r="B27" t="str">
            <v>Impairment of Goodwill and Other Intangible Assets</v>
          </cell>
          <cell r="C27">
            <v>31.7</v>
          </cell>
          <cell r="E27">
            <v>0</v>
          </cell>
          <cell r="G27">
            <v>31.7</v>
          </cell>
          <cell r="H27">
            <v>14117.2</v>
          </cell>
          <cell r="K27" t="str">
            <v>Related to sale of Portland radio stations</v>
          </cell>
        </row>
        <row r="28">
          <cell r="B28" t="str">
            <v>Total Reported EBITDA</v>
          </cell>
          <cell r="C28">
            <v>565.59999999999991</v>
          </cell>
          <cell r="E28">
            <v>526.26079575729909</v>
          </cell>
          <cell r="G28">
            <v>39.339204242700816</v>
          </cell>
          <cell r="H28">
            <v>-13476.400000000001</v>
          </cell>
          <cell r="I28">
            <v>-1.0419696654892998</v>
          </cell>
        </row>
        <row r="31">
          <cell r="B31" t="str">
            <v>Depreciation &amp; Amortization Expense</v>
          </cell>
          <cell r="C31">
            <v>147.4</v>
          </cell>
          <cell r="E31">
            <v>142.31238518651355</v>
          </cell>
          <cell r="G31">
            <v>5.0876148134864536</v>
          </cell>
          <cell r="H31">
            <v>141.70000000000002</v>
          </cell>
        </row>
        <row r="32">
          <cell r="B32" t="str">
            <v xml:space="preserve">Total Reported EBIT </v>
          </cell>
          <cell r="C32">
            <v>418.19999999999993</v>
          </cell>
          <cell r="E32">
            <v>383.94841057078554</v>
          </cell>
          <cell r="G32">
            <v>34.251589429214391</v>
          </cell>
          <cell r="H32">
            <v>-13618.100000000002</v>
          </cell>
          <cell r="I32">
            <v>-1.0307091297611268</v>
          </cell>
        </row>
        <row r="34">
          <cell r="B34" t="str">
            <v>Interest Expense</v>
          </cell>
          <cell r="C34">
            <v>-135.4</v>
          </cell>
          <cell r="E34">
            <v>-129.16392615000007</v>
          </cell>
          <cell r="G34">
            <v>6.23607384999994</v>
          </cell>
          <cell r="H34">
            <v>-134.80000000000001</v>
          </cell>
        </row>
        <row r="35">
          <cell r="B35" t="str">
            <v>Interest Income</v>
          </cell>
          <cell r="C35">
            <v>1.6</v>
          </cell>
          <cell r="E35">
            <v>1.4462499999999998</v>
          </cell>
          <cell r="G35">
            <v>0.15375000000000028</v>
          </cell>
          <cell r="H35">
            <v>6.4</v>
          </cell>
        </row>
        <row r="36">
          <cell r="B36" t="str">
            <v>Interest Expense, net</v>
          </cell>
          <cell r="C36">
            <v>-133.80000000000001</v>
          </cell>
          <cell r="E36">
            <v>-127.71767615000006</v>
          </cell>
          <cell r="G36">
            <v>6.0823238499999519</v>
          </cell>
          <cell r="H36">
            <v>-128.4</v>
          </cell>
          <cell r="I36">
            <v>4.20560747663552E-2</v>
          </cell>
        </row>
        <row r="37">
          <cell r="B37" t="str">
            <v>Other Income/ (Expense)</v>
          </cell>
          <cell r="C37">
            <v>15</v>
          </cell>
          <cell r="E37">
            <v>0</v>
          </cell>
          <cell r="G37">
            <v>15</v>
          </cell>
          <cell r="H37">
            <v>-41.3</v>
          </cell>
        </row>
        <row r="38">
          <cell r="B38" t="str">
            <v>Pre-Tax Income</v>
          </cell>
          <cell r="C38">
            <v>299.39999999999992</v>
          </cell>
          <cell r="E38">
            <v>256.2307344207855</v>
          </cell>
          <cell r="G38">
            <v>43.169265579214425</v>
          </cell>
          <cell r="H38">
            <v>-13787.800000000001</v>
          </cell>
          <cell r="I38">
            <v>-1.0217148493595787</v>
          </cell>
        </row>
        <row r="41">
          <cell r="B41" t="str">
            <v xml:space="preserve">Total Tax Provision </v>
          </cell>
          <cell r="C41">
            <v>-79.7</v>
          </cell>
          <cell r="E41">
            <v>-99.018449703067077</v>
          </cell>
          <cell r="G41">
            <v>19.318449703067074</v>
          </cell>
          <cell r="H41">
            <v>1332.1</v>
          </cell>
          <cell r="K41" t="str">
            <v>Includes $42m benefit from tax audit settlement</v>
          </cell>
        </row>
        <row r="42">
          <cell r="B42" t="str">
            <v>Effective Tax Rate</v>
          </cell>
          <cell r="C42">
            <v>0.26619906479625927</v>
          </cell>
          <cell r="E42">
            <v>0.36153368519093454</v>
          </cell>
          <cell r="G42">
            <v>-9.5334620394675273E-2</v>
          </cell>
          <cell r="H42">
            <v>0.33049142638183715</v>
          </cell>
        </row>
        <row r="44">
          <cell r="B44" t="str">
            <v>Equity in the Losses of Equity-Method Affililates</v>
          </cell>
          <cell r="C44">
            <v>-12.1</v>
          </cell>
          <cell r="E44">
            <v>-3.1</v>
          </cell>
          <cell r="G44">
            <v>-9</v>
          </cell>
          <cell r="H44">
            <v>-6</v>
          </cell>
        </row>
        <row r="46">
          <cell r="B46" t="str">
            <v>Net Income from Continuing Ops.</v>
          </cell>
          <cell r="C46">
            <v>207.59999999999994</v>
          </cell>
          <cell r="E46">
            <v>154.11228471771844</v>
          </cell>
          <cell r="G46">
            <v>53.487715282281499</v>
          </cell>
          <cell r="H46">
            <v>-12461.7</v>
          </cell>
          <cell r="I46">
            <v>-1.0166590433086979</v>
          </cell>
        </row>
        <row r="48">
          <cell r="B48" t="str">
            <v>Earnings (Loss) from Discontinued Operations</v>
          </cell>
          <cell r="C48">
            <v>0</v>
          </cell>
          <cell r="E48">
            <v>0</v>
          </cell>
          <cell r="G48">
            <v>0</v>
          </cell>
          <cell r="H48">
            <v>0</v>
          </cell>
        </row>
        <row r="49">
          <cell r="B49" t="str">
            <v>Income Tax on Earnings from Discontinued Operations</v>
          </cell>
          <cell r="C49">
            <v>0</v>
          </cell>
          <cell r="E49">
            <v>0</v>
          </cell>
          <cell r="G49">
            <v>0</v>
          </cell>
          <cell r="H49">
            <v>0</v>
          </cell>
        </row>
        <row r="50">
          <cell r="B50" t="str">
            <v>Net Earnings (Loss) from Discontinued Operations</v>
          </cell>
          <cell r="C50">
            <v>0</v>
          </cell>
          <cell r="E50">
            <v>0</v>
          </cell>
          <cell r="G50">
            <v>0</v>
          </cell>
          <cell r="H50">
            <v>0</v>
          </cell>
        </row>
        <row r="52">
          <cell r="B52" t="str">
            <v>Reported Net Income</v>
          </cell>
          <cell r="C52">
            <v>207.59999999999994</v>
          </cell>
          <cell r="E52">
            <v>154.11228471771844</v>
          </cell>
          <cell r="G52">
            <v>53.487715282281499</v>
          </cell>
          <cell r="H52">
            <v>-12461.7</v>
          </cell>
          <cell r="I52">
            <v>-1.0166590433086979</v>
          </cell>
        </row>
        <row r="53">
          <cell r="B53" t="str">
            <v>Minority Interest, Net of Tax</v>
          </cell>
          <cell r="C53">
            <v>0</v>
          </cell>
          <cell r="E53">
            <v>0</v>
          </cell>
          <cell r="G53">
            <v>0</v>
          </cell>
          <cell r="H53">
            <v>-0.5</v>
          </cell>
        </row>
        <row r="54">
          <cell r="B54" t="str">
            <v>Net Income for EPS</v>
          </cell>
          <cell r="C54">
            <v>207.59999999999994</v>
          </cell>
          <cell r="E54">
            <v>154.11228471771844</v>
          </cell>
          <cell r="G54">
            <v>53.487715282281499</v>
          </cell>
          <cell r="H54">
            <v>-12462.2</v>
          </cell>
        </row>
        <row r="56">
          <cell r="B56" t="str">
            <v>Average Basic Shares Outstanding</v>
          </cell>
          <cell r="C56">
            <v>674.8</v>
          </cell>
          <cell r="E56">
            <v>673.3</v>
          </cell>
          <cell r="G56">
            <v>1.5</v>
          </cell>
          <cell r="H56">
            <v>670.9</v>
          </cell>
        </row>
        <row r="57">
          <cell r="B57" t="str">
            <v>Reported Net Income per Avg. Basic Share</v>
          </cell>
          <cell r="C57">
            <v>0.3076467101363366</v>
          </cell>
          <cell r="E57">
            <v>0.22889096200463158</v>
          </cell>
          <cell r="G57">
            <v>7.8755748131705022E-2</v>
          </cell>
          <cell r="H57">
            <v>-18.57460128186019</v>
          </cell>
        </row>
        <row r="59">
          <cell r="B59" t="str">
            <v>Average Diluted Shares Outstanding</v>
          </cell>
          <cell r="C59">
            <v>685.1</v>
          </cell>
          <cell r="E59">
            <v>673.3</v>
          </cell>
          <cell r="G59">
            <v>11.800000000000068</v>
          </cell>
          <cell r="H59">
            <v>670.9</v>
          </cell>
        </row>
        <row r="60">
          <cell r="B60" t="str">
            <v>Net Income Per Avg. Diluted Share</v>
          </cell>
          <cell r="C60">
            <v>0.30302145672164638</v>
          </cell>
          <cell r="E60">
            <v>0.22889096200463158</v>
          </cell>
          <cell r="G60">
            <v>7.41304947170148E-2</v>
          </cell>
          <cell r="H60">
            <v>-18.57460128186019</v>
          </cell>
        </row>
        <row r="62">
          <cell r="B62" t="str">
            <v>Reported Adjusted Earnings from Continuing Operations</v>
          </cell>
          <cell r="C62">
            <v>167.99999999999991</v>
          </cell>
          <cell r="E62">
            <v>154.11228471771844</v>
          </cell>
          <cell r="G62">
            <v>13.887715282281476</v>
          </cell>
          <cell r="H62">
            <v>235.6803400000008</v>
          </cell>
          <cell r="I62">
            <v>-0.28717007112260895</v>
          </cell>
          <cell r="K62" t="str">
            <v>Adding back impairment, subtracting residual cost and tax audit settlement benefits</v>
          </cell>
        </row>
        <row r="63">
          <cell r="B63" t="str">
            <v>Reported Adjusted EPS</v>
          </cell>
          <cell r="C63">
            <v>0.24521967595971378</v>
          </cell>
          <cell r="E63">
            <v>0.22889096200463158</v>
          </cell>
          <cell r="G63">
            <v>1.6328713955082202E-2</v>
          </cell>
          <cell r="H63">
            <v>0.35128981964525385</v>
          </cell>
          <cell r="I63">
            <v>-0.30194482661824318</v>
          </cell>
        </row>
        <row r="69">
          <cell r="P69" t="str">
            <v>FY2008</v>
          </cell>
          <cell r="Q69" t="str">
            <v>FY2009</v>
          </cell>
        </row>
        <row r="70">
          <cell r="O70" t="str">
            <v>Base</v>
          </cell>
        </row>
        <row r="71">
          <cell r="O71" t="str">
            <v>Revenue</v>
          </cell>
          <cell r="P71">
            <v>13950.4</v>
          </cell>
          <cell r="Q71">
            <v>13014.6</v>
          </cell>
        </row>
        <row r="72">
          <cell r="O72" t="str">
            <v>EBIT</v>
          </cell>
          <cell r="P72">
            <v>-12158.700000000003</v>
          </cell>
          <cell r="Q72">
            <v>1011.4000000000003</v>
          </cell>
        </row>
        <row r="73">
          <cell r="O73" t="str">
            <v>EPS</v>
          </cell>
          <cell r="P73">
            <v>-17.428187518662295</v>
          </cell>
          <cell r="Q73">
            <v>0.33167374432567043</v>
          </cell>
        </row>
        <row r="74">
          <cell r="O74" t="str">
            <v>Forward P/E</v>
          </cell>
          <cell r="P74">
            <v>81.405298013244916</v>
          </cell>
        </row>
        <row r="75">
          <cell r="O75" t="str">
            <v>Price Target</v>
          </cell>
          <cell r="P75">
            <v>27</v>
          </cell>
        </row>
        <row r="77">
          <cell r="O77" t="str">
            <v>Bull</v>
          </cell>
        </row>
        <row r="78">
          <cell r="O78" t="str">
            <v>Revenue</v>
          </cell>
          <cell r="P78">
            <v>14244.009771114184</v>
          </cell>
          <cell r="Q78">
            <v>14715.553633959797</v>
          </cell>
        </row>
        <row r="79">
          <cell r="O79" t="str">
            <v>EBIT</v>
          </cell>
          <cell r="P79">
            <v>2787.5623984439308</v>
          </cell>
          <cell r="Q79">
            <v>2817.76742887093</v>
          </cell>
        </row>
        <row r="80">
          <cell r="O80" t="str">
            <v>EPS</v>
          </cell>
          <cell r="P80">
            <v>2.0846181826065764</v>
          </cell>
          <cell r="Q80">
            <v>2.151557913356553</v>
          </cell>
        </row>
        <row r="81">
          <cell r="O81" t="str">
            <v>Forward P/E</v>
          </cell>
          <cell r="P81">
            <v>16</v>
          </cell>
        </row>
        <row r="82">
          <cell r="O82" t="str">
            <v>Price Target</v>
          </cell>
          <cell r="P82">
            <v>34.424926613704848</v>
          </cell>
        </row>
        <row r="84">
          <cell r="O84" t="str">
            <v>Bear</v>
          </cell>
        </row>
        <row r="85">
          <cell r="O85" t="str">
            <v>Revenue</v>
          </cell>
          <cell r="P85">
            <v>13799.859244556883</v>
          </cell>
          <cell r="Q85">
            <v>14101.843007742145</v>
          </cell>
        </row>
        <row r="86">
          <cell r="O86" t="str">
            <v>EBIT</v>
          </cell>
          <cell r="P86">
            <v>2443.3182382066589</v>
          </cell>
          <cell r="Q86">
            <v>2352.7117243580078</v>
          </cell>
        </row>
        <row r="87">
          <cell r="O87" t="str">
            <v>EPS</v>
          </cell>
          <cell r="P87">
            <v>1.7785230828879852</v>
          </cell>
          <cell r="Q87">
            <v>1.7341782934790531</v>
          </cell>
        </row>
        <row r="88">
          <cell r="O88" t="str">
            <v>Forward P/E</v>
          </cell>
          <cell r="P88">
            <v>12</v>
          </cell>
        </row>
        <row r="89">
          <cell r="O89" t="str">
            <v>Price Target</v>
          </cell>
          <cell r="P89">
            <v>20.810139521748638</v>
          </cell>
        </row>
      </sheetData>
      <sheetData sheetId="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nsitivity"/>
      <sheetName val="buyback"/>
      <sheetName val="other"/>
      <sheetName val="margins"/>
    </sheetNames>
    <sheetDataSet>
      <sheetData sheetId="0">
        <row r="3">
          <cell r="B3" t="str">
            <v xml:space="preserve">CBS Consolidated Current Multiples </v>
          </cell>
          <cell r="C3" t="str">
            <v>2016E</v>
          </cell>
          <cell r="D3" t="str">
            <v>2017E</v>
          </cell>
          <cell r="E3" t="str">
            <v>2018E</v>
          </cell>
          <cell r="F3" t="str">
            <v>2019E</v>
          </cell>
          <cell r="G3" t="str">
            <v>2020E</v>
          </cell>
        </row>
        <row r="4">
          <cell r="B4" t="str">
            <v xml:space="preserve">     Fwd EV/EBITDA </v>
          </cell>
          <cell r="C4">
            <v>10.704422358899031</v>
          </cell>
          <cell r="D4">
            <v>9.0947794482163289</v>
          </cell>
          <cell r="E4">
            <v>8.0698763566845617</v>
          </cell>
          <cell r="F4">
            <v>6.9364423665423809</v>
          </cell>
        </row>
        <row r="5">
          <cell r="B5" t="str">
            <v xml:space="preserve">     Fwd P/E</v>
          </cell>
          <cell r="C5">
            <v>12.608081457317779</v>
          </cell>
          <cell r="D5">
            <v>11.176920272517219</v>
          </cell>
          <cell r="E5">
            <v>9.6640489365593911</v>
          </cell>
          <cell r="F5">
            <v>7.9412572279622804</v>
          </cell>
        </row>
        <row r="6">
          <cell r="B6" t="str">
            <v xml:space="preserve">     Fwd P/FCF</v>
          </cell>
          <cell r="C6">
            <v>22.309941402131656</v>
          </cell>
          <cell r="D6">
            <v>16.372857452849065</v>
          </cell>
          <cell r="E6">
            <v>12.771846354890743</v>
          </cell>
          <cell r="F6">
            <v>10.315595306311653</v>
          </cell>
        </row>
        <row r="8">
          <cell r="B8" t="str">
            <v xml:space="preserve">CBS Radio Valuation: 7.5X fwd EV/EBITDA </v>
          </cell>
          <cell r="C8" t="str">
            <v>YE16E</v>
          </cell>
          <cell r="D8" t="str">
            <v>2017E</v>
          </cell>
          <cell r="E8" t="str">
            <v>2018E</v>
          </cell>
          <cell r="F8" t="str">
            <v>2019E</v>
          </cell>
          <cell r="G8" t="str">
            <v>2020E</v>
          </cell>
        </row>
        <row r="9">
          <cell r="B9" t="str">
            <v>CBS PF Multiples*</v>
          </cell>
        </row>
        <row r="10">
          <cell r="B10" t="str">
            <v xml:space="preserve">     Fwd EV/EBITDA </v>
          </cell>
          <cell r="C10">
            <v>9.7727027735739984</v>
          </cell>
          <cell r="D10" t="e">
            <v>#DIV/0!</v>
          </cell>
          <cell r="E10" t="e">
            <v>#DIV/0!</v>
          </cell>
          <cell r="F10" t="e">
            <v>#DIV/0!</v>
          </cell>
        </row>
        <row r="11">
          <cell r="B11" t="str">
            <v xml:space="preserve">     Fwd P/E</v>
          </cell>
          <cell r="C11" t="e">
            <v>#DIV/0!</v>
          </cell>
          <cell r="D11" t="e">
            <v>#DIV/0!</v>
          </cell>
          <cell r="E11" t="e">
            <v>#DIV/0!</v>
          </cell>
          <cell r="F11" t="e">
            <v>#DIV/0!</v>
          </cell>
        </row>
        <row r="12">
          <cell r="B12" t="str">
            <v xml:space="preserve">     Fwd P/FCF</v>
          </cell>
          <cell r="C12" t="e">
            <v>#DIV/0!</v>
          </cell>
          <cell r="D12" t="e">
            <v>#DIV/0!</v>
          </cell>
          <cell r="E12" t="e">
            <v>#DIV/0!</v>
          </cell>
          <cell r="F12" t="e">
            <v>#DIV/0!</v>
          </cell>
        </row>
        <row r="13">
          <cell r="B13" t="str">
            <v>CBS PF accretion / dilution</v>
          </cell>
        </row>
        <row r="14">
          <cell r="B14" t="str">
            <v>CBS PF EPS</v>
          </cell>
          <cell r="D14" t="e">
            <v>#DIV/0!</v>
          </cell>
          <cell r="E14" t="e">
            <v>#DIV/0!</v>
          </cell>
          <cell r="F14" t="e">
            <v>#DIV/0!</v>
          </cell>
          <cell r="G14" t="e">
            <v>#DIV/0!</v>
          </cell>
        </row>
        <row r="15">
          <cell r="B15" t="str">
            <v xml:space="preserve">EPS accretion / dilution, % </v>
          </cell>
          <cell r="D15" t="e">
            <v>#DIV/0!</v>
          </cell>
          <cell r="E15" t="e">
            <v>#DIV/0!</v>
          </cell>
          <cell r="F15" t="e">
            <v>#DIV/0!</v>
          </cell>
          <cell r="G15" t="e">
            <v>#DIV/0!</v>
          </cell>
        </row>
        <row r="17">
          <cell r="B17" t="str">
            <v>CBS PF FCF/share</v>
          </cell>
          <cell r="D17" t="e">
            <v>#DIV/0!</v>
          </cell>
          <cell r="E17" t="e">
            <v>#DIV/0!</v>
          </cell>
          <cell r="F17" t="e">
            <v>#DIV/0!</v>
          </cell>
          <cell r="G17" t="e">
            <v>#DIV/0!</v>
          </cell>
        </row>
        <row r="18">
          <cell r="B18" t="str">
            <v>FCF accretion / dilution, %</v>
          </cell>
          <cell r="D18" t="e">
            <v>#DIV/0!</v>
          </cell>
          <cell r="E18" t="e">
            <v>#DIV/0!</v>
          </cell>
          <cell r="F18" t="e">
            <v>#DIV/0!</v>
          </cell>
          <cell r="G18" t="e">
            <v>#DIV/0!</v>
          </cell>
        </row>
        <row r="20">
          <cell r="B20" t="str">
            <v xml:space="preserve">CBS Radio Valuation: 8.0X fwd EV/EBITDA </v>
          </cell>
          <cell r="C20" t="str">
            <v>YE16E</v>
          </cell>
          <cell r="D20" t="str">
            <v>2017E</v>
          </cell>
          <cell r="E20" t="str">
            <v>2018E</v>
          </cell>
          <cell r="F20" t="str">
            <v>2019E</v>
          </cell>
          <cell r="G20" t="str">
            <v>2020E</v>
          </cell>
        </row>
        <row r="21">
          <cell r="B21" t="str">
            <v>CBS PF Multiples*</v>
          </cell>
        </row>
        <row r="22">
          <cell r="B22" t="str">
            <v xml:space="preserve">     Fwd EV/EBITDA </v>
          </cell>
          <cell r="C22">
            <v>10.911129438861559</v>
          </cell>
          <cell r="D22">
            <v>9.8044967590314105</v>
          </cell>
          <cell r="E22">
            <v>8.6184177391625969</v>
          </cell>
          <cell r="F22">
            <v>7.4870653875441242</v>
          </cell>
        </row>
        <row r="23">
          <cell r="B23" t="str">
            <v xml:space="preserve">     Fwd P/E</v>
          </cell>
          <cell r="C23">
            <v>14.834064466114588</v>
          </cell>
          <cell r="D23">
            <v>12.405636456953326</v>
          </cell>
          <cell r="E23">
            <v>10.637498763499297</v>
          </cell>
          <cell r="F23">
            <v>8.881892499933242</v>
          </cell>
        </row>
        <row r="24">
          <cell r="B24" t="str">
            <v xml:space="preserve">     Fwd P/FCF</v>
          </cell>
          <cell r="C24">
            <v>24.327682027796541</v>
          </cell>
          <cell r="D24">
            <v>18.660306556286397</v>
          </cell>
          <cell r="E24">
            <v>14.762551779833581</v>
          </cell>
          <cell r="F24">
            <v>11.680741675073415</v>
          </cell>
        </row>
        <row r="25">
          <cell r="B25" t="str">
            <v>CBS PF accretion / dilution</v>
          </cell>
        </row>
        <row r="26">
          <cell r="B26" t="str">
            <v>CBS PF EPS</v>
          </cell>
          <cell r="D26">
            <v>4.2456334264340336</v>
          </cell>
          <cell r="E26">
            <v>5.0767245868434774</v>
          </cell>
          <cell r="F26">
            <v>5.9205645929538973</v>
          </cell>
          <cell r="G26">
            <v>7.0908307208999606</v>
          </cell>
        </row>
        <row r="27">
          <cell r="B27" t="str">
            <v xml:space="preserve">EPS accretion / dilution, % </v>
          </cell>
          <cell r="D27">
            <v>-5.0810178117288607E-2</v>
          </cell>
          <cell r="E27">
            <v>-2.3218530534415027E-2</v>
          </cell>
          <cell r="F27">
            <v>-1.6445183823028287E-2</v>
          </cell>
          <cell r="G27">
            <v>-8.7464087642691313E-3</v>
          </cell>
        </row>
        <row r="29">
          <cell r="B29" t="str">
            <v>CBS PF FCF/share</v>
          </cell>
          <cell r="D29">
            <v>2.571612708307482</v>
          </cell>
          <cell r="E29">
            <v>3.4711949110406741</v>
          </cell>
          <cell r="F29">
            <v>4.4046044430150335</v>
          </cell>
          <cell r="G29">
            <v>5.6020825289025682</v>
          </cell>
        </row>
        <row r="30">
          <cell r="B30" t="str">
            <v>FCF accretion / dilution, %</v>
          </cell>
          <cell r="D30">
            <v>-9.8451784262453157E-2</v>
          </cell>
          <cell r="E30">
            <v>-5.2481721243098134E-2</v>
          </cell>
          <cell r="F30">
            <v>-3.4336940387425297E-2</v>
          </cell>
          <cell r="G30">
            <v>-2.2063595219825372E-2</v>
          </cell>
        </row>
        <row r="32">
          <cell r="B32" t="str">
            <v xml:space="preserve">CBS Radio Valuation: 7.0X fwd EV/EBITDA </v>
          </cell>
          <cell r="C32" t="str">
            <v>YE16E</v>
          </cell>
          <cell r="D32" t="str">
            <v>2017E</v>
          </cell>
          <cell r="E32" t="str">
            <v>2018E</v>
          </cell>
          <cell r="F32" t="str">
            <v>2019E</v>
          </cell>
          <cell r="G32" t="str">
            <v>2020E</v>
          </cell>
        </row>
        <row r="33">
          <cell r="B33" t="str">
            <v>CBS PF Multiples*</v>
          </cell>
        </row>
        <row r="34">
          <cell r="B34" t="str">
            <v xml:space="preserve">     Fwd EV/EBITDA </v>
          </cell>
          <cell r="C34">
            <v>11.008639801525469</v>
          </cell>
          <cell r="D34">
            <v>9.879020470072275</v>
          </cell>
          <cell r="E34">
            <v>8.6872344975014144</v>
          </cell>
          <cell r="F34">
            <v>7.5499110260134161</v>
          </cell>
        </row>
        <row r="35">
          <cell r="B35" t="str">
            <v xml:space="preserve">     Fwd P/E</v>
          </cell>
          <cell r="C35">
            <v>14.910440071011644</v>
          </cell>
          <cell r="D35">
            <v>12.542850035804225</v>
          </cell>
          <cell r="E35">
            <v>10.762265412427706</v>
          </cell>
          <cell r="F35">
            <v>8.9936702463810896</v>
          </cell>
        </row>
        <row r="36">
          <cell r="B36" t="str">
            <v xml:space="preserve">     Fwd P/FCF</v>
          </cell>
          <cell r="C36">
            <v>24.596297027946026</v>
          </cell>
          <cell r="D36">
            <v>18.861472780702758</v>
          </cell>
          <cell r="E36">
            <v>14.930830411882416</v>
          </cell>
          <cell r="F36">
            <v>11.822747196815167</v>
          </cell>
        </row>
        <row r="37">
          <cell r="B37" t="str">
            <v>CBS PF accretion / dilution</v>
          </cell>
        </row>
        <row r="38">
          <cell r="B38" t="str">
            <v>CBS PF EPS</v>
          </cell>
          <cell r="D38">
            <v>4.2238860623868177</v>
          </cell>
          <cell r="E38">
            <v>5.0211873553634385</v>
          </cell>
          <cell r="F38">
            <v>5.8519277853224265</v>
          </cell>
          <cell r="G38">
            <v>7.0027028203911588</v>
          </cell>
        </row>
        <row r="39">
          <cell r="B39" t="str">
            <v xml:space="preserve">EPS accretion / dilution, % </v>
          </cell>
          <cell r="D39">
            <v>-5.5672203293054445E-2</v>
          </cell>
          <cell r="E39">
            <v>-3.3904108931893551E-2</v>
          </cell>
          <cell r="F39">
            <v>-2.7847485352393786E-2</v>
          </cell>
          <cell r="G39">
            <v>-2.106613564900961E-2</v>
          </cell>
        </row>
        <row r="41">
          <cell r="B41" t="str">
            <v>CBS PF FCF/share</v>
          </cell>
          <cell r="D41">
            <v>2.5584164656380044</v>
          </cell>
          <cell r="E41">
            <v>3.4331377080297298</v>
          </cell>
          <cell r="F41">
            <v>4.353389359868661</v>
          </cell>
          <cell r="G41">
            <v>5.532242001257158</v>
          </cell>
        </row>
        <row r="42">
          <cell r="B42" t="str">
            <v>FCF accretion / dilution, %</v>
          </cell>
          <cell r="D42">
            <v>-0.1030780831583461</v>
          </cell>
          <cell r="E42">
            <v>-6.2870044692334037E-2</v>
          </cell>
          <cell r="F42">
            <v>-4.5565307095329799E-2</v>
          </cell>
          <cell r="G42">
            <v>-3.4255417486121487E-2</v>
          </cell>
        </row>
      </sheetData>
      <sheetData sheetId="1"/>
      <sheetData sheetId="2"/>
      <sheetData sheetId="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ivers (2)"/>
      <sheetName val="Multiples (2)"/>
      <sheetName val="FMV Summary (2)"/>
      <sheetName val="FMV 14 (2)"/>
      <sheetName val="Free Cash Flow (2)"/>
    </sheetNames>
    <sheetDataSet>
      <sheetData sheetId="0">
        <row r="2">
          <cell r="AI2">
            <v>2004</v>
          </cell>
          <cell r="AM2" t="str">
            <v xml:space="preserve"> </v>
          </cell>
          <cell r="AN2">
            <v>2005</v>
          </cell>
          <cell r="AR2" t="str">
            <v xml:space="preserve"> </v>
          </cell>
          <cell r="AS2">
            <v>2006</v>
          </cell>
          <cell r="AW2" t="str">
            <v xml:space="preserve"> </v>
          </cell>
          <cell r="AX2">
            <v>2007</v>
          </cell>
          <cell r="BB2" t="str">
            <v xml:space="preserve"> </v>
          </cell>
          <cell r="BC2">
            <v>2008</v>
          </cell>
          <cell r="BG2" t="str">
            <v xml:space="preserve"> </v>
          </cell>
          <cell r="BH2">
            <v>2009</v>
          </cell>
          <cell r="BL2" t="str">
            <v xml:space="preserve"> </v>
          </cell>
          <cell r="BM2">
            <v>2010</v>
          </cell>
          <cell r="BR2">
            <v>2011</v>
          </cell>
          <cell r="BW2">
            <v>2012</v>
          </cell>
          <cell r="CB2">
            <v>2013</v>
          </cell>
          <cell r="CG2" t="str">
            <v>2014E</v>
          </cell>
        </row>
        <row r="3">
          <cell r="B3" t="str">
            <v>2002</v>
          </cell>
          <cell r="C3" t="str">
            <v>2003</v>
          </cell>
          <cell r="D3" t="str">
            <v>2004</v>
          </cell>
          <cell r="E3" t="str">
            <v>2005</v>
          </cell>
          <cell r="F3">
            <v>2006</v>
          </cell>
          <cell r="G3">
            <v>2007</v>
          </cell>
          <cell r="H3">
            <v>2008</v>
          </cell>
          <cell r="I3">
            <v>2009</v>
          </cell>
          <cell r="J3">
            <v>2010</v>
          </cell>
          <cell r="K3">
            <v>2011</v>
          </cell>
          <cell r="L3">
            <v>2012</v>
          </cell>
          <cell r="M3">
            <v>2013</v>
          </cell>
          <cell r="N3" t="str">
            <v>2014E</v>
          </cell>
          <cell r="O3" t="str">
            <v>2015E</v>
          </cell>
          <cell r="P3" t="str">
            <v>2016E</v>
          </cell>
          <cell r="Q3" t="str">
            <v>2017E</v>
          </cell>
          <cell r="AI3" t="str">
            <v>1Q</v>
          </cell>
          <cell r="AJ3" t="str">
            <v>2Q</v>
          </cell>
          <cell r="AK3" t="str">
            <v>3Q</v>
          </cell>
          <cell r="AL3" t="str">
            <v>4Q</v>
          </cell>
          <cell r="AN3" t="str">
            <v>1Q</v>
          </cell>
          <cell r="AO3" t="str">
            <v>2Q</v>
          </cell>
          <cell r="AP3" t="str">
            <v>3Q</v>
          </cell>
          <cell r="AQ3" t="str">
            <v>4Q</v>
          </cell>
          <cell r="AS3" t="str">
            <v>1Q</v>
          </cell>
          <cell r="AT3" t="str">
            <v>2Q</v>
          </cell>
          <cell r="AU3" t="str">
            <v>3Q</v>
          </cell>
          <cell r="AV3" t="str">
            <v>4Q</v>
          </cell>
          <cell r="AX3" t="str">
            <v>1Q</v>
          </cell>
          <cell r="AY3" t="str">
            <v>2Q</v>
          </cell>
          <cell r="AZ3" t="str">
            <v>3Q</v>
          </cell>
          <cell r="BA3" t="str">
            <v>4Q</v>
          </cell>
          <cell r="BC3" t="str">
            <v>1Q</v>
          </cell>
          <cell r="BD3" t="str">
            <v>2Q</v>
          </cell>
          <cell r="BE3" t="str">
            <v>3Q</v>
          </cell>
          <cell r="BF3" t="str">
            <v>4Q</v>
          </cell>
          <cell r="BH3" t="str">
            <v>1Q</v>
          </cell>
          <cell r="BI3" t="str">
            <v>2Q</v>
          </cell>
          <cell r="BJ3" t="str">
            <v>3Q</v>
          </cell>
          <cell r="BK3" t="str">
            <v>4Q</v>
          </cell>
          <cell r="BM3" t="str">
            <v>1Q</v>
          </cell>
          <cell r="BN3" t="str">
            <v>2Q</v>
          </cell>
          <cell r="BO3" t="str">
            <v>3Q</v>
          </cell>
          <cell r="BP3" t="str">
            <v>4Q</v>
          </cell>
          <cell r="BR3" t="str">
            <v>1Q</v>
          </cell>
          <cell r="BS3" t="str">
            <v>2Q</v>
          </cell>
          <cell r="BT3" t="str">
            <v>3Q</v>
          </cell>
          <cell r="BU3" t="str">
            <v>4Q</v>
          </cell>
          <cell r="BW3" t="str">
            <v>1Q</v>
          </cell>
          <cell r="BX3" t="str">
            <v>2Q</v>
          </cell>
          <cell r="BY3" t="str">
            <v>3Q</v>
          </cell>
          <cell r="BZ3" t="str">
            <v>4Q</v>
          </cell>
          <cell r="CB3" t="str">
            <v>1Q</v>
          </cell>
          <cell r="CC3" t="str">
            <v>2Q</v>
          </cell>
          <cell r="CD3" t="str">
            <v>3Q</v>
          </cell>
          <cell r="CE3" t="str">
            <v>4Q</v>
          </cell>
          <cell r="CG3" t="str">
            <v>1QE</v>
          </cell>
          <cell r="CH3" t="str">
            <v>2QE</v>
          </cell>
          <cell r="CI3" t="str">
            <v>3QE</v>
          </cell>
          <cell r="CJ3" t="str">
            <v>4QE</v>
          </cell>
        </row>
        <row r="5">
          <cell r="A5" t="str">
            <v>THE CONTENT GROUP</v>
          </cell>
          <cell r="AH5" t="str">
            <v>THE CONTENT GROUP</v>
          </cell>
        </row>
        <row r="7">
          <cell r="A7" t="str">
            <v>REVENUE</v>
          </cell>
          <cell r="AH7" t="str">
            <v>REVENUE</v>
          </cell>
        </row>
        <row r="8">
          <cell r="A8" t="str">
            <v>CBS Network</v>
          </cell>
          <cell r="B8">
            <v>3549.6</v>
          </cell>
          <cell r="C8">
            <v>3776.4337261343653</v>
          </cell>
          <cell r="D8">
            <v>4236.3078141502792</v>
          </cell>
          <cell r="E8">
            <v>4339.1352630652855</v>
          </cell>
          <cell r="F8">
            <v>4275.9357959760318</v>
          </cell>
          <cell r="G8">
            <v>4376.7062819705188</v>
          </cell>
          <cell r="H8">
            <v>3867.0259366455907</v>
          </cell>
          <cell r="I8">
            <v>3806.4599057284659</v>
          </cell>
          <cell r="J8">
            <v>4266.2790687443576</v>
          </cell>
          <cell r="K8">
            <v>4211.0315267437318</v>
          </cell>
          <cell r="L8">
            <v>4338.3722876841584</v>
          </cell>
          <cell r="M8">
            <v>4858.8683753046353</v>
          </cell>
          <cell r="N8">
            <v>4994.0110011394836</v>
          </cell>
          <cell r="O8">
            <v>5095.9415590464869</v>
          </cell>
          <cell r="P8">
            <v>5749.0834965016311</v>
          </cell>
          <cell r="Q8">
            <v>5798.2387582264037</v>
          </cell>
          <cell r="AH8" t="str">
            <v>CBS Network</v>
          </cell>
          <cell r="AI8">
            <v>1282.9771479999999</v>
          </cell>
          <cell r="AJ8">
            <v>902.55344794619998</v>
          </cell>
          <cell r="AK8">
            <v>754.55157772799998</v>
          </cell>
          <cell r="AL8">
            <v>1296.2256404760792</v>
          </cell>
          <cell r="AM8">
            <v>0</v>
          </cell>
          <cell r="AN8">
            <v>1235.33440576</v>
          </cell>
          <cell r="AO8">
            <v>983.78325826135801</v>
          </cell>
          <cell r="AP8">
            <v>837.55225127808001</v>
          </cell>
          <cell r="AQ8">
            <v>1282.4653477658476</v>
          </cell>
          <cell r="AR8">
            <v>0</v>
          </cell>
          <cell r="AS8">
            <v>1252.62908744064</v>
          </cell>
          <cell r="AT8">
            <v>969.02650938743761</v>
          </cell>
          <cell r="AU8">
            <v>850.11553504725111</v>
          </cell>
          <cell r="AV8">
            <v>1204.1646641007028</v>
          </cell>
          <cell r="AW8">
            <v>0</v>
          </cell>
          <cell r="AX8">
            <v>1411.3133602546241</v>
          </cell>
          <cell r="AY8">
            <v>899.02650938743761</v>
          </cell>
          <cell r="AZ8">
            <v>867.11784574819603</v>
          </cell>
          <cell r="BA8">
            <v>1199.248566580261</v>
          </cell>
          <cell r="BB8">
            <v>0</v>
          </cell>
          <cell r="BC8">
            <v>1193.0870930495316</v>
          </cell>
          <cell r="BD8">
            <v>943.97783485680952</v>
          </cell>
          <cell r="BE8">
            <v>754.39252580093057</v>
          </cell>
          <cell r="BF8">
            <v>975.56848293831945</v>
          </cell>
          <cell r="BG8">
            <v>0</v>
          </cell>
          <cell r="BH8">
            <v>1090.4816030472718</v>
          </cell>
          <cell r="BI8">
            <v>910.93861063682118</v>
          </cell>
          <cell r="BJ8">
            <v>754.39252580093057</v>
          </cell>
          <cell r="BK8">
            <v>1050.6471662434424</v>
          </cell>
          <cell r="BL8">
            <v>0</v>
          </cell>
          <cell r="BM8">
            <v>1363.1020038090899</v>
          </cell>
          <cell r="BN8">
            <v>963.11054116866228</v>
          </cell>
          <cell r="BO8">
            <v>807.20000260699578</v>
          </cell>
          <cell r="BP8">
            <v>1132.8665211596094</v>
          </cell>
          <cell r="BQ8">
            <v>0</v>
          </cell>
          <cell r="BR8">
            <v>1254.0538435043627</v>
          </cell>
          <cell r="BS8">
            <v>992.00385740372212</v>
          </cell>
          <cell r="BT8">
            <v>815.27200263306577</v>
          </cell>
          <cell r="BU8">
            <v>1149.7018232025812</v>
          </cell>
          <cell r="BV8">
            <v>0</v>
          </cell>
          <cell r="BW8">
            <v>1360.6484202022334</v>
          </cell>
          <cell r="BX8">
            <v>953.31570696497693</v>
          </cell>
          <cell r="BY8">
            <v>790.81384255407374</v>
          </cell>
          <cell r="BZ8">
            <v>1233.5943179628744</v>
          </cell>
          <cell r="CA8">
            <v>0</v>
          </cell>
          <cell r="CB8">
            <v>1585.1554095356021</v>
          </cell>
          <cell r="CC8">
            <v>1086.7799059400738</v>
          </cell>
          <cell r="CD8">
            <v>901.52778051164421</v>
          </cell>
          <cell r="CE8">
            <v>1285.405279317315</v>
          </cell>
          <cell r="CF8">
            <v>0</v>
          </cell>
          <cell r="CG8">
            <v>1350.5946445489724</v>
          </cell>
          <cell r="CH8">
            <v>1092.6845492015368</v>
          </cell>
          <cell r="CI8">
            <v>1080.1669137797776</v>
          </cell>
          <cell r="CJ8">
            <v>1470.5648936091968</v>
          </cell>
        </row>
        <row r="9">
          <cell r="A9" t="str">
            <v xml:space="preserve">% Change </v>
          </cell>
          <cell r="B9">
            <v>2.0000000000000018E-2</v>
          </cell>
          <cell r="C9">
            <v>6.3904024716690655E-2</v>
          </cell>
          <cell r="D9">
            <v>0.1217747010449064</v>
          </cell>
          <cell r="E9">
            <v>2.427289362013263E-2</v>
          </cell>
          <cell r="F9">
            <v>-1.4564991238509517E-2</v>
          </cell>
          <cell r="G9">
            <v>2.3566884724817383E-2</v>
          </cell>
          <cell r="H9">
            <v>-0.11645294714532572</v>
          </cell>
          <cell r="I9">
            <v>-1.5662173440104232E-2</v>
          </cell>
          <cell r="J9">
            <v>0.12079968642882455</v>
          </cell>
          <cell r="K9">
            <v>-1.2949819060215861E-2</v>
          </cell>
          <cell r="L9">
            <v>3.0239802321996745E-2</v>
          </cell>
          <cell r="M9">
            <v>0.11997497058933138</v>
          </cell>
          <cell r="N9">
            <v>2.7813600903806135E-2</v>
          </cell>
          <cell r="O9">
            <v>2.0410559344732349E-2</v>
          </cell>
          <cell r="P9">
            <v>0.12816903998745133</v>
          </cell>
          <cell r="Q9">
            <v>8.5501039869544382E-3</v>
          </cell>
          <cell r="AH9" t="str">
            <v xml:space="preserve">% Change </v>
          </cell>
          <cell r="AI9" t="str">
            <v>-</v>
          </cell>
          <cell r="AJ9" t="str">
            <v>-</v>
          </cell>
          <cell r="AK9" t="str">
            <v>-</v>
          </cell>
          <cell r="AL9" t="str">
            <v>-</v>
          </cell>
          <cell r="AN9">
            <v>-3.7134521307935264E-2</v>
          </cell>
          <cell r="AO9">
            <v>9.000000000000008E-2</v>
          </cell>
          <cell r="AP9">
            <v>0.1100000000000001</v>
          </cell>
          <cell r="AQ9">
            <v>-1.0615661564276513E-2</v>
          </cell>
          <cell r="AS9">
            <v>1.4000000000000012E-2</v>
          </cell>
          <cell r="AT9">
            <v>-1.5000000000000013E-2</v>
          </cell>
          <cell r="AU9">
            <v>1.4999999999999902E-2</v>
          </cell>
          <cell r="AV9">
            <v>-6.105481430866766E-2</v>
          </cell>
          <cell r="AX9">
            <v>0.12668097396509159</v>
          </cell>
          <cell r="AY9">
            <v>-7.2237445850939608E-2</v>
          </cell>
          <cell r="AZ9">
            <v>1.9999999999999796E-2</v>
          </cell>
          <cell r="BA9">
            <v>-4.082579124768837E-3</v>
          </cell>
          <cell r="BC9">
            <v>-0.15462637380951372</v>
          </cell>
          <cell r="BD9">
            <v>5.0000000000000044E-2</v>
          </cell>
          <cell r="BE9">
            <v>-0.13</v>
          </cell>
          <cell r="BF9">
            <v>-0.18651686554004443</v>
          </cell>
          <cell r="BH9">
            <v>-8.6000000000000076E-2</v>
          </cell>
          <cell r="BI9">
            <v>-3.5000000000000031E-2</v>
          </cell>
          <cell r="BJ9">
            <v>0</v>
          </cell>
          <cell r="BK9">
            <v>7.6958906133368643E-2</v>
          </cell>
          <cell r="BM9">
            <v>0.25</v>
          </cell>
          <cell r="BN9">
            <v>5.7272718405654732E-2</v>
          </cell>
          <cell r="BO9">
            <v>7.0000000000000007E-2</v>
          </cell>
          <cell r="BP9">
            <v>7.8255914599893561E-2</v>
          </cell>
          <cell r="BR9">
            <v>-0.08</v>
          </cell>
          <cell r="BS9">
            <v>0.03</v>
          </cell>
          <cell r="BT9">
            <v>0.01</v>
          </cell>
          <cell r="BU9">
            <v>1.4860799333834107E-2</v>
          </cell>
          <cell r="BW9">
            <v>8.5000000000000006E-2</v>
          </cell>
          <cell r="BX9">
            <v>-3.9E-2</v>
          </cell>
          <cell r="BY9">
            <v>-0.03</v>
          </cell>
          <cell r="BZ9">
            <v>7.2968915128449829E-2</v>
          </cell>
          <cell r="CB9">
            <v>0.16500000000000001</v>
          </cell>
          <cell r="CC9">
            <v>0.14000000000000001</v>
          </cell>
          <cell r="CD9">
            <v>0.14000000000000001</v>
          </cell>
          <cell r="CE9">
            <v>4.2000000000000003E-2</v>
          </cell>
          <cell r="CG9">
            <v>-0.14797335553070357</v>
          </cell>
          <cell r="CH9">
            <v>5.4331546150141463E-3</v>
          </cell>
          <cell r="CI9">
            <v>0.19815155686799835</v>
          </cell>
          <cell r="CJ9">
            <v>0.14404765350755433</v>
          </cell>
        </row>
        <row r="10">
          <cell r="A10" t="str">
            <v>CW</v>
          </cell>
          <cell r="B10">
            <v>224.89074090000003</v>
          </cell>
          <cell r="C10">
            <v>213.64620385500001</v>
          </cell>
          <cell r="D10">
            <v>228.60143812485003</v>
          </cell>
          <cell r="E10">
            <v>285.75179765606254</v>
          </cell>
          <cell r="F10">
            <v>170.76844676828472</v>
          </cell>
          <cell r="G10">
            <v>0</v>
          </cell>
          <cell r="H10">
            <v>0</v>
          </cell>
          <cell r="I10">
            <v>0</v>
          </cell>
          <cell r="J10">
            <v>0</v>
          </cell>
          <cell r="K10">
            <v>0</v>
          </cell>
          <cell r="L10">
            <v>0</v>
          </cell>
          <cell r="M10">
            <v>0</v>
          </cell>
          <cell r="N10">
            <v>0</v>
          </cell>
          <cell r="O10">
            <v>0</v>
          </cell>
          <cell r="P10">
            <v>0</v>
          </cell>
          <cell r="Q10">
            <v>0</v>
          </cell>
          <cell r="AH10" t="str">
            <v>CW</v>
          </cell>
          <cell r="AI10">
            <v>52.156635299999998</v>
          </cell>
          <cell r="AJ10">
            <v>52.423931227500013</v>
          </cell>
          <cell r="AK10">
            <v>48.485088369900005</v>
          </cell>
          <cell r="AL10">
            <v>75.535783227450025</v>
          </cell>
          <cell r="AM10">
            <v>0</v>
          </cell>
          <cell r="AN10">
            <v>62.587962359999992</v>
          </cell>
          <cell r="AO10">
            <v>60.287520911625009</v>
          </cell>
          <cell r="AP10">
            <v>58.182106043880005</v>
          </cell>
          <cell r="AQ10">
            <v>104.69420834055754</v>
          </cell>
          <cell r="AR10">
            <v>0</v>
          </cell>
          <cell r="AS10">
            <v>60.710323489199993</v>
          </cell>
          <cell r="AT10">
            <v>69.330649048368755</v>
          </cell>
          <cell r="AU10">
            <v>40.727474230715998</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B10">
            <v>0</v>
          </cell>
          <cell r="CC10">
            <v>0</v>
          </cell>
          <cell r="CD10">
            <v>0</v>
          </cell>
          <cell r="CE10">
            <v>0</v>
          </cell>
          <cell r="CG10">
            <v>0</v>
          </cell>
          <cell r="CH10">
            <v>0</v>
          </cell>
          <cell r="CI10">
            <v>0</v>
          </cell>
          <cell r="CJ10">
            <v>0</v>
          </cell>
        </row>
        <row r="11">
          <cell r="A11" t="str">
            <v xml:space="preserve">% Change </v>
          </cell>
          <cell r="B11" t="str">
            <v>-</v>
          </cell>
          <cell r="C11">
            <v>-5.0000000000000044E-2</v>
          </cell>
          <cell r="D11">
            <v>7.0000000000000062E-2</v>
          </cell>
          <cell r="E11">
            <v>0.25</v>
          </cell>
          <cell r="F11">
            <v>-0.40238889774605879</v>
          </cell>
          <cell r="G11" t="str">
            <v>-</v>
          </cell>
          <cell r="H11" t="str">
            <v>-</v>
          </cell>
          <cell r="I11" t="str">
            <v>-</v>
          </cell>
          <cell r="J11" t="str">
            <v>-</v>
          </cell>
          <cell r="K11" t="str">
            <v>-</v>
          </cell>
          <cell r="L11" t="str">
            <v>-</v>
          </cell>
          <cell r="M11" t="str">
            <v>-</v>
          </cell>
          <cell r="N11" t="str">
            <v>-</v>
          </cell>
          <cell r="O11" t="str">
            <v>-</v>
          </cell>
          <cell r="P11" t="str">
            <v>-</v>
          </cell>
          <cell r="Q11" t="str">
            <v>-</v>
          </cell>
          <cell r="AH11" t="str">
            <v xml:space="preserve">% Change </v>
          </cell>
          <cell r="AI11" t="str">
            <v>-</v>
          </cell>
          <cell r="AJ11" t="str">
            <v>-</v>
          </cell>
          <cell r="AK11" t="str">
            <v>-</v>
          </cell>
          <cell r="AL11" t="str">
            <v>-</v>
          </cell>
          <cell r="AN11">
            <v>0.19999999999999996</v>
          </cell>
          <cell r="AO11">
            <v>0.14999999999999991</v>
          </cell>
          <cell r="AP11">
            <v>0.19999999999999996</v>
          </cell>
          <cell r="AQ11">
            <v>0.38602135130189819</v>
          </cell>
          <cell r="AS11">
            <v>-3.0000000000000027E-2</v>
          </cell>
          <cell r="AT11">
            <v>0.14999999999999991</v>
          </cell>
          <cell r="AU11">
            <v>-0.30000000000000004</v>
          </cell>
          <cell r="AV11" t="str">
            <v>-</v>
          </cell>
          <cell r="AX11" t="str">
            <v>-</v>
          </cell>
          <cell r="AY11" t="str">
            <v>-</v>
          </cell>
          <cell r="AZ11" t="str">
            <v>-</v>
          </cell>
          <cell r="BA11" t="str">
            <v>-</v>
          </cell>
          <cell r="BC11" t="str">
            <v>-</v>
          </cell>
          <cell r="BD11" t="str">
            <v>-</v>
          </cell>
          <cell r="BE11" t="str">
            <v>-</v>
          </cell>
          <cell r="BF11" t="str">
            <v>-</v>
          </cell>
          <cell r="BH11" t="str">
            <v>-</v>
          </cell>
          <cell r="BI11" t="str">
            <v>-</v>
          </cell>
          <cell r="BJ11" t="str">
            <v>-</v>
          </cell>
          <cell r="BK11" t="str">
            <v>-</v>
          </cell>
          <cell r="BM11" t="str">
            <v>-</v>
          </cell>
          <cell r="BN11" t="str">
            <v>-</v>
          </cell>
          <cell r="BO11" t="str">
            <v>-</v>
          </cell>
          <cell r="BP11" t="str">
            <v>-</v>
          </cell>
          <cell r="BR11" t="str">
            <v>-</v>
          </cell>
          <cell r="BS11" t="str">
            <v>-</v>
          </cell>
          <cell r="BT11" t="str">
            <v>-</v>
          </cell>
          <cell r="BU11" t="str">
            <v>-</v>
          </cell>
          <cell r="BW11" t="str">
            <v>-</v>
          </cell>
          <cell r="BX11" t="str">
            <v>-</v>
          </cell>
          <cell r="BY11" t="str">
            <v>-</v>
          </cell>
          <cell r="BZ11" t="str">
            <v>-</v>
          </cell>
          <cell r="CB11" t="str">
            <v>-</v>
          </cell>
          <cell r="CC11" t="str">
            <v>-</v>
          </cell>
          <cell r="CD11" t="str">
            <v>-</v>
          </cell>
          <cell r="CE11" t="str">
            <v>-</v>
          </cell>
          <cell r="CG11" t="str">
            <v>-</v>
          </cell>
          <cell r="CH11" t="str">
            <v>-</v>
          </cell>
          <cell r="CI11" t="str">
            <v>-</v>
          </cell>
          <cell r="CJ11" t="str">
            <v>-</v>
          </cell>
        </row>
        <row r="12">
          <cell r="A12" t="str">
            <v xml:space="preserve">Broadcast Network Revenue </v>
          </cell>
          <cell r="B12">
            <v>3774.4907408999998</v>
          </cell>
          <cell r="C12">
            <v>3990.0799299893652</v>
          </cell>
          <cell r="D12">
            <v>4464.9092522751289</v>
          </cell>
          <cell r="E12">
            <v>4624.8870607213485</v>
          </cell>
          <cell r="F12">
            <v>4446.7042427443166</v>
          </cell>
          <cell r="G12">
            <v>4376.7062819705188</v>
          </cell>
          <cell r="H12">
            <v>3867.0259366455907</v>
          </cell>
          <cell r="I12">
            <v>3806.4599057284659</v>
          </cell>
          <cell r="J12">
            <v>4266.2790687443576</v>
          </cell>
          <cell r="K12">
            <v>4211.0315267437318</v>
          </cell>
          <cell r="L12">
            <v>4338.3722876841584</v>
          </cell>
          <cell r="M12">
            <v>4858.8683753046353</v>
          </cell>
          <cell r="N12">
            <v>4994.0110011394836</v>
          </cell>
          <cell r="O12">
            <v>5095.9415590464869</v>
          </cell>
          <cell r="P12">
            <v>5749.0834965016311</v>
          </cell>
          <cell r="Q12">
            <v>5798.2387582264037</v>
          </cell>
          <cell r="AH12" t="str">
            <v xml:space="preserve">Broadcast Network Revenue </v>
          </cell>
          <cell r="AI12">
            <v>1335.1337833</v>
          </cell>
          <cell r="AJ12">
            <v>954.9773791737</v>
          </cell>
          <cell r="AK12">
            <v>803.03666609790002</v>
          </cell>
          <cell r="AL12">
            <v>1371.7614237035293</v>
          </cell>
          <cell r="AM12">
            <v>0</v>
          </cell>
          <cell r="AN12">
            <v>1297.9223681199999</v>
          </cell>
          <cell r="AO12">
            <v>1044.0707791729831</v>
          </cell>
          <cell r="AP12">
            <v>895.73435732196003</v>
          </cell>
          <cell r="AQ12">
            <v>1387.159556106405</v>
          </cell>
          <cell r="AR12">
            <v>0</v>
          </cell>
          <cell r="AS12">
            <v>1313.3394109298399</v>
          </cell>
          <cell r="AT12">
            <v>1038.3571584358065</v>
          </cell>
          <cell r="AU12">
            <v>890.8430092779671</v>
          </cell>
          <cell r="AV12">
            <v>1204.1646641007028</v>
          </cell>
          <cell r="AW12">
            <v>0</v>
          </cell>
          <cell r="AX12">
            <v>1411.3133602546241</v>
          </cell>
          <cell r="AY12">
            <v>899.02650938743761</v>
          </cell>
          <cell r="AZ12">
            <v>867.11784574819603</v>
          </cell>
          <cell r="BA12">
            <v>1199.248566580261</v>
          </cell>
          <cell r="BB12">
            <v>0</v>
          </cell>
          <cell r="BC12">
            <v>1193.0870930495316</v>
          </cell>
          <cell r="BD12">
            <v>943.97783485680952</v>
          </cell>
          <cell r="BE12">
            <v>754.39252580093057</v>
          </cell>
          <cell r="BF12">
            <v>975.56848293831945</v>
          </cell>
          <cell r="BG12">
            <v>0</v>
          </cell>
          <cell r="BH12">
            <v>1090.4816030472718</v>
          </cell>
          <cell r="BI12">
            <v>910.93861063682118</v>
          </cell>
          <cell r="BJ12">
            <v>754.39252580093057</v>
          </cell>
          <cell r="BK12">
            <v>1050.6471662434424</v>
          </cell>
          <cell r="BL12">
            <v>0</v>
          </cell>
          <cell r="BM12">
            <v>1363.1020038090899</v>
          </cell>
          <cell r="BN12">
            <v>963.11054116866228</v>
          </cell>
          <cell r="BO12">
            <v>807.20000260699578</v>
          </cell>
          <cell r="BP12">
            <v>1132.8665211596094</v>
          </cell>
          <cell r="BQ12">
            <v>0</v>
          </cell>
          <cell r="BR12">
            <v>1254.0538435043627</v>
          </cell>
          <cell r="BS12">
            <v>992.00385740372212</v>
          </cell>
          <cell r="BT12">
            <v>815.27200263306577</v>
          </cell>
          <cell r="BU12">
            <v>1149.7018232025812</v>
          </cell>
          <cell r="BV12">
            <v>0</v>
          </cell>
          <cell r="BW12">
            <v>1360.6484202022334</v>
          </cell>
          <cell r="BX12">
            <v>953.31570696497693</v>
          </cell>
          <cell r="BY12">
            <v>790.81384255407374</v>
          </cell>
          <cell r="BZ12">
            <v>1233.5943179628744</v>
          </cell>
          <cell r="CA12">
            <v>0</v>
          </cell>
          <cell r="CB12">
            <v>1585.1554095356021</v>
          </cell>
          <cell r="CC12">
            <v>1086.7799059400738</v>
          </cell>
          <cell r="CD12">
            <v>901.52778051164421</v>
          </cell>
          <cell r="CE12">
            <v>1285.405279317315</v>
          </cell>
          <cell r="CF12">
            <v>0</v>
          </cell>
          <cell r="CG12">
            <v>1350.5946445489724</v>
          </cell>
          <cell r="CH12">
            <v>1092.6845492015368</v>
          </cell>
          <cell r="CI12">
            <v>1080.1669137797776</v>
          </cell>
          <cell r="CJ12">
            <v>1470.5648936091968</v>
          </cell>
        </row>
        <row r="13">
          <cell r="A13" t="str">
            <v xml:space="preserve">% Change </v>
          </cell>
          <cell r="B13">
            <v>2.338751181666221E-2</v>
          </cell>
          <cell r="C13">
            <v>5.71174242801189E-2</v>
          </cell>
          <cell r="D13">
            <v>0.11900245875200532</v>
          </cell>
          <cell r="E13">
            <v>3.5830024622494072E-2</v>
          </cell>
          <cell r="F13">
            <v>-3.8526955499155635E-2</v>
          </cell>
          <cell r="G13">
            <v>-1.5741537316769749E-2</v>
          </cell>
          <cell r="H13">
            <v>-0.11645294714532572</v>
          </cell>
          <cell r="I13">
            <v>-1.5662173440104232E-2</v>
          </cell>
          <cell r="J13">
            <v>0.12079968642882455</v>
          </cell>
          <cell r="K13">
            <v>-1.2949819060215861E-2</v>
          </cell>
          <cell r="L13">
            <v>3.0239802321996745E-2</v>
          </cell>
          <cell r="M13">
            <v>0.11997497058933138</v>
          </cell>
          <cell r="N13">
            <v>2.7813600903806135E-2</v>
          </cell>
          <cell r="O13">
            <v>2.0410559344732349E-2</v>
          </cell>
          <cell r="P13">
            <v>0.12816903998745133</v>
          </cell>
          <cell r="Q13">
            <v>8.5501039869544382E-3</v>
          </cell>
          <cell r="AH13" t="str">
            <v xml:space="preserve">% Change </v>
          </cell>
          <cell r="AI13" t="str">
            <v>-</v>
          </cell>
          <cell r="AJ13" t="str">
            <v>-</v>
          </cell>
          <cell r="AK13" t="str">
            <v>-</v>
          </cell>
          <cell r="AL13" t="str">
            <v>-</v>
          </cell>
          <cell r="AN13">
            <v>-2.7870926228850346E-2</v>
          </cell>
          <cell r="AO13">
            <v>9.329372814712289E-2</v>
          </cell>
          <cell r="AP13">
            <v>0.11543394609177038</v>
          </cell>
          <cell r="AQ13">
            <v>1.1225080496361617E-2</v>
          </cell>
          <cell r="AS13">
            <v>1.1878247257708585E-2</v>
          </cell>
          <cell r="AT13">
            <v>-5.4724457873462917E-3</v>
          </cell>
          <cell r="AU13">
            <v>-5.4607127704880964E-3</v>
          </cell>
          <cell r="AV13">
            <v>-0.13192057914328725</v>
          </cell>
          <cell r="AX13">
            <v>7.4599108584900264E-2</v>
          </cell>
          <cell r="AY13">
            <v>-0.13418374199707761</v>
          </cell>
          <cell r="AZ13">
            <v>-2.6632260996244939E-2</v>
          </cell>
          <cell r="BA13">
            <v>-4.082579124768837E-3</v>
          </cell>
          <cell r="BC13">
            <v>-0.15462637380951372</v>
          </cell>
          <cell r="BD13">
            <v>5.0000000000000044E-2</v>
          </cell>
          <cell r="BE13">
            <v>-0.13</v>
          </cell>
          <cell r="BF13">
            <v>-0.18651686554004443</v>
          </cell>
          <cell r="BH13">
            <v>-8.6000000000000076E-2</v>
          </cell>
          <cell r="BI13">
            <v>-3.5000000000000031E-2</v>
          </cell>
          <cell r="BJ13">
            <v>0</v>
          </cell>
          <cell r="BK13">
            <v>7.6958906133368643E-2</v>
          </cell>
          <cell r="BM13">
            <v>0.25</v>
          </cell>
          <cell r="BN13">
            <v>5.7272718405654732E-2</v>
          </cell>
          <cell r="BO13">
            <v>7.0000000000000062E-2</v>
          </cell>
          <cell r="BP13">
            <v>7.8255914599893561E-2</v>
          </cell>
          <cell r="BR13">
            <v>-7.999999999999996E-2</v>
          </cell>
          <cell r="BS13">
            <v>3.0000000000000027E-2</v>
          </cell>
          <cell r="BT13">
            <v>1.0000000000000009E-2</v>
          </cell>
          <cell r="BU13">
            <v>1.4860799333834107E-2</v>
          </cell>
          <cell r="BW13">
            <v>8.4999999999999964E-2</v>
          </cell>
          <cell r="BX13">
            <v>-3.9000000000000035E-2</v>
          </cell>
          <cell r="BY13">
            <v>-3.0000000000000027E-2</v>
          </cell>
          <cell r="BZ13">
            <v>7.2968915128449829E-2</v>
          </cell>
          <cell r="CB13">
            <v>0.16500000000000004</v>
          </cell>
          <cell r="CC13">
            <v>0.14000000000000012</v>
          </cell>
          <cell r="CD13">
            <v>0.14000000000000012</v>
          </cell>
          <cell r="CE13">
            <v>4.2000000000000037E-2</v>
          </cell>
          <cell r="CG13">
            <v>-0.14797335553070357</v>
          </cell>
          <cell r="CH13">
            <v>5.4331546150141463E-3</v>
          </cell>
          <cell r="CI13">
            <v>0.19815155686799835</v>
          </cell>
          <cell r="CJ13">
            <v>0.14404765350755433</v>
          </cell>
        </row>
        <row r="15">
          <cell r="A15" t="str">
            <v>TV Prod. &amp; Synd. Revenue</v>
          </cell>
          <cell r="B15">
            <v>1913.555129327505</v>
          </cell>
          <cell r="C15">
            <v>1981.6776929582929</v>
          </cell>
          <cell r="D15">
            <v>2133.8420804673715</v>
          </cell>
          <cell r="E15">
            <v>1859.9459858162852</v>
          </cell>
          <cell r="F15">
            <v>2026.8521960298513</v>
          </cell>
          <cell r="G15">
            <v>1820.4338214609554</v>
          </cell>
          <cell r="H15">
            <v>2590.0740633544087</v>
          </cell>
          <cell r="I15">
            <v>2618.7767853915338</v>
          </cell>
          <cell r="J15">
            <v>2436.5145292468887</v>
          </cell>
          <cell r="K15">
            <v>2564.6222014122632</v>
          </cell>
          <cell r="L15">
            <v>2651.0275895980767</v>
          </cell>
          <cell r="M15">
            <v>3014.4400096310601</v>
          </cell>
          <cell r="N15">
            <v>3203.7083433968514</v>
          </cell>
          <cell r="O15">
            <v>3317.3440197753634</v>
          </cell>
          <cell r="P15">
            <v>3373.1353020137044</v>
          </cell>
          <cell r="Q15">
            <v>3540.9500186093946</v>
          </cell>
          <cell r="AH15" t="str">
            <v>TV Prod. &amp; Synd. Revenue</v>
          </cell>
          <cell r="AI15">
            <v>506.43497189039977</v>
          </cell>
          <cell r="AJ15">
            <v>624.67450686824736</v>
          </cell>
          <cell r="AK15">
            <v>722.21781819068815</v>
          </cell>
          <cell r="AL15">
            <v>280.51478351803576</v>
          </cell>
          <cell r="AM15">
            <v>0</v>
          </cell>
          <cell r="AN15">
            <v>448.70527509479984</v>
          </cell>
          <cell r="AO15">
            <v>529.44555028770549</v>
          </cell>
          <cell r="AP15">
            <v>560.91498272447564</v>
          </cell>
          <cell r="AQ15">
            <v>320.88017770930389</v>
          </cell>
          <cell r="AR15">
            <v>0</v>
          </cell>
          <cell r="AS15">
            <v>531.3523143785867</v>
          </cell>
          <cell r="AT15">
            <v>451.32100476340054</v>
          </cell>
          <cell r="AU15">
            <v>512.82811467315378</v>
          </cell>
          <cell r="AV15">
            <v>531.35076221471036</v>
          </cell>
          <cell r="AW15">
            <v>0</v>
          </cell>
          <cell r="AX15">
            <v>398.76675625675762</v>
          </cell>
          <cell r="AY15">
            <v>476.93335558245946</v>
          </cell>
          <cell r="AZ15">
            <v>443.34920328439119</v>
          </cell>
          <cell r="BA15">
            <v>501.38450633734715</v>
          </cell>
          <cell r="BB15">
            <v>0</v>
          </cell>
          <cell r="BC15">
            <v>707.91290695046837</v>
          </cell>
          <cell r="BD15">
            <v>570.92216514319034</v>
          </cell>
          <cell r="BE15">
            <v>727.10747419906943</v>
          </cell>
          <cell r="BF15">
            <v>584.1315170616806</v>
          </cell>
          <cell r="BG15">
            <v>0</v>
          </cell>
          <cell r="BH15">
            <v>593.51839695272815</v>
          </cell>
          <cell r="BI15">
            <v>478.16138936317873</v>
          </cell>
          <cell r="BJ15">
            <v>952.60747419906943</v>
          </cell>
          <cell r="BK15">
            <v>594.48952487655765</v>
          </cell>
          <cell r="BL15">
            <v>0</v>
          </cell>
          <cell r="BM15">
            <v>570.3252726909102</v>
          </cell>
          <cell r="BN15">
            <v>537.5494588313378</v>
          </cell>
          <cell r="BO15">
            <v>652.08237873543624</v>
          </cell>
          <cell r="BP15">
            <v>676.55741898920451</v>
          </cell>
          <cell r="BQ15">
            <v>0</v>
          </cell>
          <cell r="BR15">
            <v>590.95161760563724</v>
          </cell>
          <cell r="BS15">
            <v>684.19476893721139</v>
          </cell>
          <cell r="BT15">
            <v>663.44694893982523</v>
          </cell>
          <cell r="BU15">
            <v>626.02886592958907</v>
          </cell>
          <cell r="BV15">
            <v>0</v>
          </cell>
          <cell r="BW15">
            <v>803.79725935216675</v>
          </cell>
          <cell r="BX15">
            <v>588.49086442959401</v>
          </cell>
          <cell r="BY15">
            <v>730.3738670817329</v>
          </cell>
          <cell r="BZ15">
            <v>528.36559873458259</v>
          </cell>
          <cell r="CA15">
            <v>0</v>
          </cell>
          <cell r="CB15">
            <v>799.32742876788575</v>
          </cell>
          <cell r="CC15">
            <v>733.45105686724878</v>
          </cell>
          <cell r="CD15">
            <v>809.24169863809891</v>
          </cell>
          <cell r="CE15">
            <v>672.41982535782631</v>
          </cell>
          <cell r="CF15">
            <v>0</v>
          </cell>
          <cell r="CG15">
            <v>787.33751733636745</v>
          </cell>
          <cell r="CH15">
            <v>718.78203572990378</v>
          </cell>
          <cell r="CI15">
            <v>954.90520439295665</v>
          </cell>
          <cell r="CJ15">
            <v>742.68358593762377</v>
          </cell>
        </row>
        <row r="16">
          <cell r="A16" t="str">
            <v xml:space="preserve">% Change </v>
          </cell>
          <cell r="B16">
            <v>-5.4047832715161226E-2</v>
          </cell>
          <cell r="C16">
            <v>3.5600000536555543E-2</v>
          </cell>
          <cell r="D16">
            <v>7.6785638779595988E-2</v>
          </cell>
          <cell r="E16">
            <v>-0.12835818412161748</v>
          </cell>
          <cell r="F16">
            <v>8.9737127575946873E-2</v>
          </cell>
          <cell r="G16">
            <v>-0.10184184864255175</v>
          </cell>
          <cell r="H16">
            <v>0.42277847885499775</v>
          </cell>
          <cell r="I16">
            <v>1.1081815166301467E-2</v>
          </cell>
          <cell r="J16">
            <v>-6.9598240354568852E-2</v>
          </cell>
          <cell r="K16">
            <v>5.2578250869274257E-2</v>
          </cell>
          <cell r="L16">
            <v>3.3691273567792113E-2</v>
          </cell>
          <cell r="M16">
            <v>0.13708360541358244</v>
          </cell>
          <cell r="N16">
            <v>6.2787228527050987E-2</v>
          </cell>
          <cell r="O16">
            <v>3.547004414828403E-2</v>
          </cell>
          <cell r="P16">
            <v>1.6818057429605737E-2</v>
          </cell>
          <cell r="Q16">
            <v>4.9750366223230813E-2</v>
          </cell>
          <cell r="AH16" t="str">
            <v xml:space="preserve">% Change </v>
          </cell>
          <cell r="AI16" t="str">
            <v>-</v>
          </cell>
          <cell r="AJ16" t="str">
            <v>-</v>
          </cell>
          <cell r="AK16" t="str">
            <v>-</v>
          </cell>
          <cell r="AL16" t="str">
            <v>-</v>
          </cell>
          <cell r="AN16">
            <v>-0.11399231885607908</v>
          </cell>
          <cell r="AO16">
            <v>-0.15244572258593392</v>
          </cell>
          <cell r="AP16">
            <v>-0.22334374949417757</v>
          </cell>
          <cell r="AQ16">
            <v>0.14389756463110914</v>
          </cell>
          <cell r="AS16">
            <v>0.1841900326808632</v>
          </cell>
          <cell r="AT16">
            <v>-0.14755916917585077</v>
          </cell>
          <cell r="AU16">
            <v>-8.572933427050633E-2</v>
          </cell>
          <cell r="AV16">
            <v>0.65591644210593403</v>
          </cell>
          <cell r="AX16">
            <v>-0.24952475887281511</v>
          </cell>
          <cell r="AY16">
            <v>5.6749742530786573E-2</v>
          </cell>
          <cell r="AZ16">
            <v>-0.1354818688773417</v>
          </cell>
          <cell r="BA16">
            <v>-5.6396373183810966E-2</v>
          </cell>
          <cell r="BC16">
            <v>0.77525557445078985</v>
          </cell>
          <cell r="BD16">
            <v>0.19706906313135963</v>
          </cell>
          <cell r="BE16">
            <v>0.6400333389855184</v>
          </cell>
          <cell r="BF16">
            <v>0.165037031815775</v>
          </cell>
          <cell r="BH16">
            <v>-0.16159404479645156</v>
          </cell>
          <cell r="BI16">
            <v>-0.16247534505294026</v>
          </cell>
          <cell r="BJ16">
            <v>0.31013296933633505</v>
          </cell>
          <cell r="BK16">
            <v>1.7732321424771325E-2</v>
          </cell>
          <cell r="BM16">
            <v>-3.9077346853774508E-2</v>
          </cell>
          <cell r="BN16">
            <v>0.1242008886314574</v>
          </cell>
          <cell r="BO16">
            <v>-0.3154763148549804</v>
          </cell>
          <cell r="BP16">
            <v>0.13804767061234213</v>
          </cell>
          <cell r="BR16">
            <v>3.616593179784533E-2</v>
          </cell>
          <cell r="BS16">
            <v>0.27280338152453654</v>
          </cell>
          <cell r="BT16">
            <v>1.7428120395505786E-2</v>
          </cell>
          <cell r="BU16">
            <v>-0.13380764221737096</v>
          </cell>
          <cell r="BW16">
            <v>0.36017439567881659</v>
          </cell>
          <cell r="BX16">
            <v>-0.13987815875335952</v>
          </cell>
          <cell r="BY16">
            <v>0.10087757317876811</v>
          </cell>
          <cell r="BZ16">
            <v>-0.1560044153075697</v>
          </cell>
          <cell r="CB16">
            <v>-5.5608930389778877E-3</v>
          </cell>
          <cell r="CC16">
            <v>0.24632530630387994</v>
          </cell>
          <cell r="CD16">
            <v>0.10798282237491419</v>
          </cell>
          <cell r="CE16">
            <v>0.27264119194786463</v>
          </cell>
          <cell r="CG16">
            <v>-1.5000000000000013E-2</v>
          </cell>
          <cell r="CH16">
            <v>-2.0000000000000018E-2</v>
          </cell>
          <cell r="CI16">
            <v>0.17999999999999994</v>
          </cell>
          <cell r="CJ16">
            <v>0.10449388600701481</v>
          </cell>
        </row>
        <row r="18">
          <cell r="A18" t="str">
            <v>CBS Interactive Revenue</v>
          </cell>
          <cell r="B18">
            <v>0</v>
          </cell>
          <cell r="C18">
            <v>0</v>
          </cell>
          <cell r="D18">
            <v>0</v>
          </cell>
          <cell r="E18">
            <v>0</v>
          </cell>
          <cell r="F18">
            <v>0</v>
          </cell>
          <cell r="G18">
            <v>166.1</v>
          </cell>
          <cell r="H18">
            <v>421.70000000000005</v>
          </cell>
          <cell r="I18">
            <v>551.46330888</v>
          </cell>
          <cell r="J18">
            <v>595.90640200875396</v>
          </cell>
          <cell r="K18">
            <v>581.34627184400517</v>
          </cell>
          <cell r="L18">
            <v>604.60012271776543</v>
          </cell>
          <cell r="M18">
            <v>694.9416150643051</v>
          </cell>
          <cell r="N18">
            <v>757.48636042009264</v>
          </cell>
          <cell r="O18">
            <v>810.51040564949903</v>
          </cell>
          <cell r="P18">
            <v>861.41657141245298</v>
          </cell>
          <cell r="Q18">
            <v>909.35705863040084</v>
          </cell>
          <cell r="AH18" t="str">
            <v>CBS Interactive Revenue</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38.6</v>
          </cell>
          <cell r="AY18">
            <v>31.8</v>
          </cell>
          <cell r="AZ18">
            <v>37.1</v>
          </cell>
          <cell r="BA18">
            <v>58.6</v>
          </cell>
          <cell r="BB18">
            <v>0</v>
          </cell>
          <cell r="BC18">
            <v>52.9</v>
          </cell>
          <cell r="BD18">
            <v>40.200000000000003</v>
          </cell>
          <cell r="BE18">
            <v>142.30000000000001</v>
          </cell>
          <cell r="BF18">
            <v>186.3</v>
          </cell>
          <cell r="BG18">
            <v>0</v>
          </cell>
          <cell r="BH18">
            <v>133.6</v>
          </cell>
          <cell r="BI18">
            <v>126.4</v>
          </cell>
          <cell r="BJ18">
            <v>121.3</v>
          </cell>
          <cell r="BK18">
            <v>170.16330887999999</v>
          </cell>
          <cell r="BL18">
            <v>0</v>
          </cell>
          <cell r="BM18">
            <v>138.0727235</v>
          </cell>
          <cell r="BN18">
            <v>139.04000000000002</v>
          </cell>
          <cell r="BO18">
            <v>132.61761865756799</v>
          </cell>
          <cell r="BP18">
            <v>186.17605985118604</v>
          </cell>
          <cell r="BQ18">
            <v>0</v>
          </cell>
          <cell r="BR18">
            <v>113.99453889</v>
          </cell>
          <cell r="BS18">
            <v>134.80137365906643</v>
          </cell>
          <cell r="BT18">
            <v>138.28104842710894</v>
          </cell>
          <cell r="BU18">
            <v>194.26931086782983</v>
          </cell>
          <cell r="BV18">
            <v>0</v>
          </cell>
          <cell r="BW18">
            <v>118.5543204456</v>
          </cell>
          <cell r="BX18">
            <v>140.19342860542909</v>
          </cell>
          <cell r="BY18">
            <v>143.81229036419333</v>
          </cell>
          <cell r="BZ18">
            <v>202.04008330254305</v>
          </cell>
          <cell r="CA18">
            <v>0</v>
          </cell>
          <cell r="CB18">
            <v>144.01716169651201</v>
          </cell>
          <cell r="CC18">
            <v>162.7690371926775</v>
          </cell>
          <cell r="CD18">
            <v>158.23052085025697</v>
          </cell>
          <cell r="CE18">
            <v>229.9248953248586</v>
          </cell>
          <cell r="CF18">
            <v>0</v>
          </cell>
          <cell r="CG18">
            <v>156.9787062491981</v>
          </cell>
          <cell r="CH18">
            <v>177.41825054001851</v>
          </cell>
          <cell r="CI18">
            <v>172.47126772678013</v>
          </cell>
          <cell r="CJ18">
            <v>250.61813590409594</v>
          </cell>
        </row>
        <row r="19">
          <cell r="A19" t="str">
            <v>% Change</v>
          </cell>
          <cell r="B19" t="str">
            <v>-</v>
          </cell>
          <cell r="C19" t="str">
            <v>-</v>
          </cell>
          <cell r="D19" t="str">
            <v>-</v>
          </cell>
          <cell r="E19" t="str">
            <v>-</v>
          </cell>
          <cell r="F19" t="str">
            <v>-</v>
          </cell>
          <cell r="G19" t="str">
            <v>-</v>
          </cell>
          <cell r="H19">
            <v>1.5388320288982542</v>
          </cell>
          <cell r="I19">
            <v>0.30771474716623182</v>
          </cell>
          <cell r="J19">
            <v>8.0591206002473825E-2</v>
          </cell>
          <cell r="K19">
            <v>-2.4433585737068331E-2</v>
          </cell>
          <cell r="L19">
            <v>4.0000000000000036E-2</v>
          </cell>
          <cell r="M19">
            <v>0.1494235428541455</v>
          </cell>
          <cell r="N19">
            <v>9.000000000000008E-2</v>
          </cell>
          <cell r="O19">
            <v>6.999999999999984E-2</v>
          </cell>
          <cell r="P19">
            <v>6.2807541282780432E-2</v>
          </cell>
          <cell r="Q19">
            <v>5.5653082154364153E-2</v>
          </cell>
          <cell r="AH19" t="str">
            <v>% Change</v>
          </cell>
          <cell r="AI19" t="str">
            <v>-</v>
          </cell>
          <cell r="AJ19" t="str">
            <v>-</v>
          </cell>
          <cell r="AK19" t="str">
            <v>-</v>
          </cell>
          <cell r="AL19" t="str">
            <v>-</v>
          </cell>
          <cell r="AN19" t="str">
            <v>-</v>
          </cell>
          <cell r="AO19" t="str">
            <v>-</v>
          </cell>
          <cell r="AP19" t="str">
            <v>-</v>
          </cell>
          <cell r="AQ19" t="str">
            <v>-</v>
          </cell>
          <cell r="AS19" t="str">
            <v>-</v>
          </cell>
          <cell r="AT19" t="str">
            <v>-</v>
          </cell>
          <cell r="AU19" t="str">
            <v>-</v>
          </cell>
          <cell r="AV19" t="str">
            <v>-</v>
          </cell>
          <cell r="AX19" t="str">
            <v>-</v>
          </cell>
          <cell r="AY19" t="str">
            <v>-</v>
          </cell>
          <cell r="AZ19" t="str">
            <v>-</v>
          </cell>
          <cell r="BA19" t="str">
            <v>-</v>
          </cell>
          <cell r="BC19">
            <v>0.3704663212435233</v>
          </cell>
          <cell r="BD19">
            <v>0.26415094339622658</v>
          </cell>
          <cell r="BE19">
            <v>2.835579514824798</v>
          </cell>
          <cell r="BF19">
            <v>2.1791808873720138</v>
          </cell>
          <cell r="BH19">
            <v>1.5255198487712667</v>
          </cell>
          <cell r="BI19">
            <v>2.144278606965174</v>
          </cell>
          <cell r="BJ19">
            <v>-0.14757554462403377</v>
          </cell>
          <cell r="BK19">
            <v>-8.6616699516908313E-2</v>
          </cell>
          <cell r="BM19">
            <v>3.3478469311377212E-2</v>
          </cell>
          <cell r="BN19">
            <v>0.10000000000000009</v>
          </cell>
          <cell r="BO19">
            <v>9.3302709460576949E-2</v>
          </cell>
          <cell r="BP19">
            <v>9.410225433779229E-2</v>
          </cell>
          <cell r="BR19">
            <v>-0.17438769946476784</v>
          </cell>
          <cell r="BS19">
            <v>-3.0484942037784735E-2</v>
          </cell>
          <cell r="BT19">
            <v>4.2704957507678554E-2</v>
          </cell>
          <cell r="BU19">
            <v>4.347095444555471E-2</v>
          </cell>
          <cell r="BW19">
            <v>4.0000000000000036E-2</v>
          </cell>
          <cell r="BX19">
            <v>4.0000000000000036E-2</v>
          </cell>
          <cell r="BY19">
            <v>4.0000000000000258E-2</v>
          </cell>
          <cell r="BZ19">
            <v>4.0000000000000258E-2</v>
          </cell>
          <cell r="CB19">
            <v>0.21477784323006532</v>
          </cell>
          <cell r="CC19">
            <v>0.16103186013651816</v>
          </cell>
          <cell r="CD19">
            <v>0.10025728989887162</v>
          </cell>
          <cell r="CE19">
            <v>0.13801623700857268</v>
          </cell>
          <cell r="CG19">
            <v>9.000000000000008E-2</v>
          </cell>
          <cell r="CH19">
            <v>9.000000000000008E-2</v>
          </cell>
          <cell r="CI19">
            <v>9.0000000000000302E-2</v>
          </cell>
          <cell r="CJ19">
            <v>9.0000000000000302E-2</v>
          </cell>
        </row>
        <row r="21">
          <cell r="A21" t="str">
            <v>Other</v>
          </cell>
          <cell r="B21">
            <v>0</v>
          </cell>
          <cell r="C21">
            <v>0</v>
          </cell>
          <cell r="D21">
            <v>0</v>
          </cell>
          <cell r="E21">
            <v>0</v>
          </cell>
          <cell r="F21">
            <v>0</v>
          </cell>
          <cell r="G21">
            <v>0</v>
          </cell>
          <cell r="H21">
            <v>0</v>
          </cell>
          <cell r="I21">
            <v>0</v>
          </cell>
          <cell r="J21">
            <v>92</v>
          </cell>
          <cell r="K21">
            <v>100</v>
          </cell>
          <cell r="L21">
            <v>100</v>
          </cell>
          <cell r="M21">
            <v>76.75</v>
          </cell>
          <cell r="N21">
            <v>76.75</v>
          </cell>
          <cell r="O21">
            <v>76.75</v>
          </cell>
          <cell r="P21">
            <v>76.75</v>
          </cell>
          <cell r="Q21">
            <v>76.75</v>
          </cell>
          <cell r="AH21" t="str">
            <v>Other</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10</v>
          </cell>
          <cell r="BN21">
            <v>32</v>
          </cell>
          <cell r="BO21">
            <v>25</v>
          </cell>
          <cell r="BP21">
            <v>25</v>
          </cell>
          <cell r="BQ21">
            <v>0</v>
          </cell>
          <cell r="BR21">
            <v>35</v>
          </cell>
          <cell r="BS21">
            <v>25</v>
          </cell>
          <cell r="BT21">
            <v>15</v>
          </cell>
          <cell r="BU21">
            <v>25</v>
          </cell>
          <cell r="BV21">
            <v>0</v>
          </cell>
          <cell r="BW21">
            <v>35</v>
          </cell>
          <cell r="BX21">
            <v>25</v>
          </cell>
          <cell r="BY21">
            <v>15</v>
          </cell>
          <cell r="BZ21">
            <v>25</v>
          </cell>
          <cell r="CA21">
            <v>0</v>
          </cell>
          <cell r="CB21">
            <v>10.500000000000002</v>
          </cell>
          <cell r="CC21">
            <v>25</v>
          </cell>
          <cell r="CD21">
            <v>15</v>
          </cell>
          <cell r="CE21">
            <v>26.25</v>
          </cell>
          <cell r="CF21">
            <v>0</v>
          </cell>
          <cell r="CG21">
            <v>10.500000000000002</v>
          </cell>
          <cell r="CH21">
            <v>25</v>
          </cell>
          <cell r="CI21">
            <v>15</v>
          </cell>
          <cell r="CJ21">
            <v>26.25</v>
          </cell>
        </row>
        <row r="22">
          <cell r="A22" t="str">
            <v xml:space="preserve">% Change </v>
          </cell>
          <cell r="B22" t="str">
            <v>-</v>
          </cell>
          <cell r="C22" t="str">
            <v>-</v>
          </cell>
          <cell r="D22" t="str">
            <v>-</v>
          </cell>
          <cell r="E22" t="str">
            <v>-</v>
          </cell>
          <cell r="F22" t="str">
            <v>-</v>
          </cell>
          <cell r="G22" t="str">
            <v>-</v>
          </cell>
          <cell r="H22" t="str">
            <v>-</v>
          </cell>
          <cell r="I22" t="str">
            <v>-</v>
          </cell>
          <cell r="J22" t="str">
            <v>-</v>
          </cell>
          <cell r="K22" t="str">
            <v>-</v>
          </cell>
          <cell r="L22" t="str">
            <v>-</v>
          </cell>
          <cell r="M22" t="str">
            <v>-</v>
          </cell>
          <cell r="N22" t="str">
            <v>-</v>
          </cell>
          <cell r="O22" t="str">
            <v>-</v>
          </cell>
          <cell r="P22" t="str">
            <v>-</v>
          </cell>
          <cell r="Q22" t="str">
            <v>-</v>
          </cell>
          <cell r="AH22" t="str">
            <v xml:space="preserve">% Change </v>
          </cell>
          <cell r="AI22" t="str">
            <v>-</v>
          </cell>
          <cell r="AJ22" t="str">
            <v>-</v>
          </cell>
          <cell r="AK22" t="str">
            <v>-</v>
          </cell>
          <cell r="AL22" t="str">
            <v>-</v>
          </cell>
          <cell r="AN22" t="str">
            <v>-</v>
          </cell>
          <cell r="AO22" t="str">
            <v>-</v>
          </cell>
          <cell r="AP22" t="str">
            <v>-</v>
          </cell>
          <cell r="AQ22" t="str">
            <v>-</v>
          </cell>
          <cell r="AS22" t="str">
            <v>-</v>
          </cell>
          <cell r="AT22" t="str">
            <v>-</v>
          </cell>
          <cell r="AU22" t="str">
            <v>-</v>
          </cell>
          <cell r="AV22" t="str">
            <v>-</v>
          </cell>
          <cell r="AX22" t="str">
            <v>-</v>
          </cell>
          <cell r="AY22" t="str">
            <v>-</v>
          </cell>
          <cell r="AZ22" t="str">
            <v>-</v>
          </cell>
          <cell r="BA22" t="str">
            <v>-</v>
          </cell>
          <cell r="BC22" t="str">
            <v>-</v>
          </cell>
          <cell r="BD22" t="str">
            <v>-</v>
          </cell>
          <cell r="BE22" t="str">
            <v>-</v>
          </cell>
          <cell r="BF22" t="str">
            <v>-</v>
          </cell>
          <cell r="BH22" t="str">
            <v>-</v>
          </cell>
          <cell r="BI22" t="str">
            <v>-</v>
          </cell>
          <cell r="BJ22" t="str">
            <v>-</v>
          </cell>
          <cell r="BK22" t="str">
            <v>-</v>
          </cell>
          <cell r="BM22" t="str">
            <v>-</v>
          </cell>
          <cell r="BN22" t="str">
            <v>-</v>
          </cell>
          <cell r="BO22" t="str">
            <v>-</v>
          </cell>
          <cell r="BP22" t="str">
            <v>-</v>
          </cell>
          <cell r="BR22">
            <v>2.5</v>
          </cell>
          <cell r="BS22">
            <v>-0.21875</v>
          </cell>
          <cell r="BT22">
            <v>-0.4</v>
          </cell>
          <cell r="BU22">
            <v>0</v>
          </cell>
          <cell r="BW22">
            <v>0</v>
          </cell>
          <cell r="BX22">
            <v>0</v>
          </cell>
          <cell r="BY22">
            <v>0</v>
          </cell>
          <cell r="BZ22">
            <v>0</v>
          </cell>
          <cell r="CB22">
            <v>-0.7</v>
          </cell>
          <cell r="CC22">
            <v>0</v>
          </cell>
          <cell r="CD22">
            <v>0</v>
          </cell>
          <cell r="CE22">
            <v>0.05</v>
          </cell>
          <cell r="CG22">
            <v>0</v>
          </cell>
          <cell r="CH22">
            <v>0</v>
          </cell>
          <cell r="CI22">
            <v>0</v>
          </cell>
          <cell r="CJ22">
            <v>0</v>
          </cell>
        </row>
        <row r="24">
          <cell r="A24" t="str">
            <v xml:space="preserve">Entertainment </v>
          </cell>
          <cell r="B24">
            <v>5688.0458702275046</v>
          </cell>
          <cell r="C24">
            <v>5971.7576229476581</v>
          </cell>
          <cell r="D24">
            <v>6598.7513327425004</v>
          </cell>
          <cell r="E24">
            <v>6484.8330465376339</v>
          </cell>
          <cell r="F24">
            <v>6473.5564387741679</v>
          </cell>
          <cell r="G24">
            <v>6363.2401034314744</v>
          </cell>
          <cell r="H24">
            <v>6878.7999999999993</v>
          </cell>
          <cell r="I24">
            <v>6976.7</v>
          </cell>
          <cell r="J24">
            <v>7390.7000000000007</v>
          </cell>
          <cell r="K24">
            <v>7457</v>
          </cell>
          <cell r="L24">
            <v>7694.0000000000009</v>
          </cell>
          <cell r="M24">
            <v>8645</v>
          </cell>
          <cell r="N24">
            <v>9031.9557049564282</v>
          </cell>
          <cell r="O24">
            <v>9300.5459844713496</v>
          </cell>
          <cell r="P24">
            <v>10060.38536992779</v>
          </cell>
          <cell r="Q24">
            <v>10325.295835466201</v>
          </cell>
          <cell r="AH24" t="str">
            <v xml:space="preserve">Entertainment </v>
          </cell>
          <cell r="AI24">
            <v>1841.5687551903998</v>
          </cell>
          <cell r="AJ24">
            <v>1579.6518860419474</v>
          </cell>
          <cell r="AK24">
            <v>1525.2544842885882</v>
          </cell>
          <cell r="AL24">
            <v>1652.2762072215651</v>
          </cell>
          <cell r="AM24">
            <v>0</v>
          </cell>
          <cell r="AN24">
            <v>1746.6276432147997</v>
          </cell>
          <cell r="AO24">
            <v>1573.5163294606887</v>
          </cell>
          <cell r="AP24">
            <v>1456.6493400464356</v>
          </cell>
          <cell r="AQ24">
            <v>1708.039733815709</v>
          </cell>
          <cell r="AR24">
            <v>0</v>
          </cell>
          <cell r="AS24">
            <v>1844.6917253084266</v>
          </cell>
          <cell r="AT24">
            <v>1489.6781631992071</v>
          </cell>
          <cell r="AU24">
            <v>1403.671123951121</v>
          </cell>
          <cell r="AV24">
            <v>1735.5154263154132</v>
          </cell>
          <cell r="AW24">
            <v>0</v>
          </cell>
          <cell r="AX24">
            <v>1848.6801165113816</v>
          </cell>
          <cell r="AY24">
            <v>1407.7598649698971</v>
          </cell>
          <cell r="AZ24">
            <v>1347.5670490325872</v>
          </cell>
          <cell r="BA24">
            <v>1759.2330729176081</v>
          </cell>
          <cell r="BB24">
            <v>0</v>
          </cell>
          <cell r="BC24">
            <v>1953.9</v>
          </cell>
          <cell r="BD24">
            <v>1555.1</v>
          </cell>
          <cell r="BE24">
            <v>1623.8</v>
          </cell>
          <cell r="BF24">
            <v>1746</v>
          </cell>
          <cell r="BG24">
            <v>0</v>
          </cell>
          <cell r="BH24">
            <v>1817.6</v>
          </cell>
          <cell r="BI24">
            <v>1515.5</v>
          </cell>
          <cell r="BJ24">
            <v>1828.3</v>
          </cell>
          <cell r="BK24">
            <v>1815.3</v>
          </cell>
          <cell r="BL24">
            <v>0</v>
          </cell>
          <cell r="BM24">
            <v>2081.5</v>
          </cell>
          <cell r="BN24">
            <v>1671.7</v>
          </cell>
          <cell r="BO24">
            <v>1616.9</v>
          </cell>
          <cell r="BP24">
            <v>2020.6</v>
          </cell>
          <cell r="BQ24">
            <v>0</v>
          </cell>
          <cell r="BR24">
            <v>1994</v>
          </cell>
          <cell r="BS24">
            <v>1836</v>
          </cell>
          <cell r="BT24">
            <v>1632</v>
          </cell>
          <cell r="BU24">
            <v>1995</v>
          </cell>
          <cell r="BV24">
            <v>0</v>
          </cell>
          <cell r="BW24">
            <v>2318</v>
          </cell>
          <cell r="BX24">
            <v>1707</v>
          </cell>
          <cell r="BY24">
            <v>1680</v>
          </cell>
          <cell r="BZ24">
            <v>1989</v>
          </cell>
          <cell r="CA24">
            <v>0</v>
          </cell>
          <cell r="CB24">
            <v>2539</v>
          </cell>
          <cell r="CC24">
            <v>2008</v>
          </cell>
          <cell r="CD24">
            <v>1884</v>
          </cell>
          <cell r="CE24">
            <v>2214</v>
          </cell>
          <cell r="CF24">
            <v>0</v>
          </cell>
          <cell r="CG24">
            <v>2305.4108681345383</v>
          </cell>
          <cell r="CH24">
            <v>2013.8848354714592</v>
          </cell>
          <cell r="CI24">
            <v>2222.5433858995143</v>
          </cell>
          <cell r="CJ24">
            <v>2490.1166154509169</v>
          </cell>
        </row>
        <row r="25">
          <cell r="A25" t="str">
            <v>% Change</v>
          </cell>
          <cell r="B25" t="str">
            <v>-</v>
          </cell>
          <cell r="C25">
            <v>4.9878597886343412E-2</v>
          </cell>
          <cell r="D25">
            <v>0.10499316103947276</v>
          </cell>
          <cell r="E25">
            <v>-1.7263612532209316E-2</v>
          </cell>
          <cell r="F25">
            <v>-1.7389202902434731E-3</v>
          </cell>
          <cell r="G25">
            <v>-1.7041071069055613E-2</v>
          </cell>
          <cell r="H25">
            <v>8.1021600346418143E-2</v>
          </cell>
          <cell r="I25">
            <v>1.4232133511659084E-2</v>
          </cell>
          <cell r="J25">
            <v>5.9340375822380276E-2</v>
          </cell>
          <cell r="K25">
            <v>8.970733489385152E-3</v>
          </cell>
          <cell r="L25">
            <v>3.1782218050154354E-2</v>
          </cell>
          <cell r="M25">
            <v>0.12360280738237583</v>
          </cell>
          <cell r="N25">
            <v>4.4760636779228147E-2</v>
          </cell>
          <cell r="O25">
            <v>2.9737776433904406E-2</v>
          </cell>
          <cell r="P25">
            <v>8.169836337835501E-2</v>
          </cell>
          <cell r="Q25">
            <v>2.6332039558869536E-2</v>
          </cell>
          <cell r="AH25" t="str">
            <v>% Change</v>
          </cell>
          <cell r="AI25" t="str">
            <v>-</v>
          </cell>
          <cell r="AJ25" t="str">
            <v>-</v>
          </cell>
          <cell r="AK25" t="str">
            <v>-</v>
          </cell>
          <cell r="AL25" t="str">
            <v>-</v>
          </cell>
          <cell r="AN25">
            <v>-5.1554475882592876E-2</v>
          </cell>
          <cell r="AO25">
            <v>-3.8841194287636549E-3</v>
          </cell>
          <cell r="AP25">
            <v>-4.4979473883764109E-2</v>
          </cell>
          <cell r="AQ25">
            <v>3.3749518603741757E-2</v>
          </cell>
          <cell r="AS25">
            <v>5.6144812819481471E-2</v>
          </cell>
          <cell r="AT25">
            <v>-5.3280772936253218E-2</v>
          </cell>
          <cell r="AU25">
            <v>-3.6369917343061942E-2</v>
          </cell>
          <cell r="AV25">
            <v>1.6086096801931182E-2</v>
          </cell>
          <cell r="AX25">
            <v>2.1620909056163651E-3</v>
          </cell>
          <cell r="AY25">
            <v>-5.4990601495683911E-2</v>
          </cell>
          <cell r="AZ25">
            <v>-3.9969529871505372E-2</v>
          </cell>
          <cell r="BA25">
            <v>1.3666053463176953E-2</v>
          </cell>
          <cell r="BC25">
            <v>5.6916219603842189E-2</v>
          </cell>
          <cell r="BD25">
            <v>0.10466283255862918</v>
          </cell>
          <cell r="BE25">
            <v>0.20498642436064252</v>
          </cell>
          <cell r="BF25">
            <v>-7.5220692023835189E-3</v>
          </cell>
          <cell r="BH25">
            <v>-6.9757920057321399E-2</v>
          </cell>
          <cell r="BI25">
            <v>-2.5464600347244515E-2</v>
          </cell>
          <cell r="BJ25">
            <v>0.12593915506835818</v>
          </cell>
          <cell r="BK25">
            <v>3.9690721649484617E-2</v>
          </cell>
          <cell r="BM25">
            <v>0.14519146126760574</v>
          </cell>
          <cell r="BN25">
            <v>0.1030682942923129</v>
          </cell>
          <cell r="BO25">
            <v>-0.11562653831428094</v>
          </cell>
          <cell r="BP25">
            <v>0.11309425439321319</v>
          </cell>
          <cell r="BR25">
            <v>-4.2036992553447061E-2</v>
          </cell>
          <cell r="BS25">
            <v>9.8283184781958521E-2</v>
          </cell>
          <cell r="BT25">
            <v>9.3388583091100763E-3</v>
          </cell>
          <cell r="BU25">
            <v>-1.2669504107690743E-2</v>
          </cell>
          <cell r="BW25">
            <v>0.1624874623871615</v>
          </cell>
          <cell r="BX25">
            <v>-7.0261437908496704E-2</v>
          </cell>
          <cell r="BY25">
            <v>2.9411764705882248E-2</v>
          </cell>
          <cell r="BZ25">
            <v>-3.0075187969924588E-3</v>
          </cell>
          <cell r="CB25">
            <v>9.5340811044003493E-2</v>
          </cell>
          <cell r="CC25">
            <v>0.17633274751025185</v>
          </cell>
          <cell r="CD25">
            <v>0.12142857142857144</v>
          </cell>
          <cell r="CE25">
            <v>0.1131221719457014</v>
          </cell>
          <cell r="CG25">
            <v>-9.2000445791832086E-2</v>
          </cell>
          <cell r="CH25">
            <v>2.9306949559060325E-3</v>
          </cell>
          <cell r="CI25">
            <v>0.17969394156025165</v>
          </cell>
          <cell r="CJ25">
            <v>0.12471391845118207</v>
          </cell>
        </row>
        <row r="27">
          <cell r="A27" t="str">
            <v>Showtime Revenue</v>
          </cell>
          <cell r="B27">
            <v>1027.9652597724951</v>
          </cell>
          <cell r="C27">
            <v>1033.3808398023421</v>
          </cell>
          <cell r="D27">
            <v>1010</v>
          </cell>
          <cell r="E27">
            <v>1049.4950000000001</v>
          </cell>
          <cell r="F27">
            <v>1131.1980425000002</v>
          </cell>
          <cell r="G27">
            <v>1187.7579446249999</v>
          </cell>
          <cell r="H27">
            <v>1214.8770663763598</v>
          </cell>
          <cell r="I27">
            <v>1292.1573431692591</v>
          </cell>
          <cell r="J27">
            <v>1416.1888804834932</v>
          </cell>
          <cell r="K27">
            <v>1549.3985918875717</v>
          </cell>
          <cell r="L27">
            <v>1695.9017038759084</v>
          </cell>
          <cell r="M27">
            <v>1988.7665682864749</v>
          </cell>
          <cell r="N27">
            <v>2122.9380703866454</v>
          </cell>
          <cell r="O27">
            <v>2171.4925269916102</v>
          </cell>
          <cell r="P27">
            <v>2206.0395841473774</v>
          </cell>
          <cell r="Q27">
            <v>2307.7231294853023</v>
          </cell>
          <cell r="AH27" t="str">
            <v>Showtime Revenue</v>
          </cell>
          <cell r="AI27">
            <v>245</v>
          </cell>
          <cell r="AJ27">
            <v>240</v>
          </cell>
          <cell r="AK27">
            <v>250</v>
          </cell>
          <cell r="AL27">
            <v>275</v>
          </cell>
          <cell r="AM27">
            <v>0</v>
          </cell>
          <cell r="AN27">
            <v>250</v>
          </cell>
          <cell r="AO27">
            <v>262.39999999999998</v>
          </cell>
          <cell r="AP27">
            <v>266.65025000000003</v>
          </cell>
          <cell r="AQ27">
            <v>270.44475</v>
          </cell>
          <cell r="AR27">
            <v>0</v>
          </cell>
          <cell r="AS27">
            <v>262.5</v>
          </cell>
          <cell r="AT27">
            <v>291.26400000000001</v>
          </cell>
          <cell r="AU27">
            <v>282.64926500000007</v>
          </cell>
          <cell r="AV27">
            <v>294.78477750000002</v>
          </cell>
          <cell r="AW27">
            <v>0</v>
          </cell>
          <cell r="AX27">
            <v>275.625</v>
          </cell>
          <cell r="AY27">
            <v>305.8272</v>
          </cell>
          <cell r="AZ27">
            <v>296.78172825000007</v>
          </cell>
          <cell r="BA27">
            <v>309.52401637499997</v>
          </cell>
          <cell r="BB27">
            <v>0</v>
          </cell>
          <cell r="BC27">
            <v>303.1875</v>
          </cell>
          <cell r="BD27">
            <v>302.76892800000002</v>
          </cell>
          <cell r="BE27">
            <v>299.74954553250006</v>
          </cell>
          <cell r="BF27">
            <v>309.17109284385981</v>
          </cell>
          <cell r="BG27">
            <v>0</v>
          </cell>
          <cell r="BH27">
            <v>327.18231897401438</v>
          </cell>
          <cell r="BI27">
            <v>316.24169126765952</v>
          </cell>
          <cell r="BJ27">
            <v>318.57215398038528</v>
          </cell>
          <cell r="BK27">
            <v>330.16117894719986</v>
          </cell>
          <cell r="BL27">
            <v>0</v>
          </cell>
          <cell r="BM27">
            <v>353.68408681090955</v>
          </cell>
          <cell r="BN27">
            <v>355.77190267611695</v>
          </cell>
          <cell r="BO27">
            <v>356.80081245803154</v>
          </cell>
          <cell r="BP27">
            <v>349.93207853843523</v>
          </cell>
          <cell r="BQ27">
            <v>0</v>
          </cell>
          <cell r="BR27">
            <v>377.38092062724047</v>
          </cell>
          <cell r="BS27">
            <v>398.46453099725102</v>
          </cell>
          <cell r="BT27">
            <v>403.18491807757562</v>
          </cell>
          <cell r="BU27">
            <v>370.36822218550446</v>
          </cell>
          <cell r="BV27">
            <v>0</v>
          </cell>
          <cell r="BW27">
            <v>433.98805872132652</v>
          </cell>
          <cell r="BX27">
            <v>430.34169347703113</v>
          </cell>
          <cell r="BY27">
            <v>417.29639021029072</v>
          </cell>
          <cell r="BZ27">
            <v>414.2755614672601</v>
          </cell>
          <cell r="CA27">
            <v>0</v>
          </cell>
          <cell r="CB27">
            <v>458.94237209780283</v>
          </cell>
          <cell r="CC27">
            <v>501.56324374747976</v>
          </cell>
          <cell r="CD27">
            <v>576.28631488041151</v>
          </cell>
          <cell r="CE27">
            <v>451.97463756078076</v>
          </cell>
          <cell r="CF27">
            <v>0</v>
          </cell>
          <cell r="CG27">
            <v>539.06833814464903</v>
          </cell>
          <cell r="CH27">
            <v>541.7126708098034</v>
          </cell>
          <cell r="CI27">
            <v>517.87635692204026</v>
          </cell>
          <cell r="CJ27">
            <v>524.28070451015287</v>
          </cell>
        </row>
        <row r="28">
          <cell r="A28" t="str">
            <v xml:space="preserve">% Change </v>
          </cell>
          <cell r="B28">
            <v>4.5941989640844394E-2</v>
          </cell>
          <cell r="C28">
            <v>5.2682519942799377E-3</v>
          </cell>
          <cell r="D28">
            <v>-2.2625578975137728E-2</v>
          </cell>
          <cell r="E28">
            <v>3.9103960396039694E-2</v>
          </cell>
          <cell r="F28">
            <v>7.784986350578138E-2</v>
          </cell>
          <cell r="G28">
            <v>4.9999999999999822E-2</v>
          </cell>
          <cell r="H28">
            <v>2.2832195628817331E-2</v>
          </cell>
          <cell r="I28">
            <v>6.3611602302613868E-2</v>
          </cell>
          <cell r="J28">
            <v>9.5987952217973183E-2</v>
          </cell>
          <cell r="K28">
            <v>9.4062107985624088E-2</v>
          </cell>
          <cell r="L28">
            <v>9.4554824533471304E-2</v>
          </cell>
          <cell r="M28">
            <v>0.17268976364681787</v>
          </cell>
          <cell r="N28">
            <v>6.7464680993593484E-2</v>
          </cell>
          <cell r="O28">
            <v>2.2871348572180317E-2</v>
          </cell>
          <cell r="P28">
            <v>1.590936037142554E-2</v>
          </cell>
          <cell r="Q28">
            <v>4.6093255111387732E-2</v>
          </cell>
          <cell r="AH28" t="str">
            <v xml:space="preserve">% Change </v>
          </cell>
          <cell r="AI28" t="str">
            <v>-</v>
          </cell>
          <cell r="AJ28" t="str">
            <v>-</v>
          </cell>
          <cell r="AK28" t="str">
            <v>-</v>
          </cell>
          <cell r="AL28" t="str">
            <v>-</v>
          </cell>
          <cell r="AN28">
            <v>2.0408163265306145E-2</v>
          </cell>
          <cell r="AO28">
            <v>9.3333333333333268E-2</v>
          </cell>
          <cell r="AP28">
            <v>6.6601000000000132E-2</v>
          </cell>
          <cell r="AQ28">
            <v>-1.6564545454545443E-2</v>
          </cell>
          <cell r="AS28">
            <v>5.0000000000000044E-2</v>
          </cell>
          <cell r="AT28">
            <v>0.1100000000000001</v>
          </cell>
          <cell r="AU28">
            <v>6.0000000000000053E-2</v>
          </cell>
          <cell r="AV28">
            <v>9.000000000000008E-2</v>
          </cell>
          <cell r="AX28">
            <v>5.0000000000000044E-2</v>
          </cell>
          <cell r="AY28">
            <v>5.0000000000000044E-2</v>
          </cell>
          <cell r="AZ28">
            <v>5.0000000000000044E-2</v>
          </cell>
          <cell r="BA28">
            <v>4.9999999999999822E-2</v>
          </cell>
          <cell r="BC28">
            <v>0.10000000000000009</v>
          </cell>
          <cell r="BD28">
            <v>-1.0000000000000009E-2</v>
          </cell>
          <cell r="BE28">
            <v>1.0000000000000009E-2</v>
          </cell>
          <cell r="BF28">
            <v>-1.1402137232303655E-3</v>
          </cell>
          <cell r="BH28">
            <v>7.9141847780711316E-2</v>
          </cell>
          <cell r="BI28">
            <v>4.4498500413026276E-2</v>
          </cell>
          <cell r="BJ28">
            <v>6.279445199640632E-2</v>
          </cell>
          <cell r="BK28">
            <v>6.7891489822887952E-2</v>
          </cell>
          <cell r="BM28">
            <v>8.1000000000000003E-2</v>
          </cell>
          <cell r="BN28">
            <v>0.125</v>
          </cell>
          <cell r="BO28">
            <v>0.12</v>
          </cell>
          <cell r="BP28">
            <v>5.9882569035765387E-2</v>
          </cell>
          <cell r="BR28">
            <v>6.7000000000000004E-2</v>
          </cell>
          <cell r="BS28">
            <v>0.12</v>
          </cell>
          <cell r="BT28">
            <v>0.13</v>
          </cell>
          <cell r="BU28">
            <v>5.8400315090931576E-2</v>
          </cell>
          <cell r="BW28">
            <v>0.15</v>
          </cell>
          <cell r="BX28">
            <v>0.08</v>
          </cell>
          <cell r="BY28">
            <v>3.5000000000000003E-2</v>
          </cell>
          <cell r="BZ28">
            <v>0.11855050366541442</v>
          </cell>
          <cell r="CB28">
            <v>5.7500000000000002E-2</v>
          </cell>
          <cell r="CC28">
            <v>0.16550000000000001</v>
          </cell>
          <cell r="CD28">
            <v>0.38100000000000001</v>
          </cell>
          <cell r="CE28">
            <v>9.0999999999999998E-2</v>
          </cell>
          <cell r="CG28">
            <v>0.17458829456211333</v>
          </cell>
          <cell r="CH28">
            <v>8.004858323018893E-2</v>
          </cell>
          <cell r="CI28">
            <v>-0.10135579563518216</v>
          </cell>
          <cell r="CJ28">
            <v>0.15997815129537774</v>
          </cell>
        </row>
        <row r="30">
          <cell r="A30" t="str">
            <v>CSTV</v>
          </cell>
          <cell r="B30">
            <v>0</v>
          </cell>
          <cell r="C30">
            <v>0</v>
          </cell>
          <cell r="D30">
            <v>0</v>
          </cell>
          <cell r="E30">
            <v>0</v>
          </cell>
          <cell r="F30">
            <v>30</v>
          </cell>
          <cell r="G30">
            <v>48</v>
          </cell>
          <cell r="H30">
            <v>49.622933623640051</v>
          </cell>
          <cell r="I30">
            <v>55.042656830741009</v>
          </cell>
          <cell r="J30">
            <v>58.911119516506744</v>
          </cell>
          <cell r="K30">
            <v>71.60140811242843</v>
          </cell>
          <cell r="L30">
            <v>76.098296124091519</v>
          </cell>
          <cell r="M30">
            <v>80.233431713525135</v>
          </cell>
          <cell r="N30">
            <v>84.245103299201389</v>
          </cell>
          <cell r="O30">
            <v>88.457358464161459</v>
          </cell>
          <cell r="P30">
            <v>92.880226387369532</v>
          </cell>
          <cell r="Q30">
            <v>97.524237706738006</v>
          </cell>
          <cell r="AH30" t="str">
            <v>CSTV</v>
          </cell>
          <cell r="AI30">
            <v>0</v>
          </cell>
          <cell r="AJ30">
            <v>0</v>
          </cell>
          <cell r="AK30">
            <v>0</v>
          </cell>
          <cell r="AL30">
            <v>0</v>
          </cell>
          <cell r="AM30">
            <v>0</v>
          </cell>
          <cell r="AN30">
            <v>0</v>
          </cell>
          <cell r="AO30">
            <v>0</v>
          </cell>
          <cell r="AP30">
            <v>0</v>
          </cell>
          <cell r="AQ30">
            <v>0</v>
          </cell>
          <cell r="AR30">
            <v>0</v>
          </cell>
          <cell r="AS30">
            <v>0</v>
          </cell>
          <cell r="AT30">
            <v>10</v>
          </cell>
          <cell r="AU30">
            <v>10</v>
          </cell>
          <cell r="AV30">
            <v>10</v>
          </cell>
          <cell r="AW30">
            <v>0</v>
          </cell>
          <cell r="AX30">
            <v>11</v>
          </cell>
          <cell r="AY30">
            <v>12</v>
          </cell>
          <cell r="AZ30">
            <v>12</v>
          </cell>
          <cell r="BA30">
            <v>13</v>
          </cell>
          <cell r="BB30">
            <v>0</v>
          </cell>
          <cell r="BC30">
            <v>14.3125</v>
          </cell>
          <cell r="BD30">
            <v>11.131071999999961</v>
          </cell>
          <cell r="BE30">
            <v>12.650454467499912</v>
          </cell>
          <cell r="BF30">
            <v>11.528907156140178</v>
          </cell>
          <cell r="BG30">
            <v>0</v>
          </cell>
          <cell r="BH30">
            <v>13.417681025985644</v>
          </cell>
          <cell r="BI30">
            <v>12.158308732340458</v>
          </cell>
          <cell r="BJ30">
            <v>12.527846019614742</v>
          </cell>
          <cell r="BK30">
            <v>16.938821052800165</v>
          </cell>
          <cell r="BL30">
            <v>0</v>
          </cell>
          <cell r="BM30">
            <v>14.315913189090452</v>
          </cell>
          <cell r="BN30">
            <v>13.02809732388306</v>
          </cell>
          <cell r="BO30">
            <v>13.199187541968456</v>
          </cell>
          <cell r="BP30">
            <v>18.367921461564777</v>
          </cell>
          <cell r="BQ30">
            <v>0</v>
          </cell>
          <cell r="BR30">
            <v>15.619079372759529</v>
          </cell>
          <cell r="BS30">
            <v>14.535469002748982</v>
          </cell>
          <cell r="BT30">
            <v>16.815081922424383</v>
          </cell>
          <cell r="BU30">
            <v>24.631777814495535</v>
          </cell>
          <cell r="BV30">
            <v>0</v>
          </cell>
          <cell r="BW30">
            <v>18.011941278673476</v>
          </cell>
          <cell r="BX30">
            <v>15.658306522968871</v>
          </cell>
          <cell r="BY30">
            <v>18.703609789709276</v>
          </cell>
          <cell r="BZ30">
            <v>23.724438532739896</v>
          </cell>
          <cell r="CA30">
            <v>0</v>
          </cell>
          <cell r="CB30">
            <v>19.057627902197169</v>
          </cell>
          <cell r="CC30">
            <v>16.43675625252024</v>
          </cell>
          <cell r="CD30">
            <v>19.71368511958849</v>
          </cell>
          <cell r="CE30">
            <v>25.025362439219236</v>
          </cell>
          <cell r="CF30">
            <v>0</v>
          </cell>
          <cell r="CG30">
            <v>20.010509297307028</v>
          </cell>
          <cell r="CH30">
            <v>17.258594065146251</v>
          </cell>
          <cell r="CI30">
            <v>20.699369375567915</v>
          </cell>
          <cell r="CJ30">
            <v>26.276630561180198</v>
          </cell>
        </row>
        <row r="31">
          <cell r="A31" t="str">
            <v xml:space="preserve">% Change </v>
          </cell>
          <cell r="B31" t="str">
            <v>-</v>
          </cell>
          <cell r="C31" t="str">
            <v>-</v>
          </cell>
          <cell r="D31" t="str">
            <v>-</v>
          </cell>
          <cell r="E31" t="str">
            <v>-</v>
          </cell>
          <cell r="F31" t="str">
            <v>-</v>
          </cell>
          <cell r="G31">
            <v>0.60000000000000009</v>
          </cell>
          <cell r="H31">
            <v>3.3811117159167736E-2</v>
          </cell>
          <cell r="I31">
            <v>0.1092181137094046</v>
          </cell>
          <cell r="J31">
            <v>7.0281176609287899E-2</v>
          </cell>
          <cell r="K31">
            <v>0.21541414761887023</v>
          </cell>
          <cell r="L31">
            <v>6.2804463350805584E-2</v>
          </cell>
          <cell r="M31">
            <v>5.4339397858403471E-2</v>
          </cell>
          <cell r="N31">
            <v>5.0000000000000044E-2</v>
          </cell>
          <cell r="O31">
            <v>5.0000000000000044E-2</v>
          </cell>
          <cell r="P31">
            <v>5.0000000000000044E-2</v>
          </cell>
          <cell r="Q31">
            <v>5.0000000000000044E-2</v>
          </cell>
          <cell r="AH31" t="str">
            <v xml:space="preserve">% Change </v>
          </cell>
          <cell r="AI31" t="str">
            <v>-</v>
          </cell>
          <cell r="AJ31" t="str">
            <v>-</v>
          </cell>
          <cell r="AK31" t="str">
            <v>-</v>
          </cell>
          <cell r="AL31" t="str">
            <v>-</v>
          </cell>
          <cell r="AN31" t="str">
            <v>-</v>
          </cell>
          <cell r="AO31" t="str">
            <v>-</v>
          </cell>
          <cell r="AP31" t="str">
            <v>-</v>
          </cell>
          <cell r="AQ31" t="str">
            <v>-</v>
          </cell>
          <cell r="AS31" t="str">
            <v>-</v>
          </cell>
          <cell r="AT31" t="str">
            <v>-</v>
          </cell>
          <cell r="AU31" t="str">
            <v>-</v>
          </cell>
          <cell r="AV31" t="str">
            <v>-</v>
          </cell>
          <cell r="AX31" t="str">
            <v>-</v>
          </cell>
          <cell r="AY31">
            <v>0.19999999999999996</v>
          </cell>
          <cell r="AZ31">
            <v>0.19999999999999996</v>
          </cell>
          <cell r="BA31">
            <v>0.30000000000000004</v>
          </cell>
          <cell r="BC31">
            <v>0.30113636363636354</v>
          </cell>
          <cell r="BD31">
            <v>-7.2410666666669954E-2</v>
          </cell>
          <cell r="BE31">
            <v>5.4204538958326109E-2</v>
          </cell>
          <cell r="BF31">
            <v>-0.11316098798921703</v>
          </cell>
          <cell r="BH31">
            <v>-6.2520102987902559E-2</v>
          </cell>
          <cell r="BI31">
            <v>9.2285516825378666E-2</v>
          </cell>
          <cell r="BJ31">
            <v>-9.6920192235118163E-3</v>
          </cell>
          <cell r="BK31">
            <v>0.46924776333017149</v>
          </cell>
          <cell r="BM31">
            <v>6.6943919844660638E-2</v>
          </cell>
          <cell r="BN31">
            <v>7.1538616981242642E-2</v>
          </cell>
          <cell r="BO31">
            <v>5.3587944911088536E-2</v>
          </cell>
          <cell r="BP31">
            <v>8.4368351511002304E-2</v>
          </cell>
          <cell r="BR31">
            <v>9.102920410708859E-2</v>
          </cell>
          <cell r="BS31">
            <v>0.11570159796876966</v>
          </cell>
          <cell r="BT31">
            <v>0.27394825393295918</v>
          </cell>
          <cell r="BU31">
            <v>0.34102151220746446</v>
          </cell>
          <cell r="BW31">
            <v>0.15320121300409162</v>
          </cell>
          <cell r="BX31">
            <v>7.7248110811390713E-2</v>
          </cell>
          <cell r="BY31">
            <v>0.11231154721680991</v>
          </cell>
          <cell r="BZ31">
            <v>-3.6836126429399707E-2</v>
          </cell>
          <cell r="CB31">
            <v>5.8055187241910833E-2</v>
          </cell>
          <cell r="CC31">
            <v>4.9714809734339838E-2</v>
          </cell>
          <cell r="CD31">
            <v>5.4004298701470832E-2</v>
          </cell>
          <cell r="CE31">
            <v>5.4834760564894225E-2</v>
          </cell>
          <cell r="CG31">
            <v>0.05</v>
          </cell>
          <cell r="CH31">
            <v>0.05</v>
          </cell>
          <cell r="CI31">
            <v>0.05</v>
          </cell>
          <cell r="CJ31">
            <v>0.05</v>
          </cell>
        </row>
        <row r="33">
          <cell r="A33" t="str">
            <v xml:space="preserve">Cable Networks </v>
          </cell>
          <cell r="B33">
            <v>1027.9652597724951</v>
          </cell>
          <cell r="C33">
            <v>1033.3808398023421</v>
          </cell>
          <cell r="D33">
            <v>1010</v>
          </cell>
          <cell r="E33">
            <v>1049.4950000000001</v>
          </cell>
          <cell r="F33">
            <v>1161.1980425000002</v>
          </cell>
          <cell r="G33">
            <v>1235.7579446249999</v>
          </cell>
          <cell r="H33">
            <v>1264.5</v>
          </cell>
          <cell r="I33">
            <v>1347.2</v>
          </cell>
          <cell r="J33">
            <v>1475.1</v>
          </cell>
          <cell r="K33">
            <v>1621</v>
          </cell>
          <cell r="L33">
            <v>1772</v>
          </cell>
          <cell r="M33">
            <v>2069</v>
          </cell>
          <cell r="N33">
            <v>2207.1831736858467</v>
          </cell>
          <cell r="O33">
            <v>2259.9498854557719</v>
          </cell>
          <cell r="P33">
            <v>2298.9198105347468</v>
          </cell>
          <cell r="Q33">
            <v>2405.2473671920402</v>
          </cell>
          <cell r="AH33" t="str">
            <v xml:space="preserve">Cable Networks </v>
          </cell>
          <cell r="AI33">
            <v>245</v>
          </cell>
          <cell r="AJ33">
            <v>240</v>
          </cell>
          <cell r="AK33">
            <v>250</v>
          </cell>
          <cell r="AL33">
            <v>275</v>
          </cell>
          <cell r="AM33">
            <v>0</v>
          </cell>
          <cell r="AN33">
            <v>250</v>
          </cell>
          <cell r="AO33">
            <v>262.39999999999998</v>
          </cell>
          <cell r="AP33">
            <v>266.65025000000003</v>
          </cell>
          <cell r="AQ33">
            <v>270.44475</v>
          </cell>
          <cell r="AR33">
            <v>0</v>
          </cell>
          <cell r="AS33">
            <v>262.5</v>
          </cell>
          <cell r="AT33">
            <v>301.26400000000001</v>
          </cell>
          <cell r="AU33">
            <v>292.64926500000007</v>
          </cell>
          <cell r="AV33">
            <v>304.78477750000002</v>
          </cell>
          <cell r="AW33">
            <v>0</v>
          </cell>
          <cell r="AX33">
            <v>286.625</v>
          </cell>
          <cell r="AY33">
            <v>317.8272</v>
          </cell>
          <cell r="AZ33">
            <v>308.78172825000007</v>
          </cell>
          <cell r="BA33">
            <v>322.52401637499997</v>
          </cell>
          <cell r="BB33">
            <v>0</v>
          </cell>
          <cell r="BC33">
            <v>317.5</v>
          </cell>
          <cell r="BD33">
            <v>313.89999999999998</v>
          </cell>
          <cell r="BE33">
            <v>312.39999999999998</v>
          </cell>
          <cell r="BF33">
            <v>320.7</v>
          </cell>
          <cell r="BG33">
            <v>0</v>
          </cell>
          <cell r="BH33">
            <v>340.6</v>
          </cell>
          <cell r="BI33">
            <v>328.4</v>
          </cell>
          <cell r="BJ33">
            <v>331.1</v>
          </cell>
          <cell r="BK33">
            <v>347.1</v>
          </cell>
          <cell r="BL33">
            <v>0</v>
          </cell>
          <cell r="BM33">
            <v>368</v>
          </cell>
          <cell r="BN33">
            <v>368.8</v>
          </cell>
          <cell r="BO33">
            <v>370</v>
          </cell>
          <cell r="BP33">
            <v>368.3</v>
          </cell>
          <cell r="BQ33">
            <v>0</v>
          </cell>
          <cell r="BR33">
            <v>393</v>
          </cell>
          <cell r="BS33">
            <v>413</v>
          </cell>
          <cell r="BT33">
            <v>420</v>
          </cell>
          <cell r="BU33">
            <v>395</v>
          </cell>
          <cell r="BV33">
            <v>0</v>
          </cell>
          <cell r="BW33">
            <v>452</v>
          </cell>
          <cell r="BX33">
            <v>446</v>
          </cell>
          <cell r="BY33">
            <v>436</v>
          </cell>
          <cell r="BZ33">
            <v>438</v>
          </cell>
          <cell r="CA33">
            <v>0</v>
          </cell>
          <cell r="CB33">
            <v>478</v>
          </cell>
          <cell r="CC33">
            <v>518</v>
          </cell>
          <cell r="CD33">
            <v>596</v>
          </cell>
          <cell r="CE33">
            <v>477</v>
          </cell>
          <cell r="CF33">
            <v>0</v>
          </cell>
          <cell r="CG33">
            <v>559.0788474419561</v>
          </cell>
          <cell r="CH33">
            <v>558.97126487494961</v>
          </cell>
          <cell r="CI33">
            <v>538.57572629760818</v>
          </cell>
          <cell r="CJ33">
            <v>550.55733507133311</v>
          </cell>
        </row>
        <row r="34">
          <cell r="A34" t="str">
            <v xml:space="preserve">% Change </v>
          </cell>
          <cell r="B34" t="str">
            <v>-</v>
          </cell>
          <cell r="C34">
            <v>5.2682519942799377E-3</v>
          </cell>
          <cell r="D34">
            <v>-2.2625578975137728E-2</v>
          </cell>
          <cell r="E34">
            <v>3.9103960396039694E-2</v>
          </cell>
          <cell r="F34">
            <v>0.10643504018599415</v>
          </cell>
          <cell r="G34">
            <v>6.4209462465572242E-2</v>
          </cell>
          <cell r="H34">
            <v>2.3258645028353175E-2</v>
          </cell>
          <cell r="I34">
            <v>6.5401344404903083E-2</v>
          </cell>
          <cell r="J34">
            <v>9.49376484560569E-2</v>
          </cell>
          <cell r="K34">
            <v>9.890854857297815E-2</v>
          </cell>
          <cell r="L34">
            <v>9.3152375077112826E-2</v>
          </cell>
          <cell r="M34">
            <v>0.16760722347629797</v>
          </cell>
          <cell r="N34">
            <v>6.6787420824478749E-2</v>
          </cell>
          <cell r="O34">
            <v>2.3906811359842184E-2</v>
          </cell>
          <cell r="P34">
            <v>1.7243712052984694E-2</v>
          </cell>
          <cell r="Q34">
            <v>4.6251094174772689E-2</v>
          </cell>
          <cell r="AH34" t="str">
            <v xml:space="preserve">% Change </v>
          </cell>
          <cell r="AI34" t="str">
            <v>-</v>
          </cell>
          <cell r="AJ34" t="str">
            <v>-</v>
          </cell>
          <cell r="AK34" t="str">
            <v>-</v>
          </cell>
          <cell r="AL34" t="str">
            <v>-</v>
          </cell>
          <cell r="AN34">
            <v>2.0408163265306145E-2</v>
          </cell>
          <cell r="AO34">
            <v>9.3333333333333268E-2</v>
          </cell>
          <cell r="AP34">
            <v>6.6601000000000132E-2</v>
          </cell>
          <cell r="AQ34">
            <v>-1.6564545454545443E-2</v>
          </cell>
          <cell r="AS34">
            <v>5.0000000000000044E-2</v>
          </cell>
          <cell r="AT34">
            <v>0.14810975609756105</v>
          </cell>
          <cell r="AU34">
            <v>9.7502308735881726E-2</v>
          </cell>
          <cell r="AV34">
            <v>0.12697612913543344</v>
          </cell>
          <cell r="AX34">
            <v>9.1904761904761934E-2</v>
          </cell>
          <cell r="AY34">
            <v>5.4979021721812016E-2</v>
          </cell>
          <cell r="AZ34">
            <v>5.512558950045543E-2</v>
          </cell>
          <cell r="BA34">
            <v>5.8202509392057733E-2</v>
          </cell>
          <cell r="BC34">
            <v>0.10771914522459669</v>
          </cell>
          <cell r="BD34">
            <v>-1.235639995569926E-2</v>
          </cell>
          <cell r="BE34">
            <v>1.1717894612826463E-2</v>
          </cell>
          <cell r="BF34">
            <v>-5.6554435713066509E-3</v>
          </cell>
          <cell r="BH34">
            <v>7.2755905511810992E-2</v>
          </cell>
          <cell r="BI34">
            <v>4.6193055113093351E-2</v>
          </cell>
          <cell r="BJ34">
            <v>5.9859154929577718E-2</v>
          </cell>
          <cell r="BK34">
            <v>8.2319925163704566E-2</v>
          </cell>
          <cell r="BM34">
            <v>8.0446271285965931E-2</v>
          </cell>
          <cell r="BN34">
            <v>0.12302070645554219</v>
          </cell>
          <cell r="BO34">
            <v>0.11748716399879178</v>
          </cell>
          <cell r="BP34">
            <v>6.1077499279746483E-2</v>
          </cell>
          <cell r="BR34">
            <v>6.7934782608695565E-2</v>
          </cell>
          <cell r="BS34">
            <v>0.11984815618221245</v>
          </cell>
          <cell r="BT34">
            <v>0.13513513513513509</v>
          </cell>
          <cell r="BU34">
            <v>7.2495248438772641E-2</v>
          </cell>
          <cell r="BW34">
            <v>0.15012722646310439</v>
          </cell>
          <cell r="BX34">
            <v>7.9903147699757815E-2</v>
          </cell>
          <cell r="BY34">
            <v>3.8095238095238182E-2</v>
          </cell>
          <cell r="BZ34">
            <v>0.1088607594936708</v>
          </cell>
          <cell r="CB34">
            <v>5.7522123893805288E-2</v>
          </cell>
          <cell r="CC34">
            <v>0.16143497757847536</v>
          </cell>
          <cell r="CD34">
            <v>0.3669724770642202</v>
          </cell>
          <cell r="CE34">
            <v>8.9041095890410871E-2</v>
          </cell>
          <cell r="CG34">
            <v>0.16962101975304633</v>
          </cell>
          <cell r="CH34">
            <v>7.9095105936196175E-2</v>
          </cell>
          <cell r="CI34">
            <v>-9.6349452520791634E-2</v>
          </cell>
          <cell r="CJ34">
            <v>0.15420824962543622</v>
          </cell>
        </row>
        <row r="36">
          <cell r="A36" t="str">
            <v xml:space="preserve">Publishing </v>
          </cell>
          <cell r="B36">
            <v>673.18376825950281</v>
          </cell>
          <cell r="C36">
            <v>695.43604849016344</v>
          </cell>
          <cell r="D36">
            <v>753.37172741504628</v>
          </cell>
          <cell r="E36">
            <v>777.65495746575073</v>
          </cell>
          <cell r="F36">
            <v>806.96400000000006</v>
          </cell>
          <cell r="G36">
            <v>886.1</v>
          </cell>
          <cell r="H36">
            <v>857.7</v>
          </cell>
          <cell r="I36">
            <v>793.5</v>
          </cell>
          <cell r="J36">
            <v>790.8</v>
          </cell>
          <cell r="K36">
            <v>787</v>
          </cell>
          <cell r="L36">
            <v>790</v>
          </cell>
          <cell r="M36">
            <v>809</v>
          </cell>
          <cell r="N36">
            <v>817.09</v>
          </cell>
          <cell r="O36">
            <v>817.09</v>
          </cell>
          <cell r="P36">
            <v>817.09</v>
          </cell>
          <cell r="Q36">
            <v>817.09</v>
          </cell>
          <cell r="AH36" t="str">
            <v xml:space="preserve">Publishing </v>
          </cell>
          <cell r="AI36">
            <v>148.80000000000001</v>
          </cell>
          <cell r="AJ36">
            <v>182.60000000000002</v>
          </cell>
          <cell r="AK36">
            <v>208</v>
          </cell>
          <cell r="AL36">
            <v>213.97172741504627</v>
          </cell>
          <cell r="AM36">
            <v>0</v>
          </cell>
          <cell r="AN36">
            <v>157.6</v>
          </cell>
          <cell r="AO36">
            <v>174.1</v>
          </cell>
          <cell r="AP36">
            <v>195.51999999999998</v>
          </cell>
          <cell r="AQ36">
            <v>250.4349574657507</v>
          </cell>
          <cell r="AR36">
            <v>0</v>
          </cell>
          <cell r="AS36">
            <v>179.66400000000002</v>
          </cell>
          <cell r="AT36">
            <v>177.4</v>
          </cell>
          <cell r="AU36">
            <v>197.4</v>
          </cell>
          <cell r="AV36">
            <v>252.5</v>
          </cell>
          <cell r="AW36">
            <v>0</v>
          </cell>
          <cell r="AX36">
            <v>229.3</v>
          </cell>
          <cell r="AY36">
            <v>200.3</v>
          </cell>
          <cell r="AZ36">
            <v>214.2</v>
          </cell>
          <cell r="BA36">
            <v>242.30000000000007</v>
          </cell>
          <cell r="BB36">
            <v>0</v>
          </cell>
          <cell r="BC36">
            <v>201.6</v>
          </cell>
          <cell r="BD36">
            <v>186</v>
          </cell>
          <cell r="BE36">
            <v>225</v>
          </cell>
          <cell r="BF36">
            <v>245.1</v>
          </cell>
          <cell r="BG36">
            <v>0</v>
          </cell>
          <cell r="BH36">
            <v>161.69999999999999</v>
          </cell>
          <cell r="BI36">
            <v>181.4</v>
          </cell>
          <cell r="BJ36">
            <v>230.4</v>
          </cell>
          <cell r="BK36">
            <v>220</v>
          </cell>
          <cell r="BL36">
            <v>0</v>
          </cell>
          <cell r="BM36">
            <v>151.69999999999999</v>
          </cell>
          <cell r="BN36">
            <v>189.7</v>
          </cell>
          <cell r="BO36">
            <v>217.7</v>
          </cell>
          <cell r="BP36">
            <v>231.7</v>
          </cell>
          <cell r="BQ36">
            <v>0</v>
          </cell>
          <cell r="BR36">
            <v>155</v>
          </cell>
          <cell r="BS36">
            <v>183</v>
          </cell>
          <cell r="BT36">
            <v>220</v>
          </cell>
          <cell r="BU36">
            <v>229</v>
          </cell>
          <cell r="BV36">
            <v>0</v>
          </cell>
          <cell r="BW36">
            <v>176</v>
          </cell>
          <cell r="BX36">
            <v>189</v>
          </cell>
          <cell r="BY36">
            <v>210</v>
          </cell>
          <cell r="BZ36">
            <v>215</v>
          </cell>
          <cell r="CA36">
            <v>0</v>
          </cell>
          <cell r="CB36">
            <v>171</v>
          </cell>
          <cell r="CC36">
            <v>189</v>
          </cell>
          <cell r="CD36">
            <v>224</v>
          </cell>
          <cell r="CE36">
            <v>225</v>
          </cell>
          <cell r="CF36">
            <v>0</v>
          </cell>
          <cell r="CG36">
            <v>172.71</v>
          </cell>
          <cell r="CH36">
            <v>190.89000000000001</v>
          </cell>
          <cell r="CI36">
            <v>226.24</v>
          </cell>
          <cell r="CJ36">
            <v>227.25</v>
          </cell>
        </row>
        <row r="37">
          <cell r="A37" t="str">
            <v>% Change</v>
          </cell>
          <cell r="B37" t="str">
            <v>-</v>
          </cell>
          <cell r="C37">
            <v>3.3055283385981404E-2</v>
          </cell>
          <cell r="D37">
            <v>8.3308420739282907E-2</v>
          </cell>
          <cell r="E37">
            <v>3.2232733413058323E-2</v>
          </cell>
          <cell r="F37">
            <v>3.7689006226826693E-2</v>
          </cell>
          <cell r="G37">
            <v>9.8066332574935133E-2</v>
          </cell>
          <cell r="H37">
            <v>-3.2050558627694348E-2</v>
          </cell>
          <cell r="I37">
            <v>-7.4851346624693949E-2</v>
          </cell>
          <cell r="J37">
            <v>-3.4026465028356156E-3</v>
          </cell>
          <cell r="K37">
            <v>-4.8052604957005141E-3</v>
          </cell>
          <cell r="L37">
            <v>3.8119440914865521E-3</v>
          </cell>
          <cell r="M37">
            <v>2.4050632911392311E-2</v>
          </cell>
          <cell r="N37">
            <v>1.0000000000000009E-2</v>
          </cell>
          <cell r="O37">
            <v>0</v>
          </cell>
          <cell r="P37">
            <v>0</v>
          </cell>
          <cell r="Q37">
            <v>0</v>
          </cell>
          <cell r="AH37" t="str">
            <v>% Change</v>
          </cell>
          <cell r="AI37" t="str">
            <v>-</v>
          </cell>
          <cell r="AJ37" t="str">
            <v>-</v>
          </cell>
          <cell r="AK37" t="str">
            <v>-</v>
          </cell>
          <cell r="AL37" t="str">
            <v>-</v>
          </cell>
          <cell r="AN37">
            <v>5.9139784946236507E-2</v>
          </cell>
          <cell r="AO37">
            <v>-4.6549835706462317E-2</v>
          </cell>
          <cell r="AP37">
            <v>-6.0000000000000053E-2</v>
          </cell>
          <cell r="AQ37">
            <v>0.17041143935794745</v>
          </cell>
          <cell r="AS37">
            <v>0.14000000000000012</v>
          </cell>
          <cell r="AT37">
            <v>1.895462377943713E-2</v>
          </cell>
          <cell r="AU37">
            <v>9.6153846153848033E-3</v>
          </cell>
          <cell r="AV37">
            <v>8.2458238064935241E-3</v>
          </cell>
          <cell r="AX37">
            <v>0.27627126191112295</v>
          </cell>
          <cell r="AY37">
            <v>0.12908680947012408</v>
          </cell>
          <cell r="AZ37">
            <v>8.5106382978723305E-2</v>
          </cell>
          <cell r="BA37">
            <v>-4.0396039603960099E-2</v>
          </cell>
          <cell r="BC37">
            <v>-0.12080244221543834</v>
          </cell>
          <cell r="BD37">
            <v>-7.1392910634048956E-2</v>
          </cell>
          <cell r="BE37">
            <v>5.0420168067226934E-2</v>
          </cell>
          <cell r="BF37">
            <v>1.1555922410234842E-2</v>
          </cell>
          <cell r="BH37">
            <v>-0.19791666666666674</v>
          </cell>
          <cell r="BI37">
            <v>-2.4731182795698858E-2</v>
          </cell>
          <cell r="BJ37">
            <v>2.4000000000000021E-2</v>
          </cell>
          <cell r="BK37">
            <v>-0.10240718074255406</v>
          </cell>
          <cell r="BM37">
            <v>-6.1842918985776096E-2</v>
          </cell>
          <cell r="BN37">
            <v>4.57552370452039E-2</v>
          </cell>
          <cell r="BO37">
            <v>-5.5121527777777901E-2</v>
          </cell>
          <cell r="BP37">
            <v>5.3181818181818219E-2</v>
          </cell>
          <cell r="BR37">
            <v>2.1753460777851119E-2</v>
          </cell>
          <cell r="BS37">
            <v>-3.5318924617817604E-2</v>
          </cell>
          <cell r="BT37">
            <v>1.0564997703261358E-2</v>
          </cell>
          <cell r="BU37">
            <v>-1.1652999568407374E-2</v>
          </cell>
          <cell r="BW37">
            <v>0.13548387096774195</v>
          </cell>
          <cell r="BX37">
            <v>3.2786885245901676E-2</v>
          </cell>
          <cell r="BY37">
            <v>-4.5454545454545414E-2</v>
          </cell>
          <cell r="BZ37">
            <v>-6.1135371179039333E-2</v>
          </cell>
          <cell r="CB37">
            <v>-2.8409090909090939E-2</v>
          </cell>
          <cell r="CC37">
            <v>0</v>
          </cell>
          <cell r="CD37">
            <v>6.6666666666666652E-2</v>
          </cell>
          <cell r="CE37">
            <v>4.6511627906976827E-2</v>
          </cell>
          <cell r="CG37">
            <v>0.01</v>
          </cell>
          <cell r="CH37">
            <v>0.01</v>
          </cell>
          <cell r="CI37">
            <v>0.01</v>
          </cell>
          <cell r="CJ37">
            <v>0.01</v>
          </cell>
        </row>
        <row r="39">
          <cell r="A39" t="str">
            <v xml:space="preserve">Theme Parks </v>
          </cell>
          <cell r="B39">
            <v>377.31623174049719</v>
          </cell>
          <cell r="C39">
            <v>373.86395150983651</v>
          </cell>
          <cell r="D39">
            <v>407.42827258495367</v>
          </cell>
          <cell r="E39">
            <v>409.44504253424918</v>
          </cell>
          <cell r="F39">
            <v>3.6000000000001364E-2</v>
          </cell>
          <cell r="G39">
            <v>0</v>
          </cell>
          <cell r="H39">
            <v>0</v>
          </cell>
          <cell r="I39">
            <v>0</v>
          </cell>
          <cell r="J39">
            <v>0</v>
          </cell>
          <cell r="K39">
            <v>0</v>
          </cell>
          <cell r="L39">
            <v>0</v>
          </cell>
          <cell r="M39">
            <v>0</v>
          </cell>
          <cell r="N39">
            <v>0</v>
          </cell>
          <cell r="O39">
            <v>0</v>
          </cell>
          <cell r="P39">
            <v>0</v>
          </cell>
          <cell r="Q39">
            <v>0</v>
          </cell>
          <cell r="AH39" t="str">
            <v xml:space="preserve">Theme Parks </v>
          </cell>
          <cell r="AI39">
            <v>10</v>
          </cell>
          <cell r="AJ39">
            <v>150</v>
          </cell>
          <cell r="AK39">
            <v>220.7</v>
          </cell>
          <cell r="AL39">
            <v>26.728272584953714</v>
          </cell>
          <cell r="AM39">
            <v>0</v>
          </cell>
          <cell r="AN39">
            <v>10</v>
          </cell>
          <cell r="AO39">
            <v>145</v>
          </cell>
          <cell r="AP39">
            <v>228.58000000000004</v>
          </cell>
          <cell r="AQ39">
            <v>25.865042534249312</v>
          </cell>
          <cell r="AR39">
            <v>0</v>
          </cell>
          <cell r="AS39">
            <v>1.436000000000007</v>
          </cell>
          <cell r="AT39">
            <v>-1.4000000000000057</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B39">
            <v>0</v>
          </cell>
          <cell r="CC39">
            <v>0</v>
          </cell>
          <cell r="CD39">
            <v>0</v>
          </cell>
          <cell r="CE39">
            <v>0</v>
          </cell>
          <cell r="CG39">
            <v>0</v>
          </cell>
          <cell r="CH39">
            <v>0</v>
          </cell>
          <cell r="CI39">
            <v>0</v>
          </cell>
          <cell r="CJ39">
            <v>0</v>
          </cell>
        </row>
        <row r="40">
          <cell r="A40" t="str">
            <v>% Change</v>
          </cell>
          <cell r="B40" t="str">
            <v>-</v>
          </cell>
          <cell r="C40">
            <v>-9.1495672336593392E-3</v>
          </cell>
          <cell r="D40">
            <v>8.9776831758100251E-2</v>
          </cell>
          <cell r="E40">
            <v>4.9500000000000099E-3</v>
          </cell>
          <cell r="F40" t="str">
            <v>-</v>
          </cell>
          <cell r="G40" t="str">
            <v>-</v>
          </cell>
          <cell r="H40" t="str">
            <v>-</v>
          </cell>
          <cell r="I40" t="str">
            <v>-</v>
          </cell>
          <cell r="J40" t="str">
            <v>-</v>
          </cell>
          <cell r="K40" t="str">
            <v>-</v>
          </cell>
          <cell r="L40" t="str">
            <v>-</v>
          </cell>
          <cell r="M40" t="str">
            <v>-</v>
          </cell>
          <cell r="N40" t="str">
            <v>-</v>
          </cell>
          <cell r="O40" t="str">
            <v>-</v>
          </cell>
          <cell r="P40" t="str">
            <v>-</v>
          </cell>
          <cell r="Q40" t="str">
            <v>-</v>
          </cell>
          <cell r="AH40" t="str">
            <v>% Change</v>
          </cell>
          <cell r="AI40" t="str">
            <v>-</v>
          </cell>
          <cell r="AJ40" t="str">
            <v>-</v>
          </cell>
          <cell r="AK40" t="str">
            <v>-</v>
          </cell>
          <cell r="AL40" t="str">
            <v>-</v>
          </cell>
          <cell r="AN40">
            <v>0</v>
          </cell>
          <cell r="AO40">
            <v>-3.3333333333333326E-2</v>
          </cell>
          <cell r="AP40">
            <v>3.5704576347983963E-2</v>
          </cell>
          <cell r="AQ40">
            <v>-3.2296514784511121E-2</v>
          </cell>
          <cell r="AS40">
            <v>-0.85639999999999927</v>
          </cell>
          <cell r="AT40">
            <v>-1.0096551724137932</v>
          </cell>
          <cell r="AU40" t="str">
            <v>-</v>
          </cell>
          <cell r="AV40" t="str">
            <v>-</v>
          </cell>
          <cell r="AX40" t="str">
            <v>-</v>
          </cell>
          <cell r="AY40" t="str">
            <v>-</v>
          </cell>
          <cell r="AZ40" t="str">
            <v>-</v>
          </cell>
          <cell r="BA40" t="str">
            <v>-</v>
          </cell>
          <cell r="BC40" t="str">
            <v>-</v>
          </cell>
          <cell r="BD40" t="str">
            <v>-</v>
          </cell>
          <cell r="BE40" t="str">
            <v>-</v>
          </cell>
          <cell r="BF40" t="str">
            <v>-</v>
          </cell>
          <cell r="BH40" t="str">
            <v>-</v>
          </cell>
          <cell r="BI40" t="str">
            <v>-</v>
          </cell>
          <cell r="BJ40" t="str">
            <v>-</v>
          </cell>
          <cell r="BK40" t="str">
            <v>-</v>
          </cell>
          <cell r="BM40" t="str">
            <v>-</v>
          </cell>
          <cell r="BN40" t="str">
            <v>-</v>
          </cell>
          <cell r="BO40" t="str">
            <v>-</v>
          </cell>
          <cell r="BP40" t="str">
            <v>-</v>
          </cell>
          <cell r="BR40" t="str">
            <v>-</v>
          </cell>
          <cell r="BS40" t="str">
            <v>-</v>
          </cell>
          <cell r="BT40" t="str">
            <v>-</v>
          </cell>
          <cell r="BU40" t="str">
            <v>-</v>
          </cell>
          <cell r="BW40" t="str">
            <v>-</v>
          </cell>
          <cell r="BX40" t="str">
            <v>-</v>
          </cell>
          <cell r="BY40" t="str">
            <v>-</v>
          </cell>
          <cell r="BZ40" t="str">
            <v>-</v>
          </cell>
          <cell r="CB40" t="str">
            <v>-</v>
          </cell>
          <cell r="CC40" t="str">
            <v>-</v>
          </cell>
          <cell r="CD40" t="str">
            <v>-</v>
          </cell>
          <cell r="CE40" t="str">
            <v>-</v>
          </cell>
          <cell r="CG40" t="str">
            <v>-</v>
          </cell>
          <cell r="CH40" t="str">
            <v>-</v>
          </cell>
          <cell r="CI40" t="str">
            <v>-</v>
          </cell>
          <cell r="CJ40" t="str">
            <v>-</v>
          </cell>
        </row>
        <row r="42">
          <cell r="A42" t="str">
            <v>TOTAL CONTENT GROUP REVENUE</v>
          </cell>
          <cell r="B42">
            <v>7766.511129999999</v>
          </cell>
          <cell r="C42">
            <v>8074.4384627500003</v>
          </cell>
          <cell r="D42">
            <v>8769.5513327424997</v>
          </cell>
          <cell r="E42">
            <v>8721.4280465376341</v>
          </cell>
          <cell r="F42">
            <v>8441.7544812741689</v>
          </cell>
          <cell r="G42">
            <v>8485.098048056474</v>
          </cell>
          <cell r="H42">
            <v>9001</v>
          </cell>
          <cell r="I42">
            <v>9117.4</v>
          </cell>
          <cell r="J42">
            <v>9656.6</v>
          </cell>
          <cell r="K42">
            <v>9865</v>
          </cell>
          <cell r="L42">
            <v>10256</v>
          </cell>
          <cell r="M42">
            <v>11523</v>
          </cell>
          <cell r="N42">
            <v>12056.228878642276</v>
          </cell>
          <cell r="O42">
            <v>12377.585869927121</v>
          </cell>
          <cell r="P42">
            <v>13176.395180462536</v>
          </cell>
          <cell r="Q42">
            <v>13547.63320265824</v>
          </cell>
          <cell r="AH42" t="str">
            <v>TOTAL CONTENT GROUP REVENUE</v>
          </cell>
          <cell r="AI42">
            <v>2245.3687551904</v>
          </cell>
          <cell r="AJ42">
            <v>2152.2518860419473</v>
          </cell>
          <cell r="AK42">
            <v>2203.954484288588</v>
          </cell>
          <cell r="AL42">
            <v>2167.9762072215649</v>
          </cell>
          <cell r="AM42">
            <v>0</v>
          </cell>
          <cell r="AN42">
            <v>2164.2276432147996</v>
          </cell>
          <cell r="AO42">
            <v>2155.0163294606887</v>
          </cell>
          <cell r="AP42">
            <v>2147.3995900464356</v>
          </cell>
          <cell r="AQ42">
            <v>2254.7844838157089</v>
          </cell>
          <cell r="AR42">
            <v>0</v>
          </cell>
          <cell r="AS42">
            <v>2288.2917253084265</v>
          </cell>
          <cell r="AT42">
            <v>1966.942163199207</v>
          </cell>
          <cell r="AU42">
            <v>1893.7203889511211</v>
          </cell>
          <cell r="AV42">
            <v>2292.8002038154132</v>
          </cell>
          <cell r="AW42">
            <v>0</v>
          </cell>
          <cell r="AX42">
            <v>2364.6051165113813</v>
          </cell>
          <cell r="AY42">
            <v>1925.887064969897</v>
          </cell>
          <cell r="AZ42">
            <v>1870.5487772825873</v>
          </cell>
          <cell r="BA42">
            <v>2324.057089292608</v>
          </cell>
          <cell r="BB42">
            <v>0</v>
          </cell>
          <cell r="BC42">
            <v>2473</v>
          </cell>
          <cell r="BD42">
            <v>2055</v>
          </cell>
          <cell r="BE42">
            <v>2161.1999999999998</v>
          </cell>
          <cell r="BF42">
            <v>2311.8000000000002</v>
          </cell>
          <cell r="BG42">
            <v>0</v>
          </cell>
          <cell r="BH42">
            <v>2319.9</v>
          </cell>
          <cell r="BI42">
            <v>2025.3</v>
          </cell>
          <cell r="BJ42">
            <v>2389.8000000000002</v>
          </cell>
          <cell r="BK42">
            <v>2382.4</v>
          </cell>
          <cell r="BL42">
            <v>0</v>
          </cell>
          <cell r="BM42">
            <v>2601.1999999999998</v>
          </cell>
          <cell r="BN42">
            <v>2230.1999999999998</v>
          </cell>
          <cell r="BO42">
            <v>2204.6000000000004</v>
          </cell>
          <cell r="BP42">
            <v>2620.6</v>
          </cell>
          <cell r="BQ42">
            <v>0</v>
          </cell>
          <cell r="BR42">
            <v>2542</v>
          </cell>
          <cell r="BS42">
            <v>2432</v>
          </cell>
          <cell r="BT42">
            <v>2272</v>
          </cell>
          <cell r="BU42">
            <v>2619</v>
          </cell>
          <cell r="BV42">
            <v>0</v>
          </cell>
          <cell r="BW42">
            <v>2946</v>
          </cell>
          <cell r="BX42">
            <v>2342</v>
          </cell>
          <cell r="BY42">
            <v>2326</v>
          </cell>
          <cell r="BZ42">
            <v>2642</v>
          </cell>
          <cell r="CA42">
            <v>0</v>
          </cell>
          <cell r="CB42">
            <v>3188</v>
          </cell>
          <cell r="CC42">
            <v>2715</v>
          </cell>
          <cell r="CD42">
            <v>2704</v>
          </cell>
          <cell r="CE42">
            <v>2916</v>
          </cell>
          <cell r="CF42">
            <v>0</v>
          </cell>
          <cell r="CG42">
            <v>3037.1997155764943</v>
          </cell>
          <cell r="CH42">
            <v>2763.7461003464086</v>
          </cell>
          <cell r="CI42">
            <v>2987.3591121971226</v>
          </cell>
          <cell r="CJ42">
            <v>3267.9239505222499</v>
          </cell>
        </row>
        <row r="43">
          <cell r="A43" t="str">
            <v>% Change</v>
          </cell>
          <cell r="B43" t="str">
            <v>-</v>
          </cell>
          <cell r="C43">
            <v>3.9648090062030406E-2</v>
          </cell>
          <cell r="D43">
            <v>8.6088075746602044E-2</v>
          </cell>
          <cell r="E43">
            <v>-5.4875425639153708E-3</v>
          </cell>
          <cell r="F43">
            <v>-3.2067404990458459E-2</v>
          </cell>
          <cell r="G43">
            <v>5.1344263658048561E-3</v>
          </cell>
          <cell r="H43">
            <v>6.080094172414352E-2</v>
          </cell>
          <cell r="I43">
            <v>1.2931896455949277E-2</v>
          </cell>
          <cell r="J43">
            <v>5.9139667010331909E-2</v>
          </cell>
          <cell r="K43">
            <v>2.1581094795269484E-2</v>
          </cell>
          <cell r="L43">
            <v>3.9635073492144013E-2</v>
          </cell>
          <cell r="M43">
            <v>0.12353744149765999</v>
          </cell>
          <cell r="N43">
            <v>4.6275178221147018E-2</v>
          </cell>
          <cell r="O43">
            <v>2.6654851572545324E-2</v>
          </cell>
          <cell r="P43">
            <v>6.4536761766785355E-2</v>
          </cell>
          <cell r="Q43">
            <v>2.8174475424519896E-2</v>
          </cell>
          <cell r="AH43" t="str">
            <v>% Change</v>
          </cell>
          <cell r="AI43" t="str">
            <v>-</v>
          </cell>
          <cell r="AJ43" t="str">
            <v>-</v>
          </cell>
          <cell r="AK43" t="str">
            <v>-</v>
          </cell>
          <cell r="AL43" t="str">
            <v>-</v>
          </cell>
          <cell r="AN43">
            <v>-3.6137098544742119E-2</v>
          </cell>
          <cell r="AO43">
            <v>1.2844423260445215E-3</v>
          </cell>
          <cell r="AP43">
            <v>-2.5660645283429151E-2</v>
          </cell>
          <cell r="AQ43">
            <v>4.0041157419064E-2</v>
          </cell>
          <cell r="AS43">
            <v>5.7324876374529099E-2</v>
          </cell>
          <cell r="AT43">
            <v>-8.7272733709887418E-2</v>
          </cell>
          <cell r="AU43">
            <v>-0.11813320737843158</v>
          </cell>
          <cell r="AV43">
            <v>1.6860023772813593E-2</v>
          </cell>
          <cell r="AX43">
            <v>3.3349502757419991E-2</v>
          </cell>
          <cell r="AY43">
            <v>-2.0872549786890793E-2</v>
          </cell>
          <cell r="AZ43">
            <v>-1.223602586935657E-2</v>
          </cell>
          <cell r="BA43">
            <v>1.3632625043028535E-2</v>
          </cell>
          <cell r="BC43">
            <v>4.5840585699374214E-2</v>
          </cell>
          <cell r="BD43">
            <v>6.7040761308670538E-2</v>
          </cell>
          <cell r="BE43">
            <v>0.1553828621029878</v>
          </cell>
          <cell r="BF43">
            <v>-5.2740052510236168E-3</v>
          </cell>
          <cell r="BH43">
            <v>-6.1908613020622671E-2</v>
          </cell>
          <cell r="BI43">
            <v>-1.4452554744525559E-2</v>
          </cell>
          <cell r="BJ43">
            <v>0.10577456968350929</v>
          </cell>
          <cell r="BK43">
            <v>3.0538973959685078E-2</v>
          </cell>
          <cell r="BM43">
            <v>0.12125522651838438</v>
          </cell>
          <cell r="BN43">
            <v>0.10117019700785068</v>
          </cell>
          <cell r="BO43">
            <v>-7.7496024771947392E-2</v>
          </cell>
          <cell r="BP43">
            <v>9.9983210208193229E-2</v>
          </cell>
          <cell r="BR43">
            <v>-2.275872674150381E-2</v>
          </cell>
          <cell r="BS43">
            <v>9.0485158281768507E-2</v>
          </cell>
          <cell r="BT43">
            <v>3.0572439444797039E-2</v>
          </cell>
          <cell r="BU43">
            <v>-6.1054720293063358E-4</v>
          </cell>
          <cell r="BW43">
            <v>0.15892997639653816</v>
          </cell>
          <cell r="BX43">
            <v>-3.7006578947368474E-2</v>
          </cell>
          <cell r="BY43">
            <v>2.3767605633802757E-2</v>
          </cell>
          <cell r="BZ43">
            <v>8.7819778541426974E-3</v>
          </cell>
          <cell r="CB43">
            <v>8.2145281737949771E-2</v>
          </cell>
          <cell r="CC43">
            <v>0.15926558497011101</v>
          </cell>
          <cell r="CD43">
            <v>0.16251074806534827</v>
          </cell>
          <cell r="CE43">
            <v>0.10370931112793347</v>
          </cell>
          <cell r="CG43">
            <v>-4.7302473156683122E-2</v>
          </cell>
          <cell r="CH43">
            <v>1.7954364768474562E-2</v>
          </cell>
          <cell r="CI43">
            <v>0.10479257107881756</v>
          </cell>
          <cell r="CJ43">
            <v>0.12068722583067548</v>
          </cell>
        </row>
        <row r="45">
          <cell r="A45" t="str">
            <v>EBITDA</v>
          </cell>
          <cell r="AH45" t="str">
            <v>EBITDA</v>
          </cell>
        </row>
        <row r="46">
          <cell r="A46" t="str">
            <v xml:space="preserve">CBS Network </v>
          </cell>
          <cell r="B46">
            <v>308.95987930356449</v>
          </cell>
          <cell r="C46">
            <v>512.66356084176778</v>
          </cell>
          <cell r="D46">
            <v>422.37749527419942</v>
          </cell>
          <cell r="E46">
            <v>384.88010915557561</v>
          </cell>
          <cell r="F46">
            <v>395.0664049516692</v>
          </cell>
          <cell r="G46">
            <v>447.0567267300612</v>
          </cell>
          <cell r="H46">
            <v>190.04427766626947</v>
          </cell>
          <cell r="I46">
            <v>1.1257762598748968</v>
          </cell>
          <cell r="J46">
            <v>142.38019546748654</v>
          </cell>
          <cell r="K46">
            <v>494.47592190917794</v>
          </cell>
          <cell r="L46">
            <v>547.83361792395442</v>
          </cell>
          <cell r="M46">
            <v>632.11310152968326</v>
          </cell>
          <cell r="N46">
            <v>583.25866873276357</v>
          </cell>
          <cell r="O46">
            <v>734.80910981251134</v>
          </cell>
          <cell r="P46">
            <v>940.20666645605957</v>
          </cell>
          <cell r="Q46">
            <v>1053.1816235314711</v>
          </cell>
          <cell r="AH46" t="str">
            <v xml:space="preserve">CBS Network </v>
          </cell>
          <cell r="AI46">
            <v>53.885040216</v>
          </cell>
          <cell r="AJ46">
            <v>121.84471547273701</v>
          </cell>
          <cell r="AK46">
            <v>64.136884106880004</v>
          </cell>
          <cell r="AL46">
            <v>182.51085547858241</v>
          </cell>
          <cell r="AM46">
            <v>0</v>
          </cell>
          <cell r="AN46">
            <v>74.120064345599999</v>
          </cell>
          <cell r="AO46">
            <v>150.51883851398776</v>
          </cell>
          <cell r="AP46">
            <v>83.755225127808004</v>
          </cell>
          <cell r="AQ46">
            <v>76.485981168179876</v>
          </cell>
          <cell r="AR46">
            <v>0</v>
          </cell>
          <cell r="AS46">
            <v>75.157745246438395</v>
          </cell>
          <cell r="AT46">
            <v>116.28318112649251</v>
          </cell>
          <cell r="AU46">
            <v>85.011553504725114</v>
          </cell>
          <cell r="AV46">
            <v>118.6139250740132</v>
          </cell>
          <cell r="AW46">
            <v>0</v>
          </cell>
          <cell r="AX46">
            <v>84.678801615277436</v>
          </cell>
          <cell r="AY46">
            <v>107.88318112649252</v>
          </cell>
          <cell r="AZ46">
            <v>104.05414148978352</v>
          </cell>
          <cell r="BA46">
            <v>150.4406024985077</v>
          </cell>
          <cell r="BB46">
            <v>0</v>
          </cell>
          <cell r="BC46">
            <v>35.792612791485951</v>
          </cell>
          <cell r="BD46">
            <v>113.27734018281714</v>
          </cell>
          <cell r="BE46">
            <v>22.631775774027915</v>
          </cell>
          <cell r="BF46">
            <v>18.342548917938473</v>
          </cell>
          <cell r="BG46">
            <v>0</v>
          </cell>
          <cell r="BH46">
            <v>-43.619264121890872</v>
          </cell>
          <cell r="BI46">
            <v>0</v>
          </cell>
          <cell r="BJ46">
            <v>33.947663661041872</v>
          </cell>
          <cell r="BK46">
            <v>10.797376720723896</v>
          </cell>
          <cell r="BL46">
            <v>0</v>
          </cell>
          <cell r="BM46">
            <v>27.262040076181798</v>
          </cell>
          <cell r="BN46">
            <v>33.70886894090318</v>
          </cell>
          <cell r="BO46">
            <v>56.504000182489712</v>
          </cell>
          <cell r="BP46">
            <v>24.905286267911862</v>
          </cell>
          <cell r="BQ46">
            <v>0</v>
          </cell>
          <cell r="BR46">
            <v>119.13511513291446</v>
          </cell>
          <cell r="BS46">
            <v>138.8805400365211</v>
          </cell>
          <cell r="BT46">
            <v>154.90168050028251</v>
          </cell>
          <cell r="BU46">
            <v>81.558586239459885</v>
          </cell>
          <cell r="BV46">
            <v>0</v>
          </cell>
          <cell r="BW46">
            <v>142.86808412123449</v>
          </cell>
          <cell r="BX46">
            <v>128.69762044027189</v>
          </cell>
          <cell r="BY46">
            <v>126.53021480865181</v>
          </cell>
          <cell r="BZ46">
            <v>149.73769855379624</v>
          </cell>
          <cell r="CA46">
            <v>0</v>
          </cell>
          <cell r="CB46">
            <v>190.21864914427223</v>
          </cell>
          <cell r="CC46">
            <v>108.67799059400738</v>
          </cell>
          <cell r="CD46">
            <v>153.25972268697953</v>
          </cell>
          <cell r="CE46">
            <v>179.95673910442412</v>
          </cell>
          <cell r="CF46">
            <v>0</v>
          </cell>
          <cell r="CG46">
            <v>189.11492786871995</v>
          </cell>
          <cell r="CH46">
            <v>132.92835224591647</v>
          </cell>
          <cell r="CI46">
            <v>135.33478664463627</v>
          </cell>
          <cell r="CJ46">
            <v>125.8806019734909</v>
          </cell>
        </row>
        <row r="47">
          <cell r="A47" t="str">
            <v xml:space="preserve">% Change </v>
          </cell>
          <cell r="B47">
            <v>0.19197484299214707</v>
          </cell>
          <cell r="C47">
            <v>0.6593208218406148</v>
          </cell>
          <cell r="D47">
            <v>-0.17611172797091956</v>
          </cell>
          <cell r="E47">
            <v>-8.8776950803880372E-2</v>
          </cell>
          <cell r="F47">
            <v>2.6466152845472379E-2</v>
          </cell>
          <cell r="G47">
            <v>0.13159894419458995</v>
          </cell>
          <cell r="H47">
            <v>-0.57489896403902963</v>
          </cell>
          <cell r="I47">
            <v>-0.99407624226470093</v>
          </cell>
          <cell r="J47">
            <v>125.47290633336743</v>
          </cell>
          <cell r="K47">
            <v>2.4729262752142716</v>
          </cell>
          <cell r="L47">
            <v>0.10790757173526622</v>
          </cell>
          <cell r="M47">
            <v>0.15384138696181249</v>
          </cell>
          <cell r="N47">
            <v>-7.7287486493626378E-2</v>
          </cell>
          <cell r="O47">
            <v>0.25983401397019756</v>
          </cell>
          <cell r="P47">
            <v>0.27952505473966704</v>
          </cell>
          <cell r="Q47">
            <v>0.12015970648373564</v>
          </cell>
          <cell r="AH47" t="str">
            <v xml:space="preserve">% Change </v>
          </cell>
          <cell r="AI47" t="str">
            <v>-</v>
          </cell>
          <cell r="AJ47" t="str">
            <v>-</v>
          </cell>
          <cell r="AK47" t="str">
            <v>-</v>
          </cell>
          <cell r="AL47" t="str">
            <v>-</v>
          </cell>
          <cell r="AN47">
            <v>0.37552211241723543</v>
          </cell>
          <cell r="AO47">
            <v>0.23533333333333317</v>
          </cell>
          <cell r="AP47">
            <v>0.30588235294117649</v>
          </cell>
          <cell r="AQ47">
            <v>-0.58092366085503622</v>
          </cell>
          <cell r="AS47">
            <v>1.4000000000000012E-2</v>
          </cell>
          <cell r="AT47">
            <v>-0.22745098039215683</v>
          </cell>
          <cell r="AU47">
            <v>1.4999999999999902E-2</v>
          </cell>
          <cell r="AV47">
            <v>0.5507930115088806</v>
          </cell>
          <cell r="AX47">
            <v>0.12668097396509159</v>
          </cell>
          <cell r="AY47">
            <v>-7.2237445850939497E-2</v>
          </cell>
          <cell r="AZ47">
            <v>0.22399999999999975</v>
          </cell>
          <cell r="BA47">
            <v>0.26832159381485066</v>
          </cell>
          <cell r="BC47">
            <v>-0.57731318690475675</v>
          </cell>
          <cell r="BD47">
            <v>5.0000000000000044E-2</v>
          </cell>
          <cell r="BE47">
            <v>-0.78249999999999997</v>
          </cell>
          <cell r="BF47">
            <v>-0.87807447847651088</v>
          </cell>
          <cell r="BH47">
            <v>-2.2186666666666666</v>
          </cell>
          <cell r="BI47">
            <v>-1</v>
          </cell>
          <cell r="BJ47">
            <v>0.5</v>
          </cell>
          <cell r="BK47">
            <v>-0.41134807550305186</v>
          </cell>
          <cell r="BM47">
            <v>-1.625</v>
          </cell>
          <cell r="BN47" t="str">
            <v>NM</v>
          </cell>
          <cell r="BO47">
            <v>0.66444444444444506</v>
          </cell>
          <cell r="BP47">
            <v>1.3066052905341361</v>
          </cell>
          <cell r="BR47">
            <v>3.37</v>
          </cell>
          <cell r="BS47">
            <v>3.12</v>
          </cell>
          <cell r="BT47">
            <v>1.7414285714285715</v>
          </cell>
          <cell r="BU47">
            <v>2.2747500013497342</v>
          </cell>
          <cell r="BW47">
            <v>0.19921052631578906</v>
          </cell>
          <cell r="BX47">
            <v>-7.3321428571428537E-2</v>
          </cell>
          <cell r="BY47">
            <v>-0.18315789473684219</v>
          </cell>
          <cell r="BZ47">
            <v>0.83595260116646997</v>
          </cell>
          <cell r="CB47">
            <v>0.33142857142857163</v>
          </cell>
          <cell r="CC47">
            <v>-0.15555555555555545</v>
          </cell>
          <cell r="CD47">
            <v>0.21125000000000016</v>
          </cell>
          <cell r="CE47">
            <v>0.20181317625748796</v>
          </cell>
          <cell r="CG47">
            <v>-5.802382050958399E-3</v>
          </cell>
          <cell r="CH47">
            <v>0.22313958437547954</v>
          </cell>
          <cell r="CI47">
            <v>-0.11695790471286105</v>
          </cell>
          <cell r="CJ47">
            <v>-0.30049520456999546</v>
          </cell>
        </row>
        <row r="48">
          <cell r="A48" t="str">
            <v xml:space="preserve">% Margin </v>
          </cell>
          <cell r="B48">
            <v>8.7040759325998557E-2</v>
          </cell>
          <cell r="C48">
            <v>0.13575335833221167</v>
          </cell>
          <cell r="D48">
            <v>9.970415602552718E-2</v>
          </cell>
          <cell r="E48">
            <v>8.8699726056404526E-2</v>
          </cell>
          <cell r="F48">
            <v>9.2392969352686621E-2</v>
          </cell>
          <cell r="G48">
            <v>0.10214455755728333</v>
          </cell>
          <cell r="H48">
            <v>4.9144815881716403E-2</v>
          </cell>
          <cell r="I48">
            <v>2.9575413579969128E-4</v>
          </cell>
          <cell r="J48">
            <v>3.337339006034399E-2</v>
          </cell>
          <cell r="K48">
            <v>0.11742394203625015</v>
          </cell>
          <cell r="L48">
            <v>0.12627630401363971</v>
          </cell>
          <cell r="M48">
            <v>0.13009471603355624</v>
          </cell>
          <cell r="N48">
            <v>0.116791626730434</v>
          </cell>
          <cell r="O48">
            <v>0.14419496403133852</v>
          </cell>
          <cell r="P48">
            <v>0.16354026985834938</v>
          </cell>
          <cell r="Q48">
            <v>0.18163819522561778</v>
          </cell>
          <cell r="AH48" t="str">
            <v xml:space="preserve">% Margin </v>
          </cell>
          <cell r="AI48">
            <v>4.2000000000000003E-2</v>
          </cell>
          <cell r="AJ48">
            <v>0.13500000000000001</v>
          </cell>
          <cell r="AK48">
            <v>8.5000000000000006E-2</v>
          </cell>
          <cell r="AL48">
            <v>0.14080176304146369</v>
          </cell>
          <cell r="AN48">
            <v>0.06</v>
          </cell>
          <cell r="AO48">
            <v>0.15299999999999997</v>
          </cell>
          <cell r="AP48">
            <v>0.1</v>
          </cell>
          <cell r="AQ48">
            <v>5.963980336889748E-2</v>
          </cell>
          <cell r="AS48">
            <v>0.06</v>
          </cell>
          <cell r="AT48">
            <v>0.12</v>
          </cell>
          <cell r="AU48">
            <v>0.1</v>
          </cell>
          <cell r="AV48">
            <v>9.8503077369901687E-2</v>
          </cell>
          <cell r="AX48">
            <v>0.06</v>
          </cell>
          <cell r="AY48">
            <v>0.12000000000000001</v>
          </cell>
          <cell r="AZ48">
            <v>0.12</v>
          </cell>
          <cell r="BA48">
            <v>0.1254457221720926</v>
          </cell>
          <cell r="BC48">
            <v>3.0000000000000002E-2</v>
          </cell>
          <cell r="BD48">
            <v>0.12</v>
          </cell>
          <cell r="BE48">
            <v>2.9999999999999995E-2</v>
          </cell>
          <cell r="BF48">
            <v>1.8801908055385778E-2</v>
          </cell>
          <cell r="BH48">
            <v>-0.04</v>
          </cell>
          <cell r="BI48">
            <v>0</v>
          </cell>
          <cell r="BJ48">
            <v>4.4999999999999998E-2</v>
          </cell>
          <cell r="BK48">
            <v>1.0276881780711972E-2</v>
          </cell>
          <cell r="BM48">
            <v>0.02</v>
          </cell>
          <cell r="BN48">
            <v>3.5000000000000003E-2</v>
          </cell>
          <cell r="BO48">
            <v>7.0000000000000007E-2</v>
          </cell>
          <cell r="BP48">
            <v>2.1984307773892594E-2</v>
          </cell>
          <cell r="BR48">
            <v>9.5000000000000001E-2</v>
          </cell>
          <cell r="BS48">
            <v>0.14000000000000001</v>
          </cell>
          <cell r="BT48">
            <v>0.19</v>
          </cell>
          <cell r="BU48">
            <v>7.0938903108174856E-2</v>
          </cell>
          <cell r="BW48">
            <v>0.105</v>
          </cell>
          <cell r="BX48">
            <v>0.13500000000000001</v>
          </cell>
          <cell r="BY48">
            <v>0.16</v>
          </cell>
          <cell r="BZ48">
            <v>0.12138325896399164</v>
          </cell>
          <cell r="CB48">
            <v>0.12</v>
          </cell>
          <cell r="CC48">
            <v>0.1</v>
          </cell>
          <cell r="CD48">
            <v>0.17</v>
          </cell>
          <cell r="CE48">
            <v>0.14000000000000001</v>
          </cell>
          <cell r="CG48">
            <v>0.14002345458127771</v>
          </cell>
          <cell r="CH48">
            <v>0.12165299888522439</v>
          </cell>
          <cell r="CI48">
            <v>0.12529062399353225</v>
          </cell>
          <cell r="CJ48">
            <v>8.5600168017436515E-2</v>
          </cell>
        </row>
        <row r="49">
          <cell r="A49" t="str">
            <v xml:space="preserve">CW Network </v>
          </cell>
          <cell r="B49">
            <v>-115</v>
          </cell>
          <cell r="C49">
            <v>-110</v>
          </cell>
          <cell r="D49">
            <v>-50</v>
          </cell>
          <cell r="E49">
            <v>-75</v>
          </cell>
          <cell r="F49">
            <v>-40</v>
          </cell>
          <cell r="G49">
            <v>0</v>
          </cell>
          <cell r="H49">
            <v>0</v>
          </cell>
          <cell r="I49">
            <v>0</v>
          </cell>
          <cell r="J49">
            <v>0</v>
          </cell>
          <cell r="K49">
            <v>0</v>
          </cell>
          <cell r="L49">
            <v>0</v>
          </cell>
          <cell r="M49">
            <v>0</v>
          </cell>
          <cell r="N49">
            <v>0</v>
          </cell>
          <cell r="O49">
            <v>0</v>
          </cell>
          <cell r="P49">
            <v>0</v>
          </cell>
          <cell r="Q49">
            <v>0</v>
          </cell>
          <cell r="AH49" t="str">
            <v xml:space="preserve">CW Network </v>
          </cell>
          <cell r="AI49">
            <v>-10</v>
          </cell>
          <cell r="AJ49">
            <v>-10</v>
          </cell>
          <cell r="AK49">
            <v>-22</v>
          </cell>
          <cell r="AL49">
            <v>-8</v>
          </cell>
          <cell r="AM49">
            <v>0</v>
          </cell>
          <cell r="AN49">
            <v>-20</v>
          </cell>
          <cell r="AO49">
            <v>-16.25</v>
          </cell>
          <cell r="AP49">
            <v>-10</v>
          </cell>
          <cell r="AQ49">
            <v>-28.75</v>
          </cell>
          <cell r="AR49">
            <v>0</v>
          </cell>
          <cell r="AS49">
            <v>-8</v>
          </cell>
          <cell r="AT49">
            <v>-24</v>
          </cell>
          <cell r="AU49">
            <v>-8</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B49">
            <v>0</v>
          </cell>
          <cell r="CC49">
            <v>0</v>
          </cell>
          <cell r="CD49">
            <v>0</v>
          </cell>
          <cell r="CE49">
            <v>0</v>
          </cell>
          <cell r="CG49">
            <v>0</v>
          </cell>
          <cell r="CH49">
            <v>0</v>
          </cell>
          <cell r="CI49">
            <v>0</v>
          </cell>
          <cell r="CJ49">
            <v>0</v>
          </cell>
        </row>
        <row r="50">
          <cell r="A50" t="str">
            <v xml:space="preserve">% Change </v>
          </cell>
          <cell r="B50">
            <v>-0.1785714285714286</v>
          </cell>
          <cell r="C50">
            <v>-4.3478260869565188E-2</v>
          </cell>
          <cell r="D50">
            <v>-0.54545454545454541</v>
          </cell>
          <cell r="E50">
            <v>0.5</v>
          </cell>
          <cell r="F50">
            <v>-0.46666666666666667</v>
          </cell>
          <cell r="G50" t="str">
            <v>-</v>
          </cell>
          <cell r="H50" t="str">
            <v>-</v>
          </cell>
          <cell r="I50" t="str">
            <v>-</v>
          </cell>
          <cell r="J50" t="str">
            <v>-</v>
          </cell>
          <cell r="K50" t="str">
            <v>-</v>
          </cell>
          <cell r="L50" t="str">
            <v>-</v>
          </cell>
          <cell r="M50" t="str">
            <v>-</v>
          </cell>
          <cell r="N50" t="str">
            <v>-</v>
          </cell>
          <cell r="O50" t="str">
            <v>-</v>
          </cell>
          <cell r="P50" t="str">
            <v>-</v>
          </cell>
          <cell r="Q50" t="str">
            <v>-</v>
          </cell>
          <cell r="AH50" t="str">
            <v xml:space="preserve">% Change </v>
          </cell>
          <cell r="AI50" t="str">
            <v>-</v>
          </cell>
          <cell r="AJ50" t="str">
            <v>-</v>
          </cell>
          <cell r="AK50" t="str">
            <v>-</v>
          </cell>
          <cell r="AL50" t="str">
            <v>-</v>
          </cell>
          <cell r="AN50">
            <v>1</v>
          </cell>
          <cell r="AO50">
            <v>0.625</v>
          </cell>
          <cell r="AP50">
            <v>-0.54545454545454541</v>
          </cell>
          <cell r="AQ50">
            <v>2.59375</v>
          </cell>
          <cell r="AS50">
            <v>-0.6</v>
          </cell>
          <cell r="AT50">
            <v>0.47692307692307701</v>
          </cell>
          <cell r="AU50">
            <v>-0.19999999999999996</v>
          </cell>
          <cell r="AV50" t="str">
            <v>-</v>
          </cell>
          <cell r="AX50" t="str">
            <v>-</v>
          </cell>
          <cell r="AY50" t="str">
            <v>-</v>
          </cell>
          <cell r="AZ50" t="str">
            <v>-</v>
          </cell>
          <cell r="BA50" t="str">
            <v>-</v>
          </cell>
          <cell r="BC50" t="str">
            <v>-</v>
          </cell>
          <cell r="BD50" t="str">
            <v>-</v>
          </cell>
          <cell r="BE50" t="str">
            <v>-</v>
          </cell>
          <cell r="BF50" t="str">
            <v>-</v>
          </cell>
          <cell r="BH50" t="str">
            <v>-</v>
          </cell>
          <cell r="BI50" t="str">
            <v>-</v>
          </cell>
          <cell r="BJ50" t="str">
            <v>-</v>
          </cell>
          <cell r="BK50" t="str">
            <v>-</v>
          </cell>
          <cell r="BM50" t="str">
            <v>-</v>
          </cell>
          <cell r="BN50" t="str">
            <v>-</v>
          </cell>
          <cell r="BO50" t="str">
            <v>-</v>
          </cell>
          <cell r="BP50" t="str">
            <v>-</v>
          </cell>
          <cell r="BR50" t="str">
            <v>-</v>
          </cell>
          <cell r="BS50" t="str">
            <v>-</v>
          </cell>
          <cell r="BT50" t="str">
            <v>-</v>
          </cell>
          <cell r="BU50" t="str">
            <v>-</v>
          </cell>
          <cell r="BW50" t="str">
            <v>-</v>
          </cell>
          <cell r="BX50" t="str">
            <v>-</v>
          </cell>
          <cell r="BY50" t="str">
            <v>-</v>
          </cell>
          <cell r="BZ50" t="str">
            <v>-</v>
          </cell>
          <cell r="CB50" t="str">
            <v>-</v>
          </cell>
          <cell r="CC50" t="str">
            <v>-</v>
          </cell>
          <cell r="CD50" t="str">
            <v>-</v>
          </cell>
          <cell r="CE50" t="str">
            <v>-</v>
          </cell>
          <cell r="CG50" t="str">
            <v>-</v>
          </cell>
          <cell r="CH50" t="str">
            <v>-</v>
          </cell>
          <cell r="CI50" t="str">
            <v>-</v>
          </cell>
          <cell r="CJ50" t="str">
            <v>-</v>
          </cell>
        </row>
        <row r="51">
          <cell r="A51" t="str">
            <v xml:space="preserve">% Margin </v>
          </cell>
          <cell r="B51">
            <v>-0.51135942520255173</v>
          </cell>
          <cell r="C51">
            <v>-0.51486990180577297</v>
          </cell>
          <cell r="D51">
            <v>-0.21872128368979307</v>
          </cell>
          <cell r="E51">
            <v>-0.26246554042775166</v>
          </cell>
          <cell r="F51">
            <v>-0.23423530960772806</v>
          </cell>
          <cell r="G51" t="str">
            <v>-</v>
          </cell>
          <cell r="H51" t="str">
            <v>-</v>
          </cell>
          <cell r="I51" t="str">
            <v>-</v>
          </cell>
          <cell r="J51" t="str">
            <v>-</v>
          </cell>
          <cell r="K51" t="str">
            <v>-</v>
          </cell>
          <cell r="L51" t="str">
            <v>-</v>
          </cell>
          <cell r="M51" t="str">
            <v>-</v>
          </cell>
          <cell r="N51" t="str">
            <v>-</v>
          </cell>
          <cell r="O51" t="str">
            <v>-</v>
          </cell>
          <cell r="P51" t="str">
            <v>-</v>
          </cell>
          <cell r="Q51" t="str">
            <v>-</v>
          </cell>
          <cell r="AH51" t="str">
            <v xml:space="preserve">% Margin </v>
          </cell>
          <cell r="AI51">
            <v>-0.19173015940313159</v>
          </cell>
          <cell r="AJ51">
            <v>-0.19075257741743529</v>
          </cell>
          <cell r="AK51">
            <v>-0.45374775502436343</v>
          </cell>
          <cell r="AL51">
            <v>-0.1059100688201081</v>
          </cell>
          <cell r="AN51">
            <v>-0.31955026567188605</v>
          </cell>
          <cell r="AO51">
            <v>-0.26954168548115859</v>
          </cell>
          <cell r="AP51">
            <v>-0.1718741496304407</v>
          </cell>
          <cell r="AQ51">
            <v>-0.27460926880004427</v>
          </cell>
          <cell r="AS51">
            <v>-0.13177330543170557</v>
          </cell>
          <cell r="AT51">
            <v>-0.34616724824336093</v>
          </cell>
          <cell r="AU51">
            <v>-0.19642759957764652</v>
          </cell>
          <cell r="AV51" t="str">
            <v>-</v>
          </cell>
          <cell r="AX51" t="str">
            <v>-</v>
          </cell>
          <cell r="AY51" t="str">
            <v>-</v>
          </cell>
          <cell r="AZ51" t="str">
            <v>-</v>
          </cell>
          <cell r="BA51" t="str">
            <v>-</v>
          </cell>
          <cell r="BC51" t="str">
            <v>-</v>
          </cell>
          <cell r="BD51" t="str">
            <v>-</v>
          </cell>
          <cell r="BE51" t="str">
            <v>-</v>
          </cell>
          <cell r="BF51" t="str">
            <v>-</v>
          </cell>
          <cell r="BH51" t="str">
            <v>-</v>
          </cell>
          <cell r="BI51" t="str">
            <v>-</v>
          </cell>
          <cell r="BJ51" t="str">
            <v>-</v>
          </cell>
          <cell r="BK51" t="str">
            <v>-</v>
          </cell>
          <cell r="BM51" t="str">
            <v>-</v>
          </cell>
          <cell r="BN51" t="str">
            <v>-</v>
          </cell>
          <cell r="BO51" t="str">
            <v>-</v>
          </cell>
          <cell r="BP51" t="str">
            <v>-</v>
          </cell>
          <cell r="BR51" t="str">
            <v>-</v>
          </cell>
          <cell r="BS51" t="str">
            <v>-</v>
          </cell>
          <cell r="BT51" t="str">
            <v>-</v>
          </cell>
          <cell r="BU51" t="str">
            <v>-</v>
          </cell>
          <cell r="BW51" t="str">
            <v>-</v>
          </cell>
          <cell r="BX51" t="str">
            <v>-</v>
          </cell>
          <cell r="BY51" t="str">
            <v>-</v>
          </cell>
          <cell r="BZ51" t="str">
            <v>-</v>
          </cell>
          <cell r="CB51" t="str">
            <v>-</v>
          </cell>
          <cell r="CC51" t="str">
            <v>-</v>
          </cell>
          <cell r="CD51" t="str">
            <v>-</v>
          </cell>
          <cell r="CE51" t="str">
            <v>-</v>
          </cell>
          <cell r="CG51" t="str">
            <v>-</v>
          </cell>
          <cell r="CH51" t="str">
            <v>-</v>
          </cell>
          <cell r="CI51" t="str">
            <v>-</v>
          </cell>
          <cell r="CJ51" t="str">
            <v>-</v>
          </cell>
        </row>
        <row r="52">
          <cell r="A52" t="str">
            <v xml:space="preserve">Broadcast Network </v>
          </cell>
          <cell r="B52">
            <v>193.95987930356449</v>
          </cell>
          <cell r="C52">
            <v>402.66356084176778</v>
          </cell>
          <cell r="D52">
            <v>372.37749527419942</v>
          </cell>
          <cell r="E52">
            <v>309.88010915557561</v>
          </cell>
          <cell r="F52">
            <v>355.0664049516692</v>
          </cell>
          <cell r="G52">
            <v>447.0567267300612</v>
          </cell>
          <cell r="H52">
            <v>190.04427766626947</v>
          </cell>
          <cell r="I52">
            <v>1.1257762598748968</v>
          </cell>
          <cell r="J52">
            <v>142.38019546748654</v>
          </cell>
          <cell r="K52">
            <v>494.47592190917794</v>
          </cell>
          <cell r="L52">
            <v>547.83361792395442</v>
          </cell>
          <cell r="M52">
            <v>632.11310152968326</v>
          </cell>
          <cell r="N52">
            <v>583.25866873276357</v>
          </cell>
          <cell r="O52">
            <v>734.80910981251134</v>
          </cell>
          <cell r="P52">
            <v>940.20666645605957</v>
          </cell>
          <cell r="Q52">
            <v>1053.1816235314711</v>
          </cell>
          <cell r="AH52" t="str">
            <v xml:space="preserve">Broadcast Network </v>
          </cell>
          <cell r="AI52">
            <v>43.885040216</v>
          </cell>
          <cell r="AJ52">
            <v>111.84471547273701</v>
          </cell>
          <cell r="AK52">
            <v>42.136884106880004</v>
          </cell>
          <cell r="AL52">
            <v>174.51085547858241</v>
          </cell>
          <cell r="AM52">
            <v>0</v>
          </cell>
          <cell r="AN52">
            <v>54.120064345599999</v>
          </cell>
          <cell r="AO52">
            <v>134.26883851398776</v>
          </cell>
          <cell r="AP52">
            <v>73.755225127808004</v>
          </cell>
          <cell r="AQ52">
            <v>47.735981168179876</v>
          </cell>
          <cell r="AR52">
            <v>0</v>
          </cell>
          <cell r="AS52">
            <v>67.157745246438395</v>
          </cell>
          <cell r="AT52">
            <v>92.283181126492508</v>
          </cell>
          <cell r="AU52">
            <v>77.011553504725114</v>
          </cell>
          <cell r="AV52">
            <v>118.6139250740132</v>
          </cell>
          <cell r="AW52">
            <v>0</v>
          </cell>
          <cell r="AX52">
            <v>84.678801615277436</v>
          </cell>
          <cell r="AY52">
            <v>107.88318112649252</v>
          </cell>
          <cell r="AZ52">
            <v>104.05414148978352</v>
          </cell>
          <cell r="BA52">
            <v>150.4406024985077</v>
          </cell>
          <cell r="BB52">
            <v>0</v>
          </cell>
          <cell r="BC52">
            <v>35.792612791485951</v>
          </cell>
          <cell r="BD52">
            <v>113.27734018281714</v>
          </cell>
          <cell r="BE52">
            <v>22.631775774027915</v>
          </cell>
          <cell r="BF52">
            <v>18.342548917938473</v>
          </cell>
          <cell r="BG52">
            <v>0</v>
          </cell>
          <cell r="BH52">
            <v>-43.619264121890872</v>
          </cell>
          <cell r="BI52">
            <v>0</v>
          </cell>
          <cell r="BJ52">
            <v>33.947663661041872</v>
          </cell>
          <cell r="BK52">
            <v>10.797376720723896</v>
          </cell>
          <cell r="BL52">
            <v>0</v>
          </cell>
          <cell r="BM52">
            <v>27.262040076181798</v>
          </cell>
          <cell r="BN52">
            <v>33.70886894090318</v>
          </cell>
          <cell r="BO52">
            <v>56.504000182489712</v>
          </cell>
          <cell r="BP52">
            <v>24.905286267911862</v>
          </cell>
          <cell r="BQ52">
            <v>0</v>
          </cell>
          <cell r="BR52">
            <v>119.13511513291446</v>
          </cell>
          <cell r="BS52">
            <v>138.8805400365211</v>
          </cell>
          <cell r="BT52">
            <v>154.90168050028251</v>
          </cell>
          <cell r="BU52">
            <v>81.558586239459885</v>
          </cell>
          <cell r="BV52">
            <v>0</v>
          </cell>
          <cell r="BW52">
            <v>142.86808412123449</v>
          </cell>
          <cell r="BX52">
            <v>128.69762044027189</v>
          </cell>
          <cell r="BY52">
            <v>126.53021480865181</v>
          </cell>
          <cell r="BZ52">
            <v>149.73769855379624</v>
          </cell>
          <cell r="CA52">
            <v>0</v>
          </cell>
          <cell r="CB52">
            <v>190.21864914427223</v>
          </cell>
          <cell r="CC52">
            <v>108.67799059400738</v>
          </cell>
          <cell r="CD52">
            <v>153.25972268697953</v>
          </cell>
          <cell r="CE52">
            <v>179.95673910442412</v>
          </cell>
          <cell r="CF52">
            <v>0</v>
          </cell>
          <cell r="CG52">
            <v>189.11492786871995</v>
          </cell>
          <cell r="CH52">
            <v>132.92835224591647</v>
          </cell>
          <cell r="CI52">
            <v>135.33478664463627</v>
          </cell>
          <cell r="CJ52">
            <v>125.8806019734909</v>
          </cell>
        </row>
        <row r="53">
          <cell r="A53" t="str">
            <v xml:space="preserve">% Change </v>
          </cell>
          <cell r="B53">
            <v>0.62718019549970228</v>
          </cell>
          <cell r="C53">
            <v>1.0760147010174377</v>
          </cell>
          <cell r="D53">
            <v>-7.5214319130977203E-2</v>
          </cell>
          <cell r="E53">
            <v>-0.16783341343601865</v>
          </cell>
          <cell r="F53">
            <v>0.14581863908343906</v>
          </cell>
          <cell r="G53">
            <v>0.25907920460938438</v>
          </cell>
          <cell r="H53">
            <v>-0.57489896403902963</v>
          </cell>
          <cell r="I53">
            <v>-0.99407624226470093</v>
          </cell>
          <cell r="J53">
            <v>125.47290633336743</v>
          </cell>
          <cell r="K53">
            <v>2.4729262752142716</v>
          </cell>
          <cell r="L53">
            <v>0.10790757173526622</v>
          </cell>
          <cell r="M53">
            <v>0.15384138696181249</v>
          </cell>
          <cell r="N53">
            <v>-7.7287486493626378E-2</v>
          </cell>
          <cell r="O53">
            <v>0.25983401397019756</v>
          </cell>
          <cell r="P53">
            <v>0.27952505473966704</v>
          </cell>
          <cell r="Q53">
            <v>0.12015970648373564</v>
          </cell>
          <cell r="AH53" t="str">
            <v xml:space="preserve">% Change </v>
          </cell>
          <cell r="AI53" t="str">
            <v>-</v>
          </cell>
          <cell r="AJ53" t="str">
            <v>-</v>
          </cell>
          <cell r="AK53" t="str">
            <v>-</v>
          </cell>
          <cell r="AL53" t="str">
            <v>-</v>
          </cell>
          <cell r="AN53">
            <v>0.23322353310430421</v>
          </cell>
          <cell r="AO53">
            <v>0.20049336212685698</v>
          </cell>
          <cell r="AP53">
            <v>0.75037207166833286</v>
          </cell>
          <cell r="AQ53">
            <v>-0.72645838542669638</v>
          </cell>
          <cell r="AS53">
            <v>0.2409029083480454</v>
          </cell>
          <cell r="AT53">
            <v>-0.31269844777216349</v>
          </cell>
          <cell r="AU53">
            <v>4.4150477085173723E-2</v>
          </cell>
          <cell r="AV53">
            <v>1.4847907630959001</v>
          </cell>
          <cell r="AX53">
            <v>0.26089405331499327</v>
          </cell>
          <cell r="AY53">
            <v>0.16904488780698945</v>
          </cell>
          <cell r="AZ53">
            <v>0.35114975291855632</v>
          </cell>
          <cell r="BA53">
            <v>0.26832159381485066</v>
          </cell>
          <cell r="BC53">
            <v>-0.57731318690475675</v>
          </cell>
          <cell r="BD53">
            <v>5.0000000000000044E-2</v>
          </cell>
          <cell r="BE53">
            <v>-0.78249999999999997</v>
          </cell>
          <cell r="BF53">
            <v>-0.87807447847651088</v>
          </cell>
          <cell r="BH53">
            <v>-2.2186666666666666</v>
          </cell>
          <cell r="BI53">
            <v>-1</v>
          </cell>
          <cell r="BJ53">
            <v>0.5</v>
          </cell>
          <cell r="BK53">
            <v>-0.41134807550305186</v>
          </cell>
          <cell r="BM53">
            <v>1.625</v>
          </cell>
          <cell r="BN53" t="str">
            <v>NM</v>
          </cell>
          <cell r="BO53">
            <v>0.66444444444444506</v>
          </cell>
          <cell r="BP53">
            <v>1.3066052905341361</v>
          </cell>
          <cell r="BR53">
            <v>3.37</v>
          </cell>
          <cell r="BS53">
            <v>3.12</v>
          </cell>
          <cell r="BT53">
            <v>1.7414285714285715</v>
          </cell>
          <cell r="BU53">
            <v>2.2747500013497342</v>
          </cell>
          <cell r="BW53">
            <v>0.19921052631578906</v>
          </cell>
          <cell r="BX53">
            <v>-7.3321428571428537E-2</v>
          </cell>
          <cell r="BY53">
            <v>-0.18315789473684219</v>
          </cell>
          <cell r="BZ53">
            <v>0.83595260116646997</v>
          </cell>
          <cell r="CB53">
            <v>0.33142857142857163</v>
          </cell>
          <cell r="CC53">
            <v>-0.15555555555555545</v>
          </cell>
          <cell r="CD53">
            <v>0.21125000000000016</v>
          </cell>
          <cell r="CE53">
            <v>0.20181317625748796</v>
          </cell>
          <cell r="CG53">
            <v>-5.802382050958399E-3</v>
          </cell>
          <cell r="CH53">
            <v>0.22313958437547954</v>
          </cell>
          <cell r="CI53">
            <v>-0.11695790471286105</v>
          </cell>
          <cell r="CJ53">
            <v>-0.30049520456999546</v>
          </cell>
        </row>
        <row r="54">
          <cell r="A54" t="str">
            <v xml:space="preserve">% Margin </v>
          </cell>
          <cell r="B54">
            <v>5.1387032746387444E-2</v>
          </cell>
          <cell r="C54">
            <v>0.1009161640636209</v>
          </cell>
          <cell r="D54">
            <v>8.3400910126997893E-2</v>
          </cell>
          <cell r="E54">
            <v>6.7002740842550063E-2</v>
          </cell>
          <cell r="F54">
            <v>7.9849341347815239E-2</v>
          </cell>
          <cell r="G54">
            <v>0.10214455755728333</v>
          </cell>
          <cell r="H54">
            <v>4.9144815881716403E-2</v>
          </cell>
          <cell r="I54">
            <v>2.9575413579969128E-4</v>
          </cell>
          <cell r="J54">
            <v>3.337339006034399E-2</v>
          </cell>
          <cell r="K54">
            <v>0.11742394203625015</v>
          </cell>
          <cell r="L54">
            <v>0.12627630401363971</v>
          </cell>
          <cell r="M54">
            <v>0.13009471603355624</v>
          </cell>
          <cell r="N54">
            <v>0.116791626730434</v>
          </cell>
          <cell r="O54">
            <v>0.14419496403133852</v>
          </cell>
          <cell r="P54">
            <v>0.16354026985834938</v>
          </cell>
          <cell r="Q54">
            <v>0.18163819522561778</v>
          </cell>
          <cell r="AH54" t="str">
            <v xml:space="preserve">% Margin </v>
          </cell>
          <cell r="AI54">
            <v>3.286939538563019E-2</v>
          </cell>
          <cell r="AJ54">
            <v>0.11711765944603979</v>
          </cell>
          <cell r="AK54">
            <v>5.2471930468169933E-2</v>
          </cell>
          <cell r="AL54">
            <v>0.12721662270355433</v>
          </cell>
          <cell r="AN54">
            <v>4.1697458703937144E-2</v>
          </cell>
          <cell r="AO54">
            <v>0.12860127990589221</v>
          </cell>
          <cell r="AP54">
            <v>8.234051147520921E-2</v>
          </cell>
          <cell r="AQ54">
            <v>3.4412754436244669E-2</v>
          </cell>
          <cell r="AS54">
            <v>5.1135102386740176E-2</v>
          </cell>
          <cell r="AT54">
            <v>8.887421864121299E-2</v>
          </cell>
          <cell r="AU54">
            <v>8.6447951774514545E-2</v>
          </cell>
          <cell r="AV54">
            <v>9.8503077369901687E-2</v>
          </cell>
          <cell r="AX54">
            <v>0.06</v>
          </cell>
          <cell r="AY54">
            <v>0.12000000000000001</v>
          </cell>
          <cell r="AZ54">
            <v>0.12</v>
          </cell>
          <cell r="BA54">
            <v>0.1254457221720926</v>
          </cell>
          <cell r="BC54">
            <v>3.0000000000000002E-2</v>
          </cell>
          <cell r="BD54">
            <v>0.12</v>
          </cell>
          <cell r="BE54">
            <v>2.9999999999999995E-2</v>
          </cell>
          <cell r="BF54">
            <v>1.8801908055385778E-2</v>
          </cell>
          <cell r="BH54">
            <v>-0.04</v>
          </cell>
          <cell r="BI54">
            <v>0</v>
          </cell>
          <cell r="BJ54">
            <v>4.4999999999999998E-2</v>
          </cell>
          <cell r="BK54">
            <v>1.0276881780711972E-2</v>
          </cell>
          <cell r="BM54">
            <v>0.02</v>
          </cell>
          <cell r="BN54">
            <v>3.5000000000000003E-2</v>
          </cell>
          <cell r="BO54">
            <v>7.0000000000000007E-2</v>
          </cell>
          <cell r="BP54">
            <v>2.1984307773892594E-2</v>
          </cell>
          <cell r="BR54">
            <v>9.5000000000000001E-2</v>
          </cell>
          <cell r="BS54">
            <v>0.14000000000000001</v>
          </cell>
          <cell r="BT54">
            <v>0.19000000000000003</v>
          </cell>
          <cell r="BU54">
            <v>7.0938903108174856E-2</v>
          </cell>
          <cell r="BW54">
            <v>0.10499999999999998</v>
          </cell>
          <cell r="BX54">
            <v>0.13500000000000001</v>
          </cell>
          <cell r="BY54">
            <v>0.16</v>
          </cell>
          <cell r="BZ54">
            <v>0.12138325896399164</v>
          </cell>
          <cell r="CB54">
            <v>0.12</v>
          </cell>
          <cell r="CC54">
            <v>0.1</v>
          </cell>
          <cell r="CD54">
            <v>0.17</v>
          </cell>
          <cell r="CE54">
            <v>0.14000000000000001</v>
          </cell>
          <cell r="CG54">
            <v>0.14002345458127771</v>
          </cell>
          <cell r="CH54">
            <v>0.12165299888522439</v>
          </cell>
          <cell r="CI54">
            <v>0.12529062399353225</v>
          </cell>
          <cell r="CJ54">
            <v>8.5600168017436515E-2</v>
          </cell>
        </row>
        <row r="56">
          <cell r="A56" t="str">
            <v xml:space="preserve">TV Prod. &amp; Synd. </v>
          </cell>
          <cell r="B56">
            <v>435.11103357066918</v>
          </cell>
          <cell r="C56">
            <v>324.09170374774101</v>
          </cell>
          <cell r="D56">
            <v>590.49754957885534</v>
          </cell>
          <cell r="E56">
            <v>572.87913798141744</v>
          </cell>
          <cell r="F56">
            <v>609.99311275266916</v>
          </cell>
          <cell r="G56">
            <v>589.59428930934803</v>
          </cell>
          <cell r="H56">
            <v>793.45572233373059</v>
          </cell>
          <cell r="I56">
            <v>834.1305693001251</v>
          </cell>
          <cell r="J56">
            <v>754.2911814706415</v>
          </cell>
          <cell r="K56">
            <v>880.18587219333972</v>
          </cell>
          <cell r="L56">
            <v>943.99786680749037</v>
          </cell>
          <cell r="M56">
            <v>1002.6893005931881</v>
          </cell>
          <cell r="N56">
            <v>1059.6293548089036</v>
          </cell>
          <cell r="O56">
            <v>1102.1904708344562</v>
          </cell>
          <cell r="P56">
            <v>1125.7868764243347</v>
          </cell>
          <cell r="Q56">
            <v>1187.1066108436664</v>
          </cell>
          <cell r="AH56" t="str">
            <v xml:space="preserve">TV Prod. &amp; Synd. </v>
          </cell>
          <cell r="AI56">
            <v>142.87747452541601</v>
          </cell>
          <cell r="AJ56">
            <v>268.2287045297947</v>
          </cell>
          <cell r="AK56">
            <v>229.45499669718947</v>
          </cell>
          <cell r="AL56">
            <v>-50.063626173544719</v>
          </cell>
          <cell r="AM56">
            <v>0</v>
          </cell>
          <cell r="AN56">
            <v>134.65520375462472</v>
          </cell>
          <cell r="AO56">
            <v>169.08829924629106</v>
          </cell>
          <cell r="AP56">
            <v>123.81541600937942</v>
          </cell>
          <cell r="AQ56">
            <v>145.3202189711223</v>
          </cell>
          <cell r="AR56">
            <v>0</v>
          </cell>
          <cell r="AS56">
            <v>126.04447142835411</v>
          </cell>
          <cell r="AT56">
            <v>170.24587789981186</v>
          </cell>
          <cell r="AU56">
            <v>138.99391122032512</v>
          </cell>
          <cell r="AV56">
            <v>174.70885220417807</v>
          </cell>
          <cell r="AW56">
            <v>0</v>
          </cell>
          <cell r="AX56">
            <v>85.538984005518074</v>
          </cell>
          <cell r="AY56">
            <v>222.13351010348902</v>
          </cell>
          <cell r="AZ56">
            <v>161.68581403299095</v>
          </cell>
          <cell r="BA56">
            <v>120.23598116735002</v>
          </cell>
          <cell r="BB56">
            <v>0</v>
          </cell>
          <cell r="BC56">
            <v>257.60738720851401</v>
          </cell>
          <cell r="BD56">
            <v>195.22265981718286</v>
          </cell>
          <cell r="BE56">
            <v>236.56822422597207</v>
          </cell>
          <cell r="BF56">
            <v>104.05745108206152</v>
          </cell>
          <cell r="BG56">
            <v>0</v>
          </cell>
          <cell r="BH56">
            <v>186.51926412189087</v>
          </cell>
          <cell r="BI56">
            <v>203.8</v>
          </cell>
          <cell r="BJ56">
            <v>286.4523363389581</v>
          </cell>
          <cell r="BK56">
            <v>157.35896883927612</v>
          </cell>
          <cell r="BL56">
            <v>0</v>
          </cell>
          <cell r="BM56">
            <v>147.7230845788182</v>
          </cell>
          <cell r="BN56">
            <v>200.77331105909678</v>
          </cell>
          <cell r="BO56">
            <v>213.98757277996694</v>
          </cell>
          <cell r="BP56">
            <v>191.80721305275955</v>
          </cell>
          <cell r="BQ56">
            <v>0</v>
          </cell>
          <cell r="BR56">
            <v>161.51238596678553</v>
          </cell>
          <cell r="BS56">
            <v>308.17587337553095</v>
          </cell>
          <cell r="BT56">
            <v>252.15470797439809</v>
          </cell>
          <cell r="BU56">
            <v>158.3429048766252</v>
          </cell>
          <cell r="BV56">
            <v>0</v>
          </cell>
          <cell r="BW56">
            <v>269.22471078116598</v>
          </cell>
          <cell r="BX56">
            <v>294.31425505196387</v>
          </cell>
          <cell r="BY56">
            <v>277.35766459778392</v>
          </cell>
          <cell r="BZ56">
            <v>103.10123637657657</v>
          </cell>
          <cell r="CA56">
            <v>0</v>
          </cell>
          <cell r="CB56">
            <v>280.4373430573346</v>
          </cell>
          <cell r="CC56">
            <v>310.8613715598201</v>
          </cell>
          <cell r="CD56">
            <v>268.4416588337325</v>
          </cell>
          <cell r="CE56">
            <v>142.94892714230087</v>
          </cell>
          <cell r="CF56">
            <v>0</v>
          </cell>
          <cell r="CG56">
            <v>250.64231359804262</v>
          </cell>
          <cell r="CH56">
            <v>325.85172379547015</v>
          </cell>
          <cell r="CI56">
            <v>321.53568344576911</v>
          </cell>
          <cell r="CJ56">
            <v>161.59963396962164</v>
          </cell>
        </row>
        <row r="57">
          <cell r="A57" t="str">
            <v xml:space="preserve">% Change </v>
          </cell>
          <cell r="B57">
            <v>-0.24143849048401811</v>
          </cell>
          <cell r="C57">
            <v>-0.25515172279559495</v>
          </cell>
          <cell r="D57">
            <v>0.82200760695334907</v>
          </cell>
          <cell r="E57">
            <v>-2.9836553276137101E-2</v>
          </cell>
          <cell r="F57">
            <v>6.4784999680780109E-2</v>
          </cell>
          <cell r="G57">
            <v>-3.3441071738120054E-2</v>
          </cell>
          <cell r="H57">
            <v>0.34576561666359806</v>
          </cell>
          <cell r="I57">
            <v>5.1262907080385833E-2</v>
          </cell>
          <cell r="J57">
            <v>-9.5715695801045442E-2</v>
          </cell>
          <cell r="K57">
            <v>0.16690463022150315</v>
          </cell>
          <cell r="L57">
            <v>7.2498317264667378E-2</v>
          </cell>
          <cell r="M57">
            <v>6.2173269505562123E-2</v>
          </cell>
          <cell r="N57">
            <v>5.6787335999326949E-2</v>
          </cell>
          <cell r="O57">
            <v>4.0166040920250001E-2</v>
          </cell>
          <cell r="P57">
            <v>2.1408645977508689E-2</v>
          </cell>
          <cell r="Q57">
            <v>5.446833295311837E-2</v>
          </cell>
          <cell r="AH57" t="str">
            <v xml:space="preserve">% Change </v>
          </cell>
          <cell r="AI57" t="str">
            <v>-</v>
          </cell>
          <cell r="AJ57" t="str">
            <v>-</v>
          </cell>
          <cell r="AK57" t="str">
            <v>-</v>
          </cell>
          <cell r="AL57" t="str">
            <v>-</v>
          </cell>
          <cell r="AN57">
            <v>-5.7547705109587843E-2</v>
          </cell>
          <cell r="AO57">
            <v>-0.36961146815847656</v>
          </cell>
          <cell r="AP57">
            <v>-0.46039346367872758</v>
          </cell>
          <cell r="AQ57">
            <v>-3.9027106120394115</v>
          </cell>
          <cell r="AS57">
            <v>-6.394652479945373E-2</v>
          </cell>
          <cell r="AT57">
            <v>6.8460009278032974E-3</v>
          </cell>
          <cell r="AU57">
            <v>0.12258970409464909</v>
          </cell>
          <cell r="AV57">
            <v>0.2022336151234112</v>
          </cell>
          <cell r="AX57">
            <v>-0.32135869954328045</v>
          </cell>
          <cell r="AY57">
            <v>0.30478054942518229</v>
          </cell>
          <cell r="AZ57">
            <v>0.16325825076391975</v>
          </cell>
          <cell r="BA57">
            <v>-0.31179227812204335</v>
          </cell>
          <cell r="BC57">
            <v>2.0115787579601823</v>
          </cell>
          <cell r="BD57">
            <v>-0.12114718879546249</v>
          </cell>
          <cell r="BE57">
            <v>0.46313531363797855</v>
          </cell>
          <cell r="BF57">
            <v>-0.13455647742226573</v>
          </cell>
          <cell r="BH57">
            <v>-0.27595529715567746</v>
          </cell>
          <cell r="BI57">
            <v>4.3936191581701811E-2</v>
          </cell>
          <cell r="BJ57">
            <v>0.21086564891038062</v>
          </cell>
          <cell r="BK57">
            <v>0.51223162976748382</v>
          </cell>
          <cell r="BM57">
            <v>-0.20800092540424808</v>
          </cell>
          <cell r="BN57">
            <v>-1.4851270563803864E-2</v>
          </cell>
          <cell r="BO57">
            <v>-0.25297319786299055</v>
          </cell>
          <cell r="BP57">
            <v>0.21891503526988854</v>
          </cell>
          <cell r="BR57">
            <v>9.3345609640380856E-2</v>
          </cell>
          <cell r="BS57">
            <v>0.53494441940453274</v>
          </cell>
          <cell r="BT57">
            <v>0.17836145668924686</v>
          </cell>
          <cell r="BU57">
            <v>-0.1744684552969834</v>
          </cell>
          <cell r="BW57">
            <v>0.66689823303415952</v>
          </cell>
          <cell r="BX57">
            <v>-4.4979570177694828E-2</v>
          </cell>
          <cell r="BY57">
            <v>9.9950371047383912E-2</v>
          </cell>
          <cell r="BZ57">
            <v>-0.34887365836246875</v>
          </cell>
          <cell r="CB57">
            <v>4.164785707684393E-2</v>
          </cell>
          <cell r="CC57">
            <v>5.6222613155229917E-2</v>
          </cell>
          <cell r="CD57">
            <v>-3.2146238961815454E-2</v>
          </cell>
          <cell r="CE57">
            <v>0.38649091093515975</v>
          </cell>
          <cell r="CG57">
            <v>-0.1062448714371127</v>
          </cell>
          <cell r="CH57">
            <v>4.8221984482769376E-2</v>
          </cell>
          <cell r="CI57">
            <v>0.19778608447998747</v>
          </cell>
          <cell r="CJ57">
            <v>0.1304711214009644</v>
          </cell>
        </row>
        <row r="58">
          <cell r="A58" t="str">
            <v xml:space="preserve">% Margin </v>
          </cell>
          <cell r="B58">
            <v>0.22738358926903951</v>
          </cell>
          <cell r="C58">
            <v>0.16354410452283472</v>
          </cell>
          <cell r="D58">
            <v>0.27672973318134197</v>
          </cell>
          <cell r="E58">
            <v>0.30800848107962375</v>
          </cell>
          <cell r="F58">
            <v>0.30095589305796883</v>
          </cell>
          <cell r="G58">
            <v>0.32387570608646465</v>
          </cell>
          <cell r="H58">
            <v>0.30634480054447744</v>
          </cell>
          <cell r="I58">
            <v>0.31851915518466539</v>
          </cell>
          <cell r="J58">
            <v>0.30957795343161287</v>
          </cell>
          <cell r="K58">
            <v>0.34320293714553624</v>
          </cell>
          <cell r="L58">
            <v>0.3560875301756517</v>
          </cell>
          <cell r="M58">
            <v>0.33262871292499469</v>
          </cell>
          <cell r="N58">
            <v>0.33075088030185418</v>
          </cell>
          <cell r="O58">
            <v>0.33225088030185423</v>
          </cell>
          <cell r="P58">
            <v>0.33375088030185418</v>
          </cell>
          <cell r="Q58">
            <v>0.33525088030185418</v>
          </cell>
          <cell r="AH58" t="str">
            <v xml:space="preserve">% Margin </v>
          </cell>
          <cell r="AI58">
            <v>0.28212402866273001</v>
          </cell>
          <cell r="AJ58">
            <v>0.4293895486059397</v>
          </cell>
          <cell r="AK58">
            <v>0.3177088558573975</v>
          </cell>
          <cell r="AL58">
            <v>-0.1784705445669528</v>
          </cell>
          <cell r="AN58">
            <v>0.3000972157641239</v>
          </cell>
          <cell r="AO58">
            <v>0.31936862847257275</v>
          </cell>
          <cell r="AP58">
            <v>0.22073829336485776</v>
          </cell>
          <cell r="AQ58">
            <v>0.45288001274660461</v>
          </cell>
          <cell r="AS58">
            <v>0.2372144959522052</v>
          </cell>
          <cell r="AT58">
            <v>0.37721682816216623</v>
          </cell>
          <cell r="AU58">
            <v>0.27103410917498466</v>
          </cell>
          <cell r="AV58">
            <v>0.32880135802568211</v>
          </cell>
          <cell r="AX58">
            <v>0.21450881414608519</v>
          </cell>
          <cell r="AY58">
            <v>0.46575377356906883</v>
          </cell>
          <cell r="AZ58">
            <v>0.36469178885447506</v>
          </cell>
          <cell r="BA58">
            <v>0.23980793113389806</v>
          </cell>
          <cell r="BC58">
            <v>0.3638970058029164</v>
          </cell>
          <cell r="BD58">
            <v>0.34194268805139133</v>
          </cell>
          <cell r="BE58">
            <v>0.32535523649589632</v>
          </cell>
          <cell r="BF58">
            <v>0.1781404496122638</v>
          </cell>
          <cell r="BH58">
            <v>0.31426029096912145</v>
          </cell>
          <cell r="BI58">
            <v>0.42621592737009439</v>
          </cell>
          <cell r="BJ58">
            <v>0.30070343147349404</v>
          </cell>
          <cell r="BK58">
            <v>0.26469594880069719</v>
          </cell>
          <cell r="BM58">
            <v>0.25901549808906549</v>
          </cell>
          <cell r="BN58">
            <v>0.37349737361021446</v>
          </cell>
          <cell r="BO58">
            <v>0.32816033642090836</v>
          </cell>
          <cell r="BP58">
            <v>0.28350470731564048</v>
          </cell>
          <cell r="BR58">
            <v>0.27330898360374473</v>
          </cell>
          <cell r="BS58">
            <v>0.45042126506496616</v>
          </cell>
          <cell r="BT58">
            <v>0.38006762767895186</v>
          </cell>
          <cell r="BU58">
            <v>0.25293227436326299</v>
          </cell>
          <cell r="BW58">
            <v>0.33494106585801492</v>
          </cell>
          <cell r="BX58">
            <v>0.50011694801283546</v>
          </cell>
          <cell r="BY58">
            <v>0.37974751986402339</v>
          </cell>
          <cell r="BZ58">
            <v>0.19513237921526397</v>
          </cell>
          <cell r="CB58">
            <v>0.35084163631118176</v>
          </cell>
          <cell r="CC58">
            <v>0.42383383137736014</v>
          </cell>
          <cell r="CD58">
            <v>0.33172000316531186</v>
          </cell>
          <cell r="CE58">
            <v>0.21258880501661445</v>
          </cell>
          <cell r="CG58">
            <v>0.31834163631118173</v>
          </cell>
          <cell r="CH58">
            <v>0.45333871409929788</v>
          </cell>
          <cell r="CI58">
            <v>0.33672000316531187</v>
          </cell>
          <cell r="CJ58">
            <v>0.21758880501661446</v>
          </cell>
        </row>
        <row r="59">
          <cell r="BW59">
            <v>0.30482896399280363</v>
          </cell>
          <cell r="BX59">
            <v>0.49874041572807243</v>
          </cell>
          <cell r="BY59">
            <v>0.34069401664518861</v>
          </cell>
          <cell r="BZ59">
            <v>0.12919383980666824</v>
          </cell>
          <cell r="CB59">
            <v>0.39197768676974565</v>
          </cell>
          <cell r="CC59">
            <v>0.50937096553222871</v>
          </cell>
          <cell r="CD59">
            <v>0.36309213116030237</v>
          </cell>
          <cell r="CG59">
            <v>0.4448196531818156</v>
          </cell>
          <cell r="CH59">
            <v>0.51454053047468773</v>
          </cell>
          <cell r="CI59">
            <v>0.37872215984612262</v>
          </cell>
          <cell r="CJ59">
            <v>9.2906321489371307E-2</v>
          </cell>
        </row>
        <row r="60">
          <cell r="A60" t="str">
            <v xml:space="preserve">Interactive </v>
          </cell>
          <cell r="B60">
            <v>0</v>
          </cell>
          <cell r="C60">
            <v>0</v>
          </cell>
          <cell r="D60">
            <v>0</v>
          </cell>
          <cell r="E60">
            <v>0</v>
          </cell>
          <cell r="F60">
            <v>0</v>
          </cell>
          <cell r="G60">
            <v>-10.299999999999999</v>
          </cell>
          <cell r="H60">
            <v>41.899999999999991</v>
          </cell>
          <cell r="I60">
            <v>80.643654439999978</v>
          </cell>
          <cell r="J60">
            <v>92.628623061871906</v>
          </cell>
          <cell r="K60">
            <v>89.338205897482283</v>
          </cell>
          <cell r="L60">
            <v>102.16851526855524</v>
          </cell>
          <cell r="M60">
            <v>143.19759787712871</v>
          </cell>
          <cell r="N60">
            <v>175.88937276835679</v>
          </cell>
          <cell r="O60">
            <v>189.89538802768368</v>
          </cell>
          <cell r="P60">
            <v>203.23579152879711</v>
          </cell>
          <cell r="Q60">
            <v>215.01514971617053</v>
          </cell>
          <cell r="AH60" t="str">
            <v xml:space="preserve">Interactive </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3.8</v>
          </cell>
          <cell r="AY60">
            <v>-10.7</v>
          </cell>
          <cell r="AZ60">
            <v>-10.3</v>
          </cell>
          <cell r="BA60">
            <v>6.9</v>
          </cell>
          <cell r="BB60">
            <v>0</v>
          </cell>
          <cell r="BC60">
            <v>1.1000000000000001</v>
          </cell>
          <cell r="BD60">
            <v>-16.8</v>
          </cell>
          <cell r="BE60">
            <v>3.3</v>
          </cell>
          <cell r="BF60">
            <v>54.3</v>
          </cell>
          <cell r="BG60">
            <v>0</v>
          </cell>
          <cell r="BH60">
            <v>8.1999999999999993</v>
          </cell>
          <cell r="BI60">
            <v>5.7</v>
          </cell>
          <cell r="BJ60">
            <v>4.0999999999999996</v>
          </cell>
          <cell r="BK60">
            <v>62.643654439999999</v>
          </cell>
          <cell r="BL60">
            <v>0</v>
          </cell>
          <cell r="BM60">
            <v>9.8148753450000186</v>
          </cell>
          <cell r="BN60">
            <v>8.117820000000016</v>
          </cell>
          <cell r="BO60">
            <v>7.4084270375433618</v>
          </cell>
          <cell r="BP60">
            <v>67.287500679328588</v>
          </cell>
          <cell r="BQ60">
            <v>0</v>
          </cell>
          <cell r="BR60">
            <v>2.3524989003000201</v>
          </cell>
          <cell r="BS60">
            <v>5.9435865879479479</v>
          </cell>
          <cell r="BT60">
            <v>7.9436115253194259</v>
          </cell>
          <cell r="BU60">
            <v>73.098508883914917</v>
          </cell>
          <cell r="BV60">
            <v>0</v>
          </cell>
          <cell r="BW60">
            <v>3.9072050975995296</v>
          </cell>
          <cell r="BX60">
            <v>7.9881245077642404</v>
          </cell>
          <cell r="BY60">
            <v>10.112120593564256</v>
          </cell>
          <cell r="BZ60">
            <v>80.161065069627199</v>
          </cell>
          <cell r="CA60">
            <v>0</v>
          </cell>
          <cell r="CB60">
            <v>14.344007798393179</v>
          </cell>
          <cell r="CC60">
            <v>14.460637846172503</v>
          </cell>
          <cell r="CD60">
            <v>14.298618479287995</v>
          </cell>
          <cell r="CE60">
            <v>100.09433375327504</v>
          </cell>
          <cell r="CF60">
            <v>0</v>
          </cell>
          <cell r="CG60">
            <v>17.02864908103858</v>
          </cell>
          <cell r="CH60">
            <v>22.144376942053327</v>
          </cell>
          <cell r="CI60">
            <v>21.760164145871116</v>
          </cell>
          <cell r="CJ60">
            <v>114.95618259939377</v>
          </cell>
        </row>
        <row r="61">
          <cell r="A61" t="str">
            <v xml:space="preserve">% Change </v>
          </cell>
          <cell r="B61" t="str">
            <v>-</v>
          </cell>
          <cell r="C61" t="str">
            <v>-</v>
          </cell>
          <cell r="D61" t="str">
            <v>-</v>
          </cell>
          <cell r="E61" t="str">
            <v>-</v>
          </cell>
          <cell r="F61" t="str">
            <v>-</v>
          </cell>
          <cell r="G61" t="str">
            <v>-</v>
          </cell>
          <cell r="H61" t="str">
            <v>-</v>
          </cell>
          <cell r="I61">
            <v>0.92466955704057274</v>
          </cell>
          <cell r="J61">
            <v>0.14861638780009545</v>
          </cell>
          <cell r="K61">
            <v>-3.5522682467079014E-2</v>
          </cell>
          <cell r="L61">
            <v>0.14361503280909904</v>
          </cell>
          <cell r="M61">
            <v>0.40158244935561993</v>
          </cell>
          <cell r="N61">
            <v>0.22829834701053708</v>
          </cell>
          <cell r="O61">
            <v>7.9629684493630837E-2</v>
          </cell>
          <cell r="P61">
            <v>7.0251329638235438E-2</v>
          </cell>
          <cell r="Q61">
            <v>5.7959073540963191E-2</v>
          </cell>
          <cell r="AH61" t="str">
            <v xml:space="preserve">% Change </v>
          </cell>
          <cell r="AI61" t="str">
            <v>-</v>
          </cell>
          <cell r="AJ61" t="str">
            <v>-</v>
          </cell>
          <cell r="AK61" t="str">
            <v>-</v>
          </cell>
          <cell r="AL61" t="str">
            <v>-</v>
          </cell>
          <cell r="AN61" t="str">
            <v>-</v>
          </cell>
          <cell r="AO61" t="str">
            <v>-</v>
          </cell>
          <cell r="AP61" t="str">
            <v>-</v>
          </cell>
          <cell r="AQ61" t="str">
            <v>-</v>
          </cell>
          <cell r="AS61" t="str">
            <v>-</v>
          </cell>
          <cell r="AT61" t="str">
            <v>-</v>
          </cell>
          <cell r="AU61" t="str">
            <v>-</v>
          </cell>
          <cell r="AV61" t="str">
            <v>-</v>
          </cell>
          <cell r="AX61" t="str">
            <v>-</v>
          </cell>
          <cell r="AY61" t="str">
            <v>-</v>
          </cell>
          <cell r="AZ61" t="str">
            <v>-</v>
          </cell>
          <cell r="BA61" t="str">
            <v>-</v>
          </cell>
          <cell r="BC61">
            <v>-0.71052631578947367</v>
          </cell>
          <cell r="BD61">
            <v>0.57009345794392541</v>
          </cell>
          <cell r="BE61">
            <v>-1.320388349514563</v>
          </cell>
          <cell r="BF61">
            <v>6.8695652173913038</v>
          </cell>
          <cell r="BH61">
            <v>6.4545454545454533</v>
          </cell>
          <cell r="BI61">
            <v>-1.3392857142857144</v>
          </cell>
          <cell r="BJ61">
            <v>0.24242424242424243</v>
          </cell>
          <cell r="BK61">
            <v>0.15365846114180481</v>
          </cell>
          <cell r="BM61">
            <v>0.19693601768292912</v>
          </cell>
          <cell r="BN61">
            <v>0.42417894736842388</v>
          </cell>
          <cell r="BO61">
            <v>0.80693342379106392</v>
          </cell>
          <cell r="BP61">
            <v>7.4131151524316818E-2</v>
          </cell>
          <cell r="BR61">
            <v>-0.76031291100416765</v>
          </cell>
          <cell r="BS61">
            <v>-0.26783464181911698</v>
          </cell>
          <cell r="BT61">
            <v>7.2239962014059467E-2</v>
          </cell>
          <cell r="BU61">
            <v>8.63608864338683E-2</v>
          </cell>
          <cell r="BW61">
            <v>0.66087435666866146</v>
          </cell>
          <cell r="BX61">
            <v>0.34399060055120345</v>
          </cell>
          <cell r="BY61">
            <v>0.27298780426672886</v>
          </cell>
          <cell r="BZ61">
            <v>9.6616966522915959E-2</v>
          </cell>
          <cell r="CB61">
            <v>2.6711683774178403</v>
          </cell>
          <cell r="CC61">
            <v>0.81026695717087982</v>
          </cell>
          <cell r="CD61">
            <v>0.41400790734123438</v>
          </cell>
          <cell r="CE61">
            <v>0.24866521753838944</v>
          </cell>
          <cell r="CG61">
            <v>0.18716117004245736</v>
          </cell>
          <cell r="CH61">
            <v>0.5313554752990779</v>
          </cell>
          <cell r="CI61">
            <v>0.52183682482272031</v>
          </cell>
          <cell r="CJ61">
            <v>0.14847842319178683</v>
          </cell>
        </row>
        <row r="62">
          <cell r="A62" t="str">
            <v xml:space="preserve">% Margin </v>
          </cell>
          <cell r="B62" t="str">
            <v>-</v>
          </cell>
          <cell r="C62" t="str">
            <v>-</v>
          </cell>
          <cell r="D62" t="str">
            <v>-</v>
          </cell>
          <cell r="E62" t="str">
            <v>-</v>
          </cell>
          <cell r="F62" t="str">
            <v>-</v>
          </cell>
          <cell r="G62" t="str">
            <v>-</v>
          </cell>
          <cell r="H62">
            <v>9.9359734408347139E-2</v>
          </cell>
          <cell r="I62">
            <v>0.14623575701488467</v>
          </cell>
          <cell r="J62">
            <v>0.15544156389263156</v>
          </cell>
          <cell r="K62">
            <v>0.15367468619710137</v>
          </cell>
          <cell r="L62">
            <v>0.16898527047810197</v>
          </cell>
          <cell r="M62">
            <v>0.20605701942871588</v>
          </cell>
          <cell r="N62">
            <v>0.23220137280202735</v>
          </cell>
          <cell r="O62">
            <v>0.23429111668901009</v>
          </cell>
          <cell r="P62">
            <v>0.23593206617276258</v>
          </cell>
          <cell r="Q62">
            <v>0.23644744127241807</v>
          </cell>
          <cell r="AH62" t="str">
            <v xml:space="preserve">% Margin </v>
          </cell>
          <cell r="AI62" t="str">
            <v>-</v>
          </cell>
          <cell r="AJ62" t="str">
            <v>-</v>
          </cell>
          <cell r="AK62" t="str">
            <v>-</v>
          </cell>
          <cell r="AL62" t="str">
            <v>-</v>
          </cell>
          <cell r="AN62" t="str">
            <v>-</v>
          </cell>
          <cell r="AO62" t="str">
            <v>-</v>
          </cell>
          <cell r="AP62" t="str">
            <v>-</v>
          </cell>
          <cell r="AQ62" t="str">
            <v>-</v>
          </cell>
          <cell r="AS62" t="str">
            <v>-</v>
          </cell>
          <cell r="AT62" t="str">
            <v>-</v>
          </cell>
          <cell r="AU62" t="str">
            <v>-</v>
          </cell>
          <cell r="AV62" t="str">
            <v>-</v>
          </cell>
          <cell r="AX62">
            <v>9.8445595854922269E-2</v>
          </cell>
          <cell r="AY62">
            <v>-0.33647798742138363</v>
          </cell>
          <cell r="AZ62">
            <v>-0.27762803234501349</v>
          </cell>
          <cell r="BA62">
            <v>0.11774744027303755</v>
          </cell>
          <cell r="BC62">
            <v>2.0793950850661626E-2</v>
          </cell>
          <cell r="BD62">
            <v>-0.41791044776119401</v>
          </cell>
          <cell r="BE62">
            <v>2.319044272663387E-2</v>
          </cell>
          <cell r="BF62">
            <v>0.29146537842190012</v>
          </cell>
          <cell r="BH62">
            <v>6.1377245508982034E-2</v>
          </cell>
          <cell r="BI62">
            <v>4.5094936708860757E-2</v>
          </cell>
          <cell r="BJ62">
            <v>3.3800494641384994E-2</v>
          </cell>
          <cell r="BK62">
            <v>0.36813843626052556</v>
          </cell>
          <cell r="BM62">
            <v>7.108482469385069E-2</v>
          </cell>
          <cell r="BN62">
            <v>5.8384781357882727E-2</v>
          </cell>
          <cell r="BO62">
            <v>5.5863067913115412E-2</v>
          </cell>
          <cell r="BP62">
            <v>0.36141865250082489</v>
          </cell>
          <cell r="BR62">
            <v>2.0636943867724085E-2</v>
          </cell>
          <cell r="BS62">
            <v>4.4091439327467091E-2</v>
          </cell>
          <cell r="BT62">
            <v>5.7445410023100038E-2</v>
          </cell>
          <cell r="BU62">
            <v>0.37627409371749471</v>
          </cell>
          <cell r="BW62">
            <v>3.2957087374916844E-2</v>
          </cell>
          <cell r="BX62">
            <v>5.6979307712393693E-2</v>
          </cell>
          <cell r="BY62">
            <v>7.0314717663950033E-2</v>
          </cell>
          <cell r="BZ62">
            <v>0.39675822618619078</v>
          </cell>
          <cell r="CB62">
            <v>9.9599295177198177E-2</v>
          </cell>
          <cell r="CC62">
            <v>8.8841453482671612E-2</v>
          </cell>
          <cell r="CD62">
            <v>9.0365742351436962E-2</v>
          </cell>
          <cell r="CE62">
            <v>0.43533491061006141</v>
          </cell>
          <cell r="CG62">
            <v>0.10847744568620796</v>
          </cell>
          <cell r="CH62">
            <v>0.124814537820383</v>
          </cell>
          <cell r="CI62">
            <v>0.12616689395675121</v>
          </cell>
          <cell r="CJ62">
            <v>0.4586905978878722</v>
          </cell>
        </row>
        <row r="64">
          <cell r="A64" t="str">
            <v>Other</v>
          </cell>
          <cell r="B64">
            <v>0</v>
          </cell>
          <cell r="C64">
            <v>0</v>
          </cell>
          <cell r="D64">
            <v>0</v>
          </cell>
          <cell r="E64">
            <v>0</v>
          </cell>
          <cell r="F64">
            <v>0</v>
          </cell>
          <cell r="G64">
            <v>0</v>
          </cell>
          <cell r="H64">
            <v>0</v>
          </cell>
          <cell r="I64">
            <v>-40</v>
          </cell>
          <cell r="J64">
            <v>-95</v>
          </cell>
          <cell r="K64">
            <v>-33</v>
          </cell>
          <cell r="L64">
            <v>-45</v>
          </cell>
          <cell r="M64">
            <v>-20</v>
          </cell>
          <cell r="N64">
            <v>-17</v>
          </cell>
          <cell r="O64">
            <v>-12</v>
          </cell>
          <cell r="P64">
            <v>-7</v>
          </cell>
          <cell r="Q64">
            <v>-2</v>
          </cell>
          <cell r="AH64" t="str">
            <v>Other</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-40</v>
          </cell>
          <cell r="BL64">
            <v>0</v>
          </cell>
          <cell r="BM64">
            <v>-40</v>
          </cell>
          <cell r="BN64">
            <v>-20</v>
          </cell>
          <cell r="BO64">
            <v>0</v>
          </cell>
          <cell r="BP64">
            <v>-35</v>
          </cell>
          <cell r="BQ64">
            <v>0</v>
          </cell>
          <cell r="BR64">
            <v>-15</v>
          </cell>
          <cell r="BS64">
            <v>-13</v>
          </cell>
          <cell r="BT64">
            <v>-10</v>
          </cell>
          <cell r="BU64">
            <v>5</v>
          </cell>
          <cell r="BV64">
            <v>0</v>
          </cell>
          <cell r="BW64">
            <v>-5</v>
          </cell>
          <cell r="BX64">
            <v>-5</v>
          </cell>
          <cell r="BY64">
            <v>-30</v>
          </cell>
          <cell r="BZ64">
            <v>-5</v>
          </cell>
          <cell r="CA64">
            <v>0</v>
          </cell>
          <cell r="CB64">
            <v>-5</v>
          </cell>
          <cell r="CC64">
            <v>-5</v>
          </cell>
          <cell r="CD64">
            <v>-5</v>
          </cell>
          <cell r="CE64">
            <v>-5</v>
          </cell>
          <cell r="CF64">
            <v>0</v>
          </cell>
          <cell r="CG64">
            <v>-5</v>
          </cell>
          <cell r="CH64">
            <v>-5</v>
          </cell>
          <cell r="CI64">
            <v>-5</v>
          </cell>
          <cell r="CJ64">
            <v>-2</v>
          </cell>
        </row>
        <row r="65">
          <cell r="A65" t="str">
            <v xml:space="preserve">% Change </v>
          </cell>
          <cell r="B65" t="str">
            <v>-</v>
          </cell>
          <cell r="C65" t="str">
            <v>-</v>
          </cell>
          <cell r="D65" t="str">
            <v>-</v>
          </cell>
          <cell r="E65" t="str">
            <v>-</v>
          </cell>
          <cell r="F65" t="str">
            <v>-</v>
          </cell>
          <cell r="G65" t="str">
            <v>-</v>
          </cell>
          <cell r="H65" t="str">
            <v>-</v>
          </cell>
          <cell r="I65" t="str">
            <v>-</v>
          </cell>
          <cell r="J65" t="str">
            <v>-</v>
          </cell>
          <cell r="K65" t="str">
            <v>-</v>
          </cell>
          <cell r="L65" t="str">
            <v>-</v>
          </cell>
          <cell r="M65" t="str">
            <v>-</v>
          </cell>
          <cell r="N65" t="str">
            <v>-</v>
          </cell>
          <cell r="O65" t="str">
            <v>-</v>
          </cell>
          <cell r="P65" t="str">
            <v>-</v>
          </cell>
          <cell r="Q65" t="str">
            <v>-</v>
          </cell>
          <cell r="AH65" t="str">
            <v xml:space="preserve">% Change </v>
          </cell>
          <cell r="AI65" t="str">
            <v>-</v>
          </cell>
          <cell r="AJ65" t="str">
            <v>-</v>
          </cell>
          <cell r="AK65" t="str">
            <v>-</v>
          </cell>
          <cell r="AL65" t="str">
            <v>-</v>
          </cell>
          <cell r="AN65" t="str">
            <v>-</v>
          </cell>
          <cell r="AO65" t="str">
            <v>-</v>
          </cell>
          <cell r="AP65" t="str">
            <v>-</v>
          </cell>
          <cell r="AQ65" t="str">
            <v>-</v>
          </cell>
          <cell r="AS65" t="str">
            <v>-</v>
          </cell>
          <cell r="AT65" t="str">
            <v>-</v>
          </cell>
          <cell r="AU65" t="str">
            <v>-</v>
          </cell>
          <cell r="AV65" t="str">
            <v>-</v>
          </cell>
          <cell r="AX65" t="str">
            <v>-</v>
          </cell>
          <cell r="AY65" t="str">
            <v>-</v>
          </cell>
          <cell r="AZ65" t="str">
            <v>-</v>
          </cell>
          <cell r="BA65" t="str">
            <v>-</v>
          </cell>
          <cell r="BC65" t="str">
            <v>-</v>
          </cell>
          <cell r="BD65" t="str">
            <v>-</v>
          </cell>
          <cell r="BE65" t="str">
            <v>-</v>
          </cell>
          <cell r="BF65" t="str">
            <v>-</v>
          </cell>
          <cell r="BH65" t="str">
            <v>-</v>
          </cell>
          <cell r="BI65" t="str">
            <v>-</v>
          </cell>
          <cell r="BJ65" t="str">
            <v>-</v>
          </cell>
          <cell r="BK65" t="str">
            <v>-</v>
          </cell>
          <cell r="BM65" t="str">
            <v>-</v>
          </cell>
          <cell r="BN65" t="str">
            <v>-</v>
          </cell>
          <cell r="BO65" t="str">
            <v>-</v>
          </cell>
          <cell r="BP65" t="str">
            <v>-</v>
          </cell>
          <cell r="BR65" t="str">
            <v>-</v>
          </cell>
          <cell r="BS65" t="str">
            <v>-</v>
          </cell>
          <cell r="BT65" t="str">
            <v>-</v>
          </cell>
          <cell r="BU65" t="str">
            <v>-</v>
          </cell>
          <cell r="BW65" t="str">
            <v>-</v>
          </cell>
          <cell r="BX65" t="str">
            <v>-</v>
          </cell>
          <cell r="BY65" t="str">
            <v>-</v>
          </cell>
          <cell r="BZ65" t="str">
            <v>-</v>
          </cell>
          <cell r="CB65" t="str">
            <v>-</v>
          </cell>
          <cell r="CC65" t="str">
            <v>-</v>
          </cell>
          <cell r="CD65" t="str">
            <v>-</v>
          </cell>
          <cell r="CE65" t="str">
            <v>-</v>
          </cell>
          <cell r="CG65" t="str">
            <v>-</v>
          </cell>
          <cell r="CH65" t="str">
            <v>-</v>
          </cell>
          <cell r="CI65" t="str">
            <v>-</v>
          </cell>
          <cell r="CJ65" t="str">
            <v>-</v>
          </cell>
        </row>
        <row r="66">
          <cell r="A66" t="str">
            <v xml:space="preserve">% Margin </v>
          </cell>
          <cell r="B66" t="str">
            <v>-</v>
          </cell>
          <cell r="C66" t="str">
            <v>-</v>
          </cell>
          <cell r="D66" t="str">
            <v>-</v>
          </cell>
          <cell r="E66" t="str">
            <v>-</v>
          </cell>
          <cell r="F66" t="str">
            <v>-</v>
          </cell>
          <cell r="G66" t="str">
            <v>-</v>
          </cell>
          <cell r="H66" t="str">
            <v>-</v>
          </cell>
          <cell r="I66" t="str">
            <v>-</v>
          </cell>
          <cell r="J66" t="str">
            <v>-</v>
          </cell>
          <cell r="K66" t="str">
            <v>-</v>
          </cell>
          <cell r="L66" t="str">
            <v>-</v>
          </cell>
          <cell r="M66" t="str">
            <v>-</v>
          </cell>
          <cell r="N66" t="str">
            <v>-</v>
          </cell>
          <cell r="O66" t="str">
            <v>-</v>
          </cell>
          <cell r="P66" t="str">
            <v>-</v>
          </cell>
          <cell r="Q66" t="str">
            <v>-</v>
          </cell>
          <cell r="AH66" t="str">
            <v xml:space="preserve">% Margin </v>
          </cell>
          <cell r="AI66" t="str">
            <v>-</v>
          </cell>
          <cell r="AJ66" t="str">
            <v>-</v>
          </cell>
          <cell r="AK66" t="str">
            <v>-</v>
          </cell>
          <cell r="AL66" t="str">
            <v>-</v>
          </cell>
          <cell r="AN66" t="str">
            <v>-</v>
          </cell>
          <cell r="AO66" t="str">
            <v>-</v>
          </cell>
          <cell r="AP66" t="str">
            <v>-</v>
          </cell>
          <cell r="AQ66" t="str">
            <v>-</v>
          </cell>
          <cell r="AS66" t="str">
            <v>-</v>
          </cell>
          <cell r="AT66" t="str">
            <v>-</v>
          </cell>
          <cell r="AU66" t="str">
            <v>-</v>
          </cell>
          <cell r="AV66" t="str">
            <v>-</v>
          </cell>
          <cell r="AX66" t="str">
            <v>-</v>
          </cell>
          <cell r="AY66" t="str">
            <v>-</v>
          </cell>
          <cell r="AZ66" t="str">
            <v>-</v>
          </cell>
          <cell r="BA66" t="str">
            <v>-</v>
          </cell>
          <cell r="BC66" t="str">
            <v>-</v>
          </cell>
          <cell r="BD66" t="str">
            <v>-</v>
          </cell>
          <cell r="BE66" t="str">
            <v>-</v>
          </cell>
          <cell r="BF66" t="str">
            <v>-</v>
          </cell>
          <cell r="BH66" t="str">
            <v>-</v>
          </cell>
          <cell r="BI66" t="str">
            <v>-</v>
          </cell>
          <cell r="BJ66" t="str">
            <v>-</v>
          </cell>
          <cell r="BK66" t="str">
            <v>-</v>
          </cell>
          <cell r="BM66" t="str">
            <v>-</v>
          </cell>
          <cell r="BN66" t="str">
            <v>-</v>
          </cell>
          <cell r="BO66" t="str">
            <v>-</v>
          </cell>
          <cell r="BP66" t="str">
            <v>-</v>
          </cell>
          <cell r="BR66" t="str">
            <v>-</v>
          </cell>
          <cell r="BS66" t="str">
            <v>-</v>
          </cell>
          <cell r="BT66" t="str">
            <v>-</v>
          </cell>
          <cell r="BU66" t="str">
            <v>-</v>
          </cell>
          <cell r="BW66" t="str">
            <v>-</v>
          </cell>
          <cell r="BX66" t="str">
            <v>-</v>
          </cell>
          <cell r="BY66" t="str">
            <v>-</v>
          </cell>
          <cell r="BZ66" t="str">
            <v>-</v>
          </cell>
          <cell r="CB66" t="str">
            <v>-</v>
          </cell>
          <cell r="CC66" t="str">
            <v>-</v>
          </cell>
          <cell r="CD66" t="str">
            <v>-</v>
          </cell>
          <cell r="CE66" t="str">
            <v>-</v>
          </cell>
          <cell r="CG66" t="str">
            <v>-</v>
          </cell>
          <cell r="CH66" t="str">
            <v>-</v>
          </cell>
          <cell r="CI66" t="str">
            <v>-</v>
          </cell>
          <cell r="CJ66" t="str">
            <v>-</v>
          </cell>
        </row>
        <row r="68">
          <cell r="A68" t="str">
            <v xml:space="preserve">Entertainment </v>
          </cell>
          <cell r="B68">
            <v>629.07091287423373</v>
          </cell>
          <cell r="C68">
            <v>726.75526458950878</v>
          </cell>
          <cell r="D68">
            <v>962.87504485305476</v>
          </cell>
          <cell r="E68">
            <v>882.75924713699305</v>
          </cell>
          <cell r="F68">
            <v>965.0595177043383</v>
          </cell>
          <cell r="G68">
            <v>1026.3510160394094</v>
          </cell>
          <cell r="H68">
            <v>1025.4000000000001</v>
          </cell>
          <cell r="I68">
            <v>875.9</v>
          </cell>
          <cell r="J68">
            <v>894.3</v>
          </cell>
          <cell r="K68">
            <v>1431</v>
          </cell>
          <cell r="L68">
            <v>1549</v>
          </cell>
          <cell r="M68">
            <v>1758</v>
          </cell>
          <cell r="N68">
            <v>1801.777396310024</v>
          </cell>
          <cell r="O68">
            <v>2014.8949686746514</v>
          </cell>
          <cell r="P68">
            <v>2262.2293344091913</v>
          </cell>
          <cell r="Q68">
            <v>2453.3033840913081</v>
          </cell>
          <cell r="AH68" t="str">
            <v xml:space="preserve">Entertainment </v>
          </cell>
          <cell r="AI68">
            <v>186.762514741416</v>
          </cell>
          <cell r="AJ68">
            <v>380.07342000253169</v>
          </cell>
          <cell r="AK68">
            <v>271.59188080406949</v>
          </cell>
          <cell r="AL68">
            <v>124.44722930503769</v>
          </cell>
          <cell r="AM68">
            <v>0</v>
          </cell>
          <cell r="AN68">
            <v>188.77526810022471</v>
          </cell>
          <cell r="AO68">
            <v>303.35713776027882</v>
          </cell>
          <cell r="AP68">
            <v>197.57064113718741</v>
          </cell>
          <cell r="AQ68">
            <v>193.05620013930218</v>
          </cell>
          <cell r="AR68">
            <v>0</v>
          </cell>
          <cell r="AS68">
            <v>193.20221667479251</v>
          </cell>
          <cell r="AT68">
            <v>262.52905902630437</v>
          </cell>
          <cell r="AU68">
            <v>216.00546472505022</v>
          </cell>
          <cell r="AV68">
            <v>293.32277727819127</v>
          </cell>
          <cell r="AW68">
            <v>0</v>
          </cell>
          <cell r="AX68">
            <v>174.01778562079551</v>
          </cell>
          <cell r="AY68">
            <v>319.31669122998153</v>
          </cell>
          <cell r="AZ68">
            <v>255.43995552277445</v>
          </cell>
          <cell r="BA68">
            <v>277.5765836658577</v>
          </cell>
          <cell r="BB68">
            <v>0</v>
          </cell>
          <cell r="BC68">
            <v>294.5</v>
          </cell>
          <cell r="BD68">
            <v>291.7</v>
          </cell>
          <cell r="BE68">
            <v>262.5</v>
          </cell>
          <cell r="BF68">
            <v>176.7</v>
          </cell>
          <cell r="BG68">
            <v>0</v>
          </cell>
          <cell r="BH68">
            <v>151.1</v>
          </cell>
          <cell r="BI68">
            <v>209.5</v>
          </cell>
          <cell r="BJ68">
            <v>324.5</v>
          </cell>
          <cell r="BK68">
            <v>190.8</v>
          </cell>
          <cell r="BL68">
            <v>0</v>
          </cell>
          <cell r="BM68">
            <v>144.80000000000001</v>
          </cell>
          <cell r="BN68">
            <v>222.6</v>
          </cell>
          <cell r="BO68">
            <v>277.89999999999998</v>
          </cell>
          <cell r="BP68">
            <v>249</v>
          </cell>
          <cell r="BQ68">
            <v>0</v>
          </cell>
          <cell r="BR68">
            <v>268</v>
          </cell>
          <cell r="BS68">
            <v>440</v>
          </cell>
          <cell r="BT68">
            <v>405</v>
          </cell>
          <cell r="BU68">
            <v>318</v>
          </cell>
          <cell r="BV68">
            <v>0</v>
          </cell>
          <cell r="BW68">
            <v>411</v>
          </cell>
          <cell r="BX68">
            <v>426</v>
          </cell>
          <cell r="BY68">
            <v>384</v>
          </cell>
          <cell r="BZ68">
            <v>328</v>
          </cell>
          <cell r="CA68">
            <v>0</v>
          </cell>
          <cell r="CB68">
            <v>480</v>
          </cell>
          <cell r="CC68">
            <v>429</v>
          </cell>
          <cell r="CD68">
            <v>431</v>
          </cell>
          <cell r="CE68">
            <v>418</v>
          </cell>
          <cell r="CF68">
            <v>0</v>
          </cell>
          <cell r="CG68">
            <v>451.78589054780116</v>
          </cell>
          <cell r="CH68">
            <v>475.92445298343995</v>
          </cell>
          <cell r="CI68">
            <v>473.63063423627648</v>
          </cell>
          <cell r="CJ68">
            <v>400.43641854250632</v>
          </cell>
        </row>
        <row r="69">
          <cell r="A69" t="str">
            <v xml:space="preserve">% Change </v>
          </cell>
          <cell r="B69" t="str">
            <v>-</v>
          </cell>
          <cell r="C69">
            <v>0.15528352959279879</v>
          </cell>
          <cell r="D69">
            <v>0.32489586490565414</v>
          </cell>
          <cell r="E69">
            <v>-8.3204771111591413E-2</v>
          </cell>
          <cell r="F69">
            <v>9.3230709091142838E-2</v>
          </cell>
          <cell r="G69">
            <v>6.3510588943643587E-2</v>
          </cell>
          <cell r="H69">
            <v>-9.2659920879623048E-4</v>
          </cell>
          <cell r="I69">
            <v>-0.1457967622391263</v>
          </cell>
          <cell r="J69">
            <v>2.1006964265326999E-2</v>
          </cell>
          <cell r="K69">
            <v>0.60013418316001355</v>
          </cell>
          <cell r="L69">
            <v>8.2459818308874944E-2</v>
          </cell>
          <cell r="M69">
            <v>0.13492575855390565</v>
          </cell>
          <cell r="N69">
            <v>2.4901818151321864E-2</v>
          </cell>
          <cell r="O69">
            <v>0.11828185479576159</v>
          </cell>
          <cell r="P69">
            <v>0.12275298195678674</v>
          </cell>
          <cell r="Q69">
            <v>8.4462723020970021E-2</v>
          </cell>
          <cell r="AH69" t="str">
            <v xml:space="preserve">% Change </v>
          </cell>
          <cell r="AI69" t="str">
            <v>-</v>
          </cell>
          <cell r="AJ69" t="str">
            <v>-</v>
          </cell>
          <cell r="AK69" t="str">
            <v>-</v>
          </cell>
          <cell r="AL69" t="str">
            <v>-</v>
          </cell>
          <cell r="AN69">
            <v>1.0777073555662264E-2</v>
          </cell>
          <cell r="AO69">
            <v>-0.20184595450463716</v>
          </cell>
          <cell r="AP69">
            <v>-0.2725458487482626</v>
          </cell>
          <cell r="AQ69">
            <v>0.55130974966179624</v>
          </cell>
          <cell r="AS69">
            <v>2.345089279501078E-2</v>
          </cell>
          <cell r="AT69">
            <v>-0.13458749985384533</v>
          </cell>
          <cell r="AU69">
            <v>9.3307505010636671E-2</v>
          </cell>
          <cell r="AV69">
            <v>0.51936470865240514</v>
          </cell>
          <cell r="AX69">
            <v>-9.929715809777262E-2</v>
          </cell>
          <cell r="AY69">
            <v>0.21630989123374444</v>
          </cell>
          <cell r="AZ69">
            <v>0.18256246825940137</v>
          </cell>
          <cell r="BA69">
            <v>-5.3682137331597879E-2</v>
          </cell>
          <cell r="BC69">
            <v>0.69235574943901934</v>
          </cell>
          <cell r="BD69">
            <v>-8.6486838892149143E-2</v>
          </cell>
          <cell r="BE69">
            <v>2.7638763335895211E-2</v>
          </cell>
          <cell r="BF69">
            <v>-0.3634189250894857</v>
          </cell>
          <cell r="BH69">
            <v>-0.48692699490662139</v>
          </cell>
          <cell r="BI69">
            <v>-0.28179636612958514</v>
          </cell>
          <cell r="BJ69">
            <v>0.23619047619047628</v>
          </cell>
          <cell r="BK69">
            <v>7.9796264855687804E-2</v>
          </cell>
          <cell r="BM69">
            <v>-4.1694242223692779E-2</v>
          </cell>
          <cell r="BN69">
            <v>6.2529832935560803E-2</v>
          </cell>
          <cell r="BO69">
            <v>-0.14360554699537753</v>
          </cell>
          <cell r="BP69">
            <v>0.30503144654088032</v>
          </cell>
          <cell r="BR69">
            <v>0.85082872928176778</v>
          </cell>
          <cell r="BS69">
            <v>0.97663971248876913</v>
          </cell>
          <cell r="BT69">
            <v>0.45735876214465643</v>
          </cell>
          <cell r="BU69">
            <v>0.27710843373493965</v>
          </cell>
          <cell r="BW69">
            <v>0.53358208955223874</v>
          </cell>
          <cell r="BX69">
            <v>-3.1818181818181857E-2</v>
          </cell>
          <cell r="BY69">
            <v>-5.1851851851851816E-2</v>
          </cell>
          <cell r="BZ69">
            <v>3.1446540880503138E-2</v>
          </cell>
          <cell r="CB69">
            <v>0.16788321167883202</v>
          </cell>
          <cell r="CC69">
            <v>7.0422535211267512E-3</v>
          </cell>
          <cell r="CD69">
            <v>0.12239583333333326</v>
          </cell>
          <cell r="CE69">
            <v>0.27439024390243905</v>
          </cell>
          <cell r="CG69">
            <v>-5.8779394692080933E-2</v>
          </cell>
          <cell r="CH69">
            <v>0.10938100928540773</v>
          </cell>
          <cell r="CI69">
            <v>9.8910984306906036E-2</v>
          </cell>
          <cell r="CJ69">
            <v>-4.2018137458118887E-2</v>
          </cell>
        </row>
        <row r="70">
          <cell r="A70" t="str">
            <v xml:space="preserve">% Margin </v>
          </cell>
          <cell r="B70">
            <v>0.11059526016956554</v>
          </cell>
          <cell r="C70">
            <v>0.12169872095893647</v>
          </cell>
          <cell r="D70">
            <v>0.14591776478609556</v>
          </cell>
          <cell r="E70">
            <v>0.13612675003380598</v>
          </cell>
          <cell r="F70">
            <v>0.14907717679326851</v>
          </cell>
          <cell r="G70">
            <v>0.1612937747682873</v>
          </cell>
          <cell r="H70">
            <v>0.14906669767982791</v>
          </cell>
          <cell r="I70">
            <v>0.12554646179425802</v>
          </cell>
          <cell r="J70">
            <v>0.12100342322107512</v>
          </cell>
          <cell r="K70">
            <v>0.19190022797371598</v>
          </cell>
          <cell r="L70">
            <v>0.20132570834416427</v>
          </cell>
          <cell r="M70">
            <v>0.20335454019664545</v>
          </cell>
          <cell r="N70">
            <v>0.19948917545302733</v>
          </cell>
          <cell r="O70">
            <v>0.21664265431715723</v>
          </cell>
          <cell r="P70">
            <v>0.22486507735293931</v>
          </cell>
          <cell r="Q70">
            <v>0.23760126810744675</v>
          </cell>
          <cell r="AH70" t="str">
            <v xml:space="preserve">% Margin </v>
          </cell>
          <cell r="AI70">
            <v>0.10141490194978174</v>
          </cell>
          <cell r="AJ70">
            <v>0.24060580901458115</v>
          </cell>
          <cell r="AK70">
            <v>0.17806332228601565</v>
          </cell>
          <cell r="AL70">
            <v>7.5318659653343126E-2</v>
          </cell>
          <cell r="AN70">
            <v>0.1080798582534567</v>
          </cell>
          <cell r="AO70">
            <v>0.19278931656479997</v>
          </cell>
          <cell r="AP70">
            <v>0.13563363240935475</v>
          </cell>
          <cell r="AQ70">
            <v>0.11302793273316919</v>
          </cell>
          <cell r="AS70">
            <v>0.1047341482721129</v>
          </cell>
          <cell r="AT70">
            <v>0.17623206509418216</v>
          </cell>
          <cell r="AU70">
            <v>0.1538860927173793</v>
          </cell>
          <cell r="AV70">
            <v>0.16901191013953148</v>
          </cell>
          <cell r="AX70">
            <v>9.4130825590952982E-2</v>
          </cell>
          <cell r="AY70">
            <v>0.22682610804280151</v>
          </cell>
          <cell r="AZ70">
            <v>0.18955639773631577</v>
          </cell>
          <cell r="BA70">
            <v>0.15778272244820271</v>
          </cell>
          <cell r="BC70">
            <v>0.1507241926403603</v>
          </cell>
          <cell r="BD70">
            <v>0.18757636164876856</v>
          </cell>
          <cell r="BE70">
            <v>0.16165783963542307</v>
          </cell>
          <cell r="BF70">
            <v>0.10120274914089346</v>
          </cell>
          <cell r="BH70">
            <v>8.3131602112676062E-2</v>
          </cell>
          <cell r="BI70">
            <v>0.13823820521280106</v>
          </cell>
          <cell r="BJ70">
            <v>0.17748728326861019</v>
          </cell>
          <cell r="BK70">
            <v>0.105106593951413</v>
          </cell>
          <cell r="BM70">
            <v>6.9565217391304349E-2</v>
          </cell>
          <cell r="BN70">
            <v>0.13315786325297602</v>
          </cell>
          <cell r="BO70">
            <v>0.1718721009338858</v>
          </cell>
          <cell r="BP70">
            <v>0.12323072354746116</v>
          </cell>
          <cell r="BR70">
            <v>0.13440320962888666</v>
          </cell>
          <cell r="BS70">
            <v>0.23965141612200436</v>
          </cell>
          <cell r="BT70">
            <v>0.24816176470588236</v>
          </cell>
          <cell r="BU70">
            <v>0.15939849624060151</v>
          </cell>
          <cell r="BW70">
            <v>0.17730802415875754</v>
          </cell>
          <cell r="BX70">
            <v>0.24956063268892795</v>
          </cell>
          <cell r="BY70">
            <v>0.22857142857142856</v>
          </cell>
          <cell r="BZ70">
            <v>0.1649069884364002</v>
          </cell>
          <cell r="CB70">
            <v>0.18905080740448996</v>
          </cell>
          <cell r="CC70">
            <v>0.21364541832669323</v>
          </cell>
          <cell r="CD70">
            <v>0.22876857749469215</v>
          </cell>
          <cell r="CE70">
            <v>0.18879855465221318</v>
          </cell>
          <cell r="CG70">
            <v>0.19596762416296373</v>
          </cell>
          <cell r="CH70">
            <v>0.23632158334020326</v>
          </cell>
          <cell r="CI70">
            <v>0.21310298698380067</v>
          </cell>
          <cell r="CJ70">
            <v>0.16081030746023686</v>
          </cell>
        </row>
        <row r="72">
          <cell r="A72" t="str">
            <v xml:space="preserve">Showtime </v>
          </cell>
          <cell r="B72">
            <v>280.87706351508655</v>
          </cell>
          <cell r="C72">
            <v>275.94501299263686</v>
          </cell>
          <cell r="D72">
            <v>306</v>
          </cell>
          <cell r="E72">
            <v>311.87637906576356</v>
          </cell>
          <cell r="F72">
            <v>321.8767989402503</v>
          </cell>
          <cell r="G72">
            <v>341.45659163890548</v>
          </cell>
          <cell r="H72">
            <v>409.59335677471427</v>
          </cell>
          <cell r="I72">
            <v>474.56026879543333</v>
          </cell>
          <cell r="J72">
            <v>570.44113686008086</v>
          </cell>
          <cell r="K72">
            <v>684.67109361193616</v>
          </cell>
          <cell r="L72">
            <v>787.75128399688765</v>
          </cell>
          <cell r="M72">
            <v>872.51006197272534</v>
          </cell>
          <cell r="N72">
            <v>973.20880286324882</v>
          </cell>
          <cell r="O72">
            <v>1007.553164387823</v>
          </cell>
          <cell r="P72">
            <v>1072.5397847360014</v>
          </cell>
          <cell r="Q72">
            <v>1132.1792012983244</v>
          </cell>
          <cell r="AH72" t="str">
            <v xml:space="preserve">Showtime </v>
          </cell>
          <cell r="AI72">
            <v>70</v>
          </cell>
          <cell r="AJ72">
            <v>70</v>
          </cell>
          <cell r="AK72">
            <v>90</v>
          </cell>
          <cell r="AL72">
            <v>76</v>
          </cell>
          <cell r="AM72">
            <v>0</v>
          </cell>
          <cell r="AN72">
            <v>72</v>
          </cell>
          <cell r="AO72">
            <v>72</v>
          </cell>
          <cell r="AP72">
            <v>80.086789780662002</v>
          </cell>
          <cell r="AQ72">
            <v>87.789589285101556</v>
          </cell>
          <cell r="AR72">
            <v>0</v>
          </cell>
          <cell r="AS72">
            <v>72</v>
          </cell>
          <cell r="AT72">
            <v>78</v>
          </cell>
          <cell r="AU72">
            <v>83</v>
          </cell>
          <cell r="AV72">
            <v>88.876798940250239</v>
          </cell>
          <cell r="AW72">
            <v>0</v>
          </cell>
          <cell r="AX72">
            <v>75.449375000000003</v>
          </cell>
          <cell r="AY72">
            <v>85.70944639999999</v>
          </cell>
          <cell r="AZ72">
            <v>90.40280290900003</v>
          </cell>
          <cell r="BA72">
            <v>89.894967329905597</v>
          </cell>
          <cell r="BB72">
            <v>0</v>
          </cell>
          <cell r="BC72">
            <v>96.727187499999985</v>
          </cell>
          <cell r="BD72">
            <v>97.621415839999997</v>
          </cell>
          <cell r="BE72">
            <v>104.89731366832501</v>
          </cell>
          <cell r="BF72">
            <v>110.34743976638907</v>
          </cell>
          <cell r="BG72">
            <v>0</v>
          </cell>
          <cell r="BH72">
            <v>98.620404137858401</v>
          </cell>
          <cell r="BI72">
            <v>100.89720571186032</v>
          </cell>
          <cell r="BJ72">
            <v>127.29185848825418</v>
          </cell>
          <cell r="BK72">
            <v>147.75080045746031</v>
          </cell>
          <cell r="BL72">
            <v>0</v>
          </cell>
          <cell r="BM72">
            <v>113.17890777949106</v>
          </cell>
          <cell r="BN72">
            <v>131.63560399016328</v>
          </cell>
          <cell r="BO72">
            <v>167.69638185527481</v>
          </cell>
          <cell r="BP72">
            <v>157.93024323515169</v>
          </cell>
          <cell r="BQ72">
            <v>0</v>
          </cell>
          <cell r="BR72">
            <v>150.9523682508962</v>
          </cell>
          <cell r="BS72">
            <v>175.32439363879044</v>
          </cell>
          <cell r="BT72">
            <v>199.57653444839994</v>
          </cell>
          <cell r="BU72">
            <v>158.81779727384958</v>
          </cell>
          <cell r="BV72">
            <v>0</v>
          </cell>
          <cell r="BW72">
            <v>206.14432789263009</v>
          </cell>
          <cell r="BX72">
            <v>189.3503451298937</v>
          </cell>
          <cell r="BY72">
            <v>222.00167959187468</v>
          </cell>
          <cell r="BZ72">
            <v>170.25493138248919</v>
          </cell>
          <cell r="CA72">
            <v>0</v>
          </cell>
          <cell r="CB72">
            <v>227.63541656051021</v>
          </cell>
          <cell r="CC72">
            <v>206.0000110301537</v>
          </cell>
          <cell r="CD72">
            <v>255.38637743156968</v>
          </cell>
          <cell r="CE72">
            <v>183.48825695049177</v>
          </cell>
          <cell r="CF72">
            <v>0</v>
          </cell>
          <cell r="CG72">
            <v>269.70910438586469</v>
          </cell>
          <cell r="CH72">
            <v>229.90512494737095</v>
          </cell>
          <cell r="CI72">
            <v>259.354021662489</v>
          </cell>
          <cell r="CJ72">
            <v>214.24055186752412</v>
          </cell>
        </row>
        <row r="73">
          <cell r="A73" t="str">
            <v xml:space="preserve">% Change </v>
          </cell>
          <cell r="B73">
            <v>0.18360212721675007</v>
          </cell>
          <cell r="C73">
            <v>-1.7559463420496635E-2</v>
          </cell>
          <cell r="D73">
            <v>0.10891657972512481</v>
          </cell>
          <cell r="E73">
            <v>1.9203853156090078E-2</v>
          </cell>
          <cell r="F73">
            <v>3.2065332759227738E-2</v>
          </cell>
          <cell r="G73">
            <v>6.0830083942427171E-2</v>
          </cell>
          <cell r="H73">
            <v>0.19954737089352848</v>
          </cell>
          <cell r="I73">
            <v>0.15861319756817327</v>
          </cell>
          <cell r="J73">
            <v>0.20204149898182577</v>
          </cell>
          <cell r="K73">
            <v>0.20024845574885997</v>
          </cell>
          <cell r="L73">
            <v>0.15055431921502471</v>
          </cell>
          <cell r="M73">
            <v>0.10759586140664745</v>
          </cell>
          <cell r="N73">
            <v>0.11541269869466708</v>
          </cell>
          <cell r="O73">
            <v>3.5289817995409312E-2</v>
          </cell>
          <cell r="P73">
            <v>6.4499445433892744E-2</v>
          </cell>
          <cell r="Q73">
            <v>5.560578489589818E-2</v>
          </cell>
          <cell r="AH73" t="str">
            <v xml:space="preserve">% Change </v>
          </cell>
          <cell r="AI73" t="str">
            <v>-</v>
          </cell>
          <cell r="AJ73" t="str">
            <v>-</v>
          </cell>
          <cell r="AK73" t="str">
            <v>-</v>
          </cell>
          <cell r="AL73" t="str">
            <v>-</v>
          </cell>
          <cell r="AN73">
            <v>2.857142857142847E-2</v>
          </cell>
          <cell r="AO73">
            <v>2.857142857142847E-2</v>
          </cell>
          <cell r="AP73">
            <v>-0.11014678021486668</v>
          </cell>
          <cell r="AQ73">
            <v>0.15512617480396784</v>
          </cell>
          <cell r="AS73">
            <v>0</v>
          </cell>
          <cell r="AT73">
            <v>8.3333333333333259E-2</v>
          </cell>
          <cell r="AU73">
            <v>3.6375664792115625E-2</v>
          </cell>
          <cell r="AV73">
            <v>1.2384266335019545E-2</v>
          </cell>
          <cell r="AX73">
            <v>4.7907986111111134E-2</v>
          </cell>
          <cell r="AY73">
            <v>9.8839056410256365E-2</v>
          </cell>
          <cell r="AZ73">
            <v>8.9190396493976198E-2</v>
          </cell>
          <cell r="BA73">
            <v>1.1455952529746849E-2</v>
          </cell>
          <cell r="BC73">
            <v>0.28201443020568395</v>
          </cell>
          <cell r="BD73">
            <v>0.13898082347198559</v>
          </cell>
          <cell r="BE73">
            <v>0.16033253718820251</v>
          </cell>
          <cell r="BF73">
            <v>0.22751521073949488</v>
          </cell>
          <cell r="BH73">
            <v>1.957274564463507E-2</v>
          </cell>
          <cell r="BI73">
            <v>3.3556057794012162E-2</v>
          </cell>
          <cell r="BJ73">
            <v>0.21349016516036357</v>
          </cell>
          <cell r="BK73">
            <v>0.3389599321040524</v>
          </cell>
          <cell r="BM73">
            <v>0.14762161815197761</v>
          </cell>
          <cell r="BN73">
            <v>0.3046506398411557</v>
          </cell>
          <cell r="BO73">
            <v>0.31741639918588316</v>
          </cell>
          <cell r="BP73">
            <v>6.8896024564159219E-2</v>
          </cell>
          <cell r="BR73">
            <v>0.33374999999999999</v>
          </cell>
          <cell r="BS73">
            <v>0.33189189189189183</v>
          </cell>
          <cell r="BT73">
            <v>0.19010638297872351</v>
          </cell>
          <cell r="BU73">
            <v>5.6199118073689824E-3</v>
          </cell>
          <cell r="BW73">
            <v>0.36562499999999987</v>
          </cell>
          <cell r="BX73">
            <v>8.0000000000000071E-2</v>
          </cell>
          <cell r="BY73">
            <v>0.11236363636363622</v>
          </cell>
          <cell r="BZ73">
            <v>7.2014184209585608E-2</v>
          </cell>
          <cell r="CB73">
            <v>0.1042526315789476</v>
          </cell>
          <cell r="CC73">
            <v>8.7930475589249157E-2</v>
          </cell>
          <cell r="CD73">
            <v>0.15038038406317034</v>
          </cell>
          <cell r="CE73">
            <v>7.7726533149709676E-2</v>
          </cell>
          <cell r="CG73">
            <v>0.18482926980815573</v>
          </cell>
          <cell r="CH73">
            <v>0.11604423610306558</v>
          </cell>
          <cell r="CI73">
            <v>1.5535849135032365E-2</v>
          </cell>
          <cell r="CJ73">
            <v>0.16759816365430869</v>
          </cell>
        </row>
        <row r="74">
          <cell r="A74" t="str">
            <v xml:space="preserve">% Margin </v>
          </cell>
          <cell r="B74">
            <v>0.27323594921607475</v>
          </cell>
          <cell r="C74">
            <v>0.26703128446373914</v>
          </cell>
          <cell r="D74">
            <v>0.30297029702970296</v>
          </cell>
          <cell r="E74">
            <v>0.29716804659932972</v>
          </cell>
          <cell r="F74">
            <v>0.28454504591334656</v>
          </cell>
          <cell r="G74">
            <v>0.28747994756348311</v>
          </cell>
          <cell r="H74">
            <v>0.33714798650073891</v>
          </cell>
          <cell r="I74">
            <v>0.36726198346053196</v>
          </cell>
          <cell r="J74">
            <v>0.40280018062656281</v>
          </cell>
          <cell r="K74">
            <v>0.44189474367459453</v>
          </cell>
          <cell r="L74">
            <v>0.4645029144062518</v>
          </cell>
          <cell r="M74">
            <v>0.43871919202889742</v>
          </cell>
          <cell r="N74">
            <v>0.45842543239426703</v>
          </cell>
          <cell r="O74">
            <v>0.46399108072625467</v>
          </cell>
          <cell r="P74">
            <v>0.48618338149654389</v>
          </cell>
          <cell r="Q74">
            <v>0.49060443466233206</v>
          </cell>
          <cell r="AH74" t="str">
            <v xml:space="preserve">% Margin </v>
          </cell>
          <cell r="AI74">
            <v>0.2857142857142857</v>
          </cell>
          <cell r="AJ74">
            <v>0.29166666666666669</v>
          </cell>
          <cell r="AK74">
            <v>0.36</v>
          </cell>
          <cell r="AL74">
            <v>0.27636363636363637</v>
          </cell>
          <cell r="AN74">
            <v>0.28799999999999998</v>
          </cell>
          <cell r="AO74">
            <v>0.27439024390243905</v>
          </cell>
          <cell r="AP74">
            <v>0.300343951602003</v>
          </cell>
          <cell r="AQ74">
            <v>0.32461191901525749</v>
          </cell>
          <cell r="AS74">
            <v>0.2742857142857143</v>
          </cell>
          <cell r="AT74">
            <v>0.26779828609096901</v>
          </cell>
          <cell r="AU74">
            <v>0.29365015330926114</v>
          </cell>
          <cell r="AV74">
            <v>0.30149724722556354</v>
          </cell>
          <cell r="AX74">
            <v>0.2737392290249433</v>
          </cell>
          <cell r="AY74">
            <v>0.28025449142522307</v>
          </cell>
          <cell r="AZ74">
            <v>0.30461040658422006</v>
          </cell>
          <cell r="BA74">
            <v>0.2904297003596466</v>
          </cell>
          <cell r="BC74">
            <v>0.31903421974850543</v>
          </cell>
          <cell r="BD74">
            <v>0.3224287792173971</v>
          </cell>
          <cell r="BE74">
            <v>0.34994986725326532</v>
          </cell>
          <cell r="BF74">
            <v>0.35691383289225448</v>
          </cell>
          <cell r="BH74">
            <v>0.3014233912367712</v>
          </cell>
          <cell r="BI74">
            <v>0.31905093002574192</v>
          </cell>
          <cell r="BJ74">
            <v>0.39956994639302851</v>
          </cell>
          <cell r="BK74">
            <v>0.44751112450167546</v>
          </cell>
          <cell r="BM74">
            <v>0.32</v>
          </cell>
          <cell r="BN74">
            <v>0.37</v>
          </cell>
          <cell r="BO74">
            <v>0.47</v>
          </cell>
          <cell r="BP74">
            <v>0.45131684952914436</v>
          </cell>
          <cell r="BR74">
            <v>0.4</v>
          </cell>
          <cell r="BS74">
            <v>0.44</v>
          </cell>
          <cell r="BT74">
            <v>0.495</v>
          </cell>
          <cell r="BU74">
            <v>0.42881053978303602</v>
          </cell>
          <cell r="BW74">
            <v>0.47499999999999998</v>
          </cell>
          <cell r="BX74">
            <v>0.44</v>
          </cell>
          <cell r="BY74">
            <v>0.53200000000000003</v>
          </cell>
          <cell r="BZ74">
            <v>0.41097025076615412</v>
          </cell>
          <cell r="CB74">
            <v>0.496</v>
          </cell>
          <cell r="CC74">
            <v>0.435</v>
          </cell>
          <cell r="CD74">
            <v>0.50950000000000006</v>
          </cell>
          <cell r="CE74">
            <v>0.40597025076615412</v>
          </cell>
          <cell r="CG74">
            <v>0.50032451416854173</v>
          </cell>
          <cell r="CH74">
            <v>0.42440418571654787</v>
          </cell>
          <cell r="CI74">
            <v>0.50080297776855542</v>
          </cell>
          <cell r="CJ74">
            <v>0.40863710990030394</v>
          </cell>
        </row>
        <row r="76">
          <cell r="A76" t="str">
            <v xml:space="preserve">CSTV </v>
          </cell>
          <cell r="B76">
            <v>0</v>
          </cell>
          <cell r="C76">
            <v>0</v>
          </cell>
          <cell r="D76">
            <v>0</v>
          </cell>
          <cell r="E76">
            <v>0</v>
          </cell>
          <cell r="F76">
            <v>0</v>
          </cell>
          <cell r="G76">
            <v>16.8</v>
          </cell>
          <cell r="H76">
            <v>-20.093356774714081</v>
          </cell>
          <cell r="I76">
            <v>-13.560268795433188</v>
          </cell>
          <cell r="J76">
            <v>-1.1411368600808203</v>
          </cell>
          <cell r="K76">
            <v>22.328906388063842</v>
          </cell>
          <cell r="L76">
            <v>23.248716003112349</v>
          </cell>
          <cell r="M76">
            <v>25.489938027274633</v>
          </cell>
          <cell r="N76">
            <v>26.764434928638366</v>
          </cell>
          <cell r="O76">
            <v>28.102656675070286</v>
          </cell>
          <cell r="P76">
            <v>29.507789508823802</v>
          </cell>
          <cell r="Q76">
            <v>30.983178984264992</v>
          </cell>
          <cell r="AH76" t="str">
            <v xml:space="preserve">CSTV </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16.8</v>
          </cell>
          <cell r="BB76">
            <v>0</v>
          </cell>
          <cell r="BC76">
            <v>-11.627187499999991</v>
          </cell>
          <cell r="BD76">
            <v>-2.1415840000003072E-2</v>
          </cell>
          <cell r="BE76">
            <v>-2.8973136683250118</v>
          </cell>
          <cell r="BF76">
            <v>-5.5474397663890755</v>
          </cell>
          <cell r="BG76">
            <v>0</v>
          </cell>
          <cell r="BH76">
            <v>-15.220404137858395</v>
          </cell>
          <cell r="BI76">
            <v>-3.9972057118603175</v>
          </cell>
          <cell r="BJ76">
            <v>0.60814151174582776</v>
          </cell>
          <cell r="BK76">
            <v>5.0491995425396965</v>
          </cell>
          <cell r="BL76">
            <v>0</v>
          </cell>
          <cell r="BM76">
            <v>-12.27890777949105</v>
          </cell>
          <cell r="BN76">
            <v>-2.3356039901632641</v>
          </cell>
          <cell r="BO76">
            <v>2.803618144725192</v>
          </cell>
          <cell r="BP76">
            <v>10.669756764848302</v>
          </cell>
          <cell r="BQ76">
            <v>0</v>
          </cell>
          <cell r="BR76">
            <v>2.0476317491038003</v>
          </cell>
          <cell r="BS76">
            <v>0.67560636120956019</v>
          </cell>
          <cell r="BT76">
            <v>3.4234655516000601</v>
          </cell>
          <cell r="BU76">
            <v>16.182202726150422</v>
          </cell>
          <cell r="BV76">
            <v>0</v>
          </cell>
          <cell r="BW76">
            <v>2.8556721073699123</v>
          </cell>
          <cell r="BX76">
            <v>0.64965487010630341</v>
          </cell>
          <cell r="BY76">
            <v>4.9983204081253234</v>
          </cell>
          <cell r="BZ76">
            <v>14.74506861751081</v>
          </cell>
          <cell r="CA76">
            <v>0</v>
          </cell>
          <cell r="CB76">
            <v>3.3645834394897918</v>
          </cell>
          <cell r="CC76">
            <v>0.99998896984629937</v>
          </cell>
          <cell r="CD76">
            <v>5.6136225684303156</v>
          </cell>
          <cell r="CE76">
            <v>15.511743049508226</v>
          </cell>
          <cell r="CF76">
            <v>0</v>
          </cell>
          <cell r="CG76">
            <v>3.5328126114642817</v>
          </cell>
          <cell r="CH76">
            <v>1.0499884183386143</v>
          </cell>
          <cell r="CI76">
            <v>5.8943036968518312</v>
          </cell>
          <cell r="CJ76">
            <v>16.287330201983639</v>
          </cell>
        </row>
        <row r="77">
          <cell r="A77" t="str">
            <v xml:space="preserve">% Change </v>
          </cell>
          <cell r="B77" t="str">
            <v>-</v>
          </cell>
          <cell r="C77" t="str">
            <v>-</v>
          </cell>
          <cell r="D77" t="str">
            <v>-</v>
          </cell>
          <cell r="E77" t="str">
            <v>-</v>
          </cell>
          <cell r="F77" t="str">
            <v>-</v>
          </cell>
          <cell r="G77" t="str">
            <v>NM</v>
          </cell>
          <cell r="H77" t="str">
            <v>NM</v>
          </cell>
          <cell r="I77">
            <v>-0.3251367132196783</v>
          </cell>
          <cell r="J77">
            <v>-0.91584703243750365</v>
          </cell>
          <cell r="K77" t="str">
            <v>NM</v>
          </cell>
          <cell r="L77">
            <v>4.1193670619722011E-2</v>
          </cell>
          <cell r="M77">
            <v>9.6401970064163844E-2</v>
          </cell>
          <cell r="N77">
            <v>5.0000000000000044E-2</v>
          </cell>
          <cell r="O77">
            <v>5.0000000000000044E-2</v>
          </cell>
          <cell r="P77">
            <v>5.0000000000000044E-2</v>
          </cell>
          <cell r="Q77">
            <v>5.0000000000000044E-2</v>
          </cell>
          <cell r="AH77" t="str">
            <v xml:space="preserve">% Change </v>
          </cell>
          <cell r="AI77" t="str">
            <v>-</v>
          </cell>
          <cell r="AJ77" t="str">
            <v>-</v>
          </cell>
          <cell r="AK77" t="str">
            <v>-</v>
          </cell>
          <cell r="AL77" t="str">
            <v>-</v>
          </cell>
          <cell r="AN77" t="str">
            <v>-</v>
          </cell>
          <cell r="AO77" t="str">
            <v>-</v>
          </cell>
          <cell r="AP77" t="str">
            <v>-</v>
          </cell>
          <cell r="AQ77" t="str">
            <v>-</v>
          </cell>
          <cell r="AS77" t="str">
            <v>-</v>
          </cell>
          <cell r="AT77" t="str">
            <v>-</v>
          </cell>
          <cell r="AU77" t="str">
            <v>-</v>
          </cell>
          <cell r="AV77" t="str">
            <v>-</v>
          </cell>
          <cell r="AX77" t="str">
            <v>-</v>
          </cell>
          <cell r="AY77" t="str">
            <v>NM</v>
          </cell>
          <cell r="AZ77" t="str">
            <v>NM</v>
          </cell>
          <cell r="BA77" t="str">
            <v>NM</v>
          </cell>
          <cell r="BC77" t="str">
            <v>NM</v>
          </cell>
          <cell r="BD77" t="str">
            <v>NM</v>
          </cell>
          <cell r="BE77" t="str">
            <v>NM</v>
          </cell>
          <cell r="BF77">
            <v>-1.3302047479993497</v>
          </cell>
          <cell r="BH77">
            <v>0.30903575244300541</v>
          </cell>
          <cell r="BI77">
            <v>185.64715985269521</v>
          </cell>
          <cell r="BJ77">
            <v>-1.2098984029221127</v>
          </cell>
          <cell r="BK77">
            <v>-1.9101855549891456</v>
          </cell>
          <cell r="BM77">
            <v>-0.19326006929414108</v>
          </cell>
          <cell r="BN77">
            <v>-0.41569082040657257</v>
          </cell>
          <cell r="BO77">
            <v>3.6101410454232594</v>
          </cell>
          <cell r="BP77">
            <v>1.1131580708892961</v>
          </cell>
          <cell r="BR77">
            <v>-1.1667600885906053</v>
          </cell>
          <cell r="BS77">
            <v>-1.2892640893126466</v>
          </cell>
          <cell r="BT77">
            <v>0.2210883846792997</v>
          </cell>
          <cell r="BU77">
            <v>0.51664213934688452</v>
          </cell>
          <cell r="BW77">
            <v>0.39462191315395057</v>
          </cell>
          <cell r="BX77">
            <v>-3.8412147358700133E-2</v>
          </cell>
          <cell r="BY77">
            <v>0.46001773138602409</v>
          </cell>
          <cell r="BZ77">
            <v>-8.8809547931148147E-2</v>
          </cell>
          <cell r="CB77">
            <v>0.17821070241449721</v>
          </cell>
          <cell r="CC77">
            <v>0.53926186943333554</v>
          </cell>
          <cell r="CD77">
            <v>0.12310178421230278</v>
          </cell>
          <cell r="CE77">
            <v>5.1995311238289821E-2</v>
          </cell>
          <cell r="CG77">
            <v>0.05</v>
          </cell>
          <cell r="CH77">
            <v>0.05</v>
          </cell>
          <cell r="CI77">
            <v>0.05</v>
          </cell>
          <cell r="CJ77">
            <v>0.05</v>
          </cell>
        </row>
        <row r="78">
          <cell r="A78" t="str">
            <v xml:space="preserve">% Margin </v>
          </cell>
          <cell r="B78" t="str">
            <v>-</v>
          </cell>
          <cell r="C78" t="str">
            <v>-</v>
          </cell>
          <cell r="D78" t="str">
            <v>-</v>
          </cell>
          <cell r="E78" t="str">
            <v>-</v>
          </cell>
          <cell r="F78" t="str">
            <v>-</v>
          </cell>
          <cell r="G78">
            <v>0.35000000000000003</v>
          </cell>
          <cell r="H78">
            <v>-0.40492077568629947</v>
          </cell>
          <cell r="I78">
            <v>-0.24635927072219116</v>
          </cell>
          <cell r="J78">
            <v>-1.9370483356050919E-2</v>
          </cell>
          <cell r="K78">
            <v>0.31185010150921927</v>
          </cell>
          <cell r="L78">
            <v>0.30550902171582489</v>
          </cell>
          <cell r="M78">
            <v>0.31769721776686433</v>
          </cell>
          <cell r="N78">
            <v>0.31769721776686433</v>
          </cell>
          <cell r="O78">
            <v>0.31769721776686438</v>
          </cell>
          <cell r="P78">
            <v>0.31769721776686438</v>
          </cell>
          <cell r="Q78">
            <v>0.31769721776686438</v>
          </cell>
          <cell r="AH78" t="str">
            <v xml:space="preserve">% Margin </v>
          </cell>
          <cell r="AI78" t="str">
            <v>-</v>
          </cell>
          <cell r="AJ78" t="str">
            <v>-</v>
          </cell>
          <cell r="AK78" t="str">
            <v>-</v>
          </cell>
          <cell r="AL78" t="str">
            <v>-</v>
          </cell>
          <cell r="AN78" t="str">
            <v>-</v>
          </cell>
          <cell r="AO78" t="str">
            <v>-</v>
          </cell>
          <cell r="AP78" t="str">
            <v>-</v>
          </cell>
          <cell r="AQ78" t="str">
            <v>-</v>
          </cell>
          <cell r="AS78" t="str">
            <v>-</v>
          </cell>
          <cell r="AT78">
            <v>0</v>
          </cell>
          <cell r="AU78">
            <v>0</v>
          </cell>
          <cell r="AV78">
            <v>0</v>
          </cell>
          <cell r="AX78">
            <v>0</v>
          </cell>
          <cell r="AY78">
            <v>0</v>
          </cell>
          <cell r="AZ78">
            <v>0</v>
          </cell>
          <cell r="BA78">
            <v>1.2923076923076924</v>
          </cell>
          <cell r="BC78">
            <v>-0.81237991266375487</v>
          </cell>
          <cell r="BD78">
            <v>-1.9239692277619935E-3</v>
          </cell>
          <cell r="BE78">
            <v>-0.22902842548214025</v>
          </cell>
          <cell r="BF78">
            <v>-0.48117654962938666</v>
          </cell>
          <cell r="BH78">
            <v>-1.1343542977643803</v>
          </cell>
          <cell r="BI78">
            <v>-0.32876330087160571</v>
          </cell>
          <cell r="BJ78">
            <v>4.8543182187398039E-2</v>
          </cell>
          <cell r="BK78">
            <v>0.29808447275054073</v>
          </cell>
          <cell r="BM78">
            <v>-0.85771041059736819</v>
          </cell>
          <cell r="BN78">
            <v>-0.17927437384748757</v>
          </cell>
          <cell r="BO78">
            <v>0.21240838769892009</v>
          </cell>
          <cell r="BP78">
            <v>0.58089080940241222</v>
          </cell>
          <cell r="BR78">
            <v>0.13109810765639457</v>
          </cell>
          <cell r="BS78">
            <v>4.6479846029170983E-2</v>
          </cell>
          <cell r="BT78">
            <v>0.20359493741357093</v>
          </cell>
          <cell r="BU78">
            <v>0.65696446468542635</v>
          </cell>
          <cell r="BW78">
            <v>0.15854327210976915</v>
          </cell>
          <cell r="BX78">
            <v>4.1489472003459447E-2</v>
          </cell>
          <cell r="BY78">
            <v>0.26723827455357835</v>
          </cell>
          <cell r="BZ78">
            <v>0.62151391263327516</v>
          </cell>
          <cell r="CB78">
            <v>0.17654786087527116</v>
          </cell>
          <cell r="CC78">
            <v>6.0838583628261299E-2</v>
          </cell>
          <cell r="CD78">
            <v>0.28475764598940173</v>
          </cell>
          <cell r="CE78">
            <v>0.61984089489942973</v>
          </cell>
          <cell r="CG78">
            <v>0.17654786087527119</v>
          </cell>
          <cell r="CH78">
            <v>6.0838583628261299E-2</v>
          </cell>
          <cell r="CI78">
            <v>0.28475764598940168</v>
          </cell>
          <cell r="CJ78">
            <v>0.61984089489942973</v>
          </cell>
        </row>
        <row r="80">
          <cell r="A80" t="str">
            <v xml:space="preserve">Cable Networks </v>
          </cell>
          <cell r="B80">
            <v>280.87706351508655</v>
          </cell>
          <cell r="C80">
            <v>275.94501299263686</v>
          </cell>
          <cell r="D80">
            <v>306</v>
          </cell>
          <cell r="E80">
            <v>311.87637906576356</v>
          </cell>
          <cell r="F80">
            <v>321.8767989402503</v>
          </cell>
          <cell r="G80">
            <v>358.25659163890549</v>
          </cell>
          <cell r="H80">
            <v>389.50000000000017</v>
          </cell>
          <cell r="I80">
            <v>461.00000000000011</v>
          </cell>
          <cell r="J80">
            <v>569.30000000000007</v>
          </cell>
          <cell r="K80">
            <v>707</v>
          </cell>
          <cell r="L80">
            <v>811</v>
          </cell>
          <cell r="M80">
            <v>898</v>
          </cell>
          <cell r="N80">
            <v>999.97323779188719</v>
          </cell>
          <cell r="O80">
            <v>1035.6558210628932</v>
          </cell>
          <cell r="P80">
            <v>1102.0475742448252</v>
          </cell>
          <cell r="Q80">
            <v>1163.1623802825893</v>
          </cell>
          <cell r="AH80" t="str">
            <v xml:space="preserve">Cable Networks </v>
          </cell>
          <cell r="AI80">
            <v>70</v>
          </cell>
          <cell r="AJ80">
            <v>70</v>
          </cell>
          <cell r="AK80">
            <v>90</v>
          </cell>
          <cell r="AL80">
            <v>76</v>
          </cell>
          <cell r="AM80">
            <v>0</v>
          </cell>
          <cell r="AN80">
            <v>72</v>
          </cell>
          <cell r="AO80">
            <v>72</v>
          </cell>
          <cell r="AP80">
            <v>80.086789780662002</v>
          </cell>
          <cell r="AQ80">
            <v>87.789589285101556</v>
          </cell>
          <cell r="AR80">
            <v>0</v>
          </cell>
          <cell r="AS80">
            <v>72</v>
          </cell>
          <cell r="AT80">
            <v>78</v>
          </cell>
          <cell r="AU80">
            <v>83</v>
          </cell>
          <cell r="AV80">
            <v>88.876798940250239</v>
          </cell>
          <cell r="AW80">
            <v>0</v>
          </cell>
          <cell r="AX80">
            <v>75.449375000000003</v>
          </cell>
          <cell r="AY80">
            <v>85.70944639999999</v>
          </cell>
          <cell r="AZ80">
            <v>90.40280290900003</v>
          </cell>
          <cell r="BA80">
            <v>106.69496732990559</v>
          </cell>
          <cell r="BB80">
            <v>0</v>
          </cell>
          <cell r="BC80">
            <v>85.1</v>
          </cell>
          <cell r="BD80">
            <v>97.6</v>
          </cell>
          <cell r="BE80">
            <v>102</v>
          </cell>
          <cell r="BF80">
            <v>104.8</v>
          </cell>
          <cell r="BG80">
            <v>0</v>
          </cell>
          <cell r="BH80">
            <v>83.4</v>
          </cell>
          <cell r="BI80">
            <v>96.9</v>
          </cell>
          <cell r="BJ80">
            <v>127.9</v>
          </cell>
          <cell r="BK80">
            <v>152.80000000000001</v>
          </cell>
          <cell r="BL80">
            <v>0</v>
          </cell>
          <cell r="BM80">
            <v>100.9</v>
          </cell>
          <cell r="BN80">
            <v>129.30000000000001</v>
          </cell>
          <cell r="BO80">
            <v>170.5</v>
          </cell>
          <cell r="BP80">
            <v>168.6</v>
          </cell>
          <cell r="BQ80">
            <v>0</v>
          </cell>
          <cell r="BR80">
            <v>153</v>
          </cell>
          <cell r="BS80">
            <v>176</v>
          </cell>
          <cell r="BT80">
            <v>203</v>
          </cell>
          <cell r="BU80">
            <v>175</v>
          </cell>
          <cell r="BV80">
            <v>0</v>
          </cell>
          <cell r="BW80">
            <v>209</v>
          </cell>
          <cell r="BX80">
            <v>190</v>
          </cell>
          <cell r="BY80">
            <v>227</v>
          </cell>
          <cell r="BZ80">
            <v>185</v>
          </cell>
          <cell r="CA80">
            <v>0</v>
          </cell>
          <cell r="CB80">
            <v>231</v>
          </cell>
          <cell r="CC80">
            <v>207</v>
          </cell>
          <cell r="CD80">
            <v>261</v>
          </cell>
          <cell r="CE80">
            <v>199</v>
          </cell>
          <cell r="CF80">
            <v>0</v>
          </cell>
          <cell r="CG80">
            <v>273.24191699732899</v>
          </cell>
          <cell r="CH80">
            <v>230.95511336570956</v>
          </cell>
          <cell r="CI80">
            <v>265.24832535934081</v>
          </cell>
          <cell r="CJ80">
            <v>230.52788206950777</v>
          </cell>
        </row>
        <row r="81">
          <cell r="A81" t="str">
            <v xml:space="preserve">% Change </v>
          </cell>
          <cell r="B81" t="str">
            <v>-</v>
          </cell>
          <cell r="C81">
            <v>-1.7559463420496635E-2</v>
          </cell>
          <cell r="D81">
            <v>0.10891657972512481</v>
          </cell>
          <cell r="E81">
            <v>1.9203853156090078E-2</v>
          </cell>
          <cell r="F81">
            <v>3.2065332759227738E-2</v>
          </cell>
          <cell r="G81">
            <v>0.11302396699119766</v>
          </cell>
          <cell r="H81">
            <v>8.7209584108882465E-2</v>
          </cell>
          <cell r="I81">
            <v>0.18356867779204089</v>
          </cell>
          <cell r="J81">
            <v>0.23492407809110616</v>
          </cell>
          <cell r="K81">
            <v>0.24187598805550659</v>
          </cell>
          <cell r="L81">
            <v>0.14710042432814707</v>
          </cell>
          <cell r="M81">
            <v>0.10727496917385948</v>
          </cell>
          <cell r="N81">
            <v>0.1135559440889613</v>
          </cell>
          <cell r="O81">
            <v>3.5683538241282564E-2</v>
          </cell>
          <cell r="P81">
            <v>6.4106001078422237E-2</v>
          </cell>
          <cell r="Q81">
            <v>5.5455687636391637E-2</v>
          </cell>
          <cell r="AH81" t="str">
            <v xml:space="preserve">% Change </v>
          </cell>
          <cell r="AI81" t="str">
            <v>-</v>
          </cell>
          <cell r="AJ81" t="str">
            <v>-</v>
          </cell>
          <cell r="AK81" t="str">
            <v>-</v>
          </cell>
          <cell r="AL81" t="str">
            <v>-</v>
          </cell>
          <cell r="AN81">
            <v>2.857142857142847E-2</v>
          </cell>
          <cell r="AO81">
            <v>2.857142857142847E-2</v>
          </cell>
          <cell r="AP81">
            <v>-0.11014678021486668</v>
          </cell>
          <cell r="AQ81">
            <v>0.15512617480396784</v>
          </cell>
          <cell r="AS81">
            <v>0</v>
          </cell>
          <cell r="AT81">
            <v>8.3333333333333259E-2</v>
          </cell>
          <cell r="AU81">
            <v>3.6375664792115625E-2</v>
          </cell>
          <cell r="AV81">
            <v>1.2384266335019545E-2</v>
          </cell>
          <cell r="AX81">
            <v>4.7907986111111134E-2</v>
          </cell>
          <cell r="AY81">
            <v>9.8839056410256365E-2</v>
          </cell>
          <cell r="AZ81">
            <v>8.9190396493976198E-2</v>
          </cell>
          <cell r="BA81">
            <v>0.20048166227987219</v>
          </cell>
          <cell r="BC81">
            <v>0.1279086142197996</v>
          </cell>
          <cell r="BD81">
            <v>0.13873095789824164</v>
          </cell>
          <cell r="BE81">
            <v>0.12828360092633151</v>
          </cell>
          <cell r="BF81">
            <v>-1.7760606496520781E-2</v>
          </cell>
          <cell r="BH81">
            <v>-1.997649823736769E-2</v>
          </cell>
          <cell r="BI81">
            <v>-7.1721311475408944E-3</v>
          </cell>
          <cell r="BJ81">
            <v>0.25392156862745097</v>
          </cell>
          <cell r="BK81">
            <v>0.45801526717557262</v>
          </cell>
          <cell r="BM81">
            <v>0.20983213429256597</v>
          </cell>
          <cell r="BN81">
            <v>0.33436532507739947</v>
          </cell>
          <cell r="BO81">
            <v>0.33307271305707586</v>
          </cell>
          <cell r="BP81">
            <v>0.10340314136125639</v>
          </cell>
          <cell r="BR81">
            <v>0.51635282457879073</v>
          </cell>
          <cell r="BS81">
            <v>0.36117556071152346</v>
          </cell>
          <cell r="BT81">
            <v>0.19061583577712615</v>
          </cell>
          <cell r="BU81">
            <v>3.7959667852906387E-2</v>
          </cell>
          <cell r="BW81">
            <v>0.36601307189542487</v>
          </cell>
          <cell r="BX81">
            <v>7.9545454545454586E-2</v>
          </cell>
          <cell r="BY81">
            <v>0.11822660098522175</v>
          </cell>
          <cell r="BZ81">
            <v>5.7142857142857162E-2</v>
          </cell>
          <cell r="CB81">
            <v>0.10526315789473695</v>
          </cell>
          <cell r="CC81">
            <v>8.9473684210526372E-2</v>
          </cell>
          <cell r="CD81">
            <v>0.14977973568281944</v>
          </cell>
          <cell r="CE81">
            <v>7.5675675675675569E-2</v>
          </cell>
          <cell r="CG81">
            <v>0.18286544154687867</v>
          </cell>
          <cell r="CH81">
            <v>0.11572518534159215</v>
          </cell>
          <cell r="CI81">
            <v>1.6277108656478134E-2</v>
          </cell>
          <cell r="CJ81">
            <v>0.15843156818848114</v>
          </cell>
        </row>
        <row r="82">
          <cell r="A82" t="str">
            <v xml:space="preserve">% Margin </v>
          </cell>
          <cell r="B82">
            <v>0.27323594921607475</v>
          </cell>
          <cell r="C82">
            <v>0.26703128446373914</v>
          </cell>
          <cell r="D82">
            <v>0.30297029702970296</v>
          </cell>
          <cell r="E82">
            <v>0.29716804659932972</v>
          </cell>
          <cell r="F82">
            <v>0.27719371473212784</v>
          </cell>
          <cell r="G82">
            <v>0.28990838634472316</v>
          </cell>
          <cell r="H82">
            <v>0.30802688809806261</v>
          </cell>
          <cell r="I82">
            <v>0.34219121140142528</v>
          </cell>
          <cell r="J82">
            <v>0.38593993627550682</v>
          </cell>
          <cell r="K82">
            <v>0.43615052436767426</v>
          </cell>
          <cell r="L82">
            <v>0.45767494356659144</v>
          </cell>
          <cell r="M82">
            <v>0.43402609956500726</v>
          </cell>
          <cell r="N82">
            <v>0.45305403272080924</v>
          </cell>
          <cell r="O82">
            <v>0.45826494991238664</v>
          </cell>
          <cell r="P82">
            <v>0.4793762571424709</v>
          </cell>
          <cell r="Q82">
            <v>0.48359366115448693</v>
          </cell>
          <cell r="AH82" t="str">
            <v xml:space="preserve">% Margin </v>
          </cell>
          <cell r="AI82">
            <v>0.2857142857142857</v>
          </cell>
          <cell r="AJ82">
            <v>0.29166666666666669</v>
          </cell>
          <cell r="AK82">
            <v>0.36</v>
          </cell>
          <cell r="AL82">
            <v>0.27636363636363637</v>
          </cell>
          <cell r="AN82">
            <v>0.28799999999999998</v>
          </cell>
          <cell r="AO82">
            <v>0.27439024390243905</v>
          </cell>
          <cell r="AP82">
            <v>0.300343951602003</v>
          </cell>
          <cell r="AQ82">
            <v>0.32461191901525749</v>
          </cell>
          <cell r="AS82">
            <v>0.2742857142857143</v>
          </cell>
          <cell r="AT82">
            <v>0.25890912953422912</v>
          </cell>
          <cell r="AU82">
            <v>0.28361595235853398</v>
          </cell>
          <cell r="AV82">
            <v>0.29160511121737448</v>
          </cell>
          <cell r="AX82">
            <v>0.26323375490623641</v>
          </cell>
          <cell r="AY82">
            <v>0.26967310035138586</v>
          </cell>
          <cell r="AZ82">
            <v>0.29277251416834771</v>
          </cell>
          <cell r="BA82">
            <v>0.33081247260002777</v>
          </cell>
          <cell r="BC82">
            <v>0.26803149606299209</v>
          </cell>
          <cell r="BD82">
            <v>0.31092704683020073</v>
          </cell>
          <cell r="BE82">
            <v>0.32650448143405891</v>
          </cell>
          <cell r="BF82">
            <v>0.32678515746803866</v>
          </cell>
          <cell r="BH82">
            <v>0.24486200822078685</v>
          </cell>
          <cell r="BI82">
            <v>0.29506699147381243</v>
          </cell>
          <cell r="BJ82">
            <v>0.38628813047417698</v>
          </cell>
          <cell r="BK82">
            <v>0.44021895707288966</v>
          </cell>
          <cell r="BM82">
            <v>0.27418478260869567</v>
          </cell>
          <cell r="BN82">
            <v>0.3505965292841649</v>
          </cell>
          <cell r="BO82">
            <v>0.46081081081081082</v>
          </cell>
          <cell r="BP82">
            <v>0.45777898452348625</v>
          </cell>
          <cell r="BR82">
            <v>0.38931297709923662</v>
          </cell>
          <cell r="BS82">
            <v>0.42615012106537531</v>
          </cell>
          <cell r="BT82">
            <v>0.48333333333333334</v>
          </cell>
          <cell r="BU82">
            <v>0.44303797468354428</v>
          </cell>
          <cell r="BW82">
            <v>0.46238938053097345</v>
          </cell>
          <cell r="BX82">
            <v>0.42600896860986548</v>
          </cell>
          <cell r="BY82">
            <v>0.52064220183486243</v>
          </cell>
          <cell r="BZ82">
            <v>0.4223744292237443</v>
          </cell>
          <cell r="CB82">
            <v>0.48326359832635984</v>
          </cell>
          <cell r="CC82">
            <v>0.39961389961389959</v>
          </cell>
          <cell r="CD82">
            <v>0.43791946308724833</v>
          </cell>
          <cell r="CE82">
            <v>0.41719077568134172</v>
          </cell>
          <cell r="CG82">
            <v>0.48873592382816294</v>
          </cell>
          <cell r="CH82">
            <v>0.41317886603236703</v>
          </cell>
          <cell r="CI82">
            <v>0.49249959180813302</v>
          </cell>
          <cell r="CJ82">
            <v>0.41871730223999171</v>
          </cell>
        </row>
        <row r="84">
          <cell r="A84" t="str">
            <v xml:space="preserve">Publishing </v>
          </cell>
          <cell r="B84">
            <v>113.10114264633393</v>
          </cell>
          <cell r="C84">
            <v>108.76024653947522</v>
          </cell>
          <cell r="D84">
            <v>79.199999999999989</v>
          </cell>
          <cell r="E84">
            <v>83.313025911642228</v>
          </cell>
          <cell r="F84">
            <v>78</v>
          </cell>
          <cell r="G84">
            <v>97.2</v>
          </cell>
          <cell r="H84">
            <v>88.2</v>
          </cell>
          <cell r="I84">
            <v>52.4</v>
          </cell>
          <cell r="J84">
            <v>71.800000000000011</v>
          </cell>
          <cell r="K84">
            <v>92</v>
          </cell>
          <cell r="L84">
            <v>89</v>
          </cell>
          <cell r="M84">
            <v>113</v>
          </cell>
          <cell r="N84">
            <v>117.78367500000002</v>
          </cell>
          <cell r="O84">
            <v>121.86912500000003</v>
          </cell>
          <cell r="P84">
            <v>123.91185000000003</v>
          </cell>
          <cell r="Q84">
            <v>125.95457500000003</v>
          </cell>
          <cell r="AH84" t="str">
            <v xml:space="preserve">Publishing </v>
          </cell>
          <cell r="AI84">
            <v>5</v>
          </cell>
          <cell r="AJ84">
            <v>15</v>
          </cell>
          <cell r="AK84">
            <v>30</v>
          </cell>
          <cell r="AL84">
            <v>29.199999999999989</v>
          </cell>
          <cell r="AM84">
            <v>0</v>
          </cell>
          <cell r="AN84">
            <v>3</v>
          </cell>
          <cell r="AO84">
            <v>10</v>
          </cell>
          <cell r="AP84">
            <v>27.372800000000002</v>
          </cell>
          <cell r="AQ84">
            <v>42.94022591164223</v>
          </cell>
          <cell r="AR84">
            <v>0</v>
          </cell>
          <cell r="AS84">
            <v>5.7999999999999989</v>
          </cell>
          <cell r="AT84">
            <v>10.6</v>
          </cell>
          <cell r="AU84">
            <v>23.2</v>
          </cell>
          <cell r="AV84">
            <v>38.400000000000006</v>
          </cell>
          <cell r="AW84">
            <v>0</v>
          </cell>
          <cell r="AX84">
            <v>23.8</v>
          </cell>
          <cell r="AY84">
            <v>20.100000000000001</v>
          </cell>
          <cell r="AZ84">
            <v>23.8</v>
          </cell>
          <cell r="BA84">
            <v>29.5</v>
          </cell>
          <cell r="BB84">
            <v>0</v>
          </cell>
          <cell r="BC84">
            <v>17.100000000000001</v>
          </cell>
          <cell r="BD84">
            <v>17</v>
          </cell>
          <cell r="BE84">
            <v>25.8</v>
          </cell>
          <cell r="BF84">
            <v>28.3</v>
          </cell>
          <cell r="BG84">
            <v>0</v>
          </cell>
          <cell r="BH84">
            <v>0.1</v>
          </cell>
          <cell r="BI84">
            <v>10.3</v>
          </cell>
          <cell r="BJ84">
            <v>28.4</v>
          </cell>
          <cell r="BK84">
            <v>13.6</v>
          </cell>
          <cell r="BL84">
            <v>0</v>
          </cell>
          <cell r="BM84">
            <v>3.6</v>
          </cell>
          <cell r="BN84">
            <v>16.899999999999999</v>
          </cell>
          <cell r="BO84">
            <v>31.2</v>
          </cell>
          <cell r="BP84">
            <v>20.100000000000001</v>
          </cell>
          <cell r="BQ84">
            <v>0</v>
          </cell>
          <cell r="BR84">
            <v>7</v>
          </cell>
          <cell r="BS84">
            <v>19</v>
          </cell>
          <cell r="BT84">
            <v>38</v>
          </cell>
          <cell r="BU84">
            <v>28</v>
          </cell>
          <cell r="BV84">
            <v>0</v>
          </cell>
          <cell r="BW84">
            <v>10</v>
          </cell>
          <cell r="BX84">
            <v>9</v>
          </cell>
          <cell r="BY84">
            <v>39</v>
          </cell>
          <cell r="BZ84">
            <v>31</v>
          </cell>
          <cell r="CA84">
            <v>0</v>
          </cell>
          <cell r="CB84">
            <v>12</v>
          </cell>
          <cell r="CC84">
            <v>21</v>
          </cell>
          <cell r="CD84">
            <v>43</v>
          </cell>
          <cell r="CE84">
            <v>37</v>
          </cell>
          <cell r="CF84">
            <v>0</v>
          </cell>
          <cell r="CG84">
            <v>12.551775000000001</v>
          </cell>
          <cell r="CH84">
            <v>22.164450000000002</v>
          </cell>
          <cell r="CI84">
            <v>44.561200000000007</v>
          </cell>
          <cell r="CJ84">
            <v>38.506250000000001</v>
          </cell>
        </row>
        <row r="85">
          <cell r="A85" t="str">
            <v xml:space="preserve">% Change </v>
          </cell>
          <cell r="B85" t="str">
            <v>-</v>
          </cell>
          <cell r="C85">
            <v>-3.8380656510541566E-2</v>
          </cell>
          <cell r="D85">
            <v>-0.27179275038463757</v>
          </cell>
          <cell r="E85">
            <v>5.1932145349018244E-2</v>
          </cell>
          <cell r="F85">
            <v>-6.3771851442257832E-2</v>
          </cell>
          <cell r="G85">
            <v>0.24615384615384617</v>
          </cell>
          <cell r="H85">
            <v>-9.259259259259256E-2</v>
          </cell>
          <cell r="I85">
            <v>-0.4058956916099774</v>
          </cell>
          <cell r="J85">
            <v>0.37022900763358813</v>
          </cell>
          <cell r="K85">
            <v>0.28133704735376019</v>
          </cell>
          <cell r="L85">
            <v>-3.2608695652173947E-2</v>
          </cell>
          <cell r="M85">
            <v>0.2696629213483146</v>
          </cell>
          <cell r="N85">
            <v>4.2333407079646168E-2</v>
          </cell>
          <cell r="O85">
            <v>3.4686046262353498E-2</v>
          </cell>
          <cell r="P85">
            <v>1.6761628509271764E-2</v>
          </cell>
          <cell r="Q85">
            <v>1.6485307902351476E-2</v>
          </cell>
          <cell r="AH85" t="str">
            <v xml:space="preserve">% Change </v>
          </cell>
          <cell r="AI85" t="str">
            <v>-</v>
          </cell>
          <cell r="AJ85" t="str">
            <v>-</v>
          </cell>
          <cell r="AK85" t="str">
            <v>-</v>
          </cell>
          <cell r="AL85" t="str">
            <v>-</v>
          </cell>
          <cell r="AN85">
            <v>-0.4</v>
          </cell>
          <cell r="AO85">
            <v>-0.33333333333333337</v>
          </cell>
          <cell r="AP85">
            <v>-8.7573333333333281E-2</v>
          </cell>
          <cell r="AQ85">
            <v>0.4705556819055563</v>
          </cell>
          <cell r="AS85">
            <v>0.9333333333333329</v>
          </cell>
          <cell r="AT85">
            <v>6.0000000000000053E-2</v>
          </cell>
          <cell r="AU85">
            <v>-0.15244330137947171</v>
          </cell>
          <cell r="AV85">
            <v>-0.10573362890508797</v>
          </cell>
          <cell r="AX85">
            <v>3.1034482758620703</v>
          </cell>
          <cell r="AY85">
            <v>0.89622641509433976</v>
          </cell>
          <cell r="AZ85">
            <v>2.5862068965517349E-2</v>
          </cell>
          <cell r="BA85">
            <v>-0.23177083333333348</v>
          </cell>
          <cell r="BC85">
            <v>-0.28151260504201681</v>
          </cell>
          <cell r="BD85">
            <v>-0.15422885572139311</v>
          </cell>
          <cell r="BE85">
            <v>8.4033613445378075E-2</v>
          </cell>
          <cell r="BF85">
            <v>-4.067796610169494E-2</v>
          </cell>
          <cell r="BH85">
            <v>-0.99415204678362579</v>
          </cell>
          <cell r="BI85">
            <v>-0.39411764705882346</v>
          </cell>
          <cell r="BJ85">
            <v>0.10077519379844957</v>
          </cell>
          <cell r="BK85">
            <v>-0.51943462897526504</v>
          </cell>
          <cell r="BM85">
            <v>35</v>
          </cell>
          <cell r="BN85">
            <v>0.64077669902912593</v>
          </cell>
          <cell r="BO85">
            <v>9.8591549295774739E-2</v>
          </cell>
          <cell r="BP85">
            <v>0.47794117647058831</v>
          </cell>
          <cell r="BR85">
            <v>0.94444444444444442</v>
          </cell>
          <cell r="BS85">
            <v>0.12426035502958599</v>
          </cell>
          <cell r="BT85">
            <v>0.21794871794871806</v>
          </cell>
          <cell r="BU85">
            <v>0.39303482587064664</v>
          </cell>
          <cell r="BW85">
            <v>0.4285714285714286</v>
          </cell>
          <cell r="BX85">
            <v>-0.52631578947368429</v>
          </cell>
          <cell r="BY85">
            <v>2.6315789473684292E-2</v>
          </cell>
          <cell r="BZ85">
            <v>0.10714285714285721</v>
          </cell>
          <cell r="CB85">
            <v>0.19999999999999996</v>
          </cell>
          <cell r="CC85">
            <v>1.3333333333333335</v>
          </cell>
          <cell r="CD85">
            <v>0.10256410256410264</v>
          </cell>
          <cell r="CE85">
            <v>0.19354838709677424</v>
          </cell>
          <cell r="CG85">
            <v>4.5981250000000085E-2</v>
          </cell>
          <cell r="CH85">
            <v>5.5449999999999999E-2</v>
          </cell>
          <cell r="CI85">
            <v>3.6306976744186148E-2</v>
          </cell>
          <cell r="CJ85">
            <v>4.0709459459459474E-2</v>
          </cell>
        </row>
        <row r="86">
          <cell r="A86" t="str">
            <v xml:space="preserve">% Margin </v>
          </cell>
          <cell r="B86">
            <v>0.16800931332428537</v>
          </cell>
          <cell r="C86">
            <v>0.15639144213993614</v>
          </cell>
          <cell r="D86">
            <v>0.10512738548305949</v>
          </cell>
          <cell r="E86">
            <v>0.10713366527379398</v>
          </cell>
          <cell r="F86">
            <v>9.6658587000163568E-2</v>
          </cell>
          <cell r="G86">
            <v>0.10969416544408081</v>
          </cell>
          <cell r="H86">
            <v>0.10283315844700944</v>
          </cell>
          <cell r="I86">
            <v>6.6036546943919347E-2</v>
          </cell>
          <cell r="J86">
            <v>9.0794132524026322E-2</v>
          </cell>
          <cell r="K86">
            <v>0.11689961880559085</v>
          </cell>
          <cell r="L86">
            <v>0.11265822784810127</v>
          </cell>
          <cell r="M86">
            <v>0.13967861557478367</v>
          </cell>
          <cell r="N86">
            <v>0.1441501854140915</v>
          </cell>
          <cell r="O86">
            <v>0.1491501854140915</v>
          </cell>
          <cell r="P86">
            <v>0.1516501854140915</v>
          </cell>
          <cell r="Q86">
            <v>0.15415018541409151</v>
          </cell>
          <cell r="AH86" t="str">
            <v xml:space="preserve">% Margin </v>
          </cell>
          <cell r="AI86">
            <v>3.3602150537634407E-2</v>
          </cell>
          <cell r="AJ86">
            <v>8.2146768893756841E-2</v>
          </cell>
          <cell r="AK86">
            <v>0.14423076923076922</v>
          </cell>
          <cell r="AL86">
            <v>0.13646662740334858</v>
          </cell>
          <cell r="AN86">
            <v>1.9035532994923859E-2</v>
          </cell>
          <cell r="AO86">
            <v>5.7438253877082138E-2</v>
          </cell>
          <cell r="AP86">
            <v>0.14000000000000001</v>
          </cell>
          <cell r="AQ86">
            <v>0.17146258791572541</v>
          </cell>
          <cell r="AS86">
            <v>3.2282482856888402E-2</v>
          </cell>
          <cell r="AT86">
            <v>5.9751972942502812E-2</v>
          </cell>
          <cell r="AU86">
            <v>0.11752786220871327</v>
          </cell>
          <cell r="AV86">
            <v>0.1520792079207921</v>
          </cell>
          <cell r="AX86">
            <v>0.10379415612734409</v>
          </cell>
          <cell r="AY86">
            <v>0.10034947578632052</v>
          </cell>
          <cell r="AZ86">
            <v>0.11111111111111112</v>
          </cell>
          <cell r="BA86">
            <v>0.1217498968221213</v>
          </cell>
          <cell r="BC86">
            <v>8.4821428571428575E-2</v>
          </cell>
          <cell r="BD86">
            <v>9.1397849462365593E-2</v>
          </cell>
          <cell r="BE86">
            <v>0.11466666666666667</v>
          </cell>
          <cell r="BF86">
            <v>0.11546307629538964</v>
          </cell>
          <cell r="BH86">
            <v>6.1842918985776133E-4</v>
          </cell>
          <cell r="BI86">
            <v>5.6780595369349506E-2</v>
          </cell>
          <cell r="BJ86">
            <v>0.12326388888888888</v>
          </cell>
          <cell r="BK86">
            <v>6.1818181818181814E-2</v>
          </cell>
          <cell r="BM86">
            <v>2.3731048121292026E-2</v>
          </cell>
          <cell r="BN86">
            <v>8.9088033737480227E-2</v>
          </cell>
          <cell r="BO86">
            <v>0.14331649058337162</v>
          </cell>
          <cell r="BP86">
            <v>8.6750107898144163E-2</v>
          </cell>
          <cell r="BR86">
            <v>4.5161290322580643E-2</v>
          </cell>
          <cell r="BS86">
            <v>0.10382513661202186</v>
          </cell>
          <cell r="BT86">
            <v>0.17272727272727273</v>
          </cell>
          <cell r="BU86">
            <v>0.1222707423580786</v>
          </cell>
          <cell r="BW86">
            <v>5.6818181818181816E-2</v>
          </cell>
          <cell r="BX86">
            <v>4.7619047619047616E-2</v>
          </cell>
          <cell r="BY86">
            <v>0.18571428571428572</v>
          </cell>
          <cell r="BZ86">
            <v>0.14418604651162792</v>
          </cell>
          <cell r="CB86">
            <v>7.0175438596491224E-2</v>
          </cell>
          <cell r="CC86">
            <v>0.1111111111111111</v>
          </cell>
          <cell r="CD86">
            <v>0.19196428571428573</v>
          </cell>
          <cell r="CE86">
            <v>0.16444444444444445</v>
          </cell>
          <cell r="CG86">
            <v>7.2675438596491226E-2</v>
          </cell>
          <cell r="CH86">
            <v>0.11611111111111111</v>
          </cell>
          <cell r="CI86">
            <v>0.19696428571428573</v>
          </cell>
          <cell r="CJ86">
            <v>0.16944444444444445</v>
          </cell>
        </row>
        <row r="88">
          <cell r="A88" t="str">
            <v xml:space="preserve">Theme Parks </v>
          </cell>
          <cell r="B88">
            <v>47.798857353666051</v>
          </cell>
          <cell r="C88">
            <v>39.339753460524776</v>
          </cell>
          <cell r="D88">
            <v>101</v>
          </cell>
          <cell r="E88">
            <v>101.48697408835778</v>
          </cell>
          <cell r="F88">
            <v>0</v>
          </cell>
          <cell r="G88">
            <v>0</v>
          </cell>
          <cell r="H88">
            <v>0</v>
          </cell>
          <cell r="I88">
            <v>0</v>
          </cell>
          <cell r="J88">
            <v>0</v>
          </cell>
          <cell r="K88">
            <v>0</v>
          </cell>
          <cell r="L88">
            <v>0</v>
          </cell>
          <cell r="M88">
            <v>0</v>
          </cell>
          <cell r="N88">
            <v>0</v>
          </cell>
          <cell r="O88">
            <v>0</v>
          </cell>
          <cell r="P88">
            <v>0</v>
          </cell>
          <cell r="Q88">
            <v>0</v>
          </cell>
          <cell r="AH88" t="str">
            <v xml:space="preserve">Theme Parks </v>
          </cell>
          <cell r="AI88">
            <v>-5</v>
          </cell>
          <cell r="AJ88">
            <v>29.200000000000003</v>
          </cell>
          <cell r="AK88">
            <v>80.7</v>
          </cell>
          <cell r="AL88">
            <v>-3.8999999999999879</v>
          </cell>
          <cell r="AM88">
            <v>0</v>
          </cell>
          <cell r="AN88">
            <v>-6.9</v>
          </cell>
          <cell r="AO88">
            <v>22.9</v>
          </cell>
          <cell r="AP88">
            <v>87.927199999999999</v>
          </cell>
          <cell r="AQ88">
            <v>-2.44022591164223</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B88">
            <v>0</v>
          </cell>
          <cell r="CC88">
            <v>0</v>
          </cell>
          <cell r="CD88">
            <v>0</v>
          </cell>
          <cell r="CE88">
            <v>0</v>
          </cell>
          <cell r="CG88">
            <v>0</v>
          </cell>
          <cell r="CH88">
            <v>0</v>
          </cell>
          <cell r="CI88">
            <v>0</v>
          </cell>
          <cell r="CJ88">
            <v>0</v>
          </cell>
        </row>
        <row r="89">
          <cell r="A89" t="str">
            <v xml:space="preserve">% Change </v>
          </cell>
          <cell r="B89" t="str">
            <v>-</v>
          </cell>
          <cell r="C89">
            <v>-0.17697293118435775</v>
          </cell>
          <cell r="D89">
            <v>1.5673775536328107</v>
          </cell>
          <cell r="E89">
            <v>4.8215256273047569E-3</v>
          </cell>
          <cell r="F89" t="str">
            <v>-</v>
          </cell>
          <cell r="G89" t="str">
            <v>-</v>
          </cell>
          <cell r="H89" t="str">
            <v>-</v>
          </cell>
          <cell r="I89" t="str">
            <v>-</v>
          </cell>
          <cell r="J89" t="str">
            <v>-</v>
          </cell>
          <cell r="K89" t="str">
            <v>-</v>
          </cell>
          <cell r="L89" t="str">
            <v>-</v>
          </cell>
          <cell r="M89" t="str">
            <v>-</v>
          </cell>
          <cell r="N89" t="str">
            <v>-</v>
          </cell>
          <cell r="O89" t="str">
            <v>-</v>
          </cell>
          <cell r="P89" t="str">
            <v>-</v>
          </cell>
          <cell r="Q89" t="str">
            <v>-</v>
          </cell>
          <cell r="AH89" t="str">
            <v xml:space="preserve">% Change </v>
          </cell>
          <cell r="AI89" t="str">
            <v>-</v>
          </cell>
          <cell r="AJ89" t="str">
            <v>-</v>
          </cell>
          <cell r="AK89" t="str">
            <v>-</v>
          </cell>
          <cell r="AL89" t="str">
            <v>-</v>
          </cell>
          <cell r="AN89">
            <v>0.38000000000000012</v>
          </cell>
          <cell r="AO89">
            <v>-0.21575342465753433</v>
          </cell>
          <cell r="AP89">
            <v>8.9556381660470752E-2</v>
          </cell>
          <cell r="AQ89">
            <v>-0.37430104829686217</v>
          </cell>
          <cell r="AS89" t="str">
            <v>-</v>
          </cell>
          <cell r="AT89" t="str">
            <v>-</v>
          </cell>
          <cell r="AU89" t="str">
            <v>-</v>
          </cell>
          <cell r="AV89" t="str">
            <v>-</v>
          </cell>
          <cell r="AX89" t="str">
            <v>-</v>
          </cell>
          <cell r="AY89" t="str">
            <v>-</v>
          </cell>
          <cell r="AZ89" t="str">
            <v>-</v>
          </cell>
          <cell r="BA89" t="str">
            <v>-</v>
          </cell>
          <cell r="BC89" t="str">
            <v>-</v>
          </cell>
          <cell r="BD89" t="str">
            <v>-</v>
          </cell>
          <cell r="BE89" t="str">
            <v>-</v>
          </cell>
          <cell r="BF89" t="str">
            <v>-</v>
          </cell>
          <cell r="BH89" t="str">
            <v>-</v>
          </cell>
          <cell r="BI89" t="str">
            <v>-</v>
          </cell>
          <cell r="BJ89" t="str">
            <v>-</v>
          </cell>
          <cell r="BK89" t="str">
            <v>-</v>
          </cell>
          <cell r="BM89" t="str">
            <v>-</v>
          </cell>
          <cell r="BN89" t="str">
            <v>-</v>
          </cell>
          <cell r="BO89" t="str">
            <v>-</v>
          </cell>
          <cell r="BP89" t="str">
            <v>-</v>
          </cell>
          <cell r="BR89" t="str">
            <v>-</v>
          </cell>
          <cell r="BS89" t="str">
            <v>-</v>
          </cell>
          <cell r="BT89" t="str">
            <v>-</v>
          </cell>
          <cell r="BU89" t="str">
            <v>-</v>
          </cell>
          <cell r="BW89" t="str">
            <v>-</v>
          </cell>
          <cell r="BX89" t="str">
            <v>-</v>
          </cell>
          <cell r="BY89" t="str">
            <v>-</v>
          </cell>
          <cell r="BZ89" t="str">
            <v>-</v>
          </cell>
          <cell r="CB89" t="str">
            <v>-</v>
          </cell>
          <cell r="CC89" t="str">
            <v>-</v>
          </cell>
          <cell r="CD89" t="str">
            <v>-</v>
          </cell>
          <cell r="CE89" t="str">
            <v>-</v>
          </cell>
          <cell r="CG89" t="str">
            <v>-</v>
          </cell>
          <cell r="CH89" t="str">
            <v>-</v>
          </cell>
          <cell r="CI89" t="str">
            <v>-</v>
          </cell>
          <cell r="CJ89" t="str">
            <v>-</v>
          </cell>
        </row>
        <row r="90">
          <cell r="A90" t="str">
            <v xml:space="preserve">% Margin </v>
          </cell>
          <cell r="B90">
            <v>0.12668115848920108</v>
          </cell>
          <cell r="C90">
            <v>0.10522478377937364</v>
          </cell>
          <cell r="D90">
            <v>0.24789639501254859</v>
          </cell>
          <cell r="E90">
            <v>0.24786470355143847</v>
          </cell>
          <cell r="F90" t="str">
            <v>-</v>
          </cell>
          <cell r="G90" t="str">
            <v>-</v>
          </cell>
          <cell r="H90" t="str">
            <v>-</v>
          </cell>
          <cell r="I90" t="str">
            <v>-</v>
          </cell>
          <cell r="J90" t="str">
            <v>-</v>
          </cell>
          <cell r="K90" t="str">
            <v>-</v>
          </cell>
          <cell r="L90" t="str">
            <v>-</v>
          </cell>
          <cell r="M90" t="str">
            <v>-</v>
          </cell>
          <cell r="N90" t="str">
            <v>-</v>
          </cell>
          <cell r="O90" t="str">
            <v>-</v>
          </cell>
          <cell r="P90" t="str">
            <v>-</v>
          </cell>
          <cell r="Q90" t="str">
            <v>-</v>
          </cell>
          <cell r="AH90" t="str">
            <v xml:space="preserve">% Margin </v>
          </cell>
          <cell r="AI90">
            <v>-0.5</v>
          </cell>
          <cell r="AJ90">
            <v>0.19466666666666668</v>
          </cell>
          <cell r="AK90">
            <v>0.36565473493430001</v>
          </cell>
          <cell r="AL90">
            <v>-0.14591290879738467</v>
          </cell>
          <cell r="AN90">
            <v>-0.69000000000000006</v>
          </cell>
          <cell r="AO90">
            <v>0.15793103448275861</v>
          </cell>
          <cell r="AP90">
            <v>0.384667074984688</v>
          </cell>
          <cell r="AQ90">
            <v>-9.434455436951221E-2</v>
          </cell>
          <cell r="AS90" t="str">
            <v>-</v>
          </cell>
          <cell r="AT90" t="str">
            <v>-</v>
          </cell>
          <cell r="AU90" t="str">
            <v>-</v>
          </cell>
          <cell r="AV90" t="str">
            <v>-</v>
          </cell>
          <cell r="AX90" t="str">
            <v>-</v>
          </cell>
          <cell r="AY90" t="str">
            <v>-</v>
          </cell>
          <cell r="AZ90" t="str">
            <v>-</v>
          </cell>
          <cell r="BA90" t="str">
            <v>-</v>
          </cell>
          <cell r="BC90" t="str">
            <v>-</v>
          </cell>
          <cell r="BD90" t="str">
            <v>-</v>
          </cell>
          <cell r="BE90" t="str">
            <v>-</v>
          </cell>
          <cell r="BF90" t="str">
            <v>-</v>
          </cell>
          <cell r="BH90" t="str">
            <v>-</v>
          </cell>
          <cell r="BI90" t="str">
            <v>-</v>
          </cell>
          <cell r="BJ90" t="str">
            <v>-</v>
          </cell>
          <cell r="BK90" t="str">
            <v>-</v>
          </cell>
          <cell r="BM90" t="str">
            <v>-</v>
          </cell>
          <cell r="BN90" t="str">
            <v>-</v>
          </cell>
          <cell r="BO90" t="str">
            <v>-</v>
          </cell>
          <cell r="BP90" t="str">
            <v>-</v>
          </cell>
          <cell r="BR90" t="str">
            <v>-</v>
          </cell>
          <cell r="BS90" t="str">
            <v>-</v>
          </cell>
          <cell r="BT90" t="str">
            <v>-</v>
          </cell>
          <cell r="BU90" t="str">
            <v>-</v>
          </cell>
          <cell r="BW90" t="str">
            <v>-</v>
          </cell>
          <cell r="BX90" t="str">
            <v>-</v>
          </cell>
          <cell r="BY90" t="str">
            <v>-</v>
          </cell>
          <cell r="BZ90" t="str">
            <v>-</v>
          </cell>
          <cell r="CB90" t="str">
            <v>-</v>
          </cell>
          <cell r="CC90" t="str">
            <v>-</v>
          </cell>
          <cell r="CD90" t="str">
            <v>-</v>
          </cell>
          <cell r="CE90" t="str">
            <v>-</v>
          </cell>
          <cell r="CG90" t="str">
            <v>-</v>
          </cell>
          <cell r="CH90" t="str">
            <v>-</v>
          </cell>
          <cell r="CI90" t="str">
            <v>-</v>
          </cell>
          <cell r="CJ90" t="str">
            <v>-</v>
          </cell>
        </row>
        <row r="92">
          <cell r="A92" t="str">
            <v>TOTAL CONTENT GROUP EBITDA</v>
          </cell>
          <cell r="B92">
            <v>1070.8479763893204</v>
          </cell>
          <cell r="C92">
            <v>1150.8002775821456</v>
          </cell>
          <cell r="D92">
            <v>1449.0750448530548</v>
          </cell>
          <cell r="E92">
            <v>1379.4356262027566</v>
          </cell>
          <cell r="F92">
            <v>1364.9363166445887</v>
          </cell>
          <cell r="G92">
            <v>1481.807607678315</v>
          </cell>
          <cell r="H92">
            <v>1503.1000000000004</v>
          </cell>
          <cell r="I92">
            <v>1389.3000000000002</v>
          </cell>
          <cell r="J92">
            <v>1535.3999999999999</v>
          </cell>
          <cell r="K92">
            <v>2230</v>
          </cell>
          <cell r="L92">
            <v>2449</v>
          </cell>
          <cell r="M92">
            <v>2769</v>
          </cell>
          <cell r="N92">
            <v>2919.5343091019113</v>
          </cell>
          <cell r="O92">
            <v>3172.4199147375448</v>
          </cell>
          <cell r="P92">
            <v>3488.1887586540165</v>
          </cell>
          <cell r="Q92">
            <v>3742.4203393738976</v>
          </cell>
          <cell r="AH92" t="str">
            <v>TOTAL CONTENT GROUP EBITDA</v>
          </cell>
          <cell r="AI92">
            <v>256.762514741416</v>
          </cell>
          <cell r="AJ92">
            <v>494.27342000253168</v>
          </cell>
          <cell r="AK92">
            <v>472.29188080406948</v>
          </cell>
          <cell r="AL92">
            <v>225.74722930503771</v>
          </cell>
          <cell r="AM92">
            <v>0</v>
          </cell>
          <cell r="AN92">
            <v>256.87526810022473</v>
          </cell>
          <cell r="AO92">
            <v>408.25713776027879</v>
          </cell>
          <cell r="AP92">
            <v>392.95743091784936</v>
          </cell>
          <cell r="AQ92">
            <v>321.34578942440373</v>
          </cell>
          <cell r="AR92">
            <v>0</v>
          </cell>
          <cell r="AS92">
            <v>271.00221667479252</v>
          </cell>
          <cell r="AT92">
            <v>351.12905902630439</v>
          </cell>
          <cell r="AU92">
            <v>322.20546472505021</v>
          </cell>
          <cell r="AV92">
            <v>420.59957621844148</v>
          </cell>
          <cell r="AW92">
            <v>0</v>
          </cell>
          <cell r="AX92">
            <v>273.26716062079549</v>
          </cell>
          <cell r="AY92">
            <v>425.12613762998154</v>
          </cell>
          <cell r="AZ92">
            <v>369.6427584317745</v>
          </cell>
          <cell r="BA92">
            <v>413.77155099576328</v>
          </cell>
          <cell r="BB92">
            <v>0</v>
          </cell>
          <cell r="BC92">
            <v>396.70000000000005</v>
          </cell>
          <cell r="BD92">
            <v>406.29999999999995</v>
          </cell>
          <cell r="BE92">
            <v>390.3</v>
          </cell>
          <cell r="BF92">
            <v>309.8</v>
          </cell>
          <cell r="BG92">
            <v>0</v>
          </cell>
          <cell r="BH92">
            <v>234.6</v>
          </cell>
          <cell r="BI92">
            <v>316.7</v>
          </cell>
          <cell r="BJ92">
            <v>480.8</v>
          </cell>
          <cell r="BK92">
            <v>357.2</v>
          </cell>
          <cell r="BL92">
            <v>0</v>
          </cell>
          <cell r="BM92">
            <v>249.3</v>
          </cell>
          <cell r="BN92">
            <v>368.79999999999995</v>
          </cell>
          <cell r="BO92">
            <v>479.59999999999997</v>
          </cell>
          <cell r="BP92">
            <v>437.70000000000005</v>
          </cell>
          <cell r="BQ92">
            <v>0</v>
          </cell>
          <cell r="BR92">
            <v>428</v>
          </cell>
          <cell r="BS92">
            <v>635</v>
          </cell>
          <cell r="BT92">
            <v>646</v>
          </cell>
          <cell r="BU92">
            <v>521</v>
          </cell>
          <cell r="BV92">
            <v>0</v>
          </cell>
          <cell r="BW92">
            <v>630</v>
          </cell>
          <cell r="BX92">
            <v>625</v>
          </cell>
          <cell r="BY92">
            <v>650</v>
          </cell>
          <cell r="BZ92">
            <v>544</v>
          </cell>
          <cell r="CA92">
            <v>0</v>
          </cell>
          <cell r="CB92">
            <v>723</v>
          </cell>
          <cell r="CC92">
            <v>657</v>
          </cell>
          <cell r="CD92">
            <v>735</v>
          </cell>
          <cell r="CE92">
            <v>654</v>
          </cell>
          <cell r="CF92">
            <v>0</v>
          </cell>
          <cell r="CG92">
            <v>737.57958254513017</v>
          </cell>
          <cell r="CH92">
            <v>729.0440163491495</v>
          </cell>
          <cell r="CI92">
            <v>783.44015959561727</v>
          </cell>
          <cell r="CJ92">
            <v>669.47055061201411</v>
          </cell>
        </row>
        <row r="93">
          <cell r="A93" t="str">
            <v xml:space="preserve">% Change </v>
          </cell>
          <cell r="B93" t="str">
            <v>-</v>
          </cell>
          <cell r="C93">
            <v>7.4662606603047355E-2</v>
          </cell>
          <cell r="D93">
            <v>0.2591889948945707</v>
          </cell>
          <cell r="E93">
            <v>-4.8057841377952992E-2</v>
          </cell>
          <cell r="F93">
            <v>-1.0511044722022134E-2</v>
          </cell>
          <cell r="G93">
            <v>8.5623988173330945E-2</v>
          </cell>
          <cell r="H93">
            <v>1.4369201650304753E-2</v>
          </cell>
          <cell r="I93">
            <v>-7.5710198922227523E-2</v>
          </cell>
          <cell r="J93">
            <v>0.10516087238177474</v>
          </cell>
          <cell r="K93">
            <v>0.45239025661065524</v>
          </cell>
          <cell r="L93">
            <v>9.8206278026905736E-2</v>
          </cell>
          <cell r="M93">
            <v>0.13066557778685173</v>
          </cell>
          <cell r="N93">
            <v>5.4364141965298485E-2</v>
          </cell>
          <cell r="O93">
            <v>8.661847365425368E-2</v>
          </cell>
          <cell r="P93">
            <v>9.9535639166038692E-2</v>
          </cell>
          <cell r="Q93">
            <v>7.2883550263484365E-2</v>
          </cell>
          <cell r="AH93" t="str">
            <v xml:space="preserve">% Change </v>
          </cell>
          <cell r="AI93" t="str">
            <v>-</v>
          </cell>
          <cell r="AJ93" t="str">
            <v>-</v>
          </cell>
          <cell r="AK93" t="str">
            <v>-</v>
          </cell>
          <cell r="AL93" t="str">
            <v>-</v>
          </cell>
          <cell r="AN93">
            <v>4.3913481265867027E-4</v>
          </cell>
          <cell r="AO93">
            <v>-0.17402570877028412</v>
          </cell>
          <cell r="AP93">
            <v>-0.16797758570643739</v>
          </cell>
          <cell r="AQ93">
            <v>0.42347611713182909</v>
          </cell>
          <cell r="AS93">
            <v>5.4995362843011764E-2</v>
          </cell>
          <cell r="AT93">
            <v>-0.13993161037522139</v>
          </cell>
          <cell r="AU93">
            <v>-0.18004995102787702</v>
          </cell>
          <cell r="AV93">
            <v>0.30886910630390285</v>
          </cell>
          <cell r="AX93">
            <v>8.3576583756175271E-3</v>
          </cell>
          <cell r="AY93">
            <v>0.21074040072010614</v>
          </cell>
          <cell r="AZ93">
            <v>0.14722684404873232</v>
          </cell>
          <cell r="BA93">
            <v>-1.6234027823014308E-2</v>
          </cell>
          <cell r="BC93">
            <v>0.45169291143068802</v>
          </cell>
          <cell r="BD93">
            <v>-4.4283651282733816E-2</v>
          </cell>
          <cell r="BE93">
            <v>5.5884339939093586E-2</v>
          </cell>
          <cell r="BF93">
            <v>-0.25127766939401752</v>
          </cell>
          <cell r="BH93">
            <v>-0.40862112427527109</v>
          </cell>
          <cell r="BI93">
            <v>-0.22052670440561151</v>
          </cell>
          <cell r="BJ93">
            <v>0.23187291826799905</v>
          </cell>
          <cell r="BK93">
            <v>0.15300193673337636</v>
          </cell>
          <cell r="BM93">
            <v>6.2659846547314713E-2</v>
          </cell>
          <cell r="BN93">
            <v>0.16450899905273109</v>
          </cell>
          <cell r="BO93">
            <v>-2.4958402662230705E-3</v>
          </cell>
          <cell r="BP93">
            <v>0.22536394176931718</v>
          </cell>
          <cell r="BR93">
            <v>0.7168070597673486</v>
          </cell>
          <cell r="BS93">
            <v>0.72180043383947967</v>
          </cell>
          <cell r="BT93">
            <v>0.34695579649708108</v>
          </cell>
          <cell r="BU93">
            <v>0.19031299977153293</v>
          </cell>
          <cell r="BW93">
            <v>0.47196261682243001</v>
          </cell>
          <cell r="BX93">
            <v>-1.5748031496062964E-2</v>
          </cell>
          <cell r="BY93">
            <v>6.1919504643963563E-3</v>
          </cell>
          <cell r="BZ93">
            <v>4.4145873320537321E-2</v>
          </cell>
          <cell r="CB93">
            <v>0.14761904761904754</v>
          </cell>
          <cell r="CC93">
            <v>5.1199999999999912E-2</v>
          </cell>
          <cell r="CD93">
            <v>0.13076923076923075</v>
          </cell>
          <cell r="CE93">
            <v>0.20220588235294112</v>
          </cell>
          <cell r="CG93">
            <v>2.0165397711106703E-2</v>
          </cell>
          <cell r="CH93">
            <v>0.10965603706111038</v>
          </cell>
          <cell r="CI93">
            <v>6.5904979041656153E-2</v>
          </cell>
          <cell r="CJ93">
            <v>2.3655276165159167E-2</v>
          </cell>
        </row>
        <row r="94">
          <cell r="A94" t="str">
            <v xml:space="preserve">% Margin </v>
          </cell>
          <cell r="B94">
            <v>0.13788018306610222</v>
          </cell>
          <cell r="C94">
            <v>0.1425238774053651</v>
          </cell>
          <cell r="D94">
            <v>0.16523935944621307</v>
          </cell>
          <cell r="E94">
            <v>0.15816625658574182</v>
          </cell>
          <cell r="F94">
            <v>0.16168870104814634</v>
          </cell>
          <cell r="G94">
            <v>0.17463647435608898</v>
          </cell>
          <cell r="H94">
            <v>0.1669925563826242</v>
          </cell>
          <cell r="I94">
            <v>0.15237896768815673</v>
          </cell>
          <cell r="J94">
            <v>0.15900006213367021</v>
          </cell>
          <cell r="K94">
            <v>0.22605169792194627</v>
          </cell>
          <cell r="L94">
            <v>0.23878705148205928</v>
          </cell>
          <cell r="M94">
            <v>0.2403020046862796</v>
          </cell>
          <cell r="N94">
            <v>0.24215982779440212</v>
          </cell>
          <cell r="O94">
            <v>0.2563036078340068</v>
          </cell>
          <cell r="P94">
            <v>0.26473012617488673</v>
          </cell>
          <cell r="Q94">
            <v>0.27624163449004369</v>
          </cell>
          <cell r="AH94" t="str">
            <v xml:space="preserve">% Margin </v>
          </cell>
          <cell r="AI94">
            <v>0.11435204758589569</v>
          </cell>
          <cell r="AJ94">
            <v>0.22965407683369005</v>
          </cell>
          <cell r="AK94">
            <v>0.21429293761323753</v>
          </cell>
          <cell r="AL94">
            <v>0.10412809354321782</v>
          </cell>
          <cell r="AN94">
            <v>0.11869142735773192</v>
          </cell>
          <cell r="AO94">
            <v>0.1894450321230042</v>
          </cell>
          <cell r="AP94">
            <v>0.18299222591793082</v>
          </cell>
          <cell r="AQ94">
            <v>0.14251729676647376</v>
          </cell>
          <cell r="AS94">
            <v>0.11842992468028332</v>
          </cell>
          <cell r="AT94">
            <v>0.17851519256427822</v>
          </cell>
          <cell r="AU94">
            <v>0.17014415993245488</v>
          </cell>
          <cell r="AV94">
            <v>0.18344362300671826</v>
          </cell>
          <cell r="AX94">
            <v>0.11556566409868893</v>
          </cell>
          <cell r="AY94">
            <v>0.22074302557124584</v>
          </cell>
          <cell r="AZ94">
            <v>0.19761193234894825</v>
          </cell>
          <cell r="BA94">
            <v>0.17803846252404507</v>
          </cell>
          <cell r="BC94">
            <v>0.1604124545086939</v>
          </cell>
          <cell r="BD94">
            <v>0.19771289537712894</v>
          </cell>
          <cell r="BE94">
            <v>0.18059411438089953</v>
          </cell>
          <cell r="BF94">
            <v>0.13400813219136604</v>
          </cell>
          <cell r="BH94">
            <v>0.10112504849346954</v>
          </cell>
          <cell r="BI94">
            <v>0.15637189552165112</v>
          </cell>
          <cell r="BJ94">
            <v>0.20118838396518535</v>
          </cell>
          <cell r="BK94">
            <v>0.14993284083277367</v>
          </cell>
          <cell r="BM94">
            <v>9.5840381362448115E-2</v>
          </cell>
          <cell r="BN94">
            <v>0.16536633485786029</v>
          </cell>
          <cell r="BO94">
            <v>0.2175451329039281</v>
          </cell>
          <cell r="BP94">
            <v>0.16702281920170955</v>
          </cell>
          <cell r="BR94">
            <v>0.16837136113296616</v>
          </cell>
          <cell r="BS94">
            <v>0.26110197368421051</v>
          </cell>
          <cell r="BT94">
            <v>0.28433098591549294</v>
          </cell>
          <cell r="BU94">
            <v>0.19893088965253913</v>
          </cell>
          <cell r="BW94">
            <v>0.21384928716904278</v>
          </cell>
          <cell r="BX94">
            <v>0.266865926558497</v>
          </cell>
          <cell r="BY94">
            <v>0.27944969905417028</v>
          </cell>
          <cell r="BZ94">
            <v>0.20590461771385316</v>
          </cell>
          <cell r="CB94">
            <v>0.22678795483061481</v>
          </cell>
          <cell r="CC94">
            <v>0.24198895027624309</v>
          </cell>
          <cell r="CD94">
            <v>0.27181952662721892</v>
          </cell>
          <cell r="CE94">
            <v>0.22427983539094651</v>
          </cell>
          <cell r="CG94">
            <v>0.24284856170715444</v>
          </cell>
          <cell r="CH94">
            <v>0.26378834736583473</v>
          </cell>
          <cell r="CI94">
            <v>0.26225175152090036</v>
          </cell>
          <cell r="CJ94">
            <v>0.20486111695011305</v>
          </cell>
        </row>
        <row r="97">
          <cell r="A97" t="str">
            <v>Depreciation &amp; Amortization</v>
          </cell>
          <cell r="AH97" t="str">
            <v>Depreciation &amp; Amortization</v>
          </cell>
        </row>
        <row r="98">
          <cell r="A98" t="str">
            <v>Entertainment</v>
          </cell>
          <cell r="H98">
            <v>133.89999999999998</v>
          </cell>
          <cell r="I98">
            <v>164.70000000000002</v>
          </cell>
          <cell r="J98">
            <v>162.89999999999998</v>
          </cell>
          <cell r="K98">
            <v>158.22599999999997</v>
          </cell>
          <cell r="L98">
            <v>161.74695999999997</v>
          </cell>
          <cell r="M98">
            <v>153</v>
          </cell>
          <cell r="N98">
            <v>142.61470996912365</v>
          </cell>
          <cell r="O98">
            <v>133.25089700469911</v>
          </cell>
          <cell r="P98">
            <v>118.90817159289227</v>
          </cell>
          <cell r="Q98">
            <v>109.58441185760859</v>
          </cell>
          <cell r="AH98" t="str">
            <v>Entertainment</v>
          </cell>
          <cell r="BC98">
            <v>23.299999999999997</v>
          </cell>
          <cell r="BD98">
            <v>23.299999999999997</v>
          </cell>
          <cell r="BE98">
            <v>40.999999999999993</v>
          </cell>
          <cell r="BF98">
            <v>46.3</v>
          </cell>
          <cell r="BG98">
            <v>0</v>
          </cell>
          <cell r="BH98">
            <v>41.1</v>
          </cell>
          <cell r="BI98">
            <v>39.4</v>
          </cell>
          <cell r="BJ98">
            <v>40.300000000000004</v>
          </cell>
          <cell r="BK98">
            <v>43.9</v>
          </cell>
          <cell r="BL98">
            <v>0</v>
          </cell>
          <cell r="BM98">
            <v>41.3</v>
          </cell>
          <cell r="BN98">
            <v>41.4</v>
          </cell>
          <cell r="BO98">
            <v>40.499999999999993</v>
          </cell>
          <cell r="BP98">
            <v>39.699999999999996</v>
          </cell>
          <cell r="BR98">
            <v>38.3065</v>
          </cell>
          <cell r="BS98">
            <v>39.3065</v>
          </cell>
          <cell r="BT98">
            <v>39.3065</v>
          </cell>
          <cell r="BU98">
            <v>41.3065</v>
          </cell>
          <cell r="BW98">
            <v>40.18674</v>
          </cell>
          <cell r="BX98">
            <v>41.18674</v>
          </cell>
          <cell r="BY98">
            <v>37.18674</v>
          </cell>
          <cell r="BZ98">
            <v>43.18674</v>
          </cell>
          <cell r="CA98">
            <v>0</v>
          </cell>
          <cell r="CB98">
            <v>40</v>
          </cell>
          <cell r="CC98">
            <v>38</v>
          </cell>
          <cell r="CD98">
            <v>37</v>
          </cell>
          <cell r="CE98">
            <v>38</v>
          </cell>
          <cell r="CF98">
            <v>0</v>
          </cell>
          <cell r="CG98">
            <v>37.886177492280915</v>
          </cell>
          <cell r="CH98">
            <v>34.916177492280909</v>
          </cell>
          <cell r="CI98">
            <v>34.921177492280918</v>
          </cell>
          <cell r="CJ98">
            <v>34.891177492280917</v>
          </cell>
        </row>
        <row r="99">
          <cell r="A99" t="str">
            <v>Cable Networks</v>
          </cell>
          <cell r="H99">
            <v>24.8</v>
          </cell>
          <cell r="I99">
            <v>23.2</v>
          </cell>
          <cell r="J99">
            <v>22.6</v>
          </cell>
          <cell r="K99">
            <v>23.052000000000003</v>
          </cell>
          <cell r="L99">
            <v>23.513040000000004</v>
          </cell>
          <cell r="M99">
            <v>20</v>
          </cell>
          <cell r="N99">
            <v>20.399999999999999</v>
          </cell>
          <cell r="O99">
            <v>20.808</v>
          </cell>
          <cell r="P99">
            <v>21.224160000000001</v>
          </cell>
          <cell r="Q99">
            <v>21.648643200000002</v>
          </cell>
          <cell r="AH99" t="str">
            <v>Cable Networks</v>
          </cell>
          <cell r="BC99">
            <v>6.2</v>
          </cell>
          <cell r="BD99">
            <v>6.2</v>
          </cell>
          <cell r="BE99">
            <v>6.2</v>
          </cell>
          <cell r="BF99">
            <v>6.2</v>
          </cell>
          <cell r="BG99">
            <v>0</v>
          </cell>
          <cell r="BH99">
            <v>5.8</v>
          </cell>
          <cell r="BI99">
            <v>5.8</v>
          </cell>
          <cell r="BJ99">
            <v>5.8</v>
          </cell>
          <cell r="BK99">
            <v>5.8</v>
          </cell>
          <cell r="BL99">
            <v>0</v>
          </cell>
          <cell r="BM99">
            <v>5.7</v>
          </cell>
          <cell r="BN99">
            <v>5.7</v>
          </cell>
          <cell r="BO99">
            <v>5.7</v>
          </cell>
          <cell r="BP99">
            <v>5.5</v>
          </cell>
          <cell r="BR99">
            <v>5.7630000000000008</v>
          </cell>
          <cell r="BS99">
            <v>5.7630000000000008</v>
          </cell>
          <cell r="BT99">
            <v>5.7630000000000008</v>
          </cell>
          <cell r="BU99">
            <v>5.7630000000000008</v>
          </cell>
          <cell r="BW99">
            <v>5.8782600000000009</v>
          </cell>
          <cell r="BX99">
            <v>5.8782600000000009</v>
          </cell>
          <cell r="BY99">
            <v>5.8782600000000009</v>
          </cell>
          <cell r="BZ99">
            <v>5.8782600000000009</v>
          </cell>
          <cell r="CA99">
            <v>0</v>
          </cell>
          <cell r="CB99">
            <v>4</v>
          </cell>
          <cell r="CC99">
            <v>5</v>
          </cell>
          <cell r="CD99">
            <v>6</v>
          </cell>
          <cell r="CE99">
            <v>5</v>
          </cell>
          <cell r="CF99">
            <v>0</v>
          </cell>
          <cell r="CG99">
            <v>4.08</v>
          </cell>
          <cell r="CH99">
            <v>5.0999999999999996</v>
          </cell>
          <cell r="CI99">
            <v>6.12</v>
          </cell>
          <cell r="CJ99">
            <v>5.0999999999999996</v>
          </cell>
        </row>
        <row r="100">
          <cell r="A100" t="str">
            <v>Publishing</v>
          </cell>
          <cell r="H100">
            <v>9.5</v>
          </cell>
          <cell r="I100">
            <v>7.7</v>
          </cell>
          <cell r="J100">
            <v>7.1000000000000005</v>
          </cell>
          <cell r="K100">
            <v>7.7220000000000004</v>
          </cell>
          <cell r="L100">
            <v>7.74</v>
          </cell>
          <cell r="M100">
            <v>6</v>
          </cell>
          <cell r="N100">
            <v>6.03</v>
          </cell>
          <cell r="O100">
            <v>6.03</v>
          </cell>
          <cell r="P100">
            <v>6.03</v>
          </cell>
          <cell r="Q100">
            <v>6.03</v>
          </cell>
          <cell r="AH100" t="str">
            <v>Publishing</v>
          </cell>
          <cell r="BC100">
            <v>2.5</v>
          </cell>
          <cell r="BD100">
            <v>2.4</v>
          </cell>
          <cell r="BE100">
            <v>2.4</v>
          </cell>
          <cell r="BF100">
            <v>2.2000000000000002</v>
          </cell>
          <cell r="BG100">
            <v>0</v>
          </cell>
          <cell r="BH100">
            <v>2.2000000000000002</v>
          </cell>
          <cell r="BI100">
            <v>2</v>
          </cell>
          <cell r="BJ100">
            <v>1.8</v>
          </cell>
          <cell r="BK100">
            <v>1.7</v>
          </cell>
          <cell r="BL100">
            <v>0</v>
          </cell>
          <cell r="BM100">
            <v>1.6</v>
          </cell>
          <cell r="BN100">
            <v>1.6</v>
          </cell>
          <cell r="BO100">
            <v>1.7</v>
          </cell>
          <cell r="BP100">
            <v>2.2000000000000002</v>
          </cell>
          <cell r="BR100">
            <v>1.9305000000000001</v>
          </cell>
          <cell r="BS100">
            <v>1.9305000000000001</v>
          </cell>
          <cell r="BT100">
            <v>1.9305000000000001</v>
          </cell>
          <cell r="BU100">
            <v>1.9305000000000001</v>
          </cell>
          <cell r="BW100">
            <v>1.9350000000000001</v>
          </cell>
          <cell r="BX100">
            <v>1.9350000000000001</v>
          </cell>
          <cell r="BY100">
            <v>1.9350000000000001</v>
          </cell>
          <cell r="BZ100">
            <v>1.9350000000000001</v>
          </cell>
          <cell r="CA100">
            <v>0</v>
          </cell>
          <cell r="CB100">
            <v>2</v>
          </cell>
          <cell r="CC100">
            <v>1</v>
          </cell>
          <cell r="CD100">
            <v>2</v>
          </cell>
          <cell r="CE100">
            <v>1</v>
          </cell>
          <cell r="CF100">
            <v>0</v>
          </cell>
          <cell r="CG100">
            <v>1.5075000000000001</v>
          </cell>
          <cell r="CH100">
            <v>1.5075000000000001</v>
          </cell>
          <cell r="CI100">
            <v>1.5075000000000001</v>
          </cell>
          <cell r="CJ100">
            <v>1.5075000000000003</v>
          </cell>
        </row>
        <row r="101">
          <cell r="A101" t="str">
            <v>Content Group</v>
          </cell>
          <cell r="H101">
            <v>168.2</v>
          </cell>
          <cell r="I101">
            <v>195.6</v>
          </cell>
          <cell r="J101">
            <v>192.59999999999997</v>
          </cell>
          <cell r="K101">
            <v>188.99999999999997</v>
          </cell>
          <cell r="L101">
            <v>193</v>
          </cell>
          <cell r="M101">
            <v>179</v>
          </cell>
          <cell r="N101">
            <v>169.04470996912366</v>
          </cell>
          <cell r="O101">
            <v>160.08889700469911</v>
          </cell>
          <cell r="P101">
            <v>146.16233159289229</v>
          </cell>
          <cell r="Q101">
            <v>137.2630550576086</v>
          </cell>
          <cell r="AH101" t="str">
            <v>Content Group</v>
          </cell>
          <cell r="BC101">
            <v>31.999999999999996</v>
          </cell>
          <cell r="BD101">
            <v>31.899999999999995</v>
          </cell>
          <cell r="BE101">
            <v>49.599999999999994</v>
          </cell>
          <cell r="BF101">
            <v>54.7</v>
          </cell>
          <cell r="BG101">
            <v>0</v>
          </cell>
          <cell r="BH101">
            <v>49.1</v>
          </cell>
          <cell r="BI101">
            <v>47.199999999999996</v>
          </cell>
          <cell r="BJ101">
            <v>47.9</v>
          </cell>
          <cell r="BK101">
            <v>51.4</v>
          </cell>
          <cell r="BL101">
            <v>0</v>
          </cell>
          <cell r="BM101">
            <v>48.6</v>
          </cell>
          <cell r="BN101">
            <v>48.7</v>
          </cell>
          <cell r="BO101">
            <v>47.9</v>
          </cell>
          <cell r="BP101">
            <v>47.4</v>
          </cell>
          <cell r="BQ101">
            <v>0</v>
          </cell>
          <cell r="BR101">
            <v>46</v>
          </cell>
          <cell r="BS101">
            <v>47</v>
          </cell>
          <cell r="BT101">
            <v>47</v>
          </cell>
          <cell r="BU101">
            <v>49</v>
          </cell>
          <cell r="BV101">
            <v>0</v>
          </cell>
          <cell r="BW101">
            <v>48</v>
          </cell>
          <cell r="BX101">
            <v>49</v>
          </cell>
          <cell r="BY101">
            <v>45</v>
          </cell>
          <cell r="BZ101">
            <v>51</v>
          </cell>
          <cell r="CA101">
            <v>0</v>
          </cell>
          <cell r="CB101">
            <v>46</v>
          </cell>
          <cell r="CC101">
            <v>44</v>
          </cell>
          <cell r="CD101">
            <v>45</v>
          </cell>
          <cell r="CE101">
            <v>44</v>
          </cell>
          <cell r="CF101">
            <v>0</v>
          </cell>
          <cell r="CG101">
            <v>43.473677492280913</v>
          </cell>
          <cell r="CH101">
            <v>41.52367749228091</v>
          </cell>
          <cell r="CI101">
            <v>42.548677492280916</v>
          </cell>
          <cell r="CJ101">
            <v>41.498677492280919</v>
          </cell>
        </row>
        <row r="103">
          <cell r="A103" t="str">
            <v>EBIT</v>
          </cell>
          <cell r="AH103" t="str">
            <v>EBIT</v>
          </cell>
        </row>
        <row r="104">
          <cell r="A104" t="str">
            <v>Entertainment</v>
          </cell>
          <cell r="H104">
            <v>891.49999999999989</v>
          </cell>
          <cell r="I104">
            <v>711.19999999999993</v>
          </cell>
          <cell r="J104">
            <v>731.39999999999986</v>
          </cell>
          <cell r="K104">
            <v>1272.7740000000001</v>
          </cell>
          <cell r="L104">
            <v>1387.2530400000001</v>
          </cell>
          <cell r="M104">
            <v>1605</v>
          </cell>
          <cell r="N104">
            <v>1659.1626863409003</v>
          </cell>
          <cell r="O104">
            <v>1881.6440716699524</v>
          </cell>
          <cell r="P104">
            <v>2143.321162816299</v>
          </cell>
          <cell r="Q104">
            <v>2343.7189722336993</v>
          </cell>
          <cell r="AH104" t="str">
            <v>Entertainment</v>
          </cell>
          <cell r="BC104">
            <v>271.2</v>
          </cell>
          <cell r="BD104">
            <v>268.39999999999998</v>
          </cell>
          <cell r="BE104">
            <v>221.5</v>
          </cell>
          <cell r="BF104">
            <v>130.39999999999998</v>
          </cell>
          <cell r="BG104">
            <v>0</v>
          </cell>
          <cell r="BH104">
            <v>110</v>
          </cell>
          <cell r="BI104">
            <v>170.1</v>
          </cell>
          <cell r="BJ104">
            <v>284.2</v>
          </cell>
          <cell r="BK104">
            <v>146.9</v>
          </cell>
          <cell r="BL104">
            <v>0</v>
          </cell>
          <cell r="BM104">
            <v>103.50000000000001</v>
          </cell>
          <cell r="BN104">
            <v>181.2</v>
          </cell>
          <cell r="BO104">
            <v>237.39999999999998</v>
          </cell>
          <cell r="BP104">
            <v>209.3</v>
          </cell>
          <cell r="BQ104">
            <v>0</v>
          </cell>
          <cell r="BR104">
            <v>229.6935</v>
          </cell>
          <cell r="BS104">
            <v>400.69349999999997</v>
          </cell>
          <cell r="BT104">
            <v>365.69349999999997</v>
          </cell>
          <cell r="BU104">
            <v>276.69349999999997</v>
          </cell>
          <cell r="BV104">
            <v>0</v>
          </cell>
          <cell r="BW104">
            <v>370.81326000000001</v>
          </cell>
          <cell r="BX104">
            <v>384.81326000000001</v>
          </cell>
          <cell r="BY104">
            <v>346.81326000000001</v>
          </cell>
          <cell r="BZ104">
            <v>284.81326000000001</v>
          </cell>
          <cell r="CA104">
            <v>0</v>
          </cell>
          <cell r="CB104">
            <v>440</v>
          </cell>
          <cell r="CC104">
            <v>391</v>
          </cell>
          <cell r="CD104">
            <v>394</v>
          </cell>
          <cell r="CE104">
            <v>380</v>
          </cell>
          <cell r="CF104">
            <v>0</v>
          </cell>
          <cell r="CG104">
            <v>413.89971305552024</v>
          </cell>
          <cell r="CH104">
            <v>441.00827549115905</v>
          </cell>
          <cell r="CI104">
            <v>438.70945674399559</v>
          </cell>
          <cell r="CJ104">
            <v>365.5452410502254</v>
          </cell>
        </row>
        <row r="105">
          <cell r="A105" t="str">
            <v>Cable Networks</v>
          </cell>
          <cell r="H105">
            <v>364.69999999999993</v>
          </cell>
          <cell r="I105">
            <v>437.8</v>
          </cell>
          <cell r="J105">
            <v>546.70000000000005</v>
          </cell>
          <cell r="K105">
            <v>683.94799999999998</v>
          </cell>
          <cell r="L105">
            <v>787.48695999999995</v>
          </cell>
          <cell r="M105">
            <v>878</v>
          </cell>
          <cell r="N105">
            <v>979.57323779188721</v>
          </cell>
          <cell r="O105">
            <v>1014.8478210628932</v>
          </cell>
          <cell r="P105">
            <v>1080.8234142448252</v>
          </cell>
          <cell r="Q105">
            <v>1141.5137370825894</v>
          </cell>
          <cell r="AH105" t="str">
            <v>Cable Networks</v>
          </cell>
          <cell r="BC105">
            <v>78.899999999999991</v>
          </cell>
          <cell r="BD105">
            <v>91.399999999999991</v>
          </cell>
          <cell r="BE105">
            <v>95.8</v>
          </cell>
          <cell r="BF105">
            <v>98.6</v>
          </cell>
          <cell r="BG105">
            <v>0</v>
          </cell>
          <cell r="BH105">
            <v>77.600000000000009</v>
          </cell>
          <cell r="BI105">
            <v>91.100000000000009</v>
          </cell>
          <cell r="BJ105">
            <v>122.10000000000001</v>
          </cell>
          <cell r="BK105">
            <v>147</v>
          </cell>
          <cell r="BL105">
            <v>0</v>
          </cell>
          <cell r="BM105">
            <v>95.2</v>
          </cell>
          <cell r="BN105">
            <v>123.60000000000001</v>
          </cell>
          <cell r="BO105">
            <v>164.8</v>
          </cell>
          <cell r="BP105">
            <v>163.1</v>
          </cell>
          <cell r="BQ105">
            <v>0</v>
          </cell>
          <cell r="BR105">
            <v>147.23699999999999</v>
          </cell>
          <cell r="BS105">
            <v>170.23699999999999</v>
          </cell>
          <cell r="BT105">
            <v>197.23699999999999</v>
          </cell>
          <cell r="BU105">
            <v>169.23699999999999</v>
          </cell>
          <cell r="BV105">
            <v>0</v>
          </cell>
          <cell r="BW105">
            <v>203.12173999999999</v>
          </cell>
          <cell r="BX105">
            <v>184.12173999999999</v>
          </cell>
          <cell r="BY105">
            <v>221.12173999999999</v>
          </cell>
          <cell r="BZ105">
            <v>179.12173999999999</v>
          </cell>
          <cell r="CA105">
            <v>0</v>
          </cell>
          <cell r="CB105">
            <v>227</v>
          </cell>
          <cell r="CC105">
            <v>202</v>
          </cell>
          <cell r="CD105">
            <v>255</v>
          </cell>
          <cell r="CE105">
            <v>194</v>
          </cell>
          <cell r="CF105">
            <v>0</v>
          </cell>
          <cell r="CG105">
            <v>269.161916997329</v>
          </cell>
          <cell r="CH105">
            <v>225.85511336570957</v>
          </cell>
          <cell r="CI105">
            <v>259.12832535934081</v>
          </cell>
          <cell r="CJ105">
            <v>225.42788206950777</v>
          </cell>
        </row>
        <row r="106">
          <cell r="A106" t="str">
            <v>Publishing</v>
          </cell>
          <cell r="H106">
            <v>78.700000000000017</v>
          </cell>
          <cell r="I106">
            <v>44.699999999999996</v>
          </cell>
          <cell r="J106">
            <v>64.7</v>
          </cell>
          <cell r="K106">
            <v>84.278000000000006</v>
          </cell>
          <cell r="L106">
            <v>81.260000000000005</v>
          </cell>
          <cell r="M106">
            <v>107</v>
          </cell>
          <cell r="N106">
            <v>111.75367500000002</v>
          </cell>
          <cell r="O106">
            <v>115.83912500000002</v>
          </cell>
          <cell r="P106">
            <v>117.88185000000003</v>
          </cell>
          <cell r="Q106">
            <v>119.92457500000003</v>
          </cell>
          <cell r="AH106" t="str">
            <v>Publishing</v>
          </cell>
          <cell r="BC106">
            <v>14.600000000000001</v>
          </cell>
          <cell r="BD106">
            <v>14.6</v>
          </cell>
          <cell r="BE106">
            <v>23.400000000000002</v>
          </cell>
          <cell r="BF106">
            <v>26.1</v>
          </cell>
          <cell r="BG106">
            <v>0</v>
          </cell>
          <cell r="BH106">
            <v>-2.1</v>
          </cell>
          <cell r="BI106">
            <v>8.3000000000000007</v>
          </cell>
          <cell r="BJ106">
            <v>26.599999999999998</v>
          </cell>
          <cell r="BK106">
            <v>11.9</v>
          </cell>
          <cell r="BL106">
            <v>0</v>
          </cell>
          <cell r="BM106">
            <v>2</v>
          </cell>
          <cell r="BN106">
            <v>15.299999999999999</v>
          </cell>
          <cell r="BO106">
            <v>29.5</v>
          </cell>
          <cell r="BP106">
            <v>17.900000000000002</v>
          </cell>
          <cell r="BQ106">
            <v>0</v>
          </cell>
          <cell r="BR106">
            <v>5.0694999999999997</v>
          </cell>
          <cell r="BS106">
            <v>17.069500000000001</v>
          </cell>
          <cell r="BT106">
            <v>36.069499999999998</v>
          </cell>
          <cell r="BU106">
            <v>26.069500000000001</v>
          </cell>
          <cell r="BV106">
            <v>0</v>
          </cell>
          <cell r="BW106">
            <v>8.0649999999999995</v>
          </cell>
          <cell r="BX106">
            <v>7.0649999999999995</v>
          </cell>
          <cell r="BY106">
            <v>37.064999999999998</v>
          </cell>
          <cell r="BZ106">
            <v>29.065000000000001</v>
          </cell>
          <cell r="CA106">
            <v>0</v>
          </cell>
          <cell r="CB106">
            <v>10</v>
          </cell>
          <cell r="CC106">
            <v>20</v>
          </cell>
          <cell r="CD106">
            <v>41</v>
          </cell>
          <cell r="CE106">
            <v>36</v>
          </cell>
          <cell r="CF106">
            <v>0</v>
          </cell>
          <cell r="CG106">
            <v>11.044275000000001</v>
          </cell>
          <cell r="CH106">
            <v>20.656950000000002</v>
          </cell>
          <cell r="CI106">
            <v>43.053700000000006</v>
          </cell>
          <cell r="CJ106">
            <v>36.998750000000001</v>
          </cell>
        </row>
        <row r="107">
          <cell r="A107" t="str">
            <v>TOTAL CONTENT GROUP EBIT</v>
          </cell>
          <cell r="H107">
            <v>1334.8999999999999</v>
          </cell>
          <cell r="I107">
            <v>1193.7</v>
          </cell>
          <cell r="J107">
            <v>1342.8</v>
          </cell>
          <cell r="K107">
            <v>2041.0000000000002</v>
          </cell>
          <cell r="L107">
            <v>2256</v>
          </cell>
          <cell r="M107">
            <v>2590</v>
          </cell>
          <cell r="N107">
            <v>2750.4895991327876</v>
          </cell>
          <cell r="O107">
            <v>3012.3310177328453</v>
          </cell>
          <cell r="P107">
            <v>3342.0264270611247</v>
          </cell>
          <cell r="Q107">
            <v>3605.1572843162885</v>
          </cell>
          <cell r="AH107" t="str">
            <v>TOTAL CONTENT GROUP EBIT</v>
          </cell>
          <cell r="BC107">
            <v>364.7</v>
          </cell>
          <cell r="BD107">
            <v>374.4</v>
          </cell>
          <cell r="BE107">
            <v>340.7</v>
          </cell>
          <cell r="BF107">
            <v>255.09999999999997</v>
          </cell>
          <cell r="BG107">
            <v>0</v>
          </cell>
          <cell r="BH107">
            <v>185.50000000000003</v>
          </cell>
          <cell r="BI107">
            <v>269.5</v>
          </cell>
          <cell r="BJ107">
            <v>432.90000000000003</v>
          </cell>
          <cell r="BK107">
            <v>305.79999999999995</v>
          </cell>
          <cell r="BL107">
            <v>0</v>
          </cell>
          <cell r="BM107">
            <v>200.70000000000002</v>
          </cell>
          <cell r="BN107">
            <v>320.10000000000002</v>
          </cell>
          <cell r="BO107">
            <v>431.7</v>
          </cell>
          <cell r="BP107">
            <v>390.29999999999995</v>
          </cell>
          <cell r="BQ107">
            <v>0</v>
          </cell>
          <cell r="BR107">
            <v>382</v>
          </cell>
          <cell r="BS107">
            <v>587.99999999999989</v>
          </cell>
          <cell r="BT107">
            <v>598.99999999999989</v>
          </cell>
          <cell r="BU107">
            <v>471.99999999999994</v>
          </cell>
          <cell r="BV107">
            <v>0</v>
          </cell>
          <cell r="BW107">
            <v>582</v>
          </cell>
          <cell r="BX107">
            <v>576</v>
          </cell>
          <cell r="BY107">
            <v>605</v>
          </cell>
          <cell r="BZ107">
            <v>493</v>
          </cell>
          <cell r="CA107">
            <v>0</v>
          </cell>
          <cell r="CB107">
            <v>677</v>
          </cell>
          <cell r="CC107">
            <v>613</v>
          </cell>
          <cell r="CD107">
            <v>690</v>
          </cell>
          <cell r="CE107">
            <v>610</v>
          </cell>
          <cell r="CF107">
            <v>0</v>
          </cell>
          <cell r="CG107">
            <v>694.10590505284927</v>
          </cell>
          <cell r="CH107">
            <v>687.52033885686865</v>
          </cell>
          <cell r="CI107">
            <v>740.89148210333644</v>
          </cell>
          <cell r="CJ107">
            <v>627.97187311973312</v>
          </cell>
        </row>
        <row r="108">
          <cell r="A108" t="str">
            <v xml:space="preserve">% Change </v>
          </cell>
          <cell r="I108">
            <v>-0.10577571353659443</v>
          </cell>
          <cell r="J108">
            <v>0.12490575521487801</v>
          </cell>
          <cell r="K108">
            <v>0.5199582960977065</v>
          </cell>
          <cell r="L108">
            <v>0.10534051935325817</v>
          </cell>
          <cell r="M108">
            <v>0.14804964539007082</v>
          </cell>
          <cell r="N108">
            <v>6.1965096190265578E-2</v>
          </cell>
          <cell r="O108">
            <v>9.5198112613337882E-2</v>
          </cell>
          <cell r="P108">
            <v>0.10944859890478309</v>
          </cell>
          <cell r="Q108">
            <v>7.8733924760299612E-2</v>
          </cell>
          <cell r="AH108" t="str">
            <v xml:space="preserve">% Change </v>
          </cell>
          <cell r="BH108">
            <v>-0.4913627639155469</v>
          </cell>
          <cell r="BI108">
            <v>-0.28018162393162394</v>
          </cell>
          <cell r="BJ108">
            <v>0.27061931317874977</v>
          </cell>
          <cell r="BK108">
            <v>0.19874558996471969</v>
          </cell>
          <cell r="BM108">
            <v>8.1940700808625255E-2</v>
          </cell>
          <cell r="BN108">
            <v>0.18775510204081636</v>
          </cell>
          <cell r="BO108">
            <v>-2.7720027720028462E-3</v>
          </cell>
          <cell r="BP108">
            <v>0.27632439502943096</v>
          </cell>
          <cell r="BR108">
            <v>0.90333831589436953</v>
          </cell>
          <cell r="BS108">
            <v>0.83692596063730029</v>
          </cell>
          <cell r="BT108">
            <v>0.38753764188093553</v>
          </cell>
          <cell r="BU108">
            <v>0.20932615936459142</v>
          </cell>
          <cell r="BW108">
            <v>0.52356020942408388</v>
          </cell>
          <cell r="BX108">
            <v>-2.0408163265305923E-2</v>
          </cell>
          <cell r="BY108">
            <v>1.0016694490818212E-2</v>
          </cell>
          <cell r="BZ108">
            <v>4.4491525423729028E-2</v>
          </cell>
          <cell r="CB108">
            <v>0.16323024054982826</v>
          </cell>
          <cell r="CC108">
            <v>6.423611111111116E-2</v>
          </cell>
          <cell r="CD108">
            <v>0.14049586776859502</v>
          </cell>
          <cell r="CE108">
            <v>0.23732251521298164</v>
          </cell>
          <cell r="CG108">
            <v>2.5267215735375492E-2</v>
          </cell>
          <cell r="CH108">
            <v>0.12156662129994888</v>
          </cell>
          <cell r="CI108">
            <v>7.3755771164255801E-2</v>
          </cell>
          <cell r="CJ108">
            <v>2.9462087081529642E-2</v>
          </cell>
        </row>
        <row r="109">
          <cell r="A109" t="str">
            <v xml:space="preserve">% Margin </v>
          </cell>
          <cell r="H109">
            <v>0.14830574380624373</v>
          </cell>
          <cell r="I109">
            <v>0.13092548314212385</v>
          </cell>
          <cell r="J109">
            <v>0.13905515398794605</v>
          </cell>
          <cell r="K109">
            <v>0.20689305625950333</v>
          </cell>
          <cell r="L109">
            <v>0.21996879875195008</v>
          </cell>
          <cell r="M109">
            <v>0.22476785559316151</v>
          </cell>
          <cell r="N109">
            <v>0.22813846907015062</v>
          </cell>
          <cell r="O109">
            <v>0.24336983393923986</v>
          </cell>
          <cell r="P109">
            <v>0.25363738574087064</v>
          </cell>
          <cell r="Q109">
            <v>0.26610974997528752</v>
          </cell>
          <cell r="AH109" t="str">
            <v xml:space="preserve">% Margin </v>
          </cell>
          <cell r="BC109">
            <v>0.14747270521633643</v>
          </cell>
          <cell r="BD109">
            <v>0.18218978102189781</v>
          </cell>
          <cell r="BE109">
            <v>0.1576439015361836</v>
          </cell>
          <cell r="BF109">
            <v>0.11034691582316807</v>
          </cell>
          <cell r="BH109">
            <v>7.9960343118237867E-2</v>
          </cell>
          <cell r="BI109">
            <v>0.1330667061669876</v>
          </cell>
          <cell r="BJ109">
            <v>0.18114486567913632</v>
          </cell>
          <cell r="BK109">
            <v>0.1283579583613163</v>
          </cell>
          <cell r="BM109">
            <v>7.7156696909118874E-2</v>
          </cell>
          <cell r="BN109">
            <v>0.14352972827549101</v>
          </cell>
          <cell r="BO109">
            <v>0.1958178354349995</v>
          </cell>
          <cell r="BP109">
            <v>0.14893535831488972</v>
          </cell>
          <cell r="BR109">
            <v>0.15027537372147914</v>
          </cell>
          <cell r="BS109">
            <v>0.24177631578947364</v>
          </cell>
          <cell r="BT109">
            <v>0.26364436619718307</v>
          </cell>
          <cell r="BU109">
            <v>0.18022145857197402</v>
          </cell>
          <cell r="BW109">
            <v>0.19755600814663951</v>
          </cell>
          <cell r="BX109">
            <v>0.24594363791631085</v>
          </cell>
          <cell r="BY109">
            <v>0.26010318142734307</v>
          </cell>
          <cell r="BZ109">
            <v>0.1866010598031794</v>
          </cell>
          <cell r="CB109">
            <v>0.21235884567126725</v>
          </cell>
          <cell r="CC109">
            <v>0.22578268876611418</v>
          </cell>
          <cell r="CD109">
            <v>0.25517751479289941</v>
          </cell>
          <cell r="CE109">
            <v>0.20919067215363513</v>
          </cell>
          <cell r="CG109">
            <v>0.22853482485629042</v>
          </cell>
          <cell r="CH109">
            <v>0.24876392906377856</v>
          </cell>
          <cell r="CI109">
            <v>0.24800884469441326</v>
          </cell>
          <cell r="CJ109">
            <v>0.19216232771248437</v>
          </cell>
        </row>
        <row r="110">
          <cell r="BC110">
            <v>0</v>
          </cell>
          <cell r="BD110">
            <v>-5.6843418860808015E-14</v>
          </cell>
          <cell r="BE110">
            <v>0</v>
          </cell>
          <cell r="BF110">
            <v>0</v>
          </cell>
        </row>
        <row r="111">
          <cell r="A111" t="str">
            <v>THE LOCAL GROUP</v>
          </cell>
          <cell r="G111">
            <v>2007</v>
          </cell>
          <cell r="H111">
            <v>2008</v>
          </cell>
          <cell r="I111">
            <v>2009</v>
          </cell>
          <cell r="J111">
            <v>2010</v>
          </cell>
          <cell r="K111">
            <v>2011</v>
          </cell>
          <cell r="L111">
            <v>2012</v>
          </cell>
          <cell r="M111">
            <v>2013</v>
          </cell>
          <cell r="N111" t="str">
            <v>2014E</v>
          </cell>
          <cell r="O111" t="str">
            <v>2015E</v>
          </cell>
          <cell r="P111" t="str">
            <v>2016E</v>
          </cell>
          <cell r="Q111" t="str">
            <v>2017E</v>
          </cell>
          <cell r="AH111" t="str">
            <v>THE LOCAL GROUP</v>
          </cell>
          <cell r="BW111">
            <v>2012</v>
          </cell>
          <cell r="CB111">
            <v>2013</v>
          </cell>
          <cell r="CG111" t="str">
            <v>2014E</v>
          </cell>
        </row>
        <row r="112">
          <cell r="BW112" t="str">
            <v>1Q</v>
          </cell>
          <cell r="BX112" t="str">
            <v>2Q</v>
          </cell>
          <cell r="BY112" t="str">
            <v>3Q</v>
          </cell>
          <cell r="BZ112" t="str">
            <v>4Q</v>
          </cell>
          <cell r="CB112" t="str">
            <v>1Q</v>
          </cell>
          <cell r="CC112" t="str">
            <v>2Q</v>
          </cell>
          <cell r="CD112" t="str">
            <v>3Q</v>
          </cell>
          <cell r="CE112" t="str">
            <v>4Q</v>
          </cell>
          <cell r="CG112" t="str">
            <v>1QE</v>
          </cell>
          <cell r="CH112" t="str">
            <v>2QE</v>
          </cell>
          <cell r="CI112" t="str">
            <v>3QE</v>
          </cell>
          <cell r="CJ112" t="str">
            <v>4QE</v>
          </cell>
        </row>
        <row r="113">
          <cell r="A113" t="str">
            <v>REVENUE</v>
          </cell>
          <cell r="AH113" t="str">
            <v>REVENUE</v>
          </cell>
        </row>
        <row r="138">
          <cell r="A138" t="str">
            <v>TOTAL LOCAL GROUP REVENUE</v>
          </cell>
          <cell r="B138">
            <v>5403.9888700000001</v>
          </cell>
          <cell r="C138">
            <v>5521.2615372500004</v>
          </cell>
          <cell r="D138">
            <v>5816.0486672574998</v>
          </cell>
          <cell r="E138">
            <v>5854.9719534623673</v>
          </cell>
          <cell r="F138">
            <v>5915.6455187258325</v>
          </cell>
          <cell r="G138">
            <v>5615.7019519435262</v>
          </cell>
          <cell r="H138">
            <v>5121</v>
          </cell>
          <cell r="I138">
            <v>4082.3</v>
          </cell>
          <cell r="J138">
            <v>4601.7</v>
          </cell>
          <cell r="K138">
            <v>3975</v>
          </cell>
          <cell r="L138">
            <v>4070</v>
          </cell>
          <cell r="M138">
            <v>4000</v>
          </cell>
          <cell r="N138">
            <v>4170.9562829910737</v>
          </cell>
          <cell r="O138">
            <v>4225.2614938475845</v>
          </cell>
          <cell r="P138">
            <v>4394.721764744967</v>
          </cell>
          <cell r="Q138">
            <v>4480.7027744949164</v>
          </cell>
          <cell r="AH138" t="str">
            <v>TOTAL LOCAL GROUP REVENUE</v>
          </cell>
          <cell r="AI138">
            <v>1273.8312448096001</v>
          </cell>
          <cell r="AJ138">
            <v>1512.4481139580528</v>
          </cell>
          <cell r="AK138">
            <v>1435.545515711412</v>
          </cell>
          <cell r="AL138">
            <v>1594.2237927784349</v>
          </cell>
          <cell r="AM138">
            <v>0</v>
          </cell>
          <cell r="AN138">
            <v>1290.3723567852003</v>
          </cell>
          <cell r="AO138">
            <v>1514.0836705393112</v>
          </cell>
          <cell r="AP138">
            <v>1467.1004099535644</v>
          </cell>
          <cell r="AQ138">
            <v>1583.4155161842909</v>
          </cell>
          <cell r="AR138">
            <v>0</v>
          </cell>
          <cell r="AS138">
            <v>1295.2082746915735</v>
          </cell>
          <cell r="AT138">
            <v>1522.3578368007934</v>
          </cell>
          <cell r="AU138">
            <v>1498.5796110488791</v>
          </cell>
          <cell r="AV138">
            <v>1599.4997961845866</v>
          </cell>
          <cell r="AW138">
            <v>0</v>
          </cell>
          <cell r="AX138">
            <v>1297.0948834886185</v>
          </cell>
          <cell r="AY138">
            <v>1455.0129350301027</v>
          </cell>
          <cell r="AZ138">
            <v>1419.1512227174128</v>
          </cell>
          <cell r="BA138">
            <v>1444.442910707392</v>
          </cell>
          <cell r="BB138">
            <v>0</v>
          </cell>
          <cell r="BC138">
            <v>1230.2</v>
          </cell>
          <cell r="BD138">
            <v>1373.5</v>
          </cell>
          <cell r="BE138">
            <v>1255.2</v>
          </cell>
          <cell r="BF138">
            <v>1262.0999999999999</v>
          </cell>
          <cell r="BG138">
            <v>0</v>
          </cell>
          <cell r="BH138">
            <v>890.3</v>
          </cell>
          <cell r="BI138">
            <v>1013.6</v>
          </cell>
          <cell r="BJ138">
            <v>1014.7</v>
          </cell>
          <cell r="BK138">
            <v>1163.7</v>
          </cell>
          <cell r="BL138">
            <v>0</v>
          </cell>
          <cell r="BM138">
            <v>997.7</v>
          </cell>
          <cell r="BN138">
            <v>1134.5</v>
          </cell>
          <cell r="BO138">
            <v>1137</v>
          </cell>
          <cell r="BP138">
            <v>1332.5</v>
          </cell>
          <cell r="BQ138">
            <v>0</v>
          </cell>
          <cell r="BR138">
            <v>900</v>
          </cell>
          <cell r="BS138">
            <v>1023</v>
          </cell>
          <cell r="BT138">
            <v>989</v>
          </cell>
          <cell r="BU138">
            <v>1063</v>
          </cell>
          <cell r="BV138">
            <v>0</v>
          </cell>
          <cell r="BW138">
            <v>910</v>
          </cell>
          <cell r="BX138">
            <v>1038</v>
          </cell>
          <cell r="BY138">
            <v>995</v>
          </cell>
          <cell r="BZ138">
            <v>1127</v>
          </cell>
          <cell r="CA138">
            <v>0</v>
          </cell>
          <cell r="CB138">
            <v>919</v>
          </cell>
          <cell r="CC138">
            <v>1033</v>
          </cell>
          <cell r="CD138">
            <v>982</v>
          </cell>
          <cell r="CE138">
            <v>1066</v>
          </cell>
          <cell r="CF138">
            <v>0</v>
          </cell>
          <cell r="CG138">
            <v>923.77314815984369</v>
          </cell>
          <cell r="CH138">
            <v>1062.3259619686735</v>
          </cell>
          <cell r="CI138">
            <v>1047.0779430147772</v>
          </cell>
          <cell r="CJ138">
            <v>1137.7792298477798</v>
          </cell>
        </row>
        <row r="139">
          <cell r="A139" t="str">
            <v xml:space="preserve">% Change </v>
          </cell>
          <cell r="B139" t="str">
            <v>-</v>
          </cell>
          <cell r="C139">
            <v>2.170113041887145E-2</v>
          </cell>
          <cell r="D139">
            <v>5.3391263576027859E-2</v>
          </cell>
          <cell r="E139">
            <v>6.6923934842555433E-3</v>
          </cell>
          <cell r="F139">
            <v>1.0362742254911295E-2</v>
          </cell>
          <cell r="G139">
            <v>-5.0703438167963633E-2</v>
          </cell>
          <cell r="H139">
            <v>-8.8092629590556526E-2</v>
          </cell>
          <cell r="I139">
            <v>-0.20283147822690872</v>
          </cell>
          <cell r="J139">
            <v>0.12723219753570292</v>
          </cell>
          <cell r="K139">
            <v>-0.13618879979138143</v>
          </cell>
          <cell r="L139">
            <v>2.3899371069182385E-2</v>
          </cell>
          <cell r="M139">
            <v>-1.7199017199017175E-2</v>
          </cell>
          <cell r="N139">
            <v>4.2739070747768393E-2</v>
          </cell>
          <cell r="O139">
            <v>1.3019846570428983E-2</v>
          </cell>
          <cell r="P139">
            <v>4.0106457587094635E-2</v>
          </cell>
          <cell r="Q139">
            <v>1.9564608262507166E-2</v>
          </cell>
          <cell r="AH139" t="str">
            <v xml:space="preserve">% Change </v>
          </cell>
          <cell r="AI139" t="str">
            <v>-</v>
          </cell>
          <cell r="AJ139" t="str">
            <v>-</v>
          </cell>
          <cell r="AK139" t="str">
            <v>-</v>
          </cell>
          <cell r="AL139" t="str">
            <v>-</v>
          </cell>
          <cell r="AN139">
            <v>1.2985324424251043E-2</v>
          </cell>
          <cell r="AO139">
            <v>1.0813968202705304E-3</v>
          </cell>
          <cell r="AP139">
            <v>2.1981117210703616E-2</v>
          </cell>
          <cell r="AQ139">
            <v>-6.7796482796854685E-3</v>
          </cell>
          <cell r="AS139">
            <v>3.7476918045744601E-3</v>
          </cell>
          <cell r="AT139">
            <v>5.4648012012010749E-3</v>
          </cell>
          <cell r="AU139">
            <v>2.1456746165254614E-2</v>
          </cell>
          <cell r="AV139">
            <v>1.0157965382993961E-2</v>
          </cell>
          <cell r="AX139">
            <v>1.456606504073088E-3</v>
          </cell>
          <cell r="AY139">
            <v>-4.4237235256209373E-2</v>
          </cell>
          <cell r="AZ139">
            <v>-5.3002448282259196E-2</v>
          </cell>
          <cell r="BA139">
            <v>-9.6940859790707101E-2</v>
          </cell>
          <cell r="BC139">
            <v>-5.1572852796011648E-2</v>
          </cell>
          <cell r="BD139">
            <v>-5.6022137719632159E-2</v>
          </cell>
          <cell r="BE139">
            <v>-0.11552766195238617</v>
          </cell>
          <cell r="BF139">
            <v>-0.12623753376178271</v>
          </cell>
          <cell r="BH139">
            <v>-0.27629653714843116</v>
          </cell>
          <cell r="BI139">
            <v>-0.26203130688023302</v>
          </cell>
          <cell r="BJ139">
            <v>-0.19160293180369659</v>
          </cell>
          <cell r="BK139">
            <v>-7.7965295935345735E-2</v>
          </cell>
          <cell r="BM139">
            <v>0.12063349432775472</v>
          </cell>
          <cell r="BN139">
            <v>0.11927782162588785</v>
          </cell>
          <cell r="BO139">
            <v>0.1205282349462895</v>
          </cell>
          <cell r="BP139">
            <v>0.1450545673283492</v>
          </cell>
          <cell r="BR139">
            <v>-9.7925228024456246E-2</v>
          </cell>
          <cell r="BS139">
            <v>-9.8281181137064744E-2</v>
          </cell>
          <cell r="BT139">
            <v>-0.13016710642040452</v>
          </cell>
          <cell r="BU139">
            <v>-0.20225140712945588</v>
          </cell>
          <cell r="BW139">
            <v>1.1111111111111072E-2</v>
          </cell>
          <cell r="BX139">
            <v>1.4662756598240456E-2</v>
          </cell>
          <cell r="BY139">
            <v>6.0667340748230547E-3</v>
          </cell>
          <cell r="BZ139">
            <v>6.020696142991544E-2</v>
          </cell>
          <cell r="CB139">
            <v>9.890109890109855E-3</v>
          </cell>
          <cell r="CC139">
            <v>-4.816955684007751E-3</v>
          </cell>
          <cell r="CD139">
            <v>-1.3065326633165841E-2</v>
          </cell>
          <cell r="CE139">
            <v>-5.4125998225377114E-2</v>
          </cell>
          <cell r="CG139">
            <v>5.1938500107113761E-3</v>
          </cell>
          <cell r="CH139">
            <v>2.8389120976450632E-2</v>
          </cell>
          <cell r="CI139">
            <v>6.6270817733989018E-2</v>
          </cell>
          <cell r="CJ139">
            <v>6.7335112427560739E-2</v>
          </cell>
        </row>
        <row r="158">
          <cell r="A158" t="str">
            <v>TOTAL LOCAL GROUP EBITDA</v>
          </cell>
          <cell r="B158">
            <v>2110.4520236106796</v>
          </cell>
          <cell r="C158">
            <v>2079.7997224178544</v>
          </cell>
          <cell r="D158">
            <v>2114.4249551469452</v>
          </cell>
          <cell r="E158">
            <v>2024.9643737972438</v>
          </cell>
          <cell r="F158">
            <v>2048.7636833554116</v>
          </cell>
          <cell r="G158">
            <v>1847.7923923216849</v>
          </cell>
          <cell r="H158">
            <v>1408.7000000000003</v>
          </cell>
          <cell r="I158">
            <v>677.30000000000007</v>
          </cell>
          <cell r="J158">
            <v>1153.4999999999998</v>
          </cell>
          <cell r="K158">
            <v>1229</v>
          </cell>
          <cell r="L158">
            <v>1335</v>
          </cell>
          <cell r="M158">
            <v>1309</v>
          </cell>
          <cell r="N158">
            <v>1440.3207148426759</v>
          </cell>
          <cell r="O158">
            <v>1396.5674156083428</v>
          </cell>
          <cell r="P158">
            <v>1483.3489132950908</v>
          </cell>
          <cell r="Q158">
            <v>1488.8519835605769</v>
          </cell>
          <cell r="AH158" t="str">
            <v>TOTAL LOCAL GROUP EBITDA</v>
          </cell>
          <cell r="AI158">
            <v>450.43748525858405</v>
          </cell>
          <cell r="AJ158">
            <v>591.72657999746832</v>
          </cell>
          <cell r="AK158">
            <v>489.6081191959305</v>
          </cell>
          <cell r="AL158">
            <v>582.65277069496233</v>
          </cell>
          <cell r="AM158">
            <v>0</v>
          </cell>
          <cell r="AN158">
            <v>417.72473189977535</v>
          </cell>
          <cell r="AO158">
            <v>587.54286223972122</v>
          </cell>
          <cell r="AP158">
            <v>494.14256908215054</v>
          </cell>
          <cell r="AQ158">
            <v>525.55421057559624</v>
          </cell>
          <cell r="AR158">
            <v>0</v>
          </cell>
          <cell r="AS158">
            <v>428.19778332520752</v>
          </cell>
          <cell r="AT158">
            <v>582.77094097369559</v>
          </cell>
          <cell r="AU158">
            <v>510.39453527494982</v>
          </cell>
          <cell r="AV158">
            <v>527.4004237815584</v>
          </cell>
          <cell r="AW158">
            <v>0</v>
          </cell>
          <cell r="AX158">
            <v>410.73283937920445</v>
          </cell>
          <cell r="AY158">
            <v>500.0738623700185</v>
          </cell>
          <cell r="AZ158">
            <v>453.3572415682255</v>
          </cell>
          <cell r="BA158">
            <v>483.6284490042367</v>
          </cell>
          <cell r="BB158">
            <v>0</v>
          </cell>
          <cell r="BC158">
            <v>338</v>
          </cell>
          <cell r="BD158">
            <v>420.4</v>
          </cell>
          <cell r="BE158">
            <v>309.3</v>
          </cell>
          <cell r="BF158">
            <v>340.99999999999994</v>
          </cell>
          <cell r="BG158">
            <v>0</v>
          </cell>
          <cell r="BH158">
            <v>79.2</v>
          </cell>
          <cell r="BI158">
            <v>145.30000000000001</v>
          </cell>
          <cell r="BJ158">
            <v>163.30000000000001</v>
          </cell>
          <cell r="BK158">
            <v>289.5</v>
          </cell>
          <cell r="BL158">
            <v>0</v>
          </cell>
          <cell r="BM158">
            <v>166.2</v>
          </cell>
          <cell r="BN158">
            <v>292.7</v>
          </cell>
          <cell r="BO158">
            <v>272</v>
          </cell>
          <cell r="BP158">
            <v>422.6</v>
          </cell>
          <cell r="BQ158">
            <v>0</v>
          </cell>
          <cell r="BR158">
            <v>238</v>
          </cell>
          <cell r="BS158">
            <v>329</v>
          </cell>
          <cell r="BT158">
            <v>288</v>
          </cell>
          <cell r="BU158">
            <v>374</v>
          </cell>
          <cell r="BV158">
            <v>0</v>
          </cell>
          <cell r="BW158">
            <v>247</v>
          </cell>
          <cell r="BX158">
            <v>351</v>
          </cell>
          <cell r="BY158">
            <v>318</v>
          </cell>
          <cell r="BZ158">
            <v>419</v>
          </cell>
          <cell r="CA158">
            <v>0</v>
          </cell>
          <cell r="CB158">
            <v>273</v>
          </cell>
          <cell r="CC158">
            <v>362</v>
          </cell>
          <cell r="CD158">
            <v>291</v>
          </cell>
          <cell r="CE158">
            <v>383</v>
          </cell>
          <cell r="CF158">
            <v>0</v>
          </cell>
          <cell r="CG158">
            <v>259.03314815984368</v>
          </cell>
          <cell r="CH158">
            <v>373.54593275779348</v>
          </cell>
          <cell r="CI158">
            <v>362.50599718260924</v>
          </cell>
          <cell r="CJ158">
            <v>445.23563674242939</v>
          </cell>
        </row>
        <row r="159">
          <cell r="A159" t="str">
            <v xml:space="preserve">% Change </v>
          </cell>
          <cell r="B159" t="str">
            <v>-</v>
          </cell>
          <cell r="C159">
            <v>-1.4524045488787496E-2</v>
          </cell>
          <cell r="D159">
            <v>1.664834952898131E-2</v>
          </cell>
          <cell r="E159">
            <v>-4.2309650731247705E-2</v>
          </cell>
          <cell r="F159">
            <v>1.1752952232704672E-2</v>
          </cell>
          <cell r="G159">
            <v>-9.8093934730715815E-2</v>
          </cell>
          <cell r="H159">
            <v>-0.23763080427557171</v>
          </cell>
          <cell r="I159">
            <v>-0.51920210122808275</v>
          </cell>
          <cell r="J159">
            <v>0.70308578178059888</v>
          </cell>
          <cell r="K159">
            <v>6.5452969224100821E-2</v>
          </cell>
          <cell r="L159">
            <v>8.6248982912937366E-2</v>
          </cell>
          <cell r="M159">
            <v>-1.9475655430711614E-2</v>
          </cell>
          <cell r="N159">
            <v>0.10032140171327408</v>
          </cell>
          <cell r="O159">
            <v>-3.0377469950581215E-2</v>
          </cell>
          <cell r="P159">
            <v>6.2139139662617859E-2</v>
          </cell>
          <cell r="Q159">
            <v>3.7098960441219742E-3</v>
          </cell>
          <cell r="AH159" t="str">
            <v xml:space="preserve">% Change </v>
          </cell>
          <cell r="AI159" t="str">
            <v>-</v>
          </cell>
          <cell r="AJ159" t="str">
            <v>-</v>
          </cell>
          <cell r="AK159" t="str">
            <v>-</v>
          </cell>
          <cell r="AL159" t="str">
            <v>-</v>
          </cell>
          <cell r="AN159">
            <v>-7.2624402784837505E-2</v>
          </cell>
          <cell r="AO159">
            <v>-7.0703563084237864E-3</v>
          </cell>
          <cell r="AP159">
            <v>9.2613862157082671E-3</v>
          </cell>
          <cell r="AQ159">
            <v>-9.7997577616015574E-2</v>
          </cell>
          <cell r="AS159">
            <v>2.5071657542998782E-2</v>
          </cell>
          <cell r="AT159">
            <v>-8.1218266320775001E-3</v>
          </cell>
          <cell r="AU159">
            <v>3.2889225113688525E-2</v>
          </cell>
          <cell r="AV159">
            <v>3.512888240282841E-3</v>
          </cell>
          <cell r="AX159">
            <v>-4.0787095650933858E-2</v>
          </cell>
          <cell r="AY159">
            <v>-0.14190322953561574</v>
          </cell>
          <cell r="AZ159">
            <v>-0.11175138008873531</v>
          </cell>
          <cell r="BA159">
            <v>-8.2995714079007632E-2</v>
          </cell>
          <cell r="BC159">
            <v>-0.17708065293521535</v>
          </cell>
          <cell r="BD159">
            <v>-0.1593241886156922</v>
          </cell>
          <cell r="BE159">
            <v>-0.31775656890339177</v>
          </cell>
          <cell r="BF159">
            <v>-0.29491327339799922</v>
          </cell>
          <cell r="BH159">
            <v>-0.76568047337278111</v>
          </cell>
          <cell r="BI159">
            <v>-0.65437678401522348</v>
          </cell>
          <cell r="BJ159">
            <v>-0.47203362431296469</v>
          </cell>
          <cell r="BK159">
            <v>-0.1510263929618767</v>
          </cell>
          <cell r="BM159">
            <v>1.0984848484848482</v>
          </cell>
          <cell r="BN159">
            <v>1.0144528561596693</v>
          </cell>
          <cell r="BO159">
            <v>0.66564605021432932</v>
          </cell>
          <cell r="BP159">
            <v>0.4597582037996546</v>
          </cell>
          <cell r="BR159">
            <v>0.4320096269554754</v>
          </cell>
          <cell r="BS159">
            <v>0.12401776563033828</v>
          </cell>
          <cell r="BT159">
            <v>5.8823529411764719E-2</v>
          </cell>
          <cell r="BU159">
            <v>-0.11500236630383343</v>
          </cell>
          <cell r="BW159">
            <v>3.7815126050420256E-2</v>
          </cell>
          <cell r="BX159">
            <v>6.6869300911854168E-2</v>
          </cell>
          <cell r="BY159">
            <v>0.10416666666666674</v>
          </cell>
          <cell r="BZ159">
            <v>0.1203208556149733</v>
          </cell>
          <cell r="CB159">
            <v>0.10526315789473695</v>
          </cell>
          <cell r="CC159">
            <v>3.1339031339031376E-2</v>
          </cell>
          <cell r="CD159">
            <v>-8.4905660377358472E-2</v>
          </cell>
          <cell r="CE159">
            <v>-8.591885441527447E-2</v>
          </cell>
          <cell r="CG159">
            <v>-5.1160629451122097E-2</v>
          </cell>
          <cell r="CH159">
            <v>3.1894841872357693E-2</v>
          </cell>
          <cell r="CI159">
            <v>0.24572507622889761</v>
          </cell>
          <cell r="CJ159">
            <v>0.16249513509772684</v>
          </cell>
        </row>
        <row r="160">
          <cell r="A160" t="str">
            <v xml:space="preserve">% Margin </v>
          </cell>
          <cell r="B160">
            <v>0.390535967852702</v>
          </cell>
          <cell r="C160">
            <v>0.37668922371928598</v>
          </cell>
          <cell r="D160">
            <v>0.36355007946382634</v>
          </cell>
          <cell r="E160">
            <v>0.34585381277527227</v>
          </cell>
          <cell r="F160">
            <v>0.34632969079538317</v>
          </cell>
          <cell r="G160">
            <v>0.32904032445706749</v>
          </cell>
          <cell r="H160">
            <v>0.27508299160320254</v>
          </cell>
          <cell r="I160">
            <v>0.16591137349043433</v>
          </cell>
          <cell r="J160">
            <v>0.25066823130582172</v>
          </cell>
          <cell r="K160">
            <v>0.30918238993710689</v>
          </cell>
          <cell r="L160">
            <v>0.32800982800982803</v>
          </cell>
          <cell r="M160">
            <v>0.32724999999999999</v>
          </cell>
          <cell r="N160">
            <v>0.34532146038457012</v>
          </cell>
          <cell r="O160">
            <v>0.33052804368247707</v>
          </cell>
          <cell r="P160">
            <v>0.3375296532296333</v>
          </cell>
          <cell r="Q160">
            <v>0.33228090736913618</v>
          </cell>
          <cell r="AH160" t="str">
            <v xml:space="preserve">% Margin </v>
          </cell>
          <cell r="AI160">
            <v>0.35360844467738822</v>
          </cell>
          <cell r="AJ160">
            <v>0.39123760645839889</v>
          </cell>
          <cell r="AK160">
            <v>0.34106067264143541</v>
          </cell>
          <cell r="AL160">
            <v>0.36547740244141452</v>
          </cell>
          <cell r="AN160">
            <v>0.32372417907377044</v>
          </cell>
          <cell r="AO160">
            <v>0.38805177921933504</v>
          </cell>
          <cell r="AP160">
            <v>0.33681578011268554</v>
          </cell>
          <cell r="AQ160">
            <v>0.33191174723491085</v>
          </cell>
          <cell r="AS160">
            <v>0.33060148834145903</v>
          </cell>
          <cell r="AT160">
            <v>0.3828081196720331</v>
          </cell>
          <cell r="AU160">
            <v>0.34058553280176873</v>
          </cell>
          <cell r="AV160">
            <v>0.32972834697422804</v>
          </cell>
          <cell r="AX160">
            <v>0.31665597066770673</v>
          </cell>
          <cell r="AY160">
            <v>0.34369032077345246</v>
          </cell>
          <cell r="AZ160">
            <v>0.31945661203048537</v>
          </cell>
          <cell r="BA160">
            <v>0.33482005098241485</v>
          </cell>
          <cell r="BC160">
            <v>0.27475207283368558</v>
          </cell>
          <cell r="BD160">
            <v>0.30607935930105568</v>
          </cell>
          <cell r="BE160">
            <v>0.24641491395793499</v>
          </cell>
          <cell r="BF160">
            <v>0.27018461294667617</v>
          </cell>
          <cell r="BH160">
            <v>8.8958777940020231E-2</v>
          </cell>
          <cell r="BI160">
            <v>0.14335043409629045</v>
          </cell>
          <cell r="BJ160">
            <v>0.16093426628560165</v>
          </cell>
          <cell r="BK160">
            <v>0.24877545759216291</v>
          </cell>
          <cell r="BM160">
            <v>0.16658314122481707</v>
          </cell>
          <cell r="BN160">
            <v>0.25799911855442925</v>
          </cell>
          <cell r="BO160">
            <v>0.23922603342128407</v>
          </cell>
          <cell r="BP160">
            <v>0.31714821763602252</v>
          </cell>
          <cell r="BR160">
            <v>0.26444444444444443</v>
          </cell>
          <cell r="BS160">
            <v>0.32160312805474095</v>
          </cell>
          <cell r="BT160">
            <v>0.29120323559150657</v>
          </cell>
          <cell r="BU160">
            <v>0.35183443085606775</v>
          </cell>
          <cell r="BW160">
            <v>0.27142857142857141</v>
          </cell>
          <cell r="BX160">
            <v>0.33815028901734107</v>
          </cell>
          <cell r="BY160">
            <v>0.31959798994974875</v>
          </cell>
          <cell r="BZ160">
            <v>0.37178349600709848</v>
          </cell>
          <cell r="CB160">
            <v>0.29706202393906422</v>
          </cell>
          <cell r="CC160">
            <v>0.35043562439496612</v>
          </cell>
          <cell r="CD160">
            <v>0.29633401221995925</v>
          </cell>
          <cell r="CE160">
            <v>0.3592870544090056</v>
          </cell>
          <cell r="CG160">
            <v>0.28040774802324331</v>
          </cell>
          <cell r="CH160">
            <v>0.35163023980469077</v>
          </cell>
          <cell r="CI160">
            <v>0.34620727100684734</v>
          </cell>
          <cell r="CJ160">
            <v>0.39131988444014415</v>
          </cell>
        </row>
        <row r="162">
          <cell r="A162" t="str">
            <v>Depreciation &amp; Amortization</v>
          </cell>
          <cell r="AH162" t="str">
            <v>Depreciation &amp; Amortization</v>
          </cell>
        </row>
        <row r="167">
          <cell r="A167" t="str">
            <v>Total Local Group D&amp;A</v>
          </cell>
          <cell r="H167">
            <v>348.09999999999997</v>
          </cell>
          <cell r="I167">
            <v>367.8</v>
          </cell>
          <cell r="J167">
            <v>348.5</v>
          </cell>
          <cell r="K167">
            <v>282</v>
          </cell>
          <cell r="L167">
            <v>259</v>
          </cell>
          <cell r="M167">
            <v>254</v>
          </cell>
          <cell r="N167">
            <v>250.78128657725478</v>
          </cell>
          <cell r="O167">
            <v>245.74029531651871</v>
          </cell>
          <cell r="P167">
            <v>236.69647512696412</v>
          </cell>
          <cell r="Q167">
            <v>233.24080252878198</v>
          </cell>
          <cell r="AH167" t="str">
            <v>Total Local Group D&amp;A</v>
          </cell>
          <cell r="BC167">
            <v>82.6</v>
          </cell>
          <cell r="BD167">
            <v>87</v>
          </cell>
          <cell r="BE167">
            <v>88.8</v>
          </cell>
          <cell r="BF167">
            <v>89.7</v>
          </cell>
          <cell r="BH167">
            <v>88.699999999999989</v>
          </cell>
          <cell r="BI167">
            <v>93.2</v>
          </cell>
          <cell r="BJ167">
            <v>94.7</v>
          </cell>
          <cell r="BK167">
            <v>91.199999999999989</v>
          </cell>
          <cell r="BL167">
            <v>0</v>
          </cell>
          <cell r="BM167">
            <v>87.3</v>
          </cell>
          <cell r="BN167">
            <v>89.6</v>
          </cell>
          <cell r="BO167">
            <v>86</v>
          </cell>
          <cell r="BP167">
            <v>85.6</v>
          </cell>
          <cell r="BQ167">
            <v>0</v>
          </cell>
          <cell r="BR167">
            <v>74</v>
          </cell>
          <cell r="BS167">
            <v>72</v>
          </cell>
          <cell r="BT167">
            <v>68</v>
          </cell>
          <cell r="BU167">
            <v>68</v>
          </cell>
          <cell r="BV167">
            <v>0</v>
          </cell>
          <cell r="BW167">
            <v>65</v>
          </cell>
          <cell r="BX167">
            <v>64</v>
          </cell>
          <cell r="BY167">
            <v>66</v>
          </cell>
          <cell r="BZ167">
            <v>64</v>
          </cell>
          <cell r="CA167">
            <v>0</v>
          </cell>
          <cell r="CB167">
            <v>65</v>
          </cell>
          <cell r="CC167">
            <v>63</v>
          </cell>
          <cell r="CD167">
            <v>62</v>
          </cell>
          <cell r="CE167">
            <v>64</v>
          </cell>
          <cell r="CF167">
            <v>0</v>
          </cell>
          <cell r="CG167">
            <v>64.232821644313702</v>
          </cell>
          <cell r="CH167">
            <v>62.182821644313698</v>
          </cell>
          <cell r="CI167">
            <v>61.157821644313699</v>
          </cell>
          <cell r="CJ167">
            <v>63.207821644313697</v>
          </cell>
        </row>
        <row r="169">
          <cell r="A169" t="str">
            <v>EBIT</v>
          </cell>
          <cell r="AH169" t="str">
            <v>EBIT</v>
          </cell>
        </row>
        <row r="174">
          <cell r="A174" t="str">
            <v>TOTAL LOCAL GROUP EBIT</v>
          </cell>
          <cell r="H174">
            <v>1060.6000000000004</v>
          </cell>
          <cell r="I174">
            <v>309.5</v>
          </cell>
          <cell r="J174">
            <v>804.99999999999977</v>
          </cell>
          <cell r="K174">
            <v>946.99999999999989</v>
          </cell>
          <cell r="L174">
            <v>1076</v>
          </cell>
          <cell r="M174">
            <v>1055</v>
          </cell>
          <cell r="N174">
            <v>1189.5394282654211</v>
          </cell>
          <cell r="O174">
            <v>1150.8271202918243</v>
          </cell>
          <cell r="P174">
            <v>1246.6524381681265</v>
          </cell>
          <cell r="Q174">
            <v>1255.611181031795</v>
          </cell>
          <cell r="AH174" t="str">
            <v>TOTAL LOCAL GROUP EBIT</v>
          </cell>
          <cell r="BC174">
            <v>255.4</v>
          </cell>
          <cell r="BD174">
            <v>333.4</v>
          </cell>
          <cell r="BE174">
            <v>220.49999999999997</v>
          </cell>
          <cell r="BF174">
            <v>251.3</v>
          </cell>
          <cell r="BH174">
            <v>-9.4999999999999929</v>
          </cell>
          <cell r="BI174">
            <v>52.100000000000009</v>
          </cell>
          <cell r="BJ174">
            <v>68.599999999999994</v>
          </cell>
          <cell r="BK174">
            <v>198.3</v>
          </cell>
          <cell r="BL174">
            <v>0</v>
          </cell>
          <cell r="BM174">
            <v>78.900000000000006</v>
          </cell>
          <cell r="BN174">
            <v>203.1</v>
          </cell>
          <cell r="BO174">
            <v>186</v>
          </cell>
          <cell r="BP174">
            <v>337</v>
          </cell>
          <cell r="BQ174">
            <v>0</v>
          </cell>
          <cell r="BR174">
            <v>164</v>
          </cell>
          <cell r="BS174">
            <v>257</v>
          </cell>
          <cell r="BT174">
            <v>220</v>
          </cell>
          <cell r="BU174">
            <v>306</v>
          </cell>
          <cell r="BV174">
            <v>0</v>
          </cell>
          <cell r="BW174">
            <v>182</v>
          </cell>
          <cell r="BX174">
            <v>287</v>
          </cell>
          <cell r="BY174">
            <v>252</v>
          </cell>
          <cell r="BZ174">
            <v>355</v>
          </cell>
          <cell r="CA174">
            <v>0</v>
          </cell>
          <cell r="CB174">
            <v>208</v>
          </cell>
          <cell r="CC174">
            <v>299</v>
          </cell>
          <cell r="CD174">
            <v>229</v>
          </cell>
          <cell r="CE174">
            <v>319</v>
          </cell>
          <cell r="CF174">
            <v>0</v>
          </cell>
          <cell r="CG174">
            <v>194.80032651552995</v>
          </cell>
          <cell r="CH174">
            <v>311.36311111347982</v>
          </cell>
          <cell r="CI174">
            <v>301.34817553829555</v>
          </cell>
          <cell r="CJ174">
            <v>382.02781509811575</v>
          </cell>
        </row>
        <row r="175">
          <cell r="A175" t="str">
            <v xml:space="preserve">% Change </v>
          </cell>
          <cell r="I175">
            <v>-0.70818404676598168</v>
          </cell>
          <cell r="J175">
            <v>1.6009693053311786</v>
          </cell>
          <cell r="K175">
            <v>0.17639751552795047</v>
          </cell>
          <cell r="L175">
            <v>0.13621964097148909</v>
          </cell>
          <cell r="M175">
            <v>-1.9516728624535351E-2</v>
          </cell>
          <cell r="N175">
            <v>0.1275255244222</v>
          </cell>
          <cell r="O175">
            <v>-3.2543946887113151E-2</v>
          </cell>
          <cell r="P175">
            <v>8.326647520437569E-2</v>
          </cell>
          <cell r="Q175">
            <v>7.1862393955068882E-3</v>
          </cell>
          <cell r="AH175" t="str">
            <v xml:space="preserve">% Change </v>
          </cell>
          <cell r="BH175">
            <v>-1.0371965544244321</v>
          </cell>
          <cell r="BI175">
            <v>-0.84373125374925007</v>
          </cell>
          <cell r="BJ175">
            <v>-0.68888888888888888</v>
          </cell>
          <cell r="BK175">
            <v>-0.21090330282530834</v>
          </cell>
          <cell r="BM175">
            <v>-9.3052631578947445</v>
          </cell>
          <cell r="BN175">
            <v>2.8982725527831086</v>
          </cell>
          <cell r="BO175">
            <v>1.7113702623906706</v>
          </cell>
          <cell r="BP175">
            <v>0.69944528492183555</v>
          </cell>
          <cell r="BR175">
            <v>1.0785804816223066</v>
          </cell>
          <cell r="BS175">
            <v>0.26538650910881345</v>
          </cell>
          <cell r="BT175">
            <v>0.18279569892473124</v>
          </cell>
          <cell r="BU175">
            <v>-9.1988130563798176E-2</v>
          </cell>
          <cell r="BW175">
            <v>0.10975609756097571</v>
          </cell>
          <cell r="BX175">
            <v>0.11673151750972766</v>
          </cell>
          <cell r="BY175">
            <v>0.1454545454545455</v>
          </cell>
          <cell r="BZ175">
            <v>0.16013071895424846</v>
          </cell>
          <cell r="CB175">
            <v>0.14285714285714279</v>
          </cell>
          <cell r="CC175">
            <v>4.1811846689895571E-2</v>
          </cell>
          <cell r="CD175">
            <v>-9.1269841269841279E-2</v>
          </cell>
          <cell r="CE175">
            <v>-0.10140845070422533</v>
          </cell>
          <cell r="CG175">
            <v>-6.3459968675336764E-2</v>
          </cell>
          <cell r="CH175">
            <v>4.1348197703945822E-2</v>
          </cell>
          <cell r="CI175">
            <v>0.31593089754714221</v>
          </cell>
          <cell r="CJ175">
            <v>0.19757935767434409</v>
          </cell>
        </row>
        <row r="176">
          <cell r="A176" t="str">
            <v xml:space="preserve">% Margin </v>
          </cell>
          <cell r="H176">
            <v>0.20710798672134356</v>
          </cell>
          <cell r="I176">
            <v>7.5815104230458313E-2</v>
          </cell>
          <cell r="J176">
            <v>0.17493534997935542</v>
          </cell>
          <cell r="K176">
            <v>0.23823899371069179</v>
          </cell>
          <cell r="L176">
            <v>0.26437346437346437</v>
          </cell>
          <cell r="M176">
            <v>0.26374999999999998</v>
          </cell>
          <cell r="N176">
            <v>0.28519585139654813</v>
          </cell>
          <cell r="O176">
            <v>0.27236825980298424</v>
          </cell>
          <cell r="P176">
            <v>0.28367039027793195</v>
          </cell>
          <cell r="Q176">
            <v>0.28022639398868243</v>
          </cell>
          <cell r="AH176" t="str">
            <v xml:space="preserve">% Margin </v>
          </cell>
          <cell r="BC176">
            <v>0.20760851894000976</v>
          </cell>
          <cell r="BD176">
            <v>0.24273753185293045</v>
          </cell>
          <cell r="BE176">
            <v>0.17566921606118543</v>
          </cell>
          <cell r="BF176">
            <v>0.19911259012756519</v>
          </cell>
          <cell r="BH176">
            <v>-1.0670560485229691E-2</v>
          </cell>
          <cell r="BI176">
            <v>5.1400947119179169E-2</v>
          </cell>
          <cell r="BJ176">
            <v>6.7606189021385626E-2</v>
          </cell>
          <cell r="BK176">
            <v>0.17040474349059037</v>
          </cell>
          <cell r="BM176">
            <v>7.9081888343189341E-2</v>
          </cell>
          <cell r="BN176">
            <v>0.17902159541648302</v>
          </cell>
          <cell r="BO176">
            <v>0.16358839050131926</v>
          </cell>
          <cell r="BP176">
            <v>0.2529080675422139</v>
          </cell>
          <cell r="BR176">
            <v>0.18222222222222223</v>
          </cell>
          <cell r="BS176">
            <v>0.2512218963831867</v>
          </cell>
          <cell r="BT176">
            <v>0.2224469160768453</v>
          </cell>
          <cell r="BU176">
            <v>0.28786453433678272</v>
          </cell>
          <cell r="BW176">
            <v>0.2</v>
          </cell>
          <cell r="BX176">
            <v>0.27649325626204241</v>
          </cell>
          <cell r="BY176">
            <v>0.25326633165829143</v>
          </cell>
          <cell r="BZ176">
            <v>0.31499556344276841</v>
          </cell>
          <cell r="CB176">
            <v>0.22633297062023938</v>
          </cell>
          <cell r="CC176">
            <v>0.28944820909970959</v>
          </cell>
          <cell r="CD176">
            <v>0.23319755600814665</v>
          </cell>
          <cell r="CE176">
            <v>0.29924953095684803</v>
          </cell>
          <cell r="CG176">
            <v>0.21087463616318816</v>
          </cell>
          <cell r="CH176">
            <v>0.29309564320208292</v>
          </cell>
          <cell r="CI176">
            <v>0.2877991820462239</v>
          </cell>
          <cell r="CJ176">
            <v>0.33576620584753175</v>
          </cell>
        </row>
        <row r="178">
          <cell r="A178" t="str">
            <v>CONSOLIDATED RESULTS</v>
          </cell>
          <cell r="B178" t="str">
            <v>2002</v>
          </cell>
          <cell r="C178" t="str">
            <v>2003</v>
          </cell>
          <cell r="D178" t="str">
            <v>2004</v>
          </cell>
          <cell r="E178" t="str">
            <v>2005</v>
          </cell>
          <cell r="F178">
            <v>2006</v>
          </cell>
          <cell r="G178">
            <v>2007</v>
          </cell>
          <cell r="H178">
            <v>2008</v>
          </cell>
          <cell r="I178">
            <v>2009</v>
          </cell>
          <cell r="J178">
            <v>2010</v>
          </cell>
          <cell r="K178">
            <v>2011</v>
          </cell>
          <cell r="L178">
            <v>2012</v>
          </cell>
          <cell r="M178">
            <v>2013</v>
          </cell>
          <cell r="N178" t="str">
            <v>2014E</v>
          </cell>
          <cell r="O178" t="str">
            <v>2015E</v>
          </cell>
          <cell r="P178" t="str">
            <v>2016E</v>
          </cell>
          <cell r="Q178" t="str">
            <v>2017E</v>
          </cell>
          <cell r="AH178" t="str">
            <v xml:space="preserve">Consolidated Results </v>
          </cell>
          <cell r="AI178" t="str">
            <v>1Q</v>
          </cell>
          <cell r="AJ178" t="str">
            <v>2Q</v>
          </cell>
          <cell r="AK178" t="str">
            <v>3Q</v>
          </cell>
          <cell r="AL178" t="str">
            <v>4Q</v>
          </cell>
          <cell r="AN178" t="str">
            <v>1Q</v>
          </cell>
          <cell r="AO178" t="str">
            <v>2Q</v>
          </cell>
          <cell r="AP178" t="str">
            <v>3Q</v>
          </cell>
          <cell r="AQ178" t="str">
            <v>4Q</v>
          </cell>
          <cell r="AS178" t="str">
            <v>1Q</v>
          </cell>
          <cell r="AT178" t="str">
            <v>2Q</v>
          </cell>
          <cell r="AU178" t="str">
            <v>3Q</v>
          </cell>
          <cell r="AV178" t="str">
            <v>4Q</v>
          </cell>
          <cell r="AX178" t="str">
            <v>1Q</v>
          </cell>
          <cell r="AY178" t="str">
            <v>2Q</v>
          </cell>
          <cell r="AZ178" t="str">
            <v>3Q</v>
          </cell>
          <cell r="BA178" t="str">
            <v>4Q</v>
          </cell>
          <cell r="BC178" t="str">
            <v>1Q</v>
          </cell>
          <cell r="BD178" t="str">
            <v>2Q</v>
          </cell>
          <cell r="BE178" t="str">
            <v>3Q</v>
          </cell>
          <cell r="BF178" t="str">
            <v>4Q</v>
          </cell>
          <cell r="BH178" t="str">
            <v>1Q</v>
          </cell>
          <cell r="BI178" t="str">
            <v>2Q</v>
          </cell>
          <cell r="BJ178" t="str">
            <v>3Q</v>
          </cell>
          <cell r="BK178" t="str">
            <v>4Q</v>
          </cell>
          <cell r="BM178" t="str">
            <v>1Q</v>
          </cell>
          <cell r="BN178" t="str">
            <v>2Q</v>
          </cell>
          <cell r="BO178" t="str">
            <v>3Q</v>
          </cell>
          <cell r="BP178" t="str">
            <v>4Q</v>
          </cell>
          <cell r="BR178" t="str">
            <v>1Q</v>
          </cell>
          <cell r="BS178" t="str">
            <v>2Q</v>
          </cell>
          <cell r="BT178" t="str">
            <v>3Q</v>
          </cell>
          <cell r="BU178" t="str">
            <v>4Q</v>
          </cell>
          <cell r="BW178" t="str">
            <v>1Q</v>
          </cell>
          <cell r="BX178" t="str">
            <v>2Q</v>
          </cell>
          <cell r="BY178" t="str">
            <v>3Q</v>
          </cell>
          <cell r="BZ178" t="str">
            <v>4Q</v>
          </cell>
          <cell r="CB178" t="str">
            <v>1Q</v>
          </cell>
          <cell r="CC178" t="str">
            <v>2Q</v>
          </cell>
          <cell r="CD178" t="str">
            <v>3Q</v>
          </cell>
          <cell r="CE178" t="str">
            <v>4Q</v>
          </cell>
          <cell r="CG178" t="str">
            <v>1QE</v>
          </cell>
          <cell r="CH178" t="str">
            <v>2QE</v>
          </cell>
          <cell r="CI178" t="str">
            <v>3QE</v>
          </cell>
          <cell r="CJ178" t="str">
            <v>4QE</v>
          </cell>
        </row>
        <row r="179">
          <cell r="A179" t="str">
            <v xml:space="preserve"> </v>
          </cell>
          <cell r="AI179" t="str">
            <v xml:space="preserve"> </v>
          </cell>
        </row>
        <row r="180">
          <cell r="A180" t="str">
            <v xml:space="preserve">Total Segment Revenues </v>
          </cell>
          <cell r="B180">
            <v>13170.5</v>
          </cell>
          <cell r="C180">
            <v>13595.699999999999</v>
          </cell>
          <cell r="D180">
            <v>14585.599999999999</v>
          </cell>
          <cell r="E180">
            <v>14576.400000000001</v>
          </cell>
          <cell r="F180">
            <v>14357.400000000001</v>
          </cell>
          <cell r="G180">
            <v>14100.800000000001</v>
          </cell>
          <cell r="H180">
            <v>14122.000000000004</v>
          </cell>
          <cell r="I180">
            <v>13199.7</v>
          </cell>
          <cell r="J180">
            <v>14258.299999999997</v>
          </cell>
          <cell r="K180">
            <v>13840</v>
          </cell>
          <cell r="L180">
            <v>14326</v>
          </cell>
          <cell r="M180">
            <v>15523</v>
          </cell>
          <cell r="N180">
            <v>16227.18516163335</v>
          </cell>
          <cell r="O180">
            <v>16602.847363774705</v>
          </cell>
          <cell r="P180">
            <v>17571.116945207505</v>
          </cell>
          <cell r="Q180">
            <v>18028.335977153158</v>
          </cell>
          <cell r="AH180" t="str">
            <v xml:space="preserve">Total Segment Revenues </v>
          </cell>
          <cell r="AI180">
            <v>3519.2000000000003</v>
          </cell>
          <cell r="AJ180">
            <v>3664.7000000000003</v>
          </cell>
          <cell r="AK180">
            <v>3639.5</v>
          </cell>
          <cell r="AL180">
            <v>3762.2</v>
          </cell>
          <cell r="AM180">
            <v>0</v>
          </cell>
          <cell r="AN180">
            <v>3454.6</v>
          </cell>
          <cell r="AO180">
            <v>3669.1</v>
          </cell>
          <cell r="AP180">
            <v>3614.5</v>
          </cell>
          <cell r="AQ180">
            <v>3838.2000000000003</v>
          </cell>
          <cell r="AR180">
            <v>0</v>
          </cell>
          <cell r="AS180">
            <v>3583.4999999999995</v>
          </cell>
          <cell r="AT180">
            <v>3489.3</v>
          </cell>
          <cell r="AU180">
            <v>3392.3</v>
          </cell>
          <cell r="AV180">
            <v>3892.3</v>
          </cell>
          <cell r="AW180">
            <v>0</v>
          </cell>
          <cell r="AX180">
            <v>3661.7000000000003</v>
          </cell>
          <cell r="AY180">
            <v>3380.9</v>
          </cell>
          <cell r="AZ180">
            <v>3289.7</v>
          </cell>
          <cell r="BA180">
            <v>3768.5000000000005</v>
          </cell>
          <cell r="BB180">
            <v>0</v>
          </cell>
          <cell r="BC180">
            <v>3703.2000000000003</v>
          </cell>
          <cell r="BD180">
            <v>3428.5</v>
          </cell>
          <cell r="BE180">
            <v>3416.4000000000005</v>
          </cell>
          <cell r="BF180">
            <v>3573.9</v>
          </cell>
          <cell r="BG180">
            <v>0</v>
          </cell>
          <cell r="BH180">
            <v>3210.1999999999994</v>
          </cell>
          <cell r="BI180">
            <v>3038.9</v>
          </cell>
          <cell r="BJ180">
            <v>3404.5</v>
          </cell>
          <cell r="BK180">
            <v>3546.1</v>
          </cell>
          <cell r="BL180">
            <v>0</v>
          </cell>
          <cell r="BM180">
            <v>3598.8999999999996</v>
          </cell>
          <cell r="BN180">
            <v>3364.7</v>
          </cell>
          <cell r="BO180">
            <v>3341.6000000000004</v>
          </cell>
          <cell r="BP180">
            <v>3953.1</v>
          </cell>
          <cell r="BQ180">
            <v>0</v>
          </cell>
          <cell r="BR180">
            <v>3442</v>
          </cell>
          <cell r="BS180">
            <v>3455</v>
          </cell>
          <cell r="BT180">
            <v>3261</v>
          </cell>
          <cell r="BU180">
            <v>3682</v>
          </cell>
          <cell r="BV180">
            <v>0</v>
          </cell>
          <cell r="BW180">
            <v>3856</v>
          </cell>
          <cell r="BX180">
            <v>3380</v>
          </cell>
          <cell r="BY180">
            <v>3321</v>
          </cell>
          <cell r="BZ180">
            <v>3769</v>
          </cell>
          <cell r="CA180">
            <v>0</v>
          </cell>
          <cell r="CB180">
            <v>4107</v>
          </cell>
          <cell r="CC180">
            <v>3748</v>
          </cell>
          <cell r="CD180">
            <v>3686</v>
          </cell>
          <cell r="CE180">
            <v>3982</v>
          </cell>
          <cell r="CF180">
            <v>0</v>
          </cell>
          <cell r="CG180">
            <v>3960.9728637363378</v>
          </cell>
          <cell r="CH180">
            <v>3826.0720623150819</v>
          </cell>
          <cell r="CI180">
            <v>4034.4370552118999</v>
          </cell>
          <cell r="CJ180">
            <v>4405.7031803700302</v>
          </cell>
        </row>
        <row r="181">
          <cell r="A181" t="str">
            <v xml:space="preserve">Eliminations </v>
          </cell>
          <cell r="B181">
            <v>-7.1000000000003638</v>
          </cell>
          <cell r="C181">
            <v>-41.199999999998909</v>
          </cell>
          <cell r="D181">
            <v>-38.299999999999272</v>
          </cell>
          <cell r="E181">
            <v>-40.000000000001819</v>
          </cell>
          <cell r="F181">
            <v>-37.200000000000003</v>
          </cell>
          <cell r="G181">
            <v>-28.3</v>
          </cell>
          <cell r="H181">
            <v>-171.60000000000002</v>
          </cell>
          <cell r="I181">
            <v>-185.10000000000002</v>
          </cell>
          <cell r="J181">
            <v>-198.5</v>
          </cell>
          <cell r="K181">
            <v>-203</v>
          </cell>
          <cell r="L181">
            <v>-237</v>
          </cell>
          <cell r="M181">
            <v>-239</v>
          </cell>
          <cell r="N181">
            <v>-250.10873641998489</v>
          </cell>
          <cell r="O181">
            <v>-255.89879783621058</v>
          </cell>
          <cell r="P181">
            <v>-270.82268507320623</v>
          </cell>
          <cell r="Q181">
            <v>-277.86977754229747</v>
          </cell>
          <cell r="AH181" t="str">
            <v xml:space="preserve">Eliminations </v>
          </cell>
          <cell r="AI181">
            <v>-6.7</v>
          </cell>
          <cell r="AJ181">
            <v>-7.5</v>
          </cell>
          <cell r="AK181">
            <v>-10.7</v>
          </cell>
          <cell r="AL181">
            <v>-13.399999999999274</v>
          </cell>
          <cell r="AM181">
            <v>0</v>
          </cell>
          <cell r="AN181">
            <v>-6.8</v>
          </cell>
          <cell r="AO181">
            <v>-11.4</v>
          </cell>
          <cell r="AP181">
            <v>-11.7</v>
          </cell>
          <cell r="AQ181">
            <v>-10.10000000000182</v>
          </cell>
          <cell r="AR181">
            <v>0</v>
          </cell>
          <cell r="AS181">
            <v>-8.1</v>
          </cell>
          <cell r="AT181">
            <v>-6.2</v>
          </cell>
          <cell r="AU181">
            <v>-13.5</v>
          </cell>
          <cell r="AV181">
            <v>-9.4</v>
          </cell>
          <cell r="AW181">
            <v>0</v>
          </cell>
          <cell r="AX181">
            <v>-4.3</v>
          </cell>
          <cell r="AY181">
            <v>-6</v>
          </cell>
          <cell r="AZ181">
            <v>-8.3000000000000007</v>
          </cell>
          <cell r="BA181">
            <v>-9.6999999999999993</v>
          </cell>
          <cell r="BB181">
            <v>0</v>
          </cell>
          <cell r="BC181">
            <v>-49.1</v>
          </cell>
          <cell r="BD181">
            <v>-34.799999999999997</v>
          </cell>
          <cell r="BE181">
            <v>-40.700000000000003</v>
          </cell>
          <cell r="BF181">
            <v>-47</v>
          </cell>
          <cell r="BG181">
            <v>0</v>
          </cell>
          <cell r="BH181">
            <v>-50.3</v>
          </cell>
          <cell r="BI181">
            <v>-32.6</v>
          </cell>
          <cell r="BJ181">
            <v>-54.5</v>
          </cell>
          <cell r="BK181">
            <v>-47.7</v>
          </cell>
          <cell r="BL181">
            <v>0</v>
          </cell>
          <cell r="BM181">
            <v>-68</v>
          </cell>
          <cell r="BN181">
            <v>-33.700000000000003</v>
          </cell>
          <cell r="BO181">
            <v>-44.1</v>
          </cell>
          <cell r="BP181">
            <v>-52.7</v>
          </cell>
          <cell r="BQ181">
            <v>0</v>
          </cell>
          <cell r="BR181">
            <v>-66</v>
          </cell>
          <cell r="BS181">
            <v>-27</v>
          </cell>
          <cell r="BT181">
            <v>-40</v>
          </cell>
          <cell r="BU181">
            <v>-70</v>
          </cell>
          <cell r="BV181">
            <v>0</v>
          </cell>
          <cell r="BW181">
            <v>-60</v>
          </cell>
          <cell r="BX181">
            <v>-51</v>
          </cell>
          <cell r="BY181">
            <v>-55</v>
          </cell>
          <cell r="BZ181">
            <v>-71</v>
          </cell>
          <cell r="CA181">
            <v>0</v>
          </cell>
          <cell r="CB181">
            <v>-67</v>
          </cell>
          <cell r="CC181">
            <v>-49</v>
          </cell>
          <cell r="CD181">
            <v>-52</v>
          </cell>
          <cell r="CE181">
            <v>-71</v>
          </cell>
          <cell r="CF181">
            <v>0</v>
          </cell>
          <cell r="CG181">
            <v>-64.617770116955114</v>
          </cell>
          <cell r="CH181">
            <v>-50.020685980106464</v>
          </cell>
          <cell r="CI181">
            <v>-56.915552596586764</v>
          </cell>
          <cell r="CJ181">
            <v>-78.554727726336552</v>
          </cell>
        </row>
        <row r="182">
          <cell r="A182" t="str">
            <v xml:space="preserve">Total Revenues </v>
          </cell>
          <cell r="B182">
            <v>13163.4</v>
          </cell>
          <cell r="C182">
            <v>13554.5</v>
          </cell>
          <cell r="D182">
            <v>14547.3</v>
          </cell>
          <cell r="E182">
            <v>14536.4</v>
          </cell>
          <cell r="F182">
            <v>14320.2</v>
          </cell>
          <cell r="G182">
            <v>14072.9</v>
          </cell>
          <cell r="H182">
            <v>13950.4</v>
          </cell>
          <cell r="I182">
            <v>13014.6</v>
          </cell>
          <cell r="J182">
            <v>14059.799999999997</v>
          </cell>
          <cell r="K182">
            <v>13637</v>
          </cell>
          <cell r="L182">
            <v>14089</v>
          </cell>
          <cell r="M182">
            <v>15284</v>
          </cell>
          <cell r="N182">
            <v>15977.076425213365</v>
          </cell>
          <cell r="O182">
            <v>16346.948565938494</v>
          </cell>
          <cell r="P182">
            <v>17300.294260134298</v>
          </cell>
          <cell r="Q182">
            <v>17750.466199610859</v>
          </cell>
          <cell r="AH182" t="str">
            <v xml:space="preserve">Total Revenues </v>
          </cell>
          <cell r="AI182">
            <v>3512.5000000000005</v>
          </cell>
          <cell r="AJ182">
            <v>3657.2000000000003</v>
          </cell>
          <cell r="AK182">
            <v>3628.8</v>
          </cell>
          <cell r="AL182">
            <v>3748.8000000000006</v>
          </cell>
          <cell r="AM182">
            <v>0</v>
          </cell>
          <cell r="AN182">
            <v>3447.7999999999997</v>
          </cell>
          <cell r="AO182">
            <v>3657.7</v>
          </cell>
          <cell r="AP182">
            <v>3602.8</v>
          </cell>
          <cell r="AQ182">
            <v>3828.0999999999985</v>
          </cell>
          <cell r="AR182">
            <v>0</v>
          </cell>
          <cell r="AS182">
            <v>3575.3999999999996</v>
          </cell>
          <cell r="AT182">
            <v>3483.1000000000004</v>
          </cell>
          <cell r="AU182">
            <v>3378.8</v>
          </cell>
          <cell r="AV182">
            <v>3882.9000000000015</v>
          </cell>
          <cell r="AW182">
            <v>0</v>
          </cell>
          <cell r="AX182">
            <v>3657.4</v>
          </cell>
          <cell r="AY182">
            <v>3374.9</v>
          </cell>
          <cell r="AZ182">
            <v>3281.3999999999996</v>
          </cell>
          <cell r="BA182">
            <v>3759.1999999999989</v>
          </cell>
          <cell r="BB182">
            <v>0</v>
          </cell>
          <cell r="BC182">
            <v>3654.1000000000004</v>
          </cell>
          <cell r="BD182">
            <v>3393.7</v>
          </cell>
          <cell r="BE182">
            <v>3375.7000000000007</v>
          </cell>
          <cell r="BF182">
            <v>3526.8999999999996</v>
          </cell>
          <cell r="BG182">
            <v>0</v>
          </cell>
          <cell r="BH182">
            <v>3159.8999999999992</v>
          </cell>
          <cell r="BI182">
            <v>3006.3</v>
          </cell>
          <cell r="BJ182">
            <v>3350</v>
          </cell>
          <cell r="BK182">
            <v>3498.4</v>
          </cell>
          <cell r="BL182">
            <v>0</v>
          </cell>
          <cell r="BM182">
            <v>3530.8999999999996</v>
          </cell>
          <cell r="BN182">
            <v>3331</v>
          </cell>
          <cell r="BO182">
            <v>3297.5000000000005</v>
          </cell>
          <cell r="BP182">
            <v>3900.4</v>
          </cell>
          <cell r="BQ182">
            <v>0</v>
          </cell>
          <cell r="BR182">
            <v>3376</v>
          </cell>
          <cell r="BS182">
            <v>3428</v>
          </cell>
          <cell r="BT182">
            <v>3221</v>
          </cell>
          <cell r="BU182">
            <v>3612</v>
          </cell>
          <cell r="BV182">
            <v>0</v>
          </cell>
          <cell r="BW182">
            <v>3796</v>
          </cell>
          <cell r="BX182">
            <v>3329</v>
          </cell>
          <cell r="BY182">
            <v>3266</v>
          </cell>
          <cell r="BZ182">
            <v>3698</v>
          </cell>
          <cell r="CA182">
            <v>0</v>
          </cell>
          <cell r="CB182">
            <v>4040</v>
          </cell>
          <cell r="CC182">
            <v>3699</v>
          </cell>
          <cell r="CD182">
            <v>3634</v>
          </cell>
          <cell r="CE182">
            <v>3911</v>
          </cell>
          <cell r="CF182">
            <v>0</v>
          </cell>
          <cell r="CG182">
            <v>3896.3550936193828</v>
          </cell>
          <cell r="CH182">
            <v>3776.0513763349754</v>
          </cell>
          <cell r="CI182">
            <v>3977.5215026153132</v>
          </cell>
          <cell r="CJ182">
            <v>4327.1484526436934</v>
          </cell>
        </row>
        <row r="183">
          <cell r="A183" t="str">
            <v xml:space="preserve">% Change </v>
          </cell>
          <cell r="B183" t="str">
            <v>-</v>
          </cell>
          <cell r="C183">
            <v>2.9711168846954461E-2</v>
          </cell>
          <cell r="D183">
            <v>7.3245047770113203E-2</v>
          </cell>
          <cell r="E183">
            <v>-7.4927993510820468E-4</v>
          </cell>
          <cell r="F183">
            <v>-1.4873008447758629E-2</v>
          </cell>
          <cell r="G183">
            <v>-1.726931188111902E-2</v>
          </cell>
          <cell r="H183">
            <v>-8.7046735214489912E-3</v>
          </cell>
          <cell r="I183">
            <v>-6.7080513820392151E-2</v>
          </cell>
          <cell r="J183">
            <v>8.0309805910285137E-2</v>
          </cell>
          <cell r="K183">
            <v>-3.0071551515668649E-2</v>
          </cell>
          <cell r="L183">
            <v>3.3145119894404829E-2</v>
          </cell>
          <cell r="M183">
            <v>8.4817943076158642E-2</v>
          </cell>
          <cell r="N183">
            <v>4.5346533971039271E-2</v>
          </cell>
          <cell r="O183">
            <v>2.315017659560259E-2</v>
          </cell>
          <cell r="P183">
            <v>5.8319489435615823E-2</v>
          </cell>
          <cell r="Q183">
            <v>2.6021056792884023E-2</v>
          </cell>
          <cell r="AH183" t="str">
            <v xml:space="preserve">% Change </v>
          </cell>
          <cell r="AI183" t="str">
            <v>-</v>
          </cell>
          <cell r="AJ183" t="str">
            <v>-</v>
          </cell>
          <cell r="AK183" t="str">
            <v>-</v>
          </cell>
          <cell r="AL183" t="str">
            <v>-</v>
          </cell>
          <cell r="AN183">
            <v>-1.8419928825622933E-2</v>
          </cell>
          <cell r="AO183">
            <v>1.3671661380287858E-4</v>
          </cell>
          <cell r="AP183">
            <v>-7.1649029982363555E-3</v>
          </cell>
          <cell r="AQ183">
            <v>2.1153435766111173E-2</v>
          </cell>
          <cell r="AS183">
            <v>3.700910725680151E-2</v>
          </cell>
          <cell r="AT183">
            <v>-4.7734915383984333E-2</v>
          </cell>
          <cell r="AU183">
            <v>-6.2173864771844167E-2</v>
          </cell>
          <cell r="AV183">
            <v>1.4315195527808244E-2</v>
          </cell>
          <cell r="AX183">
            <v>2.2934496839514651E-2</v>
          </cell>
          <cell r="AY183">
            <v>-3.1064281817920869E-2</v>
          </cell>
          <cell r="AZ183">
            <v>-2.882680241505875E-2</v>
          </cell>
          <cell r="BA183">
            <v>-3.1857632182132556E-2</v>
          </cell>
          <cell r="BC183">
            <v>-9.0228030841577045E-4</v>
          </cell>
          <cell r="BD183">
            <v>5.5705354232717941E-3</v>
          </cell>
          <cell r="BE183">
            <v>2.8737733894069972E-2</v>
          </cell>
          <cell r="BF183">
            <v>-6.1795062779314569E-2</v>
          </cell>
          <cell r="BH183">
            <v>-0.13524534085000439</v>
          </cell>
          <cell r="BI183">
            <v>-0.11415269469900102</v>
          </cell>
          <cell r="BJ183">
            <v>-7.6132357733212919E-3</v>
          </cell>
          <cell r="BK183">
            <v>-8.0807508009865803E-3</v>
          </cell>
          <cell r="BM183">
            <v>0.11740877875882161</v>
          </cell>
          <cell r="BN183">
            <v>0.10800651964208496</v>
          </cell>
          <cell r="BO183">
            <v>-1.5671641791044633E-2</v>
          </cell>
          <cell r="BP183">
            <v>0.11490967299336829</v>
          </cell>
          <cell r="BR183">
            <v>-4.3869834886289483E-2</v>
          </cell>
          <cell r="BS183">
            <v>2.912038426898822E-2</v>
          </cell>
          <cell r="BT183">
            <v>-2.3199393479909181E-2</v>
          </cell>
          <cell r="BU183">
            <v>-7.3941134242641815E-2</v>
          </cell>
          <cell r="BW183">
            <v>0.12440758293838861</v>
          </cell>
          <cell r="BX183">
            <v>-2.8879813302217006E-2</v>
          </cell>
          <cell r="BY183">
            <v>1.3970816516609696E-2</v>
          </cell>
          <cell r="BZ183">
            <v>2.3809523809523725E-2</v>
          </cell>
          <cell r="CB183">
            <v>6.4278187565858902E-2</v>
          </cell>
          <cell r="CC183">
            <v>0.11114448783418451</v>
          </cell>
          <cell r="CD183">
            <v>0.11267605633802824</v>
          </cell>
          <cell r="CE183">
            <v>5.7598702001081747E-2</v>
          </cell>
          <cell r="CG183">
            <v>-3.555566989619241E-2</v>
          </cell>
          <cell r="CH183">
            <v>2.0830326124621656E-2</v>
          </cell>
          <cell r="CI183">
            <v>9.4529857626668434E-2</v>
          </cell>
          <cell r="CJ183">
            <v>0.10640461586389494</v>
          </cell>
        </row>
        <row r="185">
          <cell r="A185" t="str">
            <v xml:space="preserve">Total Segment EBITDA </v>
          </cell>
          <cell r="B185">
            <v>3181.2999999999997</v>
          </cell>
          <cell r="C185">
            <v>3230.6</v>
          </cell>
          <cell r="D185">
            <v>3563.5</v>
          </cell>
          <cell r="E185">
            <v>3404.4000000000005</v>
          </cell>
          <cell r="F185">
            <v>3413.7</v>
          </cell>
          <cell r="G185">
            <v>3329.5999999999995</v>
          </cell>
          <cell r="H185">
            <v>2911.7999999999997</v>
          </cell>
          <cell r="I185">
            <v>2066.6000000000004</v>
          </cell>
          <cell r="J185">
            <v>2688.9</v>
          </cell>
          <cell r="K185">
            <v>3459</v>
          </cell>
          <cell r="L185">
            <v>3784</v>
          </cell>
          <cell r="M185">
            <v>4078</v>
          </cell>
          <cell r="N185">
            <v>4359.8550239445867</v>
          </cell>
          <cell r="O185">
            <v>4568.987330345888</v>
          </cell>
          <cell r="P185">
            <v>4971.5376719491069</v>
          </cell>
          <cell r="Q185">
            <v>5231.2723229344747</v>
          </cell>
          <cell r="AH185" t="str">
            <v xml:space="preserve">Total Segment EBITDA </v>
          </cell>
          <cell r="AI185">
            <v>707.2</v>
          </cell>
          <cell r="AJ185">
            <v>1086.0000000000002</v>
          </cell>
          <cell r="AK185">
            <v>961.90000000000009</v>
          </cell>
          <cell r="AL185">
            <v>808.4</v>
          </cell>
          <cell r="AM185">
            <v>0</v>
          </cell>
          <cell r="AN185">
            <v>674.6</v>
          </cell>
          <cell r="AO185">
            <v>995.8</v>
          </cell>
          <cell r="AP185">
            <v>887.09999999999991</v>
          </cell>
          <cell r="AQ185">
            <v>846.9</v>
          </cell>
          <cell r="AR185">
            <v>0</v>
          </cell>
          <cell r="AS185">
            <v>699.19999999999993</v>
          </cell>
          <cell r="AT185">
            <v>933.9</v>
          </cell>
          <cell r="AU185">
            <v>832.6</v>
          </cell>
          <cell r="AV185">
            <v>948</v>
          </cell>
          <cell r="AW185">
            <v>0</v>
          </cell>
          <cell r="AX185">
            <v>683.99999999999989</v>
          </cell>
          <cell r="AY185">
            <v>925.2</v>
          </cell>
          <cell r="AZ185">
            <v>823</v>
          </cell>
          <cell r="BA185">
            <v>897.4</v>
          </cell>
          <cell r="BB185">
            <v>0</v>
          </cell>
          <cell r="BC185">
            <v>734.7</v>
          </cell>
          <cell r="BD185">
            <v>826.7</v>
          </cell>
          <cell r="BE185">
            <v>699.59999999999991</v>
          </cell>
          <cell r="BF185">
            <v>650.79999999999995</v>
          </cell>
          <cell r="BG185">
            <v>0</v>
          </cell>
          <cell r="BH185">
            <v>313.8</v>
          </cell>
          <cell r="BI185">
            <v>462.00000000000006</v>
          </cell>
          <cell r="BJ185">
            <v>644.1</v>
          </cell>
          <cell r="BK185">
            <v>646.70000000000005</v>
          </cell>
          <cell r="BL185">
            <v>0</v>
          </cell>
          <cell r="BM185">
            <v>415.5</v>
          </cell>
          <cell r="BN185">
            <v>661.5</v>
          </cell>
          <cell r="BO185">
            <v>751.59999999999991</v>
          </cell>
          <cell r="BP185">
            <v>860.30000000000007</v>
          </cell>
          <cell r="BQ185">
            <v>0</v>
          </cell>
          <cell r="BR185">
            <v>666</v>
          </cell>
          <cell r="BS185">
            <v>964</v>
          </cell>
          <cell r="BT185">
            <v>934</v>
          </cell>
          <cell r="BU185">
            <v>895</v>
          </cell>
          <cell r="BV185">
            <v>0</v>
          </cell>
          <cell r="BW185">
            <v>877</v>
          </cell>
          <cell r="BX185">
            <v>976</v>
          </cell>
          <cell r="BY185">
            <v>968</v>
          </cell>
          <cell r="BZ185">
            <v>963</v>
          </cell>
          <cell r="CA185">
            <v>0</v>
          </cell>
          <cell r="CB185">
            <v>996</v>
          </cell>
          <cell r="CC185">
            <v>1019</v>
          </cell>
          <cell r="CD185">
            <v>1026</v>
          </cell>
          <cell r="CE185">
            <v>1037</v>
          </cell>
          <cell r="CF185">
            <v>0</v>
          </cell>
          <cell r="CG185">
            <v>996.61273070497384</v>
          </cell>
          <cell r="CH185">
            <v>1102.5899491069431</v>
          </cell>
          <cell r="CI185">
            <v>1145.9461567782264</v>
          </cell>
          <cell r="CJ185">
            <v>1114.7061873544435</v>
          </cell>
        </row>
        <row r="186">
          <cell r="A186" t="str">
            <v>Corporate Expenses</v>
          </cell>
          <cell r="B186">
            <v>-54.100000000000051</v>
          </cell>
          <cell r="C186">
            <v>-71.299999999999983</v>
          </cell>
          <cell r="D186">
            <v>-96.69999999999996</v>
          </cell>
          <cell r="E186">
            <v>-118.7</v>
          </cell>
          <cell r="F186">
            <v>-162.9</v>
          </cell>
          <cell r="G186">
            <v>-159</v>
          </cell>
          <cell r="H186">
            <v>-145.5</v>
          </cell>
          <cell r="I186">
            <v>-147.1</v>
          </cell>
          <cell r="J186">
            <v>-218.20000000000002</v>
          </cell>
          <cell r="K186">
            <v>-234</v>
          </cell>
          <cell r="L186">
            <v>-248</v>
          </cell>
          <cell r="M186">
            <v>-342</v>
          </cell>
          <cell r="N186">
            <v>-321.64</v>
          </cell>
          <cell r="O186">
            <v>-304.05599999999998</v>
          </cell>
          <cell r="P186">
            <v>-313.17768000000001</v>
          </cell>
          <cell r="Q186">
            <v>-322.57301040000004</v>
          </cell>
          <cell r="AH186" t="str">
            <v>Corporate Expenses</v>
          </cell>
          <cell r="AI186">
            <v>-13.95</v>
          </cell>
          <cell r="AJ186">
            <v>-38.550000000000004</v>
          </cell>
          <cell r="AK186">
            <v>-20.849999999999998</v>
          </cell>
          <cell r="AL186">
            <v>-23.349999999999966</v>
          </cell>
          <cell r="AM186">
            <v>0</v>
          </cell>
          <cell r="AN186">
            <v>-18.45</v>
          </cell>
          <cell r="AO186">
            <v>-26.35</v>
          </cell>
          <cell r="AP186">
            <v>-35.849999999999994</v>
          </cell>
          <cell r="AQ186">
            <v>-38.049999999999997</v>
          </cell>
          <cell r="AR186">
            <v>0</v>
          </cell>
          <cell r="AS186">
            <v>-27.7</v>
          </cell>
          <cell r="AT186">
            <v>-39.700000000000003</v>
          </cell>
          <cell r="AU186">
            <v>-41.3</v>
          </cell>
          <cell r="AV186">
            <v>-54.2</v>
          </cell>
          <cell r="AW186">
            <v>0</v>
          </cell>
          <cell r="AX186">
            <v>-26.8</v>
          </cell>
          <cell r="AY186">
            <v>-41.6</v>
          </cell>
          <cell r="AZ186">
            <v>-41.3</v>
          </cell>
          <cell r="BA186">
            <v>-49.3</v>
          </cell>
          <cell r="BB186">
            <v>0</v>
          </cell>
          <cell r="BC186">
            <v>-26</v>
          </cell>
          <cell r="BD186">
            <v>-41.9</v>
          </cell>
          <cell r="BE186">
            <v>-38.5</v>
          </cell>
          <cell r="BF186">
            <v>-39.1</v>
          </cell>
          <cell r="BG186">
            <v>0</v>
          </cell>
          <cell r="BH186">
            <v>-28.5</v>
          </cell>
          <cell r="BI186">
            <v>-34.700000000000003</v>
          </cell>
          <cell r="BJ186">
            <v>-34.799999999999997</v>
          </cell>
          <cell r="BK186">
            <v>-49.1</v>
          </cell>
          <cell r="BL186">
            <v>0</v>
          </cell>
          <cell r="BM186">
            <v>-38.700000000000003</v>
          </cell>
          <cell r="BN186">
            <v>-55.9</v>
          </cell>
          <cell r="BO186">
            <v>-58.7</v>
          </cell>
          <cell r="BP186">
            <v>-64.900000000000006</v>
          </cell>
          <cell r="BQ186">
            <v>0</v>
          </cell>
          <cell r="BR186">
            <v>-52</v>
          </cell>
          <cell r="BS186">
            <v>-63</v>
          </cell>
          <cell r="BT186">
            <v>-55</v>
          </cell>
          <cell r="BU186">
            <v>-64</v>
          </cell>
          <cell r="BV186">
            <v>0</v>
          </cell>
          <cell r="BW186">
            <v>-58</v>
          </cell>
          <cell r="BX186">
            <v>-52</v>
          </cell>
          <cell r="BY186">
            <v>-53</v>
          </cell>
          <cell r="BZ186">
            <v>-85</v>
          </cell>
          <cell r="CA186">
            <v>0</v>
          </cell>
          <cell r="CB186">
            <v>-80</v>
          </cell>
          <cell r="CC186">
            <v>-67</v>
          </cell>
          <cell r="CD186">
            <v>-85</v>
          </cell>
          <cell r="CE186">
            <v>-110</v>
          </cell>
          <cell r="CF186">
            <v>0</v>
          </cell>
          <cell r="CG186">
            <v>-78</v>
          </cell>
          <cell r="CH186">
            <v>-72</v>
          </cell>
          <cell r="CI186">
            <v>-77</v>
          </cell>
          <cell r="CJ186">
            <v>-94.64</v>
          </cell>
        </row>
        <row r="187">
          <cell r="A187" t="str">
            <v>Residual Costs of Discontinued Businesses</v>
          </cell>
          <cell r="B187">
            <v>-67.8</v>
          </cell>
          <cell r="C187">
            <v>-146.5</v>
          </cell>
          <cell r="D187">
            <v>-113.8</v>
          </cell>
          <cell r="E187">
            <v>-118.7</v>
          </cell>
          <cell r="F187">
            <v>-139.69999999999999</v>
          </cell>
          <cell r="G187">
            <v>-96.5</v>
          </cell>
          <cell r="H187">
            <v>-79.2</v>
          </cell>
          <cell r="I187">
            <v>-143.70000000000002</v>
          </cell>
          <cell r="J187">
            <v>-105.1</v>
          </cell>
          <cell r="K187">
            <v>-75</v>
          </cell>
          <cell r="L187">
            <v>-48</v>
          </cell>
          <cell r="M187">
            <v>0</v>
          </cell>
          <cell r="N187">
            <v>0</v>
          </cell>
          <cell r="O187">
            <v>0</v>
          </cell>
          <cell r="P187">
            <v>0</v>
          </cell>
          <cell r="Q187">
            <v>0</v>
          </cell>
          <cell r="AH187" t="str">
            <v>Residual Costs of Discontinued Businesses</v>
          </cell>
          <cell r="AI187">
            <v>-28.45</v>
          </cell>
          <cell r="AJ187">
            <v>-28.45</v>
          </cell>
          <cell r="AK187">
            <v>-28.45</v>
          </cell>
          <cell r="AL187">
            <v>-28.450000000000003</v>
          </cell>
          <cell r="AM187">
            <v>0</v>
          </cell>
          <cell r="AN187">
            <v>-29.7</v>
          </cell>
          <cell r="AO187">
            <v>-29.6</v>
          </cell>
          <cell r="AP187">
            <v>-29.7</v>
          </cell>
          <cell r="AQ187">
            <v>-29.7</v>
          </cell>
          <cell r="AR187">
            <v>0</v>
          </cell>
          <cell r="AS187">
            <v>-35.299999999999997</v>
          </cell>
          <cell r="AT187">
            <v>-35.299999999999997</v>
          </cell>
          <cell r="AU187">
            <v>-34.9</v>
          </cell>
          <cell r="AV187">
            <v>-34.200000000000003</v>
          </cell>
          <cell r="AW187">
            <v>0</v>
          </cell>
          <cell r="AX187">
            <v>-24.1</v>
          </cell>
          <cell r="AY187">
            <v>-24.2</v>
          </cell>
          <cell r="AZ187">
            <v>-24.1</v>
          </cell>
          <cell r="BA187">
            <v>-24.1</v>
          </cell>
          <cell r="BB187">
            <v>0</v>
          </cell>
          <cell r="BC187">
            <v>-22.4</v>
          </cell>
          <cell r="BD187">
            <v>-22.5</v>
          </cell>
          <cell r="BE187">
            <v>-18.3</v>
          </cell>
          <cell r="BF187">
            <v>-16</v>
          </cell>
          <cell r="BG187">
            <v>0</v>
          </cell>
          <cell r="BH187">
            <v>-36</v>
          </cell>
          <cell r="BI187">
            <v>-35.9</v>
          </cell>
          <cell r="BJ187">
            <v>-35.9</v>
          </cell>
          <cell r="BK187">
            <v>-35.9</v>
          </cell>
          <cell r="BL187">
            <v>0</v>
          </cell>
          <cell r="BM187">
            <v>-26.3</v>
          </cell>
          <cell r="BN187">
            <v>-26.2</v>
          </cell>
          <cell r="BO187">
            <v>-26.3</v>
          </cell>
          <cell r="BP187">
            <v>-26.3</v>
          </cell>
          <cell r="BQ187">
            <v>0</v>
          </cell>
          <cell r="BR187">
            <v>-19</v>
          </cell>
          <cell r="BS187">
            <v>-18</v>
          </cell>
          <cell r="BT187">
            <v>-19</v>
          </cell>
          <cell r="BU187">
            <v>-19</v>
          </cell>
          <cell r="BV187">
            <v>0</v>
          </cell>
          <cell r="BW187">
            <v>-12</v>
          </cell>
          <cell r="BX187">
            <v>-12</v>
          </cell>
          <cell r="BY187">
            <v>-12</v>
          </cell>
          <cell r="BZ187">
            <v>-12</v>
          </cell>
          <cell r="CA187">
            <v>0</v>
          </cell>
          <cell r="CB187">
            <v>0</v>
          </cell>
          <cell r="CC187">
            <v>0</v>
          </cell>
          <cell r="CD187">
            <v>0</v>
          </cell>
          <cell r="CE187">
            <v>0</v>
          </cell>
          <cell r="CF187">
            <v>0</v>
          </cell>
          <cell r="CG187">
            <v>0</v>
          </cell>
          <cell r="CH187">
            <v>0</v>
          </cell>
          <cell r="CI187">
            <v>0</v>
          </cell>
          <cell r="CJ187">
            <v>0</v>
          </cell>
        </row>
        <row r="188">
          <cell r="A188" t="str">
            <v xml:space="preserve">Eliminations </v>
          </cell>
          <cell r="B188">
            <v>-4.9737991503207013E-13</v>
          </cell>
          <cell r="C188">
            <v>0.20000000000098339</v>
          </cell>
          <cell r="D188">
            <v>-1.8000000000006793</v>
          </cell>
          <cell r="E188">
            <v>-1.7999999999998124</v>
          </cell>
          <cell r="F188">
            <v>0</v>
          </cell>
          <cell r="G188">
            <v>3.4000000000005457</v>
          </cell>
          <cell r="H188">
            <v>2.6999999999999997</v>
          </cell>
          <cell r="I188">
            <v>-2.1999999999999993</v>
          </cell>
          <cell r="J188">
            <v>3.4000000000000004</v>
          </cell>
          <cell r="K188">
            <v>7</v>
          </cell>
          <cell r="L188">
            <v>0</v>
          </cell>
          <cell r="M188">
            <v>0</v>
          </cell>
          <cell r="N188">
            <v>0</v>
          </cell>
          <cell r="O188">
            <v>0</v>
          </cell>
          <cell r="P188">
            <v>0</v>
          </cell>
          <cell r="Q188">
            <v>0</v>
          </cell>
          <cell r="AH188" t="str">
            <v xml:space="preserve">Eliminations </v>
          </cell>
          <cell r="AI188">
            <v>-0.45000000000016982</v>
          </cell>
          <cell r="AJ188">
            <v>-0.45000000000016982</v>
          </cell>
          <cell r="AK188">
            <v>-0.45000000000016982</v>
          </cell>
          <cell r="AL188">
            <v>-0.45000000000016982</v>
          </cell>
          <cell r="AM188">
            <v>0</v>
          </cell>
          <cell r="AN188">
            <v>-0.4499999999999531</v>
          </cell>
          <cell r="AO188">
            <v>-0.4499999999999531</v>
          </cell>
          <cell r="AP188">
            <v>-0.4499999999999531</v>
          </cell>
          <cell r="AQ188">
            <v>-0.4499999999999531</v>
          </cell>
          <cell r="AR188">
            <v>0</v>
          </cell>
          <cell r="AS188">
            <v>0</v>
          </cell>
          <cell r="AT188">
            <v>0</v>
          </cell>
          <cell r="AU188">
            <v>0</v>
          </cell>
          <cell r="AV188">
            <v>0</v>
          </cell>
          <cell r="AW188">
            <v>0</v>
          </cell>
          <cell r="AX188">
            <v>0.85000000000013642</v>
          </cell>
          <cell r="AY188">
            <v>0.85000000000013642</v>
          </cell>
          <cell r="AZ188">
            <v>0.85000000000013642</v>
          </cell>
          <cell r="BA188">
            <v>0.85000000000013642</v>
          </cell>
          <cell r="BB188">
            <v>0</v>
          </cell>
          <cell r="BC188">
            <v>0.6</v>
          </cell>
          <cell r="BD188">
            <v>0.7</v>
          </cell>
          <cell r="BE188">
            <v>0.7</v>
          </cell>
          <cell r="BF188">
            <v>0.7</v>
          </cell>
          <cell r="BG188">
            <v>0</v>
          </cell>
          <cell r="BH188">
            <v>0.5</v>
          </cell>
          <cell r="BI188">
            <v>0.7</v>
          </cell>
          <cell r="BJ188">
            <v>-4.0999999999999996</v>
          </cell>
          <cell r="BK188">
            <v>0.7</v>
          </cell>
          <cell r="BL188">
            <v>0</v>
          </cell>
          <cell r="BM188">
            <v>0.8</v>
          </cell>
          <cell r="BN188">
            <v>0.8</v>
          </cell>
          <cell r="BO188">
            <v>0.8</v>
          </cell>
          <cell r="BP188">
            <v>1</v>
          </cell>
          <cell r="BQ188">
            <v>0</v>
          </cell>
          <cell r="BR188">
            <v>1</v>
          </cell>
          <cell r="BS188">
            <v>3</v>
          </cell>
          <cell r="BT188">
            <v>1</v>
          </cell>
          <cell r="BU188">
            <v>2</v>
          </cell>
          <cell r="BV188">
            <v>0</v>
          </cell>
          <cell r="BW188">
            <v>0</v>
          </cell>
          <cell r="BX188">
            <v>-1</v>
          </cell>
          <cell r="BY188">
            <v>1</v>
          </cell>
          <cell r="BZ188">
            <v>0</v>
          </cell>
          <cell r="CA188">
            <v>0</v>
          </cell>
          <cell r="CB188">
            <v>0</v>
          </cell>
          <cell r="CC188">
            <v>0</v>
          </cell>
          <cell r="CD188">
            <v>0</v>
          </cell>
          <cell r="CE188">
            <v>0</v>
          </cell>
          <cell r="CF188">
            <v>0</v>
          </cell>
          <cell r="CG188">
            <v>0</v>
          </cell>
          <cell r="CH188">
            <v>0</v>
          </cell>
          <cell r="CI188">
            <v>0</v>
          </cell>
          <cell r="CJ188">
            <v>0</v>
          </cell>
        </row>
        <row r="189">
          <cell r="A189" t="str">
            <v xml:space="preserve">Total EBITDA </v>
          </cell>
          <cell r="B189">
            <v>3059.3999999999992</v>
          </cell>
          <cell r="C189">
            <v>3013.0000000000009</v>
          </cell>
          <cell r="D189">
            <v>3351.1999999999994</v>
          </cell>
          <cell r="E189">
            <v>3165.2000000000007</v>
          </cell>
          <cell r="F189">
            <v>3111.1</v>
          </cell>
          <cell r="G189">
            <v>3077.5</v>
          </cell>
          <cell r="H189">
            <v>2689.7999999999997</v>
          </cell>
          <cell r="I189">
            <v>1773.6000000000004</v>
          </cell>
          <cell r="J189">
            <v>2369.0000000000005</v>
          </cell>
          <cell r="K189">
            <v>3157</v>
          </cell>
          <cell r="L189">
            <v>3488</v>
          </cell>
          <cell r="M189">
            <v>3736</v>
          </cell>
          <cell r="N189">
            <v>4038.2150239445868</v>
          </cell>
          <cell r="O189">
            <v>4264.9313303458885</v>
          </cell>
          <cell r="P189">
            <v>4658.3599919491071</v>
          </cell>
          <cell r="Q189">
            <v>4908.6993125344743</v>
          </cell>
          <cell r="AH189" t="str">
            <v xml:space="preserve">Total EBITDA </v>
          </cell>
          <cell r="AI189">
            <v>664.3499999999998</v>
          </cell>
          <cell r="AJ189">
            <v>1018.55</v>
          </cell>
          <cell r="AK189">
            <v>912.14999999999986</v>
          </cell>
          <cell r="AL189">
            <v>756.14999999999975</v>
          </cell>
          <cell r="AM189">
            <v>0</v>
          </cell>
          <cell r="AN189">
            <v>626</v>
          </cell>
          <cell r="AO189">
            <v>939.4</v>
          </cell>
          <cell r="AP189">
            <v>821.09999999999991</v>
          </cell>
          <cell r="AQ189">
            <v>778.7</v>
          </cell>
          <cell r="AR189">
            <v>0</v>
          </cell>
          <cell r="AS189">
            <v>636.19999999999993</v>
          </cell>
          <cell r="AT189">
            <v>858.9</v>
          </cell>
          <cell r="AU189">
            <v>756.40000000000009</v>
          </cell>
          <cell r="AV189">
            <v>859.59999999999991</v>
          </cell>
          <cell r="AW189">
            <v>0</v>
          </cell>
          <cell r="AX189">
            <v>633.95000000000005</v>
          </cell>
          <cell r="AY189">
            <v>860.25000000000011</v>
          </cell>
          <cell r="AZ189">
            <v>758.45000000000016</v>
          </cell>
          <cell r="BA189">
            <v>824.85000000000014</v>
          </cell>
          <cell r="BB189">
            <v>0</v>
          </cell>
          <cell r="BC189">
            <v>686.90000000000009</v>
          </cell>
          <cell r="BD189">
            <v>763.00000000000011</v>
          </cell>
          <cell r="BE189">
            <v>643.5</v>
          </cell>
          <cell r="BF189">
            <v>596.4</v>
          </cell>
          <cell r="BG189">
            <v>0</v>
          </cell>
          <cell r="BH189">
            <v>249.8</v>
          </cell>
          <cell r="BI189">
            <v>392.10000000000008</v>
          </cell>
          <cell r="BJ189">
            <v>569.30000000000007</v>
          </cell>
          <cell r="BK189">
            <v>562.40000000000009</v>
          </cell>
          <cell r="BL189">
            <v>0</v>
          </cell>
          <cell r="BM189">
            <v>351.3</v>
          </cell>
          <cell r="BN189">
            <v>580.19999999999993</v>
          </cell>
          <cell r="BO189">
            <v>667.39999999999986</v>
          </cell>
          <cell r="BP189">
            <v>770.10000000000014</v>
          </cell>
          <cell r="BQ189">
            <v>0</v>
          </cell>
          <cell r="BR189">
            <v>596</v>
          </cell>
          <cell r="BS189">
            <v>886</v>
          </cell>
          <cell r="BT189">
            <v>861</v>
          </cell>
          <cell r="BU189">
            <v>814</v>
          </cell>
          <cell r="BV189">
            <v>0</v>
          </cell>
          <cell r="BW189">
            <v>807</v>
          </cell>
          <cell r="BX189">
            <v>911</v>
          </cell>
          <cell r="BY189">
            <v>904</v>
          </cell>
          <cell r="BZ189">
            <v>866</v>
          </cell>
          <cell r="CA189">
            <v>0</v>
          </cell>
          <cell r="CB189">
            <v>916</v>
          </cell>
          <cell r="CC189">
            <v>952</v>
          </cell>
          <cell r="CD189">
            <v>941</v>
          </cell>
          <cell r="CE189">
            <v>927</v>
          </cell>
          <cell r="CF189">
            <v>0</v>
          </cell>
          <cell r="CG189">
            <v>918.61273070497384</v>
          </cell>
          <cell r="CH189">
            <v>1030.5899491069431</v>
          </cell>
          <cell r="CI189">
            <v>1068.9461567782264</v>
          </cell>
          <cell r="CJ189">
            <v>1020.0661873544435</v>
          </cell>
        </row>
        <row r="190">
          <cell r="A190" t="str">
            <v xml:space="preserve">% Change </v>
          </cell>
          <cell r="B190" t="str">
            <v>-</v>
          </cell>
          <cell r="C190">
            <v>-1.5166372491337565E-2</v>
          </cell>
          <cell r="D190">
            <v>0.11224692997012897</v>
          </cell>
          <cell r="E190">
            <v>-5.550250656481226E-2</v>
          </cell>
          <cell r="F190">
            <v>-1.7092126879818315E-2</v>
          </cell>
          <cell r="G190">
            <v>-1.0800038571566306E-2</v>
          </cell>
          <cell r="H190">
            <v>-0.12597887896019511</v>
          </cell>
          <cell r="I190">
            <v>-0.34062012045505219</v>
          </cell>
          <cell r="J190">
            <v>0.33570139828597201</v>
          </cell>
          <cell r="K190">
            <v>0.33262980160405209</v>
          </cell>
          <cell r="L190">
            <v>0.10484637313905609</v>
          </cell>
          <cell r="M190">
            <v>7.1100917431192734E-2</v>
          </cell>
          <cell r="N190">
            <v>8.089267236204134E-2</v>
          </cell>
          <cell r="O190">
            <v>5.6142702916260667E-2</v>
          </cell>
          <cell r="P190">
            <v>9.2247361359347302E-2</v>
          </cell>
          <cell r="Q190">
            <v>5.3739797056908456E-2</v>
          </cell>
          <cell r="AH190" t="str">
            <v xml:space="preserve">% Change </v>
          </cell>
          <cell r="AI190" t="str">
            <v>-</v>
          </cell>
          <cell r="AJ190" t="str">
            <v>-</v>
          </cell>
          <cell r="AK190" t="str">
            <v>-</v>
          </cell>
          <cell r="AL190" t="str">
            <v>-</v>
          </cell>
          <cell r="AN190">
            <v>-5.7725596447655292E-2</v>
          </cell>
          <cell r="AO190">
            <v>-7.7708507191595833E-2</v>
          </cell>
          <cell r="AP190">
            <v>-9.9819108699227055E-2</v>
          </cell>
          <cell r="AQ190">
            <v>2.9822125239701514E-2</v>
          </cell>
          <cell r="AS190">
            <v>1.629392971246002E-2</v>
          </cell>
          <cell r="AT190">
            <v>-8.5692995529061067E-2</v>
          </cell>
          <cell r="AU190">
            <v>-7.879673608573845E-2</v>
          </cell>
          <cell r="AV190">
            <v>0.1038911005522023</v>
          </cell>
          <cell r="AX190">
            <v>-3.5366237032378178E-3</v>
          </cell>
          <cell r="AY190">
            <v>1.5717778553965278E-3</v>
          </cell>
          <cell r="AZ190">
            <v>2.7102062400847782E-3</v>
          </cell>
          <cell r="BA190">
            <v>-4.0425779432293862E-2</v>
          </cell>
          <cell r="BC190">
            <v>8.3523937219023736E-2</v>
          </cell>
          <cell r="BD190">
            <v>-0.11304853240337109</v>
          </cell>
          <cell r="BE190">
            <v>-0.15155910079767965</v>
          </cell>
          <cell r="BF190">
            <v>-0.27695944717221332</v>
          </cell>
          <cell r="BH190">
            <v>-0.63633716698209342</v>
          </cell>
          <cell r="BI190">
            <v>-0.48610747051114023</v>
          </cell>
          <cell r="BJ190">
            <v>-0.11530691530691517</v>
          </cell>
          <cell r="BK190">
            <v>-5.7008718980549822E-2</v>
          </cell>
          <cell r="BM190">
            <v>0.40632506004803837</v>
          </cell>
          <cell r="BN190">
            <v>0.47972456006120834</v>
          </cell>
          <cell r="BO190">
            <v>0.17231688037941284</v>
          </cell>
          <cell r="BP190">
            <v>0.36931009957325744</v>
          </cell>
          <cell r="BR190">
            <v>0.69655565044121825</v>
          </cell>
          <cell r="BS190">
            <v>0.52705963460875571</v>
          </cell>
          <cell r="BT190">
            <v>0.29008091099790256</v>
          </cell>
          <cell r="BU190">
            <v>5.7005583690429518E-2</v>
          </cell>
          <cell r="BW190">
            <v>0.35402684563758391</v>
          </cell>
          <cell r="BX190">
            <v>2.8216704288938965E-2</v>
          </cell>
          <cell r="BY190">
            <v>4.9941927990708512E-2</v>
          </cell>
          <cell r="BZ190">
            <v>6.3882063882063855E-2</v>
          </cell>
          <cell r="CB190">
            <v>0.13506815365551428</v>
          </cell>
          <cell r="CC190">
            <v>4.5005488474204158E-2</v>
          </cell>
          <cell r="CD190">
            <v>4.0929203539822989E-2</v>
          </cell>
          <cell r="CE190">
            <v>7.0438799076212533E-2</v>
          </cell>
          <cell r="CG190">
            <v>2.852326097132929E-3</v>
          </cell>
          <cell r="CH190">
            <v>8.2552467549309894E-2</v>
          </cell>
          <cell r="CI190">
            <v>0.13596828563042118</v>
          </cell>
          <cell r="CJ190">
            <v>0.1003950241148257</v>
          </cell>
        </row>
        <row r="191">
          <cell r="A191" t="str">
            <v xml:space="preserve">% Margins </v>
          </cell>
          <cell r="B191">
            <v>0.23241715666165272</v>
          </cell>
          <cell r="C191">
            <v>0.22228780109926599</v>
          </cell>
          <cell r="D191">
            <v>0.230365772342634</v>
          </cell>
          <cell r="E191">
            <v>0.2177430450455409</v>
          </cell>
          <cell r="F191">
            <v>0.21725255233865448</v>
          </cell>
          <cell r="G191">
            <v>0.21868271642660717</v>
          </cell>
          <cell r="H191">
            <v>0.19281167565087737</v>
          </cell>
          <cell r="I191">
            <v>0.13627771886957726</v>
          </cell>
          <cell r="J191">
            <v>0.16849457318027289</v>
          </cell>
          <cell r="K191">
            <v>0.23150252988193884</v>
          </cell>
          <cell r="L191">
            <v>0.24756902548087159</v>
          </cell>
          <cell r="M191">
            <v>0.24443862863124838</v>
          </cell>
          <cell r="N191">
            <v>0.25275056064524387</v>
          </cell>
          <cell r="O191">
            <v>0.26090076157898739</v>
          </cell>
          <cell r="P191">
            <v>0.2692647837027568</v>
          </cell>
          <cell r="Q191">
            <v>0.27653917690579233</v>
          </cell>
          <cell r="AH191" t="str">
            <v xml:space="preserve">% Margins </v>
          </cell>
          <cell r="AI191">
            <v>0.18913879003558712</v>
          </cell>
          <cell r="AJ191">
            <v>0.27850541397790657</v>
          </cell>
          <cell r="AK191">
            <v>0.25136408730158727</v>
          </cell>
          <cell r="AL191">
            <v>0.20170454545454536</v>
          </cell>
          <cell r="AN191">
            <v>0.18156505597772493</v>
          </cell>
          <cell r="AO191">
            <v>0.25682806135002872</v>
          </cell>
          <cell r="AP191">
            <v>0.22790607305429106</v>
          </cell>
          <cell r="AQ191">
            <v>0.20341683864057897</v>
          </cell>
          <cell r="AS191">
            <v>0.17793813279633047</v>
          </cell>
          <cell r="AT191">
            <v>0.24659068071545459</v>
          </cell>
          <cell r="AU191">
            <v>0.2238664614656091</v>
          </cell>
          <cell r="AV191">
            <v>0.22138092662700548</v>
          </cell>
          <cell r="AX191">
            <v>0.17333351561218352</v>
          </cell>
          <cell r="AY191">
            <v>0.25489644137604078</v>
          </cell>
          <cell r="AZ191">
            <v>0.2311361004449321</v>
          </cell>
          <cell r="BA191">
            <v>0.21942168546499266</v>
          </cell>
          <cell r="BC191">
            <v>0.18798062450398184</v>
          </cell>
          <cell r="BD191">
            <v>0.22482835842885351</v>
          </cell>
          <cell r="BE191">
            <v>0.19062712918802022</v>
          </cell>
          <cell r="BF191">
            <v>0.16910034307749017</v>
          </cell>
          <cell r="BH191">
            <v>7.9053134592866892E-2</v>
          </cell>
          <cell r="BI191">
            <v>0.13042610517912387</v>
          </cell>
          <cell r="BJ191">
            <v>0.1699402985074627</v>
          </cell>
          <cell r="BK191">
            <v>0.16075920420763781</v>
          </cell>
          <cell r="BM191">
            <v>9.9493047098473494E-2</v>
          </cell>
          <cell r="BN191">
            <v>0.17418192734914439</v>
          </cell>
          <cell r="BO191">
            <v>0.20239575435936308</v>
          </cell>
          <cell r="BP191">
            <v>0.1974412880730182</v>
          </cell>
          <cell r="BR191">
            <v>0.17654028436018956</v>
          </cell>
          <cell r="BS191">
            <v>0.25845974329054844</v>
          </cell>
          <cell r="BT191">
            <v>0.26730828935113321</v>
          </cell>
          <cell r="BU191">
            <v>0.22535991140642303</v>
          </cell>
          <cell r="BW191">
            <v>0.21259220231822973</v>
          </cell>
          <cell r="BX191">
            <v>0.27365575247822171</v>
          </cell>
          <cell r="BY191">
            <v>0.27679118187385182</v>
          </cell>
          <cell r="BZ191">
            <v>0.23418063818280152</v>
          </cell>
          <cell r="CB191">
            <v>0.22673267326732674</v>
          </cell>
          <cell r="CC191">
            <v>0.25736685590700187</v>
          </cell>
          <cell r="CD191">
            <v>0.25894331315354979</v>
          </cell>
          <cell r="CE191">
            <v>0.2370237790846331</v>
          </cell>
          <cell r="CG191">
            <v>0.2357620670172699</v>
          </cell>
          <cell r="CH191">
            <v>0.2729279467874271</v>
          </cell>
          <cell r="CI191">
            <v>0.26874679522797534</v>
          </cell>
          <cell r="CJ191">
            <v>0.23573635120635367</v>
          </cell>
        </row>
      </sheetData>
      <sheetData sheetId="1">
        <row r="6">
          <cell r="A6" t="str">
            <v xml:space="preserve">  </v>
          </cell>
        </row>
        <row r="7">
          <cell r="G7" t="str">
            <v>Current Price</v>
          </cell>
          <cell r="N7" t="str">
            <v>Target Price</v>
          </cell>
        </row>
        <row r="8">
          <cell r="A8" t="str">
            <v>($ Millions)</v>
          </cell>
          <cell r="D8" t="str">
            <v>2011E</v>
          </cell>
          <cell r="E8" t="str">
            <v>2012E</v>
          </cell>
          <cell r="F8" t="str">
            <v>2013E</v>
          </cell>
          <cell r="G8" t="str">
            <v>2014E</v>
          </cell>
          <cell r="H8" t="str">
            <v>2015E</v>
          </cell>
          <cell r="I8" t="str">
            <v>2016E</v>
          </cell>
          <cell r="K8" t="str">
            <v>2011E</v>
          </cell>
          <cell r="L8" t="str">
            <v>2012E</v>
          </cell>
          <cell r="M8" t="str">
            <v>2013E</v>
          </cell>
          <cell r="N8" t="str">
            <v>2014E</v>
          </cell>
          <cell r="O8" t="str">
            <v>2015E</v>
          </cell>
          <cell r="P8" t="str">
            <v>2016E</v>
          </cell>
        </row>
        <row r="9">
          <cell r="A9" t="str">
            <v>Class A Common Stock - Shares Outstanding</v>
          </cell>
          <cell r="D9">
            <v>44</v>
          </cell>
          <cell r="E9">
            <v>43</v>
          </cell>
          <cell r="F9">
            <v>39</v>
          </cell>
          <cell r="G9">
            <v>39</v>
          </cell>
          <cell r="H9">
            <v>39</v>
          </cell>
          <cell r="I9">
            <v>39</v>
          </cell>
          <cell r="K9">
            <v>44</v>
          </cell>
          <cell r="L9">
            <v>43</v>
          </cell>
          <cell r="M9">
            <v>39</v>
          </cell>
          <cell r="N9">
            <v>39</v>
          </cell>
          <cell r="O9">
            <v>39</v>
          </cell>
          <cell r="P9">
            <v>39</v>
          </cell>
        </row>
        <row r="10">
          <cell r="A10" t="str">
            <v>CBS- Stock Price</v>
          </cell>
          <cell r="D10">
            <v>29.5</v>
          </cell>
          <cell r="E10">
            <v>59.71</v>
          </cell>
          <cell r="F10">
            <v>59.71</v>
          </cell>
          <cell r="G10">
            <v>59.71</v>
          </cell>
          <cell r="H10">
            <v>59.71</v>
          </cell>
          <cell r="I10">
            <v>59.71</v>
          </cell>
          <cell r="K10">
            <v>32.700705408128989</v>
          </cell>
          <cell r="L10">
            <v>65</v>
          </cell>
          <cell r="M10">
            <v>65</v>
          </cell>
          <cell r="N10">
            <v>72.853585157947521</v>
          </cell>
          <cell r="O10">
            <v>72.853585157947521</v>
          </cell>
          <cell r="P10">
            <v>72.853585157947521</v>
          </cell>
        </row>
        <row r="11">
          <cell r="A11" t="str">
            <v>Class B Common Stock- Shares Outstanding</v>
          </cell>
          <cell r="D11">
            <v>624</v>
          </cell>
          <cell r="E11">
            <v>604</v>
          </cell>
          <cell r="F11">
            <v>572.75</v>
          </cell>
          <cell r="G11">
            <v>509.66876125369276</v>
          </cell>
          <cell r="H11">
            <v>474.11259767185749</v>
          </cell>
          <cell r="I11">
            <v>446.96911184345635</v>
          </cell>
          <cell r="K11">
            <v>624</v>
          </cell>
          <cell r="L11">
            <v>604</v>
          </cell>
          <cell r="M11">
            <v>572.75</v>
          </cell>
          <cell r="N11">
            <v>509.66876125369276</v>
          </cell>
          <cell r="O11">
            <v>474.11259767185749</v>
          </cell>
          <cell r="P11">
            <v>446.96911184345635</v>
          </cell>
        </row>
        <row r="12">
          <cell r="A12" t="str">
            <v>CBS- Stock Price</v>
          </cell>
          <cell r="D12">
            <v>29.77</v>
          </cell>
          <cell r="E12">
            <v>59.71</v>
          </cell>
          <cell r="F12">
            <v>59.71</v>
          </cell>
          <cell r="G12">
            <v>59.83</v>
          </cell>
          <cell r="H12">
            <v>59.83</v>
          </cell>
          <cell r="I12">
            <v>59.83</v>
          </cell>
          <cell r="K12">
            <v>33</v>
          </cell>
          <cell r="L12">
            <v>65</v>
          </cell>
          <cell r="M12">
            <v>65</v>
          </cell>
          <cell r="N12">
            <v>73</v>
          </cell>
          <cell r="O12">
            <v>73</v>
          </cell>
          <cell r="P12">
            <v>73</v>
          </cell>
        </row>
        <row r="13">
          <cell r="A13" t="str">
            <v>Total Market Value</v>
          </cell>
          <cell r="D13">
            <v>19874.48</v>
          </cell>
          <cell r="E13">
            <v>38632.370000000003</v>
          </cell>
          <cell r="F13">
            <v>36527.592500000006</v>
          </cell>
          <cell r="G13">
            <v>32822.17198580844</v>
          </cell>
          <cell r="H13">
            <v>30694.846718707231</v>
          </cell>
          <cell r="I13">
            <v>29070.851961593991</v>
          </cell>
          <cell r="K13">
            <v>22030.831037957676</v>
          </cell>
          <cell r="L13">
            <v>42055</v>
          </cell>
          <cell r="M13">
            <v>39763.75</v>
          </cell>
          <cell r="N13">
            <v>40047.109392679522</v>
          </cell>
          <cell r="O13">
            <v>37451.509451205551</v>
          </cell>
          <cell r="P13">
            <v>35470.034985732265</v>
          </cell>
        </row>
        <row r="15">
          <cell r="A15" t="str">
            <v>Plus:</v>
          </cell>
        </row>
        <row r="16">
          <cell r="A16" t="str">
            <v>Total Debt and Preferred Equity (excl. Collateralized Debt)</v>
          </cell>
          <cell r="D16">
            <v>5982</v>
          </cell>
          <cell r="E16">
            <v>5922</v>
          </cell>
          <cell r="F16">
            <v>6436</v>
          </cell>
          <cell r="G16">
            <v>8871.531463589763</v>
          </cell>
          <cell r="H16">
            <v>10063.879661788696</v>
          </cell>
          <cell r="I16">
            <v>10620.561245122584</v>
          </cell>
          <cell r="K16">
            <v>5982</v>
          </cell>
          <cell r="L16">
            <v>5922</v>
          </cell>
          <cell r="M16">
            <v>6436</v>
          </cell>
          <cell r="N16">
            <v>8871.531463589763</v>
          </cell>
          <cell r="O16">
            <v>10063.879661788696</v>
          </cell>
          <cell r="P16">
            <v>10620.561245122584</v>
          </cell>
        </row>
        <row r="17">
          <cell r="A17" t="str">
            <v>Minority Interest</v>
          </cell>
          <cell r="D17">
            <v>0</v>
          </cell>
          <cell r="E17">
            <v>0</v>
          </cell>
          <cell r="F17">
            <v>0</v>
          </cell>
          <cell r="G17">
            <v>0</v>
          </cell>
          <cell r="H17">
            <v>0</v>
          </cell>
          <cell r="I17">
            <v>0</v>
          </cell>
          <cell r="K17">
            <v>0</v>
          </cell>
          <cell r="L17">
            <v>0</v>
          </cell>
          <cell r="M17">
            <v>0</v>
          </cell>
          <cell r="N17">
            <v>0</v>
          </cell>
          <cell r="O17">
            <v>0</v>
          </cell>
          <cell r="P17">
            <v>0</v>
          </cell>
        </row>
        <row r="18">
          <cell r="A18" t="str">
            <v>Post Retirement Benefits</v>
          </cell>
          <cell r="D18">
            <v>1839</v>
          </cell>
          <cell r="E18">
            <v>1639</v>
          </cell>
          <cell r="F18">
            <v>1489</v>
          </cell>
          <cell r="G18">
            <v>1489</v>
          </cell>
          <cell r="H18">
            <v>1489</v>
          </cell>
          <cell r="I18">
            <v>1489</v>
          </cell>
          <cell r="K18">
            <v>1839</v>
          </cell>
          <cell r="L18">
            <v>1639</v>
          </cell>
          <cell r="M18">
            <v>1489</v>
          </cell>
          <cell r="N18">
            <v>1489</v>
          </cell>
          <cell r="O18">
            <v>1489</v>
          </cell>
          <cell r="P18">
            <v>1489</v>
          </cell>
        </row>
        <row r="20">
          <cell r="A20" t="str">
            <v>Less:</v>
          </cell>
        </row>
        <row r="21">
          <cell r="A21" t="str">
            <v>Cash + Marketable Securities</v>
          </cell>
          <cell r="D21">
            <v>660</v>
          </cell>
          <cell r="E21">
            <v>708</v>
          </cell>
          <cell r="F21">
            <v>397</v>
          </cell>
          <cell r="G21">
            <v>300.04999999999825</v>
          </cell>
          <cell r="H21">
            <v>349.99999999999989</v>
          </cell>
          <cell r="I21">
            <v>399.99999999999989</v>
          </cell>
          <cell r="K21">
            <v>660</v>
          </cell>
          <cell r="L21">
            <v>708</v>
          </cell>
          <cell r="M21">
            <v>397</v>
          </cell>
          <cell r="N21">
            <v>300.04999999999825</v>
          </cell>
          <cell r="O21">
            <v>349.99999999999989</v>
          </cell>
          <cell r="P21">
            <v>399.99999999999989</v>
          </cell>
        </row>
        <row r="22">
          <cell r="A22" t="str">
            <v>Cash from Stock Options (a)</v>
          </cell>
          <cell r="D22">
            <v>0</v>
          </cell>
          <cell r="E22">
            <v>0</v>
          </cell>
          <cell r="F22">
            <v>0</v>
          </cell>
          <cell r="G22">
            <v>0</v>
          </cell>
          <cell r="H22">
            <v>0</v>
          </cell>
          <cell r="I22">
            <v>0</v>
          </cell>
          <cell r="K22">
            <v>0</v>
          </cell>
          <cell r="L22">
            <v>0</v>
          </cell>
          <cell r="M22">
            <v>0</v>
          </cell>
          <cell r="N22">
            <v>0</v>
          </cell>
          <cell r="O22">
            <v>0</v>
          </cell>
          <cell r="P22">
            <v>0</v>
          </cell>
        </row>
        <row r="24">
          <cell r="A24" t="str">
            <v>Unconsolidated/ Other Assets</v>
          </cell>
        </row>
        <row r="25">
          <cell r="A25" t="str">
            <v xml:space="preserve">     Total Other Assets</v>
          </cell>
          <cell r="D25">
            <v>21.855535999999997</v>
          </cell>
          <cell r="E25">
            <v>21.855535999999997</v>
          </cell>
          <cell r="F25">
            <v>321.85553599999997</v>
          </cell>
          <cell r="G25">
            <v>321.85553599999997</v>
          </cell>
          <cell r="H25">
            <v>321.85553599999997</v>
          </cell>
          <cell r="I25">
            <v>321.85553599999997</v>
          </cell>
          <cell r="K25">
            <v>21.855535999999997</v>
          </cell>
          <cell r="L25">
            <v>21.855535999999997</v>
          </cell>
          <cell r="M25">
            <v>321.85553599999997</v>
          </cell>
          <cell r="N25">
            <v>321.85553599999997</v>
          </cell>
          <cell r="O25">
            <v>321.85553599999997</v>
          </cell>
          <cell r="P25">
            <v>321.85553599999997</v>
          </cell>
        </row>
        <row r="27">
          <cell r="A27" t="str">
            <v>Enterprise Value</v>
          </cell>
          <cell r="D27">
            <v>27013.624464</v>
          </cell>
          <cell r="E27">
            <v>45463.514464</v>
          </cell>
          <cell r="F27">
            <v>43733.736964000003</v>
          </cell>
          <cell r="G27">
            <v>42560.797913398208</v>
          </cell>
          <cell r="H27">
            <v>41575.870844495927</v>
          </cell>
          <cell r="I27">
            <v>40458.557670716575</v>
          </cell>
          <cell r="K27">
            <v>29169.975501957677</v>
          </cell>
          <cell r="L27">
            <v>48886.144463999997</v>
          </cell>
          <cell r="M27">
            <v>46969.894463999997</v>
          </cell>
          <cell r="N27">
            <v>49785.735320269283</v>
          </cell>
          <cell r="O27">
            <v>48332.533576994247</v>
          </cell>
          <cell r="P27">
            <v>46857.740694854845</v>
          </cell>
        </row>
        <row r="30">
          <cell r="A30" t="str">
            <v>Total EBITDA</v>
          </cell>
          <cell r="D30">
            <v>3156.9999999999995</v>
          </cell>
          <cell r="E30">
            <v>3488.0000000000005</v>
          </cell>
          <cell r="F30">
            <v>3736.0000000000005</v>
          </cell>
          <cell r="G30">
            <v>4038.2150239445873</v>
          </cell>
          <cell r="H30">
            <v>4264.9313303458885</v>
          </cell>
          <cell r="I30">
            <v>4658.3599919491089</v>
          </cell>
          <cell r="K30">
            <v>3156.9999999999995</v>
          </cell>
          <cell r="L30">
            <v>3488.0000000000005</v>
          </cell>
          <cell r="M30">
            <v>3736.0000000000005</v>
          </cell>
          <cell r="N30">
            <v>4038.2150239445873</v>
          </cell>
          <cell r="O30">
            <v>4264.9313303458885</v>
          </cell>
          <cell r="P30">
            <v>4658.3599919491089</v>
          </cell>
        </row>
        <row r="31">
          <cell r="A31" t="str">
            <v>EV / EBITDA</v>
          </cell>
          <cell r="D31">
            <v>8.5567388229331662</v>
          </cell>
          <cell r="E31">
            <v>13.034264467889907</v>
          </cell>
          <cell r="F31">
            <v>11.706032377944325</v>
          </cell>
          <cell r="G31">
            <v>10.539507594576824</v>
          </cell>
          <cell r="H31">
            <v>9.7483095562816722</v>
          </cell>
          <cell r="I31">
            <v>8.685150512334765</v>
          </cell>
          <cell r="K31">
            <v>9.2397768457262206</v>
          </cell>
          <cell r="L31">
            <v>14.015523068807337</v>
          </cell>
          <cell r="M31">
            <v>12.572241558886507</v>
          </cell>
          <cell r="N31">
            <v>12.328648926583867</v>
          </cell>
          <cell r="O31">
            <v>11.332546724280892</v>
          </cell>
          <cell r="P31">
            <v>10.058849203547503</v>
          </cell>
        </row>
        <row r="33">
          <cell r="A33" t="str">
            <v>Total Forward EBITDA</v>
          </cell>
          <cell r="D33">
            <v>3488.0000000000005</v>
          </cell>
          <cell r="E33">
            <v>3736.0000000000005</v>
          </cell>
          <cell r="F33">
            <v>4038.2150239445873</v>
          </cell>
          <cell r="G33">
            <v>4264.9313303458885</v>
          </cell>
          <cell r="H33">
            <v>4658.3599919491089</v>
          </cell>
          <cell r="I33">
            <v>4908.6993125344743</v>
          </cell>
          <cell r="K33">
            <v>3488.0000000000005</v>
          </cell>
          <cell r="L33">
            <v>3736.0000000000005</v>
          </cell>
          <cell r="M33">
            <v>4038.2150239445873</v>
          </cell>
          <cell r="N33">
            <v>4264.9313303458885</v>
          </cell>
          <cell r="O33">
            <v>4658.3599919491089</v>
          </cell>
          <cell r="P33">
            <v>4908.6993125344743</v>
          </cell>
        </row>
        <row r="34">
          <cell r="A34" t="str">
            <v>EV / Forward EBITDA</v>
          </cell>
          <cell r="D34">
            <v>7.7447317844036689</v>
          </cell>
          <cell r="E34">
            <v>12.169034920770876</v>
          </cell>
          <cell r="F34">
            <v>10.829967375357901</v>
          </cell>
          <cell r="G34">
            <v>9.9792457643031973</v>
          </cell>
          <cell r="H34">
            <v>8.9250016993856516</v>
          </cell>
          <cell r="I34">
            <v>8.2422155228381442</v>
          </cell>
          <cell r="K34">
            <v>8.3629516920750202</v>
          </cell>
          <cell r="L34">
            <v>13.085156441113488</v>
          </cell>
          <cell r="M34">
            <v>11.631350531235238</v>
          </cell>
          <cell r="N34">
            <v>11.673279465494144</v>
          </cell>
          <cell r="O34">
            <v>10.375439781495158</v>
          </cell>
          <cell r="P34">
            <v>9.5458567965657526</v>
          </cell>
        </row>
        <row r="36">
          <cell r="A36" t="str">
            <v>Recurring EPS</v>
          </cell>
          <cell r="D36">
            <v>2.0807635829662261</v>
          </cell>
          <cell r="E36">
            <v>2.5219742033383916</v>
          </cell>
          <cell r="F36">
            <v>3.0167214428857716</v>
          </cell>
          <cell r="G36">
            <v>3.4760306317541598</v>
          </cell>
          <cell r="H36">
            <v>3.9713903706399512</v>
          </cell>
          <cell r="I36">
            <v>4.5766459962544106</v>
          </cell>
          <cell r="K36">
            <v>2.0807635829662261</v>
          </cell>
          <cell r="L36">
            <v>2.5219742033383916</v>
          </cell>
          <cell r="M36">
            <v>3.0167214428857716</v>
          </cell>
          <cell r="N36">
            <v>3.4760306317541598</v>
          </cell>
          <cell r="O36">
            <v>3.9713903706399512</v>
          </cell>
          <cell r="P36">
            <v>4.5766459962544106</v>
          </cell>
        </row>
        <row r="37">
          <cell r="A37" t="str">
            <v>P / E</v>
          </cell>
          <cell r="D37">
            <v>14.307247706422018</v>
          </cell>
          <cell r="E37">
            <v>23.67589641518164</v>
          </cell>
          <cell r="F37">
            <v>19.793010766974191</v>
          </cell>
          <cell r="G37">
            <v>17.212161323735838</v>
          </cell>
          <cell r="H37">
            <v>15.065252824883839</v>
          </cell>
          <cell r="I37">
            <v>13.072892255369037</v>
          </cell>
          <cell r="K37">
            <v>15.859562455892732</v>
          </cell>
          <cell r="L37">
            <v>25.773459504049683</v>
          </cell>
          <cell r="M37">
            <v>21.546570086305852</v>
          </cell>
          <cell r="N37">
            <v>21.000965679971856</v>
          </cell>
          <cell r="O37">
            <v>18.381471773633965</v>
          </cell>
          <cell r="P37">
            <v>15.95054545615811</v>
          </cell>
        </row>
        <row r="39">
          <cell r="A39" t="str">
            <v>Forward Recurring EPS</v>
          </cell>
          <cell r="D39">
            <v>2.5219742033383916</v>
          </cell>
          <cell r="E39">
            <v>3.0167214428857716</v>
          </cell>
          <cell r="F39">
            <v>3.4760306317541598</v>
          </cell>
          <cell r="G39">
            <v>3.9713903706399512</v>
          </cell>
          <cell r="H39">
            <v>4.5766459962544106</v>
          </cell>
          <cell r="I39">
            <v>5.1220437183386398</v>
          </cell>
          <cell r="K39">
            <v>2.5219742033383916</v>
          </cell>
          <cell r="L39">
            <v>3.0167214428857716</v>
          </cell>
          <cell r="M39">
            <v>3.4760306317541598</v>
          </cell>
          <cell r="N39">
            <v>3.9713903706399512</v>
          </cell>
          <cell r="O39">
            <v>4.5766459962544106</v>
          </cell>
          <cell r="P39">
            <v>5.1220437183386398</v>
          </cell>
        </row>
        <row r="40">
          <cell r="A40" t="str">
            <v>P / E</v>
          </cell>
          <cell r="D40">
            <v>11.804244452854755</v>
          </cell>
          <cell r="E40">
            <v>19.793010766974191</v>
          </cell>
          <cell r="F40">
            <v>17.177639188371501</v>
          </cell>
          <cell r="G40">
            <v>15.065252824883839</v>
          </cell>
          <cell r="H40">
            <v>13.072892255369037</v>
          </cell>
          <cell r="I40">
            <v>11.68088428956365</v>
          </cell>
          <cell r="K40">
            <v>13.084987132825225</v>
          </cell>
          <cell r="L40">
            <v>21.546570086305852</v>
          </cell>
          <cell r="M40">
            <v>18.699489989016037</v>
          </cell>
          <cell r="N40">
            <v>18.381471773633965</v>
          </cell>
          <cell r="O40">
            <v>15.95054545615811</v>
          </cell>
          <cell r="P40">
            <v>14.252123569081505</v>
          </cell>
        </row>
        <row r="42">
          <cell r="A42" t="str">
            <v>Recurring FCF</v>
          </cell>
          <cell r="D42">
            <v>1853.9999999999995</v>
          </cell>
          <cell r="E42">
            <v>1577.0000000000005</v>
          </cell>
          <cell r="F42">
            <v>1343.0000000000005</v>
          </cell>
          <cell r="G42">
            <v>1923.1336781134423</v>
          </cell>
          <cell r="H42">
            <v>2280.229845894763</v>
          </cell>
          <cell r="I42">
            <v>2382.7472296977298</v>
          </cell>
          <cell r="K42">
            <v>1853.9999999999995</v>
          </cell>
          <cell r="L42">
            <v>1577.0000000000005</v>
          </cell>
          <cell r="M42">
            <v>1343.0000000000005</v>
          </cell>
          <cell r="N42">
            <v>1923.1336781134423</v>
          </cell>
          <cell r="O42">
            <v>2280.229845894763</v>
          </cell>
          <cell r="P42">
            <v>2382.7472296977298</v>
          </cell>
        </row>
        <row r="43">
          <cell r="A43" t="str">
            <v>P / FCF</v>
          </cell>
          <cell r="D43">
            <v>10.707995935275084</v>
          </cell>
          <cell r="E43">
            <v>24.483522171211153</v>
          </cell>
          <cell r="F43">
            <v>26.958851052866709</v>
          </cell>
          <cell r="G43">
            <v>16.899665800502561</v>
          </cell>
          <cell r="H43">
            <v>13.320144562351722</v>
          </cell>
          <cell r="I43">
            <v>12.065483097525636</v>
          </cell>
          <cell r="K43">
            <v>11.871076322523022</v>
          </cell>
          <cell r="L43">
            <v>26.653864593532013</v>
          </cell>
          <cell r="M43">
            <v>29.36849922859269</v>
          </cell>
          <cell r="N43">
            <v>20.656522377398769</v>
          </cell>
          <cell r="O43">
            <v>16.283294415276746</v>
          </cell>
          <cell r="P43">
            <v>14.75111544005072</v>
          </cell>
        </row>
        <row r="45">
          <cell r="A45" t="str">
            <v>Forward Recurring FCF</v>
          </cell>
          <cell r="D45">
            <v>1577.0000000000005</v>
          </cell>
          <cell r="E45">
            <v>1343.0000000000005</v>
          </cell>
          <cell r="F45">
            <v>1923.1336781134423</v>
          </cell>
          <cell r="G45">
            <v>2280.229845894763</v>
          </cell>
          <cell r="H45">
            <v>2382.7472296977298</v>
          </cell>
          <cell r="I45">
            <v>2578.3280600466683</v>
          </cell>
          <cell r="K45">
            <v>1577.0000000000005</v>
          </cell>
          <cell r="L45">
            <v>1343.0000000000005</v>
          </cell>
          <cell r="M45">
            <v>1923.1336781134423</v>
          </cell>
          <cell r="N45">
            <v>2280.229845894763</v>
          </cell>
          <cell r="O45">
            <v>2382.7472296977298</v>
          </cell>
          <cell r="P45">
            <v>2578.3280600466683</v>
          </cell>
        </row>
        <row r="46">
          <cell r="A46" t="str">
            <v>P / FCF</v>
          </cell>
          <cell r="D46">
            <v>12.588855081800885</v>
          </cell>
          <cell r="E46">
            <v>28.749452318689492</v>
          </cell>
          <cell r="F46">
            <v>18.82642760409518</v>
          </cell>
          <cell r="G46">
            <v>14.253087910554607</v>
          </cell>
          <cell r="H46">
            <v>12.747047107703608</v>
          </cell>
          <cell r="I46">
            <v>11.150247662849246</v>
          </cell>
          <cell r="K46">
            <v>13.956230502192563</v>
          </cell>
          <cell r="L46">
            <v>31.29794822338048</v>
          </cell>
          <cell r="M46">
            <v>20.509179841669535</v>
          </cell>
          <cell r="N46">
            <v>17.421600690035401</v>
          </cell>
          <cell r="O46">
            <v>15.58270783087459</v>
          </cell>
          <cell r="P46">
            <v>13.632159535624057</v>
          </cell>
        </row>
        <row r="48">
          <cell r="A48" t="str">
            <v>Forward Fully-taxed FCF</v>
          </cell>
          <cell r="D48">
            <v>1275.2378300000005</v>
          </cell>
          <cell r="E48">
            <v>1049.6000000000004</v>
          </cell>
          <cell r="F48">
            <v>1617.7995355371099</v>
          </cell>
          <cell r="G48">
            <v>2105.1212254922152</v>
          </cell>
          <cell r="H48">
            <v>2245.4365078221299</v>
          </cell>
          <cell r="I48">
            <v>2430.6479714094203</v>
          </cell>
          <cell r="K48">
            <v>1275.2378300000005</v>
          </cell>
          <cell r="L48">
            <v>1049.6000000000004</v>
          </cell>
          <cell r="M48">
            <v>1617.7995355371099</v>
          </cell>
          <cell r="N48">
            <v>2105.1212254922152</v>
          </cell>
          <cell r="O48">
            <v>2245.4365078221299</v>
          </cell>
          <cell r="P48">
            <v>2430.6479714094203</v>
          </cell>
        </row>
        <row r="49">
          <cell r="A49" t="str">
            <v>P / FCF</v>
          </cell>
          <cell r="D49">
            <v>15.567781943859046</v>
          </cell>
          <cell r="E49">
            <v>36.785932225609741</v>
          </cell>
          <cell r="F49">
            <v>22.379618839474873</v>
          </cell>
          <cell r="G49">
            <v>15.438691157659713</v>
          </cell>
          <cell r="H49">
            <v>13.526541978319521</v>
          </cell>
          <cell r="I49">
            <v>11.827708810060134</v>
          </cell>
          <cell r="K49">
            <v>17.258722243173786</v>
          </cell>
          <cell r="L49">
            <v>40.046822088414615</v>
          </cell>
          <cell r="M49">
            <v>24.379964017547621</v>
          </cell>
          <cell r="N49">
            <v>18.870767809293756</v>
          </cell>
          <cell r="O49">
            <v>16.535606233292231</v>
          </cell>
          <cell r="P49">
            <v>14.460415437843704</v>
          </cell>
        </row>
        <row r="52">
          <cell r="A52" t="str">
            <v>Capital Expenditures</v>
          </cell>
          <cell r="D52">
            <v>-245</v>
          </cell>
          <cell r="E52">
            <v>-254</v>
          </cell>
          <cell r="F52">
            <v>-270</v>
          </cell>
          <cell r="G52">
            <v>-276.47957413778937</v>
          </cell>
          <cell r="H52">
            <v>-279.31203617509971</v>
          </cell>
          <cell r="I52">
            <v>-288.35624866664944</v>
          </cell>
          <cell r="K52">
            <v>-245</v>
          </cell>
          <cell r="L52">
            <v>-254</v>
          </cell>
          <cell r="M52">
            <v>-270</v>
          </cell>
          <cell r="N52">
            <v>-276.47957413778937</v>
          </cell>
          <cell r="O52">
            <v>-279.31203617509971</v>
          </cell>
          <cell r="P52">
            <v>-288.35624866664944</v>
          </cell>
        </row>
        <row r="53">
          <cell r="A53" t="str">
            <v>Unlevered Free Cash Flow</v>
          </cell>
          <cell r="D53">
            <v>2041.1999999999996</v>
          </cell>
          <cell r="E53">
            <v>2245.2000000000003</v>
          </cell>
          <cell r="F53">
            <v>2403.6000000000004</v>
          </cell>
          <cell r="G53">
            <v>2588.8167588494262</v>
          </cell>
          <cell r="H53">
            <v>2726.5460199125928</v>
          </cell>
          <cell r="I53">
            <v>2968.0297443694553</v>
          </cell>
          <cell r="K53">
            <v>2041.1999999999996</v>
          </cell>
          <cell r="L53">
            <v>2245.2000000000003</v>
          </cell>
          <cell r="M53">
            <v>2403.6000000000004</v>
          </cell>
          <cell r="N53">
            <v>2588.8167588494262</v>
          </cell>
          <cell r="O53">
            <v>2726.5460199125928</v>
          </cell>
          <cell r="P53">
            <v>2968.0297443694553</v>
          </cell>
        </row>
        <row r="54">
          <cell r="A54" t="str">
            <v>Enterprise Value / Free Cash Flow</v>
          </cell>
          <cell r="D54">
            <v>13.234187960023519</v>
          </cell>
          <cell r="E54">
            <v>20.249204731872435</v>
          </cell>
          <cell r="F54">
            <v>18.195097755034116</v>
          </cell>
          <cell r="G54">
            <v>16.440251233661641</v>
          </cell>
          <cell r="H54">
            <v>15.248549095030041</v>
          </cell>
          <cell r="I54">
            <v>13.631452901531421</v>
          </cell>
          <cell r="K54">
            <v>14.290601362903038</v>
          </cell>
          <cell r="L54">
            <v>21.773625718866914</v>
          </cell>
          <cell r="M54">
            <v>19.541477144283572</v>
          </cell>
          <cell r="N54">
            <v>19.231077344537919</v>
          </cell>
          <cell r="O54">
            <v>17.726652410782961</v>
          </cell>
          <cell r="P54">
            <v>15.787490264795025</v>
          </cell>
        </row>
        <row r="55">
          <cell r="A55" t="str">
            <v>Levered Free Cash Flow</v>
          </cell>
          <cell r="D55">
            <v>1853.9999999999995</v>
          </cell>
          <cell r="E55">
            <v>1577.0000000000005</v>
          </cell>
          <cell r="F55">
            <v>1343.0000000000005</v>
          </cell>
          <cell r="G55">
            <v>1923.1336781134423</v>
          </cell>
          <cell r="H55">
            <v>2280.229845894763</v>
          </cell>
          <cell r="I55">
            <v>2382.7472296977298</v>
          </cell>
          <cell r="K55">
            <v>1853.9999999999995</v>
          </cell>
          <cell r="L55">
            <v>1577.0000000000005</v>
          </cell>
          <cell r="M55">
            <v>1343.0000000000005</v>
          </cell>
          <cell r="N55">
            <v>1923.1336781134423</v>
          </cell>
          <cell r="O55">
            <v>2280.229845894763</v>
          </cell>
          <cell r="P55">
            <v>2382.7472296977298</v>
          </cell>
        </row>
        <row r="56">
          <cell r="A56" t="str">
            <v>Net Market Cap. / Free Cash Flow</v>
          </cell>
          <cell r="D56">
            <v>10.707995935275084</v>
          </cell>
          <cell r="E56">
            <v>24.483522171211153</v>
          </cell>
          <cell r="F56">
            <v>26.958851052866709</v>
          </cell>
          <cell r="G56">
            <v>16.899665800502561</v>
          </cell>
          <cell r="H56">
            <v>13.320144562351722</v>
          </cell>
          <cell r="I56">
            <v>12.065483097525636</v>
          </cell>
          <cell r="K56">
            <v>11.871076322523022</v>
          </cell>
          <cell r="L56">
            <v>26.653864593532013</v>
          </cell>
          <cell r="M56">
            <v>29.36849922859269</v>
          </cell>
          <cell r="N56">
            <v>20.656522377398769</v>
          </cell>
          <cell r="O56">
            <v>16.283294415276746</v>
          </cell>
          <cell r="P56">
            <v>14.75111544005072</v>
          </cell>
        </row>
        <row r="57">
          <cell r="A57" t="str">
            <v>Recurring Dividend</v>
          </cell>
          <cell r="D57">
            <v>199.2</v>
          </cell>
          <cell r="E57">
            <v>282.48</v>
          </cell>
          <cell r="F57">
            <v>299.13599999999997</v>
          </cell>
          <cell r="G57">
            <v>318.4603482105498</v>
          </cell>
          <cell r="H57">
            <v>314.71174222024126</v>
          </cell>
          <cell r="I57">
            <v>319.04231004461656</v>
          </cell>
          <cell r="K57">
            <v>199.2</v>
          </cell>
          <cell r="L57">
            <v>282.48</v>
          </cell>
          <cell r="M57">
            <v>299.13599999999997</v>
          </cell>
          <cell r="N57">
            <v>318.4603482105498</v>
          </cell>
          <cell r="O57">
            <v>314.71174222024126</v>
          </cell>
          <cell r="P57">
            <v>319.04231004461656</v>
          </cell>
        </row>
        <row r="58">
          <cell r="A58" t="str">
            <v>Dividend Yield</v>
          </cell>
          <cell r="D58">
            <v>1.0022903743896696E-2</v>
          </cell>
          <cell r="E58">
            <v>7.3120028618487553E-3</v>
          </cell>
          <cell r="F58">
            <v>8.1893160629187348E-3</v>
          </cell>
          <cell r="G58">
            <v>9.7025982420738278E-3</v>
          </cell>
          <cell r="H58">
            <v>1.0252917862868412E-2</v>
          </cell>
          <cell r="I58">
            <v>1.0974646029160373E-2</v>
          </cell>
          <cell r="K58">
            <v>9.0418740744183206E-3</v>
          </cell>
          <cell r="L58">
            <v>6.7169183212459878E-3</v>
          </cell>
          <cell r="M58">
            <v>7.5228317248750426E-3</v>
          </cell>
          <cell r="N58">
            <v>7.9521431893599618E-3</v>
          </cell>
          <cell r="O58">
            <v>8.4031791196632483E-3</v>
          </cell>
          <cell r="P58">
            <v>8.9946996154063718E-3</v>
          </cell>
        </row>
        <row r="59">
          <cell r="A59" t="str">
            <v>E = Morgan Stanley Estimates</v>
          </cell>
        </row>
      </sheetData>
      <sheetData sheetId="2">
        <row r="3">
          <cell r="A3" t="str">
            <v>(In Millions Except Per Share Data)</v>
          </cell>
        </row>
        <row r="5">
          <cell r="B5">
            <v>2009</v>
          </cell>
          <cell r="C5">
            <v>2010</v>
          </cell>
          <cell r="D5" t="str">
            <v>2011E</v>
          </cell>
          <cell r="E5">
            <v>2012</v>
          </cell>
          <cell r="F5" t="str">
            <v>2013E</v>
          </cell>
          <cell r="G5" t="str">
            <v>2014E</v>
          </cell>
          <cell r="H5" t="str">
            <v>2015E</v>
          </cell>
          <cell r="I5" t="str">
            <v>2016E</v>
          </cell>
        </row>
        <row r="7">
          <cell r="A7" t="str">
            <v>Consolidated Operations</v>
          </cell>
        </row>
        <row r="8">
          <cell r="A8" t="str">
            <v>CBS Network</v>
          </cell>
          <cell r="B8">
            <v>6894.5562000670252</v>
          </cell>
          <cell r="C8">
            <v>7422.6182383736068</v>
          </cell>
          <cell r="D8">
            <v>7784.279409821951</v>
          </cell>
          <cell r="E8">
            <v>8144.4762830725886</v>
          </cell>
          <cell r="F8">
            <v>8487.1758208221345</v>
          </cell>
          <cell r="G8">
            <v>8890.1061405075125</v>
          </cell>
          <cell r="H8">
            <v>9237.0165526435721</v>
          </cell>
          <cell r="I8">
            <v>9495.3070124428668</v>
          </cell>
        </row>
        <row r="9">
          <cell r="A9" t="str">
            <v>CBS Television Studio</v>
          </cell>
          <cell r="B9">
            <v>9503.9218790291288</v>
          </cell>
          <cell r="C9">
            <v>9922.4109331216041</v>
          </cell>
          <cell r="D9">
            <v>10299.940078575388</v>
          </cell>
          <cell r="E9">
            <v>10675.912009108424</v>
          </cell>
          <cell r="F9">
            <v>11047.433417943314</v>
          </cell>
          <cell r="G9">
            <v>11425.658736292646</v>
          </cell>
          <cell r="H9">
            <v>11799.969010564177</v>
          </cell>
          <cell r="I9">
            <v>12187.7276007535</v>
          </cell>
        </row>
        <row r="10">
          <cell r="A10" t="str">
            <v>Showtime</v>
          </cell>
          <cell r="B10">
            <v>8803.4722886083055</v>
          </cell>
          <cell r="C10">
            <v>9219.4694760071179</v>
          </cell>
          <cell r="D10">
            <v>9603.2624167837621</v>
          </cell>
          <cell r="E10">
            <v>9958.3943679246076</v>
          </cell>
          <cell r="F10">
            <v>10294.371070377751</v>
          </cell>
          <cell r="G10">
            <v>10599.723751201947</v>
          </cell>
          <cell r="H10">
            <v>10910.755221146937</v>
          </cell>
          <cell r="I10">
            <v>11209.911394519562</v>
          </cell>
        </row>
        <row r="11">
          <cell r="A11" t="str">
            <v>CSTV</v>
          </cell>
          <cell r="D11">
            <v>294.54287876440162</v>
          </cell>
          <cell r="E11">
            <v>294.54287876440162</v>
          </cell>
          <cell r="F11">
            <v>304.11974050798574</v>
          </cell>
          <cell r="G11">
            <v>313.73699641603031</v>
          </cell>
          <cell r="H11">
            <v>323.35934058030307</v>
          </cell>
          <cell r="I11">
            <v>332.94652422829967</v>
          </cell>
        </row>
        <row r="12">
          <cell r="A12" t="str">
            <v>CBS Interactive</v>
          </cell>
          <cell r="B12">
            <v>1800.144475017581</v>
          </cell>
          <cell r="C12">
            <v>1941.3240383621965</v>
          </cell>
          <cell r="D12">
            <v>2097.1530762946595</v>
          </cell>
          <cell r="E12">
            <v>2242.2079030199457</v>
          </cell>
          <cell r="F12">
            <v>2349.3962316688112</v>
          </cell>
          <cell r="G12">
            <v>2428.2972843895877</v>
          </cell>
          <cell r="H12">
            <v>2495.1914898001069</v>
          </cell>
          <cell r="I12">
            <v>2544.7251265453579</v>
          </cell>
        </row>
        <row r="13">
          <cell r="A13" t="str">
            <v>Local Group</v>
          </cell>
          <cell r="B13">
            <v>11623.430025618314</v>
          </cell>
          <cell r="C13">
            <v>12003.240165122334</v>
          </cell>
          <cell r="D13">
            <v>12297.422719143091</v>
          </cell>
          <cell r="E13">
            <v>12561.257591505037</v>
          </cell>
          <cell r="F13">
            <v>12853.472481408793</v>
          </cell>
          <cell r="G13">
            <v>13126.140167218622</v>
          </cell>
          <cell r="H13">
            <v>13418.890176690074</v>
          </cell>
          <cell r="I13">
            <v>13681.482183731901</v>
          </cell>
        </row>
        <row r="14">
          <cell r="A14" t="str">
            <v>Publishing</v>
          </cell>
          <cell r="B14">
            <v>776.45235005207974</v>
          </cell>
          <cell r="C14">
            <v>808.96215263463841</v>
          </cell>
          <cell r="D14">
            <v>832.54614879390783</v>
          </cell>
          <cell r="E14">
            <v>859.97567527137312</v>
          </cell>
          <cell r="F14">
            <v>875.57970609462677</v>
          </cell>
          <cell r="G14">
            <v>889.74385342092853</v>
          </cell>
          <cell r="H14">
            <v>902.66253945862752</v>
          </cell>
          <cell r="I14">
            <v>915.4553717824997</v>
          </cell>
        </row>
        <row r="15">
          <cell r="A15" t="str">
            <v>Corporate Overhead</v>
          </cell>
          <cell r="B15">
            <v>-2993.0970224245771</v>
          </cell>
          <cell r="C15">
            <v>-3045.3665098678794</v>
          </cell>
          <cell r="D15">
            <v>-3108.9257535758852</v>
          </cell>
          <cell r="E15">
            <v>-3184.746711055524</v>
          </cell>
          <cell r="F15">
            <v>-3229.5544486002514</v>
          </cell>
          <cell r="G15">
            <v>-3290.3927158180149</v>
          </cell>
          <cell r="H15">
            <v>-3366.8045285060803</v>
          </cell>
          <cell r="I15">
            <v>-3444.095392517439</v>
          </cell>
        </row>
        <row r="16">
          <cell r="A16" t="str">
            <v>Total</v>
          </cell>
          <cell r="B16">
            <v>36408.880195967853</v>
          </cell>
          <cell r="C16">
            <v>38272.65849375361</v>
          </cell>
          <cell r="D16">
            <v>40100.220974601274</v>
          </cell>
          <cell r="E16">
            <v>41552.019997610856</v>
          </cell>
          <cell r="F16">
            <v>42981.994020223166</v>
          </cell>
          <cell r="G16">
            <v>44383.014213629263</v>
          </cell>
          <cell r="H16">
            <v>45721.039802377723</v>
          </cell>
          <cell r="I16">
            <v>46923.459821486547</v>
          </cell>
        </row>
        <row r="18">
          <cell r="A18" t="str">
            <v>Unconsolidated Operations</v>
          </cell>
        </row>
        <row r="19">
          <cell r="A19" t="str">
            <v>Other unconsolidated investments</v>
          </cell>
          <cell r="B19">
            <v>0</v>
          </cell>
          <cell r="C19">
            <v>0</v>
          </cell>
          <cell r="D19">
            <v>0</v>
          </cell>
          <cell r="E19">
            <v>0</v>
          </cell>
          <cell r="F19">
            <v>300</v>
          </cell>
          <cell r="G19">
            <v>300</v>
          </cell>
          <cell r="H19">
            <v>300</v>
          </cell>
          <cell r="I19">
            <v>300</v>
          </cell>
        </row>
        <row r="20">
          <cell r="A20" t="str">
            <v>Westwood One (16% of common shares)</v>
          </cell>
          <cell r="B20">
            <v>21.855535999999997</v>
          </cell>
          <cell r="C20">
            <v>21.855535999999997</v>
          </cell>
          <cell r="D20">
            <v>21.855535999999997</v>
          </cell>
          <cell r="E20">
            <v>21.855535999999997</v>
          </cell>
          <cell r="F20">
            <v>21.855535999999997</v>
          </cell>
          <cell r="G20">
            <v>21.855535999999997</v>
          </cell>
          <cell r="H20">
            <v>21.855535999999997</v>
          </cell>
          <cell r="I20">
            <v>21.855535999999997</v>
          </cell>
        </row>
        <row r="21">
          <cell r="A21" t="str">
            <v xml:space="preserve">   Total Estimated Value</v>
          </cell>
          <cell r="B21">
            <v>36430.735731967856</v>
          </cell>
          <cell r="C21">
            <v>38294.514029753613</v>
          </cell>
          <cell r="D21">
            <v>40122.076510601277</v>
          </cell>
          <cell r="E21">
            <v>41573.875533610859</v>
          </cell>
          <cell r="F21">
            <v>43303.849556223169</v>
          </cell>
          <cell r="G21">
            <v>44704.869749629266</v>
          </cell>
          <cell r="H21">
            <v>46042.895338377726</v>
          </cell>
          <cell r="I21">
            <v>47245.31535748655</v>
          </cell>
        </row>
        <row r="23">
          <cell r="A23" t="str">
            <v>Less:</v>
          </cell>
        </row>
        <row r="24">
          <cell r="A24" t="str">
            <v>Debt</v>
          </cell>
          <cell r="B24">
            <v>7017.4</v>
          </cell>
          <cell r="C24">
            <v>6000</v>
          </cell>
          <cell r="D24">
            <v>5982</v>
          </cell>
          <cell r="E24">
            <v>5922</v>
          </cell>
          <cell r="F24">
            <v>6436</v>
          </cell>
          <cell r="G24">
            <v>8871.531463589763</v>
          </cell>
          <cell r="H24">
            <v>10063.879661788696</v>
          </cell>
          <cell r="I24">
            <v>10620.561245122584</v>
          </cell>
        </row>
        <row r="25">
          <cell r="A25" t="str">
            <v>Post Retirement Benefits</v>
          </cell>
          <cell r="B25">
            <v>2117.4</v>
          </cell>
          <cell r="C25">
            <v>1985.6</v>
          </cell>
          <cell r="D25">
            <v>1839</v>
          </cell>
          <cell r="E25">
            <v>1639</v>
          </cell>
          <cell r="F25">
            <v>1489</v>
          </cell>
          <cell r="G25">
            <v>1489</v>
          </cell>
          <cell r="H25">
            <v>1489</v>
          </cell>
          <cell r="I25">
            <v>1489</v>
          </cell>
        </row>
        <row r="26">
          <cell r="A26" t="str">
            <v>Minority Interests</v>
          </cell>
          <cell r="B26">
            <v>0</v>
          </cell>
          <cell r="C26">
            <v>0</v>
          </cell>
          <cell r="D26">
            <v>0</v>
          </cell>
          <cell r="E26">
            <v>0</v>
          </cell>
          <cell r="F26">
            <v>0</v>
          </cell>
          <cell r="G26">
            <v>0</v>
          </cell>
          <cell r="H26">
            <v>0</v>
          </cell>
          <cell r="I26">
            <v>0</v>
          </cell>
        </row>
        <row r="27">
          <cell r="A27" t="str">
            <v>Total</v>
          </cell>
          <cell r="B27">
            <v>9134.7999999999993</v>
          </cell>
          <cell r="C27">
            <v>7985.6</v>
          </cell>
          <cell r="D27">
            <v>7821</v>
          </cell>
          <cell r="E27">
            <v>7561</v>
          </cell>
          <cell r="F27">
            <v>7925</v>
          </cell>
          <cell r="G27">
            <v>10360.531463589763</v>
          </cell>
          <cell r="H27">
            <v>11552.879661788696</v>
          </cell>
          <cell r="I27">
            <v>12109.561245122584</v>
          </cell>
        </row>
        <row r="29">
          <cell r="A29" t="str">
            <v>Plus:</v>
          </cell>
        </row>
        <row r="30">
          <cell r="A30" t="str">
            <v>Cash</v>
          </cell>
          <cell r="B30">
            <v>716.7</v>
          </cell>
          <cell r="C30">
            <v>480</v>
          </cell>
          <cell r="D30">
            <v>660</v>
          </cell>
          <cell r="E30">
            <v>708</v>
          </cell>
          <cell r="F30">
            <v>397</v>
          </cell>
          <cell r="G30">
            <v>300.04999999999825</v>
          </cell>
          <cell r="H30">
            <v>349.99999999999989</v>
          </cell>
          <cell r="I30">
            <v>399.99999999999989</v>
          </cell>
        </row>
        <row r="31">
          <cell r="A31" t="str">
            <v>Total Fair Market Value</v>
          </cell>
          <cell r="B31">
            <v>28012.635731967857</v>
          </cell>
          <cell r="C31">
            <v>30788.914029753614</v>
          </cell>
          <cell r="D31">
            <v>32961.076510601277</v>
          </cell>
          <cell r="E31">
            <v>34720.875533610859</v>
          </cell>
          <cell r="F31">
            <v>35775.849556223169</v>
          </cell>
          <cell r="G31">
            <v>34644.388286039502</v>
          </cell>
          <cell r="H31">
            <v>34840.015676589028</v>
          </cell>
          <cell r="I31">
            <v>35535.754112363968</v>
          </cell>
        </row>
        <row r="33">
          <cell r="A33" t="str">
            <v>Class A Shares Outstanding</v>
          </cell>
          <cell r="B33">
            <v>51.8</v>
          </cell>
          <cell r="C33">
            <v>43.7</v>
          </cell>
          <cell r="D33">
            <v>44</v>
          </cell>
          <cell r="E33">
            <v>43</v>
          </cell>
          <cell r="F33">
            <v>39</v>
          </cell>
          <cell r="G33">
            <v>39</v>
          </cell>
          <cell r="H33">
            <v>39</v>
          </cell>
          <cell r="I33">
            <v>39</v>
          </cell>
        </row>
        <row r="34">
          <cell r="A34" t="str">
            <v>Class B Shares Outstanding</v>
          </cell>
          <cell r="B34">
            <v>623</v>
          </cell>
          <cell r="C34">
            <v>636.30000000000007</v>
          </cell>
          <cell r="D34">
            <v>607</v>
          </cell>
          <cell r="E34">
            <v>587</v>
          </cell>
          <cell r="F34">
            <v>557</v>
          </cell>
          <cell r="G34">
            <v>493.91876125369276</v>
          </cell>
          <cell r="H34">
            <v>458.1263476718575</v>
          </cell>
          <cell r="I34">
            <v>430.74306809345637</v>
          </cell>
        </row>
        <row r="35">
          <cell r="A35" t="str">
            <v>Shares issued upon conv. of Stk Options</v>
          </cell>
          <cell r="B35">
            <v>9.2999999999999545</v>
          </cell>
          <cell r="C35">
            <v>19.299999999999955</v>
          </cell>
          <cell r="D35">
            <v>17</v>
          </cell>
          <cell r="E35">
            <v>17</v>
          </cell>
          <cell r="F35">
            <v>15.75</v>
          </cell>
          <cell r="G35">
            <v>15.75</v>
          </cell>
          <cell r="H35">
            <v>15.986249999999998</v>
          </cell>
          <cell r="I35">
            <v>16.226043749999995</v>
          </cell>
        </row>
        <row r="36">
          <cell r="A36" t="str">
            <v xml:space="preserve">   Total Shares</v>
          </cell>
          <cell r="B36">
            <v>684.09999999999991</v>
          </cell>
          <cell r="C36">
            <v>699.30000000000007</v>
          </cell>
          <cell r="D36">
            <v>668</v>
          </cell>
          <cell r="E36">
            <v>647</v>
          </cell>
          <cell r="F36">
            <v>611.75</v>
          </cell>
          <cell r="G36">
            <v>548.66876125369276</v>
          </cell>
          <cell r="H36">
            <v>513.11259767185754</v>
          </cell>
          <cell r="I36">
            <v>485.96911184345635</v>
          </cell>
        </row>
        <row r="38">
          <cell r="A38" t="str">
            <v>Total Fair Market Value Per Share</v>
          </cell>
          <cell r="B38">
            <v>40.948159233983134</v>
          </cell>
          <cell r="C38">
            <v>44.028191090738751</v>
          </cell>
          <cell r="D38">
            <v>49.342928908085746</v>
          </cell>
          <cell r="E38">
            <v>53.664413498625748</v>
          </cell>
          <cell r="F38">
            <v>58.481159879400359</v>
          </cell>
          <cell r="G38">
            <v>63.14262945620969</v>
          </cell>
          <cell r="H38">
            <v>67.899357440585959</v>
          </cell>
          <cell r="I38">
            <v>73.123483049290968</v>
          </cell>
        </row>
        <row r="39">
          <cell r="A39" t="str">
            <v>Conglomerate Discount</v>
          </cell>
          <cell r="B39">
            <v>0.15</v>
          </cell>
          <cell r="C39">
            <v>0.15</v>
          </cell>
          <cell r="D39">
            <v>0.15</v>
          </cell>
          <cell r="E39">
            <v>0.1</v>
          </cell>
          <cell r="F39">
            <v>0.1</v>
          </cell>
          <cell r="G39">
            <v>0.1</v>
          </cell>
          <cell r="H39">
            <v>0.1</v>
          </cell>
          <cell r="I39">
            <v>0.1</v>
          </cell>
        </row>
        <row r="40">
          <cell r="A40" t="str">
            <v>FMV After Discount</v>
          </cell>
          <cell r="B40">
            <v>34.805935348885662</v>
          </cell>
          <cell r="C40">
            <v>37.42396242712794</v>
          </cell>
          <cell r="D40">
            <v>41.941489571872886</v>
          </cell>
          <cell r="E40">
            <v>48.297972148763172</v>
          </cell>
          <cell r="F40">
            <v>52.633043891460325</v>
          </cell>
          <cell r="G40">
            <v>56.828366510588722</v>
          </cell>
          <cell r="H40">
            <v>61.109421696527363</v>
          </cell>
          <cell r="I40">
            <v>65.81113474436188</v>
          </cell>
        </row>
        <row r="41">
          <cell r="A41" t="str">
            <v>Upside from Last Close</v>
          </cell>
          <cell r="B41">
            <v>1.5387261377743005</v>
          </cell>
          <cell r="C41">
            <v>1.7296836197759253</v>
          </cell>
          <cell r="D41">
            <v>0.40885084218585432</v>
          </cell>
          <cell r="E41">
            <v>-0.18069597712021768</v>
          </cell>
          <cell r="F41">
            <v>-0.10715786443663577</v>
          </cell>
          <cell r="G41">
            <v>-3.5990389981531479E-2</v>
          </cell>
          <cell r="H41">
            <v>3.6631411306655703E-2</v>
          </cell>
          <cell r="I41">
            <v>0.11638905418764844</v>
          </cell>
        </row>
        <row r="42">
          <cell r="A42" t="str">
            <v>Last Close</v>
          </cell>
          <cell r="B42">
            <v>13.71</v>
          </cell>
          <cell r="C42">
            <v>13.71</v>
          </cell>
          <cell r="D42">
            <v>29.77</v>
          </cell>
          <cell r="E42">
            <v>58.95</v>
          </cell>
          <cell r="F42">
            <v>58.95</v>
          </cell>
          <cell r="G42">
            <v>58.95</v>
          </cell>
          <cell r="H42">
            <v>58.95</v>
          </cell>
          <cell r="I42">
            <v>58.95</v>
          </cell>
        </row>
        <row r="44">
          <cell r="A44" t="str">
            <v>EV / Current EBITDA</v>
          </cell>
          <cell r="B44">
            <v>2009</v>
          </cell>
          <cell r="C44">
            <v>2010</v>
          </cell>
          <cell r="D44" t="str">
            <v>2011E</v>
          </cell>
          <cell r="E44">
            <v>2012</v>
          </cell>
          <cell r="F44" t="str">
            <v>2013E</v>
          </cell>
          <cell r="G44" t="str">
            <v>2014E</v>
          </cell>
          <cell r="H44" t="str">
            <v>2015E</v>
          </cell>
          <cell r="I44" t="str">
            <v>2016E</v>
          </cell>
        </row>
        <row r="45">
          <cell r="A45" t="str">
            <v>CBS Network</v>
          </cell>
          <cell r="B45">
            <v>6124.2686009680028</v>
          </cell>
          <cell r="C45">
            <v>52.132378481448363</v>
          </cell>
          <cell r="D45">
            <v>15.742484244261576</v>
          </cell>
          <cell r="E45">
            <v>14.8666967790997</v>
          </cell>
          <cell r="F45">
            <v>13.42667285377186</v>
          </cell>
          <cell r="G45">
            <v>15.242132894180381</v>
          </cell>
          <cell r="H45">
            <v>12.570634235877156</v>
          </cell>
          <cell r="I45">
            <v>10.099170056125772</v>
          </cell>
        </row>
        <row r="46">
          <cell r="A46" t="str">
            <v>CBS Television Studio</v>
          </cell>
          <cell r="B46">
            <v>11.393805992511901</v>
          </cell>
          <cell r="C46">
            <v>13.154616117579261</v>
          </cell>
          <cell r="D46">
            <v>11.702005683082499</v>
          </cell>
          <cell r="E46">
            <v>11.309254379158004</v>
          </cell>
          <cell r="F46">
            <v>11.017803233172712</v>
          </cell>
          <cell r="G46">
            <v>10.958481222111503</v>
          </cell>
          <cell r="H46">
            <v>10.705925448285313</v>
          </cell>
          <cell r="I46">
            <v>10.825963471401908</v>
          </cell>
        </row>
        <row r="47">
          <cell r="A47" t="str">
            <v>Showtime</v>
          </cell>
          <cell r="B47">
            <v>18.550799271405463</v>
          </cell>
          <cell r="C47">
            <v>16.161999688091377</v>
          </cell>
          <cell r="D47">
            <v>14.026095896823099</v>
          </cell>
          <cell r="E47">
            <v>12.641546348738103</v>
          </cell>
          <cell r="F47">
            <v>11.79857003265087</v>
          </cell>
          <cell r="G47">
            <v>10.891520627450978</v>
          </cell>
          <cell r="H47">
            <v>10.828962288829869</v>
          </cell>
          <cell r="I47">
            <v>10.451744125537319</v>
          </cell>
        </row>
        <row r="48">
          <cell r="A48" t="str">
            <v>Local Group</v>
          </cell>
          <cell r="B48">
            <v>16.58457724134594</v>
          </cell>
          <cell r="C48">
            <v>10.405929922082649</v>
          </cell>
          <cell r="D48">
            <v>10.006039641288114</v>
          </cell>
          <cell r="E48">
            <v>9.4091817164831735</v>
          </cell>
          <cell r="F48">
            <v>9.8193067084864722</v>
          </cell>
          <cell r="G48">
            <v>9.3912239101164747</v>
          </cell>
          <cell r="H48">
            <v>9.6084800681425211</v>
          </cell>
          <cell r="I48">
            <v>9.2233742588182075</v>
          </cell>
        </row>
        <row r="49">
          <cell r="A49" t="str">
            <v>Publishing</v>
          </cell>
          <cell r="B49">
            <v>14.817792939925186</v>
          </cell>
          <cell r="C49">
            <v>11.266882348671842</v>
          </cell>
          <cell r="D49">
            <v>9.0494146608033468</v>
          </cell>
          <cell r="E49">
            <v>9.6626480367570018</v>
          </cell>
          <cell r="F49">
            <v>7.7484929742887321</v>
          </cell>
          <cell r="G49">
            <v>7.5540507071198819</v>
          </cell>
          <cell r="H49">
            <v>7.4068189088797292</v>
          </cell>
          <cell r="I49">
            <v>7.3879566141777362</v>
          </cell>
        </row>
        <row r="50">
          <cell r="A50" t="str">
            <v>CBS Interactive</v>
          </cell>
          <cell r="B50">
            <v>22.322208579435273</v>
          </cell>
          <cell r="C50">
            <v>20.958144191191053</v>
          </cell>
          <cell r="D50">
            <v>23.474313763376809</v>
          </cell>
          <cell r="E50">
            <v>21.946172919574938</v>
          </cell>
          <cell r="F50">
            <v>16.406673481245964</v>
          </cell>
          <cell r="G50">
            <v>13.805821501152394</v>
          </cell>
          <cell r="H50">
            <v>13.139821433874678</v>
          </cell>
          <cell r="I50">
            <v>12.52104812544688</v>
          </cell>
        </row>
        <row r="51">
          <cell r="A51" t="str">
            <v>Corporate Overhead</v>
          </cell>
        </row>
        <row r="52">
          <cell r="A52" t="str">
            <v>Total</v>
          </cell>
          <cell r="B52">
            <v>16.9839873193682</v>
          </cell>
          <cell r="C52">
            <v>13.74222376366874</v>
          </cell>
          <cell r="D52">
            <v>12.570602186395384</v>
          </cell>
          <cell r="E52">
            <v>11.76111519887089</v>
          </cell>
          <cell r="F52">
            <v>11.443555383445997</v>
          </cell>
          <cell r="G52">
            <v>11.10797407386406</v>
          </cell>
          <cell r="H52">
            <v>10.690150547420675</v>
          </cell>
          <cell r="I52">
            <v>10.057843318085023</v>
          </cell>
        </row>
        <row r="54">
          <cell r="A54" t="str">
            <v>EV / Fwd EBITDA</v>
          </cell>
        </row>
        <row r="55">
          <cell r="A55" t="str">
            <v>CBS Network</v>
          </cell>
          <cell r="B55">
            <v>48.42356184039263</v>
          </cell>
          <cell r="C55">
            <v>15.011081246817401</v>
          </cell>
          <cell r="D55">
            <v>14.20920358871167</v>
          </cell>
          <cell r="E55">
            <v>12.884523771716404</v>
          </cell>
          <cell r="F55">
            <v>14.55130677999537</v>
          </cell>
          <cell r="G55">
            <v>12.098524666870079</v>
          </cell>
          <cell r="H55">
            <v>9.8244533698754228</v>
          </cell>
          <cell r="I55">
            <v>9.015830508515446</v>
          </cell>
        </row>
        <row r="56">
          <cell r="A56" t="str">
            <v>CBS Television Studio</v>
          </cell>
          <cell r="B56">
            <v>12.599805105104547</v>
          </cell>
          <cell r="C56">
            <v>11.273085886275245</v>
          </cell>
          <cell r="D56">
            <v>10.910978129017167</v>
          </cell>
          <cell r="E56">
            <v>10.647278277321385</v>
          </cell>
          <cell r="F56">
            <v>10.595720952045607</v>
          </cell>
          <cell r="G56">
            <v>10.366319650397999</v>
          </cell>
          <cell r="H56">
            <v>10.481530081468547</v>
          </cell>
          <cell r="I56">
            <v>10.266750677171098</v>
          </cell>
        </row>
        <row r="57">
          <cell r="A57" t="str">
            <v>Showtime</v>
          </cell>
          <cell r="B57">
            <v>15.432744449437632</v>
          </cell>
          <cell r="C57">
            <v>13.465545080003931</v>
          </cell>
          <cell r="D57">
            <v>12.190728992606381</v>
          </cell>
          <cell r="E57">
            <v>11.413500888928324</v>
          </cell>
          <cell r="F57">
            <v>10.577761976762835</v>
          </cell>
          <cell r="G57">
            <v>10.520262479292802</v>
          </cell>
          <cell r="H57">
            <v>10.172820977296006</v>
          </cell>
          <cell r="I57">
            <v>9.9011811749099579</v>
          </cell>
        </row>
        <row r="58">
          <cell r="A58" t="str">
            <v>Local Group</v>
          </cell>
          <cell r="B58">
            <v>10.076662354242147</v>
          </cell>
          <cell r="C58">
            <v>9.7666722254860314</v>
          </cell>
          <cell r="D58">
            <v>9.2115525986090567</v>
          </cell>
          <cell r="E58">
            <v>9.596071498475963</v>
          </cell>
          <cell r="F58">
            <v>9.1961411776549955</v>
          </cell>
          <cell r="G58">
            <v>9.3988589598454109</v>
          </cell>
          <cell r="H58">
            <v>9.0463477988341516</v>
          </cell>
          <cell r="I58">
            <v>9.1892829742636692</v>
          </cell>
        </row>
        <row r="59">
          <cell r="A59" t="str">
            <v>Publishing</v>
          </cell>
          <cell r="B59">
            <v>10.814099582898045</v>
          </cell>
          <cell r="C59">
            <v>8.7930668764634614</v>
          </cell>
          <cell r="D59">
            <v>9.3544511100439074</v>
          </cell>
          <cell r="E59">
            <v>7.6104042059413555</v>
          </cell>
          <cell r="F59">
            <v>7.4337951001666971</v>
          </cell>
          <cell r="G59">
            <v>7.3008143237339924</v>
          </cell>
          <cell r="H59">
            <v>7.2847152185898869</v>
          </cell>
          <cell r="I59">
            <v>7.2681391031846161</v>
          </cell>
        </row>
        <row r="60">
          <cell r="A60" t="str">
            <v>CBS Interactive</v>
          </cell>
          <cell r="B60">
            <v>19.433997996657713</v>
          </cell>
          <cell r="C60">
            <v>21.730053999404376</v>
          </cell>
          <cell r="D60">
            <v>20.526412376476099</v>
          </cell>
          <cell r="E60">
            <v>15.658139076773351</v>
          </cell>
          <cell r="F60">
            <v>13.357238101945621</v>
          </cell>
          <cell r="G60">
            <v>12.787552713157949</v>
          </cell>
          <cell r="H60">
            <v>12.27732315765137</v>
          </cell>
          <cell r="I60">
            <v>11.835096875287659</v>
          </cell>
        </row>
        <row r="61">
          <cell r="A61" t="str">
            <v>Total</v>
          </cell>
          <cell r="B61">
            <v>13.073013433839636</v>
          </cell>
          <cell r="C61">
            <v>11.997698587383576</v>
          </cell>
          <cell r="D61">
            <v>11.350189916388699</v>
          </cell>
          <cell r="E61">
            <v>11.062838125029515</v>
          </cell>
          <cell r="F61">
            <v>10.757333265414058</v>
          </cell>
          <cell r="G61">
            <v>10.377303441540148</v>
          </cell>
          <cell r="H61">
            <v>9.8001097195666222</v>
          </cell>
          <cell r="I61">
            <v>9.55535186235395</v>
          </cell>
        </row>
      </sheetData>
      <sheetData sheetId="3"/>
      <sheetData sheetId="4">
        <row r="6">
          <cell r="A6" t="str">
            <v>(in millions)</v>
          </cell>
          <cell r="B6">
            <v>2002</v>
          </cell>
          <cell r="C6">
            <v>2003</v>
          </cell>
          <cell r="D6">
            <v>2004</v>
          </cell>
          <cell r="E6">
            <v>2005</v>
          </cell>
          <cell r="F6">
            <v>2006</v>
          </cell>
          <cell r="G6">
            <v>2007</v>
          </cell>
          <cell r="H6">
            <v>2008</v>
          </cell>
          <cell r="I6">
            <v>2009</v>
          </cell>
          <cell r="J6">
            <v>2010</v>
          </cell>
          <cell r="K6">
            <v>2011</v>
          </cell>
          <cell r="L6">
            <v>2012</v>
          </cell>
          <cell r="M6">
            <v>2013</v>
          </cell>
          <cell r="N6" t="str">
            <v>2014E</v>
          </cell>
          <cell r="O6" t="str">
            <v>2015E</v>
          </cell>
          <cell r="P6" t="str">
            <v>2016E</v>
          </cell>
          <cell r="Q6" t="str">
            <v>2017E</v>
          </cell>
        </row>
        <row r="7">
          <cell r="A7" t="str">
            <v xml:space="preserve">EBITDA </v>
          </cell>
          <cell r="C7">
            <v>3013.0000000000009</v>
          </cell>
          <cell r="D7">
            <v>3323.6999999999994</v>
          </cell>
          <cell r="E7">
            <v>3213.2000000000007</v>
          </cell>
          <cell r="F7">
            <v>3111.1</v>
          </cell>
          <cell r="G7">
            <v>3077.5</v>
          </cell>
          <cell r="H7">
            <v>2689.7999999999997</v>
          </cell>
          <cell r="I7">
            <v>1773.6000000000004</v>
          </cell>
          <cell r="J7">
            <v>2369.0000000000005</v>
          </cell>
          <cell r="K7">
            <v>3156.9999999999995</v>
          </cell>
          <cell r="L7">
            <v>3488.0000000000005</v>
          </cell>
          <cell r="M7">
            <v>3736.0000000000005</v>
          </cell>
          <cell r="N7">
            <v>4038.2150239445873</v>
          </cell>
          <cell r="O7">
            <v>4264.9313303458885</v>
          </cell>
          <cell r="P7">
            <v>4658.3599919491089</v>
          </cell>
          <cell r="Q7">
            <v>4908.6993125344743</v>
          </cell>
        </row>
        <row r="8">
          <cell r="A8" t="str">
            <v>Net Interest Expense</v>
          </cell>
          <cell r="C8">
            <v>-706.9</v>
          </cell>
          <cell r="D8">
            <v>-672.2</v>
          </cell>
          <cell r="E8">
            <v>-699.1</v>
          </cell>
          <cell r="F8">
            <v>-453.4</v>
          </cell>
          <cell r="G8">
            <v>-454.79999999999995</v>
          </cell>
          <cell r="H8">
            <v>-504.40000000000003</v>
          </cell>
          <cell r="I8">
            <v>-535.29999999999995</v>
          </cell>
          <cell r="J8">
            <v>-523.29999999999995</v>
          </cell>
          <cell r="K8">
            <v>-429</v>
          </cell>
          <cell r="L8">
            <v>-396</v>
          </cell>
          <cell r="M8">
            <v>-368</v>
          </cell>
          <cell r="N8">
            <v>-467.13551650174901</v>
          </cell>
          <cell r="O8">
            <v>-531.75828257252124</v>
          </cell>
          <cell r="P8">
            <v>-573.0211840281861</v>
          </cell>
          <cell r="Q8">
            <v>-560.09109293564029</v>
          </cell>
        </row>
        <row r="9">
          <cell r="A9" t="str">
            <v>Capital Expenditures</v>
          </cell>
          <cell r="C9">
            <v>-234.1</v>
          </cell>
          <cell r="D9">
            <v>-262.2</v>
          </cell>
          <cell r="E9">
            <v>-375.6</v>
          </cell>
          <cell r="F9">
            <v>-394.1</v>
          </cell>
          <cell r="G9">
            <v>-469.1</v>
          </cell>
          <cell r="H9">
            <v>-474.1</v>
          </cell>
          <cell r="I9">
            <v>-261.60000000000002</v>
          </cell>
          <cell r="J9">
            <v>-284.3</v>
          </cell>
          <cell r="K9">
            <v>-245</v>
          </cell>
          <cell r="L9">
            <v>-254</v>
          </cell>
          <cell r="M9">
            <v>-270</v>
          </cell>
          <cell r="N9">
            <v>-276.47957413778937</v>
          </cell>
          <cell r="O9">
            <v>-279.31203617509971</v>
          </cell>
          <cell r="P9">
            <v>-288.35624866664944</v>
          </cell>
          <cell r="Q9">
            <v>-291.91449610286679</v>
          </cell>
        </row>
        <row r="10">
          <cell r="A10" t="str">
            <v>Cash Taxes</v>
          </cell>
          <cell r="C10">
            <v>-227.9</v>
          </cell>
          <cell r="D10">
            <v>-237.20000000000002</v>
          </cell>
          <cell r="E10">
            <v>-493.4</v>
          </cell>
          <cell r="F10">
            <v>-562.20000000000005</v>
          </cell>
          <cell r="G10">
            <v>-524.9</v>
          </cell>
          <cell r="H10">
            <v>-547.54500000000007</v>
          </cell>
          <cell r="I10">
            <v>-55</v>
          </cell>
          <cell r="J10">
            <v>-248</v>
          </cell>
          <cell r="K10">
            <v>-235</v>
          </cell>
          <cell r="L10">
            <v>-590.23783000000014</v>
          </cell>
          <cell r="M10">
            <v>-684.59999999999991</v>
          </cell>
          <cell r="N10">
            <v>-785.1449380534259</v>
          </cell>
          <cell r="O10">
            <v>-992.28218228110404</v>
          </cell>
          <cell r="P10">
            <v>-1235.7964968803981</v>
          </cell>
          <cell r="Q10">
            <v>-1329.1207977352333</v>
          </cell>
        </row>
        <row r="11">
          <cell r="A11" t="str">
            <v>Increase in Working Capital</v>
          </cell>
          <cell r="C11">
            <v>-23.600000000000136</v>
          </cell>
          <cell r="D11">
            <v>-421.59999999999991</v>
          </cell>
          <cell r="E11">
            <v>272.40000000000009</v>
          </cell>
          <cell r="F11">
            <v>-101.39999999999989</v>
          </cell>
          <cell r="G11">
            <v>4.8999999999999773</v>
          </cell>
          <cell r="H11">
            <v>302.30000000000007</v>
          </cell>
          <cell r="I11">
            <v>137.68999999999974</v>
          </cell>
          <cell r="J11">
            <v>139.90999999999997</v>
          </cell>
          <cell r="K11">
            <v>-315</v>
          </cell>
          <cell r="L11">
            <v>-579.76216999999997</v>
          </cell>
          <cell r="M11">
            <v>-894.40000000000009</v>
          </cell>
          <cell r="N11">
            <v>-586.32131713818069</v>
          </cell>
          <cell r="O11">
            <v>-181.34898342240058</v>
          </cell>
          <cell r="P11">
            <v>-178.43883267614507</v>
          </cell>
          <cell r="Q11">
            <v>-149.2448657140655</v>
          </cell>
        </row>
        <row r="12">
          <cell r="A12" t="str">
            <v>Minority Interest Expense</v>
          </cell>
          <cell r="C12">
            <v>-0.7</v>
          </cell>
          <cell r="D12">
            <v>-0.6</v>
          </cell>
          <cell r="E12">
            <v>-0.5</v>
          </cell>
          <cell r="F12">
            <v>-0.6</v>
          </cell>
          <cell r="G12">
            <v>-0.1</v>
          </cell>
          <cell r="H12">
            <v>-0.9</v>
          </cell>
          <cell r="I12">
            <v>0</v>
          </cell>
          <cell r="J12">
            <v>0</v>
          </cell>
          <cell r="K12">
            <v>0</v>
          </cell>
          <cell r="L12">
            <v>0</v>
          </cell>
          <cell r="M12">
            <v>0</v>
          </cell>
          <cell r="N12">
            <v>0</v>
          </cell>
          <cell r="O12">
            <v>0</v>
          </cell>
          <cell r="P12">
            <v>0</v>
          </cell>
          <cell r="Q12">
            <v>0</v>
          </cell>
        </row>
        <row r="13">
          <cell r="A13" t="str">
            <v>Investment in Associates</v>
          </cell>
          <cell r="C13">
            <v>-16.8</v>
          </cell>
          <cell r="D13">
            <v>-3.4</v>
          </cell>
          <cell r="E13">
            <v>-29.5</v>
          </cell>
          <cell r="F13">
            <v>-110</v>
          </cell>
          <cell r="G13">
            <v>-42.3</v>
          </cell>
          <cell r="H13">
            <v>-40.200000000000003</v>
          </cell>
          <cell r="I13">
            <v>-55.6</v>
          </cell>
          <cell r="J13">
            <v>-89.9</v>
          </cell>
          <cell r="K13">
            <v>-79</v>
          </cell>
          <cell r="L13">
            <v>-91</v>
          </cell>
          <cell r="M13">
            <v>-176</v>
          </cell>
          <cell r="N13">
            <v>0</v>
          </cell>
          <cell r="O13">
            <v>0</v>
          </cell>
          <cell r="P13">
            <v>0</v>
          </cell>
          <cell r="Q13">
            <v>0</v>
          </cell>
        </row>
        <row r="14">
          <cell r="A14" t="str">
            <v>Free Cash Flow</v>
          </cell>
          <cell r="C14">
            <v>1803.0000000000007</v>
          </cell>
          <cell r="D14">
            <v>1726.4999999999995</v>
          </cell>
          <cell r="E14">
            <v>1887.5000000000009</v>
          </cell>
          <cell r="F14">
            <v>1489.4</v>
          </cell>
          <cell r="G14">
            <v>1591.2</v>
          </cell>
          <cell r="H14">
            <v>1424.9549999999997</v>
          </cell>
          <cell r="I14">
            <v>1003.7900000000001</v>
          </cell>
          <cell r="J14">
            <v>1363.4100000000003</v>
          </cell>
          <cell r="K14">
            <v>1853.9999999999995</v>
          </cell>
          <cell r="L14">
            <v>1577.0000000000005</v>
          </cell>
          <cell r="M14">
            <v>1343.0000000000005</v>
          </cell>
          <cell r="N14">
            <v>1923.1336781134423</v>
          </cell>
          <cell r="O14">
            <v>2280.229845894763</v>
          </cell>
          <cell r="P14">
            <v>2382.7472296977298</v>
          </cell>
          <cell r="Q14">
            <v>2578.3280600466683</v>
          </cell>
        </row>
        <row r="15">
          <cell r="A15" t="str">
            <v>Impact of full taxes</v>
          </cell>
          <cell r="F15">
            <v>0</v>
          </cell>
          <cell r="G15">
            <v>0</v>
          </cell>
          <cell r="H15">
            <v>0</v>
          </cell>
          <cell r="I15">
            <v>-56.25</v>
          </cell>
          <cell r="J15">
            <v>-214.70000000000005</v>
          </cell>
          <cell r="K15">
            <v>-516</v>
          </cell>
          <cell r="L15">
            <v>-301.76216999999986</v>
          </cell>
          <cell r="M15">
            <v>-293.40000000000009</v>
          </cell>
          <cell r="N15">
            <v>-305.3341425763324</v>
          </cell>
          <cell r="O15">
            <v>-175.10862040254779</v>
          </cell>
          <cell r="P15">
            <v>-137.31072187559971</v>
          </cell>
          <cell r="Q15">
            <v>-147.68008863724799</v>
          </cell>
        </row>
        <row r="16">
          <cell r="A16" t="str">
            <v>Fully-taxed FCF</v>
          </cell>
          <cell r="F16">
            <v>1489.4</v>
          </cell>
          <cell r="G16">
            <v>1591.2</v>
          </cell>
          <cell r="H16">
            <v>1424.9549999999997</v>
          </cell>
          <cell r="I16">
            <v>947.54000000000008</v>
          </cell>
          <cell r="J16">
            <v>1148.7100000000003</v>
          </cell>
          <cell r="K16">
            <v>1337.9999999999995</v>
          </cell>
          <cell r="L16">
            <v>1275.2378300000005</v>
          </cell>
          <cell r="M16">
            <v>1049.6000000000004</v>
          </cell>
          <cell r="N16">
            <v>1617.7995355371099</v>
          </cell>
          <cell r="O16">
            <v>2105.1212254922152</v>
          </cell>
          <cell r="P16">
            <v>2245.4365078221299</v>
          </cell>
          <cell r="Q16">
            <v>2430.6479714094203</v>
          </cell>
        </row>
        <row r="18">
          <cell r="A18" t="str">
            <v>Fully Diluted Shares</v>
          </cell>
          <cell r="C18">
            <v>880.4</v>
          </cell>
          <cell r="D18">
            <v>857.2</v>
          </cell>
          <cell r="E18">
            <v>789.7</v>
          </cell>
          <cell r="F18">
            <v>771.8</v>
          </cell>
          <cell r="G18">
            <v>721.9</v>
          </cell>
          <cell r="H18">
            <v>669.8</v>
          </cell>
          <cell r="I18">
            <v>682.9</v>
          </cell>
          <cell r="J18">
            <v>699.30000000000007</v>
          </cell>
          <cell r="K18">
            <v>668</v>
          </cell>
          <cell r="L18">
            <v>647</v>
          </cell>
          <cell r="M18">
            <v>611.75</v>
          </cell>
          <cell r="N18">
            <v>548.66876125369276</v>
          </cell>
          <cell r="O18">
            <v>513.11259767185754</v>
          </cell>
          <cell r="P18">
            <v>485.96911184345635</v>
          </cell>
          <cell r="Q18">
            <v>476.84822300302596</v>
          </cell>
        </row>
        <row r="19">
          <cell r="A19" t="str">
            <v>FCF/Share</v>
          </cell>
          <cell r="C19">
            <v>2.0479327578373474</v>
          </cell>
          <cell r="D19">
            <v>2.0141157256182916</v>
          </cell>
          <cell r="E19">
            <v>2.3901481575281762</v>
          </cell>
          <cell r="F19">
            <v>1.9297745529930037</v>
          </cell>
          <cell r="G19">
            <v>2.2041834049037266</v>
          </cell>
          <cell r="H19">
            <v>2.1274335622573899</v>
          </cell>
          <cell r="I19">
            <v>1.46989310294333</v>
          </cell>
          <cell r="J19">
            <v>1.9496782496782499</v>
          </cell>
          <cell r="K19">
            <v>2.7754491017964065</v>
          </cell>
          <cell r="L19">
            <v>2.4374034003091198</v>
          </cell>
          <cell r="M19">
            <v>2.1953412341642835</v>
          </cell>
          <cell r="N19">
            <v>3.5050905280612947</v>
          </cell>
          <cell r="O19">
            <v>4.4439170978082299</v>
          </cell>
          <cell r="P19">
            <v>4.9030836973549805</v>
          </cell>
          <cell r="Q19">
            <v>5.4070203802149992</v>
          </cell>
        </row>
        <row r="20">
          <cell r="A20" t="str">
            <v>% Change</v>
          </cell>
          <cell r="D20">
            <v>-1.6512764928262258E-2</v>
          </cell>
          <cell r="E20">
            <v>0.18669852339018433</v>
          </cell>
          <cell r="F20">
            <v>-0.19261299894115258</v>
          </cell>
          <cell r="G20">
            <v>0.14219736263239957</v>
          </cell>
          <cell r="H20">
            <v>-3.4820080069375536E-2</v>
          </cell>
          <cell r="I20">
            <v>-0.30907684779418121</v>
          </cell>
          <cell r="J20">
            <v>0.32640818966644103</v>
          </cell>
          <cell r="K20">
            <v>0.42354211637455119</v>
          </cell>
          <cell r="L20">
            <v>-0.12179855911192428</v>
          </cell>
          <cell r="M20">
            <v>-9.9311491119663309E-2</v>
          </cell>
          <cell r="N20">
            <v>0.5966039691299303</v>
          </cell>
          <cell r="O20">
            <v>0.2678465968940924</v>
          </cell>
          <cell r="P20">
            <v>0.10332474468824238</v>
          </cell>
          <cell r="Q20">
            <v>0.1027795391565256</v>
          </cell>
        </row>
        <row r="21">
          <cell r="A21" t="str">
            <v>Fully Taxed FCF Per Share</v>
          </cell>
          <cell r="F21">
            <v>1.9297745529930037</v>
          </cell>
          <cell r="G21">
            <v>2.2041834049037266</v>
          </cell>
          <cell r="H21">
            <v>2.1274335622573899</v>
          </cell>
          <cell r="I21">
            <v>1.3875237955776836</v>
          </cell>
          <cell r="J21">
            <v>1.6426569426569428</v>
          </cell>
          <cell r="K21">
            <v>2.0029940119760474</v>
          </cell>
          <cell r="L21">
            <v>1.9710012828438956</v>
          </cell>
          <cell r="M21">
            <v>1.7157335512872911</v>
          </cell>
          <cell r="N21">
            <v>2.9485905700927519</v>
          </cell>
          <cell r="O21">
            <v>4.1026496621672672</v>
          </cell>
          <cell r="P21">
            <v>4.6205333900839465</v>
          </cell>
          <cell r="Q21">
            <v>5.0973199734331311</v>
          </cell>
        </row>
        <row r="22">
          <cell r="A22" t="str">
            <v>% Change</v>
          </cell>
          <cell r="I22">
            <v>-0.34779453507097935</v>
          </cell>
          <cell r="J22">
            <v>0.1838765921654244</v>
          </cell>
          <cell r="K22">
            <v>0.21936233912375602</v>
          </cell>
          <cell r="L22">
            <v>-1.597245370723277E-2</v>
          </cell>
          <cell r="M22">
            <v>-0.12951170239132814</v>
          </cell>
          <cell r="N22">
            <v>0.71855971918277484</v>
          </cell>
          <cell r="O22">
            <v>0.39139346906281824</v>
          </cell>
          <cell r="P22">
            <v>0.12623152610186605</v>
          </cell>
          <cell r="Q22">
            <v>0.10318864578977149</v>
          </cell>
        </row>
        <row r="23">
          <cell r="A23" t="str">
            <v>EPS for Consensus</v>
          </cell>
          <cell r="F23">
            <v>2.1680085536860458</v>
          </cell>
          <cell r="G23">
            <v>1.7606888290353013</v>
          </cell>
          <cell r="H23">
            <v>1.5049268438339778</v>
          </cell>
          <cell r="I23">
            <v>0.49760213794113389</v>
          </cell>
          <cell r="J23">
            <v>1.109025787965616</v>
          </cell>
          <cell r="K23">
            <v>2.0807635829662261</v>
          </cell>
          <cell r="L23">
            <v>2.5219742033383916</v>
          </cell>
          <cell r="M23">
            <v>3.0167214428857716</v>
          </cell>
          <cell r="N23">
            <v>3.4760306317541598</v>
          </cell>
          <cell r="O23">
            <v>3.9713903706399512</v>
          </cell>
          <cell r="P23">
            <v>4.5766459962544106</v>
          </cell>
          <cell r="Q23">
            <v>5.1220437183386398</v>
          </cell>
        </row>
        <row r="24">
          <cell r="A24" t="str">
            <v>% Change</v>
          </cell>
          <cell r="G24">
            <v>-0.18787736051973591</v>
          </cell>
          <cell r="H24">
            <v>-0.14526245693366391</v>
          </cell>
          <cell r="I24">
            <v>-0.6693512777847499</v>
          </cell>
          <cell r="J24">
            <v>1.2287399980922373</v>
          </cell>
          <cell r="K24">
            <v>0.87620847553342696</v>
          </cell>
          <cell r="L24">
            <v>0.21204264818168284</v>
          </cell>
          <cell r="M24">
            <v>0.19617458374176566</v>
          </cell>
          <cell r="N24">
            <v>0.15225442506518494</v>
          </cell>
          <cell r="O24">
            <v>0.14250729966548392</v>
          </cell>
          <cell r="P24">
            <v>0.15240396161733361</v>
          </cell>
          <cell r="Q24">
            <v>0.1191697418875286</v>
          </cell>
        </row>
        <row r="25">
          <cell r="A25" t="str">
            <v>Fully Taxed FCF as % of EPS for Consensus</v>
          </cell>
          <cell r="G25">
            <v>1.2518869709143439</v>
          </cell>
          <cell r="H25">
            <v>1.4136458333333355</v>
          </cell>
          <cell r="I25">
            <v>2.7884200846054785</v>
          </cell>
          <cell r="J25">
            <v>1.481171096724643</v>
          </cell>
          <cell r="K25">
            <v>0.9626245039913115</v>
          </cell>
          <cell r="L25">
            <v>0.78153110378164803</v>
          </cell>
          <cell r="M25">
            <v>0.56874112634212393</v>
          </cell>
          <cell r="N25">
            <v>0.8482636899562539</v>
          </cell>
          <cell r="O25">
            <v>1.0330512186607748</v>
          </cell>
          <cell r="P25">
            <v>1.0095894228798674</v>
          </cell>
          <cell r="Q25">
            <v>0.99517307030844171</v>
          </cell>
        </row>
        <row r="26">
          <cell r="A26" t="str">
            <v>Adj. Fully Diluted EPS</v>
          </cell>
          <cell r="C26">
            <v>1.3127321388005457</v>
          </cell>
          <cell r="D26">
            <v>1.7189627566495587</v>
          </cell>
          <cell r="E26">
            <v>1.5993478675446382</v>
          </cell>
          <cell r="F26">
            <v>1.8105856408508225</v>
          </cell>
          <cell r="G26">
            <v>1.8808399058435503</v>
          </cell>
          <cell r="H26">
            <v>1.8861413854882036</v>
          </cell>
          <cell r="I26">
            <v>0.76255674330063017</v>
          </cell>
          <cell r="J26">
            <v>1.2416905444126081</v>
          </cell>
          <cell r="K26">
            <v>2.2311600587371512</v>
          </cell>
          <cell r="L26">
            <v>2.6484676783004559</v>
          </cell>
          <cell r="M26">
            <v>3.102781563126253</v>
          </cell>
          <cell r="N26">
            <v>3.5499358760175292</v>
          </cell>
          <cell r="O26">
            <v>4.0434174249534758</v>
          </cell>
          <cell r="P26">
            <v>4.6306046069956066</v>
          </cell>
          <cell r="Q26">
            <v>5.1663150699481077</v>
          </cell>
        </row>
        <row r="27">
          <cell r="A27" t="str">
            <v>% Change</v>
          </cell>
          <cell r="D27">
            <v>0.30945430971179633</v>
          </cell>
          <cell r="E27">
            <v>-6.9585503608037835E-2</v>
          </cell>
          <cell r="F27">
            <v>0.13207744080747252</v>
          </cell>
          <cell r="G27">
            <v>3.8801956343647026E-2</v>
          </cell>
          <cell r="H27">
            <v>2.8186767136226809E-3</v>
          </cell>
          <cell r="I27">
            <v>-0.5957054178612109</v>
          </cell>
          <cell r="J27">
            <v>0.62832543980675859</v>
          </cell>
          <cell r="K27">
            <v>0.79687287527233264</v>
          </cell>
          <cell r="L27">
            <v>0.18703616440655679</v>
          </cell>
          <cell r="M27">
            <v>0.17153839125472503</v>
          </cell>
          <cell r="N27">
            <v>0.14411401634111143</v>
          </cell>
          <cell r="O27">
            <v>0.13901139800011131</v>
          </cell>
          <cell r="P27">
            <v>0.14522052025061138</v>
          </cell>
          <cell r="Q27">
            <v>0.11568909643962821</v>
          </cell>
        </row>
        <row r="28">
          <cell r="A28" t="str">
            <v>Fully Taxed FCF as % of Adj. EPS</v>
          </cell>
          <cell r="C28">
            <v>1.5600537971962509</v>
          </cell>
          <cell r="D28">
            <v>1.1717041092524991</v>
          </cell>
          <cell r="E28">
            <v>1.4944517112450313</v>
          </cell>
          <cell r="F28">
            <v>1.0658289281948423</v>
          </cell>
          <cell r="G28">
            <v>1.1719144186890047</v>
          </cell>
          <cell r="H28">
            <v>1.1279289975956552</v>
          </cell>
          <cell r="I28">
            <v>1.8195679308689381</v>
          </cell>
          <cell r="J28">
            <v>1.3229197484418433</v>
          </cell>
          <cell r="K28">
            <v>0.89773658511516785</v>
          </cell>
          <cell r="L28">
            <v>0.74420439373030367</v>
          </cell>
          <cell r="M28">
            <v>0.55296627119267094</v>
          </cell>
          <cell r="N28">
            <v>0.8306038962598411</v>
          </cell>
          <cell r="O28">
            <v>1.0146490532608003</v>
          </cell>
          <cell r="P28">
            <v>0.99782507517561636</v>
          </cell>
          <cell r="Q28">
            <v>0.98664520154484703</v>
          </cell>
        </row>
        <row r="29">
          <cell r="A29" t="str">
            <v>Dividends per Share</v>
          </cell>
          <cell r="C29">
            <v>0.24</v>
          </cell>
          <cell r="D29">
            <v>0.5</v>
          </cell>
          <cell r="E29">
            <v>0.56000000000000005</v>
          </cell>
          <cell r="F29">
            <v>0.74</v>
          </cell>
          <cell r="G29">
            <v>0.89702998038666293</v>
          </cell>
          <cell r="H29">
            <v>1.0531501940877874</v>
          </cell>
          <cell r="I29">
            <v>0.44135985748218526</v>
          </cell>
          <cell r="J29">
            <v>0.2</v>
          </cell>
          <cell r="K29">
            <v>0.3</v>
          </cell>
          <cell r="L29">
            <v>0.44</v>
          </cell>
          <cell r="M29">
            <v>0.49199999999999999</v>
          </cell>
          <cell r="N29">
            <v>0.56579999999999997</v>
          </cell>
          <cell r="O29">
            <v>0.61106400000000005</v>
          </cell>
          <cell r="P29">
            <v>0.65994912000000006</v>
          </cell>
          <cell r="Q29">
            <v>0.71274504960000007</v>
          </cell>
        </row>
        <row r="30">
          <cell r="A30" t="str">
            <v>Recurring Dividend</v>
          </cell>
          <cell r="F30">
            <v>519.1</v>
          </cell>
          <cell r="G30">
            <v>640.29999999999995</v>
          </cell>
          <cell r="H30">
            <v>705.4</v>
          </cell>
          <cell r="I30">
            <v>297.3</v>
          </cell>
          <cell r="J30">
            <v>135.74</v>
          </cell>
          <cell r="K30">
            <v>199.2</v>
          </cell>
          <cell r="L30">
            <v>282.48</v>
          </cell>
          <cell r="M30">
            <v>299.13599999999997</v>
          </cell>
          <cell r="N30">
            <v>318.4603482105498</v>
          </cell>
          <cell r="O30">
            <v>314.71174222024126</v>
          </cell>
          <cell r="P30">
            <v>319.04231004461656</v>
          </cell>
          <cell r="Q30">
            <v>331.46987444036188</v>
          </cell>
        </row>
        <row r="31">
          <cell r="A31" t="str">
            <v>Dividend Payout Ratio</v>
          </cell>
          <cell r="F31">
            <v>0.34852960923861959</v>
          </cell>
          <cell r="G31">
            <v>0.40240070387129206</v>
          </cell>
          <cell r="H31">
            <v>0.49503317648627509</v>
          </cell>
          <cell r="I31">
            <v>0.29617748732304566</v>
          </cell>
          <cell r="J31">
            <v>9.9559193492786455E-2</v>
          </cell>
          <cell r="K31">
            <v>0.10744336569579289</v>
          </cell>
          <cell r="L31">
            <v>0.17912492073557384</v>
          </cell>
          <cell r="M31">
            <v>0.22273715562174226</v>
          </cell>
          <cell r="N31">
            <v>0.16559449394227932</v>
          </cell>
          <cell r="O31">
            <v>0.13801755239141178</v>
          </cell>
          <cell r="P31">
            <v>0.13389683390171839</v>
          </cell>
          <cell r="Q31">
            <v>0.12856000738492609</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are shrink from CBSO spin"/>
    </sheetNames>
    <sheetDataSet>
      <sheetData sheetId="0">
        <row r="2">
          <cell r="E2" t="str">
            <v>Share reduction from potential CBSO exchange offer</v>
          </cell>
          <cell r="F2" t="str">
            <v>$mm</v>
          </cell>
        </row>
        <row r="3">
          <cell r="E3" t="str">
            <v>Assumed CBSO share price, 3Q14 end</v>
          </cell>
          <cell r="F3">
            <v>31.84</v>
          </cell>
        </row>
        <row r="4">
          <cell r="E4" t="str">
            <v>CBSO shares outstanding (millions)</v>
          </cell>
          <cell r="F4">
            <v>120</v>
          </cell>
        </row>
        <row r="5">
          <cell r="E5" t="str">
            <v>CBSO market capitalization</v>
          </cell>
          <cell r="F5">
            <v>3820.8</v>
          </cell>
        </row>
        <row r="7">
          <cell r="E7" t="str">
            <v>% owned by CBS, parent</v>
          </cell>
          <cell r="F7">
            <v>0.81</v>
          </cell>
        </row>
        <row r="8">
          <cell r="E8" t="str">
            <v>CBS stake in CBSO</v>
          </cell>
          <cell r="F8">
            <v>3094.8480000000004</v>
          </cell>
        </row>
        <row r="10">
          <cell r="E10" t="str">
            <v>Discount offered to CBS shareholders to</v>
          </cell>
        </row>
        <row r="11">
          <cell r="E11" t="str">
            <v>exchange existing shares for CBSO</v>
          </cell>
          <cell r="F11">
            <v>7.0000000000000007E-2</v>
          </cell>
        </row>
        <row r="12">
          <cell r="E12" t="str">
            <v>Implied value of exchange offer</v>
          </cell>
          <cell r="F12">
            <v>2878.2086400000003</v>
          </cell>
        </row>
        <row r="14">
          <cell r="E14" t="str">
            <v>Assumed CBS share price, 3Q14 end</v>
          </cell>
          <cell r="F14">
            <v>63.18</v>
          </cell>
        </row>
        <row r="15">
          <cell r="E15" t="str">
            <v>Reduction to CBS share count</v>
          </cell>
          <cell r="F15">
            <v>44.722999999999999</v>
          </cell>
        </row>
      </sheetData>
    </sheetDataSet>
  </externalBook>
</externalLink>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3.xml" Type="http://schemas.openxmlformats.org/officeDocument/2006/relationships/drawing"/>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2.vml" Type="http://schemas.openxmlformats.org/officeDocument/2006/relationships/vmlDrawing"/>
<Relationship Id="rId3" Target="../comments1.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3.vml" Type="http://schemas.openxmlformats.org/officeDocument/2006/relationships/vmlDrawing"/>
<Relationship Id="rId3" Target="../comments2.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4.vml" Type="http://schemas.openxmlformats.org/officeDocument/2006/relationships/vmlDrawing"/>
<Relationship Id="rId3" Target="../comments3.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drawing4.xml" Type="http://schemas.openxmlformats.org/officeDocument/2006/relationships/drawing"/>
<Relationship Id="rId3" Target="../drawings/vmlDrawing5.vml" Type="http://schemas.openxmlformats.org/officeDocument/2006/relationships/vmlDrawing"/>
<Relationship Id="rId4" Target="../comments4.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6.vml" Type="http://schemas.openxmlformats.org/officeDocument/2006/relationships/vmlDrawing"/>
<Relationship Id="rId3" Target="../comments5.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7.vml" Type="http://schemas.openxmlformats.org/officeDocument/2006/relationships/vmlDrawing"/>
<Relationship Id="rId3" Target="../comments6.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8.vml" Type="http://schemas.openxmlformats.org/officeDocument/2006/relationships/vmlDrawing"/>
<Relationship Id="rId3" Target="../comments7.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9.vml" Type="http://schemas.openxmlformats.org/officeDocument/2006/relationships/vmlDrawing"/>
<Relationship Id="rId3" Target="../comments8.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10.vml" Type="http://schemas.openxmlformats.org/officeDocument/2006/relationships/vmlDrawing"/>
<Relationship Id="rId3" Target="../comments9.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drawing5.xml" Type="http://schemas.openxmlformats.org/officeDocument/2006/relationships/drawing"/>
<Relationship Id="rId3" Target="../drawings/vmlDrawing11.vml" Type="http://schemas.openxmlformats.org/officeDocument/2006/relationships/vmlDrawing"/>
<Relationship Id="rId4" Target="../comments10.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12.vml" Type="http://schemas.openxmlformats.org/officeDocument/2006/relationships/vmlDrawing"/>
<Relationship Id="rId3" Target="../comments11.xml" Type="http://schemas.openxmlformats.org/officeDocument/2006/relationships/comments"/>
</Relationships>

</file>

<file path=xl/worksheets/_rels/sheet16.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drawing6.xml" Type="http://schemas.openxmlformats.org/officeDocument/2006/relationships/drawing"/>
<Relationship Id="rId3" Target="../drawings/vmlDrawing13.vml" Type="http://schemas.openxmlformats.org/officeDocument/2006/relationships/vmlDrawing"/>
<Relationship Id="rId4" Target="../comments12.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14.vml" Type="http://schemas.openxmlformats.org/officeDocument/2006/relationships/vmlDrawing"/>
<Relationship Id="rId3" Target="../comments13.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vmlDrawing15.vml" Type="http://schemas.openxmlformats.org/officeDocument/2006/relationships/vmlDrawing"/>
<Relationship Id="rId3" Target="../comments14.xml" Type="http://schemas.openxmlformats.org/officeDocument/2006/relationships/comments"/>
</Relationships>

</file>

<file path=xl/worksheets/_rels/sheet19.xml.rels><?xml version="1.0" encoding="UTF-8" standalone="yes"?>
<Relationships xmlns="http://schemas.openxmlformats.org/package/2006/relationships">
<Relationship Id="rId1" Target="../printerSettings/printerSettings18.bin" Type="http://schemas.openxmlformats.org/officeDocument/2006/relationships/printerSettings"/>
<Relationship Id="rId2" Target="../drawings/vmlDrawing16.vml" Type="http://schemas.openxmlformats.org/officeDocument/2006/relationships/vmlDrawing"/>
<Relationship Id="rId3" Target="../comments15.xml" Type="http://schemas.openxmlformats.org/officeDocument/2006/relationships/comments"/>
</Relationships>

</file>

<file path=xl/worksheets/_rels/sheet20.xml.rels><?xml version="1.0" encoding="UTF-8" standalone="yes"?>
<Relationships xmlns="http://schemas.openxmlformats.org/package/2006/relationships">
<Relationship Id="rId1" Target="../printerSettings/printerSettings19.bin" Type="http://schemas.openxmlformats.org/officeDocument/2006/relationships/printerSettings"/>
<Relationship Id="rId2" Target="../drawings/vmlDrawing17.vml" Type="http://schemas.openxmlformats.org/officeDocument/2006/relationships/vmlDrawing"/>
<Relationship Id="rId3" Target="../comments16.xml" Type="http://schemas.openxmlformats.org/officeDocument/2006/relationships/comments"/>
</Relationships>

</file>

<file path=xl/worksheets/_rels/sheet21.xml.rels><?xml version="1.0" encoding="UTF-8" standalone="yes"?>
<Relationships xmlns="http://schemas.openxmlformats.org/package/2006/relationships">
<Relationship Id="rId1" Target="../printerSettings/printerSettings20.bin" Type="http://schemas.openxmlformats.org/officeDocument/2006/relationships/printerSettings"/>
<Relationship Id="rId2" Target="../drawings/vmlDrawing18.vml" Type="http://schemas.openxmlformats.org/officeDocument/2006/relationships/vmlDrawing"/>
<Relationship Id="rId3" Target="../comments17.xml" Type="http://schemas.openxmlformats.org/officeDocument/2006/relationships/comments"/>
</Relationships>

</file>

<file path=xl/worksheets/_rels/sheet22.xml.rels><?xml version="1.0" encoding="UTF-8" standalone="yes"?>
<Relationships xmlns="http://schemas.openxmlformats.org/package/2006/relationships">
<Relationship Id="rId1" Target="../printerSettings/printerSettings21.bin" Type="http://schemas.openxmlformats.org/officeDocument/2006/relationships/printerSettings"/>
<Relationship Id="rId2" Target="../drawings/vmlDrawing19.vml" Type="http://schemas.openxmlformats.org/officeDocument/2006/relationships/vmlDrawing"/>
<Relationship Id="rId3" Target="../comments18.xml" Type="http://schemas.openxmlformats.org/officeDocument/2006/relationships/comments"/>
</Relationships>

</file>

<file path=xl/worksheets/_rels/sheet23.xml.rels><?xml version="1.0" encoding="UTF-8" standalone="yes"?>
<Relationships xmlns="http://schemas.openxmlformats.org/package/2006/relationships">
<Relationship Id="rId1" Target="../printerSettings/printerSettings22.bin" Type="http://schemas.openxmlformats.org/officeDocument/2006/relationships/printerSettings"/>
<Relationship Id="rId2" Target="../drawings/vmlDrawing20.vml" Type="http://schemas.openxmlformats.org/officeDocument/2006/relationships/vmlDrawing"/>
<Relationship Id="rId3" Target="../comments19.xml" Type="http://schemas.openxmlformats.org/officeDocument/2006/relationships/comments"/>
</Relationships>

</file>

<file path=xl/worksheets/_rels/sheet24.xml.rels><?xml version="1.0" encoding="UTF-8" standalone="yes"?>
<Relationships xmlns="http://schemas.openxmlformats.org/package/2006/relationships">
<Relationship Id="rId1" Target="../printerSettings/printerSettings23.bin" Type="http://schemas.openxmlformats.org/officeDocument/2006/relationships/printerSettings"/>
</Relationships>

</file>

<file path=xl/worksheets/_rels/sheet25.xml.rels><?xml version="1.0" encoding="UTF-8" standalone="yes"?>
<Relationships xmlns="http://schemas.openxmlformats.org/package/2006/relationships">
<Relationship Id="rId1" Target="../printerSettings/printerSettings24.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91"/>
  <sheetViews>
    <sheetView showGridLines="0" tabSelected="1" workbookViewId="0">
      <selection activeCell="Z1" sqref="Z1"/>
    </sheetView>
  </sheetViews>
  <sheetFormatPr defaultRowHeight="12.75"/>
  <cols>
    <col min="1" max="1" width="25.7109375" style="3603" customWidth="1"/>
    <col min="2" max="5" width="9.140625" style="3603"/>
    <col min="6" max="6" width="18.7109375" style="3603" customWidth="1"/>
    <col min="7" max="256" width="9.140625" style="3603"/>
    <col min="257" max="257" width="100.7109375" style="3603" customWidth="1"/>
    <col min="258" max="512" width="9.140625" style="3603"/>
    <col min="513" max="513" width="100.7109375" style="3603" customWidth="1"/>
    <col min="514" max="768" width="9.140625" style="3603"/>
    <col min="769" max="769" width="100.7109375" style="3603" customWidth="1"/>
    <col min="770" max="1024" width="9.140625" style="3603"/>
    <col min="1025" max="1025" width="100.7109375" style="3603" customWidth="1"/>
    <col min="1026" max="1280" width="9.140625" style="3603"/>
    <col min="1281" max="1281" width="100.7109375" style="3603" customWidth="1"/>
    <col min="1282" max="1536" width="9.140625" style="3603"/>
    <col min="1537" max="1537" width="100.7109375" style="3603" customWidth="1"/>
    <col min="1538" max="1792" width="9.140625" style="3603"/>
    <col min="1793" max="1793" width="100.7109375" style="3603" customWidth="1"/>
    <col min="1794" max="2048" width="9.140625" style="3603"/>
    <col min="2049" max="2049" width="100.7109375" style="3603" customWidth="1"/>
    <col min="2050" max="2304" width="9.140625" style="3603"/>
    <col min="2305" max="2305" width="100.7109375" style="3603" customWidth="1"/>
    <col min="2306" max="2560" width="9.140625" style="3603"/>
    <col min="2561" max="2561" width="100.7109375" style="3603" customWidth="1"/>
    <col min="2562" max="2816" width="9.140625" style="3603"/>
    <col min="2817" max="2817" width="100.7109375" style="3603" customWidth="1"/>
    <col min="2818" max="3072" width="9.140625" style="3603"/>
    <col min="3073" max="3073" width="100.7109375" style="3603" customWidth="1"/>
    <col min="3074" max="3328" width="9.140625" style="3603"/>
    <col min="3329" max="3329" width="100.7109375" style="3603" customWidth="1"/>
    <col min="3330" max="3584" width="9.140625" style="3603"/>
    <col min="3585" max="3585" width="100.7109375" style="3603" customWidth="1"/>
    <col min="3586" max="3840" width="9.140625" style="3603"/>
    <col min="3841" max="3841" width="100.7109375" style="3603" customWidth="1"/>
    <col min="3842" max="4096" width="9.140625" style="3603"/>
    <col min="4097" max="4097" width="100.7109375" style="3603" customWidth="1"/>
    <col min="4098" max="4352" width="9.140625" style="3603"/>
    <col min="4353" max="4353" width="100.7109375" style="3603" customWidth="1"/>
    <col min="4354" max="4608" width="9.140625" style="3603"/>
    <col min="4609" max="4609" width="100.7109375" style="3603" customWidth="1"/>
    <col min="4610" max="4864" width="9.140625" style="3603"/>
    <col min="4865" max="4865" width="100.7109375" style="3603" customWidth="1"/>
    <col min="4866" max="5120" width="9.140625" style="3603"/>
    <col min="5121" max="5121" width="100.7109375" style="3603" customWidth="1"/>
    <col min="5122" max="5376" width="9.140625" style="3603"/>
    <col min="5377" max="5377" width="100.7109375" style="3603" customWidth="1"/>
    <col min="5378" max="5632" width="9.140625" style="3603"/>
    <col min="5633" max="5633" width="100.7109375" style="3603" customWidth="1"/>
    <col min="5634" max="5888" width="9.140625" style="3603"/>
    <col min="5889" max="5889" width="100.7109375" style="3603" customWidth="1"/>
    <col min="5890" max="6144" width="9.140625" style="3603"/>
    <col min="6145" max="6145" width="100.7109375" style="3603" customWidth="1"/>
    <col min="6146" max="6400" width="9.140625" style="3603"/>
    <col min="6401" max="6401" width="100.7109375" style="3603" customWidth="1"/>
    <col min="6402" max="6656" width="9.140625" style="3603"/>
    <col min="6657" max="6657" width="100.7109375" style="3603" customWidth="1"/>
    <col min="6658" max="6912" width="9.140625" style="3603"/>
    <col min="6913" max="6913" width="100.7109375" style="3603" customWidth="1"/>
    <col min="6914" max="7168" width="9.140625" style="3603"/>
    <col min="7169" max="7169" width="100.7109375" style="3603" customWidth="1"/>
    <col min="7170" max="7424" width="9.140625" style="3603"/>
    <col min="7425" max="7425" width="100.7109375" style="3603" customWidth="1"/>
    <col min="7426" max="7680" width="9.140625" style="3603"/>
    <col min="7681" max="7681" width="100.7109375" style="3603" customWidth="1"/>
    <col min="7682" max="7936" width="9.140625" style="3603"/>
    <col min="7937" max="7937" width="100.7109375" style="3603" customWidth="1"/>
    <col min="7938" max="8192" width="9.140625" style="3603"/>
    <col min="8193" max="8193" width="100.7109375" style="3603" customWidth="1"/>
    <col min="8194" max="8448" width="9.140625" style="3603"/>
    <col min="8449" max="8449" width="100.7109375" style="3603" customWidth="1"/>
    <col min="8450" max="8704" width="9.140625" style="3603"/>
    <col min="8705" max="8705" width="100.7109375" style="3603" customWidth="1"/>
    <col min="8706" max="8960" width="9.140625" style="3603"/>
    <col min="8961" max="8961" width="100.7109375" style="3603" customWidth="1"/>
    <col min="8962" max="9216" width="9.140625" style="3603"/>
    <col min="9217" max="9217" width="100.7109375" style="3603" customWidth="1"/>
    <col min="9218" max="9472" width="9.140625" style="3603"/>
    <col min="9473" max="9473" width="100.7109375" style="3603" customWidth="1"/>
    <col min="9474" max="9728" width="9.140625" style="3603"/>
    <col min="9729" max="9729" width="100.7109375" style="3603" customWidth="1"/>
    <col min="9730" max="9984" width="9.140625" style="3603"/>
    <col min="9985" max="9985" width="100.7109375" style="3603" customWidth="1"/>
    <col min="9986" max="10240" width="9.140625" style="3603"/>
    <col min="10241" max="10241" width="100.7109375" style="3603" customWidth="1"/>
    <col min="10242" max="10496" width="9.140625" style="3603"/>
    <col min="10497" max="10497" width="100.7109375" style="3603" customWidth="1"/>
    <col min="10498" max="10752" width="9.140625" style="3603"/>
    <col min="10753" max="10753" width="100.7109375" style="3603" customWidth="1"/>
    <col min="10754" max="11008" width="9.140625" style="3603"/>
    <col min="11009" max="11009" width="100.7109375" style="3603" customWidth="1"/>
    <col min="11010" max="11264" width="9.140625" style="3603"/>
    <col min="11265" max="11265" width="100.7109375" style="3603" customWidth="1"/>
    <col min="11266" max="11520" width="9.140625" style="3603"/>
    <col min="11521" max="11521" width="100.7109375" style="3603" customWidth="1"/>
    <col min="11522" max="11776" width="9.140625" style="3603"/>
    <col min="11777" max="11777" width="100.7109375" style="3603" customWidth="1"/>
    <col min="11778" max="12032" width="9.140625" style="3603"/>
    <col min="12033" max="12033" width="100.7109375" style="3603" customWidth="1"/>
    <col min="12034" max="12288" width="9.140625" style="3603"/>
    <col min="12289" max="12289" width="100.7109375" style="3603" customWidth="1"/>
    <col min="12290" max="12544" width="9.140625" style="3603"/>
    <col min="12545" max="12545" width="100.7109375" style="3603" customWidth="1"/>
    <col min="12546" max="12800" width="9.140625" style="3603"/>
    <col min="12801" max="12801" width="100.7109375" style="3603" customWidth="1"/>
    <col min="12802" max="13056" width="9.140625" style="3603"/>
    <col min="13057" max="13057" width="100.7109375" style="3603" customWidth="1"/>
    <col min="13058" max="13312" width="9.140625" style="3603"/>
    <col min="13313" max="13313" width="100.7109375" style="3603" customWidth="1"/>
    <col min="13314" max="13568" width="9.140625" style="3603"/>
    <col min="13569" max="13569" width="100.7109375" style="3603" customWidth="1"/>
    <col min="13570" max="13824" width="9.140625" style="3603"/>
    <col min="13825" max="13825" width="100.7109375" style="3603" customWidth="1"/>
    <col min="13826" max="14080" width="9.140625" style="3603"/>
    <col min="14081" max="14081" width="100.7109375" style="3603" customWidth="1"/>
    <col min="14082" max="14336" width="9.140625" style="3603"/>
    <col min="14337" max="14337" width="100.7109375" style="3603" customWidth="1"/>
    <col min="14338" max="14592" width="9.140625" style="3603"/>
    <col min="14593" max="14593" width="100.7109375" style="3603" customWidth="1"/>
    <col min="14594" max="14848" width="9.140625" style="3603"/>
    <col min="14849" max="14849" width="100.7109375" style="3603" customWidth="1"/>
    <col min="14850" max="15104" width="9.140625" style="3603"/>
    <col min="15105" max="15105" width="100.7109375" style="3603" customWidth="1"/>
    <col min="15106" max="15360" width="9.140625" style="3603"/>
    <col min="15361" max="15361" width="100.7109375" style="3603" customWidth="1"/>
    <col min="15362" max="15616" width="9.140625" style="3603"/>
    <col min="15617" max="15617" width="100.7109375" style="3603" customWidth="1"/>
    <col min="15618" max="15872" width="9.140625" style="3603"/>
    <col min="15873" max="15873" width="100.7109375" style="3603" customWidth="1"/>
    <col min="15874" max="16128" width="9.140625" style="3603"/>
    <col min="16129" max="16129" width="100.7109375" style="3603" customWidth="1"/>
    <col min="16130" max="16384" width="9.140625" style="3603"/>
  </cols>
  <sheetData>
    <row r="1" spans="1:8" ht="30" customHeight="1">
      <c r="A1" s="3601"/>
      <c r="B1" s="3602"/>
      <c r="C1" s="3602"/>
      <c r="D1" s="3602"/>
      <c r="E1" s="3602"/>
      <c r="F1" s="3602"/>
      <c r="G1" s="3602"/>
      <c r="H1" s="3602"/>
    </row>
    <row r="2" spans="1:8" ht="14.25">
      <c r="A2" s="3604" t="s">
        <v>1842</v>
      </c>
      <c r="B2" s="3602"/>
      <c r="C2" s="3602"/>
      <c r="D2" s="3602"/>
      <c r="E2" s="3602"/>
      <c r="F2" s="3602"/>
      <c r="G2" s="3602"/>
      <c r="H2" s="3602"/>
    </row>
    <row r="3" spans="1:8" ht="14.25">
      <c r="A3" s="3604" t="s">
        <v>1843</v>
      </c>
      <c r="B3" s="3602"/>
      <c r="C3" s="3602"/>
      <c r="D3" s="3602"/>
      <c r="E3" s="3602"/>
      <c r="F3" s="3602"/>
      <c r="G3" s="3602"/>
      <c r="H3" s="3602"/>
    </row>
    <row r="4" spans="1:8" ht="14.25">
      <c r="A4" s="3604" t="s">
        <v>1844</v>
      </c>
      <c r="B4" s="3602"/>
      <c r="C4" s="3602"/>
      <c r="D4" s="3602"/>
      <c r="E4" s="3602"/>
      <c r="F4" s="3602"/>
      <c r="G4" s="3602"/>
      <c r="H4" s="3602"/>
    </row>
    <row r="5" spans="1:8" ht="14.25">
      <c r="A5" s="3604" t="s">
        <v>1845</v>
      </c>
      <c r="B5" s="3602"/>
      <c r="C5" s="3602"/>
      <c r="D5" s="3602"/>
      <c r="E5" s="3602"/>
      <c r="F5" s="3602"/>
      <c r="G5" s="3602"/>
      <c r="H5" s="3602"/>
    </row>
    <row r="6" spans="1:8" ht="14.25">
      <c r="A6" s="3604"/>
      <c r="B6" s="3602"/>
      <c r="C6" s="3602"/>
      <c r="D6" s="3602"/>
      <c r="E6" s="3602"/>
      <c r="F6" s="3602"/>
      <c r="G6" s="3602"/>
      <c r="H6" s="3602"/>
    </row>
    <row r="7" spans="1:8">
      <c r="A7" s="3601" t="s">
        <v>1846</v>
      </c>
      <c r="B7" s="3602"/>
      <c r="C7" s="3602"/>
      <c r="D7" s="3602"/>
      <c r="E7" s="3602"/>
      <c r="F7" s="3602"/>
      <c r="G7" s="3602"/>
      <c r="H7" s="3602"/>
    </row>
    <row r="8" spans="1:8">
      <c r="A8" s="3601" t="s">
        <v>1847</v>
      </c>
      <c r="B8" s="3602"/>
      <c r="C8" s="3602"/>
      <c r="D8" s="3602"/>
      <c r="E8" s="3602"/>
      <c r="F8" s="3602"/>
      <c r="G8" s="3602"/>
      <c r="H8" s="3602"/>
    </row>
    <row r="9" spans="1:8">
      <c r="A9" s="3601"/>
      <c r="B9" s="3602"/>
      <c r="C9" s="3602"/>
      <c r="D9" s="3602"/>
      <c r="E9" s="3602"/>
      <c r="F9" s="3602"/>
      <c r="G9" s="3602"/>
      <c r="H9" s="3602"/>
    </row>
    <row r="10" spans="1:8">
      <c r="A10" s="3605" t="s">
        <v>1848</v>
      </c>
      <c r="B10" s="3602"/>
      <c r="C10" s="3602"/>
      <c r="D10" s="3602"/>
      <c r="E10" s="3602"/>
      <c r="F10" s="3602"/>
      <c r="G10" s="3602"/>
      <c r="H10" s="3602"/>
    </row>
    <row r="11" spans="1:8">
      <c r="A11" s="3605" t="s">
        <v>1849</v>
      </c>
      <c r="B11" s="3602"/>
      <c r="C11" s="3602"/>
      <c r="D11" s="3602"/>
      <c r="E11" s="3602"/>
      <c r="F11" s="3602"/>
      <c r="G11" s="3602"/>
      <c r="H11" s="3602"/>
    </row>
    <row r="12" spans="1:8">
      <c r="A12" s="3605" t="s">
        <v>1850</v>
      </c>
      <c r="B12" s="3602"/>
      <c r="C12" s="3602"/>
      <c r="D12" s="3602"/>
      <c r="E12" s="3602"/>
      <c r="F12" s="3602"/>
      <c r="G12" s="3602"/>
      <c r="H12" s="3602"/>
    </row>
    <row r="13" spans="1:8">
      <c r="A13" s="3605" t="s">
        <v>1851</v>
      </c>
      <c r="B13" s="3602"/>
      <c r="C13" s="3602"/>
      <c r="D13" s="3602"/>
      <c r="E13" s="3602"/>
      <c r="F13" s="3602"/>
      <c r="G13" s="3602"/>
      <c r="H13" s="3602"/>
    </row>
    <row r="14" spans="1:8">
      <c r="A14" s="3605" t="s">
        <v>1852</v>
      </c>
      <c r="B14" s="3602"/>
      <c r="C14" s="3602"/>
      <c r="D14" s="3602"/>
      <c r="E14" s="3602"/>
      <c r="F14" s="3602"/>
      <c r="G14" s="3602"/>
      <c r="H14" s="3602"/>
    </row>
    <row r="15" spans="1:8">
      <c r="A15" s="3605" t="s">
        <v>1853</v>
      </c>
      <c r="B15" s="3602"/>
      <c r="C15" s="3602"/>
      <c r="D15" s="3602"/>
      <c r="E15" s="3602"/>
      <c r="F15" s="3602"/>
      <c r="G15" s="3602"/>
      <c r="H15" s="3602"/>
    </row>
    <row r="16" spans="1:8">
      <c r="A16" s="3605"/>
      <c r="B16" s="3602"/>
      <c r="C16" s="3602"/>
      <c r="D16" s="3602"/>
      <c r="E16" s="3602"/>
      <c r="F16" s="3602"/>
      <c r="G16" s="3602"/>
      <c r="H16" s="3602"/>
    </row>
    <row r="17" spans="1:8">
      <c r="A17" s="3605" t="s">
        <v>1839</v>
      </c>
      <c r="B17" s="3602"/>
      <c r="C17" s="3602"/>
      <c r="D17" s="3602"/>
      <c r="E17" s="3602"/>
      <c r="F17" s="3602"/>
      <c r="G17" s="3602"/>
      <c r="H17" s="3602"/>
    </row>
    <row r="18" spans="1:8">
      <c r="A18" s="3605"/>
      <c r="B18" s="3602"/>
      <c r="C18" s="3602"/>
      <c r="D18" s="3602"/>
      <c r="E18" s="3602"/>
      <c r="F18" s="3602"/>
      <c r="G18" s="3602"/>
      <c r="H18" s="3602"/>
    </row>
    <row r="19" spans="1:8">
      <c r="A19" s="3605" t="s">
        <v>1840</v>
      </c>
      <c r="B19" s="3602"/>
      <c r="C19" s="3602"/>
      <c r="D19" s="3602"/>
      <c r="E19" s="3602"/>
      <c r="F19" s="3602"/>
      <c r="G19" s="3602"/>
      <c r="H19" s="3602"/>
    </row>
    <row r="20" spans="1:8">
      <c r="A20" s="3601"/>
      <c r="B20" s="3602"/>
      <c r="C20" s="3602"/>
      <c r="D20" s="3602"/>
      <c r="E20" s="3602"/>
      <c r="F20" s="3602"/>
      <c r="G20" s="3602"/>
      <c r="H20" s="3602"/>
    </row>
    <row r="21" spans="1:8">
      <c r="A21" s="3606" t="s">
        <v>1841</v>
      </c>
      <c r="B21" s="3602"/>
      <c r="C21" s="3602"/>
      <c r="D21" s="3602"/>
      <c r="E21" s="3602"/>
      <c r="F21" s="3602"/>
      <c r="G21" s="3602"/>
      <c r="H21" s="3602"/>
    </row>
    <row r="22" spans="1:8">
      <c r="A22" s="3602"/>
      <c r="B22" s="3602"/>
      <c r="C22" s="3602"/>
      <c r="D22" s="3602"/>
      <c r="E22" s="3602"/>
      <c r="F22" s="3602"/>
      <c r="G22" s="3602"/>
      <c r="H22" s="3602"/>
    </row>
    <row r="23" spans="1:8">
      <c r="A23" s="3607" t="s">
        <v>2131</v>
      </c>
      <c r="B23" s="3602"/>
      <c r="C23" s="3602"/>
      <c r="D23" s="3602"/>
      <c r="E23" s="3602"/>
      <c r="F23" s="3602"/>
      <c r="G23" s="3602"/>
      <c r="H23" s="3602"/>
    </row>
    <row r="24" spans="1:8">
      <c r="A24" s="3607" t="s">
        <v>2132</v>
      </c>
      <c r="B24" s="3602"/>
      <c r="C24" s="3602"/>
      <c r="D24" s="3602"/>
      <c r="E24" s="3602"/>
      <c r="F24" s="3602"/>
      <c r="G24" s="3602"/>
      <c r="H24" s="3602"/>
    </row>
    <row r="25" spans="1:8">
      <c r="A25" s="3607" t="s">
        <v>2133</v>
      </c>
      <c r="B25" s="3602"/>
      <c r="C25" s="3602"/>
      <c r="D25" s="3602"/>
      <c r="E25" s="3602"/>
      <c r="F25" s="3602"/>
      <c r="G25" s="3602"/>
      <c r="H25" s="3602"/>
    </row>
    <row r="26" spans="1:8">
      <c r="A26" s="3607" t="s">
        <v>2134</v>
      </c>
      <c r="B26" s="3602"/>
      <c r="C26" s="3602"/>
      <c r="D26" s="3602"/>
      <c r="E26" s="3602"/>
      <c r="F26" s="3602"/>
      <c r="G26" s="3602"/>
      <c r="H26" s="3602"/>
    </row>
    <row r="27" spans="1:8">
      <c r="A27" s="3602"/>
      <c r="B27" s="3602"/>
      <c r="C27" s="3602"/>
      <c r="D27" s="3602"/>
      <c r="E27" s="3602"/>
      <c r="F27" s="3602"/>
      <c r="G27" s="3602"/>
      <c r="H27" s="3602"/>
    </row>
    <row r="28" spans="1:8">
      <c r="A28" s="3602"/>
      <c r="B28" s="3602"/>
      <c r="C28" s="3602"/>
      <c r="D28" s="3602"/>
      <c r="E28" s="3602"/>
      <c r="F28" s="3602"/>
      <c r="G28" s="3602"/>
      <c r="H28" s="3602"/>
    </row>
    <row r="29" spans="1:8">
      <c r="A29" s="3607" t="s">
        <v>2126</v>
      </c>
      <c r="B29" s="3602"/>
      <c r="C29" s="3602"/>
      <c r="D29" s="3602"/>
      <c r="E29" s="3602"/>
      <c r="F29" s="3602"/>
      <c r="G29" s="3602"/>
      <c r="H29" s="3602"/>
    </row>
    <row r="30" spans="1:8">
      <c r="A30" s="3607" t="s">
        <v>2127</v>
      </c>
      <c r="B30" s="3602"/>
      <c r="C30" s="3602"/>
      <c r="D30" s="3602"/>
      <c r="E30" s="3602"/>
      <c r="F30" s="3602"/>
      <c r="G30" s="3602"/>
      <c r="H30" s="3602"/>
    </row>
    <row r="31" spans="1:8">
      <c r="A31" s="3607" t="s">
        <v>2128</v>
      </c>
      <c r="B31" s="3602"/>
      <c r="C31" s="3602"/>
      <c r="D31" s="3602"/>
      <c r="E31" s="3602"/>
      <c r="F31" s="3602"/>
      <c r="G31" s="3602"/>
      <c r="H31" s="3602"/>
    </row>
    <row r="32" spans="1:8">
      <c r="A32" s="3607" t="s">
        <v>2129</v>
      </c>
      <c r="B32" s="3602"/>
      <c r="C32" s="3602"/>
      <c r="D32" s="3602"/>
      <c r="E32" s="3602"/>
      <c r="F32" s="3602"/>
      <c r="G32" s="3602"/>
      <c r="H32" s="3602"/>
    </row>
    <row r="33" spans="1:8">
      <c r="A33" s="3607" t="s">
        <v>2130</v>
      </c>
      <c r="B33" s="3602"/>
      <c r="C33" s="3602"/>
      <c r="D33" s="3602"/>
      <c r="E33" s="3602"/>
      <c r="F33" s="3602"/>
      <c r="G33" s="3602"/>
      <c r="H33" s="3602"/>
    </row>
    <row r="34" spans="1:8">
      <c r="A34" s="3602"/>
      <c r="B34" s="3602"/>
      <c r="C34" s="3602"/>
      <c r="D34" s="3602"/>
      <c r="E34" s="3602"/>
      <c r="F34" s="3602"/>
      <c r="G34" s="3602"/>
      <c r="H34" s="3602"/>
    </row>
    <row r="35" spans="1:8">
      <c r="A35" s="3607" t="s">
        <v>2122</v>
      </c>
      <c r="B35" s="3602"/>
      <c r="C35" s="3602"/>
      <c r="D35" s="3602"/>
      <c r="E35" s="3602"/>
      <c r="F35" s="3602"/>
      <c r="G35" s="3602"/>
      <c r="H35" s="3602"/>
    </row>
    <row r="36" spans="1:8">
      <c r="A36" s="3607" t="s">
        <v>2123</v>
      </c>
      <c r="B36" s="3602"/>
      <c r="C36" s="3602"/>
      <c r="D36" s="3602"/>
      <c r="E36" s="3602"/>
      <c r="F36" s="3602"/>
      <c r="G36" s="3602"/>
      <c r="H36" s="3602"/>
    </row>
    <row r="37" spans="1:8">
      <c r="A37" s="3607" t="s">
        <v>2124</v>
      </c>
      <c r="B37" s="3602"/>
      <c r="C37" s="3602"/>
      <c r="D37" s="3602"/>
      <c r="E37" s="3602"/>
      <c r="F37" s="3602"/>
      <c r="G37" s="3602"/>
      <c r="H37" s="3602"/>
    </row>
    <row r="38" spans="1:8">
      <c r="A38" s="3607" t="s">
        <v>2125</v>
      </c>
      <c r="B38" s="3602"/>
      <c r="C38" s="3602"/>
      <c r="D38" s="3602"/>
      <c r="E38" s="3602"/>
      <c r="F38" s="3602"/>
      <c r="G38" s="3602"/>
      <c r="H38" s="3602"/>
    </row>
    <row r="39" spans="1:8">
      <c r="A39" s="3602"/>
      <c r="B39" s="3602"/>
      <c r="C39" s="3602"/>
      <c r="D39" s="3602"/>
      <c r="E39" s="3602"/>
      <c r="F39" s="3602"/>
      <c r="G39" s="3602"/>
      <c r="H39" s="3602"/>
    </row>
    <row r="40" spans="1:8">
      <c r="A40" s="3607" t="s">
        <v>2116</v>
      </c>
      <c r="B40" s="3602"/>
      <c r="C40" s="3602"/>
      <c r="D40" s="3602"/>
      <c r="E40" s="3602"/>
      <c r="F40" s="3602"/>
      <c r="G40" s="3602"/>
      <c r="H40" s="3602"/>
    </row>
    <row r="41" spans="1:8">
      <c r="A41" s="3607" t="s">
        <v>2117</v>
      </c>
      <c r="B41" s="3602"/>
      <c r="C41" s="3602"/>
      <c r="D41" s="3602"/>
      <c r="E41" s="3602"/>
      <c r="F41" s="3602"/>
      <c r="G41" s="3602"/>
      <c r="H41" s="3602"/>
    </row>
    <row r="42" spans="1:8">
      <c r="A42" s="3607" t="s">
        <v>2118</v>
      </c>
      <c r="B42" s="3602"/>
      <c r="C42" s="3602"/>
      <c r="D42" s="3602"/>
      <c r="E42" s="3602"/>
      <c r="F42" s="3602"/>
      <c r="G42" s="3602"/>
      <c r="H42" s="3602"/>
    </row>
    <row r="43" spans="1:8">
      <c r="A43" s="3607" t="s">
        <v>2119</v>
      </c>
      <c r="B43" s="3602"/>
      <c r="C43" s="3602"/>
      <c r="D43" s="3602"/>
      <c r="E43" s="3602"/>
      <c r="F43" s="3602"/>
      <c r="G43" s="3602"/>
      <c r="H43" s="3602"/>
    </row>
    <row r="44" spans="1:8">
      <c r="A44" s="3607" t="s">
        <v>2120</v>
      </c>
      <c r="B44" s="3602"/>
      <c r="C44" s="3602"/>
      <c r="D44" s="3602"/>
      <c r="E44" s="3602"/>
      <c r="F44" s="3602"/>
      <c r="G44" s="3602"/>
      <c r="H44" s="3602"/>
    </row>
    <row r="45" spans="1:8">
      <c r="A45" s="3607" t="s">
        <v>2121</v>
      </c>
      <c r="B45" s="3602"/>
      <c r="C45" s="3602"/>
      <c r="D45" s="3602"/>
      <c r="E45" s="3602"/>
      <c r="F45" s="3602"/>
      <c r="G45" s="3602"/>
      <c r="H45" s="3602"/>
    </row>
    <row r="46" spans="1:8">
      <c r="A46" s="3602"/>
      <c r="B46" s="3602"/>
      <c r="C46" s="3602"/>
      <c r="D46" s="3602"/>
      <c r="E46" s="3602"/>
      <c r="F46" s="3602"/>
      <c r="G46" s="3602"/>
      <c r="H46" s="3602"/>
    </row>
    <row r="47" spans="1:8" ht="15.75">
      <c r="A47" s="3608" t="s">
        <v>1854</v>
      </c>
      <c r="B47" s="3602"/>
      <c r="C47" s="3602"/>
      <c r="D47" s="3602"/>
      <c r="E47" s="3602"/>
      <c r="F47" s="3602"/>
      <c r="G47" s="3602"/>
      <c r="H47" s="3602"/>
    </row>
    <row r="48" spans="1:8">
      <c r="A48" s="3602"/>
      <c r="B48" s="3602"/>
      <c r="C48" s="3602"/>
      <c r="D48" s="3602"/>
      <c r="E48" s="3602"/>
      <c r="F48" s="3602"/>
      <c r="G48" s="3602"/>
      <c r="H48" s="3602"/>
    </row>
    <row r="49" spans="1:8">
      <c r="A49" s="3607" t="s">
        <v>2112</v>
      </c>
      <c r="B49" s="3602"/>
      <c r="C49" s="3602"/>
      <c r="D49" s="3602"/>
      <c r="E49" s="3602"/>
      <c r="F49" s="3602"/>
      <c r="G49" s="3602"/>
      <c r="H49" s="3602"/>
    </row>
    <row r="50" spans="1:8">
      <c r="A50" s="3607" t="s">
        <v>2113</v>
      </c>
      <c r="B50" s="3602"/>
      <c r="C50" s="3602"/>
      <c r="D50" s="3602"/>
      <c r="E50" s="3602"/>
      <c r="F50" s="3602"/>
      <c r="G50" s="3602"/>
      <c r="H50" s="3602"/>
    </row>
    <row r="51" spans="1:8">
      <c r="A51" s="3607" t="s">
        <v>2114</v>
      </c>
      <c r="B51" s="3602"/>
      <c r="C51" s="3602"/>
      <c r="D51" s="3602"/>
      <c r="E51" s="3602"/>
      <c r="F51" s="3602"/>
      <c r="G51" s="3602"/>
      <c r="H51" s="3602"/>
    </row>
    <row r="52" spans="1:8">
      <c r="A52" s="3607" t="s">
        <v>2115</v>
      </c>
      <c r="B52" s="3602"/>
      <c r="C52" s="3602"/>
      <c r="D52" s="3602"/>
      <c r="E52" s="3602"/>
      <c r="F52" s="3602"/>
      <c r="G52" s="3602"/>
      <c r="H52" s="3602"/>
    </row>
    <row r="53" spans="1:8">
      <c r="A53" s="3602"/>
      <c r="B53" s="3602"/>
      <c r="C53" s="3602"/>
      <c r="D53" s="3602"/>
      <c r="E53" s="3602"/>
      <c r="F53" s="3602"/>
      <c r="G53" s="3602"/>
      <c r="H53" s="3602"/>
    </row>
    <row r="54" spans="1:8">
      <c r="A54" s="3607" t="s">
        <v>1855</v>
      </c>
      <c r="B54" s="3602"/>
      <c r="C54" s="3602"/>
      <c r="D54" s="3602"/>
      <c r="E54" s="3602"/>
      <c r="F54" s="3602"/>
      <c r="G54" s="3602"/>
      <c r="H54" s="3602"/>
    </row>
    <row r="55" spans="1:8">
      <c r="A55" s="3602"/>
      <c r="B55" s="3602"/>
      <c r="C55" s="3602"/>
      <c r="D55" s="3602"/>
      <c r="E55" s="3602"/>
      <c r="F55" s="3602"/>
      <c r="G55" s="3602"/>
      <c r="H55" s="3602"/>
    </row>
    <row r="56" spans="1:8" ht="15.75">
      <c r="A56" s="3608" t="s">
        <v>1856</v>
      </c>
      <c r="B56" s="3602"/>
      <c r="C56" s="3602"/>
      <c r="D56" s="3602"/>
      <c r="E56" s="3602"/>
      <c r="F56" s="3602"/>
      <c r="G56" s="3602"/>
      <c r="H56" s="3602"/>
    </row>
    <row r="57" spans="1:8">
      <c r="A57" s="3602"/>
      <c r="B57" s="3602"/>
      <c r="C57" s="3602"/>
      <c r="D57" s="3602"/>
      <c r="E57" s="3602"/>
      <c r="F57" s="3602"/>
      <c r="G57" s="3602"/>
      <c r="H57" s="3602"/>
    </row>
    <row r="58" spans="1:8">
      <c r="A58" s="3607" t="s">
        <v>2110</v>
      </c>
      <c r="B58" s="3602"/>
      <c r="C58" s="3602"/>
      <c r="D58" s="3602"/>
      <c r="E58" s="3602"/>
      <c r="F58" s="3602"/>
      <c r="G58" s="3602"/>
      <c r="H58" s="3602"/>
    </row>
    <row r="59" spans="1:8">
      <c r="A59" s="3607" t="s">
        <v>2111</v>
      </c>
      <c r="B59" s="3602"/>
      <c r="C59" s="3602"/>
      <c r="D59" s="3602"/>
      <c r="E59" s="3602"/>
      <c r="F59" s="3602"/>
      <c r="G59" s="3602"/>
      <c r="H59" s="3602"/>
    </row>
    <row r="60" spans="1:8">
      <c r="A60" s="3602"/>
      <c r="B60" s="3602"/>
      <c r="C60" s="3602"/>
      <c r="D60" s="3602"/>
      <c r="E60" s="3602"/>
      <c r="F60" s="3602"/>
      <c r="G60" s="3602"/>
      <c r="H60" s="3602"/>
    </row>
    <row r="61" spans="1:8" ht="15.75">
      <c r="A61" s="3608" t="s">
        <v>1857</v>
      </c>
      <c r="B61" s="3602"/>
      <c r="C61" s="3602"/>
      <c r="D61" s="3602"/>
      <c r="E61" s="3602"/>
      <c r="F61" s="3602"/>
      <c r="G61" s="3602"/>
      <c r="H61" s="3602"/>
    </row>
    <row r="62" spans="1:8">
      <c r="A62" s="3602"/>
      <c r="B62" s="3602"/>
      <c r="C62" s="3602"/>
      <c r="D62" s="3602"/>
      <c r="E62" s="3602"/>
      <c r="F62" s="3602"/>
      <c r="G62" s="3602"/>
      <c r="H62" s="3602"/>
    </row>
    <row r="63" spans="1:8">
      <c r="A63" s="3607" t="s">
        <v>2108</v>
      </c>
      <c r="B63" s="3602"/>
      <c r="C63" s="3602"/>
      <c r="D63" s="3602"/>
      <c r="E63" s="3602"/>
      <c r="F63" s="3602"/>
      <c r="G63" s="3602"/>
      <c r="H63" s="3602"/>
    </row>
    <row r="64" spans="1:8">
      <c r="A64" s="3607" t="s">
        <v>2109</v>
      </c>
      <c r="B64" s="3602"/>
      <c r="C64" s="3602"/>
      <c r="D64" s="3602"/>
      <c r="E64" s="3602"/>
      <c r="F64" s="3602"/>
      <c r="G64" s="3602"/>
      <c r="H64" s="3602"/>
    </row>
    <row r="65" spans="1:8">
      <c r="A65" s="3602"/>
      <c r="B65" s="3602"/>
      <c r="C65" s="3602"/>
      <c r="D65" s="3602"/>
      <c r="E65" s="3602"/>
      <c r="F65" s="3602"/>
      <c r="G65" s="3602"/>
      <c r="H65" s="3602"/>
    </row>
    <row r="66" spans="1:8">
      <c r="A66" s="3607" t="s">
        <v>2106</v>
      </c>
      <c r="B66" s="3602"/>
      <c r="C66" s="3602"/>
      <c r="D66" s="3602"/>
      <c r="E66" s="3602"/>
      <c r="F66" s="3602"/>
      <c r="G66" s="3602"/>
      <c r="H66" s="3602"/>
    </row>
    <row r="67" spans="1:8">
      <c r="A67" s="3607" t="s">
        <v>2107</v>
      </c>
      <c r="B67" s="3602"/>
      <c r="C67" s="3602"/>
      <c r="D67" s="3602"/>
      <c r="E67" s="3602"/>
      <c r="F67" s="3602"/>
      <c r="G67" s="3602"/>
      <c r="H67" s="3602"/>
    </row>
    <row r="68" spans="1:8">
      <c r="A68" s="3602"/>
      <c r="B68" s="3602"/>
      <c r="C68" s="3602"/>
      <c r="D68" s="3602"/>
      <c r="E68" s="3602"/>
      <c r="F68" s="3602"/>
      <c r="G68" s="3602"/>
      <c r="H68" s="3602"/>
    </row>
    <row r="69" spans="1:8">
      <c r="A69" s="3607" t="s">
        <v>2104</v>
      </c>
      <c r="B69" s="3602"/>
      <c r="C69" s="3602"/>
      <c r="D69" s="3602"/>
      <c r="E69" s="3602"/>
      <c r="F69" s="3602"/>
      <c r="G69" s="3602"/>
      <c r="H69" s="3602"/>
    </row>
    <row r="70" spans="1:8">
      <c r="A70" s="3607" t="s">
        <v>2105</v>
      </c>
      <c r="B70" s="3602"/>
      <c r="C70" s="3602"/>
      <c r="D70" s="3602"/>
      <c r="E70" s="3602"/>
      <c r="F70" s="3602"/>
      <c r="G70" s="3602"/>
      <c r="H70" s="3602"/>
    </row>
    <row r="71" spans="1:8">
      <c r="A71" s="3602"/>
      <c r="B71" s="3602"/>
      <c r="C71" s="3602"/>
      <c r="D71" s="3602"/>
      <c r="E71" s="3602"/>
      <c r="F71" s="3602"/>
      <c r="G71" s="3602"/>
      <c r="H71" s="3602"/>
    </row>
    <row r="72" spans="1:8">
      <c r="A72" s="3607" t="s">
        <v>2101</v>
      </c>
      <c r="B72" s="3602"/>
      <c r="C72" s="3602"/>
      <c r="D72" s="3602"/>
      <c r="E72" s="3602"/>
      <c r="F72" s="3602"/>
      <c r="G72" s="3602"/>
      <c r="H72" s="3602"/>
    </row>
    <row r="73" spans="1:8">
      <c r="A73" s="3607" t="s">
        <v>2102</v>
      </c>
      <c r="B73" s="3602"/>
      <c r="C73" s="3602"/>
      <c r="D73" s="3602"/>
      <c r="E73" s="3602"/>
      <c r="F73" s="3602"/>
      <c r="G73" s="3602"/>
      <c r="H73" s="3602"/>
    </row>
    <row r="74" spans="1:8">
      <c r="A74" s="3607" t="s">
        <v>2103</v>
      </c>
      <c r="B74" s="3602"/>
      <c r="C74" s="3602"/>
      <c r="D74" s="3602"/>
      <c r="E74" s="3602"/>
      <c r="F74" s="3602"/>
      <c r="G74" s="3602"/>
      <c r="H74" s="3602"/>
    </row>
    <row r="75" spans="1:8">
      <c r="A75" s="3602"/>
      <c r="B75" s="3602"/>
      <c r="C75" s="3602"/>
      <c r="D75" s="3602"/>
      <c r="E75" s="3602"/>
      <c r="F75" s="3602"/>
      <c r="G75" s="3602"/>
      <c r="H75" s="3602"/>
    </row>
    <row r="76" spans="1:8">
      <c r="A76" s="3607" t="s">
        <v>1858</v>
      </c>
      <c r="B76" s="3602"/>
      <c r="C76" s="3602"/>
      <c r="D76" s="3602"/>
      <c r="E76" s="3602"/>
      <c r="F76" s="3602"/>
      <c r="G76" s="3602"/>
      <c r="H76" s="3602"/>
    </row>
    <row r="77" spans="1:8">
      <c r="A77" s="3602"/>
      <c r="B77" s="3602"/>
      <c r="C77" s="3602"/>
      <c r="D77" s="3602"/>
      <c r="E77" s="3602"/>
      <c r="F77" s="3602"/>
      <c r="G77" s="3602"/>
      <c r="H77" s="3602"/>
    </row>
    <row r="78" spans="1:8">
      <c r="A78" s="3607" t="s">
        <v>2096</v>
      </c>
      <c r="B78" s="3602"/>
      <c r="C78" s="3602"/>
      <c r="D78" s="3602"/>
      <c r="E78" s="3602"/>
      <c r="F78" s="3602"/>
      <c r="G78" s="3602"/>
      <c r="H78" s="3602"/>
    </row>
    <row r="79" spans="1:8">
      <c r="A79" s="3607" t="s">
        <v>2097</v>
      </c>
      <c r="B79" s="3602"/>
      <c r="C79" s="3602"/>
      <c r="D79" s="3602"/>
      <c r="E79" s="3602"/>
      <c r="F79" s="3602"/>
      <c r="G79" s="3602"/>
      <c r="H79" s="3602"/>
    </row>
    <row r="80" spans="1:8">
      <c r="A80" s="3607" t="s">
        <v>2098</v>
      </c>
      <c r="B80" s="3602"/>
      <c r="C80" s="3602"/>
      <c r="D80" s="3602"/>
      <c r="E80" s="3602"/>
      <c r="F80" s="3602"/>
      <c r="G80" s="3602"/>
      <c r="H80" s="3602"/>
    </row>
    <row r="81" spans="1:8">
      <c r="A81" s="3607" t="s">
        <v>2099</v>
      </c>
      <c r="B81" s="3602"/>
      <c r="C81" s="3602"/>
      <c r="D81" s="3602"/>
      <c r="E81" s="3602"/>
      <c r="F81" s="3602"/>
      <c r="G81" s="3602"/>
      <c r="H81" s="3602"/>
    </row>
    <row r="82" spans="1:8">
      <c r="A82" s="3607" t="s">
        <v>2100</v>
      </c>
      <c r="B82" s="3602"/>
      <c r="C82" s="3602"/>
      <c r="D82" s="3602"/>
      <c r="E82" s="3602"/>
      <c r="F82" s="3602"/>
      <c r="G82" s="3602"/>
      <c r="H82" s="3602"/>
    </row>
    <row r="83" spans="1:8">
      <c r="A83" s="3607" t="s">
        <v>1983</v>
      </c>
      <c r="B83" s="3602"/>
      <c r="C83" s="3602"/>
      <c r="D83" s="3602"/>
      <c r="E83" s="3602"/>
      <c r="F83" s="3602"/>
      <c r="G83" s="3602"/>
      <c r="H83" s="3602"/>
    </row>
    <row r="84" spans="1:8">
      <c r="A84" s="3602"/>
      <c r="B84" s="3602"/>
      <c r="C84" s="3602"/>
      <c r="D84" s="3602"/>
      <c r="E84" s="3602"/>
      <c r="F84" s="3602"/>
      <c r="G84" s="3602"/>
      <c r="H84" s="3602"/>
    </row>
    <row r="85" spans="1:8">
      <c r="A85" s="3607" t="s">
        <v>2089</v>
      </c>
      <c r="B85" s="3602"/>
      <c r="C85" s="3602"/>
      <c r="D85" s="3602"/>
      <c r="E85" s="3602"/>
      <c r="F85" s="3602"/>
      <c r="G85" s="3602"/>
      <c r="H85" s="3602"/>
    </row>
    <row r="86" spans="1:8">
      <c r="A86" s="3607" t="s">
        <v>2090</v>
      </c>
      <c r="B86" s="3602"/>
      <c r="C86" s="3602"/>
      <c r="D86" s="3602"/>
      <c r="E86" s="3602"/>
      <c r="F86" s="3602"/>
      <c r="G86" s="3602"/>
      <c r="H86" s="3602"/>
    </row>
    <row r="87" spans="1:8">
      <c r="A87" s="3607" t="s">
        <v>2091</v>
      </c>
      <c r="B87" s="3602"/>
      <c r="C87" s="3602"/>
      <c r="D87" s="3602"/>
      <c r="E87" s="3602"/>
      <c r="F87" s="3602"/>
      <c r="G87" s="3602"/>
      <c r="H87" s="3602"/>
    </row>
    <row r="88" spans="1:8">
      <c r="A88" s="3607" t="s">
        <v>2092</v>
      </c>
      <c r="B88" s="3602"/>
      <c r="C88" s="3602"/>
      <c r="D88" s="3602"/>
      <c r="E88" s="3602"/>
      <c r="F88" s="3602"/>
      <c r="G88" s="3602"/>
      <c r="H88" s="3602"/>
    </row>
    <row r="89" spans="1:8">
      <c r="A89" s="3607" t="s">
        <v>2093</v>
      </c>
      <c r="B89" s="3602"/>
      <c r="C89" s="3602"/>
      <c r="D89" s="3602"/>
      <c r="E89" s="3602"/>
      <c r="F89" s="3602"/>
      <c r="G89" s="3602"/>
      <c r="H89" s="3602"/>
    </row>
    <row r="90" spans="1:8">
      <c r="A90" s="3607" t="s">
        <v>2094</v>
      </c>
      <c r="B90" s="3602"/>
      <c r="C90" s="3602"/>
      <c r="D90" s="3602"/>
      <c r="E90" s="3602"/>
      <c r="F90" s="3602"/>
      <c r="G90" s="3602"/>
      <c r="H90" s="3602"/>
    </row>
    <row r="91" spans="1:8">
      <c r="A91" s="3607" t="s">
        <v>2095</v>
      </c>
      <c r="B91" s="3602"/>
      <c r="C91" s="3602"/>
      <c r="D91" s="3602"/>
      <c r="E91" s="3602"/>
      <c r="F91" s="3602"/>
      <c r="G91" s="3602"/>
      <c r="H91" s="3602"/>
    </row>
    <row r="92" spans="1:8">
      <c r="A92" s="3602"/>
      <c r="B92" s="3602"/>
      <c r="C92" s="3602"/>
      <c r="D92" s="3602"/>
      <c r="E92" s="3602"/>
      <c r="F92" s="3602"/>
      <c r="G92" s="3602"/>
      <c r="H92" s="3602"/>
    </row>
    <row r="93" spans="1:8">
      <c r="A93" s="3607" t="s">
        <v>2087</v>
      </c>
      <c r="B93" s="3602"/>
      <c r="C93" s="3602"/>
      <c r="D93" s="3602"/>
      <c r="E93" s="3602"/>
      <c r="F93" s="3602"/>
      <c r="G93" s="3602"/>
      <c r="H93" s="3602"/>
    </row>
    <row r="94" spans="1:8">
      <c r="A94" s="3607" t="s">
        <v>2088</v>
      </c>
      <c r="B94" s="3602"/>
      <c r="C94" s="3602"/>
      <c r="D94" s="3602"/>
      <c r="E94" s="3602"/>
      <c r="F94" s="3602"/>
      <c r="G94" s="3602"/>
      <c r="H94" s="3602"/>
    </row>
    <row r="95" spans="1:8">
      <c r="A95" s="3602"/>
      <c r="B95" s="3602"/>
      <c r="C95" s="3602"/>
      <c r="D95" s="3602"/>
      <c r="E95" s="3602"/>
      <c r="F95" s="3602"/>
      <c r="G95" s="3602"/>
      <c r="H95" s="3602"/>
    </row>
    <row r="96" spans="1:8" ht="15.75">
      <c r="A96" s="3608" t="s">
        <v>1859</v>
      </c>
      <c r="B96" s="3602"/>
      <c r="C96" s="3602"/>
      <c r="D96" s="3602"/>
      <c r="E96" s="3602"/>
      <c r="F96" s="3602"/>
      <c r="G96" s="3602"/>
      <c r="H96" s="3602"/>
    </row>
    <row r="97" spans="1:8">
      <c r="A97" s="3602"/>
      <c r="B97" s="3602"/>
      <c r="C97" s="3602"/>
      <c r="D97" s="3602"/>
      <c r="E97" s="3602"/>
      <c r="F97" s="3602"/>
      <c r="G97" s="3602"/>
      <c r="H97" s="3602"/>
    </row>
    <row r="98" spans="1:8">
      <c r="A98" s="3607" t="s">
        <v>2078</v>
      </c>
      <c r="B98" s="3602"/>
      <c r="C98" s="3602"/>
      <c r="D98" s="3602"/>
      <c r="E98" s="3602"/>
      <c r="F98" s="3602"/>
      <c r="G98" s="3602"/>
      <c r="H98" s="3602"/>
    </row>
    <row r="99" spans="1:8">
      <c r="A99" s="3607" t="s">
        <v>2079</v>
      </c>
      <c r="B99" s="3602"/>
      <c r="C99" s="3602"/>
      <c r="D99" s="3602"/>
      <c r="E99" s="3602"/>
      <c r="F99" s="3602"/>
      <c r="G99" s="3602"/>
      <c r="H99" s="3602"/>
    </row>
    <row r="100" spans="1:8">
      <c r="A100" s="3607" t="s">
        <v>2080</v>
      </c>
      <c r="B100" s="3602"/>
      <c r="C100" s="3602"/>
      <c r="D100" s="3602"/>
      <c r="E100" s="3602"/>
      <c r="F100" s="3602"/>
      <c r="G100" s="3602"/>
      <c r="H100" s="3602"/>
    </row>
    <row r="101" spans="1:8">
      <c r="A101" s="3607" t="s">
        <v>2081</v>
      </c>
      <c r="B101" s="3602"/>
      <c r="C101" s="3602"/>
      <c r="D101" s="3602"/>
      <c r="E101" s="3602"/>
      <c r="F101" s="3602"/>
      <c r="G101" s="3602"/>
      <c r="H101" s="3602"/>
    </row>
    <row r="102" spans="1:8">
      <c r="A102" s="3607" t="s">
        <v>2082</v>
      </c>
      <c r="B102" s="3602"/>
      <c r="C102" s="3602"/>
      <c r="D102" s="3602"/>
      <c r="E102" s="3602"/>
      <c r="F102" s="3602"/>
      <c r="G102" s="3602"/>
      <c r="H102" s="3602"/>
    </row>
    <row r="103" spans="1:8">
      <c r="A103" s="3607" t="s">
        <v>2083</v>
      </c>
      <c r="B103" s="3602"/>
      <c r="C103" s="3602"/>
      <c r="D103" s="3602"/>
      <c r="E103" s="3602"/>
      <c r="F103" s="3602"/>
      <c r="G103" s="3602"/>
      <c r="H103" s="3602"/>
    </row>
    <row r="104" spans="1:8">
      <c r="A104" s="3607" t="s">
        <v>2084</v>
      </c>
      <c r="B104" s="3602"/>
      <c r="C104" s="3602"/>
      <c r="D104" s="3602"/>
      <c r="E104" s="3602"/>
      <c r="F104" s="3602"/>
      <c r="G104" s="3602"/>
      <c r="H104" s="3602"/>
    </row>
    <row r="105" spans="1:8">
      <c r="A105" s="3607" t="s">
        <v>2085</v>
      </c>
      <c r="B105" s="3602"/>
      <c r="C105" s="3602"/>
      <c r="D105" s="3602"/>
      <c r="E105" s="3602"/>
      <c r="F105" s="3602"/>
      <c r="G105" s="3602"/>
      <c r="H105" s="3602"/>
    </row>
    <row r="106" spans="1:8">
      <c r="A106" s="3607" t="s">
        <v>2086</v>
      </c>
      <c r="B106" s="3602"/>
      <c r="C106" s="3602"/>
      <c r="D106" s="3602"/>
      <c r="E106" s="3602"/>
      <c r="F106" s="3602"/>
      <c r="G106" s="3602"/>
      <c r="H106" s="3602"/>
    </row>
    <row r="107" spans="1:8">
      <c r="A107" s="3602"/>
      <c r="B107" s="3602"/>
      <c r="C107" s="3602"/>
      <c r="D107" s="3602"/>
      <c r="E107" s="3602"/>
      <c r="F107" s="3602"/>
      <c r="G107" s="3602"/>
      <c r="H107" s="3602"/>
    </row>
    <row r="108" spans="1:8" ht="15.75">
      <c r="A108" s="3609" t="s">
        <v>1860</v>
      </c>
      <c r="B108" s="3609"/>
      <c r="C108" s="3609"/>
      <c r="D108" s="3609"/>
      <c r="E108" s="3609"/>
      <c r="F108" s="3609"/>
      <c r="G108" s="3609"/>
      <c r="H108" s="3609"/>
    </row>
    <row r="109" spans="1:8">
      <c r="A109" s="3610" t="s">
        <v>1861</v>
      </c>
      <c r="B109" s="3610"/>
      <c r="C109" s="3610"/>
      <c r="D109" s="3610"/>
      <c r="E109" s="3610"/>
      <c r="F109" s="3610"/>
      <c r="G109" s="3610"/>
      <c r="H109" s="3610"/>
    </row>
    <row r="110" spans="1:8">
      <c r="A110" s="3611"/>
      <c r="B110" s="3611"/>
      <c r="C110" s="3611"/>
      <c r="D110" s="3611"/>
      <c r="E110" s="3611"/>
      <c r="F110" s="3611"/>
      <c r="G110" s="3611"/>
      <c r="H110" s="3611"/>
    </row>
    <row r="111" spans="1:8">
      <c r="A111" s="3610" t="s">
        <v>2076</v>
      </c>
      <c r="B111" s="3610"/>
      <c r="C111" s="3610"/>
      <c r="D111" s="3610"/>
      <c r="E111" s="3610"/>
      <c r="F111" s="3610"/>
      <c r="G111" s="3610"/>
      <c r="H111" s="3610"/>
    </row>
    <row r="112" spans="1:8">
      <c r="A112" s="3607" t="s">
        <v>2077</v>
      </c>
      <c r="B112" s="3607"/>
      <c r="C112" s="3607"/>
      <c r="D112" s="3607"/>
      <c r="E112" s="3607"/>
      <c r="F112" s="3607"/>
      <c r="G112" s="3607"/>
      <c r="H112" s="3607"/>
    </row>
    <row r="113" spans="1:8">
      <c r="A113" s="3611"/>
      <c r="B113" s="3611"/>
      <c r="C113" s="3611"/>
      <c r="D113" s="3611"/>
      <c r="E113" s="3611"/>
      <c r="F113" s="3611"/>
      <c r="G113" s="3611"/>
      <c r="H113" s="3611"/>
    </row>
    <row r="114" spans="1:8">
      <c r="A114" s="3610" t="s">
        <v>2069</v>
      </c>
      <c r="B114" s="3610"/>
      <c r="C114" s="3610"/>
      <c r="D114" s="3610"/>
      <c r="E114" s="3610"/>
      <c r="F114" s="3610"/>
      <c r="G114" s="3610"/>
      <c r="H114" s="3610"/>
    </row>
    <row r="115" spans="1:8">
      <c r="A115" s="3607" t="s">
        <v>2070</v>
      </c>
      <c r="B115" s="3607"/>
      <c r="C115" s="3607"/>
      <c r="D115" s="3607"/>
      <c r="E115" s="3607"/>
      <c r="F115" s="3607"/>
      <c r="G115" s="3607"/>
      <c r="H115" s="3607"/>
    </row>
    <row r="116" spans="1:8">
      <c r="A116" s="3607" t="s">
        <v>2071</v>
      </c>
      <c r="B116" s="3607"/>
      <c r="C116" s="3607"/>
      <c r="D116" s="3607"/>
      <c r="E116" s="3607"/>
      <c r="F116" s="3607"/>
      <c r="G116" s="3607"/>
      <c r="H116" s="3607"/>
    </row>
    <row r="117" spans="1:8">
      <c r="A117" s="3607" t="s">
        <v>2072</v>
      </c>
      <c r="B117" s="3607"/>
      <c r="C117" s="3607"/>
      <c r="D117" s="3607"/>
      <c r="E117" s="3607"/>
      <c r="F117" s="3607"/>
      <c r="G117" s="3607"/>
      <c r="H117" s="3607"/>
    </row>
    <row r="118" spans="1:8">
      <c r="A118" s="3607" t="s">
        <v>2073</v>
      </c>
      <c r="B118" s="3607"/>
      <c r="C118" s="3607"/>
      <c r="D118" s="3607"/>
      <c r="E118" s="3607"/>
      <c r="F118" s="3607"/>
      <c r="G118" s="3607"/>
      <c r="H118" s="3607"/>
    </row>
    <row r="119" spans="1:8">
      <c r="A119" s="3607" t="s">
        <v>2074</v>
      </c>
      <c r="B119" s="3607"/>
      <c r="C119" s="3607"/>
      <c r="D119" s="3607"/>
      <c r="E119" s="3607"/>
      <c r="F119" s="3607"/>
      <c r="G119" s="3607"/>
      <c r="H119" s="3607"/>
    </row>
    <row r="120" spans="1:8">
      <c r="A120" s="3607" t="s">
        <v>2075</v>
      </c>
      <c r="B120" s="3607"/>
      <c r="C120" s="3607"/>
      <c r="D120" s="3607"/>
      <c r="E120" s="3607"/>
      <c r="F120" s="3607"/>
      <c r="G120" s="3607"/>
      <c r="H120" s="3607"/>
    </row>
    <row r="121" spans="1:8">
      <c r="A121" s="3612"/>
      <c r="B121" s="3612"/>
      <c r="C121" s="3612"/>
      <c r="D121" s="3612"/>
      <c r="E121" s="3612"/>
      <c r="F121" s="3612"/>
      <c r="G121" s="3612"/>
      <c r="H121" s="3612"/>
    </row>
    <row r="122" spans="1:8">
      <c r="A122" s="3613"/>
      <c r="B122" s="3614" t="s">
        <v>1862</v>
      </c>
      <c r="C122" s="3615"/>
      <c r="D122" s="3614" t="s">
        <v>1863</v>
      </c>
      <c r="E122" s="3616"/>
      <c r="F122" s="3615"/>
      <c r="G122" s="3614" t="s">
        <v>1864</v>
      </c>
      <c r="H122" s="3615"/>
    </row>
    <row r="123" spans="1:8">
      <c r="A123" s="3613" t="s">
        <v>1865</v>
      </c>
      <c r="B123" s="3613" t="s">
        <v>92</v>
      </c>
      <c r="C123" s="3613" t="s">
        <v>223</v>
      </c>
      <c r="D123" s="3613" t="s">
        <v>92</v>
      </c>
      <c r="E123" s="3613" t="s">
        <v>1866</v>
      </c>
      <c r="F123" s="3613" t="s">
        <v>1867</v>
      </c>
      <c r="G123" s="3613" t="s">
        <v>92</v>
      </c>
      <c r="H123" s="3613" t="s">
        <v>1868</v>
      </c>
    </row>
    <row r="124" spans="1:8">
      <c r="A124" s="3613" t="s">
        <v>1869</v>
      </c>
      <c r="B124" s="3613">
        <v>1142</v>
      </c>
      <c r="C124" s="3617">
        <v>0.36</v>
      </c>
      <c r="D124" s="3613">
        <v>320</v>
      </c>
      <c r="E124" s="3617">
        <v>0.4</v>
      </c>
      <c r="F124" s="3617">
        <v>0.28000000000000003</v>
      </c>
      <c r="G124" s="3613">
        <v>560</v>
      </c>
      <c r="H124" s="3617">
        <v>0.38</v>
      </c>
    </row>
    <row r="125" spans="1:8">
      <c r="A125" s="3613" t="s">
        <v>1870</v>
      </c>
      <c r="B125" s="3613">
        <v>1424</v>
      </c>
      <c r="C125" s="3617">
        <v>0.44</v>
      </c>
      <c r="D125" s="3613">
        <v>371</v>
      </c>
      <c r="E125" s="3617">
        <v>0.47</v>
      </c>
      <c r="F125" s="3617">
        <v>0.26</v>
      </c>
      <c r="G125" s="3613">
        <v>674</v>
      </c>
      <c r="H125" s="3617">
        <v>0.46</v>
      </c>
    </row>
    <row r="126" spans="1:8">
      <c r="A126" s="3613" t="s">
        <v>1871</v>
      </c>
      <c r="B126" s="3613">
        <v>55</v>
      </c>
      <c r="C126" s="3617">
        <v>0.02</v>
      </c>
      <c r="D126" s="3613">
        <v>6</v>
      </c>
      <c r="E126" s="3617">
        <v>0.01</v>
      </c>
      <c r="F126" s="3617">
        <v>0.11</v>
      </c>
      <c r="G126" s="3613">
        <v>9</v>
      </c>
      <c r="H126" s="3617">
        <v>0.01</v>
      </c>
    </row>
    <row r="127" spans="1:8">
      <c r="A127" s="3613" t="s">
        <v>1872</v>
      </c>
      <c r="B127" s="3613">
        <v>583</v>
      </c>
      <c r="C127" s="3617">
        <v>0.18</v>
      </c>
      <c r="D127" s="3613">
        <v>95</v>
      </c>
      <c r="E127" s="3617">
        <v>0.12</v>
      </c>
      <c r="F127" s="3617">
        <v>0.16</v>
      </c>
      <c r="G127" s="3613">
        <v>237</v>
      </c>
      <c r="H127" s="3617">
        <v>0.16</v>
      </c>
    </row>
    <row r="128" spans="1:8">
      <c r="A128" s="3613" t="s">
        <v>732</v>
      </c>
      <c r="B128" s="3618">
        <v>3204</v>
      </c>
      <c r="C128" s="3613"/>
      <c r="D128" s="3613">
        <v>792</v>
      </c>
      <c r="E128" s="3613"/>
      <c r="F128" s="3613"/>
      <c r="G128" s="3613">
        <v>1480</v>
      </c>
      <c r="H128" s="3613"/>
    </row>
    <row r="129" spans="1:8">
      <c r="A129" s="3619"/>
      <c r="B129" s="3619"/>
      <c r="C129" s="3619"/>
      <c r="D129" s="3619"/>
      <c r="E129" s="3619"/>
      <c r="F129" s="3619"/>
      <c r="G129" s="3619"/>
      <c r="H129" s="3619"/>
    </row>
    <row r="130" spans="1:8">
      <c r="A130" s="3610" t="s">
        <v>2065</v>
      </c>
      <c r="B130" s="3610"/>
      <c r="C130" s="3610"/>
      <c r="D130" s="3610"/>
      <c r="E130" s="3610"/>
      <c r="F130" s="3610"/>
      <c r="G130" s="3610"/>
      <c r="H130" s="3610"/>
    </row>
    <row r="131" spans="1:8">
      <c r="A131" s="3607" t="s">
        <v>2066</v>
      </c>
      <c r="B131" s="3607"/>
      <c r="C131" s="3607"/>
      <c r="D131" s="3607"/>
      <c r="E131" s="3607"/>
      <c r="F131" s="3607"/>
      <c r="G131" s="3607"/>
      <c r="H131" s="3607"/>
    </row>
    <row r="132" spans="1:8">
      <c r="A132" s="3607" t="s">
        <v>2067</v>
      </c>
      <c r="B132" s="3607"/>
      <c r="C132" s="3607"/>
      <c r="D132" s="3607"/>
      <c r="E132" s="3607"/>
      <c r="F132" s="3607"/>
      <c r="G132" s="3607"/>
      <c r="H132" s="3607"/>
    </row>
    <row r="133" spans="1:8">
      <c r="A133" s="3607" t="s">
        <v>2068</v>
      </c>
      <c r="B133" s="3607"/>
      <c r="C133" s="3607"/>
      <c r="D133" s="3607"/>
      <c r="E133" s="3607"/>
      <c r="F133" s="3607"/>
      <c r="G133" s="3607"/>
      <c r="H133" s="3607"/>
    </row>
    <row r="134" spans="1:8">
      <c r="A134" s="3602"/>
      <c r="B134" s="3602"/>
      <c r="C134" s="3602"/>
      <c r="D134" s="3602"/>
      <c r="E134" s="3602"/>
      <c r="F134" s="3602"/>
      <c r="G134" s="3602"/>
      <c r="H134" s="3602"/>
    </row>
    <row r="135" spans="1:8" ht="15.75">
      <c r="A135" s="3608" t="s">
        <v>1873</v>
      </c>
      <c r="B135" s="3602"/>
      <c r="C135" s="3602"/>
      <c r="D135" s="3602"/>
      <c r="E135" s="3602"/>
      <c r="F135" s="3602"/>
      <c r="G135" s="3602"/>
      <c r="H135" s="3602"/>
    </row>
    <row r="136" spans="1:8">
      <c r="A136" s="3602"/>
      <c r="B136" s="3602"/>
      <c r="C136" s="3602"/>
      <c r="D136" s="3602"/>
      <c r="E136" s="3602"/>
      <c r="F136" s="3602"/>
      <c r="G136" s="3602"/>
      <c r="H136" s="3602"/>
    </row>
    <row r="137" spans="1:8">
      <c r="A137" s="3607" t="s">
        <v>2063</v>
      </c>
      <c r="B137" s="3602"/>
      <c r="C137" s="3602"/>
      <c r="D137" s="3602"/>
      <c r="E137" s="3602"/>
      <c r="F137" s="3602"/>
      <c r="G137" s="3602"/>
      <c r="H137" s="3602"/>
    </row>
    <row r="138" spans="1:8">
      <c r="A138" s="3607" t="s">
        <v>2064</v>
      </c>
      <c r="B138" s="3602"/>
      <c r="C138" s="3602"/>
      <c r="D138" s="3602"/>
      <c r="E138" s="3602"/>
      <c r="F138" s="3602"/>
      <c r="G138" s="3602"/>
      <c r="H138" s="3602"/>
    </row>
    <row r="139" spans="1:8">
      <c r="A139" s="3602"/>
      <c r="B139" s="3602"/>
      <c r="C139" s="3602"/>
      <c r="D139" s="3602"/>
      <c r="E139" s="3602"/>
      <c r="F139" s="3602"/>
      <c r="G139" s="3602"/>
      <c r="H139" s="3602"/>
    </row>
    <row r="140" spans="1:8">
      <c r="A140" s="3607" t="s">
        <v>2060</v>
      </c>
      <c r="B140" s="3602"/>
      <c r="C140" s="3602"/>
      <c r="D140" s="3602"/>
      <c r="E140" s="3602"/>
      <c r="F140" s="3602"/>
      <c r="G140" s="3602"/>
      <c r="H140" s="3602"/>
    </row>
    <row r="141" spans="1:8">
      <c r="A141" s="3607" t="s">
        <v>2061</v>
      </c>
      <c r="B141" s="3602"/>
      <c r="C141" s="3602"/>
      <c r="D141" s="3602"/>
      <c r="E141" s="3602"/>
      <c r="F141" s="3602"/>
      <c r="G141" s="3602"/>
      <c r="H141" s="3602"/>
    </row>
    <row r="142" spans="1:8">
      <c r="A142" s="3607" t="s">
        <v>2062</v>
      </c>
      <c r="B142" s="3602"/>
      <c r="C142" s="3602"/>
      <c r="D142" s="3602"/>
      <c r="E142" s="3602"/>
      <c r="F142" s="3602"/>
      <c r="G142" s="3602"/>
      <c r="H142" s="3602"/>
    </row>
    <row r="143" spans="1:8">
      <c r="A143" s="3602"/>
      <c r="B143" s="3602"/>
      <c r="C143" s="3602"/>
      <c r="D143" s="3602"/>
      <c r="E143" s="3602"/>
      <c r="F143" s="3602"/>
      <c r="G143" s="3602"/>
      <c r="H143" s="3602"/>
    </row>
    <row r="144" spans="1:8">
      <c r="A144" s="3607" t="s">
        <v>2057</v>
      </c>
      <c r="B144" s="3602"/>
      <c r="C144" s="3602"/>
      <c r="D144" s="3602"/>
      <c r="E144" s="3602"/>
      <c r="F144" s="3602"/>
      <c r="G144" s="3602"/>
      <c r="H144" s="3602"/>
    </row>
    <row r="145" spans="1:8">
      <c r="A145" s="3607" t="s">
        <v>2058</v>
      </c>
      <c r="B145" s="3602"/>
      <c r="C145" s="3602"/>
      <c r="D145" s="3602"/>
      <c r="E145" s="3602"/>
      <c r="F145" s="3602"/>
      <c r="G145" s="3602"/>
      <c r="H145" s="3602"/>
    </row>
    <row r="146" spans="1:8">
      <c r="A146" s="3607" t="s">
        <v>2059</v>
      </c>
      <c r="B146" s="3602"/>
      <c r="C146" s="3602"/>
      <c r="D146" s="3602"/>
      <c r="E146" s="3602"/>
      <c r="F146" s="3602"/>
      <c r="G146" s="3602"/>
      <c r="H146" s="3602"/>
    </row>
    <row r="147" spans="1:8">
      <c r="A147" s="3602"/>
      <c r="B147" s="3602"/>
      <c r="C147" s="3602"/>
      <c r="D147" s="3602"/>
      <c r="E147" s="3602"/>
      <c r="F147" s="3602"/>
      <c r="G147" s="3602"/>
      <c r="H147" s="3602"/>
    </row>
    <row r="148" spans="1:8">
      <c r="A148" s="3607" t="s">
        <v>2054</v>
      </c>
      <c r="B148" s="3602"/>
      <c r="C148" s="3602"/>
      <c r="D148" s="3602"/>
      <c r="E148" s="3602"/>
      <c r="F148" s="3602"/>
      <c r="G148" s="3602"/>
      <c r="H148" s="3602"/>
    </row>
    <row r="149" spans="1:8">
      <c r="A149" s="3607" t="s">
        <v>2055</v>
      </c>
      <c r="B149" s="3602"/>
      <c r="C149" s="3602"/>
      <c r="D149" s="3602"/>
      <c r="E149" s="3602"/>
      <c r="F149" s="3602"/>
      <c r="G149" s="3602"/>
      <c r="H149" s="3602"/>
    </row>
    <row r="150" spans="1:8">
      <c r="A150" s="3607" t="s">
        <v>2056</v>
      </c>
      <c r="B150" s="3602"/>
      <c r="C150" s="3602"/>
      <c r="D150" s="3602"/>
      <c r="E150" s="3602"/>
      <c r="F150" s="3602"/>
      <c r="G150" s="3602"/>
      <c r="H150" s="3602"/>
    </row>
    <row r="151" spans="1:8">
      <c r="A151" s="3602"/>
      <c r="B151" s="3602"/>
      <c r="C151" s="3602"/>
      <c r="D151" s="3602"/>
      <c r="E151" s="3602"/>
      <c r="F151" s="3602"/>
      <c r="G151" s="3602"/>
      <c r="H151" s="3602"/>
    </row>
    <row r="152" spans="1:8">
      <c r="A152" s="3607" t="s">
        <v>2052</v>
      </c>
      <c r="B152" s="3602"/>
      <c r="C152" s="3602"/>
      <c r="D152" s="3602"/>
      <c r="E152" s="3602"/>
      <c r="F152" s="3602"/>
      <c r="G152" s="3602"/>
      <c r="H152" s="3602"/>
    </row>
    <row r="153" spans="1:8">
      <c r="A153" s="3607" t="s">
        <v>2053</v>
      </c>
      <c r="B153" s="3602"/>
      <c r="C153" s="3602"/>
      <c r="D153" s="3602"/>
      <c r="E153" s="3602"/>
      <c r="F153" s="3602"/>
      <c r="G153" s="3602"/>
      <c r="H153" s="3602"/>
    </row>
    <row r="154" spans="1:8">
      <c r="A154" s="3602"/>
      <c r="B154" s="3602"/>
      <c r="C154" s="3602"/>
      <c r="D154" s="3602"/>
      <c r="E154" s="3602"/>
      <c r="F154" s="3602"/>
      <c r="G154" s="3602"/>
      <c r="H154" s="3602"/>
    </row>
    <row r="155" spans="1:8" ht="15.75">
      <c r="A155" s="3608" t="s">
        <v>1874</v>
      </c>
      <c r="B155" s="3602"/>
      <c r="C155" s="3602"/>
      <c r="D155" s="3602"/>
      <c r="E155" s="3602"/>
      <c r="F155" s="3602"/>
      <c r="G155" s="3602"/>
      <c r="H155" s="3602"/>
    </row>
    <row r="156" spans="1:8">
      <c r="A156" s="3602"/>
      <c r="B156" s="3602"/>
      <c r="C156" s="3602"/>
      <c r="D156" s="3602"/>
      <c r="E156" s="3602"/>
      <c r="F156" s="3602"/>
      <c r="G156" s="3602"/>
      <c r="H156" s="3602"/>
    </row>
    <row r="157" spans="1:8">
      <c r="A157" s="3607" t="s">
        <v>2050</v>
      </c>
      <c r="B157" s="3602"/>
      <c r="C157" s="3602"/>
      <c r="D157" s="3602"/>
      <c r="E157" s="3602"/>
      <c r="F157" s="3602"/>
      <c r="G157" s="3602"/>
      <c r="H157" s="3602"/>
    </row>
    <row r="158" spans="1:8">
      <c r="A158" s="3607" t="s">
        <v>2051</v>
      </c>
      <c r="B158" s="3602"/>
      <c r="C158" s="3602"/>
      <c r="D158" s="3602"/>
      <c r="E158" s="3602"/>
      <c r="F158" s="3602"/>
      <c r="G158" s="3602"/>
      <c r="H158" s="3602"/>
    </row>
    <row r="159" spans="1:8">
      <c r="A159" s="3602"/>
      <c r="B159" s="3602"/>
      <c r="C159" s="3602"/>
      <c r="D159" s="3602"/>
      <c r="E159" s="3602"/>
      <c r="F159" s="3602"/>
      <c r="G159" s="3602"/>
      <c r="H159" s="3602"/>
    </row>
    <row r="160" spans="1:8">
      <c r="A160" s="3607" t="s">
        <v>2048</v>
      </c>
      <c r="B160" s="3602"/>
      <c r="C160" s="3602"/>
      <c r="D160" s="3602"/>
      <c r="E160" s="3602"/>
      <c r="F160" s="3602"/>
      <c r="G160" s="3602"/>
      <c r="H160" s="3602"/>
    </row>
    <row r="161" spans="1:8">
      <c r="A161" s="3607" t="s">
        <v>2049</v>
      </c>
      <c r="B161" s="3602"/>
      <c r="C161" s="3602"/>
      <c r="D161" s="3602"/>
      <c r="E161" s="3602"/>
      <c r="F161" s="3602"/>
      <c r="G161" s="3602"/>
      <c r="H161" s="3602"/>
    </row>
    <row r="162" spans="1:8">
      <c r="A162" s="3602"/>
      <c r="B162" s="3602"/>
      <c r="C162" s="3602"/>
      <c r="D162" s="3602"/>
      <c r="E162" s="3602"/>
      <c r="F162" s="3602"/>
      <c r="G162" s="3602"/>
      <c r="H162" s="3602"/>
    </row>
    <row r="163" spans="1:8">
      <c r="A163" s="3607" t="s">
        <v>2046</v>
      </c>
      <c r="B163" s="3602"/>
      <c r="C163" s="3602"/>
      <c r="D163" s="3602"/>
      <c r="E163" s="3602"/>
      <c r="F163" s="3602"/>
      <c r="G163" s="3602"/>
      <c r="H163" s="3602"/>
    </row>
    <row r="164" spans="1:8">
      <c r="A164" s="3607" t="s">
        <v>2047</v>
      </c>
      <c r="B164" s="3602"/>
      <c r="C164" s="3602"/>
      <c r="D164" s="3602"/>
      <c r="E164" s="3602"/>
      <c r="F164" s="3602"/>
      <c r="G164" s="3602"/>
      <c r="H164" s="3602"/>
    </row>
    <row r="165" spans="1:8">
      <c r="A165" s="3602"/>
      <c r="B165" s="3602"/>
      <c r="C165" s="3602"/>
      <c r="D165" s="3602"/>
      <c r="E165" s="3602"/>
      <c r="F165" s="3602"/>
      <c r="G165" s="3602"/>
      <c r="H165" s="3602"/>
    </row>
    <row r="166" spans="1:8">
      <c r="A166" s="3607" t="s">
        <v>2043</v>
      </c>
      <c r="B166" s="3602"/>
      <c r="C166" s="3602"/>
      <c r="D166" s="3602"/>
      <c r="E166" s="3602"/>
      <c r="F166" s="3602"/>
      <c r="G166" s="3602"/>
      <c r="H166" s="3602"/>
    </row>
    <row r="167" spans="1:8">
      <c r="A167" s="3607" t="s">
        <v>2044</v>
      </c>
      <c r="B167" s="3602"/>
      <c r="C167" s="3602"/>
      <c r="D167" s="3602"/>
      <c r="E167" s="3602"/>
      <c r="F167" s="3602"/>
      <c r="G167" s="3602"/>
      <c r="H167" s="3602"/>
    </row>
    <row r="168" spans="1:8">
      <c r="A168" s="3607" t="s">
        <v>2045</v>
      </c>
      <c r="B168" s="3602"/>
      <c r="C168" s="3602"/>
      <c r="D168" s="3602"/>
      <c r="E168" s="3602"/>
      <c r="F168" s="3602"/>
      <c r="G168" s="3602"/>
      <c r="H168" s="3602"/>
    </row>
    <row r="169" spans="1:8">
      <c r="A169" s="3602"/>
      <c r="B169" s="3602"/>
      <c r="C169" s="3602"/>
      <c r="D169" s="3602"/>
      <c r="E169" s="3602"/>
      <c r="F169" s="3602"/>
      <c r="G169" s="3602"/>
      <c r="H169" s="3602"/>
    </row>
    <row r="170" spans="1:8">
      <c r="A170" s="3602"/>
      <c r="B170" s="3602"/>
      <c r="C170" s="3602"/>
      <c r="D170" s="3602"/>
      <c r="E170" s="3602"/>
      <c r="F170" s="3602"/>
      <c r="G170" s="3602"/>
      <c r="H170" s="3602"/>
    </row>
    <row r="171" spans="1:8">
      <c r="A171" s="3607" t="s">
        <v>1875</v>
      </c>
      <c r="B171" s="3602"/>
      <c r="C171" s="3602"/>
      <c r="D171" s="3602"/>
      <c r="E171" s="3602"/>
      <c r="F171" s="3602"/>
      <c r="G171" s="3602"/>
      <c r="H171" s="3602"/>
    </row>
    <row r="172" spans="1:8">
      <c r="A172" s="3602"/>
      <c r="B172" s="3602"/>
      <c r="C172" s="3602"/>
      <c r="D172" s="3602"/>
      <c r="E172" s="3602"/>
      <c r="F172" s="3602"/>
      <c r="G172" s="3602"/>
      <c r="H172" s="3602"/>
    </row>
    <row r="173" spans="1:8" ht="15.75">
      <c r="A173" s="3608" t="s">
        <v>1876</v>
      </c>
      <c r="B173" s="3602"/>
      <c r="C173" s="3602"/>
      <c r="D173" s="3602"/>
      <c r="E173" s="3602"/>
      <c r="F173" s="3602"/>
      <c r="G173" s="3602"/>
      <c r="H173" s="3602"/>
    </row>
    <row r="174" spans="1:8">
      <c r="A174" s="3602"/>
      <c r="B174" s="3602"/>
      <c r="C174" s="3602"/>
      <c r="D174" s="3602"/>
      <c r="E174" s="3602"/>
      <c r="F174" s="3602"/>
      <c r="G174" s="3602"/>
      <c r="H174" s="3602"/>
    </row>
    <row r="175" spans="1:8">
      <c r="A175" s="3602"/>
      <c r="B175" s="3602"/>
      <c r="C175" s="3602"/>
      <c r="D175" s="3602"/>
      <c r="E175" s="3602"/>
      <c r="F175" s="3602"/>
      <c r="G175" s="3602"/>
      <c r="H175" s="3602"/>
    </row>
    <row r="176" spans="1:8">
      <c r="A176" s="3602"/>
      <c r="B176" s="3602"/>
      <c r="C176" s="3602"/>
      <c r="D176" s="3602"/>
      <c r="E176" s="3602"/>
      <c r="F176" s="3602"/>
      <c r="G176" s="3602"/>
      <c r="H176" s="3602"/>
    </row>
    <row r="177" spans="1:8">
      <c r="A177" s="3602"/>
      <c r="B177" s="3602"/>
      <c r="C177" s="3602"/>
      <c r="D177" s="3602"/>
      <c r="E177" s="3602"/>
      <c r="F177" s="3602"/>
      <c r="G177" s="3602"/>
      <c r="H177" s="3602"/>
    </row>
    <row r="178" spans="1:8">
      <c r="A178" s="3602"/>
      <c r="B178" s="3602"/>
      <c r="C178" s="3602"/>
      <c r="D178" s="3602"/>
      <c r="E178" s="3602"/>
      <c r="F178" s="3602"/>
      <c r="G178" s="3602"/>
      <c r="H178" s="3602"/>
    </row>
    <row r="179" spans="1:8">
      <c r="A179" s="3602"/>
      <c r="B179" s="3602"/>
      <c r="C179" s="3602"/>
      <c r="D179" s="3602"/>
      <c r="E179" s="3602"/>
      <c r="F179" s="3602"/>
      <c r="G179" s="3602"/>
      <c r="H179" s="3602"/>
    </row>
    <row r="180" spans="1:8">
      <c r="A180" s="3602"/>
      <c r="B180" s="3602"/>
      <c r="C180" s="3602"/>
      <c r="D180" s="3602"/>
      <c r="E180" s="3602"/>
      <c r="F180" s="3602"/>
      <c r="G180" s="3602"/>
      <c r="H180" s="3602"/>
    </row>
    <row r="181" spans="1:8">
      <c r="A181" s="3602"/>
      <c r="B181" s="3602"/>
      <c r="C181" s="3602"/>
      <c r="D181" s="3602"/>
      <c r="E181" s="3602"/>
      <c r="F181" s="3602"/>
      <c r="G181" s="3602"/>
      <c r="H181" s="3602"/>
    </row>
    <row r="182" spans="1:8">
      <c r="A182" s="3602"/>
      <c r="B182" s="3602"/>
      <c r="C182" s="3602"/>
      <c r="D182" s="3602"/>
      <c r="E182" s="3602"/>
      <c r="F182" s="3602"/>
      <c r="G182" s="3602"/>
      <c r="H182" s="3602"/>
    </row>
    <row r="183" spans="1:8">
      <c r="A183" s="3602"/>
      <c r="B183" s="3602"/>
      <c r="C183" s="3602"/>
      <c r="D183" s="3602"/>
      <c r="E183" s="3602"/>
      <c r="F183" s="3602"/>
      <c r="G183" s="3602"/>
      <c r="H183" s="3602"/>
    </row>
    <row r="184" spans="1:8">
      <c r="A184" s="3602"/>
      <c r="B184" s="3602"/>
      <c r="C184" s="3602"/>
      <c r="D184" s="3602"/>
      <c r="E184" s="3602"/>
      <c r="F184" s="3602"/>
      <c r="G184" s="3602"/>
      <c r="H184" s="3602"/>
    </row>
    <row r="185" spans="1:8">
      <c r="A185" s="3602"/>
      <c r="B185" s="3602"/>
      <c r="C185" s="3602"/>
      <c r="D185" s="3602"/>
      <c r="E185" s="3602"/>
      <c r="F185" s="3602"/>
      <c r="G185" s="3602"/>
      <c r="H185" s="3602"/>
    </row>
    <row r="186" spans="1:8">
      <c r="A186" s="3602"/>
      <c r="B186" s="3602"/>
      <c r="C186" s="3602"/>
      <c r="D186" s="3602"/>
      <c r="E186" s="3602"/>
      <c r="F186" s="3602"/>
      <c r="G186" s="3602"/>
      <c r="H186" s="3602"/>
    </row>
    <row r="187" spans="1:8">
      <c r="A187" s="3602"/>
      <c r="B187" s="3602"/>
      <c r="C187" s="3602"/>
      <c r="D187" s="3602"/>
      <c r="E187" s="3602"/>
      <c r="F187" s="3602"/>
      <c r="G187" s="3602"/>
      <c r="H187" s="3602"/>
    </row>
    <row r="188" spans="1:8">
      <c r="A188" s="3602"/>
      <c r="B188" s="3602"/>
      <c r="C188" s="3602"/>
      <c r="D188" s="3602"/>
      <c r="E188" s="3602"/>
      <c r="F188" s="3602"/>
      <c r="G188" s="3602"/>
      <c r="H188" s="3602"/>
    </row>
    <row r="189" spans="1:8">
      <c r="A189" s="3602"/>
      <c r="B189" s="3602"/>
      <c r="C189" s="3602"/>
      <c r="D189" s="3602"/>
      <c r="E189" s="3602"/>
      <c r="F189" s="3602"/>
      <c r="G189" s="3602"/>
      <c r="H189" s="3602"/>
    </row>
    <row r="190" spans="1:8">
      <c r="A190" s="3602"/>
      <c r="B190" s="3602"/>
      <c r="C190" s="3602"/>
      <c r="D190" s="3602"/>
      <c r="E190" s="3602"/>
      <c r="F190" s="3602"/>
      <c r="G190" s="3602"/>
      <c r="H190" s="3602"/>
    </row>
    <row r="191" spans="1:8">
      <c r="A191" s="3602"/>
      <c r="B191" s="3602"/>
      <c r="C191" s="3602"/>
      <c r="D191" s="3602"/>
      <c r="E191" s="3602"/>
      <c r="F191" s="3602"/>
      <c r="G191" s="3602"/>
      <c r="H191" s="3602"/>
    </row>
    <row r="192" spans="1:8">
      <c r="A192" s="3602"/>
      <c r="B192" s="3602"/>
      <c r="C192" s="3602"/>
      <c r="D192" s="3602"/>
      <c r="E192" s="3602"/>
      <c r="F192" s="3602"/>
      <c r="G192" s="3602"/>
      <c r="H192" s="3602"/>
    </row>
    <row r="193" spans="1:8">
      <c r="A193" s="3602"/>
      <c r="B193" s="3602"/>
      <c r="C193" s="3602"/>
      <c r="D193" s="3602"/>
      <c r="E193" s="3602"/>
      <c r="F193" s="3602"/>
      <c r="G193" s="3602"/>
      <c r="H193" s="3602"/>
    </row>
    <row r="194" spans="1:8">
      <c r="A194" s="3602"/>
      <c r="B194" s="3602"/>
      <c r="C194" s="3602"/>
      <c r="D194" s="3602"/>
      <c r="E194" s="3602"/>
      <c r="F194" s="3602"/>
      <c r="G194" s="3602"/>
      <c r="H194" s="3602"/>
    </row>
    <row r="195" spans="1:8">
      <c r="A195" s="3602"/>
      <c r="B195" s="3602"/>
      <c r="C195" s="3602"/>
      <c r="D195" s="3602"/>
      <c r="E195" s="3602"/>
      <c r="F195" s="3602"/>
      <c r="G195" s="3602"/>
      <c r="H195" s="3602"/>
    </row>
    <row r="196" spans="1:8">
      <c r="A196" s="3602"/>
      <c r="B196" s="3602"/>
      <c r="C196" s="3602"/>
      <c r="D196" s="3602"/>
      <c r="E196" s="3602"/>
      <c r="F196" s="3602"/>
      <c r="G196" s="3602"/>
      <c r="H196" s="3602"/>
    </row>
    <row r="197" spans="1:8">
      <c r="A197" s="3602"/>
      <c r="B197" s="3602"/>
      <c r="C197" s="3602"/>
      <c r="D197" s="3602"/>
      <c r="E197" s="3602"/>
      <c r="F197" s="3602"/>
      <c r="G197" s="3602"/>
      <c r="H197" s="3602"/>
    </row>
    <row r="198" spans="1:8">
      <c r="A198" s="3602"/>
      <c r="B198" s="3602"/>
      <c r="C198" s="3602"/>
      <c r="D198" s="3602"/>
      <c r="E198" s="3602"/>
      <c r="F198" s="3602"/>
      <c r="G198" s="3602"/>
      <c r="H198" s="3602"/>
    </row>
    <row r="199" spans="1:8">
      <c r="A199" s="3602"/>
      <c r="B199" s="3602"/>
      <c r="C199" s="3602"/>
      <c r="D199" s="3602"/>
      <c r="E199" s="3602"/>
      <c r="F199" s="3602"/>
      <c r="G199" s="3602"/>
      <c r="H199" s="3602"/>
    </row>
    <row r="200" spans="1:8" ht="15.75">
      <c r="A200" s="3608" t="s">
        <v>1877</v>
      </c>
      <c r="B200" s="3602"/>
      <c r="C200" s="3602"/>
      <c r="D200" s="3602"/>
      <c r="E200" s="3602"/>
      <c r="F200" s="3602"/>
      <c r="G200" s="3602"/>
      <c r="H200" s="3602"/>
    </row>
    <row r="201" spans="1:8">
      <c r="A201" s="3602"/>
      <c r="B201" s="3602"/>
      <c r="C201" s="3602"/>
      <c r="D201" s="3602"/>
      <c r="E201" s="3602"/>
      <c r="F201" s="3602"/>
      <c r="G201" s="3602"/>
      <c r="H201" s="3602"/>
    </row>
    <row r="202" spans="1:8">
      <c r="A202" s="3607" t="s">
        <v>2038</v>
      </c>
      <c r="B202" s="3602"/>
      <c r="C202" s="3602"/>
      <c r="D202" s="3602"/>
      <c r="E202" s="3602"/>
      <c r="F202" s="3602"/>
      <c r="G202" s="3602"/>
      <c r="H202" s="3602"/>
    </row>
    <row r="203" spans="1:8">
      <c r="A203" s="3607" t="s">
        <v>2039</v>
      </c>
      <c r="B203" s="3602"/>
      <c r="C203" s="3602"/>
      <c r="D203" s="3602"/>
      <c r="E203" s="3602"/>
      <c r="F203" s="3602"/>
      <c r="G203" s="3602"/>
      <c r="H203" s="3602"/>
    </row>
    <row r="204" spans="1:8">
      <c r="A204" s="3607" t="s">
        <v>2040</v>
      </c>
      <c r="B204" s="3602"/>
      <c r="C204" s="3602"/>
      <c r="D204" s="3602"/>
      <c r="E204" s="3602"/>
      <c r="F204" s="3602"/>
      <c r="G204" s="3602"/>
      <c r="H204" s="3602"/>
    </row>
    <row r="205" spans="1:8">
      <c r="A205" s="3607" t="s">
        <v>2041</v>
      </c>
      <c r="B205" s="3602"/>
      <c r="C205" s="3602"/>
      <c r="D205" s="3602"/>
      <c r="E205" s="3602"/>
      <c r="F205" s="3602"/>
      <c r="G205" s="3602"/>
      <c r="H205" s="3602"/>
    </row>
    <row r="206" spans="1:8">
      <c r="A206" s="3607" t="s">
        <v>2042</v>
      </c>
      <c r="B206" s="3602"/>
      <c r="C206" s="3602"/>
      <c r="D206" s="3602"/>
      <c r="E206" s="3602"/>
      <c r="F206" s="3602"/>
      <c r="G206" s="3602"/>
      <c r="H206" s="3602"/>
    </row>
    <row r="207" spans="1:8">
      <c r="A207" s="3602"/>
      <c r="B207" s="3602"/>
      <c r="C207" s="3602"/>
      <c r="D207" s="3602"/>
      <c r="E207" s="3602"/>
      <c r="F207" s="3602"/>
      <c r="G207" s="3602"/>
      <c r="H207" s="3602"/>
    </row>
    <row r="208" spans="1:8">
      <c r="A208" s="3607" t="s">
        <v>2035</v>
      </c>
      <c r="B208" s="3602"/>
      <c r="C208" s="3602"/>
      <c r="D208" s="3602"/>
      <c r="E208" s="3602"/>
      <c r="F208" s="3602"/>
      <c r="G208" s="3602"/>
      <c r="H208" s="3602"/>
    </row>
    <row r="209" spans="1:8">
      <c r="A209" s="3607" t="s">
        <v>2036</v>
      </c>
      <c r="B209" s="3602"/>
      <c r="C209" s="3602"/>
      <c r="D209" s="3602"/>
      <c r="E209" s="3602"/>
      <c r="F209" s="3602"/>
      <c r="G209" s="3602"/>
      <c r="H209" s="3602"/>
    </row>
    <row r="210" spans="1:8">
      <c r="A210" s="3607" t="s">
        <v>2037</v>
      </c>
      <c r="B210" s="3602"/>
      <c r="C210" s="3602"/>
      <c r="D210" s="3602"/>
      <c r="E210" s="3602"/>
      <c r="F210" s="3602"/>
      <c r="G210" s="3602"/>
      <c r="H210" s="3602"/>
    </row>
    <row r="211" spans="1:8" ht="15.75">
      <c r="A211" s="3608" t="s">
        <v>1878</v>
      </c>
      <c r="B211" s="3602"/>
      <c r="C211" s="3602"/>
      <c r="D211" s="3602"/>
      <c r="E211" s="3602"/>
      <c r="F211" s="3602"/>
      <c r="G211" s="3602"/>
      <c r="H211" s="3602"/>
    </row>
    <row r="212" spans="1:8">
      <c r="A212" s="3602"/>
      <c r="B212" s="3602"/>
      <c r="C212" s="3602"/>
      <c r="D212" s="3602"/>
      <c r="E212" s="3602"/>
      <c r="F212" s="3602"/>
      <c r="G212" s="3602"/>
      <c r="H212" s="3602"/>
    </row>
    <row r="213" spans="1:8">
      <c r="A213" s="3607" t="s">
        <v>2033</v>
      </c>
      <c r="B213" s="3602"/>
      <c r="C213" s="3602"/>
      <c r="D213" s="3602"/>
      <c r="E213" s="3602"/>
      <c r="F213" s="3602"/>
      <c r="G213" s="3602"/>
      <c r="H213" s="3602"/>
    </row>
    <row r="214" spans="1:8">
      <c r="A214" s="3607" t="s">
        <v>2034</v>
      </c>
      <c r="B214" s="3602"/>
      <c r="C214" s="3602"/>
      <c r="D214" s="3602"/>
      <c r="E214" s="3602"/>
      <c r="F214" s="3602"/>
      <c r="G214" s="3602"/>
      <c r="H214" s="3602"/>
    </row>
    <row r="215" spans="1:8">
      <c r="A215" s="3602"/>
      <c r="B215" s="3602"/>
      <c r="C215" s="3602"/>
      <c r="D215" s="3602"/>
      <c r="E215" s="3602"/>
      <c r="F215" s="3602"/>
      <c r="G215" s="3602"/>
      <c r="H215" s="3602"/>
    </row>
    <row r="216" spans="1:8">
      <c r="A216" s="3607" t="s">
        <v>2026</v>
      </c>
      <c r="B216" s="3602"/>
      <c r="C216" s="3602"/>
      <c r="D216" s="3602"/>
      <c r="E216" s="3602"/>
      <c r="F216" s="3602"/>
      <c r="G216" s="3602"/>
      <c r="H216" s="3602"/>
    </row>
    <row r="217" spans="1:8">
      <c r="A217" s="3607" t="s">
        <v>2027</v>
      </c>
      <c r="B217" s="3602"/>
      <c r="C217" s="3602"/>
      <c r="D217" s="3602"/>
      <c r="E217" s="3602"/>
      <c r="F217" s="3602"/>
      <c r="G217" s="3602"/>
      <c r="H217" s="3602"/>
    </row>
    <row r="218" spans="1:8">
      <c r="A218" s="3607" t="s">
        <v>2028</v>
      </c>
      <c r="B218" s="3602"/>
      <c r="C218" s="3602"/>
      <c r="D218" s="3602"/>
      <c r="E218" s="3602"/>
      <c r="F218" s="3602"/>
      <c r="G218" s="3602"/>
      <c r="H218" s="3602"/>
    </row>
    <row r="219" spans="1:8">
      <c r="A219" s="3607" t="s">
        <v>2029</v>
      </c>
      <c r="B219" s="3602"/>
      <c r="C219" s="3602"/>
      <c r="D219" s="3602"/>
      <c r="E219" s="3602"/>
      <c r="F219" s="3602"/>
      <c r="G219" s="3602"/>
      <c r="H219" s="3602"/>
    </row>
    <row r="220" spans="1:8">
      <c r="A220" s="3607" t="s">
        <v>2030</v>
      </c>
      <c r="B220" s="3602"/>
      <c r="C220" s="3602"/>
      <c r="D220" s="3602"/>
      <c r="E220" s="3602"/>
      <c r="F220" s="3602"/>
      <c r="G220" s="3602"/>
      <c r="H220" s="3602"/>
    </row>
    <row r="221" spans="1:8">
      <c r="A221" s="3607" t="s">
        <v>2031</v>
      </c>
      <c r="B221" s="3602"/>
      <c r="C221" s="3602"/>
      <c r="D221" s="3602"/>
      <c r="E221" s="3602"/>
      <c r="F221" s="3602"/>
      <c r="G221" s="3602"/>
      <c r="H221" s="3602"/>
    </row>
    <row r="222" spans="1:8">
      <c r="A222" s="3607" t="s">
        <v>2032</v>
      </c>
      <c r="B222" s="3602"/>
      <c r="C222" s="3602"/>
      <c r="D222" s="3602"/>
      <c r="E222" s="3602"/>
      <c r="F222" s="3602"/>
      <c r="G222" s="3602"/>
      <c r="H222" s="3602"/>
    </row>
    <row r="223" spans="1:8">
      <c r="A223" s="3602"/>
      <c r="B223" s="3602"/>
      <c r="C223" s="3602"/>
      <c r="D223" s="3602"/>
      <c r="E223" s="3602"/>
      <c r="F223" s="3602"/>
      <c r="G223" s="3602"/>
      <c r="H223" s="3602"/>
    </row>
    <row r="224" spans="1:8">
      <c r="A224" s="3607" t="s">
        <v>2023</v>
      </c>
      <c r="B224" s="3602"/>
      <c r="C224" s="3602"/>
      <c r="D224" s="3602"/>
      <c r="E224" s="3602"/>
      <c r="F224" s="3602"/>
      <c r="G224" s="3602"/>
      <c r="H224" s="3602"/>
    </row>
    <row r="225" spans="1:8">
      <c r="A225" s="3607" t="s">
        <v>2024</v>
      </c>
      <c r="B225" s="3602"/>
      <c r="C225" s="3602"/>
      <c r="D225" s="3602"/>
      <c r="E225" s="3602"/>
      <c r="F225" s="3602"/>
      <c r="G225" s="3602"/>
      <c r="H225" s="3602"/>
    </row>
    <row r="226" spans="1:8">
      <c r="A226" s="3607" t="s">
        <v>2025</v>
      </c>
      <c r="B226" s="3602"/>
      <c r="C226" s="3602"/>
      <c r="D226" s="3602"/>
      <c r="E226" s="3602"/>
      <c r="F226" s="3602"/>
      <c r="G226" s="3602"/>
      <c r="H226" s="3602"/>
    </row>
    <row r="227" spans="1:8">
      <c r="A227" s="3602"/>
      <c r="B227" s="3602"/>
      <c r="C227" s="3602"/>
      <c r="D227" s="3602"/>
      <c r="E227" s="3602"/>
      <c r="F227" s="3602"/>
      <c r="G227" s="3602"/>
      <c r="H227" s="3602"/>
    </row>
    <row r="228" spans="1:8">
      <c r="A228" s="3607" t="s">
        <v>2018</v>
      </c>
      <c r="B228" s="3602"/>
      <c r="C228" s="3602"/>
      <c r="D228" s="3602"/>
      <c r="E228" s="3602"/>
      <c r="F228" s="3602"/>
      <c r="G228" s="3602"/>
      <c r="H228" s="3602"/>
    </row>
    <row r="229" spans="1:8">
      <c r="A229" s="3607" t="s">
        <v>2019</v>
      </c>
      <c r="B229" s="3602"/>
      <c r="C229" s="3602"/>
      <c r="D229" s="3602"/>
      <c r="E229" s="3602"/>
      <c r="F229" s="3602"/>
      <c r="G229" s="3602"/>
      <c r="H229" s="3602"/>
    </row>
    <row r="230" spans="1:8">
      <c r="A230" s="3607" t="s">
        <v>2020</v>
      </c>
      <c r="B230" s="3602"/>
      <c r="C230" s="3602"/>
      <c r="D230" s="3602"/>
      <c r="E230" s="3602"/>
      <c r="F230" s="3602"/>
      <c r="G230" s="3602"/>
      <c r="H230" s="3602"/>
    </row>
    <row r="231" spans="1:8">
      <c r="A231" s="3607" t="s">
        <v>2021</v>
      </c>
      <c r="B231" s="3602"/>
      <c r="C231" s="3602"/>
      <c r="D231" s="3602"/>
      <c r="E231" s="3602"/>
      <c r="F231" s="3602"/>
      <c r="G231" s="3602"/>
      <c r="H231" s="3602"/>
    </row>
    <row r="232" spans="1:8">
      <c r="A232" s="3607" t="s">
        <v>2022</v>
      </c>
      <c r="B232" s="3602"/>
      <c r="C232" s="3602"/>
      <c r="D232" s="3602"/>
      <c r="E232" s="3602"/>
      <c r="F232" s="3602"/>
      <c r="G232" s="3602"/>
      <c r="H232" s="3602"/>
    </row>
    <row r="233" spans="1:8">
      <c r="A233" s="3602"/>
      <c r="B233" s="3602"/>
      <c r="C233" s="3602"/>
      <c r="D233" s="3602"/>
      <c r="E233" s="3602"/>
      <c r="F233" s="3602"/>
      <c r="G233" s="3602"/>
      <c r="H233" s="3602"/>
    </row>
    <row r="234" spans="1:8">
      <c r="A234" s="3607" t="s">
        <v>2012</v>
      </c>
      <c r="B234" s="3602"/>
      <c r="C234" s="3602"/>
      <c r="D234" s="3602"/>
      <c r="E234" s="3602"/>
      <c r="F234" s="3602"/>
      <c r="G234" s="3602"/>
      <c r="H234" s="3602"/>
    </row>
    <row r="235" spans="1:8">
      <c r="A235" s="3607" t="s">
        <v>2013</v>
      </c>
      <c r="B235" s="3602"/>
      <c r="C235" s="3602"/>
      <c r="D235" s="3602"/>
      <c r="E235" s="3602"/>
      <c r="F235" s="3602"/>
      <c r="G235" s="3602"/>
      <c r="H235" s="3602"/>
    </row>
    <row r="236" spans="1:8">
      <c r="A236" s="3607" t="s">
        <v>2014</v>
      </c>
      <c r="B236" s="3602"/>
      <c r="C236" s="3602"/>
      <c r="D236" s="3602"/>
      <c r="E236" s="3602"/>
      <c r="F236" s="3602"/>
      <c r="G236" s="3602"/>
      <c r="H236" s="3602"/>
    </row>
    <row r="237" spans="1:8">
      <c r="A237" s="3607" t="s">
        <v>2015</v>
      </c>
      <c r="B237" s="3602"/>
      <c r="C237" s="3602"/>
      <c r="D237" s="3602"/>
      <c r="E237" s="3602"/>
      <c r="F237" s="3602"/>
      <c r="G237" s="3602"/>
      <c r="H237" s="3602"/>
    </row>
    <row r="238" spans="1:8">
      <c r="A238" s="3607" t="s">
        <v>2016</v>
      </c>
      <c r="B238" s="3602"/>
      <c r="C238" s="3602"/>
      <c r="D238" s="3602"/>
      <c r="E238" s="3602"/>
      <c r="F238" s="3602"/>
      <c r="G238" s="3602"/>
      <c r="H238" s="3602"/>
    </row>
    <row r="239" spans="1:8">
      <c r="A239" s="3607" t="s">
        <v>2017</v>
      </c>
      <c r="B239" s="3602"/>
      <c r="C239" s="3602"/>
      <c r="D239" s="3602"/>
      <c r="E239" s="3602"/>
      <c r="F239" s="3602"/>
      <c r="G239" s="3602"/>
      <c r="H239" s="3602"/>
    </row>
    <row r="240" spans="1:8">
      <c r="A240" s="3602"/>
      <c r="B240" s="3602"/>
      <c r="C240" s="3602"/>
      <c r="D240" s="3602"/>
      <c r="E240" s="3602"/>
      <c r="F240" s="3602"/>
      <c r="G240" s="3602"/>
      <c r="H240" s="3602"/>
    </row>
    <row r="241" spans="1:8">
      <c r="A241" s="3607" t="s">
        <v>2002</v>
      </c>
      <c r="B241" s="3602"/>
      <c r="C241" s="3602"/>
      <c r="D241" s="3602"/>
      <c r="E241" s="3602"/>
      <c r="F241" s="3602"/>
      <c r="G241" s="3602"/>
      <c r="H241" s="3602"/>
    </row>
    <row r="242" spans="1:8">
      <c r="A242" s="3607" t="s">
        <v>2003</v>
      </c>
      <c r="B242" s="3602"/>
      <c r="C242" s="3602"/>
      <c r="D242" s="3602"/>
      <c r="E242" s="3602"/>
      <c r="F242" s="3602"/>
      <c r="G242" s="3602"/>
      <c r="H242" s="3602"/>
    </row>
    <row r="243" spans="1:8">
      <c r="A243" s="3607" t="s">
        <v>2004</v>
      </c>
      <c r="B243" s="3602"/>
      <c r="C243" s="3602"/>
      <c r="D243" s="3602"/>
      <c r="E243" s="3602"/>
      <c r="F243" s="3602"/>
      <c r="G243" s="3602"/>
      <c r="H243" s="3602"/>
    </row>
    <row r="244" spans="1:8">
      <c r="A244" s="3607" t="s">
        <v>2005</v>
      </c>
      <c r="B244" s="3602"/>
      <c r="C244" s="3602"/>
      <c r="D244" s="3602"/>
      <c r="E244" s="3602"/>
      <c r="F244" s="3602"/>
      <c r="G244" s="3602"/>
      <c r="H244" s="3602"/>
    </row>
    <row r="245" spans="1:8">
      <c r="A245" s="3607" t="s">
        <v>2006</v>
      </c>
      <c r="B245" s="3602"/>
      <c r="C245" s="3602"/>
      <c r="D245" s="3602"/>
      <c r="E245" s="3602"/>
      <c r="F245" s="3602"/>
      <c r="G245" s="3602"/>
      <c r="H245" s="3602"/>
    </row>
    <row r="246" spans="1:8">
      <c r="A246" s="3607" t="s">
        <v>2007</v>
      </c>
      <c r="B246" s="3602"/>
      <c r="C246" s="3602"/>
      <c r="D246" s="3602"/>
      <c r="E246" s="3602"/>
      <c r="F246" s="3602"/>
      <c r="G246" s="3602"/>
      <c r="H246" s="3602"/>
    </row>
    <row r="247" spans="1:8">
      <c r="A247" s="3607" t="s">
        <v>2008</v>
      </c>
      <c r="B247" s="3602"/>
      <c r="C247" s="3602"/>
      <c r="D247" s="3602"/>
      <c r="E247" s="3602"/>
      <c r="F247" s="3602"/>
      <c r="G247" s="3602"/>
      <c r="H247" s="3602"/>
    </row>
    <row r="248" spans="1:8">
      <c r="A248" s="3607" t="s">
        <v>2009</v>
      </c>
      <c r="B248" s="3602"/>
      <c r="C248" s="3602"/>
      <c r="D248" s="3602"/>
      <c r="E248" s="3602"/>
      <c r="F248" s="3602"/>
      <c r="G248" s="3602"/>
      <c r="H248" s="3602"/>
    </row>
    <row r="249" spans="1:8">
      <c r="A249" s="3607" t="s">
        <v>2010</v>
      </c>
      <c r="B249" s="3602"/>
      <c r="C249" s="3602"/>
      <c r="D249" s="3602"/>
      <c r="E249" s="3602"/>
      <c r="F249" s="3602"/>
      <c r="G249" s="3602"/>
      <c r="H249" s="3602"/>
    </row>
    <row r="250" spans="1:8">
      <c r="A250" s="3607" t="s">
        <v>2011</v>
      </c>
      <c r="B250" s="3602"/>
      <c r="C250" s="3602"/>
      <c r="D250" s="3602"/>
      <c r="E250" s="3602"/>
      <c r="F250" s="3602"/>
      <c r="G250" s="3602"/>
      <c r="H250" s="3602"/>
    </row>
    <row r="251" spans="1:8">
      <c r="A251" s="3602"/>
      <c r="B251" s="3602"/>
      <c r="C251" s="3602"/>
      <c r="D251" s="3602"/>
      <c r="E251" s="3602"/>
      <c r="F251" s="3602"/>
      <c r="G251" s="3602"/>
      <c r="H251" s="3602"/>
    </row>
    <row r="252" spans="1:8">
      <c r="A252" s="3607" t="s">
        <v>2000</v>
      </c>
      <c r="B252" s="3602"/>
      <c r="C252" s="3602"/>
      <c r="D252" s="3602"/>
      <c r="E252" s="3602"/>
      <c r="F252" s="3602"/>
      <c r="G252" s="3602"/>
      <c r="H252" s="3602"/>
    </row>
    <row r="253" spans="1:8">
      <c r="A253" s="3607" t="s">
        <v>2001</v>
      </c>
      <c r="B253" s="3602"/>
      <c r="C253" s="3602"/>
      <c r="D253" s="3602"/>
      <c r="E253" s="3602"/>
      <c r="F253" s="3602"/>
      <c r="G253" s="3602"/>
      <c r="H253" s="3602"/>
    </row>
    <row r="254" spans="1:8">
      <c r="A254" s="3602"/>
      <c r="B254" s="3602"/>
      <c r="C254" s="3602"/>
      <c r="D254" s="3602"/>
      <c r="E254" s="3602"/>
      <c r="F254" s="3602"/>
      <c r="G254" s="3602"/>
      <c r="H254" s="3602"/>
    </row>
    <row r="255" spans="1:8">
      <c r="A255" s="3607" t="s">
        <v>1984</v>
      </c>
      <c r="B255" s="3602"/>
      <c r="C255" s="3602"/>
      <c r="D255" s="3602"/>
      <c r="E255" s="3602"/>
      <c r="F255" s="3602"/>
      <c r="G255" s="3602"/>
      <c r="H255" s="3602"/>
    </row>
    <row r="256" spans="1:8">
      <c r="A256" s="3607" t="s">
        <v>1985</v>
      </c>
      <c r="B256" s="3602"/>
      <c r="C256" s="3602"/>
      <c r="D256" s="3602"/>
      <c r="E256" s="3602"/>
      <c r="F256" s="3602"/>
      <c r="G256" s="3602"/>
      <c r="H256" s="3602"/>
    </row>
    <row r="257" spans="1:8">
      <c r="A257" s="3607" t="s">
        <v>1986</v>
      </c>
      <c r="B257" s="3602"/>
      <c r="C257" s="3602"/>
      <c r="D257" s="3602"/>
      <c r="E257" s="3602"/>
      <c r="F257" s="3602"/>
      <c r="G257" s="3602"/>
      <c r="H257" s="3602"/>
    </row>
    <row r="258" spans="1:8">
      <c r="A258" s="3607" t="s">
        <v>1987</v>
      </c>
      <c r="B258" s="3602"/>
      <c r="C258" s="3602"/>
      <c r="D258" s="3602"/>
      <c r="E258" s="3602"/>
      <c r="F258" s="3602"/>
      <c r="G258" s="3602"/>
      <c r="H258" s="3602"/>
    </row>
    <row r="259" spans="1:8">
      <c r="A259" s="3607" t="s">
        <v>1988</v>
      </c>
      <c r="B259" s="3602"/>
      <c r="C259" s="3602"/>
      <c r="D259" s="3602"/>
      <c r="E259" s="3602"/>
      <c r="F259" s="3602"/>
      <c r="G259" s="3602"/>
      <c r="H259" s="3602"/>
    </row>
    <row r="260" spans="1:8">
      <c r="A260" s="3607" t="s">
        <v>1989</v>
      </c>
      <c r="B260" s="3602"/>
      <c r="C260" s="3602"/>
      <c r="D260" s="3602"/>
      <c r="E260" s="3602"/>
      <c r="F260" s="3602"/>
      <c r="G260" s="3602"/>
      <c r="H260" s="3602"/>
    </row>
    <row r="261" spans="1:8">
      <c r="A261" s="3607" t="s">
        <v>1990</v>
      </c>
      <c r="B261" s="3602"/>
      <c r="C261" s="3602"/>
      <c r="D261" s="3602"/>
      <c r="E261" s="3602"/>
      <c r="F261" s="3602"/>
      <c r="G261" s="3602"/>
      <c r="H261" s="3602"/>
    </row>
    <row r="262" spans="1:8">
      <c r="A262" s="3607" t="s">
        <v>1991</v>
      </c>
      <c r="B262" s="3602"/>
      <c r="C262" s="3602"/>
      <c r="D262" s="3602"/>
      <c r="E262" s="3602"/>
      <c r="F262" s="3602"/>
      <c r="G262" s="3602"/>
      <c r="H262" s="3602"/>
    </row>
    <row r="263" spans="1:8">
      <c r="A263" s="3607" t="s">
        <v>1992</v>
      </c>
      <c r="B263" s="3602"/>
      <c r="C263" s="3602"/>
      <c r="D263" s="3602"/>
      <c r="E263" s="3602"/>
      <c r="F263" s="3602"/>
      <c r="G263" s="3602"/>
      <c r="H263" s="3602"/>
    </row>
    <row r="264" spans="1:8">
      <c r="A264" s="3607" t="s">
        <v>1993</v>
      </c>
      <c r="B264" s="3602"/>
      <c r="C264" s="3602"/>
      <c r="D264" s="3602"/>
      <c r="E264" s="3602"/>
      <c r="F264" s="3602"/>
      <c r="G264" s="3602"/>
      <c r="H264" s="3602"/>
    </row>
    <row r="265" spans="1:8">
      <c r="A265" s="3607" t="s">
        <v>1994</v>
      </c>
      <c r="B265" s="3602"/>
      <c r="C265" s="3602"/>
      <c r="D265" s="3602"/>
      <c r="E265" s="3602"/>
      <c r="F265" s="3602"/>
      <c r="G265" s="3602"/>
      <c r="H265" s="3602"/>
    </row>
    <row r="266" spans="1:8">
      <c r="A266" s="3607" t="s">
        <v>1995</v>
      </c>
      <c r="B266" s="3602"/>
      <c r="C266" s="3602"/>
      <c r="D266" s="3602"/>
      <c r="E266" s="3602"/>
      <c r="F266" s="3602"/>
      <c r="G266" s="3602"/>
      <c r="H266" s="3602"/>
    </row>
    <row r="267" spans="1:8">
      <c r="A267" s="3607" t="s">
        <v>1996</v>
      </c>
      <c r="B267" s="3602"/>
      <c r="C267" s="3602"/>
      <c r="D267" s="3602"/>
      <c r="E267" s="3602"/>
      <c r="F267" s="3602"/>
      <c r="G267" s="3602"/>
      <c r="H267" s="3602"/>
    </row>
    <row r="268" spans="1:8">
      <c r="A268" s="3607" t="s">
        <v>1997</v>
      </c>
      <c r="B268" s="3602"/>
      <c r="C268" s="3602"/>
      <c r="D268" s="3602"/>
      <c r="E268" s="3602"/>
      <c r="F268" s="3602"/>
      <c r="G268" s="3602"/>
      <c r="H268" s="3602"/>
    </row>
    <row r="269" spans="1:8">
      <c r="A269" s="3607" t="s">
        <v>1998</v>
      </c>
      <c r="B269" s="3602"/>
      <c r="C269" s="3602"/>
      <c r="D269" s="3602"/>
      <c r="E269" s="3602"/>
      <c r="F269" s="3602"/>
      <c r="G269" s="3602"/>
      <c r="H269" s="3602"/>
    </row>
    <row r="270" spans="1:8">
      <c r="A270" s="3607" t="s">
        <v>1999</v>
      </c>
      <c r="B270" s="3602"/>
      <c r="C270" s="3602"/>
      <c r="D270" s="3602"/>
      <c r="E270" s="3602"/>
      <c r="F270" s="3602"/>
      <c r="G270" s="3602"/>
      <c r="H270" s="3602"/>
    </row>
    <row r="271" spans="1:8">
      <c r="A271" s="3602"/>
      <c r="B271" s="3602"/>
      <c r="C271" s="3602"/>
      <c r="D271" s="3602"/>
      <c r="E271" s="3602"/>
      <c r="F271" s="3602"/>
      <c r="G271" s="3602"/>
      <c r="H271" s="3602"/>
    </row>
    <row r="272" spans="1:8">
      <c r="A272" s="3607" t="s">
        <v>1977</v>
      </c>
      <c r="B272" s="3602"/>
      <c r="C272" s="3602"/>
      <c r="D272" s="3602"/>
      <c r="E272" s="3602"/>
      <c r="F272" s="3602"/>
      <c r="G272" s="3602"/>
      <c r="H272" s="3602"/>
    </row>
    <row r="273" spans="1:8">
      <c r="A273" s="3607" t="s">
        <v>1978</v>
      </c>
      <c r="B273" s="3602"/>
      <c r="C273" s="3602"/>
      <c r="D273" s="3602"/>
      <c r="E273" s="3602"/>
      <c r="F273" s="3602"/>
      <c r="G273" s="3602"/>
      <c r="H273" s="3602"/>
    </row>
    <row r="274" spans="1:8">
      <c r="A274" s="3607" t="s">
        <v>1979</v>
      </c>
      <c r="B274" s="3602"/>
      <c r="C274" s="3602"/>
      <c r="D274" s="3602"/>
      <c r="E274" s="3602"/>
      <c r="F274" s="3602"/>
      <c r="G274" s="3602"/>
      <c r="H274" s="3602"/>
    </row>
    <row r="275" spans="1:8">
      <c r="A275" s="3607" t="s">
        <v>1980</v>
      </c>
      <c r="B275" s="3602"/>
      <c r="C275" s="3602"/>
      <c r="D275" s="3602"/>
      <c r="E275" s="3602"/>
      <c r="F275" s="3602"/>
      <c r="G275" s="3602"/>
      <c r="H275" s="3602"/>
    </row>
    <row r="276" spans="1:8">
      <c r="A276" s="3607" t="s">
        <v>1981</v>
      </c>
      <c r="B276" s="3602"/>
      <c r="C276" s="3602"/>
      <c r="D276" s="3602"/>
      <c r="E276" s="3602"/>
      <c r="F276" s="3602"/>
      <c r="G276" s="3602"/>
      <c r="H276" s="3602"/>
    </row>
    <row r="277" spans="1:8">
      <c r="A277" s="3607" t="s">
        <v>1982</v>
      </c>
      <c r="B277" s="3602"/>
      <c r="C277" s="3602"/>
      <c r="D277" s="3602"/>
      <c r="E277" s="3602"/>
      <c r="F277" s="3602"/>
      <c r="G277" s="3602"/>
      <c r="H277" s="3602"/>
    </row>
    <row r="278" spans="1:8">
      <c r="A278" s="3607" t="s">
        <v>1983</v>
      </c>
      <c r="B278" s="3602"/>
      <c r="C278" s="3602"/>
      <c r="D278" s="3602"/>
      <c r="E278" s="3602"/>
      <c r="F278" s="3602"/>
      <c r="G278" s="3602"/>
      <c r="H278" s="3602"/>
    </row>
    <row r="279" spans="1:8">
      <c r="A279" s="3602"/>
      <c r="B279" s="3602"/>
      <c r="C279" s="3602"/>
      <c r="D279" s="3602"/>
      <c r="E279" s="3602"/>
      <c r="F279" s="3602"/>
      <c r="G279" s="3602"/>
      <c r="H279" s="3602"/>
    </row>
    <row r="280" spans="1:8">
      <c r="A280" s="3607" t="s">
        <v>1968</v>
      </c>
      <c r="B280" s="3602"/>
      <c r="C280" s="3602"/>
      <c r="D280" s="3602"/>
      <c r="E280" s="3602"/>
      <c r="F280" s="3602"/>
      <c r="G280" s="3602"/>
      <c r="H280" s="3602"/>
    </row>
    <row r="281" spans="1:8">
      <c r="A281" s="3607" t="s">
        <v>1969</v>
      </c>
      <c r="B281" s="3602"/>
      <c r="C281" s="3602"/>
      <c r="D281" s="3602"/>
      <c r="E281" s="3602"/>
      <c r="F281" s="3602"/>
      <c r="G281" s="3602"/>
      <c r="H281" s="3602"/>
    </row>
    <row r="282" spans="1:8">
      <c r="A282" s="3607" t="s">
        <v>1970</v>
      </c>
      <c r="B282" s="3602"/>
      <c r="C282" s="3602"/>
      <c r="D282" s="3602"/>
      <c r="E282" s="3602"/>
      <c r="F282" s="3602"/>
      <c r="G282" s="3602"/>
      <c r="H282" s="3602"/>
    </row>
    <row r="283" spans="1:8">
      <c r="A283" s="3607" t="s">
        <v>1971</v>
      </c>
      <c r="B283" s="3602"/>
      <c r="C283" s="3602"/>
      <c r="D283" s="3602"/>
      <c r="E283" s="3602"/>
      <c r="F283" s="3602"/>
      <c r="G283" s="3602"/>
      <c r="H283" s="3602"/>
    </row>
    <row r="284" spans="1:8">
      <c r="A284" s="3607" t="s">
        <v>1972</v>
      </c>
      <c r="B284" s="3602"/>
      <c r="C284" s="3602"/>
      <c r="D284" s="3602"/>
      <c r="E284" s="3602"/>
      <c r="F284" s="3602"/>
      <c r="G284" s="3602"/>
      <c r="H284" s="3602"/>
    </row>
    <row r="285" spans="1:8">
      <c r="A285" s="3607" t="s">
        <v>1973</v>
      </c>
      <c r="B285" s="3602"/>
      <c r="C285" s="3602"/>
      <c r="D285" s="3602"/>
      <c r="E285" s="3602"/>
      <c r="F285" s="3602"/>
      <c r="G285" s="3602"/>
      <c r="H285" s="3602"/>
    </row>
    <row r="286" spans="1:8">
      <c r="A286" s="3607" t="s">
        <v>1974</v>
      </c>
      <c r="B286" s="3602"/>
      <c r="C286" s="3602"/>
      <c r="D286" s="3602"/>
      <c r="E286" s="3602"/>
      <c r="F286" s="3602"/>
      <c r="G286" s="3602"/>
      <c r="H286" s="3602"/>
    </row>
    <row r="287" spans="1:8">
      <c r="A287" s="3607" t="s">
        <v>1975</v>
      </c>
      <c r="B287" s="3602"/>
      <c r="C287" s="3602"/>
      <c r="D287" s="3602"/>
      <c r="E287" s="3602"/>
      <c r="F287" s="3602"/>
      <c r="G287" s="3602"/>
      <c r="H287" s="3602"/>
    </row>
    <row r="288" spans="1:8">
      <c r="A288" s="3607" t="s">
        <v>1976</v>
      </c>
      <c r="B288" s="3602"/>
      <c r="C288" s="3602"/>
      <c r="D288" s="3602"/>
      <c r="E288" s="3602"/>
      <c r="F288" s="3602"/>
      <c r="G288" s="3602"/>
      <c r="H288" s="3602"/>
    </row>
    <row r="289" spans="1:8">
      <c r="A289" s="3602"/>
      <c r="B289" s="3602"/>
      <c r="C289" s="3602"/>
      <c r="D289" s="3602"/>
      <c r="E289" s="3602"/>
      <c r="F289" s="3602"/>
      <c r="G289" s="3602"/>
      <c r="H289" s="3602"/>
    </row>
    <row r="290" spans="1:8">
      <c r="A290" s="3607" t="s">
        <v>1961</v>
      </c>
      <c r="B290" s="3602"/>
      <c r="C290" s="3602"/>
      <c r="D290" s="3602"/>
      <c r="E290" s="3602"/>
      <c r="F290" s="3602"/>
      <c r="G290" s="3602"/>
      <c r="H290" s="3602"/>
    </row>
    <row r="291" spans="1:8">
      <c r="A291" s="3607" t="s">
        <v>1962</v>
      </c>
      <c r="B291" s="3602"/>
      <c r="C291" s="3602"/>
      <c r="D291" s="3602"/>
      <c r="E291" s="3602"/>
      <c r="F291" s="3602"/>
      <c r="G291" s="3602"/>
      <c r="H291" s="3602"/>
    </row>
    <row r="292" spans="1:8">
      <c r="A292" s="3607" t="s">
        <v>1963</v>
      </c>
      <c r="B292" s="3602"/>
      <c r="C292" s="3602"/>
      <c r="D292" s="3602"/>
      <c r="E292" s="3602"/>
      <c r="F292" s="3602"/>
      <c r="G292" s="3602"/>
      <c r="H292" s="3602"/>
    </row>
    <row r="293" spans="1:8">
      <c r="A293" s="3607" t="s">
        <v>1964</v>
      </c>
      <c r="B293" s="3602"/>
      <c r="C293" s="3602"/>
      <c r="D293" s="3602"/>
      <c r="E293" s="3602"/>
      <c r="F293" s="3602"/>
      <c r="G293" s="3602"/>
      <c r="H293" s="3602"/>
    </row>
    <row r="294" spans="1:8">
      <c r="A294" s="3607" t="s">
        <v>1965</v>
      </c>
      <c r="B294" s="3602"/>
      <c r="C294" s="3602"/>
      <c r="D294" s="3602"/>
      <c r="E294" s="3602"/>
      <c r="F294" s="3602"/>
      <c r="G294" s="3602"/>
      <c r="H294" s="3602"/>
    </row>
    <row r="295" spans="1:8">
      <c r="A295" s="3607" t="s">
        <v>1966</v>
      </c>
      <c r="B295" s="3602"/>
      <c r="C295" s="3602"/>
      <c r="D295" s="3602"/>
      <c r="E295" s="3602"/>
      <c r="F295" s="3602"/>
      <c r="G295" s="3602"/>
      <c r="H295" s="3602"/>
    </row>
    <row r="296" spans="1:8">
      <c r="A296" s="3607" t="s">
        <v>1967</v>
      </c>
      <c r="B296" s="3602"/>
      <c r="C296" s="3602"/>
      <c r="D296" s="3602"/>
      <c r="E296" s="3602"/>
      <c r="F296" s="3602"/>
      <c r="G296" s="3602"/>
      <c r="H296" s="3602"/>
    </row>
    <row r="297" spans="1:8">
      <c r="A297" s="3602"/>
      <c r="B297" s="3602"/>
      <c r="C297" s="3602"/>
      <c r="D297" s="3602"/>
      <c r="E297" s="3602"/>
      <c r="F297" s="3602"/>
      <c r="G297" s="3602"/>
      <c r="H297" s="3602"/>
    </row>
    <row r="298" spans="1:8">
      <c r="A298" s="3607" t="s">
        <v>1958</v>
      </c>
      <c r="B298" s="3602"/>
      <c r="C298" s="3602"/>
      <c r="D298" s="3602"/>
      <c r="E298" s="3602"/>
      <c r="F298" s="3602"/>
      <c r="G298" s="3602"/>
      <c r="H298" s="3602"/>
    </row>
    <row r="299" spans="1:8">
      <c r="A299" s="3607" t="s">
        <v>1959</v>
      </c>
      <c r="B299" s="3602"/>
      <c r="C299" s="3602"/>
      <c r="D299" s="3602"/>
      <c r="E299" s="3602"/>
      <c r="F299" s="3602"/>
      <c r="G299" s="3602"/>
      <c r="H299" s="3602"/>
    </row>
    <row r="300" spans="1:8">
      <c r="A300" s="3607" t="s">
        <v>1960</v>
      </c>
      <c r="B300" s="3602"/>
      <c r="C300" s="3602"/>
      <c r="D300" s="3602"/>
      <c r="E300" s="3602"/>
      <c r="F300" s="3602"/>
      <c r="G300" s="3602"/>
      <c r="H300" s="3602"/>
    </row>
    <row r="301" spans="1:8">
      <c r="A301" s="3602"/>
      <c r="B301" s="3602"/>
      <c r="C301" s="3602"/>
      <c r="D301" s="3602"/>
      <c r="E301" s="3602"/>
      <c r="F301" s="3602"/>
      <c r="G301" s="3602"/>
      <c r="H301" s="3602"/>
    </row>
    <row r="302" spans="1:8">
      <c r="A302" s="3607" t="s">
        <v>1956</v>
      </c>
      <c r="B302" s="3602"/>
      <c r="C302" s="3602"/>
      <c r="D302" s="3602"/>
      <c r="E302" s="3602"/>
      <c r="F302" s="3602"/>
      <c r="G302" s="3602"/>
      <c r="H302" s="3602"/>
    </row>
    <row r="303" spans="1:8">
      <c r="A303" s="3607" t="s">
        <v>1957</v>
      </c>
      <c r="B303" s="3602"/>
      <c r="C303" s="3602"/>
      <c r="D303" s="3602"/>
      <c r="E303" s="3602"/>
      <c r="F303" s="3602"/>
      <c r="G303" s="3602"/>
      <c r="H303" s="3602"/>
    </row>
    <row r="304" spans="1:8">
      <c r="A304" s="3602"/>
      <c r="B304" s="3602"/>
      <c r="C304" s="3602"/>
      <c r="D304" s="3602"/>
      <c r="E304" s="3602"/>
      <c r="F304" s="3602"/>
      <c r="G304" s="3602"/>
      <c r="H304" s="3602"/>
    </row>
    <row r="305" spans="1:8">
      <c r="A305" s="3607" t="s">
        <v>1943</v>
      </c>
      <c r="B305" s="3602"/>
      <c r="C305" s="3602"/>
      <c r="D305" s="3602"/>
      <c r="E305" s="3602"/>
      <c r="F305" s="3602"/>
      <c r="G305" s="3602"/>
      <c r="H305" s="3602"/>
    </row>
    <row r="306" spans="1:8">
      <c r="A306" s="3607" t="s">
        <v>1944</v>
      </c>
      <c r="B306" s="3602"/>
      <c r="C306" s="3602"/>
      <c r="D306" s="3602"/>
      <c r="E306" s="3602"/>
      <c r="F306" s="3602"/>
      <c r="G306" s="3602"/>
      <c r="H306" s="3602"/>
    </row>
    <row r="307" spans="1:8">
      <c r="A307" s="3607" t="s">
        <v>1945</v>
      </c>
      <c r="B307" s="3602"/>
      <c r="C307" s="3602"/>
      <c r="D307" s="3602"/>
      <c r="E307" s="3602"/>
      <c r="F307" s="3602"/>
      <c r="G307" s="3602"/>
      <c r="H307" s="3602"/>
    </row>
    <row r="308" spans="1:8">
      <c r="A308" s="3607" t="s">
        <v>1946</v>
      </c>
      <c r="B308" s="3602"/>
      <c r="C308" s="3602"/>
      <c r="D308" s="3602"/>
      <c r="E308" s="3602"/>
      <c r="F308" s="3602"/>
      <c r="G308" s="3602"/>
      <c r="H308" s="3602"/>
    </row>
    <row r="309" spans="1:8">
      <c r="A309" s="3607" t="s">
        <v>1947</v>
      </c>
      <c r="B309" s="3602"/>
      <c r="C309" s="3602"/>
      <c r="D309" s="3602"/>
      <c r="E309" s="3602"/>
      <c r="F309" s="3602"/>
      <c r="G309" s="3602"/>
      <c r="H309" s="3602"/>
    </row>
    <row r="310" spans="1:8">
      <c r="A310" s="3607" t="s">
        <v>1948</v>
      </c>
      <c r="B310" s="3602"/>
      <c r="C310" s="3602"/>
      <c r="D310" s="3602"/>
      <c r="E310" s="3602"/>
      <c r="F310" s="3602"/>
      <c r="G310" s="3602"/>
      <c r="H310" s="3602"/>
    </row>
    <row r="311" spans="1:8">
      <c r="A311" s="3607" t="s">
        <v>1949</v>
      </c>
      <c r="B311" s="3602"/>
      <c r="C311" s="3602"/>
      <c r="D311" s="3602"/>
      <c r="E311" s="3602"/>
      <c r="F311" s="3602"/>
      <c r="G311" s="3602"/>
      <c r="H311" s="3602"/>
    </row>
    <row r="312" spans="1:8">
      <c r="A312" s="3607" t="s">
        <v>1950</v>
      </c>
      <c r="B312" s="3602"/>
      <c r="C312" s="3602"/>
      <c r="D312" s="3602"/>
      <c r="E312" s="3602"/>
      <c r="F312" s="3602"/>
      <c r="G312" s="3602"/>
      <c r="H312" s="3602"/>
    </row>
    <row r="313" spans="1:8">
      <c r="A313" s="3607" t="s">
        <v>1951</v>
      </c>
      <c r="B313" s="3602"/>
      <c r="C313" s="3602"/>
      <c r="D313" s="3602"/>
      <c r="E313" s="3602"/>
      <c r="F313" s="3602"/>
      <c r="G313" s="3602"/>
      <c r="H313" s="3602"/>
    </row>
    <row r="314" spans="1:8">
      <c r="A314" s="3607" t="s">
        <v>1952</v>
      </c>
      <c r="B314" s="3602"/>
      <c r="C314" s="3602"/>
      <c r="D314" s="3602"/>
      <c r="E314" s="3602"/>
      <c r="F314" s="3602"/>
      <c r="G314" s="3602"/>
      <c r="H314" s="3602"/>
    </row>
    <row r="315" spans="1:8">
      <c r="A315" s="3607" t="s">
        <v>1953</v>
      </c>
      <c r="B315" s="3602"/>
      <c r="C315" s="3602"/>
      <c r="D315" s="3602"/>
      <c r="E315" s="3602"/>
      <c r="F315" s="3602"/>
      <c r="G315" s="3602"/>
      <c r="H315" s="3602"/>
    </row>
    <row r="316" spans="1:8">
      <c r="A316" s="3607" t="s">
        <v>1954</v>
      </c>
      <c r="B316" s="3602"/>
      <c r="C316" s="3602"/>
      <c r="D316" s="3602"/>
      <c r="E316" s="3602"/>
      <c r="F316" s="3602"/>
      <c r="G316" s="3602"/>
      <c r="H316" s="3602"/>
    </row>
    <row r="317" spans="1:8">
      <c r="A317" s="3607" t="s">
        <v>1955</v>
      </c>
      <c r="B317" s="3602"/>
      <c r="C317" s="3602"/>
      <c r="D317" s="3602"/>
      <c r="E317" s="3602"/>
      <c r="F317" s="3602"/>
      <c r="G317" s="3602"/>
      <c r="H317" s="3602"/>
    </row>
    <row r="318" spans="1:8">
      <c r="A318" s="3602"/>
      <c r="B318" s="3602"/>
      <c r="C318" s="3602"/>
      <c r="D318" s="3602"/>
      <c r="E318" s="3602"/>
      <c r="F318" s="3602"/>
      <c r="G318" s="3602"/>
      <c r="H318" s="3602"/>
    </row>
    <row r="319" spans="1:8">
      <c r="A319" s="3607" t="s">
        <v>1935</v>
      </c>
      <c r="B319" s="3602"/>
      <c r="C319" s="3602"/>
      <c r="D319" s="3602"/>
      <c r="E319" s="3602"/>
      <c r="F319" s="3602"/>
      <c r="G319" s="3602"/>
      <c r="H319" s="3602"/>
    </row>
    <row r="320" spans="1:8">
      <c r="A320" s="3607" t="s">
        <v>1936</v>
      </c>
      <c r="B320" s="3602"/>
      <c r="C320" s="3602"/>
      <c r="D320" s="3602"/>
      <c r="E320" s="3602"/>
      <c r="F320" s="3602"/>
      <c r="G320" s="3602"/>
      <c r="H320" s="3602"/>
    </row>
    <row r="321" spans="1:8">
      <c r="A321" s="3607" t="s">
        <v>1937</v>
      </c>
      <c r="B321" s="3602"/>
      <c r="C321" s="3602"/>
      <c r="D321" s="3602"/>
      <c r="E321" s="3602"/>
      <c r="F321" s="3602"/>
      <c r="G321" s="3602"/>
      <c r="H321" s="3602"/>
    </row>
    <row r="322" spans="1:8">
      <c r="A322" s="3607" t="s">
        <v>1938</v>
      </c>
      <c r="B322" s="3602"/>
      <c r="C322" s="3602"/>
      <c r="D322" s="3602"/>
      <c r="E322" s="3602"/>
      <c r="F322" s="3602"/>
      <c r="G322" s="3602"/>
      <c r="H322" s="3602"/>
    </row>
    <row r="323" spans="1:8">
      <c r="A323" s="3607" t="s">
        <v>1939</v>
      </c>
      <c r="B323" s="3602"/>
      <c r="C323" s="3602"/>
      <c r="D323" s="3602"/>
      <c r="E323" s="3602"/>
      <c r="F323" s="3602"/>
      <c r="G323" s="3602"/>
      <c r="H323" s="3602"/>
    </row>
    <row r="324" spans="1:8">
      <c r="A324" s="3607" t="s">
        <v>1940</v>
      </c>
      <c r="B324" s="3602"/>
      <c r="C324" s="3602"/>
      <c r="D324" s="3602"/>
      <c r="E324" s="3602"/>
      <c r="F324" s="3602"/>
      <c r="G324" s="3602"/>
      <c r="H324" s="3602"/>
    </row>
    <row r="325" spans="1:8">
      <c r="A325" s="3607" t="s">
        <v>1941</v>
      </c>
      <c r="B325" s="3602"/>
      <c r="C325" s="3602"/>
      <c r="D325" s="3602"/>
      <c r="E325" s="3602"/>
      <c r="F325" s="3602"/>
      <c r="G325" s="3602"/>
      <c r="H325" s="3602"/>
    </row>
    <row r="326" spans="1:8">
      <c r="A326" s="3607" t="s">
        <v>1942</v>
      </c>
      <c r="B326" s="3602"/>
      <c r="C326" s="3602"/>
      <c r="D326" s="3602"/>
      <c r="E326" s="3602"/>
      <c r="F326" s="3602"/>
      <c r="G326" s="3602"/>
      <c r="H326" s="3602"/>
    </row>
    <row r="327" spans="1:8">
      <c r="A327" s="3602"/>
      <c r="B327" s="3602"/>
      <c r="C327" s="3602"/>
      <c r="D327" s="3602"/>
      <c r="E327" s="3602"/>
      <c r="F327" s="3602"/>
      <c r="G327" s="3602"/>
      <c r="H327" s="3602"/>
    </row>
    <row r="328" spans="1:8">
      <c r="A328" s="3607" t="s">
        <v>1900</v>
      </c>
      <c r="B328" s="3602"/>
      <c r="C328" s="3602"/>
      <c r="D328" s="3602"/>
      <c r="E328" s="3602"/>
      <c r="F328" s="3602"/>
      <c r="G328" s="3602"/>
      <c r="H328" s="3602"/>
    </row>
    <row r="329" spans="1:8">
      <c r="A329" s="3607" t="s">
        <v>1901</v>
      </c>
      <c r="B329" s="3602"/>
      <c r="C329" s="3602"/>
      <c r="D329" s="3602"/>
      <c r="E329" s="3602"/>
      <c r="F329" s="3602"/>
      <c r="G329" s="3602"/>
      <c r="H329" s="3602"/>
    </row>
    <row r="330" spans="1:8">
      <c r="A330" s="3607" t="s">
        <v>1902</v>
      </c>
      <c r="B330" s="3602"/>
      <c r="C330" s="3602"/>
      <c r="D330" s="3602"/>
      <c r="E330" s="3602"/>
      <c r="F330" s="3602"/>
      <c r="G330" s="3602"/>
      <c r="H330" s="3602"/>
    </row>
    <row r="331" spans="1:8">
      <c r="A331" s="3607" t="s">
        <v>1903</v>
      </c>
      <c r="B331" s="3602"/>
      <c r="C331" s="3602"/>
      <c r="D331" s="3602"/>
      <c r="E331" s="3602"/>
      <c r="F331" s="3602"/>
      <c r="G331" s="3602"/>
      <c r="H331" s="3602"/>
    </row>
    <row r="332" spans="1:8">
      <c r="A332" s="3607" t="s">
        <v>1904</v>
      </c>
      <c r="B332" s="3602"/>
      <c r="C332" s="3602"/>
      <c r="D332" s="3602"/>
      <c r="E332" s="3602"/>
      <c r="F332" s="3602"/>
      <c r="G332" s="3602"/>
      <c r="H332" s="3602"/>
    </row>
    <row r="333" spans="1:8">
      <c r="A333" s="3607" t="s">
        <v>1905</v>
      </c>
      <c r="B333" s="3602"/>
      <c r="C333" s="3602"/>
      <c r="D333" s="3602"/>
      <c r="E333" s="3602"/>
      <c r="F333" s="3602"/>
      <c r="G333" s="3602"/>
      <c r="H333" s="3602"/>
    </row>
    <row r="334" spans="1:8">
      <c r="A334" s="3607" t="s">
        <v>1906</v>
      </c>
      <c r="B334" s="3602"/>
      <c r="C334" s="3602"/>
      <c r="D334" s="3602"/>
      <c r="E334" s="3602"/>
      <c r="F334" s="3602"/>
      <c r="G334" s="3602"/>
      <c r="H334" s="3602"/>
    </row>
    <row r="335" spans="1:8">
      <c r="A335" s="3607" t="s">
        <v>1907</v>
      </c>
      <c r="B335" s="3602"/>
      <c r="C335" s="3602"/>
      <c r="D335" s="3602"/>
      <c r="E335" s="3602"/>
      <c r="F335" s="3602"/>
      <c r="G335" s="3602"/>
      <c r="H335" s="3602"/>
    </row>
    <row r="336" spans="1:8">
      <c r="A336" s="3607" t="s">
        <v>1908</v>
      </c>
      <c r="B336" s="3602"/>
      <c r="C336" s="3602"/>
      <c r="D336" s="3602"/>
      <c r="E336" s="3602"/>
      <c r="F336" s="3602"/>
      <c r="G336" s="3602"/>
      <c r="H336" s="3602"/>
    </row>
    <row r="337" spans="1:8">
      <c r="A337" s="3607" t="s">
        <v>1909</v>
      </c>
      <c r="B337" s="3602"/>
      <c r="C337" s="3602"/>
      <c r="D337" s="3602"/>
      <c r="E337" s="3602"/>
      <c r="F337" s="3602"/>
      <c r="G337" s="3602"/>
      <c r="H337" s="3602"/>
    </row>
    <row r="338" spans="1:8">
      <c r="A338" s="3607" t="s">
        <v>1910</v>
      </c>
      <c r="B338" s="3602"/>
      <c r="C338" s="3602"/>
      <c r="D338" s="3602"/>
      <c r="E338" s="3602"/>
      <c r="F338" s="3602"/>
      <c r="G338" s="3602"/>
      <c r="H338" s="3602"/>
    </row>
    <row r="339" spans="1:8">
      <c r="A339" s="3607" t="s">
        <v>1911</v>
      </c>
      <c r="B339" s="3602"/>
      <c r="C339" s="3602"/>
      <c r="D339" s="3602"/>
      <c r="E339" s="3602"/>
      <c r="F339" s="3602"/>
      <c r="G339" s="3602"/>
      <c r="H339" s="3602"/>
    </row>
    <row r="340" spans="1:8">
      <c r="A340" s="3607" t="s">
        <v>1912</v>
      </c>
      <c r="B340" s="3602"/>
      <c r="C340" s="3602"/>
      <c r="D340" s="3602"/>
      <c r="E340" s="3602"/>
      <c r="F340" s="3602"/>
      <c r="G340" s="3602"/>
      <c r="H340" s="3602"/>
    </row>
    <row r="341" spans="1:8">
      <c r="A341" s="3607" t="s">
        <v>1913</v>
      </c>
      <c r="B341" s="3602"/>
      <c r="C341" s="3602"/>
      <c r="D341" s="3602"/>
      <c r="E341" s="3602"/>
      <c r="F341" s="3602"/>
      <c r="G341" s="3602"/>
      <c r="H341" s="3602"/>
    </row>
    <row r="342" spans="1:8">
      <c r="A342" s="3607" t="s">
        <v>1914</v>
      </c>
      <c r="B342" s="3602"/>
      <c r="C342" s="3602"/>
      <c r="D342" s="3602"/>
      <c r="E342" s="3602"/>
      <c r="F342" s="3602"/>
      <c r="G342" s="3602"/>
      <c r="H342" s="3602"/>
    </row>
    <row r="343" spans="1:8">
      <c r="A343" s="3607" t="s">
        <v>1915</v>
      </c>
      <c r="B343" s="3602"/>
      <c r="C343" s="3602"/>
      <c r="D343" s="3602"/>
      <c r="E343" s="3602"/>
      <c r="F343" s="3602"/>
      <c r="G343" s="3602"/>
      <c r="H343" s="3602"/>
    </row>
    <row r="344" spans="1:8">
      <c r="A344" s="3607" t="s">
        <v>1916</v>
      </c>
      <c r="B344" s="3602"/>
      <c r="C344" s="3602"/>
      <c r="D344" s="3602"/>
      <c r="E344" s="3602"/>
      <c r="F344" s="3602"/>
      <c r="G344" s="3602"/>
      <c r="H344" s="3602"/>
    </row>
    <row r="345" spans="1:8">
      <c r="A345" s="3607" t="s">
        <v>1917</v>
      </c>
      <c r="B345" s="3602"/>
      <c r="C345" s="3602"/>
      <c r="D345" s="3602"/>
      <c r="E345" s="3602"/>
      <c r="F345" s="3602"/>
      <c r="G345" s="3602"/>
      <c r="H345" s="3602"/>
    </row>
    <row r="346" spans="1:8">
      <c r="A346" s="3607" t="s">
        <v>1918</v>
      </c>
      <c r="B346" s="3602"/>
      <c r="C346" s="3602"/>
      <c r="D346" s="3602"/>
      <c r="E346" s="3602"/>
      <c r="F346" s="3602"/>
      <c r="G346" s="3602"/>
      <c r="H346" s="3602"/>
    </row>
    <row r="347" spans="1:8">
      <c r="A347" s="3607" t="s">
        <v>1919</v>
      </c>
      <c r="B347" s="3602"/>
      <c r="C347" s="3602"/>
      <c r="D347" s="3602"/>
      <c r="E347" s="3602"/>
      <c r="F347" s="3602"/>
      <c r="G347" s="3602"/>
      <c r="H347" s="3602"/>
    </row>
    <row r="348" spans="1:8">
      <c r="A348" s="3607" t="s">
        <v>1920</v>
      </c>
      <c r="B348" s="3602"/>
      <c r="C348" s="3602"/>
      <c r="D348" s="3602"/>
      <c r="E348" s="3602"/>
      <c r="F348" s="3602"/>
      <c r="G348" s="3602"/>
      <c r="H348" s="3602"/>
    </row>
    <row r="349" spans="1:8">
      <c r="A349" s="3607" t="s">
        <v>1921</v>
      </c>
      <c r="B349" s="3602"/>
      <c r="C349" s="3602"/>
      <c r="D349" s="3602"/>
      <c r="E349" s="3602"/>
      <c r="F349" s="3602"/>
      <c r="G349" s="3602"/>
      <c r="H349" s="3602"/>
    </row>
    <row r="350" spans="1:8">
      <c r="A350" s="3607" t="s">
        <v>1922</v>
      </c>
      <c r="B350" s="3602"/>
      <c r="C350" s="3602"/>
      <c r="D350" s="3602"/>
      <c r="E350" s="3602"/>
      <c r="F350" s="3602"/>
      <c r="G350" s="3602"/>
      <c r="H350" s="3602"/>
    </row>
    <row r="351" spans="1:8">
      <c r="A351" s="3607" t="s">
        <v>1923</v>
      </c>
      <c r="B351" s="3602"/>
      <c r="C351" s="3602"/>
      <c r="D351" s="3602"/>
      <c r="E351" s="3602"/>
      <c r="F351" s="3602"/>
      <c r="G351" s="3602"/>
      <c r="H351" s="3602"/>
    </row>
    <row r="352" spans="1:8">
      <c r="A352" s="3607" t="s">
        <v>1924</v>
      </c>
      <c r="B352" s="3602"/>
      <c r="C352" s="3602"/>
      <c r="D352" s="3602"/>
      <c r="E352" s="3602"/>
      <c r="F352" s="3602"/>
      <c r="G352" s="3602"/>
      <c r="H352" s="3602"/>
    </row>
    <row r="353" spans="1:8">
      <c r="A353" s="3607" t="s">
        <v>1925</v>
      </c>
      <c r="B353" s="3602"/>
      <c r="C353" s="3602"/>
      <c r="D353" s="3602"/>
      <c r="E353" s="3602"/>
      <c r="F353" s="3602"/>
      <c r="G353" s="3602"/>
      <c r="H353" s="3602"/>
    </row>
    <row r="354" spans="1:8">
      <c r="A354" s="3607" t="s">
        <v>1926</v>
      </c>
      <c r="B354" s="3602"/>
      <c r="C354" s="3602"/>
      <c r="D354" s="3602"/>
      <c r="E354" s="3602"/>
      <c r="F354" s="3602"/>
      <c r="G354" s="3602"/>
      <c r="H354" s="3602"/>
    </row>
    <row r="355" spans="1:8">
      <c r="A355" s="3607" t="s">
        <v>1927</v>
      </c>
      <c r="B355" s="3602"/>
      <c r="C355" s="3602"/>
      <c r="D355" s="3602"/>
      <c r="E355" s="3602"/>
      <c r="F355" s="3602"/>
      <c r="G355" s="3602"/>
      <c r="H355" s="3602"/>
    </row>
    <row r="356" spans="1:8">
      <c r="A356" s="3607" t="s">
        <v>1928</v>
      </c>
      <c r="B356" s="3602"/>
      <c r="C356" s="3602"/>
      <c r="D356" s="3602"/>
      <c r="E356" s="3602"/>
      <c r="F356" s="3602"/>
      <c r="G356" s="3602"/>
      <c r="H356" s="3602"/>
    </row>
    <row r="357" spans="1:8">
      <c r="A357" s="3607" t="s">
        <v>1929</v>
      </c>
      <c r="B357" s="3602"/>
      <c r="C357" s="3602"/>
      <c r="D357" s="3602"/>
      <c r="E357" s="3602"/>
      <c r="F357" s="3602"/>
      <c r="G357" s="3602"/>
      <c r="H357" s="3602"/>
    </row>
    <row r="358" spans="1:8">
      <c r="A358" s="3607" t="s">
        <v>1930</v>
      </c>
      <c r="B358" s="3602"/>
      <c r="C358" s="3602"/>
      <c r="D358" s="3602"/>
      <c r="E358" s="3602"/>
      <c r="F358" s="3602"/>
      <c r="G358" s="3602"/>
      <c r="H358" s="3602"/>
    </row>
    <row r="359" spans="1:8">
      <c r="A359" s="3607" t="s">
        <v>1931</v>
      </c>
      <c r="B359" s="3602"/>
      <c r="C359" s="3602"/>
      <c r="D359" s="3602"/>
      <c r="E359" s="3602"/>
      <c r="F359" s="3602"/>
      <c r="G359" s="3602"/>
      <c r="H359" s="3602"/>
    </row>
    <row r="360" spans="1:8">
      <c r="A360" s="3607" t="s">
        <v>1932</v>
      </c>
      <c r="B360" s="3602"/>
      <c r="C360" s="3602"/>
      <c r="D360" s="3602"/>
      <c r="E360" s="3602"/>
      <c r="F360" s="3602"/>
      <c r="G360" s="3602"/>
      <c r="H360" s="3602"/>
    </row>
    <row r="361" spans="1:8">
      <c r="A361" s="3607" t="s">
        <v>1933</v>
      </c>
      <c r="B361" s="3602"/>
      <c r="C361" s="3602"/>
      <c r="D361" s="3602"/>
      <c r="E361" s="3602"/>
      <c r="F361" s="3602"/>
      <c r="G361" s="3602"/>
      <c r="H361" s="3602"/>
    </row>
    <row r="362" spans="1:8">
      <c r="A362" s="3607" t="s">
        <v>1934</v>
      </c>
      <c r="B362" s="3602"/>
      <c r="C362" s="3602"/>
      <c r="D362" s="3602"/>
      <c r="E362" s="3602"/>
      <c r="F362" s="3602"/>
      <c r="G362" s="3602"/>
      <c r="H362" s="3602"/>
    </row>
    <row r="363" spans="1:8">
      <c r="A363" s="3602"/>
      <c r="B363" s="3602"/>
      <c r="C363" s="3602"/>
      <c r="D363" s="3602"/>
      <c r="E363" s="3602"/>
      <c r="F363" s="3602"/>
      <c r="G363" s="3602"/>
      <c r="H363" s="3602"/>
    </row>
    <row r="364" spans="1:8">
      <c r="A364" s="3607" t="s">
        <v>1892</v>
      </c>
      <c r="B364" s="3602"/>
      <c r="C364" s="3602"/>
      <c r="D364" s="3602"/>
      <c r="E364" s="3602"/>
      <c r="F364" s="3602"/>
      <c r="G364" s="3602"/>
      <c r="H364" s="3602"/>
    </row>
    <row r="365" spans="1:8">
      <c r="A365" s="3607" t="s">
        <v>1896</v>
      </c>
      <c r="B365" s="3602"/>
      <c r="C365" s="3602"/>
      <c r="D365" s="3602"/>
      <c r="E365" s="3602"/>
      <c r="F365" s="3602"/>
      <c r="G365" s="3602"/>
      <c r="H365" s="3602"/>
    </row>
    <row r="366" spans="1:8">
      <c r="A366" s="3607" t="s">
        <v>1897</v>
      </c>
      <c r="B366" s="3602"/>
      <c r="C366" s="3602"/>
      <c r="D366" s="3602"/>
      <c r="E366" s="3602"/>
      <c r="F366" s="3602"/>
      <c r="G366" s="3602"/>
      <c r="H366" s="3602"/>
    </row>
    <row r="367" spans="1:8">
      <c r="A367" s="3607" t="s">
        <v>1898</v>
      </c>
      <c r="B367" s="3602"/>
      <c r="C367" s="3602"/>
      <c r="D367" s="3602"/>
      <c r="E367" s="3602"/>
      <c r="F367" s="3602"/>
      <c r="G367" s="3602"/>
      <c r="H367" s="3602"/>
    </row>
    <row r="368" spans="1:8">
      <c r="A368" s="3607" t="s">
        <v>1899</v>
      </c>
      <c r="B368" s="3602"/>
      <c r="C368" s="3602"/>
      <c r="D368" s="3602"/>
      <c r="E368" s="3602"/>
      <c r="F368" s="3602"/>
      <c r="G368" s="3602"/>
      <c r="H368" s="3602"/>
    </row>
    <row r="369" spans="1:8">
      <c r="A369" s="3602"/>
      <c r="B369" s="3602"/>
      <c r="C369" s="3602"/>
      <c r="D369" s="3602"/>
      <c r="E369" s="3602"/>
      <c r="F369" s="3602"/>
      <c r="G369" s="3602"/>
      <c r="H369" s="3602"/>
    </row>
    <row r="370" spans="1:8">
      <c r="A370" s="3607" t="s">
        <v>1892</v>
      </c>
      <c r="B370" s="3602"/>
      <c r="C370" s="3602"/>
      <c r="D370" s="3602"/>
      <c r="E370" s="3602"/>
      <c r="F370" s="3602"/>
      <c r="G370" s="3602"/>
      <c r="H370" s="3602"/>
    </row>
    <row r="371" spans="1:8">
      <c r="A371" s="3607" t="s">
        <v>1893</v>
      </c>
      <c r="B371" s="3602"/>
      <c r="C371" s="3602"/>
      <c r="D371" s="3602"/>
      <c r="E371" s="3602"/>
      <c r="F371" s="3602"/>
      <c r="G371" s="3602"/>
      <c r="H371" s="3602"/>
    </row>
    <row r="372" spans="1:8">
      <c r="A372" s="3607" t="s">
        <v>1894</v>
      </c>
      <c r="B372" s="3602"/>
      <c r="C372" s="3602"/>
      <c r="D372" s="3602"/>
      <c r="E372" s="3602"/>
      <c r="F372" s="3602"/>
      <c r="G372" s="3602"/>
      <c r="H372" s="3602"/>
    </row>
    <row r="373" spans="1:8">
      <c r="A373" s="3607" t="s">
        <v>1895</v>
      </c>
      <c r="B373" s="3602"/>
      <c r="C373" s="3602"/>
      <c r="D373" s="3602"/>
      <c r="E373" s="3602"/>
      <c r="F373" s="3602"/>
      <c r="G373" s="3602"/>
      <c r="H373" s="3602"/>
    </row>
    <row r="374" spans="1:8">
      <c r="A374" s="3602"/>
      <c r="B374" s="3602"/>
      <c r="C374" s="3602"/>
      <c r="D374" s="3602"/>
      <c r="E374" s="3602"/>
      <c r="F374" s="3602"/>
      <c r="G374" s="3602"/>
      <c r="H374" s="3602"/>
    </row>
    <row r="375" spans="1:8">
      <c r="A375" s="3607" t="s">
        <v>1886</v>
      </c>
      <c r="B375" s="3602"/>
      <c r="C375" s="3602"/>
      <c r="D375" s="3602"/>
      <c r="E375" s="3602"/>
      <c r="F375" s="3602"/>
      <c r="G375" s="3602"/>
      <c r="H375" s="3602"/>
    </row>
    <row r="376" spans="1:8">
      <c r="A376" s="3607" t="s">
        <v>1887</v>
      </c>
      <c r="B376" s="3602"/>
      <c r="C376" s="3602"/>
      <c r="D376" s="3602"/>
      <c r="E376" s="3602"/>
      <c r="F376" s="3602"/>
      <c r="G376" s="3602"/>
      <c r="H376" s="3602"/>
    </row>
    <row r="377" spans="1:8">
      <c r="A377" s="3607" t="s">
        <v>1888</v>
      </c>
      <c r="B377" s="3602"/>
      <c r="C377" s="3602"/>
      <c r="D377" s="3602"/>
      <c r="E377" s="3602"/>
      <c r="F377" s="3602"/>
      <c r="G377" s="3602"/>
      <c r="H377" s="3602"/>
    </row>
    <row r="378" spans="1:8">
      <c r="A378" s="3607" t="s">
        <v>1889</v>
      </c>
      <c r="B378" s="3602"/>
      <c r="C378" s="3602"/>
      <c r="D378" s="3602"/>
      <c r="E378" s="3602"/>
      <c r="F378" s="3602"/>
      <c r="G378" s="3602"/>
      <c r="H378" s="3602"/>
    </row>
    <row r="379" spans="1:8">
      <c r="A379" s="3607" t="s">
        <v>1890</v>
      </c>
      <c r="B379" s="3602"/>
      <c r="C379" s="3602"/>
      <c r="D379" s="3602"/>
      <c r="E379" s="3602"/>
      <c r="F379" s="3602"/>
      <c r="G379" s="3602"/>
      <c r="H379" s="3602"/>
    </row>
    <row r="380" spans="1:8">
      <c r="A380" s="3607" t="s">
        <v>1891</v>
      </c>
      <c r="B380" s="3602"/>
      <c r="C380" s="3602"/>
      <c r="D380" s="3602"/>
      <c r="E380" s="3602"/>
      <c r="F380" s="3602"/>
      <c r="G380" s="3602"/>
      <c r="H380" s="3602"/>
    </row>
    <row r="381" spans="1:8">
      <c r="A381" s="3602"/>
      <c r="B381" s="3602"/>
      <c r="C381" s="3602"/>
      <c r="D381" s="3602"/>
      <c r="E381" s="3602"/>
      <c r="F381" s="3602"/>
      <c r="G381" s="3602"/>
      <c r="H381" s="3602"/>
    </row>
    <row r="382" spans="1:8">
      <c r="A382" s="3607" t="s">
        <v>1881</v>
      </c>
      <c r="B382" s="3602"/>
      <c r="C382" s="3602"/>
      <c r="D382" s="3602"/>
      <c r="E382" s="3602"/>
      <c r="F382" s="3602"/>
      <c r="G382" s="3602"/>
      <c r="H382" s="3602"/>
    </row>
    <row r="383" spans="1:8">
      <c r="A383" s="3607" t="s">
        <v>1882</v>
      </c>
      <c r="B383" s="3602"/>
      <c r="C383" s="3602"/>
      <c r="D383" s="3602"/>
      <c r="E383" s="3602"/>
      <c r="F383" s="3602"/>
      <c r="G383" s="3602"/>
      <c r="H383" s="3602"/>
    </row>
    <row r="384" spans="1:8">
      <c r="A384" s="3607" t="s">
        <v>1883</v>
      </c>
      <c r="B384" s="3602"/>
      <c r="C384" s="3602"/>
      <c r="D384" s="3602"/>
      <c r="E384" s="3602"/>
      <c r="F384" s="3602"/>
      <c r="G384" s="3602"/>
      <c r="H384" s="3602"/>
    </row>
    <row r="385" spans="1:8">
      <c r="A385" s="3607" t="s">
        <v>1884</v>
      </c>
      <c r="B385" s="3602"/>
      <c r="C385" s="3602"/>
      <c r="D385" s="3602"/>
      <c r="E385" s="3602"/>
      <c r="F385" s="3602"/>
      <c r="G385" s="3602"/>
      <c r="H385" s="3602"/>
    </row>
    <row r="386" spans="1:8">
      <c r="A386" s="3607" t="s">
        <v>1885</v>
      </c>
      <c r="B386" s="3602"/>
      <c r="C386" s="3602"/>
      <c r="D386" s="3602"/>
      <c r="E386" s="3602"/>
      <c r="F386" s="3602"/>
      <c r="G386" s="3602"/>
      <c r="H386" s="3602"/>
    </row>
    <row r="387" spans="1:8">
      <c r="A387" s="3602"/>
      <c r="B387" s="3602"/>
      <c r="C387" s="3602"/>
      <c r="D387" s="3602"/>
      <c r="E387" s="3602"/>
      <c r="F387" s="3602"/>
      <c r="G387" s="3602"/>
      <c r="H387" s="3602"/>
    </row>
    <row r="388" spans="1:8">
      <c r="A388" s="3607" t="s">
        <v>1879</v>
      </c>
      <c r="B388" s="3602"/>
      <c r="C388" s="3602"/>
      <c r="D388" s="3602"/>
      <c r="E388" s="3602"/>
      <c r="F388" s="3602"/>
      <c r="G388" s="3602"/>
      <c r="H388" s="3602"/>
    </row>
    <row r="389" spans="1:8">
      <c r="A389" s="3607" t="s">
        <v>1880</v>
      </c>
      <c r="B389" s="3602"/>
      <c r="C389" s="3602"/>
      <c r="D389" s="3602"/>
      <c r="E389" s="3602"/>
      <c r="F389" s="3602"/>
      <c r="G389" s="3602"/>
      <c r="H389" s="3602"/>
    </row>
    <row r="391" spans="1:8">
      <c r="A391" s="3603" t="s">
        <v>2135</v>
      </c>
    </row>
  </sheetData>
  <mergeCells count="12">
    <mergeCell ref="A129:H129"/>
    <mergeCell ref="A130:H130"/>
    <mergeCell ref="B122:C122"/>
    <mergeCell ref="D122:F122"/>
    <mergeCell ref="G122:H122"/>
    <mergeCell ref="A108:H108"/>
    <mergeCell ref="A109:H109"/>
    <mergeCell ref="A110:H110"/>
    <mergeCell ref="A111:H111"/>
    <mergeCell ref="A113:H113"/>
    <mergeCell ref="A114:H114"/>
    <mergeCell ref="A121:H121"/>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27"/>
  <sheetViews>
    <sheetView workbookViewId="0"/>
  </sheetViews>
  <sheetFormatPr defaultRowHeight="12.75"/>
  <sheetData>
    <row r="1" spans="1:2">
      <c r="A1" t="s">
        <v>2209</v>
      </c>
      <c r="B1" t="s">
        <v>2210</v>
      </c>
    </row>
    <row r="2" spans="1:2">
      <c r="A2" s="1033" t="s">
        <v>2211</v>
      </c>
      <c r="B2">
        <v>-1</v>
      </c>
    </row>
    <row r="3" spans="1:2">
      <c r="A3" s="1033" t="s">
        <v>2212</v>
      </c>
      <c r="B3">
        <v>2</v>
      </c>
    </row>
    <row r="4" spans="1:2">
      <c r="A4" s="1033" t="s">
        <v>2213</v>
      </c>
      <c r="B4">
        <v>-1</v>
      </c>
    </row>
    <row r="5" spans="1:2">
      <c r="A5" s="1033" t="s">
        <v>2214</v>
      </c>
      <c r="B5">
        <v>-1</v>
      </c>
    </row>
    <row r="6" spans="1:2">
      <c r="A6" s="1033" t="s">
        <v>2215</v>
      </c>
      <c r="B6">
        <v>-1</v>
      </c>
    </row>
    <row r="7" spans="1:2">
      <c r="A7" s="1033" t="s">
        <v>2216</v>
      </c>
      <c r="B7">
        <v>-1</v>
      </c>
    </row>
    <row r="8" spans="1:2">
      <c r="A8" s="1033" t="s">
        <v>2217</v>
      </c>
      <c r="B8">
        <v>-1</v>
      </c>
    </row>
    <row r="9" spans="1:2">
      <c r="A9" s="1033" t="s">
        <v>754</v>
      </c>
      <c r="B9">
        <v>-1</v>
      </c>
    </row>
    <row r="10" spans="1:2">
      <c r="A10" s="1033" t="s">
        <v>2218</v>
      </c>
      <c r="B10">
        <v>-1</v>
      </c>
    </row>
    <row r="11" spans="1:2">
      <c r="A11" s="1033" t="s">
        <v>2219</v>
      </c>
      <c r="B11">
        <v>-1</v>
      </c>
    </row>
    <row r="12" spans="1:2">
      <c r="A12" s="1033" t="s">
        <v>2220</v>
      </c>
      <c r="B12">
        <v>-1</v>
      </c>
    </row>
    <row r="13" spans="1:2">
      <c r="A13" s="1033" t="s">
        <v>2221</v>
      </c>
      <c r="B13">
        <v>-1</v>
      </c>
    </row>
    <row r="14" spans="1:2">
      <c r="A14" s="1033" t="s">
        <v>694</v>
      </c>
      <c r="B14">
        <v>-1</v>
      </c>
    </row>
    <row r="15" spans="1:2">
      <c r="A15" s="1033" t="s">
        <v>1240</v>
      </c>
      <c r="B15">
        <v>-1</v>
      </c>
    </row>
    <row r="16" spans="1:2">
      <c r="A16" s="1033" t="s">
        <v>257</v>
      </c>
      <c r="B16">
        <v>-1</v>
      </c>
    </row>
    <row r="17" spans="1:2">
      <c r="A17" s="1033" t="s">
        <v>4</v>
      </c>
      <c r="B17">
        <v>-1</v>
      </c>
    </row>
    <row r="18" spans="1:2">
      <c r="A18" s="1033" t="s">
        <v>1601</v>
      </c>
      <c r="B18">
        <v>-1</v>
      </c>
    </row>
    <row r="19" spans="1:2">
      <c r="A19" s="1033" t="s">
        <v>1419</v>
      </c>
      <c r="B19">
        <v>-1</v>
      </c>
    </row>
    <row r="20" spans="1:2">
      <c r="A20" s="1033" t="s">
        <v>2222</v>
      </c>
      <c r="B20">
        <v>-1</v>
      </c>
    </row>
    <row r="21" spans="1:2">
      <c r="A21" s="1033" t="s">
        <v>2223</v>
      </c>
      <c r="B21">
        <v>-1</v>
      </c>
    </row>
    <row r="22" spans="1:2">
      <c r="A22" s="1033" t="s">
        <v>2224</v>
      </c>
      <c r="B22">
        <v>-1</v>
      </c>
    </row>
    <row r="23" spans="1:2">
      <c r="A23" s="1033" t="s">
        <v>695</v>
      </c>
      <c r="B23">
        <v>-1</v>
      </c>
    </row>
    <row r="24" spans="1:2">
      <c r="A24" s="1033" t="s">
        <v>424</v>
      </c>
      <c r="B24">
        <v>-1</v>
      </c>
    </row>
    <row r="25" spans="1:2">
      <c r="A25" s="1033" t="s">
        <v>2225</v>
      </c>
      <c r="B25">
        <v>-1</v>
      </c>
    </row>
    <row r="26" spans="1:2">
      <c r="A26" s="1033" t="s">
        <v>2226</v>
      </c>
      <c r="B26">
        <v>-1</v>
      </c>
    </row>
    <row r="27" spans="1:2">
      <c r="A27" s="1033" t="s">
        <v>2227</v>
      </c>
      <c r="B27">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1:B11"/>
  <sheetViews>
    <sheetView showGridLines="0" showRowColHeaders="0" workbookViewId="0">
      <selection activeCell="N1" sqref="N1"/>
    </sheetView>
  </sheetViews>
  <sheetFormatPr defaultRowHeight="12.75"/>
  <cols>
    <col min="1" max="1" width="9.140625" style="3620"/>
    <col min="2" max="2" width="88.28515625" style="3620" customWidth="1"/>
    <col min="3" max="257" width="9.140625" style="3620"/>
    <col min="258" max="258" width="88.28515625" style="3620" customWidth="1"/>
    <col min="259" max="513" width="9.140625" style="3620"/>
    <col min="514" max="514" width="88.28515625" style="3620" customWidth="1"/>
    <col min="515" max="769" width="9.140625" style="3620"/>
    <col min="770" max="770" width="88.28515625" style="3620" customWidth="1"/>
    <col min="771" max="1025" width="9.140625" style="3620"/>
    <col min="1026" max="1026" width="88.28515625" style="3620" customWidth="1"/>
    <col min="1027" max="1281" width="9.140625" style="3620"/>
    <col min="1282" max="1282" width="88.28515625" style="3620" customWidth="1"/>
    <col min="1283" max="1537" width="9.140625" style="3620"/>
    <col min="1538" max="1538" width="88.28515625" style="3620" customWidth="1"/>
    <col min="1539" max="1793" width="9.140625" style="3620"/>
    <col min="1794" max="1794" width="88.28515625" style="3620" customWidth="1"/>
    <col min="1795" max="2049" width="9.140625" style="3620"/>
    <col min="2050" max="2050" width="88.28515625" style="3620" customWidth="1"/>
    <col min="2051" max="2305" width="9.140625" style="3620"/>
    <col min="2306" max="2306" width="88.28515625" style="3620" customWidth="1"/>
    <col min="2307" max="2561" width="9.140625" style="3620"/>
    <col min="2562" max="2562" width="88.28515625" style="3620" customWidth="1"/>
    <col min="2563" max="2817" width="9.140625" style="3620"/>
    <col min="2818" max="2818" width="88.28515625" style="3620" customWidth="1"/>
    <col min="2819" max="3073" width="9.140625" style="3620"/>
    <col min="3074" max="3074" width="88.28515625" style="3620" customWidth="1"/>
    <col min="3075" max="3329" width="9.140625" style="3620"/>
    <col min="3330" max="3330" width="88.28515625" style="3620" customWidth="1"/>
    <col min="3331" max="3585" width="9.140625" style="3620"/>
    <col min="3586" max="3586" width="88.28515625" style="3620" customWidth="1"/>
    <col min="3587" max="3841" width="9.140625" style="3620"/>
    <col min="3842" max="3842" width="88.28515625" style="3620" customWidth="1"/>
    <col min="3843" max="4097" width="9.140625" style="3620"/>
    <col min="4098" max="4098" width="88.28515625" style="3620" customWidth="1"/>
    <col min="4099" max="4353" width="9.140625" style="3620"/>
    <col min="4354" max="4354" width="88.28515625" style="3620" customWidth="1"/>
    <col min="4355" max="4609" width="9.140625" style="3620"/>
    <col min="4610" max="4610" width="88.28515625" style="3620" customWidth="1"/>
    <col min="4611" max="4865" width="9.140625" style="3620"/>
    <col min="4866" max="4866" width="88.28515625" style="3620" customWidth="1"/>
    <col min="4867" max="5121" width="9.140625" style="3620"/>
    <col min="5122" max="5122" width="88.28515625" style="3620" customWidth="1"/>
    <col min="5123" max="5377" width="9.140625" style="3620"/>
    <col min="5378" max="5378" width="88.28515625" style="3620" customWidth="1"/>
    <col min="5379" max="5633" width="9.140625" style="3620"/>
    <col min="5634" max="5634" width="88.28515625" style="3620" customWidth="1"/>
    <col min="5635" max="5889" width="9.140625" style="3620"/>
    <col min="5890" max="5890" width="88.28515625" style="3620" customWidth="1"/>
    <col min="5891" max="6145" width="9.140625" style="3620"/>
    <col min="6146" max="6146" width="88.28515625" style="3620" customWidth="1"/>
    <col min="6147" max="6401" width="9.140625" style="3620"/>
    <col min="6402" max="6402" width="88.28515625" style="3620" customWidth="1"/>
    <col min="6403" max="6657" width="9.140625" style="3620"/>
    <col min="6658" max="6658" width="88.28515625" style="3620" customWidth="1"/>
    <col min="6659" max="6913" width="9.140625" style="3620"/>
    <col min="6914" max="6914" width="88.28515625" style="3620" customWidth="1"/>
    <col min="6915" max="7169" width="9.140625" style="3620"/>
    <col min="7170" max="7170" width="88.28515625" style="3620" customWidth="1"/>
    <col min="7171" max="7425" width="9.140625" style="3620"/>
    <col min="7426" max="7426" width="88.28515625" style="3620" customWidth="1"/>
    <col min="7427" max="7681" width="9.140625" style="3620"/>
    <col min="7682" max="7682" width="88.28515625" style="3620" customWidth="1"/>
    <col min="7683" max="7937" width="9.140625" style="3620"/>
    <col min="7938" max="7938" width="88.28515625" style="3620" customWidth="1"/>
    <col min="7939" max="8193" width="9.140625" style="3620"/>
    <col min="8194" max="8194" width="88.28515625" style="3620" customWidth="1"/>
    <col min="8195" max="8449" width="9.140625" style="3620"/>
    <col min="8450" max="8450" width="88.28515625" style="3620" customWidth="1"/>
    <col min="8451" max="8705" width="9.140625" style="3620"/>
    <col min="8706" max="8706" width="88.28515625" style="3620" customWidth="1"/>
    <col min="8707" max="8961" width="9.140625" style="3620"/>
    <col min="8962" max="8962" width="88.28515625" style="3620" customWidth="1"/>
    <col min="8963" max="9217" width="9.140625" style="3620"/>
    <col min="9218" max="9218" width="88.28515625" style="3620" customWidth="1"/>
    <col min="9219" max="9473" width="9.140625" style="3620"/>
    <col min="9474" max="9474" width="88.28515625" style="3620" customWidth="1"/>
    <col min="9475" max="9729" width="9.140625" style="3620"/>
    <col min="9730" max="9730" width="88.28515625" style="3620" customWidth="1"/>
    <col min="9731" max="9985" width="9.140625" style="3620"/>
    <col min="9986" max="9986" width="88.28515625" style="3620" customWidth="1"/>
    <col min="9987" max="10241" width="9.140625" style="3620"/>
    <col min="10242" max="10242" width="88.28515625" style="3620" customWidth="1"/>
    <col min="10243" max="10497" width="9.140625" style="3620"/>
    <col min="10498" max="10498" width="88.28515625" style="3620" customWidth="1"/>
    <col min="10499" max="10753" width="9.140625" style="3620"/>
    <col min="10754" max="10754" width="88.28515625" style="3620" customWidth="1"/>
    <col min="10755" max="11009" width="9.140625" style="3620"/>
    <col min="11010" max="11010" width="88.28515625" style="3620" customWidth="1"/>
    <col min="11011" max="11265" width="9.140625" style="3620"/>
    <col min="11266" max="11266" width="88.28515625" style="3620" customWidth="1"/>
    <col min="11267" max="11521" width="9.140625" style="3620"/>
    <col min="11522" max="11522" width="88.28515625" style="3620" customWidth="1"/>
    <col min="11523" max="11777" width="9.140625" style="3620"/>
    <col min="11778" max="11778" width="88.28515625" style="3620" customWidth="1"/>
    <col min="11779" max="12033" width="9.140625" style="3620"/>
    <col min="12034" max="12034" width="88.28515625" style="3620" customWidth="1"/>
    <col min="12035" max="12289" width="9.140625" style="3620"/>
    <col min="12290" max="12290" width="88.28515625" style="3620" customWidth="1"/>
    <col min="12291" max="12545" width="9.140625" style="3620"/>
    <col min="12546" max="12546" width="88.28515625" style="3620" customWidth="1"/>
    <col min="12547" max="12801" width="9.140625" style="3620"/>
    <col min="12802" max="12802" width="88.28515625" style="3620" customWidth="1"/>
    <col min="12803" max="13057" width="9.140625" style="3620"/>
    <col min="13058" max="13058" width="88.28515625" style="3620" customWidth="1"/>
    <col min="13059" max="13313" width="9.140625" style="3620"/>
    <col min="13314" max="13314" width="88.28515625" style="3620" customWidth="1"/>
    <col min="13315" max="13569" width="9.140625" style="3620"/>
    <col min="13570" max="13570" width="88.28515625" style="3620" customWidth="1"/>
    <col min="13571" max="13825" width="9.140625" style="3620"/>
    <col min="13826" max="13826" width="88.28515625" style="3620" customWidth="1"/>
    <col min="13827" max="14081" width="9.140625" style="3620"/>
    <col min="14082" max="14082" width="88.28515625" style="3620" customWidth="1"/>
    <col min="14083" max="14337" width="9.140625" style="3620"/>
    <col min="14338" max="14338" width="88.28515625" style="3620" customWidth="1"/>
    <col min="14339" max="14593" width="9.140625" style="3620"/>
    <col min="14594" max="14594" width="88.28515625" style="3620" customWidth="1"/>
    <col min="14595" max="14849" width="9.140625" style="3620"/>
    <col min="14850" max="14850" width="88.28515625" style="3620" customWidth="1"/>
    <col min="14851" max="15105" width="9.140625" style="3620"/>
    <col min="15106" max="15106" width="88.28515625" style="3620" customWidth="1"/>
    <col min="15107" max="15361" width="9.140625" style="3620"/>
    <col min="15362" max="15362" width="88.28515625" style="3620" customWidth="1"/>
    <col min="15363" max="15617" width="9.140625" style="3620"/>
    <col min="15618" max="15618" width="88.28515625" style="3620" customWidth="1"/>
    <col min="15619" max="15873" width="9.140625" style="3620"/>
    <col min="15874" max="15874" width="88.28515625" style="3620" customWidth="1"/>
    <col min="15875" max="16129" width="9.140625" style="3620"/>
    <col min="16130" max="16130" width="88.28515625" style="3620" customWidth="1"/>
    <col min="16131" max="16384" width="9.140625" style="3620"/>
  </cols>
  <sheetData>
    <row r="1" spans="2:2" ht="32.25" customHeight="1"/>
    <row r="2" spans="2:2" ht="72">
      <c r="B2" s="3627" t="s">
        <v>2202</v>
      </c>
    </row>
    <row r="3" spans="2:2" ht="72" hidden="1">
      <c r="B3" s="3627" t="s">
        <v>2203</v>
      </c>
    </row>
    <row r="4" spans="2:2" ht="18">
      <c r="B4" s="3627"/>
    </row>
    <row r="5" spans="2:2" ht="54">
      <c r="B5" s="3627" t="s">
        <v>2204</v>
      </c>
    </row>
    <row r="6" spans="2:2" ht="7.5" customHeight="1">
      <c r="B6" s="3627"/>
    </row>
    <row r="7" spans="2:2" ht="18">
      <c r="B7" s="3628" t="s">
        <v>2205</v>
      </c>
    </row>
    <row r="8" spans="2:2" ht="18">
      <c r="B8" s="3628" t="s">
        <v>2207</v>
      </c>
    </row>
    <row r="9" spans="2:2" ht="18">
      <c r="B9" s="3628" t="s">
        <v>2208</v>
      </c>
    </row>
    <row r="10" spans="2:2" ht="18">
      <c r="B10" s="3629"/>
    </row>
    <row r="11" spans="2:2" ht="54">
      <c r="B11" s="3630" t="s">
        <v>2206</v>
      </c>
    </row>
  </sheetData>
  <dataConsolidate/>
  <pageMargins left="0.75" right="0.75" top="1" bottom="1" header="0.5" footer="0.5"/>
  <pageSetup orientation="portrait"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10593" r:id="rId4" name="Button 1">
              <controlPr defaultSize="0" print="0" autoFill="0" autoPict="0" macro="[0]!ApplyCircRefs">
                <anchor moveWithCells="1" sizeWithCells="1">
                  <from>
                    <xdr:col>1</xdr:col>
                    <xdr:colOff>0</xdr:colOff>
                    <xdr:row>11</xdr:row>
                    <xdr:rowOff>152400</xdr:rowOff>
                  </from>
                  <to>
                    <xdr:col>1</xdr:col>
                    <xdr:colOff>2819400</xdr:colOff>
                    <xdr:row>14</xdr:row>
                    <xdr:rowOff>152400</xdr:rowOff>
                  </to>
                </anchor>
              </controlPr>
            </control>
          </mc:Choice>
        </mc:AlternateContent>
        <mc:AlternateContent xmlns:mc="http://schemas.openxmlformats.org/markup-compatibility/2006">
          <mc:Choice Requires="x14">
            <control shapeId="41710594" r:id="rId5" name="Button 2">
              <controlPr defaultSize="0" print="0" autoFill="0" autoPict="0" macro="[0]!JustUnhideSheets">
                <anchor moveWithCells="1" sizeWithCells="1">
                  <from>
                    <xdr:col>1</xdr:col>
                    <xdr:colOff>3067050</xdr:colOff>
                    <xdr:row>11</xdr:row>
                    <xdr:rowOff>152400</xdr:rowOff>
                  </from>
                  <to>
                    <xdr:col>2</xdr:col>
                    <xdr:colOff>0</xdr:colOff>
                    <xdr:row>14</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pageSetUpPr fitToPage="1"/>
  </sheetPr>
  <dimension ref="A1:AS64"/>
  <sheetViews>
    <sheetView showGridLines="0" zoomScaleNormal="100" workbookViewId="0">
      <pane xSplit="3" ySplit="8" topLeftCell="D9" activePane="bottomRight" state="frozen"/>
      <selection activeCell="S18" sqref="S18"/>
      <selection pane="topRight" activeCell="S18" sqref="S18"/>
      <selection pane="bottomLeft" activeCell="S18" sqref="S18"/>
      <selection pane="bottomRight" activeCell="AG37" sqref="AG37"/>
    </sheetView>
  </sheetViews>
  <sheetFormatPr defaultColWidth="8" defaultRowHeight="12.75" outlineLevelCol="1"/>
  <cols>
    <col min="1" max="1" width="41.28515625" style="1577" customWidth="1"/>
    <col min="2" max="2" width="15.28515625" style="1577" hidden="1" customWidth="1" outlineLevel="1"/>
    <col min="3" max="3" width="1.5703125" style="1684" hidden="1" customWidth="1" outlineLevel="1"/>
    <col min="4" max="4" width="12.7109375" style="1577" hidden="1" customWidth="1" outlineLevel="1"/>
    <col min="5" max="5" width="12.5703125" style="1577" hidden="1" customWidth="1" outlineLevel="1"/>
    <col min="6" max="7" width="10.140625" style="1577" hidden="1" customWidth="1" outlineLevel="1"/>
    <col min="8" max="8" width="11.85546875" style="1577" hidden="1" customWidth="1" outlineLevel="1"/>
    <col min="9" max="9" width="10.140625" style="1577" hidden="1" customWidth="1" outlineLevel="1"/>
    <col min="10" max="10" width="10.140625" style="1577" customWidth="1" collapsed="1"/>
    <col min="11" max="12" width="10.140625" style="1577" customWidth="1"/>
    <col min="13" max="13" width="3.7109375" style="1577" customWidth="1"/>
    <col min="14" max="19" width="10.140625" style="1577" hidden="1" customWidth="1" outlineLevel="1"/>
    <col min="20" max="20" width="10.140625" style="1577" customWidth="1" collapsed="1"/>
    <col min="21" max="22" width="10" style="1577" customWidth="1"/>
    <col min="23" max="23" width="2.5703125" style="1577" customWidth="1"/>
    <col min="24" max="24" width="10.7109375" style="1577" customWidth="1"/>
    <col min="25" max="26" width="10.7109375" customWidth="1"/>
    <col min="27" max="29" width="8" customWidth="1"/>
    <col min="34" max="34" width="9.7109375" bestFit="1" customWidth="1"/>
    <col min="35" max="35" width="10.7109375" bestFit="1" customWidth="1"/>
    <col min="38" max="38" width="15" bestFit="1" customWidth="1"/>
  </cols>
  <sheetData>
    <row r="1" spans="1:45" ht="15.75">
      <c r="A1" s="1928" t="s">
        <v>1291</v>
      </c>
      <c r="B1" s="1928"/>
      <c r="C1" s="1929"/>
      <c r="D1" s="1930"/>
      <c r="E1" s="1930"/>
      <c r="F1" s="1930"/>
      <c r="G1" s="1930"/>
      <c r="H1" s="1930"/>
      <c r="I1" s="1930"/>
      <c r="J1" s="1930"/>
      <c r="K1" s="1930"/>
      <c r="L1" s="1930"/>
      <c r="M1" s="1930"/>
      <c r="N1" s="1930"/>
      <c r="O1" s="1930"/>
      <c r="P1" s="1930"/>
      <c r="Q1" s="1930"/>
      <c r="R1" s="1930"/>
      <c r="S1" s="1930"/>
      <c r="T1" s="1930"/>
      <c r="U1" s="1930"/>
      <c r="V1" s="1930"/>
      <c r="W1" s="1930"/>
      <c r="X1" s="1930"/>
      <c r="Y1" s="794"/>
    </row>
    <row r="2" spans="1:45" ht="15.75">
      <c r="A2" s="1931" t="s">
        <v>335</v>
      </c>
      <c r="B2" s="1931"/>
      <c r="C2" s="1932"/>
      <c r="D2" s="1932"/>
      <c r="E2" s="1932"/>
      <c r="F2" s="1932"/>
      <c r="G2" s="1932"/>
      <c r="H2" s="1932"/>
      <c r="I2" s="1932"/>
      <c r="J2" s="1932"/>
      <c r="K2" s="1932"/>
      <c r="L2" s="1932"/>
      <c r="M2" s="1932"/>
      <c r="N2" s="1932"/>
      <c r="O2" s="1932"/>
      <c r="P2" s="1932"/>
      <c r="Q2" s="1932"/>
      <c r="R2" s="1932"/>
      <c r="S2" s="1932"/>
      <c r="T2" s="1932"/>
      <c r="U2" s="1932"/>
      <c r="V2" s="1932"/>
      <c r="W2" s="1932"/>
      <c r="X2" s="1930"/>
      <c r="Y2" s="794"/>
    </row>
    <row r="3" spans="1:45" ht="11.25" hidden="1" customHeight="1">
      <c r="B3" s="1933"/>
      <c r="C3" s="1929"/>
      <c r="D3" s="1929"/>
      <c r="E3" s="1929"/>
      <c r="F3" s="1929"/>
      <c r="G3" s="1929"/>
      <c r="H3" s="1929"/>
      <c r="I3" s="1929"/>
      <c r="J3" s="1929"/>
      <c r="K3" s="1929"/>
      <c r="L3" s="1929"/>
      <c r="M3" s="1929"/>
      <c r="N3" s="1929"/>
      <c r="O3" s="1929"/>
      <c r="P3" s="1929"/>
      <c r="Q3" s="1929"/>
      <c r="R3" s="1929"/>
      <c r="S3" s="1929"/>
      <c r="T3" s="1929"/>
      <c r="U3" s="1929"/>
      <c r="V3" s="1929"/>
      <c r="W3" s="1929"/>
      <c r="X3" s="1930"/>
      <c r="Y3" s="794"/>
    </row>
    <row r="4" spans="1:45" ht="11.25" hidden="1" customHeight="1">
      <c r="A4" s="1934"/>
      <c r="B4" s="1934"/>
      <c r="C4" s="1929"/>
      <c r="D4" s="1930"/>
      <c r="E4" s="1930"/>
      <c r="F4" s="1930"/>
      <c r="G4" s="1930"/>
      <c r="H4" s="1930"/>
      <c r="I4" s="1930"/>
      <c r="J4" s="1930"/>
      <c r="K4" s="1930"/>
      <c r="L4" s="1930"/>
      <c r="M4" s="1930"/>
      <c r="N4" s="1930"/>
      <c r="O4" s="1930"/>
      <c r="P4" s="1930"/>
      <c r="Q4" s="1930"/>
      <c r="R4" s="1930"/>
      <c r="S4" s="1930"/>
      <c r="T4" s="1930"/>
      <c r="U4" s="1930"/>
      <c r="V4" s="1930"/>
      <c r="W4" s="1930"/>
      <c r="X4" s="1930"/>
      <c r="Y4" s="794"/>
    </row>
    <row r="5" spans="1:45" ht="11.25" hidden="1" customHeight="1" thickBot="1">
      <c r="A5" s="1934"/>
      <c r="B5" s="1934"/>
      <c r="C5" s="1929"/>
      <c r="D5" s="1935"/>
      <c r="E5" s="1935"/>
      <c r="F5" s="1935"/>
      <c r="G5" s="1935"/>
      <c r="H5" s="2252"/>
      <c r="I5" s="1929"/>
      <c r="J5" s="1929"/>
      <c r="K5" s="1929"/>
      <c r="L5" s="1929"/>
      <c r="M5" s="1929"/>
      <c r="N5" s="1929"/>
      <c r="O5" s="1929"/>
      <c r="P5" s="1929"/>
      <c r="Q5" s="1929"/>
      <c r="R5" s="1929"/>
      <c r="S5" s="1929"/>
      <c r="T5" s="1929"/>
      <c r="U5" s="1929"/>
      <c r="V5" s="1929"/>
      <c r="W5" s="1930"/>
      <c r="X5" s="1930"/>
      <c r="Y5" s="794"/>
    </row>
    <row r="6" spans="1:45" ht="11.25" customHeight="1">
      <c r="A6" s="1936" t="s">
        <v>784</v>
      </c>
      <c r="B6" s="1934"/>
      <c r="C6" s="1929"/>
      <c r="D6" s="1937"/>
      <c r="E6" s="1937"/>
      <c r="F6" s="1937"/>
      <c r="G6" s="1937"/>
      <c r="H6" s="1938"/>
      <c r="I6" s="1938"/>
      <c r="J6" s="1938"/>
      <c r="K6" s="1938"/>
      <c r="L6" s="1938"/>
      <c r="M6" s="1938"/>
      <c r="N6" s="1938"/>
      <c r="O6" s="1938"/>
      <c r="P6" s="1938"/>
      <c r="Q6" s="1938"/>
      <c r="R6" s="1938"/>
      <c r="S6" s="1938"/>
      <c r="T6" s="1938"/>
      <c r="U6" s="1938"/>
      <c r="V6" s="1938"/>
      <c r="W6" s="1930"/>
      <c r="X6" s="1930"/>
      <c r="Y6" s="794"/>
    </row>
    <row r="7" spans="1:45" ht="11.25" customHeight="1">
      <c r="A7" s="1930"/>
      <c r="B7" s="1930"/>
      <c r="C7" s="1938"/>
      <c r="D7" s="1937"/>
      <c r="E7" s="1937"/>
      <c r="F7" s="1937"/>
      <c r="G7" s="1937"/>
      <c r="H7" s="1937"/>
      <c r="I7" s="1937"/>
      <c r="J7" s="1937" t="s">
        <v>1166</v>
      </c>
      <c r="K7" s="1937"/>
      <c r="L7" s="1937"/>
      <c r="M7" s="1930"/>
      <c r="N7" s="1937"/>
      <c r="O7" s="1937"/>
      <c r="P7" s="1937"/>
      <c r="Q7" s="1937"/>
      <c r="R7" s="1937"/>
      <c r="S7" s="1937" t="s">
        <v>648</v>
      </c>
      <c r="T7" s="1937" t="s">
        <v>648</v>
      </c>
      <c r="U7" s="1937"/>
      <c r="V7" s="1937"/>
      <c r="W7" s="1939"/>
      <c r="X7" s="1930"/>
      <c r="Y7" s="794"/>
    </row>
    <row r="8" spans="1:45" ht="11.25" customHeight="1" thickBot="1">
      <c r="A8" s="1940" t="s">
        <v>643</v>
      </c>
      <c r="B8" s="1940"/>
      <c r="C8" s="1933"/>
      <c r="D8" s="1941" t="s">
        <v>664</v>
      </c>
      <c r="E8" s="1941" t="s">
        <v>665</v>
      </c>
      <c r="F8" s="1941" t="s">
        <v>666</v>
      </c>
      <c r="G8" s="1941" t="s">
        <v>667</v>
      </c>
      <c r="H8" s="1941" t="s">
        <v>669</v>
      </c>
      <c r="I8" s="1941" t="s">
        <v>221</v>
      </c>
      <c r="J8" s="1942" t="s">
        <v>469</v>
      </c>
      <c r="K8" s="1942" t="s">
        <v>618</v>
      </c>
      <c r="L8" s="1942" t="s">
        <v>385</v>
      </c>
      <c r="M8" s="1943"/>
      <c r="N8" s="1944" t="str">
        <f t="shared" ref="N8:V9" si="0">+D8</f>
        <v>2011E</v>
      </c>
      <c r="O8" s="1944" t="str">
        <f t="shared" si="0"/>
        <v>2012E</v>
      </c>
      <c r="P8" s="1944" t="str">
        <f t="shared" si="0"/>
        <v>2013E</v>
      </c>
      <c r="Q8" s="1944" t="str">
        <f t="shared" si="0"/>
        <v>2014E</v>
      </c>
      <c r="R8" s="1944" t="str">
        <f t="shared" si="0"/>
        <v>2015E</v>
      </c>
      <c r="S8" s="1944" t="str">
        <f t="shared" si="0"/>
        <v>2016E</v>
      </c>
      <c r="T8" s="1944" t="str">
        <f t="shared" si="0"/>
        <v>2017E</v>
      </c>
      <c r="U8" s="1944" t="str">
        <f t="shared" si="0"/>
        <v>2018E</v>
      </c>
      <c r="V8" s="1944" t="str">
        <f t="shared" si="0"/>
        <v>2019E</v>
      </c>
      <c r="W8" s="1939"/>
      <c r="X8" s="1930"/>
      <c r="Y8" s="794"/>
    </row>
    <row r="9" spans="1:45" ht="11.25" customHeight="1" thickBot="1">
      <c r="A9" s="1945" t="s">
        <v>1167</v>
      </c>
      <c r="B9" s="1930"/>
      <c r="C9" s="1946"/>
      <c r="D9" s="1947">
        <f>+'GAAP Financial Statements'!T109</f>
        <v>44</v>
      </c>
      <c r="E9" s="1947">
        <f>+'GAAP Financial Statements'!U109</f>
        <v>43</v>
      </c>
      <c r="F9" s="1947">
        <f>+'GAAP Financial Statements'!V109</f>
        <v>39</v>
      </c>
      <c r="G9" s="1947">
        <f>+'GAAP Financial Statements'!W109</f>
        <v>38</v>
      </c>
      <c r="H9" s="2254">
        <f>+'GAAP Financial Statements'!Z109</f>
        <v>38</v>
      </c>
      <c r="I9" s="1947">
        <f>+'GAAP Financial Statements'!AA109</f>
        <v>38</v>
      </c>
      <c r="J9" s="1947">
        <f>+'GAAP Financial Statements'!AC109</f>
        <v>38</v>
      </c>
      <c r="K9" s="1947">
        <f>+'GAAP Financial Statements'!AD109</f>
        <v>38</v>
      </c>
      <c r="L9" s="1947">
        <f>+'GAAP Financial Statements'!AE109</f>
        <v>38</v>
      </c>
      <c r="M9" s="2381"/>
      <c r="N9" s="1947">
        <f t="shared" si="0"/>
        <v>44</v>
      </c>
      <c r="O9" s="1947">
        <f t="shared" si="0"/>
        <v>43</v>
      </c>
      <c r="P9" s="1947">
        <f t="shared" si="0"/>
        <v>39</v>
      </c>
      <c r="Q9" s="1947">
        <f t="shared" si="0"/>
        <v>38</v>
      </c>
      <c r="R9" s="1947">
        <f t="shared" si="0"/>
        <v>38</v>
      </c>
      <c r="S9" s="1947">
        <f t="shared" si="0"/>
        <v>38</v>
      </c>
      <c r="T9" s="1947">
        <f t="shared" si="0"/>
        <v>38</v>
      </c>
      <c r="U9" s="1947">
        <f t="shared" si="0"/>
        <v>38</v>
      </c>
      <c r="V9" s="1947">
        <f t="shared" si="0"/>
        <v>38</v>
      </c>
      <c r="W9" s="1948"/>
      <c r="X9" s="1930"/>
      <c r="Y9" s="2173" t="s">
        <v>1596</v>
      </c>
      <c r="Z9" s="2534">
        <v>1</v>
      </c>
      <c r="AA9" s="3542" t="s">
        <v>1598</v>
      </c>
      <c r="AB9" s="3543">
        <v>90</v>
      </c>
      <c r="AC9" s="3241">
        <f>AB9/J12-1</f>
        <v>0.54506437768240334</v>
      </c>
    </row>
    <row r="10" spans="1:45" ht="11.25" customHeight="1">
      <c r="A10" s="1949" t="s">
        <v>1183</v>
      </c>
      <c r="B10" s="1930"/>
      <c r="C10" s="1950"/>
      <c r="D10" s="1951">
        <v>29.5</v>
      </c>
      <c r="E10" s="1952">
        <f>E12</f>
        <v>58.95</v>
      </c>
      <c r="F10" s="1952">
        <f>F12</f>
        <v>58.95</v>
      </c>
      <c r="G10" s="1951">
        <v>52.49</v>
      </c>
      <c r="H10" s="2253">
        <f>I10</f>
        <v>58.39</v>
      </c>
      <c r="I10" s="2253">
        <f>J10</f>
        <v>58.39</v>
      </c>
      <c r="J10" s="1951">
        <v>58.39</v>
      </c>
      <c r="K10" s="1952">
        <f>J10</f>
        <v>58.39</v>
      </c>
      <c r="L10" s="1952">
        <f>K10</f>
        <v>58.39</v>
      </c>
      <c r="M10" s="1948"/>
      <c r="N10" s="1952">
        <f t="shared" ref="N10:V10" si="1">N12*(D10/D12)</f>
        <v>67.383271750083978</v>
      </c>
      <c r="O10" s="1952">
        <f t="shared" si="1"/>
        <v>68</v>
      </c>
      <c r="P10" s="1952">
        <f t="shared" si="1"/>
        <v>68</v>
      </c>
      <c r="Q10" s="1952">
        <f t="shared" si="1"/>
        <v>68.116793893129767</v>
      </c>
      <c r="R10" s="1952">
        <f t="shared" si="1"/>
        <v>68.163433476394857</v>
      </c>
      <c r="S10" s="1952">
        <f>S12*(I10/I12)</f>
        <v>68.163433476394857</v>
      </c>
      <c r="T10" s="1952">
        <f t="shared" si="1"/>
        <v>68.163433476394857</v>
      </c>
      <c r="U10" s="1952">
        <f t="shared" si="1"/>
        <v>68.163433476394857</v>
      </c>
      <c r="V10" s="1952">
        <f t="shared" si="1"/>
        <v>68.163433476394857</v>
      </c>
      <c r="W10" s="1930"/>
      <c r="X10" s="1930"/>
      <c r="Y10" s="3590" t="s">
        <v>1528</v>
      </c>
      <c r="Z10" s="3590"/>
      <c r="AA10" s="3544" t="s">
        <v>1599</v>
      </c>
      <c r="AB10" s="3543">
        <v>68</v>
      </c>
      <c r="AC10" s="3241">
        <f>AB10/J12-1</f>
        <v>0.16738197424892709</v>
      </c>
    </row>
    <row r="11" spans="1:45" ht="11.25" customHeight="1">
      <c r="A11" s="1945" t="s">
        <v>1184</v>
      </c>
      <c r="B11" s="1930"/>
      <c r="C11" s="1950"/>
      <c r="D11" s="1953">
        <f>+'GAAP Financial Statements'!T115+'GAAP Financial Statements'!T122</f>
        <v>624</v>
      </c>
      <c r="E11" s="1953">
        <f>+'GAAP Financial Statements'!U115+'GAAP Financial Statements'!U122</f>
        <v>604</v>
      </c>
      <c r="F11" s="1953">
        <f>+'GAAP Financial Statements'!V115+'GAAP Financial Statements'!V122</f>
        <v>572.75</v>
      </c>
      <c r="G11" s="1953">
        <f>+'GAAP Financial Statements'!W115+'GAAP Financial Statements'!W122</f>
        <v>480</v>
      </c>
      <c r="H11" s="2255">
        <f>+'GAAP Financial Statements'!Z115+'GAAP Financial Statements'!Z122</f>
        <v>430.5</v>
      </c>
      <c r="I11" s="2255">
        <f>+'GAAP Financial Statements'!AA115+'GAAP Financial Statements'!AA122</f>
        <v>378.5</v>
      </c>
      <c r="J11" s="1953">
        <f>+'GAAP Financial Statements'!AC115+'GAAP Financial Statements'!AC122</f>
        <v>350.22469906209562</v>
      </c>
      <c r="K11" s="1953">
        <f>+'GAAP Financial Statements'!AD115+'GAAP Financial Statements'!AD122</f>
        <v>337.19157808755881</v>
      </c>
      <c r="L11" s="3446">
        <f>+'GAAP Financial Statements'!AE115+'GAAP Financial Statements'!AE122</f>
        <v>315.98550807213053</v>
      </c>
      <c r="M11" s="3458"/>
      <c r="N11" s="3446">
        <f t="shared" ref="N11:V11" si="2">D11</f>
        <v>624</v>
      </c>
      <c r="O11" s="3446">
        <f t="shared" si="2"/>
        <v>604</v>
      </c>
      <c r="P11" s="3446">
        <f t="shared" si="2"/>
        <v>572.75</v>
      </c>
      <c r="Q11" s="3446">
        <f t="shared" si="2"/>
        <v>480</v>
      </c>
      <c r="R11" s="3446">
        <f t="shared" si="2"/>
        <v>430.5</v>
      </c>
      <c r="S11" s="3446">
        <f t="shared" si="2"/>
        <v>378.5</v>
      </c>
      <c r="T11" s="3446">
        <f t="shared" si="2"/>
        <v>350.22469906209562</v>
      </c>
      <c r="U11" s="3446">
        <f t="shared" si="2"/>
        <v>337.19157808755881</v>
      </c>
      <c r="V11" s="3446">
        <f t="shared" si="2"/>
        <v>315.98550807213053</v>
      </c>
      <c r="W11" s="1930"/>
      <c r="X11" s="1953"/>
      <c r="AA11" s="3544" t="s">
        <v>1600</v>
      </c>
      <c r="AB11" s="3543">
        <v>47</v>
      </c>
      <c r="AC11" s="3241">
        <f>AB11/J12-1</f>
        <v>-0.19313304721030045</v>
      </c>
    </row>
    <row r="12" spans="1:45" ht="11.25" customHeight="1">
      <c r="A12" s="1949" t="s">
        <v>1183</v>
      </c>
      <c r="B12" s="1930"/>
      <c r="C12" s="1950"/>
      <c r="D12" s="1951">
        <v>29.77</v>
      </c>
      <c r="E12" s="1952">
        <f>F12</f>
        <v>58.95</v>
      </c>
      <c r="F12" s="1951">
        <v>58.95</v>
      </c>
      <c r="G12" s="1951">
        <v>52.4</v>
      </c>
      <c r="H12" s="2253">
        <f>I12</f>
        <v>58.25</v>
      </c>
      <c r="I12" s="2253">
        <f>J12</f>
        <v>58.25</v>
      </c>
      <c r="J12" s="1951">
        <v>58.25</v>
      </c>
      <c r="K12" s="1952">
        <f>J12</f>
        <v>58.25</v>
      </c>
      <c r="L12" s="3459">
        <f>K12</f>
        <v>58.25</v>
      </c>
      <c r="M12" s="3458"/>
      <c r="N12" s="3460">
        <f t="shared" ref="N12:R12" si="3">O12</f>
        <v>68</v>
      </c>
      <c r="O12" s="3460">
        <f t="shared" si="3"/>
        <v>68</v>
      </c>
      <c r="P12" s="3460">
        <f t="shared" si="3"/>
        <v>68</v>
      </c>
      <c r="Q12" s="3460">
        <f t="shared" si="3"/>
        <v>68</v>
      </c>
      <c r="R12" s="3460">
        <f t="shared" si="3"/>
        <v>68</v>
      </c>
      <c r="S12" s="3460">
        <f>T12</f>
        <v>68</v>
      </c>
      <c r="T12" s="3461">
        <v>68</v>
      </c>
      <c r="U12" s="3459">
        <f>T12</f>
        <v>68</v>
      </c>
      <c r="V12" s="3459">
        <f>U12</f>
        <v>68</v>
      </c>
      <c r="W12" s="1930"/>
      <c r="X12" s="1953"/>
    </row>
    <row r="13" spans="1:45" ht="11.25" customHeight="1">
      <c r="A13" s="1954" t="s">
        <v>1168</v>
      </c>
      <c r="B13" s="1930"/>
      <c r="C13" s="1955"/>
      <c r="D13" s="1956">
        <f t="shared" ref="D13:L13" si="4">D10*D9+D11*D12</f>
        <v>19874.48</v>
      </c>
      <c r="E13" s="1956">
        <f t="shared" si="4"/>
        <v>38140.65</v>
      </c>
      <c r="F13" s="1956">
        <f t="shared" si="4"/>
        <v>36062.662500000006</v>
      </c>
      <c r="G13" s="1956">
        <f t="shared" si="4"/>
        <v>27146.62</v>
      </c>
      <c r="H13" s="1956">
        <f t="shared" si="4"/>
        <v>27295.445</v>
      </c>
      <c r="I13" s="1956">
        <f>I10*I9+I11*I12</f>
        <v>24266.445</v>
      </c>
      <c r="J13" s="1956">
        <f>J10*J9+J11*J12</f>
        <v>22619.408720367072</v>
      </c>
      <c r="K13" s="1956">
        <f t="shared" si="4"/>
        <v>21860.2294236003</v>
      </c>
      <c r="L13" s="3462">
        <f t="shared" si="4"/>
        <v>20624.975845201603</v>
      </c>
      <c r="M13" s="3462"/>
      <c r="N13" s="3462">
        <f t="shared" ref="N13:S13" si="5">N10*N9+N11*N12</f>
        <v>45396.863957003698</v>
      </c>
      <c r="O13" s="3462">
        <f t="shared" si="5"/>
        <v>43996</v>
      </c>
      <c r="P13" s="3462">
        <f t="shared" si="5"/>
        <v>41599</v>
      </c>
      <c r="Q13" s="3462">
        <f t="shared" si="5"/>
        <v>35228.438167938933</v>
      </c>
      <c r="R13" s="3462">
        <f t="shared" si="5"/>
        <v>31864.210472103005</v>
      </c>
      <c r="S13" s="3462">
        <f t="shared" si="5"/>
        <v>28328.210472103005</v>
      </c>
      <c r="T13" s="3462">
        <f>T10*T9+T11*T12</f>
        <v>26405.490008325505</v>
      </c>
      <c r="U13" s="3462">
        <f>U10*U9+U11*U12</f>
        <v>25519.237782057004</v>
      </c>
      <c r="V13" s="3462">
        <f>V10*V9+V11*V12</f>
        <v>24077.225021007882</v>
      </c>
      <c r="W13" s="1930"/>
      <c r="X13" s="1953"/>
      <c r="Y13" s="794"/>
      <c r="Z13" s="1814"/>
    </row>
    <row r="14" spans="1:45" ht="11.25" customHeight="1">
      <c r="A14" s="1930"/>
      <c r="B14" s="1930"/>
      <c r="C14" s="1929"/>
      <c r="D14" s="1957"/>
      <c r="E14" s="1957"/>
      <c r="F14" s="1957"/>
      <c r="G14" s="1957"/>
      <c r="H14" s="1957"/>
      <c r="I14" s="1957"/>
      <c r="J14" s="1957"/>
      <c r="K14" s="1957"/>
      <c r="L14" s="3463"/>
      <c r="M14" s="3447"/>
      <c r="N14" s="3464"/>
      <c r="O14" s="3447"/>
      <c r="P14" s="3463"/>
      <c r="Q14" s="3447"/>
      <c r="R14" s="3447"/>
      <c r="S14" s="3447"/>
      <c r="T14" s="3447"/>
      <c r="U14" s="3447"/>
      <c r="V14" s="3447"/>
      <c r="W14" s="1958"/>
      <c r="X14" s="1953"/>
      <c r="Y14" s="794"/>
      <c r="Z14" s="1814"/>
      <c r="AA14" s="1814"/>
      <c r="AB14" s="1814"/>
      <c r="AC14" s="1814"/>
      <c r="AD14" s="1814"/>
      <c r="AE14" s="1814"/>
      <c r="AF14" s="1814"/>
      <c r="AG14" s="1814"/>
    </row>
    <row r="15" spans="1:45" ht="11.25" customHeight="1">
      <c r="A15" s="1929" t="s">
        <v>232</v>
      </c>
      <c r="B15" s="1930"/>
      <c r="C15" s="1929"/>
      <c r="D15" s="1110"/>
      <c r="E15" s="1959"/>
      <c r="F15" s="1930"/>
      <c r="G15" s="1930"/>
      <c r="H15" s="1930"/>
      <c r="I15" s="1930"/>
      <c r="J15" s="1930"/>
      <c r="K15" s="1930"/>
      <c r="L15" s="1930"/>
      <c r="M15" s="1930"/>
      <c r="N15" s="2382"/>
      <c r="O15" s="1930"/>
      <c r="P15" s="1930"/>
      <c r="Q15" s="1930"/>
      <c r="R15" s="1930"/>
      <c r="S15" s="1930"/>
      <c r="T15" s="1930"/>
      <c r="U15" s="1930"/>
      <c r="V15" s="1930"/>
      <c r="W15" s="1930"/>
      <c r="X15" s="1953"/>
      <c r="Y15" s="794"/>
      <c r="Z15" s="1814"/>
      <c r="AA15" s="1814"/>
      <c r="AB15" s="1814"/>
      <c r="AC15" s="1814"/>
      <c r="AD15" s="1814"/>
      <c r="AE15" s="1814"/>
      <c r="AF15" s="1814"/>
      <c r="AG15" s="1814"/>
    </row>
    <row r="16" spans="1:45" ht="11.25" customHeight="1">
      <c r="A16" s="1960" t="s">
        <v>1169</v>
      </c>
      <c r="B16" s="1930"/>
      <c r="C16" s="1961"/>
      <c r="D16" s="1962">
        <f>'FMV Summary'!D28</f>
        <v>5982</v>
      </c>
      <c r="E16" s="1962">
        <f>'GAAP Financial Statements'!U362</f>
        <v>5922</v>
      </c>
      <c r="F16" s="1962">
        <f>'GAAP Financial Statements'!V362</f>
        <v>6436</v>
      </c>
      <c r="G16" s="1962">
        <f>'GAAP Financial Statements'!W362</f>
        <v>7146</v>
      </c>
      <c r="H16" s="1962">
        <f>'GAAP Financial Statements'!Z362</f>
        <v>8448</v>
      </c>
      <c r="I16" s="1962">
        <f>'GAAP Financial Statements'!AA362</f>
        <v>9375</v>
      </c>
      <c r="J16" s="1962">
        <f ca="1">'GAAP Financial Statements'!AC362</f>
        <v>10051.010764559165</v>
      </c>
      <c r="K16" s="1962">
        <f ca="1">'GAAP Financial Statements'!AD362</f>
        <v>9972</v>
      </c>
      <c r="L16" s="1962">
        <f ca="1">'GAAP Financial Statements'!AE362</f>
        <v>9683.5691986310521</v>
      </c>
      <c r="M16" s="1963"/>
      <c r="N16" s="1962">
        <f t="shared" ref="N16:V18" si="6">+D16</f>
        <v>5982</v>
      </c>
      <c r="O16" s="1962">
        <f t="shared" si="6"/>
        <v>5922</v>
      </c>
      <c r="P16" s="1962">
        <f t="shared" si="6"/>
        <v>6436</v>
      </c>
      <c r="Q16" s="1962">
        <f t="shared" si="6"/>
        <v>7146</v>
      </c>
      <c r="R16" s="1962">
        <f t="shared" si="6"/>
        <v>8448</v>
      </c>
      <c r="S16" s="1962">
        <f t="shared" si="6"/>
        <v>9375</v>
      </c>
      <c r="T16" s="1962">
        <f t="shared" ca="1" si="6"/>
        <v>10051.010764559165</v>
      </c>
      <c r="U16" s="1962">
        <f t="shared" ca="1" si="6"/>
        <v>9972</v>
      </c>
      <c r="V16" s="1962">
        <f t="shared" ca="1" si="6"/>
        <v>9683.5691986310521</v>
      </c>
      <c r="W16" s="1930"/>
      <c r="X16" s="1953"/>
      <c r="Y16" s="794"/>
      <c r="Z16" s="1814"/>
      <c r="AA16" s="1814"/>
      <c r="AB16" s="1814"/>
      <c r="AC16" s="1814"/>
      <c r="AD16" s="1814"/>
      <c r="AE16" s="1814"/>
      <c r="AF16" s="1814"/>
      <c r="AG16" s="1814"/>
      <c r="AS16" s="1096"/>
    </row>
    <row r="17" spans="1:33" ht="11.25" customHeight="1">
      <c r="A17" s="1949" t="s">
        <v>1170</v>
      </c>
      <c r="B17" s="1930"/>
      <c r="C17" s="1961"/>
      <c r="D17" s="1963">
        <f>'FMV Summary'!D30</f>
        <v>0</v>
      </c>
      <c r="E17" s="1963">
        <f>'FMV Summary'!E30</f>
        <v>0</v>
      </c>
      <c r="F17" s="1963">
        <f>'FMV Summary'!F30</f>
        <v>0</v>
      </c>
      <c r="G17" s="1963">
        <f>'FMV Summary'!G30</f>
        <v>0</v>
      </c>
      <c r="H17" s="1963">
        <f>'FMV Summary'!H30</f>
        <v>0</v>
      </c>
      <c r="I17" s="1963">
        <f>'FMV Summary'!I30</f>
        <v>0</v>
      </c>
      <c r="J17" s="3445">
        <f>'FMV Summary'!J30</f>
        <v>0</v>
      </c>
      <c r="K17" s="3445">
        <f>'FMV Summary'!K30</f>
        <v>0</v>
      </c>
      <c r="L17" s="3445">
        <f>'FMV Summary'!L30</f>
        <v>0</v>
      </c>
      <c r="M17" s="3445"/>
      <c r="N17" s="3445">
        <f t="shared" si="6"/>
        <v>0</v>
      </c>
      <c r="O17" s="3445">
        <f t="shared" si="6"/>
        <v>0</v>
      </c>
      <c r="P17" s="3445">
        <f t="shared" si="6"/>
        <v>0</v>
      </c>
      <c r="Q17" s="3445">
        <f t="shared" si="6"/>
        <v>0</v>
      </c>
      <c r="R17" s="3445">
        <f t="shared" si="6"/>
        <v>0</v>
      </c>
      <c r="S17" s="3445">
        <f t="shared" si="6"/>
        <v>0</v>
      </c>
      <c r="T17" s="3445">
        <f t="shared" si="6"/>
        <v>0</v>
      </c>
      <c r="U17" s="3445">
        <f t="shared" si="6"/>
        <v>0</v>
      </c>
      <c r="V17" s="3445">
        <f t="shared" si="6"/>
        <v>0</v>
      </c>
      <c r="W17" s="3445"/>
      <c r="X17" s="3446"/>
      <c r="Y17" s="794"/>
      <c r="Z17" s="1814"/>
      <c r="AA17" s="1814"/>
      <c r="AB17" s="1814"/>
      <c r="AC17" s="1814"/>
      <c r="AD17" s="1814"/>
      <c r="AE17" s="1814"/>
      <c r="AF17" s="1814"/>
      <c r="AG17" s="1814"/>
    </row>
    <row r="18" spans="1:33" ht="11.25" customHeight="1">
      <c r="A18" s="1949" t="s">
        <v>231</v>
      </c>
      <c r="B18" s="1930"/>
      <c r="C18" s="1961"/>
      <c r="D18" s="1963">
        <f>'FMV Summary'!D29</f>
        <v>1839</v>
      </c>
      <c r="E18" s="1963">
        <f>'FMV Summary'!E29</f>
        <v>1860</v>
      </c>
      <c r="F18" s="1963">
        <f>'FMV Summary'!F29</f>
        <v>1330</v>
      </c>
      <c r="G18" s="1963">
        <f>'FMV Summary'!G29</f>
        <v>1560</v>
      </c>
      <c r="H18" s="1963">
        <f>'FMV Summary'!H29</f>
        <v>1575</v>
      </c>
      <c r="I18" s="1963">
        <f>'FMV Summary'!I29</f>
        <v>1769</v>
      </c>
      <c r="J18" s="3445">
        <f>'FMV Summary'!J29</f>
        <v>1269</v>
      </c>
      <c r="K18" s="3445">
        <f>'FMV Summary'!K29</f>
        <v>1269</v>
      </c>
      <c r="L18" s="3445">
        <f>K18</f>
        <v>1269</v>
      </c>
      <c r="M18" s="3445"/>
      <c r="N18" s="3445">
        <f t="shared" si="6"/>
        <v>1839</v>
      </c>
      <c r="O18" s="3445">
        <f t="shared" si="6"/>
        <v>1860</v>
      </c>
      <c r="P18" s="3445">
        <f t="shared" si="6"/>
        <v>1330</v>
      </c>
      <c r="Q18" s="3445">
        <f t="shared" si="6"/>
        <v>1560</v>
      </c>
      <c r="R18" s="3445">
        <f t="shared" si="6"/>
        <v>1575</v>
      </c>
      <c r="S18" s="3445">
        <f t="shared" si="6"/>
        <v>1769</v>
      </c>
      <c r="T18" s="3445">
        <f t="shared" si="6"/>
        <v>1269</v>
      </c>
      <c r="U18" s="3445">
        <f t="shared" si="6"/>
        <v>1269</v>
      </c>
      <c r="V18" s="3445">
        <f t="shared" si="6"/>
        <v>1269</v>
      </c>
      <c r="W18" s="3445"/>
      <c r="X18" s="3446"/>
      <c r="Y18" s="794"/>
      <c r="Z18" s="1814"/>
      <c r="AA18" s="1814"/>
      <c r="AB18" s="1814"/>
      <c r="AC18" s="1814"/>
      <c r="AD18" s="1814"/>
      <c r="AE18" s="1814"/>
      <c r="AF18" s="1814"/>
      <c r="AG18" s="1814"/>
    </row>
    <row r="19" spans="1:33" ht="11.25" customHeight="1">
      <c r="A19" s="1965"/>
      <c r="B19" s="1930"/>
      <c r="C19" s="1929"/>
      <c r="D19" s="1964"/>
      <c r="E19" s="1930"/>
      <c r="F19" s="1930"/>
      <c r="G19" s="1930"/>
      <c r="H19" s="1930"/>
      <c r="I19" s="1930"/>
      <c r="J19" s="3447"/>
      <c r="K19" s="3447"/>
      <c r="L19" s="3447"/>
      <c r="M19" s="3447"/>
      <c r="N19" s="3447"/>
      <c r="O19" s="3447"/>
      <c r="P19" s="3447"/>
      <c r="Q19" s="3447"/>
      <c r="R19" s="3447"/>
      <c r="S19" s="3447"/>
      <c r="T19" s="3447"/>
      <c r="U19" s="3447"/>
      <c r="V19" s="3447"/>
      <c r="W19" s="3447"/>
      <c r="X19" s="3446"/>
      <c r="Y19" s="794"/>
      <c r="Z19" s="1814"/>
      <c r="AA19" s="1814"/>
      <c r="AB19" s="1814"/>
      <c r="AC19" s="1814"/>
      <c r="AD19" s="1814"/>
      <c r="AE19" s="1814"/>
      <c r="AF19" s="1814"/>
      <c r="AG19" s="1814"/>
    </row>
    <row r="20" spans="1:33" ht="11.25" customHeight="1">
      <c r="A20" s="1966" t="s">
        <v>230</v>
      </c>
      <c r="B20" s="1930"/>
      <c r="C20" s="1967"/>
      <c r="D20" s="1963"/>
      <c r="E20" s="1963"/>
      <c r="F20" s="1963"/>
      <c r="G20" s="1963"/>
      <c r="H20" s="1963"/>
      <c r="I20" s="1963"/>
      <c r="J20" s="3445"/>
      <c r="K20" s="3445"/>
      <c r="L20" s="3445"/>
      <c r="M20" s="3445"/>
      <c r="N20" s="3445"/>
      <c r="O20" s="3445"/>
      <c r="P20" s="3445"/>
      <c r="Q20" s="3445"/>
      <c r="R20" s="3445"/>
      <c r="S20" s="3445"/>
      <c r="T20" s="3445"/>
      <c r="U20" s="3445"/>
      <c r="V20" s="3445"/>
      <c r="W20" s="3447"/>
      <c r="X20" s="3446"/>
      <c r="Y20" s="794"/>
      <c r="Z20" s="1814"/>
      <c r="AA20" s="1814"/>
      <c r="AB20" s="1814"/>
      <c r="AC20" s="1814"/>
      <c r="AD20" s="1814"/>
      <c r="AE20" s="1814"/>
      <c r="AF20" s="1814"/>
      <c r="AG20" s="1814"/>
    </row>
    <row r="21" spans="1:33" ht="11.25" customHeight="1">
      <c r="A21" s="1960" t="s">
        <v>1171</v>
      </c>
      <c r="B21" s="1930"/>
      <c r="C21" s="1967"/>
      <c r="D21" s="1963">
        <f>'FMV Summary'!D34</f>
        <v>660</v>
      </c>
      <c r="E21" s="1963">
        <f>'GAAP Financial Statements'!U186</f>
        <v>708</v>
      </c>
      <c r="F21" s="1963">
        <f>'GAAP Financial Statements'!V186</f>
        <v>397</v>
      </c>
      <c r="G21" s="1963">
        <f>'GAAP Financial Statements'!W186</f>
        <v>428</v>
      </c>
      <c r="H21" s="1963">
        <f>'GAAP Financial Statements'!Z186</f>
        <v>317</v>
      </c>
      <c r="I21" s="1963">
        <f>'GAAP Financial Statements'!AA186</f>
        <v>598</v>
      </c>
      <c r="J21" s="3445">
        <f ca="1">'GAAP Financial Statements'!AC186</f>
        <v>500.04999999999757</v>
      </c>
      <c r="K21" s="3445">
        <f ca="1">'GAAP Financial Statements'!AD186</f>
        <v>728.90605644045525</v>
      </c>
      <c r="L21" s="3445">
        <f ca="1">'GAAP Financial Statements'!AE186</f>
        <v>500.00000000000011</v>
      </c>
      <c r="M21" s="3445"/>
      <c r="N21" s="3445">
        <f t="shared" ref="N21:V22" si="7">+D21</f>
        <v>660</v>
      </c>
      <c r="O21" s="3445">
        <f t="shared" si="7"/>
        <v>708</v>
      </c>
      <c r="P21" s="3445">
        <f t="shared" si="7"/>
        <v>397</v>
      </c>
      <c r="Q21" s="3445">
        <f t="shared" si="7"/>
        <v>428</v>
      </c>
      <c r="R21" s="3445">
        <f t="shared" si="7"/>
        <v>317</v>
      </c>
      <c r="S21" s="3445">
        <f t="shared" si="7"/>
        <v>598</v>
      </c>
      <c r="T21" s="3445">
        <f t="shared" ca="1" si="7"/>
        <v>500.04999999999757</v>
      </c>
      <c r="U21" s="3445">
        <f t="shared" ca="1" si="7"/>
        <v>728.90605644045525</v>
      </c>
      <c r="V21" s="3445">
        <f t="shared" ca="1" si="7"/>
        <v>500.00000000000011</v>
      </c>
      <c r="W21" s="3447"/>
      <c r="X21" s="3446"/>
      <c r="Y21" s="794"/>
      <c r="Z21" s="1814"/>
    </row>
    <row r="22" spans="1:33" ht="11.25" customHeight="1">
      <c r="A22" s="1968" t="s">
        <v>1172</v>
      </c>
      <c r="B22" s="1930"/>
      <c r="C22" s="1967"/>
      <c r="D22" s="1963">
        <v>0</v>
      </c>
      <c r="E22" s="1963">
        <v>0</v>
      </c>
      <c r="F22" s="1963">
        <v>0</v>
      </c>
      <c r="G22" s="1963">
        <v>0</v>
      </c>
      <c r="H22" s="1963">
        <v>0</v>
      </c>
      <c r="I22" s="1963">
        <v>0</v>
      </c>
      <c r="J22" s="3445">
        <v>0</v>
      </c>
      <c r="K22" s="3445">
        <v>0</v>
      </c>
      <c r="L22" s="3445">
        <v>0</v>
      </c>
      <c r="M22" s="3445"/>
      <c r="N22" s="3445">
        <f t="shared" si="7"/>
        <v>0</v>
      </c>
      <c r="O22" s="3445">
        <f t="shared" si="7"/>
        <v>0</v>
      </c>
      <c r="P22" s="3445">
        <f t="shared" si="7"/>
        <v>0</v>
      </c>
      <c r="Q22" s="3445">
        <f t="shared" si="7"/>
        <v>0</v>
      </c>
      <c r="R22" s="3445">
        <f t="shared" si="7"/>
        <v>0</v>
      </c>
      <c r="S22" s="3445">
        <f t="shared" si="7"/>
        <v>0</v>
      </c>
      <c r="T22" s="3445">
        <f t="shared" si="7"/>
        <v>0</v>
      </c>
      <c r="U22" s="3445">
        <f t="shared" si="7"/>
        <v>0</v>
      </c>
      <c r="V22" s="3445">
        <f t="shared" si="7"/>
        <v>0</v>
      </c>
      <c r="W22" s="3447"/>
      <c r="X22" s="3446"/>
      <c r="Y22" s="794"/>
      <c r="Z22" s="1814"/>
    </row>
    <row r="23" spans="1:33" ht="11.25" customHeight="1">
      <c r="A23" s="1969"/>
      <c r="B23" s="1930"/>
      <c r="C23" s="1967"/>
      <c r="D23" s="1963"/>
      <c r="E23" s="1963"/>
      <c r="F23" s="1963"/>
      <c r="G23" s="1963"/>
      <c r="H23" s="1963"/>
      <c r="I23" s="1963"/>
      <c r="J23" s="3445"/>
      <c r="K23" s="3445"/>
      <c r="L23" s="3445"/>
      <c r="M23" s="3445"/>
      <c r="N23" s="3445"/>
      <c r="O23" s="3445"/>
      <c r="P23" s="3445"/>
      <c r="Q23" s="3445"/>
      <c r="R23" s="3445"/>
      <c r="S23" s="3445"/>
      <c r="T23" s="3445"/>
      <c r="U23" s="3445"/>
      <c r="V23" s="3445"/>
      <c r="W23" s="3447"/>
      <c r="X23" s="3446"/>
      <c r="Y23" s="794"/>
      <c r="Z23" s="1814"/>
    </row>
    <row r="24" spans="1:33" ht="11.25" customHeight="1">
      <c r="A24" s="1970" t="s">
        <v>1173</v>
      </c>
      <c r="B24" s="1930"/>
      <c r="C24" s="1929"/>
      <c r="D24" s="1930"/>
      <c r="E24" s="1930"/>
      <c r="F24" s="1930"/>
      <c r="G24" s="1930"/>
      <c r="H24" s="1930"/>
      <c r="I24" s="1930"/>
      <c r="J24" s="3447"/>
      <c r="K24" s="3447"/>
      <c r="L24" s="3447"/>
      <c r="M24" s="3447"/>
      <c r="N24" s="3447"/>
      <c r="O24" s="3447"/>
      <c r="P24" s="3447"/>
      <c r="Q24" s="3447"/>
      <c r="R24" s="3447"/>
      <c r="S24" s="3447"/>
      <c r="T24" s="3447"/>
      <c r="U24" s="3447"/>
      <c r="V24" s="3447"/>
      <c r="W24" s="3447"/>
      <c r="X24" s="3446"/>
      <c r="Y24" s="794"/>
      <c r="Z24" s="1814"/>
    </row>
    <row r="25" spans="1:33" ht="11.25" customHeight="1">
      <c r="A25" s="1971" t="s">
        <v>1174</v>
      </c>
      <c r="B25" s="1930"/>
      <c r="C25" s="1972"/>
      <c r="D25" s="1963">
        <f>'FMV Summary'!D24</f>
        <v>21.3</v>
      </c>
      <c r="E25" s="1963">
        <f>D25</f>
        <v>21.3</v>
      </c>
      <c r="F25" s="1973">
        <f>SUM('FMV Summary'!F23:F24)</f>
        <v>321.3</v>
      </c>
      <c r="G25" s="1973">
        <f>SUM('FMV Summary'!G23:G24)</f>
        <v>321.3</v>
      </c>
      <c r="H25" s="1973">
        <f>SUM('FMV Summary'!H23:H24)</f>
        <v>321.3</v>
      </c>
      <c r="I25" s="1973">
        <f>SUM('FMV Summary'!I23:I24)</f>
        <v>321.3</v>
      </c>
      <c r="J25" s="3448">
        <f>SUM('FMV Summary'!J23:J24)</f>
        <v>250</v>
      </c>
      <c r="K25" s="3445">
        <f>J25</f>
        <v>250</v>
      </c>
      <c r="L25" s="3445">
        <f>K25</f>
        <v>250</v>
      </c>
      <c r="M25" s="3445"/>
      <c r="N25" s="3445">
        <f t="shared" ref="N25:V25" si="8">D25</f>
        <v>21.3</v>
      </c>
      <c r="O25" s="3445">
        <f t="shared" si="8"/>
        <v>21.3</v>
      </c>
      <c r="P25" s="3445">
        <f t="shared" si="8"/>
        <v>321.3</v>
      </c>
      <c r="Q25" s="3445">
        <f t="shared" si="8"/>
        <v>321.3</v>
      </c>
      <c r="R25" s="3445">
        <f t="shared" si="8"/>
        <v>321.3</v>
      </c>
      <c r="S25" s="3445">
        <f t="shared" si="8"/>
        <v>321.3</v>
      </c>
      <c r="T25" s="3445">
        <f t="shared" si="8"/>
        <v>250</v>
      </c>
      <c r="U25" s="3445">
        <f t="shared" si="8"/>
        <v>250</v>
      </c>
      <c r="V25" s="3445">
        <f t="shared" si="8"/>
        <v>250</v>
      </c>
      <c r="W25" s="3445"/>
      <c r="X25" s="3446"/>
      <c r="Y25" s="794"/>
    </row>
    <row r="26" spans="1:33" ht="11.25" customHeight="1">
      <c r="A26" s="1974" t="s">
        <v>1175</v>
      </c>
      <c r="B26" s="1930"/>
      <c r="C26" s="1975"/>
      <c r="D26" s="1976">
        <f t="shared" ref="D26:K26" si="9">+D13+SUM(D16:D18)-SUM(D21:D22)-D25</f>
        <v>27014.18</v>
      </c>
      <c r="E26" s="1976">
        <f t="shared" si="9"/>
        <v>45193.35</v>
      </c>
      <c r="F26" s="1976">
        <f t="shared" si="9"/>
        <v>43110.362500000003</v>
      </c>
      <c r="G26" s="1977">
        <f t="shared" si="9"/>
        <v>35103.319999999992</v>
      </c>
      <c r="H26" s="1977">
        <f t="shared" si="9"/>
        <v>36680.144999999997</v>
      </c>
      <c r="I26" s="1977">
        <f t="shared" si="9"/>
        <v>34491.144999999997</v>
      </c>
      <c r="J26" s="3449">
        <f t="shared" ca="1" si="9"/>
        <v>33189.369484926239</v>
      </c>
      <c r="K26" s="3449">
        <f t="shared" ca="1" si="9"/>
        <v>32122.323367159846</v>
      </c>
      <c r="L26" s="3449">
        <f ca="1">+L13+SUM(L16:L18)-SUM(L21:L22)-L25</f>
        <v>30827.545043832655</v>
      </c>
      <c r="M26" s="3450"/>
      <c r="N26" s="3450">
        <f t="shared" ref="N26:U26" si="10">+N13+SUM(N16:N18)-SUM(N21:N22)-N25</f>
        <v>52536.563957003695</v>
      </c>
      <c r="O26" s="3450">
        <f t="shared" si="10"/>
        <v>51048.7</v>
      </c>
      <c r="P26" s="3450">
        <f t="shared" si="10"/>
        <v>48646.7</v>
      </c>
      <c r="Q26" s="3449">
        <f t="shared" si="10"/>
        <v>43185.138167938931</v>
      </c>
      <c r="R26" s="3449">
        <f t="shared" si="10"/>
        <v>41248.910472103002</v>
      </c>
      <c r="S26" s="3449">
        <f t="shared" si="10"/>
        <v>38552.910472103002</v>
      </c>
      <c r="T26" s="3449">
        <f t="shared" ca="1" si="10"/>
        <v>36975.450772884673</v>
      </c>
      <c r="U26" s="3449">
        <f t="shared" ca="1" si="10"/>
        <v>35781.331725616546</v>
      </c>
      <c r="V26" s="3449">
        <f ca="1">+V13+SUM(V16:V18)-SUM(V21:V22)-V25</f>
        <v>34279.794219638934</v>
      </c>
      <c r="W26" s="3447"/>
      <c r="X26" s="3446"/>
      <c r="Y26" s="794"/>
    </row>
    <row r="27" spans="1:33" ht="11.25" customHeight="1">
      <c r="A27" s="1954"/>
      <c r="B27" s="1930"/>
      <c r="C27" s="1975"/>
      <c r="D27" s="1976"/>
      <c r="E27" s="1976"/>
      <c r="F27" s="1976"/>
      <c r="G27" s="1976"/>
      <c r="H27" s="1976"/>
      <c r="I27" s="1976"/>
      <c r="J27" s="3450"/>
      <c r="K27" s="3450"/>
      <c r="L27" s="3450"/>
      <c r="M27" s="3450"/>
      <c r="N27" s="3450"/>
      <c r="O27" s="3450"/>
      <c r="P27" s="3450"/>
      <c r="Q27" s="3450"/>
      <c r="R27" s="3450"/>
      <c r="S27" s="3450"/>
      <c r="T27" s="3450"/>
      <c r="U27" s="3450"/>
      <c r="V27" s="3450"/>
      <c r="W27" s="3447"/>
      <c r="X27" s="3446"/>
      <c r="Y27" s="794"/>
    </row>
    <row r="28" spans="1:33" ht="11.25" customHeight="1">
      <c r="A28" s="1978"/>
      <c r="B28" s="1930"/>
      <c r="C28" s="1975"/>
      <c r="D28" s="1979"/>
      <c r="E28" s="1979"/>
      <c r="F28" s="1979"/>
      <c r="G28" s="1979"/>
      <c r="H28" s="1979"/>
      <c r="I28" s="1975"/>
      <c r="J28" s="3451"/>
      <c r="K28" s="3451"/>
      <c r="L28" s="3451"/>
      <c r="M28" s="3451"/>
      <c r="N28" s="3451"/>
      <c r="O28" s="3451"/>
      <c r="P28" s="3451"/>
      <c r="Q28" s="3451"/>
      <c r="R28" s="3451"/>
      <c r="S28" s="3451"/>
      <c r="T28" s="3451"/>
      <c r="U28" s="3451"/>
      <c r="V28" s="3451"/>
      <c r="W28" s="3447"/>
      <c r="X28" s="3446"/>
      <c r="Y28" s="794"/>
    </row>
    <row r="29" spans="1:33" ht="11.25" customHeight="1">
      <c r="A29" s="1980" t="s">
        <v>845</v>
      </c>
      <c r="B29" s="1930"/>
      <c r="C29" s="1981"/>
      <c r="D29" s="1981">
        <f>'Free Cash Flow'!K7</f>
        <v>3157.0000000000005</v>
      </c>
      <c r="E29" s="1981">
        <f>'Free Cash Flow'!L7</f>
        <v>3487.9999999999995</v>
      </c>
      <c r="F29" s="1981">
        <f>'Free Cash Flow'!M7</f>
        <v>3736</v>
      </c>
      <c r="G29" s="1981">
        <f>+'GAAP Financial Statements'!Y13</f>
        <v>3255</v>
      </c>
      <c r="H29" s="1981">
        <f>+'GAAP Financial Statements'!Z13</f>
        <v>3107</v>
      </c>
      <c r="I29" s="1981">
        <f>+'GAAP Financial Statements'!AA13</f>
        <v>3411.3</v>
      </c>
      <c r="J29" s="3452">
        <f>+'GAAP Financial Statements'!AC13</f>
        <v>3033.3769990247988</v>
      </c>
      <c r="K29" s="3452">
        <f>+'GAAP Financial Statements'!AD13</f>
        <v>3254.5966914621472</v>
      </c>
      <c r="L29" s="3452">
        <f>+'GAAP Financial Statements'!AE13</f>
        <v>3437.930202675122</v>
      </c>
      <c r="M29" s="3453"/>
      <c r="N29" s="3452">
        <f t="shared" ref="N29:V29" si="11">+D29</f>
        <v>3157.0000000000005</v>
      </c>
      <c r="O29" s="3452">
        <f t="shared" si="11"/>
        <v>3487.9999999999995</v>
      </c>
      <c r="P29" s="3452">
        <f t="shared" si="11"/>
        <v>3736</v>
      </c>
      <c r="Q29" s="3452">
        <f t="shared" si="11"/>
        <v>3255</v>
      </c>
      <c r="R29" s="3452">
        <f t="shared" si="11"/>
        <v>3107</v>
      </c>
      <c r="S29" s="3452">
        <f t="shared" si="11"/>
        <v>3411.3</v>
      </c>
      <c r="T29" s="3452">
        <f t="shared" si="11"/>
        <v>3033.3769990247988</v>
      </c>
      <c r="U29" s="3452">
        <f t="shared" si="11"/>
        <v>3254.5966914621472</v>
      </c>
      <c r="V29" s="3452">
        <f t="shared" si="11"/>
        <v>3437.930202675122</v>
      </c>
      <c r="W29" s="3447"/>
      <c r="X29" s="3446"/>
      <c r="Y29" s="794"/>
    </row>
    <row r="30" spans="1:33" ht="11.25" customHeight="1">
      <c r="A30" s="1982" t="s">
        <v>1176</v>
      </c>
      <c r="B30" s="1930"/>
      <c r="C30" s="1983"/>
      <c r="D30" s="1984">
        <f t="shared" ref="D30:K30" si="12">+D26/D29</f>
        <v>8.5569147925245481</v>
      </c>
      <c r="E30" s="1984">
        <f t="shared" si="12"/>
        <v>12.956809059633029</v>
      </c>
      <c r="F30" s="1984">
        <f t="shared" si="12"/>
        <v>11.539176258029979</v>
      </c>
      <c r="G30" s="1984">
        <f t="shared" si="12"/>
        <v>10.78443010752688</v>
      </c>
      <c r="H30" s="1984">
        <f t="shared" si="12"/>
        <v>11.805646926295461</v>
      </c>
      <c r="I30" s="1984">
        <f t="shared" si="12"/>
        <v>10.110850702078386</v>
      </c>
      <c r="J30" s="3420">
        <f t="shared" ca="1" si="12"/>
        <v>10.941392875200247</v>
      </c>
      <c r="K30" s="3420">
        <f t="shared" ca="1" si="12"/>
        <v>9.8698322441693076</v>
      </c>
      <c r="L30" s="3420">
        <f ca="1">+L26/L29</f>
        <v>8.9668908984379989</v>
      </c>
      <c r="M30" s="3420"/>
      <c r="N30" s="3420">
        <f t="shared" ref="N30:U30" si="13">+N26/N29</f>
        <v>16.641293619576714</v>
      </c>
      <c r="O30" s="3420">
        <f t="shared" si="13"/>
        <v>14.635521788990827</v>
      </c>
      <c r="P30" s="3420">
        <f t="shared" si="13"/>
        <v>13.021065310492505</v>
      </c>
      <c r="Q30" s="3420">
        <f t="shared" si="13"/>
        <v>13.267323553898288</v>
      </c>
      <c r="R30" s="3420">
        <f t="shared" si="13"/>
        <v>13.276121812714194</v>
      </c>
      <c r="S30" s="3420">
        <f t="shared" si="13"/>
        <v>11.301530346818808</v>
      </c>
      <c r="T30" s="3420">
        <f t="shared" ca="1" si="13"/>
        <v>12.189533574221707</v>
      </c>
      <c r="U30" s="3420">
        <f t="shared" ca="1" si="13"/>
        <v>10.994090856013734</v>
      </c>
      <c r="V30" s="3420">
        <f ca="1">+V26/V29</f>
        <v>9.9710558966453551</v>
      </c>
      <c r="W30" s="3447"/>
      <c r="X30" s="3446"/>
      <c r="Y30" s="794"/>
    </row>
    <row r="31" spans="1:33" ht="11.25" customHeight="1">
      <c r="A31" s="1929"/>
      <c r="B31" s="1930"/>
      <c r="C31" s="1983"/>
      <c r="D31" s="1981"/>
      <c r="E31" s="1985"/>
      <c r="F31" s="1985"/>
      <c r="G31" s="1981"/>
      <c r="H31" s="1981"/>
      <c r="I31" s="1981"/>
      <c r="J31" s="3452"/>
      <c r="K31" s="3452"/>
      <c r="L31" s="3452"/>
      <c r="M31" s="3451"/>
      <c r="N31" s="3452"/>
      <c r="O31" s="3452"/>
      <c r="P31" s="3452"/>
      <c r="Q31" s="3452"/>
      <c r="R31" s="3452"/>
      <c r="S31" s="3452"/>
      <c r="T31" s="3452"/>
      <c r="U31" s="3452"/>
      <c r="V31" s="3452"/>
      <c r="W31" s="3447"/>
      <c r="X31" s="3446"/>
      <c r="Y31" s="794"/>
    </row>
    <row r="32" spans="1:33" ht="11.25" customHeight="1">
      <c r="A32" s="1980" t="s">
        <v>846</v>
      </c>
      <c r="B32" s="1930"/>
      <c r="C32" s="1981"/>
      <c r="D32" s="1981">
        <f>'Free Cash Flow'!L7</f>
        <v>3487.9999999999995</v>
      </c>
      <c r="E32" s="1981">
        <f>'Free Cash Flow'!M7</f>
        <v>3736</v>
      </c>
      <c r="F32" s="1981">
        <f>'Free Cash Flow'!N7</f>
        <v>3255</v>
      </c>
      <c r="G32" s="1981">
        <f>+'GAAP Financial Statements'!Z13</f>
        <v>3107</v>
      </c>
      <c r="H32" s="1981">
        <f>+'GAAP Financial Statements'!AA13</f>
        <v>3411.3</v>
      </c>
      <c r="I32" s="1981">
        <f>+'GAAP Financial Statements'!AC13</f>
        <v>3033.3769990247988</v>
      </c>
      <c r="J32" s="3452">
        <f>+'GAAP Financial Statements'!AD13</f>
        <v>3254.5966914621472</v>
      </c>
      <c r="K32" s="3452">
        <f>+'GAAP Financial Statements'!AE13</f>
        <v>3437.930202675122</v>
      </c>
      <c r="L32" s="3452">
        <f>+'GAAP Financial Statements'!AF13</f>
        <v>3787.376984689949</v>
      </c>
      <c r="M32" s="3453"/>
      <c r="N32" s="3454">
        <f t="shared" ref="N32:V32" si="14">+D32</f>
        <v>3487.9999999999995</v>
      </c>
      <c r="O32" s="3454">
        <f t="shared" si="14"/>
        <v>3736</v>
      </c>
      <c r="P32" s="3454">
        <f t="shared" si="14"/>
        <v>3255</v>
      </c>
      <c r="Q32" s="3454">
        <f t="shared" si="14"/>
        <v>3107</v>
      </c>
      <c r="R32" s="3454">
        <f t="shared" si="14"/>
        <v>3411.3</v>
      </c>
      <c r="S32" s="3454">
        <f>+I32</f>
        <v>3033.3769990247988</v>
      </c>
      <c r="T32" s="3454">
        <f>+J32</f>
        <v>3254.5966914621472</v>
      </c>
      <c r="U32" s="3454">
        <f>+K32</f>
        <v>3437.930202675122</v>
      </c>
      <c r="V32" s="3454">
        <f t="shared" si="14"/>
        <v>3787.376984689949</v>
      </c>
      <c r="W32" s="3447"/>
      <c r="X32" s="3447"/>
      <c r="Y32" s="794"/>
    </row>
    <row r="33" spans="1:25" ht="11.25" customHeight="1">
      <c r="A33" s="1982" t="s">
        <v>1177</v>
      </c>
      <c r="B33" s="1930"/>
      <c r="C33" s="1983"/>
      <c r="D33" s="1984">
        <f t="shared" ref="D33:K33" si="15">+D26/D32</f>
        <v>7.7448910550458727</v>
      </c>
      <c r="E33" s="1984">
        <f t="shared" si="15"/>
        <v>12.096721092077088</v>
      </c>
      <c r="F33" s="1984">
        <f t="shared" si="15"/>
        <v>13.244350998463903</v>
      </c>
      <c r="G33" s="1984">
        <f t="shared" si="15"/>
        <v>11.298139684583196</v>
      </c>
      <c r="H33" s="1984">
        <f t="shared" si="15"/>
        <v>10.752541553073607</v>
      </c>
      <c r="I33" s="1984">
        <f>+I26/I32</f>
        <v>11.370543460667291</v>
      </c>
      <c r="J33" s="3420">
        <f ca="1">+J26/J32</f>
        <v>10.197690414911506</v>
      </c>
      <c r="K33" s="3420">
        <f t="shared" ca="1" si="15"/>
        <v>9.3435065500064045</v>
      </c>
      <c r="L33" s="3420">
        <f ca="1">+L26/L32</f>
        <v>8.1395501869630582</v>
      </c>
      <c r="M33" s="3455"/>
      <c r="N33" s="3420">
        <f t="shared" ref="N33:U33" si="16">+N26/N32</f>
        <v>15.062088290425374</v>
      </c>
      <c r="O33" s="3420">
        <f t="shared" si="16"/>
        <v>13.663998929336188</v>
      </c>
      <c r="P33" s="3420">
        <f t="shared" si="16"/>
        <v>14.945222734254992</v>
      </c>
      <c r="Q33" s="3420">
        <f t="shared" si="16"/>
        <v>13.899304205966827</v>
      </c>
      <c r="R33" s="3420">
        <f t="shared" si="16"/>
        <v>12.091844889661713</v>
      </c>
      <c r="S33" s="3420">
        <f t="shared" si="16"/>
        <v>12.709567747265634</v>
      </c>
      <c r="T33" s="3420">
        <f ca="1">+T26/T32</f>
        <v>11.36099316695158</v>
      </c>
      <c r="U33" s="3420">
        <f t="shared" ca="1" si="16"/>
        <v>10.407812147487572</v>
      </c>
      <c r="V33" s="3420">
        <f ca="1">+V26/V32</f>
        <v>9.05106472321377</v>
      </c>
      <c r="W33" s="3447"/>
      <c r="X33" s="3456"/>
      <c r="Y33" s="794"/>
    </row>
    <row r="34" spans="1:25" ht="11.25" customHeight="1">
      <c r="A34" s="1982"/>
      <c r="B34" s="1930"/>
      <c r="C34" s="1983"/>
      <c r="D34" s="1984"/>
      <c r="E34" s="1984"/>
      <c r="F34" s="1984"/>
      <c r="G34" s="1984"/>
      <c r="H34" s="1984"/>
      <c r="I34" s="1984"/>
      <c r="J34" s="3420"/>
      <c r="K34" s="3420"/>
      <c r="L34" s="3420"/>
      <c r="M34" s="3455"/>
      <c r="N34" s="3420"/>
      <c r="O34" s="3420"/>
      <c r="P34" s="3420"/>
      <c r="Q34" s="3420"/>
      <c r="R34" s="3420"/>
      <c r="S34" s="3420"/>
      <c r="T34" s="3420"/>
      <c r="U34" s="3420"/>
      <c r="V34" s="3420"/>
      <c r="W34" s="3447"/>
      <c r="X34" s="3447"/>
      <c r="Y34" s="794"/>
    </row>
    <row r="35" spans="1:25" ht="11.25" customHeight="1">
      <c r="A35" s="1980" t="s">
        <v>847</v>
      </c>
      <c r="B35" s="1930"/>
      <c r="C35" s="1983"/>
      <c r="D35" s="1985">
        <f>+'GAAP Financial Statements'!T98</f>
        <v>2.0807635829662261</v>
      </c>
      <c r="E35" s="1985">
        <f>+'GAAP Financial Statements'!U98</f>
        <v>2.5235625546972527</v>
      </c>
      <c r="F35" s="1985">
        <f>+'GAAP Financial Statements'!V98</f>
        <v>3.0601676531090476</v>
      </c>
      <c r="G35" s="1985">
        <f>+'GAAP Financial Statements'!Y98</f>
        <v>2.964349376114082</v>
      </c>
      <c r="H35" s="1985">
        <f>+'GAAP Financial Statements'!Z98</f>
        <v>3.3087934560327197</v>
      </c>
      <c r="I35" s="1985">
        <f ca="1">+'GAAP Financial Statements'!AA98</f>
        <v>4.1071428571428568</v>
      </c>
      <c r="J35" s="3421">
        <f ca="1">+'GAAP Financial Statements'!AC98</f>
        <v>4.3466981503566471</v>
      </c>
      <c r="K35" s="3421">
        <f ca="1">+'GAAP Financial Statements'!AD98</f>
        <v>5.0957125911953502</v>
      </c>
      <c r="L35" s="3421">
        <f ca="1">+'GAAP Financial Statements'!AE98</f>
        <v>5.6934770578983427</v>
      </c>
      <c r="M35" s="3455"/>
      <c r="N35" s="3421">
        <f t="shared" ref="N35:V35" si="17">+D35</f>
        <v>2.0807635829662261</v>
      </c>
      <c r="O35" s="3421">
        <f t="shared" si="17"/>
        <v>2.5235625546972527</v>
      </c>
      <c r="P35" s="3421">
        <f t="shared" si="17"/>
        <v>3.0601676531090476</v>
      </c>
      <c r="Q35" s="3421">
        <f t="shared" si="17"/>
        <v>2.964349376114082</v>
      </c>
      <c r="R35" s="3421">
        <f t="shared" si="17"/>
        <v>3.3087934560327197</v>
      </c>
      <c r="S35" s="3421">
        <f t="shared" ca="1" si="17"/>
        <v>4.1071428571428568</v>
      </c>
      <c r="T35" s="3421">
        <f t="shared" ca="1" si="17"/>
        <v>4.3466981503566471</v>
      </c>
      <c r="U35" s="3421">
        <f t="shared" ca="1" si="17"/>
        <v>5.0957125911953502</v>
      </c>
      <c r="V35" s="3421">
        <f t="shared" ca="1" si="17"/>
        <v>5.6934770578983427</v>
      </c>
      <c r="W35" s="3447"/>
      <c r="X35" s="3456"/>
      <c r="Y35" s="794"/>
    </row>
    <row r="36" spans="1:25" ht="11.25" customHeight="1">
      <c r="A36" s="1982" t="s">
        <v>199</v>
      </c>
      <c r="B36" s="1930"/>
      <c r="C36" s="1983"/>
      <c r="D36" s="1984">
        <f>+D12/D35</f>
        <v>14.307247706422018</v>
      </c>
      <c r="E36" s="1984">
        <f>+E12/E35</f>
        <v>23.359833062300343</v>
      </c>
      <c r="F36" s="1984">
        <f>+F12/F35</f>
        <v>19.26365045395745</v>
      </c>
      <c r="G36" s="1984">
        <f t="shared" ref="G36:L36" si="18">+(G12)/G35</f>
        <v>17.676728803367407</v>
      </c>
      <c r="H36" s="1984">
        <f t="shared" si="18"/>
        <v>17.604604449938197</v>
      </c>
      <c r="I36" s="1984">
        <f ca="1">+(I12)/I35</f>
        <v>14.182608695652176</v>
      </c>
      <c r="J36" s="3420">
        <f t="shared" ca="1" si="18"/>
        <v>13.400976553943728</v>
      </c>
      <c r="K36" s="3420">
        <f t="shared" ca="1" si="18"/>
        <v>11.431178457876044</v>
      </c>
      <c r="L36" s="3420">
        <f t="shared" ca="1" si="18"/>
        <v>10.231006361778872</v>
      </c>
      <c r="M36" s="3455"/>
      <c r="N36" s="3420">
        <f>+N12/N35</f>
        <v>32.680310515172899</v>
      </c>
      <c r="O36" s="3420">
        <f>+O12/O35</f>
        <v>26.946033048963923</v>
      </c>
      <c r="P36" s="3420">
        <f>+P12/P35</f>
        <v>22.221004764531067</v>
      </c>
      <c r="Q36" s="3420">
        <f t="shared" ref="Q36:V36" si="19">+(Q12)/Q35</f>
        <v>22.939266386049308</v>
      </c>
      <c r="R36" s="3420">
        <f t="shared" si="19"/>
        <v>20.551297898640296</v>
      </c>
      <c r="S36" s="3420">
        <f t="shared" ca="1" si="19"/>
        <v>16.556521739130435</v>
      </c>
      <c r="T36" s="3420">
        <f t="shared" ca="1" si="19"/>
        <v>15.644058466406413</v>
      </c>
      <c r="U36" s="3420">
        <f t="shared" ca="1" si="19"/>
        <v>13.344551676147141</v>
      </c>
      <c r="V36" s="3420">
        <f t="shared" ca="1" si="19"/>
        <v>11.943492405166753</v>
      </c>
      <c r="W36" s="3447"/>
      <c r="X36" s="3447"/>
      <c r="Y36" s="794"/>
    </row>
    <row r="37" spans="1:25" ht="11.25" customHeight="1">
      <c r="A37" s="1982"/>
      <c r="B37" s="1930"/>
      <c r="C37" s="1983"/>
      <c r="D37" s="1984"/>
      <c r="E37" s="1984"/>
      <c r="F37" s="1984"/>
      <c r="G37" s="1984"/>
      <c r="H37" s="1984"/>
      <c r="I37" s="1984"/>
      <c r="J37" s="3420"/>
      <c r="K37" s="3420"/>
      <c r="L37" s="3420"/>
      <c r="M37" s="3455"/>
      <c r="N37" s="3420"/>
      <c r="O37" s="3420"/>
      <c r="P37" s="3420"/>
      <c r="Q37" s="3420"/>
      <c r="R37" s="3420"/>
      <c r="S37" s="3420"/>
      <c r="T37" s="3420"/>
      <c r="U37" s="3420"/>
      <c r="V37" s="3420"/>
      <c r="W37" s="3447"/>
      <c r="X37" s="3456"/>
      <c r="Y37" s="794"/>
    </row>
    <row r="38" spans="1:25" ht="11.25" customHeight="1">
      <c r="A38" s="1980" t="s">
        <v>848</v>
      </c>
      <c r="B38" s="1930"/>
      <c r="C38" s="1983"/>
      <c r="D38" s="1985">
        <f>+'GAAP Financial Statements'!U98</f>
        <v>2.5235625546972527</v>
      </c>
      <c r="E38" s="1985">
        <f>+'GAAP Financial Statements'!V98</f>
        <v>3.0601676531090476</v>
      </c>
      <c r="F38" s="1985">
        <f>+'GAAP Financial Statements'!W98</f>
        <v>2.964349376114082</v>
      </c>
      <c r="G38" s="1985">
        <f>+'GAAP Financial Statements'!Z98</f>
        <v>3.3087934560327197</v>
      </c>
      <c r="H38" s="1985">
        <f ca="1">+'GAAP Financial Statements'!AA98</f>
        <v>4.1071428571428568</v>
      </c>
      <c r="I38" s="1985">
        <f ca="1">+'GAAP Financial Statements'!AC98</f>
        <v>4.3466981503566471</v>
      </c>
      <c r="J38" s="3421">
        <f ca="1">+'GAAP Financial Statements'!AD98</f>
        <v>5.0957125911953502</v>
      </c>
      <c r="K38" s="3421">
        <f ca="1">+'GAAP Financial Statements'!AE98</f>
        <v>5.6934770578983427</v>
      </c>
      <c r="L38" s="3421">
        <f ca="1">+'GAAP Financial Statements'!AF98</f>
        <v>6.7817906368453151</v>
      </c>
      <c r="M38" s="3455"/>
      <c r="N38" s="3421">
        <f t="shared" ref="N38:V38" si="20">+D38</f>
        <v>2.5235625546972527</v>
      </c>
      <c r="O38" s="3421">
        <f t="shared" si="20"/>
        <v>3.0601676531090476</v>
      </c>
      <c r="P38" s="3421">
        <f t="shared" si="20"/>
        <v>2.964349376114082</v>
      </c>
      <c r="Q38" s="3421">
        <f t="shared" si="20"/>
        <v>3.3087934560327197</v>
      </c>
      <c r="R38" s="3421">
        <f t="shared" ca="1" si="20"/>
        <v>4.1071428571428568</v>
      </c>
      <c r="S38" s="3421">
        <f t="shared" ca="1" si="20"/>
        <v>4.3466981503566471</v>
      </c>
      <c r="T38" s="3421">
        <f t="shared" ca="1" si="20"/>
        <v>5.0957125911953502</v>
      </c>
      <c r="U38" s="3421">
        <f t="shared" ca="1" si="20"/>
        <v>5.6934770578983427</v>
      </c>
      <c r="V38" s="3421">
        <f t="shared" ca="1" si="20"/>
        <v>6.7817906368453151</v>
      </c>
      <c r="W38" s="3447"/>
      <c r="X38" s="3447"/>
      <c r="Y38" s="794"/>
    </row>
    <row r="39" spans="1:25" ht="11.25" customHeight="1">
      <c r="A39" s="1982" t="s">
        <v>199</v>
      </c>
      <c r="B39" s="1930"/>
      <c r="C39" s="1983"/>
      <c r="D39" s="1984">
        <f>+D12/D38</f>
        <v>11.796814762759647</v>
      </c>
      <c r="E39" s="1984">
        <f>+E12/E38</f>
        <v>19.26365045395745</v>
      </c>
      <c r="F39" s="1984">
        <f>+F12/F38</f>
        <v>19.886319903788337</v>
      </c>
      <c r="G39" s="1984">
        <f t="shared" ref="G39:L39" si="21">+(G12)/G38</f>
        <v>15.836588380716934</v>
      </c>
      <c r="H39" s="1984">
        <f t="shared" ca="1" si="21"/>
        <v>14.182608695652176</v>
      </c>
      <c r="I39" s="1984">
        <f ca="1">+(I12)/I38</f>
        <v>13.400976553943728</v>
      </c>
      <c r="J39" s="3420">
        <f t="shared" ca="1" si="21"/>
        <v>11.431178457876044</v>
      </c>
      <c r="K39" s="3420">
        <f t="shared" ca="1" si="21"/>
        <v>10.231006361778872</v>
      </c>
      <c r="L39" s="3420">
        <f t="shared" ca="1" si="21"/>
        <v>8.5891769768782105</v>
      </c>
      <c r="M39" s="3455"/>
      <c r="N39" s="3420">
        <f>+N12/N38</f>
        <v>26.946033048963923</v>
      </c>
      <c r="O39" s="3420">
        <f>+O12/O38</f>
        <v>22.221004764531067</v>
      </c>
      <c r="P39" s="3420">
        <f>+P12/P38</f>
        <v>22.939266386049308</v>
      </c>
      <c r="Q39" s="3420">
        <f t="shared" ref="Q39:V39" si="22">+(Q12)/Q38</f>
        <v>20.551297898640296</v>
      </c>
      <c r="R39" s="3420">
        <f t="shared" ca="1" si="22"/>
        <v>16.556521739130435</v>
      </c>
      <c r="S39" s="3420">
        <f t="shared" ca="1" si="22"/>
        <v>15.644058466406413</v>
      </c>
      <c r="T39" s="3420">
        <f t="shared" ca="1" si="22"/>
        <v>13.344551676147141</v>
      </c>
      <c r="U39" s="3420">
        <f t="shared" ca="1" si="22"/>
        <v>11.943492405166753</v>
      </c>
      <c r="V39" s="3420">
        <f t="shared" ca="1" si="22"/>
        <v>10.026850376441516</v>
      </c>
      <c r="W39" s="3447"/>
      <c r="X39" s="3456"/>
      <c r="Y39" s="794"/>
    </row>
    <row r="40" spans="1:25" ht="11.25" customHeight="1">
      <c r="A40" s="1982"/>
      <c r="B40" s="1930"/>
      <c r="C40" s="1983"/>
      <c r="D40" s="1984"/>
      <c r="E40" s="1984"/>
      <c r="F40" s="1984"/>
      <c r="G40" s="1984"/>
      <c r="H40" s="1984"/>
      <c r="I40" s="1984"/>
      <c r="J40" s="3420"/>
      <c r="K40" s="3420"/>
      <c r="L40" s="3420"/>
      <c r="M40" s="3420"/>
      <c r="N40" s="3420"/>
      <c r="O40" s="3420"/>
      <c r="P40" s="3420"/>
      <c r="Q40" s="3420"/>
      <c r="R40" s="3420"/>
      <c r="S40" s="3420"/>
      <c r="T40" s="3420"/>
      <c r="U40" s="3420"/>
      <c r="V40" s="3420"/>
      <c r="W40" s="3447"/>
      <c r="X40" s="3447"/>
      <c r="Y40" s="794"/>
    </row>
    <row r="41" spans="1:25" ht="11.25" customHeight="1">
      <c r="A41" s="1980" t="s">
        <v>849</v>
      </c>
      <c r="B41" s="1930"/>
      <c r="C41" s="1983"/>
      <c r="D41" s="1964">
        <f>'Free Cash Flow'!K14</f>
        <v>1933.0000000000005</v>
      </c>
      <c r="E41" s="1964">
        <f>'Free Cash Flow'!L14</f>
        <v>1436</v>
      </c>
      <c r="F41" s="1964">
        <f>'Free Cash Flow'!M14</f>
        <v>1580</v>
      </c>
      <c r="G41" s="1964">
        <f>'Free Cash Flow'!P14</f>
        <v>1378.2598425196848</v>
      </c>
      <c r="H41" s="1964">
        <f>'Free Cash Flow'!Q14</f>
        <v>1203</v>
      </c>
      <c r="I41" s="1964">
        <f ca="1">'Free Cash Flow'!R14</f>
        <v>1639.6503184713379</v>
      </c>
      <c r="J41" s="3454">
        <f ca="1">'Free Cash Flow'!T14</f>
        <v>1162.1109675070129</v>
      </c>
      <c r="K41" s="3454">
        <f ca="1">'Free Cash Flow'!U14</f>
        <v>1365.1687398028698</v>
      </c>
      <c r="L41" s="3454">
        <f ca="1">'Free Cash Flow'!V14</f>
        <v>1711.8139758902987</v>
      </c>
      <c r="M41" s="3455"/>
      <c r="N41" s="3454">
        <f t="shared" ref="N41:V41" si="23">+D41</f>
        <v>1933.0000000000005</v>
      </c>
      <c r="O41" s="3454">
        <f t="shared" si="23"/>
        <v>1436</v>
      </c>
      <c r="P41" s="3454">
        <f t="shared" si="23"/>
        <v>1580</v>
      </c>
      <c r="Q41" s="3454">
        <f t="shared" si="23"/>
        <v>1378.2598425196848</v>
      </c>
      <c r="R41" s="3454">
        <f t="shared" si="23"/>
        <v>1203</v>
      </c>
      <c r="S41" s="3454">
        <f t="shared" ca="1" si="23"/>
        <v>1639.6503184713379</v>
      </c>
      <c r="T41" s="3454">
        <f t="shared" ca="1" si="23"/>
        <v>1162.1109675070129</v>
      </c>
      <c r="U41" s="3454">
        <f t="shared" ca="1" si="23"/>
        <v>1365.1687398028698</v>
      </c>
      <c r="V41" s="3454">
        <f t="shared" ca="1" si="23"/>
        <v>1711.8139758902987</v>
      </c>
      <c r="W41" s="3447"/>
      <c r="X41" s="3447"/>
    </row>
    <row r="42" spans="1:25" ht="11.25" customHeight="1">
      <c r="A42" s="1982" t="s">
        <v>1178</v>
      </c>
      <c r="B42" s="1930"/>
      <c r="C42" s="1983"/>
      <c r="D42" s="2276">
        <f>IF(OR((D13-D25)/D41&lt;0,(D13-D25)/D41&gt;100),"NM",(D13-D25)/D41)</f>
        <v>10.270657009829279</v>
      </c>
      <c r="E42" s="2276">
        <f>IF(OR((E13-E25)/E41&lt;0,(E13-E25)/E41&gt;100),"NM",(E13-E25)/E41)</f>
        <v>26.545508356545959</v>
      </c>
      <c r="F42" s="2276">
        <f>IF(OR((F13-F25)/F41&lt;0,(F13-F25)/F41&gt;100),"NM",(F13-F25)/F41)</f>
        <v>22.621115506329115</v>
      </c>
      <c r="G42" s="2276">
        <f t="shared" ref="G42:L42" si="24">+(G13-G25)/G41</f>
        <v>19.463180434074697</v>
      </c>
      <c r="H42" s="2276">
        <f t="shared" si="24"/>
        <v>22.422398171238569</v>
      </c>
      <c r="I42" s="2276">
        <f t="shared" ca="1" si="24"/>
        <v>14.60381200201534</v>
      </c>
      <c r="J42" s="3457">
        <f t="shared" ca="1" si="24"/>
        <v>19.248943815025203</v>
      </c>
      <c r="K42" s="3457">
        <f t="shared" ca="1" si="24"/>
        <v>15.829713055633558</v>
      </c>
      <c r="L42" s="3457">
        <f t="shared" ca="1" si="24"/>
        <v>11.902564257664018</v>
      </c>
      <c r="M42" s="3455"/>
      <c r="N42" s="3457">
        <f>IF(OR((N13-N25)/N41&lt;0,(N13-N25)/N41&gt;100),"NM",(N13-N25)/N41)</f>
        <v>23.474166558201595</v>
      </c>
      <c r="O42" s="3457">
        <f>IF(OR((O13-O25)/O41&lt;0,(O13-O25)/O41&gt;100),"NM",(O13-O25)/O41)</f>
        <v>30.623050139275765</v>
      </c>
      <c r="P42" s="3457">
        <f>IF(OR((P13-P25)/P41&lt;0,(P13-P25)/P41&gt;100),"NM",(P13-P25)/P41)</f>
        <v>26.12512658227848</v>
      </c>
      <c r="Q42" s="3457">
        <f t="shared" ref="Q42:V42" si="25">+(Q13-Q25)/Q41</f>
        <v>25.326964546919516</v>
      </c>
      <c r="R42" s="3457">
        <f t="shared" si="25"/>
        <v>26.220208206236912</v>
      </c>
      <c r="S42" s="3457">
        <f t="shared" ca="1" si="25"/>
        <v>17.081026458259785</v>
      </c>
      <c r="T42" s="3457">
        <f ca="1">+(T13-T25)/T41</f>
        <v>22.506878206678373</v>
      </c>
      <c r="U42" s="3457">
        <f t="shared" ca="1" si="25"/>
        <v>18.509973928721717</v>
      </c>
      <c r="V42" s="3457">
        <f t="shared" ca="1" si="25"/>
        <v>13.919284079110033</v>
      </c>
      <c r="W42" s="3447"/>
      <c r="X42" s="3447"/>
    </row>
    <row r="43" spans="1:25" ht="11.25" customHeight="1">
      <c r="A43" s="1982"/>
      <c r="B43" s="1930"/>
      <c r="C43" s="1983"/>
      <c r="D43" s="1984"/>
      <c r="E43" s="1919"/>
      <c r="F43" s="1919"/>
      <c r="G43" s="1984"/>
      <c r="H43" s="1984"/>
      <c r="I43" s="1984"/>
      <c r="J43" s="3420"/>
      <c r="K43" s="3420"/>
      <c r="L43" s="3420"/>
      <c r="M43" s="3455"/>
      <c r="N43" s="3420"/>
      <c r="O43" s="3420"/>
      <c r="P43" s="3420"/>
      <c r="Q43" s="3420"/>
      <c r="R43" s="3420"/>
      <c r="S43" s="3420"/>
      <c r="T43" s="3420"/>
      <c r="U43" s="3420"/>
      <c r="V43" s="3420"/>
      <c r="W43" s="3447"/>
      <c r="X43" s="3447"/>
    </row>
    <row r="44" spans="1:25" ht="11.25" customHeight="1">
      <c r="A44" s="1980" t="s">
        <v>850</v>
      </c>
      <c r="B44" s="1930"/>
      <c r="C44" s="1983"/>
      <c r="D44" s="1964">
        <f>'Free Cash Flow'!L14</f>
        <v>1436</v>
      </c>
      <c r="E44" s="1964">
        <f>'Free Cash Flow'!M14</f>
        <v>1580</v>
      </c>
      <c r="F44" s="1964">
        <f>'Free Cash Flow'!N14</f>
        <v>1378.2598425196852</v>
      </c>
      <c r="G44" s="1964">
        <f>'Free Cash Flow'!Q14</f>
        <v>1203</v>
      </c>
      <c r="H44" s="1964">
        <f ca="1">'Free Cash Flow'!R14</f>
        <v>1639.6503184713379</v>
      </c>
      <c r="I44" s="1964">
        <f ca="1">'Free Cash Flow'!T14</f>
        <v>1162.1109675070129</v>
      </c>
      <c r="J44" s="3454">
        <f ca="1">'Free Cash Flow'!U14</f>
        <v>1365.1687398028698</v>
      </c>
      <c r="K44" s="3454">
        <f ca="1">'Free Cash Flow'!V14</f>
        <v>1711.8139758902987</v>
      </c>
      <c r="L44" s="3454">
        <f ca="1">'Free Cash Flow'!W14</f>
        <v>2099.5989261196091</v>
      </c>
      <c r="M44" s="3455"/>
      <c r="N44" s="3454">
        <f t="shared" ref="N44:V44" si="26">+D44</f>
        <v>1436</v>
      </c>
      <c r="O44" s="3454">
        <f t="shared" si="26"/>
        <v>1580</v>
      </c>
      <c r="P44" s="3454">
        <f t="shared" si="26"/>
        <v>1378.2598425196852</v>
      </c>
      <c r="Q44" s="3454">
        <f t="shared" si="26"/>
        <v>1203</v>
      </c>
      <c r="R44" s="3454">
        <f t="shared" ca="1" si="26"/>
        <v>1639.6503184713379</v>
      </c>
      <c r="S44" s="3454">
        <f t="shared" ca="1" si="26"/>
        <v>1162.1109675070129</v>
      </c>
      <c r="T44" s="3454">
        <f t="shared" ca="1" si="26"/>
        <v>1365.1687398028698</v>
      </c>
      <c r="U44" s="3454">
        <f t="shared" ca="1" si="26"/>
        <v>1711.8139758902987</v>
      </c>
      <c r="V44" s="3454">
        <f t="shared" ca="1" si="26"/>
        <v>2099.5989261196091</v>
      </c>
      <c r="W44" s="3447"/>
      <c r="X44" s="3447"/>
    </row>
    <row r="45" spans="1:25" ht="11.25" customHeight="1">
      <c r="A45" s="1982" t="s">
        <v>1178</v>
      </c>
      <c r="B45" s="1930"/>
      <c r="C45" s="1983"/>
      <c r="D45" s="1984">
        <f t="shared" ref="D45:K45" si="27">+(D13-D25)/D44</f>
        <v>13.82533426183844</v>
      </c>
      <c r="E45" s="1984">
        <f t="shared" si="27"/>
        <v>24.126170886075947</v>
      </c>
      <c r="F45" s="1984">
        <f t="shared" si="27"/>
        <v>25.932238172635813</v>
      </c>
      <c r="G45" s="1984">
        <f t="shared" si="27"/>
        <v>22.298686616791354</v>
      </c>
      <c r="H45" s="1984">
        <f t="shared" ca="1" si="27"/>
        <v>16.451157113272945</v>
      </c>
      <c r="I45" s="1984">
        <f ca="1">+(I13-I25)/I44</f>
        <v>20.604869646284875</v>
      </c>
      <c r="J45" s="3420">
        <f t="shared" ca="1" si="27"/>
        <v>16.385819619336736</v>
      </c>
      <c r="K45" s="3420">
        <f t="shared" ca="1" si="27"/>
        <v>12.624169289400163</v>
      </c>
      <c r="L45" s="3420">
        <f ca="1">+(L13-L25)/L44</f>
        <v>9.7042228359574274</v>
      </c>
      <c r="M45" s="3455"/>
      <c r="N45" s="3420">
        <f t="shared" ref="N45:U45" si="28">+(N13-N25)/N44</f>
        <v>31.598582142760232</v>
      </c>
      <c r="O45" s="3420">
        <f t="shared" si="28"/>
        <v>27.832088607594933</v>
      </c>
      <c r="P45" s="3420">
        <f t="shared" si="28"/>
        <v>29.949142191168818</v>
      </c>
      <c r="Q45" s="3420">
        <f t="shared" si="28"/>
        <v>29.016739956723967</v>
      </c>
      <c r="R45" s="3420">
        <f t="shared" ca="1" si="28"/>
        <v>19.237583841358791</v>
      </c>
      <c r="S45" s="3420">
        <f t="shared" ca="1" si="28"/>
        <v>24.100031111645105</v>
      </c>
      <c r="T45" s="3420">
        <f t="shared" ca="1" si="28"/>
        <v>19.159162706950319</v>
      </c>
      <c r="U45" s="3420">
        <f t="shared" ca="1" si="28"/>
        <v>14.761672785686136</v>
      </c>
      <c r="V45" s="3420">
        <f ca="1">+(V13-V25)/V44</f>
        <v>11.348465044723739</v>
      </c>
      <c r="W45" s="3447"/>
      <c r="X45" s="3447"/>
    </row>
    <row r="46" spans="1:25" ht="11.25" customHeight="1">
      <c r="A46" s="1982"/>
      <c r="B46" s="1930"/>
      <c r="C46" s="1983"/>
      <c r="D46" s="1984"/>
      <c r="E46" s="1920"/>
      <c r="F46" s="1984"/>
      <c r="G46" s="1984"/>
      <c r="H46" s="1984"/>
      <c r="I46" s="1984"/>
      <c r="J46" s="3420"/>
      <c r="K46" s="3420"/>
      <c r="L46" s="3420"/>
      <c r="M46" s="3455"/>
      <c r="N46" s="3420"/>
      <c r="O46" s="3420"/>
      <c r="P46" s="3420"/>
      <c r="Q46" s="3420"/>
      <c r="R46" s="3420"/>
      <c r="S46" s="3420"/>
      <c r="T46" s="3420"/>
      <c r="U46" s="3420"/>
      <c r="V46" s="3420"/>
      <c r="W46" s="3447"/>
      <c r="X46" s="3447"/>
    </row>
    <row r="47" spans="1:25" ht="11.25" customHeight="1">
      <c r="A47" s="1980" t="s">
        <v>851</v>
      </c>
      <c r="B47" s="1930"/>
      <c r="C47" s="1983"/>
      <c r="D47" s="1964">
        <f>'Free Cash Flow'!L16</f>
        <v>966</v>
      </c>
      <c r="E47" s="1964">
        <f>'Free Cash Flow'!M16</f>
        <v>1027</v>
      </c>
      <c r="F47" s="1964">
        <f>'Free Cash Flow'!N16</f>
        <v>984.00000000000023</v>
      </c>
      <c r="G47" s="1964">
        <f>'Free Cash Flow'!Q16</f>
        <v>962</v>
      </c>
      <c r="H47" s="1964">
        <f ca="1">'Free Cash Flow'!R16</f>
        <v>1368.3000000000002</v>
      </c>
      <c r="I47" s="1964">
        <f ca="1">'Free Cash Flow'!T16</f>
        <v>963.68786587925138</v>
      </c>
      <c r="J47" s="3454">
        <f ca="1">'Free Cash Flow'!U16</f>
        <v>1142.3452822436741</v>
      </c>
      <c r="K47" s="3454">
        <f ca="1">'Free Cash Flow'!V16</f>
        <v>1481.9089056325763</v>
      </c>
      <c r="L47" s="3454">
        <f ca="1">'Free Cash Flow'!W16</f>
        <v>1848.7265756016113</v>
      </c>
      <c r="M47" s="3455"/>
      <c r="N47" s="3454">
        <f t="shared" ref="N47:V47" si="29">+D47</f>
        <v>966</v>
      </c>
      <c r="O47" s="3454">
        <f t="shared" si="29"/>
        <v>1027</v>
      </c>
      <c r="P47" s="3454">
        <f t="shared" si="29"/>
        <v>984.00000000000023</v>
      </c>
      <c r="Q47" s="3454">
        <f t="shared" si="29"/>
        <v>962</v>
      </c>
      <c r="R47" s="3454">
        <f t="shared" ca="1" si="29"/>
        <v>1368.3000000000002</v>
      </c>
      <c r="S47" s="3454">
        <f t="shared" ca="1" si="29"/>
        <v>963.68786587925138</v>
      </c>
      <c r="T47" s="3454">
        <f t="shared" ca="1" si="29"/>
        <v>1142.3452822436741</v>
      </c>
      <c r="U47" s="3454">
        <f t="shared" ca="1" si="29"/>
        <v>1481.9089056325763</v>
      </c>
      <c r="V47" s="3454">
        <f t="shared" ca="1" si="29"/>
        <v>1848.7265756016113</v>
      </c>
      <c r="W47" s="3447"/>
      <c r="X47" s="3447"/>
    </row>
    <row r="48" spans="1:25" ht="11.25" customHeight="1">
      <c r="A48" s="1982" t="s">
        <v>1178</v>
      </c>
      <c r="B48" s="1930"/>
      <c r="C48" s="1983"/>
      <c r="D48" s="1984">
        <f t="shared" ref="D48:K48" si="30">+(D13-D25)/D47</f>
        <v>20.551946169772258</v>
      </c>
      <c r="E48" s="1984">
        <f t="shared" si="30"/>
        <v>37.117185978578384</v>
      </c>
      <c r="F48" s="1984">
        <f t="shared" si="30"/>
        <v>36.322522865853657</v>
      </c>
      <c r="G48" s="1984">
        <f t="shared" si="30"/>
        <v>27.884948024948024</v>
      </c>
      <c r="H48" s="1984">
        <f t="shared" ca="1" si="30"/>
        <v>19.71361908938098</v>
      </c>
      <c r="I48" s="1984">
        <f ca="1">+(I13-I25)/I47</f>
        <v>24.847407389687202</v>
      </c>
      <c r="J48" s="3420">
        <f t="shared" ca="1" si="30"/>
        <v>19.582002979371911</v>
      </c>
      <c r="K48" s="3420">
        <f t="shared" ca="1" si="30"/>
        <v>14.582697587862617</v>
      </c>
      <c r="L48" s="3420">
        <f ca="1">+(L13)/L47</f>
        <v>11.1563149020508</v>
      </c>
      <c r="M48" s="3455"/>
      <c r="N48" s="3420">
        <f>+(N13-N25)/N47</f>
        <v>46.972633495863036</v>
      </c>
      <c r="O48" s="3420">
        <f>+(O13-O25)/O47</f>
        <v>42.818597857838363</v>
      </c>
      <c r="P48" s="3420">
        <f>+(P13-P25)/P47</f>
        <v>41.948882113821128</v>
      </c>
      <c r="Q48" s="3420">
        <f>+(Q13)/Q47</f>
        <v>36.619998095570615</v>
      </c>
      <c r="R48" s="3420">
        <f ca="1">+(R13)/R47</f>
        <v>23.287444618945408</v>
      </c>
      <c r="S48" s="3420">
        <f ca="1">+(S13-S25)/S47</f>
        <v>29.062221766743953</v>
      </c>
      <c r="T48" s="3420">
        <f ca="1">+(T13-T25)/T47</f>
        <v>22.896308510990348</v>
      </c>
      <c r="U48" s="3420">
        <f ca="1">+(U13-U25)/U47</f>
        <v>17.051815861293058</v>
      </c>
      <c r="V48" s="3420">
        <f ca="1">+(V13-V25)/V47</f>
        <v>12.888452697908582</v>
      </c>
      <c r="W48" s="3447"/>
      <c r="X48" s="3447"/>
    </row>
    <row r="49" spans="1:25" ht="11.25" customHeight="1">
      <c r="A49" s="1982"/>
      <c r="B49" s="1930"/>
      <c r="C49" s="1983"/>
      <c r="D49" s="1919"/>
      <c r="E49" s="1919"/>
      <c r="F49" s="1919"/>
      <c r="G49" s="1919"/>
      <c r="H49" s="1919"/>
      <c r="I49" s="1919"/>
      <c r="J49" s="1919"/>
      <c r="K49" s="1919"/>
      <c r="L49" s="1919"/>
      <c r="M49" s="1954"/>
      <c r="N49" s="1984"/>
      <c r="O49" s="1984"/>
      <c r="P49" s="1984"/>
      <c r="Q49" s="1984"/>
      <c r="R49" s="1984"/>
      <c r="S49" s="1984"/>
      <c r="T49" s="1984"/>
      <c r="U49" s="3420"/>
      <c r="V49" s="1984"/>
      <c r="W49" s="1930"/>
      <c r="X49" s="1930"/>
    </row>
    <row r="50" spans="1:25" ht="11.25" customHeight="1">
      <c r="A50" s="1930"/>
      <c r="B50" s="1930"/>
      <c r="C50" s="1929"/>
      <c r="D50" s="1930"/>
      <c r="E50" s="1110"/>
      <c r="F50" s="1930"/>
      <c r="G50" s="1930"/>
      <c r="H50" s="1930"/>
      <c r="I50" s="1930"/>
      <c r="J50" s="1930"/>
      <c r="K50" s="1930"/>
      <c r="L50" s="1930"/>
      <c r="M50" s="1930"/>
      <c r="N50" s="1930"/>
      <c r="O50" s="1930"/>
      <c r="P50" s="1930"/>
      <c r="Q50" s="1930"/>
      <c r="R50" s="1930"/>
      <c r="S50" s="1930"/>
      <c r="T50" s="1930"/>
      <c r="U50" s="1930"/>
      <c r="V50" s="1930"/>
      <c r="W50" s="1930"/>
      <c r="X50" s="1930"/>
    </row>
    <row r="51" spans="1:25" ht="11.25" customHeight="1">
      <c r="A51" s="1980" t="s">
        <v>686</v>
      </c>
      <c r="B51" s="1930"/>
      <c r="C51" s="1981"/>
      <c r="D51" s="1964">
        <f>'Free Cash Flow'!K9</f>
        <v>-245</v>
      </c>
      <c r="E51" s="1964">
        <f>'Free Cash Flow'!L9</f>
        <v>-254</v>
      </c>
      <c r="F51" s="1964">
        <f>'Free Cash Flow'!M9</f>
        <v>-270</v>
      </c>
      <c r="G51" s="1964">
        <f>'Free Cash Flow'!P9</f>
        <v>-206</v>
      </c>
      <c r="H51" s="1964">
        <f>'Free Cash Flow'!Q9</f>
        <v>-193</v>
      </c>
      <c r="I51" s="1964">
        <f>'Free Cash Flow'!R9</f>
        <v>-196</v>
      </c>
      <c r="J51" s="1964">
        <f>'Free Cash Flow'!T9</f>
        <v>-180.06950525844732</v>
      </c>
      <c r="K51" s="1964">
        <f>'Free Cash Flow'!U9</f>
        <v>-184.00572813616898</v>
      </c>
      <c r="L51" s="1964">
        <f>'Free Cash Flow'!V9</f>
        <v>-194.37195620936308</v>
      </c>
      <c r="M51" s="1964"/>
      <c r="N51" s="1964">
        <f t="shared" ref="N51:V52" si="31">+D51</f>
        <v>-245</v>
      </c>
      <c r="O51" s="1964">
        <f t="shared" si="31"/>
        <v>-254</v>
      </c>
      <c r="P51" s="1964">
        <f t="shared" si="31"/>
        <v>-270</v>
      </c>
      <c r="Q51" s="1964">
        <f t="shared" si="31"/>
        <v>-206</v>
      </c>
      <c r="R51" s="1964">
        <f t="shared" si="31"/>
        <v>-193</v>
      </c>
      <c r="S51" s="1964">
        <f t="shared" si="31"/>
        <v>-196</v>
      </c>
      <c r="T51" s="1964">
        <f t="shared" si="31"/>
        <v>-180.06950525844732</v>
      </c>
      <c r="U51" s="1964">
        <f t="shared" si="31"/>
        <v>-184.00572813616898</v>
      </c>
      <c r="V51" s="1964">
        <f t="shared" si="31"/>
        <v>-194.37195620936308</v>
      </c>
      <c r="W51" s="1930"/>
      <c r="X51" s="1930"/>
    </row>
    <row r="52" spans="1:25" ht="11.25" customHeight="1">
      <c r="A52" s="1945" t="s">
        <v>1179</v>
      </c>
      <c r="B52" s="1930"/>
      <c r="C52" s="1713"/>
      <c r="D52" s="1986">
        <f t="shared" ref="D52:I52" si="32">D29-(D29-D51)*0.4-D51</f>
        <v>2041.2000000000003</v>
      </c>
      <c r="E52" s="1986">
        <f t="shared" si="32"/>
        <v>2245.1999999999998</v>
      </c>
      <c r="F52" s="1986">
        <f t="shared" si="32"/>
        <v>2403.6</v>
      </c>
      <c r="G52" s="1986">
        <f t="shared" si="32"/>
        <v>2076.6</v>
      </c>
      <c r="H52" s="1986">
        <f t="shared" si="32"/>
        <v>1980</v>
      </c>
      <c r="I52" s="1986">
        <f t="shared" si="32"/>
        <v>2164.38</v>
      </c>
      <c r="J52" s="1986">
        <f>J29-(J29-J51)*0.4-J51</f>
        <v>1928.0679025699476</v>
      </c>
      <c r="K52" s="1986">
        <f>K29-(K29-K51)*0.4-K51</f>
        <v>2063.1614517589896</v>
      </c>
      <c r="L52" s="1986">
        <f>L29-(L29-L51)*0.4-L51</f>
        <v>2179.381295330691</v>
      </c>
      <c r="M52" s="1986"/>
      <c r="N52" s="1986">
        <f t="shared" si="31"/>
        <v>2041.2000000000003</v>
      </c>
      <c r="O52" s="1986">
        <f t="shared" si="31"/>
        <v>2245.1999999999998</v>
      </c>
      <c r="P52" s="1986">
        <f t="shared" si="31"/>
        <v>2403.6</v>
      </c>
      <c r="Q52" s="1986">
        <f t="shared" si="31"/>
        <v>2076.6</v>
      </c>
      <c r="R52" s="1986">
        <f t="shared" si="31"/>
        <v>1980</v>
      </c>
      <c r="S52" s="1986">
        <f t="shared" si="31"/>
        <v>2164.38</v>
      </c>
      <c r="T52" s="1986">
        <f t="shared" si="31"/>
        <v>1928.0679025699476</v>
      </c>
      <c r="U52" s="1986">
        <f t="shared" si="31"/>
        <v>2063.1614517589896</v>
      </c>
      <c r="V52" s="1986">
        <f t="shared" si="31"/>
        <v>2179.381295330691</v>
      </c>
      <c r="W52" s="1930"/>
      <c r="X52" s="1930"/>
    </row>
    <row r="53" spans="1:25" ht="11.25" customHeight="1">
      <c r="A53" s="1945" t="s">
        <v>1180</v>
      </c>
      <c r="B53" s="1930"/>
      <c r="C53" s="1987"/>
      <c r="D53" s="1988">
        <f t="shared" ref="D53:K53" si="33">IF(D26/D52&lt;0,"NM",D26/D52)</f>
        <v>13.234460121497158</v>
      </c>
      <c r="E53" s="1988">
        <f t="shared" si="33"/>
        <v>20.128874933190808</v>
      </c>
      <c r="F53" s="1988">
        <f t="shared" si="33"/>
        <v>17.935747420535865</v>
      </c>
      <c r="G53" s="1988">
        <f t="shared" si="33"/>
        <v>16.90422806510642</v>
      </c>
      <c r="H53" s="1988">
        <f t="shared" si="33"/>
        <v>18.525325757575757</v>
      </c>
      <c r="I53" s="1988">
        <f t="shared" si="33"/>
        <v>15.93580840702649</v>
      </c>
      <c r="J53" s="1988">
        <f t="shared" ca="1" si="33"/>
        <v>17.213797004082522</v>
      </c>
      <c r="K53" s="1988">
        <f t="shared" ca="1" si="33"/>
        <v>15.569466625975062</v>
      </c>
      <c r="L53" s="1988">
        <f ca="1">IF(L26/L52&lt;0,"NM",L26/L52)</f>
        <v>14.14509021889857</v>
      </c>
      <c r="M53" s="1989"/>
      <c r="N53" s="1988">
        <f t="shared" ref="N53:U53" si="34">IF(N26/N52&lt;0,"NM",N26/N52)</f>
        <v>25.738077580346701</v>
      </c>
      <c r="O53" s="1988">
        <f t="shared" si="34"/>
        <v>22.736816319258864</v>
      </c>
      <c r="P53" s="1988">
        <f t="shared" si="34"/>
        <v>20.23909968380762</v>
      </c>
      <c r="Q53" s="1988">
        <f t="shared" si="34"/>
        <v>20.796079248742625</v>
      </c>
      <c r="R53" s="1988">
        <f t="shared" si="34"/>
        <v>20.832783066718687</v>
      </c>
      <c r="S53" s="1988">
        <f t="shared" si="34"/>
        <v>17.812449972788048</v>
      </c>
      <c r="T53" s="1988">
        <f t="shared" ca="1" si="34"/>
        <v>19.17746295324952</v>
      </c>
      <c r="U53" s="1988">
        <f t="shared" ca="1" si="34"/>
        <v>17.342962517601546</v>
      </c>
      <c r="V53" s="1988">
        <f ca="1">IF(V26/V52&lt;0,"NM",V26/V52)</f>
        <v>15.729140326698751</v>
      </c>
      <c r="W53" s="1930"/>
      <c r="X53" s="1930"/>
    </row>
    <row r="54" spans="1:25">
      <c r="A54" s="1930" t="s">
        <v>1181</v>
      </c>
      <c r="B54" s="1930"/>
      <c r="C54" s="1929"/>
      <c r="D54" s="1986">
        <f t="shared" ref="D54:K54" si="35">D41</f>
        <v>1933.0000000000005</v>
      </c>
      <c r="E54" s="1986">
        <f t="shared" si="35"/>
        <v>1436</v>
      </c>
      <c r="F54" s="1986">
        <f t="shared" si="35"/>
        <v>1580</v>
      </c>
      <c r="G54" s="1986">
        <f t="shared" si="35"/>
        <v>1378.2598425196848</v>
      </c>
      <c r="H54" s="1986">
        <f t="shared" si="35"/>
        <v>1203</v>
      </c>
      <c r="I54" s="1986">
        <f t="shared" ca="1" si="35"/>
        <v>1639.6503184713379</v>
      </c>
      <c r="J54" s="1986">
        <f t="shared" ca="1" si="35"/>
        <v>1162.1109675070129</v>
      </c>
      <c r="K54" s="1986">
        <f t="shared" ca="1" si="35"/>
        <v>1365.1687398028698</v>
      </c>
      <c r="L54" s="1986">
        <f ca="1">L41</f>
        <v>1711.8139758902987</v>
      </c>
      <c r="M54" s="1930"/>
      <c r="N54" s="1986">
        <f t="shared" ref="N54:V54" si="36">+D54</f>
        <v>1933.0000000000005</v>
      </c>
      <c r="O54" s="1986">
        <f t="shared" si="36"/>
        <v>1436</v>
      </c>
      <c r="P54" s="1986">
        <f t="shared" si="36"/>
        <v>1580</v>
      </c>
      <c r="Q54" s="1986">
        <f t="shared" si="36"/>
        <v>1378.2598425196848</v>
      </c>
      <c r="R54" s="1986">
        <f t="shared" si="36"/>
        <v>1203</v>
      </c>
      <c r="S54" s="1986">
        <f t="shared" ca="1" si="36"/>
        <v>1639.6503184713379</v>
      </c>
      <c r="T54" s="1986">
        <f t="shared" ca="1" si="36"/>
        <v>1162.1109675070129</v>
      </c>
      <c r="U54" s="1986">
        <f t="shared" ca="1" si="36"/>
        <v>1365.1687398028698</v>
      </c>
      <c r="V54" s="1986">
        <f t="shared" ca="1" si="36"/>
        <v>1711.8139758902987</v>
      </c>
      <c r="W54" s="1930"/>
      <c r="X54" s="1930"/>
      <c r="Y54" s="794"/>
    </row>
    <row r="55" spans="1:25">
      <c r="A55" s="1945" t="s">
        <v>1182</v>
      </c>
      <c r="B55" s="1990"/>
      <c r="C55" s="1929"/>
      <c r="D55" s="1988">
        <f t="shared" ref="D55:K55" si="37">IF(OR((D13-D25)/D54&lt;0,(D13-D25)/D54&gt;100),"NM",(D13-D25)/D54)</f>
        <v>10.270657009829279</v>
      </c>
      <c r="E55" s="1988">
        <f t="shared" si="37"/>
        <v>26.545508356545959</v>
      </c>
      <c r="F55" s="1988">
        <f t="shared" si="37"/>
        <v>22.621115506329115</v>
      </c>
      <c r="G55" s="1988">
        <f t="shared" si="37"/>
        <v>19.463180434074697</v>
      </c>
      <c r="H55" s="1988">
        <f t="shared" si="37"/>
        <v>22.422398171238569</v>
      </c>
      <c r="I55" s="1988">
        <f t="shared" ca="1" si="37"/>
        <v>14.60381200201534</v>
      </c>
      <c r="J55" s="1988">
        <f t="shared" ca="1" si="37"/>
        <v>19.248943815025203</v>
      </c>
      <c r="K55" s="1988">
        <f t="shared" ca="1" si="37"/>
        <v>15.829713055633558</v>
      </c>
      <c r="L55" s="1988">
        <f ca="1">IF(OR((L13-L25)/L54&lt;0,(L13-L25)/L54&gt;100),"NM",(L13-L25)/L54)</f>
        <v>11.902564257664018</v>
      </c>
      <c r="M55" s="1930"/>
      <c r="N55" s="1988">
        <f t="shared" ref="N55:U55" si="38">IF(OR((N13-N25)/N54&lt;0,(N13-N25)/N54&gt;100),"NM",(N13-N25)/N54)</f>
        <v>23.474166558201595</v>
      </c>
      <c r="O55" s="1988">
        <f t="shared" si="38"/>
        <v>30.623050139275765</v>
      </c>
      <c r="P55" s="1988">
        <f t="shared" si="38"/>
        <v>26.12512658227848</v>
      </c>
      <c r="Q55" s="1988">
        <f t="shared" si="38"/>
        <v>25.326964546919516</v>
      </c>
      <c r="R55" s="1988">
        <f t="shared" si="38"/>
        <v>26.220208206236912</v>
      </c>
      <c r="S55" s="1988">
        <f t="shared" ca="1" si="38"/>
        <v>17.081026458259785</v>
      </c>
      <c r="T55" s="1988">
        <f t="shared" ca="1" si="38"/>
        <v>22.506878206678373</v>
      </c>
      <c r="U55" s="1988">
        <f t="shared" ca="1" si="38"/>
        <v>18.509973928721717</v>
      </c>
      <c r="V55" s="1988">
        <f ca="1">IF(OR((V13-V25)/V54&lt;0,(V13-V25)/V54&gt;100),"NM",(V13-V25)/V54)</f>
        <v>13.919284079110033</v>
      </c>
      <c r="W55" s="1930"/>
      <c r="X55" s="1930"/>
      <c r="Y55" s="794"/>
    </row>
    <row r="56" spans="1:25">
      <c r="A56" s="1969" t="s">
        <v>1185</v>
      </c>
      <c r="B56" s="1990"/>
      <c r="C56" s="1929"/>
      <c r="D56" s="1986">
        <f>+'Free Cash Flow'!K30</f>
        <v>199.2</v>
      </c>
      <c r="E56" s="1986">
        <f>+'Free Cash Flow'!L30</f>
        <v>282.48</v>
      </c>
      <c r="F56" s="1986">
        <f>+'Free Cash Flow'!M30</f>
        <v>294.70799999999997</v>
      </c>
      <c r="G56" s="1986">
        <f>+'Free Cash Flow'!N30</f>
        <v>297</v>
      </c>
      <c r="H56" s="1986">
        <f>+'Free Cash Flow'!Q30</f>
        <v>290.39999999999998</v>
      </c>
      <c r="I56" s="1986">
        <f>+'Free Cash Flow'!R30</f>
        <v>293.03999999999996</v>
      </c>
      <c r="J56" s="1986">
        <f>+'Free Cash Flow'!T30</f>
        <v>289.48780987211035</v>
      </c>
      <c r="K56" s="1986">
        <f>+'Free Cash Flow'!U30</f>
        <v>293.05638720163483</v>
      </c>
      <c r="L56" s="1986">
        <f>+'Free Cash Flow'!V30</f>
        <v>303.62932707949994</v>
      </c>
      <c r="M56" s="1930"/>
      <c r="N56" s="1986">
        <f t="shared" ref="N56:V56" si="39">+D56</f>
        <v>199.2</v>
      </c>
      <c r="O56" s="1986">
        <f t="shared" si="39"/>
        <v>282.48</v>
      </c>
      <c r="P56" s="1986">
        <f t="shared" si="39"/>
        <v>294.70799999999997</v>
      </c>
      <c r="Q56" s="1986">
        <f t="shared" si="39"/>
        <v>297</v>
      </c>
      <c r="R56" s="1986">
        <f t="shared" si="39"/>
        <v>290.39999999999998</v>
      </c>
      <c r="S56" s="1986">
        <f t="shared" si="39"/>
        <v>293.03999999999996</v>
      </c>
      <c r="T56" s="1986">
        <f t="shared" si="39"/>
        <v>289.48780987211035</v>
      </c>
      <c r="U56" s="1986">
        <f t="shared" si="39"/>
        <v>293.05638720163483</v>
      </c>
      <c r="V56" s="1986">
        <f t="shared" si="39"/>
        <v>303.62932707949994</v>
      </c>
      <c r="W56" s="1930"/>
      <c r="X56" s="1930"/>
      <c r="Y56" s="794"/>
    </row>
    <row r="57" spans="1:25">
      <c r="A57" s="1969" t="s">
        <v>717</v>
      </c>
      <c r="B57" s="1990"/>
      <c r="C57" s="1929"/>
      <c r="D57" s="1110">
        <f t="shared" ref="D57:I57" si="40">+D56/D13</f>
        <v>1.0022903743896696E-2</v>
      </c>
      <c r="E57" s="1110">
        <f t="shared" si="40"/>
        <v>7.4062712617640235E-3</v>
      </c>
      <c r="F57" s="1110">
        <f t="shared" si="40"/>
        <v>8.1721087565289983E-3</v>
      </c>
      <c r="G57" s="1110">
        <f t="shared" si="40"/>
        <v>1.0940588552092305E-2</v>
      </c>
      <c r="H57" s="1110">
        <f t="shared" si="40"/>
        <v>1.0639137775551928E-2</v>
      </c>
      <c r="I57" s="1110">
        <f t="shared" si="40"/>
        <v>1.2075934484841103E-2</v>
      </c>
      <c r="J57" s="1110">
        <f>+J56/J13</f>
        <v>1.2798204119785342E-2</v>
      </c>
      <c r="K57" s="1110">
        <f>+K56/K13</f>
        <v>1.3405915442280364E-2</v>
      </c>
      <c r="L57" s="1110">
        <f>+L56/L13</f>
        <v>1.4721439159897938E-2</v>
      </c>
      <c r="M57" s="1930"/>
      <c r="N57" s="1110">
        <f t="shared" ref="N57:S57" si="41">+N56/N13</f>
        <v>4.3879683008206556E-3</v>
      </c>
      <c r="O57" s="1110">
        <f t="shared" si="41"/>
        <v>6.4205836894263117E-3</v>
      </c>
      <c r="P57" s="1110">
        <f t="shared" si="41"/>
        <v>7.0844972234909483E-3</v>
      </c>
      <c r="Q57" s="1110">
        <f t="shared" si="41"/>
        <v>8.4306888254358347E-3</v>
      </c>
      <c r="R57" s="1110">
        <f t="shared" si="41"/>
        <v>9.113673168027938E-3</v>
      </c>
      <c r="S57" s="1110">
        <f t="shared" si="41"/>
        <v>1.0344458584441092E-2</v>
      </c>
      <c r="T57" s="1110">
        <f>+T56/T13</f>
        <v>1.0963167499669062E-2</v>
      </c>
      <c r="U57" s="1110">
        <f>+U56/U13</f>
        <v>1.1483743742835752E-2</v>
      </c>
      <c r="V57" s="1110">
        <f>+V56/V13</f>
        <v>1.2610644574471395E-2</v>
      </c>
      <c r="W57" s="1930"/>
      <c r="X57" s="1930"/>
      <c r="Y57" s="794"/>
    </row>
    <row r="58" spans="1:25">
      <c r="A58" s="1991" t="s">
        <v>716</v>
      </c>
      <c r="B58" s="1991"/>
      <c r="C58" s="1929"/>
      <c r="D58" s="1930"/>
      <c r="E58" s="1930"/>
      <c r="F58" s="1930"/>
      <c r="G58" s="1930"/>
      <c r="H58" s="1930"/>
      <c r="I58" s="1930"/>
      <c r="J58" s="1930"/>
      <c r="K58" s="1930"/>
      <c r="L58" s="1930"/>
      <c r="M58" s="1930"/>
      <c r="N58" s="1930"/>
      <c r="O58" s="1930"/>
      <c r="P58" s="1930"/>
      <c r="Q58" s="1930"/>
      <c r="R58" s="1930"/>
      <c r="S58" s="1930"/>
      <c r="T58" s="1930"/>
      <c r="U58" s="1930"/>
      <c r="V58" s="1930"/>
      <c r="W58" s="1930"/>
      <c r="X58" s="1930"/>
      <c r="Y58" s="794"/>
    </row>
    <row r="60" spans="1:25">
      <c r="Y60" s="1577"/>
    </row>
    <row r="61" spans="1:25">
      <c r="Y61" s="1577"/>
    </row>
    <row r="62" spans="1:25">
      <c r="Y62" s="1577"/>
    </row>
    <row r="63" spans="1:25">
      <c r="Y63" s="1577"/>
    </row>
    <row r="64" spans="1:25">
      <c r="Y64" s="1577"/>
    </row>
  </sheetData>
  <mergeCells count="1">
    <mergeCell ref="Y10:Z10"/>
  </mergeCells>
  <phoneticPr fontId="5" type="noConversion"/>
  <pageMargins left="0" right="0" top="0" bottom="0" header="0" footer="0"/>
  <pageSetup paperSize="5" orientation="landscape" horizontalDpi="300" verticalDpi="300" r:id="rId1"/>
  <headerFooter alignWithMargins="0"/>
  <ignoredErrors>
    <ignoredError sqref="I11:L11 R53:T57 U53:W56" 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119" enableFormatConditionsCalculation="0">
    <tabColor indexed="52"/>
    <pageSetUpPr fitToPage="1"/>
  </sheetPr>
  <dimension ref="A1:AA107"/>
  <sheetViews>
    <sheetView showGridLines="0" zoomScaleNormal="100" workbookViewId="0">
      <pane xSplit="1" ySplit="5" topLeftCell="B6" activePane="bottomRight" state="frozen"/>
      <selection activeCell="H8" sqref="H8"/>
      <selection pane="topRight" activeCell="H8" sqref="H8"/>
      <selection pane="bottomLeft" activeCell="H8" sqref="H8"/>
      <selection pane="bottomRight" activeCell="M92" sqref="M92"/>
    </sheetView>
  </sheetViews>
  <sheetFormatPr defaultColWidth="9.5703125" defaultRowHeight="12.75" outlineLevelRow="1" outlineLevelCol="1"/>
  <cols>
    <col min="1" max="1" width="33.5703125" customWidth="1"/>
    <col min="2" max="9" width="10.7109375" hidden="1" customWidth="1" outlineLevel="1"/>
    <col min="10" max="10" width="10.7109375" customWidth="1" collapsed="1"/>
    <col min="11" max="22" width="10.7109375" customWidth="1"/>
    <col min="23" max="23" width="9.5703125" customWidth="1"/>
  </cols>
  <sheetData>
    <row r="1" spans="1:23" ht="15">
      <c r="A1" s="831" t="s">
        <v>1291</v>
      </c>
      <c r="B1" s="796"/>
      <c r="C1" s="796"/>
      <c r="D1" s="796"/>
      <c r="E1" s="796"/>
      <c r="F1" s="796"/>
      <c r="G1" s="796"/>
      <c r="H1" s="796"/>
      <c r="I1" s="796"/>
      <c r="J1" s="798"/>
      <c r="K1" s="796"/>
      <c r="L1" s="796"/>
      <c r="M1" s="796"/>
      <c r="N1" s="796"/>
      <c r="O1" s="796"/>
      <c r="P1" s="796"/>
      <c r="Q1" s="796"/>
      <c r="R1" s="796"/>
      <c r="S1" s="796"/>
      <c r="T1" s="796"/>
    </row>
    <row r="2" spans="1:23" ht="15">
      <c r="A2" s="797" t="s">
        <v>965</v>
      </c>
      <c r="B2" s="798"/>
      <c r="C2" s="798"/>
      <c r="D2" s="798"/>
      <c r="E2" s="798"/>
      <c r="F2" s="798"/>
      <c r="G2" s="798"/>
      <c r="H2" s="798"/>
      <c r="I2" s="798"/>
      <c r="J2" s="798"/>
      <c r="K2" s="798"/>
      <c r="L2" s="798"/>
      <c r="M2" s="798"/>
      <c r="N2" s="798"/>
      <c r="O2" s="798"/>
      <c r="P2" s="798"/>
      <c r="Q2" s="798"/>
      <c r="R2" s="798"/>
      <c r="S2" s="798"/>
      <c r="T2" s="796"/>
    </row>
    <row r="3" spans="1:23">
      <c r="A3" s="799" t="s">
        <v>222</v>
      </c>
      <c r="B3" s="800"/>
      <c r="C3" s="800"/>
      <c r="D3" s="800"/>
      <c r="E3" s="800"/>
      <c r="F3" s="800"/>
      <c r="G3" s="800"/>
      <c r="H3" s="800"/>
      <c r="I3" s="800"/>
      <c r="J3" s="800"/>
      <c r="K3" s="800"/>
      <c r="L3" s="800"/>
      <c r="M3" s="800"/>
      <c r="N3" s="796"/>
      <c r="O3" s="796"/>
      <c r="P3" s="796"/>
      <c r="Q3" s="796"/>
      <c r="R3" s="796"/>
      <c r="S3" s="796"/>
      <c r="T3" s="796"/>
      <c r="U3" s="796"/>
    </row>
    <row r="4" spans="1:23" ht="11.25" customHeight="1">
      <c r="A4" s="801"/>
      <c r="B4" s="801"/>
      <c r="C4" s="801"/>
      <c r="D4" s="801"/>
      <c r="E4" s="801"/>
      <c r="F4" s="796"/>
      <c r="G4" s="796"/>
      <c r="H4" s="796"/>
      <c r="I4" s="796"/>
      <c r="J4" s="798"/>
      <c r="K4" s="796"/>
      <c r="L4" s="796"/>
      <c r="M4" s="796"/>
      <c r="N4" s="796"/>
      <c r="O4" s="796"/>
      <c r="P4" s="796"/>
      <c r="Q4" s="796"/>
      <c r="R4" s="796"/>
      <c r="S4" s="796"/>
      <c r="T4" s="796"/>
      <c r="U4" s="796"/>
    </row>
    <row r="5" spans="1:23" ht="11.25" customHeight="1">
      <c r="A5" s="2168" t="s">
        <v>222</v>
      </c>
      <c r="B5" s="1555">
        <v>2009</v>
      </c>
      <c r="C5" s="1555">
        <v>2010</v>
      </c>
      <c r="D5" s="1044">
        <v>2011</v>
      </c>
      <c r="E5" s="1556">
        <v>2012</v>
      </c>
      <c r="F5" s="1557">
        <v>2013</v>
      </c>
      <c r="G5" s="1557">
        <v>2014</v>
      </c>
      <c r="H5" s="1557" t="s">
        <v>669</v>
      </c>
      <c r="I5" s="1557" t="s">
        <v>221</v>
      </c>
      <c r="J5" s="1557" t="s">
        <v>469</v>
      </c>
      <c r="K5" s="1557" t="s">
        <v>618</v>
      </c>
      <c r="L5" s="1557" t="s">
        <v>385</v>
      </c>
      <c r="M5" s="1557" t="s">
        <v>1080</v>
      </c>
      <c r="N5" s="796"/>
      <c r="O5" s="796"/>
      <c r="P5" s="796"/>
      <c r="Q5" s="796"/>
      <c r="R5" s="796"/>
      <c r="S5" s="796"/>
      <c r="T5" s="796"/>
      <c r="U5" s="796"/>
      <c r="W5" s="36" t="s">
        <v>1270</v>
      </c>
    </row>
    <row r="6" spans="1:23" ht="11.25" customHeight="1">
      <c r="A6" s="803"/>
      <c r="B6" s="801"/>
      <c r="C6" s="801"/>
      <c r="D6" s="801"/>
      <c r="E6" s="801"/>
      <c r="F6" s="796"/>
      <c r="G6" s="796"/>
      <c r="H6" s="796"/>
      <c r="I6" s="796"/>
      <c r="J6" s="798"/>
      <c r="K6" s="798"/>
      <c r="L6" s="798"/>
      <c r="M6" s="796"/>
      <c r="N6" s="796"/>
      <c r="O6" s="796"/>
      <c r="P6" s="796"/>
      <c r="Q6" s="796"/>
      <c r="R6" s="796"/>
      <c r="S6" s="796"/>
      <c r="T6" s="796"/>
      <c r="U6" s="796"/>
      <c r="W6" s="903" t="s">
        <v>364</v>
      </c>
    </row>
    <row r="7" spans="1:23" ht="11.25" customHeight="1">
      <c r="A7" s="804" t="s">
        <v>226</v>
      </c>
      <c r="B7" s="39"/>
      <c r="C7" s="39"/>
      <c r="D7" s="39"/>
      <c r="E7" s="39"/>
      <c r="F7" s="796"/>
      <c r="G7" s="796"/>
      <c r="H7" s="796"/>
      <c r="I7" s="796"/>
      <c r="J7" s="798"/>
      <c r="K7" s="798"/>
      <c r="L7" s="798"/>
      <c r="M7" s="796"/>
      <c r="N7" s="796"/>
      <c r="O7" s="796"/>
      <c r="P7" s="796"/>
      <c r="Q7" s="796"/>
      <c r="R7" s="796"/>
      <c r="S7" s="796"/>
      <c r="T7" s="796"/>
      <c r="U7" s="796"/>
      <c r="W7" s="862" t="s">
        <v>1275</v>
      </c>
    </row>
    <row r="8" spans="1:23" ht="11.25" customHeight="1">
      <c r="A8" s="278" t="s">
        <v>694</v>
      </c>
      <c r="B8" s="806">
        <f ca="1">FMV!F86</f>
        <v>4116.575488586207</v>
      </c>
      <c r="C8" s="806">
        <f ca="1">FMV!G86</f>
        <v>4347.8175679345386</v>
      </c>
      <c r="D8" s="806">
        <f ca="1">FMV!H86</f>
        <v>4283.0861425235998</v>
      </c>
      <c r="E8" s="806">
        <f ca="1">FMV!I86</f>
        <v>4377.0249207029528</v>
      </c>
      <c r="F8" s="806">
        <f ca="1">FMV!J86</f>
        <v>4345.6420414752974</v>
      </c>
      <c r="G8" s="806">
        <f ca="1">FMV!K86</f>
        <v>4509.8470656856671</v>
      </c>
      <c r="H8" s="806">
        <f ca="1">FMV!L86</f>
        <v>4652.9855693536692</v>
      </c>
      <c r="I8" s="806">
        <f ca="1">FMV!M86</f>
        <v>4630.2271089634178</v>
      </c>
      <c r="J8" s="1670">
        <f ca="1">FMV!N86</f>
        <v>4607.5687465846295</v>
      </c>
      <c r="K8" s="1670">
        <f ca="1">FMV!O86</f>
        <v>4573.5556644002754</v>
      </c>
      <c r="L8" s="1670">
        <f ca="1">FMV!P86</f>
        <v>4477.8494795492697</v>
      </c>
      <c r="M8" s="1670">
        <f ca="1">FMV!Q86</f>
        <v>4326.8574964871477</v>
      </c>
      <c r="N8" s="796"/>
      <c r="O8" s="796"/>
      <c r="P8" s="796"/>
      <c r="Q8" s="796"/>
      <c r="R8" s="796"/>
      <c r="S8" s="796"/>
      <c r="T8" s="796"/>
      <c r="U8" s="796"/>
      <c r="W8" s="862" t="s">
        <v>1276</v>
      </c>
    </row>
    <row r="9" spans="1:23" ht="11.25" customHeight="1">
      <c r="A9" s="278" t="s">
        <v>695</v>
      </c>
      <c r="B9" s="808">
        <f ca="1">FMV!F115</f>
        <v>5198.0883724420291</v>
      </c>
      <c r="C9" s="808">
        <f ca="1">FMV!G115</f>
        <v>5407.3778491547855</v>
      </c>
      <c r="D9" s="808">
        <f ca="1">FMV!H115</f>
        <v>5630.9040516539699</v>
      </c>
      <c r="E9" s="808">
        <f ca="1">FMV!I115</f>
        <v>5797.6544160787271</v>
      </c>
      <c r="F9" s="808">
        <f ca="1">FMV!J115</f>
        <v>5976.4918656753453</v>
      </c>
      <c r="G9" s="808">
        <f ca="1">FMV!K115</f>
        <v>6148.0398251988754</v>
      </c>
      <c r="H9" s="808">
        <f ca="1">FMV!L115</f>
        <v>6354.5019621615893</v>
      </c>
      <c r="I9" s="808">
        <f ca="1">FMV!M115</f>
        <v>6492.4103474703516</v>
      </c>
      <c r="J9" s="809">
        <f ca="1">FMV!N115</f>
        <v>6712.6699293317743</v>
      </c>
      <c r="K9" s="809">
        <f ca="1">FMV!O115</f>
        <v>6868.381519315808</v>
      </c>
      <c r="L9" s="809">
        <f ca="1">FMV!P115</f>
        <v>7043.4201358542359</v>
      </c>
      <c r="M9" s="809">
        <f ca="1">FMV!Q115</f>
        <v>7097.5843122976839</v>
      </c>
      <c r="N9" s="796"/>
      <c r="O9" s="796"/>
      <c r="P9" s="796"/>
      <c r="Q9" s="796"/>
      <c r="R9" s="796"/>
      <c r="S9" s="796"/>
      <c r="T9" s="796"/>
      <c r="U9" s="796"/>
      <c r="W9" s="862" t="s">
        <v>1277</v>
      </c>
    </row>
    <row r="10" spans="1:23" ht="11.25" customHeight="1">
      <c r="A10" s="278" t="s">
        <v>1209</v>
      </c>
      <c r="B10" s="809">
        <f ca="1">FMV!F144</f>
        <v>1336.2272539092653</v>
      </c>
      <c r="C10" s="809">
        <f ca="1">FMV!G144</f>
        <v>1346.6738199641907</v>
      </c>
      <c r="D10" s="809">
        <f ca="1">FMV!H144</f>
        <v>1357.0253990915924</v>
      </c>
      <c r="E10" s="809">
        <f ca="1">FMV!I144</f>
        <v>1368.0978962642528</v>
      </c>
      <c r="F10" s="809">
        <f ca="1">FMV!J144</f>
        <v>1420.9622148659923</v>
      </c>
      <c r="G10" s="809">
        <f ca="1">FMV!K144</f>
        <v>1436.1546184232379</v>
      </c>
      <c r="H10" s="809">
        <f ca="1">FMV!L144</f>
        <v>1445.5149166593865</v>
      </c>
      <c r="I10" s="809">
        <f ca="1">FMV!M144</f>
        <v>1448.2674148236536</v>
      </c>
      <c r="J10" s="809">
        <f ca="1">FMV!N144</f>
        <v>1462.0134508030321</v>
      </c>
      <c r="K10" s="809">
        <f ca="1">FMV!O144</f>
        <v>1465.5715078416067</v>
      </c>
      <c r="L10" s="809">
        <f ca="1">FMV!P144</f>
        <v>1471.4958720154436</v>
      </c>
      <c r="M10" s="809">
        <f ca="1">FMV!Q144</f>
        <v>1479.8886327036835</v>
      </c>
      <c r="N10" s="796"/>
      <c r="O10" s="796"/>
      <c r="P10" s="796"/>
      <c r="Q10" s="796"/>
      <c r="R10" s="796"/>
      <c r="S10" s="796"/>
      <c r="T10" s="796"/>
      <c r="U10" s="796"/>
      <c r="W10" s="862" t="s">
        <v>1278</v>
      </c>
    </row>
    <row r="11" spans="1:23" ht="11.25" customHeight="1">
      <c r="A11" s="278" t="s">
        <v>1396</v>
      </c>
      <c r="B11" s="809">
        <f ca="1">FMV!F174</f>
        <v>8929.1263706398313</v>
      </c>
      <c r="C11" s="809">
        <f ca="1">FMV!G174</f>
        <v>9165.5636782670808</v>
      </c>
      <c r="D11" s="809">
        <f ca="1">FMV!H174</f>
        <v>9372.2049308280912</v>
      </c>
      <c r="E11" s="809">
        <f ca="1">FMV!I174</f>
        <v>9368.0123539054057</v>
      </c>
      <c r="F11" s="809">
        <f ca="1">FMV!J174</f>
        <v>9383.0513966491235</v>
      </c>
      <c r="G11" s="809">
        <f ca="1">FMV!K174</f>
        <v>9438.896319915546</v>
      </c>
      <c r="H11" s="809">
        <f ca="1">FMV!L174</f>
        <v>9555.2543150117563</v>
      </c>
      <c r="I11" s="809">
        <f ca="1">FMV!M174</f>
        <v>9688.7347942228407</v>
      </c>
      <c r="J11" s="809">
        <f ca="1">FMV!N174</f>
        <v>10397.366951562017</v>
      </c>
      <c r="K11" s="809">
        <f ca="1">FMV!O174</f>
        <v>11140.110954460497</v>
      </c>
      <c r="L11" s="809">
        <f ca="1">FMV!P174</f>
        <v>11757.354057391303</v>
      </c>
      <c r="M11" s="809">
        <f ca="1">FMV!Q174</f>
        <v>12322.534419069983</v>
      </c>
      <c r="N11" s="796"/>
      <c r="O11" s="796"/>
      <c r="P11" s="796"/>
      <c r="Q11" s="796"/>
      <c r="R11" s="796"/>
      <c r="S11" s="796"/>
      <c r="T11" s="796"/>
      <c r="U11" s="796"/>
      <c r="W11" s="862" t="s">
        <v>1279</v>
      </c>
    </row>
    <row r="12" spans="1:23" ht="11.25" customHeight="1">
      <c r="A12" s="278" t="s">
        <v>257</v>
      </c>
      <c r="B12" s="809">
        <f ca="1">FMV!F204</f>
        <v>10269.11721159047</v>
      </c>
      <c r="C12" s="809">
        <f ca="1">FMV!G204</f>
        <v>10702.715124704242</v>
      </c>
      <c r="D12" s="809">
        <f ca="1">FMV!H204</f>
        <v>11075.226128775963</v>
      </c>
      <c r="E12" s="809">
        <f ca="1">FMV!I204</f>
        <v>11405.982113564922</v>
      </c>
      <c r="F12" s="809">
        <f ca="1">FMV!J204</f>
        <v>11704.312519706928</v>
      </c>
      <c r="G12" s="809">
        <f ca="1">FMV!K204</f>
        <v>11956.017469528175</v>
      </c>
      <c r="H12" s="809">
        <f ca="1">FMV!L204</f>
        <v>12251.757904154965</v>
      </c>
      <c r="I12" s="809">
        <f ca="1">FMV!M204</f>
        <v>12562.148152853746</v>
      </c>
      <c r="J12" s="809">
        <f ca="1">FMV!N204</f>
        <v>13134.405474028892</v>
      </c>
      <c r="K12" s="809">
        <f ca="1">FMV!O204</f>
        <v>13745.38710957365</v>
      </c>
      <c r="L12" s="809">
        <f ca="1">FMV!P204</f>
        <v>14286.180120933208</v>
      </c>
      <c r="M12" s="809">
        <f ca="1">FMV!Q204</f>
        <v>14792.259926813531</v>
      </c>
      <c r="N12" s="796"/>
      <c r="O12" s="796"/>
      <c r="P12" s="796"/>
      <c r="Q12" s="796"/>
      <c r="R12" s="796"/>
      <c r="S12" s="796"/>
      <c r="T12" s="796"/>
      <c r="U12" s="796"/>
      <c r="W12" s="862" t="s">
        <v>1280</v>
      </c>
    </row>
    <row r="13" spans="1:23" ht="11.25" customHeight="1">
      <c r="A13" s="278" t="s">
        <v>414</v>
      </c>
      <c r="B13" s="809"/>
      <c r="C13" s="809"/>
      <c r="D13" s="809">
        <f ca="1">+FMV!I382</f>
        <v>876.00544928626778</v>
      </c>
      <c r="E13" s="809">
        <f ca="1">+FMV!I382</f>
        <v>876.00544928626778</v>
      </c>
      <c r="F13" s="809">
        <f ca="1">+FMV!J382</f>
        <v>902.26120150505062</v>
      </c>
      <c r="G13" s="809">
        <f ca="1">+FMV!K382</f>
        <v>926.8005694691592</v>
      </c>
      <c r="H13" s="809">
        <f ca="1">MAX(FMV!L382, 200)</f>
        <v>951.56211370411631</v>
      </c>
      <c r="I13" s="809">
        <f ca="1">MAX(FMV!M382, 200)</f>
        <v>976.71145862383196</v>
      </c>
      <c r="J13" s="809">
        <f ca="1">MAX(FMV!N382, 200)</f>
        <v>1002.0744113534245</v>
      </c>
      <c r="K13" s="809">
        <f ca="1">MAX(FMV!O382, 200)</f>
        <v>1027.6056162687403</v>
      </c>
      <c r="L13" s="809">
        <f ca="1">MAX(FMV!P382, 200)</f>
        <v>1053.2539599851327</v>
      </c>
      <c r="M13" s="809">
        <f ca="1">MAX(FMV!Q382, 200)</f>
        <v>1078.9620394078686</v>
      </c>
      <c r="N13" s="796"/>
      <c r="O13" s="796"/>
      <c r="P13" s="796"/>
      <c r="Q13" s="796"/>
      <c r="R13" s="796"/>
      <c r="S13" s="796"/>
      <c r="T13" s="796"/>
      <c r="U13" s="796"/>
      <c r="W13" s="862"/>
    </row>
    <row r="14" spans="1:23" ht="11.25" customHeight="1">
      <c r="A14" s="3430" t="s">
        <v>1820</v>
      </c>
      <c r="B14" s="3068"/>
      <c r="C14" s="3068"/>
      <c r="D14" s="3068"/>
      <c r="E14" s="3068"/>
      <c r="F14" s="3068"/>
      <c r="G14" s="3068"/>
      <c r="H14" s="3068"/>
      <c r="I14" s="3068"/>
      <c r="J14" s="3068">
        <f ca="1">FMV!N411</f>
        <v>155.34553614191879</v>
      </c>
      <c r="K14" s="3068">
        <f ca="1">FMV!O411</f>
        <v>167.85093330886667</v>
      </c>
      <c r="L14" s="3068">
        <f ca="1">FMV!P411</f>
        <v>179.46327150915226</v>
      </c>
      <c r="M14" s="3068">
        <f ca="1">FMV!Q411</f>
        <v>190.11065902738432</v>
      </c>
      <c r="N14" s="796"/>
      <c r="O14" s="796"/>
      <c r="P14" s="796"/>
      <c r="Q14" s="796"/>
      <c r="R14" s="796"/>
      <c r="S14" s="796"/>
      <c r="T14" s="796"/>
      <c r="U14" s="796"/>
      <c r="W14" s="862"/>
    </row>
    <row r="15" spans="1:23" ht="11.25" hidden="1" customHeight="1" outlineLevel="1">
      <c r="A15" s="3432" t="s">
        <v>1054</v>
      </c>
      <c r="B15" s="3440">
        <f ca="1">FMV!F233</f>
        <v>1347.2757332924666</v>
      </c>
      <c r="C15" s="3440">
        <f ca="1">FMV!G233</f>
        <v>1131.3900165913401</v>
      </c>
      <c r="D15" s="3440">
        <f ca="1">FMV!H233</f>
        <v>946.41674456936323</v>
      </c>
      <c r="E15" s="3440">
        <f ca="1">FMV!I233</f>
        <v>724.10558623291445</v>
      </c>
      <c r="F15" s="3440">
        <f ca="1">FMV!J233</f>
        <v>568.13212004310037</v>
      </c>
      <c r="G15" s="3440">
        <f ca="1">FMV!K233</f>
        <v>306.91717770404335</v>
      </c>
      <c r="H15" s="3440">
        <f ca="1">FMV!L233</f>
        <v>145.57720797880472</v>
      </c>
      <c r="I15" s="3440">
        <v>0</v>
      </c>
      <c r="J15" s="3440">
        <v>0</v>
      </c>
      <c r="K15" s="3440">
        <v>0</v>
      </c>
      <c r="L15" s="3440">
        <v>0</v>
      </c>
      <c r="M15" s="3440">
        <v>1</v>
      </c>
      <c r="N15" s="796"/>
      <c r="O15" s="796"/>
      <c r="P15" s="796"/>
      <c r="Q15" s="796"/>
      <c r="R15" s="796"/>
      <c r="S15" s="796"/>
      <c r="T15" s="796"/>
      <c r="U15" s="796"/>
      <c r="W15" s="862"/>
    </row>
    <row r="16" spans="1:23" ht="11.25" customHeight="1" collapsed="1">
      <c r="A16" s="278" t="s">
        <v>4</v>
      </c>
      <c r="B16" s="809">
        <f ca="1">FMV!F319</f>
        <v>1704.6607560027355</v>
      </c>
      <c r="C16" s="809">
        <f ca="1">FMV!G319</f>
        <v>1814.8788580371436</v>
      </c>
      <c r="D16" s="809">
        <f ca="1">FMV!H319</f>
        <v>1935.6201211315768</v>
      </c>
      <c r="E16" s="809">
        <f ca="1">FMV!I319</f>
        <v>2040.7266524593015</v>
      </c>
      <c r="F16" s="809">
        <f ca="1">FMV!J319</f>
        <v>2112.8054334264752</v>
      </c>
      <c r="G16" s="809">
        <f ca="1">FMV!K319</f>
        <v>2247.8412581641369</v>
      </c>
      <c r="H16" s="809">
        <f ca="1">FMV!L319</f>
        <v>2301.9007226752692</v>
      </c>
      <c r="I16" s="1958">
        <f ca="1">FMV!M319</f>
        <v>2362.5883223775181</v>
      </c>
      <c r="J16" s="1958">
        <f ca="1">FMV!N319</f>
        <v>2430.1183959686123</v>
      </c>
      <c r="K16" s="1958">
        <f ca="1">FMV!O319</f>
        <v>2515.2379039038924</v>
      </c>
      <c r="L16" s="1958">
        <f ca="1">FMV!P319</f>
        <v>2603.0448859004614</v>
      </c>
      <c r="M16" s="1958">
        <f ca="1">FMV!Q319</f>
        <v>2690.973188221511</v>
      </c>
      <c r="N16" s="796"/>
      <c r="O16" s="796"/>
      <c r="P16" s="796"/>
      <c r="Q16" s="796"/>
      <c r="R16" s="796"/>
      <c r="S16" s="796"/>
      <c r="T16" s="796"/>
      <c r="U16" s="796"/>
      <c r="W16" s="862"/>
    </row>
    <row r="17" spans="1:23" ht="11.25" hidden="1" customHeight="1" outlineLevel="1">
      <c r="A17" s="3437" t="s">
        <v>1055</v>
      </c>
      <c r="B17" s="3438">
        <f ca="1">FMV!F262</f>
        <v>988.76041508280798</v>
      </c>
      <c r="C17" s="3438">
        <f ca="1">FMV!G262</f>
        <v>861.12530393522877</v>
      </c>
      <c r="D17" s="3438">
        <f ca="1">FMV!H262</f>
        <v>599.38058847047159</v>
      </c>
      <c r="E17" s="3438">
        <f ca="1">FMV!I262</f>
        <v>325.67340272981517</v>
      </c>
      <c r="F17" s="3438">
        <f ca="1">FMV!J262</f>
        <v>0</v>
      </c>
      <c r="G17" s="3438">
        <f>FMV!K262</f>
        <v>0</v>
      </c>
      <c r="H17" s="3438">
        <f>FMV!L262</f>
        <v>0</v>
      </c>
      <c r="I17" s="3439">
        <f>FMV!M262</f>
        <v>0</v>
      </c>
      <c r="J17" s="3439">
        <f>FMV!N262</f>
        <v>0</v>
      </c>
      <c r="K17" s="3439">
        <f>FMV!O262</f>
        <v>0</v>
      </c>
      <c r="L17" s="3439">
        <f>FMV!P262</f>
        <v>0</v>
      </c>
      <c r="M17" s="3439">
        <f>FMV!Q262</f>
        <v>0</v>
      </c>
      <c r="N17" s="796"/>
      <c r="O17" s="796"/>
      <c r="P17" s="796"/>
      <c r="Q17" s="796"/>
      <c r="R17" s="796"/>
      <c r="S17" s="796"/>
      <c r="T17" s="796"/>
      <c r="U17" s="796"/>
      <c r="W17" s="903" t="s">
        <v>1271</v>
      </c>
    </row>
    <row r="18" spans="1:23" ht="11.25" customHeight="1" collapsed="1">
      <c r="A18" s="278" t="s">
        <v>689</v>
      </c>
      <c r="B18" s="809">
        <f ca="1">FMV!F291</f>
        <v>1225.7010295267919</v>
      </c>
      <c r="C18" s="809">
        <f ca="1">FMV!G291</f>
        <v>1280.2841055110441</v>
      </c>
      <c r="D18" s="809">
        <f ca="1">FMV!H291</f>
        <v>1323.9573127509677</v>
      </c>
      <c r="E18" s="809">
        <f ca="1">FMV!I291</f>
        <v>1373.5463960883958</v>
      </c>
      <c r="F18" s="809">
        <f ca="1">FMV!J291</f>
        <v>1409.3519616531521</v>
      </c>
      <c r="G18" s="809">
        <f ca="1">FMV!K291</f>
        <v>1452.2609590325258</v>
      </c>
      <c r="H18" s="809">
        <f ca="1">FMV!L291</f>
        <v>1488.9310282146603</v>
      </c>
      <c r="I18" s="1958">
        <f ca="1">FMV!M291</f>
        <v>1524.6993097062038</v>
      </c>
      <c r="J18" s="1958">
        <f ca="1">FMV!N291</f>
        <v>1554.993264124909</v>
      </c>
      <c r="K18" s="1958">
        <f ca="1">FMV!O291</f>
        <v>1588.5090318441135</v>
      </c>
      <c r="L18" s="1958">
        <f ca="1">FMV!P291</f>
        <v>1621.3508765299457</v>
      </c>
      <c r="M18" s="1958">
        <f ca="1">FMV!Q291</f>
        <v>1653.2951411292211</v>
      </c>
      <c r="N18" s="796"/>
      <c r="O18" s="796"/>
      <c r="P18" s="796"/>
      <c r="Q18" s="796"/>
      <c r="R18" s="796"/>
      <c r="S18" s="796"/>
      <c r="T18" s="796"/>
      <c r="U18" s="796"/>
      <c r="W18" s="862" t="s">
        <v>1273</v>
      </c>
    </row>
    <row r="19" spans="1:23" ht="11.25" customHeight="1">
      <c r="A19" s="277" t="s">
        <v>227</v>
      </c>
      <c r="B19" s="810">
        <f ca="1">FMV!F353</f>
        <v>-4114.364629043519</v>
      </c>
      <c r="C19" s="810">
        <f ca="1">FMV!G353</f>
        <v>-4190.6441404282741</v>
      </c>
      <c r="D19" s="810">
        <f ca="1">FMV!H353</f>
        <v>-4289.7071925022401</v>
      </c>
      <c r="E19" s="810">
        <f ca="1">FMV!I353</f>
        <v>-4401.9937769535572</v>
      </c>
      <c r="F19" s="810">
        <f ca="1">FMV!J353</f>
        <v>-4462.2668675073928</v>
      </c>
      <c r="G19" s="810">
        <f ca="1">FMV!K353</f>
        <v>-4588.6395823161056</v>
      </c>
      <c r="H19" s="810">
        <f ca="1">FMV!L353</f>
        <v>-4750.1033724378758</v>
      </c>
      <c r="I19" s="2585">
        <f ca="1">FMV!M353</f>
        <v>-4867.5172538221705</v>
      </c>
      <c r="J19" s="2585">
        <f ca="1">FMV!N353</f>
        <v>-4989.6610652183099</v>
      </c>
      <c r="K19" s="2585">
        <f ca="1">FMV!O353</f>
        <v>-5111.1816515106766</v>
      </c>
      <c r="L19" s="2585">
        <f ca="1">FMV!P353</f>
        <v>-5233.9375734312543</v>
      </c>
      <c r="M19" s="2585">
        <f ca="1">FMV!Q353</f>
        <v>-5357.7854408797084</v>
      </c>
      <c r="N19" s="796"/>
      <c r="O19" s="796"/>
      <c r="P19" s="796"/>
      <c r="Q19" s="796"/>
      <c r="R19" s="796"/>
      <c r="S19" s="796"/>
      <c r="T19" s="796"/>
      <c r="U19" s="796"/>
      <c r="W19" s="862" t="s">
        <v>1272</v>
      </c>
    </row>
    <row r="20" spans="1:23" ht="11.25" customHeight="1">
      <c r="A20" s="277" t="s">
        <v>732</v>
      </c>
      <c r="B20" s="832">
        <f t="shared" ref="B20:I20" ca="1" si="0">SUM(B8:B19)</f>
        <v>31001.168002029073</v>
      </c>
      <c r="C20" s="832">
        <f t="shared" ca="1" si="0"/>
        <v>31867.182183671328</v>
      </c>
      <c r="D20" s="832">
        <f t="shared" ca="1" si="0"/>
        <v>33110.119676579619</v>
      </c>
      <c r="E20" s="832">
        <f t="shared" ca="1" si="0"/>
        <v>33254.835410359388</v>
      </c>
      <c r="F20" s="832">
        <f t="shared" ca="1" si="0"/>
        <v>33360.743887493067</v>
      </c>
      <c r="G20" s="832">
        <f t="shared" ca="1" si="0"/>
        <v>33834.135680805266</v>
      </c>
      <c r="H20" s="832">
        <f t="shared" ca="1" si="0"/>
        <v>34397.882367476341</v>
      </c>
      <c r="I20" s="832">
        <f t="shared" ca="1" si="0"/>
        <v>34818.269655219381</v>
      </c>
      <c r="J20" s="832">
        <f ca="1">SUM(J8:J19)</f>
        <v>36466.895094680898</v>
      </c>
      <c r="K20" s="832">
        <f ca="1">SUM(K8:K19)</f>
        <v>37981.028589406771</v>
      </c>
      <c r="L20" s="832">
        <f ca="1">SUM(L8:L19)</f>
        <v>39259.475086236889</v>
      </c>
      <c r="M20" s="832">
        <f ca="1">SUM(M8:M19)</f>
        <v>40275.680374278309</v>
      </c>
      <c r="N20" s="796"/>
      <c r="O20" s="796"/>
      <c r="P20" s="796"/>
      <c r="Q20" s="796"/>
      <c r="R20" s="796"/>
      <c r="S20" s="796"/>
      <c r="T20" s="912"/>
      <c r="U20" s="912"/>
      <c r="W20" s="862" t="s">
        <v>1274</v>
      </c>
    </row>
    <row r="21" spans="1:23" ht="11.25" customHeight="1">
      <c r="A21" s="277"/>
      <c r="B21" s="809"/>
      <c r="C21" s="809"/>
      <c r="D21" s="809"/>
      <c r="E21" s="809"/>
      <c r="F21" s="809"/>
      <c r="G21" s="809"/>
      <c r="H21" s="809"/>
      <c r="I21" s="809"/>
      <c r="J21" s="809"/>
      <c r="K21" s="796"/>
      <c r="L21" s="796"/>
      <c r="M21" s="796"/>
      <c r="N21" s="796"/>
      <c r="O21" s="796"/>
      <c r="P21" s="796"/>
      <c r="Q21" s="796"/>
      <c r="R21" s="796"/>
      <c r="S21" s="796"/>
      <c r="T21" s="796"/>
      <c r="U21" s="796"/>
      <c r="W21" s="862"/>
    </row>
    <row r="22" spans="1:23" ht="11.25" customHeight="1">
      <c r="A22" s="804" t="s">
        <v>818</v>
      </c>
      <c r="B22" s="809"/>
      <c r="C22" s="809"/>
      <c r="D22" s="809"/>
      <c r="E22" s="809"/>
      <c r="F22" s="809"/>
      <c r="G22" s="809"/>
      <c r="H22" s="809"/>
      <c r="I22" s="809"/>
      <c r="J22" s="809"/>
      <c r="K22" s="796"/>
      <c r="L22" s="796"/>
      <c r="M22" s="796"/>
      <c r="N22" s="796"/>
      <c r="O22" s="796"/>
      <c r="P22" s="796"/>
      <c r="Q22" s="796"/>
      <c r="R22" s="796"/>
      <c r="S22" s="796"/>
      <c r="T22" s="796"/>
      <c r="U22" s="796"/>
      <c r="W22" s="862" t="s">
        <v>1281</v>
      </c>
    </row>
    <row r="23" spans="1:23" ht="11.25" customHeight="1">
      <c r="A23" s="279" t="s">
        <v>827</v>
      </c>
      <c r="B23" s="809">
        <v>0</v>
      </c>
      <c r="C23" s="809">
        <v>0</v>
      </c>
      <c r="D23" s="809">
        <v>0</v>
      </c>
      <c r="E23" s="809">
        <v>0</v>
      </c>
      <c r="F23" s="809">
        <f>200+100</f>
        <v>300</v>
      </c>
      <c r="G23" s="809">
        <f t="shared" ref="G23:M23" si="1">F23</f>
        <v>300</v>
      </c>
      <c r="H23" s="809">
        <f t="shared" si="1"/>
        <v>300</v>
      </c>
      <c r="I23" s="809">
        <f t="shared" si="1"/>
        <v>300</v>
      </c>
      <c r="J23" s="3465">
        <v>250</v>
      </c>
      <c r="K23" s="3068">
        <f t="shared" si="1"/>
        <v>250</v>
      </c>
      <c r="L23" s="3068">
        <f t="shared" si="1"/>
        <v>250</v>
      </c>
      <c r="M23" s="3068">
        <f t="shared" si="1"/>
        <v>250</v>
      </c>
      <c r="N23" s="796"/>
      <c r="O23" s="796"/>
      <c r="P23" s="796"/>
      <c r="Q23" s="796"/>
      <c r="R23" s="796"/>
      <c r="S23" s="796"/>
      <c r="T23" s="796"/>
      <c r="U23" s="796"/>
      <c r="W23" s="862" t="s">
        <v>1282</v>
      </c>
    </row>
    <row r="24" spans="1:23" s="2807" customFormat="1" ht="11.25" hidden="1" customHeight="1" outlineLevel="1">
      <c r="A24" s="3432" t="s">
        <v>830</v>
      </c>
      <c r="B24" s="3433">
        <f t="shared" ref="B24:H24" si="2">C24</f>
        <v>21.3</v>
      </c>
      <c r="C24" s="3433">
        <f t="shared" si="2"/>
        <v>21.3</v>
      </c>
      <c r="D24" s="3433">
        <f t="shared" si="2"/>
        <v>21.3</v>
      </c>
      <c r="E24" s="3433">
        <f t="shared" si="2"/>
        <v>21.3</v>
      </c>
      <c r="F24" s="3433">
        <f t="shared" si="2"/>
        <v>21.3</v>
      </c>
      <c r="G24" s="3433">
        <f t="shared" si="2"/>
        <v>21.3</v>
      </c>
      <c r="H24" s="3433">
        <f t="shared" si="2"/>
        <v>21.3</v>
      </c>
      <c r="I24" s="3434">
        <v>21.3</v>
      </c>
      <c r="J24" s="3433">
        <v>0</v>
      </c>
      <c r="K24" s="3433">
        <v>0</v>
      </c>
      <c r="L24" s="3433">
        <v>0</v>
      </c>
      <c r="M24" s="3433">
        <v>0</v>
      </c>
      <c r="N24" s="3431"/>
      <c r="O24" s="3431"/>
      <c r="P24" s="3431"/>
      <c r="Q24" s="3431"/>
      <c r="R24" s="3431"/>
      <c r="S24" s="3431"/>
      <c r="T24" s="3431"/>
      <c r="U24" s="3431"/>
      <c r="W24" s="2867"/>
    </row>
    <row r="25" spans="1:23" ht="11.25" customHeight="1" collapsed="1">
      <c r="A25" s="811" t="s">
        <v>819</v>
      </c>
      <c r="B25" s="795">
        <f ca="1">B24+B20</f>
        <v>31022.468002029073</v>
      </c>
      <c r="C25" s="795">
        <f ca="1">C24+C20</f>
        <v>31888.482183671327</v>
      </c>
      <c r="D25" s="795">
        <f ca="1">D24+D20</f>
        <v>33131.419676579622</v>
      </c>
      <c r="E25" s="795">
        <f t="shared" ref="E25:J25" ca="1" si="3">E24+E20+E23</f>
        <v>33276.135410359391</v>
      </c>
      <c r="F25" s="795">
        <f t="shared" ca="1" si="3"/>
        <v>33682.04388749307</v>
      </c>
      <c r="G25" s="795">
        <f t="shared" ca="1" si="3"/>
        <v>34155.435680805269</v>
      </c>
      <c r="H25" s="795">
        <f t="shared" ca="1" si="3"/>
        <v>34719.182367476344</v>
      </c>
      <c r="I25" s="795">
        <f t="shared" ca="1" si="3"/>
        <v>35139.569655219384</v>
      </c>
      <c r="J25" s="1671">
        <f t="shared" ca="1" si="3"/>
        <v>36716.895094680898</v>
      </c>
      <c r="K25" s="1671">
        <f ca="1">K24+K20+K23</f>
        <v>38231.028589406771</v>
      </c>
      <c r="L25" s="1671">
        <f ca="1">L24+L20+L23</f>
        <v>39509.475086236889</v>
      </c>
      <c r="M25" s="1671">
        <f ca="1">M24+M20+M23</f>
        <v>40525.680374278309</v>
      </c>
      <c r="N25" s="796"/>
      <c r="O25" s="796"/>
      <c r="P25" s="796"/>
      <c r="Q25" s="796"/>
      <c r="R25" s="796"/>
      <c r="S25" s="796"/>
      <c r="T25" s="796"/>
      <c r="U25" s="796"/>
      <c r="W25" s="862"/>
    </row>
    <row r="26" spans="1:23" ht="11.25" customHeight="1">
      <c r="A26" s="801"/>
      <c r="B26" s="801"/>
      <c r="C26" s="801"/>
      <c r="D26" s="801"/>
      <c r="E26" s="801"/>
      <c r="F26" s="796"/>
      <c r="G26" s="796"/>
      <c r="H26" s="796"/>
      <c r="I26" s="796"/>
      <c r="J26" s="798"/>
      <c r="K26" s="796"/>
      <c r="L26" s="796"/>
      <c r="M26" s="796"/>
      <c r="N26" s="796"/>
      <c r="O26" s="796"/>
      <c r="P26" s="796"/>
      <c r="Q26" s="796"/>
      <c r="R26" s="796"/>
      <c r="S26" s="796"/>
      <c r="T26" s="796"/>
      <c r="U26" s="796"/>
      <c r="W26" s="862"/>
    </row>
    <row r="27" spans="1:23" ht="11.25" customHeight="1">
      <c r="A27" s="812" t="s">
        <v>230</v>
      </c>
      <c r="B27" s="801"/>
      <c r="C27" s="801"/>
      <c r="D27" s="801"/>
      <c r="E27" s="801"/>
      <c r="F27" s="796"/>
      <c r="G27" s="796"/>
      <c r="H27" s="796"/>
      <c r="I27" s="796"/>
      <c r="J27" s="798"/>
      <c r="K27" s="3431"/>
      <c r="L27" s="3431"/>
      <c r="M27" s="3431"/>
      <c r="N27" s="3431"/>
      <c r="O27" s="3431"/>
      <c r="P27" s="3431"/>
      <c r="Q27" s="3431"/>
      <c r="R27" s="3431"/>
      <c r="S27" s="3431"/>
      <c r="T27" s="796"/>
      <c r="U27" s="796"/>
      <c r="W27" s="862"/>
    </row>
    <row r="28" spans="1:23" ht="11.25" customHeight="1">
      <c r="A28" s="287" t="s">
        <v>943</v>
      </c>
      <c r="B28" s="813">
        <f>'GAAP Financial Statements'!R362</f>
        <v>7017.4</v>
      </c>
      <c r="C28" s="813">
        <f>'GAAP Financial Statements'!S362</f>
        <v>6000</v>
      </c>
      <c r="D28" s="813">
        <f>'GAAP Financial Statements'!T362</f>
        <v>5982</v>
      </c>
      <c r="E28" s="813">
        <f>'GAAP Financial Statements'!U362</f>
        <v>5922</v>
      </c>
      <c r="F28" s="813">
        <f>'GAAP Financial Statements'!V362</f>
        <v>6436</v>
      </c>
      <c r="G28" s="813">
        <f>'GAAP Financial Statements'!W362</f>
        <v>7146</v>
      </c>
      <c r="H28" s="813">
        <f>'GAAP Financial Statements'!Z362</f>
        <v>8448</v>
      </c>
      <c r="I28" s="813">
        <f>'GAAP Financial Statements'!AA362</f>
        <v>9375</v>
      </c>
      <c r="J28" s="1672">
        <f ca="1">'GAAP Financial Statements'!AC362</f>
        <v>10051.010764559165</v>
      </c>
      <c r="K28" s="3467">
        <f ca="1">'GAAP Financial Statements'!AD362</f>
        <v>9972</v>
      </c>
      <c r="L28" s="3467">
        <f ca="1">'GAAP Financial Statements'!AE362</f>
        <v>9683.5691986310521</v>
      </c>
      <c r="M28" s="3467">
        <f ca="1">'GAAP Financial Statements'!AF362</f>
        <v>9366</v>
      </c>
      <c r="N28" s="3431"/>
      <c r="O28" s="3431"/>
      <c r="P28" s="3431"/>
      <c r="Q28" s="3431"/>
      <c r="R28" s="3431"/>
      <c r="S28" s="3431"/>
      <c r="T28" s="796"/>
      <c r="U28" s="796"/>
      <c r="W28" s="862"/>
    </row>
    <row r="29" spans="1:23" ht="11.25" customHeight="1">
      <c r="A29" s="279" t="s">
        <v>231</v>
      </c>
      <c r="B29" s="809">
        <f>'GAAP Financial Statements'!R223</f>
        <v>2117.4</v>
      </c>
      <c r="C29" s="809">
        <f>'GAAP Financial Statements'!S223</f>
        <v>1985.6</v>
      </c>
      <c r="D29" s="809">
        <f>'GAAP Financial Statements'!T223</f>
        <v>1839</v>
      </c>
      <c r="E29" s="809">
        <f>'GAAP Financial Statements'!U223</f>
        <v>1860</v>
      </c>
      <c r="F29" s="809">
        <f>'GAAP Financial Statements'!V223</f>
        <v>1330</v>
      </c>
      <c r="G29" s="809">
        <f>'GAAP Financial Statements'!W223</f>
        <v>1560</v>
      </c>
      <c r="H29" s="809">
        <f>'GAAP Financial Statements'!Z223</f>
        <v>1575</v>
      </c>
      <c r="I29" s="809">
        <f>'GAAP Financial Statements'!AA223</f>
        <v>1769</v>
      </c>
      <c r="J29" s="809">
        <f>'GAAP Financial Statements'!AC223</f>
        <v>1269</v>
      </c>
      <c r="K29" s="3068">
        <f>'GAAP Financial Statements'!AD223</f>
        <v>1269</v>
      </c>
      <c r="L29" s="3068">
        <f>'GAAP Financial Statements'!AE223</f>
        <v>1269</v>
      </c>
      <c r="M29" s="3068">
        <f>'GAAP Financial Statements'!AF223</f>
        <v>1269</v>
      </c>
      <c r="N29" s="796"/>
      <c r="O29" s="796"/>
      <c r="P29" s="796"/>
      <c r="Q29" s="796"/>
      <c r="R29" s="796"/>
      <c r="S29" s="796"/>
      <c r="T29" s="796"/>
      <c r="U29" s="796"/>
      <c r="W29" s="862"/>
    </row>
    <row r="30" spans="1:23" ht="11.25" customHeight="1">
      <c r="A30" s="287" t="s">
        <v>788</v>
      </c>
      <c r="B30" s="810">
        <f>'GAAP Financial Statements'!R230</f>
        <v>0</v>
      </c>
      <c r="C30" s="810">
        <f>'GAAP Financial Statements'!S230</f>
        <v>0</v>
      </c>
      <c r="D30" s="810">
        <f>'GAAP Financial Statements'!T230</f>
        <v>0</v>
      </c>
      <c r="E30" s="810">
        <f>'GAAP Financial Statements'!U230</f>
        <v>0</v>
      </c>
      <c r="F30" s="810">
        <f>'GAAP Financial Statements'!V230</f>
        <v>0</v>
      </c>
      <c r="G30" s="810">
        <v>0</v>
      </c>
      <c r="H30" s="810">
        <f>+G30*1.15</f>
        <v>0</v>
      </c>
      <c r="I30" s="810">
        <v>0</v>
      </c>
      <c r="J30" s="810">
        <v>0</v>
      </c>
      <c r="K30" s="3069">
        <v>0</v>
      </c>
      <c r="L30" s="3069">
        <v>0</v>
      </c>
      <c r="M30" s="3069">
        <v>0</v>
      </c>
      <c r="N30" s="796"/>
      <c r="O30" s="796"/>
      <c r="P30" s="796"/>
      <c r="Q30" s="796"/>
      <c r="R30" s="796"/>
      <c r="S30" s="796"/>
      <c r="T30" s="796"/>
      <c r="U30" s="796"/>
      <c r="W30" s="862"/>
    </row>
    <row r="31" spans="1:23" ht="11.25" customHeight="1">
      <c r="A31" s="796" t="s">
        <v>732</v>
      </c>
      <c r="B31" s="767">
        <f t="shared" ref="B31:I31" si="4">+B28+B29+B30</f>
        <v>9134.7999999999993</v>
      </c>
      <c r="C31" s="767">
        <f t="shared" si="4"/>
        <v>7985.6</v>
      </c>
      <c r="D31" s="767">
        <f t="shared" si="4"/>
        <v>7821</v>
      </c>
      <c r="E31" s="767">
        <f t="shared" si="4"/>
        <v>7782</v>
      </c>
      <c r="F31" s="767">
        <f t="shared" si="4"/>
        <v>7766</v>
      </c>
      <c r="G31" s="767">
        <f t="shared" si="4"/>
        <v>8706</v>
      </c>
      <c r="H31" s="767">
        <f t="shared" si="4"/>
        <v>10023</v>
      </c>
      <c r="I31" s="767">
        <f t="shared" si="4"/>
        <v>11144</v>
      </c>
      <c r="J31" s="1086">
        <f ca="1">+J28+J29+J30</f>
        <v>11320.010764559165</v>
      </c>
      <c r="K31" s="1086">
        <f ca="1">+K28+K29+K30</f>
        <v>11241</v>
      </c>
      <c r="L31" s="1086">
        <f ca="1">+L28+L29+L30</f>
        <v>10952.569198631052</v>
      </c>
      <c r="M31" s="1086">
        <f ca="1">+M28+M29+M30</f>
        <v>10635</v>
      </c>
      <c r="N31" s="796"/>
      <c r="O31" s="796"/>
      <c r="P31" s="796"/>
      <c r="Q31" s="796"/>
      <c r="R31" s="796"/>
      <c r="S31" s="796"/>
      <c r="T31" s="796"/>
      <c r="U31" s="796"/>
    </row>
    <row r="32" spans="1:23" ht="11.25" customHeight="1">
      <c r="A32" s="801"/>
      <c r="B32" s="808"/>
      <c r="C32" s="808"/>
      <c r="D32" s="808"/>
      <c r="E32" s="808"/>
      <c r="F32" s="796"/>
      <c r="G32" s="796"/>
      <c r="H32" s="796"/>
      <c r="I32" s="796"/>
      <c r="J32" s="798"/>
      <c r="K32" s="796"/>
      <c r="L32" s="796"/>
      <c r="M32" s="796"/>
      <c r="N32" s="796"/>
      <c r="O32" s="796"/>
      <c r="P32" s="796"/>
      <c r="Q32" s="796"/>
      <c r="R32" s="796"/>
      <c r="S32" s="796"/>
      <c r="T32" s="796"/>
      <c r="U32" s="796"/>
    </row>
    <row r="33" spans="1:27" ht="11.25" customHeight="1">
      <c r="A33" s="812" t="s">
        <v>232</v>
      </c>
      <c r="B33" s="801"/>
      <c r="C33" s="801"/>
      <c r="D33" s="801"/>
      <c r="E33" s="801"/>
      <c r="F33" s="796"/>
      <c r="G33" s="796"/>
      <c r="H33" s="796"/>
      <c r="I33" s="796"/>
      <c r="J33" s="798"/>
      <c r="K33" s="796"/>
      <c r="L33" s="796"/>
      <c r="M33" s="796"/>
      <c r="N33" s="796"/>
      <c r="O33" s="796"/>
      <c r="P33" s="796"/>
      <c r="Q33" s="796"/>
      <c r="R33" s="796"/>
      <c r="S33" s="796"/>
      <c r="T33" s="796"/>
      <c r="U33" s="796"/>
    </row>
    <row r="34" spans="1:27" ht="11.25" customHeight="1">
      <c r="A34" s="801" t="s">
        <v>233</v>
      </c>
      <c r="B34" s="810">
        <f>'GAAP Financial Statements'!R186</f>
        <v>716.7</v>
      </c>
      <c r="C34" s="810">
        <f>'GAAP Financial Statements'!S186</f>
        <v>480</v>
      </c>
      <c r="D34" s="810">
        <f>'GAAP Financial Statements'!T186</f>
        <v>660</v>
      </c>
      <c r="E34" s="810">
        <f>'GAAP Financial Statements'!U186</f>
        <v>708</v>
      </c>
      <c r="F34" s="810">
        <f>'GAAP Financial Statements'!V186</f>
        <v>397</v>
      </c>
      <c r="G34" s="810">
        <f>'GAAP Financial Statements'!W186</f>
        <v>428</v>
      </c>
      <c r="H34" s="810">
        <f>'GAAP Financial Statements'!Z186</f>
        <v>317</v>
      </c>
      <c r="I34" s="810">
        <f>'GAAP Financial Statements'!AA186</f>
        <v>598</v>
      </c>
      <c r="J34" s="810">
        <f ca="1">'GAAP Financial Statements'!AC186</f>
        <v>500.04999999999757</v>
      </c>
      <c r="K34" s="810">
        <f ca="1">'GAAP Financial Statements'!AD186</f>
        <v>728.90605644045525</v>
      </c>
      <c r="L34" s="810">
        <f ca="1">'GAAP Financial Statements'!AE186</f>
        <v>500.00000000000011</v>
      </c>
      <c r="M34" s="810">
        <f ca="1">'GAAP Financial Statements'!AF186</f>
        <v>594.84517839930379</v>
      </c>
      <c r="N34" s="796"/>
      <c r="O34" s="796"/>
      <c r="P34" s="796"/>
      <c r="Q34" s="796"/>
      <c r="R34" s="796"/>
      <c r="S34" s="796"/>
      <c r="T34" s="796"/>
      <c r="U34" s="796"/>
    </row>
    <row r="35" spans="1:27" ht="11.25" customHeight="1">
      <c r="A35" s="814" t="s">
        <v>234</v>
      </c>
      <c r="B35" s="815">
        <f t="shared" ref="B35:I35" ca="1" si="5">B25-B31+B34</f>
        <v>22604.368002029074</v>
      </c>
      <c r="C35" s="815">
        <f t="shared" ca="1" si="5"/>
        <v>24382.882183671325</v>
      </c>
      <c r="D35" s="815">
        <f t="shared" ca="1" si="5"/>
        <v>25970.419676579622</v>
      </c>
      <c r="E35" s="815">
        <f t="shared" ca="1" si="5"/>
        <v>26202.135410359391</v>
      </c>
      <c r="F35" s="815">
        <f t="shared" ca="1" si="5"/>
        <v>26313.04388749307</v>
      </c>
      <c r="G35" s="815">
        <f t="shared" ca="1" si="5"/>
        <v>25877.435680805269</v>
      </c>
      <c r="H35" s="815">
        <f t="shared" ca="1" si="5"/>
        <v>25013.182367476344</v>
      </c>
      <c r="I35" s="815">
        <f t="shared" ca="1" si="5"/>
        <v>24593.569655219384</v>
      </c>
      <c r="J35" s="1673">
        <f ca="1">J25-J31+J34</f>
        <v>25896.934330121734</v>
      </c>
      <c r="K35" s="1673">
        <f ca="1">K25-K31+K34</f>
        <v>27718.934645847225</v>
      </c>
      <c r="L35" s="1673">
        <f ca="1">L25-L31+L34</f>
        <v>29056.905887605837</v>
      </c>
      <c r="M35" s="1673">
        <f ca="1">M25-M31+M34</f>
        <v>30485.525552677613</v>
      </c>
      <c r="N35" s="796"/>
      <c r="O35" s="796"/>
      <c r="P35" s="796"/>
      <c r="Q35" s="796"/>
      <c r="R35" s="796"/>
      <c r="S35" s="796"/>
      <c r="T35" s="912"/>
      <c r="U35" s="912"/>
    </row>
    <row r="36" spans="1:27" ht="11.25" customHeight="1">
      <c r="A36" s="801"/>
      <c r="B36" s="801"/>
      <c r="C36" s="801"/>
      <c r="D36" s="801"/>
      <c r="E36" s="801"/>
      <c r="F36" s="796"/>
      <c r="G36" s="796"/>
      <c r="H36" s="796"/>
      <c r="I36" s="796"/>
      <c r="J36" s="798"/>
      <c r="K36" s="798"/>
      <c r="L36" s="798"/>
      <c r="M36" s="796"/>
      <c r="N36" s="796"/>
      <c r="O36" s="796"/>
      <c r="P36" s="796"/>
      <c r="Q36" s="796"/>
      <c r="R36" s="796"/>
      <c r="S36" s="796"/>
      <c r="T36" s="796"/>
      <c r="U36" s="796"/>
    </row>
    <row r="37" spans="1:27" ht="11.25" customHeight="1">
      <c r="A37" s="805" t="s">
        <v>235</v>
      </c>
      <c r="B37" s="816">
        <f>'GAAP Financial Statements'!R109</f>
        <v>51.8</v>
      </c>
      <c r="C37" s="816">
        <f>'GAAP Financial Statements'!S109</f>
        <v>43.7</v>
      </c>
      <c r="D37" s="1157">
        <f>'GAAP Financial Statements'!T109</f>
        <v>44</v>
      </c>
      <c r="E37" s="1157">
        <f>'GAAP Financial Statements'!U109</f>
        <v>43</v>
      </c>
      <c r="F37" s="1157">
        <f>'GAAP Financial Statements'!V109</f>
        <v>39</v>
      </c>
      <c r="G37" s="1157">
        <f>'GAAP Financial Statements'!W109</f>
        <v>38</v>
      </c>
      <c r="H37" s="1157">
        <f>'GAAP Financial Statements'!Z109</f>
        <v>38</v>
      </c>
      <c r="I37" s="1157">
        <f>'GAAP Financial Statements'!AA109</f>
        <v>38</v>
      </c>
      <c r="J37" s="1157">
        <f>'GAAP Financial Statements'!AC109</f>
        <v>38</v>
      </c>
      <c r="K37" s="1157">
        <f>'GAAP Financial Statements'!AD109</f>
        <v>38</v>
      </c>
      <c r="L37" s="1157">
        <f>'GAAP Financial Statements'!AE109</f>
        <v>38</v>
      </c>
      <c r="M37" s="1157">
        <f>'GAAP Financial Statements'!AF109</f>
        <v>38</v>
      </c>
      <c r="N37" s="796"/>
      <c r="O37" s="796"/>
      <c r="P37" s="796"/>
      <c r="Q37" s="796"/>
      <c r="R37" s="796"/>
      <c r="S37" s="796"/>
      <c r="T37" s="796"/>
      <c r="U37" s="796"/>
    </row>
    <row r="38" spans="1:27" ht="11.25" customHeight="1">
      <c r="A38" s="805" t="s">
        <v>236</v>
      </c>
      <c r="B38" s="816">
        <f>'GAAP Financial Statements'!R115</f>
        <v>623</v>
      </c>
      <c r="C38" s="816">
        <f>'GAAP Financial Statements'!S115</f>
        <v>636.30000000000007</v>
      </c>
      <c r="D38" s="1157">
        <f>'GAAP Financial Statements'!T115</f>
        <v>607</v>
      </c>
      <c r="E38" s="1157">
        <f>'GAAP Financial Statements'!U115</f>
        <v>587</v>
      </c>
      <c r="F38" s="1157">
        <f>'GAAP Financial Statements'!V115</f>
        <v>557</v>
      </c>
      <c r="G38" s="1157">
        <f>'GAAP Financial Statements'!W115</f>
        <v>469</v>
      </c>
      <c r="H38" s="1157">
        <f>'GAAP Financial Statements'!Z115</f>
        <v>425</v>
      </c>
      <c r="I38" s="1157">
        <f>'GAAP Financial Statements'!AA115</f>
        <v>374</v>
      </c>
      <c r="J38" s="1157">
        <f>'GAAP Financial Statements'!AC115</f>
        <v>344.97469906209562</v>
      </c>
      <c r="K38" s="1157">
        <f>'GAAP Financial Statements'!AD115</f>
        <v>333.19157808755881</v>
      </c>
      <c r="L38" s="1157">
        <f>'GAAP Financial Statements'!AE115</f>
        <v>313.90066937733769</v>
      </c>
      <c r="M38" s="1157">
        <f>'GAAP Financial Statements'!AF115</f>
        <v>295.73661026298163</v>
      </c>
      <c r="N38" s="796"/>
      <c r="O38" s="796"/>
      <c r="P38" s="796"/>
      <c r="Q38" s="796"/>
      <c r="R38" s="796"/>
      <c r="S38" s="796"/>
      <c r="T38" s="796"/>
      <c r="U38" s="796"/>
    </row>
    <row r="39" spans="1:27" ht="11.25" customHeight="1">
      <c r="A39" s="805" t="s">
        <v>820</v>
      </c>
      <c r="B39" s="817">
        <f>'GAAP Financial Statements'!R122</f>
        <v>9.2999999999999545</v>
      </c>
      <c r="C39" s="817">
        <f>'GAAP Financial Statements'!S122</f>
        <v>19.299999999999955</v>
      </c>
      <c r="D39" s="1158">
        <f>'GAAP Financial Statements'!T122</f>
        <v>17</v>
      </c>
      <c r="E39" s="1158">
        <f>'GAAP Financial Statements'!U122</f>
        <v>17</v>
      </c>
      <c r="F39" s="1158">
        <f>'GAAP Financial Statements'!V122</f>
        <v>15.75</v>
      </c>
      <c r="G39" s="1158">
        <f>'GAAP Financial Statements'!W122</f>
        <v>11</v>
      </c>
      <c r="H39" s="1158">
        <f>'GAAP Financial Statements'!Z122</f>
        <v>5.5</v>
      </c>
      <c r="I39" s="1158">
        <f>'GAAP Financial Statements'!AA122</f>
        <v>4.5</v>
      </c>
      <c r="J39" s="1158">
        <f>'GAAP Financial Statements'!AC122</f>
        <v>5.25</v>
      </c>
      <c r="K39" s="1158">
        <f>'GAAP Financial Statements'!AD122</f>
        <v>4</v>
      </c>
      <c r="L39" s="1158">
        <f>'GAAP Financial Statements'!AE122</f>
        <v>2.0848386947928361</v>
      </c>
      <c r="M39" s="1158">
        <f>'GAAP Financial Statements'!AF122</f>
        <v>2.025865485682818</v>
      </c>
      <c r="N39" s="796"/>
      <c r="O39" s="796"/>
      <c r="P39" s="796"/>
      <c r="Q39" s="796"/>
      <c r="R39" s="796"/>
      <c r="S39" s="796"/>
      <c r="T39" s="796"/>
      <c r="U39" s="796"/>
      <c r="V39" s="1101"/>
      <c r="W39" s="1101"/>
      <c r="X39" s="1101"/>
      <c r="Y39" s="1101"/>
      <c r="Z39" s="1101"/>
    </row>
    <row r="40" spans="1:27" ht="11.25" customHeight="1">
      <c r="A40" s="807" t="s">
        <v>821</v>
      </c>
      <c r="B40" s="818">
        <f t="shared" ref="B40:I40" si="6">SUM(B37:B39)</f>
        <v>684.09999999999991</v>
      </c>
      <c r="C40" s="818">
        <f t="shared" si="6"/>
        <v>699.30000000000007</v>
      </c>
      <c r="D40" s="1159">
        <f t="shared" si="6"/>
        <v>668</v>
      </c>
      <c r="E40" s="1159">
        <f t="shared" si="6"/>
        <v>647</v>
      </c>
      <c r="F40" s="1159">
        <f t="shared" si="6"/>
        <v>611.75</v>
      </c>
      <c r="G40" s="1159">
        <f t="shared" si="6"/>
        <v>518</v>
      </c>
      <c r="H40" s="1159">
        <f t="shared" si="6"/>
        <v>468.5</v>
      </c>
      <c r="I40" s="1159">
        <f t="shared" si="6"/>
        <v>416.5</v>
      </c>
      <c r="J40" s="1157">
        <f>SUM(J37:J39)</f>
        <v>388.22469906209562</v>
      </c>
      <c r="K40" s="1157">
        <f>SUM(K37:K39)</f>
        <v>375.19157808755881</v>
      </c>
      <c r="L40" s="1157">
        <f>SUM(L37:L39)</f>
        <v>353.98550807213053</v>
      </c>
      <c r="M40" s="1157">
        <f>SUM(M37:M39)</f>
        <v>335.76247574866443</v>
      </c>
      <c r="N40" s="796"/>
      <c r="O40" s="796"/>
      <c r="P40" s="796"/>
      <c r="Q40" s="796"/>
      <c r="R40" s="796"/>
      <c r="S40" s="796"/>
      <c r="T40" s="796"/>
      <c r="U40" s="796"/>
      <c r="V40" s="865"/>
      <c r="W40" s="865"/>
      <c r="X40" s="865"/>
      <c r="Y40" s="865"/>
      <c r="Z40" s="865"/>
      <c r="AA40" s="862"/>
    </row>
    <row r="41" spans="1:27" ht="11.25" customHeight="1" thickBot="1">
      <c r="A41" s="805"/>
      <c r="B41" s="801"/>
      <c r="C41" s="801"/>
      <c r="D41" s="801"/>
      <c r="E41" s="801"/>
      <c r="F41" s="801"/>
      <c r="G41" s="801"/>
      <c r="H41" s="801"/>
      <c r="I41" s="801"/>
      <c r="J41" s="3584"/>
      <c r="K41" s="3431"/>
      <c r="L41" s="796"/>
      <c r="M41" s="796"/>
      <c r="N41" s="796"/>
      <c r="O41" s="796"/>
      <c r="P41" s="796"/>
      <c r="Q41" s="796"/>
      <c r="R41" s="796"/>
      <c r="S41" s="796"/>
      <c r="T41" s="796"/>
      <c r="U41" s="796"/>
      <c r="V41" s="865"/>
      <c r="W41" s="1998"/>
      <c r="X41" s="1998"/>
      <c r="Y41" s="1998"/>
      <c r="Z41" s="865"/>
      <c r="AA41" s="862"/>
    </row>
    <row r="42" spans="1:27" ht="11.25" customHeight="1" thickBot="1">
      <c r="A42" s="1393" t="s">
        <v>238</v>
      </c>
      <c r="B42" s="819">
        <f t="shared" ref="B42:I42" ca="1" si="7">+B35/+B40</f>
        <v>33.042490866874836</v>
      </c>
      <c r="C42" s="819">
        <f t="shared" ca="1" si="7"/>
        <v>34.867556390206381</v>
      </c>
      <c r="D42" s="819">
        <f t="shared" ca="1" si="7"/>
        <v>38.877873767334762</v>
      </c>
      <c r="E42" s="819">
        <f t="shared" ca="1" si="7"/>
        <v>40.497890897000602</v>
      </c>
      <c r="F42" s="819">
        <f t="shared" ca="1" si="7"/>
        <v>43.012740314659695</v>
      </c>
      <c r="G42" s="819">
        <f t="shared" ca="1" si="7"/>
        <v>49.956439538234108</v>
      </c>
      <c r="H42" s="819">
        <f t="shared" ca="1" si="7"/>
        <v>53.389930346801158</v>
      </c>
      <c r="I42" s="819">
        <f t="shared" ca="1" si="7"/>
        <v>59.048186447105365</v>
      </c>
      <c r="J42" s="3585">
        <f ca="1">+J35/+J40</f>
        <v>66.706045217333227</v>
      </c>
      <c r="K42" s="3586">
        <f ca="1">+K35/+K40</f>
        <v>73.879415916362689</v>
      </c>
      <c r="L42" s="2679">
        <f ca="1">+L35/+L40</f>
        <v>82.085015417311951</v>
      </c>
      <c r="M42" s="2680">
        <f ca="1">+M35/+M40</f>
        <v>90.79491531834428</v>
      </c>
      <c r="N42" s="796"/>
      <c r="O42" s="796"/>
      <c r="P42" s="796"/>
      <c r="Q42" s="796"/>
      <c r="R42" s="796"/>
      <c r="S42" s="796"/>
      <c r="T42" s="796"/>
      <c r="U42" s="796"/>
      <c r="V42" s="865"/>
      <c r="W42" s="1676"/>
      <c r="X42" s="1676"/>
      <c r="Y42" s="1676"/>
      <c r="Z42" s="865"/>
      <c r="AA42" s="862"/>
    </row>
    <row r="43" spans="1:27" ht="11.25" customHeight="1">
      <c r="A43" s="1047"/>
      <c r="B43" s="88"/>
      <c r="C43" s="88"/>
      <c r="D43" s="88"/>
      <c r="E43" s="88"/>
      <c r="F43" s="88"/>
      <c r="G43" s="88"/>
      <c r="H43" s="88"/>
      <c r="I43" s="2293"/>
      <c r="J43" s="3587"/>
      <c r="K43" s="3587"/>
      <c r="L43" s="2293"/>
      <c r="M43" s="796"/>
      <c r="N43" s="796"/>
      <c r="O43" s="796"/>
      <c r="P43" s="796"/>
      <c r="Q43" s="796"/>
      <c r="R43" s="796"/>
      <c r="S43" s="796"/>
      <c r="T43" s="796"/>
      <c r="U43" s="796"/>
      <c r="V43" s="865"/>
      <c r="W43" s="1676"/>
      <c r="X43" s="1676"/>
      <c r="Y43" s="1676"/>
      <c r="Z43" s="865"/>
      <c r="AA43" s="862"/>
    </row>
    <row r="44" spans="1:27" ht="11.25" customHeight="1">
      <c r="A44" s="1046"/>
      <c r="B44" s="819"/>
      <c r="C44" s="819"/>
      <c r="D44" s="819"/>
      <c r="E44" s="1209"/>
      <c r="F44" s="1209"/>
      <c r="G44" s="1209"/>
      <c r="H44" s="819"/>
      <c r="I44" s="2294"/>
      <c r="J44" s="3588"/>
      <c r="K44" s="3588"/>
      <c r="L44" s="2295"/>
      <c r="M44" s="796"/>
      <c r="N44" s="796"/>
      <c r="O44" s="796"/>
      <c r="P44" s="796"/>
      <c r="Q44" s="796"/>
      <c r="R44" s="796"/>
      <c r="S44" s="796"/>
      <c r="T44" s="796"/>
      <c r="U44" s="796"/>
      <c r="V44" s="865"/>
      <c r="W44" s="865"/>
      <c r="X44" s="865"/>
      <c r="Y44" s="865"/>
      <c r="Z44" s="865"/>
      <c r="AA44" s="862"/>
    </row>
    <row r="45" spans="1:27" ht="11.25" customHeight="1">
      <c r="A45" s="821" t="s">
        <v>822</v>
      </c>
      <c r="B45" s="822">
        <f>+B44/B46-1</f>
        <v>-1</v>
      </c>
      <c r="C45" s="822">
        <f>+C44/C46-1</f>
        <v>-1</v>
      </c>
      <c r="D45" s="822">
        <f>+D44/D46-1</f>
        <v>-1</v>
      </c>
      <c r="E45" s="822">
        <f>+E44/E46-1</f>
        <v>-1</v>
      </c>
      <c r="F45" s="822">
        <f>+F44/F46-1</f>
        <v>-1</v>
      </c>
      <c r="G45" s="822">
        <f t="shared" ref="G45:L45" ca="1" si="8">+G42/G46-1</f>
        <v>-4.6632833239807048E-2</v>
      </c>
      <c r="H45" s="822">
        <f t="shared" ca="1" si="8"/>
        <v>-8.3434672157919998E-2</v>
      </c>
      <c r="I45" s="822">
        <f t="shared" ca="1" si="8"/>
        <v>1.3702771624126475E-2</v>
      </c>
      <c r="J45" s="822">
        <f t="shared" ca="1" si="8"/>
        <v>0.14516815823748019</v>
      </c>
      <c r="K45" s="822">
        <f t="shared" ca="1" si="8"/>
        <v>0.26831615307060419</v>
      </c>
      <c r="L45" s="822">
        <f t="shared" ca="1" si="8"/>
        <v>0.40918481403110651</v>
      </c>
      <c r="M45" s="822">
        <f t="shared" ref="M45" ca="1" si="9">+M42/M46-1</f>
        <v>0.55871099258960144</v>
      </c>
      <c r="N45" s="796"/>
      <c r="O45" s="796"/>
      <c r="P45" s="796"/>
      <c r="Q45" s="796"/>
      <c r="R45" s="796"/>
      <c r="S45" s="796"/>
      <c r="T45" s="796"/>
      <c r="U45" s="820"/>
      <c r="V45" s="865"/>
      <c r="W45" s="865"/>
      <c r="X45" s="865"/>
      <c r="Y45" s="865"/>
      <c r="Z45" s="865"/>
      <c r="AA45" s="862"/>
    </row>
    <row r="46" spans="1:27" ht="11.25" customHeight="1">
      <c r="A46" s="807" t="s">
        <v>823</v>
      </c>
      <c r="B46" s="925">
        <v>13.71</v>
      </c>
      <c r="C46" s="801">
        <f>B46</f>
        <v>13.71</v>
      </c>
      <c r="D46" s="801">
        <f>+Multiples!D12</f>
        <v>29.77</v>
      </c>
      <c r="E46" s="1400">
        <f>+Multiples!E12</f>
        <v>58.95</v>
      </c>
      <c r="F46" s="1400">
        <f>+Multiples!F12</f>
        <v>58.95</v>
      </c>
      <c r="G46" s="1162">
        <f>+Multiples!G12</f>
        <v>52.4</v>
      </c>
      <c r="H46" s="1162">
        <f>+Multiples!H12</f>
        <v>58.25</v>
      </c>
      <c r="I46" s="1162">
        <f>+Multiples!I12</f>
        <v>58.25</v>
      </c>
      <c r="J46" s="803">
        <f>I46</f>
        <v>58.25</v>
      </c>
      <c r="K46" s="803">
        <f>J46</f>
        <v>58.25</v>
      </c>
      <c r="L46" s="803">
        <f>K46</f>
        <v>58.25</v>
      </c>
      <c r="M46" s="803">
        <f>L46</f>
        <v>58.25</v>
      </c>
      <c r="N46" s="796"/>
      <c r="O46" s="796"/>
      <c r="P46" s="796"/>
      <c r="Q46" s="796"/>
      <c r="R46" s="796"/>
      <c r="S46" s="796"/>
      <c r="T46" s="796"/>
      <c r="U46" s="796"/>
      <c r="V46" s="1101"/>
      <c r="W46" s="1101"/>
      <c r="X46" s="1101"/>
      <c r="Y46" s="1101"/>
      <c r="Z46" s="1101"/>
    </row>
    <row r="47" spans="1:27" ht="11.25" customHeight="1">
      <c r="A47" s="807"/>
      <c r="B47" s="813"/>
      <c r="C47" s="813"/>
      <c r="D47" s="813"/>
      <c r="E47" s="813"/>
      <c r="F47" s="254"/>
      <c r="G47" s="796"/>
      <c r="H47" s="796"/>
      <c r="I47" s="796"/>
      <c r="J47" s="798"/>
      <c r="K47" s="798"/>
      <c r="L47" s="798"/>
      <c r="M47" s="796"/>
      <c r="N47" s="796"/>
      <c r="O47" s="796"/>
      <c r="P47" s="796"/>
      <c r="Q47" s="796"/>
      <c r="R47" s="796"/>
      <c r="S47" s="796"/>
      <c r="T47" s="796"/>
      <c r="U47" s="796"/>
      <c r="V47" s="1101"/>
      <c r="W47" s="1101"/>
      <c r="X47" s="1101"/>
      <c r="Y47" s="1101"/>
      <c r="Z47" s="1101"/>
    </row>
    <row r="48" spans="1:27" ht="11.25" hidden="1" customHeight="1" outlineLevel="1">
      <c r="A48" s="6" t="s">
        <v>824</v>
      </c>
      <c r="B48" s="802">
        <f t="shared" ref="B48:I48" si="10">B5</f>
        <v>2009</v>
      </c>
      <c r="C48" s="1043">
        <f t="shared" si="10"/>
        <v>2010</v>
      </c>
      <c r="D48" s="1044">
        <f t="shared" si="10"/>
        <v>2011</v>
      </c>
      <c r="E48" s="1044">
        <f t="shared" si="10"/>
        <v>2012</v>
      </c>
      <c r="F48" s="1044">
        <f t="shared" si="10"/>
        <v>2013</v>
      </c>
      <c r="G48" s="1044">
        <f t="shared" si="10"/>
        <v>2014</v>
      </c>
      <c r="H48" s="1044" t="str">
        <f t="shared" si="10"/>
        <v>2015E</v>
      </c>
      <c r="I48" s="1044" t="str">
        <f t="shared" si="10"/>
        <v>2016E</v>
      </c>
      <c r="J48" s="1044" t="str">
        <f>J5</f>
        <v>2017E</v>
      </c>
      <c r="K48" s="1044" t="str">
        <f>K5</f>
        <v>2018E</v>
      </c>
      <c r="L48" s="1044" t="str">
        <f>L5</f>
        <v>2019E</v>
      </c>
      <c r="M48" s="1044" t="str">
        <f>M5</f>
        <v>2020E</v>
      </c>
      <c r="N48" s="796"/>
      <c r="O48" s="796"/>
      <c r="P48" s="796"/>
      <c r="Q48" s="796"/>
      <c r="R48" s="796"/>
      <c r="S48" s="796"/>
      <c r="T48" s="796"/>
      <c r="U48" s="1101"/>
      <c r="V48" s="1101"/>
      <c r="W48" s="1101"/>
      <c r="X48" s="1101"/>
      <c r="Y48" s="1101"/>
      <c r="Z48" s="1101"/>
    </row>
    <row r="49" spans="1:26" ht="11.25" hidden="1" customHeight="1" outlineLevel="1">
      <c r="A49" s="823" t="str">
        <f>A8</f>
        <v>CBS Network</v>
      </c>
      <c r="B49" s="824">
        <f t="shared" ref="B49:L49" ca="1" si="11">+B8/B75</f>
        <v>136.69870254934079</v>
      </c>
      <c r="C49" s="825">
        <f t="shared" ca="1" si="11"/>
        <v>23.878076848016981</v>
      </c>
      <c r="D49" s="825">
        <f t="shared" ca="1" si="11"/>
        <v>7.1577028942166177</v>
      </c>
      <c r="E49" s="825">
        <f t="shared" ca="1" si="11"/>
        <v>11.701796003531301</v>
      </c>
      <c r="F49" s="825">
        <f t="shared" ca="1" si="11"/>
        <v>7.8515606651351142</v>
      </c>
      <c r="G49" s="824">
        <f t="shared" ca="1" si="11"/>
        <v>15.698030791198825</v>
      </c>
      <c r="H49" s="824">
        <f t="shared" ca="1" si="11"/>
        <v>13.920735181048544</v>
      </c>
      <c r="I49" s="824">
        <f t="shared" ca="1" si="11"/>
        <v>8.0309127640279616</v>
      </c>
      <c r="J49" s="824">
        <f t="shared" ca="1" si="11"/>
        <v>8.0263220203126888</v>
      </c>
      <c r="K49" s="824">
        <f t="shared" ca="1" si="11"/>
        <v>7.7561357052411966</v>
      </c>
      <c r="L49" s="824">
        <f t="shared" ca="1" si="11"/>
        <v>6.6218149174643859</v>
      </c>
      <c r="M49" s="824">
        <f t="shared" ref="M49" ca="1" si="12">+M8/M75</f>
        <v>5.8629396610089248</v>
      </c>
      <c r="N49" s="796"/>
      <c r="O49" s="796"/>
      <c r="P49" s="796"/>
      <c r="Q49" s="796"/>
      <c r="R49" s="796"/>
      <c r="S49" s="796"/>
      <c r="T49" s="796"/>
      <c r="U49" s="1101"/>
      <c r="V49" s="1101"/>
      <c r="W49" s="1101"/>
      <c r="X49" s="1101"/>
      <c r="Y49" s="1101"/>
      <c r="Z49" s="1101"/>
    </row>
    <row r="50" spans="1:26" ht="11.25" hidden="1" customHeight="1" outlineLevel="1">
      <c r="A50" s="478" t="str">
        <f>A9</f>
        <v>CBS Stations</v>
      </c>
      <c r="B50" s="825">
        <f t="shared" ref="B50:L50" ca="1" si="13">+B9/B76</f>
        <v>40.24528406314591</v>
      </c>
      <c r="C50" s="825">
        <f t="shared" ca="1" si="13"/>
        <v>18.752248962003694</v>
      </c>
      <c r="D50" s="825">
        <f t="shared" ca="1" si="13"/>
        <v>19.328496694232683</v>
      </c>
      <c r="E50" s="825">
        <f t="shared" ca="1" si="13"/>
        <v>14.869671041242871</v>
      </c>
      <c r="F50" s="825">
        <f t="shared" ca="1" si="13"/>
        <v>15.286416935237121</v>
      </c>
      <c r="G50" s="825">
        <f t="shared" ca="1" si="13"/>
        <v>14.648867183306832</v>
      </c>
      <c r="H50" s="825">
        <f t="shared" ca="1" si="13"/>
        <v>16.167776452382697</v>
      </c>
      <c r="I50" s="825">
        <f t="shared" ca="1" si="13"/>
        <v>12.78392131087644</v>
      </c>
      <c r="J50" s="825">
        <f t="shared" ca="1" si="13"/>
        <v>16.252459591227588</v>
      </c>
      <c r="K50" s="825">
        <f t="shared" ca="1" si="13"/>
        <v>13.100118428809372</v>
      </c>
      <c r="L50" s="825">
        <f t="shared" ca="1" si="13"/>
        <v>13.63180778713612</v>
      </c>
      <c r="M50" s="825">
        <f t="shared" ref="M50" ca="1" si="14">+M9/M76</f>
        <v>10.146919646895569</v>
      </c>
      <c r="N50" s="796"/>
      <c r="O50" s="796"/>
      <c r="P50" s="796"/>
      <c r="Q50" s="796"/>
      <c r="R50" s="796"/>
      <c r="S50" s="796"/>
      <c r="T50" s="796"/>
      <c r="U50" s="1101"/>
      <c r="V50" s="1101"/>
      <c r="W50" s="1101"/>
      <c r="X50" s="1101"/>
      <c r="Y50" s="1101"/>
      <c r="Z50" s="1101"/>
    </row>
    <row r="51" spans="1:26" ht="11.25" hidden="1" customHeight="1" outlineLevel="1">
      <c r="A51" s="478" t="str">
        <f>A10</f>
        <v>CW / Other Stations</v>
      </c>
      <c r="B51" s="825">
        <f t="shared" ref="B51:L51" ca="1" si="15">+B10/B77</f>
        <v>22.132517546780317</v>
      </c>
      <c r="C51" s="825">
        <f t="shared" ca="1" si="15"/>
        <v>10.059226420712083</v>
      </c>
      <c r="D51" s="825">
        <f t="shared" ca="1" si="15"/>
        <v>10.103420699173887</v>
      </c>
      <c r="E51" s="825">
        <f t="shared" ca="1" si="15"/>
        <v>10.180660331923542</v>
      </c>
      <c r="F51" s="825">
        <f t="shared" ca="1" si="15"/>
        <v>17.839513001896112</v>
      </c>
      <c r="G51" s="825">
        <f t="shared" ca="1" si="15"/>
        <v>10.607058459910743</v>
      </c>
      <c r="H51" s="825">
        <f t="shared" ca="1" si="15"/>
        <v>10.0059867935156</v>
      </c>
      <c r="I51" s="825">
        <f t="shared" ca="1" si="15"/>
        <v>9.3773892359488222</v>
      </c>
      <c r="J51" s="825">
        <f t="shared" ca="1" si="15"/>
        <v>10.422012688524363</v>
      </c>
      <c r="K51" s="825">
        <f t="shared" ca="1" si="15"/>
        <v>9.4380696286412995</v>
      </c>
      <c r="L51" s="825">
        <f t="shared" ca="1" si="15"/>
        <v>9.644955055652364</v>
      </c>
      <c r="M51" s="825">
        <f t="shared" ref="M51" ca="1" si="16">+M10/M77</f>
        <v>9.8750208823630157</v>
      </c>
      <c r="N51" s="796"/>
      <c r="O51" s="796"/>
      <c r="P51" s="796"/>
      <c r="Q51" s="796"/>
      <c r="R51" s="796"/>
      <c r="S51" s="796"/>
      <c r="T51" s="796"/>
      <c r="U51" s="1101"/>
      <c r="V51" s="1101"/>
      <c r="W51" s="1101"/>
      <c r="X51" s="1101"/>
      <c r="Y51" s="1101"/>
      <c r="Z51" s="1101"/>
    </row>
    <row r="52" spans="1:26" ht="11.25" hidden="1" customHeight="1" outlineLevel="1">
      <c r="A52" s="478" t="str">
        <f>A11</f>
        <v>CBS Television Studio</v>
      </c>
      <c r="B52" s="825">
        <f t="shared" ref="B52:L52" ca="1" si="17">+B11/B78</f>
        <v>11.000349754055694</v>
      </c>
      <c r="C52" s="825">
        <f t="shared" ca="1" si="17"/>
        <v>12.586464894986889</v>
      </c>
      <c r="D52" s="825">
        <f t="shared" ca="1" si="17"/>
        <v>11.88184498970543</v>
      </c>
      <c r="E52" s="825">
        <f t="shared" ca="1" si="17"/>
        <v>8.2958499099704905</v>
      </c>
      <c r="F52" s="825">
        <f t="shared" ca="1" si="17"/>
        <v>8.5524052142908715</v>
      </c>
      <c r="G52" s="825">
        <f t="shared" ca="1" si="17"/>
        <v>9.0523991639031749</v>
      </c>
      <c r="H52" s="825">
        <f t="shared" ca="1" si="17"/>
        <v>10.029471728254261</v>
      </c>
      <c r="I52" s="825">
        <f t="shared" ca="1" si="17"/>
        <v>10.479073930145525</v>
      </c>
      <c r="J52" s="825">
        <f t="shared" ca="1" si="17"/>
        <v>11.390385768327638</v>
      </c>
      <c r="K52" s="825">
        <f t="shared" ca="1" si="17"/>
        <v>11.325066231003994</v>
      </c>
      <c r="L52" s="825">
        <f t="shared" ca="1" si="17"/>
        <v>11.495136981538362</v>
      </c>
      <c r="M52" s="825">
        <f t="shared" ref="M52" ca="1" si="18">+M11/M78</f>
        <v>11.596269523758341</v>
      </c>
      <c r="N52" s="796"/>
      <c r="O52" s="796"/>
      <c r="P52" s="796"/>
      <c r="Q52" s="796"/>
      <c r="R52" s="796"/>
      <c r="S52" s="796"/>
      <c r="T52" s="796"/>
      <c r="U52" s="1101"/>
      <c r="V52" s="1101"/>
      <c r="W52" s="1101"/>
      <c r="X52" s="1101"/>
      <c r="Y52" s="1101"/>
      <c r="Z52" s="1101"/>
    </row>
    <row r="53" spans="1:26" ht="11.25" hidden="1" customHeight="1" outlineLevel="1">
      <c r="A53" s="478" t="str">
        <f>A12</f>
        <v>Showtime</v>
      </c>
      <c r="B53" s="825">
        <f t="shared" ref="B53:L53" ca="1" si="19">+B12/B79</f>
        <v>23.556341684815383</v>
      </c>
      <c r="C53" s="825">
        <f t="shared" ca="1" si="19"/>
        <v>19.953677701266614</v>
      </c>
      <c r="D53" s="825">
        <f t="shared" ca="1" si="19"/>
        <v>16.658715660868236</v>
      </c>
      <c r="E53" s="825">
        <f t="shared" ca="1" si="19"/>
        <v>15.019897693349058</v>
      </c>
      <c r="F53" s="825">
        <f t="shared" ca="1" si="19"/>
        <v>13.937831077734113</v>
      </c>
      <c r="G53" s="825">
        <f t="shared" ca="1" si="19"/>
        <v>12.804834102063001</v>
      </c>
      <c r="H53" s="825">
        <f t="shared" ca="1" si="19"/>
        <v>13.576798950993453</v>
      </c>
      <c r="I53" s="825">
        <f t="shared" ca="1" si="19"/>
        <v>13.739766854090046</v>
      </c>
      <c r="J53" s="825">
        <f t="shared" ca="1" si="19"/>
        <v>13.505637230593933</v>
      </c>
      <c r="K53" s="825">
        <f t="shared" ca="1" si="19"/>
        <v>13.719051727132655</v>
      </c>
      <c r="L53" s="825">
        <f t="shared" ca="1" si="19"/>
        <v>13.469290894073408</v>
      </c>
      <c r="M53" s="825">
        <f t="shared" ref="M53" ca="1" si="20">+M12/M79</f>
        <v>13.240016929545272</v>
      </c>
      <c r="N53" s="796"/>
      <c r="O53" s="796"/>
      <c r="P53" s="796"/>
      <c r="Q53" s="796"/>
      <c r="R53" s="796"/>
      <c r="S53" s="796"/>
      <c r="T53" s="796"/>
      <c r="U53" s="1101"/>
      <c r="V53" s="1101"/>
      <c r="W53" s="1101"/>
      <c r="X53" s="1101"/>
      <c r="Y53" s="1101"/>
      <c r="Z53" s="1101"/>
    </row>
    <row r="54" spans="1:26" ht="11.25" hidden="1" customHeight="1" outlineLevel="1">
      <c r="A54" s="478" t="str">
        <f>A15</f>
        <v>Radio</v>
      </c>
      <c r="B54" s="825">
        <f t="shared" ref="B54:I54" ca="1" si="21">+B15/B81</f>
        <v>4.121071390906172</v>
      </c>
      <c r="C54" s="825">
        <f t="shared" ca="1" si="21"/>
        <v>2.5558512653065764</v>
      </c>
      <c r="D54" s="825">
        <f t="shared" ca="1" si="21"/>
        <v>2.2354892870591536</v>
      </c>
      <c r="E54" s="825">
        <f t="shared" ca="1" si="21"/>
        <v>1.6733813695528619</v>
      </c>
      <c r="F54" s="825">
        <f t="shared" ca="1" si="21"/>
        <v>1.3293371707686374</v>
      </c>
      <c r="G54" s="825">
        <f t="shared" ca="1" si="21"/>
        <v>0.74874284038945949</v>
      </c>
      <c r="H54" s="825">
        <f t="shared" ca="1" si="21"/>
        <v>0.47496642081176094</v>
      </c>
      <c r="I54" s="825">
        <f t="shared" si="21"/>
        <v>0</v>
      </c>
      <c r="J54" s="796"/>
      <c r="K54" s="796"/>
      <c r="L54" s="796"/>
      <c r="M54" s="796"/>
      <c r="N54" s="796"/>
      <c r="O54" s="796"/>
      <c r="P54" s="796"/>
      <c r="Q54" s="796"/>
      <c r="R54" s="796"/>
      <c r="S54" s="796"/>
      <c r="T54" s="796"/>
      <c r="U54" s="1101"/>
      <c r="V54" s="1101"/>
      <c r="W54" s="1101"/>
      <c r="X54" s="1101"/>
      <c r="Y54" s="1101"/>
      <c r="Z54" s="1101"/>
    </row>
    <row r="55" spans="1:26" ht="11.25" hidden="1" customHeight="1" outlineLevel="1">
      <c r="A55" s="478" t="str">
        <f>A17</f>
        <v>Outdoor</v>
      </c>
      <c r="B55" s="825">
        <f t="shared" ref="B55:F56" ca="1" si="22">+B17/B82</f>
        <v>5.3620412965445112</v>
      </c>
      <c r="C55" s="825">
        <f t="shared" ca="1" si="22"/>
        <v>2.9838021619377306</v>
      </c>
      <c r="D55" s="825">
        <f t="shared" ca="1" si="22"/>
        <v>1.5773173380801884</v>
      </c>
      <c r="E55" s="825">
        <f t="shared" ca="1" si="22"/>
        <v>0.86156984849157447</v>
      </c>
      <c r="F55" s="825">
        <f t="shared" ca="1" si="22"/>
        <v>0</v>
      </c>
      <c r="G55" s="1541" t="s">
        <v>737</v>
      </c>
      <c r="H55" s="1541" t="s">
        <v>737</v>
      </c>
      <c r="I55" s="1541" t="s">
        <v>737</v>
      </c>
      <c r="J55" s="1541" t="s">
        <v>737</v>
      </c>
      <c r="K55" s="1541" t="s">
        <v>737</v>
      </c>
      <c r="L55" s="1541" t="s">
        <v>737</v>
      </c>
      <c r="M55" s="1541" t="s">
        <v>737</v>
      </c>
      <c r="N55" s="796"/>
      <c r="O55" s="796"/>
      <c r="P55" s="796"/>
      <c r="Q55" s="796"/>
      <c r="R55" s="796"/>
      <c r="S55" s="796"/>
      <c r="T55" s="796"/>
      <c r="U55" s="1101"/>
      <c r="V55" s="1101"/>
      <c r="W55" s="1101"/>
      <c r="X55" s="1101"/>
      <c r="Y55" s="1101"/>
      <c r="Z55" s="1101"/>
    </row>
    <row r="56" spans="1:26" ht="11.25" hidden="1" customHeight="1" outlineLevel="1">
      <c r="A56" s="478" t="str">
        <f>A18</f>
        <v>Publishing</v>
      </c>
      <c r="B56" s="825">
        <f t="shared" ca="1" si="22"/>
        <v>23.391241021503664</v>
      </c>
      <c r="C56" s="825">
        <f t="shared" ca="1" si="22"/>
        <v>17.831254951407296</v>
      </c>
      <c r="D56" s="825">
        <f t="shared" ca="1" si="22"/>
        <v>14.390840355988781</v>
      </c>
      <c r="E56" s="825">
        <f t="shared" ca="1" si="22"/>
        <v>15.43310557402692</v>
      </c>
      <c r="F56" s="825">
        <f t="shared" ca="1" si="22"/>
        <v>12.472141253567719</v>
      </c>
      <c r="G56" s="825">
        <f t="shared" ref="G56:L56" ca="1" si="23">+G18/G83</f>
        <v>13.572532327406783</v>
      </c>
      <c r="H56" s="825">
        <f t="shared" ca="1" si="23"/>
        <v>12.407758568455503</v>
      </c>
      <c r="I56" s="825">
        <f t="shared" ca="1" si="23"/>
        <v>12.197594477649631</v>
      </c>
      <c r="J56" s="825">
        <f t="shared" ca="1" si="23"/>
        <v>11.362590712045925</v>
      </c>
      <c r="K56" s="825">
        <f t="shared" ca="1" si="23"/>
        <v>11.666208443548365</v>
      </c>
      <c r="L56" s="825">
        <f t="shared" ca="1" si="23"/>
        <v>11.494081857441106</v>
      </c>
      <c r="M56" s="825">
        <f t="shared" ref="M56" ca="1" si="24">+M18/M83</f>
        <v>11.319759369850148</v>
      </c>
      <c r="N56" s="796"/>
      <c r="O56" s="796"/>
      <c r="P56" s="796"/>
      <c r="Q56" s="796"/>
      <c r="R56" s="796"/>
      <c r="S56" s="796"/>
      <c r="T56" s="796"/>
      <c r="U56" s="1101"/>
      <c r="V56" s="1101"/>
      <c r="W56" s="1101"/>
      <c r="X56" s="1101"/>
      <c r="Y56" s="1101"/>
      <c r="Z56" s="1101"/>
    </row>
    <row r="57" spans="1:26" ht="11.25" hidden="1" customHeight="1" outlineLevel="1">
      <c r="A57" s="478" t="s">
        <v>4</v>
      </c>
      <c r="B57" s="1056">
        <f t="shared" ref="B57:I57" ca="1" si="25">B16/B84</f>
        <v>23.013308860190705</v>
      </c>
      <c r="C57" s="1056">
        <f t="shared" ca="1" si="25"/>
        <v>22.970828816818674</v>
      </c>
      <c r="D57" s="1056">
        <f t="shared" ca="1" si="25"/>
        <v>25.194203450636664</v>
      </c>
      <c r="E57" s="1056">
        <f t="shared" ca="1" si="25"/>
        <v>22.496789970645686</v>
      </c>
      <c r="F57" s="1056">
        <f t="shared" ca="1" si="25"/>
        <v>16.583927866159037</v>
      </c>
      <c r="G57" s="1056">
        <f t="shared" ca="1" si="25"/>
        <v>15.500534980160245</v>
      </c>
      <c r="H57" s="1056">
        <f t="shared" ca="1" si="25"/>
        <v>15.041775826950454</v>
      </c>
      <c r="I57" s="1056">
        <f t="shared" ca="1" si="25"/>
        <v>15.659745379209527</v>
      </c>
      <c r="J57" s="1056">
        <f ca="1">J16/J84</f>
        <v>15.910450141015355</v>
      </c>
      <c r="K57" s="1056">
        <f ca="1">K16/K84</f>
        <v>17.740873600781178</v>
      </c>
      <c r="L57" s="1056">
        <f ca="1">L16/L84</f>
        <v>17.800893282215348</v>
      </c>
      <c r="M57" s="1056">
        <f ca="1">M16/M84</f>
        <v>17.616671670281779</v>
      </c>
      <c r="N57" s="796"/>
      <c r="O57" s="796"/>
      <c r="P57" s="796"/>
      <c r="Q57" s="796"/>
      <c r="R57" s="796"/>
      <c r="S57" s="796"/>
      <c r="T57" s="796"/>
      <c r="U57" s="1101"/>
      <c r="V57" s="1101"/>
      <c r="W57" s="1101"/>
      <c r="X57" s="1101"/>
      <c r="Y57" s="1101"/>
      <c r="Z57" s="1101"/>
    </row>
    <row r="58" spans="1:26" ht="11.25" hidden="1" customHeight="1" outlineLevel="1">
      <c r="A58" s="478" t="str">
        <f>A19</f>
        <v>Corporate Overhead</v>
      </c>
      <c r="B58" s="826"/>
      <c r="C58" s="826"/>
      <c r="D58" s="826"/>
      <c r="E58" s="826"/>
      <c r="F58" s="826"/>
      <c r="G58" s="826"/>
      <c r="H58" s="826"/>
      <c r="I58" s="826"/>
      <c r="J58" s="826"/>
      <c r="K58" s="826"/>
      <c r="L58" s="826"/>
      <c r="M58" s="796"/>
      <c r="N58" s="796"/>
      <c r="O58" s="796"/>
      <c r="P58" s="796"/>
      <c r="Q58" s="796"/>
      <c r="R58" s="796"/>
      <c r="S58" s="796"/>
      <c r="T58" s="796"/>
      <c r="U58" s="1101"/>
      <c r="V58" s="1101"/>
      <c r="W58" s="1101"/>
      <c r="X58" s="1101"/>
      <c r="Y58" s="1101"/>
      <c r="Z58" s="1101"/>
    </row>
    <row r="59" spans="1:26" ht="11.25" hidden="1" customHeight="1" outlineLevel="1">
      <c r="A59" s="827" t="s">
        <v>732</v>
      </c>
      <c r="B59" s="828">
        <f t="shared" ref="B59:I59" ca="1" si="26">+(SUM(B8:B19)/(B86))</f>
        <v>14.726721845282841</v>
      </c>
      <c r="C59" s="828">
        <f t="shared" ca="1" si="26"/>
        <v>11.583946283343746</v>
      </c>
      <c r="D59" s="828">
        <f t="shared" ca="1" si="26"/>
        <v>10.379347860996745</v>
      </c>
      <c r="E59" s="828">
        <f t="shared" ca="1" si="26"/>
        <v>9.412633855182392</v>
      </c>
      <c r="F59" s="828">
        <f t="shared" ca="1" si="26"/>
        <v>8.881987190493362</v>
      </c>
      <c r="G59" s="828">
        <f t="shared" ca="1" si="26"/>
        <v>10.331033795665732</v>
      </c>
      <c r="H59" s="828">
        <f t="shared" ca="1" si="26"/>
        <v>11.00028217699915</v>
      </c>
      <c r="I59" s="828">
        <f t="shared" ca="1" si="26"/>
        <v>10.159095980865223</v>
      </c>
      <c r="J59" s="3435">
        <f ca="1">+(SUM(J8:J19)/(J86))</f>
        <v>11.970578528643902</v>
      </c>
      <c r="K59" s="828">
        <f ca="1">+(SUM(K8:K19)/(K86))</f>
        <v>11.628162465671386</v>
      </c>
      <c r="L59" s="828">
        <f ca="1">+(SUM(L8:L19)/(L86))</f>
        <v>11.405575261425493</v>
      </c>
      <c r="M59" s="3436">
        <f ca="1">+(SUM(M8:M19)/(M86))</f>
        <v>10.643462206828842</v>
      </c>
      <c r="N59" s="796"/>
      <c r="O59" s="796"/>
      <c r="P59" s="796"/>
      <c r="Q59" s="796"/>
      <c r="R59" s="796"/>
      <c r="S59" s="796"/>
      <c r="T59" s="796"/>
      <c r="U59" s="1101"/>
      <c r="V59" s="1101"/>
      <c r="W59" s="1101"/>
      <c r="X59" s="1101"/>
      <c r="Y59" s="1101"/>
      <c r="Z59" s="1101"/>
    </row>
    <row r="60" spans="1:26" ht="11.25" hidden="1" customHeight="1" outlineLevel="1">
      <c r="A60" s="43"/>
      <c r="B60" s="6"/>
      <c r="C60" s="6"/>
      <c r="D60" s="6"/>
      <c r="E60" s="6"/>
      <c r="F60" s="796"/>
      <c r="G60" s="796"/>
      <c r="H60" s="798"/>
      <c r="I60" s="796"/>
      <c r="J60" s="798"/>
      <c r="K60" s="796"/>
      <c r="L60" s="796"/>
      <c r="M60" s="796"/>
      <c r="N60" s="796"/>
      <c r="O60" s="796"/>
      <c r="P60" s="796"/>
      <c r="Q60" s="796"/>
      <c r="R60" s="796"/>
      <c r="S60" s="796"/>
      <c r="T60" s="796"/>
      <c r="U60" s="1101"/>
      <c r="V60" s="1101"/>
      <c r="W60" s="1101"/>
      <c r="X60" s="1101"/>
      <c r="Y60" s="1101"/>
      <c r="Z60" s="1101"/>
    </row>
    <row r="61" spans="1:26" ht="11.25" customHeight="1" collapsed="1">
      <c r="A61" s="6" t="s">
        <v>825</v>
      </c>
      <c r="B61" s="6"/>
      <c r="C61" s="84"/>
      <c r="D61" s="84"/>
      <c r="E61" s="84"/>
      <c r="F61" s="798"/>
      <c r="G61" s="798"/>
      <c r="H61" s="798"/>
      <c r="I61" s="798"/>
      <c r="J61" s="798"/>
      <c r="K61" s="798"/>
      <c r="L61" s="796"/>
      <c r="M61" s="796"/>
      <c r="N61" s="796"/>
      <c r="O61" s="796"/>
      <c r="P61" s="796"/>
      <c r="Q61" s="796"/>
      <c r="R61" s="796"/>
      <c r="S61" s="796"/>
      <c r="T61" s="796"/>
      <c r="U61" s="1101"/>
      <c r="V61" s="1101"/>
      <c r="W61" s="1101"/>
      <c r="X61" s="1101"/>
      <c r="Y61" s="1101"/>
      <c r="Z61" s="1101"/>
    </row>
    <row r="62" spans="1:26" ht="11.25" customHeight="1">
      <c r="A62" s="823" t="str">
        <f t="shared" ref="A62:A69" si="27">+A49</f>
        <v>CBS Network</v>
      </c>
      <c r="B62" s="824">
        <f t="shared" ref="B62:M62" ca="1" si="28">B8/C75</f>
        <v>22.608102647191028</v>
      </c>
      <c r="C62" s="824">
        <f t="shared" ca="1" si="28"/>
        <v>7.2658791707595061</v>
      </c>
      <c r="D62" s="824">
        <f t="shared" ca="1" si="28"/>
        <v>11.450654545808181</v>
      </c>
      <c r="E62" s="824">
        <f t="shared" ca="1" si="28"/>
        <v>7.9082622014675668</v>
      </c>
      <c r="F62" s="824">
        <f t="shared" ca="1" si="28"/>
        <v>15.126460294776232</v>
      </c>
      <c r="G62" s="824">
        <f t="shared" ca="1" si="28"/>
        <v>13.492495468271917</v>
      </c>
      <c r="H62" s="824">
        <f t="shared" ca="1" si="28"/>
        <v>8.0703862511240647</v>
      </c>
      <c r="I62" s="824">
        <f t="shared" ca="1" si="28"/>
        <v>8.0657925790623342</v>
      </c>
      <c r="J62" s="824">
        <f t="shared" ca="1" si="28"/>
        <v>7.8138173211508537</v>
      </c>
      <c r="K62" s="824">
        <f t="shared" ca="1" si="28"/>
        <v>6.7633446060871005</v>
      </c>
      <c r="L62" s="824">
        <f t="shared" ca="1" si="28"/>
        <v>6.0675354644778441</v>
      </c>
      <c r="M62" s="2666">
        <f t="shared" ca="1" si="28"/>
        <v>5.2489003700817811</v>
      </c>
      <c r="N62" s="796"/>
      <c r="O62" s="796"/>
      <c r="P62" s="796"/>
      <c r="Q62" s="796"/>
      <c r="R62" s="796"/>
      <c r="S62" s="796"/>
      <c r="T62" s="796"/>
    </row>
    <row r="63" spans="1:26" ht="11.25" customHeight="1">
      <c r="A63" s="478" t="str">
        <f t="shared" si="27"/>
        <v>CBS Stations</v>
      </c>
      <c r="B63" s="825">
        <f t="shared" ref="B63:M63" ca="1" si="29">B9/C76</f>
        <v>18.02645385725463</v>
      </c>
      <c r="C63" s="825">
        <f t="shared" ca="1" si="29"/>
        <v>18.561226389775829</v>
      </c>
      <c r="D63" s="825">
        <f t="shared" ca="1" si="29"/>
        <v>14.441994107252633</v>
      </c>
      <c r="E63" s="825">
        <f t="shared" ca="1" si="29"/>
        <v>14.828994105990212</v>
      </c>
      <c r="F63" s="825">
        <f t="shared" ca="1" si="29"/>
        <v>14.240121738241958</v>
      </c>
      <c r="G63" s="825">
        <f t="shared" ca="1" si="29"/>
        <v>15.642474281391015</v>
      </c>
      <c r="H63" s="825">
        <f t="shared" ca="1" si="29"/>
        <v>12.512371939912208</v>
      </c>
      <c r="I63" s="825">
        <f t="shared" ca="1" si="29"/>
        <v>15.719175519245843</v>
      </c>
      <c r="J63" s="825">
        <f t="shared" ca="1" si="29"/>
        <v>12.803128480916634</v>
      </c>
      <c r="K63" s="825">
        <f t="shared" ca="1" si="29"/>
        <v>13.293038733188625</v>
      </c>
      <c r="L63" s="825">
        <f t="shared" ca="1" si="29"/>
        <v>10.069484913903432</v>
      </c>
      <c r="M63" s="2665">
        <f t="shared" ca="1" si="29"/>
        <v>11.525990318929553</v>
      </c>
      <c r="N63" s="796"/>
      <c r="O63" s="796"/>
      <c r="P63" s="796"/>
      <c r="Q63" s="796"/>
      <c r="R63" s="796"/>
      <c r="S63" s="796"/>
      <c r="T63" s="796"/>
    </row>
    <row r="64" spans="1:26" ht="11.25" customHeight="1">
      <c r="A64" s="478" t="str">
        <f t="shared" si="27"/>
        <v>CW / Other Stations</v>
      </c>
      <c r="B64" s="825">
        <f t="shared" ref="B64:M64" ca="1" si="30">B10/C77</f>
        <v>9.9811938847649486</v>
      </c>
      <c r="C64" s="825">
        <f t="shared" ca="1" si="30"/>
        <v>10.026350396072015</v>
      </c>
      <c r="D64" s="825">
        <f t="shared" ca="1" si="30"/>
        <v>10.098264669267493</v>
      </c>
      <c r="E64" s="825">
        <f t="shared" ca="1" si="30"/>
        <v>17.175826318910634</v>
      </c>
      <c r="F64" s="825">
        <f t="shared" ca="1" si="30"/>
        <v>10.494851382336336</v>
      </c>
      <c r="G64" s="825">
        <f t="shared" ca="1" si="30"/>
        <v>9.9411939508718756</v>
      </c>
      <c r="H64" s="825">
        <f t="shared" ca="1" si="30"/>
        <v>9.3595670807353724</v>
      </c>
      <c r="I64" s="825">
        <f t="shared" ca="1" si="30"/>
        <v>10.32402360277737</v>
      </c>
      <c r="J64" s="825">
        <f t="shared" ca="1" si="30"/>
        <v>9.4151562532835857</v>
      </c>
      <c r="K64" s="825">
        <f t="shared" ca="1" si="30"/>
        <v>9.6061236683024891</v>
      </c>
      <c r="L64" s="825">
        <f t="shared" ca="1" si="30"/>
        <v>9.8190175553385846</v>
      </c>
      <c r="M64" s="2665">
        <f t="shared" ca="1" si="30"/>
        <v>10.055709866024237</v>
      </c>
      <c r="N64" s="796"/>
      <c r="O64" s="796"/>
      <c r="P64" s="796"/>
      <c r="Q64" s="796"/>
      <c r="R64" s="796"/>
      <c r="S64" s="796"/>
      <c r="T64" s="796"/>
    </row>
    <row r="65" spans="1:20" ht="11.25" customHeight="1">
      <c r="A65" s="478" t="str">
        <f t="shared" si="27"/>
        <v>CBS Television Studio</v>
      </c>
      <c r="B65" s="825">
        <f t="shared" ref="B65:M65" ca="1" si="31">B11/C78</f>
        <v>12.261781113740362</v>
      </c>
      <c r="C65" s="825">
        <f t="shared" ca="1" si="31"/>
        <v>11.619870422404588</v>
      </c>
      <c r="D65" s="825">
        <f t="shared" ca="1" si="31"/>
        <v>8.2995626494047112</v>
      </c>
      <c r="E65" s="825">
        <f t="shared" ca="1" si="31"/>
        <v>8.5386975213302154</v>
      </c>
      <c r="F65" s="825">
        <f t="shared" ca="1" si="31"/>
        <v>8.9988409384972492</v>
      </c>
      <c r="G65" s="825">
        <f t="shared" ca="1" si="31"/>
        <v>9.9073390059110835</v>
      </c>
      <c r="H65" s="825">
        <f t="shared" ca="1" si="31"/>
        <v>10.334705048181881</v>
      </c>
      <c r="I65" s="825">
        <f t="shared" ca="1" si="31"/>
        <v>10.614074450516272</v>
      </c>
      <c r="J65" s="825">
        <f t="shared" ca="1" si="31"/>
        <v>10.569990715159307</v>
      </c>
      <c r="K65" s="825">
        <f t="shared" ca="1" si="31"/>
        <v>10.891659873979547</v>
      </c>
      <c r="L65" s="825">
        <f t="shared" ca="1" si="31"/>
        <v>11.06439973296121</v>
      </c>
      <c r="M65" s="2665">
        <f t="shared" ca="1" si="31"/>
        <v>11.153703608542676</v>
      </c>
      <c r="N65" s="796"/>
      <c r="O65" s="796"/>
      <c r="P65" s="796"/>
      <c r="Q65" s="796"/>
      <c r="R65" s="796"/>
      <c r="S65" s="796"/>
      <c r="T65" s="796"/>
    </row>
    <row r="66" spans="1:20" ht="11.25" customHeight="1">
      <c r="A66" s="478" t="str">
        <f t="shared" si="27"/>
        <v>Showtime</v>
      </c>
      <c r="B66" s="825">
        <f t="shared" ref="B66:M66" ca="1" si="32">B12/C79</f>
        <v>19.145296565320692</v>
      </c>
      <c r="C66" s="825">
        <f t="shared" ca="1" si="32"/>
        <v>16.098406117277801</v>
      </c>
      <c r="D66" s="825">
        <f t="shared" ca="1" si="32"/>
        <v>14.584343700406633</v>
      </c>
      <c r="E66" s="825">
        <f t="shared" ca="1" si="32"/>
        <v>13.582570672720321</v>
      </c>
      <c r="F66" s="825">
        <f t="shared" ca="1" si="32"/>
        <v>12.535259376754711</v>
      </c>
      <c r="G66" s="825">
        <f t="shared" ca="1" si="32"/>
        <v>13.24907386419218</v>
      </c>
      <c r="H66" s="825">
        <f t="shared" ca="1" si="32"/>
        <v>13.400279562664061</v>
      </c>
      <c r="I66" s="825">
        <f t="shared" ca="1" si="32"/>
        <v>12.917205588398538</v>
      </c>
      <c r="J66" s="825">
        <f t="shared" ca="1" si="32"/>
        <v>13.109240697763498</v>
      </c>
      <c r="K66" s="825">
        <f t="shared" ca="1" si="32"/>
        <v>12.959420633316258</v>
      </c>
      <c r="L66" s="825">
        <f t="shared" ca="1" si="32"/>
        <v>12.787043196612778</v>
      </c>
      <c r="M66" s="2665">
        <f t="shared" ca="1" si="32"/>
        <v>12.588107816064415</v>
      </c>
      <c r="N66" s="796"/>
      <c r="O66" s="796"/>
      <c r="P66" s="796"/>
      <c r="Q66" s="796"/>
      <c r="R66" s="796"/>
      <c r="S66" s="796"/>
      <c r="T66" s="796"/>
    </row>
    <row r="67" spans="1:20" ht="11.25" hidden="1" customHeight="1" outlineLevel="1">
      <c r="A67" s="478" t="str">
        <f t="shared" si="27"/>
        <v>Radio</v>
      </c>
      <c r="B67" s="825">
        <f t="shared" ref="B67:E67" ca="1" si="33">B15/C81</f>
        <v>3.0435449642969323</v>
      </c>
      <c r="C67" s="825">
        <f t="shared" ca="1" si="33"/>
        <v>2.6724065017747072</v>
      </c>
      <c r="D67" s="825">
        <f t="shared" ca="1" si="33"/>
        <v>2.1871342775221003</v>
      </c>
      <c r="E67" s="825">
        <f t="shared" ca="1" si="33"/>
        <v>1.6942898269289961</v>
      </c>
      <c r="F67" s="1541" t="s">
        <v>737</v>
      </c>
      <c r="G67" s="1541" t="s">
        <v>737</v>
      </c>
      <c r="H67" s="1541" t="s">
        <v>737</v>
      </c>
      <c r="I67" s="1541" t="s">
        <v>737</v>
      </c>
      <c r="J67" s="1541" t="s">
        <v>737</v>
      </c>
      <c r="K67" s="1541" t="s">
        <v>737</v>
      </c>
      <c r="L67" s="1541" t="s">
        <v>737</v>
      </c>
      <c r="M67" s="2664" t="s">
        <v>737</v>
      </c>
      <c r="N67" s="796"/>
      <c r="O67" s="796"/>
      <c r="P67" s="796"/>
      <c r="Q67" s="796"/>
      <c r="R67" s="796"/>
      <c r="S67" s="796"/>
      <c r="T67" s="796"/>
    </row>
    <row r="68" spans="1:20" ht="11.25" hidden="1" customHeight="1" outlineLevel="1">
      <c r="A68" s="478" t="str">
        <f t="shared" si="27"/>
        <v>Outdoor</v>
      </c>
      <c r="B68" s="825">
        <f t="shared" ref="B68:F69" ca="1" si="34">B17/C82</f>
        <v>3.4260582643201949</v>
      </c>
      <c r="C68" s="825">
        <f t="shared" ca="1" si="34"/>
        <v>2.2661192208821808</v>
      </c>
      <c r="D68" s="825">
        <f t="shared" ca="1" si="34"/>
        <v>1.585662932461565</v>
      </c>
      <c r="E68" s="825">
        <f t="shared" ca="1" si="34"/>
        <v>0.79239270737181311</v>
      </c>
      <c r="F68" s="1541" t="s">
        <v>737</v>
      </c>
      <c r="G68" s="1541" t="s">
        <v>737</v>
      </c>
      <c r="H68" s="1541" t="s">
        <v>737</v>
      </c>
      <c r="I68" s="1541" t="s">
        <v>737</v>
      </c>
      <c r="J68" s="1541" t="s">
        <v>737</v>
      </c>
      <c r="K68" s="1541" t="s">
        <v>737</v>
      </c>
      <c r="L68" s="1541" t="s">
        <v>737</v>
      </c>
      <c r="M68" s="2664" t="s">
        <v>737</v>
      </c>
      <c r="N68" s="796"/>
      <c r="O68" s="796"/>
      <c r="P68" s="796"/>
      <c r="Q68" s="796"/>
      <c r="R68" s="796"/>
      <c r="S68" s="796"/>
      <c r="T68" s="796"/>
    </row>
    <row r="69" spans="1:20" ht="11.25" customHeight="1" collapsed="1">
      <c r="A69" s="478" t="str">
        <f t="shared" si="27"/>
        <v>Publishing</v>
      </c>
      <c r="B69" s="825">
        <f t="shared" ca="1" si="34"/>
        <v>17.07104497948178</v>
      </c>
      <c r="C69" s="825">
        <f t="shared" ca="1" si="34"/>
        <v>13.916131581641784</v>
      </c>
      <c r="D69" s="825">
        <f t="shared" ca="1" si="34"/>
        <v>14.875924862370423</v>
      </c>
      <c r="E69" s="825">
        <f t="shared" ca="1" si="34"/>
        <v>12.155277841490228</v>
      </c>
      <c r="F69" s="825">
        <f t="shared" ca="1" si="34"/>
        <v>13.171513660309833</v>
      </c>
      <c r="G69" s="825">
        <f t="shared" ref="G69:M69" ca="1" si="35">G18/H83</f>
        <v>12.102174658604381</v>
      </c>
      <c r="H69" s="825">
        <f t="shared" ca="1" si="35"/>
        <v>11.911448225717281</v>
      </c>
      <c r="I69" s="825">
        <f t="shared" ca="1" si="35"/>
        <v>11.141227820610615</v>
      </c>
      <c r="J69" s="825">
        <f t="shared" ca="1" si="35"/>
        <v>11.420064465440873</v>
      </c>
      <c r="K69" s="825">
        <f t="shared" ca="1" si="35"/>
        <v>11.261259427310357</v>
      </c>
      <c r="L69" s="825">
        <f t="shared" ca="1" si="35"/>
        <v>11.101043800249164</v>
      </c>
      <c r="M69" s="2665">
        <f t="shared" ca="1" si="35"/>
        <v>10.938247345668412</v>
      </c>
      <c r="N69" s="796"/>
      <c r="O69" s="796"/>
      <c r="P69" s="796"/>
      <c r="Q69" s="796"/>
      <c r="R69" s="796"/>
      <c r="S69" s="796"/>
      <c r="T69" s="796"/>
    </row>
    <row r="70" spans="1:20" ht="11.25" customHeight="1">
      <c r="A70" s="478" t="s">
        <v>4</v>
      </c>
      <c r="B70" s="1056">
        <f t="shared" ref="B70:M70" ca="1" si="36">B16/C84</f>
        <v>21.575803940565901</v>
      </c>
      <c r="C70" s="1056">
        <f t="shared" ca="1" si="36"/>
        <v>23.622624443951388</v>
      </c>
      <c r="D70" s="1056">
        <f t="shared" ca="1" si="36"/>
        <v>21.338104873367538</v>
      </c>
      <c r="E70" s="1056">
        <f t="shared" ca="1" si="36"/>
        <v>16.018163842019003</v>
      </c>
      <c r="F70" s="1056">
        <f t="shared" ca="1" si="36"/>
        <v>14.569362675479612</v>
      </c>
      <c r="G70" s="1056">
        <f t="shared" ca="1" si="36"/>
        <v>14.688524125653627</v>
      </c>
      <c r="H70" s="1056">
        <f t="shared" ca="1" si="36"/>
        <v>15.257494868610095</v>
      </c>
      <c r="I70" s="1056">
        <f t="shared" ca="1" si="36"/>
        <v>15.468317827350059</v>
      </c>
      <c r="J70" s="1056">
        <f t="shared" ca="1" si="36"/>
        <v>17.140495231444156</v>
      </c>
      <c r="K70" s="1056">
        <f t="shared" ca="1" si="36"/>
        <v>17.200426219806769</v>
      </c>
      <c r="L70" s="1056">
        <f t="shared" ca="1" si="36"/>
        <v>17.041041991288598</v>
      </c>
      <c r="M70" s="2663">
        <f t="shared" ca="1" si="36"/>
        <v>16.740801428986728</v>
      </c>
      <c r="N70" s="796"/>
      <c r="O70" s="796"/>
      <c r="P70" s="796"/>
      <c r="Q70" s="796"/>
      <c r="R70" s="796"/>
      <c r="S70" s="796"/>
      <c r="T70" s="796"/>
    </row>
    <row r="71" spans="1:20" ht="11.25" customHeight="1">
      <c r="A71" s="2662" t="str">
        <f>+A59</f>
        <v>Total</v>
      </c>
      <c r="B71" s="2661">
        <f t="shared" ref="B71:M71" ca="1" si="37">SUM(B8:B19)/C86</f>
        <v>11.269143998568843</v>
      </c>
      <c r="C71" s="2661">
        <f t="shared" ca="1" si="37"/>
        <v>9.9897122832825467</v>
      </c>
      <c r="D71" s="2661">
        <f t="shared" ca="1" si="37"/>
        <v>9.3716727077779858</v>
      </c>
      <c r="E71" s="2661">
        <f t="shared" ca="1" si="37"/>
        <v>8.8537900453566003</v>
      </c>
      <c r="F71" s="2661">
        <f t="shared" ca="1" si="37"/>
        <v>10.186486683203992</v>
      </c>
      <c r="G71" s="2661">
        <f ca="1">SUM(G8:G19)/H86</f>
        <v>10.819998618741691</v>
      </c>
      <c r="H71" s="2661">
        <f t="shared" ca="1" si="37"/>
        <v>10.036437536100236</v>
      </c>
      <c r="I71" s="2661">
        <f t="shared" ca="1" si="37"/>
        <v>11.429402751650681</v>
      </c>
      <c r="J71" s="2661">
        <f t="shared" ca="1" si="37"/>
        <v>11.164599710125112</v>
      </c>
      <c r="K71" s="2661">
        <f t="shared" ca="1" si="37"/>
        <v>11.034163832585135</v>
      </c>
      <c r="L71" s="2661">
        <f t="shared" ca="1" si="37"/>
        <v>10.374914475862241</v>
      </c>
      <c r="M71" s="2660">
        <f t="shared" ca="1" si="37"/>
        <v>10.35610911825899</v>
      </c>
      <c r="N71" s="796"/>
      <c r="O71" s="796"/>
      <c r="P71" s="796"/>
      <c r="Q71" s="796"/>
      <c r="R71" s="796"/>
      <c r="S71" s="796"/>
      <c r="T71" s="796"/>
    </row>
    <row r="72" spans="1:20" ht="11.25" customHeight="1">
      <c r="A72" s="6"/>
      <c r="B72" s="6"/>
      <c r="C72" s="6"/>
      <c r="D72" s="6"/>
      <c r="E72" s="6"/>
      <c r="F72" s="796"/>
      <c r="G72" s="796"/>
      <c r="H72" s="796"/>
      <c r="I72" s="796"/>
      <c r="J72" s="796"/>
      <c r="K72" s="796"/>
      <c r="L72" s="796"/>
      <c r="M72" s="796"/>
      <c r="N72" s="796"/>
      <c r="O72" s="796"/>
      <c r="P72" s="796"/>
      <c r="Q72" s="796"/>
      <c r="R72" s="796"/>
      <c r="S72" s="796"/>
      <c r="T72" s="796"/>
    </row>
    <row r="73" spans="1:20">
      <c r="A73" s="84"/>
      <c r="B73" s="84"/>
      <c r="C73" s="84"/>
      <c r="D73" s="84"/>
      <c r="E73" s="84"/>
      <c r="F73" s="84"/>
      <c r="G73" s="84"/>
      <c r="H73" s="84"/>
      <c r="I73" s="84"/>
      <c r="J73" s="84"/>
      <c r="K73" s="84"/>
      <c r="L73" s="84"/>
      <c r="M73" s="84"/>
      <c r="N73" s="84"/>
      <c r="O73" s="84"/>
      <c r="P73" s="84"/>
      <c r="Q73" s="84"/>
      <c r="R73" s="796"/>
      <c r="S73" s="796"/>
      <c r="T73" s="796"/>
    </row>
    <row r="74" spans="1:20">
      <c r="A74" s="84" t="s">
        <v>678</v>
      </c>
      <c r="B74" s="84"/>
      <c r="C74" s="1674">
        <f>FMV!G63</f>
        <v>2010</v>
      </c>
      <c r="D74" s="1674">
        <f>FMV!H63</f>
        <v>2011</v>
      </c>
      <c r="E74" s="1674">
        <f>FMV!I63</f>
        <v>2012</v>
      </c>
      <c r="F74" s="1674">
        <f>FMV!J63</f>
        <v>2013</v>
      </c>
      <c r="G74" s="1675">
        <f>FMV!K63</f>
        <v>2014</v>
      </c>
      <c r="H74" s="1675">
        <f>FMV!L63</f>
        <v>2015</v>
      </c>
      <c r="I74" s="1675">
        <f>FMV!M63</f>
        <v>2016</v>
      </c>
      <c r="J74" s="1675">
        <f>FMV!N63</f>
        <v>2017</v>
      </c>
      <c r="K74" s="1675">
        <f>FMV!O63</f>
        <v>2018</v>
      </c>
      <c r="L74" s="1675">
        <f>FMV!P63</f>
        <v>2019</v>
      </c>
      <c r="M74" s="1675">
        <f>FMV!Q63</f>
        <v>2020</v>
      </c>
      <c r="N74" s="1675">
        <f>FMV!R63</f>
        <v>2021</v>
      </c>
      <c r="O74" s="796"/>
      <c r="P74" s="796"/>
      <c r="Q74" s="796"/>
      <c r="R74" s="796"/>
      <c r="S74" s="796"/>
      <c r="T74" s="796"/>
    </row>
    <row r="75" spans="1:20">
      <c r="A75" s="6" t="str">
        <f>A49</f>
        <v>CBS Network</v>
      </c>
      <c r="B75" s="813">
        <f>FMV!F73</f>
        <v>30.114225020536296</v>
      </c>
      <c r="C75" s="813">
        <f>FMV!G73</f>
        <v>182.08407635205407</v>
      </c>
      <c r="D75" s="813">
        <f>FMV!H73</f>
        <v>598.38836646660877</v>
      </c>
      <c r="E75" s="813">
        <f>FMV!I73</f>
        <v>374.0472761089049</v>
      </c>
      <c r="F75" s="813">
        <f>FMV!J73</f>
        <v>553.47493661637714</v>
      </c>
      <c r="G75" s="813">
        <f>FMV!K73</f>
        <v>287.28743914900042</v>
      </c>
      <c r="H75" s="813">
        <f>FMV!L73</f>
        <v>334.24855144778314</v>
      </c>
      <c r="I75" s="813">
        <f>FMV!M73</f>
        <v>576.55054226253287</v>
      </c>
      <c r="J75" s="813">
        <f>FMV!N73</f>
        <v>574.05729983471656</v>
      </c>
      <c r="K75" s="813">
        <f>FMV!O73</f>
        <v>589.66937121918875</v>
      </c>
      <c r="L75" s="813">
        <f>FMV!P73</f>
        <v>676.22691593801301</v>
      </c>
      <c r="M75" s="813">
        <f>FMV!Q73</f>
        <v>738.00136905085594</v>
      </c>
      <c r="N75" s="813">
        <f>FMV!R73</f>
        <v>824.33599257280866</v>
      </c>
      <c r="O75" s="813"/>
      <c r="P75" s="813"/>
      <c r="Q75" s="813"/>
      <c r="R75" s="796"/>
      <c r="S75" s="796"/>
      <c r="T75" s="796"/>
    </row>
    <row r="76" spans="1:20">
      <c r="A76" s="6" t="str">
        <f>A50</f>
        <v>CBS Stations</v>
      </c>
      <c r="B76" s="145">
        <f>FMV!F103</f>
        <v>129.16018593100478</v>
      </c>
      <c r="C76" s="145">
        <f>FMV!G103</f>
        <v>288.35889818396493</v>
      </c>
      <c r="D76" s="145">
        <f>FMV!H103</f>
        <v>291.32653929232595</v>
      </c>
      <c r="E76" s="145">
        <f>FMV!I103</f>
        <v>389.89796075503057</v>
      </c>
      <c r="F76" s="145">
        <f>FMV!J103</f>
        <v>390.96747727054185</v>
      </c>
      <c r="G76" s="145">
        <f>FMV!K103</f>
        <v>419.69387450006343</v>
      </c>
      <c r="H76" s="145">
        <f>FMV!L103</f>
        <v>393.03499654865072</v>
      </c>
      <c r="I76" s="145">
        <f>FMV!M103</f>
        <v>507.85750237266166</v>
      </c>
      <c r="J76" s="145">
        <f>FMV!N103</f>
        <v>413.02486504596504</v>
      </c>
      <c r="K76" s="145">
        <f>FMV!O103</f>
        <v>524.29919291501039</v>
      </c>
      <c r="L76" s="145">
        <f>FMV!P103</f>
        <v>516.69010052363524</v>
      </c>
      <c r="M76" s="145">
        <f>FMV!Q103</f>
        <v>699.48167121528127</v>
      </c>
      <c r="N76" s="145">
        <f>FMV!R103</f>
        <v>615.78954310251879</v>
      </c>
      <c r="O76" s="145"/>
      <c r="P76" s="145"/>
      <c r="Q76" s="145"/>
      <c r="R76" s="796"/>
      <c r="S76" s="796"/>
      <c r="T76" s="796"/>
    </row>
    <row r="77" spans="1:20">
      <c r="A77" s="6" t="str">
        <f>A51</f>
        <v>CW / Other Stations</v>
      </c>
      <c r="B77" s="145">
        <f>FMV!F132</f>
        <v>60.373938531165891</v>
      </c>
      <c r="C77" s="145">
        <f>FMV!G132</f>
        <v>133.8744913019724</v>
      </c>
      <c r="D77" s="145">
        <f>FMV!H132</f>
        <v>134.31346070767404</v>
      </c>
      <c r="E77" s="145">
        <f>FMV!I132</f>
        <v>134.38203924496941</v>
      </c>
      <c r="F77" s="145">
        <f>FMV!J132</f>
        <v>79.652522729458042</v>
      </c>
      <c r="G77" s="145">
        <f>FMV!K132</f>
        <v>135.39612549993649</v>
      </c>
      <c r="H77" s="145">
        <f>FMV!L132</f>
        <v>144.46500345134928</v>
      </c>
      <c r="I77" s="145">
        <f>FMV!M132</f>
        <v>154.4424976273383</v>
      </c>
      <c r="J77" s="145">
        <f>FMV!N132</f>
        <v>140.281296376932</v>
      </c>
      <c r="K77" s="145">
        <f>FMV!O132</f>
        <v>155.28297263182935</v>
      </c>
      <c r="L77" s="145">
        <f>FMV!P132</f>
        <v>152.56637936877507</v>
      </c>
      <c r="M77" s="145">
        <f>FMV!Q132</f>
        <v>149.86182311237377</v>
      </c>
      <c r="N77" s="145">
        <f>FMV!R132</f>
        <v>147.16898681652123</v>
      </c>
      <c r="O77" s="145"/>
      <c r="P77" s="145"/>
      <c r="Q77" s="145"/>
      <c r="R77" s="796"/>
      <c r="S77" s="796"/>
      <c r="T77" s="796"/>
    </row>
    <row r="78" spans="1:20">
      <c r="A78" s="6" t="str">
        <f>A52</f>
        <v>CBS Television Studio</v>
      </c>
      <c r="B78" s="145">
        <f>FMV!F161</f>
        <v>811.71295188571366</v>
      </c>
      <c r="C78" s="145">
        <f>FMV!G161</f>
        <v>728.20794041364763</v>
      </c>
      <c r="D78" s="145">
        <f>FMV!H161</f>
        <v>788.78363915269722</v>
      </c>
      <c r="E78" s="145">
        <f>FMV!I161</f>
        <v>1129.2408198762516</v>
      </c>
      <c r="F78" s="145">
        <f>FMV!J161</f>
        <v>1097.1242780884916</v>
      </c>
      <c r="G78" s="145">
        <f>FMV!K161</f>
        <v>1042.695549435507</v>
      </c>
      <c r="H78" s="145">
        <f>FMV!L161</f>
        <v>952.71760805640679</v>
      </c>
      <c r="I78" s="145">
        <f>FMV!M161</f>
        <v>924.57929572869148</v>
      </c>
      <c r="J78" s="145">
        <f>FMV!N161</f>
        <v>912.81956230781645</v>
      </c>
      <c r="K78" s="145">
        <f>FMV!O161</f>
        <v>983.6685037622866</v>
      </c>
      <c r="L78" s="145">
        <f>FMV!P161</f>
        <v>1022.8111310264569</v>
      </c>
      <c r="M78" s="145">
        <f>FMV!Q161</f>
        <v>1062.6291837925703</v>
      </c>
      <c r="N78" s="145">
        <f>FMV!R161</f>
        <v>1104.7930670877872</v>
      </c>
      <c r="O78" s="145"/>
      <c r="P78" s="145"/>
      <c r="Q78" s="145"/>
      <c r="R78" s="796"/>
      <c r="S78" s="796"/>
      <c r="T78" s="796"/>
    </row>
    <row r="79" spans="1:20">
      <c r="A79" s="6" t="str">
        <f>A53</f>
        <v>Showtime</v>
      </c>
      <c r="B79" s="145">
        <f>FMV!F191</f>
        <v>435.93854041478903</v>
      </c>
      <c r="C79" s="145">
        <f>FMV!G191</f>
        <v>536.37806949366825</v>
      </c>
      <c r="D79" s="145">
        <f>FMV!H191</f>
        <v>664.83073210691521</v>
      </c>
      <c r="E79" s="145">
        <f>FMV!I191</f>
        <v>759.39146500415848</v>
      </c>
      <c r="F79" s="145">
        <f>FMV!J191</f>
        <v>839.7513540255726</v>
      </c>
      <c r="G79" s="145">
        <f>FMV!K191</f>
        <v>933.71123547800812</v>
      </c>
      <c r="H79" s="145">
        <f>FMV!L191</f>
        <v>902.40401646799592</v>
      </c>
      <c r="I79" s="145">
        <f>FMV!M191</f>
        <v>914.29121660199439</v>
      </c>
      <c r="J79" s="145">
        <f>FMV!N191</f>
        <v>972.51282925591249</v>
      </c>
      <c r="K79" s="145">
        <f>FMV!O191</f>
        <v>1001.9196211928344</v>
      </c>
      <c r="L79" s="145">
        <f>FMV!P191</f>
        <v>1060.6482726733029</v>
      </c>
      <c r="M79" s="145">
        <f>FMV!Q191</f>
        <v>1117.2387471653763</v>
      </c>
      <c r="N79" s="145">
        <f>FMV!R191</f>
        <v>1175.0979688890391</v>
      </c>
      <c r="O79" s="145"/>
      <c r="P79" s="145"/>
      <c r="Q79" s="145"/>
      <c r="R79" s="796"/>
      <c r="S79" s="796"/>
      <c r="T79" s="796"/>
    </row>
    <row r="80" spans="1:20">
      <c r="A80" s="6" t="s">
        <v>414</v>
      </c>
      <c r="B80" s="145"/>
      <c r="C80" s="145"/>
      <c r="D80" s="145">
        <f>+FMV!H370</f>
        <v>42.169267893084793</v>
      </c>
      <c r="E80" s="145">
        <f>+FMV!I370</f>
        <v>51.608534995841467</v>
      </c>
      <c r="F80" s="145">
        <f>+FMV!J370</f>
        <v>58.24864597442744</v>
      </c>
      <c r="G80" s="145">
        <f>+FMV!K370</f>
        <v>63.28876452199178</v>
      </c>
      <c r="H80" s="145">
        <f>+FMV!L370</f>
        <v>65.595983532004126</v>
      </c>
      <c r="I80" s="145">
        <f>+FMV!M370</f>
        <v>67.708783398005664</v>
      </c>
      <c r="J80" s="145">
        <f>+FMV!N370</f>
        <v>70.091896507168002</v>
      </c>
      <c r="K80" s="145">
        <f>+FMV!O370</f>
        <v>72.557324611626527</v>
      </c>
      <c r="L80" s="145">
        <f>+FMV!P370</f>
        <v>75.107839930030252</v>
      </c>
      <c r="M80" s="145">
        <f>+FMV!Q370</f>
        <v>77.746304754527685</v>
      </c>
      <c r="N80" s="145">
        <f>+FMV!R370</f>
        <v>80.475674221096853</v>
      </c>
      <c r="O80" s="145"/>
      <c r="P80" s="145"/>
      <c r="Q80" s="145"/>
      <c r="R80" s="796"/>
      <c r="S80" s="796"/>
      <c r="T80" s="796"/>
    </row>
    <row r="81" spans="1:20">
      <c r="A81" s="6" t="str">
        <f>A54</f>
        <v>Radio</v>
      </c>
      <c r="B81" s="145">
        <f>FMV!F221</f>
        <v>326.92365782972217</v>
      </c>
      <c r="C81" s="145">
        <f>FMV!G221</f>
        <v>442.66661051406254</v>
      </c>
      <c r="D81" s="145">
        <f>FMV!H221</f>
        <v>423.36</v>
      </c>
      <c r="E81" s="145">
        <f>FMV!I221</f>
        <v>432.72</v>
      </c>
      <c r="F81" s="145">
        <f>FMV!J221</f>
        <v>427.38000000000005</v>
      </c>
      <c r="G81" s="145">
        <f>FMV!K221</f>
        <v>409.91</v>
      </c>
      <c r="H81" s="145">
        <f>FMV!L221</f>
        <v>306.5</v>
      </c>
      <c r="I81" s="145">
        <f>FMV!M221</f>
        <v>326</v>
      </c>
      <c r="J81" s="145">
        <f>FMV!N221</f>
        <v>0</v>
      </c>
      <c r="K81" s="145">
        <f>FMV!O221</f>
        <v>0</v>
      </c>
      <c r="L81" s="145">
        <f>FMV!P221</f>
        <v>0</v>
      </c>
      <c r="M81" s="145">
        <f>FMV!Q221</f>
        <v>0</v>
      </c>
      <c r="N81" s="145">
        <f>FMV!R221</f>
        <v>0</v>
      </c>
      <c r="O81" s="145"/>
      <c r="P81" s="145"/>
      <c r="Q81" s="145"/>
      <c r="R81" s="796"/>
      <c r="S81" s="796"/>
      <c r="T81" s="796"/>
    </row>
    <row r="82" spans="1:20">
      <c r="A82" s="6" t="str">
        <f>A55</f>
        <v>Outdoor</v>
      </c>
      <c r="B82" s="145">
        <f>FMV!F250</f>
        <v>184.4</v>
      </c>
      <c r="C82" s="145">
        <f>FMV!G250</f>
        <v>288.59999999999991</v>
      </c>
      <c r="D82" s="145">
        <f>FMV!H250</f>
        <v>380</v>
      </c>
      <c r="E82" s="145">
        <f>FMV!I250</f>
        <v>378</v>
      </c>
      <c r="F82" s="145">
        <f>FMV!J250</f>
        <v>411</v>
      </c>
      <c r="G82" s="145">
        <f>FMV!K250</f>
        <v>0</v>
      </c>
      <c r="H82" s="145">
        <f>FMV!L250</f>
        <v>0</v>
      </c>
      <c r="I82" s="145">
        <f>FMV!M250</f>
        <v>0</v>
      </c>
      <c r="J82" s="145">
        <f>FMV!N250</f>
        <v>0</v>
      </c>
      <c r="K82" s="145">
        <f>FMV!O250</f>
        <v>0</v>
      </c>
      <c r="L82" s="145">
        <f>FMV!P250</f>
        <v>0</v>
      </c>
      <c r="M82" s="145">
        <f>FMV!Q250</f>
        <v>0</v>
      </c>
      <c r="N82" s="145">
        <f>FMV!R250</f>
        <v>0</v>
      </c>
      <c r="O82" s="145"/>
      <c r="P82" s="145"/>
      <c r="Q82" s="145"/>
      <c r="R82" s="796"/>
      <c r="S82" s="796"/>
      <c r="T82" s="796"/>
    </row>
    <row r="83" spans="1:20">
      <c r="A83" s="6" t="str">
        <f>A56</f>
        <v>Publishing</v>
      </c>
      <c r="B83" s="1045">
        <f>FMV!F279</f>
        <v>52.4</v>
      </c>
      <c r="C83" s="1045">
        <f>FMV!G279</f>
        <v>71.800000000000011</v>
      </c>
      <c r="D83" s="1045">
        <f>FMV!H279</f>
        <v>92</v>
      </c>
      <c r="E83" s="1045">
        <f>FMV!I279</f>
        <v>89</v>
      </c>
      <c r="F83" s="1045">
        <f>FMV!J279</f>
        <v>113</v>
      </c>
      <c r="G83" s="1045">
        <f>FMV!K279</f>
        <v>107</v>
      </c>
      <c r="H83" s="1045">
        <f>FMV!L279</f>
        <v>120</v>
      </c>
      <c r="I83" s="1045">
        <f>FMV!M279</f>
        <v>125</v>
      </c>
      <c r="J83" s="1045">
        <f>FMV!N279</f>
        <v>136.852</v>
      </c>
      <c r="K83" s="1045">
        <f>FMV!O279</f>
        <v>136.163265</v>
      </c>
      <c r="L83" s="1045">
        <f>FMV!P279</f>
        <v>141.05962499999998</v>
      </c>
      <c r="M83" s="1045">
        <f>FMV!Q279</f>
        <v>146.05391220000001</v>
      </c>
      <c r="N83" s="1045">
        <f>FMV!R279</f>
        <v>151.14808514399999</v>
      </c>
      <c r="O83" s="1045"/>
      <c r="P83" s="1045"/>
      <c r="Q83" s="1045"/>
      <c r="R83" s="796"/>
      <c r="S83" s="796"/>
      <c r="T83" s="796"/>
    </row>
    <row r="84" spans="1:20">
      <c r="A84" s="6" t="s">
        <v>4</v>
      </c>
      <c r="B84" s="1045">
        <f>FMV!F307</f>
        <v>74.072823093750003</v>
      </c>
      <c r="C84" s="1045">
        <f>FMV!G307</f>
        <v>79.007983234298194</v>
      </c>
      <c r="D84" s="1045">
        <f>FMV!H307</f>
        <v>76.827994380694065</v>
      </c>
      <c r="E84" s="1045">
        <f>FMV!I307</f>
        <v>90.711904014843327</v>
      </c>
      <c r="F84" s="1045">
        <f>FMV!J307</f>
        <v>127.40078529513147</v>
      </c>
      <c r="G84" s="1045">
        <f>FMV!K307</f>
        <v>145.01701141549236</v>
      </c>
      <c r="H84" s="1045">
        <f>FMV!L307</f>
        <v>153.03384049581018</v>
      </c>
      <c r="I84" s="1045">
        <f>FMV!M307</f>
        <v>150.87016200877571</v>
      </c>
      <c r="J84" s="1045">
        <f>FMV!N307</f>
        <v>152.73724969628859</v>
      </c>
      <c r="K84" s="1045">
        <f>FMV!O307</f>
        <v>141.77644012937105</v>
      </c>
      <c r="L84" s="1045">
        <f>FMV!P307</f>
        <v>146.23113821490807</v>
      </c>
      <c r="M84" s="1045">
        <f>FMV!Q307</f>
        <v>152.75150939896406</v>
      </c>
      <c r="N84" s="1045">
        <f>FMV!R307</f>
        <v>160.74339090851925</v>
      </c>
      <c r="O84" s="1045"/>
      <c r="P84" s="1045"/>
      <c r="Q84" s="1045"/>
      <c r="R84" s="796"/>
      <c r="S84" s="796"/>
      <c r="T84" s="796"/>
    </row>
    <row r="85" spans="1:20">
      <c r="A85" s="6" t="s">
        <v>631</v>
      </c>
      <c r="B85" s="830"/>
      <c r="C85" s="830"/>
      <c r="D85" s="830">
        <f>+FMV!H341</f>
        <v>-302</v>
      </c>
      <c r="E85" s="830">
        <f>+FMV!I341</f>
        <v>-296</v>
      </c>
      <c r="F85" s="830">
        <f>+FMV!J341</f>
        <v>-342</v>
      </c>
      <c r="G85" s="830">
        <f>+FMV!K341</f>
        <v>-269</v>
      </c>
      <c r="H85" s="830">
        <f>+FMV!L341</f>
        <v>-245</v>
      </c>
      <c r="I85" s="830">
        <f>+FMV!M341</f>
        <v>-320</v>
      </c>
      <c r="J85" s="830">
        <f>+FMV!N341</f>
        <v>-326</v>
      </c>
      <c r="K85" s="830">
        <f>+FMV!O341</f>
        <v>-339.03999999999996</v>
      </c>
      <c r="L85" s="830">
        <f>+FMV!P341</f>
        <v>-349.21119999999996</v>
      </c>
      <c r="M85" s="830">
        <f>+FMV!Q341</f>
        <v>-359.68753599999997</v>
      </c>
      <c r="N85" s="830">
        <f>+FMV!R341</f>
        <v>-370.47816207999995</v>
      </c>
      <c r="O85" s="1045"/>
      <c r="P85" s="1045"/>
      <c r="Q85" s="1045"/>
      <c r="R85" s="796"/>
      <c r="S85" s="796"/>
      <c r="T85" s="796"/>
    </row>
    <row r="86" spans="1:20">
      <c r="A86" s="6" t="s">
        <v>732</v>
      </c>
      <c r="B86" s="813">
        <f>+SUM(B75:B84)</f>
        <v>2105.0963227066823</v>
      </c>
      <c r="C86" s="813">
        <f>+SUM(C75:C84)</f>
        <v>2750.978069493668</v>
      </c>
      <c r="D86" s="813">
        <f t="shared" ref="D86:J86" si="38">SUM(D75:D85)</f>
        <v>3190.0000000000005</v>
      </c>
      <c r="E86" s="813">
        <f t="shared" si="38"/>
        <v>3532.9999999999995</v>
      </c>
      <c r="F86" s="813">
        <f t="shared" si="38"/>
        <v>3756</v>
      </c>
      <c r="G86" s="813">
        <f t="shared" si="38"/>
        <v>3274.9999999999995</v>
      </c>
      <c r="H86" s="813">
        <f t="shared" si="38"/>
        <v>3127</v>
      </c>
      <c r="I86" s="813">
        <f t="shared" si="38"/>
        <v>3427.3</v>
      </c>
      <c r="J86" s="813">
        <f t="shared" si="38"/>
        <v>3046.3769990247988</v>
      </c>
      <c r="K86" s="813">
        <f>SUM(K75:K85)</f>
        <v>3266.296691462147</v>
      </c>
      <c r="L86" s="813">
        <f>SUM(L75:L85)</f>
        <v>3442.1302026751218</v>
      </c>
      <c r="M86" s="813">
        <f>SUM(M75:M85)</f>
        <v>3784.0769846899489</v>
      </c>
      <c r="N86" s="813">
        <f>SUM(N75:N85)</f>
        <v>3889.0745466622916</v>
      </c>
      <c r="O86" s="813"/>
      <c r="P86" s="813"/>
      <c r="Q86" s="813"/>
      <c r="R86" s="796"/>
      <c r="S86" s="796"/>
      <c r="T86" s="796"/>
    </row>
    <row r="91" spans="1:20" ht="14.25" customHeight="1"/>
    <row r="92" spans="1:20" ht="14.25" customHeight="1"/>
    <row r="93" spans="1:20" ht="14.25" customHeight="1"/>
    <row r="94" spans="1:20" ht="14.25" customHeight="1"/>
    <row r="95" spans="1:20" ht="14.25" customHeight="1"/>
    <row r="96" spans="1:20" ht="14.25" customHeight="1"/>
    <row r="104" ht="12.75" customHeight="1"/>
    <row r="107" ht="14.1" customHeight="1"/>
  </sheetData>
  <phoneticPr fontId="3" type="noConversion"/>
  <pageMargins left="0" right="0" top="0" bottom="0" header="0" footer="0"/>
  <pageSetup paperSize="5" scale="77" orientation="landscape" horizontalDpi="4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AC414"/>
  <sheetViews>
    <sheetView showGridLines="0" zoomScaleNormal="100" workbookViewId="0">
      <pane xSplit="1" ySplit="5" topLeftCell="B6" activePane="bottomRight" state="frozen"/>
      <selection activeCell="H8" sqref="H8"/>
      <selection pane="topRight" activeCell="H8" sqref="H8"/>
      <selection pane="bottomLeft" activeCell="H8" sqref="H8"/>
      <selection pane="bottomRight" activeCell="O27" sqref="O27"/>
    </sheetView>
  </sheetViews>
  <sheetFormatPr defaultRowHeight="12.75" outlineLevelRow="1" outlineLevelCol="1"/>
  <cols>
    <col min="1" max="1" width="36.5703125" bestFit="1" customWidth="1"/>
    <col min="3" max="4" width="9.5703125" hidden="1" customWidth="1" outlineLevel="1"/>
    <col min="5" max="5" width="9.140625" customWidth="1" collapsed="1"/>
    <col min="9" max="9" width="9.140625" style="1577"/>
  </cols>
  <sheetData>
    <row r="1" spans="1:29" ht="15">
      <c r="A1" s="264" t="str">
        <f>'GAAP Financial Statements'!A1</f>
        <v>CBS</v>
      </c>
      <c r="B1" s="264"/>
      <c r="C1" s="264"/>
      <c r="D1" s="264"/>
      <c r="E1" s="264"/>
      <c r="F1" s="264"/>
      <c r="G1" s="264"/>
      <c r="H1" s="264"/>
      <c r="I1" s="264"/>
      <c r="J1" s="264"/>
      <c r="K1" s="264"/>
      <c r="L1" s="264"/>
      <c r="M1" s="264"/>
      <c r="N1" s="264"/>
      <c r="O1" s="264"/>
      <c r="P1" s="264"/>
      <c r="Q1" s="264"/>
      <c r="R1" s="264"/>
      <c r="S1" s="264"/>
      <c r="T1" s="264"/>
      <c r="U1" s="264"/>
      <c r="V1" s="264"/>
      <c r="W1" s="264"/>
      <c r="X1" s="264"/>
      <c r="Y1" s="264"/>
      <c r="Z1" s="264"/>
      <c r="AA1" s="264"/>
      <c r="AB1" s="264"/>
      <c r="AC1" s="264"/>
    </row>
    <row r="2" spans="1:29" ht="15">
      <c r="A2" s="266" t="s">
        <v>1806</v>
      </c>
      <c r="B2" s="266"/>
      <c r="C2" s="266"/>
      <c r="D2" s="266"/>
      <c r="E2" s="266"/>
      <c r="F2" s="266"/>
      <c r="G2" s="266"/>
      <c r="H2" s="266"/>
      <c r="I2" s="266"/>
      <c r="J2" s="267"/>
      <c r="K2" s="91"/>
      <c r="L2" s="91"/>
      <c r="M2" s="91"/>
      <c r="N2" s="304"/>
      <c r="O2" s="304"/>
      <c r="P2" s="304"/>
      <c r="R2" s="1048"/>
      <c r="S2" s="1048"/>
      <c r="T2" s="1048"/>
      <c r="U2" s="1048"/>
      <c r="V2" s="1048"/>
      <c r="W2" s="1048"/>
    </row>
    <row r="3" spans="1:29">
      <c r="A3" s="268" t="s">
        <v>222</v>
      </c>
      <c r="B3" s="269"/>
      <c r="C3" s="269"/>
      <c r="D3" s="269"/>
      <c r="E3" s="269"/>
      <c r="F3" s="269"/>
      <c r="G3" s="270"/>
      <c r="H3" s="3357"/>
      <c r="I3" s="1093"/>
      <c r="K3" s="304"/>
      <c r="L3" s="91"/>
      <c r="M3" s="91"/>
      <c r="N3" s="304"/>
      <c r="O3" s="304"/>
      <c r="P3" s="304"/>
      <c r="R3" s="1048"/>
      <c r="S3" s="1048"/>
      <c r="T3" s="1048"/>
      <c r="U3" s="1048"/>
      <c r="V3" s="1048"/>
      <c r="W3" s="1048"/>
    </row>
    <row r="4" spans="1:29" ht="11.25" customHeight="1">
      <c r="A4" s="271"/>
      <c r="B4" s="272"/>
      <c r="C4" s="272"/>
      <c r="D4" s="272"/>
      <c r="E4" s="272"/>
      <c r="F4" s="272"/>
      <c r="G4" s="273" t="s">
        <v>223</v>
      </c>
      <c r="H4" s="3358" t="s">
        <v>678</v>
      </c>
      <c r="I4" s="1094" t="s">
        <v>324</v>
      </c>
      <c r="K4" s="304"/>
      <c r="L4" s="139"/>
      <c r="M4" s="139"/>
      <c r="N4" s="69"/>
      <c r="O4" s="11"/>
      <c r="P4" s="11"/>
      <c r="R4" s="1048"/>
      <c r="S4" s="1048"/>
      <c r="T4" s="1048"/>
      <c r="U4" s="1048"/>
      <c r="V4" s="1048"/>
      <c r="W4" s="1048"/>
    </row>
    <row r="5" spans="1:29" ht="11.25" customHeight="1">
      <c r="A5" s="773"/>
      <c r="B5" s="2593" t="s">
        <v>1058</v>
      </c>
      <c r="C5" s="2593" t="s">
        <v>6</v>
      </c>
      <c r="D5" s="2593" t="s">
        <v>689</v>
      </c>
      <c r="E5" s="2593" t="s">
        <v>677</v>
      </c>
      <c r="F5" s="2593" t="s">
        <v>732</v>
      </c>
      <c r="G5" s="2594"/>
      <c r="H5" s="3359" t="s">
        <v>385</v>
      </c>
      <c r="I5" s="1095" t="s">
        <v>224</v>
      </c>
      <c r="K5" s="304"/>
      <c r="L5" s="139"/>
      <c r="M5" s="139"/>
      <c r="N5" s="305"/>
      <c r="O5" s="3414"/>
      <c r="P5" s="276"/>
      <c r="R5" s="1048"/>
      <c r="S5" s="1048"/>
      <c r="T5" s="1048"/>
      <c r="U5" s="1048"/>
      <c r="V5" s="1048"/>
      <c r="W5" s="1048"/>
    </row>
    <row r="6" spans="1:29" ht="11.25" customHeight="1">
      <c r="A6" s="310" t="s">
        <v>226</v>
      </c>
      <c r="B6" s="2595"/>
      <c r="C6" s="2595"/>
      <c r="D6" s="2595"/>
      <c r="E6" s="2595"/>
      <c r="F6" s="2595"/>
      <c r="G6" s="2596"/>
      <c r="H6" s="3356"/>
      <c r="I6" s="311"/>
      <c r="K6" s="304"/>
      <c r="L6" s="277"/>
      <c r="M6" s="277"/>
      <c r="N6" s="277"/>
      <c r="O6" s="277"/>
      <c r="P6" s="277"/>
      <c r="R6" s="1048"/>
      <c r="S6" s="1048"/>
      <c r="T6" s="1048"/>
      <c r="U6" s="1048"/>
      <c r="V6" s="1048"/>
      <c r="W6" s="1048"/>
    </row>
    <row r="7" spans="1:29" ht="11.25" customHeight="1">
      <c r="A7" s="278" t="s">
        <v>694</v>
      </c>
      <c r="B7" s="1654">
        <f ca="1">F7</f>
        <v>4573.5556644002754</v>
      </c>
      <c r="C7" s="1654"/>
      <c r="D7" s="1654"/>
      <c r="E7" s="1654"/>
      <c r="F7" s="1654">
        <f ca="1">+'FMV Summary'!K8</f>
        <v>4573.5556644002754</v>
      </c>
      <c r="G7" s="1110">
        <f t="shared" ref="G7:G16" ca="1" si="0">F7/F$17</f>
        <v>0.12041684583750001</v>
      </c>
      <c r="H7" s="2429">
        <f>P73</f>
        <v>676.22691593801301</v>
      </c>
      <c r="I7" s="312">
        <f t="shared" ref="I7:I12" ca="1" si="1">IF(F7/H7&gt;0,F7/H7,0)</f>
        <v>6.7633446060871005</v>
      </c>
      <c r="K7" s="304"/>
      <c r="L7" s="306"/>
      <c r="M7" s="307"/>
      <c r="N7" s="307"/>
      <c r="O7" s="307"/>
      <c r="P7" s="307"/>
      <c r="Q7" s="1048"/>
      <c r="R7" s="1048"/>
      <c r="S7" s="1048"/>
      <c r="T7" s="1048"/>
      <c r="U7" s="1048"/>
      <c r="V7" s="1048"/>
      <c r="W7" s="1048"/>
    </row>
    <row r="8" spans="1:29" ht="11.25" customHeight="1">
      <c r="A8" s="278" t="s">
        <v>695</v>
      </c>
      <c r="B8" s="1105">
        <f ca="1">F8</f>
        <v>6868.381519315808</v>
      </c>
      <c r="C8" s="1105"/>
      <c r="D8" s="1105"/>
      <c r="E8" s="1105"/>
      <c r="F8" s="1105">
        <f ca="1">+'FMV Summary'!K9</f>
        <v>6868.381519315808</v>
      </c>
      <c r="G8" s="1110">
        <f t="shared" ca="1" si="0"/>
        <v>0.18083716461621729</v>
      </c>
      <c r="H8" s="2429">
        <f>P103</f>
        <v>516.69010052363524</v>
      </c>
      <c r="I8" s="312">
        <f t="shared" ca="1" si="1"/>
        <v>13.293038733188625</v>
      </c>
      <c r="K8" s="312"/>
      <c r="L8" s="306"/>
      <c r="M8" s="307"/>
      <c r="N8" s="307"/>
      <c r="O8" s="307"/>
      <c r="P8" s="307"/>
      <c r="Q8" s="1048"/>
      <c r="R8" s="1048"/>
      <c r="S8" s="1048"/>
      <c r="T8" s="1048"/>
      <c r="U8" s="1048"/>
      <c r="V8" s="1048"/>
      <c r="W8" s="1048"/>
    </row>
    <row r="9" spans="1:29" ht="11.25" customHeight="1">
      <c r="A9" s="278" t="s">
        <v>1209</v>
      </c>
      <c r="B9" s="1105">
        <f ca="1">F9</f>
        <v>1465.5715078416067</v>
      </c>
      <c r="C9" s="1105"/>
      <c r="D9" s="1105"/>
      <c r="E9" s="1105"/>
      <c r="F9" s="1105">
        <f ca="1">+'FMV Summary'!K10</f>
        <v>1465.5715078416067</v>
      </c>
      <c r="G9" s="1110">
        <f t="shared" ca="1" si="0"/>
        <v>3.8586935695848083E-2</v>
      </c>
      <c r="H9" s="2429">
        <f>P132</f>
        <v>152.56637936877507</v>
      </c>
      <c r="I9" s="312">
        <f t="shared" ca="1" si="1"/>
        <v>9.6061236683024891</v>
      </c>
      <c r="K9" s="312"/>
      <c r="L9" s="307"/>
      <c r="M9" s="307"/>
      <c r="N9" s="307"/>
      <c r="O9" s="307"/>
      <c r="P9" s="307"/>
      <c r="R9" s="1048"/>
      <c r="S9" s="1048"/>
      <c r="T9" s="1048"/>
      <c r="U9" s="1048"/>
      <c r="V9" s="1048"/>
      <c r="W9" s="1048"/>
    </row>
    <row r="10" spans="1:29" ht="11.25" customHeight="1">
      <c r="A10" s="278" t="s">
        <v>1396</v>
      </c>
      <c r="B10" s="1105">
        <f ca="1">F10</f>
        <v>11140.110954460497</v>
      </c>
      <c r="C10" s="1105"/>
      <c r="D10" s="1105"/>
      <c r="E10" s="1105"/>
      <c r="F10" s="1105">
        <f ca="1">+'FMV Summary'!K11</f>
        <v>11140.110954460497</v>
      </c>
      <c r="G10" s="1110">
        <f t="shared" ca="1" si="0"/>
        <v>0.29330724754430604</v>
      </c>
      <c r="H10" s="2429">
        <f>P161</f>
        <v>1022.8111310264569</v>
      </c>
      <c r="I10" s="312">
        <f t="shared" ca="1" si="1"/>
        <v>10.891659873979547</v>
      </c>
      <c r="K10" s="312"/>
      <c r="L10" s="307"/>
      <c r="M10" s="307"/>
      <c r="N10" s="307"/>
      <c r="O10" s="307"/>
      <c r="P10" s="307"/>
      <c r="R10" s="1048"/>
      <c r="S10" s="1048"/>
      <c r="T10" s="1048"/>
      <c r="U10" s="1048"/>
      <c r="V10" s="1048"/>
      <c r="W10" s="1048"/>
    </row>
    <row r="11" spans="1:29" ht="11.25" customHeight="1">
      <c r="A11" s="278" t="s">
        <v>257</v>
      </c>
      <c r="B11" s="1105">
        <f ca="1">F11</f>
        <v>13745.38710957365</v>
      </c>
      <c r="C11" s="2430"/>
      <c r="D11" s="2430"/>
      <c r="E11" s="2430"/>
      <c r="F11" s="2430">
        <f ca="1">+'FMV Summary'!K12</f>
        <v>13745.38710957365</v>
      </c>
      <c r="G11" s="1110">
        <f t="shared" ca="1" si="0"/>
        <v>0.36190139182821801</v>
      </c>
      <c r="H11" s="2429">
        <f>P191</f>
        <v>1060.6482726733029</v>
      </c>
      <c r="I11" s="312">
        <f t="shared" ca="1" si="1"/>
        <v>12.959420633316258</v>
      </c>
      <c r="K11" s="312"/>
      <c r="L11" s="307"/>
      <c r="M11" s="307"/>
      <c r="N11" s="307"/>
      <c r="O11" s="307"/>
      <c r="P11" s="307"/>
      <c r="R11" s="1048"/>
      <c r="S11" s="1048"/>
      <c r="T11" s="1048"/>
      <c r="U11" s="1048"/>
      <c r="V11" s="1048"/>
      <c r="W11" s="1048"/>
    </row>
    <row r="12" spans="1:29" ht="11.25" customHeight="1">
      <c r="A12" s="3430" t="s">
        <v>414</v>
      </c>
      <c r="B12" s="2804">
        <f ca="1">+F12</f>
        <v>1027.6056162687403</v>
      </c>
      <c r="C12" s="3492"/>
      <c r="D12" s="3492"/>
      <c r="E12" s="3492"/>
      <c r="F12" s="3492">
        <f ca="1">+'FMV Summary'!K13</f>
        <v>1027.6056162687403</v>
      </c>
      <c r="G12" s="2802">
        <f t="shared" ca="1" si="0"/>
        <v>2.7055760584518456E-2</v>
      </c>
      <c r="H12" s="3492">
        <f>+P370</f>
        <v>75.107839930030252</v>
      </c>
      <c r="I12" s="3493">
        <f t="shared" ca="1" si="1"/>
        <v>13.681735717949655</v>
      </c>
      <c r="J12" s="2807"/>
      <c r="K12" s="3493"/>
      <c r="L12" s="307"/>
      <c r="M12" s="307"/>
      <c r="N12" s="307"/>
      <c r="O12" s="307"/>
      <c r="P12" s="307"/>
      <c r="R12" s="1048"/>
      <c r="S12" s="1048"/>
      <c r="T12" s="1048"/>
      <c r="U12" s="1048"/>
      <c r="V12" s="1048"/>
      <c r="W12" s="1048"/>
    </row>
    <row r="13" spans="1:29" ht="11.25" customHeight="1">
      <c r="A13" s="3430" t="s">
        <v>1820</v>
      </c>
      <c r="B13" s="2804"/>
      <c r="C13" s="2804"/>
      <c r="D13" s="2804"/>
      <c r="E13" s="2804"/>
      <c r="F13" s="3494">
        <f ca="1">O411</f>
        <v>167.85093330886667</v>
      </c>
      <c r="G13" s="2802">
        <f t="shared" ca="1" si="0"/>
        <v>4.4193361671011119E-3</v>
      </c>
      <c r="H13" s="3492">
        <f>+P399</f>
        <v>2.5</v>
      </c>
      <c r="I13" s="3495" t="s">
        <v>348</v>
      </c>
      <c r="J13" s="2807"/>
      <c r="K13" s="3493"/>
      <c r="L13" s="309"/>
      <c r="M13" s="307"/>
      <c r="N13" s="307"/>
      <c r="O13" s="307"/>
      <c r="P13" s="307"/>
      <c r="R13" s="1048"/>
      <c r="S13" s="1048"/>
      <c r="T13" s="1048"/>
      <c r="U13" s="1048"/>
      <c r="V13" s="1048"/>
      <c r="W13" s="1048"/>
    </row>
    <row r="14" spans="1:29" ht="11.25" customHeight="1">
      <c r="A14" s="3496" t="s">
        <v>1826</v>
      </c>
      <c r="B14" s="2804"/>
      <c r="C14" s="3497">
        <f ca="1">F14</f>
        <v>2515.2379039038924</v>
      </c>
      <c r="D14" s="2804"/>
      <c r="E14" s="2807"/>
      <c r="F14" s="2804">
        <f ca="1">+'FMV Summary'!K16</f>
        <v>2515.2379039038924</v>
      </c>
      <c r="G14" s="2802">
        <f t="shared" ca="1" si="0"/>
        <v>6.6223533098453621E-2</v>
      </c>
      <c r="H14" s="3498">
        <f>P307</f>
        <v>146.23113821490807</v>
      </c>
      <c r="I14" s="3493">
        <f ca="1">IF(F14/H14&gt;0,F14/H14,0)</f>
        <v>17.200426219806769</v>
      </c>
      <c r="J14" s="2807"/>
      <c r="K14" s="3493"/>
      <c r="L14" s="309"/>
      <c r="M14" s="307"/>
      <c r="N14" s="307"/>
      <c r="O14" s="307"/>
      <c r="P14" s="307"/>
      <c r="R14" s="1048"/>
      <c r="S14" s="1048"/>
      <c r="T14" s="1048"/>
      <c r="U14" s="1048"/>
      <c r="V14" s="1048"/>
      <c r="W14" s="1048"/>
    </row>
    <row r="15" spans="1:29" ht="11.25" customHeight="1">
      <c r="A15" s="3430" t="s">
        <v>689</v>
      </c>
      <c r="B15" s="3499"/>
      <c r="C15" s="3499"/>
      <c r="D15" s="2804">
        <f ca="1">F15</f>
        <v>1588.5090318441135</v>
      </c>
      <c r="E15" s="3497"/>
      <c r="F15" s="3499">
        <f ca="1">+'FMV Summary'!K18</f>
        <v>1588.5090318441135</v>
      </c>
      <c r="G15" s="2802">
        <f t="shared" ca="1" si="0"/>
        <v>4.1823749667673875E-2</v>
      </c>
      <c r="H15" s="3498">
        <f>P279</f>
        <v>141.05962499999998</v>
      </c>
      <c r="I15" s="3493">
        <f ca="1">IF(F15/H15&gt;0,F15/H15,0)</f>
        <v>11.261259427310357</v>
      </c>
      <c r="J15" s="2807"/>
      <c r="K15" s="3343"/>
      <c r="L15" s="309"/>
      <c r="M15" s="307"/>
      <c r="N15" s="307"/>
      <c r="O15" s="307"/>
      <c r="P15" s="307"/>
      <c r="R15" s="1048"/>
      <c r="S15" s="1048"/>
      <c r="T15" s="1048"/>
      <c r="U15" s="1048"/>
      <c r="V15" s="1048"/>
      <c r="W15" s="1048"/>
    </row>
    <row r="16" spans="1:29" ht="11.25" customHeight="1">
      <c r="A16" s="3500" t="s">
        <v>227</v>
      </c>
      <c r="B16" s="3501"/>
      <c r="C16" s="3501"/>
      <c r="D16" s="3501"/>
      <c r="E16" s="3501">
        <f ca="1">F16</f>
        <v>-5111.1816515106766</v>
      </c>
      <c r="F16" s="3501">
        <f ca="1">+'FMV Summary'!K19</f>
        <v>-5111.1816515106766</v>
      </c>
      <c r="G16" s="3502">
        <f t="shared" ca="1" si="0"/>
        <v>-0.13457196503983646</v>
      </c>
      <c r="H16" s="3503">
        <f>P341</f>
        <v>-349.21119999999996</v>
      </c>
      <c r="I16" s="3504">
        <f ca="1">IF(F16/H16&gt;0,F16/H16,0)</f>
        <v>14.636362326038446</v>
      </c>
      <c r="J16" s="2807"/>
      <c r="K16" s="3343"/>
      <c r="L16" s="3545" t="s">
        <v>1821</v>
      </c>
      <c r="M16" s="307"/>
      <c r="N16" s="307"/>
      <c r="O16" s="307"/>
      <c r="P16" s="307"/>
      <c r="R16" s="1048"/>
      <c r="S16" s="1048"/>
      <c r="T16" s="1048"/>
      <c r="U16" s="1048"/>
      <c r="V16" s="1048"/>
      <c r="W16" s="1048"/>
    </row>
    <row r="17" spans="1:23" ht="11.25" customHeight="1">
      <c r="A17" s="3430" t="s">
        <v>732</v>
      </c>
      <c r="B17" s="3505">
        <f t="shared" ref="B17:H17" ca="1" si="2">SUM(B7:B16)</f>
        <v>38820.612371860574</v>
      </c>
      <c r="C17" s="3505">
        <f t="shared" ca="1" si="2"/>
        <v>2515.2379039038924</v>
      </c>
      <c r="D17" s="3505">
        <f t="shared" ca="1" si="2"/>
        <v>1588.5090318441135</v>
      </c>
      <c r="E17" s="3505">
        <f t="shared" ca="1" si="2"/>
        <v>-5111.1816515106766</v>
      </c>
      <c r="F17" s="3505">
        <f t="shared" ca="1" si="2"/>
        <v>37981.028589406771</v>
      </c>
      <c r="G17" s="2802">
        <f t="shared" ca="1" si="2"/>
        <v>1</v>
      </c>
      <c r="H17" s="3506">
        <f t="shared" si="2"/>
        <v>3444.6302026751218</v>
      </c>
      <c r="I17" s="3493">
        <f ca="1">F17/H17</f>
        <v>11.026155597169897</v>
      </c>
      <c r="J17" s="2807"/>
      <c r="K17" s="3343"/>
      <c r="L17" s="3546">
        <f ca="1">O86+O115+O144+O174+O204+O291+O319+O353+O382+O411</f>
        <v>37981.028589406771</v>
      </c>
      <c r="M17" s="307"/>
      <c r="N17" s="307"/>
      <c r="O17" s="307"/>
      <c r="P17" s="307"/>
      <c r="R17" s="1048"/>
      <c r="S17" s="1048"/>
      <c r="T17" s="1048"/>
      <c r="U17" s="1048"/>
      <c r="V17" s="1048"/>
      <c r="W17" s="1048"/>
    </row>
    <row r="18" spans="1:23" ht="11.25" customHeight="1">
      <c r="A18" s="3430"/>
      <c r="B18" s="3507"/>
      <c r="C18" s="3507"/>
      <c r="D18" s="3507"/>
      <c r="E18" s="3507"/>
      <c r="F18" s="3507"/>
      <c r="G18" s="3508"/>
      <c r="H18" s="3506"/>
      <c r="I18" s="3506"/>
      <c r="J18" s="2807"/>
      <c r="K18" s="3343"/>
      <c r="L18" s="91"/>
      <c r="M18" s="307"/>
      <c r="N18" s="307"/>
      <c r="O18" s="307"/>
      <c r="P18" s="307"/>
      <c r="R18" s="1048"/>
      <c r="S18" s="1048"/>
      <c r="T18" s="1048"/>
      <c r="U18" s="1048"/>
      <c r="V18" s="1048"/>
      <c r="W18" s="1048"/>
    </row>
    <row r="19" spans="1:23" ht="11.25" customHeight="1">
      <c r="A19" s="3509" t="s">
        <v>228</v>
      </c>
      <c r="B19" s="3510"/>
      <c r="C19" s="3510"/>
      <c r="D19" s="3510"/>
      <c r="E19" s="3510"/>
      <c r="F19" s="3510"/>
      <c r="G19" s="3508"/>
      <c r="H19" s="3506"/>
      <c r="I19" s="3506"/>
      <c r="J19" s="2807"/>
      <c r="K19" s="3343"/>
      <c r="L19" s="91"/>
      <c r="M19" s="307"/>
      <c r="N19" s="307"/>
      <c r="O19" s="307"/>
      <c r="P19" s="307"/>
      <c r="R19" s="1048"/>
      <c r="S19" s="1048"/>
      <c r="T19" s="1048"/>
      <c r="U19" s="1048"/>
      <c r="V19" s="1048"/>
      <c r="W19" s="1048"/>
    </row>
    <row r="20" spans="1:23" ht="11.25" customHeight="1">
      <c r="A20" s="3430" t="s">
        <v>828</v>
      </c>
      <c r="B20" s="3511"/>
      <c r="C20" s="3512"/>
      <c r="D20" s="3512"/>
      <c r="E20" s="3513">
        <f>'FMV Summary'!K23</f>
        <v>250</v>
      </c>
      <c r="F20" s="3514">
        <f>E20</f>
        <v>250</v>
      </c>
      <c r="G20" s="3356"/>
      <c r="H20" s="3356"/>
      <c r="I20" s="3089"/>
      <c r="J20" s="2807"/>
      <c r="K20" s="3515"/>
      <c r="L20" s="265"/>
      <c r="M20" s="307"/>
      <c r="N20" s="105"/>
      <c r="O20" s="280"/>
      <c r="P20" s="265"/>
      <c r="R20" s="1048"/>
      <c r="S20" s="1048"/>
      <c r="T20" s="1048"/>
      <c r="U20" s="1048"/>
      <c r="V20" s="1048"/>
      <c r="W20" s="1048"/>
    </row>
    <row r="21" spans="1:23" s="3531" customFormat="1" ht="11.25" hidden="1" customHeight="1" outlineLevel="1">
      <c r="A21" s="3432" t="s">
        <v>830</v>
      </c>
      <c r="B21" s="3523"/>
      <c r="C21" s="3524"/>
      <c r="D21" s="3524"/>
      <c r="E21" s="3525">
        <f>'FMV Summary'!K24</f>
        <v>0</v>
      </c>
      <c r="F21" s="3526">
        <f>E21</f>
        <v>0</v>
      </c>
      <c r="G21" s="3527"/>
      <c r="H21" s="3528" t="s">
        <v>512</v>
      </c>
      <c r="I21" s="3529">
        <v>21.31</v>
      </c>
      <c r="J21" s="3530"/>
      <c r="K21" s="3529">
        <v>6.41</v>
      </c>
      <c r="O21" s="3532"/>
      <c r="P21" s="3533"/>
      <c r="R21" s="3534"/>
      <c r="S21" s="3534"/>
      <c r="T21" s="3534"/>
      <c r="U21" s="3534"/>
      <c r="V21" s="3534"/>
      <c r="W21" s="3534"/>
    </row>
    <row r="22" spans="1:23" ht="11.25" customHeight="1" collapsed="1">
      <c r="A22" s="3516" t="s">
        <v>835</v>
      </c>
      <c r="B22" s="3517">
        <v>0</v>
      </c>
      <c r="C22" s="3517">
        <v>0</v>
      </c>
      <c r="D22" s="3517">
        <v>0</v>
      </c>
      <c r="E22" s="3517">
        <f>+SUM(E20:E21)</f>
        <v>250</v>
      </c>
      <c r="F22" s="3517">
        <f>+SUM(F20:F21)</f>
        <v>250</v>
      </c>
      <c r="G22" s="3508"/>
      <c r="H22" s="3506"/>
      <c r="I22" s="3506"/>
      <c r="J22" s="2807"/>
      <c r="K22" s="3343"/>
      <c r="L22" s="91"/>
      <c r="M22" s="91"/>
      <c r="N22" s="6"/>
      <c r="O22" s="6"/>
      <c r="P22" s="6"/>
      <c r="R22" s="1048"/>
      <c r="S22" s="1048"/>
      <c r="T22" s="1048"/>
      <c r="U22" s="1048"/>
      <c r="V22" s="1048"/>
      <c r="W22" s="1048"/>
    </row>
    <row r="23" spans="1:23" ht="11.25" customHeight="1">
      <c r="A23" s="3518"/>
      <c r="B23" s="3507"/>
      <c r="C23" s="3507"/>
      <c r="D23" s="3507"/>
      <c r="E23" s="3519"/>
      <c r="F23" s="3519"/>
      <c r="G23" s="3508"/>
      <c r="H23" s="3506"/>
      <c r="I23" s="3506"/>
      <c r="J23" s="2807"/>
      <c r="K23" s="3343"/>
      <c r="L23" s="91"/>
      <c r="M23" s="91"/>
      <c r="N23" s="91"/>
      <c r="O23" s="91"/>
      <c r="P23" s="91"/>
      <c r="R23" s="1048"/>
      <c r="S23" s="1048"/>
      <c r="T23" s="1048"/>
      <c r="U23" s="1048"/>
      <c r="V23" s="1048"/>
      <c r="W23" s="1048"/>
    </row>
    <row r="24" spans="1:23" ht="11.25" customHeight="1">
      <c r="A24" s="3520" t="s">
        <v>229</v>
      </c>
      <c r="B24" s="3505">
        <f t="shared" ref="B24" ca="1" si="3">B17+B22</f>
        <v>38820.612371860574</v>
      </c>
      <c r="C24" s="3505">
        <f ca="1">C17+C22</f>
        <v>2515.2379039038924</v>
      </c>
      <c r="D24" s="3505">
        <f ca="1">D17+D22</f>
        <v>1588.5090318441135</v>
      </c>
      <c r="E24" s="3505">
        <f ca="1">E17+E22</f>
        <v>-4861.1816515106766</v>
      </c>
      <c r="F24" s="3505">
        <f ca="1">F17+F22</f>
        <v>38231.028589406771</v>
      </c>
      <c r="G24" s="3521"/>
      <c r="H24" s="3522"/>
      <c r="I24" s="3522"/>
      <c r="J24" s="2807"/>
      <c r="K24" s="3229"/>
      <c r="L24" s="91"/>
      <c r="M24" s="91"/>
      <c r="N24" s="91"/>
      <c r="O24" s="91"/>
      <c r="P24" s="91"/>
      <c r="R24" s="1048"/>
      <c r="S24" s="1048"/>
      <c r="T24" s="1048"/>
      <c r="U24" s="1048"/>
      <c r="V24" s="1048"/>
      <c r="W24" s="1048"/>
    </row>
    <row r="25" spans="1:23" ht="11.25" customHeight="1">
      <c r="A25" s="285"/>
      <c r="B25" s="2602"/>
      <c r="C25" s="2602"/>
      <c r="D25" s="2602"/>
      <c r="E25" s="2602"/>
      <c r="F25" s="2602"/>
      <c r="G25" s="2599"/>
      <c r="H25" s="2598"/>
      <c r="I25" s="282"/>
      <c r="K25" s="91"/>
      <c r="L25" s="91"/>
      <c r="M25" s="91"/>
      <c r="N25" s="91"/>
      <c r="O25" s="91"/>
      <c r="P25" s="91"/>
      <c r="R25" s="1048"/>
      <c r="S25" s="1048"/>
      <c r="T25" s="1048"/>
      <c r="U25" s="1048"/>
      <c r="V25" s="1048"/>
      <c r="W25" s="1048"/>
    </row>
    <row r="26" spans="1:23" ht="11.25" customHeight="1">
      <c r="A26" s="286" t="s">
        <v>230</v>
      </c>
      <c r="B26" s="2603"/>
      <c r="C26" s="2603"/>
      <c r="D26" s="2603"/>
      <c r="E26" s="2603"/>
      <c r="F26" s="2603"/>
      <c r="G26" s="2599"/>
      <c r="H26" s="2598"/>
      <c r="I26" s="282"/>
      <c r="K26" s="91"/>
      <c r="L26" s="91"/>
      <c r="M26" s="91"/>
      <c r="N26" s="91"/>
      <c r="O26" s="91"/>
      <c r="P26" s="91"/>
      <c r="R26" s="1048"/>
      <c r="S26" s="1048"/>
      <c r="T26" s="1048"/>
      <c r="U26" s="1048"/>
      <c r="V26" s="1048"/>
      <c r="W26" s="1048"/>
    </row>
    <row r="27" spans="1:23" ht="11.25" customHeight="1">
      <c r="A27" s="287" t="s">
        <v>943</v>
      </c>
      <c r="B27" s="2604">
        <v>0</v>
      </c>
      <c r="C27" s="2604">
        <v>0</v>
      </c>
      <c r="D27" s="2604">
        <v>0</v>
      </c>
      <c r="E27" s="2605">
        <f ca="1">F27</f>
        <v>-9972</v>
      </c>
      <c r="F27" s="2605">
        <f ca="1">+-'FMV Summary'!K28</f>
        <v>-9972</v>
      </c>
      <c r="G27" s="2600"/>
      <c r="H27" s="2598"/>
      <c r="I27" s="282"/>
      <c r="K27" s="91"/>
      <c r="L27" s="91"/>
      <c r="M27" s="91"/>
      <c r="N27" s="91"/>
      <c r="O27" s="91"/>
      <c r="P27" s="91"/>
      <c r="R27" s="1048"/>
      <c r="S27" s="1048"/>
      <c r="T27" s="1048"/>
      <c r="U27" s="1048"/>
      <c r="V27" s="1048"/>
      <c r="W27" s="1048"/>
    </row>
    <row r="28" spans="1:23" ht="11.25" customHeight="1">
      <c r="A28" s="279" t="s">
        <v>231</v>
      </c>
      <c r="B28" s="2604">
        <v>0</v>
      </c>
      <c r="C28" s="2604">
        <v>0</v>
      </c>
      <c r="D28" s="2604">
        <v>0</v>
      </c>
      <c r="E28" s="2605">
        <f>F28</f>
        <v>-1269</v>
      </c>
      <c r="F28" s="2605">
        <f>+-'FMV Summary'!K29</f>
        <v>-1269</v>
      </c>
      <c r="G28" s="2600"/>
      <c r="H28" s="2598"/>
      <c r="I28" s="282"/>
      <c r="K28" s="91"/>
      <c r="L28" s="91"/>
      <c r="M28" s="91"/>
      <c r="N28" s="91"/>
      <c r="O28" s="91"/>
      <c r="P28" s="91"/>
      <c r="R28" s="1048"/>
      <c r="S28" s="1048"/>
      <c r="T28" s="1048"/>
      <c r="U28" s="1048"/>
      <c r="V28" s="1048"/>
      <c r="W28" s="1048"/>
    </row>
    <row r="29" spans="1:23" ht="11.25" customHeight="1">
      <c r="A29" s="287" t="s">
        <v>788</v>
      </c>
      <c r="B29" s="2604">
        <v>0</v>
      </c>
      <c r="C29" s="2604">
        <v>0</v>
      </c>
      <c r="D29" s="2604">
        <v>0</v>
      </c>
      <c r="E29" s="2605">
        <f>F29</f>
        <v>0</v>
      </c>
      <c r="F29" s="2605">
        <f>+-'FMV Summary'!J30</f>
        <v>0</v>
      </c>
      <c r="G29" s="2600"/>
      <c r="H29" s="2598"/>
      <c r="I29" s="282"/>
      <c r="K29" s="91"/>
      <c r="L29" s="91"/>
      <c r="M29" s="91"/>
      <c r="N29" s="91"/>
      <c r="O29" s="91"/>
      <c r="P29" s="91"/>
      <c r="R29" s="1048"/>
      <c r="S29" s="1048"/>
      <c r="T29" s="1048"/>
      <c r="U29" s="1048"/>
      <c r="V29" s="1048"/>
      <c r="W29" s="1048"/>
    </row>
    <row r="30" spans="1:23" ht="11.25" customHeight="1">
      <c r="A30" s="286"/>
      <c r="B30" s="2603"/>
      <c r="C30" s="2603"/>
      <c r="D30" s="2603"/>
      <c r="E30" s="2605"/>
      <c r="F30" s="2606"/>
      <c r="G30" s="1525"/>
      <c r="H30" s="2598"/>
      <c r="I30" s="282"/>
      <c r="K30" s="91"/>
      <c r="L30" s="91"/>
      <c r="M30" s="91"/>
      <c r="N30" s="91"/>
      <c r="O30" s="91"/>
      <c r="P30" s="91"/>
      <c r="R30" s="1048"/>
      <c r="S30" s="1048"/>
      <c r="T30" s="1048"/>
      <c r="U30" s="1048"/>
      <c r="V30" s="1048"/>
      <c r="W30" s="1048"/>
    </row>
    <row r="31" spans="1:23" ht="11.25" customHeight="1">
      <c r="A31" s="286" t="s">
        <v>232</v>
      </c>
      <c r="B31" s="2603"/>
      <c r="C31" s="2603"/>
      <c r="D31" s="2603"/>
      <c r="E31" s="2605"/>
      <c r="F31" s="2606"/>
      <c r="G31" s="1525"/>
      <c r="H31" s="2607"/>
      <c r="I31" s="282"/>
      <c r="K31" s="91"/>
      <c r="L31" s="91"/>
      <c r="M31" s="91"/>
      <c r="N31" s="91"/>
      <c r="O31" s="91"/>
      <c r="P31" s="91"/>
      <c r="R31" s="1048"/>
      <c r="S31" s="1048"/>
      <c r="T31" s="1048"/>
      <c r="U31" s="1048"/>
      <c r="V31" s="1048"/>
      <c r="W31" s="1048"/>
    </row>
    <row r="32" spans="1:23" ht="11.25" customHeight="1">
      <c r="A32" s="279" t="s">
        <v>233</v>
      </c>
      <c r="B32" s="2604">
        <v>0</v>
      </c>
      <c r="C32" s="2604">
        <v>0</v>
      </c>
      <c r="D32" s="2604">
        <v>0</v>
      </c>
      <c r="E32" s="2605">
        <f ca="1">F32</f>
        <v>728.90605644045525</v>
      </c>
      <c r="F32" s="2608">
        <f ca="1">+'FMV Summary'!K34</f>
        <v>728.90605644045525</v>
      </c>
      <c r="G32" s="1525"/>
      <c r="H32" s="2598"/>
      <c r="I32" s="282"/>
      <c r="K32" s="91"/>
      <c r="L32" s="91"/>
      <c r="M32" s="91"/>
      <c r="N32" s="91"/>
      <c r="O32" s="91"/>
      <c r="P32" s="91"/>
      <c r="R32" s="1048"/>
      <c r="S32" s="1048"/>
      <c r="T32" s="1048"/>
      <c r="U32" s="1048"/>
      <c r="V32" s="1048"/>
      <c r="W32" s="1048"/>
    </row>
    <row r="33" spans="1:23" ht="11.25" customHeight="1">
      <c r="A33" s="288"/>
      <c r="B33" s="2609"/>
      <c r="C33" s="2609"/>
      <c r="D33" s="2609"/>
      <c r="E33" s="2609"/>
      <c r="F33" s="2610"/>
      <c r="G33" s="2611"/>
      <c r="H33" s="2601"/>
      <c r="I33" s="284"/>
      <c r="K33" s="91"/>
      <c r="L33" s="91"/>
      <c r="M33" s="91"/>
      <c r="N33" s="91"/>
      <c r="O33" s="91"/>
      <c r="P33" s="91"/>
      <c r="R33" s="1048"/>
      <c r="S33" s="1048"/>
      <c r="T33" s="1048"/>
      <c r="U33" s="1048"/>
      <c r="V33" s="1048"/>
      <c r="W33" s="1048"/>
    </row>
    <row r="34" spans="1:23" ht="11.25" customHeight="1">
      <c r="A34" s="283" t="s">
        <v>234</v>
      </c>
      <c r="B34" s="2612">
        <f ca="1">+B24+SUM(B27:B29)+B32</f>
        <v>38820.612371860574</v>
      </c>
      <c r="C34" s="2612">
        <f ca="1">+C24+SUM(C27:C29)+C32</f>
        <v>2515.2379039038924</v>
      </c>
      <c r="D34" s="2612">
        <f ca="1">+D24+SUM(D27:D29)+D32</f>
        <v>1588.5090318441135</v>
      </c>
      <c r="E34" s="2612">
        <f ca="1">+E24+SUM(E27:E29)+E32</f>
        <v>-15373.275595070221</v>
      </c>
      <c r="F34" s="2612">
        <f ca="1">+F24+SUM(F27:F29)+F32</f>
        <v>27718.934645847225</v>
      </c>
      <c r="G34" s="2613"/>
      <c r="H34" s="2597"/>
      <c r="I34" s="284"/>
      <c r="K34" s="91"/>
      <c r="L34" s="91"/>
      <c r="M34" s="91"/>
      <c r="N34" s="91"/>
      <c r="O34" s="91"/>
      <c r="P34" s="91"/>
      <c r="R34" s="1048"/>
      <c r="S34" s="1048"/>
      <c r="T34" s="1048"/>
      <c r="U34" s="1048"/>
      <c r="V34" s="1048"/>
      <c r="W34" s="1048"/>
    </row>
    <row r="35" spans="1:23" ht="11.25" customHeight="1">
      <c r="A35" s="289"/>
      <c r="B35" s="2599"/>
      <c r="C35" s="2599"/>
      <c r="D35" s="2599"/>
      <c r="E35" s="2599"/>
      <c r="F35" s="2599"/>
      <c r="G35" s="2614"/>
      <c r="H35" s="2598"/>
      <c r="I35" s="282"/>
      <c r="K35" s="91"/>
      <c r="L35" s="91"/>
      <c r="M35" s="91"/>
      <c r="N35" s="91"/>
      <c r="O35" s="91"/>
      <c r="P35" s="91"/>
      <c r="R35" s="1048"/>
      <c r="S35" s="1048"/>
      <c r="T35" s="1048"/>
      <c r="U35" s="1048"/>
      <c r="V35" s="1048"/>
      <c r="W35" s="1048"/>
    </row>
    <row r="36" spans="1:23" ht="11.25" customHeight="1">
      <c r="A36" s="290" t="s">
        <v>235</v>
      </c>
      <c r="B36" s="1710"/>
      <c r="C36" s="2598"/>
      <c r="D36" s="2598"/>
      <c r="E36" s="2598"/>
      <c r="F36" s="2598">
        <f>+'FMV Summary'!K37</f>
        <v>38</v>
      </c>
      <c r="G36" s="2615"/>
      <c r="H36" s="2598"/>
      <c r="I36" s="282"/>
      <c r="K36" s="91"/>
      <c r="L36" s="91"/>
      <c r="M36" s="91"/>
      <c r="N36" s="91"/>
      <c r="O36" s="91"/>
      <c r="P36" s="91"/>
      <c r="R36" s="1048"/>
      <c r="S36" s="1048"/>
      <c r="T36" s="1048"/>
      <c r="U36" s="1048"/>
      <c r="V36" s="1048"/>
      <c r="W36" s="1048"/>
    </row>
    <row r="37" spans="1:23" ht="11.25" customHeight="1">
      <c r="A37" s="291" t="s">
        <v>236</v>
      </c>
      <c r="B37" s="1710"/>
      <c r="C37" s="2598"/>
      <c r="D37" s="2598"/>
      <c r="E37" s="2598"/>
      <c r="F37" s="2598">
        <f>+'FMV Summary'!K38</f>
        <v>333.19157808755881</v>
      </c>
      <c r="G37" s="2598"/>
      <c r="H37" s="1135"/>
      <c r="I37" s="282"/>
      <c r="K37" s="91"/>
      <c r="L37" s="91"/>
      <c r="M37" s="91"/>
      <c r="N37" s="91"/>
      <c r="O37" s="91"/>
      <c r="P37" s="91"/>
      <c r="R37" s="1048"/>
      <c r="S37" s="1048"/>
      <c r="T37" s="1048"/>
      <c r="U37" s="1048"/>
      <c r="V37" s="1048"/>
      <c r="W37" s="1048"/>
    </row>
    <row r="38" spans="1:23" ht="11.25" customHeight="1">
      <c r="A38" s="292" t="s">
        <v>1211</v>
      </c>
      <c r="B38" s="1710"/>
      <c r="C38" s="2598"/>
      <c r="D38" s="2598"/>
      <c r="E38" s="2598"/>
      <c r="F38" s="2598">
        <f>+'FMV Summary'!K39</f>
        <v>4</v>
      </c>
      <c r="G38" s="2616"/>
      <c r="H38" s="2598"/>
      <c r="I38" s="282"/>
      <c r="K38" s="91"/>
      <c r="L38" s="91"/>
      <c r="M38" s="91"/>
      <c r="N38" s="91"/>
      <c r="O38" s="91"/>
      <c r="P38" s="91"/>
      <c r="R38" s="1048"/>
      <c r="S38" s="1048"/>
      <c r="T38" s="1048"/>
      <c r="U38" s="1048"/>
      <c r="V38" s="1048"/>
      <c r="W38" s="1048"/>
    </row>
    <row r="39" spans="1:23" ht="11.25" customHeight="1">
      <c r="A39" s="292" t="s">
        <v>237</v>
      </c>
      <c r="B39" s="2429">
        <f>D39</f>
        <v>375.19157808755881</v>
      </c>
      <c r="C39" s="2429"/>
      <c r="D39" s="2429">
        <f>E39</f>
        <v>375.19157808755881</v>
      </c>
      <c r="E39" s="2429">
        <f>F39</f>
        <v>375.19157808755881</v>
      </c>
      <c r="F39" s="2429">
        <f>SUM(F36:F38)</f>
        <v>375.19157808755881</v>
      </c>
      <c r="G39" s="2617"/>
      <c r="H39" s="2607"/>
      <c r="I39" s="282"/>
      <c r="K39" s="91"/>
      <c r="L39" s="91"/>
      <c r="M39" s="91"/>
      <c r="N39" s="91"/>
      <c r="O39" s="91"/>
      <c r="P39" s="91"/>
      <c r="R39" s="1048"/>
      <c r="S39" s="1048"/>
      <c r="T39" s="1048"/>
      <c r="U39" s="1048"/>
      <c r="V39" s="1048"/>
      <c r="W39" s="1048"/>
    </row>
    <row r="40" spans="1:23" ht="11.25" customHeight="1">
      <c r="A40" s="290"/>
      <c r="B40" s="2618"/>
      <c r="C40" s="2618"/>
      <c r="D40" s="2618"/>
      <c r="E40" s="2618"/>
      <c r="F40" s="2618"/>
      <c r="G40" s="2596"/>
      <c r="H40" s="2596"/>
      <c r="I40" s="265"/>
      <c r="K40" s="91"/>
      <c r="L40" s="91"/>
      <c r="M40" s="91"/>
      <c r="N40" s="91"/>
      <c r="O40" s="91"/>
      <c r="P40" s="91"/>
      <c r="R40" s="1048"/>
      <c r="S40" s="1048"/>
      <c r="T40" s="1048"/>
      <c r="U40" s="1048"/>
      <c r="V40" s="1048"/>
      <c r="W40" s="1048"/>
    </row>
    <row r="41" spans="1:23" ht="11.25" customHeight="1">
      <c r="A41" s="1553" t="s">
        <v>238</v>
      </c>
      <c r="B41" s="2619">
        <f ca="1">B34/B39</f>
        <v>103.46877339235203</v>
      </c>
      <c r="C41" s="2619"/>
      <c r="D41" s="2619">
        <f ca="1">D34/D39</f>
        <v>4.2338611115449973</v>
      </c>
      <c r="E41" s="2619">
        <f ca="1">E34/E39</f>
        <v>-40.974468759217579</v>
      </c>
      <c r="F41" s="2620">
        <f ca="1">F34/F39</f>
        <v>73.879415916362689</v>
      </c>
      <c r="G41" s="1710"/>
      <c r="H41" s="2621"/>
      <c r="I41" s="265"/>
      <c r="K41" s="91"/>
      <c r="L41" s="91"/>
      <c r="M41" s="91"/>
      <c r="N41" s="91"/>
      <c r="O41" s="91"/>
      <c r="P41" s="91"/>
      <c r="R41" s="1048"/>
      <c r="S41" s="1048"/>
      <c r="T41" s="1048"/>
      <c r="U41" s="1048"/>
      <c r="V41" s="1048"/>
      <c r="W41" s="1048"/>
    </row>
    <row r="42" spans="1:23" ht="11.25" customHeight="1">
      <c r="A42" s="291"/>
      <c r="B42" s="2622"/>
      <c r="C42" s="2622"/>
      <c r="D42" s="2622"/>
      <c r="E42" s="2622"/>
      <c r="F42" s="2623"/>
      <c r="G42" s="1710"/>
      <c r="H42" s="2621"/>
      <c r="I42" s="265"/>
      <c r="K42" s="91"/>
      <c r="L42" s="91"/>
      <c r="M42" s="91"/>
      <c r="N42" s="91"/>
      <c r="O42" s="91"/>
      <c r="P42" s="91"/>
      <c r="R42" s="1048"/>
      <c r="S42" s="1048"/>
      <c r="T42" s="1048"/>
      <c r="U42" s="1048"/>
      <c r="V42" s="1048"/>
      <c r="W42" s="1048"/>
    </row>
    <row r="43" spans="1:23" ht="11.25" customHeight="1">
      <c r="A43" s="290"/>
      <c r="B43" s="2624"/>
      <c r="C43" s="2624"/>
      <c r="D43" s="2624"/>
      <c r="E43" s="2624"/>
      <c r="F43" s="2625"/>
      <c r="G43" s="1710"/>
      <c r="H43" s="2596"/>
      <c r="I43" s="1160"/>
      <c r="K43" s="91"/>
      <c r="L43" s="91"/>
      <c r="M43" s="91"/>
      <c r="N43" s="91"/>
      <c r="O43" s="91"/>
      <c r="P43" s="91"/>
      <c r="R43" s="1048"/>
      <c r="S43" s="1048"/>
      <c r="T43" s="1048"/>
      <c r="U43" s="1048"/>
      <c r="V43" s="1048"/>
      <c r="W43" s="1048"/>
    </row>
    <row r="44" spans="1:23" ht="11.25" customHeight="1">
      <c r="A44" s="290"/>
      <c r="B44" s="2624"/>
      <c r="C44" s="2624"/>
      <c r="D44" s="2624"/>
      <c r="E44" s="2624"/>
      <c r="F44" s="2012"/>
      <c r="G44" s="1710"/>
      <c r="H44" s="2596"/>
      <c r="I44" s="265"/>
      <c r="K44" s="91"/>
      <c r="L44" s="91"/>
      <c r="M44" s="91"/>
      <c r="N44" s="91"/>
      <c r="O44" s="91"/>
      <c r="P44" s="91"/>
      <c r="R44" s="1048"/>
      <c r="S44" s="1048"/>
      <c r="T44" s="1048"/>
      <c r="U44" s="1048"/>
      <c r="V44" s="1048"/>
      <c r="W44" s="1048"/>
    </row>
    <row r="45" spans="1:23" ht="11.25" customHeight="1">
      <c r="A45" s="293" t="s">
        <v>771</v>
      </c>
      <c r="B45" s="2626"/>
      <c r="C45" s="2626"/>
      <c r="D45" s="2626"/>
      <c r="E45" s="2626"/>
      <c r="F45" s="2626"/>
      <c r="G45" s="2627"/>
      <c r="H45" s="2596"/>
      <c r="I45" s="265"/>
      <c r="K45" s="91"/>
      <c r="L45" s="91"/>
      <c r="M45" s="91"/>
      <c r="N45" s="91"/>
      <c r="O45" s="91"/>
      <c r="P45" s="91"/>
      <c r="R45" s="1048"/>
      <c r="S45" s="1048"/>
      <c r="T45" s="1048"/>
      <c r="U45" s="1048"/>
      <c r="V45" s="1048"/>
      <c r="W45" s="1048"/>
    </row>
    <row r="46" spans="1:23" ht="11.25" customHeight="1">
      <c r="A46" s="3351" t="s">
        <v>1807</v>
      </c>
      <c r="B46" s="3352">
        <f>'Revenue and OCF'!AK37</f>
        <v>3315.6969863327759</v>
      </c>
      <c r="C46" s="3352"/>
      <c r="D46" s="3352">
        <f>'Revenue and OCF'!AK66</f>
        <v>136.163265</v>
      </c>
      <c r="E46" s="3352">
        <f>F46-SUM(B46:D46)</f>
        <v>-197.2635598706288</v>
      </c>
      <c r="F46" s="3352">
        <f>'GAAP Financial Statements'!AD13</f>
        <v>3254.5966914621472</v>
      </c>
      <c r="G46" s="1710"/>
      <c r="H46" s="2596"/>
      <c r="I46" s="265"/>
      <c r="K46" s="91"/>
      <c r="L46" s="91"/>
      <c r="M46" s="91"/>
      <c r="N46" s="91"/>
      <c r="O46" s="91"/>
      <c r="P46" s="91"/>
      <c r="R46" s="1048"/>
      <c r="S46" s="1048"/>
      <c r="T46" s="1048"/>
      <c r="U46" s="1048"/>
      <c r="V46" s="1048"/>
      <c r="W46" s="1048"/>
    </row>
    <row r="47" spans="1:23" ht="11.25" customHeight="1">
      <c r="A47" s="3353" t="s">
        <v>1808</v>
      </c>
      <c r="B47" s="3354">
        <f ca="1">B17/B46</f>
        <v>11.708130306200541</v>
      </c>
      <c r="C47" s="3355"/>
      <c r="D47" s="3354">
        <f ca="1">D17/D46</f>
        <v>11.666208443548365</v>
      </c>
      <c r="E47" s="3354">
        <f ca="1">E17/E46</f>
        <v>25.910419820380099</v>
      </c>
      <c r="F47" s="3354">
        <f ca="1">F17/F46</f>
        <v>11.669964726825665</v>
      </c>
      <c r="G47" s="1710"/>
      <c r="H47" s="2596"/>
      <c r="I47" s="265"/>
      <c r="K47" s="91"/>
      <c r="L47" s="91"/>
      <c r="M47" s="91"/>
      <c r="N47" s="91"/>
      <c r="O47" s="91"/>
      <c r="P47" s="91"/>
      <c r="R47" s="1048"/>
      <c r="S47" s="1048"/>
      <c r="T47" s="1048"/>
      <c r="U47" s="1048"/>
      <c r="V47" s="1048"/>
      <c r="W47" s="1048"/>
    </row>
    <row r="48" spans="1:23" ht="11.25" customHeight="1">
      <c r="A48" s="2914"/>
      <c r="B48" s="3356"/>
      <c r="C48" s="3356"/>
      <c r="D48" s="3356"/>
      <c r="E48" s="3356"/>
      <c r="F48" s="3356"/>
      <c r="G48" s="1710"/>
      <c r="H48" s="2596"/>
      <c r="I48" s="265"/>
      <c r="K48" s="91"/>
      <c r="L48" s="91"/>
      <c r="M48" s="91"/>
      <c r="N48" s="91"/>
      <c r="O48" s="91"/>
      <c r="P48" s="91"/>
      <c r="R48" s="1048"/>
      <c r="S48" s="1048"/>
      <c r="T48" s="1048"/>
      <c r="U48" s="1048"/>
      <c r="V48" s="1048"/>
      <c r="W48" s="1048"/>
    </row>
    <row r="49" spans="1:25" ht="11.25" customHeight="1">
      <c r="A49" s="3351" t="s">
        <v>1809</v>
      </c>
      <c r="B49" s="3352">
        <f>'Revenue and OCF'!AL37</f>
        <v>3499.8506394602136</v>
      </c>
      <c r="C49" s="3352"/>
      <c r="D49" s="3352">
        <f>'Revenue and OCF'!AL66</f>
        <v>141.05962499999998</v>
      </c>
      <c r="E49" s="3352">
        <f>F49-SUM(B49:D49)</f>
        <v>-202.98006178509149</v>
      </c>
      <c r="F49" s="3352">
        <f>'GAAP Financial Statements'!AE13</f>
        <v>3437.930202675122</v>
      </c>
      <c r="G49" s="1710"/>
      <c r="H49" s="2596"/>
      <c r="I49" s="265"/>
      <c r="K49" s="91"/>
      <c r="L49" s="91"/>
      <c r="M49" s="91"/>
      <c r="N49" s="91"/>
      <c r="O49" s="91"/>
      <c r="P49" s="91"/>
      <c r="R49" s="1048"/>
      <c r="S49" s="1048"/>
      <c r="T49" s="1048"/>
      <c r="U49" s="1048"/>
      <c r="V49" s="1048"/>
      <c r="W49" s="1048"/>
    </row>
    <row r="50" spans="1:25" ht="11.25" customHeight="1">
      <c r="A50" s="3353" t="s">
        <v>1810</v>
      </c>
      <c r="B50" s="3354">
        <f ca="1">B17/B49</f>
        <v>11.092076882986047</v>
      </c>
      <c r="C50" s="3354"/>
      <c r="D50" s="3354">
        <f ca="1">D17/D49</f>
        <v>11.261259427310357</v>
      </c>
      <c r="E50" s="3354">
        <f ca="1">E17/E49</f>
        <v>25.180707930428284</v>
      </c>
      <c r="F50" s="3354">
        <f ca="1">F17/F49</f>
        <v>11.047643887549834</v>
      </c>
      <c r="G50" s="1710"/>
      <c r="H50" s="2596"/>
      <c r="I50" s="265"/>
      <c r="K50" s="91"/>
      <c r="L50" s="91"/>
      <c r="M50" s="91"/>
      <c r="N50" s="91"/>
      <c r="O50" s="91"/>
      <c r="P50" s="91"/>
      <c r="R50" s="1048"/>
      <c r="S50" s="1048"/>
      <c r="T50" s="1048"/>
      <c r="U50" s="1048"/>
      <c r="V50" s="1048"/>
      <c r="W50" s="1048"/>
    </row>
    <row r="51" spans="1:25" ht="11.25" customHeight="1">
      <c r="A51" s="91"/>
      <c r="B51" s="91"/>
      <c r="C51" s="91"/>
      <c r="D51" s="91"/>
      <c r="E51" s="91"/>
      <c r="F51" s="91"/>
      <c r="G51" s="91"/>
      <c r="H51" s="91"/>
      <c r="I51" s="2596"/>
      <c r="J51" s="265"/>
      <c r="K51" s="91"/>
      <c r="L51" s="91"/>
      <c r="M51" s="91"/>
      <c r="N51" s="91"/>
      <c r="O51" s="91"/>
      <c r="P51" s="91"/>
      <c r="R51" s="1048"/>
      <c r="S51" s="1048"/>
      <c r="T51" s="1048"/>
      <c r="U51" s="1048"/>
      <c r="V51" s="1048"/>
      <c r="W51" s="1048"/>
    </row>
    <row r="52" spans="1:25" ht="11.25" customHeight="1">
      <c r="A52" s="295" t="s">
        <v>246</v>
      </c>
      <c r="B52" s="296">
        <f ca="1">'GAAP Financial Statements'!AD465</f>
        <v>4.6359932385549224E-2</v>
      </c>
      <c r="C52" s="296"/>
      <c r="D52" s="296"/>
      <c r="E52" s="296"/>
      <c r="F52" s="296"/>
      <c r="G52" s="296"/>
      <c r="H52" s="91"/>
      <c r="I52" s="2596"/>
      <c r="J52" s="265"/>
      <c r="K52" s="91"/>
      <c r="L52" s="91"/>
      <c r="M52" s="91"/>
      <c r="N52" s="91"/>
      <c r="O52" s="91"/>
      <c r="P52" s="91"/>
      <c r="R52" s="1048"/>
      <c r="S52" s="1048"/>
      <c r="T52" s="1048"/>
      <c r="U52" s="1048"/>
      <c r="V52" s="1048"/>
      <c r="W52" s="1048"/>
    </row>
    <row r="53" spans="1:25" ht="11.25" customHeight="1">
      <c r="A53" s="295" t="s">
        <v>247</v>
      </c>
      <c r="B53" s="297">
        <v>0.1</v>
      </c>
      <c r="C53" s="297"/>
      <c r="D53" s="297"/>
      <c r="E53" s="297"/>
      <c r="F53" s="297"/>
      <c r="G53" s="296"/>
      <c r="H53" s="91"/>
      <c r="I53" s="1710"/>
      <c r="J53" s="91"/>
      <c r="K53" s="91"/>
      <c r="L53" s="91"/>
      <c r="M53" s="91"/>
      <c r="N53" s="91"/>
      <c r="O53" s="91"/>
      <c r="P53" s="91"/>
      <c r="R53" s="1048"/>
      <c r="S53" s="1048"/>
      <c r="T53" s="1048"/>
      <c r="U53" s="1048"/>
      <c r="V53" s="1048"/>
      <c r="W53" s="1048"/>
    </row>
    <row r="54" spans="1:25" ht="11.25" customHeight="1">
      <c r="A54" s="295" t="s">
        <v>248</v>
      </c>
      <c r="B54" s="297">
        <v>0.3</v>
      </c>
      <c r="C54" s="297"/>
      <c r="D54" s="297"/>
      <c r="E54" s="297"/>
      <c r="F54" s="297"/>
      <c r="G54" s="296"/>
      <c r="H54" s="91"/>
      <c r="I54" s="1710"/>
      <c r="J54" s="91"/>
      <c r="K54" s="91"/>
      <c r="L54" s="91"/>
      <c r="M54" s="91"/>
      <c r="N54" s="91"/>
      <c r="O54" s="91"/>
      <c r="P54" s="91"/>
      <c r="R54" s="1048"/>
      <c r="S54" s="1048"/>
      <c r="T54" s="1048"/>
      <c r="U54" s="1048"/>
      <c r="V54" s="1048"/>
      <c r="W54" s="1048"/>
    </row>
    <row r="55" spans="1:25" ht="11.25" customHeight="1">
      <c r="A55" s="295" t="s">
        <v>249</v>
      </c>
      <c r="B55" s="297">
        <f>'GAAP Financial Statements'!AD664</f>
        <v>0.245</v>
      </c>
      <c r="C55" s="297"/>
      <c r="D55" s="297"/>
      <c r="E55" s="297"/>
      <c r="F55" s="297"/>
      <c r="G55" s="296"/>
      <c r="H55" s="91"/>
      <c r="I55" s="1710"/>
      <c r="J55" s="91"/>
      <c r="K55" s="91"/>
      <c r="L55" s="91"/>
      <c r="M55" s="91"/>
      <c r="N55" s="91"/>
      <c r="O55" s="91"/>
      <c r="P55" s="91"/>
      <c r="R55" s="1048"/>
      <c r="S55" s="1048"/>
      <c r="T55" s="1048"/>
      <c r="U55" s="1048"/>
      <c r="V55" s="1048"/>
      <c r="W55" s="1048"/>
    </row>
    <row r="56" spans="1:25" ht="11.25" customHeight="1">
      <c r="A56" s="295" t="s">
        <v>250</v>
      </c>
      <c r="B56" s="298">
        <f ca="1">((B52*(1-B55)*B54))+(B53*(1-B54))</f>
        <v>8.0500524685326896E-2</v>
      </c>
      <c r="C56" s="298"/>
      <c r="D56" s="298"/>
      <c r="E56" s="298"/>
      <c r="G56" s="296"/>
    </row>
    <row r="57" spans="1:25" ht="11.25" customHeight="1">
      <c r="A57" s="295" t="s">
        <v>251</v>
      </c>
      <c r="B57" s="297">
        <v>0.02</v>
      </c>
      <c r="C57" s="297"/>
      <c r="D57" s="297"/>
      <c r="E57" s="297"/>
      <c r="F57" s="297"/>
      <c r="G57" s="296"/>
      <c r="H57" s="91"/>
      <c r="I57" s="1710"/>
      <c r="J57" s="91"/>
      <c r="K57" s="91"/>
      <c r="L57" s="91"/>
      <c r="M57" s="91"/>
      <c r="N57" s="91"/>
      <c r="O57" s="91"/>
      <c r="P57" s="91"/>
      <c r="R57" s="1048"/>
      <c r="S57" s="1048"/>
      <c r="T57" s="1048"/>
      <c r="U57" s="1048"/>
      <c r="V57" s="1048"/>
      <c r="W57" s="1048"/>
    </row>
    <row r="58" spans="1:25" ht="11.25" customHeight="1">
      <c r="A58" s="295" t="s">
        <v>57</v>
      </c>
      <c r="B58" s="294">
        <f ca="1">1/(B56-B57)</f>
        <v>16.528782274222632</v>
      </c>
      <c r="C58" s="91"/>
      <c r="D58" s="91"/>
      <c r="E58" s="91"/>
      <c r="F58" s="91"/>
      <c r="G58" s="296"/>
      <c r="H58" s="91"/>
      <c r="I58" s="1710"/>
      <c r="J58" s="91"/>
      <c r="K58" s="91"/>
      <c r="L58" s="91"/>
      <c r="M58" s="91"/>
      <c r="N58" s="91"/>
      <c r="O58" s="91"/>
      <c r="P58" s="91"/>
      <c r="R58" s="1048"/>
      <c r="S58" s="1048"/>
      <c r="T58" s="1048"/>
      <c r="U58" s="1048"/>
      <c r="V58" s="1048"/>
      <c r="W58" s="1048"/>
    </row>
    <row r="59" spans="1:25" ht="11.25" customHeight="1">
      <c r="A59" s="91"/>
      <c r="B59" s="91"/>
      <c r="C59" s="91"/>
      <c r="D59" s="91"/>
      <c r="E59" s="91"/>
      <c r="F59" s="91"/>
      <c r="G59" s="91"/>
      <c r="H59" s="91"/>
      <c r="I59" s="1710"/>
      <c r="J59" s="91"/>
      <c r="K59" s="91"/>
      <c r="L59" s="91"/>
      <c r="M59" s="91"/>
      <c r="N59" s="91"/>
      <c r="O59" s="91"/>
      <c r="P59" s="91"/>
      <c r="R59" s="1048"/>
      <c r="S59" s="1048"/>
      <c r="T59" s="1048"/>
      <c r="U59" s="1048"/>
      <c r="V59" s="1048"/>
      <c r="W59" s="1048"/>
    </row>
    <row r="60" spans="1:25" ht="11.25" customHeight="1">
      <c r="A60" s="91"/>
      <c r="B60" s="91"/>
      <c r="C60" s="91"/>
      <c r="D60" s="91"/>
      <c r="E60" s="91"/>
      <c r="F60" s="91"/>
      <c r="G60" s="91"/>
      <c r="H60" s="91"/>
      <c r="I60" s="1710"/>
      <c r="J60" s="91"/>
      <c r="K60" s="91"/>
      <c r="L60" s="91"/>
      <c r="M60" s="91"/>
      <c r="N60" s="91"/>
      <c r="O60" s="91"/>
      <c r="P60" s="91"/>
      <c r="R60" s="1048"/>
      <c r="S60" s="1048"/>
      <c r="T60" s="1048"/>
      <c r="U60" s="1048"/>
      <c r="V60" s="1048"/>
      <c r="W60" s="1048"/>
    </row>
    <row r="61" spans="1:25" ht="11.25" customHeight="1">
      <c r="A61" s="299"/>
      <c r="B61" s="6"/>
      <c r="C61" s="300"/>
      <c r="D61" s="300"/>
      <c r="E61" s="91"/>
      <c r="F61" s="91"/>
      <c r="G61" s="91"/>
      <c r="H61" s="91"/>
      <c r="I61" s="1710"/>
      <c r="J61" s="91"/>
      <c r="K61" s="91"/>
      <c r="L61" s="91"/>
      <c r="M61" s="91"/>
      <c r="N61" s="91"/>
      <c r="O61" s="91"/>
      <c r="P61" s="91"/>
      <c r="Q61" s="91"/>
      <c r="R61" s="304"/>
      <c r="S61" s="304"/>
      <c r="T61" s="304"/>
      <c r="U61" s="304"/>
      <c r="V61" s="304"/>
      <c r="W61" s="304"/>
    </row>
    <row r="62" spans="1:25" ht="11.25" customHeight="1">
      <c r="A62" s="779" t="s">
        <v>242</v>
      </c>
      <c r="B62" s="780"/>
      <c r="C62" s="781"/>
      <c r="D62" s="781"/>
      <c r="E62" s="782"/>
      <c r="F62" s="782"/>
      <c r="G62" s="782"/>
      <c r="H62" s="782"/>
      <c r="I62" s="2582"/>
      <c r="J62" s="782"/>
      <c r="K62" s="782"/>
      <c r="L62" s="782"/>
      <c r="M62" s="782"/>
      <c r="N62" s="782"/>
      <c r="O62" s="782"/>
      <c r="P62" s="782"/>
      <c r="Q62" s="782"/>
      <c r="R62" s="1269"/>
      <c r="S62" s="1269"/>
      <c r="T62" s="1269"/>
      <c r="U62" s="1269"/>
      <c r="V62" s="1269"/>
      <c r="W62" s="1269"/>
      <c r="X62" s="1269"/>
      <c r="Y62" s="1269"/>
    </row>
    <row r="63" spans="1:25" ht="11.25" customHeight="1">
      <c r="A63" s="301"/>
      <c r="B63" s="772">
        <v>2005</v>
      </c>
      <c r="C63" s="772">
        <f>B63+1</f>
        <v>2006</v>
      </c>
      <c r="D63" s="772">
        <f t="shared" ref="D63:N63" si="4">C63+1</f>
        <v>2007</v>
      </c>
      <c r="E63" s="772">
        <f t="shared" si="4"/>
        <v>2008</v>
      </c>
      <c r="F63" s="772">
        <f t="shared" si="4"/>
        <v>2009</v>
      </c>
      <c r="G63" s="772">
        <f t="shared" si="4"/>
        <v>2010</v>
      </c>
      <c r="H63" s="772">
        <f t="shared" si="4"/>
        <v>2011</v>
      </c>
      <c r="I63" s="2674">
        <f t="shared" si="4"/>
        <v>2012</v>
      </c>
      <c r="J63" s="772">
        <f t="shared" si="4"/>
        <v>2013</v>
      </c>
      <c r="K63" s="772">
        <f t="shared" si="4"/>
        <v>2014</v>
      </c>
      <c r="L63" s="772">
        <f t="shared" si="4"/>
        <v>2015</v>
      </c>
      <c r="M63" s="772">
        <f t="shared" si="4"/>
        <v>2016</v>
      </c>
      <c r="N63" s="772">
        <f t="shared" si="4"/>
        <v>2017</v>
      </c>
      <c r="O63" s="772">
        <f t="shared" ref="O63:Y63" si="5">N63+1</f>
        <v>2018</v>
      </c>
      <c r="P63" s="772">
        <f t="shared" si="5"/>
        <v>2019</v>
      </c>
      <c r="Q63" s="772">
        <f t="shared" si="5"/>
        <v>2020</v>
      </c>
      <c r="R63" s="1271">
        <f t="shared" si="5"/>
        <v>2021</v>
      </c>
      <c r="S63" s="1271">
        <f t="shared" si="5"/>
        <v>2022</v>
      </c>
      <c r="T63" s="1271">
        <f t="shared" si="5"/>
        <v>2023</v>
      </c>
      <c r="U63" s="1271">
        <f t="shared" si="5"/>
        <v>2024</v>
      </c>
      <c r="V63" s="1271">
        <f t="shared" si="5"/>
        <v>2025</v>
      </c>
      <c r="W63" s="1271">
        <f t="shared" si="5"/>
        <v>2026</v>
      </c>
      <c r="X63" s="1271">
        <f t="shared" si="5"/>
        <v>2027</v>
      </c>
      <c r="Y63" s="1271">
        <f t="shared" si="5"/>
        <v>2028</v>
      </c>
    </row>
    <row r="64" spans="1:25" ht="11.25" customHeight="1">
      <c r="A64" s="36" t="s">
        <v>65</v>
      </c>
      <c r="B64" s="6"/>
      <c r="C64" s="6" t="s">
        <v>337</v>
      </c>
      <c r="D64" s="6"/>
      <c r="E64" s="6"/>
      <c r="F64" s="6"/>
      <c r="G64" s="6"/>
      <c r="H64" s="6"/>
      <c r="I64" s="1108"/>
      <c r="J64" s="11"/>
      <c r="K64" s="11"/>
      <c r="L64" s="11"/>
      <c r="M64" s="11"/>
      <c r="N64" s="11"/>
      <c r="O64" s="11"/>
      <c r="P64" s="11"/>
      <c r="Q64" s="11"/>
      <c r="R64" s="11"/>
      <c r="S64" s="11"/>
      <c r="T64" s="11"/>
      <c r="U64" s="11"/>
      <c r="V64" s="11"/>
      <c r="W64" s="11"/>
      <c r="X64" s="11"/>
      <c r="Y64" s="11"/>
    </row>
    <row r="65" spans="1:25" ht="11.25" customHeight="1">
      <c r="A65" s="295" t="s">
        <v>246</v>
      </c>
      <c r="B65" s="488">
        <f ca="1">B52</f>
        <v>4.6359932385549224E-2</v>
      </c>
      <c r="C65" s="298">
        <f t="shared" ref="C65:N68" ca="1" si="6">+B65</f>
        <v>4.6359932385549224E-2</v>
      </c>
      <c r="D65" s="298">
        <f t="shared" ca="1" si="6"/>
        <v>4.6359932385549224E-2</v>
      </c>
      <c r="E65" s="298">
        <f t="shared" ca="1" si="6"/>
        <v>4.6359932385549224E-2</v>
      </c>
      <c r="F65" s="298">
        <f t="shared" ca="1" si="6"/>
        <v>4.6359932385549224E-2</v>
      </c>
      <c r="G65" s="298">
        <f t="shared" ca="1" si="6"/>
        <v>4.6359932385549224E-2</v>
      </c>
      <c r="H65" s="298">
        <f t="shared" ca="1" si="6"/>
        <v>4.6359932385549224E-2</v>
      </c>
      <c r="I65" s="2267">
        <f t="shared" ca="1" si="6"/>
        <v>4.6359932385549224E-2</v>
      </c>
      <c r="J65" s="298">
        <f t="shared" ca="1" si="6"/>
        <v>4.6359932385549224E-2</v>
      </c>
      <c r="K65" s="536">
        <f t="shared" ca="1" si="6"/>
        <v>4.6359932385549224E-2</v>
      </c>
      <c r="L65" s="536">
        <f t="shared" ca="1" si="6"/>
        <v>4.6359932385549224E-2</v>
      </c>
      <c r="M65" s="536">
        <f t="shared" ca="1" si="6"/>
        <v>4.6359932385549224E-2</v>
      </c>
      <c r="N65" s="536">
        <f t="shared" ca="1" si="6"/>
        <v>4.6359932385549224E-2</v>
      </c>
      <c r="O65" s="536">
        <f t="shared" ref="O65:Q68" ca="1" si="7">+N65</f>
        <v>4.6359932385549224E-2</v>
      </c>
      <c r="P65" s="536">
        <f t="shared" ca="1" si="7"/>
        <v>4.6359932385549224E-2</v>
      </c>
      <c r="Q65" s="536">
        <f t="shared" ca="1" si="7"/>
        <v>4.6359932385549224E-2</v>
      </c>
      <c r="R65" s="536">
        <f t="shared" ref="R65:S68" ca="1" si="8">+Q65</f>
        <v>4.6359932385549224E-2</v>
      </c>
      <c r="S65" s="536">
        <f t="shared" ca="1" si="8"/>
        <v>4.6359932385549224E-2</v>
      </c>
      <c r="T65" s="536">
        <f t="shared" ref="T65:Y68" ca="1" si="9">+S65</f>
        <v>4.6359932385549224E-2</v>
      </c>
      <c r="U65" s="536">
        <f t="shared" ca="1" si="9"/>
        <v>4.6359932385549224E-2</v>
      </c>
      <c r="V65" s="536">
        <f t="shared" ca="1" si="9"/>
        <v>4.6359932385549224E-2</v>
      </c>
      <c r="W65" s="536">
        <f t="shared" ca="1" si="9"/>
        <v>4.6359932385549224E-2</v>
      </c>
      <c r="X65" s="536">
        <f t="shared" ca="1" si="9"/>
        <v>4.6359932385549224E-2</v>
      </c>
      <c r="Y65" s="536">
        <f t="shared" ca="1" si="9"/>
        <v>4.6359932385549224E-2</v>
      </c>
    </row>
    <row r="66" spans="1:25" ht="11.25" customHeight="1">
      <c r="A66" s="295" t="s">
        <v>247</v>
      </c>
      <c r="B66" s="488">
        <f>B53</f>
        <v>0.1</v>
      </c>
      <c r="C66" s="298">
        <f t="shared" si="6"/>
        <v>0.1</v>
      </c>
      <c r="D66" s="298">
        <f t="shared" si="6"/>
        <v>0.1</v>
      </c>
      <c r="E66" s="298">
        <f t="shared" si="6"/>
        <v>0.1</v>
      </c>
      <c r="F66" s="298">
        <f t="shared" si="6"/>
        <v>0.1</v>
      </c>
      <c r="G66" s="298">
        <f t="shared" si="6"/>
        <v>0.1</v>
      </c>
      <c r="H66" s="298">
        <f t="shared" si="6"/>
        <v>0.1</v>
      </c>
      <c r="I66" s="2267">
        <f t="shared" si="6"/>
        <v>0.1</v>
      </c>
      <c r="J66" s="298">
        <f t="shared" si="6"/>
        <v>0.1</v>
      </c>
      <c r="K66" s="536">
        <f t="shared" si="6"/>
        <v>0.1</v>
      </c>
      <c r="L66" s="536">
        <f t="shared" si="6"/>
        <v>0.1</v>
      </c>
      <c r="M66" s="536">
        <f t="shared" si="6"/>
        <v>0.1</v>
      </c>
      <c r="N66" s="536">
        <f t="shared" si="6"/>
        <v>0.1</v>
      </c>
      <c r="O66" s="536">
        <f t="shared" si="7"/>
        <v>0.1</v>
      </c>
      <c r="P66" s="536">
        <f t="shared" si="7"/>
        <v>0.1</v>
      </c>
      <c r="Q66" s="536">
        <f t="shared" si="7"/>
        <v>0.1</v>
      </c>
      <c r="R66" s="536">
        <f t="shared" si="8"/>
        <v>0.1</v>
      </c>
      <c r="S66" s="536">
        <f t="shared" si="8"/>
        <v>0.1</v>
      </c>
      <c r="T66" s="536">
        <f t="shared" si="9"/>
        <v>0.1</v>
      </c>
      <c r="U66" s="536">
        <f t="shared" si="9"/>
        <v>0.1</v>
      </c>
      <c r="V66" s="536">
        <f t="shared" si="9"/>
        <v>0.1</v>
      </c>
      <c r="W66" s="536">
        <f t="shared" si="9"/>
        <v>0.1</v>
      </c>
      <c r="X66" s="536">
        <f t="shared" si="9"/>
        <v>0.1</v>
      </c>
      <c r="Y66" s="536">
        <f t="shared" si="9"/>
        <v>0.1</v>
      </c>
    </row>
    <row r="67" spans="1:25" ht="11.25" customHeight="1">
      <c r="A67" s="295" t="s">
        <v>248</v>
      </c>
      <c r="B67" s="488">
        <f>B54</f>
        <v>0.3</v>
      </c>
      <c r="C67" s="298">
        <f t="shared" si="6"/>
        <v>0.3</v>
      </c>
      <c r="D67" s="298">
        <f t="shared" si="6"/>
        <v>0.3</v>
      </c>
      <c r="E67" s="298">
        <f t="shared" si="6"/>
        <v>0.3</v>
      </c>
      <c r="F67" s="298">
        <f t="shared" si="6"/>
        <v>0.3</v>
      </c>
      <c r="G67" s="298">
        <f t="shared" si="6"/>
        <v>0.3</v>
      </c>
      <c r="H67" s="298">
        <f t="shared" si="6"/>
        <v>0.3</v>
      </c>
      <c r="I67" s="2267">
        <f t="shared" si="6"/>
        <v>0.3</v>
      </c>
      <c r="J67" s="298">
        <f t="shared" si="6"/>
        <v>0.3</v>
      </c>
      <c r="K67" s="536">
        <f t="shared" si="6"/>
        <v>0.3</v>
      </c>
      <c r="L67" s="536">
        <f t="shared" si="6"/>
        <v>0.3</v>
      </c>
      <c r="M67" s="536">
        <f t="shared" si="6"/>
        <v>0.3</v>
      </c>
      <c r="N67" s="536">
        <f t="shared" si="6"/>
        <v>0.3</v>
      </c>
      <c r="O67" s="536">
        <f t="shared" si="7"/>
        <v>0.3</v>
      </c>
      <c r="P67" s="536">
        <f t="shared" si="7"/>
        <v>0.3</v>
      </c>
      <c r="Q67" s="536">
        <f t="shared" si="7"/>
        <v>0.3</v>
      </c>
      <c r="R67" s="536">
        <f t="shared" si="8"/>
        <v>0.3</v>
      </c>
      <c r="S67" s="536">
        <f t="shared" si="8"/>
        <v>0.3</v>
      </c>
      <c r="T67" s="536">
        <f t="shared" si="9"/>
        <v>0.3</v>
      </c>
      <c r="U67" s="536">
        <f t="shared" si="9"/>
        <v>0.3</v>
      </c>
      <c r="V67" s="536">
        <f t="shared" si="9"/>
        <v>0.3</v>
      </c>
      <c r="W67" s="536">
        <f t="shared" si="9"/>
        <v>0.3</v>
      </c>
      <c r="X67" s="536">
        <f t="shared" si="9"/>
        <v>0.3</v>
      </c>
      <c r="Y67" s="536">
        <f t="shared" si="9"/>
        <v>0.3</v>
      </c>
    </row>
    <row r="68" spans="1:25" ht="11.25" customHeight="1">
      <c r="A68" s="295" t="s">
        <v>249</v>
      </c>
      <c r="B68" s="2676">
        <f>B55</f>
        <v>0.245</v>
      </c>
      <c r="C68" s="2267">
        <f t="shared" si="6"/>
        <v>0.245</v>
      </c>
      <c r="D68" s="298">
        <f t="shared" si="6"/>
        <v>0.245</v>
      </c>
      <c r="E68" s="298">
        <f t="shared" si="6"/>
        <v>0.245</v>
      </c>
      <c r="F68" s="298">
        <f t="shared" si="6"/>
        <v>0.245</v>
      </c>
      <c r="G68" s="298">
        <f t="shared" si="6"/>
        <v>0.245</v>
      </c>
      <c r="H68" s="298">
        <f t="shared" si="6"/>
        <v>0.245</v>
      </c>
      <c r="I68" s="2267">
        <f t="shared" si="6"/>
        <v>0.245</v>
      </c>
      <c r="J68" s="298">
        <f t="shared" si="6"/>
        <v>0.245</v>
      </c>
      <c r="K68" s="536">
        <f t="shared" si="6"/>
        <v>0.245</v>
      </c>
      <c r="L68" s="536">
        <f t="shared" si="6"/>
        <v>0.245</v>
      </c>
      <c r="M68" s="536">
        <f t="shared" si="6"/>
        <v>0.245</v>
      </c>
      <c r="N68" s="536">
        <f t="shared" si="6"/>
        <v>0.245</v>
      </c>
      <c r="O68" s="536">
        <f t="shared" si="7"/>
        <v>0.245</v>
      </c>
      <c r="P68" s="536">
        <f t="shared" si="7"/>
        <v>0.245</v>
      </c>
      <c r="Q68" s="536">
        <f t="shared" si="7"/>
        <v>0.245</v>
      </c>
      <c r="R68" s="536">
        <f t="shared" si="8"/>
        <v>0.245</v>
      </c>
      <c r="S68" s="536">
        <f t="shared" si="8"/>
        <v>0.245</v>
      </c>
      <c r="T68" s="536">
        <f t="shared" si="9"/>
        <v>0.245</v>
      </c>
      <c r="U68" s="536">
        <f t="shared" si="9"/>
        <v>0.245</v>
      </c>
      <c r="V68" s="536">
        <f t="shared" si="9"/>
        <v>0.245</v>
      </c>
      <c r="W68" s="536">
        <f t="shared" si="9"/>
        <v>0.245</v>
      </c>
      <c r="X68" s="536">
        <f t="shared" si="9"/>
        <v>0.245</v>
      </c>
      <c r="Y68" s="536">
        <f t="shared" si="9"/>
        <v>0.245</v>
      </c>
    </row>
    <row r="69" spans="1:25" ht="11.25" customHeight="1">
      <c r="A69" s="295" t="s">
        <v>250</v>
      </c>
      <c r="B69" s="2267">
        <f ca="1">((B65*(1-B68)*B67))+(B66*(1-B67))</f>
        <v>8.0500524685326896E-2</v>
      </c>
      <c r="C69" s="2267">
        <f t="shared" ref="C69:O69" ca="1" si="10">((C65*(1-C68)*C67))+(C66*(1-C67))</f>
        <v>8.0500524685326896E-2</v>
      </c>
      <c r="D69" s="298">
        <f t="shared" ca="1" si="10"/>
        <v>8.0500524685326896E-2</v>
      </c>
      <c r="E69" s="298">
        <f t="shared" ca="1" si="10"/>
        <v>8.0500524685326896E-2</v>
      </c>
      <c r="F69" s="298">
        <f t="shared" ca="1" si="10"/>
        <v>8.0500524685326896E-2</v>
      </c>
      <c r="G69" s="298">
        <f t="shared" ca="1" si="10"/>
        <v>8.0500524685326896E-2</v>
      </c>
      <c r="H69" s="298">
        <f t="shared" ca="1" si="10"/>
        <v>8.0500524685326896E-2</v>
      </c>
      <c r="I69" s="2267">
        <f t="shared" ca="1" si="10"/>
        <v>8.0500524685326896E-2</v>
      </c>
      <c r="J69" s="298">
        <f t="shared" ca="1" si="10"/>
        <v>8.0500524685326896E-2</v>
      </c>
      <c r="K69" s="536">
        <f t="shared" ca="1" si="10"/>
        <v>8.0500524685326896E-2</v>
      </c>
      <c r="L69" s="536">
        <f t="shared" ca="1" si="10"/>
        <v>8.0500524685326896E-2</v>
      </c>
      <c r="M69" s="536">
        <f t="shared" ca="1" si="10"/>
        <v>8.0500524685326896E-2</v>
      </c>
      <c r="N69" s="536">
        <f t="shared" ca="1" si="10"/>
        <v>8.0500524685326896E-2</v>
      </c>
      <c r="O69" s="536">
        <f t="shared" ca="1" si="10"/>
        <v>8.0500524685326896E-2</v>
      </c>
      <c r="P69" s="536">
        <f t="shared" ref="P69:U69" ca="1" si="11">((P65*(1-P68)*P67))+(P66*(1-P67))</f>
        <v>8.0500524685326896E-2</v>
      </c>
      <c r="Q69" s="536">
        <f t="shared" ca="1" si="11"/>
        <v>8.0500524685326896E-2</v>
      </c>
      <c r="R69" s="536">
        <f t="shared" ca="1" si="11"/>
        <v>8.0500524685326896E-2</v>
      </c>
      <c r="S69" s="536">
        <f t="shared" ca="1" si="11"/>
        <v>8.0500524685326896E-2</v>
      </c>
      <c r="T69" s="536">
        <f t="shared" ca="1" si="11"/>
        <v>8.0500524685326896E-2</v>
      </c>
      <c r="U69" s="536">
        <f t="shared" ca="1" si="11"/>
        <v>8.0500524685326896E-2</v>
      </c>
      <c r="V69" s="536">
        <f ca="1">((V65*(1-V68)*V67))+(V66*(1-V67))</f>
        <v>8.0500524685326896E-2</v>
      </c>
      <c r="W69" s="536">
        <f ca="1">((W65*(1-W68)*W67))+(W66*(1-W67))</f>
        <v>8.0500524685326896E-2</v>
      </c>
      <c r="X69" s="536">
        <f ca="1">((X65*(1-X68)*X67))+(X66*(1-X67))</f>
        <v>8.0500524685326896E-2</v>
      </c>
      <c r="Y69" s="536">
        <f ca="1">((Y65*(1-Y68)*Y67))+(Y66*(1-Y67))</f>
        <v>8.0500524685326896E-2</v>
      </c>
    </row>
    <row r="70" spans="1:25" ht="11.25" customHeight="1">
      <c r="A70" s="295" t="s">
        <v>251</v>
      </c>
      <c r="B70" s="2675">
        <f>+B57</f>
        <v>0.02</v>
      </c>
      <c r="C70" s="2267">
        <f t="shared" ref="C70:L70" si="12">+B70</f>
        <v>0.02</v>
      </c>
      <c r="D70" s="298">
        <f t="shared" si="12"/>
        <v>0.02</v>
      </c>
      <c r="E70" s="298">
        <f t="shared" si="12"/>
        <v>0.02</v>
      </c>
      <c r="F70" s="298">
        <f t="shared" si="12"/>
        <v>0.02</v>
      </c>
      <c r="G70" s="298">
        <f t="shared" si="12"/>
        <v>0.02</v>
      </c>
      <c r="H70" s="298">
        <f t="shared" si="12"/>
        <v>0.02</v>
      </c>
      <c r="I70" s="2267">
        <f t="shared" si="12"/>
        <v>0.02</v>
      </c>
      <c r="J70" s="298">
        <f t="shared" si="12"/>
        <v>0.02</v>
      </c>
      <c r="K70" s="536">
        <f t="shared" si="12"/>
        <v>0.02</v>
      </c>
      <c r="L70" s="536">
        <f t="shared" si="12"/>
        <v>0.02</v>
      </c>
      <c r="M70" s="536">
        <f t="shared" ref="M70:S70" si="13">+L70</f>
        <v>0.02</v>
      </c>
      <c r="N70" s="536">
        <f t="shared" si="13"/>
        <v>0.02</v>
      </c>
      <c r="O70" s="536">
        <f t="shared" si="13"/>
        <v>0.02</v>
      </c>
      <c r="P70" s="536">
        <f t="shared" si="13"/>
        <v>0.02</v>
      </c>
      <c r="Q70" s="536">
        <f t="shared" si="13"/>
        <v>0.02</v>
      </c>
      <c r="R70" s="536">
        <f t="shared" si="13"/>
        <v>0.02</v>
      </c>
      <c r="S70" s="536">
        <f t="shared" si="13"/>
        <v>0.02</v>
      </c>
      <c r="T70" s="536">
        <f t="shared" ref="T70:Y70" si="14">+S70</f>
        <v>0.02</v>
      </c>
      <c r="U70" s="536">
        <f t="shared" si="14"/>
        <v>0.02</v>
      </c>
      <c r="V70" s="536">
        <f t="shared" si="14"/>
        <v>0.02</v>
      </c>
      <c r="W70" s="536">
        <f t="shared" si="14"/>
        <v>0.02</v>
      </c>
      <c r="X70" s="536">
        <f t="shared" si="14"/>
        <v>0.02</v>
      </c>
      <c r="Y70" s="536">
        <f t="shared" si="14"/>
        <v>0.02</v>
      </c>
    </row>
    <row r="71" spans="1:25" ht="11.25" customHeight="1">
      <c r="A71" s="295"/>
      <c r="B71" s="1108"/>
      <c r="C71" s="1108"/>
      <c r="D71" s="6"/>
      <c r="E71" s="6"/>
      <c r="F71" s="6"/>
      <c r="G71" s="6"/>
      <c r="H71" s="6"/>
      <c r="I71" s="1108"/>
      <c r="J71" s="6"/>
      <c r="K71" s="11"/>
      <c r="L71" s="11"/>
      <c r="M71" s="11"/>
      <c r="N71" s="11"/>
      <c r="O71" s="11"/>
      <c r="P71" s="11"/>
      <c r="Q71" s="11"/>
      <c r="R71" s="11"/>
      <c r="S71" s="11"/>
      <c r="T71" s="11"/>
      <c r="U71" s="11"/>
      <c r="V71" s="11"/>
      <c r="W71" s="11"/>
      <c r="X71" s="11"/>
    </row>
    <row r="72" spans="1:25" ht="11.25" customHeight="1">
      <c r="A72" s="295" t="s">
        <v>243</v>
      </c>
      <c r="B72" s="1146">
        <f>'CBS Network'!M57</f>
        <v>221.04822152577725</v>
      </c>
      <c r="C72" s="1146">
        <f>'CBS Network'!N57</f>
        <v>222.38556528035886</v>
      </c>
      <c r="D72" s="145">
        <f>'CBS Network'!O57</f>
        <v>260.31653011231492</v>
      </c>
      <c r="E72" s="145">
        <f>'CBS Network'!P57</f>
        <v>88.663978264367771</v>
      </c>
      <c r="F72" s="145">
        <f>'CBS Network'!Q57</f>
        <v>0.45126375214553427</v>
      </c>
      <c r="G72" s="145">
        <f>'CBS Network'!R57</f>
        <v>100.14440738961397</v>
      </c>
      <c r="H72" s="145">
        <f>'CBS Network'!S57</f>
        <v>414.73302086575126</v>
      </c>
      <c r="I72" s="1146">
        <f>'CBS Network'!T57</f>
        <v>250.85190356625043</v>
      </c>
      <c r="J72" s="145">
        <f>'CBS Network'!U57</f>
        <v>383.73568190499503</v>
      </c>
      <c r="K72" s="145">
        <f>'CBS Network'!V57</f>
        <v>185.62144022300791</v>
      </c>
      <c r="L72" s="145">
        <f>'CBS Network'!W57</f>
        <v>219.90655137027693</v>
      </c>
      <c r="M72" s="145">
        <f ca="1">'CBS Network'!X57</f>
        <v>397.32624007647632</v>
      </c>
      <c r="N72" s="145">
        <f ca="1">'CBS Network'!Y57</f>
        <v>395.39407406256788</v>
      </c>
      <c r="O72" s="145">
        <f ca="1">'CBS Network'!Z57</f>
        <v>404.92478380813094</v>
      </c>
      <c r="P72" s="145">
        <f ca="1">'CBS Network'!AA57</f>
        <v>463.87981551277699</v>
      </c>
      <c r="Q72" s="145">
        <f ca="1">'CBS Network'!AB57</f>
        <v>511.46121562775716</v>
      </c>
      <c r="R72" s="54">
        <f ca="1">'CBS Network'!AC57</f>
        <v>573.92278972941381</v>
      </c>
      <c r="S72" s="54">
        <f ca="1">'CBS Network'!AD57</f>
        <v>591.82271497079773</v>
      </c>
      <c r="T72" s="54">
        <f ca="1">'CBS Network'!AE57</f>
        <v>486.64937779571727</v>
      </c>
      <c r="U72" s="54">
        <f ca="1">'CBS Network'!AF57</f>
        <v>410.8661908464054</v>
      </c>
      <c r="V72" s="54">
        <f ca="1">'CBS Network'!AG57</f>
        <v>423.92630773059824</v>
      </c>
      <c r="W72" s="54">
        <f ca="1">'CBS Network'!AH57</f>
        <v>290.67078232922324</v>
      </c>
      <c r="X72" s="54">
        <f ca="1">'CBS Network'!AI57</f>
        <v>259.02431740588361</v>
      </c>
      <c r="Y72" s="54">
        <f ca="1">'CBS Network'!AJ57</f>
        <v>206.00813698835418</v>
      </c>
    </row>
    <row r="73" spans="1:25" ht="11.25" customHeight="1">
      <c r="A73" s="295" t="s">
        <v>678</v>
      </c>
      <c r="B73" s="145">
        <f>'CBS Network'!M42</f>
        <v>395.31906754648992</v>
      </c>
      <c r="C73" s="145">
        <f>'CBS Network'!N42</f>
        <v>401.73898738906161</v>
      </c>
      <c r="D73" s="145">
        <f>'CBS Network'!O42</f>
        <v>456.64742313755028</v>
      </c>
      <c r="E73" s="145">
        <f>'CBS Network'!P42</f>
        <v>198.90165783132676</v>
      </c>
      <c r="F73" s="145">
        <f>'CBS Network'!Q42</f>
        <v>30.114225020536296</v>
      </c>
      <c r="G73" s="145">
        <f>'CBS Network'!R42</f>
        <v>182.08407635205407</v>
      </c>
      <c r="H73" s="145">
        <f>'CBS Network'!S42</f>
        <v>598.38836646660877</v>
      </c>
      <c r="I73" s="1146">
        <f>'CBS Network'!T42</f>
        <v>374.0472761089049</v>
      </c>
      <c r="J73" s="145">
        <f>'CBS Network'!U42</f>
        <v>553.47493661637714</v>
      </c>
      <c r="K73" s="145">
        <f>'CBS Network'!V42</f>
        <v>287.28743914900042</v>
      </c>
      <c r="L73" s="145">
        <f>'CBS Network'!W42</f>
        <v>334.24855144778314</v>
      </c>
      <c r="M73" s="145">
        <f>'CBS Network'!X42</f>
        <v>576.55054226253287</v>
      </c>
      <c r="N73" s="145">
        <f>'CBS Network'!Y42</f>
        <v>574.05729983471656</v>
      </c>
      <c r="O73" s="145">
        <f>'CBS Network'!Z42</f>
        <v>589.66937121918875</v>
      </c>
      <c r="P73" s="145">
        <f>'CBS Network'!AA42</f>
        <v>676.22691593801301</v>
      </c>
      <c r="Q73" s="145">
        <f>'CBS Network'!AB42</f>
        <v>738.00136905085594</v>
      </c>
      <c r="R73" s="54">
        <f>'CBS Network'!AC42</f>
        <v>824.33599257280866</v>
      </c>
      <c r="S73" s="54">
        <f>'CBS Network'!AD42</f>
        <v>854.54674295481459</v>
      </c>
      <c r="T73" s="54">
        <f>'CBS Network'!AE42</f>
        <v>712.55071153684071</v>
      </c>
      <c r="U73" s="54">
        <f>'CBS Network'!AF42</f>
        <v>613.41145555873004</v>
      </c>
      <c r="V73" s="54">
        <f>'CBS Network'!AG42</f>
        <v>638.66510921232214</v>
      </c>
      <c r="W73" s="54">
        <f>'CBS Network'!AH42</f>
        <v>457.29356523796645</v>
      </c>
      <c r="X73" s="54">
        <f>'CBS Network'!AI42</f>
        <v>417.46576137970226</v>
      </c>
      <c r="Y73" s="54">
        <f>'CBS Network'!AJ42</f>
        <v>355.28717804672732</v>
      </c>
    </row>
    <row r="74" spans="1:25" ht="11.25" customHeight="1">
      <c r="A74" s="295"/>
      <c r="B74" s="6"/>
      <c r="C74" s="6"/>
      <c r="D74" s="6"/>
      <c r="E74" s="6"/>
      <c r="F74" s="6"/>
      <c r="G74" s="6"/>
      <c r="H74" s="6"/>
      <c r="I74" s="1108"/>
      <c r="J74" s="6"/>
      <c r="K74" s="11"/>
      <c r="L74" s="11"/>
      <c r="M74" s="11"/>
      <c r="N74" s="11"/>
      <c r="O74" s="11"/>
      <c r="P74" s="11"/>
      <c r="Q74" s="11"/>
      <c r="R74" s="11"/>
      <c r="S74" s="11"/>
      <c r="T74" s="11"/>
      <c r="U74" s="11"/>
      <c r="V74" s="11"/>
      <c r="W74" s="11"/>
    </row>
    <row r="75" spans="1:25">
      <c r="A75" s="295" t="s">
        <v>1009</v>
      </c>
      <c r="B75" s="489">
        <f>'CBS Network'!M69</f>
        <v>362.39292160766189</v>
      </c>
      <c r="C75" s="489">
        <f t="shared" ref="C75:N77" si="15">+B75</f>
        <v>362.39292160766189</v>
      </c>
      <c r="D75" s="489">
        <f t="shared" si="15"/>
        <v>362.39292160766189</v>
      </c>
      <c r="E75" s="489">
        <f t="shared" si="15"/>
        <v>362.39292160766189</v>
      </c>
      <c r="F75" s="489">
        <f t="shared" si="15"/>
        <v>362.39292160766189</v>
      </c>
      <c r="G75" s="489">
        <f t="shared" si="15"/>
        <v>362.39292160766189</v>
      </c>
      <c r="H75" s="489">
        <f t="shared" si="15"/>
        <v>362.39292160766189</v>
      </c>
      <c r="I75" s="1683">
        <f t="shared" si="15"/>
        <v>362.39292160766189</v>
      </c>
      <c r="J75" s="489">
        <f t="shared" si="15"/>
        <v>362.39292160766189</v>
      </c>
      <c r="K75" s="181">
        <f t="shared" si="15"/>
        <v>362.39292160766189</v>
      </c>
      <c r="L75" s="181">
        <f t="shared" si="15"/>
        <v>362.39292160766189</v>
      </c>
      <c r="M75" s="181">
        <f t="shared" si="15"/>
        <v>362.39292160766189</v>
      </c>
      <c r="N75" s="181">
        <f t="shared" si="15"/>
        <v>362.39292160766189</v>
      </c>
      <c r="O75" s="181">
        <f t="shared" ref="O75:Q77" si="16">+N75</f>
        <v>362.39292160766189</v>
      </c>
      <c r="P75" s="181">
        <f t="shared" si="16"/>
        <v>362.39292160766189</v>
      </c>
      <c r="Q75" s="181">
        <f t="shared" si="16"/>
        <v>362.39292160766189</v>
      </c>
      <c r="R75" s="181">
        <f t="shared" ref="R75:S77" si="17">+Q75</f>
        <v>362.39292160766189</v>
      </c>
      <c r="S75" s="181">
        <f t="shared" si="17"/>
        <v>362.39292160766189</v>
      </c>
      <c r="T75" s="181">
        <f t="shared" ref="T75:Y77" si="18">+S75</f>
        <v>362.39292160766189</v>
      </c>
      <c r="U75" s="181">
        <f t="shared" si="18"/>
        <v>362.39292160766189</v>
      </c>
      <c r="V75" s="181">
        <f t="shared" si="18"/>
        <v>362.39292160766189</v>
      </c>
      <c r="W75" s="181">
        <f t="shared" si="18"/>
        <v>362.39292160766189</v>
      </c>
      <c r="X75" s="181">
        <f t="shared" si="18"/>
        <v>362.39292160766189</v>
      </c>
      <c r="Y75" s="181">
        <f t="shared" si="18"/>
        <v>362.39292160766189</v>
      </c>
    </row>
    <row r="76" spans="1:25">
      <c r="A76" s="490" t="s">
        <v>54</v>
      </c>
      <c r="B76" s="489">
        <f ca="1">'CBS Network'!M70</f>
        <v>68.153269992675661</v>
      </c>
      <c r="C76" s="489">
        <f t="shared" ca="1" si="15"/>
        <v>68.153269992675661</v>
      </c>
      <c r="D76" s="489">
        <f t="shared" ca="1" si="15"/>
        <v>68.153269992675661</v>
      </c>
      <c r="E76" s="489">
        <f t="shared" ca="1" si="15"/>
        <v>68.153269992675661</v>
      </c>
      <c r="F76" s="489">
        <f t="shared" ca="1" si="15"/>
        <v>68.153269992675661</v>
      </c>
      <c r="G76" s="489">
        <f t="shared" ca="1" si="15"/>
        <v>68.153269992675661</v>
      </c>
      <c r="H76" s="489">
        <f ca="1">+G76</f>
        <v>68.153269992675661</v>
      </c>
      <c r="I76" s="1683">
        <f t="shared" ca="1" si="15"/>
        <v>68.153269992675661</v>
      </c>
      <c r="J76" s="489">
        <f t="shared" ca="1" si="15"/>
        <v>68.153269992675661</v>
      </c>
      <c r="K76" s="181">
        <f t="shared" ca="1" si="15"/>
        <v>68.153269992675661</v>
      </c>
      <c r="L76" s="181">
        <f t="shared" ca="1" si="15"/>
        <v>68.153269992675661</v>
      </c>
      <c r="M76" s="181">
        <f t="shared" ca="1" si="15"/>
        <v>68.153269992675661</v>
      </c>
      <c r="N76" s="181">
        <f t="shared" ca="1" si="15"/>
        <v>68.153269992675661</v>
      </c>
      <c r="O76" s="181">
        <f t="shared" ca="1" si="16"/>
        <v>68.153269992675661</v>
      </c>
      <c r="P76" s="181">
        <f t="shared" ca="1" si="16"/>
        <v>68.153269992675661</v>
      </c>
      <c r="Q76" s="181">
        <f t="shared" ca="1" si="16"/>
        <v>68.153269992675661</v>
      </c>
      <c r="R76" s="181">
        <f t="shared" ca="1" si="17"/>
        <v>68.153269992675661</v>
      </c>
      <c r="S76" s="181">
        <f t="shared" ca="1" si="17"/>
        <v>68.153269992675661</v>
      </c>
      <c r="T76" s="181">
        <f t="shared" ca="1" si="18"/>
        <v>68.153269992675661</v>
      </c>
      <c r="U76" s="181">
        <f t="shared" ca="1" si="18"/>
        <v>68.153269992675661</v>
      </c>
      <c r="V76" s="181">
        <f t="shared" ca="1" si="18"/>
        <v>68.153269992675661</v>
      </c>
      <c r="W76" s="181">
        <f t="shared" ca="1" si="18"/>
        <v>68.153269992675661</v>
      </c>
      <c r="X76" s="181">
        <f t="shared" ca="1" si="18"/>
        <v>68.153269992675661</v>
      </c>
      <c r="Y76" s="181">
        <f t="shared" ca="1" si="18"/>
        <v>68.153269992675661</v>
      </c>
    </row>
    <row r="77" spans="1:25" s="3491" customFormat="1">
      <c r="A77" s="3488" t="s">
        <v>67</v>
      </c>
      <c r="B77" s="3036">
        <f>'CBS Network'!M71</f>
        <v>84.111351886864952</v>
      </c>
      <c r="C77" s="3036">
        <f t="shared" si="15"/>
        <v>84.111351886864952</v>
      </c>
      <c r="D77" s="3036">
        <f t="shared" si="15"/>
        <v>84.111351886864952</v>
      </c>
      <c r="E77" s="3036">
        <f t="shared" si="15"/>
        <v>84.111351886864952</v>
      </c>
      <c r="F77" s="3036">
        <f t="shared" si="15"/>
        <v>84.111351886864952</v>
      </c>
      <c r="G77" s="3036">
        <f t="shared" si="15"/>
        <v>84.111351886864952</v>
      </c>
      <c r="H77" s="3036">
        <f t="shared" si="15"/>
        <v>84.111351886864952</v>
      </c>
      <c r="I77" s="3036">
        <f t="shared" si="15"/>
        <v>84.111351886864952</v>
      </c>
      <c r="J77" s="3036">
        <f t="shared" si="15"/>
        <v>84.111351886864952</v>
      </c>
      <c r="K77" s="3036">
        <f t="shared" si="15"/>
        <v>84.111351886864952</v>
      </c>
      <c r="L77" s="3036">
        <f t="shared" si="15"/>
        <v>84.111351886864952</v>
      </c>
      <c r="M77" s="3036">
        <f t="shared" si="15"/>
        <v>84.111351886864952</v>
      </c>
      <c r="N77" s="3036">
        <f t="shared" si="15"/>
        <v>84.111351886864952</v>
      </c>
      <c r="O77" s="3036">
        <f t="shared" si="16"/>
        <v>84.111351886864952</v>
      </c>
      <c r="P77" s="3036">
        <f t="shared" si="16"/>
        <v>84.111351886864952</v>
      </c>
      <c r="Q77" s="3036">
        <f t="shared" si="16"/>
        <v>84.111351886864952</v>
      </c>
      <c r="R77" s="3036">
        <f t="shared" si="17"/>
        <v>84.111351886864952</v>
      </c>
      <c r="S77" s="3036">
        <f t="shared" si="17"/>
        <v>84.111351886864952</v>
      </c>
      <c r="T77" s="3036">
        <f t="shared" si="18"/>
        <v>84.111351886864952</v>
      </c>
      <c r="U77" s="3036">
        <f t="shared" si="18"/>
        <v>84.111351886864952</v>
      </c>
      <c r="V77" s="3036">
        <f t="shared" si="18"/>
        <v>84.111351886864952</v>
      </c>
      <c r="W77" s="3036">
        <f t="shared" si="18"/>
        <v>84.111351886864952</v>
      </c>
      <c r="X77" s="3036">
        <f t="shared" si="18"/>
        <v>84.111351886864952</v>
      </c>
      <c r="Y77" s="3036">
        <f t="shared" si="18"/>
        <v>84.111351886864952</v>
      </c>
    </row>
    <row r="78" spans="1:25" s="2807" customFormat="1">
      <c r="A78" s="3488" t="s">
        <v>1828</v>
      </c>
      <c r="B78" s="3303">
        <f>'CBS Network'!M72</f>
        <v>0</v>
      </c>
      <c r="C78" s="3303">
        <f>B78</f>
        <v>0</v>
      </c>
      <c r="D78" s="3303">
        <f t="shared" ref="D78:Y78" si="19">C78</f>
        <v>0</v>
      </c>
      <c r="E78" s="3303">
        <f t="shared" si="19"/>
        <v>0</v>
      </c>
      <c r="F78" s="3303">
        <f t="shared" si="19"/>
        <v>0</v>
      </c>
      <c r="G78" s="3303">
        <f t="shared" si="19"/>
        <v>0</v>
      </c>
      <c r="H78" s="3303">
        <f t="shared" si="19"/>
        <v>0</v>
      </c>
      <c r="I78" s="3303">
        <f t="shared" si="19"/>
        <v>0</v>
      </c>
      <c r="J78" s="3303">
        <f t="shared" si="19"/>
        <v>0</v>
      </c>
      <c r="K78" s="3303">
        <f t="shared" si="19"/>
        <v>0</v>
      </c>
      <c r="L78" s="3303">
        <f t="shared" si="19"/>
        <v>0</v>
      </c>
      <c r="M78" s="3303">
        <f t="shared" si="19"/>
        <v>0</v>
      </c>
      <c r="N78" s="3303">
        <f t="shared" si="19"/>
        <v>0</v>
      </c>
      <c r="O78" s="3303">
        <f t="shared" si="19"/>
        <v>0</v>
      </c>
      <c r="P78" s="3303">
        <f t="shared" si="19"/>
        <v>0</v>
      </c>
      <c r="Q78" s="3303">
        <f t="shared" si="19"/>
        <v>0</v>
      </c>
      <c r="R78" s="3303">
        <f t="shared" si="19"/>
        <v>0</v>
      </c>
      <c r="S78" s="3303">
        <f t="shared" si="19"/>
        <v>0</v>
      </c>
      <c r="T78" s="3303">
        <f t="shared" si="19"/>
        <v>0</v>
      </c>
      <c r="U78" s="3303">
        <f t="shared" si="19"/>
        <v>0</v>
      </c>
      <c r="V78" s="3303">
        <f t="shared" si="19"/>
        <v>0</v>
      </c>
      <c r="W78" s="3303">
        <f t="shared" si="19"/>
        <v>0</v>
      </c>
      <c r="X78" s="3303">
        <f t="shared" si="19"/>
        <v>0</v>
      </c>
      <c r="Y78" s="3303">
        <f t="shared" si="19"/>
        <v>0</v>
      </c>
    </row>
    <row r="79" spans="1:25" s="2807" customFormat="1">
      <c r="A79" s="3482" t="s">
        <v>56</v>
      </c>
      <c r="B79" s="2887">
        <f ca="1">+B75-B76-B77-B78</f>
        <v>210.12829972812125</v>
      </c>
      <c r="C79" s="2887">
        <f t="shared" ref="C79:Y79" ca="1" si="20">+C75-C76-C77-C78</f>
        <v>210.12829972812125</v>
      </c>
      <c r="D79" s="2887">
        <f t="shared" ca="1" si="20"/>
        <v>210.12829972812125</v>
      </c>
      <c r="E79" s="2887">
        <f t="shared" ca="1" si="20"/>
        <v>210.12829972812125</v>
      </c>
      <c r="F79" s="2887">
        <f t="shared" ca="1" si="20"/>
        <v>210.12829972812125</v>
      </c>
      <c r="G79" s="2887">
        <f t="shared" ca="1" si="20"/>
        <v>210.12829972812125</v>
      </c>
      <c r="H79" s="2887">
        <f t="shared" ca="1" si="20"/>
        <v>210.12829972812125</v>
      </c>
      <c r="I79" s="2887">
        <f t="shared" ca="1" si="20"/>
        <v>210.12829972812125</v>
      </c>
      <c r="J79" s="2887">
        <f t="shared" ca="1" si="20"/>
        <v>210.12829972812125</v>
      </c>
      <c r="K79" s="2887">
        <f t="shared" ca="1" si="20"/>
        <v>210.12829972812125</v>
      </c>
      <c r="L79" s="2887">
        <f t="shared" ca="1" si="20"/>
        <v>210.12829972812125</v>
      </c>
      <c r="M79" s="2887">
        <f t="shared" ca="1" si="20"/>
        <v>210.12829972812125</v>
      </c>
      <c r="N79" s="2887">
        <f t="shared" ca="1" si="20"/>
        <v>210.12829972812125</v>
      </c>
      <c r="O79" s="2887">
        <f t="shared" ca="1" si="20"/>
        <v>210.12829972812125</v>
      </c>
      <c r="P79" s="2887">
        <f t="shared" ca="1" si="20"/>
        <v>210.12829972812125</v>
      </c>
      <c r="Q79" s="2887">
        <f t="shared" ca="1" si="20"/>
        <v>210.12829972812125</v>
      </c>
      <c r="R79" s="2887">
        <f t="shared" ca="1" si="20"/>
        <v>210.12829972812125</v>
      </c>
      <c r="S79" s="2887">
        <f t="shared" ca="1" si="20"/>
        <v>210.12829972812125</v>
      </c>
      <c r="T79" s="2887">
        <f t="shared" ca="1" si="20"/>
        <v>210.12829972812125</v>
      </c>
      <c r="U79" s="2887">
        <f t="shared" ca="1" si="20"/>
        <v>210.12829972812125</v>
      </c>
      <c r="V79" s="2887">
        <f t="shared" ca="1" si="20"/>
        <v>210.12829972812125</v>
      </c>
      <c r="W79" s="2887">
        <f t="shared" ca="1" si="20"/>
        <v>210.12829972812125</v>
      </c>
      <c r="X79" s="2887">
        <f t="shared" ca="1" si="20"/>
        <v>210.12829972812125</v>
      </c>
      <c r="Y79" s="2887">
        <f t="shared" ca="1" si="20"/>
        <v>210.12829972812125</v>
      </c>
    </row>
    <row r="80" spans="1:25" s="2807" customFormat="1">
      <c r="A80" s="3487" t="s">
        <v>57</v>
      </c>
      <c r="B80" s="2887">
        <f ca="1">1/(B69-B70)</f>
        <v>16.528782274222632</v>
      </c>
      <c r="C80" s="2887">
        <f t="shared" ref="C80:L80" ca="1" si="21">1/(C69-C70)</f>
        <v>16.528782274222632</v>
      </c>
      <c r="D80" s="2887">
        <f t="shared" ca="1" si="21"/>
        <v>16.528782274222632</v>
      </c>
      <c r="E80" s="2887">
        <f t="shared" ca="1" si="21"/>
        <v>16.528782274222632</v>
      </c>
      <c r="F80" s="2887">
        <f t="shared" ca="1" si="21"/>
        <v>16.528782274222632</v>
      </c>
      <c r="G80" s="2887">
        <f t="shared" ca="1" si="21"/>
        <v>16.528782274222632</v>
      </c>
      <c r="H80" s="2887">
        <f t="shared" ca="1" si="21"/>
        <v>16.528782274222632</v>
      </c>
      <c r="I80" s="2887">
        <f t="shared" ca="1" si="21"/>
        <v>16.528782274222632</v>
      </c>
      <c r="J80" s="2887">
        <f t="shared" ca="1" si="21"/>
        <v>16.528782274222632</v>
      </c>
      <c r="K80" s="2887">
        <f t="shared" ca="1" si="21"/>
        <v>16.528782274222632</v>
      </c>
      <c r="L80" s="2887">
        <f t="shared" ca="1" si="21"/>
        <v>16.528782274222632</v>
      </c>
      <c r="M80" s="2887">
        <f t="shared" ref="M80:S80" ca="1" si="22">1/(M69-M70)</f>
        <v>16.528782274222632</v>
      </c>
      <c r="N80" s="2887">
        <f t="shared" ca="1" si="22"/>
        <v>16.528782274222632</v>
      </c>
      <c r="O80" s="2887">
        <f t="shared" ca="1" si="22"/>
        <v>16.528782274222632</v>
      </c>
      <c r="P80" s="2887">
        <f t="shared" ca="1" si="22"/>
        <v>16.528782274222632</v>
      </c>
      <c r="Q80" s="2887">
        <f t="shared" ca="1" si="22"/>
        <v>16.528782274222632</v>
      </c>
      <c r="R80" s="2887">
        <f t="shared" ca="1" si="22"/>
        <v>16.528782274222632</v>
      </c>
      <c r="S80" s="2887">
        <f t="shared" ca="1" si="22"/>
        <v>16.528782274222632</v>
      </c>
      <c r="T80" s="2887">
        <f t="shared" ref="T80:Y80" ca="1" si="23">1/(T69-T70)</f>
        <v>16.528782274222632</v>
      </c>
      <c r="U80" s="2887">
        <f t="shared" ca="1" si="23"/>
        <v>16.528782274222632</v>
      </c>
      <c r="V80" s="2887">
        <f t="shared" ca="1" si="23"/>
        <v>16.528782274222632</v>
      </c>
      <c r="W80" s="2887">
        <f t="shared" ca="1" si="23"/>
        <v>16.528782274222632</v>
      </c>
      <c r="X80" s="2887">
        <f t="shared" ca="1" si="23"/>
        <v>16.528782274222632</v>
      </c>
      <c r="Y80" s="2887">
        <f t="shared" ca="1" si="23"/>
        <v>16.528782274222632</v>
      </c>
    </row>
    <row r="81" spans="1:26">
      <c r="A81" s="490" t="s">
        <v>58</v>
      </c>
      <c r="B81" s="489">
        <f ca="1">+B82/B75</f>
        <v>9.5839755932619166</v>
      </c>
      <c r="C81" s="489">
        <f t="shared" ref="C81:L81" ca="1" si="24">+C82/C75</f>
        <v>9.5839755932619166</v>
      </c>
      <c r="D81" s="489">
        <f t="shared" ca="1" si="24"/>
        <v>9.5839755932619166</v>
      </c>
      <c r="E81" s="489">
        <f t="shared" ca="1" si="24"/>
        <v>9.5839755932619166</v>
      </c>
      <c r="F81" s="489">
        <f t="shared" ca="1" si="24"/>
        <v>9.5839755932619166</v>
      </c>
      <c r="G81" s="489">
        <f t="shared" ca="1" si="24"/>
        <v>9.5839755932619166</v>
      </c>
      <c r="H81" s="489">
        <f t="shared" ca="1" si="24"/>
        <v>9.5839755932619166</v>
      </c>
      <c r="I81" s="1683">
        <f t="shared" ca="1" si="24"/>
        <v>9.5839755932619166</v>
      </c>
      <c r="J81" s="489">
        <f t="shared" ca="1" si="24"/>
        <v>9.5839755932619166</v>
      </c>
      <c r="K81" s="181">
        <f t="shared" ca="1" si="24"/>
        <v>9.5839755932619166</v>
      </c>
      <c r="L81" s="181">
        <f t="shared" ca="1" si="24"/>
        <v>9.5839755932619166</v>
      </c>
      <c r="M81" s="181">
        <f t="shared" ref="M81:S81" ca="1" si="25">+M82/M75</f>
        <v>9.5839755932619166</v>
      </c>
      <c r="N81" s="181">
        <f t="shared" ca="1" si="25"/>
        <v>9.5839755932619166</v>
      </c>
      <c r="O81" s="181">
        <f t="shared" ca="1" si="25"/>
        <v>9.5839755932619166</v>
      </c>
      <c r="P81" s="181">
        <f t="shared" ca="1" si="25"/>
        <v>9.5839755932619166</v>
      </c>
      <c r="Q81" s="181">
        <f t="shared" ca="1" si="25"/>
        <v>9.5839755932619166</v>
      </c>
      <c r="R81" s="181">
        <f t="shared" ca="1" si="25"/>
        <v>9.5839755932619166</v>
      </c>
      <c r="S81" s="181">
        <f t="shared" ca="1" si="25"/>
        <v>9.5839755932619166</v>
      </c>
      <c r="T81" s="181">
        <f t="shared" ref="T81:Y81" ca="1" si="26">+T82/T75</f>
        <v>9.5839755932619166</v>
      </c>
      <c r="U81" s="181">
        <f t="shared" ca="1" si="26"/>
        <v>9.5839755932619166</v>
      </c>
      <c r="V81" s="181">
        <f t="shared" ca="1" si="26"/>
        <v>9.5839755932619166</v>
      </c>
      <c r="W81" s="181">
        <f t="shared" ca="1" si="26"/>
        <v>9.5839755932619166</v>
      </c>
      <c r="X81" s="181">
        <f t="shared" ca="1" si="26"/>
        <v>9.5839755932619166</v>
      </c>
      <c r="Y81" s="181">
        <f t="shared" ca="1" si="26"/>
        <v>9.5839755932619166</v>
      </c>
    </row>
    <row r="82" spans="1:26">
      <c r="A82" s="295" t="s">
        <v>59</v>
      </c>
      <c r="B82" s="489">
        <f ca="1">B80*B79</f>
        <v>3473.1649158587106</v>
      </c>
      <c r="C82" s="489">
        <f t="shared" ref="C82:L82" ca="1" si="27">C80*C79</f>
        <v>3473.1649158587106</v>
      </c>
      <c r="D82" s="489">
        <f t="shared" ca="1" si="27"/>
        <v>3473.1649158587106</v>
      </c>
      <c r="E82" s="489">
        <f t="shared" ca="1" si="27"/>
        <v>3473.1649158587106</v>
      </c>
      <c r="F82" s="489">
        <f t="shared" ca="1" si="27"/>
        <v>3473.1649158587106</v>
      </c>
      <c r="G82" s="489">
        <f t="shared" ca="1" si="27"/>
        <v>3473.1649158587106</v>
      </c>
      <c r="H82" s="489">
        <f t="shared" ca="1" si="27"/>
        <v>3473.1649158587106</v>
      </c>
      <c r="I82" s="2887">
        <f t="shared" ca="1" si="27"/>
        <v>3473.1649158587106</v>
      </c>
      <c r="J82" s="2887">
        <f t="shared" ca="1" si="27"/>
        <v>3473.1649158587106</v>
      </c>
      <c r="K82" s="2887">
        <f t="shared" ca="1" si="27"/>
        <v>3473.1649158587106</v>
      </c>
      <c r="L82" s="2887">
        <f t="shared" ca="1" si="27"/>
        <v>3473.1649158587106</v>
      </c>
      <c r="M82" s="2887">
        <f t="shared" ref="M82:S82" ca="1" si="28">M80*M79</f>
        <v>3473.1649158587106</v>
      </c>
      <c r="N82" s="181">
        <f t="shared" ca="1" si="28"/>
        <v>3473.1649158587106</v>
      </c>
      <c r="O82" s="181">
        <f t="shared" ca="1" si="28"/>
        <v>3473.1649158587106</v>
      </c>
      <c r="P82" s="181">
        <f t="shared" ca="1" si="28"/>
        <v>3473.1649158587106</v>
      </c>
      <c r="Q82" s="181">
        <f t="shared" ca="1" si="28"/>
        <v>3473.1649158587106</v>
      </c>
      <c r="R82" s="181">
        <f t="shared" ca="1" si="28"/>
        <v>3473.1649158587106</v>
      </c>
      <c r="S82" s="181">
        <f t="shared" ca="1" si="28"/>
        <v>3473.1649158587106</v>
      </c>
      <c r="T82" s="181">
        <f t="shared" ref="T82:Y82" ca="1" si="29">T80*T79</f>
        <v>3473.1649158587106</v>
      </c>
      <c r="U82" s="181">
        <f t="shared" ca="1" si="29"/>
        <v>3473.1649158587106</v>
      </c>
      <c r="V82" s="181">
        <f t="shared" ca="1" si="29"/>
        <v>3473.1649158587106</v>
      </c>
      <c r="W82" s="181">
        <f t="shared" ca="1" si="29"/>
        <v>3473.1649158587106</v>
      </c>
      <c r="X82" s="181">
        <f t="shared" ca="1" si="29"/>
        <v>3473.1649158587106</v>
      </c>
      <c r="Y82" s="181">
        <f t="shared" ca="1" si="29"/>
        <v>3473.1649158587106</v>
      </c>
    </row>
    <row r="83" spans="1:26">
      <c r="A83" s="295" t="s">
        <v>60</v>
      </c>
      <c r="B83" s="489">
        <f ca="1">B82/((1+B69)^B89)</f>
        <v>585.26265997525093</v>
      </c>
      <c r="C83" s="489">
        <f t="shared" ref="C83:O83" ca="1" si="30">C82/((1+C69)^C89)</f>
        <v>632.37661118198878</v>
      </c>
      <c r="D83" s="489">
        <f t="shared" ca="1" si="30"/>
        <v>683.28326018086784</v>
      </c>
      <c r="E83" s="489">
        <f t="shared" ca="1" si="30"/>
        <v>738.28792113412862</v>
      </c>
      <c r="F83" s="489">
        <f t="shared" ca="1" si="30"/>
        <v>797.72048615426525</v>
      </c>
      <c r="G83" s="489">
        <f t="shared" ca="1" si="30"/>
        <v>861.93740384191779</v>
      </c>
      <c r="H83" s="489">
        <f t="shared" ca="1" si="30"/>
        <v>931.32381709710069</v>
      </c>
      <c r="I83" s="1683">
        <f t="shared" ca="1" si="30"/>
        <v>1006.2958730253588</v>
      </c>
      <c r="J83" s="489">
        <f t="shared" ca="1" si="30"/>
        <v>1087.3032187925796</v>
      </c>
      <c r="K83" s="181">
        <f t="shared" ca="1" si="30"/>
        <v>1174.8316983974271</v>
      </c>
      <c r="L83" s="181">
        <f t="shared" ca="1" si="30"/>
        <v>1269.4062665353738</v>
      </c>
      <c r="M83" s="181">
        <f t="shared" ca="1" si="30"/>
        <v>1371.5941370303133</v>
      </c>
      <c r="N83" s="181">
        <f t="shared" ca="1" si="30"/>
        <v>1482.0081847165718</v>
      </c>
      <c r="O83" s="181">
        <f t="shared" ca="1" si="30"/>
        <v>1601.3106211742049</v>
      </c>
      <c r="P83" s="181">
        <f t="shared" ref="P83:U83" ca="1" si="31">P82/((1+P69)^P89)</f>
        <v>1730.2169663629154</v>
      </c>
      <c r="Q83" s="181">
        <f t="shared" ca="1" si="31"/>
        <v>1869.5003399745849</v>
      </c>
      <c r="R83" s="181">
        <f t="shared" ca="1" si="31"/>
        <v>2019.9960982419364</v>
      </c>
      <c r="S83" s="181">
        <f t="shared" ca="1" si="31"/>
        <v>2182.6068440127256</v>
      </c>
      <c r="T83" s="181">
        <f t="shared" ca="1" si="31"/>
        <v>2358.3078401375355</v>
      </c>
      <c r="U83" s="181">
        <f t="shared" ca="1" si="31"/>
        <v>2548.1528586381273</v>
      </c>
      <c r="V83" s="181">
        <f ca="1">V82/((1+V69)^V89)</f>
        <v>2753.2805007369125</v>
      </c>
      <c r="W83" s="181">
        <f ca="1">W82/((1+W69)^W89)</f>
        <v>2974.9210256521137</v>
      </c>
      <c r="X83" s="181">
        <f ca="1">X82/((1+X69)^X89)</f>
        <v>3214.40372911452</v>
      </c>
      <c r="Y83" s="181">
        <f ca="1">Y82/((1+Y69)^Y89)</f>
        <v>3473.1649158587106</v>
      </c>
    </row>
    <row r="84" spans="1:26">
      <c r="A84" s="295" t="s">
        <v>63</v>
      </c>
      <c r="B84" s="172">
        <f ca="1">NPV(B69,C72:$Y72)</f>
        <v>2934.3480397100789</v>
      </c>
      <c r="C84" s="172">
        <f ca="1">NPV(C69,D72:$Y72)</f>
        <v>2948.179031235743</v>
      </c>
      <c r="D84" s="172">
        <f ca="1">NPV(D69,E72:$Y72)</f>
        <v>2925.1924600041839</v>
      </c>
      <c r="E84" s="172">
        <f ca="1">NPV(E69,F72:$Y72)</f>
        <v>3072.0080095757153</v>
      </c>
      <c r="F84" s="172">
        <f ca="1">NPV(F69,G72:$Y72)</f>
        <v>3318.855002431942</v>
      </c>
      <c r="G84" s="172">
        <f ca="1">NPV(G69,H72:$Y72)</f>
        <v>3485.8801640926213</v>
      </c>
      <c r="H84" s="172">
        <f ca="1">NPV(H69,I72:$Y72)</f>
        <v>3351.7623254264995</v>
      </c>
      <c r="I84" s="172">
        <f ca="1">NPV(I69,J72:$Y72)</f>
        <v>3370.7290476775938</v>
      </c>
      <c r="J84" s="172">
        <f ca="1">NPV(J69,K72:$Y72)</f>
        <v>3258.3388226827178</v>
      </c>
      <c r="K84" s="172">
        <f ca="1">NPV(K69,L72:$Y72)</f>
        <v>3335.0153672882398</v>
      </c>
      <c r="L84" s="172">
        <f ca="1">NPV(L69,M72:$Y72)</f>
        <v>3383.5793028182952</v>
      </c>
      <c r="M84" s="172">
        <f ca="1">NPV(M69,N72:$Y72)</f>
        <v>3258.6329719331043</v>
      </c>
      <c r="N84" s="172">
        <f ca="1">NPV(N69,O72:$Y72)</f>
        <v>3125.5605618680574</v>
      </c>
      <c r="O84" s="172">
        <f ca="1">NPV(O69,P72:$Y72)</f>
        <v>2972.2450432260707</v>
      </c>
      <c r="P84" s="172">
        <f ca="1">NPV(P69,Q72:$Y72)</f>
        <v>2747.6325131863546</v>
      </c>
      <c r="Q84" s="172">
        <f ca="1">NPV(Q69,R72:$Y72)</f>
        <v>2457.3571565125626</v>
      </c>
      <c r="R84" s="172">
        <f ca="1">NPV(R69,S72:$Y72)</f>
        <v>2081.252907221653</v>
      </c>
      <c r="S84" s="172">
        <f ca="1">NPV(S69,T72:$Y72)</f>
        <v>1656.9721432850606</v>
      </c>
      <c r="T84" s="172">
        <f ca="1">NPV(T69,U72:$Y72)</f>
        <v>1303.7098924127615</v>
      </c>
      <c r="U84" s="172">
        <f ca="1">NPV(U69,V72:$Y72)</f>
        <v>997.79303194303463</v>
      </c>
      <c r="V84" s="172">
        <f ca="1">NPV(V69,W72:$Y72)</f>
        <v>654.18958681121399</v>
      </c>
      <c r="W84" s="172">
        <f ca="1">NPV(W69,X72:$Y72)</f>
        <v>416.18140946397068</v>
      </c>
      <c r="X84" s="172">
        <f ca="1">NPV(X69,Y72:$Y72)</f>
        <v>190.65991388421557</v>
      </c>
      <c r="Y84" s="771">
        <v>0</v>
      </c>
      <c r="Z84" s="1396"/>
    </row>
    <row r="85" spans="1:26">
      <c r="A85" s="295"/>
      <c r="B85" s="492"/>
      <c r="C85" s="492"/>
      <c r="D85" s="492"/>
      <c r="E85" s="492"/>
      <c r="F85" s="492"/>
      <c r="G85" s="492"/>
      <c r="H85" s="492"/>
      <c r="I85" s="2268"/>
      <c r="J85" s="492"/>
      <c r="K85" s="539"/>
      <c r="L85" s="539"/>
      <c r="M85" s="3535"/>
      <c r="N85" s="3535"/>
      <c r="O85" s="3535"/>
      <c r="P85" s="539"/>
      <c r="Q85" s="539"/>
      <c r="R85" s="539"/>
      <c r="S85" s="539"/>
      <c r="T85" s="539"/>
      <c r="U85" s="539"/>
      <c r="V85" s="539"/>
      <c r="W85" s="539"/>
    </row>
    <row r="86" spans="1:26">
      <c r="A86" s="295" t="s">
        <v>64</v>
      </c>
      <c r="B86" s="493">
        <f ca="1">B84+B83</f>
        <v>3519.6106996853296</v>
      </c>
      <c r="C86" s="493">
        <f ca="1">C84+C83</f>
        <v>3580.5556424177316</v>
      </c>
      <c r="D86" s="493">
        <f t="shared" ref="D86:L86" ca="1" si="32">D84+D83</f>
        <v>3608.4757201850516</v>
      </c>
      <c r="E86" s="493">
        <f t="shared" ca="1" si="32"/>
        <v>3810.295930709844</v>
      </c>
      <c r="F86" s="493">
        <f t="shared" ca="1" si="32"/>
        <v>4116.575488586207</v>
      </c>
      <c r="G86" s="493">
        <f t="shared" ca="1" si="32"/>
        <v>4347.8175679345386</v>
      </c>
      <c r="H86" s="493">
        <f t="shared" ca="1" si="32"/>
        <v>4283.0861425235998</v>
      </c>
      <c r="I86" s="2269">
        <f t="shared" ca="1" si="32"/>
        <v>4377.0249207029528</v>
      </c>
      <c r="J86" s="493">
        <f t="shared" ca="1" si="32"/>
        <v>4345.6420414752974</v>
      </c>
      <c r="K86" s="540">
        <f t="shared" ca="1" si="32"/>
        <v>4509.8470656856671</v>
      </c>
      <c r="L86" s="540">
        <f t="shared" ca="1" si="32"/>
        <v>4652.9855693536692</v>
      </c>
      <c r="M86" s="3429">
        <f t="shared" ref="M86:S86" ca="1" si="33">M84+M83</f>
        <v>4630.2271089634178</v>
      </c>
      <c r="N86" s="3429">
        <f t="shared" ca="1" si="33"/>
        <v>4607.5687465846295</v>
      </c>
      <c r="O86" s="3429">
        <f t="shared" ca="1" si="33"/>
        <v>4573.5556644002754</v>
      </c>
      <c r="P86" s="540">
        <f t="shared" ca="1" si="33"/>
        <v>4477.8494795492697</v>
      </c>
      <c r="Q86" s="540">
        <f t="shared" ca="1" si="33"/>
        <v>4326.8574964871477</v>
      </c>
      <c r="R86" s="540">
        <f t="shared" ca="1" si="33"/>
        <v>4101.2490054635891</v>
      </c>
      <c r="S86" s="540">
        <f t="shared" ca="1" si="33"/>
        <v>3839.5789872977862</v>
      </c>
      <c r="T86" s="540">
        <f t="shared" ref="T86:Y86" ca="1" si="34">T84+T83</f>
        <v>3662.0177325502973</v>
      </c>
      <c r="U86" s="540">
        <f t="shared" ca="1" si="34"/>
        <v>3545.9458905811621</v>
      </c>
      <c r="V86" s="540">
        <f t="shared" ca="1" si="34"/>
        <v>3407.4700875481267</v>
      </c>
      <c r="W86" s="540">
        <f t="shared" ca="1" si="34"/>
        <v>3391.1024351160845</v>
      </c>
      <c r="X86" s="540">
        <f t="shared" ca="1" si="34"/>
        <v>3405.0636429987358</v>
      </c>
      <c r="Y86" s="540">
        <f t="shared" ca="1" si="34"/>
        <v>3473.1649158587106</v>
      </c>
    </row>
    <row r="87" spans="1:26">
      <c r="A87" s="490" t="s">
        <v>72</v>
      </c>
      <c r="B87" s="494">
        <f ca="1">B86/B73</f>
        <v>8.9032151207111205</v>
      </c>
      <c r="C87" s="494">
        <f t="shared" ref="C87:O87" ca="1" si="35">C86/C73</f>
        <v>8.9126416773440145</v>
      </c>
      <c r="D87" s="494">
        <f t="shared" ca="1" si="35"/>
        <v>7.9021046377351718</v>
      </c>
      <c r="E87" s="494">
        <f t="shared" ca="1" si="35"/>
        <v>19.156682615189982</v>
      </c>
      <c r="F87" s="494">
        <f t="shared" ca="1" si="35"/>
        <v>136.69870254934079</v>
      </c>
      <c r="G87" s="494">
        <f t="shared" ca="1" si="35"/>
        <v>23.878076848016981</v>
      </c>
      <c r="H87" s="494">
        <f t="shared" ca="1" si="35"/>
        <v>7.1577028942166177</v>
      </c>
      <c r="I87" s="2270">
        <f t="shared" ca="1" si="35"/>
        <v>11.701796003531301</v>
      </c>
      <c r="J87" s="494">
        <f t="shared" ca="1" si="35"/>
        <v>7.8515606651351142</v>
      </c>
      <c r="K87" s="494">
        <f t="shared" ca="1" si="35"/>
        <v>15.698030791198825</v>
      </c>
      <c r="L87" s="494">
        <f t="shared" ca="1" si="35"/>
        <v>13.920735181048544</v>
      </c>
      <c r="M87" s="3302">
        <f t="shared" ca="1" si="35"/>
        <v>8.0309127640279616</v>
      </c>
      <c r="N87" s="3302">
        <f t="shared" ca="1" si="35"/>
        <v>8.0263220203126888</v>
      </c>
      <c r="O87" s="3302">
        <f t="shared" ca="1" si="35"/>
        <v>7.7561357052411966</v>
      </c>
      <c r="P87" s="494">
        <f t="shared" ref="P87:U87" ca="1" si="36">P86/P73</f>
        <v>6.6218149174643859</v>
      </c>
      <c r="Q87" s="494">
        <f t="shared" ca="1" si="36"/>
        <v>5.8629396610089248</v>
      </c>
      <c r="R87" s="541">
        <f t="shared" ca="1" si="36"/>
        <v>4.9752152549633459</v>
      </c>
      <c r="S87" s="541">
        <f t="shared" ca="1" si="36"/>
        <v>4.4931175725056969</v>
      </c>
      <c r="T87" s="541">
        <f t="shared" ca="1" si="36"/>
        <v>5.1393082250272393</v>
      </c>
      <c r="U87" s="541">
        <f t="shared" ca="1" si="36"/>
        <v>5.7806972113869524</v>
      </c>
      <c r="V87" s="541">
        <f ca="1">V86/V73</f>
        <v>5.3353002041251703</v>
      </c>
      <c r="W87" s="541">
        <f ca="1">W86/W73</f>
        <v>7.4155918493001804</v>
      </c>
      <c r="X87" s="541">
        <f ca="1">X86/X73</f>
        <v>8.1565099656201276</v>
      </c>
      <c r="Y87" s="541">
        <f ca="1">Y86/Y73</f>
        <v>9.7756551051271554</v>
      </c>
    </row>
    <row r="88" spans="1:26">
      <c r="A88" s="490" t="s">
        <v>73</v>
      </c>
      <c r="B88" s="494">
        <f ca="1">B86/C73</f>
        <v>8.7609388437990567</v>
      </c>
      <c r="C88" s="494">
        <f t="shared" ref="C88:L88" ca="1" si="37">C86/D73</f>
        <v>7.8409632048645221</v>
      </c>
      <c r="D88" s="494">
        <f t="shared" ca="1" si="37"/>
        <v>18.142009269953512</v>
      </c>
      <c r="E88" s="494">
        <f t="shared" ca="1" si="37"/>
        <v>126.52810849727746</v>
      </c>
      <c r="F88" s="494">
        <f t="shared" ca="1" si="37"/>
        <v>22.608102647191028</v>
      </c>
      <c r="G88" s="494">
        <f t="shared" ca="1" si="37"/>
        <v>7.2658791707595061</v>
      </c>
      <c r="H88" s="494">
        <f t="shared" ca="1" si="37"/>
        <v>11.450654545808181</v>
      </c>
      <c r="I88" s="2270">
        <f t="shared" ca="1" si="37"/>
        <v>7.9082622014675668</v>
      </c>
      <c r="J88" s="494">
        <f t="shared" ca="1" si="37"/>
        <v>15.126460294776232</v>
      </c>
      <c r="K88" s="494">
        <f t="shared" ca="1" si="37"/>
        <v>13.492495468271917</v>
      </c>
      <c r="L88" s="494">
        <f t="shared" ca="1" si="37"/>
        <v>8.0703862511240647</v>
      </c>
      <c r="M88" s="3302">
        <f t="shared" ref="M88:R88" ca="1" si="38">M86/N73</f>
        <v>8.0657925790623342</v>
      </c>
      <c r="N88" s="3302">
        <f t="shared" ca="1" si="38"/>
        <v>7.8138173211508537</v>
      </c>
      <c r="O88" s="3302">
        <f t="shared" ca="1" si="38"/>
        <v>6.7633446060871005</v>
      </c>
      <c r="P88" s="494">
        <f t="shared" ca="1" si="38"/>
        <v>6.0675354644778441</v>
      </c>
      <c r="Q88" s="494">
        <f t="shared" ca="1" si="38"/>
        <v>5.2489003700817811</v>
      </c>
      <c r="R88" s="541">
        <f t="shared" ca="1" si="38"/>
        <v>4.7993267065561191</v>
      </c>
      <c r="S88" s="541">
        <f t="shared" ref="S88:X88" ca="1" si="39">S86/T73</f>
        <v>5.388499267675309</v>
      </c>
      <c r="T88" s="541">
        <f t="shared" ca="1" si="39"/>
        <v>5.9699206778176706</v>
      </c>
      <c r="U88" s="541">
        <f t="shared" ca="1" si="39"/>
        <v>5.5521208837514937</v>
      </c>
      <c r="V88" s="541">
        <f t="shared" ca="1" si="39"/>
        <v>7.4513842891599564</v>
      </c>
      <c r="W88" s="541">
        <f t="shared" ca="1" si="39"/>
        <v>8.1230672041430907</v>
      </c>
      <c r="X88" s="541">
        <f t="shared" ca="1" si="39"/>
        <v>9.5839755932619166</v>
      </c>
    </row>
    <row r="89" spans="1:26">
      <c r="A89" s="495" t="s">
        <v>61</v>
      </c>
      <c r="B89" s="11">
        <f t="shared" ref="B89:Q89" si="40">+C89+1</f>
        <v>23</v>
      </c>
      <c r="C89" s="11">
        <f t="shared" si="40"/>
        <v>22</v>
      </c>
      <c r="D89" s="11">
        <f t="shared" si="40"/>
        <v>21</v>
      </c>
      <c r="E89" s="11">
        <f t="shared" si="40"/>
        <v>20</v>
      </c>
      <c r="F89" s="11">
        <f t="shared" si="40"/>
        <v>19</v>
      </c>
      <c r="G89" s="11">
        <f t="shared" si="40"/>
        <v>18</v>
      </c>
      <c r="H89" s="11">
        <f t="shared" si="40"/>
        <v>17</v>
      </c>
      <c r="I89" s="1108">
        <f t="shared" si="40"/>
        <v>16</v>
      </c>
      <c r="J89" s="11">
        <f t="shared" si="40"/>
        <v>15</v>
      </c>
      <c r="K89" s="11">
        <f t="shared" si="40"/>
        <v>14</v>
      </c>
      <c r="L89" s="11">
        <f t="shared" si="40"/>
        <v>13</v>
      </c>
      <c r="M89" s="11">
        <f t="shared" si="40"/>
        <v>12</v>
      </c>
      <c r="N89" s="11">
        <f t="shared" si="40"/>
        <v>11</v>
      </c>
      <c r="O89" s="11">
        <f t="shared" si="40"/>
        <v>10</v>
      </c>
      <c r="P89" s="11">
        <f t="shared" si="40"/>
        <v>9</v>
      </c>
      <c r="Q89" s="11">
        <f t="shared" si="40"/>
        <v>8</v>
      </c>
      <c r="R89" s="11">
        <f t="shared" ref="R89:X89" si="41">+S89+1</f>
        <v>7</v>
      </c>
      <c r="S89" s="11">
        <f t="shared" si="41"/>
        <v>6</v>
      </c>
      <c r="T89" s="11">
        <f t="shared" si="41"/>
        <v>5</v>
      </c>
      <c r="U89" s="11">
        <f t="shared" si="41"/>
        <v>4</v>
      </c>
      <c r="V89" s="11">
        <f t="shared" si="41"/>
        <v>3</v>
      </c>
      <c r="W89" s="11">
        <f t="shared" si="41"/>
        <v>2</v>
      </c>
      <c r="X89" s="11">
        <f t="shared" si="41"/>
        <v>1</v>
      </c>
      <c r="Y89" s="469">
        <v>0</v>
      </c>
      <c r="Z89" s="1396"/>
    </row>
    <row r="90" spans="1:26">
      <c r="A90" s="91"/>
      <c r="B90" s="91"/>
      <c r="C90" s="91"/>
      <c r="D90" s="91"/>
      <c r="E90" s="91"/>
      <c r="F90" s="91"/>
      <c r="G90" s="91"/>
      <c r="H90" s="91"/>
      <c r="I90" s="1710"/>
      <c r="J90" s="91"/>
      <c r="K90" s="91"/>
      <c r="L90" s="91"/>
      <c r="M90" s="91"/>
      <c r="N90" s="91"/>
      <c r="O90" s="91"/>
      <c r="P90" s="91"/>
      <c r="Q90" s="91"/>
      <c r="R90" s="304"/>
      <c r="S90" s="304"/>
      <c r="T90" s="304"/>
      <c r="U90" s="304"/>
      <c r="V90" s="304"/>
      <c r="W90" s="304"/>
    </row>
    <row r="91" spans="1:26">
      <c r="A91" s="91" t="s">
        <v>337</v>
      </c>
      <c r="B91" s="91"/>
      <c r="C91" s="91"/>
      <c r="D91" s="91"/>
      <c r="E91" s="91"/>
      <c r="F91" s="91"/>
      <c r="G91" s="91"/>
      <c r="H91" s="91"/>
      <c r="I91" s="1710"/>
      <c r="J91" s="91"/>
      <c r="K91" s="91"/>
      <c r="L91" s="91"/>
      <c r="M91" s="91"/>
      <c r="N91" s="91"/>
      <c r="O91" s="91"/>
      <c r="P91" s="91"/>
      <c r="Q91" s="91"/>
      <c r="R91" s="304"/>
      <c r="S91" s="304"/>
      <c r="T91" s="304"/>
      <c r="U91" s="304"/>
      <c r="V91" s="304"/>
      <c r="W91" s="304"/>
    </row>
    <row r="92" spans="1:26">
      <c r="A92" s="779" t="s">
        <v>245</v>
      </c>
      <c r="B92" s="780"/>
      <c r="C92" s="781"/>
      <c r="D92" s="781"/>
      <c r="E92" s="782"/>
      <c r="F92" s="782"/>
      <c r="G92" s="782"/>
      <c r="H92" s="782"/>
      <c r="I92" s="2582"/>
      <c r="J92" s="782"/>
      <c r="K92" s="782"/>
      <c r="L92" s="782"/>
      <c r="M92" s="782"/>
      <c r="N92" s="782"/>
      <c r="O92" s="782"/>
      <c r="P92" s="782"/>
      <c r="Q92" s="782"/>
      <c r="R92" s="1269"/>
      <c r="S92" s="1269"/>
      <c r="T92" s="1269"/>
      <c r="U92" s="1269"/>
      <c r="V92" s="1269"/>
      <c r="W92" s="1269"/>
      <c r="X92" s="1269"/>
      <c r="Y92" s="1269"/>
    </row>
    <row r="93" spans="1:26">
      <c r="A93" s="301"/>
      <c r="B93" s="772">
        <v>2005</v>
      </c>
      <c r="C93" s="772">
        <f>B93+1</f>
        <v>2006</v>
      </c>
      <c r="D93" s="772">
        <f t="shared" ref="D93:N93" si="42">C93+1</f>
        <v>2007</v>
      </c>
      <c r="E93" s="772">
        <f t="shared" si="42"/>
        <v>2008</v>
      </c>
      <c r="F93" s="772">
        <f t="shared" si="42"/>
        <v>2009</v>
      </c>
      <c r="G93" s="772">
        <f t="shared" si="42"/>
        <v>2010</v>
      </c>
      <c r="H93" s="772">
        <f t="shared" si="42"/>
        <v>2011</v>
      </c>
      <c r="I93" s="2674">
        <f t="shared" si="42"/>
        <v>2012</v>
      </c>
      <c r="J93" s="772">
        <f t="shared" si="42"/>
        <v>2013</v>
      </c>
      <c r="K93" s="772">
        <f t="shared" si="42"/>
        <v>2014</v>
      </c>
      <c r="L93" s="772">
        <f t="shared" si="42"/>
        <v>2015</v>
      </c>
      <c r="M93" s="772">
        <f t="shared" si="42"/>
        <v>2016</v>
      </c>
      <c r="N93" s="772">
        <f t="shared" si="42"/>
        <v>2017</v>
      </c>
      <c r="O93" s="772">
        <f t="shared" ref="O93:Y93" si="43">N93+1</f>
        <v>2018</v>
      </c>
      <c r="P93" s="772">
        <f t="shared" si="43"/>
        <v>2019</v>
      </c>
      <c r="Q93" s="772">
        <f t="shared" si="43"/>
        <v>2020</v>
      </c>
      <c r="R93" s="1271">
        <f t="shared" si="43"/>
        <v>2021</v>
      </c>
      <c r="S93" s="1271">
        <f t="shared" si="43"/>
        <v>2022</v>
      </c>
      <c r="T93" s="1271">
        <f t="shared" si="43"/>
        <v>2023</v>
      </c>
      <c r="U93" s="1271">
        <f t="shared" si="43"/>
        <v>2024</v>
      </c>
      <c r="V93" s="1271">
        <f t="shared" si="43"/>
        <v>2025</v>
      </c>
      <c r="W93" s="1271">
        <f t="shared" si="43"/>
        <v>2026</v>
      </c>
      <c r="X93" s="1271">
        <f t="shared" si="43"/>
        <v>2027</v>
      </c>
      <c r="Y93" s="1271">
        <f t="shared" si="43"/>
        <v>2028</v>
      </c>
    </row>
    <row r="94" spans="1:26">
      <c r="A94" s="36" t="s">
        <v>65</v>
      </c>
      <c r="B94" s="6"/>
      <c r="C94" s="6" t="s">
        <v>337</v>
      </c>
      <c r="D94" s="6"/>
      <c r="E94" s="6"/>
      <c r="F94" s="6"/>
      <c r="G94" s="6"/>
      <c r="H94" s="6"/>
      <c r="I94" s="1108"/>
      <c r="J94" s="11"/>
      <c r="K94" s="11"/>
      <c r="L94" s="11"/>
      <c r="M94" s="11"/>
      <c r="N94" s="11"/>
      <c r="O94" s="11"/>
      <c r="P94" s="11"/>
      <c r="Q94" s="11"/>
      <c r="R94" s="11"/>
      <c r="S94" s="11"/>
      <c r="T94" s="11"/>
      <c r="U94" s="11"/>
      <c r="V94" s="11"/>
      <c r="W94" s="11"/>
      <c r="X94" s="11"/>
      <c r="Y94" s="11"/>
    </row>
    <row r="95" spans="1:26">
      <c r="A95" s="295" t="s">
        <v>246</v>
      </c>
      <c r="B95" s="488">
        <f ca="1">B52</f>
        <v>4.6359932385549224E-2</v>
      </c>
      <c r="C95" s="298">
        <f t="shared" ref="C95:N95" ca="1" si="44">+B95</f>
        <v>4.6359932385549224E-2</v>
      </c>
      <c r="D95" s="298">
        <f t="shared" ca="1" si="44"/>
        <v>4.6359932385549224E-2</v>
      </c>
      <c r="E95" s="298">
        <f t="shared" ca="1" si="44"/>
        <v>4.6359932385549224E-2</v>
      </c>
      <c r="F95" s="298">
        <f t="shared" ca="1" si="44"/>
        <v>4.6359932385549224E-2</v>
      </c>
      <c r="G95" s="298">
        <f t="shared" ca="1" si="44"/>
        <v>4.6359932385549224E-2</v>
      </c>
      <c r="H95" s="298">
        <f t="shared" ca="1" si="44"/>
        <v>4.6359932385549224E-2</v>
      </c>
      <c r="I95" s="2267">
        <f t="shared" ca="1" si="44"/>
        <v>4.6359932385549224E-2</v>
      </c>
      <c r="J95" s="298">
        <f t="shared" ca="1" si="44"/>
        <v>4.6359932385549224E-2</v>
      </c>
      <c r="K95" s="536">
        <f t="shared" ca="1" si="44"/>
        <v>4.6359932385549224E-2</v>
      </c>
      <c r="L95" s="536">
        <f t="shared" ca="1" si="44"/>
        <v>4.6359932385549224E-2</v>
      </c>
      <c r="M95" s="536">
        <f t="shared" ca="1" si="44"/>
        <v>4.6359932385549224E-2</v>
      </c>
      <c r="N95" s="536">
        <f t="shared" ca="1" si="44"/>
        <v>4.6359932385549224E-2</v>
      </c>
      <c r="O95" s="536">
        <f t="shared" ref="O95:Q98" ca="1" si="45">+N95</f>
        <v>4.6359932385549224E-2</v>
      </c>
      <c r="P95" s="536">
        <f t="shared" ca="1" si="45"/>
        <v>4.6359932385549224E-2</v>
      </c>
      <c r="Q95" s="536">
        <f t="shared" ca="1" si="45"/>
        <v>4.6359932385549224E-2</v>
      </c>
      <c r="R95" s="536">
        <f t="shared" ref="R95:S98" ca="1" si="46">+Q95</f>
        <v>4.6359932385549224E-2</v>
      </c>
      <c r="S95" s="536">
        <f t="shared" ca="1" si="46"/>
        <v>4.6359932385549224E-2</v>
      </c>
      <c r="T95" s="536">
        <f t="shared" ref="T95:Y98" ca="1" si="47">+S95</f>
        <v>4.6359932385549224E-2</v>
      </c>
      <c r="U95" s="536">
        <f t="shared" ca="1" si="47"/>
        <v>4.6359932385549224E-2</v>
      </c>
      <c r="V95" s="536">
        <f t="shared" ca="1" si="47"/>
        <v>4.6359932385549224E-2</v>
      </c>
      <c r="W95" s="536">
        <f t="shared" ca="1" si="47"/>
        <v>4.6359932385549224E-2</v>
      </c>
      <c r="X95" s="536">
        <f t="shared" ca="1" si="47"/>
        <v>4.6359932385549224E-2</v>
      </c>
      <c r="Y95" s="536">
        <f t="shared" ca="1" si="47"/>
        <v>4.6359932385549224E-2</v>
      </c>
    </row>
    <row r="96" spans="1:26">
      <c r="A96" s="295" t="s">
        <v>247</v>
      </c>
      <c r="B96" s="488">
        <f>B53</f>
        <v>0.1</v>
      </c>
      <c r="C96" s="298">
        <f t="shared" ref="C96:N96" si="48">+B96</f>
        <v>0.1</v>
      </c>
      <c r="D96" s="298">
        <f t="shared" si="48"/>
        <v>0.1</v>
      </c>
      <c r="E96" s="298">
        <f t="shared" si="48"/>
        <v>0.1</v>
      </c>
      <c r="F96" s="298">
        <f t="shared" si="48"/>
        <v>0.1</v>
      </c>
      <c r="G96" s="298">
        <f t="shared" si="48"/>
        <v>0.1</v>
      </c>
      <c r="H96" s="298">
        <f t="shared" si="48"/>
        <v>0.1</v>
      </c>
      <c r="I96" s="2267">
        <f t="shared" si="48"/>
        <v>0.1</v>
      </c>
      <c r="J96" s="298">
        <f t="shared" si="48"/>
        <v>0.1</v>
      </c>
      <c r="K96" s="536">
        <f t="shared" si="48"/>
        <v>0.1</v>
      </c>
      <c r="L96" s="536">
        <f t="shared" si="48"/>
        <v>0.1</v>
      </c>
      <c r="M96" s="536">
        <f t="shared" si="48"/>
        <v>0.1</v>
      </c>
      <c r="N96" s="536">
        <f t="shared" si="48"/>
        <v>0.1</v>
      </c>
      <c r="O96" s="536">
        <f t="shared" si="45"/>
        <v>0.1</v>
      </c>
      <c r="P96" s="536">
        <f t="shared" si="45"/>
        <v>0.1</v>
      </c>
      <c r="Q96" s="536">
        <f t="shared" si="45"/>
        <v>0.1</v>
      </c>
      <c r="R96" s="536">
        <f t="shared" si="46"/>
        <v>0.1</v>
      </c>
      <c r="S96" s="536">
        <f t="shared" si="46"/>
        <v>0.1</v>
      </c>
      <c r="T96" s="536">
        <f t="shared" si="47"/>
        <v>0.1</v>
      </c>
      <c r="U96" s="536">
        <f t="shared" si="47"/>
        <v>0.1</v>
      </c>
      <c r="V96" s="536">
        <f t="shared" si="47"/>
        <v>0.1</v>
      </c>
      <c r="W96" s="536">
        <f t="shared" si="47"/>
        <v>0.1</v>
      </c>
      <c r="X96" s="536">
        <f t="shared" si="47"/>
        <v>0.1</v>
      </c>
      <c r="Y96" s="536">
        <f t="shared" si="47"/>
        <v>0.1</v>
      </c>
    </row>
    <row r="97" spans="1:25">
      <c r="A97" s="295" t="s">
        <v>248</v>
      </c>
      <c r="B97" s="488">
        <f>B54</f>
        <v>0.3</v>
      </c>
      <c r="C97" s="298">
        <f t="shared" ref="C97:N97" si="49">+B97</f>
        <v>0.3</v>
      </c>
      <c r="D97" s="298">
        <f t="shared" si="49"/>
        <v>0.3</v>
      </c>
      <c r="E97" s="298">
        <f t="shared" si="49"/>
        <v>0.3</v>
      </c>
      <c r="F97" s="298">
        <f t="shared" si="49"/>
        <v>0.3</v>
      </c>
      <c r="G97" s="298">
        <f t="shared" si="49"/>
        <v>0.3</v>
      </c>
      <c r="H97" s="298">
        <f t="shared" si="49"/>
        <v>0.3</v>
      </c>
      <c r="I97" s="2267">
        <f t="shared" si="49"/>
        <v>0.3</v>
      </c>
      <c r="J97" s="298">
        <f t="shared" si="49"/>
        <v>0.3</v>
      </c>
      <c r="K97" s="536">
        <f t="shared" si="49"/>
        <v>0.3</v>
      </c>
      <c r="L97" s="536">
        <f t="shared" si="49"/>
        <v>0.3</v>
      </c>
      <c r="M97" s="536">
        <f t="shared" si="49"/>
        <v>0.3</v>
      </c>
      <c r="N97" s="536">
        <f t="shared" si="49"/>
        <v>0.3</v>
      </c>
      <c r="O97" s="536">
        <f t="shared" si="45"/>
        <v>0.3</v>
      </c>
      <c r="P97" s="536">
        <f t="shared" si="45"/>
        <v>0.3</v>
      </c>
      <c r="Q97" s="536">
        <f t="shared" si="45"/>
        <v>0.3</v>
      </c>
      <c r="R97" s="536">
        <f t="shared" si="46"/>
        <v>0.3</v>
      </c>
      <c r="S97" s="536">
        <f t="shared" si="46"/>
        <v>0.3</v>
      </c>
      <c r="T97" s="536">
        <f t="shared" si="47"/>
        <v>0.3</v>
      </c>
      <c r="U97" s="536">
        <f t="shared" si="47"/>
        <v>0.3</v>
      </c>
      <c r="V97" s="536">
        <f t="shared" si="47"/>
        <v>0.3</v>
      </c>
      <c r="W97" s="536">
        <f t="shared" si="47"/>
        <v>0.3</v>
      </c>
      <c r="X97" s="536">
        <f t="shared" si="47"/>
        <v>0.3</v>
      </c>
      <c r="Y97" s="536">
        <f t="shared" si="47"/>
        <v>0.3</v>
      </c>
    </row>
    <row r="98" spans="1:25">
      <c r="A98" s="295" t="s">
        <v>249</v>
      </c>
      <c r="B98" s="488">
        <f>B55</f>
        <v>0.245</v>
      </c>
      <c r="C98" s="298">
        <f t="shared" ref="C98:N98" si="50">+B98</f>
        <v>0.245</v>
      </c>
      <c r="D98" s="298">
        <f t="shared" si="50"/>
        <v>0.245</v>
      </c>
      <c r="E98" s="298">
        <f t="shared" si="50"/>
        <v>0.245</v>
      </c>
      <c r="F98" s="298">
        <f t="shared" si="50"/>
        <v>0.245</v>
      </c>
      <c r="G98" s="298">
        <f t="shared" si="50"/>
        <v>0.245</v>
      </c>
      <c r="H98" s="298">
        <f t="shared" si="50"/>
        <v>0.245</v>
      </c>
      <c r="I98" s="2267">
        <f t="shared" si="50"/>
        <v>0.245</v>
      </c>
      <c r="J98" s="298">
        <f t="shared" si="50"/>
        <v>0.245</v>
      </c>
      <c r="K98" s="536">
        <f t="shared" si="50"/>
        <v>0.245</v>
      </c>
      <c r="L98" s="536">
        <f t="shared" si="50"/>
        <v>0.245</v>
      </c>
      <c r="M98" s="536">
        <f t="shared" si="50"/>
        <v>0.245</v>
      </c>
      <c r="N98" s="536">
        <f t="shared" si="50"/>
        <v>0.245</v>
      </c>
      <c r="O98" s="536">
        <f t="shared" si="45"/>
        <v>0.245</v>
      </c>
      <c r="P98" s="536">
        <f t="shared" si="45"/>
        <v>0.245</v>
      </c>
      <c r="Q98" s="536">
        <f t="shared" si="45"/>
        <v>0.245</v>
      </c>
      <c r="R98" s="536">
        <f t="shared" si="46"/>
        <v>0.245</v>
      </c>
      <c r="S98" s="536">
        <f t="shared" si="46"/>
        <v>0.245</v>
      </c>
      <c r="T98" s="536">
        <f t="shared" si="47"/>
        <v>0.245</v>
      </c>
      <c r="U98" s="536">
        <f t="shared" si="47"/>
        <v>0.245</v>
      </c>
      <c r="V98" s="536">
        <f t="shared" si="47"/>
        <v>0.245</v>
      </c>
      <c r="W98" s="536">
        <f t="shared" si="47"/>
        <v>0.245</v>
      </c>
      <c r="X98" s="536">
        <f t="shared" si="47"/>
        <v>0.245</v>
      </c>
      <c r="Y98" s="536">
        <f t="shared" si="47"/>
        <v>0.245</v>
      </c>
    </row>
    <row r="99" spans="1:25">
      <c r="A99" s="295" t="s">
        <v>250</v>
      </c>
      <c r="B99" s="298">
        <f t="shared" ref="B99:O99" ca="1" si="51">((B95*(1-B98)*B97))+(B96*(1-B97))</f>
        <v>8.0500524685326896E-2</v>
      </c>
      <c r="C99" s="298">
        <f t="shared" ca="1" si="51"/>
        <v>8.0500524685326896E-2</v>
      </c>
      <c r="D99" s="298">
        <f t="shared" ca="1" si="51"/>
        <v>8.0500524685326896E-2</v>
      </c>
      <c r="E99" s="298">
        <f t="shared" ca="1" si="51"/>
        <v>8.0500524685326896E-2</v>
      </c>
      <c r="F99" s="298">
        <f t="shared" ca="1" si="51"/>
        <v>8.0500524685326896E-2</v>
      </c>
      <c r="G99" s="298">
        <f t="shared" ca="1" si="51"/>
        <v>8.0500524685326896E-2</v>
      </c>
      <c r="H99" s="298">
        <f t="shared" ca="1" si="51"/>
        <v>8.0500524685326896E-2</v>
      </c>
      <c r="I99" s="2267">
        <f t="shared" ca="1" si="51"/>
        <v>8.0500524685326896E-2</v>
      </c>
      <c r="J99" s="298">
        <f t="shared" ca="1" si="51"/>
        <v>8.0500524685326896E-2</v>
      </c>
      <c r="K99" s="536">
        <f t="shared" ca="1" si="51"/>
        <v>8.0500524685326896E-2</v>
      </c>
      <c r="L99" s="536">
        <f t="shared" ca="1" si="51"/>
        <v>8.0500524685326896E-2</v>
      </c>
      <c r="M99" s="536">
        <f t="shared" ca="1" si="51"/>
        <v>8.0500524685326896E-2</v>
      </c>
      <c r="N99" s="536">
        <f t="shared" ca="1" si="51"/>
        <v>8.0500524685326896E-2</v>
      </c>
      <c r="O99" s="536">
        <f t="shared" ca="1" si="51"/>
        <v>8.0500524685326896E-2</v>
      </c>
      <c r="P99" s="536">
        <f t="shared" ref="P99:U99" ca="1" si="52">((P95*(1-P98)*P97))+(P96*(1-P97))</f>
        <v>8.0500524685326896E-2</v>
      </c>
      <c r="Q99" s="536">
        <f t="shared" ca="1" si="52"/>
        <v>8.0500524685326896E-2</v>
      </c>
      <c r="R99" s="536">
        <f t="shared" ca="1" si="52"/>
        <v>8.0500524685326896E-2</v>
      </c>
      <c r="S99" s="536">
        <f t="shared" ca="1" si="52"/>
        <v>8.0500524685326896E-2</v>
      </c>
      <c r="T99" s="536">
        <f t="shared" ca="1" si="52"/>
        <v>8.0500524685326896E-2</v>
      </c>
      <c r="U99" s="536">
        <f t="shared" ca="1" si="52"/>
        <v>8.0500524685326896E-2</v>
      </c>
      <c r="V99" s="536">
        <f ca="1">((V95*(1-V98)*V97))+(V96*(1-V97))</f>
        <v>8.0500524685326896E-2</v>
      </c>
      <c r="W99" s="536">
        <f ca="1">((W95*(1-W98)*W97))+(W96*(1-W97))</f>
        <v>8.0500524685326896E-2</v>
      </c>
      <c r="X99" s="536">
        <f ca="1">((X95*(1-X98)*X97))+(X96*(1-X97))</f>
        <v>8.0500524685326896E-2</v>
      </c>
      <c r="Y99" s="536">
        <f ca="1">((Y95*(1-Y98)*Y97))+(Y96*(1-Y97))</f>
        <v>8.0500524685326896E-2</v>
      </c>
    </row>
    <row r="100" spans="1:25">
      <c r="A100" s="295" t="s">
        <v>251</v>
      </c>
      <c r="B100" s="2675">
        <f>+B57</f>
        <v>0.02</v>
      </c>
      <c r="C100" s="298">
        <f t="shared" ref="C100:L100" si="53">+B100</f>
        <v>0.02</v>
      </c>
      <c r="D100" s="298">
        <f t="shared" si="53"/>
        <v>0.02</v>
      </c>
      <c r="E100" s="298">
        <f t="shared" si="53"/>
        <v>0.02</v>
      </c>
      <c r="F100" s="298">
        <f t="shared" si="53"/>
        <v>0.02</v>
      </c>
      <c r="G100" s="298">
        <f t="shared" si="53"/>
        <v>0.02</v>
      </c>
      <c r="H100" s="298">
        <f t="shared" si="53"/>
        <v>0.02</v>
      </c>
      <c r="I100" s="2267">
        <f t="shared" si="53"/>
        <v>0.02</v>
      </c>
      <c r="J100" s="298">
        <f t="shared" si="53"/>
        <v>0.02</v>
      </c>
      <c r="K100" s="536">
        <f t="shared" si="53"/>
        <v>0.02</v>
      </c>
      <c r="L100" s="536">
        <f t="shared" si="53"/>
        <v>0.02</v>
      </c>
      <c r="M100" s="536">
        <f t="shared" ref="M100:S100" si="54">+L100</f>
        <v>0.02</v>
      </c>
      <c r="N100" s="536">
        <f t="shared" si="54"/>
        <v>0.02</v>
      </c>
      <c r="O100" s="536">
        <f t="shared" si="54"/>
        <v>0.02</v>
      </c>
      <c r="P100" s="536">
        <f t="shared" si="54"/>
        <v>0.02</v>
      </c>
      <c r="Q100" s="536">
        <f t="shared" si="54"/>
        <v>0.02</v>
      </c>
      <c r="R100" s="536">
        <f t="shared" si="54"/>
        <v>0.02</v>
      </c>
      <c r="S100" s="536">
        <f t="shared" si="54"/>
        <v>0.02</v>
      </c>
      <c r="T100" s="536">
        <f t="shared" ref="T100:Y100" si="55">+S100</f>
        <v>0.02</v>
      </c>
      <c r="U100" s="536">
        <f t="shared" si="55"/>
        <v>0.02</v>
      </c>
      <c r="V100" s="536">
        <f t="shared" si="55"/>
        <v>0.02</v>
      </c>
      <c r="W100" s="536">
        <f t="shared" si="55"/>
        <v>0.02</v>
      </c>
      <c r="X100" s="536">
        <f t="shared" si="55"/>
        <v>0.02</v>
      </c>
      <c r="Y100" s="536">
        <f t="shared" si="55"/>
        <v>0.02</v>
      </c>
    </row>
    <row r="101" spans="1:25">
      <c r="A101" s="295"/>
      <c r="B101" s="6"/>
      <c r="C101" s="6"/>
      <c r="D101" s="6"/>
      <c r="E101" s="6"/>
      <c r="F101" s="6"/>
      <c r="G101" s="6"/>
      <c r="H101" s="6"/>
      <c r="I101" s="1108"/>
      <c r="J101" s="6"/>
      <c r="K101" s="11"/>
      <c r="L101" s="11"/>
      <c r="M101" s="11"/>
      <c r="N101" s="11"/>
      <c r="O101" s="11"/>
      <c r="P101" s="11"/>
      <c r="Q101" s="11"/>
      <c r="R101" s="11"/>
      <c r="S101" s="11"/>
      <c r="T101" s="11"/>
      <c r="U101" s="11"/>
      <c r="V101" s="11"/>
      <c r="W101" s="11"/>
      <c r="X101" s="11"/>
      <c r="Y101" s="11"/>
    </row>
    <row r="102" spans="1:25">
      <c r="A102" s="776" t="s">
        <v>243</v>
      </c>
      <c r="B102" s="54">
        <f>'CBS Stations'!Q31</f>
        <v>324.57884679428514</v>
      </c>
      <c r="C102" s="54">
        <f>'CBS Stations'!R31</f>
        <v>359.89894699561512</v>
      </c>
      <c r="D102" s="54">
        <f>'CBS Stations'!S31</f>
        <v>295.63462018538513</v>
      </c>
      <c r="E102" s="54">
        <f>'CBS Stations'!T31</f>
        <v>207.57246022249709</v>
      </c>
      <c r="F102" s="54">
        <f>'CBS Stations'!U31</f>
        <v>92.886529537259392</v>
      </c>
      <c r="G102" s="54">
        <f>'CBS Stations'!V31</f>
        <v>209.15936462952527</v>
      </c>
      <c r="H102" s="54">
        <f>'CBS Stations'!W31</f>
        <v>211.77055152959053</v>
      </c>
      <c r="I102" s="1146">
        <f>'CBS Stations'!X31</f>
        <v>286.54036618612224</v>
      </c>
      <c r="J102" s="54">
        <f>'CBS Stations'!Y31</f>
        <v>287.87677284192318</v>
      </c>
      <c r="K102" s="54">
        <f>'CBS Stations'!Z31</f>
        <v>309.56277144092297</v>
      </c>
      <c r="L102" s="54">
        <f>'CBS Stations'!AA31</f>
        <v>288.45829475208086</v>
      </c>
      <c r="M102" s="54">
        <f ca="1">'CBS Stations'!AB31</f>
        <v>373.63235675918622</v>
      </c>
      <c r="N102" s="54">
        <f ca="1">'CBS Stations'!AC31</f>
        <v>302.38285758238646</v>
      </c>
      <c r="O102" s="54">
        <f ca="1">'CBS Stations'!AD31</f>
        <v>384.66186136659041</v>
      </c>
      <c r="P102" s="54">
        <f ca="1">'CBS Stations'!AE31</f>
        <v>377.86969950549883</v>
      </c>
      <c r="Q102" s="54">
        <f ca="1">'CBS Stations'!AF31</f>
        <v>512.83484007201412</v>
      </c>
      <c r="R102" s="54">
        <f ca="1">'CBS Stations'!AG31</f>
        <v>448.94488310112797</v>
      </c>
      <c r="S102" s="54">
        <f ca="1">'CBS Stations'!AH31</f>
        <v>535.57254387901958</v>
      </c>
      <c r="T102" s="54">
        <f ca="1">'CBS Stations'!AI31</f>
        <v>428.50100150054936</v>
      </c>
      <c r="U102" s="54">
        <f ca="1">'CBS Stations'!AJ31</f>
        <v>507.4229792113739</v>
      </c>
      <c r="V102" s="54">
        <f ca="1">'CBS Stations'!AK31</f>
        <v>421.50235725505007</v>
      </c>
      <c r="W102" s="54">
        <f ca="1">'CBS Stations'!AL31</f>
        <v>442.80982882459688</v>
      </c>
      <c r="X102" s="54">
        <f ca="1">'CBS Stations'!AM31</f>
        <v>366.34094870460825</v>
      </c>
      <c r="Y102" s="54">
        <f ca="1">'CBS Stations'!AN31</f>
        <v>492.43360739215314</v>
      </c>
    </row>
    <row r="103" spans="1:25">
      <c r="A103" s="776" t="s">
        <v>678</v>
      </c>
      <c r="B103" s="1146">
        <f>'CBS Stations'!Q16</f>
        <v>459.54826624035741</v>
      </c>
      <c r="C103" s="54">
        <f>'CBS Stations'!R16</f>
        <v>510.31840595667131</v>
      </c>
      <c r="D103" s="54">
        <f>'CBS Stations'!S16</f>
        <v>422.16080410572204</v>
      </c>
      <c r="E103" s="54">
        <f>'CBS Stations'!T16</f>
        <v>296.13446004831894</v>
      </c>
      <c r="F103" s="54">
        <f>'CBS Stations'!U16</f>
        <v>129.16018593100478</v>
      </c>
      <c r="G103" s="54">
        <f>'CBS Stations'!V16</f>
        <v>288.35889818396493</v>
      </c>
      <c r="H103" s="54">
        <f>'CBS Stations'!W16</f>
        <v>291.32653929232595</v>
      </c>
      <c r="I103" s="1146">
        <f>'CBS Stations'!X16</f>
        <v>389.89796075503057</v>
      </c>
      <c r="J103" s="54">
        <f>'CBS Stations'!Y16</f>
        <v>390.96747727054185</v>
      </c>
      <c r="K103" s="54">
        <f>'CBS Stations'!Z16</f>
        <v>419.69387450006343</v>
      </c>
      <c r="L103" s="54">
        <f>'CBS Stations'!AA16</f>
        <v>393.03499654865072</v>
      </c>
      <c r="M103" s="54">
        <f>'CBS Stations'!AB16</f>
        <v>507.85750237266166</v>
      </c>
      <c r="N103" s="54">
        <f>'CBS Stations'!AC16</f>
        <v>413.02486504596504</v>
      </c>
      <c r="O103" s="54">
        <f>'CBS Stations'!AD16</f>
        <v>524.29919291501039</v>
      </c>
      <c r="P103" s="54">
        <f>'CBS Stations'!AE16</f>
        <v>516.69010052363524</v>
      </c>
      <c r="Q103" s="54">
        <f>'CBS Stations'!AF16</f>
        <v>699.48167121528127</v>
      </c>
      <c r="R103" s="54">
        <f>'CBS Stations'!AG16</f>
        <v>615.78954310251879</v>
      </c>
      <c r="S103" s="54">
        <f>'CBS Stations'!AH16</f>
        <v>732.79049690301281</v>
      </c>
      <c r="T103" s="54">
        <f>'CBS Stations'!AI16</f>
        <v>590.55668464534926</v>
      </c>
      <c r="U103" s="54">
        <f>'CBS Stations'!AJ16</f>
        <v>697.16439333076676</v>
      </c>
      <c r="V103" s="54">
        <f>'CBS Stations'!AK16</f>
        <v>583.17239919997962</v>
      </c>
      <c r="W103" s="54">
        <f>'CBS Stations'!AL16</f>
        <v>612.56843523874568</v>
      </c>
      <c r="X103" s="54">
        <f>'CBS Stations'!AM16</f>
        <v>511.13137080431102</v>
      </c>
      <c r="Y103" s="54">
        <f>'CBS Stations'!AN16</f>
        <v>680.74052293599379</v>
      </c>
    </row>
    <row r="104" spans="1:25">
      <c r="A104" s="776"/>
      <c r="B104" s="1108"/>
      <c r="C104" s="11"/>
      <c r="D104" s="11"/>
      <c r="E104" s="11"/>
      <c r="F104" s="11"/>
      <c r="G104" s="11"/>
      <c r="H104" s="11"/>
      <c r="I104" s="1108"/>
      <c r="J104" s="11"/>
      <c r="K104" s="11"/>
      <c r="L104" s="11"/>
      <c r="M104" s="11"/>
      <c r="N104" s="11"/>
      <c r="O104" s="11"/>
      <c r="P104" s="11"/>
      <c r="Q104" s="11"/>
      <c r="R104" s="11"/>
      <c r="S104" s="11"/>
      <c r="T104" s="11"/>
      <c r="U104" s="11"/>
      <c r="V104" s="11"/>
      <c r="W104" s="11"/>
      <c r="X104" s="11"/>
    </row>
    <row r="105" spans="1:25">
      <c r="A105" s="776" t="s">
        <v>1009</v>
      </c>
      <c r="B105" s="1683">
        <f>'CBS Stations'!Q43</f>
        <v>694.35533339471374</v>
      </c>
      <c r="C105" s="181">
        <f t="shared" ref="C105" si="56">+B105</f>
        <v>694.35533339471374</v>
      </c>
      <c r="D105" s="181">
        <f t="shared" ref="D105:D107" si="57">+C105</f>
        <v>694.35533339471374</v>
      </c>
      <c r="E105" s="181">
        <f t="shared" ref="E105:E107" si="58">+D105</f>
        <v>694.35533339471374</v>
      </c>
      <c r="F105" s="181">
        <f t="shared" ref="F105:F107" si="59">+E105</f>
        <v>694.35533339471374</v>
      </c>
      <c r="G105" s="181">
        <f t="shared" ref="G105:G107" si="60">+F105</f>
        <v>694.35533339471374</v>
      </c>
      <c r="H105" s="181">
        <f t="shared" ref="H105:H107" si="61">+G105</f>
        <v>694.35533339471374</v>
      </c>
      <c r="I105" s="181">
        <f t="shared" ref="I105:I107" si="62">+H105</f>
        <v>694.35533339471374</v>
      </c>
      <c r="J105" s="181">
        <f t="shared" ref="J105:J107" si="63">+I105</f>
        <v>694.35533339471374</v>
      </c>
      <c r="K105" s="181">
        <f t="shared" ref="K105:K107" si="64">+J105</f>
        <v>694.35533339471374</v>
      </c>
      <c r="L105" s="181">
        <f t="shared" ref="L105:L107" si="65">+K105</f>
        <v>694.35533339471374</v>
      </c>
      <c r="M105" s="181">
        <f t="shared" ref="M105:M107" si="66">+L105</f>
        <v>694.35533339471374</v>
      </c>
      <c r="N105" s="181">
        <f t="shared" ref="N105:N107" si="67">+M105</f>
        <v>694.35533339471374</v>
      </c>
      <c r="O105" s="181">
        <f t="shared" ref="O105:O107" si="68">+N105</f>
        <v>694.35533339471374</v>
      </c>
      <c r="P105" s="181">
        <f t="shared" ref="P105:P107" si="69">+O105</f>
        <v>694.35533339471374</v>
      </c>
      <c r="Q105" s="181">
        <f t="shared" ref="Q105:Q107" si="70">+P105</f>
        <v>694.35533339471374</v>
      </c>
      <c r="R105" s="181">
        <f t="shared" ref="R105:R107" si="71">+Q105</f>
        <v>694.35533339471374</v>
      </c>
      <c r="S105" s="181">
        <f t="shared" ref="S105:S107" si="72">+R105</f>
        <v>694.35533339471374</v>
      </c>
      <c r="T105" s="181">
        <f t="shared" ref="T105:T107" si="73">+S105</f>
        <v>694.35533339471374</v>
      </c>
      <c r="U105" s="181">
        <f t="shared" ref="U105:U107" si="74">+T105</f>
        <v>694.35533339471374</v>
      </c>
      <c r="V105" s="181">
        <f t="shared" ref="V105:V107" si="75">+U105</f>
        <v>694.35533339471374</v>
      </c>
      <c r="W105" s="181">
        <f t="shared" ref="W105:W107" si="76">+V105</f>
        <v>694.35533339471374</v>
      </c>
      <c r="X105" s="181">
        <f t="shared" ref="X105:X107" si="77">+W105</f>
        <v>694.35533339471374</v>
      </c>
      <c r="Y105" s="181">
        <f t="shared" ref="Y105:Y107" si="78">+X105</f>
        <v>694.35533339471374</v>
      </c>
    </row>
    <row r="106" spans="1:25">
      <c r="A106" s="777" t="s">
        <v>54</v>
      </c>
      <c r="B106" s="1683">
        <f ca="1">'CBS Stations'!Q44</f>
        <v>162.98048249458165</v>
      </c>
      <c r="C106" s="181">
        <f t="shared" ref="C106" ca="1" si="79">+B106</f>
        <v>162.98048249458165</v>
      </c>
      <c r="D106" s="181">
        <f t="shared" ca="1" si="57"/>
        <v>162.98048249458165</v>
      </c>
      <c r="E106" s="181">
        <f t="shared" ca="1" si="58"/>
        <v>162.98048249458165</v>
      </c>
      <c r="F106" s="181">
        <f t="shared" ca="1" si="59"/>
        <v>162.98048249458165</v>
      </c>
      <c r="G106" s="181">
        <f t="shared" ca="1" si="60"/>
        <v>162.98048249458165</v>
      </c>
      <c r="H106" s="181">
        <f t="shared" ca="1" si="61"/>
        <v>162.98048249458165</v>
      </c>
      <c r="I106" s="181">
        <f t="shared" ca="1" si="62"/>
        <v>162.98048249458165</v>
      </c>
      <c r="J106" s="181">
        <f t="shared" ca="1" si="63"/>
        <v>162.98048249458165</v>
      </c>
      <c r="K106" s="181">
        <f t="shared" ca="1" si="64"/>
        <v>162.98048249458165</v>
      </c>
      <c r="L106" s="181">
        <f t="shared" ca="1" si="65"/>
        <v>162.98048249458165</v>
      </c>
      <c r="M106" s="181">
        <f t="shared" ca="1" si="66"/>
        <v>162.98048249458165</v>
      </c>
      <c r="N106" s="181">
        <f t="shared" ca="1" si="67"/>
        <v>162.98048249458165</v>
      </c>
      <c r="O106" s="181">
        <f t="shared" ca="1" si="68"/>
        <v>162.98048249458165</v>
      </c>
      <c r="P106" s="181">
        <f t="shared" ca="1" si="69"/>
        <v>162.98048249458165</v>
      </c>
      <c r="Q106" s="181">
        <f t="shared" ca="1" si="70"/>
        <v>162.98048249458165</v>
      </c>
      <c r="R106" s="181">
        <f t="shared" ca="1" si="71"/>
        <v>162.98048249458165</v>
      </c>
      <c r="S106" s="181">
        <f t="shared" ca="1" si="72"/>
        <v>162.98048249458165</v>
      </c>
      <c r="T106" s="181">
        <f t="shared" ca="1" si="73"/>
        <v>162.98048249458165</v>
      </c>
      <c r="U106" s="181">
        <f t="shared" ca="1" si="74"/>
        <v>162.98048249458165</v>
      </c>
      <c r="V106" s="181">
        <f t="shared" ca="1" si="75"/>
        <v>162.98048249458165</v>
      </c>
      <c r="W106" s="181">
        <f t="shared" ca="1" si="76"/>
        <v>162.98048249458165</v>
      </c>
      <c r="X106" s="181">
        <f t="shared" ca="1" si="77"/>
        <v>162.98048249458165</v>
      </c>
      <c r="Y106" s="181">
        <f t="shared" ca="1" si="78"/>
        <v>162.98048249458165</v>
      </c>
    </row>
    <row r="107" spans="1:25">
      <c r="A107" s="777" t="s">
        <v>67</v>
      </c>
      <c r="B107" s="1683">
        <f>'CBS Stations'!Q45</f>
        <v>29.092571360135796</v>
      </c>
      <c r="C107" s="537">
        <f t="shared" ref="C107" si="80">+B107</f>
        <v>29.092571360135796</v>
      </c>
      <c r="D107" s="537">
        <f t="shared" si="57"/>
        <v>29.092571360135796</v>
      </c>
      <c r="E107" s="537">
        <f t="shared" si="58"/>
        <v>29.092571360135796</v>
      </c>
      <c r="F107" s="537">
        <f t="shared" si="59"/>
        <v>29.092571360135796</v>
      </c>
      <c r="G107" s="537">
        <f t="shared" si="60"/>
        <v>29.092571360135796</v>
      </c>
      <c r="H107" s="537">
        <f t="shared" si="61"/>
        <v>29.092571360135796</v>
      </c>
      <c r="I107" s="537">
        <f t="shared" si="62"/>
        <v>29.092571360135796</v>
      </c>
      <c r="J107" s="537">
        <f t="shared" si="63"/>
        <v>29.092571360135796</v>
      </c>
      <c r="K107" s="537">
        <f t="shared" si="64"/>
        <v>29.092571360135796</v>
      </c>
      <c r="L107" s="537">
        <f t="shared" si="65"/>
        <v>29.092571360135796</v>
      </c>
      <c r="M107" s="537">
        <f t="shared" si="66"/>
        <v>29.092571360135796</v>
      </c>
      <c r="N107" s="537">
        <f t="shared" si="67"/>
        <v>29.092571360135796</v>
      </c>
      <c r="O107" s="537">
        <f t="shared" si="68"/>
        <v>29.092571360135796</v>
      </c>
      <c r="P107" s="537">
        <f t="shared" si="69"/>
        <v>29.092571360135796</v>
      </c>
      <c r="Q107" s="537">
        <f t="shared" si="70"/>
        <v>29.092571360135796</v>
      </c>
      <c r="R107" s="537">
        <f t="shared" si="71"/>
        <v>29.092571360135796</v>
      </c>
      <c r="S107" s="537">
        <f t="shared" si="72"/>
        <v>29.092571360135796</v>
      </c>
      <c r="T107" s="537">
        <f t="shared" si="73"/>
        <v>29.092571360135796</v>
      </c>
      <c r="U107" s="537">
        <f t="shared" si="74"/>
        <v>29.092571360135796</v>
      </c>
      <c r="V107" s="537">
        <f t="shared" si="75"/>
        <v>29.092571360135796</v>
      </c>
      <c r="W107" s="537">
        <f t="shared" si="76"/>
        <v>29.092571360135796</v>
      </c>
      <c r="X107" s="537">
        <f t="shared" si="77"/>
        <v>29.092571360135796</v>
      </c>
      <c r="Y107" s="537">
        <f t="shared" si="78"/>
        <v>29.092571360135796</v>
      </c>
    </row>
    <row r="108" spans="1:25">
      <c r="A108" s="776" t="s">
        <v>56</v>
      </c>
      <c r="B108" s="181">
        <f t="shared" ref="B108:O108" ca="1" si="81">+B105-B106-B107</f>
        <v>502.28227953999624</v>
      </c>
      <c r="C108" s="181">
        <f t="shared" ca="1" si="81"/>
        <v>502.28227953999624</v>
      </c>
      <c r="D108" s="181">
        <f t="shared" ca="1" si="81"/>
        <v>502.28227953999624</v>
      </c>
      <c r="E108" s="181">
        <f t="shared" ca="1" si="81"/>
        <v>502.28227953999624</v>
      </c>
      <c r="F108" s="181">
        <f t="shared" ca="1" si="81"/>
        <v>502.28227953999624</v>
      </c>
      <c r="G108" s="181">
        <f t="shared" ca="1" si="81"/>
        <v>502.28227953999624</v>
      </c>
      <c r="H108" s="181">
        <f t="shared" ca="1" si="81"/>
        <v>502.28227953999624</v>
      </c>
      <c r="I108" s="1683">
        <f t="shared" ca="1" si="81"/>
        <v>502.28227953999624</v>
      </c>
      <c r="J108" s="181">
        <f t="shared" ca="1" si="81"/>
        <v>502.28227953999624</v>
      </c>
      <c r="K108" s="181">
        <f t="shared" ca="1" si="81"/>
        <v>502.28227953999624</v>
      </c>
      <c r="L108" s="181">
        <f t="shared" ca="1" si="81"/>
        <v>502.28227953999624</v>
      </c>
      <c r="M108" s="181">
        <f t="shared" ca="1" si="81"/>
        <v>502.28227953999624</v>
      </c>
      <c r="N108" s="181">
        <f t="shared" ca="1" si="81"/>
        <v>502.28227953999624</v>
      </c>
      <c r="O108" s="181">
        <f t="shared" ca="1" si="81"/>
        <v>502.28227953999624</v>
      </c>
      <c r="P108" s="181">
        <f t="shared" ref="P108:U108" ca="1" si="82">+P105-P106-P107</f>
        <v>502.28227953999624</v>
      </c>
      <c r="Q108" s="181">
        <f t="shared" ca="1" si="82"/>
        <v>502.28227953999624</v>
      </c>
      <c r="R108" s="181">
        <f t="shared" ca="1" si="82"/>
        <v>502.28227953999624</v>
      </c>
      <c r="S108" s="181">
        <f t="shared" ca="1" si="82"/>
        <v>502.28227953999624</v>
      </c>
      <c r="T108" s="181">
        <f t="shared" ca="1" si="82"/>
        <v>502.28227953999624</v>
      </c>
      <c r="U108" s="181">
        <f t="shared" ca="1" si="82"/>
        <v>502.28227953999624</v>
      </c>
      <c r="V108" s="181">
        <f ca="1">+V105-V106-V107</f>
        <v>502.28227953999624</v>
      </c>
      <c r="W108" s="181">
        <f ca="1">+W105-W106-W107</f>
        <v>502.28227953999624</v>
      </c>
      <c r="X108" s="181">
        <f ca="1">+X105-X106-X107</f>
        <v>502.28227953999624</v>
      </c>
      <c r="Y108" s="181">
        <f ca="1">+Y105-Y106-Y107</f>
        <v>502.28227953999624</v>
      </c>
    </row>
    <row r="109" spans="1:25">
      <c r="A109" s="777" t="s">
        <v>57</v>
      </c>
      <c r="B109" s="181">
        <f ca="1">1/(B99-B100)</f>
        <v>16.528782274222632</v>
      </c>
      <c r="C109" s="181">
        <f t="shared" ref="C109:L109" ca="1" si="83">1/(C99-C100)</f>
        <v>16.528782274222632</v>
      </c>
      <c r="D109" s="181">
        <f t="shared" ca="1" si="83"/>
        <v>16.528782274222632</v>
      </c>
      <c r="E109" s="181">
        <f t="shared" ca="1" si="83"/>
        <v>16.528782274222632</v>
      </c>
      <c r="F109" s="181">
        <f t="shared" ca="1" si="83"/>
        <v>16.528782274222632</v>
      </c>
      <c r="G109" s="181">
        <f t="shared" ca="1" si="83"/>
        <v>16.528782274222632</v>
      </c>
      <c r="H109" s="181">
        <f t="shared" ca="1" si="83"/>
        <v>16.528782274222632</v>
      </c>
      <c r="I109" s="1683">
        <f t="shared" ca="1" si="83"/>
        <v>16.528782274222632</v>
      </c>
      <c r="J109" s="181">
        <f t="shared" ca="1" si="83"/>
        <v>16.528782274222632</v>
      </c>
      <c r="K109" s="181">
        <f t="shared" ca="1" si="83"/>
        <v>16.528782274222632</v>
      </c>
      <c r="L109" s="181">
        <f t="shared" ca="1" si="83"/>
        <v>16.528782274222632</v>
      </c>
      <c r="M109" s="181">
        <f t="shared" ref="M109:S109" ca="1" si="84">1/(M99-M100)</f>
        <v>16.528782274222632</v>
      </c>
      <c r="N109" s="181">
        <f t="shared" ca="1" si="84"/>
        <v>16.528782274222632</v>
      </c>
      <c r="O109" s="181">
        <f t="shared" ca="1" si="84"/>
        <v>16.528782274222632</v>
      </c>
      <c r="P109" s="181">
        <f t="shared" ca="1" si="84"/>
        <v>16.528782274222632</v>
      </c>
      <c r="Q109" s="181">
        <f t="shared" ca="1" si="84"/>
        <v>16.528782274222632</v>
      </c>
      <c r="R109" s="181">
        <f t="shared" ca="1" si="84"/>
        <v>16.528782274222632</v>
      </c>
      <c r="S109" s="181">
        <f t="shared" ca="1" si="84"/>
        <v>16.528782274222632</v>
      </c>
      <c r="T109" s="181">
        <f t="shared" ref="T109:Y109" ca="1" si="85">1/(T99-T100)</f>
        <v>16.528782274222632</v>
      </c>
      <c r="U109" s="181">
        <f t="shared" ca="1" si="85"/>
        <v>16.528782274222632</v>
      </c>
      <c r="V109" s="181">
        <f t="shared" ca="1" si="85"/>
        <v>16.528782274222632</v>
      </c>
      <c r="W109" s="181">
        <f t="shared" ca="1" si="85"/>
        <v>16.528782274222632</v>
      </c>
      <c r="X109" s="181">
        <f t="shared" ca="1" si="85"/>
        <v>16.528782274222632</v>
      </c>
      <c r="Y109" s="181">
        <f t="shared" ca="1" si="85"/>
        <v>16.528782274222632</v>
      </c>
    </row>
    <row r="110" spans="1:25">
      <c r="A110" s="777" t="s">
        <v>58</v>
      </c>
      <c r="B110" s="181">
        <f ca="1">+B111/B105</f>
        <v>11.956579058920255</v>
      </c>
      <c r="C110" s="181">
        <f t="shared" ref="C110:L110" ca="1" si="86">+C111/C105</f>
        <v>11.956579058920255</v>
      </c>
      <c r="D110" s="181">
        <f t="shared" ca="1" si="86"/>
        <v>11.956579058920255</v>
      </c>
      <c r="E110" s="181">
        <f t="shared" ca="1" si="86"/>
        <v>11.956579058920255</v>
      </c>
      <c r="F110" s="181">
        <f t="shared" ca="1" si="86"/>
        <v>11.956579058920255</v>
      </c>
      <c r="G110" s="181">
        <f t="shared" ca="1" si="86"/>
        <v>11.956579058920255</v>
      </c>
      <c r="H110" s="181">
        <f t="shared" ca="1" si="86"/>
        <v>11.956579058920255</v>
      </c>
      <c r="I110" s="1683">
        <f t="shared" ca="1" si="86"/>
        <v>11.956579058920255</v>
      </c>
      <c r="J110" s="181">
        <f t="shared" ca="1" si="86"/>
        <v>11.956579058920255</v>
      </c>
      <c r="K110" s="181">
        <f t="shared" ca="1" si="86"/>
        <v>11.956579058920255</v>
      </c>
      <c r="L110" s="181">
        <f t="shared" ca="1" si="86"/>
        <v>11.956579058920255</v>
      </c>
      <c r="M110" s="181">
        <f t="shared" ref="M110:S110" ca="1" si="87">+M111/M105</f>
        <v>11.956579058920255</v>
      </c>
      <c r="N110" s="181">
        <f t="shared" ca="1" si="87"/>
        <v>11.956579058920255</v>
      </c>
      <c r="O110" s="181">
        <f t="shared" ca="1" si="87"/>
        <v>11.956579058920255</v>
      </c>
      <c r="P110" s="181">
        <f t="shared" ca="1" si="87"/>
        <v>11.956579058920255</v>
      </c>
      <c r="Q110" s="181">
        <f t="shared" ca="1" si="87"/>
        <v>11.956579058920255</v>
      </c>
      <c r="R110" s="181">
        <f t="shared" ca="1" si="87"/>
        <v>11.956579058920255</v>
      </c>
      <c r="S110" s="181">
        <f t="shared" ca="1" si="87"/>
        <v>11.956579058920255</v>
      </c>
      <c r="T110" s="181">
        <f t="shared" ref="T110:Y110" ca="1" si="88">+T111/T105</f>
        <v>11.956579058920255</v>
      </c>
      <c r="U110" s="181">
        <f t="shared" ca="1" si="88"/>
        <v>11.956579058920255</v>
      </c>
      <c r="V110" s="181">
        <f t="shared" ca="1" si="88"/>
        <v>11.956579058920255</v>
      </c>
      <c r="W110" s="181">
        <f t="shared" ca="1" si="88"/>
        <v>11.956579058920255</v>
      </c>
      <c r="X110" s="181">
        <f t="shared" ca="1" si="88"/>
        <v>11.956579058920255</v>
      </c>
      <c r="Y110" s="181">
        <f t="shared" ca="1" si="88"/>
        <v>11.956579058920255</v>
      </c>
    </row>
    <row r="111" spans="1:25">
      <c r="A111" s="776" t="s">
        <v>59</v>
      </c>
      <c r="B111" s="181">
        <f ca="1">B109*B108</f>
        <v>8302.114438716826</v>
      </c>
      <c r="C111" s="181">
        <f ca="1">C109*C108</f>
        <v>8302.114438716826</v>
      </c>
      <c r="D111" s="181">
        <f ca="1">D109*D108</f>
        <v>8302.114438716826</v>
      </c>
      <c r="E111" s="181">
        <f ca="1">E109*E108</f>
        <v>8302.114438716826</v>
      </c>
      <c r="F111" s="181">
        <f t="shared" ref="F111:L111" ca="1" si="89">F109*F108</f>
        <v>8302.114438716826</v>
      </c>
      <c r="G111" s="181">
        <f t="shared" ca="1" si="89"/>
        <v>8302.114438716826</v>
      </c>
      <c r="H111" s="181">
        <f t="shared" ca="1" si="89"/>
        <v>8302.114438716826</v>
      </c>
      <c r="I111" s="1683">
        <f t="shared" ca="1" si="89"/>
        <v>8302.114438716826</v>
      </c>
      <c r="J111" s="181">
        <f t="shared" ca="1" si="89"/>
        <v>8302.114438716826</v>
      </c>
      <c r="K111" s="181">
        <f t="shared" ca="1" si="89"/>
        <v>8302.114438716826</v>
      </c>
      <c r="L111" s="181">
        <f t="shared" ca="1" si="89"/>
        <v>8302.114438716826</v>
      </c>
      <c r="M111" s="181">
        <f t="shared" ref="M111:S111" ca="1" si="90">M109*M108</f>
        <v>8302.114438716826</v>
      </c>
      <c r="N111" s="181">
        <f t="shared" ca="1" si="90"/>
        <v>8302.114438716826</v>
      </c>
      <c r="O111" s="181">
        <f t="shared" ca="1" si="90"/>
        <v>8302.114438716826</v>
      </c>
      <c r="P111" s="181">
        <f t="shared" ca="1" si="90"/>
        <v>8302.114438716826</v>
      </c>
      <c r="Q111" s="181">
        <f t="shared" ca="1" si="90"/>
        <v>8302.114438716826</v>
      </c>
      <c r="R111" s="181">
        <f t="shared" ca="1" si="90"/>
        <v>8302.114438716826</v>
      </c>
      <c r="S111" s="181">
        <f t="shared" ca="1" si="90"/>
        <v>8302.114438716826</v>
      </c>
      <c r="T111" s="181">
        <f t="shared" ref="T111:Y111" ca="1" si="91">T109*T108</f>
        <v>8302.114438716826</v>
      </c>
      <c r="U111" s="181">
        <f t="shared" ca="1" si="91"/>
        <v>8302.114438716826</v>
      </c>
      <c r="V111" s="181">
        <f t="shared" ca="1" si="91"/>
        <v>8302.114438716826</v>
      </c>
      <c r="W111" s="181">
        <f t="shared" ca="1" si="91"/>
        <v>8302.114438716826</v>
      </c>
      <c r="X111" s="181">
        <f t="shared" ca="1" si="91"/>
        <v>8302.114438716826</v>
      </c>
      <c r="Y111" s="181">
        <f t="shared" ca="1" si="91"/>
        <v>8302.114438716826</v>
      </c>
    </row>
    <row r="112" spans="1:25">
      <c r="A112" s="776" t="s">
        <v>60</v>
      </c>
      <c r="B112" s="181">
        <f ca="1">B111/((1+B99)^B118)</f>
        <v>1398.9884435478989</v>
      </c>
      <c r="C112" s="181">
        <f t="shared" ref="C112:Y112" ca="1" si="92">C111/((1+C99)^C118)</f>
        <v>1511.6077472822137</v>
      </c>
      <c r="D112" s="181">
        <f t="shared" ca="1" si="92"/>
        <v>1633.292964056837</v>
      </c>
      <c r="E112" s="181">
        <f t="shared" ca="1" si="92"/>
        <v>1764.7739046282657</v>
      </c>
      <c r="F112" s="181">
        <f t="shared" ca="1" si="92"/>
        <v>1906.839129901814</v>
      </c>
      <c r="G112" s="181">
        <f t="shared" ca="1" si="92"/>
        <v>2060.3406803494227</v>
      </c>
      <c r="H112" s="181">
        <f t="shared" ca="1" si="92"/>
        <v>2226.1991861480747</v>
      </c>
      <c r="I112" s="181">
        <f t="shared" ca="1" si="92"/>
        <v>2405.4093886870428</v>
      </c>
      <c r="J112" s="181">
        <f t="shared" ca="1" si="92"/>
        <v>2599.0461065593618</v>
      </c>
      <c r="K112" s="181">
        <f t="shared" ca="1" si="92"/>
        <v>2808.2706818187467</v>
      </c>
      <c r="L112" s="181">
        <f t="shared" ca="1" si="92"/>
        <v>3034.3379451635765</v>
      </c>
      <c r="M112" s="181">
        <f t="shared" ca="1" si="92"/>
        <v>3278.6037418218411</v>
      </c>
      <c r="N112" s="181">
        <f t="shared" ca="1" si="92"/>
        <v>3542.533063273776</v>
      </c>
      <c r="O112" s="181">
        <f t="shared" ca="1" si="92"/>
        <v>3827.7088335824333</v>
      </c>
      <c r="P112" s="181">
        <f t="shared" ca="1" si="92"/>
        <v>4135.8414030284812</v>
      </c>
      <c r="Q112" s="181">
        <f t="shared" ca="1" si="92"/>
        <v>4468.778805987572</v>
      </c>
      <c r="R112" s="181">
        <f t="shared" ca="1" si="92"/>
        <v>4828.5178445722413</v>
      </c>
      <c r="S112" s="181">
        <f t="shared" ca="1" si="92"/>
        <v>5217.2160645127706</v>
      </c>
      <c r="T112" s="181">
        <f t="shared" ca="1" si="92"/>
        <v>5637.204695102766</v>
      </c>
      <c r="U112" s="181">
        <f t="shared" ca="1" si="92"/>
        <v>6091.0026308171273</v>
      </c>
      <c r="V112" s="181">
        <f t="shared" ca="1" si="92"/>
        <v>6581.3315384576135</v>
      </c>
      <c r="W112" s="181">
        <f t="shared" ca="1" si="92"/>
        <v>7111.1321804315412</v>
      </c>
      <c r="X112" s="181">
        <f t="shared" ca="1" si="92"/>
        <v>7683.5820520629941</v>
      </c>
      <c r="Y112" s="181">
        <f t="shared" ca="1" si="92"/>
        <v>8302.114438716826</v>
      </c>
    </row>
    <row r="113" spans="1:26">
      <c r="A113" s="776" t="s">
        <v>63</v>
      </c>
      <c r="B113" s="173">
        <f ca="1">NPV(B99,C102:$Y102)</f>
        <v>3233.6934426592929</v>
      </c>
      <c r="C113" s="173">
        <f ca="1">NPV(C99,D102:$Y102)</f>
        <v>3134.108514469252</v>
      </c>
      <c r="D113" s="173">
        <f ca="1">NPV(D99,E102:$Y102)</f>
        <v>3090.7712741193927</v>
      </c>
      <c r="E113" s="173">
        <f ca="1">NPV(E99,F102:$Y102)</f>
        <v>3132.0075231458432</v>
      </c>
      <c r="F113" s="173">
        <f ca="1">NPV(F99,G102:$Y102)</f>
        <v>3291.2492425402156</v>
      </c>
      <c r="G113" s="173">
        <f ca="1">NPV(G99,H102:$Y102)</f>
        <v>3347.0371688053633</v>
      </c>
      <c r="H113" s="173">
        <f ca="1">NPV(H99,I102:$Y102)</f>
        <v>3404.7048655058957</v>
      </c>
      <c r="I113" s="173">
        <f ca="1">NPV(I99,J102:$Y102)</f>
        <v>3392.2450273916838</v>
      </c>
      <c r="J113" s="173">
        <f ca="1">NPV(J99,K102:$Y102)</f>
        <v>3377.4457591159835</v>
      </c>
      <c r="K113" s="173">
        <f ca="1">NPV(K99,L102:$Y102)</f>
        <v>3339.7691433801292</v>
      </c>
      <c r="L113" s="173">
        <f ca="1">NPV(L99,M102:$Y102)</f>
        <v>3320.1640169980128</v>
      </c>
      <c r="M113" s="173">
        <f ca="1">NPV(M99,N102:$Y102)</f>
        <v>3213.80660564851</v>
      </c>
      <c r="N113" s="173">
        <f ca="1">NPV(N99,O102:$Y102)</f>
        <v>3170.1368660579978</v>
      </c>
      <c r="O113" s="173">
        <f ca="1">NPV(O99,P102:$Y102)</f>
        <v>3040.6726857333751</v>
      </c>
      <c r="P113" s="173">
        <f ca="1">NPV(P99,Q102:$Y102)</f>
        <v>2907.5787328257552</v>
      </c>
      <c r="Q113" s="173">
        <f ca="1">NPV(Q99,R102:$Y102)</f>
        <v>2628.8055063101119</v>
      </c>
      <c r="R113" s="173">
        <f ca="1">NPV(R99,S102:$Y102)</f>
        <v>2391.4808457626254</v>
      </c>
      <c r="S113" s="173">
        <f ca="1">NPV(S99,T102:$Y102)</f>
        <v>2048.4237647424065</v>
      </c>
      <c r="T113" s="173">
        <f ca="1">NPV(T99,U102:$Y102)</f>
        <v>1784.8219510815136</v>
      </c>
      <c r="U113" s="173">
        <f ca="1">NPV(U99,V102:$Y102)</f>
        <v>1421.0780754020905</v>
      </c>
      <c r="V113" s="173">
        <f ca="1">NPV(V99,W102:$Y102)</f>
        <v>1113.9732488357233</v>
      </c>
      <c r="W113" s="173">
        <f ca="1">NPV(W99,X102:$Y102)</f>
        <v>760.83885102782051</v>
      </c>
      <c r="X113" s="173">
        <f ca="1">NPV(X99,Y102:$Y102)</f>
        <v>455.74582903193317</v>
      </c>
      <c r="Y113" s="771">
        <v>0</v>
      </c>
      <c r="Z113" s="1396"/>
    </row>
    <row r="114" spans="1:26">
      <c r="A114" s="776"/>
      <c r="B114" s="539"/>
      <c r="C114" s="539"/>
      <c r="D114" s="539"/>
      <c r="E114" s="539"/>
      <c r="F114" s="539"/>
      <c r="G114" s="539"/>
      <c r="H114" s="539"/>
      <c r="I114" s="2268"/>
      <c r="J114" s="539"/>
      <c r="K114" s="539"/>
      <c r="L114" s="539"/>
      <c r="M114" s="539"/>
      <c r="N114" s="539"/>
      <c r="O114" s="539"/>
      <c r="P114" s="539"/>
      <c r="Q114" s="539"/>
      <c r="R114" s="539"/>
      <c r="S114" s="539"/>
      <c r="T114" s="539"/>
      <c r="U114" s="539"/>
      <c r="V114" s="539"/>
      <c r="W114" s="539"/>
    </row>
    <row r="115" spans="1:26">
      <c r="A115" s="776" t="s">
        <v>64</v>
      </c>
      <c r="B115" s="540">
        <f ca="1">B113+B112</f>
        <v>4632.6818862071923</v>
      </c>
      <c r="C115" s="540">
        <f ca="1">C113+C112</f>
        <v>4645.7162617514659</v>
      </c>
      <c r="D115" s="540">
        <f t="shared" ref="D115:L115" ca="1" si="93">D113+D112</f>
        <v>4724.06423817623</v>
      </c>
      <c r="E115" s="540">
        <f t="shared" ca="1" si="93"/>
        <v>4896.781427774109</v>
      </c>
      <c r="F115" s="540">
        <f t="shared" ca="1" si="93"/>
        <v>5198.0883724420291</v>
      </c>
      <c r="G115" s="540">
        <f t="shared" ca="1" si="93"/>
        <v>5407.3778491547855</v>
      </c>
      <c r="H115" s="540">
        <f t="shared" ca="1" si="93"/>
        <v>5630.9040516539699</v>
      </c>
      <c r="I115" s="2269">
        <f t="shared" ca="1" si="93"/>
        <v>5797.6544160787271</v>
      </c>
      <c r="J115" s="540">
        <f t="shared" ca="1" si="93"/>
        <v>5976.4918656753453</v>
      </c>
      <c r="K115" s="540">
        <f t="shared" ca="1" si="93"/>
        <v>6148.0398251988754</v>
      </c>
      <c r="L115" s="540">
        <f t="shared" ca="1" si="93"/>
        <v>6354.5019621615893</v>
      </c>
      <c r="M115" s="540">
        <f t="shared" ref="M115:S115" ca="1" si="94">M113+M112</f>
        <v>6492.4103474703516</v>
      </c>
      <c r="N115" s="540">
        <f ca="1">N113+N112</f>
        <v>6712.6699293317743</v>
      </c>
      <c r="O115" s="540">
        <f t="shared" ca="1" si="94"/>
        <v>6868.381519315808</v>
      </c>
      <c r="P115" s="540">
        <f t="shared" ca="1" si="94"/>
        <v>7043.4201358542359</v>
      </c>
      <c r="Q115" s="540">
        <f t="shared" ca="1" si="94"/>
        <v>7097.5843122976839</v>
      </c>
      <c r="R115" s="540">
        <f t="shared" ca="1" si="94"/>
        <v>7219.9986903348672</v>
      </c>
      <c r="S115" s="540">
        <f t="shared" ca="1" si="94"/>
        <v>7265.6398292551767</v>
      </c>
      <c r="T115" s="540">
        <f ca="1">T113+T112</f>
        <v>7422.0266461842793</v>
      </c>
      <c r="U115" s="540">
        <f ca="1">U113+U112</f>
        <v>7512.080706219218</v>
      </c>
      <c r="V115" s="540">
        <f t="shared" ref="V115:Y115" ca="1" si="95">V113+V112</f>
        <v>7695.3047872933366</v>
      </c>
      <c r="W115" s="540">
        <f t="shared" ca="1" si="95"/>
        <v>7871.9710314593613</v>
      </c>
      <c r="X115" s="540">
        <f t="shared" ca="1" si="95"/>
        <v>8139.3278810949269</v>
      </c>
      <c r="Y115" s="540">
        <f t="shared" ca="1" si="95"/>
        <v>8302.114438716826</v>
      </c>
    </row>
    <row r="116" spans="1:26">
      <c r="A116" s="777" t="s">
        <v>72</v>
      </c>
      <c r="B116" s="541">
        <f ca="1">B115/B103</f>
        <v>10.080947370573174</v>
      </c>
      <c r="C116" s="541">
        <f t="shared" ref="C116:O116" ca="1" si="96">C115/C103</f>
        <v>9.1035639857871633</v>
      </c>
      <c r="D116" s="541">
        <f t="shared" ca="1" si="96"/>
        <v>11.190200966627824</v>
      </c>
      <c r="E116" s="541">
        <f t="shared" ca="1" si="96"/>
        <v>16.535669057140879</v>
      </c>
      <c r="F116" s="541">
        <f t="shared" ca="1" si="96"/>
        <v>40.24528406314591</v>
      </c>
      <c r="G116" s="541">
        <f t="shared" ca="1" si="96"/>
        <v>18.752248962003694</v>
      </c>
      <c r="H116" s="541">
        <f t="shared" ca="1" si="96"/>
        <v>19.328496694232683</v>
      </c>
      <c r="I116" s="2270">
        <f t="shared" ca="1" si="96"/>
        <v>14.869671041242871</v>
      </c>
      <c r="J116" s="541">
        <f t="shared" ca="1" si="96"/>
        <v>15.286416935237121</v>
      </c>
      <c r="K116" s="541">
        <f t="shared" ca="1" si="96"/>
        <v>14.648867183306832</v>
      </c>
      <c r="L116" s="541">
        <f t="shared" ca="1" si="96"/>
        <v>16.167776452382697</v>
      </c>
      <c r="M116" s="541">
        <f t="shared" ca="1" si="96"/>
        <v>12.78392131087644</v>
      </c>
      <c r="N116" s="541">
        <f t="shared" ca="1" si="96"/>
        <v>16.252459591227588</v>
      </c>
      <c r="O116" s="541">
        <f t="shared" ca="1" si="96"/>
        <v>13.100118428809372</v>
      </c>
      <c r="P116" s="541">
        <f t="shared" ref="P116:U116" ca="1" si="97">P115/P103</f>
        <v>13.63180778713612</v>
      </c>
      <c r="Q116" s="541">
        <f t="shared" ca="1" si="97"/>
        <v>10.146919646895569</v>
      </c>
      <c r="R116" s="541">
        <f t="shared" ca="1" si="97"/>
        <v>11.724782876238054</v>
      </c>
      <c r="S116" s="541">
        <f t="shared" ca="1" si="97"/>
        <v>9.9150300938152149</v>
      </c>
      <c r="T116" s="541">
        <f t="shared" ca="1" si="97"/>
        <v>12.567847996914091</v>
      </c>
      <c r="U116" s="541">
        <f t="shared" ca="1" si="97"/>
        <v>10.775192735144667</v>
      </c>
      <c r="V116" s="541">
        <f t="shared" ref="V116:Y116" ca="1" si="98">V115/V103</f>
        <v>13.195591557230896</v>
      </c>
      <c r="W116" s="541">
        <f t="shared" ca="1" si="98"/>
        <v>12.850761773892737</v>
      </c>
      <c r="X116" s="541">
        <f t="shared" ca="1" si="98"/>
        <v>15.924140731739797</v>
      </c>
      <c r="Y116" s="541">
        <f t="shared" ca="1" si="98"/>
        <v>12.19571064009866</v>
      </c>
    </row>
    <row r="117" spans="1:26">
      <c r="A117" s="777" t="s">
        <v>73</v>
      </c>
      <c r="B117" s="541">
        <f ca="1">B115/C103</f>
        <v>9.0780223329834815</v>
      </c>
      <c r="C117" s="541">
        <f ca="1">C115/D103</f>
        <v>11.004612973467891</v>
      </c>
      <c r="D117" s="541">
        <f t="shared" ref="D117:J117" ca="1" si="99">D115/E103</f>
        <v>15.952429978616557</v>
      </c>
      <c r="E117" s="541">
        <f t="shared" ca="1" si="99"/>
        <v>37.912468091288503</v>
      </c>
      <c r="F117" s="541">
        <f t="shared" ca="1" si="99"/>
        <v>18.02645385725463</v>
      </c>
      <c r="G117" s="541">
        <f t="shared" ca="1" si="99"/>
        <v>18.561226389775829</v>
      </c>
      <c r="H117" s="541">
        <f t="shared" ca="1" si="99"/>
        <v>14.441994107252633</v>
      </c>
      <c r="I117" s="2270">
        <f t="shared" ca="1" si="99"/>
        <v>14.828994105990212</v>
      </c>
      <c r="J117" s="541">
        <f t="shared" ca="1" si="99"/>
        <v>14.240121738241958</v>
      </c>
      <c r="K117" s="541">
        <f t="shared" ref="K117:R117" ca="1" si="100">K115/L103</f>
        <v>15.642474281391015</v>
      </c>
      <c r="L117" s="541">
        <f t="shared" ca="1" si="100"/>
        <v>12.512371939912208</v>
      </c>
      <c r="M117" s="541">
        <f t="shared" ca="1" si="100"/>
        <v>15.719175519245843</v>
      </c>
      <c r="N117" s="541">
        <f t="shared" ca="1" si="100"/>
        <v>12.803128480916634</v>
      </c>
      <c r="O117" s="541">
        <f t="shared" ca="1" si="100"/>
        <v>13.293038733188625</v>
      </c>
      <c r="P117" s="541">
        <f t="shared" ca="1" si="100"/>
        <v>10.069484913903432</v>
      </c>
      <c r="Q117" s="541">
        <f t="shared" ca="1" si="100"/>
        <v>11.525990318929553</v>
      </c>
      <c r="R117" s="541">
        <f t="shared" ca="1" si="100"/>
        <v>9.852746072511442</v>
      </c>
      <c r="S117" s="541">
        <f ca="1">S115/T103</f>
        <v>12.303035454790351</v>
      </c>
      <c r="T117" s="541">
        <f ca="1">T115/U103</f>
        <v>10.646020819745063</v>
      </c>
      <c r="U117" s="541">
        <f ca="1">U115/V103</f>
        <v>12.881406452919592</v>
      </c>
      <c r="V117" s="541">
        <f t="shared" ref="V117:X117" ca="1" si="101">V115/W103</f>
        <v>12.562359313035984</v>
      </c>
      <c r="W117" s="541">
        <f t="shared" ca="1" si="101"/>
        <v>15.401071976999004</v>
      </c>
      <c r="X117" s="541">
        <f t="shared" ca="1" si="101"/>
        <v>11.956579058920255</v>
      </c>
    </row>
    <row r="118" spans="1:26">
      <c r="A118" s="778" t="s">
        <v>61</v>
      </c>
      <c r="B118" s="11">
        <f>+C118+1</f>
        <v>23</v>
      </c>
      <c r="C118" s="11">
        <f t="shared" ref="C118:Q118" si="102">+D118+1</f>
        <v>22</v>
      </c>
      <c r="D118" s="11">
        <f t="shared" si="102"/>
        <v>21</v>
      </c>
      <c r="E118" s="11">
        <f t="shared" si="102"/>
        <v>20</v>
      </c>
      <c r="F118" s="11">
        <f t="shared" si="102"/>
        <v>19</v>
      </c>
      <c r="G118" s="11">
        <f t="shared" si="102"/>
        <v>18</v>
      </c>
      <c r="H118" s="11">
        <f t="shared" si="102"/>
        <v>17</v>
      </c>
      <c r="I118" s="1108">
        <f t="shared" si="102"/>
        <v>16</v>
      </c>
      <c r="J118" s="11">
        <f t="shared" si="102"/>
        <v>15</v>
      </c>
      <c r="K118" s="11">
        <f t="shared" si="102"/>
        <v>14</v>
      </c>
      <c r="L118" s="11">
        <f t="shared" si="102"/>
        <v>13</v>
      </c>
      <c r="M118" s="11">
        <f t="shared" si="102"/>
        <v>12</v>
      </c>
      <c r="N118" s="11">
        <f t="shared" si="102"/>
        <v>11</v>
      </c>
      <c r="O118" s="11">
        <f t="shared" si="102"/>
        <v>10</v>
      </c>
      <c r="P118" s="11">
        <f t="shared" si="102"/>
        <v>9</v>
      </c>
      <c r="Q118" s="11">
        <f t="shared" si="102"/>
        <v>8</v>
      </c>
      <c r="R118" s="11">
        <f t="shared" ref="R118:U118" si="103">+S118+1</f>
        <v>7</v>
      </c>
      <c r="S118" s="11">
        <f t="shared" si="103"/>
        <v>6</v>
      </c>
      <c r="T118" s="11">
        <f t="shared" si="103"/>
        <v>5</v>
      </c>
      <c r="U118" s="11">
        <f t="shared" si="103"/>
        <v>4</v>
      </c>
      <c r="V118" s="11">
        <f t="shared" ref="V118" si="104">+W118+1</f>
        <v>3</v>
      </c>
      <c r="W118" s="11">
        <f t="shared" ref="W118" si="105">+X118+1</f>
        <v>2</v>
      </c>
      <c r="X118" s="11">
        <f t="shared" ref="X118" si="106">+Y118+1</f>
        <v>1</v>
      </c>
      <c r="Y118" s="469">
        <v>0</v>
      </c>
      <c r="Z118" s="1396"/>
    </row>
    <row r="119" spans="1:26">
      <c r="A119" s="91"/>
      <c r="B119" s="91"/>
      <c r="C119" s="91"/>
      <c r="D119" s="91"/>
      <c r="E119" s="91"/>
      <c r="F119" s="91"/>
      <c r="G119" s="91"/>
      <c r="H119" s="91"/>
      <c r="I119" s="1710"/>
      <c r="J119" s="91"/>
      <c r="K119" s="91"/>
      <c r="L119" s="91"/>
      <c r="M119" s="91"/>
      <c r="N119" s="91"/>
      <c r="O119" s="91"/>
      <c r="P119" s="91"/>
      <c r="Q119" s="91"/>
      <c r="R119" s="304"/>
      <c r="S119" s="304"/>
      <c r="T119" s="304"/>
      <c r="U119" s="304"/>
      <c r="V119" s="304"/>
      <c r="W119" s="304"/>
    </row>
    <row r="120" spans="1:26">
      <c r="A120" s="91"/>
      <c r="B120" s="91"/>
      <c r="C120" s="91"/>
      <c r="D120" s="91"/>
      <c r="E120" s="91"/>
      <c r="F120" s="91"/>
      <c r="G120" s="91"/>
      <c r="H120" s="91"/>
      <c r="I120" s="1710"/>
      <c r="J120" s="91"/>
      <c r="K120" s="91"/>
      <c r="L120" s="91"/>
      <c r="M120" s="91"/>
      <c r="N120" s="91"/>
      <c r="O120" s="91"/>
      <c r="P120" s="91"/>
      <c r="Q120" s="91"/>
      <c r="R120" s="304"/>
      <c r="S120" s="304"/>
      <c r="T120" s="304"/>
      <c r="U120" s="304"/>
      <c r="V120" s="304"/>
      <c r="W120" s="304"/>
    </row>
    <row r="121" spans="1:26">
      <c r="A121" s="779" t="s">
        <v>244</v>
      </c>
      <c r="B121" s="780"/>
      <c r="C121" s="781"/>
      <c r="D121" s="781"/>
      <c r="E121" s="782"/>
      <c r="F121" s="782"/>
      <c r="G121" s="782"/>
      <c r="H121" s="782"/>
      <c r="I121" s="2582"/>
      <c r="J121" s="782"/>
      <c r="K121" s="782"/>
      <c r="L121" s="782"/>
      <c r="M121" s="782"/>
      <c r="N121" s="782"/>
      <c r="O121" s="782"/>
      <c r="P121" s="782"/>
      <c r="Q121" s="782"/>
      <c r="R121" s="1269"/>
      <c r="S121" s="1269"/>
      <c r="T121" s="1269"/>
      <c r="U121" s="1269"/>
      <c r="V121" s="1269"/>
      <c r="W121" s="1269"/>
      <c r="X121" s="1269"/>
      <c r="Y121" s="1269"/>
    </row>
    <row r="122" spans="1:26">
      <c r="A122" s="301"/>
      <c r="B122" s="772">
        <v>2005</v>
      </c>
      <c r="C122" s="772">
        <f>B122+1</f>
        <v>2006</v>
      </c>
      <c r="D122" s="772">
        <f t="shared" ref="D122:N122" si="107">C122+1</f>
        <v>2007</v>
      </c>
      <c r="E122" s="772">
        <f t="shared" si="107"/>
        <v>2008</v>
      </c>
      <c r="F122" s="772">
        <f t="shared" si="107"/>
        <v>2009</v>
      </c>
      <c r="G122" s="772">
        <f t="shared" si="107"/>
        <v>2010</v>
      </c>
      <c r="H122" s="772">
        <f t="shared" si="107"/>
        <v>2011</v>
      </c>
      <c r="I122" s="2674">
        <f t="shared" si="107"/>
        <v>2012</v>
      </c>
      <c r="J122" s="772">
        <f t="shared" si="107"/>
        <v>2013</v>
      </c>
      <c r="K122" s="772">
        <f t="shared" si="107"/>
        <v>2014</v>
      </c>
      <c r="L122" s="772">
        <f t="shared" si="107"/>
        <v>2015</v>
      </c>
      <c r="M122" s="772">
        <f t="shared" si="107"/>
        <v>2016</v>
      </c>
      <c r="N122" s="772">
        <f t="shared" si="107"/>
        <v>2017</v>
      </c>
      <c r="O122" s="772">
        <f t="shared" ref="O122:V122" si="108">N122+1</f>
        <v>2018</v>
      </c>
      <c r="P122" s="772">
        <f t="shared" si="108"/>
        <v>2019</v>
      </c>
      <c r="Q122" s="772">
        <f t="shared" si="108"/>
        <v>2020</v>
      </c>
      <c r="R122" s="1271">
        <f t="shared" si="108"/>
        <v>2021</v>
      </c>
      <c r="S122" s="1271">
        <f t="shared" si="108"/>
        <v>2022</v>
      </c>
      <c r="T122" s="1271">
        <f t="shared" si="108"/>
        <v>2023</v>
      </c>
      <c r="U122" s="1271">
        <f t="shared" si="108"/>
        <v>2024</v>
      </c>
      <c r="V122" s="1271">
        <f t="shared" si="108"/>
        <v>2025</v>
      </c>
      <c r="W122" s="1271">
        <f t="shared" ref="W122" si="109">V122+1</f>
        <v>2026</v>
      </c>
      <c r="X122" s="1271">
        <f t="shared" ref="X122:Y122" si="110">W122+1</f>
        <v>2027</v>
      </c>
      <c r="Y122" s="1271">
        <f t="shared" si="110"/>
        <v>2028</v>
      </c>
    </row>
    <row r="123" spans="1:26">
      <c r="A123" s="36" t="s">
        <v>65</v>
      </c>
      <c r="B123" s="6"/>
      <c r="C123" s="6" t="s">
        <v>337</v>
      </c>
      <c r="D123" s="6"/>
      <c r="E123" s="6"/>
      <c r="F123" s="6"/>
      <c r="G123" s="6"/>
      <c r="H123" s="6"/>
      <c r="I123" s="1108"/>
      <c r="J123" s="11"/>
      <c r="K123" s="11"/>
      <c r="L123" s="11"/>
      <c r="M123" s="11"/>
      <c r="N123" s="11"/>
      <c r="O123" s="11"/>
      <c r="P123" s="11"/>
      <c r="Q123" s="11"/>
      <c r="R123" s="11"/>
      <c r="S123" s="11"/>
      <c r="T123" s="11"/>
      <c r="U123" s="11"/>
      <c r="V123" s="11"/>
      <c r="W123" s="11"/>
    </row>
    <row r="124" spans="1:26">
      <c r="A124" s="295" t="s">
        <v>246</v>
      </c>
      <c r="B124" s="488">
        <f ca="1">B52</f>
        <v>4.6359932385549224E-2</v>
      </c>
      <c r="C124" s="298">
        <f t="shared" ref="C124:N124" ca="1" si="111">+B124</f>
        <v>4.6359932385549224E-2</v>
      </c>
      <c r="D124" s="298">
        <f t="shared" ca="1" si="111"/>
        <v>4.6359932385549224E-2</v>
      </c>
      <c r="E124" s="298">
        <f t="shared" ca="1" si="111"/>
        <v>4.6359932385549224E-2</v>
      </c>
      <c r="F124" s="298">
        <f t="shared" ca="1" si="111"/>
        <v>4.6359932385549224E-2</v>
      </c>
      <c r="G124" s="298">
        <f t="shared" ca="1" si="111"/>
        <v>4.6359932385549224E-2</v>
      </c>
      <c r="H124" s="298">
        <f t="shared" ca="1" si="111"/>
        <v>4.6359932385549224E-2</v>
      </c>
      <c r="I124" s="2267">
        <f t="shared" ca="1" si="111"/>
        <v>4.6359932385549224E-2</v>
      </c>
      <c r="J124" s="298">
        <f t="shared" ca="1" si="111"/>
        <v>4.6359932385549224E-2</v>
      </c>
      <c r="K124" s="536">
        <f t="shared" ca="1" si="111"/>
        <v>4.6359932385549224E-2</v>
      </c>
      <c r="L124" s="536">
        <f t="shared" ca="1" si="111"/>
        <v>4.6359932385549224E-2</v>
      </c>
      <c r="M124" s="536">
        <f t="shared" ca="1" si="111"/>
        <v>4.6359932385549224E-2</v>
      </c>
      <c r="N124" s="536">
        <f t="shared" ca="1" si="111"/>
        <v>4.6359932385549224E-2</v>
      </c>
      <c r="O124" s="536">
        <f t="shared" ref="O124:Q127" ca="1" si="112">+N124</f>
        <v>4.6359932385549224E-2</v>
      </c>
      <c r="P124" s="536">
        <f t="shared" ca="1" si="112"/>
        <v>4.6359932385549224E-2</v>
      </c>
      <c r="Q124" s="536">
        <f t="shared" ca="1" si="112"/>
        <v>4.6359932385549224E-2</v>
      </c>
      <c r="R124" s="536">
        <f t="shared" ref="R124:S127" ca="1" si="113">+Q124</f>
        <v>4.6359932385549224E-2</v>
      </c>
      <c r="S124" s="536">
        <f t="shared" ca="1" si="113"/>
        <v>4.6359932385549224E-2</v>
      </c>
      <c r="T124" s="536">
        <f t="shared" ref="T124:Y127" ca="1" si="114">+S124</f>
        <v>4.6359932385549224E-2</v>
      </c>
      <c r="U124" s="536">
        <f t="shared" ca="1" si="114"/>
        <v>4.6359932385549224E-2</v>
      </c>
      <c r="V124" s="536">
        <f t="shared" ca="1" si="114"/>
        <v>4.6359932385549224E-2</v>
      </c>
      <c r="W124" s="536">
        <f t="shared" ca="1" si="114"/>
        <v>4.6359932385549224E-2</v>
      </c>
      <c r="X124" s="536">
        <f t="shared" ca="1" si="114"/>
        <v>4.6359932385549224E-2</v>
      </c>
      <c r="Y124" s="536">
        <f t="shared" ca="1" si="114"/>
        <v>4.6359932385549224E-2</v>
      </c>
    </row>
    <row r="125" spans="1:26">
      <c r="A125" s="295" t="s">
        <v>247</v>
      </c>
      <c r="B125" s="488">
        <f>B53</f>
        <v>0.1</v>
      </c>
      <c r="C125" s="298">
        <f t="shared" ref="C125:N125" si="115">+B125</f>
        <v>0.1</v>
      </c>
      <c r="D125" s="298">
        <f t="shared" si="115"/>
        <v>0.1</v>
      </c>
      <c r="E125" s="298">
        <f t="shared" si="115"/>
        <v>0.1</v>
      </c>
      <c r="F125" s="298">
        <f t="shared" si="115"/>
        <v>0.1</v>
      </c>
      <c r="G125" s="298">
        <f t="shared" si="115"/>
        <v>0.1</v>
      </c>
      <c r="H125" s="298">
        <f t="shared" si="115"/>
        <v>0.1</v>
      </c>
      <c r="I125" s="2267">
        <f t="shared" si="115"/>
        <v>0.1</v>
      </c>
      <c r="J125" s="298">
        <f t="shared" si="115"/>
        <v>0.1</v>
      </c>
      <c r="K125" s="536">
        <f t="shared" si="115"/>
        <v>0.1</v>
      </c>
      <c r="L125" s="536">
        <f t="shared" si="115"/>
        <v>0.1</v>
      </c>
      <c r="M125" s="536">
        <f t="shared" si="115"/>
        <v>0.1</v>
      </c>
      <c r="N125" s="536">
        <f t="shared" si="115"/>
        <v>0.1</v>
      </c>
      <c r="O125" s="536">
        <f t="shared" si="112"/>
        <v>0.1</v>
      </c>
      <c r="P125" s="536">
        <f t="shared" si="112"/>
        <v>0.1</v>
      </c>
      <c r="Q125" s="536">
        <f t="shared" si="112"/>
        <v>0.1</v>
      </c>
      <c r="R125" s="536">
        <f t="shared" si="113"/>
        <v>0.1</v>
      </c>
      <c r="S125" s="536">
        <f t="shared" si="113"/>
        <v>0.1</v>
      </c>
      <c r="T125" s="536">
        <f t="shared" si="114"/>
        <v>0.1</v>
      </c>
      <c r="U125" s="536">
        <f t="shared" si="114"/>
        <v>0.1</v>
      </c>
      <c r="V125" s="536">
        <f t="shared" si="114"/>
        <v>0.1</v>
      </c>
      <c r="W125" s="536">
        <f t="shared" si="114"/>
        <v>0.1</v>
      </c>
      <c r="X125" s="536">
        <f t="shared" si="114"/>
        <v>0.1</v>
      </c>
      <c r="Y125" s="536">
        <f t="shared" si="114"/>
        <v>0.1</v>
      </c>
    </row>
    <row r="126" spans="1:26">
      <c r="A126" s="295" t="s">
        <v>248</v>
      </c>
      <c r="B126" s="488">
        <f>B54</f>
        <v>0.3</v>
      </c>
      <c r="C126" s="298">
        <f t="shared" ref="C126:N126" si="116">+B126</f>
        <v>0.3</v>
      </c>
      <c r="D126" s="298">
        <f t="shared" si="116"/>
        <v>0.3</v>
      </c>
      <c r="E126" s="298">
        <f t="shared" si="116"/>
        <v>0.3</v>
      </c>
      <c r="F126" s="298">
        <f t="shared" si="116"/>
        <v>0.3</v>
      </c>
      <c r="G126" s="298">
        <f t="shared" si="116"/>
        <v>0.3</v>
      </c>
      <c r="H126" s="298">
        <f t="shared" si="116"/>
        <v>0.3</v>
      </c>
      <c r="I126" s="2267">
        <f t="shared" si="116"/>
        <v>0.3</v>
      </c>
      <c r="J126" s="298">
        <f t="shared" si="116"/>
        <v>0.3</v>
      </c>
      <c r="K126" s="536">
        <f t="shared" si="116"/>
        <v>0.3</v>
      </c>
      <c r="L126" s="536">
        <f t="shared" si="116"/>
        <v>0.3</v>
      </c>
      <c r="M126" s="536">
        <f t="shared" si="116"/>
        <v>0.3</v>
      </c>
      <c r="N126" s="536">
        <f t="shared" si="116"/>
        <v>0.3</v>
      </c>
      <c r="O126" s="536">
        <f t="shared" si="112"/>
        <v>0.3</v>
      </c>
      <c r="P126" s="536">
        <f t="shared" si="112"/>
        <v>0.3</v>
      </c>
      <c r="Q126" s="536">
        <f t="shared" si="112"/>
        <v>0.3</v>
      </c>
      <c r="R126" s="536">
        <f t="shared" si="113"/>
        <v>0.3</v>
      </c>
      <c r="S126" s="536">
        <f t="shared" si="113"/>
        <v>0.3</v>
      </c>
      <c r="T126" s="536">
        <f t="shared" si="114"/>
        <v>0.3</v>
      </c>
      <c r="U126" s="536">
        <f t="shared" si="114"/>
        <v>0.3</v>
      </c>
      <c r="V126" s="536">
        <f t="shared" si="114"/>
        <v>0.3</v>
      </c>
      <c r="W126" s="536">
        <f t="shared" si="114"/>
        <v>0.3</v>
      </c>
      <c r="X126" s="536">
        <f t="shared" si="114"/>
        <v>0.3</v>
      </c>
      <c r="Y126" s="536">
        <f t="shared" si="114"/>
        <v>0.3</v>
      </c>
    </row>
    <row r="127" spans="1:26">
      <c r="A127" s="295" t="s">
        <v>249</v>
      </c>
      <c r="B127" s="488">
        <f>B55</f>
        <v>0.245</v>
      </c>
      <c r="C127" s="298">
        <f t="shared" ref="C127:N127" si="117">+B127</f>
        <v>0.245</v>
      </c>
      <c r="D127" s="298">
        <f t="shared" si="117"/>
        <v>0.245</v>
      </c>
      <c r="E127" s="298">
        <f t="shared" si="117"/>
        <v>0.245</v>
      </c>
      <c r="F127" s="298">
        <f t="shared" si="117"/>
        <v>0.245</v>
      </c>
      <c r="G127" s="298">
        <f t="shared" si="117"/>
        <v>0.245</v>
      </c>
      <c r="H127" s="298">
        <f t="shared" si="117"/>
        <v>0.245</v>
      </c>
      <c r="I127" s="2267">
        <f t="shared" si="117"/>
        <v>0.245</v>
      </c>
      <c r="J127" s="298">
        <f t="shared" si="117"/>
        <v>0.245</v>
      </c>
      <c r="K127" s="536">
        <f t="shared" si="117"/>
        <v>0.245</v>
      </c>
      <c r="L127" s="536">
        <f t="shared" si="117"/>
        <v>0.245</v>
      </c>
      <c r="M127" s="536">
        <f t="shared" si="117"/>
        <v>0.245</v>
      </c>
      <c r="N127" s="536">
        <f t="shared" si="117"/>
        <v>0.245</v>
      </c>
      <c r="O127" s="536">
        <f t="shared" si="112"/>
        <v>0.245</v>
      </c>
      <c r="P127" s="536">
        <f t="shared" si="112"/>
        <v>0.245</v>
      </c>
      <c r="Q127" s="536">
        <f t="shared" si="112"/>
        <v>0.245</v>
      </c>
      <c r="R127" s="536">
        <f t="shared" si="113"/>
        <v>0.245</v>
      </c>
      <c r="S127" s="536">
        <f t="shared" si="113"/>
        <v>0.245</v>
      </c>
      <c r="T127" s="536">
        <f t="shared" si="114"/>
        <v>0.245</v>
      </c>
      <c r="U127" s="536">
        <f t="shared" si="114"/>
        <v>0.245</v>
      </c>
      <c r="V127" s="536">
        <f t="shared" si="114"/>
        <v>0.245</v>
      </c>
      <c r="W127" s="536">
        <f t="shared" si="114"/>
        <v>0.245</v>
      </c>
      <c r="X127" s="536">
        <f t="shared" si="114"/>
        <v>0.245</v>
      </c>
      <c r="Y127" s="536">
        <f t="shared" si="114"/>
        <v>0.245</v>
      </c>
    </row>
    <row r="128" spans="1:26">
      <c r="A128" s="295" t="s">
        <v>250</v>
      </c>
      <c r="B128" s="298">
        <f t="shared" ref="B128:O128" ca="1" si="118">((B124*(1-B127)*B126))+(B125*(1-B126))</f>
        <v>8.0500524685326896E-2</v>
      </c>
      <c r="C128" s="298">
        <f t="shared" ca="1" si="118"/>
        <v>8.0500524685326896E-2</v>
      </c>
      <c r="D128" s="298">
        <f t="shared" ca="1" si="118"/>
        <v>8.0500524685326896E-2</v>
      </c>
      <c r="E128" s="298">
        <f t="shared" ca="1" si="118"/>
        <v>8.0500524685326896E-2</v>
      </c>
      <c r="F128" s="298">
        <f t="shared" ca="1" si="118"/>
        <v>8.0500524685326896E-2</v>
      </c>
      <c r="G128" s="298">
        <f t="shared" ca="1" si="118"/>
        <v>8.0500524685326896E-2</v>
      </c>
      <c r="H128" s="298">
        <f t="shared" ca="1" si="118"/>
        <v>8.0500524685326896E-2</v>
      </c>
      <c r="I128" s="2267">
        <f t="shared" ca="1" si="118"/>
        <v>8.0500524685326896E-2</v>
      </c>
      <c r="J128" s="298">
        <f t="shared" ca="1" si="118"/>
        <v>8.0500524685326896E-2</v>
      </c>
      <c r="K128" s="536">
        <f t="shared" ca="1" si="118"/>
        <v>8.0500524685326896E-2</v>
      </c>
      <c r="L128" s="536">
        <f t="shared" ca="1" si="118"/>
        <v>8.0500524685326896E-2</v>
      </c>
      <c r="M128" s="536">
        <f t="shared" ca="1" si="118"/>
        <v>8.0500524685326896E-2</v>
      </c>
      <c r="N128" s="536">
        <f t="shared" ca="1" si="118"/>
        <v>8.0500524685326896E-2</v>
      </c>
      <c r="O128" s="536">
        <f t="shared" ca="1" si="118"/>
        <v>8.0500524685326896E-2</v>
      </c>
      <c r="P128" s="536">
        <f t="shared" ref="P128:U128" ca="1" si="119">((P124*(1-P127)*P126))+(P125*(1-P126))</f>
        <v>8.0500524685326896E-2</v>
      </c>
      <c r="Q128" s="536">
        <f t="shared" ca="1" si="119"/>
        <v>8.0500524685326896E-2</v>
      </c>
      <c r="R128" s="536">
        <f t="shared" ca="1" si="119"/>
        <v>8.0500524685326896E-2</v>
      </c>
      <c r="S128" s="536">
        <f t="shared" ca="1" si="119"/>
        <v>8.0500524685326896E-2</v>
      </c>
      <c r="T128" s="536">
        <f t="shared" ca="1" si="119"/>
        <v>8.0500524685326896E-2</v>
      </c>
      <c r="U128" s="536">
        <f t="shared" ca="1" si="119"/>
        <v>8.0500524685326896E-2</v>
      </c>
      <c r="V128" s="536">
        <f ca="1">((V124*(1-V127)*V126))+(V125*(1-V126))</f>
        <v>8.0500524685326896E-2</v>
      </c>
      <c r="W128" s="536">
        <f ca="1">((W124*(1-W127)*W126))+(W125*(1-W126))</f>
        <v>8.0500524685326896E-2</v>
      </c>
      <c r="X128" s="536">
        <f ca="1">((X124*(1-X127)*X126))+(X125*(1-X126))</f>
        <v>8.0500524685326896E-2</v>
      </c>
      <c r="Y128" s="536">
        <f ca="1">((Y124*(1-Y127)*Y126))+(Y125*(1-Y126))</f>
        <v>8.0500524685326896E-2</v>
      </c>
    </row>
    <row r="129" spans="1:26">
      <c r="A129" s="295" t="s">
        <v>251</v>
      </c>
      <c r="B129" s="2675">
        <f>+B57</f>
        <v>0.02</v>
      </c>
      <c r="C129" s="298">
        <f t="shared" ref="C129:L129" si="120">+B129</f>
        <v>0.02</v>
      </c>
      <c r="D129" s="298">
        <f t="shared" si="120"/>
        <v>0.02</v>
      </c>
      <c r="E129" s="298">
        <f t="shared" si="120"/>
        <v>0.02</v>
      </c>
      <c r="F129" s="298">
        <f t="shared" si="120"/>
        <v>0.02</v>
      </c>
      <c r="G129" s="298">
        <f t="shared" si="120"/>
        <v>0.02</v>
      </c>
      <c r="H129" s="298">
        <f t="shared" si="120"/>
        <v>0.02</v>
      </c>
      <c r="I129" s="2267">
        <f t="shared" si="120"/>
        <v>0.02</v>
      </c>
      <c r="J129" s="298">
        <f t="shared" si="120"/>
        <v>0.02</v>
      </c>
      <c r="K129" s="536">
        <f t="shared" si="120"/>
        <v>0.02</v>
      </c>
      <c r="L129" s="536">
        <f t="shared" si="120"/>
        <v>0.02</v>
      </c>
      <c r="M129" s="536">
        <f t="shared" ref="M129:S129" si="121">+L129</f>
        <v>0.02</v>
      </c>
      <c r="N129" s="536">
        <f t="shared" si="121"/>
        <v>0.02</v>
      </c>
      <c r="O129" s="536">
        <f t="shared" si="121"/>
        <v>0.02</v>
      </c>
      <c r="P129" s="536">
        <f t="shared" si="121"/>
        <v>0.02</v>
      </c>
      <c r="Q129" s="536">
        <f t="shared" si="121"/>
        <v>0.02</v>
      </c>
      <c r="R129" s="536">
        <f t="shared" si="121"/>
        <v>0.02</v>
      </c>
      <c r="S129" s="536">
        <f t="shared" si="121"/>
        <v>0.02</v>
      </c>
      <c r="T129" s="536">
        <f t="shared" ref="T129:Y129" si="122">+S129</f>
        <v>0.02</v>
      </c>
      <c r="U129" s="536">
        <f t="shared" si="122"/>
        <v>0.02</v>
      </c>
      <c r="V129" s="536">
        <f t="shared" si="122"/>
        <v>0.02</v>
      </c>
      <c r="W129" s="536">
        <f t="shared" si="122"/>
        <v>0.02</v>
      </c>
      <c r="X129" s="536">
        <f t="shared" si="122"/>
        <v>0.02</v>
      </c>
      <c r="Y129" s="536">
        <f t="shared" si="122"/>
        <v>0.02</v>
      </c>
    </row>
    <row r="130" spans="1:26">
      <c r="A130" s="295"/>
      <c r="B130" s="6"/>
      <c r="C130" s="6"/>
      <c r="D130" s="6"/>
      <c r="E130" s="6"/>
      <c r="F130" s="6"/>
      <c r="G130" s="6"/>
      <c r="H130" s="6"/>
      <c r="I130" s="1108"/>
      <c r="J130" s="6"/>
      <c r="K130" s="11"/>
      <c r="L130" s="11"/>
      <c r="M130" s="11"/>
      <c r="N130" s="11"/>
      <c r="O130" s="11"/>
      <c r="P130" s="11"/>
      <c r="Q130" s="11"/>
      <c r="R130" s="11"/>
      <c r="S130" s="11"/>
      <c r="T130" s="11"/>
      <c r="U130" s="11"/>
      <c r="V130" s="11"/>
      <c r="W130" s="11"/>
    </row>
    <row r="131" spans="1:26">
      <c r="A131" s="776" t="s">
        <v>243</v>
      </c>
      <c r="B131" s="54">
        <f>'CW Stations'!O66</f>
        <v>119.27181262988069</v>
      </c>
      <c r="C131" s="54">
        <f>'CW Stations'!P66</f>
        <v>104.04907613726922</v>
      </c>
      <c r="D131" s="54">
        <f>'CW Stations'!Q66</f>
        <v>81.09265737348106</v>
      </c>
      <c r="E131" s="54">
        <f>'CW Stations'!R66</f>
        <v>57.513554213962792</v>
      </c>
      <c r="F131" s="54">
        <f>'CW Stations'!S66</f>
        <v>43.623837683811267</v>
      </c>
      <c r="G131" s="54">
        <f>'CW Stations'!T66</f>
        <v>97.120428983604086</v>
      </c>
      <c r="H131" s="54">
        <f>'CW Stations'!U66</f>
        <v>98.056369959709571</v>
      </c>
      <c r="I131" s="1146">
        <f>'CW Stations'!V66</f>
        <v>98.168759465527614</v>
      </c>
      <c r="J131" s="54">
        <f>'CW Stations'!W66</f>
        <v>57.268279868425253</v>
      </c>
      <c r="K131" s="54">
        <f>'CW Stations'!X66</f>
        <v>99.195800297490919</v>
      </c>
      <c r="L131" s="54">
        <f>'CW Stations'!Y66</f>
        <v>106.2509020761776</v>
      </c>
      <c r="M131" s="54">
        <f ca="1">'CW Stations'!Z66</f>
        <v>113.61221106728033</v>
      </c>
      <c r="N131" s="54">
        <f ca="1">'CW Stations'!AA66</f>
        <v>102.84025079858782</v>
      </c>
      <c r="O131" s="54">
        <f ca="1">'CW Stations'!AB66</f>
        <v>114.13479284807495</v>
      </c>
      <c r="P131" s="54">
        <f ca="1">'CW Stations'!AC66</f>
        <v>112.05491117127838</v>
      </c>
      <c r="Q131" s="54">
        <f ca="1">'CW Stations'!AD66</f>
        <v>110.06342908129591</v>
      </c>
      <c r="R131" s="54">
        <f ca="1">'CW Stations'!AE66</f>
        <v>108.06116015161271</v>
      </c>
      <c r="S131" s="54">
        <f ca="1">'CW Stations'!AF66</f>
        <v>106.26172709945038</v>
      </c>
      <c r="T131" s="54">
        <f ca="1">'CW Stations'!AG66</f>
        <v>104.66497043599668</v>
      </c>
      <c r="U131" s="54">
        <f ca="1">'CW Stations'!AH66</f>
        <v>103.27021478169173</v>
      </c>
      <c r="V131" s="54">
        <f ca="1">'CW Stations'!AI66</f>
        <v>101.88592562443036</v>
      </c>
      <c r="W131" s="54">
        <f ca="1">'CW Stations'!AJ66</f>
        <v>100.51196348864715</v>
      </c>
      <c r="X131" s="54">
        <f ca="1">'CW Stations'!AK66</f>
        <v>99.148189945426353</v>
      </c>
      <c r="Y131" s="54">
        <f ca="1">'CW Stations'!AL66</f>
        <v>97.794467598554476</v>
      </c>
    </row>
    <row r="132" spans="1:26">
      <c r="A132" s="776" t="s">
        <v>678</v>
      </c>
      <c r="B132" s="54">
        <f>'CW Stations'!O51</f>
        <v>170.51610755688591</v>
      </c>
      <c r="C132" s="54">
        <f>'CW Stations'!P51</f>
        <v>150.44527739874007</v>
      </c>
      <c r="D132" s="54">
        <f>'CW Stations'!Q51</f>
        <v>119.43158821596319</v>
      </c>
      <c r="E132" s="54">
        <f>'CW Stations'!R51</f>
        <v>84.565539951681046</v>
      </c>
      <c r="F132" s="54">
        <f>'CW Stations'!S51</f>
        <v>60.373938531165891</v>
      </c>
      <c r="G132" s="54">
        <f>'CW Stations'!T51</f>
        <v>133.8744913019724</v>
      </c>
      <c r="H132" s="54">
        <f>'CW Stations'!U51</f>
        <v>134.31346070767404</v>
      </c>
      <c r="I132" s="1146">
        <f>'CW Stations'!V51</f>
        <v>134.38203924496941</v>
      </c>
      <c r="J132" s="54">
        <f>'CW Stations'!W51</f>
        <v>79.652522729458042</v>
      </c>
      <c r="K132" s="54">
        <f>'CW Stations'!X51</f>
        <v>135.39612549993649</v>
      </c>
      <c r="L132" s="54">
        <f>'CW Stations'!Y51</f>
        <v>144.46500345134928</v>
      </c>
      <c r="M132" s="54">
        <f>'CW Stations'!Z51</f>
        <v>154.4424976273383</v>
      </c>
      <c r="N132" s="54">
        <f>'CW Stations'!AA51</f>
        <v>140.281296376932</v>
      </c>
      <c r="O132" s="54">
        <f>'CW Stations'!AB51</f>
        <v>155.28297263182935</v>
      </c>
      <c r="P132" s="54">
        <f>'CW Stations'!AC51</f>
        <v>152.56637936877507</v>
      </c>
      <c r="Q132" s="54">
        <f>'CW Stations'!AD51</f>
        <v>149.86182311237377</v>
      </c>
      <c r="R132" s="54">
        <f>'CW Stations'!AE51</f>
        <v>147.16898681652123</v>
      </c>
      <c r="S132" s="54">
        <f>'CW Stations'!AF51</f>
        <v>144.74521555677165</v>
      </c>
      <c r="T132" s="54">
        <f>'CW Stations'!AG51</f>
        <v>142.59029400721823</v>
      </c>
      <c r="U132" s="54">
        <f>'CW Stations'!AH51</f>
        <v>140.70332358377524</v>
      </c>
      <c r="V132" s="54">
        <f>'CW Stations'!AI51</f>
        <v>138.83061218973288</v>
      </c>
      <c r="W132" s="54">
        <f>'CW Stations'!AJ51</f>
        <v>136.97197112804892</v>
      </c>
      <c r="X132" s="54">
        <f>'CW Stations'!AK51</f>
        <v>135.12721312758393</v>
      </c>
      <c r="Y132" s="54">
        <f>'CW Stations'!AL51</f>
        <v>133.29615232423177</v>
      </c>
    </row>
    <row r="133" spans="1:26">
      <c r="A133" s="776"/>
      <c r="B133" s="11"/>
      <c r="C133" s="11"/>
      <c r="D133" s="11"/>
      <c r="E133" s="11"/>
      <c r="F133" s="11"/>
      <c r="G133" s="11"/>
      <c r="H133" s="11"/>
      <c r="I133" s="1108"/>
      <c r="J133" s="11"/>
      <c r="K133" s="11"/>
      <c r="L133" s="11"/>
      <c r="M133" s="11"/>
      <c r="N133" s="11"/>
      <c r="O133" s="11"/>
      <c r="P133" s="11"/>
      <c r="Q133" s="11"/>
      <c r="R133" s="11"/>
      <c r="S133" s="11"/>
      <c r="T133" s="11"/>
      <c r="U133" s="11"/>
      <c r="V133" s="11"/>
      <c r="W133" s="11"/>
      <c r="X133" s="11"/>
    </row>
    <row r="134" spans="1:26">
      <c r="A134" s="776" t="s">
        <v>1009</v>
      </c>
      <c r="B134" s="181">
        <f>'CW Stations'!O78</f>
        <v>135.96207537071641</v>
      </c>
      <c r="C134" s="181">
        <f t="shared" ref="C134:N134" si="123">+B134</f>
        <v>135.96207537071641</v>
      </c>
      <c r="D134" s="181">
        <f t="shared" si="123"/>
        <v>135.96207537071641</v>
      </c>
      <c r="E134" s="181">
        <f t="shared" si="123"/>
        <v>135.96207537071641</v>
      </c>
      <c r="F134" s="181">
        <f t="shared" si="123"/>
        <v>135.96207537071641</v>
      </c>
      <c r="G134" s="181">
        <f t="shared" si="123"/>
        <v>135.96207537071641</v>
      </c>
      <c r="H134" s="181">
        <f t="shared" si="123"/>
        <v>135.96207537071641</v>
      </c>
      <c r="I134" s="1683">
        <f t="shared" si="123"/>
        <v>135.96207537071641</v>
      </c>
      <c r="J134" s="181">
        <f t="shared" si="123"/>
        <v>135.96207537071641</v>
      </c>
      <c r="K134" s="181">
        <f t="shared" si="123"/>
        <v>135.96207537071641</v>
      </c>
      <c r="L134" s="181">
        <f t="shared" si="123"/>
        <v>135.96207537071641</v>
      </c>
      <c r="M134" s="181">
        <f t="shared" si="123"/>
        <v>135.96207537071641</v>
      </c>
      <c r="N134" s="181">
        <f t="shared" si="123"/>
        <v>135.96207537071641</v>
      </c>
      <c r="O134" s="181">
        <f t="shared" ref="O134:Q136" si="124">+N134</f>
        <v>135.96207537071641</v>
      </c>
      <c r="P134" s="181">
        <f t="shared" si="124"/>
        <v>135.96207537071641</v>
      </c>
      <c r="Q134" s="181">
        <f t="shared" si="124"/>
        <v>135.96207537071641</v>
      </c>
      <c r="R134" s="181">
        <f t="shared" ref="R134:S136" si="125">+Q134</f>
        <v>135.96207537071641</v>
      </c>
      <c r="S134" s="181">
        <f t="shared" si="125"/>
        <v>135.96207537071641</v>
      </c>
      <c r="T134" s="181">
        <f t="shared" ref="T134:Y136" si="126">+S134</f>
        <v>135.96207537071641</v>
      </c>
      <c r="U134" s="181">
        <f t="shared" si="126"/>
        <v>135.96207537071641</v>
      </c>
      <c r="V134" s="181">
        <f t="shared" si="126"/>
        <v>135.96207537071641</v>
      </c>
      <c r="W134" s="181">
        <f t="shared" si="126"/>
        <v>135.96207537071641</v>
      </c>
      <c r="X134" s="181">
        <f t="shared" si="126"/>
        <v>135.96207537071641</v>
      </c>
      <c r="Y134" s="181">
        <f t="shared" si="126"/>
        <v>135.96207537071641</v>
      </c>
    </row>
    <row r="135" spans="1:26">
      <c r="A135" s="777" t="s">
        <v>54</v>
      </c>
      <c r="B135" s="181">
        <f ca="1">'CW Stations'!O79</f>
        <v>32.367764604347961</v>
      </c>
      <c r="C135" s="181">
        <f t="shared" ref="C135:N135" ca="1" si="127">+B135</f>
        <v>32.367764604347961</v>
      </c>
      <c r="D135" s="181">
        <f t="shared" ca="1" si="127"/>
        <v>32.367764604347961</v>
      </c>
      <c r="E135" s="181">
        <f t="shared" ca="1" si="127"/>
        <v>32.367764604347961</v>
      </c>
      <c r="F135" s="181">
        <f t="shared" ca="1" si="127"/>
        <v>32.367764604347961</v>
      </c>
      <c r="G135" s="181">
        <f t="shared" ca="1" si="127"/>
        <v>32.367764604347961</v>
      </c>
      <c r="H135" s="181">
        <f t="shared" ca="1" si="127"/>
        <v>32.367764604347961</v>
      </c>
      <c r="I135" s="1683">
        <f t="shared" ca="1" si="127"/>
        <v>32.367764604347961</v>
      </c>
      <c r="J135" s="181">
        <f t="shared" ca="1" si="127"/>
        <v>32.367764604347961</v>
      </c>
      <c r="K135" s="181">
        <f t="shared" ca="1" si="127"/>
        <v>32.367764604347961</v>
      </c>
      <c r="L135" s="181">
        <f t="shared" ca="1" si="127"/>
        <v>32.367764604347961</v>
      </c>
      <c r="M135" s="181">
        <f t="shared" ca="1" si="127"/>
        <v>32.367764604347961</v>
      </c>
      <c r="N135" s="181">
        <f t="shared" ca="1" si="127"/>
        <v>32.367764604347961</v>
      </c>
      <c r="O135" s="181">
        <f t="shared" ca="1" si="124"/>
        <v>32.367764604347961</v>
      </c>
      <c r="P135" s="181">
        <f t="shared" ca="1" si="124"/>
        <v>32.367764604347961</v>
      </c>
      <c r="Q135" s="181">
        <f t="shared" ca="1" si="124"/>
        <v>32.367764604347961</v>
      </c>
      <c r="R135" s="181">
        <f t="shared" ca="1" si="125"/>
        <v>32.367764604347961</v>
      </c>
      <c r="S135" s="181">
        <f t="shared" ca="1" si="125"/>
        <v>32.367764604347961</v>
      </c>
      <c r="T135" s="181">
        <f t="shared" ca="1" si="126"/>
        <v>32.367764604347961</v>
      </c>
      <c r="U135" s="181">
        <f t="shared" ca="1" si="126"/>
        <v>32.367764604347961</v>
      </c>
      <c r="V135" s="181">
        <f t="shared" ca="1" si="126"/>
        <v>32.367764604347961</v>
      </c>
      <c r="W135" s="181">
        <f t="shared" ca="1" si="126"/>
        <v>32.367764604347961</v>
      </c>
      <c r="X135" s="181">
        <f t="shared" ca="1" si="126"/>
        <v>32.367764604347961</v>
      </c>
      <c r="Y135" s="181">
        <f t="shared" ca="1" si="126"/>
        <v>32.367764604347961</v>
      </c>
    </row>
    <row r="136" spans="1:26">
      <c r="A136" s="777" t="s">
        <v>67</v>
      </c>
      <c r="B136" s="181">
        <f>'CW Stations'!O80</f>
        <v>3.8439538158428803</v>
      </c>
      <c r="C136" s="537">
        <f t="shared" ref="C136:N136" si="128">+B136</f>
        <v>3.8439538158428803</v>
      </c>
      <c r="D136" s="537">
        <f t="shared" si="128"/>
        <v>3.8439538158428803</v>
      </c>
      <c r="E136" s="537">
        <f t="shared" si="128"/>
        <v>3.8439538158428803</v>
      </c>
      <c r="F136" s="537">
        <f t="shared" si="128"/>
        <v>3.8439538158428803</v>
      </c>
      <c r="G136" s="537">
        <f t="shared" si="128"/>
        <v>3.8439538158428803</v>
      </c>
      <c r="H136" s="537">
        <f t="shared" si="128"/>
        <v>3.8439538158428803</v>
      </c>
      <c r="I136" s="2057">
        <f t="shared" si="128"/>
        <v>3.8439538158428803</v>
      </c>
      <c r="J136" s="537">
        <f t="shared" si="128"/>
        <v>3.8439538158428803</v>
      </c>
      <c r="K136" s="537">
        <f t="shared" si="128"/>
        <v>3.8439538158428803</v>
      </c>
      <c r="L136" s="537">
        <f t="shared" si="128"/>
        <v>3.8439538158428803</v>
      </c>
      <c r="M136" s="537">
        <f t="shared" si="128"/>
        <v>3.8439538158428803</v>
      </c>
      <c r="N136" s="537">
        <f t="shared" si="128"/>
        <v>3.8439538158428803</v>
      </c>
      <c r="O136" s="537">
        <f t="shared" si="124"/>
        <v>3.8439538158428803</v>
      </c>
      <c r="P136" s="537">
        <f t="shared" si="124"/>
        <v>3.8439538158428803</v>
      </c>
      <c r="Q136" s="537">
        <f t="shared" si="124"/>
        <v>3.8439538158428803</v>
      </c>
      <c r="R136" s="537">
        <f t="shared" si="125"/>
        <v>3.8439538158428803</v>
      </c>
      <c r="S136" s="537">
        <f t="shared" si="125"/>
        <v>3.8439538158428803</v>
      </c>
      <c r="T136" s="537">
        <f t="shared" si="126"/>
        <v>3.8439538158428803</v>
      </c>
      <c r="U136" s="537">
        <f t="shared" si="126"/>
        <v>3.8439538158428803</v>
      </c>
      <c r="V136" s="537">
        <f t="shared" si="126"/>
        <v>3.8439538158428803</v>
      </c>
      <c r="W136" s="537">
        <f t="shared" si="126"/>
        <v>3.8439538158428803</v>
      </c>
      <c r="X136" s="537">
        <f t="shared" si="126"/>
        <v>3.8439538158428803</v>
      </c>
      <c r="Y136" s="537">
        <f t="shared" si="126"/>
        <v>3.8439538158428803</v>
      </c>
    </row>
    <row r="137" spans="1:26">
      <c r="A137" s="776" t="s">
        <v>56</v>
      </c>
      <c r="B137" s="181">
        <f ca="1">+B134-B135-B136</f>
        <v>99.750356950525557</v>
      </c>
      <c r="C137" s="181">
        <f t="shared" ref="C137:O137" ca="1" si="129">+C134-C135-C136</f>
        <v>99.750356950525557</v>
      </c>
      <c r="D137" s="181">
        <f t="shared" ca="1" si="129"/>
        <v>99.750356950525557</v>
      </c>
      <c r="E137" s="181">
        <f t="shared" ca="1" si="129"/>
        <v>99.750356950525557</v>
      </c>
      <c r="F137" s="181">
        <f t="shared" ca="1" si="129"/>
        <v>99.750356950525557</v>
      </c>
      <c r="G137" s="181">
        <f t="shared" ca="1" si="129"/>
        <v>99.750356950525557</v>
      </c>
      <c r="H137" s="181">
        <f t="shared" ca="1" si="129"/>
        <v>99.750356950525557</v>
      </c>
      <c r="I137" s="1683">
        <f t="shared" ca="1" si="129"/>
        <v>99.750356950525557</v>
      </c>
      <c r="J137" s="181">
        <f t="shared" ca="1" si="129"/>
        <v>99.750356950525557</v>
      </c>
      <c r="K137" s="181">
        <f t="shared" ca="1" si="129"/>
        <v>99.750356950525557</v>
      </c>
      <c r="L137" s="181">
        <f t="shared" ca="1" si="129"/>
        <v>99.750356950525557</v>
      </c>
      <c r="M137" s="181">
        <f t="shared" ca="1" si="129"/>
        <v>99.750356950525557</v>
      </c>
      <c r="N137" s="181">
        <f t="shared" ca="1" si="129"/>
        <v>99.750356950525557</v>
      </c>
      <c r="O137" s="181">
        <f t="shared" ca="1" si="129"/>
        <v>99.750356950525557</v>
      </c>
      <c r="P137" s="181">
        <f t="shared" ref="P137:U137" ca="1" si="130">+P134-P135-P136</f>
        <v>99.750356950525557</v>
      </c>
      <c r="Q137" s="181">
        <f t="shared" ca="1" si="130"/>
        <v>99.750356950525557</v>
      </c>
      <c r="R137" s="181">
        <f t="shared" ca="1" si="130"/>
        <v>99.750356950525557</v>
      </c>
      <c r="S137" s="181">
        <f t="shared" ca="1" si="130"/>
        <v>99.750356950525557</v>
      </c>
      <c r="T137" s="181">
        <f t="shared" ca="1" si="130"/>
        <v>99.750356950525557</v>
      </c>
      <c r="U137" s="181">
        <f t="shared" ca="1" si="130"/>
        <v>99.750356950525557</v>
      </c>
      <c r="V137" s="181">
        <f ca="1">+V134-V135-V136</f>
        <v>99.750356950525557</v>
      </c>
      <c r="W137" s="181">
        <f ca="1">+W134-W135-W136</f>
        <v>99.750356950525557</v>
      </c>
      <c r="X137" s="181">
        <f ca="1">+X134-X135-X136</f>
        <v>99.750356950525557</v>
      </c>
      <c r="Y137" s="181">
        <f ca="1">+Y134-Y135-Y136</f>
        <v>99.750356950525557</v>
      </c>
    </row>
    <row r="138" spans="1:26">
      <c r="A138" s="777" t="s">
        <v>57</v>
      </c>
      <c r="B138" s="181">
        <f ca="1">1/(B128-B129)</f>
        <v>16.528782274222632</v>
      </c>
      <c r="C138" s="181">
        <f t="shared" ref="C138:L138" ca="1" si="131">1/(C128-C129)</f>
        <v>16.528782274222632</v>
      </c>
      <c r="D138" s="181">
        <f t="shared" ca="1" si="131"/>
        <v>16.528782274222632</v>
      </c>
      <c r="E138" s="181">
        <f t="shared" ca="1" si="131"/>
        <v>16.528782274222632</v>
      </c>
      <c r="F138" s="181">
        <f t="shared" ca="1" si="131"/>
        <v>16.528782274222632</v>
      </c>
      <c r="G138" s="181">
        <f t="shared" ca="1" si="131"/>
        <v>16.528782274222632</v>
      </c>
      <c r="H138" s="181">
        <f t="shared" ca="1" si="131"/>
        <v>16.528782274222632</v>
      </c>
      <c r="I138" s="1683">
        <f t="shared" ca="1" si="131"/>
        <v>16.528782274222632</v>
      </c>
      <c r="J138" s="181">
        <f t="shared" ca="1" si="131"/>
        <v>16.528782274222632</v>
      </c>
      <c r="K138" s="181">
        <f t="shared" ca="1" si="131"/>
        <v>16.528782274222632</v>
      </c>
      <c r="L138" s="181">
        <f t="shared" ca="1" si="131"/>
        <v>16.528782274222632</v>
      </c>
      <c r="M138" s="181">
        <f t="shared" ref="M138:S138" ca="1" si="132">1/(M128-M129)</f>
        <v>16.528782274222632</v>
      </c>
      <c r="N138" s="181">
        <f t="shared" ca="1" si="132"/>
        <v>16.528782274222632</v>
      </c>
      <c r="O138" s="181">
        <f t="shared" ca="1" si="132"/>
        <v>16.528782274222632</v>
      </c>
      <c r="P138" s="181">
        <f t="shared" ca="1" si="132"/>
        <v>16.528782274222632</v>
      </c>
      <c r="Q138" s="181">
        <f t="shared" ca="1" si="132"/>
        <v>16.528782274222632</v>
      </c>
      <c r="R138" s="181">
        <f t="shared" ca="1" si="132"/>
        <v>16.528782274222632</v>
      </c>
      <c r="S138" s="181">
        <f t="shared" ca="1" si="132"/>
        <v>16.528782274222632</v>
      </c>
      <c r="T138" s="181">
        <f t="shared" ref="T138:Y138" ca="1" si="133">1/(T128-T129)</f>
        <v>16.528782274222632</v>
      </c>
      <c r="U138" s="181">
        <f t="shared" ca="1" si="133"/>
        <v>16.528782274222632</v>
      </c>
      <c r="V138" s="181">
        <f t="shared" ca="1" si="133"/>
        <v>16.528782274222632</v>
      </c>
      <c r="W138" s="181">
        <f t="shared" ca="1" si="133"/>
        <v>16.528782274222632</v>
      </c>
      <c r="X138" s="181">
        <f t="shared" ca="1" si="133"/>
        <v>16.528782274222632</v>
      </c>
      <c r="Y138" s="181">
        <f t="shared" ca="1" si="133"/>
        <v>16.528782274222632</v>
      </c>
    </row>
    <row r="139" spans="1:26">
      <c r="A139" s="777" t="s">
        <v>58</v>
      </c>
      <c r="B139" s="181">
        <f ca="1">+B140/B134</f>
        <v>12.126557551550411</v>
      </c>
      <c r="C139" s="181">
        <f t="shared" ref="C139:L139" ca="1" si="134">+C140/C134</f>
        <v>12.126557551550411</v>
      </c>
      <c r="D139" s="181">
        <f t="shared" ca="1" si="134"/>
        <v>12.126557551550411</v>
      </c>
      <c r="E139" s="181">
        <f t="shared" ca="1" si="134"/>
        <v>12.126557551550411</v>
      </c>
      <c r="F139" s="181">
        <f t="shared" ca="1" si="134"/>
        <v>12.126557551550411</v>
      </c>
      <c r="G139" s="181">
        <f t="shared" ca="1" si="134"/>
        <v>12.126557551550411</v>
      </c>
      <c r="H139" s="181">
        <f t="shared" ca="1" si="134"/>
        <v>12.126557551550411</v>
      </c>
      <c r="I139" s="1683">
        <f t="shared" ca="1" si="134"/>
        <v>12.126557551550411</v>
      </c>
      <c r="J139" s="181">
        <f t="shared" ca="1" si="134"/>
        <v>12.126557551550411</v>
      </c>
      <c r="K139" s="181">
        <f t="shared" ca="1" si="134"/>
        <v>12.126557551550411</v>
      </c>
      <c r="L139" s="181">
        <f t="shared" ca="1" si="134"/>
        <v>12.126557551550411</v>
      </c>
      <c r="M139" s="181">
        <f t="shared" ref="M139:S139" ca="1" si="135">+M140/M134</f>
        <v>12.126557551550411</v>
      </c>
      <c r="N139" s="181">
        <f t="shared" ca="1" si="135"/>
        <v>12.126557551550411</v>
      </c>
      <c r="O139" s="181">
        <f t="shared" ca="1" si="135"/>
        <v>12.126557551550411</v>
      </c>
      <c r="P139" s="181">
        <f t="shared" ca="1" si="135"/>
        <v>12.126557551550411</v>
      </c>
      <c r="Q139" s="181">
        <f t="shared" ca="1" si="135"/>
        <v>12.126557551550411</v>
      </c>
      <c r="R139" s="181">
        <f t="shared" ca="1" si="135"/>
        <v>12.126557551550411</v>
      </c>
      <c r="S139" s="181">
        <f t="shared" ca="1" si="135"/>
        <v>12.126557551550411</v>
      </c>
      <c r="T139" s="181">
        <f t="shared" ref="T139:Y139" ca="1" si="136">+T140/T134</f>
        <v>12.126557551550411</v>
      </c>
      <c r="U139" s="181">
        <f t="shared" ca="1" si="136"/>
        <v>12.126557551550411</v>
      </c>
      <c r="V139" s="181">
        <f t="shared" ca="1" si="136"/>
        <v>12.126557551550411</v>
      </c>
      <c r="W139" s="181">
        <f t="shared" ca="1" si="136"/>
        <v>12.126557551550411</v>
      </c>
      <c r="X139" s="181">
        <f t="shared" ca="1" si="136"/>
        <v>12.126557551550411</v>
      </c>
      <c r="Y139" s="181">
        <f t="shared" ca="1" si="136"/>
        <v>12.126557551550411</v>
      </c>
    </row>
    <row r="140" spans="1:26">
      <c r="A140" s="776" t="s">
        <v>59</v>
      </c>
      <c r="B140" s="181">
        <f ca="1">B138*B137</f>
        <v>1648.7519318112272</v>
      </c>
      <c r="C140" s="181">
        <f t="shared" ref="C140:L140" ca="1" si="137">C138*C137</f>
        <v>1648.7519318112272</v>
      </c>
      <c r="D140" s="181">
        <f t="shared" ca="1" si="137"/>
        <v>1648.7519318112272</v>
      </c>
      <c r="E140" s="181">
        <f t="shared" ca="1" si="137"/>
        <v>1648.7519318112272</v>
      </c>
      <c r="F140" s="181">
        <f t="shared" ca="1" si="137"/>
        <v>1648.7519318112272</v>
      </c>
      <c r="G140" s="181">
        <f t="shared" ca="1" si="137"/>
        <v>1648.7519318112272</v>
      </c>
      <c r="H140" s="181">
        <f t="shared" ca="1" si="137"/>
        <v>1648.7519318112272</v>
      </c>
      <c r="I140" s="1683">
        <f t="shared" ca="1" si="137"/>
        <v>1648.7519318112272</v>
      </c>
      <c r="J140" s="181">
        <f t="shared" ca="1" si="137"/>
        <v>1648.7519318112272</v>
      </c>
      <c r="K140" s="181">
        <f t="shared" ca="1" si="137"/>
        <v>1648.7519318112272</v>
      </c>
      <c r="L140" s="181">
        <f t="shared" ca="1" si="137"/>
        <v>1648.7519318112272</v>
      </c>
      <c r="M140" s="181">
        <f t="shared" ref="M140:S140" ca="1" si="138">M138*M137</f>
        <v>1648.7519318112272</v>
      </c>
      <c r="N140" s="181">
        <f t="shared" ca="1" si="138"/>
        <v>1648.7519318112272</v>
      </c>
      <c r="O140" s="181">
        <f t="shared" ca="1" si="138"/>
        <v>1648.7519318112272</v>
      </c>
      <c r="P140" s="181">
        <f t="shared" ca="1" si="138"/>
        <v>1648.7519318112272</v>
      </c>
      <c r="Q140" s="181">
        <f t="shared" ca="1" si="138"/>
        <v>1648.7519318112272</v>
      </c>
      <c r="R140" s="181">
        <f t="shared" ca="1" si="138"/>
        <v>1648.7519318112272</v>
      </c>
      <c r="S140" s="181">
        <f t="shared" ca="1" si="138"/>
        <v>1648.7519318112272</v>
      </c>
      <c r="T140" s="181">
        <f t="shared" ref="T140:Y140" ca="1" si="139">T138*T137</f>
        <v>1648.7519318112272</v>
      </c>
      <c r="U140" s="181">
        <f t="shared" ca="1" si="139"/>
        <v>1648.7519318112272</v>
      </c>
      <c r="V140" s="181">
        <f t="shared" ca="1" si="139"/>
        <v>1648.7519318112272</v>
      </c>
      <c r="W140" s="181">
        <f t="shared" ca="1" si="139"/>
        <v>1648.7519318112272</v>
      </c>
      <c r="X140" s="181">
        <f t="shared" ca="1" si="139"/>
        <v>1648.7519318112272</v>
      </c>
      <c r="Y140" s="181">
        <f t="shared" ca="1" si="139"/>
        <v>1648.7519318112272</v>
      </c>
    </row>
    <row r="141" spans="1:26">
      <c r="A141" s="776" t="s">
        <v>60</v>
      </c>
      <c r="B141" s="181">
        <f ca="1">B140/((1+B128)^B147)</f>
        <v>277.83101713515839</v>
      </c>
      <c r="C141" s="181">
        <f t="shared" ref="C141:Y141" ca="1" si="140">C140/((1+C128)^C147)</f>
        <v>300.19655978839671</v>
      </c>
      <c r="D141" s="181">
        <f t="shared" ca="1" si="140"/>
        <v>324.36254036009279</v>
      </c>
      <c r="E141" s="181">
        <f t="shared" ca="1" si="140"/>
        <v>350.47389504734582</v>
      </c>
      <c r="F141" s="181">
        <f t="shared" ca="1" si="140"/>
        <v>378.68722748716738</v>
      </c>
      <c r="G141" s="181">
        <f t="shared" ca="1" si="140"/>
        <v>409.17174799151616</v>
      </c>
      <c r="H141" s="181">
        <f t="shared" ca="1" si="140"/>
        <v>442.1102883912456</v>
      </c>
      <c r="I141" s="181">
        <f t="shared" ca="1" si="140"/>
        <v>477.70039857552206</v>
      </c>
      <c r="J141" s="181">
        <f t="shared" ca="1" si="140"/>
        <v>516.15553130324156</v>
      </c>
      <c r="K141" s="181">
        <f t="shared" ca="1" si="140"/>
        <v>557.70632239238626</v>
      </c>
      <c r="L141" s="181">
        <f t="shared" ca="1" si="140"/>
        <v>602.60197396529736</v>
      </c>
      <c r="M141" s="181">
        <f t="shared" ca="1" si="140"/>
        <v>651.11174904591758</v>
      </c>
      <c r="N141" s="181">
        <f t="shared" ca="1" si="140"/>
        <v>703.52658647289491</v>
      </c>
      <c r="O141" s="181">
        <f t="shared" ca="1" si="140"/>
        <v>760.16084581404004</v>
      </c>
      <c r="P141" s="181">
        <f t="shared" ca="1" si="140"/>
        <v>821.35419274731225</v>
      </c>
      <c r="Q141" s="181">
        <f t="shared" ca="1" si="140"/>
        <v>887.47363621596401</v>
      </c>
      <c r="R141" s="181">
        <f t="shared" ca="1" si="140"/>
        <v>958.91572957574431</v>
      </c>
      <c r="S141" s="181">
        <f t="shared" ca="1" si="140"/>
        <v>1036.1089489356048</v>
      </c>
      <c r="T141" s="181">
        <f t="shared" ca="1" si="140"/>
        <v>1119.5162629560837</v>
      </c>
      <c r="U141" s="181">
        <f t="shared" ca="1" si="140"/>
        <v>1209.6379095178049</v>
      </c>
      <c r="V141" s="181">
        <f t="shared" ca="1" si="140"/>
        <v>1307.0143959132504</v>
      </c>
      <c r="W141" s="181">
        <f t="shared" ca="1" si="140"/>
        <v>1412.2297405555428</v>
      </c>
      <c r="X141" s="181">
        <f t="shared" ca="1" si="140"/>
        <v>1525.9149756464872</v>
      </c>
      <c r="Y141" s="181">
        <f t="shared" ca="1" si="140"/>
        <v>1648.7519318112272</v>
      </c>
    </row>
    <row r="142" spans="1:26">
      <c r="A142" s="776" t="s">
        <v>63</v>
      </c>
      <c r="B142" s="173">
        <f ca="1">NPV(B128,C131:$Y131)</f>
        <v>945.87201558574566</v>
      </c>
      <c r="C142" s="173">
        <f ca="1">NPV(C128,D131:$Y131)</f>
        <v>917.96613298829698</v>
      </c>
      <c r="D142" s="173">
        <f ca="1">NPV(D128,E131:$Y131)</f>
        <v>910.77023096373443</v>
      </c>
      <c r="E142" s="173">
        <f ca="1">NPV(E128,F131:$Y131)</f>
        <v>926.57415821012899</v>
      </c>
      <c r="F142" s="173">
        <f ca="1">NPV(F128,G131:$Y131)</f>
        <v>957.54002642209787</v>
      </c>
      <c r="G142" s="173">
        <f ca="1">NPV(G128,H131:$Y131)</f>
        <v>937.50207197267457</v>
      </c>
      <c r="H142" s="173">
        <f ca="1">NPV(H128,I131:$Y131)</f>
        <v>914.91511070034676</v>
      </c>
      <c r="I142" s="173">
        <f ca="1">NPV(I128,J131:$Y131)</f>
        <v>890.39749768873071</v>
      </c>
      <c r="J142" s="173">
        <f ca="1">NPV(J128,K131:$Y131)</f>
        <v>904.80668356275078</v>
      </c>
      <c r="K142" s="173">
        <f ca="1">NPV(K128,L131:$Y131)</f>
        <v>878.44829603085168</v>
      </c>
      <c r="L142" s="173">
        <f ca="1">NPV(L128,M131:$Y131)</f>
        <v>842.91294269408922</v>
      </c>
      <c r="M142" s="173">
        <f ca="1">NPV(M128,N131:$Y131)</f>
        <v>797.15566577773598</v>
      </c>
      <c r="N142" s="173">
        <f ca="1">NPV(N128,O131:$Y131)</f>
        <v>758.48686433013722</v>
      </c>
      <c r="O142" s="173">
        <f ca="1">NPV(O128,P131:$Y131)</f>
        <v>705.41066202756667</v>
      </c>
      <c r="P142" s="173">
        <f ca="1">NPV(P128,Q131:$Y131)</f>
        <v>650.14167926813127</v>
      </c>
      <c r="Q142" s="173">
        <f ca="1">NPV(Q128,R131:$Y131)</f>
        <v>592.41499648771958</v>
      </c>
      <c r="R142" s="173">
        <f ca="1">NPV(R128,S131:$Y131)</f>
        <v>532.04355438482435</v>
      </c>
      <c r="S142" s="173">
        <f ca="1">NPV(S128,T131:$Y131)</f>
        <v>468.61161256879865</v>
      </c>
      <c r="T142" s="173">
        <f ca="1">NPV(T128,U131:$Y131)</f>
        <v>401.67012281822741</v>
      </c>
      <c r="U142" s="173">
        <f ca="1">NPV(U128,V131:$Y131)</f>
        <v>330.73456367382272</v>
      </c>
      <c r="V142" s="173">
        <f ca="1">NPV(V128,W131:$Y131)</f>
        <v>255.47294395670775</v>
      </c>
      <c r="W142" s="173">
        <f ca="1">NPV(W128,X131:$Y131)</f>
        <v>175.52668649948075</v>
      </c>
      <c r="X142" s="173">
        <f ca="1">NPV(X128,Y131:$Y131)</f>
        <v>90.5084869135395</v>
      </c>
      <c r="Y142" s="469">
        <v>0</v>
      </c>
      <c r="Z142" s="1396"/>
    </row>
    <row r="143" spans="1:26">
      <c r="A143" s="776"/>
      <c r="B143" s="539"/>
      <c r="C143" s="539"/>
      <c r="D143" s="539"/>
      <c r="E143" s="539"/>
      <c r="F143" s="539"/>
      <c r="G143" s="539"/>
      <c r="H143" s="539"/>
      <c r="I143" s="2268"/>
      <c r="J143" s="539"/>
      <c r="K143" s="539"/>
      <c r="L143" s="539"/>
      <c r="M143" s="539"/>
      <c r="N143" s="539"/>
      <c r="O143" s="539"/>
      <c r="P143" s="539"/>
      <c r="Q143" s="539"/>
      <c r="R143" s="539"/>
      <c r="S143" s="539"/>
      <c r="T143" s="539"/>
      <c r="U143" s="539"/>
      <c r="V143" s="539"/>
      <c r="W143" s="539"/>
    </row>
    <row r="144" spans="1:26">
      <c r="A144" s="776" t="s">
        <v>64</v>
      </c>
      <c r="B144" s="540">
        <f ca="1">B142+B141</f>
        <v>1223.703032720904</v>
      </c>
      <c r="C144" s="540">
        <f ca="1">C142+C141</f>
        <v>1218.1626927766938</v>
      </c>
      <c r="D144" s="540">
        <f t="shared" ref="D144:Y144" ca="1" si="141">D142+D141</f>
        <v>1235.1327713238272</v>
      </c>
      <c r="E144" s="540">
        <f t="shared" ca="1" si="141"/>
        <v>1277.0480532574747</v>
      </c>
      <c r="F144" s="540">
        <f t="shared" ca="1" si="141"/>
        <v>1336.2272539092653</v>
      </c>
      <c r="G144" s="540">
        <f t="shared" ca="1" si="141"/>
        <v>1346.6738199641907</v>
      </c>
      <c r="H144" s="540">
        <f t="shared" ca="1" si="141"/>
        <v>1357.0253990915924</v>
      </c>
      <c r="I144" s="540">
        <f t="shared" ca="1" si="141"/>
        <v>1368.0978962642528</v>
      </c>
      <c r="J144" s="540">
        <f t="shared" ca="1" si="141"/>
        <v>1420.9622148659923</v>
      </c>
      <c r="K144" s="540">
        <f t="shared" ca="1" si="141"/>
        <v>1436.1546184232379</v>
      </c>
      <c r="L144" s="540">
        <f t="shared" ca="1" si="141"/>
        <v>1445.5149166593865</v>
      </c>
      <c r="M144" s="540">
        <f t="shared" ca="1" si="141"/>
        <v>1448.2674148236536</v>
      </c>
      <c r="N144" s="540">
        <f t="shared" ca="1" si="141"/>
        <v>1462.0134508030321</v>
      </c>
      <c r="O144" s="540">
        <f t="shared" ca="1" si="141"/>
        <v>1465.5715078416067</v>
      </c>
      <c r="P144" s="540">
        <f t="shared" ca="1" si="141"/>
        <v>1471.4958720154436</v>
      </c>
      <c r="Q144" s="540">
        <f t="shared" ca="1" si="141"/>
        <v>1479.8886327036835</v>
      </c>
      <c r="R144" s="540">
        <f t="shared" ca="1" si="141"/>
        <v>1490.9592839605687</v>
      </c>
      <c r="S144" s="540">
        <f t="shared" ca="1" si="141"/>
        <v>1504.7205615044033</v>
      </c>
      <c r="T144" s="540">
        <f t="shared" ca="1" si="141"/>
        <v>1521.186385774311</v>
      </c>
      <c r="U144" s="540">
        <f t="shared" ca="1" si="141"/>
        <v>1540.3724731916277</v>
      </c>
      <c r="V144" s="540">
        <f t="shared" ca="1" si="141"/>
        <v>1562.4873398699581</v>
      </c>
      <c r="W144" s="540">
        <f t="shared" ca="1" si="141"/>
        <v>1587.7564270550236</v>
      </c>
      <c r="X144" s="540">
        <f t="shared" ca="1" si="141"/>
        <v>1616.4234625600266</v>
      </c>
      <c r="Y144" s="540">
        <f t="shared" ca="1" si="141"/>
        <v>1648.7519318112272</v>
      </c>
    </row>
    <row r="145" spans="1:26">
      <c r="A145" s="777" t="s">
        <v>72</v>
      </c>
      <c r="B145" s="541">
        <f t="shared" ref="B145:O145" ca="1" si="142">B144/B132</f>
        <v>7.1764659084342766</v>
      </c>
      <c r="C145" s="541">
        <f t="shared" ca="1" si="142"/>
        <v>8.0970484008486103</v>
      </c>
      <c r="D145" s="541">
        <f t="shared" ca="1" si="142"/>
        <v>10.341759577796017</v>
      </c>
      <c r="E145" s="541">
        <f t="shared" ca="1" si="142"/>
        <v>15.101281845857697</v>
      </c>
      <c r="F145" s="541">
        <f t="shared" ca="1" si="142"/>
        <v>22.132517546780317</v>
      </c>
      <c r="G145" s="541">
        <f t="shared" ca="1" si="142"/>
        <v>10.059226420712083</v>
      </c>
      <c r="H145" s="541">
        <f t="shared" ca="1" si="142"/>
        <v>10.103420699173887</v>
      </c>
      <c r="I145" s="2270">
        <f t="shared" ca="1" si="142"/>
        <v>10.180660331923542</v>
      </c>
      <c r="J145" s="541">
        <f t="shared" ca="1" si="142"/>
        <v>17.839513001896112</v>
      </c>
      <c r="K145" s="541">
        <f t="shared" ca="1" si="142"/>
        <v>10.607058459910743</v>
      </c>
      <c r="L145" s="541">
        <f t="shared" ca="1" si="142"/>
        <v>10.0059867935156</v>
      </c>
      <c r="M145" s="541">
        <f t="shared" ca="1" si="142"/>
        <v>9.3773892359488222</v>
      </c>
      <c r="N145" s="541">
        <f t="shared" ca="1" si="142"/>
        <v>10.422012688524363</v>
      </c>
      <c r="O145" s="541">
        <f t="shared" ca="1" si="142"/>
        <v>9.4380696286412995</v>
      </c>
      <c r="P145" s="541">
        <f t="shared" ref="P145:U145" ca="1" si="143">P144/P132</f>
        <v>9.644955055652364</v>
      </c>
      <c r="Q145" s="541">
        <f t="shared" ca="1" si="143"/>
        <v>9.8750208823630157</v>
      </c>
      <c r="R145" s="541">
        <f t="shared" ca="1" si="143"/>
        <v>10.130933943435922</v>
      </c>
      <c r="S145" s="541">
        <f t="shared" ca="1" si="143"/>
        <v>10.395649733335919</v>
      </c>
      <c r="T145" s="541">
        <f t="shared" ca="1" si="143"/>
        <v>10.668232339133162</v>
      </c>
      <c r="U145" s="541">
        <f t="shared" ca="1" si="143"/>
        <v>10.947662314987781</v>
      </c>
      <c r="V145" s="541">
        <f ca="1">V144/V132</f>
        <v>11.25463120291211</v>
      </c>
      <c r="W145" s="541">
        <f ca="1">W144/W132</f>
        <v>11.591834548184327</v>
      </c>
      <c r="X145" s="541">
        <f ca="1">X144/X132</f>
        <v>11.962234883315752</v>
      </c>
      <c r="Y145" s="541">
        <f ca="1">Y144/Y132</f>
        <v>12.36908870258142</v>
      </c>
    </row>
    <row r="146" spans="1:26">
      <c r="A146" s="777" t="s">
        <v>73</v>
      </c>
      <c r="B146" s="541">
        <f ca="1">B144/C132</f>
        <v>8.1338746810749143</v>
      </c>
      <c r="C146" s="541">
        <f t="shared" ref="C146:M146" ca="1" si="144">C144/D132</f>
        <v>10.199669207897836</v>
      </c>
      <c r="D146" s="541">
        <f t="shared" ca="1" si="144"/>
        <v>14.605627446233488</v>
      </c>
      <c r="E146" s="541">
        <f t="shared" ca="1" si="144"/>
        <v>21.152306513815464</v>
      </c>
      <c r="F146" s="541">
        <f t="shared" ca="1" si="144"/>
        <v>9.9811938847649486</v>
      </c>
      <c r="G146" s="541">
        <f t="shared" ca="1" si="144"/>
        <v>10.026350396072015</v>
      </c>
      <c r="H146" s="541">
        <f t="shared" ca="1" si="144"/>
        <v>10.098264669267493</v>
      </c>
      <c r="I146" s="2270">
        <f t="shared" ca="1" si="144"/>
        <v>17.175826318910634</v>
      </c>
      <c r="J146" s="541">
        <f t="shared" ca="1" si="144"/>
        <v>10.494851382336336</v>
      </c>
      <c r="K146" s="541">
        <f t="shared" ca="1" si="144"/>
        <v>9.9411939508718756</v>
      </c>
      <c r="L146" s="541">
        <f t="shared" ca="1" si="144"/>
        <v>9.3595670807353724</v>
      </c>
      <c r="M146" s="541">
        <f t="shared" ca="1" si="144"/>
        <v>10.32402360277737</v>
      </c>
      <c r="N146" s="541">
        <f t="shared" ref="N146:X146" ca="1" si="145">N144/O132</f>
        <v>9.4151562532835857</v>
      </c>
      <c r="O146" s="541">
        <f t="shared" ca="1" si="145"/>
        <v>9.6061236683024891</v>
      </c>
      <c r="P146" s="541">
        <f t="shared" ca="1" si="145"/>
        <v>9.8190175553385846</v>
      </c>
      <c r="Q146" s="541">
        <f t="shared" ca="1" si="145"/>
        <v>10.055709866024237</v>
      </c>
      <c r="R146" s="541">
        <f t="shared" ca="1" si="145"/>
        <v>10.300577315978972</v>
      </c>
      <c r="S146" s="541">
        <f t="shared" ca="1" si="145"/>
        <v>10.55275586589527</v>
      </c>
      <c r="T146" s="541">
        <f t="shared" ca="1" si="145"/>
        <v>10.811303862830158</v>
      </c>
      <c r="U146" s="541">
        <f t="shared" ca="1" si="145"/>
        <v>11.095337324353778</v>
      </c>
      <c r="V146" s="541">
        <f t="shared" ca="1" si="145"/>
        <v>11.407350912759071</v>
      </c>
      <c r="W146" s="541">
        <f t="shared" ca="1" si="145"/>
        <v>11.750086383827819</v>
      </c>
      <c r="X146" s="541">
        <f t="shared" ca="1" si="145"/>
        <v>12.126557551550411</v>
      </c>
    </row>
    <row r="147" spans="1:26">
      <c r="A147" s="778" t="s">
        <v>61</v>
      </c>
      <c r="B147" s="11">
        <f t="shared" ref="B147:Q147" si="146">+C147+1</f>
        <v>23</v>
      </c>
      <c r="C147" s="11">
        <f t="shared" si="146"/>
        <v>22</v>
      </c>
      <c r="D147" s="11">
        <f t="shared" si="146"/>
        <v>21</v>
      </c>
      <c r="E147" s="11">
        <f t="shared" si="146"/>
        <v>20</v>
      </c>
      <c r="F147" s="11">
        <f t="shared" si="146"/>
        <v>19</v>
      </c>
      <c r="G147" s="11">
        <f t="shared" si="146"/>
        <v>18</v>
      </c>
      <c r="H147" s="11">
        <f t="shared" si="146"/>
        <v>17</v>
      </c>
      <c r="I147" s="1108">
        <f t="shared" si="146"/>
        <v>16</v>
      </c>
      <c r="J147" s="11">
        <f t="shared" si="146"/>
        <v>15</v>
      </c>
      <c r="K147" s="11">
        <f t="shared" si="146"/>
        <v>14</v>
      </c>
      <c r="L147" s="11">
        <f t="shared" si="146"/>
        <v>13</v>
      </c>
      <c r="M147" s="11">
        <f t="shared" si="146"/>
        <v>12</v>
      </c>
      <c r="N147" s="11">
        <f t="shared" si="146"/>
        <v>11</v>
      </c>
      <c r="O147" s="11">
        <f t="shared" si="146"/>
        <v>10</v>
      </c>
      <c r="P147" s="11">
        <f t="shared" si="146"/>
        <v>9</v>
      </c>
      <c r="Q147" s="11">
        <f t="shared" si="146"/>
        <v>8</v>
      </c>
      <c r="R147" s="11">
        <f t="shared" ref="R147:X147" si="147">+S147+1</f>
        <v>7</v>
      </c>
      <c r="S147" s="11">
        <f t="shared" si="147"/>
        <v>6</v>
      </c>
      <c r="T147" s="11">
        <f t="shared" si="147"/>
        <v>5</v>
      </c>
      <c r="U147" s="11">
        <f t="shared" si="147"/>
        <v>4</v>
      </c>
      <c r="V147" s="11">
        <f t="shared" si="147"/>
        <v>3</v>
      </c>
      <c r="W147" s="11">
        <f t="shared" si="147"/>
        <v>2</v>
      </c>
      <c r="X147" s="11">
        <f t="shared" si="147"/>
        <v>1</v>
      </c>
      <c r="Y147" s="469">
        <v>0</v>
      </c>
      <c r="Z147" s="1396"/>
    </row>
    <row r="148" spans="1:26">
      <c r="A148" s="91"/>
      <c r="B148" s="91"/>
      <c r="C148" s="91"/>
      <c r="D148" s="91"/>
      <c r="E148" s="91"/>
      <c r="F148" s="91"/>
      <c r="G148" s="91"/>
      <c r="H148" s="91"/>
      <c r="I148" s="1710"/>
      <c r="J148" s="91"/>
      <c r="K148" s="91"/>
      <c r="L148" s="91"/>
      <c r="M148" s="91"/>
      <c r="N148" s="91"/>
      <c r="O148" s="91"/>
      <c r="P148" s="91"/>
      <c r="Q148" s="91"/>
      <c r="R148" s="304"/>
      <c r="S148" s="304"/>
      <c r="T148" s="304"/>
      <c r="U148" s="304"/>
      <c r="V148" s="304"/>
      <c r="W148" s="304"/>
    </row>
    <row r="149" spans="1:26">
      <c r="A149" s="91"/>
      <c r="B149" s="91"/>
      <c r="C149" s="91"/>
      <c r="D149" s="91"/>
      <c r="E149" s="91"/>
      <c r="F149" s="91"/>
      <c r="G149" s="91"/>
      <c r="H149" s="91"/>
      <c r="I149" s="1710"/>
      <c r="J149" s="91"/>
      <c r="K149" s="91"/>
      <c r="L149" s="91"/>
      <c r="M149" s="91"/>
      <c r="N149" s="91"/>
      <c r="O149" s="91"/>
      <c r="P149" s="91"/>
      <c r="Q149" s="91"/>
      <c r="R149" s="304"/>
      <c r="S149" s="304"/>
      <c r="T149" s="304"/>
      <c r="U149" s="304"/>
      <c r="V149" s="304"/>
      <c r="W149" s="304"/>
    </row>
    <row r="150" spans="1:26">
      <c r="A150" s="1266" t="s">
        <v>1396</v>
      </c>
      <c r="B150" s="1267"/>
      <c r="C150" s="1268"/>
      <c r="D150" s="1268"/>
      <c r="E150" s="1269"/>
      <c r="F150" s="1269"/>
      <c r="G150" s="1269"/>
      <c r="H150" s="1269"/>
      <c r="I150" s="2582"/>
      <c r="J150" s="1269"/>
      <c r="K150" s="1269"/>
      <c r="L150" s="1269"/>
      <c r="M150" s="1269"/>
      <c r="N150" s="1269"/>
      <c r="O150" s="1269"/>
      <c r="P150" s="1269"/>
      <c r="Q150" s="1269"/>
      <c r="R150" s="1269"/>
      <c r="S150" s="1269"/>
      <c r="T150" s="1269"/>
      <c r="U150" s="1269"/>
      <c r="V150" s="1269"/>
      <c r="W150" s="1269"/>
      <c r="X150" s="1269"/>
      <c r="Y150" s="1269"/>
    </row>
    <row r="151" spans="1:26">
      <c r="A151" s="1270"/>
      <c r="B151" s="1271">
        <v>2005</v>
      </c>
      <c r="C151" s="1271">
        <f>B151+1</f>
        <v>2006</v>
      </c>
      <c r="D151" s="1271">
        <f t="shared" ref="D151:N151" si="148">C151+1</f>
        <v>2007</v>
      </c>
      <c r="E151" s="1271">
        <f t="shared" si="148"/>
        <v>2008</v>
      </c>
      <c r="F151" s="1271">
        <f t="shared" si="148"/>
        <v>2009</v>
      </c>
      <c r="G151" s="1271">
        <f t="shared" si="148"/>
        <v>2010</v>
      </c>
      <c r="H151" s="1271">
        <f t="shared" si="148"/>
        <v>2011</v>
      </c>
      <c r="I151" s="2674">
        <f t="shared" si="148"/>
        <v>2012</v>
      </c>
      <c r="J151" s="1271">
        <f t="shared" si="148"/>
        <v>2013</v>
      </c>
      <c r="K151" s="1271">
        <f t="shared" si="148"/>
        <v>2014</v>
      </c>
      <c r="L151" s="1271">
        <f t="shared" si="148"/>
        <v>2015</v>
      </c>
      <c r="M151" s="1271">
        <f t="shared" si="148"/>
        <v>2016</v>
      </c>
      <c r="N151" s="1271">
        <f t="shared" si="148"/>
        <v>2017</v>
      </c>
      <c r="O151" s="1271">
        <f t="shared" ref="O151:Y151" si="149">N151+1</f>
        <v>2018</v>
      </c>
      <c r="P151" s="1271">
        <f t="shared" si="149"/>
        <v>2019</v>
      </c>
      <c r="Q151" s="1271">
        <f t="shared" si="149"/>
        <v>2020</v>
      </c>
      <c r="R151" s="1271">
        <f t="shared" si="149"/>
        <v>2021</v>
      </c>
      <c r="S151" s="1271">
        <f t="shared" si="149"/>
        <v>2022</v>
      </c>
      <c r="T151" s="1271">
        <f t="shared" si="149"/>
        <v>2023</v>
      </c>
      <c r="U151" s="1271">
        <f t="shared" si="149"/>
        <v>2024</v>
      </c>
      <c r="V151" s="1271">
        <f t="shared" si="149"/>
        <v>2025</v>
      </c>
      <c r="W151" s="1271">
        <f t="shared" si="149"/>
        <v>2026</v>
      </c>
      <c r="X151" s="1271">
        <f t="shared" si="149"/>
        <v>2027</v>
      </c>
      <c r="Y151" s="1271">
        <f t="shared" si="149"/>
        <v>2028</v>
      </c>
    </row>
    <row r="152" spans="1:26">
      <c r="A152" s="9" t="s">
        <v>65</v>
      </c>
      <c r="B152" s="11"/>
      <c r="C152" s="11" t="s">
        <v>337</v>
      </c>
      <c r="D152" s="11"/>
      <c r="E152" s="11"/>
      <c r="F152" s="11"/>
      <c r="G152" s="11"/>
      <c r="H152" s="11"/>
      <c r="I152" s="1108"/>
      <c r="J152" s="11"/>
      <c r="K152" s="11"/>
      <c r="L152" s="11"/>
      <c r="M152" s="11"/>
      <c r="N152" s="11"/>
      <c r="O152" s="11"/>
      <c r="P152" s="11"/>
      <c r="Q152" s="11"/>
      <c r="R152" s="11"/>
      <c r="S152" s="11"/>
      <c r="T152" s="11"/>
      <c r="U152" s="11"/>
      <c r="V152" s="11"/>
      <c r="W152" s="11"/>
      <c r="X152" s="11"/>
      <c r="Y152" s="11"/>
    </row>
    <row r="153" spans="1:26">
      <c r="A153" s="776" t="s">
        <v>246</v>
      </c>
      <c r="B153" s="775">
        <f ca="1">B52</f>
        <v>4.6359932385549224E-2</v>
      </c>
      <c r="C153" s="536">
        <f t="shared" ref="C153:N153" ca="1" si="150">+B153</f>
        <v>4.6359932385549224E-2</v>
      </c>
      <c r="D153" s="536">
        <f t="shared" ca="1" si="150"/>
        <v>4.6359932385549224E-2</v>
      </c>
      <c r="E153" s="536">
        <f t="shared" ca="1" si="150"/>
        <v>4.6359932385549224E-2</v>
      </c>
      <c r="F153" s="536">
        <f t="shared" ca="1" si="150"/>
        <v>4.6359932385549224E-2</v>
      </c>
      <c r="G153" s="536">
        <f t="shared" ca="1" si="150"/>
        <v>4.6359932385549224E-2</v>
      </c>
      <c r="H153" s="536">
        <f t="shared" ca="1" si="150"/>
        <v>4.6359932385549224E-2</v>
      </c>
      <c r="I153" s="2267">
        <f t="shared" ca="1" si="150"/>
        <v>4.6359932385549224E-2</v>
      </c>
      <c r="J153" s="536">
        <f t="shared" ca="1" si="150"/>
        <v>4.6359932385549224E-2</v>
      </c>
      <c r="K153" s="536">
        <f t="shared" ca="1" si="150"/>
        <v>4.6359932385549224E-2</v>
      </c>
      <c r="L153" s="536">
        <f t="shared" ca="1" si="150"/>
        <v>4.6359932385549224E-2</v>
      </c>
      <c r="M153" s="536">
        <f t="shared" ca="1" si="150"/>
        <v>4.6359932385549224E-2</v>
      </c>
      <c r="N153" s="536">
        <f t="shared" ca="1" si="150"/>
        <v>4.6359932385549224E-2</v>
      </c>
      <c r="O153" s="536">
        <f t="shared" ref="O153:S156" ca="1" si="151">+N153</f>
        <v>4.6359932385549224E-2</v>
      </c>
      <c r="P153" s="536">
        <f t="shared" ca="1" si="151"/>
        <v>4.6359932385549224E-2</v>
      </c>
      <c r="Q153" s="536">
        <f t="shared" ca="1" si="151"/>
        <v>4.6359932385549224E-2</v>
      </c>
      <c r="R153" s="536">
        <f t="shared" ca="1" si="151"/>
        <v>4.6359932385549224E-2</v>
      </c>
      <c r="S153" s="536">
        <f t="shared" ca="1" si="151"/>
        <v>4.6359932385549224E-2</v>
      </c>
      <c r="T153" s="536">
        <f t="shared" ref="T153:Y156" ca="1" si="152">+S153</f>
        <v>4.6359932385549224E-2</v>
      </c>
      <c r="U153" s="536">
        <f t="shared" ca="1" si="152"/>
        <v>4.6359932385549224E-2</v>
      </c>
      <c r="V153" s="536">
        <f t="shared" ca="1" si="152"/>
        <v>4.6359932385549224E-2</v>
      </c>
      <c r="W153" s="536">
        <f t="shared" ca="1" si="152"/>
        <v>4.6359932385549224E-2</v>
      </c>
      <c r="X153" s="536">
        <f t="shared" ca="1" si="152"/>
        <v>4.6359932385549224E-2</v>
      </c>
      <c r="Y153" s="536">
        <f t="shared" ca="1" si="152"/>
        <v>4.6359932385549224E-2</v>
      </c>
    </row>
    <row r="154" spans="1:26">
      <c r="A154" s="776" t="s">
        <v>247</v>
      </c>
      <c r="B154" s="775">
        <f>B53</f>
        <v>0.1</v>
      </c>
      <c r="C154" s="536">
        <f t="shared" ref="C154:N154" si="153">+B154</f>
        <v>0.1</v>
      </c>
      <c r="D154" s="536">
        <f t="shared" si="153"/>
        <v>0.1</v>
      </c>
      <c r="E154" s="536">
        <f t="shared" si="153"/>
        <v>0.1</v>
      </c>
      <c r="F154" s="536">
        <f t="shared" si="153"/>
        <v>0.1</v>
      </c>
      <c r="G154" s="536">
        <f t="shared" si="153"/>
        <v>0.1</v>
      </c>
      <c r="H154" s="536">
        <f t="shared" si="153"/>
        <v>0.1</v>
      </c>
      <c r="I154" s="2267">
        <f t="shared" si="153"/>
        <v>0.1</v>
      </c>
      <c r="J154" s="536">
        <f t="shared" si="153"/>
        <v>0.1</v>
      </c>
      <c r="K154" s="536">
        <f t="shared" si="153"/>
        <v>0.1</v>
      </c>
      <c r="L154" s="536">
        <f t="shared" si="153"/>
        <v>0.1</v>
      </c>
      <c r="M154" s="536">
        <f t="shared" si="153"/>
        <v>0.1</v>
      </c>
      <c r="N154" s="536">
        <f t="shared" si="153"/>
        <v>0.1</v>
      </c>
      <c r="O154" s="536">
        <f t="shared" si="151"/>
        <v>0.1</v>
      </c>
      <c r="P154" s="536">
        <f t="shared" si="151"/>
        <v>0.1</v>
      </c>
      <c r="Q154" s="536">
        <f t="shared" si="151"/>
        <v>0.1</v>
      </c>
      <c r="R154" s="536">
        <f t="shared" si="151"/>
        <v>0.1</v>
      </c>
      <c r="S154" s="536">
        <f t="shared" si="151"/>
        <v>0.1</v>
      </c>
      <c r="T154" s="536">
        <f t="shared" si="152"/>
        <v>0.1</v>
      </c>
      <c r="U154" s="536">
        <f t="shared" si="152"/>
        <v>0.1</v>
      </c>
      <c r="V154" s="536">
        <f t="shared" si="152"/>
        <v>0.1</v>
      </c>
      <c r="W154" s="536">
        <f t="shared" si="152"/>
        <v>0.1</v>
      </c>
      <c r="X154" s="536">
        <f t="shared" si="152"/>
        <v>0.1</v>
      </c>
      <c r="Y154" s="536">
        <f t="shared" si="152"/>
        <v>0.1</v>
      </c>
    </row>
    <row r="155" spans="1:26">
      <c r="A155" s="776" t="s">
        <v>248</v>
      </c>
      <c r="B155" s="775">
        <f>B54</f>
        <v>0.3</v>
      </c>
      <c r="C155" s="536">
        <f t="shared" ref="C155:N155" si="154">+B155</f>
        <v>0.3</v>
      </c>
      <c r="D155" s="536">
        <f t="shared" si="154"/>
        <v>0.3</v>
      </c>
      <c r="E155" s="536">
        <f t="shared" si="154"/>
        <v>0.3</v>
      </c>
      <c r="F155" s="536">
        <f t="shared" si="154"/>
        <v>0.3</v>
      </c>
      <c r="G155" s="536">
        <f t="shared" si="154"/>
        <v>0.3</v>
      </c>
      <c r="H155" s="536">
        <f t="shared" si="154"/>
        <v>0.3</v>
      </c>
      <c r="I155" s="2267">
        <f t="shared" si="154"/>
        <v>0.3</v>
      </c>
      <c r="J155" s="536">
        <f t="shared" si="154"/>
        <v>0.3</v>
      </c>
      <c r="K155" s="536">
        <f t="shared" si="154"/>
        <v>0.3</v>
      </c>
      <c r="L155" s="536">
        <f t="shared" si="154"/>
        <v>0.3</v>
      </c>
      <c r="M155" s="536">
        <f t="shared" si="154"/>
        <v>0.3</v>
      </c>
      <c r="N155" s="536">
        <f t="shared" si="154"/>
        <v>0.3</v>
      </c>
      <c r="O155" s="536">
        <f t="shared" si="151"/>
        <v>0.3</v>
      </c>
      <c r="P155" s="536">
        <f t="shared" si="151"/>
        <v>0.3</v>
      </c>
      <c r="Q155" s="536">
        <f t="shared" si="151"/>
        <v>0.3</v>
      </c>
      <c r="R155" s="536">
        <f t="shared" si="151"/>
        <v>0.3</v>
      </c>
      <c r="S155" s="536">
        <f t="shared" si="151"/>
        <v>0.3</v>
      </c>
      <c r="T155" s="536">
        <f t="shared" si="152"/>
        <v>0.3</v>
      </c>
      <c r="U155" s="536">
        <f t="shared" si="152"/>
        <v>0.3</v>
      </c>
      <c r="V155" s="536">
        <f t="shared" si="152"/>
        <v>0.3</v>
      </c>
      <c r="W155" s="536">
        <f t="shared" si="152"/>
        <v>0.3</v>
      </c>
      <c r="X155" s="536">
        <f t="shared" si="152"/>
        <v>0.3</v>
      </c>
      <c r="Y155" s="536">
        <f t="shared" si="152"/>
        <v>0.3</v>
      </c>
    </row>
    <row r="156" spans="1:26">
      <c r="A156" s="776" t="s">
        <v>249</v>
      </c>
      <c r="B156" s="775">
        <f>B55</f>
        <v>0.245</v>
      </c>
      <c r="C156" s="536">
        <f t="shared" ref="C156:N156" si="155">+B156</f>
        <v>0.245</v>
      </c>
      <c r="D156" s="536">
        <f t="shared" si="155"/>
        <v>0.245</v>
      </c>
      <c r="E156" s="536">
        <f t="shared" si="155"/>
        <v>0.245</v>
      </c>
      <c r="F156" s="536">
        <f t="shared" si="155"/>
        <v>0.245</v>
      </c>
      <c r="G156" s="536">
        <f t="shared" si="155"/>
        <v>0.245</v>
      </c>
      <c r="H156" s="536">
        <f t="shared" si="155"/>
        <v>0.245</v>
      </c>
      <c r="I156" s="2267">
        <f t="shared" si="155"/>
        <v>0.245</v>
      </c>
      <c r="J156" s="536">
        <f t="shared" si="155"/>
        <v>0.245</v>
      </c>
      <c r="K156" s="536">
        <f t="shared" si="155"/>
        <v>0.245</v>
      </c>
      <c r="L156" s="536">
        <f t="shared" si="155"/>
        <v>0.245</v>
      </c>
      <c r="M156" s="536">
        <f t="shared" si="155"/>
        <v>0.245</v>
      </c>
      <c r="N156" s="536">
        <f t="shared" si="155"/>
        <v>0.245</v>
      </c>
      <c r="O156" s="536">
        <f t="shared" si="151"/>
        <v>0.245</v>
      </c>
      <c r="P156" s="536">
        <f t="shared" si="151"/>
        <v>0.245</v>
      </c>
      <c r="Q156" s="536">
        <f t="shared" si="151"/>
        <v>0.245</v>
      </c>
      <c r="R156" s="536">
        <f t="shared" si="151"/>
        <v>0.245</v>
      </c>
      <c r="S156" s="536">
        <f t="shared" si="151"/>
        <v>0.245</v>
      </c>
      <c r="T156" s="536">
        <f t="shared" si="152"/>
        <v>0.245</v>
      </c>
      <c r="U156" s="536">
        <f t="shared" si="152"/>
        <v>0.245</v>
      </c>
      <c r="V156" s="536">
        <f t="shared" si="152"/>
        <v>0.245</v>
      </c>
      <c r="W156" s="536">
        <f t="shared" si="152"/>
        <v>0.245</v>
      </c>
      <c r="X156" s="536">
        <f t="shared" si="152"/>
        <v>0.245</v>
      </c>
      <c r="Y156" s="536">
        <f t="shared" si="152"/>
        <v>0.245</v>
      </c>
    </row>
    <row r="157" spans="1:26">
      <c r="A157" s="776" t="s">
        <v>250</v>
      </c>
      <c r="B157" s="536">
        <f ca="1">((B153*(1-B156)*B155))+(B154*(1-B155))</f>
        <v>8.0500524685326896E-2</v>
      </c>
      <c r="C157" s="536">
        <f t="shared" ref="C157:O157" ca="1" si="156">((C153*(1-C156)*C155))+(C154*(1-C155))</f>
        <v>8.0500524685326896E-2</v>
      </c>
      <c r="D157" s="536">
        <f t="shared" ca="1" si="156"/>
        <v>8.0500524685326896E-2</v>
      </c>
      <c r="E157" s="536">
        <f t="shared" ca="1" si="156"/>
        <v>8.0500524685326896E-2</v>
      </c>
      <c r="F157" s="536">
        <f t="shared" ca="1" si="156"/>
        <v>8.0500524685326896E-2</v>
      </c>
      <c r="G157" s="536">
        <f t="shared" ca="1" si="156"/>
        <v>8.0500524685326896E-2</v>
      </c>
      <c r="H157" s="536">
        <f t="shared" ca="1" si="156"/>
        <v>8.0500524685326896E-2</v>
      </c>
      <c r="I157" s="2267">
        <f t="shared" ca="1" si="156"/>
        <v>8.0500524685326896E-2</v>
      </c>
      <c r="J157" s="536">
        <f t="shared" ca="1" si="156"/>
        <v>8.0500524685326896E-2</v>
      </c>
      <c r="K157" s="536">
        <f t="shared" ca="1" si="156"/>
        <v>8.0500524685326896E-2</v>
      </c>
      <c r="L157" s="536">
        <f t="shared" ca="1" si="156"/>
        <v>8.0500524685326896E-2</v>
      </c>
      <c r="M157" s="536">
        <f t="shared" ca="1" si="156"/>
        <v>8.0500524685326896E-2</v>
      </c>
      <c r="N157" s="536">
        <f t="shared" ca="1" si="156"/>
        <v>8.0500524685326896E-2</v>
      </c>
      <c r="O157" s="536">
        <f t="shared" ca="1" si="156"/>
        <v>8.0500524685326896E-2</v>
      </c>
      <c r="P157" s="536">
        <f t="shared" ref="P157:U157" ca="1" si="157">((P153*(1-P156)*P155))+(P154*(1-P155))</f>
        <v>8.0500524685326896E-2</v>
      </c>
      <c r="Q157" s="536">
        <f t="shared" ca="1" si="157"/>
        <v>8.0500524685326896E-2</v>
      </c>
      <c r="R157" s="536">
        <f t="shared" ca="1" si="157"/>
        <v>8.0500524685326896E-2</v>
      </c>
      <c r="S157" s="536">
        <f t="shared" ca="1" si="157"/>
        <v>8.0500524685326896E-2</v>
      </c>
      <c r="T157" s="536">
        <f t="shared" ca="1" si="157"/>
        <v>8.0500524685326896E-2</v>
      </c>
      <c r="U157" s="536">
        <f t="shared" ca="1" si="157"/>
        <v>8.0500524685326896E-2</v>
      </c>
      <c r="V157" s="536">
        <f ca="1">((V153*(1-V156)*V155))+(V154*(1-V155))</f>
        <v>8.0500524685326896E-2</v>
      </c>
      <c r="W157" s="536">
        <f ca="1">((W153*(1-W156)*W155))+(W154*(1-W155))</f>
        <v>8.0500524685326896E-2</v>
      </c>
      <c r="X157" s="536">
        <f ca="1">((X153*(1-X156)*X155))+(X154*(1-X155))</f>
        <v>8.0500524685326896E-2</v>
      </c>
      <c r="Y157" s="536">
        <f ca="1">((Y153*(1-Y156)*Y155))+(Y154*(1-Y155))</f>
        <v>8.0500524685326896E-2</v>
      </c>
    </row>
    <row r="158" spans="1:26">
      <c r="A158" s="776" t="s">
        <v>251</v>
      </c>
      <c r="B158" s="775">
        <f>B57</f>
        <v>0.02</v>
      </c>
      <c r="C158" s="536">
        <f t="shared" ref="C158:L158" si="158">+B158</f>
        <v>0.02</v>
      </c>
      <c r="D158" s="536">
        <f t="shared" si="158"/>
        <v>0.02</v>
      </c>
      <c r="E158" s="536">
        <f t="shared" si="158"/>
        <v>0.02</v>
      </c>
      <c r="F158" s="536">
        <f t="shared" si="158"/>
        <v>0.02</v>
      </c>
      <c r="G158" s="536">
        <f t="shared" si="158"/>
        <v>0.02</v>
      </c>
      <c r="H158" s="536">
        <f t="shared" si="158"/>
        <v>0.02</v>
      </c>
      <c r="I158" s="2267">
        <f t="shared" si="158"/>
        <v>0.02</v>
      </c>
      <c r="J158" s="536">
        <f t="shared" si="158"/>
        <v>0.02</v>
      </c>
      <c r="K158" s="536">
        <f t="shared" si="158"/>
        <v>0.02</v>
      </c>
      <c r="L158" s="536">
        <f t="shared" si="158"/>
        <v>0.02</v>
      </c>
      <c r="M158" s="536">
        <f t="shared" ref="M158:S158" si="159">+L158</f>
        <v>0.02</v>
      </c>
      <c r="N158" s="536">
        <f t="shared" si="159"/>
        <v>0.02</v>
      </c>
      <c r="O158" s="536">
        <f t="shared" si="159"/>
        <v>0.02</v>
      </c>
      <c r="P158" s="536">
        <f t="shared" si="159"/>
        <v>0.02</v>
      </c>
      <c r="Q158" s="536">
        <f t="shared" si="159"/>
        <v>0.02</v>
      </c>
      <c r="R158" s="536">
        <f t="shared" si="159"/>
        <v>0.02</v>
      </c>
      <c r="S158" s="536">
        <f t="shared" si="159"/>
        <v>0.02</v>
      </c>
      <c r="T158" s="536">
        <f t="shared" ref="T158:Y158" si="160">+S158</f>
        <v>0.02</v>
      </c>
      <c r="U158" s="536">
        <f t="shared" si="160"/>
        <v>0.02</v>
      </c>
      <c r="V158" s="536">
        <f t="shared" si="160"/>
        <v>0.02</v>
      </c>
      <c r="W158" s="536">
        <f t="shared" si="160"/>
        <v>0.02</v>
      </c>
      <c r="X158" s="536">
        <f t="shared" si="160"/>
        <v>0.02</v>
      </c>
      <c r="Y158" s="536">
        <f t="shared" si="160"/>
        <v>0.02</v>
      </c>
    </row>
    <row r="159" spans="1:26">
      <c r="A159" s="776"/>
      <c r="B159" s="11"/>
      <c r="C159" s="11"/>
      <c r="D159" s="11"/>
      <c r="E159" s="11"/>
      <c r="F159" s="11"/>
      <c r="G159" s="11"/>
      <c r="H159" s="11"/>
      <c r="I159" s="1108"/>
      <c r="J159" s="11"/>
      <c r="K159" s="11"/>
      <c r="L159" s="11"/>
      <c r="M159" s="11"/>
      <c r="N159" s="11"/>
      <c r="O159" s="11"/>
      <c r="P159" s="11"/>
      <c r="Q159" s="11"/>
      <c r="R159" s="11"/>
      <c r="S159" s="11"/>
      <c r="T159" s="11"/>
      <c r="U159" s="11"/>
      <c r="V159" s="11"/>
      <c r="W159" s="11"/>
    </row>
    <row r="160" spans="1:26">
      <c r="A160" s="776" t="s">
        <v>243</v>
      </c>
      <c r="B160" s="54">
        <f>'TV Production and Syndication'!F96</f>
        <v>369.16331308211943</v>
      </c>
      <c r="C160" s="54">
        <f ca="1">'TV Production and Syndication'!G96</f>
        <v>387.77753166486991</v>
      </c>
      <c r="D160" s="54">
        <f ca="1">'TV Production and Syndication'!H96</f>
        <v>374.71371922468171</v>
      </c>
      <c r="E160" s="54">
        <f>'TV Production and Syndication'!I96</f>
        <v>505.58282734800957</v>
      </c>
      <c r="F160" s="54">
        <f>'TV Production and Syndication'!J96</f>
        <v>523.15228389414165</v>
      </c>
      <c r="G160" s="54">
        <f>'TV Production and Syndication'!K96</f>
        <v>482.36205019084684</v>
      </c>
      <c r="H160" s="54">
        <f>'TV Production and Syndication'!L96</f>
        <v>531.19143257626615</v>
      </c>
      <c r="I160" s="1146">
        <f>'TV Production and Syndication'!M96</f>
        <v>758.6599913127535</v>
      </c>
      <c r="J160" s="54">
        <f>'TV Production and Syndication'!N96</f>
        <v>739.09086700429407</v>
      </c>
      <c r="K160" s="54">
        <f>'TV Production and Syndication'!O96</f>
        <v>699.49563731322132</v>
      </c>
      <c r="L160" s="54">
        <f>'TV Production and Syndication'!P96</f>
        <v>643.4781111073944</v>
      </c>
      <c r="M160" s="54">
        <f ca="1">'TV Production and Syndication'!Q96</f>
        <v>635.722506649097</v>
      </c>
      <c r="N160" s="54">
        <f ca="1">'TV Production and Syndication'!R96</f>
        <v>71.316077132745249</v>
      </c>
      <c r="O160" s="54">
        <f ca="1">'TV Production and Syndication'!S96</f>
        <v>94.249492048140638</v>
      </c>
      <c r="P160" s="54">
        <f ca="1">'TV Production and Syndication'!T96</f>
        <v>279.54167395602212</v>
      </c>
      <c r="Q160" s="54">
        <f ca="1">'TV Production and Syndication'!U96</f>
        <v>381.29280885247965</v>
      </c>
      <c r="R160" s="54">
        <f ca="1">'TV Production and Syndication'!V96</f>
        <v>419.19608307701708</v>
      </c>
      <c r="S160" s="54">
        <f ca="1">'TV Production and Syndication'!W96</f>
        <v>430.70225712483244</v>
      </c>
      <c r="T160" s="54">
        <f ca="1">'TV Production and Syndication'!X96</f>
        <v>506.51888936232382</v>
      </c>
      <c r="U160" s="54">
        <f ca="1">'TV Production and Syndication'!Y96</f>
        <v>552.59810751635428</v>
      </c>
      <c r="V160" s="54">
        <f ca="1">'TV Production and Syndication'!Z96</f>
        <v>587.91053241755958</v>
      </c>
      <c r="W160" s="54">
        <f ca="1">'TV Production and Syndication'!AA96</f>
        <v>640.43694735341887</v>
      </c>
      <c r="X160" s="54">
        <f ca="1">'TV Production and Syndication'!AB96</f>
        <v>666.58459748836253</v>
      </c>
      <c r="Y160" s="54">
        <f ca="1">'TV Production and Syndication'!AC96</f>
        <v>956.62554650568291</v>
      </c>
    </row>
    <row r="161" spans="1:26">
      <c r="A161" s="776" t="s">
        <v>678</v>
      </c>
      <c r="B161" s="54">
        <f>'TV Production and Syndication'!F72</f>
        <v>562.44017959050313</v>
      </c>
      <c r="C161" s="54">
        <f ca="1">'TV Production and Syndication'!G72</f>
        <v>588.91075451527695</v>
      </c>
      <c r="D161" s="54">
        <f ca="1">'TV Production and Syndication'!H72</f>
        <v>574.22473203085883</v>
      </c>
      <c r="E161" s="54">
        <f>'TV Production and Syndication'!I72</f>
        <v>784.5983421686733</v>
      </c>
      <c r="F161" s="54">
        <f>'TV Production and Syndication'!J72</f>
        <v>811.71295188571366</v>
      </c>
      <c r="G161" s="54">
        <f>'TV Production and Syndication'!K72</f>
        <v>728.20794041364763</v>
      </c>
      <c r="H161" s="54">
        <f>'TV Production and Syndication'!L72</f>
        <v>788.78363915269722</v>
      </c>
      <c r="I161" s="1146">
        <f>'TV Production and Syndication'!M72</f>
        <v>1129.2408198762516</v>
      </c>
      <c r="J161" s="54">
        <f>'TV Production and Syndication'!N72</f>
        <v>1097.1242780884916</v>
      </c>
      <c r="K161" s="54">
        <f>'TV Production and Syndication'!O72</f>
        <v>1042.695549435507</v>
      </c>
      <c r="L161" s="54">
        <f>'TV Production and Syndication'!P72</f>
        <v>952.71760805640679</v>
      </c>
      <c r="M161" s="54">
        <f>'TV Production and Syndication'!Q72</f>
        <v>924.57929572869148</v>
      </c>
      <c r="N161" s="54">
        <f>'TV Production and Syndication'!R72</f>
        <v>912.81956230781645</v>
      </c>
      <c r="O161" s="54">
        <f>'TV Production and Syndication'!S72</f>
        <v>983.6685037622866</v>
      </c>
      <c r="P161" s="54">
        <f>'TV Production and Syndication'!T72</f>
        <v>1022.8111310264569</v>
      </c>
      <c r="Q161" s="54">
        <f>'TV Production and Syndication'!U72</f>
        <v>1062.6291837925703</v>
      </c>
      <c r="R161" s="54">
        <f>'TV Production and Syndication'!V72</f>
        <v>1104.7930670877872</v>
      </c>
      <c r="S161" s="54">
        <f>'TV Production and Syndication'!W72</f>
        <v>1146.2999406728611</v>
      </c>
      <c r="T161" s="54">
        <f>'TV Production and Syndication'!X72</f>
        <v>1186.9452125283426</v>
      </c>
      <c r="U161" s="54">
        <f>'TV Production and Syndication'!Y72</f>
        <v>1226.1513437785261</v>
      </c>
      <c r="V161" s="54">
        <f>'TV Production and Syndication'!Z72</f>
        <v>1263.6450599277696</v>
      </c>
      <c r="W161" s="54">
        <f>'TV Production and Syndication'!AA72</f>
        <v>1299.1496363805193</v>
      </c>
      <c r="X161" s="54">
        <f>'TV Production and Syndication'!AB72</f>
        <v>1331.9612851769882</v>
      </c>
      <c r="Y161" s="54">
        <f>'TV Production and Syndication'!AC72</f>
        <v>1362.6377361948826</v>
      </c>
    </row>
    <row r="162" spans="1:26">
      <c r="A162" s="776"/>
      <c r="B162" s="11"/>
      <c r="C162" s="11"/>
      <c r="D162" s="11"/>
      <c r="E162" s="11"/>
      <c r="F162" s="11"/>
      <c r="G162" s="11"/>
      <c r="H162" s="11"/>
      <c r="I162" s="1108"/>
      <c r="J162" s="11"/>
      <c r="K162" s="11"/>
      <c r="L162" s="11"/>
      <c r="M162" s="11"/>
      <c r="N162" s="11"/>
      <c r="O162" s="11"/>
      <c r="P162" s="11"/>
      <c r="Q162" s="11"/>
      <c r="R162" s="11"/>
      <c r="S162" s="11"/>
      <c r="T162" s="11"/>
      <c r="U162" s="11"/>
      <c r="V162" s="11"/>
      <c r="W162" s="11"/>
      <c r="X162" s="11"/>
    </row>
    <row r="163" spans="1:26">
      <c r="A163" s="776" t="s">
        <v>1009</v>
      </c>
      <c r="B163" s="181">
        <f>'TV Production and Syndication'!F108</f>
        <v>1389.8904909187802</v>
      </c>
      <c r="C163" s="181">
        <f t="shared" ref="C163" si="161">+B163</f>
        <v>1389.8904909187802</v>
      </c>
      <c r="D163" s="181">
        <f t="shared" ref="D163" si="162">+C163</f>
        <v>1389.8904909187802</v>
      </c>
      <c r="E163" s="181">
        <f t="shared" ref="E163" si="163">+D163</f>
        <v>1389.8904909187802</v>
      </c>
      <c r="F163" s="181">
        <f t="shared" ref="F163" si="164">+E163</f>
        <v>1389.8904909187802</v>
      </c>
      <c r="G163" s="181">
        <f t="shared" ref="G163" si="165">+F163</f>
        <v>1389.8904909187802</v>
      </c>
      <c r="H163" s="181">
        <f t="shared" ref="H163" si="166">+G163</f>
        <v>1389.8904909187802</v>
      </c>
      <c r="I163" s="181">
        <f t="shared" ref="I163" si="167">+H163</f>
        <v>1389.8904909187802</v>
      </c>
      <c r="J163" s="181">
        <f t="shared" ref="J163" si="168">+I163</f>
        <v>1389.8904909187802</v>
      </c>
      <c r="K163" s="181">
        <f t="shared" ref="K163" si="169">+J163</f>
        <v>1389.8904909187802</v>
      </c>
      <c r="L163" s="181">
        <f t="shared" ref="L163" si="170">+K163</f>
        <v>1389.8904909187802</v>
      </c>
      <c r="M163" s="181">
        <f t="shared" ref="M163" si="171">+L163</f>
        <v>1389.8904909187802</v>
      </c>
      <c r="N163" s="181">
        <f t="shared" ref="N163" si="172">+M163</f>
        <v>1389.8904909187802</v>
      </c>
      <c r="O163" s="181">
        <f t="shared" ref="O163" si="173">+N163</f>
        <v>1389.8904909187802</v>
      </c>
      <c r="P163" s="181">
        <f t="shared" ref="P163" si="174">+O163</f>
        <v>1389.8904909187802</v>
      </c>
      <c r="Q163" s="181">
        <f t="shared" ref="Q163" si="175">+P163</f>
        <v>1389.8904909187802</v>
      </c>
      <c r="R163" s="181">
        <f t="shared" ref="R163" si="176">+Q163</f>
        <v>1389.8904909187802</v>
      </c>
      <c r="S163" s="181">
        <f t="shared" ref="S163" si="177">+R163</f>
        <v>1389.8904909187802</v>
      </c>
      <c r="T163" s="181">
        <f t="shared" ref="T163" si="178">+S163</f>
        <v>1389.8904909187802</v>
      </c>
      <c r="U163" s="181">
        <f t="shared" ref="U163" si="179">+T163</f>
        <v>1389.8904909187802</v>
      </c>
      <c r="V163" s="181">
        <f t="shared" ref="V163" si="180">+U163</f>
        <v>1389.8904909187802</v>
      </c>
      <c r="W163" s="181">
        <f t="shared" ref="W163" si="181">+V163</f>
        <v>1389.8904909187802</v>
      </c>
      <c r="X163" s="181">
        <f t="shared" ref="X163" si="182">+W163</f>
        <v>1389.8904909187802</v>
      </c>
      <c r="Y163" s="181">
        <f t="shared" ref="Y163" si="183">+X163</f>
        <v>1389.8904909187802</v>
      </c>
    </row>
    <row r="164" spans="1:26">
      <c r="A164" s="777" t="s">
        <v>54</v>
      </c>
      <c r="B164" s="181">
        <f ca="1">'TV Production and Syndication'!F109</f>
        <v>330.24723324608055</v>
      </c>
      <c r="C164" s="181">
        <f t="shared" ref="C164:N164" ca="1" si="184">+B164</f>
        <v>330.24723324608055</v>
      </c>
      <c r="D164" s="181">
        <f t="shared" ca="1" si="184"/>
        <v>330.24723324608055</v>
      </c>
      <c r="E164" s="181">
        <f t="shared" ca="1" si="184"/>
        <v>330.24723324608055</v>
      </c>
      <c r="F164" s="181">
        <f t="shared" ca="1" si="184"/>
        <v>330.24723324608055</v>
      </c>
      <c r="G164" s="181">
        <f t="shared" ca="1" si="184"/>
        <v>330.24723324608055</v>
      </c>
      <c r="H164" s="181">
        <f t="shared" ca="1" si="184"/>
        <v>330.24723324608055</v>
      </c>
      <c r="I164" s="1683">
        <f t="shared" ca="1" si="184"/>
        <v>330.24723324608055</v>
      </c>
      <c r="J164" s="181">
        <f t="shared" ca="1" si="184"/>
        <v>330.24723324608055</v>
      </c>
      <c r="K164" s="181">
        <f t="shared" ca="1" si="184"/>
        <v>330.24723324608055</v>
      </c>
      <c r="L164" s="181">
        <f t="shared" ca="1" si="184"/>
        <v>330.24723324608055</v>
      </c>
      <c r="M164" s="181">
        <f t="shared" ca="1" si="184"/>
        <v>330.24723324608055</v>
      </c>
      <c r="N164" s="181">
        <f t="shared" ca="1" si="184"/>
        <v>330.24723324608055</v>
      </c>
      <c r="O164" s="181">
        <f t="shared" ref="O164:S165" ca="1" si="185">+N164</f>
        <v>330.24723324608055</v>
      </c>
      <c r="P164" s="181">
        <f t="shared" ca="1" si="185"/>
        <v>330.24723324608055</v>
      </c>
      <c r="Q164" s="181">
        <f t="shared" ca="1" si="185"/>
        <v>330.24723324608055</v>
      </c>
      <c r="R164" s="181">
        <f t="shared" ca="1" si="185"/>
        <v>330.24723324608055</v>
      </c>
      <c r="S164" s="181">
        <f t="shared" ca="1" si="185"/>
        <v>330.24723324608055</v>
      </c>
      <c r="T164" s="181">
        <f t="shared" ref="T164:Y165" ca="1" si="186">+S164</f>
        <v>330.24723324608055</v>
      </c>
      <c r="U164" s="181">
        <f t="shared" ca="1" si="186"/>
        <v>330.24723324608055</v>
      </c>
      <c r="V164" s="181">
        <f t="shared" ca="1" si="186"/>
        <v>330.24723324608055</v>
      </c>
      <c r="W164" s="181">
        <f t="shared" ca="1" si="186"/>
        <v>330.24723324608055</v>
      </c>
      <c r="X164" s="181">
        <f t="shared" ca="1" si="186"/>
        <v>330.24723324608055</v>
      </c>
      <c r="Y164" s="181">
        <f t="shared" ca="1" si="186"/>
        <v>330.24723324608055</v>
      </c>
    </row>
    <row r="165" spans="1:26">
      <c r="A165" s="3466" t="s">
        <v>67</v>
      </c>
      <c r="B165" s="1009">
        <f ca="1">'TV Production and Syndication'!F110</f>
        <v>41.942600118451622</v>
      </c>
      <c r="C165" s="1009">
        <f t="shared" ref="C165:N165" ca="1" si="187">+B165</f>
        <v>41.942600118451622</v>
      </c>
      <c r="D165" s="1009">
        <f t="shared" ca="1" si="187"/>
        <v>41.942600118451622</v>
      </c>
      <c r="E165" s="1009">
        <f t="shared" ca="1" si="187"/>
        <v>41.942600118451622</v>
      </c>
      <c r="F165" s="1009">
        <f t="shared" ca="1" si="187"/>
        <v>41.942600118451622</v>
      </c>
      <c r="G165" s="1009">
        <f t="shared" ca="1" si="187"/>
        <v>41.942600118451622</v>
      </c>
      <c r="H165" s="1009">
        <f t="shared" ca="1" si="187"/>
        <v>41.942600118451622</v>
      </c>
      <c r="I165" s="2017">
        <f t="shared" ca="1" si="187"/>
        <v>41.942600118451622</v>
      </c>
      <c r="J165" s="1009">
        <f t="shared" ca="1" si="187"/>
        <v>41.942600118451622</v>
      </c>
      <c r="K165" s="1009">
        <f t="shared" ca="1" si="187"/>
        <v>41.942600118451622</v>
      </c>
      <c r="L165" s="1009">
        <f t="shared" ca="1" si="187"/>
        <v>41.942600118451622</v>
      </c>
      <c r="M165" s="1009">
        <f t="shared" ca="1" si="187"/>
        <v>41.942600118451622</v>
      </c>
      <c r="N165" s="1009">
        <f t="shared" ca="1" si="187"/>
        <v>41.942600118451622</v>
      </c>
      <c r="O165" s="1009">
        <f t="shared" ca="1" si="185"/>
        <v>41.942600118451622</v>
      </c>
      <c r="P165" s="1009">
        <f t="shared" ca="1" si="185"/>
        <v>41.942600118451622</v>
      </c>
      <c r="Q165" s="1009">
        <f t="shared" ca="1" si="185"/>
        <v>41.942600118451622</v>
      </c>
      <c r="R165" s="1009">
        <f t="shared" ca="1" si="185"/>
        <v>41.942600118451622</v>
      </c>
      <c r="S165" s="1009">
        <f t="shared" ca="1" si="185"/>
        <v>41.942600118451622</v>
      </c>
      <c r="T165" s="1009">
        <f t="shared" ca="1" si="186"/>
        <v>41.942600118451622</v>
      </c>
      <c r="U165" s="1009">
        <f t="shared" ca="1" si="186"/>
        <v>41.942600118451622</v>
      </c>
      <c r="V165" s="1009">
        <f t="shared" ca="1" si="186"/>
        <v>41.942600118451622</v>
      </c>
      <c r="W165" s="1009">
        <f t="shared" ca="1" si="186"/>
        <v>41.942600118451622</v>
      </c>
      <c r="X165" s="1009">
        <f t="shared" ca="1" si="186"/>
        <v>41.942600118451622</v>
      </c>
      <c r="Y165" s="1009">
        <f t="shared" ca="1" si="186"/>
        <v>41.942600118451622</v>
      </c>
    </row>
    <row r="166" spans="1:26" s="2807" customFormat="1">
      <c r="A166" s="3488" t="s">
        <v>1828</v>
      </c>
      <c r="B166" s="3303">
        <f>'TV Production and Syndication'!F111</f>
        <v>0</v>
      </c>
      <c r="C166" s="3303">
        <f>'TV Production and Syndication'!G111</f>
        <v>0</v>
      </c>
      <c r="D166" s="3303">
        <f>'TV Production and Syndication'!H111</f>
        <v>0</v>
      </c>
      <c r="E166" s="3303">
        <f>'TV Production and Syndication'!I111</f>
        <v>0</v>
      </c>
      <c r="F166" s="3303">
        <f>'TV Production and Syndication'!J111</f>
        <v>0</v>
      </c>
      <c r="G166" s="3303">
        <f>'TV Production and Syndication'!K111</f>
        <v>0</v>
      </c>
      <c r="H166" s="3303">
        <f>'TV Production and Syndication'!L111</f>
        <v>0</v>
      </c>
      <c r="I166" s="3303">
        <f>'TV Production and Syndication'!M111</f>
        <v>0</v>
      </c>
      <c r="J166" s="3303">
        <f>'TV Production and Syndication'!N111</f>
        <v>0</v>
      </c>
      <c r="K166" s="3303">
        <f>'TV Production and Syndication'!O111</f>
        <v>0</v>
      </c>
      <c r="L166" s="3303">
        <f>'TV Production and Syndication'!P111</f>
        <v>0</v>
      </c>
      <c r="M166" s="3303">
        <f>'TV Production and Syndication'!Q111</f>
        <v>0</v>
      </c>
      <c r="N166" s="3303">
        <f>'TV Production and Syndication'!R111</f>
        <v>0</v>
      </c>
      <c r="O166" s="3303">
        <f>'TV Production and Syndication'!S111</f>
        <v>0</v>
      </c>
      <c r="P166" s="3303">
        <f>'TV Production and Syndication'!T111</f>
        <v>0</v>
      </c>
      <c r="Q166" s="3303">
        <f>'TV Production and Syndication'!U111</f>
        <v>0</v>
      </c>
      <c r="R166" s="3303">
        <f>'TV Production and Syndication'!V111</f>
        <v>0</v>
      </c>
      <c r="S166" s="3303">
        <f>'TV Production and Syndication'!W111</f>
        <v>0</v>
      </c>
      <c r="T166" s="3303">
        <f>'TV Production and Syndication'!X111</f>
        <v>0</v>
      </c>
      <c r="U166" s="3303">
        <f>'TV Production and Syndication'!Y111</f>
        <v>0</v>
      </c>
      <c r="V166" s="3303">
        <f>'TV Production and Syndication'!Z111</f>
        <v>0</v>
      </c>
      <c r="W166" s="3303">
        <f>'TV Production and Syndication'!AA111</f>
        <v>0</v>
      </c>
      <c r="X166" s="3303">
        <f>'TV Production and Syndication'!AB111</f>
        <v>0</v>
      </c>
      <c r="Y166" s="3303">
        <f>'TV Production and Syndication'!AC111</f>
        <v>0</v>
      </c>
    </row>
    <row r="167" spans="1:26">
      <c r="A167" s="776" t="s">
        <v>56</v>
      </c>
      <c r="B167" s="181">
        <f t="shared" ref="B167:Y167" ca="1" si="188">+B163-B164-B165</f>
        <v>1017.7006575542481</v>
      </c>
      <c r="C167" s="181">
        <f t="shared" ca="1" si="188"/>
        <v>1017.7006575542481</v>
      </c>
      <c r="D167" s="181">
        <f t="shared" ca="1" si="188"/>
        <v>1017.7006575542481</v>
      </c>
      <c r="E167" s="181">
        <f t="shared" ca="1" si="188"/>
        <v>1017.7006575542481</v>
      </c>
      <c r="F167" s="181">
        <f t="shared" ca="1" si="188"/>
        <v>1017.7006575542481</v>
      </c>
      <c r="G167" s="181">
        <f t="shared" ca="1" si="188"/>
        <v>1017.7006575542481</v>
      </c>
      <c r="H167" s="181">
        <f t="shared" ca="1" si="188"/>
        <v>1017.7006575542481</v>
      </c>
      <c r="I167" s="1683">
        <f t="shared" ca="1" si="188"/>
        <v>1017.7006575542481</v>
      </c>
      <c r="J167" s="181">
        <f t="shared" ca="1" si="188"/>
        <v>1017.7006575542481</v>
      </c>
      <c r="K167" s="181">
        <f t="shared" ca="1" si="188"/>
        <v>1017.7006575542481</v>
      </c>
      <c r="L167" s="181">
        <f t="shared" ca="1" si="188"/>
        <v>1017.7006575542481</v>
      </c>
      <c r="M167" s="181">
        <f t="shared" ca="1" si="188"/>
        <v>1017.7006575542481</v>
      </c>
      <c r="N167" s="181">
        <f t="shared" ca="1" si="188"/>
        <v>1017.7006575542481</v>
      </c>
      <c r="O167" s="181">
        <f t="shared" ca="1" si="188"/>
        <v>1017.7006575542481</v>
      </c>
      <c r="P167" s="181">
        <f t="shared" ca="1" si="188"/>
        <v>1017.7006575542481</v>
      </c>
      <c r="Q167" s="181">
        <f t="shared" ca="1" si="188"/>
        <v>1017.7006575542481</v>
      </c>
      <c r="R167" s="181">
        <f t="shared" ca="1" si="188"/>
        <v>1017.7006575542481</v>
      </c>
      <c r="S167" s="181">
        <f t="shared" ca="1" si="188"/>
        <v>1017.7006575542481</v>
      </c>
      <c r="T167" s="181">
        <f t="shared" ca="1" si="188"/>
        <v>1017.7006575542481</v>
      </c>
      <c r="U167" s="181">
        <f t="shared" ca="1" si="188"/>
        <v>1017.7006575542481</v>
      </c>
      <c r="V167" s="181">
        <f t="shared" ca="1" si="188"/>
        <v>1017.7006575542481</v>
      </c>
      <c r="W167" s="181">
        <f t="shared" ca="1" si="188"/>
        <v>1017.7006575542481</v>
      </c>
      <c r="X167" s="181">
        <f t="shared" ca="1" si="188"/>
        <v>1017.7006575542481</v>
      </c>
      <c r="Y167" s="181">
        <f t="shared" ca="1" si="188"/>
        <v>1017.7006575542481</v>
      </c>
    </row>
    <row r="168" spans="1:26">
      <c r="A168" s="777" t="s">
        <v>57</v>
      </c>
      <c r="B168" s="181">
        <f t="shared" ref="B168:Y168" ca="1" si="189">1/(B157-B158)</f>
        <v>16.528782274222632</v>
      </c>
      <c r="C168" s="181">
        <f t="shared" ca="1" si="189"/>
        <v>16.528782274222632</v>
      </c>
      <c r="D168" s="181">
        <f t="shared" ca="1" si="189"/>
        <v>16.528782274222632</v>
      </c>
      <c r="E168" s="181">
        <f t="shared" ca="1" si="189"/>
        <v>16.528782274222632</v>
      </c>
      <c r="F168" s="181">
        <f t="shared" ca="1" si="189"/>
        <v>16.528782274222632</v>
      </c>
      <c r="G168" s="181">
        <f t="shared" ca="1" si="189"/>
        <v>16.528782274222632</v>
      </c>
      <c r="H168" s="181">
        <f t="shared" ca="1" si="189"/>
        <v>16.528782274222632</v>
      </c>
      <c r="I168" s="1683">
        <f t="shared" ca="1" si="189"/>
        <v>16.528782274222632</v>
      </c>
      <c r="J168" s="181">
        <f t="shared" ca="1" si="189"/>
        <v>16.528782274222632</v>
      </c>
      <c r="K168" s="181">
        <f t="shared" ca="1" si="189"/>
        <v>16.528782274222632</v>
      </c>
      <c r="L168" s="181">
        <f t="shared" ca="1" si="189"/>
        <v>16.528782274222632</v>
      </c>
      <c r="M168" s="181">
        <f t="shared" ca="1" si="189"/>
        <v>16.528782274222632</v>
      </c>
      <c r="N168" s="181">
        <f t="shared" ca="1" si="189"/>
        <v>16.528782274222632</v>
      </c>
      <c r="O168" s="181">
        <f t="shared" ca="1" si="189"/>
        <v>16.528782274222632</v>
      </c>
      <c r="P168" s="181">
        <f t="shared" ca="1" si="189"/>
        <v>16.528782274222632</v>
      </c>
      <c r="Q168" s="181">
        <f t="shared" ca="1" si="189"/>
        <v>16.528782274222632</v>
      </c>
      <c r="R168" s="181">
        <f t="shared" ca="1" si="189"/>
        <v>16.528782274222632</v>
      </c>
      <c r="S168" s="181">
        <f t="shared" ca="1" si="189"/>
        <v>16.528782274222632</v>
      </c>
      <c r="T168" s="181">
        <f t="shared" ca="1" si="189"/>
        <v>16.528782274222632</v>
      </c>
      <c r="U168" s="181">
        <f t="shared" ca="1" si="189"/>
        <v>16.528782274222632</v>
      </c>
      <c r="V168" s="181">
        <f t="shared" ca="1" si="189"/>
        <v>16.528782274222632</v>
      </c>
      <c r="W168" s="181">
        <f t="shared" ca="1" si="189"/>
        <v>16.528782274222632</v>
      </c>
      <c r="X168" s="181">
        <f t="shared" ca="1" si="189"/>
        <v>16.528782274222632</v>
      </c>
      <c r="Y168" s="181">
        <f t="shared" ca="1" si="189"/>
        <v>16.528782274222632</v>
      </c>
    </row>
    <row r="169" spans="1:26">
      <c r="A169" s="777" t="s">
        <v>58</v>
      </c>
      <c r="B169" s="181">
        <f t="shared" ref="B169:Y169" ca="1" si="190">+B170/B163</f>
        <v>12.102645999058314</v>
      </c>
      <c r="C169" s="181">
        <f t="shared" ca="1" si="190"/>
        <v>12.102645999058314</v>
      </c>
      <c r="D169" s="181">
        <f t="shared" ca="1" si="190"/>
        <v>12.102645999058314</v>
      </c>
      <c r="E169" s="181">
        <f t="shared" ca="1" si="190"/>
        <v>12.102645999058314</v>
      </c>
      <c r="F169" s="181">
        <f t="shared" ca="1" si="190"/>
        <v>12.102645999058314</v>
      </c>
      <c r="G169" s="181">
        <f t="shared" ca="1" si="190"/>
        <v>12.102645999058314</v>
      </c>
      <c r="H169" s="181">
        <f t="shared" ca="1" si="190"/>
        <v>12.102645999058314</v>
      </c>
      <c r="I169" s="1683">
        <f t="shared" ca="1" si="190"/>
        <v>12.102645999058314</v>
      </c>
      <c r="J169" s="181">
        <f t="shared" ca="1" si="190"/>
        <v>12.102645999058314</v>
      </c>
      <c r="K169" s="181">
        <f t="shared" ca="1" si="190"/>
        <v>12.102645999058314</v>
      </c>
      <c r="L169" s="181">
        <f t="shared" ca="1" si="190"/>
        <v>12.102645999058314</v>
      </c>
      <c r="M169" s="181">
        <f t="shared" ca="1" si="190"/>
        <v>12.102645999058314</v>
      </c>
      <c r="N169" s="181">
        <f t="shared" ca="1" si="190"/>
        <v>12.102645999058314</v>
      </c>
      <c r="O169" s="181">
        <f t="shared" ca="1" si="190"/>
        <v>12.102645999058314</v>
      </c>
      <c r="P169" s="181">
        <f t="shared" ca="1" si="190"/>
        <v>12.102645999058314</v>
      </c>
      <c r="Q169" s="181">
        <f t="shared" ca="1" si="190"/>
        <v>12.102645999058314</v>
      </c>
      <c r="R169" s="181">
        <f t="shared" ca="1" si="190"/>
        <v>12.102645999058314</v>
      </c>
      <c r="S169" s="181">
        <f t="shared" ca="1" si="190"/>
        <v>12.102645999058314</v>
      </c>
      <c r="T169" s="181">
        <f t="shared" ca="1" si="190"/>
        <v>12.102645999058314</v>
      </c>
      <c r="U169" s="181">
        <f t="shared" ca="1" si="190"/>
        <v>12.102645999058314</v>
      </c>
      <c r="V169" s="181">
        <f t="shared" ca="1" si="190"/>
        <v>12.102645999058314</v>
      </c>
      <c r="W169" s="181">
        <f t="shared" ca="1" si="190"/>
        <v>12.102645999058314</v>
      </c>
      <c r="X169" s="181">
        <f t="shared" ca="1" si="190"/>
        <v>12.102645999058314</v>
      </c>
      <c r="Y169" s="181">
        <f t="shared" ca="1" si="190"/>
        <v>12.102645999058314</v>
      </c>
    </row>
    <row r="170" spans="1:26">
      <c r="A170" s="776" t="s">
        <v>59</v>
      </c>
      <c r="B170" s="181">
        <f ca="1">B168*B167</f>
        <v>16821.352589047372</v>
      </c>
      <c r="C170" s="181">
        <f t="shared" ref="C170:L170" ca="1" si="191">C168*C167</f>
        <v>16821.352589047372</v>
      </c>
      <c r="D170" s="181">
        <f t="shared" ca="1" si="191"/>
        <v>16821.352589047372</v>
      </c>
      <c r="E170" s="181">
        <f t="shared" ca="1" si="191"/>
        <v>16821.352589047372</v>
      </c>
      <c r="F170" s="181">
        <f t="shared" ca="1" si="191"/>
        <v>16821.352589047372</v>
      </c>
      <c r="G170" s="181">
        <f t="shared" ca="1" si="191"/>
        <v>16821.352589047372</v>
      </c>
      <c r="H170" s="181">
        <f t="shared" ca="1" si="191"/>
        <v>16821.352589047372</v>
      </c>
      <c r="I170" s="1683">
        <f t="shared" ca="1" si="191"/>
        <v>16821.352589047372</v>
      </c>
      <c r="J170" s="181">
        <f t="shared" ca="1" si="191"/>
        <v>16821.352589047372</v>
      </c>
      <c r="K170" s="181">
        <f t="shared" ca="1" si="191"/>
        <v>16821.352589047372</v>
      </c>
      <c r="L170" s="181">
        <f t="shared" ca="1" si="191"/>
        <v>16821.352589047372</v>
      </c>
      <c r="M170" s="181">
        <f t="shared" ref="M170:S170" ca="1" si="192">M168*M167</f>
        <v>16821.352589047372</v>
      </c>
      <c r="N170" s="181">
        <f t="shared" ca="1" si="192"/>
        <v>16821.352589047372</v>
      </c>
      <c r="O170" s="181">
        <f ca="1">O168*O167</f>
        <v>16821.352589047372</v>
      </c>
      <c r="P170" s="181">
        <f t="shared" ca="1" si="192"/>
        <v>16821.352589047372</v>
      </c>
      <c r="Q170" s="181">
        <f t="shared" ca="1" si="192"/>
        <v>16821.352589047372</v>
      </c>
      <c r="R170" s="181">
        <f t="shared" ca="1" si="192"/>
        <v>16821.352589047372</v>
      </c>
      <c r="S170" s="181">
        <f t="shared" ca="1" si="192"/>
        <v>16821.352589047372</v>
      </c>
      <c r="T170" s="181">
        <f t="shared" ref="T170:Y170" ca="1" si="193">T168*T167</f>
        <v>16821.352589047372</v>
      </c>
      <c r="U170" s="181">
        <f t="shared" ca="1" si="193"/>
        <v>16821.352589047372</v>
      </c>
      <c r="V170" s="181">
        <f t="shared" ca="1" si="193"/>
        <v>16821.352589047372</v>
      </c>
      <c r="W170" s="181">
        <f t="shared" ca="1" si="193"/>
        <v>16821.352589047372</v>
      </c>
      <c r="X170" s="181">
        <f t="shared" ca="1" si="193"/>
        <v>16821.352589047372</v>
      </c>
      <c r="Y170" s="181">
        <f t="shared" ca="1" si="193"/>
        <v>16821.352589047372</v>
      </c>
    </row>
    <row r="171" spans="1:26">
      <c r="A171" s="776" t="s">
        <v>60</v>
      </c>
      <c r="B171" s="181">
        <f t="shared" ref="B171:Y171" ca="1" si="194">B170/((1+B157)^B177)</f>
        <v>2834.5643812347935</v>
      </c>
      <c r="C171" s="181">
        <f t="shared" ca="1" si="194"/>
        <v>3062.7483011785334</v>
      </c>
      <c r="D171" s="181">
        <f t="shared" ca="1" si="194"/>
        <v>3309.3011464024989</v>
      </c>
      <c r="E171" s="181">
        <f t="shared" ca="1" si="194"/>
        <v>3575.7016250296547</v>
      </c>
      <c r="F171" s="181">
        <f t="shared" ca="1" si="194"/>
        <v>3863.5474819627179</v>
      </c>
      <c r="G171" s="181">
        <f t="shared" ca="1" si="194"/>
        <v>4174.5650814073915</v>
      </c>
      <c r="H171" s="181">
        <f t="shared" ca="1" si="194"/>
        <v>4510.6197607937311</v>
      </c>
      <c r="I171" s="1683">
        <f t="shared" ca="1" si="194"/>
        <v>4873.7270181936301</v>
      </c>
      <c r="J171" s="181">
        <f t="shared" ca="1" si="194"/>
        <v>5266.0646003312731</v>
      </c>
      <c r="K171" s="181">
        <f t="shared" ca="1" si="194"/>
        <v>5689.9855636847669</v>
      </c>
      <c r="L171" s="181">
        <f t="shared" ca="1" si="194"/>
        <v>6148.032387013327</v>
      </c>
      <c r="M171" s="181">
        <f t="shared" ca="1" si="194"/>
        <v>6642.9522199502826</v>
      </c>
      <c r="N171" s="181">
        <f t="shared" ca="1" si="194"/>
        <v>7177.7133591158381</v>
      </c>
      <c r="O171" s="181">
        <f t="shared" ca="1" si="194"/>
        <v>7755.5230505655436</v>
      </c>
      <c r="P171" s="181">
        <f t="shared" ca="1" si="194"/>
        <v>8379.8467253452181</v>
      </c>
      <c r="Q171" s="181">
        <f t="shared" ca="1" si="194"/>
        <v>9054.4287835181276</v>
      </c>
      <c r="R171" s="181">
        <f t="shared" ca="1" si="194"/>
        <v>9783.3150513172641</v>
      </c>
      <c r="S171" s="181">
        <f t="shared" ca="1" si="194"/>
        <v>10570.877046110161</v>
      </c>
      <c r="T171" s="181">
        <f t="shared" ca="1" si="194"/>
        <v>11421.838194706108</v>
      </c>
      <c r="U171" s="181">
        <f t="shared" ca="1" si="194"/>
        <v>12341.302162250859</v>
      </c>
      <c r="V171" s="181">
        <f t="shared" ca="1" si="194"/>
        <v>13334.783461612213</v>
      </c>
      <c r="W171" s="181">
        <f t="shared" ca="1" si="194"/>
        <v>14408.240526837217</v>
      </c>
      <c r="X171" s="181">
        <f t="shared" ca="1" si="194"/>
        <v>15568.111449040005</v>
      </c>
      <c r="Y171" s="181">
        <f t="shared" ca="1" si="194"/>
        <v>16821.352589047372</v>
      </c>
    </row>
    <row r="172" spans="1:26">
      <c r="A172" s="776" t="s">
        <v>63</v>
      </c>
      <c r="B172" s="173">
        <f ca="1">NPV(B157,C160:$Y160)</f>
        <v>5180.9143404627102</v>
      </c>
      <c r="C172" s="173">
        <f ca="1">NPV(C157,D160:$Y160)</f>
        <v>5210.2031315548238</v>
      </c>
      <c r="D172" s="173">
        <f ca="1">NPV(D157,E160:$Y160)</f>
        <v>5254.91349813744</v>
      </c>
      <c r="E172" s="173">
        <f ca="1">NPV(E157,F160:$Y160)</f>
        <v>5172.3539645654992</v>
      </c>
      <c r="F172" s="173">
        <f ca="1">NPV(F157,G160:$Y160)</f>
        <v>5065.5788886771124</v>
      </c>
      <c r="G172" s="173">
        <f ca="1">NPV(G157,H160:$Y160)</f>
        <v>4990.9985968596902</v>
      </c>
      <c r="H172" s="173">
        <f ca="1">NPV(H157,I160:$Y160)</f>
        <v>4861.5851700343592</v>
      </c>
      <c r="I172" s="173">
        <f ca="1">NPV(I157,J160:$Y160)</f>
        <v>4494.2853357117756</v>
      </c>
      <c r="J172" s="173">
        <f ca="1">NPV(J157,K160:$Y160)</f>
        <v>4116.9867963178494</v>
      </c>
      <c r="K172" s="173">
        <f ca="1">NPV(K157,L160:$Y160)</f>
        <v>3748.9107562307795</v>
      </c>
      <c r="L172" s="173">
        <f ca="1">NPV(L157,M160:$Y160)</f>
        <v>3407.2219279984292</v>
      </c>
      <c r="M172" s="173">
        <f ca="1">NPV(M157,N160:$Y160)</f>
        <v>3045.7825742725572</v>
      </c>
      <c r="N172" s="173">
        <f ca="1">NPV(N157,O160:$Y160)</f>
        <v>3219.6535924461787</v>
      </c>
      <c r="O172" s="173">
        <f ca="1">NPV(O157,P160:$Y160)</f>
        <v>3384.5879038949538</v>
      </c>
      <c r="P172" s="173">
        <f ca="1">NPV(P157,Q160:$Y160)</f>
        <v>3377.5073320460856</v>
      </c>
      <c r="Q172" s="173">
        <f ca="1">NPV(Q157,R160:$Y160)</f>
        <v>3268.1056355518554</v>
      </c>
      <c r="R172" s="173">
        <f ca="1">NPV(R157,S160:$Y160)</f>
        <v>3111.9937708638367</v>
      </c>
      <c r="S172" s="173">
        <f ca="1">NPV(S157,T160:$Y160)</f>
        <v>2931.8086451110121</v>
      </c>
      <c r="T172" s="173">
        <f ca="1">NPV(T157,U160:$Y160)</f>
        <v>2661.301889957102</v>
      </c>
      <c r="U172" s="173">
        <f ca="1">NPV(U157,V160:$Y160)</f>
        <v>2322.9399809283468</v>
      </c>
      <c r="V172" s="173">
        <f ca="1">NPV(V157,W160:$Y160)</f>
        <v>1922.0273357880428</v>
      </c>
      <c r="W172" s="173">
        <f ca="1">NPV(W157,X160:$Y160)</f>
        <v>1436.3145974251024</v>
      </c>
      <c r="X172" s="173">
        <f ca="1">NPV(X157,Y160:$Y160)</f>
        <v>885.35407864265494</v>
      </c>
      <c r="Y172" s="771">
        <v>0</v>
      </c>
      <c r="Z172" s="1396"/>
    </row>
    <row r="173" spans="1:26">
      <c r="A173" s="776"/>
      <c r="B173" s="539"/>
      <c r="C173" s="539"/>
      <c r="D173" s="539"/>
      <c r="E173" s="539"/>
      <c r="F173" s="539"/>
      <c r="G173" s="539"/>
      <c r="H173" s="539"/>
      <c r="I173" s="2268"/>
      <c r="J173" s="539"/>
      <c r="K173" s="539"/>
      <c r="L173" s="539"/>
      <c r="M173" s="539"/>
      <c r="N173" s="539"/>
      <c r="O173" s="539"/>
      <c r="P173" s="539"/>
      <c r="Q173" s="539"/>
      <c r="R173" s="539"/>
      <c r="S173" s="539"/>
      <c r="T173" s="539"/>
      <c r="U173" s="539"/>
      <c r="V173" s="539"/>
      <c r="W173" s="539"/>
    </row>
    <row r="174" spans="1:26">
      <c r="A174" s="776" t="s">
        <v>64</v>
      </c>
      <c r="B174" s="540">
        <f ca="1">B172+B171</f>
        <v>8015.4787216975037</v>
      </c>
      <c r="C174" s="540">
        <f ca="1">C172+C171</f>
        <v>8272.9514327333563</v>
      </c>
      <c r="D174" s="540">
        <f t="shared" ref="D174:L174" ca="1" si="195">D172+D171</f>
        <v>8564.2146445399394</v>
      </c>
      <c r="E174" s="540">
        <f t="shared" ca="1" si="195"/>
        <v>8748.0555895951547</v>
      </c>
      <c r="F174" s="540">
        <f t="shared" ca="1" si="195"/>
        <v>8929.1263706398313</v>
      </c>
      <c r="G174" s="540">
        <f t="shared" ca="1" si="195"/>
        <v>9165.5636782670808</v>
      </c>
      <c r="H174" s="540">
        <f t="shared" ca="1" si="195"/>
        <v>9372.2049308280912</v>
      </c>
      <c r="I174" s="2269">
        <f t="shared" ca="1" si="195"/>
        <v>9368.0123539054057</v>
      </c>
      <c r="J174" s="540">
        <f t="shared" ca="1" si="195"/>
        <v>9383.0513966491235</v>
      </c>
      <c r="K174" s="540">
        <f t="shared" ca="1" si="195"/>
        <v>9438.896319915546</v>
      </c>
      <c r="L174" s="540">
        <f t="shared" ca="1" si="195"/>
        <v>9555.2543150117563</v>
      </c>
      <c r="M174" s="540">
        <f t="shared" ref="M174:S174" ca="1" si="196">M172+M171</f>
        <v>9688.7347942228407</v>
      </c>
      <c r="N174" s="540">
        <f t="shared" ca="1" si="196"/>
        <v>10397.366951562017</v>
      </c>
      <c r="O174" s="540">
        <f ca="1">O172+O171</f>
        <v>11140.110954460497</v>
      </c>
      <c r="P174" s="540">
        <f t="shared" ca="1" si="196"/>
        <v>11757.354057391303</v>
      </c>
      <c r="Q174" s="540">
        <f t="shared" ca="1" si="196"/>
        <v>12322.534419069983</v>
      </c>
      <c r="R174" s="540">
        <f t="shared" ca="1" si="196"/>
        <v>12895.308822181101</v>
      </c>
      <c r="S174" s="540">
        <f t="shared" ca="1" si="196"/>
        <v>13502.685691221173</v>
      </c>
      <c r="T174" s="540">
        <f t="shared" ref="T174:Y174" ca="1" si="197">T172+T171</f>
        <v>14083.14008466321</v>
      </c>
      <c r="U174" s="540">
        <f t="shared" ca="1" si="197"/>
        <v>14664.242143179206</v>
      </c>
      <c r="V174" s="540">
        <f t="shared" ca="1" si="197"/>
        <v>15256.810797400256</v>
      </c>
      <c r="W174" s="540">
        <f t="shared" ca="1" si="197"/>
        <v>15844.555124262319</v>
      </c>
      <c r="X174" s="540">
        <f t="shared" ca="1" si="197"/>
        <v>16453.46552768266</v>
      </c>
      <c r="Y174" s="540">
        <f t="shared" ca="1" si="197"/>
        <v>16821.352589047372</v>
      </c>
    </row>
    <row r="175" spans="1:26">
      <c r="A175" s="777" t="s">
        <v>72</v>
      </c>
      <c r="B175" s="541">
        <f t="shared" ref="B175:Y175" ca="1" si="198">B174/B161</f>
        <v>14.251255533581096</v>
      </c>
      <c r="C175" s="541">
        <f t="shared" ca="1" si="198"/>
        <v>14.047886490955138</v>
      </c>
      <c r="D175" s="541">
        <f t="shared" ca="1" si="198"/>
        <v>14.914395299991535</v>
      </c>
      <c r="E175" s="541">
        <f t="shared" ca="1" si="198"/>
        <v>11.149724794746627</v>
      </c>
      <c r="F175" s="541">
        <f t="shared" ca="1" si="198"/>
        <v>11.000349754055694</v>
      </c>
      <c r="G175" s="541">
        <f t="shared" ca="1" si="198"/>
        <v>12.586464894986889</v>
      </c>
      <c r="H175" s="541">
        <f t="shared" ca="1" si="198"/>
        <v>11.88184498970543</v>
      </c>
      <c r="I175" s="2270">
        <f t="shared" ca="1" si="198"/>
        <v>8.2958499099704905</v>
      </c>
      <c r="J175" s="541">
        <f t="shared" ca="1" si="198"/>
        <v>8.5524052142908715</v>
      </c>
      <c r="K175" s="541">
        <f t="shared" ca="1" si="198"/>
        <v>9.0523991639031749</v>
      </c>
      <c r="L175" s="541">
        <f t="shared" ca="1" si="198"/>
        <v>10.029471728254261</v>
      </c>
      <c r="M175" s="541">
        <f t="shared" ca="1" si="198"/>
        <v>10.479073930145525</v>
      </c>
      <c r="N175" s="541">
        <f t="shared" ca="1" si="198"/>
        <v>11.390385768327638</v>
      </c>
      <c r="O175" s="541">
        <f t="shared" ca="1" si="198"/>
        <v>11.325066231003994</v>
      </c>
      <c r="P175" s="541">
        <f t="shared" ca="1" si="198"/>
        <v>11.495136981538362</v>
      </c>
      <c r="Q175" s="541">
        <f t="shared" ca="1" si="198"/>
        <v>11.596269523758341</v>
      </c>
      <c r="R175" s="541">
        <f t="shared" ca="1" si="198"/>
        <v>11.672148573644549</v>
      </c>
      <c r="S175" s="541">
        <f t="shared" ca="1" si="198"/>
        <v>11.779365253473969</v>
      </c>
      <c r="T175" s="541">
        <f t="shared" ca="1" si="198"/>
        <v>11.865029603737437</v>
      </c>
      <c r="U175" s="541">
        <f t="shared" ca="1" si="198"/>
        <v>11.959569442700003</v>
      </c>
      <c r="V175" s="541">
        <f t="shared" ca="1" si="198"/>
        <v>12.073652073053125</v>
      </c>
      <c r="W175" s="541">
        <f t="shared" ca="1" si="198"/>
        <v>12.196097108879512</v>
      </c>
      <c r="X175" s="541">
        <f t="shared" ca="1" si="198"/>
        <v>12.352810634054096</v>
      </c>
      <c r="Y175" s="541">
        <f t="shared" ca="1" si="198"/>
        <v>12.34469891903948</v>
      </c>
    </row>
    <row r="176" spans="1:26">
      <c r="A176" s="777" t="s">
        <v>73</v>
      </c>
      <c r="B176" s="541">
        <f t="shared" ref="B176:X176" ca="1" si="199">B174/C161</f>
        <v>13.610684913191841</v>
      </c>
      <c r="C176" s="541">
        <f t="shared" ca="1" si="199"/>
        <v>14.40716669147014</v>
      </c>
      <c r="D176" s="541">
        <f t="shared" ca="1" si="199"/>
        <v>10.915412618471734</v>
      </c>
      <c r="E176" s="541">
        <f t="shared" ca="1" si="199"/>
        <v>10.777277323556678</v>
      </c>
      <c r="F176" s="541">
        <f t="shared" ca="1" si="199"/>
        <v>12.261781113740362</v>
      </c>
      <c r="G176" s="541">
        <f t="shared" ca="1" si="199"/>
        <v>11.619870422404588</v>
      </c>
      <c r="H176" s="541">
        <f t="shared" ca="1" si="199"/>
        <v>8.2995626494047112</v>
      </c>
      <c r="I176" s="2270">
        <f t="shared" ca="1" si="199"/>
        <v>8.5386975213302154</v>
      </c>
      <c r="J176" s="541">
        <f t="shared" ca="1" si="199"/>
        <v>8.9988409384972492</v>
      </c>
      <c r="K176" s="541">
        <f t="shared" ca="1" si="199"/>
        <v>9.9073390059110835</v>
      </c>
      <c r="L176" s="541">
        <f t="shared" ca="1" si="199"/>
        <v>10.334705048181881</v>
      </c>
      <c r="M176" s="541">
        <f t="shared" ca="1" si="199"/>
        <v>10.614074450516272</v>
      </c>
      <c r="N176" s="541">
        <f t="shared" ca="1" si="199"/>
        <v>10.569990715159307</v>
      </c>
      <c r="O176" s="541">
        <f t="shared" ca="1" si="199"/>
        <v>10.891659873979547</v>
      </c>
      <c r="P176" s="541">
        <f t="shared" ca="1" si="199"/>
        <v>11.06439973296121</v>
      </c>
      <c r="Q176" s="541">
        <f t="shared" ca="1" si="199"/>
        <v>11.153703608542676</v>
      </c>
      <c r="R176" s="541">
        <f t="shared" ca="1" si="199"/>
        <v>11.249506664557398</v>
      </c>
      <c r="S176" s="541">
        <f t="shared" ca="1" si="199"/>
        <v>11.375997433326138</v>
      </c>
      <c r="T176" s="541">
        <f t="shared" ca="1" si="199"/>
        <v>11.485645843085241</v>
      </c>
      <c r="U176" s="541">
        <f t="shared" ca="1" si="199"/>
        <v>11.60471607748573</v>
      </c>
      <c r="V176" s="541">
        <f t="shared" ca="1" si="199"/>
        <v>11.743690157129487</v>
      </c>
      <c r="W176" s="541">
        <f t="shared" ca="1" si="199"/>
        <v>11.895657404304306</v>
      </c>
      <c r="X176" s="541">
        <f t="shared" ca="1" si="199"/>
        <v>12.074717359309583</v>
      </c>
    </row>
    <row r="177" spans="1:26">
      <c r="A177" s="778" t="s">
        <v>61</v>
      </c>
      <c r="B177" s="11">
        <f t="shared" ref="B177:Q177" si="200">+C177+1</f>
        <v>23</v>
      </c>
      <c r="C177" s="11">
        <f t="shared" si="200"/>
        <v>22</v>
      </c>
      <c r="D177" s="11">
        <f t="shared" si="200"/>
        <v>21</v>
      </c>
      <c r="E177" s="11">
        <f t="shared" si="200"/>
        <v>20</v>
      </c>
      <c r="F177" s="11">
        <f t="shared" si="200"/>
        <v>19</v>
      </c>
      <c r="G177" s="11">
        <f t="shared" si="200"/>
        <v>18</v>
      </c>
      <c r="H177" s="11">
        <f t="shared" si="200"/>
        <v>17</v>
      </c>
      <c r="I177" s="1108">
        <f t="shared" si="200"/>
        <v>16</v>
      </c>
      <c r="J177" s="11">
        <f t="shared" si="200"/>
        <v>15</v>
      </c>
      <c r="K177" s="11">
        <f t="shared" si="200"/>
        <v>14</v>
      </c>
      <c r="L177" s="11">
        <f t="shared" si="200"/>
        <v>13</v>
      </c>
      <c r="M177" s="11">
        <f t="shared" si="200"/>
        <v>12</v>
      </c>
      <c r="N177" s="11">
        <f t="shared" si="200"/>
        <v>11</v>
      </c>
      <c r="O177" s="11">
        <f t="shared" si="200"/>
        <v>10</v>
      </c>
      <c r="P177" s="11">
        <f t="shared" si="200"/>
        <v>9</v>
      </c>
      <c r="Q177" s="11">
        <f t="shared" si="200"/>
        <v>8</v>
      </c>
      <c r="R177" s="11">
        <f t="shared" ref="R177:X177" si="201">+S177+1</f>
        <v>7</v>
      </c>
      <c r="S177" s="11">
        <f t="shared" si="201"/>
        <v>6</v>
      </c>
      <c r="T177" s="11">
        <f t="shared" si="201"/>
        <v>5</v>
      </c>
      <c r="U177" s="11">
        <f t="shared" si="201"/>
        <v>4</v>
      </c>
      <c r="V177" s="11">
        <f t="shared" si="201"/>
        <v>3</v>
      </c>
      <c r="W177" s="11">
        <f t="shared" si="201"/>
        <v>2</v>
      </c>
      <c r="X177" s="11">
        <f t="shared" si="201"/>
        <v>1</v>
      </c>
      <c r="Y177" s="469">
        <v>0</v>
      </c>
      <c r="Z177" s="1396"/>
    </row>
    <row r="178" spans="1:26">
      <c r="A178" s="304"/>
      <c r="B178" s="304" t="s">
        <v>337</v>
      </c>
      <c r="C178" s="304" t="s">
        <v>337</v>
      </c>
      <c r="D178" s="304"/>
      <c r="E178" s="304"/>
      <c r="F178" s="304"/>
      <c r="G178" s="304"/>
      <c r="H178" s="304"/>
      <c r="I178" s="1710"/>
      <c r="J178" s="304"/>
      <c r="K178" s="304"/>
      <c r="L178" s="304"/>
      <c r="M178" s="304"/>
      <c r="N178" s="304"/>
      <c r="O178" s="304"/>
      <c r="P178" s="304"/>
      <c r="R178" s="1048"/>
      <c r="S178" s="1048"/>
      <c r="T178" s="1048"/>
      <c r="U178" s="1048"/>
      <c r="V178" s="1048"/>
      <c r="W178" s="1048"/>
    </row>
    <row r="179" spans="1:26">
      <c r="A179" s="91"/>
      <c r="B179" s="91"/>
      <c r="C179" s="91"/>
      <c r="D179" s="91"/>
      <c r="E179" s="91"/>
      <c r="F179" s="91"/>
      <c r="G179" s="91"/>
      <c r="H179" s="91"/>
      <c r="I179" s="1710"/>
      <c r="J179" s="91"/>
      <c r="K179" s="91"/>
      <c r="L179" s="91"/>
      <c r="M179" s="91"/>
      <c r="N179" s="91"/>
      <c r="O179" s="91"/>
      <c r="P179" s="91"/>
      <c r="Q179" s="91"/>
      <c r="R179" s="304"/>
      <c r="S179" s="304"/>
      <c r="T179" s="304"/>
      <c r="U179" s="304"/>
      <c r="V179" s="304"/>
      <c r="W179" s="304"/>
    </row>
    <row r="180" spans="1:26">
      <c r="A180" s="779" t="s">
        <v>257</v>
      </c>
      <c r="B180" s="780"/>
      <c r="C180" s="781"/>
      <c r="D180" s="781"/>
      <c r="E180" s="782"/>
      <c r="F180" s="782"/>
      <c r="G180" s="782"/>
      <c r="H180" s="782"/>
      <c r="I180" s="2582"/>
      <c r="J180" s="782"/>
      <c r="K180" s="782"/>
      <c r="L180" s="782"/>
      <c r="M180" s="782"/>
      <c r="N180" s="782"/>
      <c r="O180" s="782"/>
      <c r="P180" s="782"/>
      <c r="Q180" s="782"/>
      <c r="R180" s="1269"/>
      <c r="S180" s="1269"/>
      <c r="T180" s="1269"/>
      <c r="U180" s="1269"/>
      <c r="V180" s="1269"/>
      <c r="W180" s="1269"/>
      <c r="X180" s="1269"/>
      <c r="Y180" s="1269"/>
    </row>
    <row r="181" spans="1:26">
      <c r="A181" s="301"/>
      <c r="B181" s="772">
        <v>2005</v>
      </c>
      <c r="C181" s="772">
        <f>B181+1</f>
        <v>2006</v>
      </c>
      <c r="D181" s="772">
        <f t="shared" ref="D181:N181" si="202">C181+1</f>
        <v>2007</v>
      </c>
      <c r="E181" s="772">
        <f t="shared" si="202"/>
        <v>2008</v>
      </c>
      <c r="F181" s="772">
        <f t="shared" si="202"/>
        <v>2009</v>
      </c>
      <c r="G181" s="772">
        <f t="shared" si="202"/>
        <v>2010</v>
      </c>
      <c r="H181" s="772">
        <f t="shared" si="202"/>
        <v>2011</v>
      </c>
      <c r="I181" s="2674">
        <f t="shared" si="202"/>
        <v>2012</v>
      </c>
      <c r="J181" s="772">
        <f t="shared" si="202"/>
        <v>2013</v>
      </c>
      <c r="K181" s="772">
        <f t="shared" si="202"/>
        <v>2014</v>
      </c>
      <c r="L181" s="772">
        <f t="shared" si="202"/>
        <v>2015</v>
      </c>
      <c r="M181" s="772">
        <f t="shared" si="202"/>
        <v>2016</v>
      </c>
      <c r="N181" s="772">
        <f t="shared" si="202"/>
        <v>2017</v>
      </c>
      <c r="O181" s="772">
        <f t="shared" ref="O181:Y181" si="203">N181+1</f>
        <v>2018</v>
      </c>
      <c r="P181" s="772">
        <f t="shared" si="203"/>
        <v>2019</v>
      </c>
      <c r="Q181" s="772">
        <f t="shared" si="203"/>
        <v>2020</v>
      </c>
      <c r="R181" s="1271">
        <f t="shared" si="203"/>
        <v>2021</v>
      </c>
      <c r="S181" s="1271">
        <f t="shared" si="203"/>
        <v>2022</v>
      </c>
      <c r="T181" s="1271">
        <f t="shared" si="203"/>
        <v>2023</v>
      </c>
      <c r="U181" s="1271">
        <f t="shared" si="203"/>
        <v>2024</v>
      </c>
      <c r="V181" s="1271">
        <f t="shared" si="203"/>
        <v>2025</v>
      </c>
      <c r="W181" s="1271">
        <f t="shared" si="203"/>
        <v>2026</v>
      </c>
      <c r="X181" s="1271">
        <f t="shared" si="203"/>
        <v>2027</v>
      </c>
      <c r="Y181" s="1271">
        <f t="shared" si="203"/>
        <v>2028</v>
      </c>
    </row>
    <row r="182" spans="1:26">
      <c r="A182" s="36" t="s">
        <v>65</v>
      </c>
      <c r="B182" s="6"/>
      <c r="C182" s="6" t="s">
        <v>337</v>
      </c>
      <c r="D182" s="6"/>
      <c r="E182" s="6"/>
      <c r="F182" s="6"/>
      <c r="G182" s="6"/>
      <c r="H182" s="6"/>
      <c r="I182" s="1108"/>
      <c r="J182" s="11"/>
      <c r="K182" s="11"/>
      <c r="L182" s="11"/>
      <c r="M182" s="11"/>
      <c r="N182" s="11"/>
      <c r="O182" s="11"/>
      <c r="P182" s="11"/>
      <c r="Q182" s="11"/>
      <c r="R182" s="11"/>
      <c r="S182" s="11"/>
      <c r="T182" s="11"/>
      <c r="U182" s="11"/>
      <c r="V182" s="11"/>
      <c r="W182" s="11"/>
      <c r="X182" s="11"/>
      <c r="Y182" s="11"/>
    </row>
    <row r="183" spans="1:26">
      <c r="A183" s="295" t="s">
        <v>246</v>
      </c>
      <c r="B183" s="488">
        <f ca="1">B52</f>
        <v>4.6359932385549224E-2</v>
      </c>
      <c r="C183" s="298">
        <f t="shared" ref="C183:N183" ca="1" si="204">+B183</f>
        <v>4.6359932385549224E-2</v>
      </c>
      <c r="D183" s="298">
        <f t="shared" ca="1" si="204"/>
        <v>4.6359932385549224E-2</v>
      </c>
      <c r="E183" s="298">
        <f t="shared" ca="1" si="204"/>
        <v>4.6359932385549224E-2</v>
      </c>
      <c r="F183" s="298">
        <f t="shared" ca="1" si="204"/>
        <v>4.6359932385549224E-2</v>
      </c>
      <c r="G183" s="298">
        <f t="shared" ca="1" si="204"/>
        <v>4.6359932385549224E-2</v>
      </c>
      <c r="H183" s="298">
        <f t="shared" ca="1" si="204"/>
        <v>4.6359932385549224E-2</v>
      </c>
      <c r="I183" s="2267">
        <f t="shared" ca="1" si="204"/>
        <v>4.6359932385549224E-2</v>
      </c>
      <c r="J183" s="298">
        <f t="shared" ca="1" si="204"/>
        <v>4.6359932385549224E-2</v>
      </c>
      <c r="K183" s="536">
        <f t="shared" ca="1" si="204"/>
        <v>4.6359932385549224E-2</v>
      </c>
      <c r="L183" s="536">
        <f t="shared" ca="1" si="204"/>
        <v>4.6359932385549224E-2</v>
      </c>
      <c r="M183" s="536">
        <f t="shared" ca="1" si="204"/>
        <v>4.6359932385549224E-2</v>
      </c>
      <c r="N183" s="536">
        <f t="shared" ca="1" si="204"/>
        <v>4.6359932385549224E-2</v>
      </c>
      <c r="O183" s="536">
        <f t="shared" ref="O183:Q186" ca="1" si="205">+N183</f>
        <v>4.6359932385549224E-2</v>
      </c>
      <c r="P183" s="536">
        <f t="shared" ca="1" si="205"/>
        <v>4.6359932385549224E-2</v>
      </c>
      <c r="Q183" s="536">
        <f t="shared" ca="1" si="205"/>
        <v>4.6359932385549224E-2</v>
      </c>
      <c r="R183" s="536">
        <f t="shared" ref="R183:S186" ca="1" si="206">+Q183</f>
        <v>4.6359932385549224E-2</v>
      </c>
      <c r="S183" s="536">
        <f t="shared" ca="1" si="206"/>
        <v>4.6359932385549224E-2</v>
      </c>
      <c r="T183" s="536">
        <f t="shared" ref="T183:Y186" ca="1" si="207">+S183</f>
        <v>4.6359932385549224E-2</v>
      </c>
      <c r="U183" s="536">
        <f t="shared" ca="1" si="207"/>
        <v>4.6359932385549224E-2</v>
      </c>
      <c r="V183" s="536">
        <f t="shared" ca="1" si="207"/>
        <v>4.6359932385549224E-2</v>
      </c>
      <c r="W183" s="536">
        <f t="shared" ca="1" si="207"/>
        <v>4.6359932385549224E-2</v>
      </c>
      <c r="X183" s="536">
        <f t="shared" ca="1" si="207"/>
        <v>4.6359932385549224E-2</v>
      </c>
      <c r="Y183" s="536">
        <f t="shared" ca="1" si="207"/>
        <v>4.6359932385549224E-2</v>
      </c>
    </row>
    <row r="184" spans="1:26">
      <c r="A184" s="295" t="s">
        <v>247</v>
      </c>
      <c r="B184" s="488">
        <f>B53</f>
        <v>0.1</v>
      </c>
      <c r="C184" s="298">
        <f t="shared" ref="C184:N184" si="208">+B184</f>
        <v>0.1</v>
      </c>
      <c r="D184" s="298">
        <f t="shared" si="208"/>
        <v>0.1</v>
      </c>
      <c r="E184" s="298">
        <f t="shared" si="208"/>
        <v>0.1</v>
      </c>
      <c r="F184" s="298">
        <f t="shared" si="208"/>
        <v>0.1</v>
      </c>
      <c r="G184" s="298">
        <f t="shared" si="208"/>
        <v>0.1</v>
      </c>
      <c r="H184" s="298">
        <f t="shared" si="208"/>
        <v>0.1</v>
      </c>
      <c r="I184" s="2267">
        <f t="shared" si="208"/>
        <v>0.1</v>
      </c>
      <c r="J184" s="298">
        <f t="shared" si="208"/>
        <v>0.1</v>
      </c>
      <c r="K184" s="536">
        <f t="shared" si="208"/>
        <v>0.1</v>
      </c>
      <c r="L184" s="536">
        <f t="shared" si="208"/>
        <v>0.1</v>
      </c>
      <c r="M184" s="536">
        <f t="shared" si="208"/>
        <v>0.1</v>
      </c>
      <c r="N184" s="536">
        <f t="shared" si="208"/>
        <v>0.1</v>
      </c>
      <c r="O184" s="536">
        <f t="shared" si="205"/>
        <v>0.1</v>
      </c>
      <c r="P184" s="536">
        <f t="shared" si="205"/>
        <v>0.1</v>
      </c>
      <c r="Q184" s="536">
        <f t="shared" si="205"/>
        <v>0.1</v>
      </c>
      <c r="R184" s="536">
        <f t="shared" si="206"/>
        <v>0.1</v>
      </c>
      <c r="S184" s="536">
        <f t="shared" si="206"/>
        <v>0.1</v>
      </c>
      <c r="T184" s="536">
        <f t="shared" si="207"/>
        <v>0.1</v>
      </c>
      <c r="U184" s="536">
        <f t="shared" si="207"/>
        <v>0.1</v>
      </c>
      <c r="V184" s="536">
        <f t="shared" si="207"/>
        <v>0.1</v>
      </c>
      <c r="W184" s="536">
        <f t="shared" si="207"/>
        <v>0.1</v>
      </c>
      <c r="X184" s="536">
        <f t="shared" si="207"/>
        <v>0.1</v>
      </c>
      <c r="Y184" s="536">
        <f t="shared" si="207"/>
        <v>0.1</v>
      </c>
    </row>
    <row r="185" spans="1:26">
      <c r="A185" s="295" t="s">
        <v>248</v>
      </c>
      <c r="B185" s="488">
        <f>B54</f>
        <v>0.3</v>
      </c>
      <c r="C185" s="298">
        <f t="shared" ref="C185:N185" si="209">+B185</f>
        <v>0.3</v>
      </c>
      <c r="D185" s="298">
        <f t="shared" si="209"/>
        <v>0.3</v>
      </c>
      <c r="E185" s="298">
        <f t="shared" si="209"/>
        <v>0.3</v>
      </c>
      <c r="F185" s="298">
        <f t="shared" si="209"/>
        <v>0.3</v>
      </c>
      <c r="G185" s="298">
        <f t="shared" si="209"/>
        <v>0.3</v>
      </c>
      <c r="H185" s="298">
        <f t="shared" si="209"/>
        <v>0.3</v>
      </c>
      <c r="I185" s="2267">
        <f t="shared" si="209"/>
        <v>0.3</v>
      </c>
      <c r="J185" s="298">
        <f t="shared" si="209"/>
        <v>0.3</v>
      </c>
      <c r="K185" s="536">
        <f t="shared" si="209"/>
        <v>0.3</v>
      </c>
      <c r="L185" s="536">
        <f t="shared" si="209"/>
        <v>0.3</v>
      </c>
      <c r="M185" s="536">
        <f t="shared" si="209"/>
        <v>0.3</v>
      </c>
      <c r="N185" s="536">
        <f t="shared" si="209"/>
        <v>0.3</v>
      </c>
      <c r="O185" s="536">
        <f t="shared" si="205"/>
        <v>0.3</v>
      </c>
      <c r="P185" s="536">
        <f t="shared" si="205"/>
        <v>0.3</v>
      </c>
      <c r="Q185" s="536">
        <f t="shared" si="205"/>
        <v>0.3</v>
      </c>
      <c r="R185" s="536">
        <f t="shared" si="206"/>
        <v>0.3</v>
      </c>
      <c r="S185" s="536">
        <f t="shared" si="206"/>
        <v>0.3</v>
      </c>
      <c r="T185" s="536">
        <f t="shared" si="207"/>
        <v>0.3</v>
      </c>
      <c r="U185" s="536">
        <f t="shared" si="207"/>
        <v>0.3</v>
      </c>
      <c r="V185" s="536">
        <f t="shared" si="207"/>
        <v>0.3</v>
      </c>
      <c r="W185" s="536">
        <f t="shared" si="207"/>
        <v>0.3</v>
      </c>
      <c r="X185" s="536">
        <f t="shared" si="207"/>
        <v>0.3</v>
      </c>
      <c r="Y185" s="536">
        <f t="shared" si="207"/>
        <v>0.3</v>
      </c>
    </row>
    <row r="186" spans="1:26">
      <c r="A186" s="295" t="s">
        <v>249</v>
      </c>
      <c r="B186" s="488">
        <f>B55</f>
        <v>0.245</v>
      </c>
      <c r="C186" s="298">
        <f t="shared" ref="C186:N186" si="210">+B186</f>
        <v>0.245</v>
      </c>
      <c r="D186" s="298">
        <f t="shared" si="210"/>
        <v>0.245</v>
      </c>
      <c r="E186" s="298">
        <f t="shared" si="210"/>
        <v>0.245</v>
      </c>
      <c r="F186" s="298">
        <f t="shared" si="210"/>
        <v>0.245</v>
      </c>
      <c r="G186" s="298">
        <f t="shared" si="210"/>
        <v>0.245</v>
      </c>
      <c r="H186" s="298">
        <f t="shared" si="210"/>
        <v>0.245</v>
      </c>
      <c r="I186" s="2267">
        <f t="shared" si="210"/>
        <v>0.245</v>
      </c>
      <c r="J186" s="298">
        <f t="shared" si="210"/>
        <v>0.245</v>
      </c>
      <c r="K186" s="536">
        <f t="shared" si="210"/>
        <v>0.245</v>
      </c>
      <c r="L186" s="536">
        <f t="shared" si="210"/>
        <v>0.245</v>
      </c>
      <c r="M186" s="536">
        <f t="shared" si="210"/>
        <v>0.245</v>
      </c>
      <c r="N186" s="536">
        <f t="shared" si="210"/>
        <v>0.245</v>
      </c>
      <c r="O186" s="536">
        <f t="shared" si="205"/>
        <v>0.245</v>
      </c>
      <c r="P186" s="536">
        <f t="shared" si="205"/>
        <v>0.245</v>
      </c>
      <c r="Q186" s="536">
        <f t="shared" si="205"/>
        <v>0.245</v>
      </c>
      <c r="R186" s="536">
        <f t="shared" si="206"/>
        <v>0.245</v>
      </c>
      <c r="S186" s="536">
        <f t="shared" si="206"/>
        <v>0.245</v>
      </c>
      <c r="T186" s="536">
        <f t="shared" si="207"/>
        <v>0.245</v>
      </c>
      <c r="U186" s="536">
        <f t="shared" si="207"/>
        <v>0.245</v>
      </c>
      <c r="V186" s="536">
        <f t="shared" si="207"/>
        <v>0.245</v>
      </c>
      <c r="W186" s="536">
        <f t="shared" si="207"/>
        <v>0.245</v>
      </c>
      <c r="X186" s="536">
        <f t="shared" si="207"/>
        <v>0.245</v>
      </c>
      <c r="Y186" s="536">
        <f t="shared" si="207"/>
        <v>0.245</v>
      </c>
    </row>
    <row r="187" spans="1:26">
      <c r="A187" s="295" t="s">
        <v>250</v>
      </c>
      <c r="B187" s="298">
        <f ca="1">((B183*(1-B186)*B185))+(B184*(1-B185))</f>
        <v>8.0500524685326896E-2</v>
      </c>
      <c r="C187" s="298">
        <f t="shared" ref="C187:O187" ca="1" si="211">((C183*(1-C186)*C185))+(C184*(1-C185))</f>
        <v>8.0500524685326896E-2</v>
      </c>
      <c r="D187" s="298">
        <f t="shared" ca="1" si="211"/>
        <v>8.0500524685326896E-2</v>
      </c>
      <c r="E187" s="298">
        <f t="shared" ca="1" si="211"/>
        <v>8.0500524685326896E-2</v>
      </c>
      <c r="F187" s="298">
        <f t="shared" ca="1" si="211"/>
        <v>8.0500524685326896E-2</v>
      </c>
      <c r="G187" s="298">
        <f t="shared" ca="1" si="211"/>
        <v>8.0500524685326896E-2</v>
      </c>
      <c r="H187" s="298">
        <f t="shared" ca="1" si="211"/>
        <v>8.0500524685326896E-2</v>
      </c>
      <c r="I187" s="2267">
        <f t="shared" ca="1" si="211"/>
        <v>8.0500524685326896E-2</v>
      </c>
      <c r="J187" s="298">
        <f t="shared" ca="1" si="211"/>
        <v>8.0500524685326896E-2</v>
      </c>
      <c r="K187" s="536">
        <f t="shared" ca="1" si="211"/>
        <v>8.0500524685326896E-2</v>
      </c>
      <c r="L187" s="536">
        <f t="shared" ca="1" si="211"/>
        <v>8.0500524685326896E-2</v>
      </c>
      <c r="M187" s="536">
        <f t="shared" ca="1" si="211"/>
        <v>8.0500524685326896E-2</v>
      </c>
      <c r="N187" s="536">
        <f t="shared" ca="1" si="211"/>
        <v>8.0500524685326896E-2</v>
      </c>
      <c r="O187" s="536">
        <f t="shared" ca="1" si="211"/>
        <v>8.0500524685326896E-2</v>
      </c>
      <c r="P187" s="536">
        <f t="shared" ref="P187:U187" ca="1" si="212">((P183*(1-P186)*P185))+(P184*(1-P185))</f>
        <v>8.0500524685326896E-2</v>
      </c>
      <c r="Q187" s="536">
        <f t="shared" ca="1" si="212"/>
        <v>8.0500524685326896E-2</v>
      </c>
      <c r="R187" s="536">
        <f t="shared" ca="1" si="212"/>
        <v>8.0500524685326896E-2</v>
      </c>
      <c r="S187" s="536">
        <f t="shared" ca="1" si="212"/>
        <v>8.0500524685326896E-2</v>
      </c>
      <c r="T187" s="536">
        <f t="shared" ca="1" si="212"/>
        <v>8.0500524685326896E-2</v>
      </c>
      <c r="U187" s="536">
        <f t="shared" ca="1" si="212"/>
        <v>8.0500524685326896E-2</v>
      </c>
      <c r="V187" s="536">
        <f ca="1">((V183*(1-V186)*V185))+(V184*(1-V185))</f>
        <v>8.0500524685326896E-2</v>
      </c>
      <c r="W187" s="536">
        <f ca="1">((W183*(1-W186)*W185))+(W184*(1-W185))</f>
        <v>8.0500524685326896E-2</v>
      </c>
      <c r="X187" s="536">
        <f ca="1">((X183*(1-X186)*X185))+(X184*(1-X185))</f>
        <v>8.0500524685326896E-2</v>
      </c>
      <c r="Y187" s="536">
        <f ca="1">((Y183*(1-Y186)*Y185))+(Y184*(1-Y185))</f>
        <v>8.0500524685326896E-2</v>
      </c>
    </row>
    <row r="188" spans="1:26">
      <c r="A188" s="295" t="s">
        <v>251</v>
      </c>
      <c r="B188" s="488">
        <f>B57</f>
        <v>0.02</v>
      </c>
      <c r="C188" s="298">
        <f t="shared" ref="C188:L188" si="213">+B188</f>
        <v>0.02</v>
      </c>
      <c r="D188" s="298">
        <f t="shared" si="213"/>
        <v>0.02</v>
      </c>
      <c r="E188" s="298">
        <f t="shared" si="213"/>
        <v>0.02</v>
      </c>
      <c r="F188" s="298">
        <f t="shared" si="213"/>
        <v>0.02</v>
      </c>
      <c r="G188" s="298">
        <f t="shared" si="213"/>
        <v>0.02</v>
      </c>
      <c r="H188" s="298">
        <f t="shared" si="213"/>
        <v>0.02</v>
      </c>
      <c r="I188" s="2267">
        <f t="shared" si="213"/>
        <v>0.02</v>
      </c>
      <c r="J188" s="298">
        <f t="shared" si="213"/>
        <v>0.02</v>
      </c>
      <c r="K188" s="536">
        <f t="shared" si="213"/>
        <v>0.02</v>
      </c>
      <c r="L188" s="536">
        <f t="shared" si="213"/>
        <v>0.02</v>
      </c>
      <c r="M188" s="536">
        <f t="shared" ref="M188:S188" si="214">+L188</f>
        <v>0.02</v>
      </c>
      <c r="N188" s="536">
        <f t="shared" si="214"/>
        <v>0.02</v>
      </c>
      <c r="O188" s="536">
        <f t="shared" si="214"/>
        <v>0.02</v>
      </c>
      <c r="P188" s="536">
        <f t="shared" si="214"/>
        <v>0.02</v>
      </c>
      <c r="Q188" s="536">
        <f t="shared" si="214"/>
        <v>0.02</v>
      </c>
      <c r="R188" s="536">
        <f t="shared" si="214"/>
        <v>0.02</v>
      </c>
      <c r="S188" s="536">
        <f t="shared" si="214"/>
        <v>0.02</v>
      </c>
      <c r="T188" s="536">
        <f t="shared" ref="T188:Y188" si="215">+S188</f>
        <v>0.02</v>
      </c>
      <c r="U188" s="536">
        <f t="shared" si="215"/>
        <v>0.02</v>
      </c>
      <c r="V188" s="536">
        <f t="shared" si="215"/>
        <v>0.02</v>
      </c>
      <c r="W188" s="536">
        <f t="shared" si="215"/>
        <v>0.02</v>
      </c>
      <c r="X188" s="536">
        <f t="shared" si="215"/>
        <v>0.02</v>
      </c>
      <c r="Y188" s="536">
        <f t="shared" si="215"/>
        <v>0.02</v>
      </c>
    </row>
    <row r="189" spans="1:26">
      <c r="A189" s="295"/>
      <c r="B189" s="6"/>
      <c r="C189" s="6"/>
      <c r="D189" s="6"/>
      <c r="E189" s="6"/>
      <c r="F189" s="6"/>
      <c r="G189" s="6"/>
      <c r="H189" s="6"/>
      <c r="I189" s="1108"/>
      <c r="J189" s="6"/>
      <c r="K189" s="11"/>
      <c r="L189" s="11"/>
      <c r="M189" s="11"/>
      <c r="N189" s="11"/>
      <c r="O189" s="11"/>
      <c r="P189" s="11"/>
      <c r="Q189" s="11"/>
      <c r="R189" s="11"/>
      <c r="S189" s="11"/>
      <c r="T189" s="11"/>
      <c r="U189" s="11"/>
      <c r="V189" s="11"/>
      <c r="W189" s="11"/>
      <c r="X189" s="11"/>
      <c r="Y189" s="11"/>
    </row>
    <row r="190" spans="1:26">
      <c r="A190" s="776" t="s">
        <v>243</v>
      </c>
      <c r="B190" s="54">
        <f>Showtime!Q43</f>
        <v>216.80298861755853</v>
      </c>
      <c r="C190" s="54">
        <f ca="1">Showtime!R43</f>
        <v>229.62567424299556</v>
      </c>
      <c r="D190" s="54">
        <f ca="1">Showtime!S43</f>
        <v>244.1947083431923</v>
      </c>
      <c r="E190" s="54">
        <f>Showtime!T43</f>
        <v>261.29395477468057</v>
      </c>
      <c r="F190" s="54">
        <f>Showtime!U43</f>
        <v>321.83042717438877</v>
      </c>
      <c r="G190" s="54">
        <f>Showtime!V43</f>
        <v>393.07141047438211</v>
      </c>
      <c r="H190" s="54">
        <f>Showtime!W43</f>
        <v>489.06317902455487</v>
      </c>
      <c r="I190" s="1146">
        <f>Showtime!X43</f>
        <v>560.80552958614805</v>
      </c>
      <c r="J190" s="54">
        <f>Showtime!Y43</f>
        <v>619.85713855142694</v>
      </c>
      <c r="K190" s="54">
        <f>Showtime!Z43</f>
        <v>690.49834909620358</v>
      </c>
      <c r="L190" s="54">
        <f>Showtime!AA43</f>
        <v>666.72524481716391</v>
      </c>
      <c r="M190" s="54">
        <f ca="1">Showtime!AB43</f>
        <v>675.88269090329459</v>
      </c>
      <c r="N190" s="54">
        <f ca="1">Showtime!AC43</f>
        <v>439.0021963043925</v>
      </c>
      <c r="O190" s="54">
        <f ca="1">Showtime!AD43</f>
        <v>446.34489654439818</v>
      </c>
      <c r="P190" s="54">
        <f ca="1">Showtime!AE43</f>
        <v>565.71786296405173</v>
      </c>
      <c r="Q190" s="54">
        <f ca="1">Showtime!AF43</f>
        <v>643.96518960388903</v>
      </c>
      <c r="R190" s="54">
        <f ca="1">Showtime!AG43</f>
        <v>690.89754072572339</v>
      </c>
      <c r="S190" s="54">
        <f ca="1">Showtime!AH43</f>
        <v>723.08586851270309</v>
      </c>
      <c r="T190" s="54">
        <f ca="1">Showtime!AI43</f>
        <v>784.13792902614773</v>
      </c>
      <c r="U190" s="54">
        <f ca="1">Showtime!AJ43</f>
        <v>825.70559413653655</v>
      </c>
      <c r="V190" s="54">
        <f ca="1">Showtime!AK43</f>
        <v>861.55942989069581</v>
      </c>
      <c r="W190" s="54">
        <f ca="1">Showtime!AL43</f>
        <v>906.49806018352706</v>
      </c>
      <c r="X190" s="54">
        <f ca="1">Showtime!AM43</f>
        <v>938.77626220600473</v>
      </c>
      <c r="Y190" s="54">
        <f ca="1">Showtime!AN43</f>
        <v>1103.2190112412648</v>
      </c>
    </row>
    <row r="191" spans="1:26">
      <c r="A191" s="776" t="s">
        <v>678</v>
      </c>
      <c r="B191" s="54">
        <f>Showtime!Q28</f>
        <v>311.87637906576356</v>
      </c>
      <c r="C191" s="54">
        <f ca="1">Showtime!R28</f>
        <v>332.3920407402502</v>
      </c>
      <c r="D191" s="54">
        <f ca="1">Showtime!S28</f>
        <v>353.66138129890555</v>
      </c>
      <c r="E191" s="54">
        <f>Showtime!T28</f>
        <v>371.05193908374997</v>
      </c>
      <c r="F191" s="54">
        <f>Showtime!U28</f>
        <v>435.93854041478903</v>
      </c>
      <c r="G191" s="54">
        <f>Showtime!V28</f>
        <v>536.37806949366825</v>
      </c>
      <c r="H191" s="54">
        <f>Showtime!W28</f>
        <v>664.83073210691521</v>
      </c>
      <c r="I191" s="1146">
        <f>Showtime!X28</f>
        <v>759.39146500415848</v>
      </c>
      <c r="J191" s="54">
        <f>Showtime!Y28</f>
        <v>839.7513540255726</v>
      </c>
      <c r="K191" s="54">
        <f>Showtime!Z28</f>
        <v>933.71123547800812</v>
      </c>
      <c r="L191" s="54">
        <f>Showtime!AA28</f>
        <v>902.40401646799592</v>
      </c>
      <c r="M191" s="54">
        <f>Showtime!AB28</f>
        <v>914.29121660199439</v>
      </c>
      <c r="N191" s="54">
        <f>Showtime!AC28</f>
        <v>972.51282925591249</v>
      </c>
      <c r="O191" s="54">
        <f>Showtime!AD28</f>
        <v>1001.9196211928344</v>
      </c>
      <c r="P191" s="54">
        <f>Showtime!AE28</f>
        <v>1060.6482726733029</v>
      </c>
      <c r="Q191" s="54">
        <f>Showtime!AF28</f>
        <v>1117.2387471653763</v>
      </c>
      <c r="R191" s="54">
        <f>Showtime!AG28</f>
        <v>1175.0979688890391</v>
      </c>
      <c r="S191" s="54">
        <f>Showtime!AH28</f>
        <v>1230.6076462560195</v>
      </c>
      <c r="T191" s="54">
        <f>Showtime!AI28</f>
        <v>1281.3221103570825</v>
      </c>
      <c r="U191" s="54">
        <f>Showtime!AJ28</f>
        <v>1325.2138820296118</v>
      </c>
      <c r="V191" s="54">
        <f>Showtime!AK28</f>
        <v>1367.8703423825473</v>
      </c>
      <c r="W191" s="54">
        <f>Showtime!AL28</f>
        <v>1410.2582859035629</v>
      </c>
      <c r="X191" s="54">
        <f>Showtime!AM28</f>
        <v>1452.116377889485</v>
      </c>
      <c r="Y191" s="54">
        <f>Showtime!AN28</f>
        <v>1493.2896656298951</v>
      </c>
    </row>
    <row r="192" spans="1:26">
      <c r="A192" s="776"/>
      <c r="B192" s="11"/>
      <c r="C192" s="11"/>
      <c r="D192" s="11"/>
      <c r="E192" s="11"/>
      <c r="F192" s="11"/>
      <c r="G192" s="11"/>
      <c r="H192" s="11"/>
      <c r="I192" s="1108"/>
      <c r="J192" s="11"/>
      <c r="K192" s="11"/>
      <c r="L192" s="11"/>
      <c r="M192" s="11"/>
      <c r="N192" s="11"/>
      <c r="O192" s="11"/>
      <c r="P192" s="11"/>
      <c r="Q192" s="11"/>
      <c r="R192" s="11"/>
      <c r="S192" s="11"/>
      <c r="T192" s="11"/>
      <c r="U192" s="11"/>
      <c r="V192" s="11"/>
      <c r="W192" s="11"/>
      <c r="X192" s="11"/>
      <c r="Y192" s="11"/>
    </row>
    <row r="193" spans="1:26">
      <c r="A193" s="776" t="s">
        <v>1009</v>
      </c>
      <c r="B193" s="181">
        <f>Showtime!Q94</f>
        <v>1523.1554589424929</v>
      </c>
      <c r="C193" s="181">
        <f t="shared" ref="C193:N193" si="216">+B193</f>
        <v>1523.1554589424929</v>
      </c>
      <c r="D193" s="181">
        <f t="shared" si="216"/>
        <v>1523.1554589424929</v>
      </c>
      <c r="E193" s="181">
        <f t="shared" si="216"/>
        <v>1523.1554589424929</v>
      </c>
      <c r="F193" s="181">
        <f t="shared" si="216"/>
        <v>1523.1554589424929</v>
      </c>
      <c r="G193" s="181">
        <f t="shared" si="216"/>
        <v>1523.1554589424929</v>
      </c>
      <c r="H193" s="181">
        <f t="shared" si="216"/>
        <v>1523.1554589424929</v>
      </c>
      <c r="I193" s="1683">
        <f t="shared" si="216"/>
        <v>1523.1554589424929</v>
      </c>
      <c r="J193" s="181">
        <f t="shared" si="216"/>
        <v>1523.1554589424929</v>
      </c>
      <c r="K193" s="181">
        <f t="shared" si="216"/>
        <v>1523.1554589424929</v>
      </c>
      <c r="L193" s="181">
        <f t="shared" si="216"/>
        <v>1523.1554589424929</v>
      </c>
      <c r="M193" s="181">
        <f t="shared" si="216"/>
        <v>1523.1554589424929</v>
      </c>
      <c r="N193" s="181">
        <f t="shared" si="216"/>
        <v>1523.1554589424929</v>
      </c>
      <c r="O193" s="181">
        <f t="shared" ref="O193:Q195" si="217">+N193</f>
        <v>1523.1554589424929</v>
      </c>
      <c r="P193" s="181">
        <f t="shared" si="217"/>
        <v>1523.1554589424929</v>
      </c>
      <c r="Q193" s="181">
        <f t="shared" si="217"/>
        <v>1523.1554589424929</v>
      </c>
      <c r="R193" s="181">
        <f t="shared" ref="R193:S195" si="218">+Q193</f>
        <v>1523.1554589424929</v>
      </c>
      <c r="S193" s="181">
        <f t="shared" si="218"/>
        <v>1523.1554589424929</v>
      </c>
      <c r="T193" s="181">
        <f t="shared" ref="T193:Y195" si="219">+S193</f>
        <v>1523.1554589424929</v>
      </c>
      <c r="U193" s="181">
        <f t="shared" si="219"/>
        <v>1523.1554589424929</v>
      </c>
      <c r="V193" s="181">
        <f t="shared" si="219"/>
        <v>1523.1554589424929</v>
      </c>
      <c r="W193" s="181">
        <f t="shared" si="219"/>
        <v>1523.1554589424929</v>
      </c>
      <c r="X193" s="181">
        <f t="shared" si="219"/>
        <v>1523.1554589424929</v>
      </c>
      <c r="Y193" s="181">
        <f t="shared" si="219"/>
        <v>1523.1554589424929</v>
      </c>
    </row>
    <row r="194" spans="1:26">
      <c r="A194" s="777" t="s">
        <v>54</v>
      </c>
      <c r="B194" s="181">
        <f ca="1">Showtime!Q95</f>
        <v>365.14493449569972</v>
      </c>
      <c r="C194" s="181">
        <f t="shared" ref="C194:N194" ca="1" si="220">+B194</f>
        <v>365.14493449569972</v>
      </c>
      <c r="D194" s="181">
        <f t="shared" ca="1" si="220"/>
        <v>365.14493449569972</v>
      </c>
      <c r="E194" s="181">
        <f t="shared" ca="1" si="220"/>
        <v>365.14493449569972</v>
      </c>
      <c r="F194" s="181">
        <f t="shared" ca="1" si="220"/>
        <v>365.14493449569972</v>
      </c>
      <c r="G194" s="181">
        <f t="shared" ca="1" si="220"/>
        <v>365.14493449569972</v>
      </c>
      <c r="H194" s="181">
        <f t="shared" ca="1" si="220"/>
        <v>365.14493449569972</v>
      </c>
      <c r="I194" s="1683">
        <f t="shared" ca="1" si="220"/>
        <v>365.14493449569972</v>
      </c>
      <c r="J194" s="181">
        <f t="shared" ca="1" si="220"/>
        <v>365.14493449569972</v>
      </c>
      <c r="K194" s="181">
        <f t="shared" ca="1" si="220"/>
        <v>365.14493449569972</v>
      </c>
      <c r="L194" s="181">
        <f t="shared" ca="1" si="220"/>
        <v>365.14493449569972</v>
      </c>
      <c r="M194" s="181">
        <f t="shared" ca="1" si="220"/>
        <v>365.14493449569972</v>
      </c>
      <c r="N194" s="181">
        <f t="shared" ca="1" si="220"/>
        <v>365.14493449569972</v>
      </c>
      <c r="O194" s="181">
        <f t="shared" ca="1" si="217"/>
        <v>365.14493449569972</v>
      </c>
      <c r="P194" s="181">
        <f t="shared" ca="1" si="217"/>
        <v>365.14493449569972</v>
      </c>
      <c r="Q194" s="181">
        <f t="shared" ca="1" si="217"/>
        <v>365.14493449569972</v>
      </c>
      <c r="R194" s="181">
        <f t="shared" ca="1" si="218"/>
        <v>365.14493449569972</v>
      </c>
      <c r="S194" s="181">
        <f t="shared" ca="1" si="218"/>
        <v>365.14493449569972</v>
      </c>
      <c r="T194" s="181">
        <f t="shared" ca="1" si="219"/>
        <v>365.14493449569972</v>
      </c>
      <c r="U194" s="181">
        <f t="shared" ca="1" si="219"/>
        <v>365.14493449569972</v>
      </c>
      <c r="V194" s="181">
        <f t="shared" ca="1" si="219"/>
        <v>365.14493449569972</v>
      </c>
      <c r="W194" s="181">
        <f t="shared" ca="1" si="219"/>
        <v>365.14493449569972</v>
      </c>
      <c r="X194" s="181">
        <f t="shared" ca="1" si="219"/>
        <v>365.14493449569972</v>
      </c>
      <c r="Y194" s="181">
        <f t="shared" ca="1" si="219"/>
        <v>365.14493449569972</v>
      </c>
    </row>
    <row r="195" spans="1:26">
      <c r="A195" s="777" t="s">
        <v>67</v>
      </c>
      <c r="B195" s="181">
        <f>Showtime!Q96</f>
        <v>32.727132980703367</v>
      </c>
      <c r="C195" s="537">
        <f t="shared" ref="C195:N195" si="221">+B195</f>
        <v>32.727132980703367</v>
      </c>
      <c r="D195" s="537">
        <f t="shared" si="221"/>
        <v>32.727132980703367</v>
      </c>
      <c r="E195" s="537">
        <f t="shared" si="221"/>
        <v>32.727132980703367</v>
      </c>
      <c r="F195" s="537">
        <f t="shared" si="221"/>
        <v>32.727132980703367</v>
      </c>
      <c r="G195" s="537">
        <f t="shared" si="221"/>
        <v>32.727132980703367</v>
      </c>
      <c r="H195" s="537">
        <f t="shared" si="221"/>
        <v>32.727132980703367</v>
      </c>
      <c r="I195" s="2057">
        <f t="shared" si="221"/>
        <v>32.727132980703367</v>
      </c>
      <c r="J195" s="537">
        <f t="shared" si="221"/>
        <v>32.727132980703367</v>
      </c>
      <c r="K195" s="537">
        <f t="shared" si="221"/>
        <v>32.727132980703367</v>
      </c>
      <c r="L195" s="537">
        <f t="shared" si="221"/>
        <v>32.727132980703367</v>
      </c>
      <c r="M195" s="537">
        <f t="shared" si="221"/>
        <v>32.727132980703367</v>
      </c>
      <c r="N195" s="537">
        <f t="shared" si="221"/>
        <v>32.727132980703367</v>
      </c>
      <c r="O195" s="537">
        <f t="shared" si="217"/>
        <v>32.727132980703367</v>
      </c>
      <c r="P195" s="537">
        <f t="shared" si="217"/>
        <v>32.727132980703367</v>
      </c>
      <c r="Q195" s="537">
        <f t="shared" si="217"/>
        <v>32.727132980703367</v>
      </c>
      <c r="R195" s="537">
        <f t="shared" si="218"/>
        <v>32.727132980703367</v>
      </c>
      <c r="S195" s="537">
        <f t="shared" si="218"/>
        <v>32.727132980703367</v>
      </c>
      <c r="T195" s="537">
        <f t="shared" si="219"/>
        <v>32.727132980703367</v>
      </c>
      <c r="U195" s="537">
        <f t="shared" si="219"/>
        <v>32.727132980703367</v>
      </c>
      <c r="V195" s="537">
        <f t="shared" si="219"/>
        <v>32.727132980703367</v>
      </c>
      <c r="W195" s="537">
        <f t="shared" si="219"/>
        <v>32.727132980703367</v>
      </c>
      <c r="X195" s="537">
        <f t="shared" si="219"/>
        <v>32.727132980703367</v>
      </c>
      <c r="Y195" s="537">
        <f t="shared" si="219"/>
        <v>32.727132980703367</v>
      </c>
    </row>
    <row r="196" spans="1:26" s="2807" customFormat="1">
      <c r="A196" s="3488" t="s">
        <v>1828</v>
      </c>
      <c r="B196" s="2887">
        <f>Showtime!Q97</f>
        <v>0</v>
      </c>
      <c r="C196" s="3303">
        <f>B196</f>
        <v>0</v>
      </c>
      <c r="D196" s="3303">
        <f t="shared" ref="D196:Y196" si="222">C196</f>
        <v>0</v>
      </c>
      <c r="E196" s="3303">
        <f t="shared" si="222"/>
        <v>0</v>
      </c>
      <c r="F196" s="3303">
        <f t="shared" si="222"/>
        <v>0</v>
      </c>
      <c r="G196" s="3303">
        <f t="shared" si="222"/>
        <v>0</v>
      </c>
      <c r="H196" s="3303">
        <f t="shared" si="222"/>
        <v>0</v>
      </c>
      <c r="I196" s="3303">
        <f t="shared" si="222"/>
        <v>0</v>
      </c>
      <c r="J196" s="3303">
        <f t="shared" si="222"/>
        <v>0</v>
      </c>
      <c r="K196" s="3303">
        <f t="shared" si="222"/>
        <v>0</v>
      </c>
      <c r="L196" s="3303">
        <f t="shared" si="222"/>
        <v>0</v>
      </c>
      <c r="M196" s="3303">
        <f t="shared" si="222"/>
        <v>0</v>
      </c>
      <c r="N196" s="3303">
        <f t="shared" si="222"/>
        <v>0</v>
      </c>
      <c r="O196" s="3303">
        <f t="shared" si="222"/>
        <v>0</v>
      </c>
      <c r="P196" s="3303">
        <f t="shared" si="222"/>
        <v>0</v>
      </c>
      <c r="Q196" s="3303">
        <f t="shared" si="222"/>
        <v>0</v>
      </c>
      <c r="R196" s="3303">
        <f t="shared" si="222"/>
        <v>0</v>
      </c>
      <c r="S196" s="3303">
        <f t="shared" si="222"/>
        <v>0</v>
      </c>
      <c r="T196" s="3303">
        <f t="shared" si="222"/>
        <v>0</v>
      </c>
      <c r="U196" s="3303">
        <f t="shared" si="222"/>
        <v>0</v>
      </c>
      <c r="V196" s="3303">
        <f t="shared" si="222"/>
        <v>0</v>
      </c>
      <c r="W196" s="3303">
        <f t="shared" si="222"/>
        <v>0</v>
      </c>
      <c r="X196" s="3303">
        <f t="shared" si="222"/>
        <v>0</v>
      </c>
      <c r="Y196" s="3303">
        <f t="shared" si="222"/>
        <v>0</v>
      </c>
    </row>
    <row r="197" spans="1:26">
      <c r="A197" s="776" t="s">
        <v>56</v>
      </c>
      <c r="B197" s="181">
        <f ca="1">+B193-B194-B195-B196</f>
        <v>1125.2833914660898</v>
      </c>
      <c r="C197" s="181">
        <f t="shared" ref="C197:Y197" ca="1" si="223">+C193-C194-C195-C196</f>
        <v>1125.2833914660898</v>
      </c>
      <c r="D197" s="181">
        <f t="shared" ca="1" si="223"/>
        <v>1125.2833914660898</v>
      </c>
      <c r="E197" s="181">
        <f t="shared" ca="1" si="223"/>
        <v>1125.2833914660898</v>
      </c>
      <c r="F197" s="181">
        <f t="shared" ca="1" si="223"/>
        <v>1125.2833914660898</v>
      </c>
      <c r="G197" s="181">
        <f t="shared" ca="1" si="223"/>
        <v>1125.2833914660898</v>
      </c>
      <c r="H197" s="181">
        <f t="shared" ca="1" si="223"/>
        <v>1125.2833914660898</v>
      </c>
      <c r="I197" s="181">
        <f t="shared" ca="1" si="223"/>
        <v>1125.2833914660898</v>
      </c>
      <c r="J197" s="181">
        <f t="shared" ca="1" si="223"/>
        <v>1125.2833914660898</v>
      </c>
      <c r="K197" s="181">
        <f t="shared" ca="1" si="223"/>
        <v>1125.2833914660898</v>
      </c>
      <c r="L197" s="181">
        <f t="shared" ca="1" si="223"/>
        <v>1125.2833914660898</v>
      </c>
      <c r="M197" s="181">
        <f t="shared" ca="1" si="223"/>
        <v>1125.2833914660898</v>
      </c>
      <c r="N197" s="181">
        <f t="shared" ca="1" si="223"/>
        <v>1125.2833914660898</v>
      </c>
      <c r="O197" s="181">
        <f t="shared" ca="1" si="223"/>
        <v>1125.2833914660898</v>
      </c>
      <c r="P197" s="181">
        <f t="shared" ca="1" si="223"/>
        <v>1125.2833914660898</v>
      </c>
      <c r="Q197" s="181">
        <f t="shared" ca="1" si="223"/>
        <v>1125.2833914660898</v>
      </c>
      <c r="R197" s="181">
        <f t="shared" ca="1" si="223"/>
        <v>1125.2833914660898</v>
      </c>
      <c r="S197" s="181">
        <f t="shared" ca="1" si="223"/>
        <v>1125.2833914660898</v>
      </c>
      <c r="T197" s="181">
        <f t="shared" ca="1" si="223"/>
        <v>1125.2833914660898</v>
      </c>
      <c r="U197" s="181">
        <f t="shared" ca="1" si="223"/>
        <v>1125.2833914660898</v>
      </c>
      <c r="V197" s="181">
        <f t="shared" ca="1" si="223"/>
        <v>1125.2833914660898</v>
      </c>
      <c r="W197" s="181">
        <f t="shared" ca="1" si="223"/>
        <v>1125.2833914660898</v>
      </c>
      <c r="X197" s="181">
        <f t="shared" ca="1" si="223"/>
        <v>1125.2833914660898</v>
      </c>
      <c r="Y197" s="181">
        <f t="shared" ca="1" si="223"/>
        <v>1125.2833914660898</v>
      </c>
    </row>
    <row r="198" spans="1:26">
      <c r="A198" s="777" t="s">
        <v>57</v>
      </c>
      <c r="B198" s="181">
        <f ca="1">1/(B187-B188)</f>
        <v>16.528782274222632</v>
      </c>
      <c r="C198" s="181">
        <f t="shared" ref="C198:L198" ca="1" si="224">1/(C187-C188)</f>
        <v>16.528782274222632</v>
      </c>
      <c r="D198" s="181">
        <f t="shared" ca="1" si="224"/>
        <v>16.528782274222632</v>
      </c>
      <c r="E198" s="181">
        <f t="shared" ca="1" si="224"/>
        <v>16.528782274222632</v>
      </c>
      <c r="F198" s="181">
        <f t="shared" ca="1" si="224"/>
        <v>16.528782274222632</v>
      </c>
      <c r="G198" s="181">
        <f t="shared" ca="1" si="224"/>
        <v>16.528782274222632</v>
      </c>
      <c r="H198" s="181">
        <f t="shared" ca="1" si="224"/>
        <v>16.528782274222632</v>
      </c>
      <c r="I198" s="1683">
        <f t="shared" ca="1" si="224"/>
        <v>16.528782274222632</v>
      </c>
      <c r="J198" s="181">
        <f t="shared" ca="1" si="224"/>
        <v>16.528782274222632</v>
      </c>
      <c r="K198" s="181">
        <f t="shared" ca="1" si="224"/>
        <v>16.528782274222632</v>
      </c>
      <c r="L198" s="181">
        <f t="shared" ca="1" si="224"/>
        <v>16.528782274222632</v>
      </c>
      <c r="M198" s="181">
        <f t="shared" ref="M198:S198" ca="1" si="225">1/(M187-M188)</f>
        <v>16.528782274222632</v>
      </c>
      <c r="N198" s="181">
        <f t="shared" ca="1" si="225"/>
        <v>16.528782274222632</v>
      </c>
      <c r="O198" s="181">
        <f t="shared" ca="1" si="225"/>
        <v>16.528782274222632</v>
      </c>
      <c r="P198" s="181">
        <f t="shared" ca="1" si="225"/>
        <v>16.528782274222632</v>
      </c>
      <c r="Q198" s="181">
        <f t="shared" ca="1" si="225"/>
        <v>16.528782274222632</v>
      </c>
      <c r="R198" s="181">
        <f t="shared" ca="1" si="225"/>
        <v>16.528782274222632</v>
      </c>
      <c r="S198" s="181">
        <f t="shared" ca="1" si="225"/>
        <v>16.528782274222632</v>
      </c>
      <c r="T198" s="181">
        <f t="shared" ref="T198:Y198" ca="1" si="226">1/(T187-T188)</f>
        <v>16.528782274222632</v>
      </c>
      <c r="U198" s="181">
        <f t="shared" ca="1" si="226"/>
        <v>16.528782274222632</v>
      </c>
      <c r="V198" s="181">
        <f t="shared" ca="1" si="226"/>
        <v>16.528782274222632</v>
      </c>
      <c r="W198" s="181">
        <f t="shared" ca="1" si="226"/>
        <v>16.528782274222632</v>
      </c>
      <c r="X198" s="181">
        <f t="shared" ca="1" si="226"/>
        <v>16.528782274222632</v>
      </c>
      <c r="Y198" s="181">
        <f t="shared" ca="1" si="226"/>
        <v>16.528782274222632</v>
      </c>
    </row>
    <row r="199" spans="1:26">
      <c r="A199" s="777" t="s">
        <v>58</v>
      </c>
      <c r="B199" s="181">
        <f ca="1">+B200/B193</f>
        <v>12.211205405950661</v>
      </c>
      <c r="C199" s="181">
        <f t="shared" ref="C199:L199" ca="1" si="227">+C200/C193</f>
        <v>12.211205405950661</v>
      </c>
      <c r="D199" s="181">
        <f t="shared" ca="1" si="227"/>
        <v>12.211205405950661</v>
      </c>
      <c r="E199" s="181">
        <f t="shared" ca="1" si="227"/>
        <v>12.211205405950661</v>
      </c>
      <c r="F199" s="181">
        <f t="shared" ca="1" si="227"/>
        <v>12.211205405950661</v>
      </c>
      <c r="G199" s="181">
        <f t="shared" ca="1" si="227"/>
        <v>12.211205405950661</v>
      </c>
      <c r="H199" s="181">
        <f t="shared" ca="1" si="227"/>
        <v>12.211205405950661</v>
      </c>
      <c r="I199" s="1683">
        <f t="shared" ca="1" si="227"/>
        <v>12.211205405950661</v>
      </c>
      <c r="J199" s="181">
        <f t="shared" ca="1" si="227"/>
        <v>12.211205405950661</v>
      </c>
      <c r="K199" s="181">
        <f t="shared" ca="1" si="227"/>
        <v>12.211205405950661</v>
      </c>
      <c r="L199" s="181">
        <f t="shared" ca="1" si="227"/>
        <v>12.211205405950661</v>
      </c>
      <c r="M199" s="181">
        <f t="shared" ref="M199:S199" ca="1" si="228">+M200/M193</f>
        <v>12.211205405950661</v>
      </c>
      <c r="N199" s="181">
        <f t="shared" ca="1" si="228"/>
        <v>12.211205405950661</v>
      </c>
      <c r="O199" s="181">
        <f t="shared" ca="1" si="228"/>
        <v>12.211205405950661</v>
      </c>
      <c r="P199" s="181">
        <f t="shared" ca="1" si="228"/>
        <v>12.211205405950661</v>
      </c>
      <c r="Q199" s="181">
        <f t="shared" ca="1" si="228"/>
        <v>12.211205405950661</v>
      </c>
      <c r="R199" s="181">
        <f t="shared" ca="1" si="228"/>
        <v>12.211205405950661</v>
      </c>
      <c r="S199" s="181">
        <f t="shared" ca="1" si="228"/>
        <v>12.211205405950661</v>
      </c>
      <c r="T199" s="181">
        <f t="shared" ref="T199:Y199" ca="1" si="229">+T200/T193</f>
        <v>12.211205405950661</v>
      </c>
      <c r="U199" s="181">
        <f t="shared" ca="1" si="229"/>
        <v>12.211205405950661</v>
      </c>
      <c r="V199" s="181">
        <f t="shared" ca="1" si="229"/>
        <v>12.211205405950661</v>
      </c>
      <c r="W199" s="181">
        <f t="shared" ca="1" si="229"/>
        <v>12.211205405950661</v>
      </c>
      <c r="X199" s="181">
        <f t="shared" ca="1" si="229"/>
        <v>12.211205405950661</v>
      </c>
      <c r="Y199" s="181">
        <f t="shared" ca="1" si="229"/>
        <v>12.211205405950661</v>
      </c>
    </row>
    <row r="200" spans="1:26">
      <c r="A200" s="776" t="s">
        <v>59</v>
      </c>
      <c r="B200" s="181">
        <f ca="1">B198*B197</f>
        <v>18599.564174341831</v>
      </c>
      <c r="C200" s="181">
        <f t="shared" ref="C200:L200" ca="1" si="230">C198*C197</f>
        <v>18599.564174341831</v>
      </c>
      <c r="D200" s="181">
        <f t="shared" ca="1" si="230"/>
        <v>18599.564174341831</v>
      </c>
      <c r="E200" s="181">
        <f t="shared" ca="1" si="230"/>
        <v>18599.564174341831</v>
      </c>
      <c r="F200" s="181">
        <f t="shared" ca="1" si="230"/>
        <v>18599.564174341831</v>
      </c>
      <c r="G200" s="181">
        <f t="shared" ca="1" si="230"/>
        <v>18599.564174341831</v>
      </c>
      <c r="H200" s="181">
        <f t="shared" ca="1" si="230"/>
        <v>18599.564174341831</v>
      </c>
      <c r="I200" s="1683">
        <f t="shared" ca="1" si="230"/>
        <v>18599.564174341831</v>
      </c>
      <c r="J200" s="181">
        <f t="shared" ca="1" si="230"/>
        <v>18599.564174341831</v>
      </c>
      <c r="K200" s="181">
        <f t="shared" ca="1" si="230"/>
        <v>18599.564174341831</v>
      </c>
      <c r="L200" s="181">
        <f t="shared" ca="1" si="230"/>
        <v>18599.564174341831</v>
      </c>
      <c r="M200" s="181">
        <f t="shared" ref="M200:S200" ca="1" si="231">M198*M197</f>
        <v>18599.564174341831</v>
      </c>
      <c r="N200" s="181">
        <f t="shared" ca="1" si="231"/>
        <v>18599.564174341831</v>
      </c>
      <c r="O200" s="181">
        <f t="shared" ca="1" si="231"/>
        <v>18599.564174341831</v>
      </c>
      <c r="P200" s="181">
        <f t="shared" ca="1" si="231"/>
        <v>18599.564174341831</v>
      </c>
      <c r="Q200" s="181">
        <f t="shared" ca="1" si="231"/>
        <v>18599.564174341831</v>
      </c>
      <c r="R200" s="181">
        <f t="shared" ca="1" si="231"/>
        <v>18599.564174341831</v>
      </c>
      <c r="S200" s="181">
        <f t="shared" ca="1" si="231"/>
        <v>18599.564174341831</v>
      </c>
      <c r="T200" s="181">
        <f t="shared" ref="T200:Y200" ca="1" si="232">T198*T197</f>
        <v>18599.564174341831</v>
      </c>
      <c r="U200" s="181">
        <f t="shared" ca="1" si="232"/>
        <v>18599.564174341831</v>
      </c>
      <c r="V200" s="181">
        <f t="shared" ca="1" si="232"/>
        <v>18599.564174341831</v>
      </c>
      <c r="W200" s="181">
        <f t="shared" ca="1" si="232"/>
        <v>18599.564174341831</v>
      </c>
      <c r="X200" s="181">
        <f t="shared" ca="1" si="232"/>
        <v>18599.564174341831</v>
      </c>
      <c r="Y200" s="181">
        <f t="shared" ca="1" si="232"/>
        <v>18599.564174341831</v>
      </c>
    </row>
    <row r="201" spans="1:26">
      <c r="A201" s="776" t="s">
        <v>60</v>
      </c>
      <c r="B201" s="181">
        <f ca="1">B200/((1+B187)^B207)</f>
        <v>3134.2106311598227</v>
      </c>
      <c r="C201" s="181">
        <f t="shared" ref="C201:O201" ca="1" si="233">C200/((1+C187)^C207)</f>
        <v>3386.5162314425183</v>
      </c>
      <c r="D201" s="181">
        <f t="shared" ca="1" si="233"/>
        <v>3659.132564929017</v>
      </c>
      <c r="E201" s="181">
        <f t="shared" ca="1" si="233"/>
        <v>3953.6946562989697</v>
      </c>
      <c r="F201" s="181">
        <f t="shared" ca="1" si="233"/>
        <v>4271.9691505766104</v>
      </c>
      <c r="G201" s="181">
        <f t="shared" ca="1" si="233"/>
        <v>4615.8649086375581</v>
      </c>
      <c r="H201" s="181">
        <f t="shared" ca="1" si="233"/>
        <v>4987.4444556594708</v>
      </c>
      <c r="I201" s="1683">
        <f t="shared" ca="1" si="233"/>
        <v>5388.9363511789825</v>
      </c>
      <c r="J201" s="181">
        <f t="shared" ca="1" si="233"/>
        <v>5822.7485549447238</v>
      </c>
      <c r="K201" s="181">
        <f t="shared" ca="1" si="233"/>
        <v>6291.4828687285035</v>
      </c>
      <c r="L201" s="181">
        <f t="shared" ca="1" si="233"/>
        <v>6797.9505407098941</v>
      </c>
      <c r="M201" s="181">
        <f t="shared" ca="1" si="233"/>
        <v>7345.1891260219427</v>
      </c>
      <c r="N201" s="181">
        <f ca="1">N200/((1+N187)^N207)</f>
        <v>7936.480704579667</v>
      </c>
      <c r="O201" s="181">
        <f t="shared" ca="1" si="233"/>
        <v>8575.3715654533044</v>
      </c>
      <c r="P201" s="181">
        <f t="shared" ref="P201:U201" ca="1" si="234">P200/((1+P187)^P207)</f>
        <v>9265.6934758439293</v>
      </c>
      <c r="Q201" s="181">
        <f t="shared" ca="1" si="234"/>
        <v>10011.586662222777</v>
      </c>
      <c r="R201" s="181">
        <f t="shared" ca="1" si="234"/>
        <v>10817.524641464333</v>
      </c>
      <c r="S201" s="181">
        <f t="shared" ca="1" si="234"/>
        <v>11688.341050898665</v>
      </c>
      <c r="T201" s="181">
        <f t="shared" ca="1" si="234"/>
        <v>12629.258638197054</v>
      </c>
      <c r="U201" s="181">
        <f t="shared" ca="1" si="234"/>
        <v>13645.920584958616</v>
      </c>
      <c r="V201" s="181">
        <f ca="1">V200/((1+V187)^V207)</f>
        <v>14744.42435186209</v>
      </c>
      <c r="W201" s="181">
        <f ca="1">W200/((1+W187)^W207)</f>
        <v>15931.358248370099</v>
      </c>
      <c r="X201" s="181">
        <f ca="1">X200/((1+X187)^X207)</f>
        <v>17213.840946313805</v>
      </c>
      <c r="Y201" s="181">
        <f ca="1">Y200/((1+Y187)^Y207)</f>
        <v>18599.564174341831</v>
      </c>
    </row>
    <row r="202" spans="1:26">
      <c r="A202" s="776" t="s">
        <v>63</v>
      </c>
      <c r="B202" s="173">
        <f ca="1">NPV(B187,C190:$Y190)</f>
        <v>5264.8545887607424</v>
      </c>
      <c r="C202" s="173">
        <f ca="1">NPV(C187,D190:$Y190)</f>
        <v>5459.0524713049381</v>
      </c>
      <c r="D202" s="173">
        <f ca="1">NPV(D187,E190:$Y190)</f>
        <v>5654.3143511865228</v>
      </c>
      <c r="E202" s="173">
        <f ca="1">NPV(E187,F190:$Y190)</f>
        <v>5848.1956684181305</v>
      </c>
      <c r="F202" s="173">
        <f ca="1">NPV(F187,G190:$Y190)</f>
        <v>5997.1480610138606</v>
      </c>
      <c r="G202" s="173">
        <f ca="1">NPV(G187,H190:$Y190)</f>
        <v>6086.850216066684</v>
      </c>
      <c r="H202" s="173">
        <f ca="1">NPV(H187,I190:$Y190)</f>
        <v>6087.7816731164921</v>
      </c>
      <c r="I202" s="173">
        <f ca="1">NPV(I187,J190:$Y190)</f>
        <v>6017.0457623859393</v>
      </c>
      <c r="J202" s="173">
        <f ca="1">NPV(J187,K190:$Y190)</f>
        <v>5881.5639647622047</v>
      </c>
      <c r="K202" s="173">
        <f ca="1">NPV(K187,L190:$Y190)</f>
        <v>5664.5346007996723</v>
      </c>
      <c r="L202" s="173">
        <f ca="1">NPV(L187,M190:$Y190)</f>
        <v>5453.8073634450711</v>
      </c>
      <c r="M202" s="173">
        <f ca="1">NPV(M187,N190:$Y190)</f>
        <v>5216.9590268318034</v>
      </c>
      <c r="N202" s="173">
        <f ca="1">NPV(N187,O190:$Y190)</f>
        <v>5197.9247694492242</v>
      </c>
      <c r="O202" s="173">
        <f ca="1">NPV(O187,P190:$Y190)</f>
        <v>5170.0155441203469</v>
      </c>
      <c r="P202" s="173">
        <f ca="1">NPV(P187,Q190:$Y190)</f>
        <v>5020.4866450892787</v>
      </c>
      <c r="Q202" s="173">
        <f ca="1">NPV(Q187,R190:$Y190)</f>
        <v>4780.6732645907532</v>
      </c>
      <c r="R202" s="173">
        <f ca="1">NPV(R187,S190:$Y190)</f>
        <v>4474.6224300137001</v>
      </c>
      <c r="S202" s="173">
        <f ca="1">NPV(S187,T190:$Y190)</f>
        <v>4111.7460148858336</v>
      </c>
      <c r="T202" s="173">
        <f ca="1">NPV(T187,U190:$Y190)</f>
        <v>3658.6057974307969</v>
      </c>
      <c r="U202" s="173">
        <f ca="1">NPV(U187,V190:$Y190)</f>
        <v>3127.419889604219</v>
      </c>
      <c r="V202" s="173">
        <f ca="1">NPV(V187,W190:$Y190)</f>
        <v>2517.6194017379908</v>
      </c>
      <c r="W202" s="173">
        <f ca="1">NPV(W187,X190:$Y190)</f>
        <v>1813.7910243523304</v>
      </c>
      <c r="X202" s="173">
        <f ca="1">NPV(X187,Y190:$Y190)</f>
        <v>1021.025891276225</v>
      </c>
      <c r="Y202" s="771">
        <v>0</v>
      </c>
      <c r="Z202" s="1396"/>
    </row>
    <row r="203" spans="1:26">
      <c r="A203" s="776"/>
      <c r="B203" s="539"/>
      <c r="C203" s="539"/>
      <c r="D203" s="539"/>
      <c r="E203" s="539"/>
      <c r="F203" s="539"/>
      <c r="G203" s="539"/>
      <c r="H203" s="539"/>
      <c r="I203" s="2268"/>
      <c r="J203" s="539"/>
      <c r="K203" s="539"/>
      <c r="L203" s="539"/>
      <c r="M203" s="539"/>
      <c r="N203" s="3535"/>
      <c r="O203" s="3535"/>
      <c r="P203" s="539"/>
      <c r="Q203" s="539"/>
      <c r="R203" s="539"/>
      <c r="S203" s="539"/>
      <c r="T203" s="539"/>
      <c r="U203" s="539"/>
      <c r="V203" s="539"/>
      <c r="W203" s="539"/>
    </row>
    <row r="204" spans="1:26">
      <c r="A204" s="776" t="s">
        <v>64</v>
      </c>
      <c r="B204" s="540">
        <f ca="1">B202+B201</f>
        <v>8399.0652199205651</v>
      </c>
      <c r="C204" s="540">
        <f ca="1">C202+C201</f>
        <v>8845.568702747456</v>
      </c>
      <c r="D204" s="540">
        <f t="shared" ref="D204:X204" ca="1" si="235">D202+D201</f>
        <v>9313.4469161155394</v>
      </c>
      <c r="E204" s="540">
        <f t="shared" ca="1" si="235"/>
        <v>9801.8903247171002</v>
      </c>
      <c r="F204" s="540">
        <f t="shared" ca="1" si="235"/>
        <v>10269.11721159047</v>
      </c>
      <c r="G204" s="540">
        <f t="shared" ca="1" si="235"/>
        <v>10702.715124704242</v>
      </c>
      <c r="H204" s="540">
        <f t="shared" ca="1" si="235"/>
        <v>11075.226128775963</v>
      </c>
      <c r="I204" s="2269">
        <f t="shared" ca="1" si="235"/>
        <v>11405.982113564922</v>
      </c>
      <c r="J204" s="540">
        <f t="shared" ca="1" si="235"/>
        <v>11704.312519706928</v>
      </c>
      <c r="K204" s="540">
        <f t="shared" ca="1" si="235"/>
        <v>11956.017469528175</v>
      </c>
      <c r="L204" s="540">
        <f t="shared" ca="1" si="235"/>
        <v>12251.757904154965</v>
      </c>
      <c r="M204" s="540">
        <f t="shared" ca="1" si="235"/>
        <v>12562.148152853746</v>
      </c>
      <c r="N204" s="3429">
        <f ca="1">N202+N201</f>
        <v>13134.405474028892</v>
      </c>
      <c r="O204" s="3429">
        <f t="shared" ca="1" si="235"/>
        <v>13745.38710957365</v>
      </c>
      <c r="P204" s="540">
        <f t="shared" ca="1" si="235"/>
        <v>14286.180120933208</v>
      </c>
      <c r="Q204" s="540">
        <f t="shared" ca="1" si="235"/>
        <v>14792.259926813531</v>
      </c>
      <c r="R204" s="540">
        <f t="shared" ca="1" si="235"/>
        <v>15292.147071478033</v>
      </c>
      <c r="S204" s="540">
        <f t="shared" ca="1" si="235"/>
        <v>15800.087065784499</v>
      </c>
      <c r="T204" s="540">
        <f t="shared" ca="1" si="235"/>
        <v>16287.864435627851</v>
      </c>
      <c r="U204" s="540">
        <f t="shared" ca="1" si="235"/>
        <v>16773.340474562836</v>
      </c>
      <c r="V204" s="540">
        <f t="shared" ca="1" si="235"/>
        <v>17262.043753600079</v>
      </c>
      <c r="W204" s="540">
        <f t="shared" ca="1" si="235"/>
        <v>17745.149272722429</v>
      </c>
      <c r="X204" s="540">
        <f t="shared" ca="1" si="235"/>
        <v>18234.866837590031</v>
      </c>
      <c r="Y204" s="540">
        <f t="shared" ref="Y204" ca="1" si="236">Y202+Y201</f>
        <v>18599.564174341831</v>
      </c>
    </row>
    <row r="205" spans="1:26">
      <c r="A205" s="777" t="s">
        <v>72</v>
      </c>
      <c r="B205" s="541">
        <f ca="1">B204/B191</f>
        <v>26.930751360780366</v>
      </c>
      <c r="C205" s="541">
        <f t="shared" ref="C205:Y205" ca="1" si="237">C204/C191</f>
        <v>26.61185473348888</v>
      </c>
      <c r="D205" s="541">
        <f t="shared" ca="1" si="237"/>
        <v>26.334362213679338</v>
      </c>
      <c r="E205" s="541">
        <f t="shared" ca="1" si="237"/>
        <v>26.416491310950189</v>
      </c>
      <c r="F205" s="541">
        <f t="shared" ca="1" si="237"/>
        <v>23.556341684815383</v>
      </c>
      <c r="G205" s="541">
        <f t="shared" ca="1" si="237"/>
        <v>19.953677701266614</v>
      </c>
      <c r="H205" s="541">
        <f t="shared" ca="1" si="237"/>
        <v>16.658715660868236</v>
      </c>
      <c r="I205" s="541">
        <f t="shared" ca="1" si="237"/>
        <v>15.019897693349058</v>
      </c>
      <c r="J205" s="541">
        <f t="shared" ca="1" si="237"/>
        <v>13.937831077734113</v>
      </c>
      <c r="K205" s="541">
        <f t="shared" ca="1" si="237"/>
        <v>12.804834102063001</v>
      </c>
      <c r="L205" s="541">
        <f t="shared" ca="1" si="237"/>
        <v>13.576798950993453</v>
      </c>
      <c r="M205" s="541">
        <f t="shared" ca="1" si="237"/>
        <v>13.739766854090046</v>
      </c>
      <c r="N205" s="3302">
        <f t="shared" ca="1" si="237"/>
        <v>13.505637230593933</v>
      </c>
      <c r="O205" s="3302">
        <f t="shared" ca="1" si="237"/>
        <v>13.719051727132655</v>
      </c>
      <c r="P205" s="541">
        <f t="shared" ca="1" si="237"/>
        <v>13.469290894073408</v>
      </c>
      <c r="Q205" s="541">
        <f t="shared" ca="1" si="237"/>
        <v>13.240016929545272</v>
      </c>
      <c r="R205" s="541">
        <f t="shared" ca="1" si="237"/>
        <v>13.013508214924014</v>
      </c>
      <c r="S205" s="541">
        <f t="shared" ca="1" si="237"/>
        <v>12.839256373755212</v>
      </c>
      <c r="T205" s="541">
        <f t="shared" ca="1" si="237"/>
        <v>12.711764125484967</v>
      </c>
      <c r="U205" s="541">
        <f t="shared" ca="1" si="237"/>
        <v>12.657081775263229</v>
      </c>
      <c r="V205" s="541">
        <f t="shared" ca="1" si="237"/>
        <v>12.619649113477502</v>
      </c>
      <c r="W205" s="541">
        <f t="shared" ca="1" si="237"/>
        <v>12.582907294427262</v>
      </c>
      <c r="X205" s="541">
        <f t="shared" ca="1" si="237"/>
        <v>12.557441755524238</v>
      </c>
      <c r="Y205" s="541">
        <f t="shared" ca="1" si="237"/>
        <v>12.455429514069674</v>
      </c>
    </row>
    <row r="206" spans="1:26">
      <c r="A206" s="777" t="s">
        <v>73</v>
      </c>
      <c r="B206" s="541">
        <f ca="1">B204/C191</f>
        <v>25.268550959329577</v>
      </c>
      <c r="C206" s="541">
        <f t="shared" ref="C206:X206" ca="1" si="238">C204/D191</f>
        <v>25.011406872472197</v>
      </c>
      <c r="D206" s="541">
        <f t="shared" ca="1" si="238"/>
        <v>25.10011654733168</v>
      </c>
      <c r="E206" s="541">
        <f t="shared" ca="1" si="238"/>
        <v>22.48456930509229</v>
      </c>
      <c r="F206" s="541">
        <f t="shared" ca="1" si="238"/>
        <v>19.145296565320692</v>
      </c>
      <c r="G206" s="541">
        <f t="shared" ca="1" si="238"/>
        <v>16.098406117277801</v>
      </c>
      <c r="H206" s="541">
        <f t="shared" ca="1" si="238"/>
        <v>14.584343700406633</v>
      </c>
      <c r="I206" s="2270">
        <f t="shared" ca="1" si="238"/>
        <v>13.582570672720321</v>
      </c>
      <c r="J206" s="541">
        <f t="shared" ca="1" si="238"/>
        <v>12.535259376754711</v>
      </c>
      <c r="K206" s="541">
        <f t="shared" ca="1" si="238"/>
        <v>13.24907386419218</v>
      </c>
      <c r="L206" s="541">
        <f t="shared" ca="1" si="238"/>
        <v>13.400279562664061</v>
      </c>
      <c r="M206" s="541">
        <f t="shared" ca="1" si="238"/>
        <v>12.917205588398538</v>
      </c>
      <c r="N206" s="3302">
        <f t="shared" ca="1" si="238"/>
        <v>13.109240697763498</v>
      </c>
      <c r="O206" s="3302">
        <f t="shared" ca="1" si="238"/>
        <v>12.959420633316258</v>
      </c>
      <c r="P206" s="541">
        <f t="shared" ca="1" si="238"/>
        <v>12.787043196612778</v>
      </c>
      <c r="Q206" s="541">
        <f t="shared" ca="1" si="238"/>
        <v>12.588107816064415</v>
      </c>
      <c r="R206" s="541">
        <f t="shared" ca="1" si="238"/>
        <v>12.426500938786306</v>
      </c>
      <c r="S206" s="541">
        <f t="shared" ca="1" si="238"/>
        <v>12.331081262135784</v>
      </c>
      <c r="T206" s="541">
        <f t="shared" ca="1" si="238"/>
        <v>12.29074389915265</v>
      </c>
      <c r="U206" s="541">
        <f t="shared" ca="1" si="238"/>
        <v>12.262376012442193</v>
      </c>
      <c r="V206" s="541">
        <f t="shared" ca="1" si="238"/>
        <v>12.240342018299266</v>
      </c>
      <c r="W206" s="541">
        <f t="shared" ca="1" si="238"/>
        <v>12.220197735468929</v>
      </c>
      <c r="X206" s="541">
        <f t="shared" ca="1" si="238"/>
        <v>12.211205405950661</v>
      </c>
    </row>
    <row r="207" spans="1:26">
      <c r="A207" s="778" t="s">
        <v>61</v>
      </c>
      <c r="B207" s="11">
        <f t="shared" ref="B207:Q207" si="239">+C207+1</f>
        <v>23</v>
      </c>
      <c r="C207" s="11">
        <f t="shared" si="239"/>
        <v>22</v>
      </c>
      <c r="D207" s="11">
        <f t="shared" si="239"/>
        <v>21</v>
      </c>
      <c r="E207" s="11">
        <f t="shared" si="239"/>
        <v>20</v>
      </c>
      <c r="F207" s="11">
        <f t="shared" si="239"/>
        <v>19</v>
      </c>
      <c r="G207" s="11">
        <f t="shared" si="239"/>
        <v>18</v>
      </c>
      <c r="H207" s="11">
        <f t="shared" si="239"/>
        <v>17</v>
      </c>
      <c r="I207" s="1108">
        <f t="shared" si="239"/>
        <v>16</v>
      </c>
      <c r="J207" s="11">
        <f t="shared" si="239"/>
        <v>15</v>
      </c>
      <c r="K207" s="11">
        <f t="shared" si="239"/>
        <v>14</v>
      </c>
      <c r="L207" s="11">
        <f t="shared" si="239"/>
        <v>13</v>
      </c>
      <c r="M207" s="11">
        <f t="shared" si="239"/>
        <v>12</v>
      </c>
      <c r="N207" s="11">
        <f t="shared" si="239"/>
        <v>11</v>
      </c>
      <c r="O207" s="11">
        <f t="shared" si="239"/>
        <v>10</v>
      </c>
      <c r="P207" s="11">
        <f t="shared" si="239"/>
        <v>9</v>
      </c>
      <c r="Q207" s="11">
        <f t="shared" si="239"/>
        <v>8</v>
      </c>
      <c r="R207" s="11">
        <f t="shared" ref="R207:X207" si="240">+S207+1</f>
        <v>7</v>
      </c>
      <c r="S207" s="11">
        <f t="shared" si="240"/>
        <v>6</v>
      </c>
      <c r="T207" s="11">
        <f t="shared" si="240"/>
        <v>5</v>
      </c>
      <c r="U207" s="11">
        <f t="shared" si="240"/>
        <v>4</v>
      </c>
      <c r="V207" s="11">
        <f t="shared" si="240"/>
        <v>3</v>
      </c>
      <c r="W207" s="11">
        <f t="shared" si="240"/>
        <v>2</v>
      </c>
      <c r="X207" s="11">
        <f t="shared" si="240"/>
        <v>1</v>
      </c>
      <c r="Y207" s="469">
        <v>0</v>
      </c>
      <c r="Z207" s="1396"/>
    </row>
    <row r="208" spans="1:26">
      <c r="A208" s="91"/>
      <c r="B208" s="91"/>
      <c r="C208" s="91"/>
      <c r="D208" s="91"/>
      <c r="E208" s="91"/>
      <c r="F208" s="91"/>
      <c r="G208" s="91"/>
      <c r="H208" s="91"/>
      <c r="I208" s="1710"/>
      <c r="J208" s="91"/>
      <c r="K208" s="91"/>
      <c r="L208" s="91"/>
      <c r="M208" s="91"/>
      <c r="N208" s="91"/>
      <c r="O208" s="91"/>
      <c r="P208" s="91"/>
      <c r="Q208" s="91"/>
      <c r="R208" s="304"/>
      <c r="S208" s="304"/>
      <c r="T208" s="304"/>
      <c r="U208" s="304"/>
      <c r="V208" s="304"/>
      <c r="W208" s="304"/>
    </row>
    <row r="209" spans="1:24" hidden="1" outlineLevel="1">
      <c r="A209" s="91"/>
      <c r="B209" s="91"/>
      <c r="C209" s="91"/>
      <c r="D209" s="91"/>
      <c r="E209" s="91"/>
      <c r="F209" s="91"/>
      <c r="G209" s="91"/>
      <c r="H209" s="91"/>
      <c r="I209" s="1710"/>
      <c r="J209" s="91"/>
      <c r="K209" s="91"/>
      <c r="L209" s="91"/>
      <c r="M209" s="91"/>
      <c r="N209" s="91"/>
      <c r="O209" s="91"/>
      <c r="P209" s="91"/>
      <c r="R209" s="1048"/>
      <c r="S209" s="1048"/>
      <c r="T209" s="1048"/>
      <c r="U209" s="1048"/>
      <c r="V209" s="1048"/>
      <c r="W209" s="1048"/>
    </row>
    <row r="210" spans="1:24" hidden="1" outlineLevel="1">
      <c r="A210" s="1266" t="s">
        <v>1205</v>
      </c>
      <c r="B210" s="1267"/>
      <c r="C210" s="1268"/>
      <c r="D210" s="1268"/>
      <c r="E210" s="1269"/>
      <c r="F210" s="1269"/>
      <c r="G210" s="1269"/>
      <c r="H210" s="1269"/>
      <c r="I210" s="2582"/>
      <c r="J210" s="1269"/>
      <c r="K210" s="1269"/>
      <c r="L210" s="1269"/>
      <c r="M210" s="1269"/>
      <c r="N210" s="1269"/>
      <c r="O210" s="1269"/>
      <c r="P210" s="1269"/>
      <c r="Q210" s="1269"/>
      <c r="R210" s="1269"/>
      <c r="S210" s="1269"/>
      <c r="T210" s="1269"/>
      <c r="U210" s="1269"/>
      <c r="V210" s="1269"/>
      <c r="W210" s="1269"/>
      <c r="X210" s="1269"/>
    </row>
    <row r="211" spans="1:24" hidden="1" outlineLevel="1">
      <c r="A211" s="1270"/>
      <c r="B211" s="1271">
        <v>2005</v>
      </c>
      <c r="C211" s="1271">
        <f>B211+1</f>
        <v>2006</v>
      </c>
      <c r="D211" s="1271">
        <f t="shared" ref="D211:N211" si="241">C211+1</f>
        <v>2007</v>
      </c>
      <c r="E211" s="1271">
        <f t="shared" si="241"/>
        <v>2008</v>
      </c>
      <c r="F211" s="1271">
        <f t="shared" si="241"/>
        <v>2009</v>
      </c>
      <c r="G211" s="1271">
        <f t="shared" si="241"/>
        <v>2010</v>
      </c>
      <c r="H211" s="1271">
        <f t="shared" si="241"/>
        <v>2011</v>
      </c>
      <c r="I211" s="2674">
        <f t="shared" si="241"/>
        <v>2012</v>
      </c>
      <c r="J211" s="1271">
        <f t="shared" si="241"/>
        <v>2013</v>
      </c>
      <c r="K211" s="1271">
        <f t="shared" si="241"/>
        <v>2014</v>
      </c>
      <c r="L211" s="1271">
        <f t="shared" si="241"/>
        <v>2015</v>
      </c>
      <c r="M211" s="1271">
        <f t="shared" si="241"/>
        <v>2016</v>
      </c>
      <c r="N211" s="1271">
        <f t="shared" si="241"/>
        <v>2017</v>
      </c>
      <c r="O211" s="1271">
        <f t="shared" ref="O211:X211" si="242">N211+1</f>
        <v>2018</v>
      </c>
      <c r="P211" s="1271">
        <f t="shared" si="242"/>
        <v>2019</v>
      </c>
      <c r="Q211" s="1271">
        <f t="shared" si="242"/>
        <v>2020</v>
      </c>
      <c r="R211" s="1271">
        <f t="shared" si="242"/>
        <v>2021</v>
      </c>
      <c r="S211" s="1271">
        <f t="shared" si="242"/>
        <v>2022</v>
      </c>
      <c r="T211" s="1271">
        <f t="shared" si="242"/>
        <v>2023</v>
      </c>
      <c r="U211" s="1271">
        <f t="shared" si="242"/>
        <v>2024</v>
      </c>
      <c r="V211" s="1271">
        <f t="shared" si="242"/>
        <v>2025</v>
      </c>
      <c r="W211" s="1271">
        <f t="shared" si="242"/>
        <v>2026</v>
      </c>
      <c r="X211" s="1271">
        <f t="shared" si="242"/>
        <v>2027</v>
      </c>
    </row>
    <row r="212" spans="1:24" hidden="1" outlineLevel="1">
      <c r="A212" s="9" t="s">
        <v>65</v>
      </c>
      <c r="B212" s="11"/>
      <c r="C212" s="11" t="s">
        <v>337</v>
      </c>
      <c r="D212" s="11"/>
      <c r="E212" s="11"/>
      <c r="F212" s="11"/>
      <c r="G212" s="11"/>
      <c r="H212" s="11"/>
      <c r="I212" s="1108"/>
      <c r="J212" s="11"/>
      <c r="K212" s="11"/>
      <c r="L212" s="11"/>
      <c r="M212" s="11"/>
      <c r="N212" s="11"/>
      <c r="O212" s="11"/>
      <c r="P212" s="11"/>
      <c r="Q212" s="11"/>
      <c r="R212" s="11"/>
      <c r="S212" s="11"/>
      <c r="T212" s="11"/>
      <c r="U212" s="11"/>
      <c r="V212" s="11"/>
      <c r="W212" s="11"/>
      <c r="X212" s="11"/>
    </row>
    <row r="213" spans="1:24" hidden="1" outlineLevel="1">
      <c r="A213" s="776" t="s">
        <v>246</v>
      </c>
      <c r="B213" s="775">
        <f ca="1">B52</f>
        <v>4.6359932385549224E-2</v>
      </c>
      <c r="C213" s="536">
        <f t="shared" ref="C213:N213" ca="1" si="243">+B213</f>
        <v>4.6359932385549224E-2</v>
      </c>
      <c r="D213" s="536">
        <f t="shared" ca="1" si="243"/>
        <v>4.6359932385549224E-2</v>
      </c>
      <c r="E213" s="536">
        <f t="shared" ca="1" si="243"/>
        <v>4.6359932385549224E-2</v>
      </c>
      <c r="F213" s="536">
        <f t="shared" ca="1" si="243"/>
        <v>4.6359932385549224E-2</v>
      </c>
      <c r="G213" s="536">
        <f t="shared" ca="1" si="243"/>
        <v>4.6359932385549224E-2</v>
      </c>
      <c r="H213" s="536">
        <f t="shared" ca="1" si="243"/>
        <v>4.6359932385549224E-2</v>
      </c>
      <c r="I213" s="2267">
        <f t="shared" ca="1" si="243"/>
        <v>4.6359932385549224E-2</v>
      </c>
      <c r="J213" s="536">
        <f t="shared" ca="1" si="243"/>
        <v>4.6359932385549224E-2</v>
      </c>
      <c r="K213" s="536">
        <f t="shared" ca="1" si="243"/>
        <v>4.6359932385549224E-2</v>
      </c>
      <c r="L213" s="536">
        <f t="shared" ca="1" si="243"/>
        <v>4.6359932385549224E-2</v>
      </c>
      <c r="M213" s="536">
        <f t="shared" ca="1" si="243"/>
        <v>4.6359932385549224E-2</v>
      </c>
      <c r="N213" s="536">
        <f t="shared" ca="1" si="243"/>
        <v>4.6359932385549224E-2</v>
      </c>
      <c r="O213" s="536">
        <f t="shared" ref="O213:S216" ca="1" si="244">+N213</f>
        <v>4.6359932385549224E-2</v>
      </c>
      <c r="P213" s="536">
        <f t="shared" ca="1" si="244"/>
        <v>4.6359932385549224E-2</v>
      </c>
      <c r="Q213" s="536">
        <f t="shared" ca="1" si="244"/>
        <v>4.6359932385549224E-2</v>
      </c>
      <c r="R213" s="536">
        <f t="shared" ca="1" si="244"/>
        <v>4.6359932385549224E-2</v>
      </c>
      <c r="S213" s="536">
        <f t="shared" ca="1" si="244"/>
        <v>4.6359932385549224E-2</v>
      </c>
      <c r="T213" s="536">
        <f t="shared" ref="T213:X216" ca="1" si="245">+S213</f>
        <v>4.6359932385549224E-2</v>
      </c>
      <c r="U213" s="536">
        <f t="shared" ca="1" si="245"/>
        <v>4.6359932385549224E-2</v>
      </c>
      <c r="V213" s="536">
        <f t="shared" ca="1" si="245"/>
        <v>4.6359932385549224E-2</v>
      </c>
      <c r="W213" s="536">
        <f t="shared" ca="1" si="245"/>
        <v>4.6359932385549224E-2</v>
      </c>
      <c r="X213" s="536">
        <f t="shared" ca="1" si="245"/>
        <v>4.6359932385549224E-2</v>
      </c>
    </row>
    <row r="214" spans="1:24" hidden="1" outlineLevel="1">
      <c r="A214" s="776" t="s">
        <v>247</v>
      </c>
      <c r="B214" s="775">
        <f>B53</f>
        <v>0.1</v>
      </c>
      <c r="C214" s="536">
        <f t="shared" ref="C214:N214" si="246">+B214</f>
        <v>0.1</v>
      </c>
      <c r="D214" s="536">
        <f t="shared" si="246"/>
        <v>0.1</v>
      </c>
      <c r="E214" s="536">
        <f t="shared" si="246"/>
        <v>0.1</v>
      </c>
      <c r="F214" s="536">
        <f t="shared" si="246"/>
        <v>0.1</v>
      </c>
      <c r="G214" s="536">
        <f t="shared" si="246"/>
        <v>0.1</v>
      </c>
      <c r="H214" s="536">
        <f t="shared" si="246"/>
        <v>0.1</v>
      </c>
      <c r="I214" s="2267">
        <f t="shared" si="246"/>
        <v>0.1</v>
      </c>
      <c r="J214" s="536">
        <f t="shared" si="246"/>
        <v>0.1</v>
      </c>
      <c r="K214" s="536">
        <f t="shared" si="246"/>
        <v>0.1</v>
      </c>
      <c r="L214" s="536">
        <f t="shared" si="246"/>
        <v>0.1</v>
      </c>
      <c r="M214" s="536">
        <f t="shared" si="246"/>
        <v>0.1</v>
      </c>
      <c r="N214" s="536">
        <f t="shared" si="246"/>
        <v>0.1</v>
      </c>
      <c r="O214" s="536">
        <f t="shared" si="244"/>
        <v>0.1</v>
      </c>
      <c r="P214" s="536">
        <f t="shared" si="244"/>
        <v>0.1</v>
      </c>
      <c r="Q214" s="536">
        <f t="shared" si="244"/>
        <v>0.1</v>
      </c>
      <c r="R214" s="536">
        <f t="shared" si="244"/>
        <v>0.1</v>
      </c>
      <c r="S214" s="536">
        <f t="shared" si="244"/>
        <v>0.1</v>
      </c>
      <c r="T214" s="536">
        <f t="shared" si="245"/>
        <v>0.1</v>
      </c>
      <c r="U214" s="536">
        <f t="shared" si="245"/>
        <v>0.1</v>
      </c>
      <c r="V214" s="536">
        <f t="shared" si="245"/>
        <v>0.1</v>
      </c>
      <c r="W214" s="536">
        <f t="shared" si="245"/>
        <v>0.1</v>
      </c>
      <c r="X214" s="536">
        <f t="shared" si="245"/>
        <v>0.1</v>
      </c>
    </row>
    <row r="215" spans="1:24" hidden="1" outlineLevel="1">
      <c r="A215" s="776" t="s">
        <v>248</v>
      </c>
      <c r="B215" s="775">
        <f>B54</f>
        <v>0.3</v>
      </c>
      <c r="C215" s="536">
        <f t="shared" ref="C215:N215" si="247">+B215</f>
        <v>0.3</v>
      </c>
      <c r="D215" s="536">
        <f t="shared" si="247"/>
        <v>0.3</v>
      </c>
      <c r="E215" s="536">
        <f t="shared" si="247"/>
        <v>0.3</v>
      </c>
      <c r="F215" s="536">
        <f t="shared" si="247"/>
        <v>0.3</v>
      </c>
      <c r="G215" s="536">
        <f t="shared" si="247"/>
        <v>0.3</v>
      </c>
      <c r="H215" s="536">
        <f t="shared" si="247"/>
        <v>0.3</v>
      </c>
      <c r="I215" s="2267">
        <f t="shared" si="247"/>
        <v>0.3</v>
      </c>
      <c r="J215" s="536">
        <f t="shared" si="247"/>
        <v>0.3</v>
      </c>
      <c r="K215" s="536">
        <f t="shared" si="247"/>
        <v>0.3</v>
      </c>
      <c r="L215" s="536">
        <f t="shared" si="247"/>
        <v>0.3</v>
      </c>
      <c r="M215" s="536">
        <f t="shared" si="247"/>
        <v>0.3</v>
      </c>
      <c r="N215" s="536">
        <f t="shared" si="247"/>
        <v>0.3</v>
      </c>
      <c r="O215" s="536">
        <f t="shared" si="244"/>
        <v>0.3</v>
      </c>
      <c r="P215" s="536">
        <f t="shared" si="244"/>
        <v>0.3</v>
      </c>
      <c r="Q215" s="536">
        <f t="shared" si="244"/>
        <v>0.3</v>
      </c>
      <c r="R215" s="536">
        <f t="shared" si="244"/>
        <v>0.3</v>
      </c>
      <c r="S215" s="536">
        <f t="shared" si="244"/>
        <v>0.3</v>
      </c>
      <c r="T215" s="536">
        <f t="shared" si="245"/>
        <v>0.3</v>
      </c>
      <c r="U215" s="536">
        <f t="shared" si="245"/>
        <v>0.3</v>
      </c>
      <c r="V215" s="536">
        <f t="shared" si="245"/>
        <v>0.3</v>
      </c>
      <c r="W215" s="536">
        <f t="shared" si="245"/>
        <v>0.3</v>
      </c>
      <c r="X215" s="536">
        <f t="shared" si="245"/>
        <v>0.3</v>
      </c>
    </row>
    <row r="216" spans="1:24" hidden="1" outlineLevel="1">
      <c r="A216" s="776" t="s">
        <v>249</v>
      </c>
      <c r="B216" s="775">
        <f>B55</f>
        <v>0.245</v>
      </c>
      <c r="C216" s="536">
        <f t="shared" ref="C216:N216" si="248">+B216</f>
        <v>0.245</v>
      </c>
      <c r="D216" s="536">
        <f t="shared" si="248"/>
        <v>0.245</v>
      </c>
      <c r="E216" s="536">
        <f t="shared" si="248"/>
        <v>0.245</v>
      </c>
      <c r="F216" s="536">
        <f t="shared" si="248"/>
        <v>0.245</v>
      </c>
      <c r="G216" s="536">
        <f t="shared" si="248"/>
        <v>0.245</v>
      </c>
      <c r="H216" s="536">
        <f t="shared" si="248"/>
        <v>0.245</v>
      </c>
      <c r="I216" s="2267">
        <f t="shared" si="248"/>
        <v>0.245</v>
      </c>
      <c r="J216" s="536">
        <f t="shared" si="248"/>
        <v>0.245</v>
      </c>
      <c r="K216" s="536">
        <f t="shared" si="248"/>
        <v>0.245</v>
      </c>
      <c r="L216" s="536">
        <f t="shared" si="248"/>
        <v>0.245</v>
      </c>
      <c r="M216" s="536">
        <f t="shared" si="248"/>
        <v>0.245</v>
      </c>
      <c r="N216" s="536">
        <f t="shared" si="248"/>
        <v>0.245</v>
      </c>
      <c r="O216" s="536">
        <f t="shared" si="244"/>
        <v>0.245</v>
      </c>
      <c r="P216" s="536">
        <f t="shared" si="244"/>
        <v>0.245</v>
      </c>
      <c r="Q216" s="536">
        <f t="shared" si="244"/>
        <v>0.245</v>
      </c>
      <c r="R216" s="536">
        <f t="shared" si="244"/>
        <v>0.245</v>
      </c>
      <c r="S216" s="536">
        <f t="shared" si="244"/>
        <v>0.245</v>
      </c>
      <c r="T216" s="536">
        <f t="shared" si="245"/>
        <v>0.245</v>
      </c>
      <c r="U216" s="536">
        <f t="shared" si="245"/>
        <v>0.245</v>
      </c>
      <c r="V216" s="536">
        <f t="shared" si="245"/>
        <v>0.245</v>
      </c>
      <c r="W216" s="536">
        <f t="shared" si="245"/>
        <v>0.245</v>
      </c>
      <c r="X216" s="536">
        <f t="shared" si="245"/>
        <v>0.245</v>
      </c>
    </row>
    <row r="217" spans="1:24" hidden="1" outlineLevel="1">
      <c r="A217" s="776" t="s">
        <v>250</v>
      </c>
      <c r="B217" s="536">
        <f t="shared" ref="B217:O217" ca="1" si="249">((B213*(1-B216)*B215))+(B214*(1-B215))</f>
        <v>8.0500524685326896E-2</v>
      </c>
      <c r="C217" s="536">
        <f t="shared" ca="1" si="249"/>
        <v>8.0500524685326896E-2</v>
      </c>
      <c r="D217" s="536">
        <f t="shared" ca="1" si="249"/>
        <v>8.0500524685326896E-2</v>
      </c>
      <c r="E217" s="536">
        <f t="shared" ca="1" si="249"/>
        <v>8.0500524685326896E-2</v>
      </c>
      <c r="F217" s="536">
        <f t="shared" ca="1" si="249"/>
        <v>8.0500524685326896E-2</v>
      </c>
      <c r="G217" s="536">
        <f t="shared" ca="1" si="249"/>
        <v>8.0500524685326896E-2</v>
      </c>
      <c r="H217" s="536">
        <f t="shared" ca="1" si="249"/>
        <v>8.0500524685326896E-2</v>
      </c>
      <c r="I217" s="2267">
        <f t="shared" ca="1" si="249"/>
        <v>8.0500524685326896E-2</v>
      </c>
      <c r="J217" s="536">
        <f t="shared" ca="1" si="249"/>
        <v>8.0500524685326896E-2</v>
      </c>
      <c r="K217" s="536">
        <f t="shared" ca="1" si="249"/>
        <v>8.0500524685326896E-2</v>
      </c>
      <c r="L217" s="536">
        <f t="shared" ca="1" si="249"/>
        <v>8.0500524685326896E-2</v>
      </c>
      <c r="M217" s="536">
        <f t="shared" ca="1" si="249"/>
        <v>8.0500524685326896E-2</v>
      </c>
      <c r="N217" s="536">
        <f t="shared" ca="1" si="249"/>
        <v>8.0500524685326896E-2</v>
      </c>
      <c r="O217" s="536">
        <f t="shared" ca="1" si="249"/>
        <v>8.0500524685326896E-2</v>
      </c>
      <c r="P217" s="536">
        <f t="shared" ref="P217:U217" ca="1" si="250">((P213*(1-P216)*P215))+(P214*(1-P215))</f>
        <v>8.0500524685326896E-2</v>
      </c>
      <c r="Q217" s="536">
        <f t="shared" ca="1" si="250"/>
        <v>8.0500524685326896E-2</v>
      </c>
      <c r="R217" s="536">
        <f t="shared" ca="1" si="250"/>
        <v>8.0500524685326896E-2</v>
      </c>
      <c r="S217" s="536">
        <f t="shared" ca="1" si="250"/>
        <v>8.0500524685326896E-2</v>
      </c>
      <c r="T217" s="536">
        <f t="shared" ca="1" si="250"/>
        <v>8.0500524685326896E-2</v>
      </c>
      <c r="U217" s="536">
        <f t="shared" ca="1" si="250"/>
        <v>8.0500524685326896E-2</v>
      </c>
      <c r="V217" s="536">
        <f ca="1">((V213*(1-V216)*V215))+(V214*(1-V215))</f>
        <v>8.0500524685326896E-2</v>
      </c>
      <c r="W217" s="536">
        <f ca="1">((W213*(1-W216)*W215))+(W214*(1-W215))</f>
        <v>8.0500524685326896E-2</v>
      </c>
      <c r="X217" s="536">
        <f ca="1">((X213*(1-X216)*X215))+(X214*(1-X215))</f>
        <v>8.0500524685326896E-2</v>
      </c>
    </row>
    <row r="218" spans="1:24" hidden="1" outlineLevel="1">
      <c r="A218" s="776" t="s">
        <v>251</v>
      </c>
      <c r="B218" s="911">
        <v>0.01</v>
      </c>
      <c r="C218" s="536">
        <f t="shared" ref="C218:L218" si="251">+B218</f>
        <v>0.01</v>
      </c>
      <c r="D218" s="536">
        <f t="shared" si="251"/>
        <v>0.01</v>
      </c>
      <c r="E218" s="536">
        <f t="shared" si="251"/>
        <v>0.01</v>
      </c>
      <c r="F218" s="536">
        <f t="shared" si="251"/>
        <v>0.01</v>
      </c>
      <c r="G218" s="536">
        <f t="shared" si="251"/>
        <v>0.01</v>
      </c>
      <c r="H218" s="536">
        <f t="shared" si="251"/>
        <v>0.01</v>
      </c>
      <c r="I218" s="2267">
        <f t="shared" si="251"/>
        <v>0.01</v>
      </c>
      <c r="J218" s="536">
        <f t="shared" si="251"/>
        <v>0.01</v>
      </c>
      <c r="K218" s="536">
        <f t="shared" si="251"/>
        <v>0.01</v>
      </c>
      <c r="L218" s="536">
        <f t="shared" si="251"/>
        <v>0.01</v>
      </c>
      <c r="M218" s="536">
        <f t="shared" ref="M218:S218" si="252">+L218</f>
        <v>0.01</v>
      </c>
      <c r="N218" s="536">
        <f t="shared" si="252"/>
        <v>0.01</v>
      </c>
      <c r="O218" s="536">
        <f t="shared" si="252"/>
        <v>0.01</v>
      </c>
      <c r="P218" s="536">
        <f t="shared" si="252"/>
        <v>0.01</v>
      </c>
      <c r="Q218" s="536">
        <f t="shared" si="252"/>
        <v>0.01</v>
      </c>
      <c r="R218" s="536">
        <f t="shared" si="252"/>
        <v>0.01</v>
      </c>
      <c r="S218" s="536">
        <f t="shared" si="252"/>
        <v>0.01</v>
      </c>
      <c r="T218" s="536">
        <f>+S218</f>
        <v>0.01</v>
      </c>
      <c r="U218" s="536">
        <f>+T218</f>
        <v>0.01</v>
      </c>
      <c r="V218" s="536">
        <f>+U218</f>
        <v>0.01</v>
      </c>
      <c r="W218" s="536">
        <f>+V218</f>
        <v>0.01</v>
      </c>
      <c r="X218" s="536">
        <f>+W218</f>
        <v>0.01</v>
      </c>
    </row>
    <row r="219" spans="1:24" hidden="1" outlineLevel="1">
      <c r="A219" s="776"/>
      <c r="B219" s="11"/>
      <c r="C219" s="11"/>
      <c r="D219" s="11"/>
      <c r="E219" s="11"/>
      <c r="F219" s="11"/>
      <c r="G219" s="11"/>
      <c r="H219" s="11"/>
      <c r="I219" s="1108"/>
      <c r="J219" s="11"/>
      <c r="K219" s="11"/>
      <c r="L219" s="11"/>
      <c r="M219" s="11"/>
      <c r="N219" s="11"/>
      <c r="O219" s="11"/>
      <c r="P219" s="11"/>
      <c r="Q219" s="11"/>
      <c r="R219" s="11"/>
      <c r="S219" s="11"/>
      <c r="T219" s="11"/>
      <c r="U219" s="11"/>
      <c r="V219" s="11"/>
      <c r="W219" s="11"/>
      <c r="X219" s="11"/>
    </row>
    <row r="220" spans="1:24" hidden="1" outlineLevel="1">
      <c r="A220" s="776" t="s">
        <v>243</v>
      </c>
      <c r="B220" s="54">
        <f>+B221-(B221-B225)*B216-B225</f>
        <v>669.91150000000016</v>
      </c>
      <c r="C220" s="54">
        <f t="shared" ref="C220:U220" si="253">+C221-(C221-C225)*C216-C225</f>
        <v>586.48399999999992</v>
      </c>
      <c r="D220" s="54">
        <f t="shared" si="253"/>
        <v>486.89949999999988</v>
      </c>
      <c r="E220" s="54">
        <f t="shared" si="253"/>
        <v>386.71100000000013</v>
      </c>
      <c r="F220" s="54">
        <f t="shared" si="253"/>
        <v>218.00008893416754</v>
      </c>
      <c r="G220" s="54">
        <f t="shared" si="253"/>
        <v>300.69129093811722</v>
      </c>
      <c r="H220" s="54">
        <f t="shared" si="253"/>
        <v>288.37980000000005</v>
      </c>
      <c r="I220" s="1146">
        <f t="shared" si="253"/>
        <v>294.82146</v>
      </c>
      <c r="J220" s="54">
        <f t="shared" si="253"/>
        <v>305.0804</v>
      </c>
      <c r="K220" s="54">
        <f t="shared" si="253"/>
        <v>289.32355000000001</v>
      </c>
      <c r="L220" s="54">
        <f t="shared" si="253"/>
        <v>215.17500000000001</v>
      </c>
      <c r="M220" s="54">
        <f t="shared" si="253"/>
        <v>231.52074999999999</v>
      </c>
      <c r="N220" s="54">
        <f t="shared" si="253"/>
        <v>0</v>
      </c>
      <c r="O220" s="54">
        <f t="shared" si="253"/>
        <v>0</v>
      </c>
      <c r="P220" s="54">
        <f t="shared" si="253"/>
        <v>0</v>
      </c>
      <c r="Q220" s="54">
        <f t="shared" si="253"/>
        <v>0</v>
      </c>
      <c r="R220" s="54">
        <f t="shared" si="253"/>
        <v>0</v>
      </c>
      <c r="S220" s="54">
        <f t="shared" si="253"/>
        <v>0</v>
      </c>
      <c r="T220" s="54">
        <f t="shared" si="253"/>
        <v>0</v>
      </c>
      <c r="U220" s="54">
        <f t="shared" si="253"/>
        <v>0</v>
      </c>
      <c r="V220" s="54">
        <f>+V221-(V221-V225)*V216-V225</f>
        <v>0</v>
      </c>
      <c r="W220" s="54">
        <f>+W221-(W221-W225)*W216-W225</f>
        <v>0</v>
      </c>
      <c r="X220" s="54">
        <f>+X221-(X221-X225)*X216-X225</f>
        <v>0</v>
      </c>
    </row>
    <row r="221" spans="1:24" hidden="1" outlineLevel="1">
      <c r="A221" s="776" t="s">
        <v>678</v>
      </c>
      <c r="B221" s="54">
        <f>+Drivers!E153</f>
        <v>925.00000000000023</v>
      </c>
      <c r="C221" s="54">
        <f>+Drivers!F153</f>
        <v>820</v>
      </c>
      <c r="D221" s="54">
        <f>+Drivers!G153</f>
        <v>685.29999999999973</v>
      </c>
      <c r="E221" s="54">
        <f>+Drivers!H153</f>
        <v>553.30000000000018</v>
      </c>
      <c r="F221" s="54">
        <f>+Drivers!I153</f>
        <v>326.92365782972217</v>
      </c>
      <c r="G221" s="54">
        <f>+Drivers!J153</f>
        <v>442.66661051406254</v>
      </c>
      <c r="H221" s="54">
        <f>+Drivers!K153</f>
        <v>423.36</v>
      </c>
      <c r="I221" s="1146">
        <f>+Drivers!L153</f>
        <v>432.72</v>
      </c>
      <c r="J221" s="54">
        <f>+Drivers!M153</f>
        <v>427.38000000000005</v>
      </c>
      <c r="K221" s="54">
        <f>+Drivers!N153</f>
        <v>409.91</v>
      </c>
      <c r="L221" s="54">
        <f>+Drivers!Q153</f>
        <v>306.5</v>
      </c>
      <c r="M221" s="54">
        <f>+Drivers!R153</f>
        <v>326</v>
      </c>
      <c r="N221" s="54">
        <f>+Drivers!T153</f>
        <v>0</v>
      </c>
      <c r="O221" s="54">
        <f>+Drivers!U153</f>
        <v>0</v>
      </c>
      <c r="P221" s="54">
        <f>+Drivers!V153</f>
        <v>0</v>
      </c>
      <c r="Q221" s="54">
        <f>+Drivers!W153</f>
        <v>0</v>
      </c>
      <c r="R221" s="54">
        <f>+Drivers!X153</f>
        <v>0</v>
      </c>
      <c r="S221" s="54">
        <f>+Drivers!Y153</f>
        <v>0</v>
      </c>
      <c r="T221" s="54">
        <f>+Drivers!Z153</f>
        <v>0</v>
      </c>
      <c r="U221" s="54">
        <f>+Drivers!AA153</f>
        <v>0</v>
      </c>
      <c r="V221" s="54">
        <f>+Drivers!AB153</f>
        <v>0</v>
      </c>
      <c r="W221" s="54">
        <f>+Drivers!AC153</f>
        <v>0</v>
      </c>
      <c r="X221" s="54">
        <f>+Drivers!AD153</f>
        <v>0</v>
      </c>
    </row>
    <row r="222" spans="1:24" hidden="1" outlineLevel="1">
      <c r="A222" s="776"/>
      <c r="B222" s="11"/>
      <c r="C222" s="11"/>
      <c r="D222" s="11"/>
      <c r="E222" s="11"/>
      <c r="F222" s="11"/>
      <c r="G222" s="11"/>
      <c r="H222" s="11"/>
      <c r="I222" s="1108"/>
      <c r="J222" s="11"/>
      <c r="K222" s="11"/>
      <c r="L222" s="11"/>
      <c r="M222" s="11"/>
      <c r="N222" s="11"/>
      <c r="O222" s="11"/>
      <c r="P222" s="11"/>
      <c r="Q222" s="11"/>
      <c r="R222" s="11"/>
      <c r="S222" s="11"/>
      <c r="T222" s="11"/>
      <c r="U222" s="11"/>
      <c r="V222" s="11"/>
      <c r="W222" s="11"/>
      <c r="X222" s="11"/>
    </row>
    <row r="223" spans="1:24" hidden="1" outlineLevel="1">
      <c r="A223" s="776" t="s">
        <v>1009</v>
      </c>
      <c r="B223" s="181">
        <f>+X221</f>
        <v>0</v>
      </c>
      <c r="C223" s="181">
        <f t="shared" ref="C223:N223" si="254">+B223</f>
        <v>0</v>
      </c>
      <c r="D223" s="181">
        <f t="shared" si="254"/>
        <v>0</v>
      </c>
      <c r="E223" s="181">
        <f t="shared" si="254"/>
        <v>0</v>
      </c>
      <c r="F223" s="181">
        <f t="shared" si="254"/>
        <v>0</v>
      </c>
      <c r="G223" s="181">
        <f t="shared" si="254"/>
        <v>0</v>
      </c>
      <c r="H223" s="181">
        <f>+G223</f>
        <v>0</v>
      </c>
      <c r="I223" s="1683">
        <f t="shared" si="254"/>
        <v>0</v>
      </c>
      <c r="J223" s="181">
        <f t="shared" si="254"/>
        <v>0</v>
      </c>
      <c r="K223" s="181">
        <f t="shared" si="254"/>
        <v>0</v>
      </c>
      <c r="L223" s="181">
        <f t="shared" si="254"/>
        <v>0</v>
      </c>
      <c r="M223" s="181">
        <f t="shared" si="254"/>
        <v>0</v>
      </c>
      <c r="N223" s="181">
        <f t="shared" si="254"/>
        <v>0</v>
      </c>
      <c r="O223" s="181">
        <f t="shared" ref="O223:S224" si="255">+N223</f>
        <v>0</v>
      </c>
      <c r="P223" s="181">
        <f t="shared" si="255"/>
        <v>0</v>
      </c>
      <c r="Q223" s="181">
        <f t="shared" si="255"/>
        <v>0</v>
      </c>
      <c r="R223" s="181">
        <f t="shared" si="255"/>
        <v>0</v>
      </c>
      <c r="S223" s="181">
        <f t="shared" si="255"/>
        <v>0</v>
      </c>
      <c r="T223" s="181">
        <f t="shared" ref="T223:X224" si="256">+S223</f>
        <v>0</v>
      </c>
      <c r="U223" s="181">
        <f t="shared" si="256"/>
        <v>0</v>
      </c>
      <c r="V223" s="181">
        <f t="shared" si="256"/>
        <v>0</v>
      </c>
      <c r="W223" s="181">
        <f t="shared" si="256"/>
        <v>0</v>
      </c>
      <c r="X223" s="181">
        <f t="shared" si="256"/>
        <v>0</v>
      </c>
    </row>
    <row r="224" spans="1:24" hidden="1" outlineLevel="1">
      <c r="A224" s="777" t="s">
        <v>54</v>
      </c>
      <c r="B224" s="181">
        <f>+(B223-B225)*B216</f>
        <v>-9.2365000000000013</v>
      </c>
      <c r="C224" s="181">
        <f t="shared" ref="C224:N224" si="257">+B224</f>
        <v>-9.2365000000000013</v>
      </c>
      <c r="D224" s="181">
        <f t="shared" si="257"/>
        <v>-9.2365000000000013</v>
      </c>
      <c r="E224" s="181">
        <f t="shared" si="257"/>
        <v>-9.2365000000000013</v>
      </c>
      <c r="F224" s="181">
        <f t="shared" si="257"/>
        <v>-9.2365000000000013</v>
      </c>
      <c r="G224" s="181">
        <f t="shared" si="257"/>
        <v>-9.2365000000000013</v>
      </c>
      <c r="H224" s="181">
        <f t="shared" si="257"/>
        <v>-9.2365000000000013</v>
      </c>
      <c r="I224" s="1683">
        <f t="shared" si="257"/>
        <v>-9.2365000000000013</v>
      </c>
      <c r="J224" s="181">
        <f t="shared" si="257"/>
        <v>-9.2365000000000013</v>
      </c>
      <c r="K224" s="181">
        <f t="shared" si="257"/>
        <v>-9.2365000000000013</v>
      </c>
      <c r="L224" s="181">
        <f t="shared" si="257"/>
        <v>-9.2365000000000013</v>
      </c>
      <c r="M224" s="181">
        <f t="shared" si="257"/>
        <v>-9.2365000000000013</v>
      </c>
      <c r="N224" s="181">
        <f t="shared" si="257"/>
        <v>-9.2365000000000013</v>
      </c>
      <c r="O224" s="181">
        <f t="shared" si="255"/>
        <v>-9.2365000000000013</v>
      </c>
      <c r="P224" s="181">
        <f t="shared" si="255"/>
        <v>-9.2365000000000013</v>
      </c>
      <c r="Q224" s="181">
        <f t="shared" si="255"/>
        <v>-9.2365000000000013</v>
      </c>
      <c r="R224" s="181">
        <f t="shared" si="255"/>
        <v>-9.2365000000000013</v>
      </c>
      <c r="S224" s="181">
        <f t="shared" si="255"/>
        <v>-9.2365000000000013</v>
      </c>
      <c r="T224" s="181">
        <f t="shared" si="256"/>
        <v>-9.2365000000000013</v>
      </c>
      <c r="U224" s="181">
        <f t="shared" si="256"/>
        <v>-9.2365000000000013</v>
      </c>
      <c r="V224" s="181">
        <f t="shared" si="256"/>
        <v>-9.2365000000000013</v>
      </c>
      <c r="W224" s="181">
        <f t="shared" si="256"/>
        <v>-9.2365000000000013</v>
      </c>
      <c r="X224" s="181">
        <f t="shared" si="256"/>
        <v>-9.2365000000000013</v>
      </c>
    </row>
    <row r="225" spans="1:26" hidden="1" outlineLevel="1">
      <c r="A225" s="777" t="s">
        <v>67</v>
      </c>
      <c r="B225" s="2057">
        <f>+'Segment Detail'!AB75</f>
        <v>37.700000000000003</v>
      </c>
      <c r="C225" s="537">
        <f>+'Segment Detail'!AC75</f>
        <v>43.2</v>
      </c>
      <c r="D225" s="537">
        <f>+'Segment Detail'!AD75</f>
        <v>40.4</v>
      </c>
      <c r="E225" s="537">
        <f>+'Segment Detail'!AE75</f>
        <v>41.1</v>
      </c>
      <c r="F225" s="537">
        <f>+'Segment Detail'!AF75</f>
        <v>38.18181818181818</v>
      </c>
      <c r="G225" s="537">
        <f>+'Segment Detail'!AG75</f>
        <v>44.4</v>
      </c>
      <c r="H225" s="537">
        <f>+'Segment Detail'!AH75</f>
        <v>41.4</v>
      </c>
      <c r="I225" s="2057">
        <f>+'Segment Detail'!AI75</f>
        <v>42.228000000000002</v>
      </c>
      <c r="J225" s="537">
        <f>+'Segment Detail'!AJ75</f>
        <v>23.3</v>
      </c>
      <c r="K225" s="537">
        <f>+'Segment Detail'!AK75</f>
        <v>26.7</v>
      </c>
      <c r="L225" s="537">
        <f>+'Segment Detail'!AL75</f>
        <v>21.5</v>
      </c>
      <c r="M225" s="537">
        <f>+'Segment Detail'!AM75</f>
        <v>19.350000000000001</v>
      </c>
      <c r="N225" s="537">
        <f>+'Segment Detail'!AN75</f>
        <v>0</v>
      </c>
      <c r="O225" s="537">
        <f>+'Segment Detail'!AO75</f>
        <v>0</v>
      </c>
      <c r="P225" s="537">
        <f>+'Segment Detail'!AP75</f>
        <v>0</v>
      </c>
      <c r="Q225" s="537">
        <f>+'Segment Detail'!AQ75</f>
        <v>0</v>
      </c>
      <c r="R225" s="537">
        <f>+'Segment Detail'!AR75</f>
        <v>0</v>
      </c>
      <c r="S225" s="537">
        <f>+'Segment Detail'!AS75</f>
        <v>0</v>
      </c>
      <c r="T225" s="537">
        <f>+'Segment Detail'!AT75</f>
        <v>0</v>
      </c>
      <c r="U225" s="537">
        <f>+'Segment Detail'!AU75</f>
        <v>0</v>
      </c>
      <c r="V225" s="537">
        <f>+'Segment Detail'!AV75</f>
        <v>0</v>
      </c>
      <c r="W225" s="537">
        <f>+'Segment Detail'!AW75</f>
        <v>0</v>
      </c>
      <c r="X225" s="537">
        <f>+'Segment Detail'!AX75</f>
        <v>0</v>
      </c>
    </row>
    <row r="226" spans="1:26" hidden="1" outlineLevel="1">
      <c r="A226" s="776" t="s">
        <v>56</v>
      </c>
      <c r="B226" s="181">
        <f>+B223-B224-B225</f>
        <v>-28.463500000000003</v>
      </c>
      <c r="C226" s="181">
        <f t="shared" ref="C226:O226" si="258">+C223-C224-C225</f>
        <v>-33.963500000000003</v>
      </c>
      <c r="D226" s="181">
        <f t="shared" si="258"/>
        <v>-31.163499999999999</v>
      </c>
      <c r="E226" s="181">
        <f t="shared" si="258"/>
        <v>-31.863500000000002</v>
      </c>
      <c r="F226" s="181">
        <f t="shared" si="258"/>
        <v>-28.94531818181818</v>
      </c>
      <c r="G226" s="181">
        <f t="shared" si="258"/>
        <v>-35.163499999999999</v>
      </c>
      <c r="H226" s="181">
        <f t="shared" si="258"/>
        <v>-32.163499999999999</v>
      </c>
      <c r="I226" s="1683">
        <f t="shared" si="258"/>
        <v>-32.991500000000002</v>
      </c>
      <c r="J226" s="181">
        <f t="shared" si="258"/>
        <v>-14.063499999999999</v>
      </c>
      <c r="K226" s="181">
        <f t="shared" si="258"/>
        <v>-17.463499999999996</v>
      </c>
      <c r="L226" s="181">
        <f t="shared" si="258"/>
        <v>-12.263499999999999</v>
      </c>
      <c r="M226" s="181">
        <f t="shared" si="258"/>
        <v>-10.1135</v>
      </c>
      <c r="N226" s="181">
        <f t="shared" si="258"/>
        <v>9.2365000000000013</v>
      </c>
      <c r="O226" s="181">
        <f t="shared" si="258"/>
        <v>9.2365000000000013</v>
      </c>
      <c r="P226" s="181">
        <f t="shared" ref="P226:U226" si="259">+P223-P224-P225</f>
        <v>9.2365000000000013</v>
      </c>
      <c r="Q226" s="181">
        <f t="shared" si="259"/>
        <v>9.2365000000000013</v>
      </c>
      <c r="R226" s="181">
        <f t="shared" si="259"/>
        <v>9.2365000000000013</v>
      </c>
      <c r="S226" s="181">
        <f t="shared" si="259"/>
        <v>9.2365000000000013</v>
      </c>
      <c r="T226" s="181">
        <f t="shared" si="259"/>
        <v>9.2365000000000013</v>
      </c>
      <c r="U226" s="181">
        <f t="shared" si="259"/>
        <v>9.2365000000000013</v>
      </c>
      <c r="V226" s="181">
        <f>+V223-V224-V225</f>
        <v>9.2365000000000013</v>
      </c>
      <c r="W226" s="181">
        <f>+W223-W224-W225</f>
        <v>9.2365000000000013</v>
      </c>
      <c r="X226" s="181">
        <f>+X223-X224-X225</f>
        <v>9.2365000000000013</v>
      </c>
    </row>
    <row r="227" spans="1:26" hidden="1" outlineLevel="1">
      <c r="A227" s="777" t="s">
        <v>57</v>
      </c>
      <c r="B227" s="181">
        <f ca="1">1/(B217-B218)</f>
        <v>14.184291598728024</v>
      </c>
      <c r="C227" s="181">
        <f t="shared" ref="C227:L227" ca="1" si="260">1/(C217-C218)</f>
        <v>14.184291598728024</v>
      </c>
      <c r="D227" s="181">
        <f t="shared" ca="1" si="260"/>
        <v>14.184291598728024</v>
      </c>
      <c r="E227" s="181">
        <f t="shared" ca="1" si="260"/>
        <v>14.184291598728024</v>
      </c>
      <c r="F227" s="181">
        <f t="shared" ca="1" si="260"/>
        <v>14.184291598728024</v>
      </c>
      <c r="G227" s="181">
        <f t="shared" ca="1" si="260"/>
        <v>14.184291598728024</v>
      </c>
      <c r="H227" s="181">
        <f t="shared" ca="1" si="260"/>
        <v>14.184291598728024</v>
      </c>
      <c r="I227" s="1683">
        <f t="shared" ca="1" si="260"/>
        <v>14.184291598728024</v>
      </c>
      <c r="J227" s="181">
        <f t="shared" ca="1" si="260"/>
        <v>14.184291598728024</v>
      </c>
      <c r="K227" s="181">
        <f t="shared" ca="1" si="260"/>
        <v>14.184291598728024</v>
      </c>
      <c r="L227" s="181">
        <f t="shared" ca="1" si="260"/>
        <v>14.184291598728024</v>
      </c>
      <c r="M227" s="181">
        <f t="shared" ref="M227:S227" ca="1" si="261">1/(M217-M218)</f>
        <v>14.184291598728024</v>
      </c>
      <c r="N227" s="181">
        <f t="shared" ca="1" si="261"/>
        <v>14.184291598728024</v>
      </c>
      <c r="O227" s="181">
        <f t="shared" ca="1" si="261"/>
        <v>14.184291598728024</v>
      </c>
      <c r="P227" s="181">
        <f t="shared" ca="1" si="261"/>
        <v>14.184291598728024</v>
      </c>
      <c r="Q227" s="181">
        <f t="shared" ca="1" si="261"/>
        <v>14.184291598728024</v>
      </c>
      <c r="R227" s="181">
        <f t="shared" ca="1" si="261"/>
        <v>14.184291598728024</v>
      </c>
      <c r="S227" s="181">
        <f t="shared" ca="1" si="261"/>
        <v>14.184291598728024</v>
      </c>
      <c r="T227" s="181">
        <f ca="1">1/(T217-T218)</f>
        <v>14.184291598728024</v>
      </c>
      <c r="U227" s="181">
        <f ca="1">1/(U217-U218)</f>
        <v>14.184291598728024</v>
      </c>
      <c r="V227" s="181">
        <f ca="1">1/(V217-V218)</f>
        <v>14.184291598728024</v>
      </c>
      <c r="W227" s="181">
        <f ca="1">1/(W217-W218)</f>
        <v>14.184291598728024</v>
      </c>
      <c r="X227" s="181">
        <f ca="1">1/(X217-X218)</f>
        <v>14.184291598728024</v>
      </c>
    </row>
    <row r="228" spans="1:26" hidden="1" outlineLevel="1">
      <c r="A228" s="777" t="s">
        <v>58</v>
      </c>
      <c r="I228"/>
    </row>
    <row r="229" spans="1:26" hidden="1" outlineLevel="1">
      <c r="A229" s="776" t="s">
        <v>59</v>
      </c>
      <c r="B229" s="181">
        <f ca="1">B227*B226</f>
        <v>-403.73458392039515</v>
      </c>
      <c r="C229" s="181">
        <f t="shared" ref="C229:L229" ca="1" si="262">C227*C226</f>
        <v>-481.74818771339926</v>
      </c>
      <c r="D229" s="181">
        <f t="shared" ca="1" si="262"/>
        <v>-442.03217123696078</v>
      </c>
      <c r="E229" s="181">
        <f t="shared" ca="1" si="262"/>
        <v>-451.96117535607038</v>
      </c>
      <c r="F229" s="181">
        <f t="shared" ca="1" si="262"/>
        <v>-410.56883350887313</v>
      </c>
      <c r="G229" s="181">
        <f t="shared" ca="1" si="262"/>
        <v>-498.76933763187287</v>
      </c>
      <c r="H229" s="181">
        <f t="shared" ca="1" si="262"/>
        <v>-456.21646283568879</v>
      </c>
      <c r="I229" s="1683">
        <f t="shared" ca="1" si="262"/>
        <v>-467.96105627943564</v>
      </c>
      <c r="J229" s="181">
        <f t="shared" ca="1" si="262"/>
        <v>-199.48078489871156</v>
      </c>
      <c r="K229" s="181">
        <f t="shared" ca="1" si="262"/>
        <v>-247.70737633438679</v>
      </c>
      <c r="L229" s="181">
        <f t="shared" ca="1" si="262"/>
        <v>-173.94906002100109</v>
      </c>
      <c r="M229" s="181">
        <f t="shared" ref="M229:S229" ca="1" si="263">M227*M226</f>
        <v>-143.45283308373587</v>
      </c>
      <c r="N229" s="181">
        <f t="shared" ca="1" si="263"/>
        <v>131.0132093516514</v>
      </c>
      <c r="O229" s="181">
        <f t="shared" ca="1" si="263"/>
        <v>131.0132093516514</v>
      </c>
      <c r="P229" s="181">
        <f t="shared" ca="1" si="263"/>
        <v>131.0132093516514</v>
      </c>
      <c r="Q229" s="181">
        <f t="shared" ca="1" si="263"/>
        <v>131.0132093516514</v>
      </c>
      <c r="R229" s="181">
        <f t="shared" ca="1" si="263"/>
        <v>131.0132093516514</v>
      </c>
      <c r="S229" s="181">
        <f t="shared" ca="1" si="263"/>
        <v>131.0132093516514</v>
      </c>
      <c r="T229" s="181">
        <f ca="1">T227*T226</f>
        <v>131.0132093516514</v>
      </c>
      <c r="U229" s="181">
        <f ca="1">U227*U226</f>
        <v>131.0132093516514</v>
      </c>
      <c r="V229" s="181">
        <f ca="1">V227*V226</f>
        <v>131.0132093516514</v>
      </c>
      <c r="W229" s="181">
        <f ca="1">W227*W226</f>
        <v>131.0132093516514</v>
      </c>
      <c r="X229" s="181">
        <f ca="1">X227*X226</f>
        <v>131.0132093516514</v>
      </c>
    </row>
    <row r="230" spans="1:26" hidden="1" outlineLevel="1">
      <c r="A230" s="776" t="s">
        <v>60</v>
      </c>
      <c r="B230" s="181">
        <f ca="1">B229/((1+B217)^B236)</f>
        <v>-73.509987052666617</v>
      </c>
      <c r="C230" s="181">
        <f t="shared" ref="C230:O230" ca="1" si="264">C229/((1+C217)^C236)</f>
        <v>-94.77536490824869</v>
      </c>
      <c r="D230" s="181">
        <f t="shared" ca="1" si="264"/>
        <v>-93.962429277923988</v>
      </c>
      <c r="E230" s="181">
        <f t="shared" ca="1" si="264"/>
        <v>-103.80695914600918</v>
      </c>
      <c r="F230" s="181">
        <f t="shared" ca="1" si="264"/>
        <v>-101.89111171691877</v>
      </c>
      <c r="G230" s="181">
        <f t="shared" ca="1" si="264"/>
        <v>-133.74422885976344</v>
      </c>
      <c r="H230" s="181">
        <f t="shared" ca="1" si="264"/>
        <v>-132.18167143792962</v>
      </c>
      <c r="I230" s="1683">
        <f t="shared" ca="1" si="264"/>
        <v>-146.49910818772781</v>
      </c>
      <c r="J230" s="181">
        <f t="shared" ca="1" si="264"/>
        <v>-67.476309071912439</v>
      </c>
      <c r="K230" s="181">
        <f t="shared" ca="1" si="264"/>
        <v>-90.534513449144356</v>
      </c>
      <c r="L230" s="181">
        <f t="shared" ca="1" si="264"/>
        <v>-68.694552849285145</v>
      </c>
      <c r="M230" s="181">
        <f t="shared" ca="1" si="264"/>
        <v>-61.211683839180338</v>
      </c>
      <c r="N230" s="181">
        <f t="shared" ca="1" si="264"/>
        <v>60.403939556970201</v>
      </c>
      <c r="O230" s="181">
        <f t="shared" ca="1" si="264"/>
        <v>65.266488384367094</v>
      </c>
      <c r="P230" s="181">
        <f t="shared" ref="P230:U230" ca="1" si="265">P229/((1+P217)^P236)</f>
        <v>70.520474943677428</v>
      </c>
      <c r="Q230" s="181">
        <f t="shared" ca="1" si="265"/>
        <v>76.197410177701926</v>
      </c>
      <c r="R230" s="181">
        <f t="shared" ca="1" si="265"/>
        <v>82.331341676670007</v>
      </c>
      <c r="S230" s="181">
        <f t="shared" ca="1" si="265"/>
        <v>88.959057879688871</v>
      </c>
      <c r="T230" s="181">
        <f t="shared" ca="1" si="265"/>
        <v>96.120308714516199</v>
      </c>
      <c r="U230" s="181">
        <f t="shared" ca="1" si="265"/>
        <v>103.85804399895036</v>
      </c>
      <c r="V230" s="181">
        <f ca="1">V229/((1+V217)^V236)</f>
        <v>112.21867103365764</v>
      </c>
      <c r="W230" s="181">
        <f ca="1">W229/((1+W217)^W236)</f>
        <v>121.25233293135719</v>
      </c>
      <c r="X230" s="181">
        <f ca="1">X229/((1+X217)^X236)</f>
        <v>131.0132093516514</v>
      </c>
    </row>
    <row r="231" spans="1:26" hidden="1" outlineLevel="1">
      <c r="A231" s="776" t="s">
        <v>63</v>
      </c>
      <c r="B231" s="173">
        <f ca="1">NPV(B217,C220:$X220)</f>
        <v>2489.546039518656</v>
      </c>
      <c r="C231" s="173">
        <f ca="1">NPV(C217,D220:$X220)</f>
        <v>2103.4718019281863</v>
      </c>
      <c r="D231" s="173">
        <f ca="1">NPV(D217,E220:$X220)</f>
        <v>1785.9028856441953</v>
      </c>
      <c r="E231" s="173">
        <f ca="1">NPV(E217,F220:$X220)</f>
        <v>1542.9580049755921</v>
      </c>
      <c r="F231" s="173">
        <f ca="1">NPV(F217,G220:$X220)</f>
        <v>1449.1668450093853</v>
      </c>
      <c r="G231" s="173">
        <f ca="1">NPV(G217,H220:$X220)</f>
        <v>1265.1342454511037</v>
      </c>
      <c r="H231" s="173">
        <f ca="1">NPV(H217,I220:$X220)</f>
        <v>1078.5984160072928</v>
      </c>
      <c r="I231" s="1709">
        <f ca="1">NPV(I217,J220:$X220)</f>
        <v>870.60469442064232</v>
      </c>
      <c r="J231" s="173">
        <f ca="1">NPV(J217,K220:$X220)</f>
        <v>635.60842911501277</v>
      </c>
      <c r="K231" s="173">
        <f ca="1">NPV(K217,L220:$X220)</f>
        <v>397.45169115318771</v>
      </c>
      <c r="L231" s="173">
        <f ca="1">NPV(L217,M220:$X220)</f>
        <v>214.27176082808987</v>
      </c>
      <c r="M231" s="173">
        <f ca="1">NPV(M217,N220:$X220)</f>
        <v>0</v>
      </c>
      <c r="N231" s="173">
        <f ca="1">NPV(N217,O220:$X220)</f>
        <v>0</v>
      </c>
      <c r="O231" s="173">
        <f ca="1">NPV(O217,P220:$X220)</f>
        <v>0</v>
      </c>
      <c r="P231" s="173">
        <f ca="1">NPV(P217,Q220:$X220)</f>
        <v>0</v>
      </c>
      <c r="Q231" s="173">
        <f ca="1">NPV(Q217,R220:$X220)</f>
        <v>0</v>
      </c>
      <c r="R231" s="173">
        <f ca="1">NPV(R217,S220:$X220)</f>
        <v>0</v>
      </c>
      <c r="S231" s="173">
        <f ca="1">NPV(S217,T220:$X220)</f>
        <v>0</v>
      </c>
      <c r="T231" s="173">
        <f ca="1">NPV(T217,U220:$X220)</f>
        <v>0</v>
      </c>
      <c r="U231" s="173">
        <f ca="1">NPV(U217,V220:$X220)</f>
        <v>0</v>
      </c>
      <c r="V231" s="173">
        <f ca="1">NPV(V217,W220:$X220)</f>
        <v>0</v>
      </c>
      <c r="W231" s="173">
        <f ca="1">NPV(W217,X220:$X220)</f>
        <v>0</v>
      </c>
      <c r="X231" s="771">
        <v>0</v>
      </c>
      <c r="Y231" s="1396"/>
      <c r="Z231" s="1396"/>
    </row>
    <row r="232" spans="1:26" hidden="1" outlineLevel="1">
      <c r="A232" s="776"/>
      <c r="B232" s="539" t="s">
        <v>337</v>
      </c>
      <c r="C232" s="539"/>
      <c r="D232" s="539"/>
      <c r="E232" s="539"/>
      <c r="F232" s="539"/>
      <c r="G232" s="539"/>
      <c r="H232" s="539"/>
      <c r="I232" s="2268"/>
      <c r="J232" s="539"/>
      <c r="K232" s="539"/>
      <c r="L232" s="539"/>
      <c r="M232" s="539"/>
      <c r="N232" s="539"/>
      <c r="O232" s="539"/>
      <c r="P232" s="539"/>
      <c r="Q232" s="539"/>
      <c r="R232" s="539"/>
      <c r="S232" s="539"/>
      <c r="T232" s="539"/>
      <c r="U232" s="539"/>
      <c r="V232" s="539"/>
      <c r="W232" s="539"/>
    </row>
    <row r="233" spans="1:26" hidden="1" outlineLevel="1">
      <c r="A233" s="776" t="s">
        <v>64</v>
      </c>
      <c r="B233" s="540">
        <f ca="1">B231+B230</f>
        <v>2416.0360524659895</v>
      </c>
      <c r="C233" s="540">
        <f ca="1">C231+C230</f>
        <v>2008.6964370199375</v>
      </c>
      <c r="D233" s="540">
        <f t="shared" ref="D233:L233" ca="1" si="266">D231+D230</f>
        <v>1691.9404563662713</v>
      </c>
      <c r="E233" s="540">
        <f t="shared" ca="1" si="266"/>
        <v>1439.1510458295829</v>
      </c>
      <c r="F233" s="540">
        <f t="shared" ca="1" si="266"/>
        <v>1347.2757332924666</v>
      </c>
      <c r="G233" s="540">
        <f t="shared" ca="1" si="266"/>
        <v>1131.3900165913401</v>
      </c>
      <c r="H233" s="540">
        <f t="shared" ca="1" si="266"/>
        <v>946.41674456936323</v>
      </c>
      <c r="I233" s="2269">
        <f t="shared" ca="1" si="266"/>
        <v>724.10558623291445</v>
      </c>
      <c r="J233" s="540">
        <f t="shared" ca="1" si="266"/>
        <v>568.13212004310037</v>
      </c>
      <c r="K233" s="540">
        <f t="shared" ca="1" si="266"/>
        <v>306.91717770404335</v>
      </c>
      <c r="L233" s="540">
        <f t="shared" ca="1" si="266"/>
        <v>145.57720797880472</v>
      </c>
      <c r="M233" s="540"/>
      <c r="N233" s="540"/>
      <c r="O233" s="540"/>
      <c r="P233" s="540"/>
      <c r="Q233" s="540"/>
      <c r="R233" s="540"/>
      <c r="S233" s="540"/>
      <c r="T233" s="540"/>
      <c r="U233" s="540"/>
      <c r="V233" s="540"/>
      <c r="W233" s="540"/>
      <c r="X233" s="540"/>
    </row>
    <row r="234" spans="1:26" hidden="1" outlineLevel="1">
      <c r="A234" s="777" t="s">
        <v>72</v>
      </c>
      <c r="B234" s="541">
        <f t="shared" ref="B234:L234" ca="1" si="267">B233/B221</f>
        <v>2.6119308675307988</v>
      </c>
      <c r="C234" s="541">
        <f t="shared" ca="1" si="267"/>
        <v>2.4496298012438262</v>
      </c>
      <c r="D234" s="541">
        <f t="shared" ca="1" si="267"/>
        <v>2.4689047955147703</v>
      </c>
      <c r="E234" s="541">
        <f t="shared" ca="1" si="267"/>
        <v>2.6010320727084446</v>
      </c>
      <c r="F234" s="541">
        <f t="shared" ca="1" si="267"/>
        <v>4.121071390906172</v>
      </c>
      <c r="G234" s="541">
        <f t="shared" ca="1" si="267"/>
        <v>2.5558512653065764</v>
      </c>
      <c r="H234" s="541">
        <f t="shared" ca="1" si="267"/>
        <v>2.2354892870591536</v>
      </c>
      <c r="I234" s="2270">
        <f t="shared" ca="1" si="267"/>
        <v>1.6733813695528619</v>
      </c>
      <c r="J234" s="541">
        <f t="shared" ca="1" si="267"/>
        <v>1.3293371707686374</v>
      </c>
      <c r="K234" s="541">
        <f t="shared" ca="1" si="267"/>
        <v>0.74874284038945949</v>
      </c>
      <c r="L234" s="541">
        <f t="shared" ca="1" si="267"/>
        <v>0.47496642081176094</v>
      </c>
      <c r="M234" s="541"/>
      <c r="N234" s="541"/>
      <c r="O234" s="541"/>
      <c r="P234" s="541"/>
      <c r="Q234" s="541"/>
      <c r="R234" s="541"/>
      <c r="S234" s="541"/>
      <c r="T234" s="541"/>
      <c r="U234" s="541"/>
      <c r="V234" s="541"/>
      <c r="W234" s="541"/>
      <c r="X234" s="541"/>
    </row>
    <row r="235" spans="1:26" hidden="1" outlineLevel="1">
      <c r="A235" s="777" t="s">
        <v>73</v>
      </c>
      <c r="B235" s="541">
        <f ca="1">B233/C221</f>
        <v>2.9463854298365728</v>
      </c>
      <c r="C235" s="541">
        <f t="shared" ref="C235:L235" ca="1" si="268">C233/D221</f>
        <v>2.931119855566815</v>
      </c>
      <c r="D235" s="541">
        <f t="shared" ca="1" si="268"/>
        <v>3.0579079276455281</v>
      </c>
      <c r="E235" s="541">
        <f t="shared" ca="1" si="268"/>
        <v>4.4021012593073428</v>
      </c>
      <c r="F235" s="541">
        <f t="shared" ca="1" si="268"/>
        <v>3.0435449642969323</v>
      </c>
      <c r="G235" s="541">
        <f t="shared" ca="1" si="268"/>
        <v>2.6724065017747072</v>
      </c>
      <c r="H235" s="541">
        <f t="shared" ca="1" si="268"/>
        <v>2.1871342775221003</v>
      </c>
      <c r="I235" s="2270">
        <f t="shared" ca="1" si="268"/>
        <v>1.6942898269289961</v>
      </c>
      <c r="J235" s="541">
        <f t="shared" ca="1" si="268"/>
        <v>1.3859923398870493</v>
      </c>
      <c r="K235" s="541">
        <f t="shared" ca="1" si="268"/>
        <v>1.0013611018076456</v>
      </c>
      <c r="L235" s="541">
        <f t="shared" ca="1" si="268"/>
        <v>0.44655585269572001</v>
      </c>
      <c r="M235" s="541"/>
      <c r="N235" s="541"/>
      <c r="O235" s="541"/>
      <c r="P235" s="541"/>
      <c r="Q235" s="541"/>
      <c r="R235" s="541"/>
      <c r="S235" s="541"/>
      <c r="T235" s="541"/>
      <c r="U235" s="541"/>
      <c r="V235" s="541"/>
      <c r="W235" s="541"/>
    </row>
    <row r="236" spans="1:26" hidden="1" outlineLevel="1">
      <c r="A236" s="778" t="s">
        <v>61</v>
      </c>
      <c r="B236" s="11">
        <f t="shared" ref="B236:Q236" si="269">+C236+1</f>
        <v>22</v>
      </c>
      <c r="C236" s="11">
        <f t="shared" si="269"/>
        <v>21</v>
      </c>
      <c r="D236" s="11">
        <f t="shared" si="269"/>
        <v>20</v>
      </c>
      <c r="E236" s="11">
        <f t="shared" si="269"/>
        <v>19</v>
      </c>
      <c r="F236" s="11">
        <f t="shared" si="269"/>
        <v>18</v>
      </c>
      <c r="G236" s="11">
        <f t="shared" si="269"/>
        <v>17</v>
      </c>
      <c r="H236" s="11">
        <f t="shared" si="269"/>
        <v>16</v>
      </c>
      <c r="I236" s="1108">
        <f t="shared" si="269"/>
        <v>15</v>
      </c>
      <c r="J236" s="11">
        <f t="shared" si="269"/>
        <v>14</v>
      </c>
      <c r="K236" s="11">
        <f t="shared" si="269"/>
        <v>13</v>
      </c>
      <c r="L236" s="11">
        <f t="shared" si="269"/>
        <v>12</v>
      </c>
      <c r="M236" s="11">
        <f t="shared" si="269"/>
        <v>11</v>
      </c>
      <c r="N236" s="11">
        <f t="shared" si="269"/>
        <v>10</v>
      </c>
      <c r="O236" s="11">
        <f t="shared" si="269"/>
        <v>9</v>
      </c>
      <c r="P236" s="11">
        <f t="shared" si="269"/>
        <v>8</v>
      </c>
      <c r="Q236" s="11">
        <f t="shared" si="269"/>
        <v>7</v>
      </c>
      <c r="R236" s="11">
        <f t="shared" ref="R236:W236" si="270">+S236+1</f>
        <v>6</v>
      </c>
      <c r="S236" s="11">
        <f t="shared" si="270"/>
        <v>5</v>
      </c>
      <c r="T236" s="11">
        <f t="shared" si="270"/>
        <v>4</v>
      </c>
      <c r="U236" s="11">
        <f t="shared" si="270"/>
        <v>3</v>
      </c>
      <c r="V236" s="11">
        <f t="shared" si="270"/>
        <v>2</v>
      </c>
      <c r="W236" s="11">
        <f t="shared" si="270"/>
        <v>1</v>
      </c>
      <c r="X236" s="469">
        <v>0</v>
      </c>
      <c r="Y236" s="1396"/>
      <c r="Z236" s="1396"/>
    </row>
    <row r="237" spans="1:26" hidden="1" outlineLevel="1">
      <c r="A237" s="304"/>
      <c r="B237" s="304"/>
      <c r="C237" s="304"/>
      <c r="D237" s="304"/>
      <c r="E237" s="304"/>
      <c r="F237" s="304"/>
      <c r="G237" s="304"/>
      <c r="H237" s="304"/>
      <c r="I237" s="1710"/>
      <c r="J237" s="304"/>
      <c r="K237" s="304"/>
      <c r="L237" s="304"/>
      <c r="M237" s="304"/>
      <c r="N237" s="304"/>
      <c r="O237" s="304"/>
      <c r="P237" s="304"/>
      <c r="Q237" s="304"/>
      <c r="R237" s="304"/>
      <c r="S237" s="304"/>
      <c r="T237" s="304"/>
      <c r="U237" s="304"/>
      <c r="V237" s="304"/>
      <c r="W237" s="304"/>
    </row>
    <row r="238" spans="1:26" hidden="1" outlineLevel="1">
      <c r="A238" s="304"/>
      <c r="B238" s="304"/>
      <c r="C238" s="304"/>
      <c r="D238" s="304"/>
      <c r="E238" s="304"/>
      <c r="F238" s="304"/>
      <c r="G238" s="304"/>
      <c r="H238" s="304"/>
      <c r="I238" s="1710"/>
      <c r="J238" s="304"/>
      <c r="K238" s="304"/>
      <c r="L238" s="304"/>
      <c r="M238" s="304"/>
      <c r="N238" s="304"/>
      <c r="O238" s="304"/>
      <c r="P238" s="304"/>
      <c r="Q238" s="304"/>
      <c r="R238" s="304"/>
      <c r="S238" s="304"/>
      <c r="T238" s="304"/>
      <c r="U238" s="304"/>
      <c r="V238" s="304"/>
      <c r="W238" s="304"/>
    </row>
    <row r="239" spans="1:26" hidden="1" outlineLevel="1">
      <c r="A239" s="1266" t="s">
        <v>1206</v>
      </c>
      <c r="B239" s="1267"/>
      <c r="C239" s="1268"/>
      <c r="D239" s="1268"/>
      <c r="E239" s="1269"/>
      <c r="F239" s="1269"/>
      <c r="G239" s="1269"/>
      <c r="H239" s="1269"/>
      <c r="I239" s="2582"/>
      <c r="J239" s="1269"/>
      <c r="K239" s="1269"/>
      <c r="L239" s="1269"/>
      <c r="M239" s="1269"/>
      <c r="N239" s="1269"/>
      <c r="O239" s="1269"/>
      <c r="P239" s="1269"/>
      <c r="Q239" s="1269"/>
      <c r="R239" s="1269"/>
      <c r="S239" s="1269"/>
      <c r="T239" s="1269"/>
      <c r="U239" s="1269"/>
      <c r="V239" s="1269"/>
      <c r="W239" s="1269"/>
      <c r="X239" s="1269"/>
    </row>
    <row r="240" spans="1:26" hidden="1" outlineLevel="1">
      <c r="A240" s="1270"/>
      <c r="B240" s="1271">
        <v>2005</v>
      </c>
      <c r="C240" s="1271">
        <f>B240+1</f>
        <v>2006</v>
      </c>
      <c r="D240" s="1271">
        <f t="shared" ref="D240:N240" si="271">C240+1</f>
        <v>2007</v>
      </c>
      <c r="E240" s="1271">
        <f t="shared" si="271"/>
        <v>2008</v>
      </c>
      <c r="F240" s="1271">
        <f t="shared" si="271"/>
        <v>2009</v>
      </c>
      <c r="G240" s="1271">
        <f t="shared" si="271"/>
        <v>2010</v>
      </c>
      <c r="H240" s="1271">
        <f t="shared" si="271"/>
        <v>2011</v>
      </c>
      <c r="I240" s="2674">
        <f t="shared" si="271"/>
        <v>2012</v>
      </c>
      <c r="J240" s="1271">
        <f t="shared" si="271"/>
        <v>2013</v>
      </c>
      <c r="K240" s="1271">
        <f t="shared" si="271"/>
        <v>2014</v>
      </c>
      <c r="L240" s="1271">
        <f t="shared" si="271"/>
        <v>2015</v>
      </c>
      <c r="M240" s="1271">
        <f t="shared" si="271"/>
        <v>2016</v>
      </c>
      <c r="N240" s="1271">
        <f t="shared" si="271"/>
        <v>2017</v>
      </c>
      <c r="O240" s="1271">
        <f t="shared" ref="O240:X240" si="272">N240+1</f>
        <v>2018</v>
      </c>
      <c r="P240" s="1271">
        <f t="shared" si="272"/>
        <v>2019</v>
      </c>
      <c r="Q240" s="1271">
        <f t="shared" si="272"/>
        <v>2020</v>
      </c>
      <c r="R240" s="1271">
        <f t="shared" si="272"/>
        <v>2021</v>
      </c>
      <c r="S240" s="1271">
        <f t="shared" si="272"/>
        <v>2022</v>
      </c>
      <c r="T240" s="1271">
        <f t="shared" si="272"/>
        <v>2023</v>
      </c>
      <c r="U240" s="1271">
        <f t="shared" si="272"/>
        <v>2024</v>
      </c>
      <c r="V240" s="1271">
        <f t="shared" si="272"/>
        <v>2025</v>
      </c>
      <c r="W240" s="1271">
        <f t="shared" si="272"/>
        <v>2026</v>
      </c>
      <c r="X240" s="1271">
        <f t="shared" si="272"/>
        <v>2027</v>
      </c>
    </row>
    <row r="241" spans="1:23" hidden="1" outlineLevel="1">
      <c r="A241" s="9" t="s">
        <v>65</v>
      </c>
      <c r="B241" s="11"/>
      <c r="C241" s="11" t="s">
        <v>337</v>
      </c>
      <c r="D241" s="11"/>
      <c r="E241" s="11"/>
      <c r="F241" s="11"/>
      <c r="G241" s="11"/>
      <c r="H241" s="11"/>
      <c r="I241" s="1108"/>
      <c r="J241" s="11"/>
      <c r="K241" s="11"/>
      <c r="L241" s="11"/>
      <c r="M241" s="11"/>
      <c r="N241" s="11"/>
      <c r="O241" s="11"/>
      <c r="P241" s="11"/>
      <c r="Q241" s="11"/>
      <c r="R241" s="11"/>
      <c r="S241" s="11"/>
      <c r="T241" s="11"/>
      <c r="U241" s="11"/>
      <c r="V241" s="11"/>
      <c r="W241" s="11"/>
    </row>
    <row r="242" spans="1:23" hidden="1" outlineLevel="1">
      <c r="A242" s="776" t="s">
        <v>246</v>
      </c>
      <c r="B242" s="775">
        <f ca="1">B52</f>
        <v>4.6359932385549224E-2</v>
      </c>
      <c r="C242" s="536">
        <f t="shared" ref="C242:J242" ca="1" si="273">+B242</f>
        <v>4.6359932385549224E-2</v>
      </c>
      <c r="D242" s="536">
        <f t="shared" ca="1" si="273"/>
        <v>4.6359932385549224E-2</v>
      </c>
      <c r="E242" s="536">
        <f t="shared" ca="1" si="273"/>
        <v>4.6359932385549224E-2</v>
      </c>
      <c r="F242" s="536">
        <f t="shared" ca="1" si="273"/>
        <v>4.6359932385549224E-2</v>
      </c>
      <c r="G242" s="536">
        <f t="shared" ca="1" si="273"/>
        <v>4.6359932385549224E-2</v>
      </c>
      <c r="H242" s="536">
        <f t="shared" ca="1" si="273"/>
        <v>4.6359932385549224E-2</v>
      </c>
      <c r="I242" s="2267">
        <f t="shared" ca="1" si="273"/>
        <v>4.6359932385549224E-2</v>
      </c>
      <c r="J242" s="536">
        <f t="shared" ca="1" si="273"/>
        <v>4.6359932385549224E-2</v>
      </c>
      <c r="K242" s="536"/>
      <c r="L242" s="536"/>
      <c r="M242" s="536"/>
      <c r="N242" s="536"/>
      <c r="O242" s="536"/>
      <c r="P242" s="536"/>
      <c r="Q242" s="536"/>
      <c r="R242" s="536"/>
      <c r="S242" s="536"/>
      <c r="T242" s="536"/>
      <c r="U242" s="536"/>
      <c r="V242" s="536"/>
      <c r="W242" s="536"/>
    </row>
    <row r="243" spans="1:23" hidden="1" outlineLevel="1">
      <c r="A243" s="776" t="s">
        <v>247</v>
      </c>
      <c r="B243" s="775">
        <f>B53</f>
        <v>0.1</v>
      </c>
      <c r="C243" s="536">
        <f t="shared" ref="C243:J243" si="274">+B243</f>
        <v>0.1</v>
      </c>
      <c r="D243" s="536">
        <f t="shared" si="274"/>
        <v>0.1</v>
      </c>
      <c r="E243" s="536">
        <f t="shared" si="274"/>
        <v>0.1</v>
      </c>
      <c r="F243" s="536">
        <f t="shared" si="274"/>
        <v>0.1</v>
      </c>
      <c r="G243" s="536">
        <f t="shared" si="274"/>
        <v>0.1</v>
      </c>
      <c r="H243" s="536">
        <f t="shared" si="274"/>
        <v>0.1</v>
      </c>
      <c r="I243" s="2267">
        <f t="shared" si="274"/>
        <v>0.1</v>
      </c>
      <c r="J243" s="536">
        <f t="shared" si="274"/>
        <v>0.1</v>
      </c>
      <c r="K243" s="536"/>
      <c r="L243" s="536"/>
      <c r="M243" s="536"/>
      <c r="N243" s="536"/>
      <c r="O243" s="536"/>
      <c r="P243" s="536"/>
      <c r="Q243" s="536"/>
      <c r="R243" s="536"/>
      <c r="S243" s="536"/>
      <c r="T243" s="536"/>
      <c r="U243" s="536"/>
      <c r="V243" s="536"/>
      <c r="W243" s="536"/>
    </row>
    <row r="244" spans="1:23" hidden="1" outlineLevel="1">
      <c r="A244" s="776" t="s">
        <v>248</v>
      </c>
      <c r="B244" s="775">
        <f>B54</f>
        <v>0.3</v>
      </c>
      <c r="C244" s="536">
        <f t="shared" ref="C244:J244" si="275">+B244</f>
        <v>0.3</v>
      </c>
      <c r="D244" s="536">
        <f t="shared" si="275"/>
        <v>0.3</v>
      </c>
      <c r="E244" s="536">
        <f t="shared" si="275"/>
        <v>0.3</v>
      </c>
      <c r="F244" s="536">
        <f t="shared" si="275"/>
        <v>0.3</v>
      </c>
      <c r="G244" s="536">
        <f t="shared" si="275"/>
        <v>0.3</v>
      </c>
      <c r="H244" s="536">
        <f t="shared" si="275"/>
        <v>0.3</v>
      </c>
      <c r="I244" s="2267">
        <f t="shared" si="275"/>
        <v>0.3</v>
      </c>
      <c r="J244" s="536">
        <f t="shared" si="275"/>
        <v>0.3</v>
      </c>
      <c r="K244" s="536"/>
      <c r="L244" s="536"/>
      <c r="M244" s="536"/>
      <c r="N244" s="536"/>
      <c r="O244" s="536"/>
      <c r="P244" s="536"/>
      <c r="Q244" s="536"/>
      <c r="R244" s="536"/>
      <c r="S244" s="536"/>
      <c r="T244" s="536"/>
      <c r="U244" s="536"/>
      <c r="V244" s="536"/>
      <c r="W244" s="536"/>
    </row>
    <row r="245" spans="1:23" hidden="1" outlineLevel="1">
      <c r="A245" s="776" t="s">
        <v>249</v>
      </c>
      <c r="B245" s="911">
        <v>0</v>
      </c>
      <c r="C245" s="536">
        <f t="shared" ref="C245:J245" si="276">+B245</f>
        <v>0</v>
      </c>
      <c r="D245" s="536">
        <f t="shared" si="276"/>
        <v>0</v>
      </c>
      <c r="E245" s="536">
        <f t="shared" si="276"/>
        <v>0</v>
      </c>
      <c r="F245" s="536">
        <f t="shared" si="276"/>
        <v>0</v>
      </c>
      <c r="G245" s="536">
        <f t="shared" si="276"/>
        <v>0</v>
      </c>
      <c r="H245" s="536">
        <f t="shared" si="276"/>
        <v>0</v>
      </c>
      <c r="I245" s="2267">
        <f t="shared" si="276"/>
        <v>0</v>
      </c>
      <c r="J245" s="536">
        <f t="shared" si="276"/>
        <v>0</v>
      </c>
      <c r="K245" s="536"/>
      <c r="L245" s="536"/>
      <c r="M245" s="536"/>
      <c r="N245" s="536"/>
      <c r="O245" s="536"/>
      <c r="P245" s="536"/>
      <c r="Q245" s="536"/>
      <c r="R245" s="536"/>
      <c r="S245" s="536"/>
      <c r="T245" s="536"/>
      <c r="U245" s="536"/>
      <c r="V245" s="536"/>
      <c r="W245" s="536"/>
    </row>
    <row r="246" spans="1:23" hidden="1" outlineLevel="1">
      <c r="A246" s="776" t="s">
        <v>250</v>
      </c>
      <c r="B246" s="536">
        <f t="shared" ref="B246:J246" ca="1" si="277">((B242*(1-B245)*B244))+(B243*(1-B244))</f>
        <v>8.3907979715664757E-2</v>
      </c>
      <c r="C246" s="536">
        <f t="shared" ca="1" si="277"/>
        <v>8.3907979715664757E-2</v>
      </c>
      <c r="D246" s="536">
        <f t="shared" ca="1" si="277"/>
        <v>8.3907979715664757E-2</v>
      </c>
      <c r="E246" s="536">
        <f t="shared" ca="1" si="277"/>
        <v>8.3907979715664757E-2</v>
      </c>
      <c r="F246" s="536">
        <f t="shared" ca="1" si="277"/>
        <v>8.3907979715664757E-2</v>
      </c>
      <c r="G246" s="536">
        <f t="shared" ca="1" si="277"/>
        <v>8.3907979715664757E-2</v>
      </c>
      <c r="H246" s="536">
        <f t="shared" ca="1" si="277"/>
        <v>8.3907979715664757E-2</v>
      </c>
      <c r="I246" s="2267">
        <f t="shared" ca="1" si="277"/>
        <v>8.3907979715664757E-2</v>
      </c>
      <c r="J246" s="536">
        <f t="shared" ca="1" si="277"/>
        <v>8.3907979715664757E-2</v>
      </c>
      <c r="K246" s="536"/>
      <c r="L246" s="536"/>
      <c r="M246" s="536"/>
      <c r="N246" s="536"/>
      <c r="O246" s="536"/>
      <c r="P246" s="536"/>
      <c r="Q246" s="536"/>
      <c r="R246" s="536"/>
      <c r="S246" s="536"/>
      <c r="T246" s="536"/>
      <c r="U246" s="536"/>
      <c r="V246" s="536"/>
      <c r="W246" s="536"/>
    </row>
    <row r="247" spans="1:23" hidden="1" outlineLevel="1">
      <c r="A247" s="776" t="s">
        <v>251</v>
      </c>
      <c r="B247" s="775">
        <f>B57</f>
        <v>0.02</v>
      </c>
      <c r="C247" s="536">
        <f t="shared" ref="C247:J247" si="278">+B247</f>
        <v>0.02</v>
      </c>
      <c r="D247" s="536">
        <f t="shared" si="278"/>
        <v>0.02</v>
      </c>
      <c r="E247" s="536">
        <f t="shared" si="278"/>
        <v>0.02</v>
      </c>
      <c r="F247" s="536">
        <f t="shared" si="278"/>
        <v>0.02</v>
      </c>
      <c r="G247" s="536">
        <f t="shared" si="278"/>
        <v>0.02</v>
      </c>
      <c r="H247" s="536">
        <f t="shared" si="278"/>
        <v>0.02</v>
      </c>
      <c r="I247" s="2267">
        <f t="shared" si="278"/>
        <v>0.02</v>
      </c>
      <c r="J247" s="536">
        <f t="shared" si="278"/>
        <v>0.02</v>
      </c>
      <c r="K247" s="536"/>
      <c r="L247" s="536"/>
      <c r="M247" s="536"/>
      <c r="N247" s="536"/>
      <c r="O247" s="536"/>
      <c r="P247" s="536"/>
      <c r="Q247" s="536"/>
      <c r="R247" s="536"/>
      <c r="S247" s="536"/>
      <c r="T247" s="536"/>
      <c r="U247" s="536"/>
      <c r="V247" s="536"/>
      <c r="W247" s="536"/>
    </row>
    <row r="248" spans="1:23" hidden="1" outlineLevel="1">
      <c r="A248" s="776"/>
      <c r="B248" s="11"/>
      <c r="C248" s="11"/>
      <c r="D248" s="11"/>
      <c r="E248" s="11"/>
      <c r="F248" s="11"/>
      <c r="G248" s="11"/>
      <c r="H248" s="11"/>
      <c r="I248" s="1108"/>
      <c r="J248" s="11"/>
      <c r="K248" s="11"/>
      <c r="L248" s="11"/>
      <c r="M248" s="11"/>
      <c r="N248" s="11"/>
      <c r="O248" s="11"/>
      <c r="P248" s="11"/>
      <c r="Q248" s="11"/>
      <c r="R248" s="11"/>
      <c r="S248" s="11"/>
      <c r="T248" s="11"/>
      <c r="U248" s="11"/>
      <c r="V248" s="11"/>
      <c r="W248" s="11"/>
    </row>
    <row r="249" spans="1:23" hidden="1" outlineLevel="1">
      <c r="A249" s="776" t="s">
        <v>243</v>
      </c>
      <c r="B249" s="54"/>
      <c r="C249" s="54">
        <v>452.3</v>
      </c>
      <c r="D249" s="54">
        <v>434.5</v>
      </c>
      <c r="E249" s="54">
        <v>279.00000000000006</v>
      </c>
      <c r="F249" s="54">
        <v>93.4</v>
      </c>
      <c r="G249" s="54">
        <v>210.59999999999991</v>
      </c>
      <c r="H249" s="54">
        <v>334</v>
      </c>
      <c r="I249" s="1146">
        <v>324</v>
      </c>
      <c r="J249" s="54">
        <v>353</v>
      </c>
      <c r="K249" s="54"/>
      <c r="L249" s="54"/>
      <c r="M249" s="54"/>
      <c r="N249" s="54"/>
      <c r="O249" s="54"/>
      <c r="P249" s="54"/>
      <c r="Q249" s="54"/>
      <c r="R249" s="54"/>
      <c r="S249" s="54"/>
      <c r="T249" s="54"/>
      <c r="U249" s="54"/>
      <c r="V249" s="54"/>
      <c r="W249" s="54"/>
    </row>
    <row r="250" spans="1:23" hidden="1" outlineLevel="1">
      <c r="A250" s="776" t="s">
        <v>678</v>
      </c>
      <c r="B250" s="54"/>
      <c r="C250" s="54">
        <v>568</v>
      </c>
      <c r="D250" s="54">
        <v>620.9</v>
      </c>
      <c r="E250" s="54">
        <v>474.70000000000005</v>
      </c>
      <c r="F250" s="54">
        <v>184.4</v>
      </c>
      <c r="G250" s="54">
        <v>288.59999999999991</v>
      </c>
      <c r="H250" s="54">
        <v>380</v>
      </c>
      <c r="I250" s="1146">
        <v>378</v>
      </c>
      <c r="J250" s="54">
        <v>411</v>
      </c>
      <c r="K250" s="54"/>
      <c r="L250" s="54"/>
      <c r="M250" s="54"/>
      <c r="N250" s="54"/>
      <c r="O250" s="54"/>
      <c r="P250" s="54"/>
      <c r="Q250" s="54"/>
      <c r="R250" s="54"/>
      <c r="S250" s="54"/>
      <c r="T250" s="54"/>
      <c r="U250" s="54"/>
      <c r="V250" s="54"/>
      <c r="W250" s="54"/>
    </row>
    <row r="251" spans="1:23" hidden="1" outlineLevel="1">
      <c r="A251" s="776"/>
      <c r="B251" s="11"/>
      <c r="C251" s="11"/>
      <c r="D251" s="11"/>
      <c r="E251" s="11"/>
      <c r="F251" s="11"/>
      <c r="G251" s="11"/>
      <c r="H251" s="11"/>
      <c r="I251" s="1108"/>
      <c r="J251" s="11"/>
      <c r="K251" s="11"/>
      <c r="L251" s="11"/>
      <c r="M251" s="11"/>
      <c r="N251" s="11"/>
      <c r="O251" s="11"/>
      <c r="P251" s="11"/>
      <c r="Q251" s="11"/>
      <c r="R251" s="11"/>
      <c r="S251" s="11"/>
      <c r="T251" s="11"/>
      <c r="U251" s="11"/>
      <c r="V251" s="11"/>
      <c r="W251" s="11"/>
    </row>
    <row r="252" spans="1:23" hidden="1" outlineLevel="1">
      <c r="A252" s="1532" t="s">
        <v>1009</v>
      </c>
      <c r="B252" s="181">
        <v>0</v>
      </c>
      <c r="C252" s="181">
        <f t="shared" ref="C252:J252" si="279">+B252</f>
        <v>0</v>
      </c>
      <c r="D252" s="181">
        <f t="shared" si="279"/>
        <v>0</v>
      </c>
      <c r="E252" s="181">
        <f t="shared" si="279"/>
        <v>0</v>
      </c>
      <c r="F252" s="181">
        <f t="shared" si="279"/>
        <v>0</v>
      </c>
      <c r="G252" s="181">
        <f t="shared" si="279"/>
        <v>0</v>
      </c>
      <c r="H252" s="181">
        <f t="shared" si="279"/>
        <v>0</v>
      </c>
      <c r="I252" s="1683">
        <f t="shared" si="279"/>
        <v>0</v>
      </c>
      <c r="J252" s="181">
        <f t="shared" si="279"/>
        <v>0</v>
      </c>
      <c r="K252" s="181"/>
      <c r="L252" s="181"/>
      <c r="M252" s="181"/>
      <c r="N252" s="181"/>
      <c r="O252" s="181"/>
      <c r="P252" s="181"/>
      <c r="Q252" s="181"/>
      <c r="R252" s="181"/>
      <c r="S252" s="181"/>
      <c r="T252" s="181"/>
      <c r="U252" s="181"/>
      <c r="V252" s="181"/>
      <c r="W252" s="181"/>
    </row>
    <row r="253" spans="1:23" hidden="1" outlineLevel="1">
      <c r="A253" s="777" t="s">
        <v>54</v>
      </c>
      <c r="B253" s="181">
        <v>0</v>
      </c>
      <c r="C253" s="181">
        <f t="shared" ref="C253:J253" si="280">+B253</f>
        <v>0</v>
      </c>
      <c r="D253" s="181">
        <f t="shared" si="280"/>
        <v>0</v>
      </c>
      <c r="E253" s="181">
        <f t="shared" si="280"/>
        <v>0</v>
      </c>
      <c r="F253" s="181">
        <f t="shared" si="280"/>
        <v>0</v>
      </c>
      <c r="G253" s="181">
        <f t="shared" si="280"/>
        <v>0</v>
      </c>
      <c r="H253" s="181">
        <f t="shared" si="280"/>
        <v>0</v>
      </c>
      <c r="I253" s="1683">
        <f t="shared" si="280"/>
        <v>0</v>
      </c>
      <c r="J253" s="181">
        <f t="shared" si="280"/>
        <v>0</v>
      </c>
      <c r="K253" s="181"/>
      <c r="L253" s="181"/>
      <c r="M253" s="181"/>
      <c r="N253" s="181"/>
      <c r="O253" s="181"/>
      <c r="P253" s="181"/>
      <c r="Q253" s="181"/>
      <c r="R253" s="181"/>
      <c r="S253" s="181"/>
      <c r="T253" s="181"/>
      <c r="U253" s="181"/>
      <c r="V253" s="181"/>
      <c r="W253" s="181"/>
    </row>
    <row r="254" spans="1:23" hidden="1" outlineLevel="1">
      <c r="A254" s="777" t="s">
        <v>67</v>
      </c>
      <c r="B254" s="181">
        <v>0</v>
      </c>
      <c r="C254" s="537">
        <f t="shared" ref="C254:J254" si="281">+B254</f>
        <v>0</v>
      </c>
      <c r="D254" s="537">
        <f t="shared" si="281"/>
        <v>0</v>
      </c>
      <c r="E254" s="537">
        <f t="shared" si="281"/>
        <v>0</v>
      </c>
      <c r="F254" s="537">
        <f t="shared" si="281"/>
        <v>0</v>
      </c>
      <c r="G254" s="537">
        <f t="shared" si="281"/>
        <v>0</v>
      </c>
      <c r="H254" s="537">
        <f t="shared" si="281"/>
        <v>0</v>
      </c>
      <c r="I254" s="2057">
        <f t="shared" si="281"/>
        <v>0</v>
      </c>
      <c r="J254" s="537">
        <f t="shared" si="281"/>
        <v>0</v>
      </c>
      <c r="K254" s="537"/>
      <c r="L254" s="537"/>
      <c r="M254" s="537"/>
      <c r="N254" s="537"/>
      <c r="O254" s="537"/>
      <c r="P254" s="537"/>
      <c r="Q254" s="537"/>
      <c r="R254" s="537"/>
      <c r="S254" s="537"/>
      <c r="T254" s="537"/>
      <c r="U254" s="537"/>
      <c r="V254" s="537"/>
      <c r="W254" s="537"/>
    </row>
    <row r="255" spans="1:23" hidden="1" outlineLevel="1">
      <c r="A255" s="776" t="s">
        <v>56</v>
      </c>
      <c r="B255" s="181">
        <f t="shared" ref="B255:J255" si="282">+B252-B253-B254</f>
        <v>0</v>
      </c>
      <c r="C255" s="181">
        <f t="shared" si="282"/>
        <v>0</v>
      </c>
      <c r="D255" s="181">
        <f t="shared" si="282"/>
        <v>0</v>
      </c>
      <c r="E255" s="181">
        <f t="shared" si="282"/>
        <v>0</v>
      </c>
      <c r="F255" s="181">
        <f t="shared" si="282"/>
        <v>0</v>
      </c>
      <c r="G255" s="181">
        <f t="shared" si="282"/>
        <v>0</v>
      </c>
      <c r="H255" s="181">
        <f t="shared" si="282"/>
        <v>0</v>
      </c>
      <c r="I255" s="1683">
        <f t="shared" si="282"/>
        <v>0</v>
      </c>
      <c r="J255" s="181">
        <f t="shared" si="282"/>
        <v>0</v>
      </c>
      <c r="K255" s="181"/>
      <c r="L255" s="181"/>
      <c r="M255" s="181"/>
      <c r="N255" s="181"/>
      <c r="O255" s="181"/>
      <c r="P255" s="181"/>
      <c r="Q255" s="181"/>
      <c r="R255" s="181"/>
      <c r="S255" s="181"/>
      <c r="T255" s="181"/>
      <c r="U255" s="181"/>
      <c r="V255" s="181"/>
      <c r="W255" s="181"/>
    </row>
    <row r="256" spans="1:23" hidden="1" outlineLevel="1">
      <c r="A256" s="777" t="s">
        <v>57</v>
      </c>
      <c r="B256" s="181">
        <f t="shared" ref="B256:J256" ca="1" si="283">1/(B246-B247)</f>
        <v>15.647498238078175</v>
      </c>
      <c r="C256" s="181">
        <f t="shared" ca="1" si="283"/>
        <v>15.647498238078175</v>
      </c>
      <c r="D256" s="181">
        <f t="shared" ca="1" si="283"/>
        <v>15.647498238078175</v>
      </c>
      <c r="E256" s="181">
        <f t="shared" ca="1" si="283"/>
        <v>15.647498238078175</v>
      </c>
      <c r="F256" s="181">
        <f t="shared" ca="1" si="283"/>
        <v>15.647498238078175</v>
      </c>
      <c r="G256" s="181">
        <f t="shared" ca="1" si="283"/>
        <v>15.647498238078175</v>
      </c>
      <c r="H256" s="181">
        <f t="shared" ca="1" si="283"/>
        <v>15.647498238078175</v>
      </c>
      <c r="I256" s="1683">
        <f t="shared" ca="1" si="283"/>
        <v>15.647498238078175</v>
      </c>
      <c r="J256" s="181">
        <f t="shared" ca="1" si="283"/>
        <v>15.647498238078175</v>
      </c>
      <c r="K256" s="181"/>
      <c r="L256" s="181"/>
      <c r="M256" s="181"/>
      <c r="N256" s="181"/>
      <c r="O256" s="181"/>
      <c r="P256" s="181"/>
      <c r="Q256" s="181"/>
      <c r="R256" s="181"/>
      <c r="S256" s="181"/>
      <c r="T256" s="181"/>
      <c r="U256" s="181"/>
      <c r="V256" s="181"/>
      <c r="W256" s="181"/>
    </row>
    <row r="257" spans="1:26" hidden="1" outlineLevel="1">
      <c r="A257" s="777" t="s">
        <v>58</v>
      </c>
      <c r="B257" s="181"/>
      <c r="C257" s="181"/>
      <c r="D257" s="181"/>
      <c r="E257" s="181"/>
      <c r="F257" s="181"/>
      <c r="G257" s="181"/>
      <c r="H257" s="181"/>
      <c r="I257" s="1683"/>
      <c r="J257" s="181"/>
      <c r="K257" s="181"/>
      <c r="L257" s="181"/>
      <c r="M257" s="181"/>
      <c r="N257" s="181"/>
      <c r="O257" s="181"/>
      <c r="P257" s="181"/>
      <c r="Q257" s="181"/>
      <c r="R257" s="181"/>
      <c r="S257" s="181"/>
      <c r="T257" s="181"/>
      <c r="U257" s="181"/>
      <c r="V257" s="181"/>
      <c r="W257" s="181"/>
    </row>
    <row r="258" spans="1:26" hidden="1" outlineLevel="1">
      <c r="A258" s="776" t="s">
        <v>59</v>
      </c>
      <c r="B258" s="181">
        <f ca="1">B256*B255</f>
        <v>0</v>
      </c>
      <c r="C258" s="181">
        <f t="shared" ref="C258:J258" ca="1" si="284">C256*C255</f>
        <v>0</v>
      </c>
      <c r="D258" s="181">
        <f t="shared" ca="1" si="284"/>
        <v>0</v>
      </c>
      <c r="E258" s="181">
        <f t="shared" ca="1" si="284"/>
        <v>0</v>
      </c>
      <c r="F258" s="181">
        <f t="shared" ca="1" si="284"/>
        <v>0</v>
      </c>
      <c r="G258" s="181">
        <f t="shared" ca="1" si="284"/>
        <v>0</v>
      </c>
      <c r="H258" s="181">
        <f t="shared" ca="1" si="284"/>
        <v>0</v>
      </c>
      <c r="I258" s="1683">
        <f t="shared" ca="1" si="284"/>
        <v>0</v>
      </c>
      <c r="J258" s="181">
        <f t="shared" ca="1" si="284"/>
        <v>0</v>
      </c>
      <c r="K258" s="181"/>
      <c r="L258" s="181"/>
      <c r="M258" s="181"/>
      <c r="N258" s="181"/>
      <c r="O258" s="181"/>
      <c r="P258" s="181"/>
      <c r="Q258" s="181"/>
      <c r="R258" s="181"/>
      <c r="S258" s="181"/>
      <c r="T258" s="181"/>
      <c r="U258" s="181"/>
      <c r="V258" s="181"/>
      <c r="W258" s="181"/>
    </row>
    <row r="259" spans="1:26" hidden="1" outlineLevel="1">
      <c r="A259" s="776" t="s">
        <v>60</v>
      </c>
      <c r="B259" s="181">
        <f ca="1">B258/((1+B246)^B265)</f>
        <v>0</v>
      </c>
      <c r="C259" s="181">
        <f t="shared" ref="C259:J259" ca="1" si="285">C258/((1+C246)^C265)</f>
        <v>0</v>
      </c>
      <c r="D259" s="181">
        <f t="shared" ca="1" si="285"/>
        <v>0</v>
      </c>
      <c r="E259" s="181">
        <f t="shared" ca="1" si="285"/>
        <v>0</v>
      </c>
      <c r="F259" s="181">
        <f t="shared" ca="1" si="285"/>
        <v>0</v>
      </c>
      <c r="G259" s="181">
        <f t="shared" ca="1" si="285"/>
        <v>0</v>
      </c>
      <c r="H259" s="181">
        <f t="shared" ca="1" si="285"/>
        <v>0</v>
      </c>
      <c r="I259" s="1683">
        <f t="shared" ca="1" si="285"/>
        <v>0</v>
      </c>
      <c r="J259" s="181">
        <f t="shared" ca="1" si="285"/>
        <v>0</v>
      </c>
      <c r="K259" s="181"/>
      <c r="L259" s="181"/>
      <c r="M259" s="181"/>
      <c r="N259" s="181"/>
      <c r="O259" s="181"/>
      <c r="P259" s="181"/>
      <c r="Q259" s="181"/>
      <c r="R259" s="181"/>
      <c r="S259" s="181"/>
      <c r="T259" s="181"/>
      <c r="U259" s="181"/>
      <c r="V259" s="181"/>
      <c r="W259" s="181"/>
    </row>
    <row r="260" spans="1:26" hidden="1" outlineLevel="1">
      <c r="A260" s="776" t="s">
        <v>63</v>
      </c>
      <c r="B260" s="173">
        <f ca="1">NPV(B246,C249:$U249)</f>
        <v>1790.2216662251149</v>
      </c>
      <c r="C260" s="173">
        <f ca="1">NPV(C246,D249:$U249)</f>
        <v>1488.1355494812753</v>
      </c>
      <c r="D260" s="173">
        <f ca="1">NPV(D246,E249:$U249)</f>
        <v>1178.5019969813095</v>
      </c>
      <c r="E260" s="173">
        <f ca="1">NPV(E246,F249:$U249)</f>
        <v>998.3877186388878</v>
      </c>
      <c r="F260" s="173">
        <f ca="1">NPV(F246,G249:$U249)</f>
        <v>988.76041508280798</v>
      </c>
      <c r="G260" s="173">
        <f ca="1">NPV(G246,H249:$U249)</f>
        <v>861.12530393522877</v>
      </c>
      <c r="H260" s="173">
        <f ca="1">NPV(H246,I249:$U249)</f>
        <v>599.38058847047159</v>
      </c>
      <c r="I260" s="1709">
        <f ca="1">NPV(I246,J249:$U249)</f>
        <v>325.67340272981517</v>
      </c>
      <c r="J260" s="173">
        <f ca="1">NPV(J246,K249:$U249)</f>
        <v>0</v>
      </c>
      <c r="K260" s="173"/>
      <c r="L260" s="173"/>
      <c r="M260" s="173"/>
      <c r="N260" s="173"/>
      <c r="O260" s="173"/>
      <c r="P260" s="173"/>
      <c r="Q260" s="173"/>
      <c r="R260" s="173"/>
      <c r="S260" s="173"/>
      <c r="T260" s="173"/>
      <c r="U260" s="771"/>
      <c r="V260" s="771"/>
      <c r="W260" s="771"/>
      <c r="Y260" s="1396"/>
      <c r="Z260" s="1396"/>
    </row>
    <row r="261" spans="1:26" hidden="1" outlineLevel="1">
      <c r="A261" s="776"/>
      <c r="B261" s="539" t="s">
        <v>337</v>
      </c>
      <c r="C261" s="539"/>
      <c r="D261" s="539"/>
      <c r="E261" s="539"/>
      <c r="F261" s="539"/>
      <c r="G261" s="539"/>
      <c r="H261" s="539"/>
      <c r="I261" s="2268"/>
      <c r="J261" s="539"/>
      <c r="K261" s="539"/>
      <c r="L261" s="539"/>
      <c r="M261" s="539"/>
      <c r="N261" s="539"/>
      <c r="O261" s="539"/>
      <c r="P261" s="539"/>
      <c r="Q261" s="539"/>
      <c r="R261" s="539"/>
      <c r="S261" s="539"/>
      <c r="T261" s="539"/>
      <c r="U261" s="539"/>
      <c r="V261" s="539"/>
      <c r="W261" s="539"/>
    </row>
    <row r="262" spans="1:26" hidden="1" outlineLevel="1">
      <c r="A262" s="776" t="s">
        <v>64</v>
      </c>
      <c r="B262" s="540">
        <f ca="1">B260+B259</f>
        <v>1790.2216662251149</v>
      </c>
      <c r="C262" s="540">
        <f ca="1">C260+C259</f>
        <v>1488.1355494812753</v>
      </c>
      <c r="D262" s="540">
        <f t="shared" ref="D262:J262" ca="1" si="286">D260+D259</f>
        <v>1178.5019969813095</v>
      </c>
      <c r="E262" s="540">
        <f t="shared" ca="1" si="286"/>
        <v>998.3877186388878</v>
      </c>
      <c r="F262" s="540">
        <f t="shared" ca="1" si="286"/>
        <v>988.76041508280798</v>
      </c>
      <c r="G262" s="540">
        <f t="shared" ca="1" si="286"/>
        <v>861.12530393522877</v>
      </c>
      <c r="H262" s="540">
        <f t="shared" ca="1" si="286"/>
        <v>599.38058847047159</v>
      </c>
      <c r="I262" s="2269">
        <f t="shared" ca="1" si="286"/>
        <v>325.67340272981517</v>
      </c>
      <c r="J262" s="540">
        <f t="shared" ca="1" si="286"/>
        <v>0</v>
      </c>
      <c r="K262" s="540"/>
      <c r="L262" s="540"/>
      <c r="M262" s="540"/>
      <c r="N262" s="540"/>
      <c r="O262" s="540"/>
      <c r="P262" s="540"/>
      <c r="Q262" s="540"/>
      <c r="R262" s="540"/>
      <c r="S262" s="540"/>
      <c r="T262" s="540"/>
      <c r="U262" s="540"/>
      <c r="V262" s="540"/>
      <c r="W262" s="540"/>
    </row>
    <row r="263" spans="1:26" hidden="1" outlineLevel="1">
      <c r="A263" s="777" t="s">
        <v>72</v>
      </c>
      <c r="B263" s="541"/>
      <c r="C263" s="541">
        <f t="shared" ref="C263:J263" ca="1" si="287">C262/C250</f>
        <v>2.6199569533121045</v>
      </c>
      <c r="D263" s="541">
        <f t="shared" ca="1" si="287"/>
        <v>1.8980544322456265</v>
      </c>
      <c r="E263" s="541">
        <f t="shared" ca="1" si="287"/>
        <v>2.1031972164290873</v>
      </c>
      <c r="F263" s="541">
        <f t="shared" ca="1" si="287"/>
        <v>5.3620412965445112</v>
      </c>
      <c r="G263" s="541">
        <f t="shared" ca="1" si="287"/>
        <v>2.9838021619377306</v>
      </c>
      <c r="H263" s="541">
        <f t="shared" ca="1" si="287"/>
        <v>1.5773173380801884</v>
      </c>
      <c r="I263" s="2270">
        <f t="shared" ca="1" si="287"/>
        <v>0.86156984849157447</v>
      </c>
      <c r="J263" s="541">
        <f t="shared" ca="1" si="287"/>
        <v>0</v>
      </c>
      <c r="K263" s="541"/>
      <c r="L263" s="541"/>
      <c r="M263" s="541"/>
      <c r="N263" s="541"/>
      <c r="O263" s="541"/>
      <c r="P263" s="541"/>
      <c r="Q263" s="541"/>
      <c r="R263" s="541"/>
      <c r="S263" s="541"/>
      <c r="T263" s="541"/>
      <c r="U263" s="541"/>
      <c r="V263" s="541"/>
      <c r="W263" s="541"/>
    </row>
    <row r="264" spans="1:26" hidden="1" outlineLevel="1">
      <c r="A264" s="777" t="s">
        <v>73</v>
      </c>
      <c r="B264" s="541">
        <f ca="1">B262/C250</f>
        <v>3.1517987081428078</v>
      </c>
      <c r="C264" s="541">
        <f t="shared" ref="C264:I264" ca="1" si="288">C262/D250</f>
        <v>2.3967394902259227</v>
      </c>
      <c r="D264" s="541">
        <f t="shared" ca="1" si="288"/>
        <v>2.4826248093139021</v>
      </c>
      <c r="E264" s="541">
        <f t="shared" ca="1" si="288"/>
        <v>5.4142501010785669</v>
      </c>
      <c r="F264" s="541">
        <f t="shared" ca="1" si="288"/>
        <v>3.4260582643201949</v>
      </c>
      <c r="G264" s="541">
        <f t="shared" ca="1" si="288"/>
        <v>2.2661192208821808</v>
      </c>
      <c r="H264" s="541">
        <f t="shared" ca="1" si="288"/>
        <v>1.585662932461565</v>
      </c>
      <c r="I264" s="2270">
        <f t="shared" ca="1" si="288"/>
        <v>0.79239270737181311</v>
      </c>
      <c r="J264" s="541"/>
      <c r="K264" s="541"/>
      <c r="L264" s="541"/>
      <c r="M264" s="541"/>
      <c r="N264" s="541"/>
      <c r="O264" s="541"/>
      <c r="P264" s="541"/>
      <c r="Q264" s="541"/>
      <c r="R264" s="541"/>
      <c r="S264" s="541"/>
      <c r="T264" s="541"/>
      <c r="U264" s="541"/>
      <c r="V264" s="541"/>
      <c r="W264" s="541"/>
    </row>
    <row r="265" spans="1:26" hidden="1" outlineLevel="1">
      <c r="A265" s="778" t="s">
        <v>61</v>
      </c>
      <c r="B265" s="11">
        <f t="shared" ref="B265:Q265" si="289">+C265+1</f>
        <v>22</v>
      </c>
      <c r="C265" s="11">
        <f t="shared" si="289"/>
        <v>21</v>
      </c>
      <c r="D265" s="11">
        <f t="shared" si="289"/>
        <v>20</v>
      </c>
      <c r="E265" s="11">
        <f t="shared" si="289"/>
        <v>19</v>
      </c>
      <c r="F265" s="11">
        <f t="shared" si="289"/>
        <v>18</v>
      </c>
      <c r="G265" s="11">
        <f t="shared" si="289"/>
        <v>17</v>
      </c>
      <c r="H265" s="11">
        <f t="shared" si="289"/>
        <v>16</v>
      </c>
      <c r="I265" s="1108">
        <f t="shared" si="289"/>
        <v>15</v>
      </c>
      <c r="J265" s="11">
        <f t="shared" si="289"/>
        <v>14</v>
      </c>
      <c r="K265" s="11">
        <f t="shared" si="289"/>
        <v>13</v>
      </c>
      <c r="L265" s="11">
        <f t="shared" si="289"/>
        <v>12</v>
      </c>
      <c r="M265" s="11">
        <f t="shared" si="289"/>
        <v>11</v>
      </c>
      <c r="N265" s="11">
        <f t="shared" si="289"/>
        <v>10</v>
      </c>
      <c r="O265" s="11">
        <f t="shared" si="289"/>
        <v>9</v>
      </c>
      <c r="P265" s="11">
        <f t="shared" si="289"/>
        <v>8</v>
      </c>
      <c r="Q265" s="11">
        <f t="shared" si="289"/>
        <v>7</v>
      </c>
      <c r="R265" s="11">
        <f t="shared" ref="R265:W265" si="290">+S265+1</f>
        <v>6</v>
      </c>
      <c r="S265" s="11">
        <f t="shared" si="290"/>
        <v>5</v>
      </c>
      <c r="T265" s="11">
        <f t="shared" si="290"/>
        <v>4</v>
      </c>
      <c r="U265" s="11">
        <f t="shared" si="290"/>
        <v>3</v>
      </c>
      <c r="V265" s="11">
        <f t="shared" si="290"/>
        <v>2</v>
      </c>
      <c r="W265" s="11">
        <f t="shared" si="290"/>
        <v>1</v>
      </c>
      <c r="X265" s="469">
        <v>0</v>
      </c>
      <c r="Y265" s="1396"/>
      <c r="Z265" s="1396"/>
    </row>
    <row r="266" spans="1:26" hidden="1" outlineLevel="1">
      <c r="A266" s="304"/>
      <c r="B266" s="304"/>
      <c r="C266" s="304"/>
      <c r="D266" s="304"/>
      <c r="E266" s="304"/>
      <c r="F266" s="304"/>
      <c r="G266" s="304"/>
      <c r="H266" s="304"/>
      <c r="I266" s="1710"/>
      <c r="J266" s="304"/>
      <c r="K266" s="304"/>
      <c r="L266" s="304"/>
      <c r="M266" s="304"/>
      <c r="N266" s="304"/>
      <c r="O266" s="304"/>
      <c r="P266" s="304"/>
      <c r="Q266" s="304"/>
      <c r="R266" s="304"/>
      <c r="S266" s="304"/>
      <c r="T266" s="304"/>
      <c r="U266" s="304"/>
      <c r="V266" s="304"/>
      <c r="W266" s="304"/>
    </row>
    <row r="267" spans="1:26" collapsed="1">
      <c r="A267" s="304"/>
      <c r="B267" s="304"/>
      <c r="C267" s="304"/>
      <c r="D267" s="304"/>
      <c r="E267" s="304"/>
      <c r="F267" s="304"/>
      <c r="G267" s="304"/>
      <c r="H267" s="304"/>
      <c r="I267" s="1710"/>
      <c r="J267" s="304"/>
      <c r="K267" s="304"/>
      <c r="L267" s="304"/>
      <c r="M267" s="304"/>
      <c r="N267" s="304"/>
      <c r="O267" s="304"/>
      <c r="P267" s="3343"/>
      <c r="Q267" s="3343"/>
      <c r="R267" s="3343"/>
      <c r="S267" s="3343"/>
      <c r="T267" s="3343"/>
      <c r="U267" s="3343"/>
      <c r="V267" s="3343"/>
      <c r="W267" s="3343"/>
      <c r="X267" s="2807"/>
      <c r="Y267" s="2807"/>
      <c r="Z267" s="2807"/>
    </row>
    <row r="268" spans="1:26">
      <c r="A268" s="1266" t="s">
        <v>668</v>
      </c>
      <c r="B268" s="1267"/>
      <c r="C268" s="1268"/>
      <c r="D268" s="1268"/>
      <c r="E268" s="1269"/>
      <c r="F268" s="1269"/>
      <c r="G268" s="1269"/>
      <c r="H268" s="1269"/>
      <c r="I268" s="2582"/>
      <c r="J268" s="1269"/>
      <c r="K268" s="1269"/>
      <c r="L268" s="1269"/>
      <c r="M268" s="1269"/>
      <c r="N268" s="1269"/>
      <c r="O268" s="1269"/>
      <c r="P268" s="3347"/>
      <c r="Q268" s="3347"/>
      <c r="R268" s="3347"/>
      <c r="S268" s="3347"/>
      <c r="T268" s="3347"/>
      <c r="U268" s="3347"/>
      <c r="V268" s="3347"/>
      <c r="W268" s="3347"/>
      <c r="X268" s="3347"/>
      <c r="Y268" s="3347"/>
      <c r="Z268" s="2807"/>
    </row>
    <row r="269" spans="1:26">
      <c r="A269" s="1270"/>
      <c r="B269" s="1271">
        <v>2005</v>
      </c>
      <c r="C269" s="1271">
        <f>B269+1</f>
        <v>2006</v>
      </c>
      <c r="D269" s="1271">
        <f t="shared" ref="D269:N269" si="291">C269+1</f>
        <v>2007</v>
      </c>
      <c r="E269" s="1271">
        <f t="shared" si="291"/>
        <v>2008</v>
      </c>
      <c r="F269" s="1271">
        <f t="shared" si="291"/>
        <v>2009</v>
      </c>
      <c r="G269" s="1271">
        <f t="shared" si="291"/>
        <v>2010</v>
      </c>
      <c r="H269" s="1271">
        <f t="shared" si="291"/>
        <v>2011</v>
      </c>
      <c r="I269" s="2674">
        <f t="shared" si="291"/>
        <v>2012</v>
      </c>
      <c r="J269" s="1271">
        <f t="shared" si="291"/>
        <v>2013</v>
      </c>
      <c r="K269" s="1271">
        <f t="shared" si="291"/>
        <v>2014</v>
      </c>
      <c r="L269" s="1271">
        <f t="shared" si="291"/>
        <v>2015</v>
      </c>
      <c r="M269" s="1271">
        <f t="shared" si="291"/>
        <v>2016</v>
      </c>
      <c r="N269" s="1271">
        <f t="shared" si="291"/>
        <v>2017</v>
      </c>
      <c r="O269" s="1271">
        <f t="shared" ref="O269:Y269" si="292">N269+1</f>
        <v>2018</v>
      </c>
      <c r="P269" s="3348">
        <f t="shared" si="292"/>
        <v>2019</v>
      </c>
      <c r="Q269" s="3348">
        <f t="shared" si="292"/>
        <v>2020</v>
      </c>
      <c r="R269" s="3348">
        <f t="shared" si="292"/>
        <v>2021</v>
      </c>
      <c r="S269" s="3348">
        <f t="shared" si="292"/>
        <v>2022</v>
      </c>
      <c r="T269" s="3348">
        <f t="shared" si="292"/>
        <v>2023</v>
      </c>
      <c r="U269" s="3348">
        <f t="shared" si="292"/>
        <v>2024</v>
      </c>
      <c r="V269" s="3348">
        <f t="shared" si="292"/>
        <v>2025</v>
      </c>
      <c r="W269" s="3348">
        <f t="shared" si="292"/>
        <v>2026</v>
      </c>
      <c r="X269" s="3348">
        <f t="shared" si="292"/>
        <v>2027</v>
      </c>
      <c r="Y269" s="3348">
        <f t="shared" si="292"/>
        <v>2028</v>
      </c>
      <c r="Z269" s="2807"/>
    </row>
    <row r="270" spans="1:26">
      <c r="A270" s="9" t="s">
        <v>65</v>
      </c>
      <c r="B270" s="11"/>
      <c r="C270" s="11" t="s">
        <v>337</v>
      </c>
      <c r="D270" s="11"/>
      <c r="E270" s="11"/>
      <c r="F270" s="11"/>
      <c r="G270" s="11"/>
      <c r="H270" s="11"/>
      <c r="I270" s="1108"/>
      <c r="J270" s="11"/>
      <c r="K270" s="11"/>
      <c r="L270" s="11"/>
      <c r="M270" s="11"/>
      <c r="N270" s="11"/>
      <c r="O270" s="11"/>
      <c r="P270" s="11"/>
      <c r="Q270" s="11"/>
      <c r="R270" s="11"/>
      <c r="S270" s="11"/>
      <c r="T270" s="11"/>
      <c r="U270" s="11"/>
      <c r="V270" s="11"/>
      <c r="W270" s="11"/>
      <c r="X270" s="11"/>
      <c r="Y270" s="11"/>
    </row>
    <row r="271" spans="1:26">
      <c r="A271" s="776" t="s">
        <v>246</v>
      </c>
      <c r="B271" s="775">
        <f ca="1">B52</f>
        <v>4.6359932385549224E-2</v>
      </c>
      <c r="C271" s="536">
        <f t="shared" ref="C271:N271" ca="1" si="293">+B271</f>
        <v>4.6359932385549224E-2</v>
      </c>
      <c r="D271" s="536">
        <f t="shared" ca="1" si="293"/>
        <v>4.6359932385549224E-2</v>
      </c>
      <c r="E271" s="536">
        <f t="shared" ca="1" si="293"/>
        <v>4.6359932385549224E-2</v>
      </c>
      <c r="F271" s="536">
        <f t="shared" ca="1" si="293"/>
        <v>4.6359932385549224E-2</v>
      </c>
      <c r="G271" s="536">
        <f t="shared" ca="1" si="293"/>
        <v>4.6359932385549224E-2</v>
      </c>
      <c r="H271" s="536">
        <f t="shared" ca="1" si="293"/>
        <v>4.6359932385549224E-2</v>
      </c>
      <c r="I271" s="2267">
        <f t="shared" ca="1" si="293"/>
        <v>4.6359932385549224E-2</v>
      </c>
      <c r="J271" s="536">
        <f t="shared" ca="1" si="293"/>
        <v>4.6359932385549224E-2</v>
      </c>
      <c r="K271" s="536">
        <f t="shared" ca="1" si="293"/>
        <v>4.6359932385549224E-2</v>
      </c>
      <c r="L271" s="536">
        <f t="shared" ca="1" si="293"/>
        <v>4.6359932385549224E-2</v>
      </c>
      <c r="M271" s="536">
        <f t="shared" ca="1" si="293"/>
        <v>4.6359932385549224E-2</v>
      </c>
      <c r="N271" s="536">
        <f t="shared" ca="1" si="293"/>
        <v>4.6359932385549224E-2</v>
      </c>
      <c r="O271" s="536">
        <f t="shared" ref="O271:S274" ca="1" si="294">+N271</f>
        <v>4.6359932385549224E-2</v>
      </c>
      <c r="P271" s="536">
        <f t="shared" ca="1" si="294"/>
        <v>4.6359932385549224E-2</v>
      </c>
      <c r="Q271" s="536">
        <f t="shared" ca="1" si="294"/>
        <v>4.6359932385549224E-2</v>
      </c>
      <c r="R271" s="536">
        <f t="shared" ca="1" si="294"/>
        <v>4.6359932385549224E-2</v>
      </c>
      <c r="S271" s="536">
        <f t="shared" ca="1" si="294"/>
        <v>4.6359932385549224E-2</v>
      </c>
      <c r="T271" s="536">
        <f t="shared" ref="T271:Y274" ca="1" si="295">+S271</f>
        <v>4.6359932385549224E-2</v>
      </c>
      <c r="U271" s="536">
        <f t="shared" ca="1" si="295"/>
        <v>4.6359932385549224E-2</v>
      </c>
      <c r="V271" s="536">
        <f t="shared" ca="1" si="295"/>
        <v>4.6359932385549224E-2</v>
      </c>
      <c r="W271" s="536">
        <f t="shared" ca="1" si="295"/>
        <v>4.6359932385549224E-2</v>
      </c>
      <c r="X271" s="536">
        <f t="shared" ca="1" si="295"/>
        <v>4.6359932385549224E-2</v>
      </c>
      <c r="Y271" s="536">
        <f t="shared" ca="1" si="295"/>
        <v>4.6359932385549224E-2</v>
      </c>
    </row>
    <row r="272" spans="1:26">
      <c r="A272" s="776" t="s">
        <v>247</v>
      </c>
      <c r="B272" s="775">
        <f>B53</f>
        <v>0.1</v>
      </c>
      <c r="C272" s="536">
        <f t="shared" ref="C272:N272" si="296">+B272</f>
        <v>0.1</v>
      </c>
      <c r="D272" s="536">
        <f t="shared" si="296"/>
        <v>0.1</v>
      </c>
      <c r="E272" s="536">
        <f t="shared" si="296"/>
        <v>0.1</v>
      </c>
      <c r="F272" s="536">
        <f t="shared" si="296"/>
        <v>0.1</v>
      </c>
      <c r="G272" s="536">
        <f t="shared" si="296"/>
        <v>0.1</v>
      </c>
      <c r="H272" s="536">
        <f t="shared" si="296"/>
        <v>0.1</v>
      </c>
      <c r="I272" s="2267">
        <f t="shared" si="296"/>
        <v>0.1</v>
      </c>
      <c r="J272" s="536">
        <f t="shared" si="296"/>
        <v>0.1</v>
      </c>
      <c r="K272" s="536">
        <f t="shared" si="296"/>
        <v>0.1</v>
      </c>
      <c r="L272" s="536">
        <f t="shared" si="296"/>
        <v>0.1</v>
      </c>
      <c r="M272" s="536">
        <f t="shared" si="296"/>
        <v>0.1</v>
      </c>
      <c r="N272" s="536">
        <f t="shared" si="296"/>
        <v>0.1</v>
      </c>
      <c r="O272" s="536">
        <f t="shared" si="294"/>
        <v>0.1</v>
      </c>
      <c r="P272" s="536">
        <f t="shared" si="294"/>
        <v>0.1</v>
      </c>
      <c r="Q272" s="536">
        <f t="shared" si="294"/>
        <v>0.1</v>
      </c>
      <c r="R272" s="536">
        <f t="shared" si="294"/>
        <v>0.1</v>
      </c>
      <c r="S272" s="536">
        <f t="shared" si="294"/>
        <v>0.1</v>
      </c>
      <c r="T272" s="536">
        <f t="shared" si="295"/>
        <v>0.1</v>
      </c>
      <c r="U272" s="536">
        <f t="shared" si="295"/>
        <v>0.1</v>
      </c>
      <c r="V272" s="536">
        <f t="shared" si="295"/>
        <v>0.1</v>
      </c>
      <c r="W272" s="536">
        <f t="shared" si="295"/>
        <v>0.1</v>
      </c>
      <c r="X272" s="536">
        <f t="shared" si="295"/>
        <v>0.1</v>
      </c>
      <c r="Y272" s="536">
        <f t="shared" si="295"/>
        <v>0.1</v>
      </c>
    </row>
    <row r="273" spans="1:25">
      <c r="A273" s="776" t="s">
        <v>248</v>
      </c>
      <c r="B273" s="775">
        <f>B54</f>
        <v>0.3</v>
      </c>
      <c r="C273" s="536">
        <f t="shared" ref="C273:N273" si="297">+B273</f>
        <v>0.3</v>
      </c>
      <c r="D273" s="536">
        <f t="shared" si="297"/>
        <v>0.3</v>
      </c>
      <c r="E273" s="536">
        <f t="shared" si="297"/>
        <v>0.3</v>
      </c>
      <c r="F273" s="536">
        <f t="shared" si="297"/>
        <v>0.3</v>
      </c>
      <c r="G273" s="536">
        <f t="shared" si="297"/>
        <v>0.3</v>
      </c>
      <c r="H273" s="536">
        <f t="shared" si="297"/>
        <v>0.3</v>
      </c>
      <c r="I273" s="2267">
        <f t="shared" si="297"/>
        <v>0.3</v>
      </c>
      <c r="J273" s="536">
        <f t="shared" si="297"/>
        <v>0.3</v>
      </c>
      <c r="K273" s="536">
        <f t="shared" si="297"/>
        <v>0.3</v>
      </c>
      <c r="L273" s="536">
        <f t="shared" si="297"/>
        <v>0.3</v>
      </c>
      <c r="M273" s="536">
        <f t="shared" si="297"/>
        <v>0.3</v>
      </c>
      <c r="N273" s="536">
        <f t="shared" si="297"/>
        <v>0.3</v>
      </c>
      <c r="O273" s="536">
        <f t="shared" si="294"/>
        <v>0.3</v>
      </c>
      <c r="P273" s="536">
        <f t="shared" si="294"/>
        <v>0.3</v>
      </c>
      <c r="Q273" s="536">
        <f t="shared" si="294"/>
        <v>0.3</v>
      </c>
      <c r="R273" s="536">
        <f t="shared" si="294"/>
        <v>0.3</v>
      </c>
      <c r="S273" s="536">
        <f t="shared" si="294"/>
        <v>0.3</v>
      </c>
      <c r="T273" s="536">
        <f t="shared" si="295"/>
        <v>0.3</v>
      </c>
      <c r="U273" s="536">
        <f t="shared" si="295"/>
        <v>0.3</v>
      </c>
      <c r="V273" s="536">
        <f t="shared" si="295"/>
        <v>0.3</v>
      </c>
      <c r="W273" s="536">
        <f t="shared" si="295"/>
        <v>0.3</v>
      </c>
      <c r="X273" s="536">
        <f t="shared" si="295"/>
        <v>0.3</v>
      </c>
      <c r="Y273" s="536">
        <f t="shared" si="295"/>
        <v>0.3</v>
      </c>
    </row>
    <row r="274" spans="1:25">
      <c r="A274" s="776" t="s">
        <v>249</v>
      </c>
      <c r="B274" s="775">
        <f>B55</f>
        <v>0.245</v>
      </c>
      <c r="C274" s="536">
        <f t="shared" ref="C274:N274" si="298">+B274</f>
        <v>0.245</v>
      </c>
      <c r="D274" s="536">
        <f t="shared" si="298"/>
        <v>0.245</v>
      </c>
      <c r="E274" s="536">
        <f t="shared" si="298"/>
        <v>0.245</v>
      </c>
      <c r="F274" s="536">
        <f t="shared" si="298"/>
        <v>0.245</v>
      </c>
      <c r="G274" s="536">
        <f t="shared" si="298"/>
        <v>0.245</v>
      </c>
      <c r="H274" s="536">
        <f t="shared" si="298"/>
        <v>0.245</v>
      </c>
      <c r="I274" s="2267">
        <f t="shared" si="298"/>
        <v>0.245</v>
      </c>
      <c r="J274" s="536">
        <f t="shared" si="298"/>
        <v>0.245</v>
      </c>
      <c r="K274" s="536">
        <f t="shared" si="298"/>
        <v>0.245</v>
      </c>
      <c r="L274" s="536">
        <f t="shared" si="298"/>
        <v>0.245</v>
      </c>
      <c r="M274" s="536">
        <f t="shared" si="298"/>
        <v>0.245</v>
      </c>
      <c r="N274" s="536">
        <f t="shared" si="298"/>
        <v>0.245</v>
      </c>
      <c r="O274" s="536">
        <f t="shared" si="294"/>
        <v>0.245</v>
      </c>
      <c r="P274" s="536">
        <f t="shared" si="294"/>
        <v>0.245</v>
      </c>
      <c r="Q274" s="536">
        <f t="shared" si="294"/>
        <v>0.245</v>
      </c>
      <c r="R274" s="536">
        <f t="shared" si="294"/>
        <v>0.245</v>
      </c>
      <c r="S274" s="536">
        <f t="shared" si="294"/>
        <v>0.245</v>
      </c>
      <c r="T274" s="536">
        <f t="shared" si="295"/>
        <v>0.245</v>
      </c>
      <c r="U274" s="536">
        <f t="shared" si="295"/>
        <v>0.245</v>
      </c>
      <c r="V274" s="536">
        <f t="shared" si="295"/>
        <v>0.245</v>
      </c>
      <c r="W274" s="536">
        <f t="shared" si="295"/>
        <v>0.245</v>
      </c>
      <c r="X274" s="536">
        <f t="shared" si="295"/>
        <v>0.245</v>
      </c>
      <c r="Y274" s="536">
        <f t="shared" si="295"/>
        <v>0.245</v>
      </c>
    </row>
    <row r="275" spans="1:25">
      <c r="A275" s="776" t="s">
        <v>250</v>
      </c>
      <c r="B275" s="536">
        <f ca="1">((B271*(1-B274)*B273))+(B272*(1-B273))</f>
        <v>8.0500524685326896E-2</v>
      </c>
      <c r="C275" s="536">
        <f t="shared" ref="C275:O275" ca="1" si="299">((C271*(1-C274)*C273))+(C272*(1-C273))</f>
        <v>8.0500524685326896E-2</v>
      </c>
      <c r="D275" s="536">
        <f t="shared" ca="1" si="299"/>
        <v>8.0500524685326896E-2</v>
      </c>
      <c r="E275" s="536">
        <f t="shared" ca="1" si="299"/>
        <v>8.0500524685326896E-2</v>
      </c>
      <c r="F275" s="536">
        <f t="shared" ca="1" si="299"/>
        <v>8.0500524685326896E-2</v>
      </c>
      <c r="G275" s="536">
        <f t="shared" ca="1" si="299"/>
        <v>8.0500524685326896E-2</v>
      </c>
      <c r="H275" s="536">
        <f t="shared" ca="1" si="299"/>
        <v>8.0500524685326896E-2</v>
      </c>
      <c r="I275" s="2267">
        <f t="shared" ca="1" si="299"/>
        <v>8.0500524685326896E-2</v>
      </c>
      <c r="J275" s="536">
        <f t="shared" ca="1" si="299"/>
        <v>8.0500524685326896E-2</v>
      </c>
      <c r="K275" s="536">
        <f t="shared" ca="1" si="299"/>
        <v>8.0500524685326896E-2</v>
      </c>
      <c r="L275" s="536">
        <f t="shared" ca="1" si="299"/>
        <v>8.0500524685326896E-2</v>
      </c>
      <c r="M275" s="536">
        <f t="shared" ca="1" si="299"/>
        <v>8.0500524685326896E-2</v>
      </c>
      <c r="N275" s="536">
        <f t="shared" ca="1" si="299"/>
        <v>8.0500524685326896E-2</v>
      </c>
      <c r="O275" s="536">
        <f t="shared" ca="1" si="299"/>
        <v>8.0500524685326896E-2</v>
      </c>
      <c r="P275" s="536">
        <f t="shared" ref="P275:U275" ca="1" si="300">((P271*(1-P274)*P273))+(P272*(1-P273))</f>
        <v>8.0500524685326896E-2</v>
      </c>
      <c r="Q275" s="536">
        <f t="shared" ca="1" si="300"/>
        <v>8.0500524685326896E-2</v>
      </c>
      <c r="R275" s="536">
        <f t="shared" ca="1" si="300"/>
        <v>8.0500524685326896E-2</v>
      </c>
      <c r="S275" s="536">
        <f t="shared" ca="1" si="300"/>
        <v>8.0500524685326896E-2</v>
      </c>
      <c r="T275" s="536">
        <f t="shared" ca="1" si="300"/>
        <v>8.0500524685326896E-2</v>
      </c>
      <c r="U275" s="536">
        <f t="shared" ca="1" si="300"/>
        <v>8.0500524685326896E-2</v>
      </c>
      <c r="V275" s="536">
        <f ca="1">((V271*(1-V274)*V273))+(V272*(1-V273))</f>
        <v>8.0500524685326896E-2</v>
      </c>
      <c r="W275" s="536">
        <f ca="1">((W271*(1-W274)*W273))+(W272*(1-W273))</f>
        <v>8.0500524685326896E-2</v>
      </c>
      <c r="X275" s="536">
        <f ca="1">((X271*(1-X274)*X273))+(X272*(1-X273))</f>
        <v>8.0500524685326896E-2</v>
      </c>
      <c r="Y275" s="536">
        <f ca="1">((Y271*(1-Y274)*Y273))+(Y272*(1-Y273))</f>
        <v>8.0500524685326896E-2</v>
      </c>
    </row>
    <row r="276" spans="1:25">
      <c r="A276" s="776" t="s">
        <v>251</v>
      </c>
      <c r="B276" s="911">
        <v>0.01</v>
      </c>
      <c r="C276" s="536">
        <f t="shared" ref="C276:L276" si="301">+B276</f>
        <v>0.01</v>
      </c>
      <c r="D276" s="536">
        <f t="shared" si="301"/>
        <v>0.01</v>
      </c>
      <c r="E276" s="536">
        <f t="shared" si="301"/>
        <v>0.01</v>
      </c>
      <c r="F276" s="536">
        <f t="shared" si="301"/>
        <v>0.01</v>
      </c>
      <c r="G276" s="536">
        <f t="shared" si="301"/>
        <v>0.01</v>
      </c>
      <c r="H276" s="536">
        <f t="shared" si="301"/>
        <v>0.01</v>
      </c>
      <c r="I276" s="2267">
        <f t="shared" si="301"/>
        <v>0.01</v>
      </c>
      <c r="J276" s="536">
        <f t="shared" si="301"/>
        <v>0.01</v>
      </c>
      <c r="K276" s="536">
        <f t="shared" si="301"/>
        <v>0.01</v>
      </c>
      <c r="L276" s="536">
        <f t="shared" si="301"/>
        <v>0.01</v>
      </c>
      <c r="M276" s="536">
        <f t="shared" ref="M276:S276" si="302">+L276</f>
        <v>0.01</v>
      </c>
      <c r="N276" s="536">
        <f t="shared" si="302"/>
        <v>0.01</v>
      </c>
      <c r="O276" s="536">
        <f t="shared" si="302"/>
        <v>0.01</v>
      </c>
      <c r="P276" s="536">
        <f t="shared" si="302"/>
        <v>0.01</v>
      </c>
      <c r="Q276" s="536">
        <f t="shared" si="302"/>
        <v>0.01</v>
      </c>
      <c r="R276" s="536">
        <f t="shared" si="302"/>
        <v>0.01</v>
      </c>
      <c r="S276" s="536">
        <f t="shared" si="302"/>
        <v>0.01</v>
      </c>
      <c r="T276" s="536">
        <f t="shared" ref="T276:Y276" si="303">+S276</f>
        <v>0.01</v>
      </c>
      <c r="U276" s="536">
        <f t="shared" si="303"/>
        <v>0.01</v>
      </c>
      <c r="V276" s="536">
        <f t="shared" si="303"/>
        <v>0.01</v>
      </c>
      <c r="W276" s="536">
        <f t="shared" si="303"/>
        <v>0.01</v>
      </c>
      <c r="X276" s="536">
        <f t="shared" si="303"/>
        <v>0.01</v>
      </c>
      <c r="Y276" s="536">
        <f t="shared" si="303"/>
        <v>0.01</v>
      </c>
    </row>
    <row r="277" spans="1:25">
      <c r="A277" s="776"/>
      <c r="B277" s="11"/>
      <c r="C277" s="11"/>
      <c r="D277" s="11"/>
      <c r="E277" s="11"/>
      <c r="F277" s="11"/>
      <c r="G277" s="11"/>
      <c r="H277" s="11"/>
      <c r="I277" s="1108"/>
      <c r="J277" s="11"/>
      <c r="K277" s="11"/>
      <c r="L277" s="11"/>
      <c r="M277" s="11"/>
      <c r="N277" s="11"/>
      <c r="O277" s="11"/>
      <c r="P277" s="11"/>
      <c r="Q277" s="11"/>
      <c r="R277" s="11"/>
      <c r="S277" s="11"/>
      <c r="T277" s="11"/>
      <c r="U277" s="11"/>
      <c r="V277" s="11"/>
      <c r="W277" s="11"/>
    </row>
    <row r="278" spans="1:25">
      <c r="A278" s="776" t="s">
        <v>243</v>
      </c>
      <c r="B278" s="54">
        <f>'Publishing (new)'!I31</f>
        <v>54.094392169990257</v>
      </c>
      <c r="C278" s="54">
        <f>'Publishing (new)'!J31</f>
        <v>49.113039999999998</v>
      </c>
      <c r="D278" s="54">
        <f>'Publishing (new)'!K31</f>
        <v>62.323999999999998</v>
      </c>
      <c r="E278" s="54">
        <f>'Publishing (new)'!L31</f>
        <v>56.053000000000004</v>
      </c>
      <c r="F278" s="54">
        <f>'Publishing (new)'!M31</f>
        <v>29.546000000000003</v>
      </c>
      <c r="G278" s="54">
        <f>'Publishing (new)'!N31</f>
        <v>44.086500000000015</v>
      </c>
      <c r="H278" s="54">
        <f>'Publishing (new)'!O31</f>
        <v>59.390334999999993</v>
      </c>
      <c r="I278" s="54">
        <f>'Publishing (new)'!P31</f>
        <v>56.990175000000008</v>
      </c>
      <c r="J278" s="54">
        <f>'Publishing (new)'!Q31</f>
        <v>74.765639999999991</v>
      </c>
      <c r="K278" s="54">
        <f>'Publishing (new)'!R31</f>
        <v>70.544574999999995</v>
      </c>
      <c r="L278" s="54">
        <f>'Publishing (new)'!S31</f>
        <v>80.23769999999999</v>
      </c>
      <c r="M278" s="54">
        <f>'Publishing (new)'!T31</f>
        <v>84.091447500000001</v>
      </c>
      <c r="N278" s="54">
        <f>'Publishing (new)'!U31</f>
        <v>92.445139999999995</v>
      </c>
      <c r="O278" s="54">
        <f>'Publishing (new)'!V31</f>
        <v>91.662005924999988</v>
      </c>
      <c r="P278" s="54">
        <f>'Publishing (new)'!W31</f>
        <v>95.033965844999983</v>
      </c>
      <c r="Q278" s="54">
        <f>'Publishing (new)'!X31</f>
        <v>98.575331660399996</v>
      </c>
      <c r="R278" s="54">
        <f>'Publishing (new)'!Y31</f>
        <v>102.18752479210798</v>
      </c>
      <c r="S278" s="54">
        <f>'Publishing (new)'!Z31</f>
        <v>105.87196178645016</v>
      </c>
      <c r="T278" s="54">
        <f>'Publishing (new)'!AA31</f>
        <v>109.63008752067917</v>
      </c>
      <c r="U278" s="54">
        <f>'Publishing (new)'!AB31</f>
        <v>113.46337576959274</v>
      </c>
      <c r="V278" s="54">
        <f>'Publishing (new)'!AC31</f>
        <v>117.37332978348459</v>
      </c>
      <c r="W278" s="54">
        <f>'Publishing (new)'!AD31</f>
        <v>121.36148287765428</v>
      </c>
      <c r="X278" s="54">
        <f>'Publishing (new)'!AE31</f>
        <v>125.42939903370738</v>
      </c>
      <c r="Y278" s="54">
        <f>'Publishing (new)'!AF31</f>
        <v>129.57867351288152</v>
      </c>
    </row>
    <row r="279" spans="1:25">
      <c r="A279" s="776" t="s">
        <v>678</v>
      </c>
      <c r="B279" s="54">
        <f>'Publishing (new)'!I16</f>
        <v>83.313025911642228</v>
      </c>
      <c r="C279" s="54">
        <f>'Publishing (new)'!J16</f>
        <v>78</v>
      </c>
      <c r="D279" s="54">
        <f>'Publishing (new)'!K16</f>
        <v>97.2</v>
      </c>
      <c r="E279" s="54">
        <f>'Publishing (new)'!L16</f>
        <v>88.2</v>
      </c>
      <c r="F279" s="54">
        <f>'Publishing (new)'!M16</f>
        <v>52.4</v>
      </c>
      <c r="G279" s="54">
        <f>'Publishing (new)'!N16</f>
        <v>71.800000000000011</v>
      </c>
      <c r="H279" s="54">
        <f>'Publishing (new)'!O16</f>
        <v>92</v>
      </c>
      <c r="I279" s="54">
        <f>'Publishing (new)'!P16</f>
        <v>89</v>
      </c>
      <c r="J279" s="54">
        <f>'Publishing (new)'!Q16</f>
        <v>113</v>
      </c>
      <c r="K279" s="54">
        <f>'Publishing (new)'!R16</f>
        <v>107</v>
      </c>
      <c r="L279" s="54">
        <f>'Publishing (new)'!S16</f>
        <v>120</v>
      </c>
      <c r="M279" s="54">
        <f>'Publishing (new)'!T16</f>
        <v>125</v>
      </c>
      <c r="N279" s="54">
        <f>'Publishing (new)'!U16</f>
        <v>136.852</v>
      </c>
      <c r="O279" s="54">
        <f>'Publishing (new)'!V16</f>
        <v>136.163265</v>
      </c>
      <c r="P279" s="54">
        <f>'Publishing (new)'!W16</f>
        <v>141.05962499999998</v>
      </c>
      <c r="Q279" s="54">
        <f>'Publishing (new)'!X16</f>
        <v>146.05391220000001</v>
      </c>
      <c r="R279" s="54">
        <f>'Publishing (new)'!Y16</f>
        <v>151.14808514399999</v>
      </c>
      <c r="S279" s="54">
        <f>'Publishing (new)'!Z16</f>
        <v>156.34414154688</v>
      </c>
      <c r="T279" s="54">
        <f>'Publishing (new)'!AA16</f>
        <v>161.64411907781761</v>
      </c>
      <c r="U279" s="54">
        <f>'Publishing (new)'!AB16</f>
        <v>167.05009615937396</v>
      </c>
      <c r="V279" s="54">
        <f>'Publishing (new)'!AC16</f>
        <v>172.56419278256143</v>
      </c>
      <c r="W279" s="54">
        <f>'Publishing (new)'!AD16</f>
        <v>178.18857133821265</v>
      </c>
      <c r="X279" s="54">
        <f>'Publishing (new)'!AE16</f>
        <v>183.92543746497691</v>
      </c>
      <c r="Y279" s="54">
        <f>'Publishing (new)'!AF16</f>
        <v>189.77704091427645</v>
      </c>
    </row>
    <row r="280" spans="1:25">
      <c r="A280" s="776"/>
      <c r="B280" s="11"/>
      <c r="C280" s="11"/>
      <c r="D280" s="11"/>
      <c r="E280" s="11"/>
      <c r="F280" s="11"/>
      <c r="G280" s="11"/>
      <c r="H280" s="11"/>
      <c r="I280" s="1108"/>
      <c r="J280" s="11"/>
      <c r="K280" s="11"/>
      <c r="L280" s="11"/>
      <c r="M280" s="11"/>
      <c r="N280" s="11"/>
      <c r="O280" s="11"/>
      <c r="P280" s="11"/>
      <c r="Q280" s="11"/>
      <c r="R280" s="11"/>
      <c r="S280" s="11"/>
      <c r="T280" s="11"/>
      <c r="U280" s="11"/>
      <c r="V280" s="11"/>
      <c r="W280" s="11"/>
    </row>
    <row r="281" spans="1:25">
      <c r="A281" s="1532" t="s">
        <v>1009</v>
      </c>
      <c r="B281" s="181">
        <f>'Publishing (new)'!I43</f>
        <v>191.67481132341922</v>
      </c>
      <c r="C281" s="181">
        <f t="shared" ref="C281" si="304">+B281</f>
        <v>191.67481132341922</v>
      </c>
      <c r="D281" s="181">
        <f t="shared" ref="D281:D283" si="305">+C281</f>
        <v>191.67481132341922</v>
      </c>
      <c r="E281" s="181">
        <f t="shared" ref="E281:E283" si="306">+D281</f>
        <v>191.67481132341922</v>
      </c>
      <c r="F281" s="181">
        <f t="shared" ref="F281:F283" si="307">+E281</f>
        <v>191.67481132341922</v>
      </c>
      <c r="G281" s="181">
        <f t="shared" ref="G281:G283" si="308">+F281</f>
        <v>191.67481132341922</v>
      </c>
      <c r="H281" s="181">
        <f t="shared" ref="H281:H283" si="309">+G281</f>
        <v>191.67481132341922</v>
      </c>
      <c r="I281" s="181">
        <f t="shared" ref="I281:I283" si="310">+H281</f>
        <v>191.67481132341922</v>
      </c>
      <c r="J281" s="181">
        <f t="shared" ref="J281:J283" si="311">+I281</f>
        <v>191.67481132341922</v>
      </c>
      <c r="K281" s="181">
        <f t="shared" ref="K281:K283" si="312">+J281</f>
        <v>191.67481132341922</v>
      </c>
      <c r="L281" s="181">
        <f t="shared" ref="L281:L283" si="313">+K281</f>
        <v>191.67481132341922</v>
      </c>
      <c r="M281" s="181">
        <f t="shared" ref="M281:M283" si="314">+L281</f>
        <v>191.67481132341922</v>
      </c>
      <c r="N281" s="181">
        <f t="shared" ref="N281:N283" si="315">+M281</f>
        <v>191.67481132341922</v>
      </c>
      <c r="O281" s="181">
        <f t="shared" ref="O281:O283" si="316">+N281</f>
        <v>191.67481132341922</v>
      </c>
      <c r="P281" s="181">
        <f t="shared" ref="P281:P283" si="317">+O281</f>
        <v>191.67481132341922</v>
      </c>
      <c r="Q281" s="181">
        <f t="shared" ref="Q281:Q283" si="318">+P281</f>
        <v>191.67481132341922</v>
      </c>
      <c r="R281" s="181">
        <f t="shared" ref="R281:R283" si="319">+Q281</f>
        <v>191.67481132341922</v>
      </c>
      <c r="S281" s="181">
        <f t="shared" ref="S281:S283" si="320">+R281</f>
        <v>191.67481132341922</v>
      </c>
      <c r="T281" s="181">
        <f t="shared" ref="T281:T283" si="321">+S281</f>
        <v>191.67481132341922</v>
      </c>
      <c r="U281" s="181">
        <f t="shared" ref="U281:U283" si="322">+T281</f>
        <v>191.67481132341922</v>
      </c>
      <c r="V281" s="181">
        <f t="shared" ref="V281:V283" si="323">+U281</f>
        <v>191.67481132341922</v>
      </c>
      <c r="W281" s="181">
        <f t="shared" ref="W281:W283" si="324">+V281</f>
        <v>191.67481132341922</v>
      </c>
      <c r="X281" s="181">
        <f t="shared" ref="X281:X283" si="325">+W281</f>
        <v>191.67481132341922</v>
      </c>
      <c r="Y281" s="181">
        <f t="shared" ref="Y281:Y283" si="326">+X281</f>
        <v>191.67481132341922</v>
      </c>
    </row>
    <row r="282" spans="1:25">
      <c r="A282" s="777" t="s">
        <v>54</v>
      </c>
      <c r="B282" s="181">
        <f>'Publishing (new)'!I44</f>
        <v>45.729546391737912</v>
      </c>
      <c r="C282" s="181">
        <f t="shared" ref="C282" si="327">+B282</f>
        <v>45.729546391737912</v>
      </c>
      <c r="D282" s="181">
        <f t="shared" si="305"/>
        <v>45.729546391737912</v>
      </c>
      <c r="E282" s="181">
        <f t="shared" si="306"/>
        <v>45.729546391737912</v>
      </c>
      <c r="F282" s="181">
        <f t="shared" si="307"/>
        <v>45.729546391737912</v>
      </c>
      <c r="G282" s="181">
        <f t="shared" si="308"/>
        <v>45.729546391737912</v>
      </c>
      <c r="H282" s="181">
        <f t="shared" si="309"/>
        <v>45.729546391737912</v>
      </c>
      <c r="I282" s="181">
        <f t="shared" si="310"/>
        <v>45.729546391737912</v>
      </c>
      <c r="J282" s="181">
        <f t="shared" si="311"/>
        <v>45.729546391737912</v>
      </c>
      <c r="K282" s="181">
        <f t="shared" si="312"/>
        <v>45.729546391737912</v>
      </c>
      <c r="L282" s="181">
        <f t="shared" si="313"/>
        <v>45.729546391737912</v>
      </c>
      <c r="M282" s="181">
        <f t="shared" si="314"/>
        <v>45.729546391737912</v>
      </c>
      <c r="N282" s="181">
        <f t="shared" si="315"/>
        <v>45.729546391737912</v>
      </c>
      <c r="O282" s="181">
        <f t="shared" si="316"/>
        <v>45.729546391737912</v>
      </c>
      <c r="P282" s="181">
        <f t="shared" si="317"/>
        <v>45.729546391737912</v>
      </c>
      <c r="Q282" s="181">
        <f t="shared" si="318"/>
        <v>45.729546391737912</v>
      </c>
      <c r="R282" s="181">
        <f t="shared" si="319"/>
        <v>45.729546391737912</v>
      </c>
      <c r="S282" s="181">
        <f t="shared" si="320"/>
        <v>45.729546391737912</v>
      </c>
      <c r="T282" s="181">
        <f t="shared" si="321"/>
        <v>45.729546391737912</v>
      </c>
      <c r="U282" s="181">
        <f t="shared" si="322"/>
        <v>45.729546391737912</v>
      </c>
      <c r="V282" s="181">
        <f t="shared" si="323"/>
        <v>45.729546391737912</v>
      </c>
      <c r="W282" s="181">
        <f t="shared" si="324"/>
        <v>45.729546391737912</v>
      </c>
      <c r="X282" s="181">
        <f t="shared" si="325"/>
        <v>45.729546391737912</v>
      </c>
      <c r="Y282" s="181">
        <f t="shared" si="326"/>
        <v>45.729546391737912</v>
      </c>
    </row>
    <row r="283" spans="1:25">
      <c r="A283" s="777" t="s">
        <v>67</v>
      </c>
      <c r="B283" s="181">
        <f>'Publishing (new)'!I45</f>
        <v>15.070804683670961</v>
      </c>
      <c r="C283" s="537">
        <f t="shared" ref="C283" si="328">+B283</f>
        <v>15.070804683670961</v>
      </c>
      <c r="D283" s="537">
        <f t="shared" si="305"/>
        <v>15.070804683670961</v>
      </c>
      <c r="E283" s="537">
        <f t="shared" si="306"/>
        <v>15.070804683670961</v>
      </c>
      <c r="F283" s="537">
        <f t="shared" si="307"/>
        <v>15.070804683670961</v>
      </c>
      <c r="G283" s="537">
        <f t="shared" si="308"/>
        <v>15.070804683670961</v>
      </c>
      <c r="H283" s="537">
        <f t="shared" si="309"/>
        <v>15.070804683670961</v>
      </c>
      <c r="I283" s="537">
        <f t="shared" si="310"/>
        <v>15.070804683670961</v>
      </c>
      <c r="J283" s="537">
        <f t="shared" si="311"/>
        <v>15.070804683670961</v>
      </c>
      <c r="K283" s="537">
        <f t="shared" si="312"/>
        <v>15.070804683670961</v>
      </c>
      <c r="L283" s="537">
        <f t="shared" si="313"/>
        <v>15.070804683670961</v>
      </c>
      <c r="M283" s="537">
        <f t="shared" si="314"/>
        <v>15.070804683670961</v>
      </c>
      <c r="N283" s="537">
        <f t="shared" si="315"/>
        <v>15.070804683670961</v>
      </c>
      <c r="O283" s="537">
        <f t="shared" si="316"/>
        <v>15.070804683670961</v>
      </c>
      <c r="P283" s="537">
        <f t="shared" si="317"/>
        <v>15.070804683670961</v>
      </c>
      <c r="Q283" s="537">
        <f t="shared" si="318"/>
        <v>15.070804683670961</v>
      </c>
      <c r="R283" s="537">
        <f t="shared" si="319"/>
        <v>15.070804683670961</v>
      </c>
      <c r="S283" s="537">
        <f t="shared" si="320"/>
        <v>15.070804683670961</v>
      </c>
      <c r="T283" s="537">
        <f t="shared" si="321"/>
        <v>15.070804683670961</v>
      </c>
      <c r="U283" s="537">
        <f t="shared" si="322"/>
        <v>15.070804683670961</v>
      </c>
      <c r="V283" s="537">
        <f t="shared" si="323"/>
        <v>15.070804683670961</v>
      </c>
      <c r="W283" s="537">
        <f t="shared" si="324"/>
        <v>15.070804683670961</v>
      </c>
      <c r="X283" s="537">
        <f t="shared" si="325"/>
        <v>15.070804683670961</v>
      </c>
      <c r="Y283" s="537">
        <f t="shared" si="326"/>
        <v>15.070804683670961</v>
      </c>
    </row>
    <row r="284" spans="1:25">
      <c r="A284" s="776" t="s">
        <v>56</v>
      </c>
      <c r="B284" s="181">
        <f>+B281-B282-B283</f>
        <v>130.87446024801037</v>
      </c>
      <c r="C284" s="181">
        <f t="shared" ref="C284:O284" si="329">+C281-C282-C283</f>
        <v>130.87446024801037</v>
      </c>
      <c r="D284" s="181">
        <f t="shared" si="329"/>
        <v>130.87446024801037</v>
      </c>
      <c r="E284" s="181">
        <f t="shared" si="329"/>
        <v>130.87446024801037</v>
      </c>
      <c r="F284" s="181">
        <f t="shared" si="329"/>
        <v>130.87446024801037</v>
      </c>
      <c r="G284" s="181">
        <f t="shared" si="329"/>
        <v>130.87446024801037</v>
      </c>
      <c r="H284" s="181">
        <f t="shared" si="329"/>
        <v>130.87446024801037</v>
      </c>
      <c r="I284" s="1683">
        <f t="shared" si="329"/>
        <v>130.87446024801037</v>
      </c>
      <c r="J284" s="181">
        <f t="shared" si="329"/>
        <v>130.87446024801037</v>
      </c>
      <c r="K284" s="181">
        <f t="shared" si="329"/>
        <v>130.87446024801037</v>
      </c>
      <c r="L284" s="181">
        <f t="shared" si="329"/>
        <v>130.87446024801037</v>
      </c>
      <c r="M284" s="181">
        <f t="shared" si="329"/>
        <v>130.87446024801037</v>
      </c>
      <c r="N284" s="181">
        <f t="shared" si="329"/>
        <v>130.87446024801037</v>
      </c>
      <c r="O284" s="181">
        <f t="shared" si="329"/>
        <v>130.87446024801037</v>
      </c>
      <c r="P284" s="181">
        <f t="shared" ref="P284:U284" si="330">+P281-P282-P283</f>
        <v>130.87446024801037</v>
      </c>
      <c r="Q284" s="181">
        <f t="shared" si="330"/>
        <v>130.87446024801037</v>
      </c>
      <c r="R284" s="181">
        <f t="shared" si="330"/>
        <v>130.87446024801037</v>
      </c>
      <c r="S284" s="181">
        <f t="shared" si="330"/>
        <v>130.87446024801037</v>
      </c>
      <c r="T284" s="181">
        <f t="shared" si="330"/>
        <v>130.87446024801037</v>
      </c>
      <c r="U284" s="181">
        <f t="shared" si="330"/>
        <v>130.87446024801037</v>
      </c>
      <c r="V284" s="181">
        <f>+V281-V282-V283</f>
        <v>130.87446024801037</v>
      </c>
      <c r="W284" s="181">
        <f>+W281-W282-W283</f>
        <v>130.87446024801037</v>
      </c>
      <c r="X284" s="181">
        <f>+X281-X282-X283</f>
        <v>130.87446024801037</v>
      </c>
      <c r="Y284" s="181">
        <f>+Y281-Y282-Y283</f>
        <v>130.87446024801037</v>
      </c>
    </row>
    <row r="285" spans="1:25">
      <c r="A285" s="777" t="s">
        <v>57</v>
      </c>
      <c r="B285" s="181">
        <f ca="1">1/(B275-B276)</f>
        <v>14.184291598728024</v>
      </c>
      <c r="C285" s="181">
        <f t="shared" ref="C285:L285" ca="1" si="331">1/(C275-C276)</f>
        <v>14.184291598728024</v>
      </c>
      <c r="D285" s="181">
        <f t="shared" ca="1" si="331"/>
        <v>14.184291598728024</v>
      </c>
      <c r="E285" s="181">
        <f t="shared" ca="1" si="331"/>
        <v>14.184291598728024</v>
      </c>
      <c r="F285" s="181">
        <f t="shared" ca="1" si="331"/>
        <v>14.184291598728024</v>
      </c>
      <c r="G285" s="181">
        <f t="shared" ca="1" si="331"/>
        <v>14.184291598728024</v>
      </c>
      <c r="H285" s="181">
        <f t="shared" ca="1" si="331"/>
        <v>14.184291598728024</v>
      </c>
      <c r="I285" s="1683">
        <f t="shared" ca="1" si="331"/>
        <v>14.184291598728024</v>
      </c>
      <c r="J285" s="181">
        <f t="shared" ca="1" si="331"/>
        <v>14.184291598728024</v>
      </c>
      <c r="K285" s="181">
        <f t="shared" ca="1" si="331"/>
        <v>14.184291598728024</v>
      </c>
      <c r="L285" s="181">
        <f t="shared" ca="1" si="331"/>
        <v>14.184291598728024</v>
      </c>
      <c r="M285" s="181">
        <f t="shared" ref="M285:S285" ca="1" si="332">1/(M275-M276)</f>
        <v>14.184291598728024</v>
      </c>
      <c r="N285" s="181">
        <f t="shared" ca="1" si="332"/>
        <v>14.184291598728024</v>
      </c>
      <c r="O285" s="181">
        <f t="shared" ca="1" si="332"/>
        <v>14.184291598728024</v>
      </c>
      <c r="P285" s="181">
        <f t="shared" ca="1" si="332"/>
        <v>14.184291598728024</v>
      </c>
      <c r="Q285" s="181">
        <f t="shared" ca="1" si="332"/>
        <v>14.184291598728024</v>
      </c>
      <c r="R285" s="181">
        <f t="shared" ca="1" si="332"/>
        <v>14.184291598728024</v>
      </c>
      <c r="S285" s="181">
        <f t="shared" ca="1" si="332"/>
        <v>14.184291598728024</v>
      </c>
      <c r="T285" s="181">
        <f t="shared" ref="T285:Y285" ca="1" si="333">1/(T275-T276)</f>
        <v>14.184291598728024</v>
      </c>
      <c r="U285" s="181">
        <f t="shared" ca="1" si="333"/>
        <v>14.184291598728024</v>
      </c>
      <c r="V285" s="181">
        <f t="shared" ca="1" si="333"/>
        <v>14.184291598728024</v>
      </c>
      <c r="W285" s="181">
        <f t="shared" ca="1" si="333"/>
        <v>14.184291598728024</v>
      </c>
      <c r="X285" s="181">
        <f t="shared" ca="1" si="333"/>
        <v>14.184291598728024</v>
      </c>
      <c r="Y285" s="181">
        <f t="shared" ca="1" si="333"/>
        <v>14.184291598728024</v>
      </c>
    </row>
    <row r="286" spans="1:25">
      <c r="A286" s="777" t="s">
        <v>58</v>
      </c>
      <c r="B286" s="181">
        <f ca="1">+B287/B281</f>
        <v>9.6849528332213577</v>
      </c>
      <c r="C286" s="181">
        <f t="shared" ref="C286:L286" ca="1" si="334">+C287/C281</f>
        <v>9.6849528332213577</v>
      </c>
      <c r="D286" s="181">
        <f t="shared" ca="1" si="334"/>
        <v>9.6849528332213577</v>
      </c>
      <c r="E286" s="181">
        <f t="shared" ca="1" si="334"/>
        <v>9.6849528332213577</v>
      </c>
      <c r="F286" s="181">
        <f t="shared" ca="1" si="334"/>
        <v>9.6849528332213577</v>
      </c>
      <c r="G286" s="181">
        <f t="shared" ca="1" si="334"/>
        <v>9.6849528332213577</v>
      </c>
      <c r="H286" s="181">
        <f t="shared" ca="1" si="334"/>
        <v>9.6849528332213577</v>
      </c>
      <c r="I286" s="1683">
        <f t="shared" ca="1" si="334"/>
        <v>9.6849528332213577</v>
      </c>
      <c r="J286" s="181">
        <f t="shared" ca="1" si="334"/>
        <v>9.6849528332213577</v>
      </c>
      <c r="K286" s="181">
        <f t="shared" ca="1" si="334"/>
        <v>9.6849528332213577</v>
      </c>
      <c r="L286" s="181">
        <f t="shared" ca="1" si="334"/>
        <v>9.6849528332213577</v>
      </c>
      <c r="M286" s="181">
        <f t="shared" ref="M286:S286" ca="1" si="335">+M287/M281</f>
        <v>9.6849528332213577</v>
      </c>
      <c r="N286" s="181">
        <f t="shared" ca="1" si="335"/>
        <v>9.6849528332213577</v>
      </c>
      <c r="O286" s="181">
        <f t="shared" ca="1" si="335"/>
        <v>9.6849528332213577</v>
      </c>
      <c r="P286" s="181">
        <f t="shared" ca="1" si="335"/>
        <v>9.6849528332213577</v>
      </c>
      <c r="Q286" s="181">
        <f t="shared" ca="1" si="335"/>
        <v>9.6849528332213577</v>
      </c>
      <c r="R286" s="181">
        <f t="shared" ca="1" si="335"/>
        <v>9.6849528332213577</v>
      </c>
      <c r="S286" s="181">
        <f t="shared" ca="1" si="335"/>
        <v>9.6849528332213577</v>
      </c>
      <c r="T286" s="181">
        <f t="shared" ref="T286:Y286" ca="1" si="336">+T287/T281</f>
        <v>9.6849528332213577</v>
      </c>
      <c r="U286" s="181">
        <f t="shared" ca="1" si="336"/>
        <v>9.6849528332213577</v>
      </c>
      <c r="V286" s="181">
        <f t="shared" ca="1" si="336"/>
        <v>9.6849528332213577</v>
      </c>
      <c r="W286" s="181">
        <f t="shared" ca="1" si="336"/>
        <v>9.6849528332213577</v>
      </c>
      <c r="X286" s="181">
        <f t="shared" ca="1" si="336"/>
        <v>9.6849528332213577</v>
      </c>
      <c r="Y286" s="181">
        <f t="shared" ca="1" si="336"/>
        <v>9.6849528332213577</v>
      </c>
    </row>
    <row r="287" spans="1:25">
      <c r="A287" s="776" t="s">
        <v>59</v>
      </c>
      <c r="B287" s="181">
        <f ca="1">B285*B284</f>
        <v>1856.3615069839182</v>
      </c>
      <c r="C287" s="181">
        <f t="shared" ref="C287:L287" ca="1" si="337">C285*C284</f>
        <v>1856.3615069839182</v>
      </c>
      <c r="D287" s="181">
        <f t="shared" ca="1" si="337"/>
        <v>1856.3615069839182</v>
      </c>
      <c r="E287" s="181">
        <f t="shared" ca="1" si="337"/>
        <v>1856.3615069839182</v>
      </c>
      <c r="F287" s="181">
        <f t="shared" ca="1" si="337"/>
        <v>1856.3615069839182</v>
      </c>
      <c r="G287" s="181">
        <f t="shared" ca="1" si="337"/>
        <v>1856.3615069839182</v>
      </c>
      <c r="H287" s="181">
        <f t="shared" ca="1" si="337"/>
        <v>1856.3615069839182</v>
      </c>
      <c r="I287" s="1683">
        <f t="shared" ca="1" si="337"/>
        <v>1856.3615069839182</v>
      </c>
      <c r="J287" s="181">
        <f t="shared" ca="1" si="337"/>
        <v>1856.3615069839182</v>
      </c>
      <c r="K287" s="181">
        <f t="shared" ca="1" si="337"/>
        <v>1856.3615069839182</v>
      </c>
      <c r="L287" s="181">
        <f t="shared" ca="1" si="337"/>
        <v>1856.3615069839182</v>
      </c>
      <c r="M287" s="181">
        <f t="shared" ref="M287:S287" ca="1" si="338">M285*M284</f>
        <v>1856.3615069839182</v>
      </c>
      <c r="N287" s="181">
        <f t="shared" ca="1" si="338"/>
        <v>1856.3615069839182</v>
      </c>
      <c r="O287" s="181">
        <f t="shared" ca="1" si="338"/>
        <v>1856.3615069839182</v>
      </c>
      <c r="P287" s="181">
        <f t="shared" ca="1" si="338"/>
        <v>1856.3615069839182</v>
      </c>
      <c r="Q287" s="181">
        <f t="shared" ca="1" si="338"/>
        <v>1856.3615069839182</v>
      </c>
      <c r="R287" s="181">
        <f t="shared" ca="1" si="338"/>
        <v>1856.3615069839182</v>
      </c>
      <c r="S287" s="181">
        <f t="shared" ca="1" si="338"/>
        <v>1856.3615069839182</v>
      </c>
      <c r="T287" s="181">
        <f t="shared" ref="T287:Y287" ca="1" si="339">T285*T284</f>
        <v>1856.3615069839182</v>
      </c>
      <c r="U287" s="181">
        <f t="shared" ca="1" si="339"/>
        <v>1856.3615069839182</v>
      </c>
      <c r="V287" s="181">
        <f t="shared" ca="1" si="339"/>
        <v>1856.3615069839182</v>
      </c>
      <c r="W287" s="181">
        <f t="shared" ca="1" si="339"/>
        <v>1856.3615069839182</v>
      </c>
      <c r="X287" s="181">
        <f t="shared" ca="1" si="339"/>
        <v>1856.3615069839182</v>
      </c>
      <c r="Y287" s="181">
        <f t="shared" ca="1" si="339"/>
        <v>1856.3615069839182</v>
      </c>
    </row>
    <row r="288" spans="1:25">
      <c r="A288" s="776" t="s">
        <v>60</v>
      </c>
      <c r="B288" s="181">
        <f ca="1">B287/((1+B275)^B294)</f>
        <v>312.81528512862326</v>
      </c>
      <c r="C288" s="181">
        <f t="shared" ref="C288:Y288" ca="1" si="340">C287/((1+C275)^C294)</f>
        <v>337.99707971106756</v>
      </c>
      <c r="D288" s="181">
        <f t="shared" ca="1" si="340"/>
        <v>365.20602196991678</v>
      </c>
      <c r="E288" s="181">
        <f t="shared" ca="1" si="340"/>
        <v>394.60529835673617</v>
      </c>
      <c r="F288" s="181">
        <f t="shared" ca="1" si="340"/>
        <v>426.37123191806342</v>
      </c>
      <c r="G288" s="181">
        <f t="shared" ca="1" si="340"/>
        <v>460.69433979819684</v>
      </c>
      <c r="H288" s="181">
        <f t="shared" ca="1" si="340"/>
        <v>497.78047587151201</v>
      </c>
      <c r="I288" s="181">
        <f t="shared" ca="1" si="340"/>
        <v>537.85206535728037</v>
      </c>
      <c r="J288" s="181">
        <f t="shared" ca="1" si="340"/>
        <v>581.14943882162845</v>
      </c>
      <c r="K288" s="181">
        <f t="shared" ca="1" si="340"/>
        <v>627.93227356735281</v>
      </c>
      <c r="L288" s="181">
        <f t="shared" ca="1" si="340"/>
        <v>678.48115105637498</v>
      </c>
      <c r="M288" s="181">
        <f t="shared" ca="1" si="340"/>
        <v>733.09923970551779</v>
      </c>
      <c r="N288" s="181">
        <f t="shared" ca="1" si="340"/>
        <v>792.11411314822624</v>
      </c>
      <c r="O288" s="181">
        <f t="shared" ca="1" si="340"/>
        <v>855.87971486731089</v>
      </c>
      <c r="P288" s="181">
        <f t="shared" ca="1" si="340"/>
        <v>924.77848098165759</v>
      </c>
      <c r="Q288" s="181">
        <f t="shared" ca="1" si="340"/>
        <v>999.22363391838064</v>
      </c>
      <c r="R288" s="181">
        <f t="shared" ca="1" si="340"/>
        <v>1079.6616607267895</v>
      </c>
      <c r="S288" s="181">
        <f t="shared" ca="1" si="340"/>
        <v>1166.5749908979276</v>
      </c>
      <c r="T288" s="181">
        <f t="shared" ca="1" si="340"/>
        <v>1260.4848897499912</v>
      </c>
      <c r="U288" s="181">
        <f t="shared" ca="1" si="340"/>
        <v>1361.954584732792</v>
      </c>
      <c r="V288" s="181">
        <f t="shared" ca="1" si="340"/>
        <v>1471.5926434013686</v>
      </c>
      <c r="W288" s="181">
        <f t="shared" ca="1" si="340"/>
        <v>1590.056623318246</v>
      </c>
      <c r="X288" s="181">
        <f t="shared" ca="1" si="340"/>
        <v>1718.0570157747441</v>
      </c>
      <c r="Y288" s="181">
        <f t="shared" ca="1" si="340"/>
        <v>1856.3615069839182</v>
      </c>
    </row>
    <row r="289" spans="1:26">
      <c r="A289" s="776" t="s">
        <v>63</v>
      </c>
      <c r="B289" s="173">
        <f ca="1">NPV(B275,C278:$Y278)</f>
        <v>751.39247493006235</v>
      </c>
      <c r="C289" s="173">
        <f ca="1">NPV(C275,D278:$Y278)</f>
        <v>762.76692340653881</v>
      </c>
      <c r="D289" s="173">
        <f ca="1">NPV(D275,E278:$Y278)</f>
        <v>761.84606095337801</v>
      </c>
      <c r="E289" s="173">
        <f ca="1">NPV(E275,F278:$Y278)</f>
        <v>767.1220685895745</v>
      </c>
      <c r="F289" s="173">
        <f ca="1">NPV(F275,G278:$Y278)</f>
        <v>799.32979760872843</v>
      </c>
      <c r="G289" s="173">
        <f ca="1">NPV(G275,H278:$Y278)</f>
        <v>819.58976571284722</v>
      </c>
      <c r="H289" s="173">
        <f ca="1">NPV(H275,I278:$Y278)</f>
        <v>826.17683687945578</v>
      </c>
      <c r="I289" s="173">
        <f ca="1">NPV(I275,J278:$Y278)</f>
        <v>835.69433073111554</v>
      </c>
      <c r="J289" s="173">
        <f ca="1">NPV(J275,K278:$Y278)</f>
        <v>828.20252283152365</v>
      </c>
      <c r="K289" s="173">
        <f ca="1">NPV(K275,L278:$Y278)</f>
        <v>824.32868546517295</v>
      </c>
      <c r="L289" s="173">
        <f ca="1">NPV(L275,M278:$Y278)</f>
        <v>810.4498771582854</v>
      </c>
      <c r="M289" s="173">
        <f ca="1">NPV(M275,N278:$Y278)</f>
        <v>791.60007000068606</v>
      </c>
      <c r="N289" s="173">
        <f ca="1">NPV(N275,O278:$Y278)</f>
        <v>762.87915097668281</v>
      </c>
      <c r="O289" s="173">
        <f ca="1">NPV(O275,P278:$Y278)</f>
        <v>732.62931697680267</v>
      </c>
      <c r="P289" s="173">
        <f ca="1">NPV(P275,Q278:$Y278)</f>
        <v>696.572395548288</v>
      </c>
      <c r="Q289" s="173">
        <f ca="1">NPV(Q275,R278:$Y278)</f>
        <v>654.07150721084031</v>
      </c>
      <c r="R289" s="173">
        <f ca="1">NPV(R275,S278:$Y278)</f>
        <v>604.53708193092757</v>
      </c>
      <c r="S289" s="173">
        <f ca="1">NPV(S275,T278:$Y278)</f>
        <v>547.33067243165374</v>
      </c>
      <c r="T289" s="173">
        <f ca="1">NPV(T275,U278:$Y278)</f>
        <v>481.7609912180954</v>
      </c>
      <c r="U289" s="173">
        <f ca="1">NPV(U275,V278:$Y278)</f>
        <v>407.07962801448252</v>
      </c>
      <c r="V289" s="173">
        <f ca="1">NPV(V275,W278:$Y278)</f>
        <v>322.47642187487156</v>
      </c>
      <c r="W289" s="173">
        <f ca="1">NPV(W275,X278:$Y278)</f>
        <v>227.07446015679128</v>
      </c>
      <c r="X289" s="173">
        <f ca="1">NPV(X275,Y278:$Y278)</f>
        <v>119.92467430834296</v>
      </c>
      <c r="Y289" s="771">
        <v>0</v>
      </c>
      <c r="Z289" s="1396"/>
    </row>
    <row r="290" spans="1:26">
      <c r="A290" s="776"/>
      <c r="B290" s="539" t="s">
        <v>337</v>
      </c>
      <c r="C290" s="539"/>
      <c r="D290" s="539"/>
      <c r="E290" s="539"/>
      <c r="F290" s="539"/>
      <c r="G290" s="539"/>
      <c r="H290" s="539"/>
      <c r="I290" s="2268"/>
      <c r="J290" s="539"/>
      <c r="K290" s="539"/>
      <c r="L290" s="539"/>
      <c r="M290" s="539"/>
      <c r="N290" s="539"/>
      <c r="O290" s="539"/>
      <c r="P290" s="539"/>
      <c r="Q290" s="539"/>
      <c r="R290" s="539"/>
      <c r="S290" s="539"/>
      <c r="T290" s="539"/>
      <c r="U290" s="539"/>
      <c r="V290" s="539"/>
      <c r="W290" s="539"/>
    </row>
    <row r="291" spans="1:26">
      <c r="A291" s="776" t="s">
        <v>64</v>
      </c>
      <c r="B291" s="540">
        <f ca="1">B289+B288</f>
        <v>1064.2077600586856</v>
      </c>
      <c r="C291" s="540">
        <f t="shared" ref="C291:Y291" ca="1" si="341">C289+C288</f>
        <v>1100.7640031176063</v>
      </c>
      <c r="D291" s="540">
        <f t="shared" ca="1" si="341"/>
        <v>1127.0520829232948</v>
      </c>
      <c r="E291" s="540">
        <f t="shared" ca="1" si="341"/>
        <v>1161.7273669463107</v>
      </c>
      <c r="F291" s="540">
        <f t="shared" ca="1" si="341"/>
        <v>1225.7010295267919</v>
      </c>
      <c r="G291" s="540">
        <f t="shared" ca="1" si="341"/>
        <v>1280.2841055110441</v>
      </c>
      <c r="H291" s="540">
        <f t="shared" ca="1" si="341"/>
        <v>1323.9573127509677</v>
      </c>
      <c r="I291" s="540">
        <f t="shared" ca="1" si="341"/>
        <v>1373.5463960883958</v>
      </c>
      <c r="J291" s="540">
        <f t="shared" ca="1" si="341"/>
        <v>1409.3519616531521</v>
      </c>
      <c r="K291" s="540">
        <f t="shared" ca="1" si="341"/>
        <v>1452.2609590325258</v>
      </c>
      <c r="L291" s="540">
        <f t="shared" ca="1" si="341"/>
        <v>1488.9310282146603</v>
      </c>
      <c r="M291" s="540">
        <f t="shared" ca="1" si="341"/>
        <v>1524.6993097062038</v>
      </c>
      <c r="N291" s="540">
        <f t="shared" ca="1" si="341"/>
        <v>1554.993264124909</v>
      </c>
      <c r="O291" s="540">
        <f t="shared" ca="1" si="341"/>
        <v>1588.5090318441135</v>
      </c>
      <c r="P291" s="540">
        <f t="shared" ca="1" si="341"/>
        <v>1621.3508765299457</v>
      </c>
      <c r="Q291" s="540">
        <f t="shared" ca="1" si="341"/>
        <v>1653.2951411292211</v>
      </c>
      <c r="R291" s="540">
        <f t="shared" ca="1" si="341"/>
        <v>1684.198742657717</v>
      </c>
      <c r="S291" s="540">
        <f t="shared" ca="1" si="341"/>
        <v>1713.9056633295813</v>
      </c>
      <c r="T291" s="540">
        <f t="shared" ca="1" si="341"/>
        <v>1742.2458809680866</v>
      </c>
      <c r="U291" s="540">
        <f t="shared" ca="1" si="341"/>
        <v>1769.0342127472745</v>
      </c>
      <c r="V291" s="540">
        <f t="shared" ca="1" si="341"/>
        <v>1794.0690652762401</v>
      </c>
      <c r="W291" s="540">
        <f t="shared" ca="1" si="341"/>
        <v>1817.1310834750373</v>
      </c>
      <c r="X291" s="540">
        <f t="shared" ca="1" si="341"/>
        <v>1837.981690083087</v>
      </c>
      <c r="Y291" s="540">
        <f t="shared" ca="1" si="341"/>
        <v>1856.3615069839182</v>
      </c>
    </row>
    <row r="292" spans="1:26">
      <c r="A292" s="777" t="s">
        <v>72</v>
      </c>
      <c r="B292" s="541"/>
      <c r="C292" s="541">
        <f ca="1">C291/C279</f>
        <v>14.112359014328286</v>
      </c>
      <c r="D292" s="541">
        <f t="shared" ref="D292:S292" ca="1" si="342">D291/D279</f>
        <v>11.595186038305503</v>
      </c>
      <c r="E292" s="541">
        <f t="shared" ca="1" si="342"/>
        <v>13.171512096896945</v>
      </c>
      <c r="F292" s="541">
        <f t="shared" ca="1" si="342"/>
        <v>23.391241021503664</v>
      </c>
      <c r="G292" s="541">
        <f t="shared" ca="1" si="342"/>
        <v>17.831254951407296</v>
      </c>
      <c r="H292" s="541">
        <f t="shared" ca="1" si="342"/>
        <v>14.390840355988781</v>
      </c>
      <c r="I292" s="2270">
        <f t="shared" ca="1" si="342"/>
        <v>15.43310557402692</v>
      </c>
      <c r="J292" s="541">
        <f t="shared" ca="1" si="342"/>
        <v>12.472141253567719</v>
      </c>
      <c r="K292" s="541">
        <f t="shared" ca="1" si="342"/>
        <v>13.572532327406783</v>
      </c>
      <c r="L292" s="541">
        <f t="shared" ca="1" si="342"/>
        <v>12.407758568455503</v>
      </c>
      <c r="M292" s="541">
        <f t="shared" ca="1" si="342"/>
        <v>12.197594477649631</v>
      </c>
      <c r="N292" s="541">
        <f t="shared" ca="1" si="342"/>
        <v>11.362590712045925</v>
      </c>
      <c r="O292" s="541">
        <f t="shared" ca="1" si="342"/>
        <v>11.666208443548365</v>
      </c>
      <c r="P292" s="541">
        <f t="shared" ca="1" si="342"/>
        <v>11.494081857441106</v>
      </c>
      <c r="Q292" s="541">
        <f t="shared" ca="1" si="342"/>
        <v>11.319759369850148</v>
      </c>
      <c r="R292" s="541">
        <f t="shared" ca="1" si="342"/>
        <v>11.142706446152907</v>
      </c>
      <c r="S292" s="541">
        <f t="shared" ca="1" si="342"/>
        <v>10.962391339848603</v>
      </c>
      <c r="T292" s="541">
        <f ca="1">T291/T279</f>
        <v>10.77828188806143</v>
      </c>
      <c r="U292" s="541">
        <f ca="1">U291/U279</f>
        <v>10.589842528791658</v>
      </c>
      <c r="V292" s="541">
        <f ca="1">V291/V279</f>
        <v>10.396531495597392</v>
      </c>
      <c r="W292" s="541">
        <f t="shared" ref="W292:Y292" ca="1" si="343">W291/W279</f>
        <v>10.19779815185797</v>
      </c>
      <c r="X292" s="541">
        <f t="shared" ca="1" si="343"/>
        <v>9.9930804320260247</v>
      </c>
      <c r="Y292" s="541">
        <f t="shared" ca="1" si="343"/>
        <v>9.7818023615535719</v>
      </c>
    </row>
    <row r="293" spans="1:26">
      <c r="A293" s="777" t="s">
        <v>73</v>
      </c>
      <c r="B293" s="541">
        <f ca="1">B291/C279</f>
        <v>13.643689231521611</v>
      </c>
      <c r="C293" s="541">
        <f t="shared" ref="C293:R293" ca="1" si="344">C291/D279</f>
        <v>11.324732542362204</v>
      </c>
      <c r="D293" s="541">
        <f t="shared" ca="1" si="344"/>
        <v>12.778368287112187</v>
      </c>
      <c r="E293" s="541">
        <f t="shared" ca="1" si="344"/>
        <v>22.170369598212037</v>
      </c>
      <c r="F293" s="541">
        <f t="shared" ca="1" si="344"/>
        <v>17.07104497948178</v>
      </c>
      <c r="G293" s="541">
        <f t="shared" ca="1" si="344"/>
        <v>13.916131581641784</v>
      </c>
      <c r="H293" s="541">
        <f t="shared" ca="1" si="344"/>
        <v>14.875924862370423</v>
      </c>
      <c r="I293" s="2270">
        <f t="shared" ca="1" si="344"/>
        <v>12.155277841490228</v>
      </c>
      <c r="J293" s="541">
        <f t="shared" ca="1" si="344"/>
        <v>13.171513660309833</v>
      </c>
      <c r="K293" s="541">
        <f t="shared" ca="1" si="344"/>
        <v>12.102174658604381</v>
      </c>
      <c r="L293" s="541">
        <f t="shared" ca="1" si="344"/>
        <v>11.911448225717281</v>
      </c>
      <c r="M293" s="541">
        <f t="shared" ca="1" si="344"/>
        <v>11.141227820610615</v>
      </c>
      <c r="N293" s="541">
        <f t="shared" ca="1" si="344"/>
        <v>11.420064465440873</v>
      </c>
      <c r="O293" s="541">
        <f t="shared" ca="1" si="344"/>
        <v>11.261259427310357</v>
      </c>
      <c r="P293" s="541">
        <f t="shared" ca="1" si="344"/>
        <v>11.101043800249164</v>
      </c>
      <c r="Q293" s="541">
        <f t="shared" ca="1" si="344"/>
        <v>10.938247345668412</v>
      </c>
      <c r="R293" s="541">
        <f t="shared" ca="1" si="344"/>
        <v>10.772381529580421</v>
      </c>
      <c r="S293" s="541">
        <f ca="1">S291/T279</f>
        <v>10.602957120292663</v>
      </c>
      <c r="T293" s="541">
        <f ca="1">T291/U279</f>
        <v>10.429481461093555</v>
      </c>
      <c r="U293" s="541">
        <f ca="1">U291/V279</f>
        <v>10.25145590300032</v>
      </c>
      <c r="V293" s="541">
        <f ca="1">V291/W279</f>
        <v>10.068373363132189</v>
      </c>
      <c r="W293" s="541">
        <f t="shared" ref="W293:X293" ca="1" si="345">W291/X279</f>
        <v>9.8797159790420803</v>
      </c>
      <c r="X293" s="541">
        <f t="shared" ca="1" si="345"/>
        <v>9.6849528332213559</v>
      </c>
    </row>
    <row r="294" spans="1:26">
      <c r="A294" s="778" t="s">
        <v>61</v>
      </c>
      <c r="B294" s="11">
        <f t="shared" ref="B294:Q294" si="346">+C294+1</f>
        <v>23</v>
      </c>
      <c r="C294" s="11">
        <f t="shared" si="346"/>
        <v>22</v>
      </c>
      <c r="D294" s="11">
        <f t="shared" si="346"/>
        <v>21</v>
      </c>
      <c r="E294" s="11">
        <f t="shared" si="346"/>
        <v>20</v>
      </c>
      <c r="F294" s="11">
        <f t="shared" si="346"/>
        <v>19</v>
      </c>
      <c r="G294" s="11">
        <f t="shared" si="346"/>
        <v>18</v>
      </c>
      <c r="H294" s="11">
        <f t="shared" si="346"/>
        <v>17</v>
      </c>
      <c r="I294" s="1108">
        <f t="shared" si="346"/>
        <v>16</v>
      </c>
      <c r="J294" s="11">
        <f t="shared" si="346"/>
        <v>15</v>
      </c>
      <c r="K294" s="11">
        <f t="shared" si="346"/>
        <v>14</v>
      </c>
      <c r="L294" s="11">
        <f t="shared" si="346"/>
        <v>13</v>
      </c>
      <c r="M294" s="11">
        <f t="shared" si="346"/>
        <v>12</v>
      </c>
      <c r="N294" s="11">
        <f t="shared" si="346"/>
        <v>11</v>
      </c>
      <c r="O294" s="11">
        <f t="shared" si="346"/>
        <v>10</v>
      </c>
      <c r="P294" s="11">
        <f t="shared" si="346"/>
        <v>9</v>
      </c>
      <c r="Q294" s="11">
        <f t="shared" si="346"/>
        <v>8</v>
      </c>
      <c r="R294" s="11">
        <f t="shared" ref="R294:V294" si="347">+S294+1</f>
        <v>7</v>
      </c>
      <c r="S294" s="11">
        <f t="shared" si="347"/>
        <v>6</v>
      </c>
      <c r="T294" s="11">
        <f t="shared" si="347"/>
        <v>5</v>
      </c>
      <c r="U294" s="11">
        <f t="shared" si="347"/>
        <v>4</v>
      </c>
      <c r="V294" s="11">
        <f t="shared" si="347"/>
        <v>3</v>
      </c>
      <c r="W294" s="11">
        <f t="shared" ref="W294" si="348">+X294+1</f>
        <v>2</v>
      </c>
      <c r="X294" s="11">
        <f t="shared" ref="X294" si="349">+Y294+1</f>
        <v>1</v>
      </c>
      <c r="Y294" s="469">
        <v>0</v>
      </c>
      <c r="Z294" s="1396"/>
    </row>
    <row r="295" spans="1:26">
      <c r="A295" s="91"/>
      <c r="B295" s="91"/>
      <c r="C295" s="91"/>
      <c r="D295" s="91"/>
      <c r="E295" s="91"/>
      <c r="F295" s="91"/>
      <c r="G295" s="91"/>
      <c r="H295" s="91"/>
      <c r="I295" s="1710"/>
      <c r="J295" s="91"/>
      <c r="K295" s="91"/>
      <c r="L295" s="91"/>
      <c r="M295" s="91"/>
      <c r="N295" s="91"/>
      <c r="O295" s="91"/>
      <c r="P295" s="91"/>
      <c r="R295" s="1048"/>
      <c r="S295" s="1048"/>
      <c r="T295" s="1048"/>
      <c r="U295" s="1048"/>
      <c r="V295" s="1048"/>
      <c r="W295" s="1048"/>
    </row>
    <row r="296" spans="1:26">
      <c r="A296" s="779" t="s">
        <v>1829</v>
      </c>
      <c r="B296" s="780"/>
      <c r="C296" s="781"/>
      <c r="D296" s="781"/>
      <c r="E296" s="782"/>
      <c r="F296" s="782"/>
      <c r="G296" s="782"/>
      <c r="H296" s="782"/>
      <c r="I296" s="2582"/>
      <c r="J296" s="782"/>
      <c r="K296" s="782"/>
      <c r="L296" s="782"/>
      <c r="M296" s="2582"/>
      <c r="N296" s="2583"/>
      <c r="O296" s="2582"/>
      <c r="P296" s="2582"/>
      <c r="Q296" s="2582"/>
      <c r="R296" s="2582"/>
      <c r="S296" s="2582"/>
      <c r="T296" s="2582"/>
      <c r="U296" s="2582"/>
      <c r="V296" s="2582"/>
      <c r="W296" s="2582"/>
      <c r="X296" s="2582"/>
      <c r="Y296" s="2582"/>
    </row>
    <row r="297" spans="1:26">
      <c r="A297" s="301"/>
      <c r="B297" s="772">
        <v>2005</v>
      </c>
      <c r="C297" s="772">
        <f>B297+1</f>
        <v>2006</v>
      </c>
      <c r="D297" s="772">
        <f t="shared" ref="D297:N297" si="350">C297+1</f>
        <v>2007</v>
      </c>
      <c r="E297" s="772">
        <f t="shared" si="350"/>
        <v>2008</v>
      </c>
      <c r="F297" s="772">
        <f t="shared" si="350"/>
        <v>2009</v>
      </c>
      <c r="G297" s="772">
        <f t="shared" si="350"/>
        <v>2010</v>
      </c>
      <c r="H297" s="772">
        <f t="shared" si="350"/>
        <v>2011</v>
      </c>
      <c r="I297" s="2674">
        <f t="shared" si="350"/>
        <v>2012</v>
      </c>
      <c r="J297" s="772">
        <f t="shared" si="350"/>
        <v>2013</v>
      </c>
      <c r="K297" s="772">
        <f t="shared" si="350"/>
        <v>2014</v>
      </c>
      <c r="L297" s="772">
        <f t="shared" si="350"/>
        <v>2015</v>
      </c>
      <c r="M297" s="772">
        <f t="shared" si="350"/>
        <v>2016</v>
      </c>
      <c r="N297" s="772">
        <f t="shared" si="350"/>
        <v>2017</v>
      </c>
      <c r="O297" s="772">
        <f t="shared" ref="O297:Y297" si="351">N297+1</f>
        <v>2018</v>
      </c>
      <c r="P297" s="772">
        <f t="shared" si="351"/>
        <v>2019</v>
      </c>
      <c r="Q297" s="772">
        <f t="shared" si="351"/>
        <v>2020</v>
      </c>
      <c r="R297" s="1271">
        <f t="shared" si="351"/>
        <v>2021</v>
      </c>
      <c r="S297" s="1271">
        <f t="shared" si="351"/>
        <v>2022</v>
      </c>
      <c r="T297" s="1271">
        <f t="shared" si="351"/>
        <v>2023</v>
      </c>
      <c r="U297" s="1271">
        <f t="shared" si="351"/>
        <v>2024</v>
      </c>
      <c r="V297" s="1271">
        <f t="shared" si="351"/>
        <v>2025</v>
      </c>
      <c r="W297" s="1271">
        <f t="shared" si="351"/>
        <v>2026</v>
      </c>
      <c r="X297" s="1271">
        <f t="shared" si="351"/>
        <v>2027</v>
      </c>
      <c r="Y297" s="1271">
        <f t="shared" si="351"/>
        <v>2028</v>
      </c>
    </row>
    <row r="298" spans="1:26">
      <c r="A298" s="36" t="s">
        <v>65</v>
      </c>
      <c r="B298" s="91"/>
      <c r="C298" s="91"/>
      <c r="D298" s="91"/>
      <c r="E298" s="91"/>
      <c r="F298" s="91"/>
      <c r="G298" s="91"/>
      <c r="H298" s="91"/>
      <c r="I298" s="1710"/>
      <c r="J298" s="91"/>
      <c r="K298" s="91"/>
      <c r="L298" s="91"/>
      <c r="M298" s="91"/>
      <c r="N298" s="91"/>
      <c r="O298" s="91"/>
      <c r="P298" s="91"/>
      <c r="Q298" s="91"/>
      <c r="R298" s="304"/>
      <c r="S298" s="304"/>
      <c r="T298" s="304"/>
      <c r="U298" s="304"/>
      <c r="V298" s="304"/>
      <c r="W298" s="304"/>
      <c r="X298" s="304"/>
      <c r="Y298" s="304"/>
    </row>
    <row r="299" spans="1:26">
      <c r="A299" s="295" t="s">
        <v>246</v>
      </c>
      <c r="B299" s="488">
        <f ca="1">B52</f>
        <v>4.6359932385549224E-2</v>
      </c>
      <c r="C299" s="536">
        <f ca="1">B299</f>
        <v>4.6359932385549224E-2</v>
      </c>
      <c r="D299" s="536">
        <f t="shared" ref="D299:O299" ca="1" si="352">C299</f>
        <v>4.6359932385549224E-2</v>
      </c>
      <c r="E299" s="536">
        <f t="shared" ca="1" si="352"/>
        <v>4.6359932385549224E-2</v>
      </c>
      <c r="F299" s="536">
        <f t="shared" ca="1" si="352"/>
        <v>4.6359932385549224E-2</v>
      </c>
      <c r="G299" s="536">
        <f t="shared" ca="1" si="352"/>
        <v>4.6359932385549224E-2</v>
      </c>
      <c r="H299" s="536">
        <f t="shared" ca="1" si="352"/>
        <v>4.6359932385549224E-2</v>
      </c>
      <c r="I299" s="2267">
        <f t="shared" ca="1" si="352"/>
        <v>4.6359932385549224E-2</v>
      </c>
      <c r="J299" s="536">
        <f t="shared" ca="1" si="352"/>
        <v>4.6359932385549224E-2</v>
      </c>
      <c r="K299" s="536">
        <f t="shared" ca="1" si="352"/>
        <v>4.6359932385549224E-2</v>
      </c>
      <c r="L299" s="536">
        <f t="shared" ca="1" si="352"/>
        <v>4.6359932385549224E-2</v>
      </c>
      <c r="M299" s="536">
        <f t="shared" ca="1" si="352"/>
        <v>4.6359932385549224E-2</v>
      </c>
      <c r="N299" s="536">
        <f t="shared" ca="1" si="352"/>
        <v>4.6359932385549224E-2</v>
      </c>
      <c r="O299" s="536">
        <f t="shared" ca="1" si="352"/>
        <v>4.6359932385549224E-2</v>
      </c>
      <c r="P299" s="536">
        <f t="shared" ref="P299:Q304" ca="1" si="353">O299</f>
        <v>4.6359932385549224E-2</v>
      </c>
      <c r="Q299" s="536">
        <f t="shared" ca="1" si="353"/>
        <v>4.6359932385549224E-2</v>
      </c>
      <c r="R299" s="536">
        <f t="shared" ref="R299:S304" ca="1" si="354">Q299</f>
        <v>4.6359932385549224E-2</v>
      </c>
      <c r="S299" s="536">
        <f t="shared" ca="1" si="354"/>
        <v>4.6359932385549224E-2</v>
      </c>
      <c r="T299" s="536">
        <f t="shared" ref="T299:Y304" ca="1" si="355">S299</f>
        <v>4.6359932385549224E-2</v>
      </c>
      <c r="U299" s="536">
        <f t="shared" ca="1" si="355"/>
        <v>4.6359932385549224E-2</v>
      </c>
      <c r="V299" s="536">
        <f t="shared" ca="1" si="355"/>
        <v>4.6359932385549224E-2</v>
      </c>
      <c r="W299" s="536">
        <f t="shared" ca="1" si="355"/>
        <v>4.6359932385549224E-2</v>
      </c>
      <c r="X299" s="536">
        <f t="shared" ca="1" si="355"/>
        <v>4.6359932385549224E-2</v>
      </c>
      <c r="Y299" s="536">
        <f t="shared" ca="1" si="355"/>
        <v>4.6359932385549224E-2</v>
      </c>
    </row>
    <row r="300" spans="1:26">
      <c r="A300" s="295" t="s">
        <v>247</v>
      </c>
      <c r="B300" s="488">
        <f>B53</f>
        <v>0.1</v>
      </c>
      <c r="C300" s="536">
        <f t="shared" ref="C300:O304" si="356">B300</f>
        <v>0.1</v>
      </c>
      <c r="D300" s="536">
        <f t="shared" si="356"/>
        <v>0.1</v>
      </c>
      <c r="E300" s="536">
        <f t="shared" si="356"/>
        <v>0.1</v>
      </c>
      <c r="F300" s="536">
        <f t="shared" si="356"/>
        <v>0.1</v>
      </c>
      <c r="G300" s="536">
        <f t="shared" si="356"/>
        <v>0.1</v>
      </c>
      <c r="H300" s="536">
        <f t="shared" si="356"/>
        <v>0.1</v>
      </c>
      <c r="I300" s="2267">
        <f t="shared" si="356"/>
        <v>0.1</v>
      </c>
      <c r="J300" s="536">
        <f t="shared" si="356"/>
        <v>0.1</v>
      </c>
      <c r="K300" s="536">
        <f t="shared" si="356"/>
        <v>0.1</v>
      </c>
      <c r="L300" s="536">
        <f t="shared" si="356"/>
        <v>0.1</v>
      </c>
      <c r="M300" s="536">
        <f t="shared" si="356"/>
        <v>0.1</v>
      </c>
      <c r="N300" s="536">
        <f t="shared" si="356"/>
        <v>0.1</v>
      </c>
      <c r="O300" s="536">
        <f t="shared" si="356"/>
        <v>0.1</v>
      </c>
      <c r="P300" s="536">
        <f t="shared" si="353"/>
        <v>0.1</v>
      </c>
      <c r="Q300" s="536">
        <f t="shared" si="353"/>
        <v>0.1</v>
      </c>
      <c r="R300" s="536">
        <f t="shared" si="354"/>
        <v>0.1</v>
      </c>
      <c r="S300" s="536">
        <f t="shared" si="354"/>
        <v>0.1</v>
      </c>
      <c r="T300" s="536">
        <f t="shared" si="355"/>
        <v>0.1</v>
      </c>
      <c r="U300" s="536">
        <f t="shared" si="355"/>
        <v>0.1</v>
      </c>
      <c r="V300" s="536">
        <f t="shared" si="355"/>
        <v>0.1</v>
      </c>
      <c r="W300" s="536">
        <f t="shared" si="355"/>
        <v>0.1</v>
      </c>
      <c r="X300" s="536">
        <f t="shared" si="355"/>
        <v>0.1</v>
      </c>
      <c r="Y300" s="536">
        <f t="shared" si="355"/>
        <v>0.1</v>
      </c>
    </row>
    <row r="301" spans="1:26">
      <c r="A301" s="295" t="s">
        <v>248</v>
      </c>
      <c r="B301" s="488">
        <f>B54</f>
        <v>0.3</v>
      </c>
      <c r="C301" s="536">
        <f t="shared" si="356"/>
        <v>0.3</v>
      </c>
      <c r="D301" s="536">
        <f t="shared" si="356"/>
        <v>0.3</v>
      </c>
      <c r="E301" s="536">
        <f t="shared" si="356"/>
        <v>0.3</v>
      </c>
      <c r="F301" s="536">
        <f t="shared" si="356"/>
        <v>0.3</v>
      </c>
      <c r="G301" s="536">
        <f t="shared" si="356"/>
        <v>0.3</v>
      </c>
      <c r="H301" s="536">
        <f t="shared" si="356"/>
        <v>0.3</v>
      </c>
      <c r="I301" s="2267">
        <f t="shared" si="356"/>
        <v>0.3</v>
      </c>
      <c r="J301" s="536">
        <f t="shared" si="356"/>
        <v>0.3</v>
      </c>
      <c r="K301" s="536">
        <f t="shared" si="356"/>
        <v>0.3</v>
      </c>
      <c r="L301" s="536">
        <f t="shared" si="356"/>
        <v>0.3</v>
      </c>
      <c r="M301" s="536">
        <f t="shared" si="356"/>
        <v>0.3</v>
      </c>
      <c r="N301" s="536">
        <f t="shared" si="356"/>
        <v>0.3</v>
      </c>
      <c r="O301" s="536">
        <f t="shared" si="356"/>
        <v>0.3</v>
      </c>
      <c r="P301" s="536">
        <f t="shared" si="353"/>
        <v>0.3</v>
      </c>
      <c r="Q301" s="536">
        <f t="shared" si="353"/>
        <v>0.3</v>
      </c>
      <c r="R301" s="536">
        <f t="shared" si="354"/>
        <v>0.3</v>
      </c>
      <c r="S301" s="536">
        <f t="shared" si="354"/>
        <v>0.3</v>
      </c>
      <c r="T301" s="536">
        <f t="shared" si="355"/>
        <v>0.3</v>
      </c>
      <c r="U301" s="536">
        <f t="shared" si="355"/>
        <v>0.3</v>
      </c>
      <c r="V301" s="536">
        <f t="shared" si="355"/>
        <v>0.3</v>
      </c>
      <c r="W301" s="536">
        <f t="shared" si="355"/>
        <v>0.3</v>
      </c>
      <c r="X301" s="536">
        <f t="shared" si="355"/>
        <v>0.3</v>
      </c>
      <c r="Y301" s="536">
        <f t="shared" si="355"/>
        <v>0.3</v>
      </c>
    </row>
    <row r="302" spans="1:26">
      <c r="A302" s="295" t="s">
        <v>249</v>
      </c>
      <c r="B302" s="488">
        <f>B55</f>
        <v>0.245</v>
      </c>
      <c r="C302" s="536">
        <f t="shared" si="356"/>
        <v>0.245</v>
      </c>
      <c r="D302" s="536">
        <f t="shared" si="356"/>
        <v>0.245</v>
      </c>
      <c r="E302" s="536">
        <f t="shared" si="356"/>
        <v>0.245</v>
      </c>
      <c r="F302" s="536">
        <f t="shared" si="356"/>
        <v>0.245</v>
      </c>
      <c r="G302" s="536">
        <f t="shared" si="356"/>
        <v>0.245</v>
      </c>
      <c r="H302" s="536">
        <f t="shared" si="356"/>
        <v>0.245</v>
      </c>
      <c r="I302" s="2267">
        <f t="shared" si="356"/>
        <v>0.245</v>
      </c>
      <c r="J302" s="536">
        <f t="shared" si="356"/>
        <v>0.245</v>
      </c>
      <c r="K302" s="536">
        <f t="shared" si="356"/>
        <v>0.245</v>
      </c>
      <c r="L302" s="536">
        <f t="shared" si="356"/>
        <v>0.245</v>
      </c>
      <c r="M302" s="536">
        <f t="shared" si="356"/>
        <v>0.245</v>
      </c>
      <c r="N302" s="536">
        <f t="shared" si="356"/>
        <v>0.245</v>
      </c>
      <c r="O302" s="536">
        <f t="shared" si="356"/>
        <v>0.245</v>
      </c>
      <c r="P302" s="536">
        <f t="shared" si="353"/>
        <v>0.245</v>
      </c>
      <c r="Q302" s="536">
        <f t="shared" si="353"/>
        <v>0.245</v>
      </c>
      <c r="R302" s="536">
        <f t="shared" si="354"/>
        <v>0.245</v>
      </c>
      <c r="S302" s="536">
        <f t="shared" si="354"/>
        <v>0.245</v>
      </c>
      <c r="T302" s="536">
        <f t="shared" si="355"/>
        <v>0.245</v>
      </c>
      <c r="U302" s="536">
        <f t="shared" si="355"/>
        <v>0.245</v>
      </c>
      <c r="V302" s="536">
        <f t="shared" si="355"/>
        <v>0.245</v>
      </c>
      <c r="W302" s="536">
        <f t="shared" si="355"/>
        <v>0.245</v>
      </c>
      <c r="X302" s="536">
        <f t="shared" si="355"/>
        <v>0.245</v>
      </c>
      <c r="Y302" s="536">
        <f t="shared" si="355"/>
        <v>0.245</v>
      </c>
    </row>
    <row r="303" spans="1:26">
      <c r="A303" s="295" t="s">
        <v>250</v>
      </c>
      <c r="B303" s="298">
        <f ca="1">((B299*(1-B302)*B301))+(B300*(1-B301))</f>
        <v>8.0500524685326896E-2</v>
      </c>
      <c r="C303" s="536">
        <f t="shared" ca="1" si="356"/>
        <v>8.0500524685326896E-2</v>
      </c>
      <c r="D303" s="536">
        <f t="shared" ca="1" si="356"/>
        <v>8.0500524685326896E-2</v>
      </c>
      <c r="E303" s="536">
        <f t="shared" ca="1" si="356"/>
        <v>8.0500524685326896E-2</v>
      </c>
      <c r="F303" s="536">
        <f t="shared" ca="1" si="356"/>
        <v>8.0500524685326896E-2</v>
      </c>
      <c r="G303" s="536">
        <f t="shared" ca="1" si="356"/>
        <v>8.0500524685326896E-2</v>
      </c>
      <c r="H303" s="536">
        <f t="shared" ca="1" si="356"/>
        <v>8.0500524685326896E-2</v>
      </c>
      <c r="I303" s="2267">
        <f t="shared" ca="1" si="356"/>
        <v>8.0500524685326896E-2</v>
      </c>
      <c r="J303" s="536">
        <f t="shared" ca="1" si="356"/>
        <v>8.0500524685326896E-2</v>
      </c>
      <c r="K303" s="536">
        <f t="shared" ca="1" si="356"/>
        <v>8.0500524685326896E-2</v>
      </c>
      <c r="L303" s="536">
        <f t="shared" ca="1" si="356"/>
        <v>8.0500524685326896E-2</v>
      </c>
      <c r="M303" s="536">
        <f t="shared" ca="1" si="356"/>
        <v>8.0500524685326896E-2</v>
      </c>
      <c r="N303" s="536">
        <f t="shared" ca="1" si="356"/>
        <v>8.0500524685326896E-2</v>
      </c>
      <c r="O303" s="536">
        <f t="shared" ca="1" si="356"/>
        <v>8.0500524685326896E-2</v>
      </c>
      <c r="P303" s="536">
        <f t="shared" ca="1" si="353"/>
        <v>8.0500524685326896E-2</v>
      </c>
      <c r="Q303" s="536">
        <f t="shared" ca="1" si="353"/>
        <v>8.0500524685326896E-2</v>
      </c>
      <c r="R303" s="536">
        <f t="shared" ca="1" si="354"/>
        <v>8.0500524685326896E-2</v>
      </c>
      <c r="S303" s="536">
        <f t="shared" ca="1" si="354"/>
        <v>8.0500524685326896E-2</v>
      </c>
      <c r="T303" s="536">
        <f t="shared" ca="1" si="355"/>
        <v>8.0500524685326896E-2</v>
      </c>
      <c r="U303" s="536">
        <f t="shared" ca="1" si="355"/>
        <v>8.0500524685326896E-2</v>
      </c>
      <c r="V303" s="536">
        <f t="shared" ca="1" si="355"/>
        <v>8.0500524685326896E-2</v>
      </c>
      <c r="W303" s="536">
        <f t="shared" ca="1" si="355"/>
        <v>8.0500524685326896E-2</v>
      </c>
      <c r="X303" s="536">
        <f t="shared" ca="1" si="355"/>
        <v>8.0500524685326896E-2</v>
      </c>
      <c r="Y303" s="536">
        <f t="shared" ca="1" si="355"/>
        <v>8.0500524685326896E-2</v>
      </c>
    </row>
    <row r="304" spans="1:26">
      <c r="A304" s="295" t="s">
        <v>251</v>
      </c>
      <c r="B304" s="488">
        <f>B57</f>
        <v>0.02</v>
      </c>
      <c r="C304" s="536">
        <f t="shared" si="356"/>
        <v>0.02</v>
      </c>
      <c r="D304" s="536">
        <f t="shared" si="356"/>
        <v>0.02</v>
      </c>
      <c r="E304" s="536">
        <f t="shared" si="356"/>
        <v>0.02</v>
      </c>
      <c r="F304" s="536">
        <f t="shared" si="356"/>
        <v>0.02</v>
      </c>
      <c r="G304" s="536">
        <f t="shared" si="356"/>
        <v>0.02</v>
      </c>
      <c r="H304" s="536">
        <f t="shared" si="356"/>
        <v>0.02</v>
      </c>
      <c r="I304" s="2267">
        <f t="shared" si="356"/>
        <v>0.02</v>
      </c>
      <c r="J304" s="536">
        <f t="shared" si="356"/>
        <v>0.02</v>
      </c>
      <c r="K304" s="536">
        <f t="shared" si="356"/>
        <v>0.02</v>
      </c>
      <c r="L304" s="536">
        <f t="shared" si="356"/>
        <v>0.02</v>
      </c>
      <c r="M304" s="536">
        <f t="shared" si="356"/>
        <v>0.02</v>
      </c>
      <c r="N304" s="536">
        <f t="shared" si="356"/>
        <v>0.02</v>
      </c>
      <c r="O304" s="536">
        <f t="shared" si="356"/>
        <v>0.02</v>
      </c>
      <c r="P304" s="536">
        <f t="shared" si="353"/>
        <v>0.02</v>
      </c>
      <c r="Q304" s="536">
        <f t="shared" si="353"/>
        <v>0.02</v>
      </c>
      <c r="R304" s="536">
        <f t="shared" si="354"/>
        <v>0.02</v>
      </c>
      <c r="S304" s="536">
        <f t="shared" si="354"/>
        <v>0.02</v>
      </c>
      <c r="T304" s="536">
        <f t="shared" si="355"/>
        <v>0.02</v>
      </c>
      <c r="U304" s="536">
        <f t="shared" si="355"/>
        <v>0.02</v>
      </c>
      <c r="V304" s="536">
        <f t="shared" si="355"/>
        <v>0.02</v>
      </c>
      <c r="W304" s="536">
        <f t="shared" si="355"/>
        <v>0.02</v>
      </c>
      <c r="X304" s="536">
        <f t="shared" si="355"/>
        <v>0.02</v>
      </c>
      <c r="Y304" s="536">
        <f t="shared" si="355"/>
        <v>0.02</v>
      </c>
    </row>
    <row r="305" spans="1:26">
      <c r="A305" s="295"/>
      <c r="B305" s="2590"/>
      <c r="C305" s="2590"/>
      <c r="D305" s="2590"/>
      <c r="E305" s="2590"/>
      <c r="F305" s="2590"/>
      <c r="G305" s="2590"/>
      <c r="H305" s="2592" t="s">
        <v>1753</v>
      </c>
      <c r="I305" s="2673"/>
      <c r="J305" s="2590"/>
      <c r="K305" s="91"/>
      <c r="L305" s="91"/>
      <c r="M305" s="91"/>
      <c r="N305" s="91"/>
      <c r="O305" s="91"/>
      <c r="P305" s="91"/>
      <c r="Q305" s="91"/>
      <c r="R305" s="304"/>
      <c r="S305" s="304"/>
      <c r="T305" s="304"/>
      <c r="U305" s="304"/>
      <c r="V305" s="304"/>
      <c r="W305" s="304"/>
    </row>
    <row r="306" spans="1:26">
      <c r="A306" s="776" t="s">
        <v>243</v>
      </c>
      <c r="B306" s="2590"/>
      <c r="C306" s="2590"/>
      <c r="D306" s="2590"/>
      <c r="E306" s="2584">
        <f>'CBS Interactive'!M33</f>
        <v>-21.212251040000087</v>
      </c>
      <c r="F306" s="2584">
        <f>'CBS Interactive'!N33</f>
        <v>-4.927176906249997</v>
      </c>
      <c r="G306" s="2584">
        <f>'CBS Interactive'!O33</f>
        <v>27.007983234298194</v>
      </c>
      <c r="H306" s="2584">
        <f>'CBS Interactive'!P33</f>
        <v>25.357437217863804</v>
      </c>
      <c r="I306" s="2584">
        <f>'CBS Interactive'!Q33</f>
        <v>50.711904014843327</v>
      </c>
      <c r="J306" s="2584">
        <f>'CBS Interactive'!R33</f>
        <v>92.200785295131467</v>
      </c>
      <c r="K306" s="540">
        <f>'CBS Interactive'!S33+'CBS Interactive'!S176</f>
        <v>114.60692491549236</v>
      </c>
      <c r="L306" s="540">
        <f>'CBS Interactive'!T33+'CBS Interactive'!T176</f>
        <v>126.89293618040625</v>
      </c>
      <c r="M306" s="540">
        <f ca="1">'CBS Interactive'!U33+'CBS Interactive'!U176</f>
        <v>124.61661624664396</v>
      </c>
      <c r="N306" s="540">
        <f>'CBS Interactive'!V33+'CBS Interactive'!V176</f>
        <v>122.65952597572249</v>
      </c>
      <c r="O306" s="540">
        <f>'CBS Interactive'!W33+'CBS Interactive'!W176</f>
        <v>110.50629798765792</v>
      </c>
      <c r="P306" s="540">
        <f>'CBS Interactive'!X33+'CBS Interactive'!X176</f>
        <v>114.67098897611656</v>
      </c>
      <c r="Q306" s="540">
        <f>'CBS Interactive'!Y33+'CBS Interactive'!Y176</f>
        <v>121.6181767733945</v>
      </c>
      <c r="R306" s="540">
        <f>'CBS Interactive'!Z33+'CBS Interactive'!Z176</f>
        <v>129.19698206064584</v>
      </c>
      <c r="S306" s="540">
        <f>'CBS Interactive'!AA33+'CBS Interactive'!AA176</f>
        <v>139.01983867080418</v>
      </c>
      <c r="T306" s="540">
        <f>'CBS Interactive'!AB33+'CBS Interactive'!AB176</f>
        <v>150.91424697324157</v>
      </c>
      <c r="U306" s="540">
        <f>'CBS Interactive'!AC33+'CBS Interactive'!AC176</f>
        <v>164.34290283854051</v>
      </c>
      <c r="V306" s="540">
        <f>'CBS Interactive'!AD33+'CBS Interactive'!AD176</f>
        <v>179.29427931050799</v>
      </c>
      <c r="W306" s="540">
        <f>'CBS Interactive'!AE33+'CBS Interactive'!AE176</f>
        <v>195.84402926836867</v>
      </c>
      <c r="X306" s="540">
        <f>'CBS Interactive'!AF33+'CBS Interactive'!AF176</f>
        <v>214.47058438402274</v>
      </c>
      <c r="Y306" s="540">
        <f>'CBS Interactive'!AG33+'CBS Interactive'!AG176</f>
        <v>235.20627889107624</v>
      </c>
    </row>
    <row r="307" spans="1:26">
      <c r="A307" s="776" t="s">
        <v>678</v>
      </c>
      <c r="B307" s="2590"/>
      <c r="C307" s="2590"/>
      <c r="D307" s="2590"/>
      <c r="E307" s="2584">
        <f>'CBS Interactive'!M28</f>
        <v>42.303718959999912</v>
      </c>
      <c r="F307" s="2584">
        <f>'CBS Interactive'!N28</f>
        <v>74.072823093750003</v>
      </c>
      <c r="G307" s="2584">
        <f>'CBS Interactive'!O28</f>
        <v>79.007983234298194</v>
      </c>
      <c r="H307" s="2584">
        <f>'CBS Interactive'!P28</f>
        <v>76.827994380694065</v>
      </c>
      <c r="I307" s="2584">
        <f>'CBS Interactive'!Q28</f>
        <v>90.711904014843327</v>
      </c>
      <c r="J307" s="2584">
        <f>'CBS Interactive'!R28</f>
        <v>127.40078529513147</v>
      </c>
      <c r="K307" s="540">
        <f>'CBS Interactive'!S28+'CBS Interactive'!S170</f>
        <v>145.01701141549236</v>
      </c>
      <c r="L307" s="540">
        <f>'CBS Interactive'!T28+'CBS Interactive'!T170</f>
        <v>153.03384049581018</v>
      </c>
      <c r="M307" s="540">
        <f>'CBS Interactive'!U28+'CBS Interactive'!U170</f>
        <v>150.87016200877571</v>
      </c>
      <c r="N307" s="540">
        <f>'CBS Interactive'!V28+'CBS Interactive'!V170</f>
        <v>152.73724969628859</v>
      </c>
      <c r="O307" s="540">
        <f>'CBS Interactive'!W28+'CBS Interactive'!W170</f>
        <v>141.77644012937105</v>
      </c>
      <c r="P307" s="540">
        <f>'CBS Interactive'!X28+'CBS Interactive'!X170</f>
        <v>146.23113821490807</v>
      </c>
      <c r="Q307" s="540">
        <f>'CBS Interactive'!Y28+'CBS Interactive'!Y170</f>
        <v>152.75150939896406</v>
      </c>
      <c r="R307" s="540">
        <f>'CBS Interactive'!Z28+'CBS Interactive'!Z170</f>
        <v>160.74339090851925</v>
      </c>
      <c r="S307" s="540">
        <f>'CBS Interactive'!AA28+'CBS Interactive'!AA170</f>
        <v>170.89112927272254</v>
      </c>
      <c r="T307" s="540">
        <f>'CBS Interactive'!AB28+'CBS Interactive'!AB170</f>
        <v>182.88530247219944</v>
      </c>
      <c r="U307" s="540">
        <f>'CBS Interactive'!AC28+'CBS Interactive'!AC170</f>
        <v>196.41422205902307</v>
      </c>
      <c r="V307" s="540">
        <f>'CBS Interactive'!AD28+'CBS Interactive'!AD170</f>
        <v>211.46636357112288</v>
      </c>
      <c r="W307" s="540">
        <f>'CBS Interactive'!AE28+'CBS Interactive'!AE170</f>
        <v>228.09988114284135</v>
      </c>
      <c r="X307" s="540">
        <f>'CBS Interactive'!AF28+'CBS Interactive'!AF170</f>
        <v>246.81062271042254</v>
      </c>
      <c r="Y307" s="540">
        <f>'CBS Interactive'!AG28+'CBS Interactive'!AG170</f>
        <v>267.63092460166274</v>
      </c>
    </row>
    <row r="308" spans="1:26">
      <c r="A308" s="776"/>
      <c r="B308" s="2590"/>
      <c r="C308" s="2590"/>
      <c r="D308" s="2590"/>
      <c r="E308" s="2590"/>
      <c r="F308" s="2590"/>
      <c r="G308" s="2590"/>
      <c r="H308" s="2590"/>
      <c r="I308" s="2673"/>
      <c r="J308" s="2590"/>
      <c r="K308" s="91"/>
      <c r="L308" s="91"/>
      <c r="M308" s="91"/>
      <c r="N308" s="91"/>
      <c r="O308" s="91"/>
      <c r="P308" s="91"/>
      <c r="Q308" s="91"/>
      <c r="R308" s="304"/>
      <c r="S308" s="304"/>
      <c r="T308" s="304"/>
      <c r="U308" s="304"/>
      <c r="V308" s="304"/>
      <c r="W308" s="304"/>
    </row>
    <row r="309" spans="1:26">
      <c r="A309" s="776" t="s">
        <v>1009</v>
      </c>
      <c r="B309" s="2590"/>
      <c r="C309" s="2590"/>
      <c r="D309" s="2590"/>
      <c r="E309" s="2586">
        <f>Y307*(1+B304)</f>
        <v>272.98354309369603</v>
      </c>
      <c r="F309" s="2586">
        <f>E309</f>
        <v>272.98354309369603</v>
      </c>
      <c r="G309" s="2586">
        <f t="shared" ref="G309:O309" si="357">F309</f>
        <v>272.98354309369603</v>
      </c>
      <c r="H309" s="2586">
        <f t="shared" si="357"/>
        <v>272.98354309369603</v>
      </c>
      <c r="I309" s="2584">
        <f t="shared" si="357"/>
        <v>272.98354309369603</v>
      </c>
      <c r="J309" s="2586">
        <f t="shared" si="357"/>
        <v>272.98354309369603</v>
      </c>
      <c r="K309" s="540">
        <f>J309</f>
        <v>272.98354309369603</v>
      </c>
      <c r="L309" s="540">
        <f t="shared" si="357"/>
        <v>272.98354309369603</v>
      </c>
      <c r="M309" s="540">
        <f t="shared" si="357"/>
        <v>272.98354309369603</v>
      </c>
      <c r="N309" s="540">
        <f t="shared" si="357"/>
        <v>272.98354309369603</v>
      </c>
      <c r="O309" s="540">
        <f t="shared" si="357"/>
        <v>272.98354309369603</v>
      </c>
      <c r="P309" s="540">
        <f t="shared" ref="P309:Q311" si="358">O309</f>
        <v>272.98354309369603</v>
      </c>
      <c r="Q309" s="540">
        <f t="shared" si="358"/>
        <v>272.98354309369603</v>
      </c>
      <c r="R309" s="540">
        <f t="shared" ref="R309:S311" si="359">Q309</f>
        <v>272.98354309369603</v>
      </c>
      <c r="S309" s="540">
        <f t="shared" si="359"/>
        <v>272.98354309369603</v>
      </c>
      <c r="T309" s="540">
        <f t="shared" ref="T309:Y311" si="360">S309</f>
        <v>272.98354309369603</v>
      </c>
      <c r="U309" s="540">
        <f t="shared" si="360"/>
        <v>272.98354309369603</v>
      </c>
      <c r="V309" s="540">
        <f t="shared" si="360"/>
        <v>272.98354309369603</v>
      </c>
      <c r="W309" s="540">
        <f t="shared" si="360"/>
        <v>272.98354309369603</v>
      </c>
      <c r="X309" s="540">
        <f t="shared" si="360"/>
        <v>272.98354309369603</v>
      </c>
      <c r="Y309" s="540">
        <f t="shared" si="360"/>
        <v>272.98354309369603</v>
      </c>
    </row>
    <row r="310" spans="1:26">
      <c r="A310" s="777" t="s">
        <v>54</v>
      </c>
      <c r="B310" s="2590"/>
      <c r="C310" s="2590"/>
      <c r="D310" s="2590"/>
      <c r="E310" s="2586">
        <f>$Y306*B302</f>
        <v>57.625538328313674</v>
      </c>
      <c r="F310" s="2586">
        <f>E310</f>
        <v>57.625538328313674</v>
      </c>
      <c r="G310" s="2586">
        <f t="shared" ref="G310:O310" si="361">F310</f>
        <v>57.625538328313674</v>
      </c>
      <c r="H310" s="2586">
        <f t="shared" si="361"/>
        <v>57.625538328313674</v>
      </c>
      <c r="I310" s="2584">
        <f t="shared" si="361"/>
        <v>57.625538328313674</v>
      </c>
      <c r="J310" s="2586">
        <f t="shared" si="361"/>
        <v>57.625538328313674</v>
      </c>
      <c r="K310" s="540">
        <f>J310</f>
        <v>57.625538328313674</v>
      </c>
      <c r="L310" s="540">
        <f t="shared" si="361"/>
        <v>57.625538328313674</v>
      </c>
      <c r="M310" s="540">
        <f t="shared" si="361"/>
        <v>57.625538328313674</v>
      </c>
      <c r="N310" s="540">
        <f t="shared" si="361"/>
        <v>57.625538328313674</v>
      </c>
      <c r="O310" s="540">
        <f t="shared" si="361"/>
        <v>57.625538328313674</v>
      </c>
      <c r="P310" s="540">
        <f t="shared" si="358"/>
        <v>57.625538328313674</v>
      </c>
      <c r="Q310" s="540">
        <f t="shared" si="358"/>
        <v>57.625538328313674</v>
      </c>
      <c r="R310" s="540">
        <f t="shared" si="359"/>
        <v>57.625538328313674</v>
      </c>
      <c r="S310" s="540">
        <f t="shared" si="359"/>
        <v>57.625538328313674</v>
      </c>
      <c r="T310" s="540">
        <f t="shared" si="360"/>
        <v>57.625538328313674</v>
      </c>
      <c r="U310" s="540">
        <f t="shared" si="360"/>
        <v>57.625538328313674</v>
      </c>
      <c r="V310" s="540">
        <f t="shared" si="360"/>
        <v>57.625538328313674</v>
      </c>
      <c r="W310" s="540">
        <f t="shared" si="360"/>
        <v>57.625538328313674</v>
      </c>
      <c r="X310" s="540">
        <f t="shared" si="360"/>
        <v>57.625538328313674</v>
      </c>
      <c r="Y310" s="540">
        <f t="shared" si="360"/>
        <v>57.625538328313674</v>
      </c>
    </row>
    <row r="311" spans="1:26">
      <c r="A311" s="777" t="s">
        <v>67</v>
      </c>
      <c r="B311" s="2590"/>
      <c r="C311" s="2590"/>
      <c r="D311" s="2590"/>
      <c r="E311" s="2587">
        <f>('CBS Interactive'!AF13+'CBS Interactive'!AF143)*0.015</f>
        <v>22.487102056768343</v>
      </c>
      <c r="F311" s="2587">
        <f>E311</f>
        <v>22.487102056768343</v>
      </c>
      <c r="G311" s="2587">
        <f t="shared" ref="G311:O311" si="362">F311</f>
        <v>22.487102056768343</v>
      </c>
      <c r="H311" s="2587">
        <f t="shared" si="362"/>
        <v>22.487102056768343</v>
      </c>
      <c r="I311" s="2672">
        <f t="shared" si="362"/>
        <v>22.487102056768343</v>
      </c>
      <c r="J311" s="2587">
        <f t="shared" si="362"/>
        <v>22.487102056768343</v>
      </c>
      <c r="K311" s="1019">
        <f>J311</f>
        <v>22.487102056768343</v>
      </c>
      <c r="L311" s="1019">
        <f t="shared" si="362"/>
        <v>22.487102056768343</v>
      </c>
      <c r="M311" s="1019">
        <f t="shared" si="362"/>
        <v>22.487102056768343</v>
      </c>
      <c r="N311" s="1019">
        <f t="shared" si="362"/>
        <v>22.487102056768343</v>
      </c>
      <c r="O311" s="1019">
        <f t="shared" si="362"/>
        <v>22.487102056768343</v>
      </c>
      <c r="P311" s="1019">
        <f t="shared" si="358"/>
        <v>22.487102056768343</v>
      </c>
      <c r="Q311" s="1019">
        <f t="shared" si="358"/>
        <v>22.487102056768343</v>
      </c>
      <c r="R311" s="1019">
        <f t="shared" si="359"/>
        <v>22.487102056768343</v>
      </c>
      <c r="S311" s="1019">
        <f t="shared" si="359"/>
        <v>22.487102056768343</v>
      </c>
      <c r="T311" s="1019">
        <f t="shared" si="360"/>
        <v>22.487102056768343</v>
      </c>
      <c r="U311" s="1019">
        <f t="shared" si="360"/>
        <v>22.487102056768343</v>
      </c>
      <c r="V311" s="1019">
        <f t="shared" si="360"/>
        <v>22.487102056768343</v>
      </c>
      <c r="W311" s="1019">
        <f t="shared" si="360"/>
        <v>22.487102056768343</v>
      </c>
      <c r="X311" s="1019">
        <f t="shared" si="360"/>
        <v>22.487102056768343</v>
      </c>
      <c r="Y311" s="1019">
        <f t="shared" si="360"/>
        <v>22.487102056768343</v>
      </c>
    </row>
    <row r="312" spans="1:26">
      <c r="A312" s="776" t="s">
        <v>56</v>
      </c>
      <c r="B312" s="2590"/>
      <c r="C312" s="2590"/>
      <c r="D312" s="2590"/>
      <c r="E312" s="2586">
        <f>+E309-E310-E311</f>
        <v>192.87090270861401</v>
      </c>
      <c r="F312" s="2586">
        <f t="shared" ref="F312:O312" si="363">+F309-F310-F311</f>
        <v>192.87090270861401</v>
      </c>
      <c r="G312" s="2586">
        <f t="shared" si="363"/>
        <v>192.87090270861401</v>
      </c>
      <c r="H312" s="2586">
        <f t="shared" si="363"/>
        <v>192.87090270861401</v>
      </c>
      <c r="I312" s="2584">
        <f t="shared" si="363"/>
        <v>192.87090270861401</v>
      </c>
      <c r="J312" s="2586">
        <f t="shared" si="363"/>
        <v>192.87090270861401</v>
      </c>
      <c r="K312" s="540">
        <f>+K309-K310-K311</f>
        <v>192.87090270861401</v>
      </c>
      <c r="L312" s="540">
        <f t="shared" si="363"/>
        <v>192.87090270861401</v>
      </c>
      <c r="M312" s="540">
        <f t="shared" si="363"/>
        <v>192.87090270861401</v>
      </c>
      <c r="N312" s="540">
        <f t="shared" si="363"/>
        <v>192.87090270861401</v>
      </c>
      <c r="O312" s="540">
        <f t="shared" si="363"/>
        <v>192.87090270861401</v>
      </c>
      <c r="P312" s="540">
        <f t="shared" ref="P312:U312" si="364">+P309-P310-P311</f>
        <v>192.87090270861401</v>
      </c>
      <c r="Q312" s="540">
        <f t="shared" si="364"/>
        <v>192.87090270861401</v>
      </c>
      <c r="R312" s="540">
        <f t="shared" si="364"/>
        <v>192.87090270861401</v>
      </c>
      <c r="S312" s="540">
        <f t="shared" si="364"/>
        <v>192.87090270861401</v>
      </c>
      <c r="T312" s="540">
        <f t="shared" si="364"/>
        <v>192.87090270861401</v>
      </c>
      <c r="U312" s="540">
        <f t="shared" si="364"/>
        <v>192.87090270861401</v>
      </c>
      <c r="V312" s="540">
        <f>+V309-V310-V311</f>
        <v>192.87090270861401</v>
      </c>
      <c r="W312" s="540">
        <f>+W309-W310-W311</f>
        <v>192.87090270861401</v>
      </c>
      <c r="X312" s="540">
        <f>+X309-X310-X311</f>
        <v>192.87090270861401</v>
      </c>
      <c r="Y312" s="540">
        <f>+Y309-Y310-Y311</f>
        <v>192.87090270861401</v>
      </c>
    </row>
    <row r="313" spans="1:26">
      <c r="A313" s="777" t="s">
        <v>57</v>
      </c>
      <c r="B313" s="2590"/>
      <c r="C313" s="2590"/>
      <c r="D313" s="2590"/>
      <c r="E313" s="2588">
        <f ca="1">1/(E303-E304)</f>
        <v>16.528782274222632</v>
      </c>
      <c r="F313" s="2588">
        <f t="shared" ref="F313:O313" ca="1" si="365">1/(F303-F304)</f>
        <v>16.528782274222632</v>
      </c>
      <c r="G313" s="2588">
        <f t="shared" ca="1" si="365"/>
        <v>16.528782274222632</v>
      </c>
      <c r="H313" s="2588">
        <f t="shared" ca="1" si="365"/>
        <v>16.528782274222632</v>
      </c>
      <c r="I313" s="2671">
        <f t="shared" ca="1" si="365"/>
        <v>16.528782274222632</v>
      </c>
      <c r="J313" s="2588">
        <f t="shared" ca="1" si="365"/>
        <v>16.528782274222632</v>
      </c>
      <c r="K313" s="181">
        <f ca="1">1/(K303-K304)</f>
        <v>16.528782274222632</v>
      </c>
      <c r="L313" s="181">
        <f t="shared" ca="1" si="365"/>
        <v>16.528782274222632</v>
      </c>
      <c r="M313" s="181">
        <f t="shared" ca="1" si="365"/>
        <v>16.528782274222632</v>
      </c>
      <c r="N313" s="181">
        <f t="shared" ca="1" si="365"/>
        <v>16.528782274222632</v>
      </c>
      <c r="O313" s="181">
        <f t="shared" ca="1" si="365"/>
        <v>16.528782274222632</v>
      </c>
      <c r="P313" s="181">
        <f t="shared" ref="P313:U313" ca="1" si="366">1/(P303-P304)</f>
        <v>16.528782274222632</v>
      </c>
      <c r="Q313" s="181">
        <f t="shared" ca="1" si="366"/>
        <v>16.528782274222632</v>
      </c>
      <c r="R313" s="181">
        <f t="shared" ca="1" si="366"/>
        <v>16.528782274222632</v>
      </c>
      <c r="S313" s="181">
        <f t="shared" ca="1" si="366"/>
        <v>16.528782274222632</v>
      </c>
      <c r="T313" s="181">
        <f t="shared" ca="1" si="366"/>
        <v>16.528782274222632</v>
      </c>
      <c r="U313" s="181">
        <f t="shared" ca="1" si="366"/>
        <v>16.528782274222632</v>
      </c>
      <c r="V313" s="181">
        <f ca="1">1/(V303-V304)</f>
        <v>16.528782274222632</v>
      </c>
      <c r="W313" s="181">
        <f ca="1">1/(W303-W304)</f>
        <v>16.528782274222632</v>
      </c>
      <c r="X313" s="181">
        <f ca="1">1/(X303-X304)</f>
        <v>16.528782274222632</v>
      </c>
      <c r="Y313" s="181">
        <f ca="1">1/(Y303-Y304)</f>
        <v>16.528782274222632</v>
      </c>
    </row>
    <row r="314" spans="1:26">
      <c r="A314" s="777" t="s">
        <v>58</v>
      </c>
      <c r="B314" s="2590"/>
      <c r="C314" s="2590"/>
      <c r="D314" s="2590"/>
      <c r="E314" s="2588">
        <f ca="1">+E315/E309</f>
        <v>11.67807085282525</v>
      </c>
      <c r="F314" s="2588">
        <f t="shared" ref="F314:O314" ca="1" si="367">+F315/F309</f>
        <v>11.67807085282525</v>
      </c>
      <c r="G314" s="2588">
        <f t="shared" ca="1" si="367"/>
        <v>11.67807085282525</v>
      </c>
      <c r="H314" s="2588">
        <f t="shared" ca="1" si="367"/>
        <v>11.67807085282525</v>
      </c>
      <c r="I314" s="2671">
        <f t="shared" ca="1" si="367"/>
        <v>11.67807085282525</v>
      </c>
      <c r="J314" s="2588">
        <f t="shared" ca="1" si="367"/>
        <v>11.67807085282525</v>
      </c>
      <c r="K314" s="181">
        <f ca="1">+K315/K309</f>
        <v>11.67807085282525</v>
      </c>
      <c r="L314" s="181">
        <f t="shared" ca="1" si="367"/>
        <v>11.67807085282525</v>
      </c>
      <c r="M314" s="181">
        <f t="shared" ca="1" si="367"/>
        <v>11.67807085282525</v>
      </c>
      <c r="N314" s="181">
        <f t="shared" ca="1" si="367"/>
        <v>11.67807085282525</v>
      </c>
      <c r="O314" s="181">
        <f t="shared" ca="1" si="367"/>
        <v>11.67807085282525</v>
      </c>
      <c r="P314" s="181">
        <f t="shared" ref="P314:U314" ca="1" si="368">+P315/P309</f>
        <v>11.67807085282525</v>
      </c>
      <c r="Q314" s="181">
        <f t="shared" ca="1" si="368"/>
        <v>11.67807085282525</v>
      </c>
      <c r="R314" s="181">
        <f t="shared" ca="1" si="368"/>
        <v>11.67807085282525</v>
      </c>
      <c r="S314" s="181">
        <f t="shared" ca="1" si="368"/>
        <v>11.67807085282525</v>
      </c>
      <c r="T314" s="181">
        <f t="shared" ca="1" si="368"/>
        <v>11.67807085282525</v>
      </c>
      <c r="U314" s="181">
        <f t="shared" ca="1" si="368"/>
        <v>11.67807085282525</v>
      </c>
      <c r="V314" s="181">
        <f ca="1">+V315/V309</f>
        <v>11.67807085282525</v>
      </c>
      <c r="W314" s="181">
        <f ca="1">+W315/W309</f>
        <v>11.67807085282525</v>
      </c>
      <c r="X314" s="181">
        <f ca="1">+X315/X309</f>
        <v>11.67807085282525</v>
      </c>
      <c r="Y314" s="181">
        <f ca="1">+Y315/Y309</f>
        <v>11.67807085282525</v>
      </c>
    </row>
    <row r="315" spans="1:26">
      <c r="A315" s="776" t="s">
        <v>59</v>
      </c>
      <c r="B315" s="2590"/>
      <c r="C315" s="2590"/>
      <c r="D315" s="2590"/>
      <c r="E315" s="2588">
        <f ca="1">E313*E312</f>
        <v>3187.9211579034572</v>
      </c>
      <c r="F315" s="2588">
        <f t="shared" ref="F315:O315" ca="1" si="369">F313*F312</f>
        <v>3187.9211579034572</v>
      </c>
      <c r="G315" s="2588">
        <f t="shared" ca="1" si="369"/>
        <v>3187.9211579034572</v>
      </c>
      <c r="H315" s="2588">
        <f t="shared" ca="1" si="369"/>
        <v>3187.9211579034572</v>
      </c>
      <c r="I315" s="2671">
        <f t="shared" ca="1" si="369"/>
        <v>3187.9211579034572</v>
      </c>
      <c r="J315" s="2588">
        <f t="shared" ca="1" si="369"/>
        <v>3187.9211579034572</v>
      </c>
      <c r="K315" s="181">
        <f ca="1">K313*K312</f>
        <v>3187.9211579034572</v>
      </c>
      <c r="L315" s="181">
        <f t="shared" ca="1" si="369"/>
        <v>3187.9211579034572</v>
      </c>
      <c r="M315" s="181">
        <f t="shared" ca="1" si="369"/>
        <v>3187.9211579034572</v>
      </c>
      <c r="N315" s="181">
        <f t="shared" ca="1" si="369"/>
        <v>3187.9211579034572</v>
      </c>
      <c r="O315" s="181">
        <f t="shared" ca="1" si="369"/>
        <v>3187.9211579034572</v>
      </c>
      <c r="P315" s="181">
        <f t="shared" ref="P315:T315" ca="1" si="370">P313*P312</f>
        <v>3187.9211579034572</v>
      </c>
      <c r="Q315" s="181">
        <f t="shared" ca="1" si="370"/>
        <v>3187.9211579034572</v>
      </c>
      <c r="R315" s="181">
        <f t="shared" ca="1" si="370"/>
        <v>3187.9211579034572</v>
      </c>
      <c r="S315" s="181">
        <f t="shared" ca="1" si="370"/>
        <v>3187.9211579034572</v>
      </c>
      <c r="T315" s="181">
        <f t="shared" ca="1" si="370"/>
        <v>3187.9211579034572</v>
      </c>
      <c r="U315" s="181">
        <f ca="1">U313*U312</f>
        <v>3187.9211579034572</v>
      </c>
      <c r="V315" s="181">
        <f t="shared" ref="V315:Y315" ca="1" si="371">V313*V312</f>
        <v>3187.9211579034572</v>
      </c>
      <c r="W315" s="181">
        <f t="shared" ca="1" si="371"/>
        <v>3187.9211579034572</v>
      </c>
      <c r="X315" s="181">
        <f t="shared" ca="1" si="371"/>
        <v>3187.9211579034572</v>
      </c>
      <c r="Y315" s="181">
        <f t="shared" ca="1" si="371"/>
        <v>3187.9211579034572</v>
      </c>
    </row>
    <row r="316" spans="1:26">
      <c r="A316" s="776" t="s">
        <v>60</v>
      </c>
      <c r="B316" s="2590"/>
      <c r="C316" s="2590"/>
      <c r="D316" s="2590"/>
      <c r="E316" s="2588">
        <f ca="1">E315/((1+E303)^E322)</f>
        <v>677.65388094913965</v>
      </c>
      <c r="F316" s="2588">
        <f t="shared" ref="F316:O316" ca="1" si="372">F315/((1+F303)^F322)</f>
        <v>732.2053739205935</v>
      </c>
      <c r="G316" s="2588">
        <f t="shared" ca="1" si="372"/>
        <v>791.14829069861742</v>
      </c>
      <c r="H316" s="2588">
        <f t="shared" ca="1" si="372"/>
        <v>854.83614320375568</v>
      </c>
      <c r="I316" s="2671">
        <f t="shared" ca="1" si="372"/>
        <v>923.65090125163931</v>
      </c>
      <c r="J316" s="2588">
        <f t="shared" ca="1" si="372"/>
        <v>998.00528342847167</v>
      </c>
      <c r="K316" s="181">
        <f ca="1">K315/((1+K303)^K322)</f>
        <v>1078.3452323831921</v>
      </c>
      <c r="L316" s="181">
        <f t="shared" ca="1" si="372"/>
        <v>1165.1525893819598</v>
      </c>
      <c r="M316" s="181">
        <f t="shared" ca="1" si="372"/>
        <v>1258.9479841656751</v>
      </c>
      <c r="N316" s="181">
        <f t="shared" ca="1" si="372"/>
        <v>1360.2939574425466</v>
      </c>
      <c r="O316" s="181">
        <f t="shared" ca="1" si="372"/>
        <v>1469.7983347429513</v>
      </c>
      <c r="P316" s="181">
        <f t="shared" ref="P316:U316" ca="1" si="373">P315/((1+P303)^P322)</f>
        <v>1588.1178718713791</v>
      </c>
      <c r="Q316" s="181">
        <f t="shared" ca="1" si="373"/>
        <v>1715.9621938191699</v>
      </c>
      <c r="R316" s="181">
        <f t="shared" ca="1" si="373"/>
        <v>1854.0980507617978</v>
      </c>
      <c r="S316" s="181">
        <f t="shared" ca="1" si="373"/>
        <v>2003.3539166661647</v>
      </c>
      <c r="T316" s="181">
        <f t="shared" ca="1" si="373"/>
        <v>2164.6249580881959</v>
      </c>
      <c r="U316" s="181">
        <f t="shared" ca="1" si="373"/>
        <v>2338.8784029612493</v>
      </c>
      <c r="V316" s="181">
        <f ca="1">V315/((1+V303)^V322)</f>
        <v>2527.1593415748098</v>
      </c>
      <c r="W316" s="181">
        <f t="shared" ref="W316:Y316" ca="1" si="374">W315/((1+W303)^W322)</f>
        <v>2730.5969945350075</v>
      </c>
      <c r="X316" s="181">
        <f t="shared" ca="1" si="374"/>
        <v>2950.4114852992525</v>
      </c>
      <c r="Y316" s="181">
        <f t="shared" ca="1" si="374"/>
        <v>3187.9211579034572</v>
      </c>
    </row>
    <row r="317" spans="1:26">
      <c r="A317" s="776" t="s">
        <v>63</v>
      </c>
      <c r="B317" s="2590"/>
      <c r="C317" s="2590"/>
      <c r="D317" s="2590"/>
      <c r="E317" s="2589">
        <f ca="1">NPV(E303,F306:$X306)</f>
        <v>895.44445659354403</v>
      </c>
      <c r="F317" s="2589">
        <f ca="1">NPV(F303,G306:$X306)</f>
        <v>972.45538208214202</v>
      </c>
      <c r="G317" s="2589">
        <f ca="1">NPV(G303,H306:$X306)</f>
        <v>1023.7305673385262</v>
      </c>
      <c r="H317" s="2589">
        <f ca="1">NPV(H303,I306:$X306)</f>
        <v>1080.7839779278211</v>
      </c>
      <c r="I317" s="2670">
        <f ca="1">NPV(I303,J306:$X306)</f>
        <v>1117.0757512076623</v>
      </c>
      <c r="J317" s="2589">
        <f ca="1">NPV(J303,K306:$X306)</f>
        <v>1114.8001499980035</v>
      </c>
      <c r="K317" s="173">
        <f ca="1">NPV(K303,L306:$Y306)</f>
        <v>1169.4960257809448</v>
      </c>
      <c r="L317" s="173">
        <f ca="1">NPV(L303,M306:$Y306)</f>
        <v>1136.7481332933091</v>
      </c>
      <c r="M317" s="173">
        <f ca="1">NPV(M303,N306:$Y306)</f>
        <v>1103.6403382118428</v>
      </c>
      <c r="N317" s="173">
        <f ca="1">NPV(N303,O306:$Y306)</f>
        <v>1069.8244385260655</v>
      </c>
      <c r="O317" s="173">
        <f ca="1">NPV(O303,P306:$Y306)</f>
        <v>1045.4395691609411</v>
      </c>
      <c r="P317" s="173">
        <f ca="1">NPV(P303,Q306:$Y306)</f>
        <v>1014.9270140290824</v>
      </c>
      <c r="Q317" s="173">
        <f ca="1">NPV(Q303,R306:$Y306)</f>
        <v>975.01099440234134</v>
      </c>
      <c r="R317" s="173">
        <f ca="1">NPV(R303,S306:$Y306)</f>
        <v>924.30290896504641</v>
      </c>
      <c r="S317" s="173">
        <f ca="1">NPV(S303,T306:$Y306)</f>
        <v>859.6899394341026</v>
      </c>
      <c r="T317" s="173">
        <f ca="1">NPV(T303,U306:$Y306)</f>
        <v>777.9811836520031</v>
      </c>
      <c r="U317" s="173">
        <f ca="1">NPV(U303,V306:$Y306)</f>
        <v>676.26617429276075</v>
      </c>
      <c r="V317" s="173">
        <f ca="1">NPV(V303,W306:$Y306)</f>
        <v>551.41167683975868</v>
      </c>
      <c r="W317" s="173">
        <f ca="1">NPV(W303,X306:$Y306)</f>
        <v>399.95657687460653</v>
      </c>
      <c r="X317" s="173">
        <f ca="1">NPV(X303,Y306:$Y306)</f>
        <v>217.68270678033693</v>
      </c>
      <c r="Y317" s="771">
        <v>0</v>
      </c>
      <c r="Z317" s="1396"/>
    </row>
    <row r="318" spans="1:26">
      <c r="A318" s="776"/>
      <c r="B318" s="2590"/>
      <c r="C318" s="2590"/>
      <c r="D318" s="2590"/>
      <c r="E318" s="2590"/>
      <c r="F318" s="2590"/>
      <c r="G318" s="2590"/>
      <c r="H318" s="2590"/>
      <c r="I318" s="2673"/>
      <c r="J318" s="2590"/>
      <c r="K318" s="91"/>
      <c r="L318" s="91"/>
      <c r="M318" s="91"/>
      <c r="N318" s="91"/>
      <c r="O318" s="91"/>
      <c r="P318" s="91"/>
      <c r="Q318" s="91"/>
      <c r="R318" s="304"/>
      <c r="S318" s="304"/>
      <c r="T318" s="304"/>
      <c r="U318" s="304"/>
      <c r="V318" s="304"/>
      <c r="W318" s="304"/>
    </row>
    <row r="319" spans="1:26">
      <c r="A319" s="776" t="s">
        <v>64</v>
      </c>
      <c r="B319" s="2590"/>
      <c r="C319" s="2590"/>
      <c r="D319" s="2590"/>
      <c r="E319" s="2586">
        <f ca="1">E317+E316</f>
        <v>1573.0983375426836</v>
      </c>
      <c r="F319" s="2586">
        <f ca="1">F317+F316</f>
        <v>1704.6607560027355</v>
      </c>
      <c r="G319" s="2586">
        <f ca="1">G317+G316</f>
        <v>1814.8788580371436</v>
      </c>
      <c r="H319" s="2586">
        <f ca="1">H317+H316</f>
        <v>1935.6201211315768</v>
      </c>
      <c r="I319" s="2584">
        <f t="shared" ref="I319:N319" ca="1" si="375">I317+I316</f>
        <v>2040.7266524593015</v>
      </c>
      <c r="J319" s="2586">
        <f t="shared" ca="1" si="375"/>
        <v>2112.8054334264752</v>
      </c>
      <c r="K319" s="540">
        <f t="shared" ca="1" si="375"/>
        <v>2247.8412581641369</v>
      </c>
      <c r="L319" s="540">
        <f t="shared" ca="1" si="375"/>
        <v>2301.9007226752692</v>
      </c>
      <c r="M319" s="540">
        <f t="shared" ca="1" si="375"/>
        <v>2362.5883223775181</v>
      </c>
      <c r="N319" s="540">
        <f t="shared" ca="1" si="375"/>
        <v>2430.1183959686123</v>
      </c>
      <c r="O319" s="540">
        <f ca="1">O317+O316</f>
        <v>2515.2379039038924</v>
      </c>
      <c r="P319" s="540">
        <f t="shared" ref="P319:T319" ca="1" si="376">P317+P316</f>
        <v>2603.0448859004614</v>
      </c>
      <c r="Q319" s="540">
        <f t="shared" ca="1" si="376"/>
        <v>2690.973188221511</v>
      </c>
      <c r="R319" s="540">
        <f t="shared" ca="1" si="376"/>
        <v>2778.4009597268441</v>
      </c>
      <c r="S319" s="540">
        <f t="shared" ca="1" si="376"/>
        <v>2863.0438561002675</v>
      </c>
      <c r="T319" s="540">
        <f t="shared" ca="1" si="376"/>
        <v>2942.6061417401988</v>
      </c>
      <c r="U319" s="540">
        <f ca="1">U317+U316</f>
        <v>3015.1445772540101</v>
      </c>
      <c r="V319" s="540">
        <f ca="1">V317+V316</f>
        <v>3078.5710184145682</v>
      </c>
      <c r="W319" s="540">
        <f t="shared" ref="W319" ca="1" si="377">W317+W316</f>
        <v>3130.5535714096141</v>
      </c>
      <c r="X319" s="540">
        <f ca="1">X317+X316</f>
        <v>3168.0941920795894</v>
      </c>
      <c r="Y319" s="540">
        <f ca="1">Y317+Y316</f>
        <v>3187.9211579034572</v>
      </c>
    </row>
    <row r="320" spans="1:26">
      <c r="A320" s="777" t="s">
        <v>72</v>
      </c>
      <c r="B320" s="2590"/>
      <c r="C320" s="2590"/>
      <c r="D320" s="2590"/>
      <c r="E320" s="2591">
        <f ca="1">E319/E307</f>
        <v>37.185816666145108</v>
      </c>
      <c r="F320" s="2591">
        <f ca="1">F319/F307</f>
        <v>23.013308860190705</v>
      </c>
      <c r="G320" s="2591">
        <f ca="1">G319/G307</f>
        <v>22.970828816818674</v>
      </c>
      <c r="H320" s="2591">
        <f t="shared" ref="H320:O320" ca="1" si="378">H319/H307</f>
        <v>25.194203450636664</v>
      </c>
      <c r="I320" s="2669">
        <f t="shared" ca="1" si="378"/>
        <v>22.496789970645686</v>
      </c>
      <c r="J320" s="2591">
        <f t="shared" ca="1" si="378"/>
        <v>16.583927866159037</v>
      </c>
      <c r="K320" s="541">
        <f t="shared" ca="1" si="378"/>
        <v>15.500534980160245</v>
      </c>
      <c r="L320" s="541">
        <f t="shared" ca="1" si="378"/>
        <v>15.041775826950454</v>
      </c>
      <c r="M320" s="541">
        <f t="shared" ca="1" si="378"/>
        <v>15.659745379209527</v>
      </c>
      <c r="N320" s="541">
        <f t="shared" ca="1" si="378"/>
        <v>15.910450141015355</v>
      </c>
      <c r="O320" s="541">
        <f t="shared" ca="1" si="378"/>
        <v>17.740873600781178</v>
      </c>
      <c r="P320" s="541">
        <f t="shared" ref="P320:Y320" ca="1" si="379">P319/P307</f>
        <v>17.800893282215348</v>
      </c>
      <c r="Q320" s="541">
        <f t="shared" ca="1" si="379"/>
        <v>17.616671670281779</v>
      </c>
      <c r="R320" s="541">
        <f t="shared" ca="1" si="379"/>
        <v>17.284697952577481</v>
      </c>
      <c r="S320" s="541">
        <f t="shared" ca="1" si="379"/>
        <v>16.75361306514149</v>
      </c>
      <c r="T320" s="541">
        <f t="shared" ca="1" si="379"/>
        <v>16.089899526986358</v>
      </c>
      <c r="U320" s="541">
        <f t="shared" ca="1" si="379"/>
        <v>15.350948346031428</v>
      </c>
      <c r="V320" s="541">
        <f t="shared" ca="1" si="379"/>
        <v>14.558206640646878</v>
      </c>
      <c r="W320" s="541">
        <f t="shared" ca="1" si="379"/>
        <v>13.724485763537903</v>
      </c>
      <c r="X320" s="541">
        <f t="shared" ca="1" si="379"/>
        <v>12.83613386364105</v>
      </c>
      <c r="Y320" s="541">
        <f t="shared" ca="1" si="379"/>
        <v>11.911632269881757</v>
      </c>
    </row>
    <row r="321" spans="1:26">
      <c r="A321" s="777" t="s">
        <v>73</v>
      </c>
      <c r="B321" s="2590"/>
      <c r="C321" s="2590"/>
      <c r="D321" s="2590"/>
      <c r="E321" s="2591">
        <f ca="1">E319/F307</f>
        <v>21.237186215404499</v>
      </c>
      <c r="F321" s="2591">
        <f t="shared" ref="F321:N321" ca="1" si="380">F319/G307</f>
        <v>21.575803940565901</v>
      </c>
      <c r="G321" s="2591">
        <f t="shared" ca="1" si="380"/>
        <v>23.622624443951388</v>
      </c>
      <c r="H321" s="2591">
        <f t="shared" ca="1" si="380"/>
        <v>21.338104873367538</v>
      </c>
      <c r="I321" s="2669">
        <f ca="1">I319/J307</f>
        <v>16.018163842019003</v>
      </c>
      <c r="J321" s="2591">
        <f ca="1">J319/K307</f>
        <v>14.569362675479612</v>
      </c>
      <c r="K321" s="541">
        <f t="shared" ca="1" si="380"/>
        <v>14.688524125653627</v>
      </c>
      <c r="L321" s="541">
        <f t="shared" ca="1" si="380"/>
        <v>15.257494868610095</v>
      </c>
      <c r="M321" s="541">
        <f t="shared" ca="1" si="380"/>
        <v>15.468317827350059</v>
      </c>
      <c r="N321" s="541">
        <f t="shared" ca="1" si="380"/>
        <v>17.140495231444156</v>
      </c>
      <c r="O321" s="541">
        <f t="shared" ref="O321:X321" ca="1" si="381">O319/P307</f>
        <v>17.200426219806769</v>
      </c>
      <c r="P321" s="541">
        <f t="shared" ca="1" si="381"/>
        <v>17.041041991288598</v>
      </c>
      <c r="Q321" s="541">
        <f t="shared" ca="1" si="381"/>
        <v>16.740801428986728</v>
      </c>
      <c r="R321" s="541">
        <f t="shared" ca="1" si="381"/>
        <v>16.258310022007265</v>
      </c>
      <c r="S321" s="541">
        <f t="shared" ca="1" si="381"/>
        <v>15.654860272522344</v>
      </c>
      <c r="T321" s="541">
        <f t="shared" ca="1" si="381"/>
        <v>14.981634786384953</v>
      </c>
      <c r="U321" s="541">
        <f t="shared" ca="1" si="381"/>
        <v>14.258270328840837</v>
      </c>
      <c r="V321" s="541">
        <f t="shared" ca="1" si="381"/>
        <v>13.496591944678379</v>
      </c>
      <c r="W321" s="541">
        <f t="shared" ca="1" si="381"/>
        <v>12.684030926345596</v>
      </c>
      <c r="X321" s="541">
        <f t="shared" ca="1" si="381"/>
        <v>11.837549030609695</v>
      </c>
    </row>
    <row r="322" spans="1:26">
      <c r="A322" s="778" t="s">
        <v>61</v>
      </c>
      <c r="B322" s="2458">
        <f t="shared" ref="B322:Q322" si="382">+C322+1</f>
        <v>23</v>
      </c>
      <c r="C322" s="2458">
        <f t="shared" si="382"/>
        <v>22</v>
      </c>
      <c r="D322" s="2458">
        <f t="shared" si="382"/>
        <v>21</v>
      </c>
      <c r="E322" s="2458">
        <f t="shared" si="382"/>
        <v>20</v>
      </c>
      <c r="F322" s="2458">
        <f t="shared" si="382"/>
        <v>19</v>
      </c>
      <c r="G322" s="2458">
        <f t="shared" si="382"/>
        <v>18</v>
      </c>
      <c r="H322" s="2458">
        <f t="shared" si="382"/>
        <v>17</v>
      </c>
      <c r="I322" s="2457">
        <f t="shared" si="382"/>
        <v>16</v>
      </c>
      <c r="J322" s="2458">
        <f t="shared" si="382"/>
        <v>15</v>
      </c>
      <c r="K322" s="11">
        <f t="shared" si="382"/>
        <v>14</v>
      </c>
      <c r="L322" s="11">
        <f t="shared" si="382"/>
        <v>13</v>
      </c>
      <c r="M322" s="11">
        <f t="shared" si="382"/>
        <v>12</v>
      </c>
      <c r="N322" s="11">
        <f t="shared" si="382"/>
        <v>11</v>
      </c>
      <c r="O322" s="11">
        <f t="shared" si="382"/>
        <v>10</v>
      </c>
      <c r="P322" s="11">
        <f t="shared" si="382"/>
        <v>9</v>
      </c>
      <c r="Q322" s="11">
        <f t="shared" si="382"/>
        <v>8</v>
      </c>
      <c r="R322" s="11">
        <f t="shared" ref="R322:X322" si="383">+S322+1</f>
        <v>7</v>
      </c>
      <c r="S322" s="11">
        <f t="shared" si="383"/>
        <v>6</v>
      </c>
      <c r="T322" s="11">
        <f t="shared" si="383"/>
        <v>5</v>
      </c>
      <c r="U322" s="11">
        <f t="shared" si="383"/>
        <v>4</v>
      </c>
      <c r="V322" s="11">
        <f t="shared" si="383"/>
        <v>3</v>
      </c>
      <c r="W322" s="11">
        <f t="shared" si="383"/>
        <v>2</v>
      </c>
      <c r="X322" s="11">
        <f t="shared" si="383"/>
        <v>1</v>
      </c>
      <c r="Y322" s="469">
        <v>0</v>
      </c>
      <c r="Z322" s="1396"/>
    </row>
    <row r="323" spans="1:26">
      <c r="A323" s="91"/>
      <c r="B323" s="91"/>
      <c r="C323" s="91"/>
      <c r="D323" s="91"/>
      <c r="E323" s="91"/>
      <c r="F323" s="91"/>
      <c r="G323" s="91"/>
      <c r="H323" s="91"/>
      <c r="I323" s="1710"/>
      <c r="J323" s="91"/>
      <c r="K323" s="91"/>
      <c r="L323" s="91"/>
      <c r="M323" s="91"/>
      <c r="N323" s="91"/>
      <c r="O323" s="91"/>
      <c r="P323" s="91"/>
      <c r="Q323" s="91"/>
      <c r="R323" s="304"/>
      <c r="S323" s="304"/>
      <c r="T323" s="304"/>
      <c r="U323" s="304"/>
      <c r="V323" s="304"/>
      <c r="W323" s="304"/>
    </row>
    <row r="324" spans="1:26">
      <c r="A324" s="91"/>
      <c r="B324" s="91"/>
      <c r="C324" s="91"/>
      <c r="D324" s="91"/>
      <c r="E324" s="91"/>
      <c r="F324" s="91"/>
      <c r="G324" s="91"/>
      <c r="H324" s="91"/>
      <c r="I324" s="1710"/>
      <c r="J324" s="91"/>
      <c r="K324" s="91"/>
      <c r="L324" s="91"/>
      <c r="M324" s="91"/>
      <c r="N324" s="91"/>
      <c r="O324" s="91"/>
      <c r="P324" s="91"/>
      <c r="R324" s="1048"/>
      <c r="S324" s="1048"/>
      <c r="T324" s="1048"/>
      <c r="U324" s="1048"/>
      <c r="V324" s="1048"/>
      <c r="W324" s="1048"/>
    </row>
    <row r="325" spans="1:26">
      <c r="A325" s="91"/>
      <c r="B325" s="91"/>
      <c r="C325" s="91"/>
      <c r="D325" s="91"/>
      <c r="E325" s="91"/>
      <c r="F325" s="91"/>
      <c r="G325" s="91"/>
      <c r="H325" s="91"/>
      <c r="I325" s="1710"/>
      <c r="J325" s="91"/>
      <c r="K325" s="91"/>
      <c r="L325" s="91"/>
      <c r="M325" s="91"/>
      <c r="N325" s="91"/>
      <c r="O325" s="91"/>
      <c r="P325" s="91"/>
      <c r="R325" s="1048"/>
      <c r="S325" s="1048"/>
      <c r="T325" s="1048"/>
      <c r="U325" s="1048"/>
      <c r="V325" s="1048"/>
      <c r="W325" s="1048"/>
    </row>
    <row r="326" spans="1:26">
      <c r="A326" s="91"/>
      <c r="B326" s="91"/>
      <c r="C326" s="91"/>
      <c r="D326" s="91"/>
      <c r="E326" s="91"/>
      <c r="F326" s="91"/>
      <c r="G326" s="91"/>
      <c r="H326" s="91"/>
      <c r="I326" s="1710"/>
      <c r="J326" s="91"/>
      <c r="K326" s="91"/>
      <c r="L326" s="91"/>
      <c r="M326" s="91"/>
      <c r="N326" s="91"/>
      <c r="O326" s="91"/>
      <c r="P326" s="91"/>
      <c r="R326" s="1048"/>
      <c r="S326" s="1048"/>
      <c r="T326" s="1048"/>
      <c r="U326" s="1048"/>
      <c r="V326" s="1048"/>
      <c r="W326" s="1048"/>
    </row>
    <row r="327" spans="1:26">
      <c r="A327" s="91"/>
      <c r="B327" s="91"/>
      <c r="C327" s="91"/>
      <c r="D327" s="91"/>
      <c r="E327" s="91"/>
      <c r="F327" s="91"/>
      <c r="G327" s="91"/>
      <c r="H327" s="91"/>
      <c r="I327" s="1710"/>
      <c r="J327" s="91"/>
      <c r="K327" s="91"/>
      <c r="L327" s="91"/>
      <c r="M327" s="91"/>
      <c r="N327" s="91"/>
      <c r="O327" s="91"/>
      <c r="P327" s="91"/>
      <c r="R327" s="1048"/>
      <c r="S327" s="1048"/>
      <c r="T327" s="1048"/>
      <c r="U327" s="1048"/>
      <c r="V327" s="1048"/>
      <c r="W327" s="1048"/>
    </row>
    <row r="328" spans="1:26">
      <c r="A328" s="91"/>
      <c r="B328" s="91"/>
      <c r="C328" s="91"/>
      <c r="D328" s="91"/>
      <c r="E328" s="91"/>
      <c r="F328" s="91"/>
      <c r="G328" s="91"/>
      <c r="H328" s="91"/>
      <c r="I328" s="1710"/>
      <c r="J328" s="91"/>
      <c r="K328" s="91"/>
      <c r="L328" s="91"/>
      <c r="M328" s="91"/>
      <c r="N328" s="91"/>
      <c r="O328" s="91"/>
      <c r="P328" s="91"/>
      <c r="R328" s="1048"/>
      <c r="S328" s="1048"/>
      <c r="T328" s="1048"/>
      <c r="U328" s="1048"/>
      <c r="V328" s="1048"/>
      <c r="W328" s="1048"/>
    </row>
    <row r="329" spans="1:26">
      <c r="A329" s="91"/>
      <c r="B329" s="91"/>
      <c r="C329" s="91"/>
      <c r="D329" s="91"/>
      <c r="E329" s="91"/>
      <c r="F329" s="91"/>
      <c r="G329" s="91"/>
      <c r="H329" s="91"/>
      <c r="I329" s="1710"/>
      <c r="J329" s="91"/>
      <c r="K329" s="91"/>
      <c r="L329" s="91"/>
      <c r="M329" s="91"/>
      <c r="N329" s="91"/>
      <c r="O329" s="91"/>
      <c r="P329" s="91"/>
      <c r="R329" s="1048"/>
      <c r="S329" s="1048"/>
      <c r="T329" s="1048"/>
      <c r="U329" s="1048"/>
      <c r="V329" s="1048"/>
      <c r="W329" s="1048"/>
      <c r="X329" s="1048"/>
      <c r="Y329" s="1048"/>
    </row>
    <row r="330" spans="1:26">
      <c r="A330" s="779" t="s">
        <v>630</v>
      </c>
      <c r="B330" s="780"/>
      <c r="C330" s="781"/>
      <c r="D330" s="781"/>
      <c r="E330" s="782"/>
      <c r="F330" s="782"/>
      <c r="G330" s="782"/>
      <c r="H330" s="782"/>
      <c r="I330" s="2582"/>
      <c r="J330" s="782"/>
      <c r="K330" s="782"/>
      <c r="L330" s="782"/>
      <c r="M330" s="782"/>
      <c r="N330" s="782"/>
      <c r="O330" s="782"/>
      <c r="P330" s="782"/>
      <c r="Q330" s="782"/>
      <c r="R330" s="1269"/>
      <c r="S330" s="1269"/>
      <c r="T330" s="1269"/>
      <c r="U330" s="1269"/>
      <c r="V330" s="1269"/>
      <c r="W330" s="1269"/>
      <c r="X330" s="1269"/>
      <c r="Y330" s="1269"/>
    </row>
    <row r="331" spans="1:26">
      <c r="A331" s="301"/>
      <c r="B331" s="772">
        <v>2005</v>
      </c>
      <c r="C331" s="772">
        <f>B331+1</f>
        <v>2006</v>
      </c>
      <c r="D331" s="772">
        <f t="shared" ref="D331:N331" si="384">C331+1</f>
        <v>2007</v>
      </c>
      <c r="E331" s="772">
        <f t="shared" si="384"/>
        <v>2008</v>
      </c>
      <c r="F331" s="772">
        <f t="shared" si="384"/>
        <v>2009</v>
      </c>
      <c r="G331" s="772">
        <f t="shared" si="384"/>
        <v>2010</v>
      </c>
      <c r="H331" s="772">
        <f t="shared" si="384"/>
        <v>2011</v>
      </c>
      <c r="I331" s="2674">
        <f t="shared" si="384"/>
        <v>2012</v>
      </c>
      <c r="J331" s="772">
        <f t="shared" si="384"/>
        <v>2013</v>
      </c>
      <c r="K331" s="772">
        <f t="shared" si="384"/>
        <v>2014</v>
      </c>
      <c r="L331" s="772">
        <f t="shared" si="384"/>
        <v>2015</v>
      </c>
      <c r="M331" s="772">
        <f t="shared" si="384"/>
        <v>2016</v>
      </c>
      <c r="N331" s="772">
        <f t="shared" si="384"/>
        <v>2017</v>
      </c>
      <c r="O331" s="772">
        <f t="shared" ref="O331:Y331" si="385">N331+1</f>
        <v>2018</v>
      </c>
      <c r="P331" s="772">
        <f t="shared" si="385"/>
        <v>2019</v>
      </c>
      <c r="Q331" s="772">
        <f t="shared" si="385"/>
        <v>2020</v>
      </c>
      <c r="R331" s="1271">
        <f t="shared" si="385"/>
        <v>2021</v>
      </c>
      <c r="S331" s="1271">
        <f t="shared" si="385"/>
        <v>2022</v>
      </c>
      <c r="T331" s="1271">
        <f t="shared" si="385"/>
        <v>2023</v>
      </c>
      <c r="U331" s="1271">
        <f t="shared" si="385"/>
        <v>2024</v>
      </c>
      <c r="V331" s="1271">
        <f t="shared" si="385"/>
        <v>2025</v>
      </c>
      <c r="W331" s="1271">
        <f t="shared" si="385"/>
        <v>2026</v>
      </c>
      <c r="X331" s="1271">
        <f t="shared" si="385"/>
        <v>2027</v>
      </c>
      <c r="Y331" s="1271">
        <f t="shared" si="385"/>
        <v>2028</v>
      </c>
    </row>
    <row r="332" spans="1:26">
      <c r="A332" s="36" t="s">
        <v>65</v>
      </c>
      <c r="B332" s="6"/>
      <c r="C332" s="6" t="s">
        <v>337</v>
      </c>
      <c r="D332" s="6"/>
      <c r="E332" s="6"/>
      <c r="F332" s="6"/>
      <c r="G332" s="6"/>
      <c r="H332" s="6"/>
      <c r="I332" s="1108"/>
      <c r="J332" s="11"/>
      <c r="K332" s="11"/>
      <c r="L332" s="11"/>
      <c r="M332" s="11"/>
      <c r="N332" s="11"/>
      <c r="O332" s="11"/>
      <c r="P332" s="11"/>
      <c r="Q332" s="11"/>
      <c r="R332" s="11"/>
      <c r="S332" s="11"/>
      <c r="T332" s="11"/>
      <c r="U332" s="11"/>
      <c r="V332" s="11"/>
      <c r="W332" s="11"/>
    </row>
    <row r="333" spans="1:26">
      <c r="A333" s="295" t="s">
        <v>246</v>
      </c>
      <c r="B333" s="488">
        <f ca="1">B52</f>
        <v>4.6359932385549224E-2</v>
      </c>
      <c r="C333" s="298">
        <f t="shared" ref="C333:N333" ca="1" si="386">+B333</f>
        <v>4.6359932385549224E-2</v>
      </c>
      <c r="D333" s="298">
        <f t="shared" ca="1" si="386"/>
        <v>4.6359932385549224E-2</v>
      </c>
      <c r="E333" s="298">
        <f t="shared" ca="1" si="386"/>
        <v>4.6359932385549224E-2</v>
      </c>
      <c r="F333" s="298">
        <f t="shared" ca="1" si="386"/>
        <v>4.6359932385549224E-2</v>
      </c>
      <c r="G333" s="298">
        <f t="shared" ca="1" si="386"/>
        <v>4.6359932385549224E-2</v>
      </c>
      <c r="H333" s="298">
        <f t="shared" ca="1" si="386"/>
        <v>4.6359932385549224E-2</v>
      </c>
      <c r="I333" s="2267">
        <f t="shared" ca="1" si="386"/>
        <v>4.6359932385549224E-2</v>
      </c>
      <c r="J333" s="298">
        <f t="shared" ca="1" si="386"/>
        <v>4.6359932385549224E-2</v>
      </c>
      <c r="K333" s="536">
        <f t="shared" ca="1" si="386"/>
        <v>4.6359932385549224E-2</v>
      </c>
      <c r="L333" s="536">
        <f t="shared" ca="1" si="386"/>
        <v>4.6359932385549224E-2</v>
      </c>
      <c r="M333" s="536">
        <f t="shared" ca="1" si="386"/>
        <v>4.6359932385549224E-2</v>
      </c>
      <c r="N333" s="536">
        <f t="shared" ca="1" si="386"/>
        <v>4.6359932385549224E-2</v>
      </c>
      <c r="O333" s="536">
        <f t="shared" ref="O333:Q336" ca="1" si="387">+N333</f>
        <v>4.6359932385549224E-2</v>
      </c>
      <c r="P333" s="536">
        <f t="shared" ca="1" si="387"/>
        <v>4.6359932385549224E-2</v>
      </c>
      <c r="Q333" s="536">
        <f t="shared" ca="1" si="387"/>
        <v>4.6359932385549224E-2</v>
      </c>
      <c r="R333" s="536">
        <f t="shared" ref="R333:S336" ca="1" si="388">+Q333</f>
        <v>4.6359932385549224E-2</v>
      </c>
      <c r="S333" s="536">
        <f t="shared" ca="1" si="388"/>
        <v>4.6359932385549224E-2</v>
      </c>
      <c r="T333" s="536">
        <f t="shared" ref="T333:Y336" ca="1" si="389">+S333</f>
        <v>4.6359932385549224E-2</v>
      </c>
      <c r="U333" s="536">
        <f t="shared" ca="1" si="389"/>
        <v>4.6359932385549224E-2</v>
      </c>
      <c r="V333" s="536">
        <f t="shared" ca="1" si="389"/>
        <v>4.6359932385549224E-2</v>
      </c>
      <c r="W333" s="536">
        <f t="shared" ca="1" si="389"/>
        <v>4.6359932385549224E-2</v>
      </c>
      <c r="X333" s="536">
        <f t="shared" ca="1" si="389"/>
        <v>4.6359932385549224E-2</v>
      </c>
      <c r="Y333" s="536">
        <f t="shared" ca="1" si="389"/>
        <v>4.6359932385549224E-2</v>
      </c>
    </row>
    <row r="334" spans="1:26">
      <c r="A334" s="295" t="s">
        <v>247</v>
      </c>
      <c r="B334" s="488">
        <f>B53</f>
        <v>0.1</v>
      </c>
      <c r="C334" s="298">
        <f t="shared" ref="C334:N334" si="390">+B334</f>
        <v>0.1</v>
      </c>
      <c r="D334" s="298">
        <f t="shared" si="390"/>
        <v>0.1</v>
      </c>
      <c r="E334" s="298">
        <f t="shared" si="390"/>
        <v>0.1</v>
      </c>
      <c r="F334" s="298">
        <f t="shared" si="390"/>
        <v>0.1</v>
      </c>
      <c r="G334" s="298">
        <f t="shared" si="390"/>
        <v>0.1</v>
      </c>
      <c r="H334" s="298">
        <f t="shared" si="390"/>
        <v>0.1</v>
      </c>
      <c r="I334" s="2267">
        <f t="shared" si="390"/>
        <v>0.1</v>
      </c>
      <c r="J334" s="298">
        <f t="shared" si="390"/>
        <v>0.1</v>
      </c>
      <c r="K334" s="536">
        <f t="shared" si="390"/>
        <v>0.1</v>
      </c>
      <c r="L334" s="536">
        <f t="shared" si="390"/>
        <v>0.1</v>
      </c>
      <c r="M334" s="536">
        <f t="shared" si="390"/>
        <v>0.1</v>
      </c>
      <c r="N334" s="536">
        <f t="shared" si="390"/>
        <v>0.1</v>
      </c>
      <c r="O334" s="536">
        <f t="shared" si="387"/>
        <v>0.1</v>
      </c>
      <c r="P334" s="536">
        <f t="shared" si="387"/>
        <v>0.1</v>
      </c>
      <c r="Q334" s="536">
        <f t="shared" si="387"/>
        <v>0.1</v>
      </c>
      <c r="R334" s="536">
        <f t="shared" si="388"/>
        <v>0.1</v>
      </c>
      <c r="S334" s="536">
        <f t="shared" si="388"/>
        <v>0.1</v>
      </c>
      <c r="T334" s="536">
        <f t="shared" si="389"/>
        <v>0.1</v>
      </c>
      <c r="U334" s="536">
        <f t="shared" si="389"/>
        <v>0.1</v>
      </c>
      <c r="V334" s="536">
        <f t="shared" si="389"/>
        <v>0.1</v>
      </c>
      <c r="W334" s="536">
        <f t="shared" si="389"/>
        <v>0.1</v>
      </c>
      <c r="X334" s="536">
        <f t="shared" si="389"/>
        <v>0.1</v>
      </c>
      <c r="Y334" s="536">
        <f t="shared" si="389"/>
        <v>0.1</v>
      </c>
    </row>
    <row r="335" spans="1:26">
      <c r="A335" s="295" t="s">
        <v>248</v>
      </c>
      <c r="B335" s="488">
        <f>B54</f>
        <v>0.3</v>
      </c>
      <c r="C335" s="298">
        <f t="shared" ref="C335:N335" si="391">+B335</f>
        <v>0.3</v>
      </c>
      <c r="D335" s="298">
        <f t="shared" si="391"/>
        <v>0.3</v>
      </c>
      <c r="E335" s="298">
        <f t="shared" si="391"/>
        <v>0.3</v>
      </c>
      <c r="F335" s="298">
        <f t="shared" si="391"/>
        <v>0.3</v>
      </c>
      <c r="G335" s="298">
        <f t="shared" si="391"/>
        <v>0.3</v>
      </c>
      <c r="H335" s="298">
        <f t="shared" si="391"/>
        <v>0.3</v>
      </c>
      <c r="I335" s="2267">
        <f t="shared" si="391"/>
        <v>0.3</v>
      </c>
      <c r="J335" s="298">
        <f t="shared" si="391"/>
        <v>0.3</v>
      </c>
      <c r="K335" s="536">
        <f t="shared" si="391"/>
        <v>0.3</v>
      </c>
      <c r="L335" s="536">
        <f t="shared" si="391"/>
        <v>0.3</v>
      </c>
      <c r="M335" s="536">
        <f t="shared" si="391"/>
        <v>0.3</v>
      </c>
      <c r="N335" s="536">
        <f t="shared" si="391"/>
        <v>0.3</v>
      </c>
      <c r="O335" s="536">
        <f t="shared" si="387"/>
        <v>0.3</v>
      </c>
      <c r="P335" s="536">
        <f t="shared" si="387"/>
        <v>0.3</v>
      </c>
      <c r="Q335" s="536">
        <f t="shared" si="387"/>
        <v>0.3</v>
      </c>
      <c r="R335" s="536">
        <f t="shared" si="388"/>
        <v>0.3</v>
      </c>
      <c r="S335" s="536">
        <f t="shared" si="388"/>
        <v>0.3</v>
      </c>
      <c r="T335" s="536">
        <f t="shared" si="389"/>
        <v>0.3</v>
      </c>
      <c r="U335" s="536">
        <f t="shared" si="389"/>
        <v>0.3</v>
      </c>
      <c r="V335" s="536">
        <f t="shared" si="389"/>
        <v>0.3</v>
      </c>
      <c r="W335" s="536">
        <f t="shared" si="389"/>
        <v>0.3</v>
      </c>
      <c r="X335" s="536">
        <f t="shared" si="389"/>
        <v>0.3</v>
      </c>
      <c r="Y335" s="536">
        <f t="shared" si="389"/>
        <v>0.3</v>
      </c>
    </row>
    <row r="336" spans="1:26">
      <c r="A336" s="295" t="s">
        <v>249</v>
      </c>
      <c r="B336" s="488">
        <f>B55</f>
        <v>0.245</v>
      </c>
      <c r="C336" s="298">
        <f t="shared" ref="C336:N336" si="392">+B336</f>
        <v>0.245</v>
      </c>
      <c r="D336" s="298">
        <f t="shared" si="392"/>
        <v>0.245</v>
      </c>
      <c r="E336" s="298">
        <f t="shared" si="392"/>
        <v>0.245</v>
      </c>
      <c r="F336" s="298">
        <f t="shared" si="392"/>
        <v>0.245</v>
      </c>
      <c r="G336" s="298">
        <f t="shared" si="392"/>
        <v>0.245</v>
      </c>
      <c r="H336" s="298">
        <f t="shared" si="392"/>
        <v>0.245</v>
      </c>
      <c r="I336" s="2267">
        <f t="shared" si="392"/>
        <v>0.245</v>
      </c>
      <c r="J336" s="298">
        <f t="shared" si="392"/>
        <v>0.245</v>
      </c>
      <c r="K336" s="536">
        <f t="shared" si="392"/>
        <v>0.245</v>
      </c>
      <c r="L336" s="536">
        <f t="shared" si="392"/>
        <v>0.245</v>
      </c>
      <c r="M336" s="536">
        <f t="shared" si="392"/>
        <v>0.245</v>
      </c>
      <c r="N336" s="536">
        <f t="shared" si="392"/>
        <v>0.245</v>
      </c>
      <c r="O336" s="536">
        <f t="shared" si="387"/>
        <v>0.245</v>
      </c>
      <c r="P336" s="536">
        <f t="shared" si="387"/>
        <v>0.245</v>
      </c>
      <c r="Q336" s="536">
        <f t="shared" si="387"/>
        <v>0.245</v>
      </c>
      <c r="R336" s="536">
        <f t="shared" si="388"/>
        <v>0.245</v>
      </c>
      <c r="S336" s="536">
        <f t="shared" si="388"/>
        <v>0.245</v>
      </c>
      <c r="T336" s="536">
        <f t="shared" si="389"/>
        <v>0.245</v>
      </c>
      <c r="U336" s="536">
        <f t="shared" si="389"/>
        <v>0.245</v>
      </c>
      <c r="V336" s="536">
        <f t="shared" si="389"/>
        <v>0.245</v>
      </c>
      <c r="W336" s="536">
        <f t="shared" si="389"/>
        <v>0.245</v>
      </c>
      <c r="X336" s="536">
        <f t="shared" si="389"/>
        <v>0.245</v>
      </c>
      <c r="Y336" s="536">
        <f t="shared" si="389"/>
        <v>0.245</v>
      </c>
    </row>
    <row r="337" spans="1:26">
      <c r="A337" s="295" t="s">
        <v>250</v>
      </c>
      <c r="B337" s="298">
        <f t="shared" ref="B337:O337" ca="1" si="393">((B333*(1-B336)*B335))+(B334*(1-B335))</f>
        <v>8.0500524685326896E-2</v>
      </c>
      <c r="C337" s="298">
        <f t="shared" ca="1" si="393"/>
        <v>8.0500524685326896E-2</v>
      </c>
      <c r="D337" s="298">
        <f t="shared" ca="1" si="393"/>
        <v>8.0500524685326896E-2</v>
      </c>
      <c r="E337" s="298">
        <f t="shared" ca="1" si="393"/>
        <v>8.0500524685326896E-2</v>
      </c>
      <c r="F337" s="298">
        <f t="shared" ca="1" si="393"/>
        <v>8.0500524685326896E-2</v>
      </c>
      <c r="G337" s="298">
        <f t="shared" ca="1" si="393"/>
        <v>8.0500524685326896E-2</v>
      </c>
      <c r="H337" s="298">
        <f t="shared" ca="1" si="393"/>
        <v>8.0500524685326896E-2</v>
      </c>
      <c r="I337" s="2267">
        <f t="shared" ca="1" si="393"/>
        <v>8.0500524685326896E-2</v>
      </c>
      <c r="J337" s="298">
        <f t="shared" ca="1" si="393"/>
        <v>8.0500524685326896E-2</v>
      </c>
      <c r="K337" s="536">
        <f t="shared" ca="1" si="393"/>
        <v>8.0500524685326896E-2</v>
      </c>
      <c r="L337" s="536">
        <f t="shared" ca="1" si="393"/>
        <v>8.0500524685326896E-2</v>
      </c>
      <c r="M337" s="536">
        <f t="shared" ca="1" si="393"/>
        <v>8.0500524685326896E-2</v>
      </c>
      <c r="N337" s="536">
        <f t="shared" ca="1" si="393"/>
        <v>8.0500524685326896E-2</v>
      </c>
      <c r="O337" s="536">
        <f t="shared" ca="1" si="393"/>
        <v>8.0500524685326896E-2</v>
      </c>
      <c r="P337" s="536">
        <f t="shared" ref="P337:U337" ca="1" si="394">((P333*(1-P336)*P335))+(P334*(1-P335))</f>
        <v>8.0500524685326896E-2</v>
      </c>
      <c r="Q337" s="536">
        <f t="shared" ca="1" si="394"/>
        <v>8.0500524685326896E-2</v>
      </c>
      <c r="R337" s="536">
        <f t="shared" ca="1" si="394"/>
        <v>8.0500524685326896E-2</v>
      </c>
      <c r="S337" s="536">
        <f t="shared" ca="1" si="394"/>
        <v>8.0500524685326896E-2</v>
      </c>
      <c r="T337" s="536">
        <f t="shared" ca="1" si="394"/>
        <v>8.0500524685326896E-2</v>
      </c>
      <c r="U337" s="536">
        <f t="shared" ca="1" si="394"/>
        <v>8.0500524685326896E-2</v>
      </c>
      <c r="V337" s="536">
        <f ca="1">((V333*(1-V336)*V335))+(V334*(1-V335))</f>
        <v>8.0500524685326896E-2</v>
      </c>
      <c r="W337" s="536">
        <f ca="1">((W333*(1-W336)*W335))+(W334*(1-W335))</f>
        <v>8.0500524685326896E-2</v>
      </c>
      <c r="X337" s="536">
        <f ca="1">((X333*(1-X336)*X335))+(X334*(1-X335))</f>
        <v>8.0500524685326896E-2</v>
      </c>
      <c r="Y337" s="536">
        <f ca="1">((Y333*(1-Y336)*Y335))+(Y334*(1-Y335))</f>
        <v>8.0500524685326896E-2</v>
      </c>
    </row>
    <row r="338" spans="1:26">
      <c r="A338" s="295" t="s">
        <v>251</v>
      </c>
      <c r="B338" s="488">
        <f>B57</f>
        <v>0.02</v>
      </c>
      <c r="C338" s="298">
        <f t="shared" ref="C338:L338" si="395">+B338</f>
        <v>0.02</v>
      </c>
      <c r="D338" s="298">
        <f t="shared" si="395"/>
        <v>0.02</v>
      </c>
      <c r="E338" s="298">
        <f t="shared" si="395"/>
        <v>0.02</v>
      </c>
      <c r="F338" s="298">
        <f t="shared" si="395"/>
        <v>0.02</v>
      </c>
      <c r="G338" s="298">
        <f t="shared" si="395"/>
        <v>0.02</v>
      </c>
      <c r="H338" s="298">
        <f t="shared" si="395"/>
        <v>0.02</v>
      </c>
      <c r="I338" s="2267">
        <f t="shared" si="395"/>
        <v>0.02</v>
      </c>
      <c r="J338" s="298">
        <f t="shared" si="395"/>
        <v>0.02</v>
      </c>
      <c r="K338" s="536">
        <f t="shared" si="395"/>
        <v>0.02</v>
      </c>
      <c r="L338" s="536">
        <f t="shared" si="395"/>
        <v>0.02</v>
      </c>
      <c r="M338" s="536">
        <f t="shared" ref="M338:S338" si="396">+L338</f>
        <v>0.02</v>
      </c>
      <c r="N338" s="536">
        <f t="shared" si="396"/>
        <v>0.02</v>
      </c>
      <c r="O338" s="536">
        <f t="shared" si="396"/>
        <v>0.02</v>
      </c>
      <c r="P338" s="536">
        <f t="shared" si="396"/>
        <v>0.02</v>
      </c>
      <c r="Q338" s="536">
        <f t="shared" si="396"/>
        <v>0.02</v>
      </c>
      <c r="R338" s="536">
        <f t="shared" si="396"/>
        <v>0.02</v>
      </c>
      <c r="S338" s="536">
        <f t="shared" si="396"/>
        <v>0.02</v>
      </c>
      <c r="T338" s="536">
        <f t="shared" ref="T338:Y338" si="397">+S338</f>
        <v>0.02</v>
      </c>
      <c r="U338" s="536">
        <f t="shared" si="397"/>
        <v>0.02</v>
      </c>
      <c r="V338" s="536">
        <f t="shared" si="397"/>
        <v>0.02</v>
      </c>
      <c r="W338" s="536">
        <f t="shared" si="397"/>
        <v>0.02</v>
      </c>
      <c r="X338" s="536">
        <f t="shared" si="397"/>
        <v>0.02</v>
      </c>
      <c r="Y338" s="536">
        <f t="shared" si="397"/>
        <v>0.02</v>
      </c>
    </row>
    <row r="339" spans="1:26">
      <c r="A339" s="295"/>
      <c r="B339" s="6"/>
      <c r="C339" s="6"/>
      <c r="D339" s="6"/>
      <c r="E339" s="6"/>
      <c r="F339" s="6"/>
      <c r="G339" s="6"/>
      <c r="H339" s="6"/>
      <c r="I339" s="1108"/>
      <c r="J339" s="6"/>
      <c r="K339" s="11"/>
      <c r="L339" s="11"/>
      <c r="M339" s="11"/>
      <c r="N339" s="11"/>
      <c r="O339" s="11"/>
      <c r="P339" s="11"/>
      <c r="Q339" s="11"/>
      <c r="R339" s="11"/>
      <c r="S339" s="11"/>
      <c r="T339" s="11"/>
      <c r="U339" s="11"/>
      <c r="V339" s="11"/>
      <c r="W339" s="11"/>
      <c r="X339" s="11"/>
    </row>
    <row r="340" spans="1:26">
      <c r="A340" s="776" t="s">
        <v>243</v>
      </c>
      <c r="B340" s="793">
        <f>'Corporate and FAS 123'!E19</f>
        <v>-108.71349999999987</v>
      </c>
      <c r="C340" s="793">
        <f>'Corporate and FAS 123'!F19</f>
        <v>-134.49300000000002</v>
      </c>
      <c r="D340" s="793">
        <f>'Corporate and FAS 123'!G19</f>
        <v>-201.75299999999959</v>
      </c>
      <c r="E340" s="793">
        <f>'Corporate and FAS 123'!H19</f>
        <v>-188.05600000000004</v>
      </c>
      <c r="F340" s="793">
        <f>'Corporate and FAS 123'!I19</f>
        <v>-232.66450000000003</v>
      </c>
      <c r="G340" s="793">
        <f>'Corporate and FAS 123'!J19</f>
        <v>-254.92900000000003</v>
      </c>
      <c r="H340" s="793">
        <f>'Corporate and FAS 123'!K19</f>
        <v>-238.286</v>
      </c>
      <c r="I340" s="2668">
        <f>'Corporate and FAS 123'!L19</f>
        <v>-233.03709529153392</v>
      </c>
      <c r="J340" s="793">
        <f>'Corporate and FAS 123'!M19</f>
        <v>-294.08971815247145</v>
      </c>
      <c r="K340" s="793">
        <f>'Corporate and FAS 123'!N19</f>
        <v>-232.84210931158179</v>
      </c>
      <c r="L340" s="793">
        <f>'Corporate and FAS 123'!O19</f>
        <v>-207.92410384653613</v>
      </c>
      <c r="M340" s="793">
        <f ca="1">'Corporate and FAS 123'!P19</f>
        <v>-264.97193240649642</v>
      </c>
      <c r="N340" s="793">
        <f ca="1">'Corporate and FAS 123'!Q19</f>
        <v>-269.69388145142636</v>
      </c>
      <c r="O340" s="793">
        <f ca="1">'Corporate and FAS 123'!R19</f>
        <v>-280.14974745965492</v>
      </c>
      <c r="P340" s="793">
        <f ca="1">'Corporate and FAS 123'!S19</f>
        <v>-288.69688278804801</v>
      </c>
      <c r="Q340" s="793">
        <f ca="1">'Corporate and FAS 123'!T19</f>
        <v>-297.48685338300891</v>
      </c>
      <c r="R340" s="793">
        <f ca="1">'Corporate and FAS 123'!U19</f>
        <v>-306.52681972666909</v>
      </c>
      <c r="S340" s="793">
        <f ca="1">'Corporate and FAS 123'!V19</f>
        <v>-315.82415462410648</v>
      </c>
      <c r="T340" s="793">
        <f ca="1">'Corporate and FAS 123'!W19</f>
        <v>-325.38644952320374</v>
      </c>
      <c r="U340" s="793">
        <f ca="1">'Corporate and FAS 123'!X19</f>
        <v>-335.22152102310537</v>
      </c>
      <c r="V340" s="793">
        <f ca="1">'Corporate and FAS 123'!Y19</f>
        <v>-345.33741757691217</v>
      </c>
      <c r="W340" s="793">
        <f ca="1">'Corporate and FAS 123'!Z19</f>
        <v>-355.74242639441951</v>
      </c>
      <c r="X340" s="793">
        <f ca="1">'Corporate and FAS 123'!AA19</f>
        <v>-366.44508055087999</v>
      </c>
      <c r="Y340" s="793">
        <f ca="1">'Corporate and FAS 123'!AB19</f>
        <v>-377.45416630795091</v>
      </c>
    </row>
    <row r="341" spans="1:26">
      <c r="A341" s="776" t="s">
        <v>678</v>
      </c>
      <c r="B341" s="793">
        <f>'Corporate and FAS 123'!E8</f>
        <v>-120.49999999999982</v>
      </c>
      <c r="C341" s="793">
        <f>'Corporate and FAS 123'!F8</f>
        <v>-162.9</v>
      </c>
      <c r="D341" s="793">
        <f>'Corporate and FAS 123'!G8</f>
        <v>-252.09999999999945</v>
      </c>
      <c r="E341" s="793">
        <f>'Corporate and FAS 123'!H8</f>
        <v>-222</v>
      </c>
      <c r="F341" s="793">
        <f>'Corporate and FAS 123'!I8</f>
        <v>-293</v>
      </c>
      <c r="G341" s="793">
        <f>'Corporate and FAS 123'!J8</f>
        <v>-319.90000000000003</v>
      </c>
      <c r="H341" s="793">
        <f>'Corporate and FAS 123'!K8</f>
        <v>-302</v>
      </c>
      <c r="I341" s="2668">
        <f>'Corporate and FAS 123'!L8</f>
        <v>-296</v>
      </c>
      <c r="J341" s="793">
        <f>'Corporate and FAS 123'!M8</f>
        <v>-342</v>
      </c>
      <c r="K341" s="793">
        <f>'Corporate and FAS 123'!N8</f>
        <v>-269</v>
      </c>
      <c r="L341" s="793">
        <f>'Corporate and FAS 123'!O8</f>
        <v>-245</v>
      </c>
      <c r="M341" s="793">
        <f>'Corporate and FAS 123'!P8</f>
        <v>-320</v>
      </c>
      <c r="N341" s="793">
        <f>'Corporate and FAS 123'!Q8</f>
        <v>-326</v>
      </c>
      <c r="O341" s="793">
        <f>'Corporate and FAS 123'!R8</f>
        <v>-339.03999999999996</v>
      </c>
      <c r="P341" s="793">
        <f>'Corporate and FAS 123'!S8</f>
        <v>-349.21119999999996</v>
      </c>
      <c r="Q341" s="793">
        <f>'Corporate and FAS 123'!T8</f>
        <v>-359.68753599999997</v>
      </c>
      <c r="R341" s="793">
        <f>'Corporate and FAS 123'!U8</f>
        <v>-370.47816207999995</v>
      </c>
      <c r="S341" s="793">
        <f>'Corporate and FAS 123'!V8</f>
        <v>-381.59250694239995</v>
      </c>
      <c r="T341" s="793">
        <f>'Corporate and FAS 123'!W8</f>
        <v>-393.04028215067194</v>
      </c>
      <c r="U341" s="793">
        <f>'Corporate and FAS 123'!X8</f>
        <v>-404.83149061519214</v>
      </c>
      <c r="V341" s="793">
        <f>'Corporate and FAS 123'!Y8</f>
        <v>-416.97643533364788</v>
      </c>
      <c r="W341" s="793">
        <f>'Corporate and FAS 123'!Z8</f>
        <v>-429.48572839365733</v>
      </c>
      <c r="X341" s="793">
        <f>'Corporate and FAS 123'!AA8</f>
        <v>-442.37030024546704</v>
      </c>
      <c r="Y341" s="793">
        <f>'Corporate and FAS 123'!AB8</f>
        <v>-455.64140925283107</v>
      </c>
    </row>
    <row r="342" spans="1:26">
      <c r="A342" s="776"/>
      <c r="B342" s="11"/>
      <c r="C342" s="11"/>
      <c r="D342" s="11"/>
      <c r="E342" s="11"/>
      <c r="F342" s="11"/>
      <c r="G342" s="11"/>
      <c r="H342" s="11"/>
      <c r="I342" s="1108"/>
      <c r="J342" s="11"/>
      <c r="K342" s="11"/>
      <c r="L342" s="11"/>
      <c r="M342" s="11"/>
      <c r="N342" s="11"/>
      <c r="O342" s="11"/>
      <c r="P342" s="11"/>
      <c r="Q342" s="11"/>
      <c r="R342" s="11"/>
      <c r="S342" s="11"/>
      <c r="T342" s="11"/>
      <c r="U342" s="11"/>
      <c r="V342" s="11"/>
      <c r="W342" s="11"/>
    </row>
    <row r="343" spans="1:26">
      <c r="A343" s="776" t="s">
        <v>1009</v>
      </c>
      <c r="B343" s="181">
        <f>'Corporate and FAS 123'!E31</f>
        <v>-464.7542374378877</v>
      </c>
      <c r="C343" s="181">
        <f>+B343</f>
        <v>-464.7542374378877</v>
      </c>
      <c r="D343" s="181">
        <f t="shared" ref="D343:N343" si="398">+C343</f>
        <v>-464.7542374378877</v>
      </c>
      <c r="E343" s="181">
        <f t="shared" si="398"/>
        <v>-464.7542374378877</v>
      </c>
      <c r="F343" s="181">
        <f t="shared" si="398"/>
        <v>-464.7542374378877</v>
      </c>
      <c r="G343" s="181">
        <f t="shared" si="398"/>
        <v>-464.7542374378877</v>
      </c>
      <c r="H343" s="181">
        <f t="shared" si="398"/>
        <v>-464.7542374378877</v>
      </c>
      <c r="I343" s="1683">
        <f t="shared" si="398"/>
        <v>-464.7542374378877</v>
      </c>
      <c r="J343" s="181">
        <f t="shared" si="398"/>
        <v>-464.7542374378877</v>
      </c>
      <c r="K343" s="181">
        <f t="shared" si="398"/>
        <v>-464.7542374378877</v>
      </c>
      <c r="L343" s="181">
        <f t="shared" si="398"/>
        <v>-464.7542374378877</v>
      </c>
      <c r="M343" s="181">
        <f t="shared" si="398"/>
        <v>-464.7542374378877</v>
      </c>
      <c r="N343" s="181">
        <f t="shared" si="398"/>
        <v>-464.7542374378877</v>
      </c>
      <c r="O343" s="181">
        <f t="shared" ref="O343:Q345" si="399">+N343</f>
        <v>-464.7542374378877</v>
      </c>
      <c r="P343" s="181">
        <f t="shared" si="399"/>
        <v>-464.7542374378877</v>
      </c>
      <c r="Q343" s="181">
        <f t="shared" si="399"/>
        <v>-464.7542374378877</v>
      </c>
      <c r="R343" s="181">
        <f t="shared" ref="R343:S345" si="400">+Q343</f>
        <v>-464.7542374378877</v>
      </c>
      <c r="S343" s="181">
        <f t="shared" si="400"/>
        <v>-464.7542374378877</v>
      </c>
      <c r="T343" s="181">
        <f t="shared" ref="T343:Y345" si="401">+S343</f>
        <v>-464.7542374378877</v>
      </c>
      <c r="U343" s="181">
        <f t="shared" si="401"/>
        <v>-464.7542374378877</v>
      </c>
      <c r="V343" s="181">
        <f t="shared" si="401"/>
        <v>-464.7542374378877</v>
      </c>
      <c r="W343" s="181">
        <f t="shared" si="401"/>
        <v>-464.7542374378877</v>
      </c>
      <c r="X343" s="181">
        <f t="shared" si="401"/>
        <v>-464.7542374378877</v>
      </c>
      <c r="Y343" s="181">
        <f t="shared" si="401"/>
        <v>-464.7542374378877</v>
      </c>
    </row>
    <row r="344" spans="1:26">
      <c r="A344" s="777" t="s">
        <v>54</v>
      </c>
      <c r="B344" s="181">
        <f ca="1">'Corporate and FAS 123'!E32</f>
        <v>-118.47459551148249</v>
      </c>
      <c r="C344" s="181">
        <f t="shared" ref="C344:N344" ca="1" si="402">+B344</f>
        <v>-118.47459551148249</v>
      </c>
      <c r="D344" s="181">
        <f t="shared" ca="1" si="402"/>
        <v>-118.47459551148249</v>
      </c>
      <c r="E344" s="181">
        <f t="shared" ca="1" si="402"/>
        <v>-118.47459551148249</v>
      </c>
      <c r="F344" s="181">
        <f t="shared" ca="1" si="402"/>
        <v>-118.47459551148249</v>
      </c>
      <c r="G344" s="181">
        <f t="shared" ca="1" si="402"/>
        <v>-118.47459551148249</v>
      </c>
      <c r="H344" s="181">
        <f t="shared" ca="1" si="402"/>
        <v>-118.47459551148249</v>
      </c>
      <c r="I344" s="1683">
        <f t="shared" ca="1" si="402"/>
        <v>-118.47459551148249</v>
      </c>
      <c r="J344" s="181">
        <f t="shared" ca="1" si="402"/>
        <v>-118.47459551148249</v>
      </c>
      <c r="K344" s="181">
        <f t="shared" ca="1" si="402"/>
        <v>-118.47459551148249</v>
      </c>
      <c r="L344" s="181">
        <f t="shared" ca="1" si="402"/>
        <v>-118.47459551148249</v>
      </c>
      <c r="M344" s="181">
        <f t="shared" ca="1" si="402"/>
        <v>-118.47459551148249</v>
      </c>
      <c r="N344" s="181">
        <f t="shared" ca="1" si="402"/>
        <v>-118.47459551148249</v>
      </c>
      <c r="O344" s="181">
        <f t="shared" ca="1" si="399"/>
        <v>-118.47459551148249</v>
      </c>
      <c r="P344" s="181">
        <f t="shared" ca="1" si="399"/>
        <v>-118.47459551148249</v>
      </c>
      <c r="Q344" s="181">
        <f t="shared" ca="1" si="399"/>
        <v>-118.47459551148249</v>
      </c>
      <c r="R344" s="181">
        <f t="shared" ca="1" si="400"/>
        <v>-118.47459551148249</v>
      </c>
      <c r="S344" s="181">
        <f t="shared" ca="1" si="400"/>
        <v>-118.47459551148249</v>
      </c>
      <c r="T344" s="181">
        <f t="shared" ca="1" si="401"/>
        <v>-118.47459551148249</v>
      </c>
      <c r="U344" s="181">
        <f t="shared" ca="1" si="401"/>
        <v>-118.47459551148249</v>
      </c>
      <c r="V344" s="181">
        <f t="shared" ca="1" si="401"/>
        <v>-118.47459551148249</v>
      </c>
      <c r="W344" s="181">
        <f t="shared" ca="1" si="401"/>
        <v>-118.47459551148249</v>
      </c>
      <c r="X344" s="181">
        <f t="shared" ca="1" si="401"/>
        <v>-118.47459551148249</v>
      </c>
      <c r="Y344" s="181">
        <f t="shared" ca="1" si="401"/>
        <v>-118.47459551148249</v>
      </c>
    </row>
    <row r="345" spans="1:26">
      <c r="A345" s="777" t="s">
        <v>67</v>
      </c>
      <c r="B345" s="181">
        <f>'Corporate and FAS 123'!E33</f>
        <v>38.723607707704701</v>
      </c>
      <c r="C345" s="537">
        <f t="shared" ref="C345:N345" si="403">+B345</f>
        <v>38.723607707704701</v>
      </c>
      <c r="D345" s="537">
        <f t="shared" si="403"/>
        <v>38.723607707704701</v>
      </c>
      <c r="E345" s="537">
        <f t="shared" si="403"/>
        <v>38.723607707704701</v>
      </c>
      <c r="F345" s="537">
        <f t="shared" si="403"/>
        <v>38.723607707704701</v>
      </c>
      <c r="G345" s="537">
        <f t="shared" si="403"/>
        <v>38.723607707704701</v>
      </c>
      <c r="H345" s="537">
        <f t="shared" si="403"/>
        <v>38.723607707704701</v>
      </c>
      <c r="I345" s="2057">
        <f t="shared" si="403"/>
        <v>38.723607707704701</v>
      </c>
      <c r="J345" s="537">
        <f t="shared" si="403"/>
        <v>38.723607707704701</v>
      </c>
      <c r="K345" s="537">
        <f t="shared" si="403"/>
        <v>38.723607707704701</v>
      </c>
      <c r="L345" s="537">
        <f t="shared" si="403"/>
        <v>38.723607707704701</v>
      </c>
      <c r="M345" s="537">
        <f t="shared" si="403"/>
        <v>38.723607707704701</v>
      </c>
      <c r="N345" s="537">
        <f t="shared" si="403"/>
        <v>38.723607707704701</v>
      </c>
      <c r="O345" s="537">
        <f t="shared" si="399"/>
        <v>38.723607707704701</v>
      </c>
      <c r="P345" s="537">
        <f t="shared" si="399"/>
        <v>38.723607707704701</v>
      </c>
      <c r="Q345" s="537">
        <f t="shared" si="399"/>
        <v>38.723607707704701</v>
      </c>
      <c r="R345" s="537">
        <f t="shared" si="400"/>
        <v>38.723607707704701</v>
      </c>
      <c r="S345" s="537">
        <f t="shared" si="400"/>
        <v>38.723607707704701</v>
      </c>
      <c r="T345" s="537">
        <f t="shared" si="401"/>
        <v>38.723607707704701</v>
      </c>
      <c r="U345" s="537">
        <f t="shared" si="401"/>
        <v>38.723607707704701</v>
      </c>
      <c r="V345" s="537">
        <f t="shared" si="401"/>
        <v>38.723607707704701</v>
      </c>
      <c r="W345" s="537">
        <f t="shared" si="401"/>
        <v>38.723607707704701</v>
      </c>
      <c r="X345" s="537">
        <f t="shared" si="401"/>
        <v>38.723607707704701</v>
      </c>
      <c r="Y345" s="537">
        <f t="shared" si="401"/>
        <v>38.723607707704701</v>
      </c>
    </row>
    <row r="346" spans="1:26">
      <c r="A346" s="776" t="s">
        <v>56</v>
      </c>
      <c r="B346" s="181">
        <f t="shared" ref="B346:O346" ca="1" si="404">+B343-B344-B345</f>
        <v>-385.00324963410992</v>
      </c>
      <c r="C346" s="181">
        <f t="shared" ca="1" si="404"/>
        <v>-385.00324963410992</v>
      </c>
      <c r="D346" s="181">
        <f t="shared" ca="1" si="404"/>
        <v>-385.00324963410992</v>
      </c>
      <c r="E346" s="181">
        <f t="shared" ca="1" si="404"/>
        <v>-385.00324963410992</v>
      </c>
      <c r="F346" s="181">
        <f t="shared" ca="1" si="404"/>
        <v>-385.00324963410992</v>
      </c>
      <c r="G346" s="181">
        <f t="shared" ca="1" si="404"/>
        <v>-385.00324963410992</v>
      </c>
      <c r="H346" s="181">
        <f t="shared" ca="1" si="404"/>
        <v>-385.00324963410992</v>
      </c>
      <c r="I346" s="1683">
        <f t="shared" ca="1" si="404"/>
        <v>-385.00324963410992</v>
      </c>
      <c r="J346" s="181">
        <f t="shared" ca="1" si="404"/>
        <v>-385.00324963410992</v>
      </c>
      <c r="K346" s="181">
        <f t="shared" ca="1" si="404"/>
        <v>-385.00324963410992</v>
      </c>
      <c r="L346" s="181">
        <f t="shared" ca="1" si="404"/>
        <v>-385.00324963410992</v>
      </c>
      <c r="M346" s="181">
        <f t="shared" ca="1" si="404"/>
        <v>-385.00324963410992</v>
      </c>
      <c r="N346" s="181">
        <f t="shared" ca="1" si="404"/>
        <v>-385.00324963410992</v>
      </c>
      <c r="O346" s="181">
        <f t="shared" ca="1" si="404"/>
        <v>-385.00324963410992</v>
      </c>
      <c r="P346" s="181">
        <f t="shared" ref="P346:U346" ca="1" si="405">+P343-P344-P345</f>
        <v>-385.00324963410992</v>
      </c>
      <c r="Q346" s="181">
        <f t="shared" ca="1" si="405"/>
        <v>-385.00324963410992</v>
      </c>
      <c r="R346" s="181">
        <f t="shared" ca="1" si="405"/>
        <v>-385.00324963410992</v>
      </c>
      <c r="S346" s="181">
        <f t="shared" ca="1" si="405"/>
        <v>-385.00324963410992</v>
      </c>
      <c r="T346" s="181">
        <f t="shared" ca="1" si="405"/>
        <v>-385.00324963410992</v>
      </c>
      <c r="U346" s="181">
        <f t="shared" ca="1" si="405"/>
        <v>-385.00324963410992</v>
      </c>
      <c r="V346" s="181">
        <f ca="1">+V343-V344-V345</f>
        <v>-385.00324963410992</v>
      </c>
      <c r="W346" s="181">
        <f ca="1">+W343-W344-W345</f>
        <v>-385.00324963410992</v>
      </c>
      <c r="X346" s="181">
        <f ca="1">+X343-X344-X345</f>
        <v>-385.00324963410992</v>
      </c>
      <c r="Y346" s="181">
        <f ca="1">+Y343-Y344-Y345</f>
        <v>-385.00324963410992</v>
      </c>
    </row>
    <row r="347" spans="1:26">
      <c r="A347" s="777" t="s">
        <v>57</v>
      </c>
      <c r="B347" s="181">
        <f ca="1">1/(B337-B338)</f>
        <v>16.528782274222632</v>
      </c>
      <c r="C347" s="181">
        <f t="shared" ref="C347:L347" ca="1" si="406">1/(C337-C338)</f>
        <v>16.528782274222632</v>
      </c>
      <c r="D347" s="181">
        <f t="shared" ca="1" si="406"/>
        <v>16.528782274222632</v>
      </c>
      <c r="E347" s="181">
        <f t="shared" ca="1" si="406"/>
        <v>16.528782274222632</v>
      </c>
      <c r="F347" s="181">
        <f t="shared" ca="1" si="406"/>
        <v>16.528782274222632</v>
      </c>
      <c r="G347" s="181">
        <f t="shared" ca="1" si="406"/>
        <v>16.528782274222632</v>
      </c>
      <c r="H347" s="181">
        <f t="shared" ca="1" si="406"/>
        <v>16.528782274222632</v>
      </c>
      <c r="I347" s="1683">
        <f t="shared" ca="1" si="406"/>
        <v>16.528782274222632</v>
      </c>
      <c r="J347" s="181">
        <f t="shared" ca="1" si="406"/>
        <v>16.528782274222632</v>
      </c>
      <c r="K347" s="181">
        <f t="shared" ca="1" si="406"/>
        <v>16.528782274222632</v>
      </c>
      <c r="L347" s="181">
        <f t="shared" ca="1" si="406"/>
        <v>16.528782274222632</v>
      </c>
      <c r="M347" s="181">
        <f t="shared" ref="M347:S347" ca="1" si="407">1/(M337-M338)</f>
        <v>16.528782274222632</v>
      </c>
      <c r="N347" s="181">
        <f t="shared" ca="1" si="407"/>
        <v>16.528782274222632</v>
      </c>
      <c r="O347" s="181">
        <f t="shared" ca="1" si="407"/>
        <v>16.528782274222632</v>
      </c>
      <c r="P347" s="181">
        <f t="shared" ca="1" si="407"/>
        <v>16.528782274222632</v>
      </c>
      <c r="Q347" s="181">
        <f t="shared" ca="1" si="407"/>
        <v>16.528782274222632</v>
      </c>
      <c r="R347" s="181">
        <f t="shared" ca="1" si="407"/>
        <v>16.528782274222632</v>
      </c>
      <c r="S347" s="181">
        <f t="shared" ca="1" si="407"/>
        <v>16.528782274222632</v>
      </c>
      <c r="T347" s="181">
        <f t="shared" ref="T347:Y347" ca="1" si="408">1/(T337-T338)</f>
        <v>16.528782274222632</v>
      </c>
      <c r="U347" s="181">
        <f t="shared" ca="1" si="408"/>
        <v>16.528782274222632</v>
      </c>
      <c r="V347" s="181">
        <f t="shared" ca="1" si="408"/>
        <v>16.528782274222632</v>
      </c>
      <c r="W347" s="181">
        <f t="shared" ca="1" si="408"/>
        <v>16.528782274222632</v>
      </c>
      <c r="X347" s="181">
        <f t="shared" ca="1" si="408"/>
        <v>16.528782274222632</v>
      </c>
      <c r="Y347" s="181">
        <f t="shared" ca="1" si="408"/>
        <v>16.528782274222632</v>
      </c>
    </row>
    <row r="348" spans="1:26">
      <c r="A348" s="777" t="s">
        <v>58</v>
      </c>
      <c r="B348" s="181">
        <f ca="1">+B349/B343</f>
        <v>13.692473086748043</v>
      </c>
      <c r="C348" s="181">
        <f t="shared" ref="C348:L348" ca="1" si="409">+C349/C343</f>
        <v>13.692473086748043</v>
      </c>
      <c r="D348" s="181">
        <f t="shared" ca="1" si="409"/>
        <v>13.692473086748043</v>
      </c>
      <c r="E348" s="181">
        <f t="shared" ca="1" si="409"/>
        <v>13.692473086748043</v>
      </c>
      <c r="F348" s="181">
        <f t="shared" ca="1" si="409"/>
        <v>13.692473086748043</v>
      </c>
      <c r="G348" s="181">
        <f t="shared" ca="1" si="409"/>
        <v>13.692473086748043</v>
      </c>
      <c r="H348" s="181">
        <f t="shared" ca="1" si="409"/>
        <v>13.692473086748043</v>
      </c>
      <c r="I348" s="1683">
        <f t="shared" ca="1" si="409"/>
        <v>13.692473086748043</v>
      </c>
      <c r="J348" s="181">
        <f t="shared" ca="1" si="409"/>
        <v>13.692473086748043</v>
      </c>
      <c r="K348" s="181">
        <f t="shared" ca="1" si="409"/>
        <v>13.692473086748043</v>
      </c>
      <c r="L348" s="181">
        <f t="shared" ca="1" si="409"/>
        <v>13.692473086748043</v>
      </c>
      <c r="M348" s="181">
        <f t="shared" ref="M348:S348" ca="1" si="410">+M349/M343</f>
        <v>13.692473086748043</v>
      </c>
      <c r="N348" s="181">
        <f t="shared" ca="1" si="410"/>
        <v>13.692473086748043</v>
      </c>
      <c r="O348" s="181">
        <f t="shared" ca="1" si="410"/>
        <v>13.692473086748043</v>
      </c>
      <c r="P348" s="181">
        <f t="shared" ca="1" si="410"/>
        <v>13.692473086748043</v>
      </c>
      <c r="Q348" s="181">
        <f t="shared" ca="1" si="410"/>
        <v>13.692473086748043</v>
      </c>
      <c r="R348" s="181">
        <f t="shared" ca="1" si="410"/>
        <v>13.692473086748043</v>
      </c>
      <c r="S348" s="181">
        <f t="shared" ca="1" si="410"/>
        <v>13.692473086748043</v>
      </c>
      <c r="T348" s="181">
        <f t="shared" ref="T348:Y348" ca="1" si="411">+T349/T343</f>
        <v>13.692473086748043</v>
      </c>
      <c r="U348" s="181">
        <f t="shared" ca="1" si="411"/>
        <v>13.692473086748043</v>
      </c>
      <c r="V348" s="181">
        <f t="shared" ca="1" si="411"/>
        <v>13.692473086748043</v>
      </c>
      <c r="W348" s="181">
        <f t="shared" ca="1" si="411"/>
        <v>13.692473086748043</v>
      </c>
      <c r="X348" s="181">
        <f t="shared" ca="1" si="411"/>
        <v>13.692473086748043</v>
      </c>
      <c r="Y348" s="181">
        <f t="shared" ca="1" si="411"/>
        <v>13.692473086748043</v>
      </c>
    </row>
    <row r="349" spans="1:26">
      <c r="A349" s="776" t="s">
        <v>59</v>
      </c>
      <c r="B349" s="181">
        <f ca="1">B347*B346</f>
        <v>-6363.6348880703872</v>
      </c>
      <c r="C349" s="181">
        <f t="shared" ref="C349:L349" ca="1" si="412">C347*C346</f>
        <v>-6363.6348880703872</v>
      </c>
      <c r="D349" s="181">
        <f t="shared" ca="1" si="412"/>
        <v>-6363.6348880703872</v>
      </c>
      <c r="E349" s="181">
        <f t="shared" ca="1" si="412"/>
        <v>-6363.6348880703872</v>
      </c>
      <c r="F349" s="181">
        <f t="shared" ca="1" si="412"/>
        <v>-6363.6348880703872</v>
      </c>
      <c r="G349" s="181">
        <f t="shared" ca="1" si="412"/>
        <v>-6363.6348880703872</v>
      </c>
      <c r="H349" s="181">
        <f t="shared" ca="1" si="412"/>
        <v>-6363.6348880703872</v>
      </c>
      <c r="I349" s="1683">
        <f t="shared" ca="1" si="412"/>
        <v>-6363.6348880703872</v>
      </c>
      <c r="J349" s="181">
        <f t="shared" ca="1" si="412"/>
        <v>-6363.6348880703872</v>
      </c>
      <c r="K349" s="181">
        <f t="shared" ca="1" si="412"/>
        <v>-6363.6348880703872</v>
      </c>
      <c r="L349" s="181">
        <f t="shared" ca="1" si="412"/>
        <v>-6363.6348880703872</v>
      </c>
      <c r="M349" s="181">
        <f t="shared" ref="M349:S349" ca="1" si="413">M347*M346</f>
        <v>-6363.6348880703872</v>
      </c>
      <c r="N349" s="181">
        <f t="shared" ca="1" si="413"/>
        <v>-6363.6348880703872</v>
      </c>
      <c r="O349" s="181">
        <f t="shared" ca="1" si="413"/>
        <v>-6363.6348880703872</v>
      </c>
      <c r="P349" s="181">
        <f t="shared" ca="1" si="413"/>
        <v>-6363.6348880703872</v>
      </c>
      <c r="Q349" s="181">
        <f t="shared" ca="1" si="413"/>
        <v>-6363.6348880703872</v>
      </c>
      <c r="R349" s="181">
        <f t="shared" ca="1" si="413"/>
        <v>-6363.6348880703872</v>
      </c>
      <c r="S349" s="181">
        <f t="shared" ca="1" si="413"/>
        <v>-6363.6348880703872</v>
      </c>
      <c r="T349" s="181">
        <f t="shared" ref="T349:Y349" ca="1" si="414">T347*T346</f>
        <v>-6363.6348880703872</v>
      </c>
      <c r="U349" s="181">
        <f t="shared" ca="1" si="414"/>
        <v>-6363.6348880703872</v>
      </c>
      <c r="V349" s="181">
        <f t="shared" ca="1" si="414"/>
        <v>-6363.6348880703872</v>
      </c>
      <c r="W349" s="181">
        <f t="shared" ca="1" si="414"/>
        <v>-6363.6348880703872</v>
      </c>
      <c r="X349" s="181">
        <f t="shared" ca="1" si="414"/>
        <v>-6363.6348880703872</v>
      </c>
      <c r="Y349" s="181">
        <f t="shared" ca="1" si="414"/>
        <v>-6363.6348880703872</v>
      </c>
    </row>
    <row r="350" spans="1:26">
      <c r="A350" s="776" t="s">
        <v>60</v>
      </c>
      <c r="B350" s="181">
        <f ca="1">B349/((1+B337)^B356)</f>
        <v>-1072.3354553933</v>
      </c>
      <c r="C350" s="181">
        <f t="shared" ref="C350:O350" ca="1" si="415">C349/((1+C337)^C356)</f>
        <v>-1158.6590221911397</v>
      </c>
      <c r="D350" s="181">
        <f t="shared" ca="1" si="415"/>
        <v>-1251.9316814089143</v>
      </c>
      <c r="E350" s="181">
        <f t="shared" ca="1" si="415"/>
        <v>-1352.7128386325157</v>
      </c>
      <c r="F350" s="181">
        <f t="shared" ca="1" si="415"/>
        <v>-1461.6069318910113</v>
      </c>
      <c r="G350" s="181">
        <f t="shared" ca="1" si="415"/>
        <v>-1579.2670567919488</v>
      </c>
      <c r="H350" s="181">
        <f t="shared" ca="1" si="415"/>
        <v>-1706.3988834819527</v>
      </c>
      <c r="I350" s="1683">
        <f t="shared" ca="1" si="415"/>
        <v>-1843.7648889247059</v>
      </c>
      <c r="J350" s="181">
        <f t="shared" ca="1" si="415"/>
        <v>-1992.188929879529</v>
      </c>
      <c r="K350" s="181">
        <f t="shared" ca="1" si="415"/>
        <v>-2152.561184007131</v>
      </c>
      <c r="L350" s="181">
        <f t="shared" ca="1" si="415"/>
        <v>-2325.843488736974</v>
      </c>
      <c r="M350" s="181">
        <f t="shared" ca="1" si="415"/>
        <v>-2513.0751099162517</v>
      </c>
      <c r="N350" s="181">
        <f t="shared" ca="1" si="415"/>
        <v>-2715.3789748381455</v>
      </c>
      <c r="O350" s="181">
        <f t="shared" ca="1" si="415"/>
        <v>-2933.9684070321214</v>
      </c>
      <c r="P350" s="181">
        <f t="shared" ref="P350:U350" ca="1" si="416">P349/((1+P337)^P356)</f>
        <v>-3170.1544032083807</v>
      </c>
      <c r="Q350" s="181">
        <f t="shared" ca="1" si="416"/>
        <v>-3425.3534960001548</v>
      </c>
      <c r="R350" s="181">
        <f t="shared" ca="1" si="416"/>
        <v>-3701.0962496608868</v>
      </c>
      <c r="S350" s="181">
        <f t="shared" ca="1" si="416"/>
        <v>-3999.036439669484</v>
      </c>
      <c r="T350" s="181">
        <f t="shared" ca="1" si="416"/>
        <v>-4320.9609712986194</v>
      </c>
      <c r="U350" s="181">
        <f t="shared" ca="1" si="416"/>
        <v>-4668.8005966329783</v>
      </c>
      <c r="V350" s="181">
        <f ca="1">V349/((1+V337)^V356)</f>
        <v>-5044.6414943131012</v>
      </c>
      <c r="W350" s="181">
        <f ca="1">W349/((1+W337)^W356)</f>
        <v>-5450.737781454678</v>
      </c>
      <c r="X350" s="181">
        <f ca="1">X349/((1+X337)^X356)</f>
        <v>-5889.5250327839149</v>
      </c>
      <c r="Y350" s="181">
        <f ca="1">Y349/((1+Y337)^Y356)</f>
        <v>-6363.6348880703872</v>
      </c>
    </row>
    <row r="351" spans="1:26">
      <c r="A351" s="776" t="s">
        <v>63</v>
      </c>
      <c r="B351" s="173">
        <f ca="1">NPV(B337,C340:$Y340)</f>
        <v>-2563.3052262148931</v>
      </c>
      <c r="C351" s="173">
        <f ca="1">NPV(C337,D340:$Y340)</f>
        <v>-2635.1596418538329</v>
      </c>
      <c r="D351" s="173">
        <f ca="1">NPV(D337,E340:$Y340)</f>
        <v>-2645.5383756526639</v>
      </c>
      <c r="E351" s="173">
        <f ca="1">NPV(E337,F340:$Y340)</f>
        <v>-2670.4496029678708</v>
      </c>
      <c r="F351" s="173">
        <f ca="1">NPV(F337,G340:$Y340)</f>
        <v>-2652.7576971525082</v>
      </c>
      <c r="G351" s="173">
        <f ca="1">NPV(G337,H340:$Y340)</f>
        <v>-2611.3770836363251</v>
      </c>
      <c r="H351" s="173">
        <f ca="1">NPV(H337,I340:$Y340)</f>
        <v>-2583.3083090202877</v>
      </c>
      <c r="I351" s="173">
        <f ca="1">NPV(I337,J340:$Y340)</f>
        <v>-2558.2288880288515</v>
      </c>
      <c r="J351" s="173">
        <f ca="1">NPV(J337,K340:$Y340)</f>
        <v>-2470.0779376278638</v>
      </c>
      <c r="K351" s="173">
        <f ca="1">NPV(K337,L340:$Y340)</f>
        <v>-2436.0783983089746</v>
      </c>
      <c r="L351" s="173">
        <f ca="1">NPV(L337,M340:$Y340)</f>
        <v>-2424.2598837009023</v>
      </c>
      <c r="M351" s="173">
        <f ca="1">NPV(M337,N340:$Y340)</f>
        <v>-2354.4421439059183</v>
      </c>
      <c r="N351" s="173">
        <f ca="1">NPV(N337,O340:$Y340)</f>
        <v>-2274.2820903801644</v>
      </c>
      <c r="O351" s="173">
        <f ca="1">NPV(O337,P340:$Y340)</f>
        <v>-2177.2132444785552</v>
      </c>
      <c r="P351" s="173">
        <f ca="1">NPV(P337,Q340:$Y340)</f>
        <v>-2063.7831702228737</v>
      </c>
      <c r="Q351" s="173">
        <f ca="1">NPV(Q337,R340:$Y340)</f>
        <v>-1932.4319448795541</v>
      </c>
      <c r="R351" s="173">
        <f ca="1">NPV(R337,S340:$Y340)</f>
        <v>-1781.4669106343756</v>
      </c>
      <c r="S351" s="173">
        <f ca="1">NPV(S337,T340:$Y340)</f>
        <v>-1609.0517770258853</v>
      </c>
      <c r="T351" s="173">
        <f ca="1">NPV(T337,U340:$Y340)</f>
        <v>-1413.194839799123</v>
      </c>
      <c r="U351" s="173">
        <f ca="1">NPV(U337,V340:$Y340)</f>
        <v>-1191.7362448624435</v>
      </c>
      <c r="V351" s="173">
        <f ca="1">NPV(V337,W340:$Y340)</f>
        <v>-942.33422028347923</v>
      </c>
      <c r="W351" s="173">
        <f ca="1">NPV(W337,X340:$Y340)</f>
        <v>-662.45019305081837</v>
      </c>
      <c r="X351" s="173">
        <f ca="1">NPV(X337,Y340:$Y340)</f>
        <v>-349.33270061842541</v>
      </c>
      <c r="Y351" s="771">
        <v>0</v>
      </c>
      <c r="Z351" s="1396"/>
    </row>
    <row r="352" spans="1:26">
      <c r="A352" s="776"/>
      <c r="B352" s="539" t="s">
        <v>337</v>
      </c>
      <c r="C352" s="539"/>
      <c r="D352" s="539"/>
      <c r="E352" s="539"/>
      <c r="F352" s="539"/>
      <c r="G352" s="539"/>
      <c r="H352" s="539"/>
      <c r="I352" s="2268"/>
      <c r="J352" s="539"/>
      <c r="K352" s="539"/>
      <c r="L352" s="539"/>
      <c r="M352" s="539"/>
      <c r="N352" s="539"/>
      <c r="O352" s="539"/>
      <c r="P352" s="539"/>
      <c r="Q352" s="539"/>
      <c r="R352" s="539"/>
      <c r="S352" s="539"/>
      <c r="T352" s="539"/>
      <c r="U352" s="539"/>
      <c r="V352" s="539"/>
      <c r="W352" s="539"/>
    </row>
    <row r="353" spans="1:26">
      <c r="A353" s="776" t="s">
        <v>64</v>
      </c>
      <c r="B353" s="540">
        <f ca="1">B351+B350</f>
        <v>-3635.6406816081931</v>
      </c>
      <c r="C353" s="540">
        <f t="shared" ref="C353:Y353" ca="1" si="417">C351+C350</f>
        <v>-3793.8186640449726</v>
      </c>
      <c r="D353" s="540">
        <f t="shared" ca="1" si="417"/>
        <v>-3897.4700570615782</v>
      </c>
      <c r="E353" s="540">
        <f t="shared" ca="1" si="417"/>
        <v>-4023.1624416003865</v>
      </c>
      <c r="F353" s="540">
        <f t="shared" ca="1" si="417"/>
        <v>-4114.364629043519</v>
      </c>
      <c r="G353" s="540">
        <f t="shared" ca="1" si="417"/>
        <v>-4190.6441404282741</v>
      </c>
      <c r="H353" s="540">
        <f t="shared" ca="1" si="417"/>
        <v>-4289.7071925022401</v>
      </c>
      <c r="I353" s="540">
        <f t="shared" ca="1" si="417"/>
        <v>-4401.9937769535572</v>
      </c>
      <c r="J353" s="540">
        <f t="shared" ca="1" si="417"/>
        <v>-4462.2668675073928</v>
      </c>
      <c r="K353" s="540">
        <f t="shared" ca="1" si="417"/>
        <v>-4588.6395823161056</v>
      </c>
      <c r="L353" s="540">
        <f t="shared" ca="1" si="417"/>
        <v>-4750.1033724378758</v>
      </c>
      <c r="M353" s="540">
        <f t="shared" ca="1" si="417"/>
        <v>-4867.5172538221705</v>
      </c>
      <c r="N353" s="540">
        <f t="shared" ca="1" si="417"/>
        <v>-4989.6610652183099</v>
      </c>
      <c r="O353" s="540">
        <f t="shared" ca="1" si="417"/>
        <v>-5111.1816515106766</v>
      </c>
      <c r="P353" s="540">
        <f t="shared" ca="1" si="417"/>
        <v>-5233.9375734312543</v>
      </c>
      <c r="Q353" s="540">
        <f t="shared" ca="1" si="417"/>
        <v>-5357.7854408797084</v>
      </c>
      <c r="R353" s="540">
        <f t="shared" ca="1" si="417"/>
        <v>-5482.5631602952626</v>
      </c>
      <c r="S353" s="540">
        <f t="shared" ca="1" si="417"/>
        <v>-5608.0882166953688</v>
      </c>
      <c r="T353" s="540">
        <f t="shared" ca="1" si="417"/>
        <v>-5734.1558110977421</v>
      </c>
      <c r="U353" s="540">
        <f t="shared" ca="1" si="417"/>
        <v>-5860.5368414954219</v>
      </c>
      <c r="V353" s="540">
        <f t="shared" ca="1" si="417"/>
        <v>-5986.9757145965805</v>
      </c>
      <c r="W353" s="540">
        <f t="shared" ca="1" si="417"/>
        <v>-6113.1879745054966</v>
      </c>
      <c r="X353" s="540">
        <f t="shared" ca="1" si="417"/>
        <v>-6238.8577334023403</v>
      </c>
      <c r="Y353" s="540">
        <f t="shared" ca="1" si="417"/>
        <v>-6363.6348880703872</v>
      </c>
    </row>
    <row r="354" spans="1:26">
      <c r="A354" s="777" t="s">
        <v>72</v>
      </c>
      <c r="B354" s="541"/>
      <c r="C354" s="541">
        <f ca="1">C353/C341</f>
        <v>23.28924901193967</v>
      </c>
      <c r="D354" s="541">
        <f ca="1">D353/D341</f>
        <v>15.460016093064604</v>
      </c>
      <c r="E354" s="541">
        <f ca="1">E353/E341</f>
        <v>18.122353340542283</v>
      </c>
      <c r="F354" s="541">
        <f t="shared" ref="F354:R354" ca="1" si="418">F353/F341</f>
        <v>14.042200099124639</v>
      </c>
      <c r="G354" s="541">
        <f t="shared" ca="1" si="418"/>
        <v>13.099856644039617</v>
      </c>
      <c r="H354" s="541">
        <f t="shared" ca="1" si="418"/>
        <v>14.204328451994172</v>
      </c>
      <c r="I354" s="2270">
        <f t="shared" ca="1" si="418"/>
        <v>14.871600597816071</v>
      </c>
      <c r="J354" s="541">
        <f t="shared" ca="1" si="418"/>
        <v>13.047563940080096</v>
      </c>
      <c r="K354" s="541">
        <f t="shared" ca="1" si="418"/>
        <v>17.058139711212288</v>
      </c>
      <c r="L354" s="541">
        <f t="shared" ca="1" si="418"/>
        <v>19.388177030358676</v>
      </c>
      <c r="M354" s="541">
        <f t="shared" ca="1" si="418"/>
        <v>15.210991418194283</v>
      </c>
      <c r="N354" s="541">
        <f t="shared" ca="1" si="418"/>
        <v>15.30570878901322</v>
      </c>
      <c r="O354" s="541">
        <f t="shared" ca="1" si="418"/>
        <v>15.0754531958196</v>
      </c>
      <c r="P354" s="541">
        <f t="shared" ca="1" si="418"/>
        <v>14.987885764921787</v>
      </c>
      <c r="Q354" s="541">
        <f t="shared" ca="1" si="418"/>
        <v>14.895666111932522</v>
      </c>
      <c r="R354" s="541">
        <f t="shared" ca="1" si="418"/>
        <v>14.798613579580906</v>
      </c>
      <c r="S354" s="541">
        <f t="shared" ref="S354:X354" ca="1" si="419">S353/S341</f>
        <v>14.696536526965636</v>
      </c>
      <c r="T354" s="541">
        <f t="shared" ca="1" si="419"/>
        <v>14.589231871402825</v>
      </c>
      <c r="U354" s="541">
        <f t="shared" ca="1" si="419"/>
        <v>14.476484604963913</v>
      </c>
      <c r="V354" s="541">
        <f t="shared" ca="1" si="419"/>
        <v>14.358067284560198</v>
      </c>
      <c r="W354" s="541">
        <f t="shared" ca="1" si="419"/>
        <v>14.233739494370999</v>
      </c>
      <c r="X354" s="541">
        <f t="shared" ca="1" si="419"/>
        <v>14.103247279350485</v>
      </c>
      <c r="Y354" s="541">
        <f t="shared" ref="Y354" ca="1" si="420">Y353/Y341</f>
        <v>13.966322548483005</v>
      </c>
    </row>
    <row r="355" spans="1:26">
      <c r="A355" s="777" t="s">
        <v>73</v>
      </c>
      <c r="B355" s="541">
        <f ca="1">B353/C341</f>
        <v>22.318236228411251</v>
      </c>
      <c r="C355" s="541">
        <f ca="1">C353/D341</f>
        <v>15.048864196925747</v>
      </c>
      <c r="D355" s="541">
        <f ca="1">D353/E341</f>
        <v>17.556171428205307</v>
      </c>
      <c r="E355" s="541">
        <f ca="1">E353/F341</f>
        <v>13.730929834813606</v>
      </c>
      <c r="F355" s="541">
        <f t="shared" ref="F355:Q355" ca="1" si="421">F353/G341</f>
        <v>12.861408655965985</v>
      </c>
      <c r="G355" s="541">
        <f t="shared" ca="1" si="421"/>
        <v>13.876305100755875</v>
      </c>
      <c r="H355" s="541">
        <f t="shared" ca="1" si="421"/>
        <v>14.492254028723783</v>
      </c>
      <c r="I355" s="2270">
        <f t="shared" ca="1" si="421"/>
        <v>12.871326833197536</v>
      </c>
      <c r="J355" s="541">
        <f t="shared" ca="1" si="421"/>
        <v>16.588352667313728</v>
      </c>
      <c r="K355" s="541">
        <f t="shared" ca="1" si="421"/>
        <v>18.729141152310635</v>
      </c>
      <c r="L355" s="541">
        <f t="shared" ca="1" si="421"/>
        <v>14.844073038868363</v>
      </c>
      <c r="M355" s="541">
        <f t="shared" ca="1" si="421"/>
        <v>14.931034520926904</v>
      </c>
      <c r="N355" s="541">
        <f t="shared" ca="1" si="421"/>
        <v>14.717027681743483</v>
      </c>
      <c r="O355" s="541">
        <f t="shared" ca="1" si="421"/>
        <v>14.636362326038446</v>
      </c>
      <c r="P355" s="541">
        <f t="shared" ca="1" si="421"/>
        <v>14.551345402836686</v>
      </c>
      <c r="Q355" s="541">
        <f t="shared" ca="1" si="421"/>
        <v>14.461811759157788</v>
      </c>
      <c r="R355" s="541">
        <f t="shared" ref="R355:X355" ca="1" si="422">R353/S341</f>
        <v>14.367585999593111</v>
      </c>
      <c r="S355" s="541">
        <f t="shared" ca="1" si="422"/>
        <v>14.268482065015181</v>
      </c>
      <c r="T355" s="541">
        <f t="shared" ca="1" si="422"/>
        <v>14.164302787769731</v>
      </c>
      <c r="U355" s="541">
        <f t="shared" ca="1" si="422"/>
        <v>14.054839422295062</v>
      </c>
      <c r="V355" s="541">
        <f t="shared" ca="1" si="422"/>
        <v>13.939871150058444</v>
      </c>
      <c r="W355" s="541">
        <f t="shared" ca="1" si="422"/>
        <v>13.819164557641749</v>
      </c>
      <c r="X355" s="541">
        <f t="shared" ca="1" si="422"/>
        <v>13.692473086748043</v>
      </c>
    </row>
    <row r="356" spans="1:26">
      <c r="A356" s="778" t="s">
        <v>61</v>
      </c>
      <c r="B356" s="11">
        <f>+C356+1</f>
        <v>23</v>
      </c>
      <c r="C356" s="11">
        <f t="shared" ref="C356:Q356" si="423">+D356+1</f>
        <v>22</v>
      </c>
      <c r="D356" s="11">
        <f t="shared" si="423"/>
        <v>21</v>
      </c>
      <c r="E356" s="11">
        <f t="shared" si="423"/>
        <v>20</v>
      </c>
      <c r="F356" s="11">
        <f t="shared" si="423"/>
        <v>19</v>
      </c>
      <c r="G356" s="11">
        <f t="shared" si="423"/>
        <v>18</v>
      </c>
      <c r="H356" s="11">
        <f t="shared" si="423"/>
        <v>17</v>
      </c>
      <c r="I356" s="1108">
        <f t="shared" si="423"/>
        <v>16</v>
      </c>
      <c r="J356" s="11">
        <f t="shared" si="423"/>
        <v>15</v>
      </c>
      <c r="K356" s="11">
        <f t="shared" si="423"/>
        <v>14</v>
      </c>
      <c r="L356" s="11">
        <f t="shared" si="423"/>
        <v>13</v>
      </c>
      <c r="M356" s="11">
        <f t="shared" si="423"/>
        <v>12</v>
      </c>
      <c r="N356" s="11">
        <f t="shared" si="423"/>
        <v>11</v>
      </c>
      <c r="O356" s="11">
        <f t="shared" si="423"/>
        <v>10</v>
      </c>
      <c r="P356" s="11">
        <f t="shared" si="423"/>
        <v>9</v>
      </c>
      <c r="Q356" s="11">
        <f t="shared" si="423"/>
        <v>8</v>
      </c>
      <c r="R356" s="11">
        <f t="shared" ref="R356:T356" si="424">+S356+1</f>
        <v>7</v>
      </c>
      <c r="S356" s="11">
        <f t="shared" si="424"/>
        <v>6</v>
      </c>
      <c r="T356" s="11">
        <f t="shared" si="424"/>
        <v>5</v>
      </c>
      <c r="U356" s="11">
        <f t="shared" ref="U356" si="425">+V356+1</f>
        <v>4</v>
      </c>
      <c r="V356" s="11">
        <f t="shared" ref="V356" si="426">+W356+1</f>
        <v>3</v>
      </c>
      <c r="W356" s="11">
        <f t="shared" ref="W356" si="427">+X356+1</f>
        <v>2</v>
      </c>
      <c r="X356" s="11">
        <f t="shared" ref="X356" si="428">+Y356+1</f>
        <v>1</v>
      </c>
      <c r="Y356" s="469">
        <v>0</v>
      </c>
      <c r="Z356" s="1396"/>
    </row>
    <row r="357" spans="1:26">
      <c r="A357" s="91"/>
      <c r="B357" s="91"/>
      <c r="C357" s="91"/>
      <c r="D357" s="91"/>
      <c r="E357" s="91"/>
      <c r="F357" s="91"/>
      <c r="G357" s="91"/>
      <c r="H357" s="91"/>
      <c r="I357" s="1710"/>
      <c r="J357" s="91"/>
      <c r="K357" s="91"/>
      <c r="L357" s="91"/>
      <c r="M357" s="91"/>
      <c r="N357" s="91"/>
      <c r="O357" s="91"/>
      <c r="P357" s="91"/>
      <c r="Q357" s="91"/>
      <c r="R357" s="304"/>
      <c r="S357" s="304"/>
      <c r="T357" s="304"/>
      <c r="U357" s="304"/>
      <c r="V357" s="304"/>
      <c r="W357" s="304"/>
    </row>
    <row r="358" spans="1:26">
      <c r="A358" s="91"/>
      <c r="B358" s="91"/>
      <c r="C358" s="91"/>
      <c r="D358" s="91"/>
      <c r="E358" s="91"/>
      <c r="F358" s="91"/>
      <c r="G358" s="91"/>
      <c r="H358" s="91"/>
      <c r="I358" s="1710"/>
      <c r="J358" s="91"/>
      <c r="K358" s="91"/>
      <c r="L358" s="91"/>
      <c r="M358" s="91"/>
      <c r="N358" s="91"/>
      <c r="O358" s="91"/>
      <c r="P358" s="91"/>
      <c r="R358" s="1048"/>
      <c r="S358" s="1048"/>
      <c r="T358" s="1048"/>
      <c r="U358" s="1048"/>
      <c r="V358" s="1048"/>
      <c r="W358" s="1048"/>
    </row>
    <row r="359" spans="1:26">
      <c r="A359" s="779" t="s">
        <v>414</v>
      </c>
      <c r="B359" s="780"/>
      <c r="C359" s="781"/>
      <c r="D359" s="781"/>
      <c r="E359" s="782"/>
      <c r="F359" s="782"/>
      <c r="G359" s="782"/>
      <c r="H359" s="782"/>
      <c r="I359" s="2582"/>
      <c r="J359" s="782"/>
      <c r="K359" s="782"/>
      <c r="L359" s="782"/>
      <c r="M359" s="782"/>
      <c r="N359" s="782"/>
      <c r="O359" s="782"/>
      <c r="P359" s="782"/>
      <c r="Q359" s="782"/>
      <c r="R359" s="1269"/>
      <c r="S359" s="1269"/>
      <c r="T359" s="1269"/>
      <c r="U359" s="1269"/>
      <c r="V359" s="1269"/>
      <c r="W359" s="1269"/>
      <c r="X359" s="1269"/>
      <c r="Y359" s="1269"/>
    </row>
    <row r="360" spans="1:26">
      <c r="A360" s="301"/>
      <c r="B360" s="772">
        <v>2005</v>
      </c>
      <c r="C360" s="772">
        <f>B360+1</f>
        <v>2006</v>
      </c>
      <c r="D360" s="772">
        <f t="shared" ref="D360:N360" si="429">C360+1</f>
        <v>2007</v>
      </c>
      <c r="E360" s="772">
        <f t="shared" si="429"/>
        <v>2008</v>
      </c>
      <c r="F360" s="772">
        <f t="shared" si="429"/>
        <v>2009</v>
      </c>
      <c r="G360" s="772">
        <f t="shared" si="429"/>
        <v>2010</v>
      </c>
      <c r="H360" s="772">
        <f t="shared" si="429"/>
        <v>2011</v>
      </c>
      <c r="I360" s="2674">
        <f t="shared" si="429"/>
        <v>2012</v>
      </c>
      <c r="J360" s="772">
        <f t="shared" si="429"/>
        <v>2013</v>
      </c>
      <c r="K360" s="772">
        <f t="shared" si="429"/>
        <v>2014</v>
      </c>
      <c r="L360" s="772">
        <f t="shared" si="429"/>
        <v>2015</v>
      </c>
      <c r="M360" s="772">
        <f t="shared" si="429"/>
        <v>2016</v>
      </c>
      <c r="N360" s="772">
        <f t="shared" si="429"/>
        <v>2017</v>
      </c>
      <c r="O360" s="772">
        <f t="shared" ref="O360:Y360" si="430">N360+1</f>
        <v>2018</v>
      </c>
      <c r="P360" s="772">
        <f t="shared" si="430"/>
        <v>2019</v>
      </c>
      <c r="Q360" s="772">
        <f t="shared" si="430"/>
        <v>2020</v>
      </c>
      <c r="R360" s="1271">
        <f t="shared" si="430"/>
        <v>2021</v>
      </c>
      <c r="S360" s="1271">
        <f t="shared" si="430"/>
        <v>2022</v>
      </c>
      <c r="T360" s="1271">
        <f t="shared" si="430"/>
        <v>2023</v>
      </c>
      <c r="U360" s="1271">
        <f t="shared" si="430"/>
        <v>2024</v>
      </c>
      <c r="V360" s="1271">
        <f t="shared" si="430"/>
        <v>2025</v>
      </c>
      <c r="W360" s="1271">
        <f t="shared" si="430"/>
        <v>2026</v>
      </c>
      <c r="X360" s="1271">
        <f t="shared" si="430"/>
        <v>2027</v>
      </c>
      <c r="Y360" s="1271">
        <f t="shared" si="430"/>
        <v>2028</v>
      </c>
    </row>
    <row r="361" spans="1:26">
      <c r="A361" s="36" t="s">
        <v>65</v>
      </c>
      <c r="B361" s="6"/>
      <c r="C361" s="6" t="s">
        <v>337</v>
      </c>
      <c r="D361" s="6"/>
      <c r="E361" s="6"/>
      <c r="F361" s="6"/>
      <c r="G361" s="6"/>
      <c r="H361" s="6"/>
      <c r="I361" s="1108"/>
      <c r="J361" s="11"/>
      <c r="K361" s="11"/>
      <c r="L361" s="11"/>
      <c r="M361" s="11"/>
      <c r="N361" s="11"/>
      <c r="O361" s="11"/>
      <c r="P361" s="11"/>
      <c r="Q361" s="11"/>
      <c r="R361" s="11"/>
      <c r="S361" s="11"/>
      <c r="T361" s="11"/>
      <c r="U361" s="11"/>
      <c r="V361" s="11"/>
      <c r="W361" s="11"/>
      <c r="X361" s="11"/>
      <c r="Y361" s="11"/>
    </row>
    <row r="362" spans="1:26">
      <c r="A362" s="295" t="s">
        <v>246</v>
      </c>
      <c r="B362" s="488">
        <f ca="1">B52</f>
        <v>4.6359932385549224E-2</v>
      </c>
      <c r="C362" s="298">
        <f t="shared" ref="C362:N362" ca="1" si="431">+B362</f>
        <v>4.6359932385549224E-2</v>
      </c>
      <c r="D362" s="298">
        <f t="shared" ca="1" si="431"/>
        <v>4.6359932385549224E-2</v>
      </c>
      <c r="E362" s="298">
        <f t="shared" ca="1" si="431"/>
        <v>4.6359932385549224E-2</v>
      </c>
      <c r="F362" s="298">
        <f t="shared" ca="1" si="431"/>
        <v>4.6359932385549224E-2</v>
      </c>
      <c r="G362" s="298">
        <f t="shared" ca="1" si="431"/>
        <v>4.6359932385549224E-2</v>
      </c>
      <c r="H362" s="298">
        <f t="shared" ca="1" si="431"/>
        <v>4.6359932385549224E-2</v>
      </c>
      <c r="I362" s="2267">
        <f t="shared" ca="1" si="431"/>
        <v>4.6359932385549224E-2</v>
      </c>
      <c r="J362" s="298">
        <f t="shared" ca="1" si="431"/>
        <v>4.6359932385549224E-2</v>
      </c>
      <c r="K362" s="536">
        <f t="shared" ca="1" si="431"/>
        <v>4.6359932385549224E-2</v>
      </c>
      <c r="L362" s="536">
        <f t="shared" ca="1" si="431"/>
        <v>4.6359932385549224E-2</v>
      </c>
      <c r="M362" s="536">
        <f t="shared" ca="1" si="431"/>
        <v>4.6359932385549224E-2</v>
      </c>
      <c r="N362" s="536">
        <f t="shared" ca="1" si="431"/>
        <v>4.6359932385549224E-2</v>
      </c>
      <c r="O362" s="536">
        <f t="shared" ref="O362:Q365" ca="1" si="432">+N362</f>
        <v>4.6359932385549224E-2</v>
      </c>
      <c r="P362" s="536">
        <f t="shared" ca="1" si="432"/>
        <v>4.6359932385549224E-2</v>
      </c>
      <c r="Q362" s="536">
        <f t="shared" ca="1" si="432"/>
        <v>4.6359932385549224E-2</v>
      </c>
      <c r="R362" s="536">
        <f t="shared" ref="R362:S365" ca="1" si="433">+Q362</f>
        <v>4.6359932385549224E-2</v>
      </c>
      <c r="S362" s="536">
        <f t="shared" ca="1" si="433"/>
        <v>4.6359932385549224E-2</v>
      </c>
      <c r="T362" s="536">
        <f t="shared" ref="T362:U365" ca="1" si="434">+S362</f>
        <v>4.6359932385549224E-2</v>
      </c>
      <c r="U362" s="536">
        <f t="shared" ca="1" si="434"/>
        <v>4.6359932385549224E-2</v>
      </c>
      <c r="V362" s="536">
        <f t="shared" ref="V362:Y365" ca="1" si="435">+U362</f>
        <v>4.6359932385549224E-2</v>
      </c>
      <c r="W362" s="536">
        <f t="shared" ca="1" si="435"/>
        <v>4.6359932385549224E-2</v>
      </c>
      <c r="X362" s="536">
        <f t="shared" ca="1" si="435"/>
        <v>4.6359932385549224E-2</v>
      </c>
      <c r="Y362" s="536">
        <f t="shared" ca="1" si="435"/>
        <v>4.6359932385549224E-2</v>
      </c>
    </row>
    <row r="363" spans="1:26">
      <c r="A363" s="295" t="s">
        <v>247</v>
      </c>
      <c r="B363" s="488">
        <f>B53</f>
        <v>0.1</v>
      </c>
      <c r="C363" s="298">
        <f t="shared" ref="C363:N363" si="436">+B363</f>
        <v>0.1</v>
      </c>
      <c r="D363" s="298">
        <f t="shared" si="436"/>
        <v>0.1</v>
      </c>
      <c r="E363" s="298">
        <f t="shared" si="436"/>
        <v>0.1</v>
      </c>
      <c r="F363" s="298">
        <f t="shared" si="436"/>
        <v>0.1</v>
      </c>
      <c r="G363" s="298">
        <f t="shared" si="436"/>
        <v>0.1</v>
      </c>
      <c r="H363" s="298">
        <f t="shared" si="436"/>
        <v>0.1</v>
      </c>
      <c r="I363" s="2267">
        <f t="shared" si="436"/>
        <v>0.1</v>
      </c>
      <c r="J363" s="298">
        <f t="shared" si="436"/>
        <v>0.1</v>
      </c>
      <c r="K363" s="536">
        <f t="shared" si="436"/>
        <v>0.1</v>
      </c>
      <c r="L363" s="536">
        <f t="shared" si="436"/>
        <v>0.1</v>
      </c>
      <c r="M363" s="536">
        <f t="shared" si="436"/>
        <v>0.1</v>
      </c>
      <c r="N363" s="536">
        <f t="shared" si="436"/>
        <v>0.1</v>
      </c>
      <c r="O363" s="536">
        <f t="shared" si="432"/>
        <v>0.1</v>
      </c>
      <c r="P363" s="536">
        <f t="shared" si="432"/>
        <v>0.1</v>
      </c>
      <c r="Q363" s="536">
        <f t="shared" si="432"/>
        <v>0.1</v>
      </c>
      <c r="R363" s="536">
        <f t="shared" si="433"/>
        <v>0.1</v>
      </c>
      <c r="S363" s="536">
        <f t="shared" si="433"/>
        <v>0.1</v>
      </c>
      <c r="T363" s="536">
        <f t="shared" si="434"/>
        <v>0.1</v>
      </c>
      <c r="U363" s="536">
        <f t="shared" si="434"/>
        <v>0.1</v>
      </c>
      <c r="V363" s="536">
        <f t="shared" si="435"/>
        <v>0.1</v>
      </c>
      <c r="W363" s="536">
        <f t="shared" si="435"/>
        <v>0.1</v>
      </c>
      <c r="X363" s="536">
        <f t="shared" si="435"/>
        <v>0.1</v>
      </c>
      <c r="Y363" s="536">
        <f t="shared" si="435"/>
        <v>0.1</v>
      </c>
    </row>
    <row r="364" spans="1:26">
      <c r="A364" s="295" t="s">
        <v>248</v>
      </c>
      <c r="B364" s="488">
        <f>B54</f>
        <v>0.3</v>
      </c>
      <c r="C364" s="298">
        <f t="shared" ref="C364:N364" si="437">+B364</f>
        <v>0.3</v>
      </c>
      <c r="D364" s="298">
        <f t="shared" si="437"/>
        <v>0.3</v>
      </c>
      <c r="E364" s="298">
        <f t="shared" si="437"/>
        <v>0.3</v>
      </c>
      <c r="F364" s="298">
        <f t="shared" si="437"/>
        <v>0.3</v>
      </c>
      <c r="G364" s="298">
        <f t="shared" si="437"/>
        <v>0.3</v>
      </c>
      <c r="H364" s="298">
        <f t="shared" si="437"/>
        <v>0.3</v>
      </c>
      <c r="I364" s="2267">
        <f t="shared" si="437"/>
        <v>0.3</v>
      </c>
      <c r="J364" s="298">
        <f t="shared" si="437"/>
        <v>0.3</v>
      </c>
      <c r="K364" s="536">
        <f t="shared" si="437"/>
        <v>0.3</v>
      </c>
      <c r="L364" s="536">
        <f t="shared" si="437"/>
        <v>0.3</v>
      </c>
      <c r="M364" s="536">
        <f t="shared" si="437"/>
        <v>0.3</v>
      </c>
      <c r="N364" s="536">
        <f t="shared" si="437"/>
        <v>0.3</v>
      </c>
      <c r="O364" s="536">
        <f t="shared" si="432"/>
        <v>0.3</v>
      </c>
      <c r="P364" s="536">
        <f t="shared" si="432"/>
        <v>0.3</v>
      </c>
      <c r="Q364" s="536">
        <f t="shared" si="432"/>
        <v>0.3</v>
      </c>
      <c r="R364" s="536">
        <f t="shared" si="433"/>
        <v>0.3</v>
      </c>
      <c r="S364" s="536">
        <f t="shared" si="433"/>
        <v>0.3</v>
      </c>
      <c r="T364" s="536">
        <f t="shared" si="434"/>
        <v>0.3</v>
      </c>
      <c r="U364" s="536">
        <f t="shared" si="434"/>
        <v>0.3</v>
      </c>
      <c r="V364" s="536">
        <f t="shared" si="435"/>
        <v>0.3</v>
      </c>
      <c r="W364" s="536">
        <f t="shared" si="435"/>
        <v>0.3</v>
      </c>
      <c r="X364" s="536">
        <f t="shared" si="435"/>
        <v>0.3</v>
      </c>
      <c r="Y364" s="536">
        <f t="shared" si="435"/>
        <v>0.3</v>
      </c>
    </row>
    <row r="365" spans="1:26">
      <c r="A365" s="295" t="s">
        <v>249</v>
      </c>
      <c r="B365" s="488">
        <f>B55</f>
        <v>0.245</v>
      </c>
      <c r="C365" s="298">
        <f t="shared" ref="C365:N365" si="438">+B365</f>
        <v>0.245</v>
      </c>
      <c r="D365" s="298">
        <f t="shared" si="438"/>
        <v>0.245</v>
      </c>
      <c r="E365" s="298">
        <f t="shared" si="438"/>
        <v>0.245</v>
      </c>
      <c r="F365" s="298">
        <f t="shared" si="438"/>
        <v>0.245</v>
      </c>
      <c r="G365" s="298">
        <f t="shared" si="438"/>
        <v>0.245</v>
      </c>
      <c r="H365" s="298">
        <f t="shared" si="438"/>
        <v>0.245</v>
      </c>
      <c r="I365" s="2267">
        <f t="shared" si="438"/>
        <v>0.245</v>
      </c>
      <c r="J365" s="298">
        <f t="shared" si="438"/>
        <v>0.245</v>
      </c>
      <c r="K365" s="536">
        <f t="shared" si="438"/>
        <v>0.245</v>
      </c>
      <c r="L365" s="536">
        <f t="shared" si="438"/>
        <v>0.245</v>
      </c>
      <c r="M365" s="536">
        <f t="shared" si="438"/>
        <v>0.245</v>
      </c>
      <c r="N365" s="536">
        <f t="shared" si="438"/>
        <v>0.245</v>
      </c>
      <c r="O365" s="536">
        <f t="shared" si="432"/>
        <v>0.245</v>
      </c>
      <c r="P365" s="536">
        <f t="shared" si="432"/>
        <v>0.245</v>
      </c>
      <c r="Q365" s="536">
        <f t="shared" si="432"/>
        <v>0.245</v>
      </c>
      <c r="R365" s="536">
        <f t="shared" si="433"/>
        <v>0.245</v>
      </c>
      <c r="S365" s="536">
        <f t="shared" si="433"/>
        <v>0.245</v>
      </c>
      <c r="T365" s="536">
        <f t="shared" si="434"/>
        <v>0.245</v>
      </c>
      <c r="U365" s="536">
        <f t="shared" si="434"/>
        <v>0.245</v>
      </c>
      <c r="V365" s="536">
        <f t="shared" si="435"/>
        <v>0.245</v>
      </c>
      <c r="W365" s="536">
        <f t="shared" si="435"/>
        <v>0.245</v>
      </c>
      <c r="X365" s="536">
        <f t="shared" si="435"/>
        <v>0.245</v>
      </c>
      <c r="Y365" s="536">
        <f t="shared" si="435"/>
        <v>0.245</v>
      </c>
    </row>
    <row r="366" spans="1:26">
      <c r="A366" s="295" t="s">
        <v>250</v>
      </c>
      <c r="B366" s="298">
        <f ca="1">((B362*(1-B365)*B364))+(B363*(1-B364))</f>
        <v>8.0500524685326896E-2</v>
      </c>
      <c r="C366" s="298">
        <f t="shared" ref="C366:O366" ca="1" si="439">((C362*(1-C365)*C364))+(C363*(1-C364))</f>
        <v>8.0500524685326896E-2</v>
      </c>
      <c r="D366" s="298">
        <f t="shared" ca="1" si="439"/>
        <v>8.0500524685326896E-2</v>
      </c>
      <c r="E366" s="298">
        <f t="shared" ca="1" si="439"/>
        <v>8.0500524685326896E-2</v>
      </c>
      <c r="F366" s="298">
        <f t="shared" ca="1" si="439"/>
        <v>8.0500524685326896E-2</v>
      </c>
      <c r="G366" s="298">
        <f t="shared" ca="1" si="439"/>
        <v>8.0500524685326896E-2</v>
      </c>
      <c r="H366" s="298">
        <f t="shared" ca="1" si="439"/>
        <v>8.0500524685326896E-2</v>
      </c>
      <c r="I366" s="2267">
        <f t="shared" ca="1" si="439"/>
        <v>8.0500524685326896E-2</v>
      </c>
      <c r="J366" s="298">
        <f t="shared" ca="1" si="439"/>
        <v>8.0500524685326896E-2</v>
      </c>
      <c r="K366" s="536">
        <f t="shared" ca="1" si="439"/>
        <v>8.0500524685326896E-2</v>
      </c>
      <c r="L366" s="536">
        <f t="shared" ca="1" si="439"/>
        <v>8.0500524685326896E-2</v>
      </c>
      <c r="M366" s="536">
        <f t="shared" ca="1" si="439"/>
        <v>8.0500524685326896E-2</v>
      </c>
      <c r="N366" s="536">
        <f t="shared" ca="1" si="439"/>
        <v>8.0500524685326896E-2</v>
      </c>
      <c r="O366" s="536">
        <f t="shared" ca="1" si="439"/>
        <v>8.0500524685326896E-2</v>
      </c>
      <c r="P366" s="536">
        <f t="shared" ref="P366:U366" ca="1" si="440">((P362*(1-P365)*P364))+(P363*(1-P364))</f>
        <v>8.0500524685326896E-2</v>
      </c>
      <c r="Q366" s="536">
        <f t="shared" ca="1" si="440"/>
        <v>8.0500524685326896E-2</v>
      </c>
      <c r="R366" s="536">
        <f t="shared" ca="1" si="440"/>
        <v>8.0500524685326896E-2</v>
      </c>
      <c r="S366" s="536">
        <f t="shared" ca="1" si="440"/>
        <v>8.0500524685326896E-2</v>
      </c>
      <c r="T366" s="536">
        <f t="shared" ca="1" si="440"/>
        <v>8.0500524685326896E-2</v>
      </c>
      <c r="U366" s="536">
        <f t="shared" ca="1" si="440"/>
        <v>8.0500524685326896E-2</v>
      </c>
      <c r="V366" s="536">
        <f ca="1">((V362*(1-V365)*V364))+(V363*(1-V364))</f>
        <v>8.0500524685326896E-2</v>
      </c>
      <c r="W366" s="536">
        <f ca="1">((W362*(1-W365)*W364))+(W363*(1-W364))</f>
        <v>8.0500524685326896E-2</v>
      </c>
      <c r="X366" s="536">
        <f ca="1">((X362*(1-X365)*X364))+(X363*(1-X364))</f>
        <v>8.0500524685326896E-2</v>
      </c>
      <c r="Y366" s="536">
        <f ca="1">((Y362*(1-Y365)*Y364))+(Y363*(1-Y364))</f>
        <v>8.0500524685326896E-2</v>
      </c>
    </row>
    <row r="367" spans="1:26">
      <c r="A367" s="295" t="s">
        <v>251</v>
      </c>
      <c r="B367" s="488">
        <f>B57</f>
        <v>0.02</v>
      </c>
      <c r="C367" s="298">
        <f t="shared" ref="C367:L367" si="441">+B367</f>
        <v>0.02</v>
      </c>
      <c r="D367" s="298">
        <f t="shared" si="441"/>
        <v>0.02</v>
      </c>
      <c r="E367" s="298">
        <f t="shared" si="441"/>
        <v>0.02</v>
      </c>
      <c r="F367" s="298">
        <f t="shared" si="441"/>
        <v>0.02</v>
      </c>
      <c r="G367" s="298">
        <f t="shared" si="441"/>
        <v>0.02</v>
      </c>
      <c r="H367" s="298">
        <f t="shared" si="441"/>
        <v>0.02</v>
      </c>
      <c r="I367" s="2267">
        <f t="shared" si="441"/>
        <v>0.02</v>
      </c>
      <c r="J367" s="298">
        <f t="shared" si="441"/>
        <v>0.02</v>
      </c>
      <c r="K367" s="536">
        <f t="shared" si="441"/>
        <v>0.02</v>
      </c>
      <c r="L367" s="536">
        <f t="shared" si="441"/>
        <v>0.02</v>
      </c>
      <c r="M367" s="536">
        <f t="shared" ref="M367:S367" si="442">+L367</f>
        <v>0.02</v>
      </c>
      <c r="N367" s="536">
        <f t="shared" si="442"/>
        <v>0.02</v>
      </c>
      <c r="O367" s="536">
        <f t="shared" si="442"/>
        <v>0.02</v>
      </c>
      <c r="P367" s="536">
        <f t="shared" si="442"/>
        <v>0.02</v>
      </c>
      <c r="Q367" s="536">
        <f t="shared" si="442"/>
        <v>0.02</v>
      </c>
      <c r="R367" s="536">
        <f t="shared" si="442"/>
        <v>0.02</v>
      </c>
      <c r="S367" s="536">
        <f t="shared" si="442"/>
        <v>0.02</v>
      </c>
      <c r="T367" s="536">
        <f t="shared" ref="T367:Y367" si="443">+S367</f>
        <v>0.02</v>
      </c>
      <c r="U367" s="536">
        <f t="shared" si="443"/>
        <v>0.02</v>
      </c>
      <c r="V367" s="536">
        <f t="shared" si="443"/>
        <v>0.02</v>
      </c>
      <c r="W367" s="536">
        <f t="shared" si="443"/>
        <v>0.02</v>
      </c>
      <c r="X367" s="536">
        <f t="shared" si="443"/>
        <v>0.02</v>
      </c>
      <c r="Y367" s="536">
        <f t="shared" si="443"/>
        <v>0.02</v>
      </c>
    </row>
    <row r="368" spans="1:26">
      <c r="A368" s="295"/>
      <c r="B368" s="6"/>
      <c r="C368" s="6"/>
      <c r="D368" s="6"/>
      <c r="E368" s="6"/>
      <c r="F368" s="6"/>
      <c r="G368" s="6"/>
      <c r="H368" s="6"/>
      <c r="I368" s="1108"/>
      <c r="J368" s="6"/>
      <c r="K368" s="11"/>
      <c r="L368" s="11"/>
      <c r="M368" s="11"/>
      <c r="N368" s="11"/>
      <c r="O368" s="11"/>
      <c r="P368" s="11"/>
      <c r="Q368" s="11"/>
      <c r="R368" s="11"/>
      <c r="S368" s="11"/>
      <c r="T368" s="11"/>
      <c r="U368" s="11"/>
      <c r="V368" s="11"/>
      <c r="W368" s="11"/>
      <c r="X368" s="11"/>
      <c r="Y368" s="11"/>
    </row>
    <row r="369" spans="1:26">
      <c r="A369" s="776" t="s">
        <v>243</v>
      </c>
      <c r="B369" s="793">
        <v>0</v>
      </c>
      <c r="C369" s="793">
        <v>0</v>
      </c>
      <c r="D369" s="793">
        <f>+D370-(D370-D370*0.02)*D365</f>
        <v>7.8832567132389002</v>
      </c>
      <c r="E369" s="793">
        <f t="shared" ref="E369:Q369" si="444">+E370-(E370-E370*0.02)*E365</f>
        <v>14.018681490258375</v>
      </c>
      <c r="F369" s="793">
        <f t="shared" si="444"/>
        <v>19.044203138801837</v>
      </c>
      <c r="G369" s="793">
        <f t="shared" si="444"/>
        <v>25.017374991761518</v>
      </c>
      <c r="H369" s="793">
        <f>+H370-(H370-H370*0.02)*H365</f>
        <v>32.044426671955136</v>
      </c>
      <c r="I369" s="2668">
        <f>+I370-(I370-I370*0.02)*I365</f>
        <v>39.217325743339934</v>
      </c>
      <c r="J369" s="793">
        <f t="shared" si="444"/>
        <v>44.263146075967413</v>
      </c>
      <c r="K369" s="793">
        <f>+K370-(K370-K370*0.02)*K365</f>
        <v>48.093132160261554</v>
      </c>
      <c r="L369" s="793">
        <f t="shared" si="444"/>
        <v>49.846387885969932</v>
      </c>
      <c r="M369" s="793">
        <f t="shared" si="444"/>
        <v>51.451904504144508</v>
      </c>
      <c r="N369" s="793">
        <f>+N370-(N370-N370*0.02)*N365</f>
        <v>53.262832155796964</v>
      </c>
      <c r="O369" s="793">
        <f t="shared" si="444"/>
        <v>55.136310972375</v>
      </c>
      <c r="P369" s="793">
        <f t="shared" si="444"/>
        <v>57.074447562829988</v>
      </c>
      <c r="Q369" s="793">
        <f t="shared" si="444"/>
        <v>59.079416982965583</v>
      </c>
      <c r="R369" s="793">
        <f t="shared" ref="R369:W369" si="445">+R370-(R370-R370*0.02)*R365</f>
        <v>61.153464840611498</v>
      </c>
      <c r="S369" s="793">
        <f t="shared" si="445"/>
        <v>63.298909459696347</v>
      </c>
      <c r="T369" s="793">
        <f t="shared" si="445"/>
        <v>65.518144104562992</v>
      </c>
      <c r="U369" s="793">
        <f t="shared" si="445"/>
        <v>67.813639265883467</v>
      </c>
      <c r="V369" s="793">
        <f t="shared" si="445"/>
        <v>70.187945009542261</v>
      </c>
      <c r="W369" s="793">
        <f t="shared" si="445"/>
        <v>72.643693389868361</v>
      </c>
      <c r="X369" s="793">
        <f>+X370-(X370-X370*0.02)*X365</f>
        <v>75.183600928605273</v>
      </c>
      <c r="Y369" s="793">
        <f>+Y370-(Y370-Y370*0.02)*Y365</f>
        <v>77.810471161017361</v>
      </c>
    </row>
    <row r="370" spans="1:26">
      <c r="A370" s="776" t="s">
        <v>678</v>
      </c>
      <c r="B370" s="793">
        <v>0</v>
      </c>
      <c r="C370" s="793">
        <v>0</v>
      </c>
      <c r="D370" s="793">
        <f>+Drivers!G83</f>
        <v>10.374071211</v>
      </c>
      <c r="E370" s="793">
        <f>+Drivers!H83</f>
        <v>18.44806091625</v>
      </c>
      <c r="F370" s="793">
        <f>+Drivers!I83</f>
        <v>25.061459585210997</v>
      </c>
      <c r="G370" s="793">
        <f>+Drivers!J83</f>
        <v>32.921930506331776</v>
      </c>
      <c r="H370" s="793">
        <f>+Drivers!K83</f>
        <v>42.169267893084793</v>
      </c>
      <c r="I370" s="2668">
        <f>+Drivers!L83</f>
        <v>51.608534995841467</v>
      </c>
      <c r="J370" s="793">
        <f>+Drivers!M83</f>
        <v>58.24864597442744</v>
      </c>
      <c r="K370" s="793">
        <f>+Drivers!N83</f>
        <v>63.28876452199178</v>
      </c>
      <c r="L370" s="793">
        <f>+Drivers!Q83</f>
        <v>65.595983532004126</v>
      </c>
      <c r="M370" s="793">
        <f>+Drivers!R83</f>
        <v>67.708783398005664</v>
      </c>
      <c r="N370" s="793">
        <f>+Drivers!T83</f>
        <v>70.091896507168002</v>
      </c>
      <c r="O370" s="793">
        <f>+Drivers!U83</f>
        <v>72.557324611626527</v>
      </c>
      <c r="P370" s="793">
        <f>+Drivers!V83</f>
        <v>75.107839930030252</v>
      </c>
      <c r="Q370" s="793">
        <f>+Drivers!W83</f>
        <v>77.746304754527685</v>
      </c>
      <c r="R370" s="793">
        <f>+Drivers!X83</f>
        <v>80.475674221096853</v>
      </c>
      <c r="S370" s="793">
        <f>+Drivers!Y83</f>
        <v>83.298999157384316</v>
      </c>
      <c r="T370" s="793">
        <f>+Drivers!Z83</f>
        <v>86.219429009821027</v>
      </c>
      <c r="U370" s="793">
        <f>+Drivers!AA83</f>
        <v>89.240214851800843</v>
      </c>
      <c r="V370" s="793">
        <f>+Drivers!AB83</f>
        <v>92.364712474723333</v>
      </c>
      <c r="W370" s="793">
        <f>+Drivers!AC83</f>
        <v>95.596385563716765</v>
      </c>
      <c r="X370" s="793">
        <f>+Drivers!AD83</f>
        <v>98.938808959870087</v>
      </c>
      <c r="Y370" s="793">
        <f>+Drivers!AE83</f>
        <v>102.39567201081374</v>
      </c>
    </row>
    <row r="371" spans="1:26">
      <c r="A371" s="776"/>
      <c r="B371" s="11"/>
      <c r="C371" s="11"/>
      <c r="D371" s="11"/>
      <c r="E371" s="11"/>
      <c r="F371" s="11"/>
      <c r="G371" s="11"/>
      <c r="H371" s="11"/>
      <c r="I371" s="1108"/>
      <c r="J371" s="11"/>
      <c r="K371" s="11"/>
      <c r="L371" s="11"/>
      <c r="M371" s="11"/>
      <c r="N371" s="11"/>
      <c r="O371" s="11"/>
      <c r="P371" s="91"/>
      <c r="R371" s="1048"/>
      <c r="S371" s="1048"/>
      <c r="T371" s="1048"/>
      <c r="U371" s="1048"/>
      <c r="V371" s="1048"/>
      <c r="W371" s="1048"/>
    </row>
    <row r="372" spans="1:26">
      <c r="A372" s="776" t="s">
        <v>1009</v>
      </c>
      <c r="B372" s="181">
        <f>+$Y370*(1+B367)</f>
        <v>104.44358545103002</v>
      </c>
      <c r="C372" s="181">
        <f>+B372</f>
        <v>104.44358545103002</v>
      </c>
      <c r="D372" s="181">
        <f t="shared" ref="D372:N372" si="446">+C372</f>
        <v>104.44358545103002</v>
      </c>
      <c r="E372" s="181">
        <f t="shared" si="446"/>
        <v>104.44358545103002</v>
      </c>
      <c r="F372" s="181">
        <f t="shared" si="446"/>
        <v>104.44358545103002</v>
      </c>
      <c r="G372" s="181">
        <f t="shared" si="446"/>
        <v>104.44358545103002</v>
      </c>
      <c r="H372" s="181">
        <f t="shared" si="446"/>
        <v>104.44358545103002</v>
      </c>
      <c r="I372" s="1683">
        <f t="shared" si="446"/>
        <v>104.44358545103002</v>
      </c>
      <c r="J372" s="181">
        <f t="shared" si="446"/>
        <v>104.44358545103002</v>
      </c>
      <c r="K372" s="181">
        <f t="shared" si="446"/>
        <v>104.44358545103002</v>
      </c>
      <c r="L372" s="181">
        <f t="shared" si="446"/>
        <v>104.44358545103002</v>
      </c>
      <c r="M372" s="181">
        <f t="shared" si="446"/>
        <v>104.44358545103002</v>
      </c>
      <c r="N372" s="181">
        <f t="shared" si="446"/>
        <v>104.44358545103002</v>
      </c>
      <c r="O372" s="181">
        <f t="shared" ref="O372:Q374" si="447">+N372</f>
        <v>104.44358545103002</v>
      </c>
      <c r="P372" s="181">
        <f t="shared" si="447"/>
        <v>104.44358545103002</v>
      </c>
      <c r="Q372" s="181">
        <f t="shared" si="447"/>
        <v>104.44358545103002</v>
      </c>
      <c r="R372" s="181">
        <f t="shared" ref="R372:S374" si="448">+Q372</f>
        <v>104.44358545103002</v>
      </c>
      <c r="S372" s="181">
        <f t="shared" si="448"/>
        <v>104.44358545103002</v>
      </c>
      <c r="T372" s="181">
        <f t="shared" ref="T372:U374" si="449">+S372</f>
        <v>104.44358545103002</v>
      </c>
      <c r="U372" s="181">
        <f t="shared" si="449"/>
        <v>104.44358545103002</v>
      </c>
      <c r="V372" s="181">
        <f t="shared" ref="V372:Y374" si="450">+U372</f>
        <v>104.44358545103002</v>
      </c>
      <c r="W372" s="181">
        <f t="shared" si="450"/>
        <v>104.44358545103002</v>
      </c>
      <c r="X372" s="181">
        <f t="shared" si="450"/>
        <v>104.44358545103002</v>
      </c>
      <c r="Y372" s="181">
        <f t="shared" si="450"/>
        <v>104.44358545103002</v>
      </c>
    </row>
    <row r="373" spans="1:26">
      <c r="A373" s="777" t="s">
        <v>54</v>
      </c>
      <c r="B373" s="181">
        <f>(($Y370-$Y370*0.02)*$B365)*(1+B367)</f>
        <v>25.076904866792308</v>
      </c>
      <c r="C373" s="181">
        <f>+B373</f>
        <v>25.076904866792308</v>
      </c>
      <c r="D373" s="181">
        <f t="shared" ref="D373:Q373" si="451">+C373</f>
        <v>25.076904866792308</v>
      </c>
      <c r="E373" s="181">
        <f t="shared" si="451"/>
        <v>25.076904866792308</v>
      </c>
      <c r="F373" s="181">
        <f t="shared" si="451"/>
        <v>25.076904866792308</v>
      </c>
      <c r="G373" s="181">
        <f t="shared" si="451"/>
        <v>25.076904866792308</v>
      </c>
      <c r="H373" s="181">
        <f t="shared" si="451"/>
        <v>25.076904866792308</v>
      </c>
      <c r="I373" s="1683">
        <f t="shared" si="451"/>
        <v>25.076904866792308</v>
      </c>
      <c r="J373" s="181">
        <f t="shared" si="451"/>
        <v>25.076904866792308</v>
      </c>
      <c r="K373" s="181">
        <f t="shared" si="451"/>
        <v>25.076904866792308</v>
      </c>
      <c r="L373" s="181">
        <f t="shared" si="451"/>
        <v>25.076904866792308</v>
      </c>
      <c r="M373" s="181">
        <f t="shared" si="451"/>
        <v>25.076904866792308</v>
      </c>
      <c r="N373" s="181">
        <f>+M373</f>
        <v>25.076904866792308</v>
      </c>
      <c r="O373" s="181">
        <f t="shared" si="451"/>
        <v>25.076904866792308</v>
      </c>
      <c r="P373" s="181">
        <f t="shared" si="451"/>
        <v>25.076904866792308</v>
      </c>
      <c r="Q373" s="181">
        <f t="shared" si="451"/>
        <v>25.076904866792308</v>
      </c>
      <c r="R373" s="181">
        <f t="shared" si="448"/>
        <v>25.076904866792308</v>
      </c>
      <c r="S373" s="181">
        <f t="shared" si="448"/>
        <v>25.076904866792308</v>
      </c>
      <c r="T373" s="181">
        <f t="shared" si="449"/>
        <v>25.076904866792308</v>
      </c>
      <c r="U373" s="181">
        <f t="shared" si="449"/>
        <v>25.076904866792308</v>
      </c>
      <c r="V373" s="181">
        <f t="shared" si="450"/>
        <v>25.076904866792308</v>
      </c>
      <c r="W373" s="181">
        <f t="shared" si="450"/>
        <v>25.076904866792308</v>
      </c>
      <c r="X373" s="181">
        <f t="shared" si="450"/>
        <v>25.076904866792308</v>
      </c>
      <c r="Y373" s="181">
        <f t="shared" si="450"/>
        <v>25.076904866792308</v>
      </c>
    </row>
    <row r="374" spans="1:26">
      <c r="A374" s="777" t="s">
        <v>67</v>
      </c>
      <c r="B374" s="537">
        <f>$Y370*0.02*(1+B367)</f>
        <v>2.0888717090206006</v>
      </c>
      <c r="C374" s="537">
        <f>+B374</f>
        <v>2.0888717090206006</v>
      </c>
      <c r="D374" s="537">
        <f t="shared" ref="D374:N374" si="452">+C374</f>
        <v>2.0888717090206006</v>
      </c>
      <c r="E374" s="537">
        <f t="shared" si="452"/>
        <v>2.0888717090206006</v>
      </c>
      <c r="F374" s="537">
        <f t="shared" si="452"/>
        <v>2.0888717090206006</v>
      </c>
      <c r="G374" s="537">
        <f t="shared" si="452"/>
        <v>2.0888717090206006</v>
      </c>
      <c r="H374" s="537">
        <f t="shared" si="452"/>
        <v>2.0888717090206006</v>
      </c>
      <c r="I374" s="2057">
        <f t="shared" si="452"/>
        <v>2.0888717090206006</v>
      </c>
      <c r="J374" s="537">
        <f t="shared" si="452"/>
        <v>2.0888717090206006</v>
      </c>
      <c r="K374" s="537">
        <f t="shared" si="452"/>
        <v>2.0888717090206006</v>
      </c>
      <c r="L374" s="537">
        <f t="shared" si="452"/>
        <v>2.0888717090206006</v>
      </c>
      <c r="M374" s="537">
        <f t="shared" si="452"/>
        <v>2.0888717090206006</v>
      </c>
      <c r="N374" s="537">
        <f t="shared" si="452"/>
        <v>2.0888717090206006</v>
      </c>
      <c r="O374" s="537">
        <f t="shared" si="447"/>
        <v>2.0888717090206006</v>
      </c>
      <c r="P374" s="537">
        <f t="shared" si="447"/>
        <v>2.0888717090206006</v>
      </c>
      <c r="Q374" s="537">
        <f t="shared" si="447"/>
        <v>2.0888717090206006</v>
      </c>
      <c r="R374" s="537">
        <f t="shared" si="448"/>
        <v>2.0888717090206006</v>
      </c>
      <c r="S374" s="537">
        <f t="shared" si="448"/>
        <v>2.0888717090206006</v>
      </c>
      <c r="T374" s="537">
        <f t="shared" si="449"/>
        <v>2.0888717090206006</v>
      </c>
      <c r="U374" s="537">
        <f t="shared" si="449"/>
        <v>2.0888717090206006</v>
      </c>
      <c r="V374" s="537">
        <f t="shared" si="450"/>
        <v>2.0888717090206006</v>
      </c>
      <c r="W374" s="537">
        <f t="shared" si="450"/>
        <v>2.0888717090206006</v>
      </c>
      <c r="X374" s="537">
        <f t="shared" si="450"/>
        <v>2.0888717090206006</v>
      </c>
      <c r="Y374" s="537">
        <f t="shared" si="450"/>
        <v>2.0888717090206006</v>
      </c>
    </row>
    <row r="375" spans="1:26">
      <c r="A375" s="776" t="s">
        <v>56</v>
      </c>
      <c r="B375" s="181">
        <f>+B372-B373-B374</f>
        <v>77.277808875217119</v>
      </c>
      <c r="C375" s="181">
        <f t="shared" ref="C375:O375" si="453">+C372-C373-C374</f>
        <v>77.277808875217119</v>
      </c>
      <c r="D375" s="181">
        <f t="shared" si="453"/>
        <v>77.277808875217119</v>
      </c>
      <c r="E375" s="181">
        <f t="shared" si="453"/>
        <v>77.277808875217119</v>
      </c>
      <c r="F375" s="181">
        <f t="shared" si="453"/>
        <v>77.277808875217119</v>
      </c>
      <c r="G375" s="181">
        <f t="shared" si="453"/>
        <v>77.277808875217119</v>
      </c>
      <c r="H375" s="181">
        <f t="shared" si="453"/>
        <v>77.277808875217119</v>
      </c>
      <c r="I375" s="1683">
        <f t="shared" si="453"/>
        <v>77.277808875217119</v>
      </c>
      <c r="J375" s="181">
        <f t="shared" si="453"/>
        <v>77.277808875217119</v>
      </c>
      <c r="K375" s="181">
        <f t="shared" si="453"/>
        <v>77.277808875217119</v>
      </c>
      <c r="L375" s="181">
        <f t="shared" si="453"/>
        <v>77.277808875217119</v>
      </c>
      <c r="M375" s="181">
        <f t="shared" si="453"/>
        <v>77.277808875217119</v>
      </c>
      <c r="N375" s="181">
        <f t="shared" si="453"/>
        <v>77.277808875217119</v>
      </c>
      <c r="O375" s="181">
        <f t="shared" si="453"/>
        <v>77.277808875217119</v>
      </c>
      <c r="P375" s="181">
        <f t="shared" ref="P375:U375" si="454">+P372-P373-P374</f>
        <v>77.277808875217119</v>
      </c>
      <c r="Q375" s="181">
        <f t="shared" si="454"/>
        <v>77.277808875217119</v>
      </c>
      <c r="R375" s="181">
        <f t="shared" si="454"/>
        <v>77.277808875217119</v>
      </c>
      <c r="S375" s="181">
        <f t="shared" si="454"/>
        <v>77.277808875217119</v>
      </c>
      <c r="T375" s="181">
        <f t="shared" si="454"/>
        <v>77.277808875217119</v>
      </c>
      <c r="U375" s="181">
        <f t="shared" si="454"/>
        <v>77.277808875217119</v>
      </c>
      <c r="V375" s="181">
        <f>+V372-V373-V374</f>
        <v>77.277808875217119</v>
      </c>
      <c r="W375" s="181">
        <f>+W372-W373-W374</f>
        <v>77.277808875217119</v>
      </c>
      <c r="X375" s="181">
        <f>+X372-X373-X374</f>
        <v>77.277808875217119</v>
      </c>
      <c r="Y375" s="181">
        <f>+Y372-Y373-Y374</f>
        <v>77.277808875217119</v>
      </c>
    </row>
    <row r="376" spans="1:26">
      <c r="A376" s="777" t="s">
        <v>57</v>
      </c>
      <c r="B376" s="181">
        <f ca="1">1/(B366-B367)</f>
        <v>16.528782274222632</v>
      </c>
      <c r="C376" s="181">
        <f t="shared" ref="C376:L376" ca="1" si="455">1/(C366-C367)</f>
        <v>16.528782274222632</v>
      </c>
      <c r="D376" s="181">
        <f t="shared" ca="1" si="455"/>
        <v>16.528782274222632</v>
      </c>
      <c r="E376" s="181">
        <f t="shared" ca="1" si="455"/>
        <v>16.528782274222632</v>
      </c>
      <c r="F376" s="181">
        <f t="shared" ca="1" si="455"/>
        <v>16.528782274222632</v>
      </c>
      <c r="G376" s="181">
        <f t="shared" ca="1" si="455"/>
        <v>16.528782274222632</v>
      </c>
      <c r="H376" s="181">
        <f t="shared" ca="1" si="455"/>
        <v>16.528782274222632</v>
      </c>
      <c r="I376" s="1683">
        <f t="shared" ca="1" si="455"/>
        <v>16.528782274222632</v>
      </c>
      <c r="J376" s="181">
        <f t="shared" ca="1" si="455"/>
        <v>16.528782274222632</v>
      </c>
      <c r="K376" s="181">
        <f t="shared" ca="1" si="455"/>
        <v>16.528782274222632</v>
      </c>
      <c r="L376" s="181">
        <f t="shared" ca="1" si="455"/>
        <v>16.528782274222632</v>
      </c>
      <c r="M376" s="181">
        <f t="shared" ref="M376:S376" ca="1" si="456">1/(M366-M367)</f>
        <v>16.528782274222632</v>
      </c>
      <c r="N376" s="181">
        <f ca="1">1/(N366-N367)</f>
        <v>16.528782274222632</v>
      </c>
      <c r="O376" s="181">
        <f t="shared" ca="1" si="456"/>
        <v>16.528782274222632</v>
      </c>
      <c r="P376" s="181">
        <f t="shared" ca="1" si="456"/>
        <v>16.528782274222632</v>
      </c>
      <c r="Q376" s="181">
        <f t="shared" ca="1" si="456"/>
        <v>16.528782274222632</v>
      </c>
      <c r="R376" s="181">
        <f t="shared" ca="1" si="456"/>
        <v>16.528782274222632</v>
      </c>
      <c r="S376" s="181">
        <f t="shared" ca="1" si="456"/>
        <v>16.528782274222632</v>
      </c>
      <c r="T376" s="181">
        <f t="shared" ref="T376:Y376" ca="1" si="457">1/(T366-T367)</f>
        <v>16.528782274222632</v>
      </c>
      <c r="U376" s="181">
        <f t="shared" ca="1" si="457"/>
        <v>16.528782274222632</v>
      </c>
      <c r="V376" s="181">
        <f t="shared" ca="1" si="457"/>
        <v>16.528782274222632</v>
      </c>
      <c r="W376" s="181">
        <f t="shared" ca="1" si="457"/>
        <v>16.528782274222632</v>
      </c>
      <c r="X376" s="181">
        <f t="shared" ca="1" si="457"/>
        <v>16.528782274222632</v>
      </c>
      <c r="Y376" s="181">
        <f t="shared" ca="1" si="457"/>
        <v>16.528782274222632</v>
      </c>
    </row>
    <row r="377" spans="1:26">
      <c r="A377" s="777" t="s">
        <v>58</v>
      </c>
      <c r="B377" s="181">
        <f ca="1">+B378/B372</f>
        <v>12.229646004697328</v>
      </c>
      <c r="C377" s="181">
        <f t="shared" ref="C377:L377" ca="1" si="458">+C378/C372</f>
        <v>12.229646004697328</v>
      </c>
      <c r="D377" s="181">
        <f t="shared" ca="1" si="458"/>
        <v>12.229646004697328</v>
      </c>
      <c r="E377" s="181">
        <f t="shared" ca="1" si="458"/>
        <v>12.229646004697328</v>
      </c>
      <c r="F377" s="181">
        <f t="shared" ca="1" si="458"/>
        <v>12.229646004697328</v>
      </c>
      <c r="G377" s="181">
        <f t="shared" ca="1" si="458"/>
        <v>12.229646004697328</v>
      </c>
      <c r="H377" s="181">
        <f t="shared" ca="1" si="458"/>
        <v>12.229646004697328</v>
      </c>
      <c r="I377" s="1683">
        <f t="shared" ca="1" si="458"/>
        <v>12.229646004697328</v>
      </c>
      <c r="J377" s="181">
        <f t="shared" ca="1" si="458"/>
        <v>12.229646004697328</v>
      </c>
      <c r="K377" s="181">
        <f t="shared" ca="1" si="458"/>
        <v>12.229646004697328</v>
      </c>
      <c r="L377" s="181">
        <f t="shared" ca="1" si="458"/>
        <v>12.229646004697328</v>
      </c>
      <c r="M377" s="181">
        <f t="shared" ref="M377:S377" ca="1" si="459">+M378/M372</f>
        <v>12.229646004697328</v>
      </c>
      <c r="N377" s="181">
        <f ca="1">+N378/N372</f>
        <v>12.229646004697328</v>
      </c>
      <c r="O377" s="181">
        <f t="shared" ca="1" si="459"/>
        <v>12.229646004697328</v>
      </c>
      <c r="P377" s="181">
        <f t="shared" ca="1" si="459"/>
        <v>12.229646004697328</v>
      </c>
      <c r="Q377" s="181">
        <f t="shared" ca="1" si="459"/>
        <v>12.229646004697328</v>
      </c>
      <c r="R377" s="181">
        <f t="shared" ca="1" si="459"/>
        <v>12.229646004697328</v>
      </c>
      <c r="S377" s="181">
        <f t="shared" ca="1" si="459"/>
        <v>12.229646004697328</v>
      </c>
      <c r="T377" s="181">
        <f t="shared" ref="T377:Y377" ca="1" si="460">+T378/T372</f>
        <v>12.229646004697328</v>
      </c>
      <c r="U377" s="181">
        <f t="shared" ca="1" si="460"/>
        <v>12.229646004697328</v>
      </c>
      <c r="V377" s="181">
        <f t="shared" ca="1" si="460"/>
        <v>12.229646004697328</v>
      </c>
      <c r="W377" s="181">
        <f t="shared" ca="1" si="460"/>
        <v>12.229646004697328</v>
      </c>
      <c r="X377" s="181">
        <f t="shared" ca="1" si="460"/>
        <v>12.229646004697328</v>
      </c>
      <c r="Y377" s="181">
        <f t="shared" ca="1" si="460"/>
        <v>12.229646004697328</v>
      </c>
    </row>
    <row r="378" spans="1:26">
      <c r="A378" s="776" t="s">
        <v>59</v>
      </c>
      <c r="B378" s="181">
        <f ca="1">B376*B375</f>
        <v>1277.3080775274532</v>
      </c>
      <c r="C378" s="181">
        <f t="shared" ref="C378:L378" ca="1" si="461">C376*C375</f>
        <v>1277.3080775274532</v>
      </c>
      <c r="D378" s="181">
        <f t="shared" ca="1" si="461"/>
        <v>1277.3080775274532</v>
      </c>
      <c r="E378" s="181">
        <f t="shared" ca="1" si="461"/>
        <v>1277.3080775274532</v>
      </c>
      <c r="F378" s="181">
        <f t="shared" ca="1" si="461"/>
        <v>1277.3080775274532</v>
      </c>
      <c r="G378" s="181">
        <f t="shared" ca="1" si="461"/>
        <v>1277.3080775274532</v>
      </c>
      <c r="H378" s="181">
        <f t="shared" ca="1" si="461"/>
        <v>1277.3080775274532</v>
      </c>
      <c r="I378" s="1683">
        <f t="shared" ca="1" si="461"/>
        <v>1277.3080775274532</v>
      </c>
      <c r="J378" s="181">
        <f t="shared" ca="1" si="461"/>
        <v>1277.3080775274532</v>
      </c>
      <c r="K378" s="181">
        <f t="shared" ca="1" si="461"/>
        <v>1277.3080775274532</v>
      </c>
      <c r="L378" s="181">
        <f t="shared" ca="1" si="461"/>
        <v>1277.3080775274532</v>
      </c>
      <c r="M378" s="181">
        <f t="shared" ref="M378:S378" ca="1" si="462">M376*M375</f>
        <v>1277.3080775274532</v>
      </c>
      <c r="N378" s="181">
        <f ca="1">N376*N375</f>
        <v>1277.3080775274532</v>
      </c>
      <c r="O378" s="181">
        <f t="shared" ca="1" si="462"/>
        <v>1277.3080775274532</v>
      </c>
      <c r="P378" s="181">
        <f t="shared" ca="1" si="462"/>
        <v>1277.3080775274532</v>
      </c>
      <c r="Q378" s="181">
        <f t="shared" ca="1" si="462"/>
        <v>1277.3080775274532</v>
      </c>
      <c r="R378" s="181">
        <f t="shared" ca="1" si="462"/>
        <v>1277.3080775274532</v>
      </c>
      <c r="S378" s="181">
        <f t="shared" ca="1" si="462"/>
        <v>1277.3080775274532</v>
      </c>
      <c r="T378" s="181">
        <f t="shared" ref="T378:Y378" ca="1" si="463">T376*T375</f>
        <v>1277.3080775274532</v>
      </c>
      <c r="U378" s="181">
        <f t="shared" ca="1" si="463"/>
        <v>1277.3080775274532</v>
      </c>
      <c r="V378" s="181">
        <f t="shared" ca="1" si="463"/>
        <v>1277.3080775274532</v>
      </c>
      <c r="W378" s="181">
        <f t="shared" ca="1" si="463"/>
        <v>1277.3080775274532</v>
      </c>
      <c r="X378" s="181">
        <f t="shared" ca="1" si="463"/>
        <v>1277.3080775274532</v>
      </c>
      <c r="Y378" s="181">
        <f t="shared" ca="1" si="463"/>
        <v>1277.3080775274532</v>
      </c>
    </row>
    <row r="379" spans="1:26">
      <c r="A379" s="776" t="s">
        <v>60</v>
      </c>
      <c r="B379" s="181">
        <f ca="1">B378/((1+B366)^B385)</f>
        <v>215.23905175022858</v>
      </c>
      <c r="C379" s="181">
        <f t="shared" ref="C379:O379" ca="1" si="464">C378/((1+C366)^C385)</f>
        <v>232.56590834889423</v>
      </c>
      <c r="D379" s="181">
        <f t="shared" ca="1" si="464"/>
        <v>251.28758599489987</v>
      </c>
      <c r="E379" s="181">
        <f t="shared" ca="1" si="464"/>
        <v>271.51636851439855</v>
      </c>
      <c r="F379" s="181">
        <f t="shared" ca="1" si="464"/>
        <v>293.37357864046226</v>
      </c>
      <c r="G379" s="181">
        <f t="shared" ca="1" si="464"/>
        <v>316.9903056498315</v>
      </c>
      <c r="H379" s="181">
        <f t="shared" ca="1" si="464"/>
        <v>342.5081915748051</v>
      </c>
      <c r="I379" s="1683">
        <f t="shared" ca="1" si="464"/>
        <v>370.08028070559942</v>
      </c>
      <c r="J379" s="181">
        <f t="shared" ca="1" si="464"/>
        <v>399.87193747809334</v>
      </c>
      <c r="K379" s="181">
        <f t="shared" ca="1" si="464"/>
        <v>432.06183825201811</v>
      </c>
      <c r="L379" s="181">
        <f t="shared" ca="1" si="464"/>
        <v>466.84304292781246</v>
      </c>
      <c r="M379" s="181">
        <f t="shared" ca="1" si="464"/>
        <v>504.42415282919598</v>
      </c>
      <c r="N379" s="181">
        <f t="shared" ca="1" si="464"/>
        <v>545.03056179589782</v>
      </c>
      <c r="O379" s="181">
        <f t="shared" ca="1" si="464"/>
        <v>588.90580799000611</v>
      </c>
      <c r="P379" s="181">
        <f t="shared" ref="P379:U379" ca="1" si="465">P378/((1+P366)^P385)</f>
        <v>636.31303452343809</v>
      </c>
      <c r="Q379" s="181">
        <f t="shared" ca="1" si="465"/>
        <v>687.53656766668735</v>
      </c>
      <c r="R379" s="181">
        <f t="shared" ca="1" si="465"/>
        <v>742.88362210420462</v>
      </c>
      <c r="S379" s="181">
        <f t="shared" ca="1" si="465"/>
        <v>802.68614346372931</v>
      </c>
      <c r="T379" s="181">
        <f t="shared" ca="1" si="465"/>
        <v>867.30279917020107</v>
      </c>
      <c r="U379" s="181">
        <f t="shared" ca="1" si="465"/>
        <v>937.12112956445515</v>
      </c>
      <c r="V379" s="181">
        <f ca="1">V378/((1+V366)^V385)</f>
        <v>1012.5598721881</v>
      </c>
      <c r="W379" s="181">
        <f ca="1">W378/((1+W366)^W385)</f>
        <v>1094.0714731745497</v>
      </c>
      <c r="X379" s="181">
        <f ca="1">X378/((1+X366)^X385)</f>
        <v>1182.1448008083496</v>
      </c>
      <c r="Y379" s="181">
        <f ca="1">Y378/((1+Y366)^Y385)</f>
        <v>1277.3080775274532</v>
      </c>
    </row>
    <row r="380" spans="1:26">
      <c r="A380" s="776" t="s">
        <v>63</v>
      </c>
      <c r="B380" s="173">
        <f ca="1">NPV(B366,C369:$Y369)</f>
        <v>386.01729827358974</v>
      </c>
      <c r="C380" s="173">
        <f ca="1">NPV(C366,D369:$Y369)</f>
        <v>417.09189332222604</v>
      </c>
      <c r="D380" s="173">
        <f ca="1">NPV(D366,E369:$Y369)</f>
        <v>442.78475286342285</v>
      </c>
      <c r="E380" s="173">
        <f ca="1">NPV(E366,F369:$Y369)</f>
        <v>464.41047630133284</v>
      </c>
      <c r="F380" s="173">
        <f ca="1">NPV(F366,G369:$Y369)</f>
        <v>482.75156017415088</v>
      </c>
      <c r="G380" s="173">
        <f ca="1">NPV(G366,H369:$Y369)</f>
        <v>496.59593906906878</v>
      </c>
      <c r="H380" s="173">
        <f ca="1">NPV(H366,I369:$Y369)</f>
        <v>504.52774604877635</v>
      </c>
      <c r="I380" s="173">
        <f ca="1">NPV(I366,J369:$Y369)</f>
        <v>505.92516858066841</v>
      </c>
      <c r="J380" s="173">
        <f ca="1">NPV(J366,K369:$Y369)</f>
        <v>502.38926402695722</v>
      </c>
      <c r="K380" s="173">
        <f ca="1">NPV(K366,L369:$Y369)</f>
        <v>494.73873121714104</v>
      </c>
      <c r="L380" s="173">
        <f ca="1">NPV(L366,M369:$Y369)</f>
        <v>484.71907077630385</v>
      </c>
      <c r="M380" s="173">
        <f ca="1">NPV(M366,N369:$Y369)</f>
        <v>472.28730579463593</v>
      </c>
      <c r="N380" s="173">
        <f ca="1">NPV(N366,O369:$Y369)</f>
        <v>457.04384955752658</v>
      </c>
      <c r="O380" s="173">
        <f ca="1">NPV(O366,P369:$Y369)</f>
        <v>438.69980827873422</v>
      </c>
      <c r="P380" s="173">
        <f ca="1">NPV(P366,Q369:$Y369)</f>
        <v>416.94092546169463</v>
      </c>
      <c r="Q380" s="173">
        <f ca="1">NPV(Q366,R369:$Y369)</f>
        <v>391.4254717411813</v>
      </c>
      <c r="R380" s="173">
        <f ca="1">NPV(R366,S369:$Y369)</f>
        <v>361.78196275093654</v>
      </c>
      <c r="S380" s="173">
        <f ca="1">NPV(S366,T369:$Y369)</f>
        <v>327.60669111437801</v>
      </c>
      <c r="T380" s="173">
        <f ca="1">NPV(T366,U369:$Y369)</f>
        <v>288.46105753494629</v>
      </c>
      <c r="U380" s="173">
        <f ca="1">NPV(U366,V369:$Y369)</f>
        <v>243.86868475191028</v>
      </c>
      <c r="V380" s="173">
        <f ca="1">NPV(V366,W369:$Y369)</f>
        <v>193.31229681921741</v>
      </c>
      <c r="W380" s="173">
        <f ca="1">NPV(W366,X369:$Y369)</f>
        <v>136.23034475142168</v>
      </c>
      <c r="X380" s="173">
        <f ca="1">NPV(X366,Y369:$Y369)</f>
        <v>72.013358053368847</v>
      </c>
      <c r="Y380" s="771">
        <v>0</v>
      </c>
      <c r="Z380" s="1396"/>
    </row>
    <row r="381" spans="1:26">
      <c r="A381" s="776"/>
      <c r="B381" s="1426" t="s">
        <v>337</v>
      </c>
      <c r="C381" s="539"/>
      <c r="D381" s="539"/>
      <c r="E381" s="539"/>
      <c r="F381" s="539"/>
      <c r="G381" s="539"/>
      <c r="H381" s="539"/>
      <c r="I381" s="2268"/>
      <c r="J381" s="539"/>
      <c r="K381" s="539"/>
      <c r="L381" s="539"/>
      <c r="M381" s="539"/>
      <c r="N381" s="539"/>
      <c r="O381" s="539"/>
      <c r="P381" s="91"/>
      <c r="R381" s="1048"/>
      <c r="S381" s="1048"/>
      <c r="T381" s="1048"/>
      <c r="U381" s="1048"/>
      <c r="V381" s="1048"/>
      <c r="W381" s="1048"/>
    </row>
    <row r="382" spans="1:26">
      <c r="A382" s="776" t="s">
        <v>64</v>
      </c>
      <c r="B382" s="540">
        <f t="shared" ref="B382:I382" ca="1" si="466">B380+B379</f>
        <v>601.2563500238183</v>
      </c>
      <c r="C382" s="540">
        <f t="shared" ca="1" si="466"/>
        <v>649.6578016711203</v>
      </c>
      <c r="D382" s="540">
        <f t="shared" ca="1" si="466"/>
        <v>694.07233885832272</v>
      </c>
      <c r="E382" s="540">
        <f t="shared" ca="1" si="466"/>
        <v>735.92684481573133</v>
      </c>
      <c r="F382" s="540">
        <f t="shared" ca="1" si="466"/>
        <v>776.12513881461314</v>
      </c>
      <c r="G382" s="540">
        <f t="shared" ca="1" si="466"/>
        <v>813.58624471890028</v>
      </c>
      <c r="H382" s="540">
        <f t="shared" ca="1" si="466"/>
        <v>847.0359376235815</v>
      </c>
      <c r="I382" s="2269">
        <f t="shared" ca="1" si="466"/>
        <v>876.00544928626778</v>
      </c>
      <c r="J382" s="540">
        <f ca="1">J380+J379</f>
        <v>902.26120150505062</v>
      </c>
      <c r="K382" s="540">
        <f ca="1">K380+K379</f>
        <v>926.8005694691592</v>
      </c>
      <c r="L382" s="540">
        <f ca="1">L380+L379</f>
        <v>951.56211370411631</v>
      </c>
      <c r="M382" s="540">
        <f t="shared" ref="M382:S382" ca="1" si="467">M380+M379</f>
        <v>976.71145862383196</v>
      </c>
      <c r="N382" s="540">
        <f t="shared" ca="1" si="467"/>
        <v>1002.0744113534245</v>
      </c>
      <c r="O382" s="540">
        <f ca="1">O380+O379</f>
        <v>1027.6056162687403</v>
      </c>
      <c r="P382" s="540">
        <f t="shared" ca="1" si="467"/>
        <v>1053.2539599851327</v>
      </c>
      <c r="Q382" s="540">
        <f t="shared" ca="1" si="467"/>
        <v>1078.9620394078686</v>
      </c>
      <c r="R382" s="540">
        <f t="shared" ca="1" si="467"/>
        <v>1104.6655848551411</v>
      </c>
      <c r="S382" s="540">
        <f t="shared" ca="1" si="467"/>
        <v>1130.2928345781074</v>
      </c>
      <c r="T382" s="540">
        <f t="shared" ref="T382:Y382" ca="1" si="468">T380+T379</f>
        <v>1155.7638567051474</v>
      </c>
      <c r="U382" s="540">
        <f t="shared" ca="1" si="468"/>
        <v>1180.9898143163655</v>
      </c>
      <c r="V382" s="540">
        <f t="shared" ca="1" si="468"/>
        <v>1205.8721690073176</v>
      </c>
      <c r="W382" s="540">
        <f t="shared" ca="1" si="468"/>
        <v>1230.3018179259714</v>
      </c>
      <c r="X382" s="540">
        <f t="shared" ca="1" si="468"/>
        <v>1254.1581588617184</v>
      </c>
      <c r="Y382" s="540">
        <f t="shared" ca="1" si="468"/>
        <v>1277.3080775274532</v>
      </c>
    </row>
    <row r="383" spans="1:26">
      <c r="A383" s="777" t="s">
        <v>72</v>
      </c>
      <c r="B383" s="541"/>
      <c r="C383" s="541"/>
      <c r="D383" s="541"/>
      <c r="E383" s="541"/>
      <c r="F383" s="541"/>
      <c r="G383" s="541"/>
      <c r="H383" s="541">
        <f ca="1">H382/H370</f>
        <v>20.086569673705061</v>
      </c>
      <c r="I383" s="2270">
        <f t="shared" ref="I383:S383" ca="1" si="469">I382/I370</f>
        <v>16.974042168739238</v>
      </c>
      <c r="J383" s="541">
        <f t="shared" ca="1" si="469"/>
        <v>15.489822748861236</v>
      </c>
      <c r="K383" s="541">
        <f t="shared" ca="1" si="469"/>
        <v>14.643998448525751</v>
      </c>
      <c r="L383" s="541">
        <f t="shared" ca="1" si="469"/>
        <v>14.506408204701305</v>
      </c>
      <c r="M383" s="541">
        <f t="shared" ca="1" si="469"/>
        <v>14.425181041616538</v>
      </c>
      <c r="N383" s="541">
        <f t="shared" ca="1" si="469"/>
        <v>14.296580079709308</v>
      </c>
      <c r="O383" s="541">
        <f t="shared" ca="1" si="469"/>
        <v>14.162672366561839</v>
      </c>
      <c r="P383" s="541">
        <f t="shared" ca="1" si="469"/>
        <v>14.023222621850582</v>
      </c>
      <c r="Q383" s="541">
        <f t="shared" ca="1" si="469"/>
        <v>13.877984848470028</v>
      </c>
      <c r="R383" s="541">
        <f t="shared" ca="1" si="469"/>
        <v>13.726701833155328</v>
      </c>
      <c r="S383" s="541">
        <f t="shared" ca="1" si="469"/>
        <v>13.56910462324455</v>
      </c>
      <c r="T383" s="541">
        <f t="shared" ref="T383:Y383" ca="1" si="470">T382/T370</f>
        <v>13.404911978406833</v>
      </c>
      <c r="U383" s="541">
        <f t="shared" ca="1" si="470"/>
        <v>13.233829796102665</v>
      </c>
      <c r="V383" s="541">
        <f t="shared" ca="1" si="470"/>
        <v>13.055550509479671</v>
      </c>
      <c r="W383" s="541">
        <f t="shared" ca="1" si="470"/>
        <v>12.869752456341065</v>
      </c>
      <c r="X383" s="541">
        <f t="shared" ca="1" si="470"/>
        <v>12.676099217753968</v>
      </c>
      <c r="Y383" s="541">
        <f t="shared" ca="1" si="470"/>
        <v>12.474238924791274</v>
      </c>
    </row>
    <row r="384" spans="1:26">
      <c r="A384" s="777" t="s">
        <v>73</v>
      </c>
      <c r="B384" s="541"/>
      <c r="C384" s="541"/>
      <c r="D384" s="541"/>
      <c r="E384" s="541"/>
      <c r="F384" s="541"/>
      <c r="G384" s="541"/>
      <c r="H384" s="541">
        <f t="shared" ref="H384:M384" ca="1" si="471">H382/I370</f>
        <v>16.412710372263703</v>
      </c>
      <c r="I384" s="2270">
        <f t="shared" ca="1" si="471"/>
        <v>15.039069743713103</v>
      </c>
      <c r="J384" s="541">
        <f t="shared" ca="1" si="471"/>
        <v>14.256261886602795</v>
      </c>
      <c r="K384" s="541">
        <f t="shared" ca="1" si="471"/>
        <v>14.128922527962027</v>
      </c>
      <c r="L384" s="541">
        <f t="shared" ca="1" si="471"/>
        <v>14.05374703176463</v>
      </c>
      <c r="M384" s="541">
        <f t="shared" ca="1" si="471"/>
        <v>13.934727226619525</v>
      </c>
      <c r="N384" s="541">
        <f t="shared" ref="N384:X384" ca="1" si="472">N382/O370</f>
        <v>13.810796039092832</v>
      </c>
      <c r="O384" s="541">
        <f t="shared" ca="1" si="472"/>
        <v>13.681735717949655</v>
      </c>
      <c r="P384" s="541">
        <f t="shared" ca="1" si="472"/>
        <v>13.547318593605501</v>
      </c>
      <c r="Q384" s="541">
        <f t="shared" ca="1" si="472"/>
        <v>13.407306615953974</v>
      </c>
      <c r="R384" s="541">
        <f t="shared" ca="1" si="472"/>
        <v>13.261450870111858</v>
      </c>
      <c r="S384" s="541">
        <f t="shared" ca="1" si="472"/>
        <v>13.109491068995119</v>
      </c>
      <c r="T384" s="541">
        <f t="shared" ca="1" si="472"/>
        <v>12.951155021584134</v>
      </c>
      <c r="U384" s="541">
        <f t="shared" ca="1" si="472"/>
        <v>12.786158075678056</v>
      </c>
      <c r="V384" s="541">
        <f t="shared" ca="1" si="472"/>
        <v>12.614202533876988</v>
      </c>
      <c r="W384" s="541">
        <f t="shared" ca="1" si="472"/>
        <v>12.434977041465961</v>
      </c>
      <c r="X384" s="541">
        <f t="shared" ca="1" si="472"/>
        <v>12.248155944806633</v>
      </c>
    </row>
    <row r="385" spans="1:26">
      <c r="A385" s="778" t="s">
        <v>61</v>
      </c>
      <c r="B385" s="11">
        <f>+C385+1</f>
        <v>23</v>
      </c>
      <c r="C385" s="11">
        <f t="shared" ref="C385:Q385" si="473">+D385+1</f>
        <v>22</v>
      </c>
      <c r="D385" s="11">
        <f t="shared" si="473"/>
        <v>21</v>
      </c>
      <c r="E385" s="11">
        <f t="shared" si="473"/>
        <v>20</v>
      </c>
      <c r="F385" s="11">
        <f t="shared" si="473"/>
        <v>19</v>
      </c>
      <c r="G385" s="11">
        <f t="shared" si="473"/>
        <v>18</v>
      </c>
      <c r="H385" s="11">
        <f t="shared" si="473"/>
        <v>17</v>
      </c>
      <c r="I385" s="1108">
        <f t="shared" si="473"/>
        <v>16</v>
      </c>
      <c r="J385" s="11">
        <f t="shared" si="473"/>
        <v>15</v>
      </c>
      <c r="K385" s="11">
        <f t="shared" si="473"/>
        <v>14</v>
      </c>
      <c r="L385" s="11">
        <f t="shared" si="473"/>
        <v>13</v>
      </c>
      <c r="M385" s="11">
        <f t="shared" si="473"/>
        <v>12</v>
      </c>
      <c r="N385" s="11">
        <f t="shared" si="473"/>
        <v>11</v>
      </c>
      <c r="O385" s="11">
        <f t="shared" si="473"/>
        <v>10</v>
      </c>
      <c r="P385" s="11">
        <f t="shared" si="473"/>
        <v>9</v>
      </c>
      <c r="Q385" s="11">
        <f t="shared" si="473"/>
        <v>8</v>
      </c>
      <c r="R385" s="11">
        <f t="shared" ref="R385:X385" si="474">+S385+1</f>
        <v>7</v>
      </c>
      <c r="S385" s="11">
        <f t="shared" si="474"/>
        <v>6</v>
      </c>
      <c r="T385" s="11">
        <f t="shared" si="474"/>
        <v>5</v>
      </c>
      <c r="U385" s="11">
        <f t="shared" si="474"/>
        <v>4</v>
      </c>
      <c r="V385" s="11">
        <f t="shared" si="474"/>
        <v>3</v>
      </c>
      <c r="W385" s="11">
        <f t="shared" si="474"/>
        <v>2</v>
      </c>
      <c r="X385" s="11">
        <f t="shared" si="474"/>
        <v>1</v>
      </c>
      <c r="Y385" s="469">
        <v>0</v>
      </c>
      <c r="Z385" s="1396"/>
    </row>
    <row r="387" spans="1:26">
      <c r="J387" s="1391"/>
      <c r="K387" s="1391"/>
      <c r="L387" s="1391"/>
      <c r="M387" s="1391"/>
      <c r="N387" s="1391"/>
      <c r="O387" s="1391"/>
      <c r="P387" s="1391"/>
      <c r="Q387" s="1391"/>
      <c r="R387" s="1391"/>
      <c r="S387" s="1391"/>
      <c r="T387" s="1391"/>
      <c r="U387" s="1391"/>
      <c r="V387" s="1391"/>
      <c r="W387" s="1391"/>
    </row>
    <row r="388" spans="1:26">
      <c r="A388" s="779" t="s">
        <v>1820</v>
      </c>
      <c r="B388" s="780"/>
      <c r="C388" s="781"/>
      <c r="D388" s="781"/>
      <c r="E388" s="782"/>
      <c r="F388" s="782"/>
      <c r="G388" s="782"/>
      <c r="H388" s="782"/>
      <c r="I388" s="2582"/>
      <c r="J388" s="782"/>
      <c r="K388" s="782"/>
      <c r="L388" s="782"/>
      <c r="M388" s="782"/>
      <c r="N388" s="782"/>
      <c r="O388" s="782"/>
      <c r="P388" s="782"/>
      <c r="Q388" s="782"/>
      <c r="R388" s="1269"/>
      <c r="S388" s="1269"/>
      <c r="T388" s="1269"/>
      <c r="U388" s="1269"/>
      <c r="V388" s="1269"/>
      <c r="W388" s="1269"/>
      <c r="X388" s="1269"/>
      <c r="Y388" s="1269"/>
    </row>
    <row r="389" spans="1:26">
      <c r="A389" s="301"/>
      <c r="B389" s="772">
        <v>2005</v>
      </c>
      <c r="C389" s="772">
        <f>B389+1</f>
        <v>2006</v>
      </c>
      <c r="D389" s="772">
        <f t="shared" ref="D389" si="475">C389+1</f>
        <v>2007</v>
      </c>
      <c r="E389" s="772">
        <f t="shared" ref="E389" si="476">D389+1</f>
        <v>2008</v>
      </c>
      <c r="F389" s="772">
        <f t="shared" ref="F389" si="477">E389+1</f>
        <v>2009</v>
      </c>
      <c r="G389" s="772">
        <f t="shared" ref="G389" si="478">F389+1</f>
        <v>2010</v>
      </c>
      <c r="H389" s="772">
        <f t="shared" ref="H389" si="479">G389+1</f>
        <v>2011</v>
      </c>
      <c r="I389" s="2674">
        <f t="shared" ref="I389" si="480">H389+1</f>
        <v>2012</v>
      </c>
      <c r="J389" s="772">
        <f t="shared" ref="J389" si="481">I389+1</f>
        <v>2013</v>
      </c>
      <c r="K389" s="772">
        <f t="shared" ref="K389" si="482">J389+1</f>
        <v>2014</v>
      </c>
      <c r="L389" s="772">
        <f t="shared" ref="L389" si="483">K389+1</f>
        <v>2015</v>
      </c>
      <c r="M389" s="772">
        <f t="shared" ref="M389" si="484">L389+1</f>
        <v>2016</v>
      </c>
      <c r="N389" s="772">
        <f t="shared" ref="N389" si="485">M389+1</f>
        <v>2017</v>
      </c>
      <c r="O389" s="772">
        <f t="shared" ref="O389" si="486">N389+1</f>
        <v>2018</v>
      </c>
      <c r="P389" s="772">
        <f t="shared" ref="P389" si="487">O389+1</f>
        <v>2019</v>
      </c>
      <c r="Q389" s="772">
        <f t="shared" ref="Q389" si="488">P389+1</f>
        <v>2020</v>
      </c>
      <c r="R389" s="1271">
        <f t="shared" ref="R389" si="489">Q389+1</f>
        <v>2021</v>
      </c>
      <c r="S389" s="1271">
        <f t="shared" ref="S389" si="490">R389+1</f>
        <v>2022</v>
      </c>
      <c r="T389" s="1271">
        <f t="shared" ref="T389" si="491">S389+1</f>
        <v>2023</v>
      </c>
      <c r="U389" s="1271">
        <f t="shared" ref="U389" si="492">T389+1</f>
        <v>2024</v>
      </c>
      <c r="V389" s="1271">
        <f t="shared" ref="V389" si="493">U389+1</f>
        <v>2025</v>
      </c>
      <c r="W389" s="1271">
        <f t="shared" ref="W389" si="494">V389+1</f>
        <v>2026</v>
      </c>
      <c r="X389" s="1271">
        <f t="shared" ref="X389" si="495">W389+1</f>
        <v>2027</v>
      </c>
      <c r="Y389" s="1271">
        <f t="shared" ref="Y389" si="496">X389+1</f>
        <v>2028</v>
      </c>
    </row>
    <row r="390" spans="1:26">
      <c r="A390" s="36" t="s">
        <v>65</v>
      </c>
      <c r="B390" s="6"/>
      <c r="C390" s="6" t="s">
        <v>337</v>
      </c>
      <c r="D390" s="6"/>
      <c r="E390" s="6"/>
      <c r="F390" s="6"/>
      <c r="G390" s="6"/>
      <c r="H390" s="6"/>
      <c r="I390" s="1108"/>
      <c r="J390" s="11"/>
      <c r="K390" s="11"/>
      <c r="L390" s="11"/>
      <c r="M390" s="11"/>
      <c r="N390" s="11"/>
      <c r="O390" s="11"/>
      <c r="P390" s="11"/>
      <c r="Q390" s="11"/>
      <c r="R390" s="11"/>
      <c r="S390" s="11"/>
      <c r="T390" s="11"/>
      <c r="U390" s="11"/>
      <c r="V390" s="11"/>
      <c r="W390" s="11"/>
      <c r="X390" s="11"/>
      <c r="Y390" s="11"/>
    </row>
    <row r="391" spans="1:26">
      <c r="A391" s="295" t="s">
        <v>246</v>
      </c>
      <c r="I391"/>
      <c r="N391" s="488">
        <f ca="1">B52</f>
        <v>4.6359932385549224E-2</v>
      </c>
      <c r="O391" s="536">
        <f ca="1">N391</f>
        <v>4.6359932385549224E-2</v>
      </c>
      <c r="P391" s="536">
        <f t="shared" ref="P391:P394" ca="1" si="497">+O391</f>
        <v>4.6359932385549224E-2</v>
      </c>
      <c r="Q391" s="536">
        <f t="shared" ref="Q391:Q394" ca="1" si="498">+P391</f>
        <v>4.6359932385549224E-2</v>
      </c>
      <c r="R391" s="536">
        <f t="shared" ref="R391:R394" ca="1" si="499">+Q391</f>
        <v>4.6359932385549224E-2</v>
      </c>
      <c r="S391" s="536">
        <f t="shared" ref="S391:S394" ca="1" si="500">+R391</f>
        <v>4.6359932385549224E-2</v>
      </c>
      <c r="T391" s="536">
        <f t="shared" ref="T391:T394" ca="1" si="501">+S391</f>
        <v>4.6359932385549224E-2</v>
      </c>
      <c r="U391" s="536">
        <f t="shared" ref="U391:U394" ca="1" si="502">+T391</f>
        <v>4.6359932385549224E-2</v>
      </c>
      <c r="V391" s="536">
        <f t="shared" ref="V391:V394" ca="1" si="503">+U391</f>
        <v>4.6359932385549224E-2</v>
      </c>
      <c r="W391" s="536">
        <f t="shared" ref="W391:W394" ca="1" si="504">+V391</f>
        <v>4.6359932385549224E-2</v>
      </c>
      <c r="X391" s="536">
        <f t="shared" ref="X391:X394" ca="1" si="505">+W391</f>
        <v>4.6359932385549224E-2</v>
      </c>
      <c r="Y391" s="536">
        <f t="shared" ref="Y391:Y394" ca="1" si="506">+X391</f>
        <v>4.6359932385549224E-2</v>
      </c>
    </row>
    <row r="392" spans="1:26">
      <c r="A392" s="295" t="s">
        <v>247</v>
      </c>
      <c r="I392"/>
      <c r="N392" s="488">
        <f>B53</f>
        <v>0.1</v>
      </c>
      <c r="O392" s="536">
        <f t="shared" ref="O392:O396" si="507">N392</f>
        <v>0.1</v>
      </c>
      <c r="P392" s="536">
        <f t="shared" si="497"/>
        <v>0.1</v>
      </c>
      <c r="Q392" s="536">
        <f t="shared" si="498"/>
        <v>0.1</v>
      </c>
      <c r="R392" s="536">
        <f t="shared" si="499"/>
        <v>0.1</v>
      </c>
      <c r="S392" s="536">
        <f t="shared" si="500"/>
        <v>0.1</v>
      </c>
      <c r="T392" s="536">
        <f t="shared" si="501"/>
        <v>0.1</v>
      </c>
      <c r="U392" s="536">
        <f t="shared" si="502"/>
        <v>0.1</v>
      </c>
      <c r="V392" s="536">
        <f t="shared" si="503"/>
        <v>0.1</v>
      </c>
      <c r="W392" s="536">
        <f t="shared" si="504"/>
        <v>0.1</v>
      </c>
      <c r="X392" s="536">
        <f t="shared" si="505"/>
        <v>0.1</v>
      </c>
      <c r="Y392" s="536">
        <f t="shared" si="506"/>
        <v>0.1</v>
      </c>
    </row>
    <row r="393" spans="1:26">
      <c r="A393" s="295" t="s">
        <v>248</v>
      </c>
      <c r="I393"/>
      <c r="N393" s="488">
        <f>B54</f>
        <v>0.3</v>
      </c>
      <c r="O393" s="536">
        <f t="shared" si="507"/>
        <v>0.3</v>
      </c>
      <c r="P393" s="536">
        <f t="shared" si="497"/>
        <v>0.3</v>
      </c>
      <c r="Q393" s="536">
        <f t="shared" si="498"/>
        <v>0.3</v>
      </c>
      <c r="R393" s="536">
        <f t="shared" si="499"/>
        <v>0.3</v>
      </c>
      <c r="S393" s="536">
        <f t="shared" si="500"/>
        <v>0.3</v>
      </c>
      <c r="T393" s="536">
        <f t="shared" si="501"/>
        <v>0.3</v>
      </c>
      <c r="U393" s="536">
        <f t="shared" si="502"/>
        <v>0.3</v>
      </c>
      <c r="V393" s="536">
        <f t="shared" si="503"/>
        <v>0.3</v>
      </c>
      <c r="W393" s="536">
        <f t="shared" si="504"/>
        <v>0.3</v>
      </c>
      <c r="X393" s="536">
        <f t="shared" si="505"/>
        <v>0.3</v>
      </c>
      <c r="Y393" s="536">
        <f t="shared" si="506"/>
        <v>0.3</v>
      </c>
    </row>
    <row r="394" spans="1:26">
      <c r="A394" s="295" t="s">
        <v>249</v>
      </c>
      <c r="I394"/>
      <c r="N394" s="488">
        <f>B55</f>
        <v>0.245</v>
      </c>
      <c r="O394" s="536">
        <f t="shared" si="507"/>
        <v>0.245</v>
      </c>
      <c r="P394" s="536">
        <f t="shared" si="497"/>
        <v>0.245</v>
      </c>
      <c r="Q394" s="536">
        <f t="shared" si="498"/>
        <v>0.245</v>
      </c>
      <c r="R394" s="536">
        <f t="shared" si="499"/>
        <v>0.245</v>
      </c>
      <c r="S394" s="536">
        <f t="shared" si="500"/>
        <v>0.245</v>
      </c>
      <c r="T394" s="536">
        <f t="shared" si="501"/>
        <v>0.245</v>
      </c>
      <c r="U394" s="536">
        <f t="shared" si="502"/>
        <v>0.245</v>
      </c>
      <c r="V394" s="536">
        <f t="shared" si="503"/>
        <v>0.245</v>
      </c>
      <c r="W394" s="536">
        <f t="shared" si="504"/>
        <v>0.245</v>
      </c>
      <c r="X394" s="536">
        <f t="shared" si="505"/>
        <v>0.245</v>
      </c>
      <c r="Y394" s="536">
        <f t="shared" si="506"/>
        <v>0.245</v>
      </c>
    </row>
    <row r="395" spans="1:26">
      <c r="A395" s="295" t="s">
        <v>250</v>
      </c>
      <c r="I395"/>
      <c r="N395" s="298">
        <f ca="1">((N391*(1-N394)*N393))+(N392*(1-N393))</f>
        <v>8.0500524685326896E-2</v>
      </c>
      <c r="O395" s="298">
        <f t="shared" ref="O395:Y395" ca="1" si="508">((O391*(1-O394)*O393))+(O392*(1-O393))</f>
        <v>8.0500524685326896E-2</v>
      </c>
      <c r="P395" s="298">
        <f t="shared" ca="1" si="508"/>
        <v>8.0500524685326896E-2</v>
      </c>
      <c r="Q395" s="298">
        <f t="shared" ca="1" si="508"/>
        <v>8.0500524685326896E-2</v>
      </c>
      <c r="R395" s="298">
        <f t="shared" ca="1" si="508"/>
        <v>8.0500524685326896E-2</v>
      </c>
      <c r="S395" s="298">
        <f t="shared" ca="1" si="508"/>
        <v>8.0500524685326896E-2</v>
      </c>
      <c r="T395" s="298">
        <f t="shared" ca="1" si="508"/>
        <v>8.0500524685326896E-2</v>
      </c>
      <c r="U395" s="298">
        <f t="shared" ca="1" si="508"/>
        <v>8.0500524685326896E-2</v>
      </c>
      <c r="V395" s="298">
        <f t="shared" ca="1" si="508"/>
        <v>8.0500524685326896E-2</v>
      </c>
      <c r="W395" s="298">
        <f t="shared" ca="1" si="508"/>
        <v>8.0500524685326896E-2</v>
      </c>
      <c r="X395" s="298">
        <f t="shared" ca="1" si="508"/>
        <v>8.0500524685326896E-2</v>
      </c>
      <c r="Y395" s="298">
        <f t="shared" ca="1" si="508"/>
        <v>8.0500524685326896E-2</v>
      </c>
    </row>
    <row r="396" spans="1:26">
      <c r="A396" s="295" t="s">
        <v>251</v>
      </c>
      <c r="I396"/>
      <c r="N396" s="911">
        <v>0</v>
      </c>
      <c r="O396" s="536">
        <f t="shared" si="507"/>
        <v>0</v>
      </c>
      <c r="P396" s="536">
        <f t="shared" ref="P396" si="509">+O396</f>
        <v>0</v>
      </c>
      <c r="Q396" s="536">
        <f t="shared" ref="Q396" si="510">+P396</f>
        <v>0</v>
      </c>
      <c r="R396" s="536">
        <f t="shared" ref="R396" si="511">+Q396</f>
        <v>0</v>
      </c>
      <c r="S396" s="536">
        <f t="shared" ref="S396" si="512">+R396</f>
        <v>0</v>
      </c>
      <c r="T396" s="536">
        <f t="shared" ref="T396" si="513">+S396</f>
        <v>0</v>
      </c>
      <c r="U396" s="536">
        <f t="shared" ref="U396" si="514">+T396</f>
        <v>0</v>
      </c>
      <c r="V396" s="536">
        <f t="shared" ref="V396" si="515">+U396</f>
        <v>0</v>
      </c>
      <c r="W396" s="536">
        <f t="shared" ref="W396" si="516">+V396</f>
        <v>0</v>
      </c>
      <c r="X396" s="536">
        <f t="shared" ref="X396" si="517">+W396</f>
        <v>0</v>
      </c>
      <c r="Y396" s="536">
        <f t="shared" ref="Y396" si="518">+X396</f>
        <v>0</v>
      </c>
    </row>
    <row r="397" spans="1:26">
      <c r="I397"/>
    </row>
    <row r="398" spans="1:26">
      <c r="A398" s="776" t="s">
        <v>243</v>
      </c>
      <c r="N398" s="793">
        <f>+N399-(N399-N399*0.02)*N394</f>
        <v>0</v>
      </c>
      <c r="O398" s="793">
        <f t="shared" ref="O398:Y398" si="519">+O399-(O399-O399*0.02)*O394</f>
        <v>0</v>
      </c>
      <c r="P398" s="793">
        <f t="shared" si="519"/>
        <v>1.89975</v>
      </c>
      <c r="Q398" s="793">
        <f t="shared" si="519"/>
        <v>3.7995000000000001</v>
      </c>
      <c r="R398" s="793">
        <f t="shared" si="519"/>
        <v>5.6992500000000001</v>
      </c>
      <c r="S398" s="793">
        <f t="shared" si="519"/>
        <v>7.5990000000000002</v>
      </c>
      <c r="T398" s="793">
        <f t="shared" si="519"/>
        <v>9.4987500000000011</v>
      </c>
      <c r="U398" s="793">
        <f t="shared" si="519"/>
        <v>11.398500000000002</v>
      </c>
      <c r="V398" s="793">
        <f t="shared" si="519"/>
        <v>13.298249999999999</v>
      </c>
      <c r="W398" s="793">
        <f t="shared" si="519"/>
        <v>15.198</v>
      </c>
      <c r="X398" s="793">
        <f t="shared" si="519"/>
        <v>17.097749999999998</v>
      </c>
      <c r="Y398" s="793">
        <f t="shared" si="519"/>
        <v>18.997499999999999</v>
      </c>
    </row>
    <row r="399" spans="1:26">
      <c r="A399" s="776" t="s">
        <v>678</v>
      </c>
      <c r="N399" s="793">
        <f>Drivers!T67</f>
        <v>0</v>
      </c>
      <c r="O399" s="793">
        <f>Drivers!U67</f>
        <v>0</v>
      </c>
      <c r="P399" s="793">
        <f>Drivers!V67</f>
        <v>2.5</v>
      </c>
      <c r="Q399" s="793">
        <f>Drivers!W67</f>
        <v>5</v>
      </c>
      <c r="R399" s="793">
        <f>Drivers!X67</f>
        <v>7.5</v>
      </c>
      <c r="S399" s="793">
        <f>Drivers!Y67</f>
        <v>10</v>
      </c>
      <c r="T399" s="793">
        <f>Drivers!Z67</f>
        <v>12.5</v>
      </c>
      <c r="U399" s="793">
        <f>Drivers!AA67</f>
        <v>15.000000000000002</v>
      </c>
      <c r="V399" s="793">
        <f>Drivers!AB67</f>
        <v>17.5</v>
      </c>
      <c r="W399" s="793">
        <f>Drivers!AC67</f>
        <v>20</v>
      </c>
      <c r="X399" s="793">
        <f>Drivers!AD67</f>
        <v>22.5</v>
      </c>
      <c r="Y399" s="793">
        <f>Drivers!AE67</f>
        <v>24.999999999999996</v>
      </c>
    </row>
    <row r="400" spans="1:26">
      <c r="A400" s="776"/>
      <c r="J400" s="1390"/>
      <c r="N400" s="793"/>
      <c r="O400" s="793"/>
      <c r="P400" s="793"/>
      <c r="Q400" s="793"/>
      <c r="R400" s="793"/>
      <c r="S400" s="793"/>
      <c r="T400" s="793"/>
      <c r="U400" s="793"/>
      <c r="V400" s="793"/>
      <c r="W400" s="793"/>
      <c r="X400" s="793"/>
      <c r="Y400" s="793"/>
    </row>
    <row r="401" spans="1:26">
      <c r="A401" s="776" t="s">
        <v>1009</v>
      </c>
      <c r="N401" s="181">
        <f>(1+N396)*Y399</f>
        <v>24.999999999999996</v>
      </c>
      <c r="O401" s="181">
        <f>N401</f>
        <v>24.999999999999996</v>
      </c>
      <c r="P401" s="181">
        <f t="shared" ref="P401:Y401" si="520">O401</f>
        <v>24.999999999999996</v>
      </c>
      <c r="Q401" s="181">
        <f t="shared" si="520"/>
        <v>24.999999999999996</v>
      </c>
      <c r="R401" s="181">
        <f t="shared" si="520"/>
        <v>24.999999999999996</v>
      </c>
      <c r="S401" s="181">
        <f t="shared" si="520"/>
        <v>24.999999999999996</v>
      </c>
      <c r="T401" s="181">
        <f t="shared" si="520"/>
        <v>24.999999999999996</v>
      </c>
      <c r="U401" s="181">
        <f t="shared" si="520"/>
        <v>24.999999999999996</v>
      </c>
      <c r="V401" s="181">
        <f t="shared" si="520"/>
        <v>24.999999999999996</v>
      </c>
      <c r="W401" s="181">
        <f t="shared" si="520"/>
        <v>24.999999999999996</v>
      </c>
      <c r="X401" s="181">
        <f t="shared" si="520"/>
        <v>24.999999999999996</v>
      </c>
      <c r="Y401" s="181">
        <f t="shared" si="520"/>
        <v>24.999999999999996</v>
      </c>
    </row>
    <row r="402" spans="1:26">
      <c r="A402" s="777" t="s">
        <v>54</v>
      </c>
      <c r="N402" s="181">
        <f>(($Y399-$Y399*0.02)*$N394)*(1+N396)</f>
        <v>6.0024999999999986</v>
      </c>
      <c r="O402" s="181">
        <f>N402</f>
        <v>6.0024999999999986</v>
      </c>
      <c r="P402" s="181">
        <f t="shared" ref="P402:Y402" si="521">O402</f>
        <v>6.0024999999999986</v>
      </c>
      <c r="Q402" s="181">
        <f t="shared" si="521"/>
        <v>6.0024999999999986</v>
      </c>
      <c r="R402" s="181">
        <f t="shared" si="521"/>
        <v>6.0024999999999986</v>
      </c>
      <c r="S402" s="181">
        <f t="shared" si="521"/>
        <v>6.0024999999999986</v>
      </c>
      <c r="T402" s="181">
        <f t="shared" si="521"/>
        <v>6.0024999999999986</v>
      </c>
      <c r="U402" s="181">
        <f t="shared" si="521"/>
        <v>6.0024999999999986</v>
      </c>
      <c r="V402" s="181">
        <f t="shared" si="521"/>
        <v>6.0024999999999986</v>
      </c>
      <c r="W402" s="181">
        <f t="shared" si="521"/>
        <v>6.0024999999999986</v>
      </c>
      <c r="X402" s="181">
        <f t="shared" si="521"/>
        <v>6.0024999999999986</v>
      </c>
      <c r="Y402" s="181">
        <f t="shared" si="521"/>
        <v>6.0024999999999986</v>
      </c>
    </row>
    <row r="403" spans="1:26">
      <c r="A403" s="777" t="s">
        <v>67</v>
      </c>
      <c r="B403" s="537"/>
      <c r="N403" s="537">
        <f>$Y399*0.02*(1+N396)</f>
        <v>0.49999999999999994</v>
      </c>
      <c r="O403" s="537">
        <f>N403</f>
        <v>0.49999999999999994</v>
      </c>
      <c r="P403" s="537">
        <f t="shared" ref="P403:Y403" si="522">O403</f>
        <v>0.49999999999999994</v>
      </c>
      <c r="Q403" s="537">
        <f t="shared" si="522"/>
        <v>0.49999999999999994</v>
      </c>
      <c r="R403" s="537">
        <f t="shared" si="522"/>
        <v>0.49999999999999994</v>
      </c>
      <c r="S403" s="537">
        <f t="shared" si="522"/>
        <v>0.49999999999999994</v>
      </c>
      <c r="T403" s="537">
        <f t="shared" si="522"/>
        <v>0.49999999999999994</v>
      </c>
      <c r="U403" s="537">
        <f t="shared" si="522"/>
        <v>0.49999999999999994</v>
      </c>
      <c r="V403" s="537">
        <f t="shared" si="522"/>
        <v>0.49999999999999994</v>
      </c>
      <c r="W403" s="537">
        <f t="shared" si="522"/>
        <v>0.49999999999999994</v>
      </c>
      <c r="X403" s="537">
        <f t="shared" si="522"/>
        <v>0.49999999999999994</v>
      </c>
      <c r="Y403" s="537">
        <f t="shared" si="522"/>
        <v>0.49999999999999994</v>
      </c>
    </row>
    <row r="404" spans="1:26">
      <c r="A404" s="776" t="s">
        <v>56</v>
      </c>
      <c r="N404" s="181">
        <f>+N401-N402-N403</f>
        <v>18.497499999999999</v>
      </c>
      <c r="O404" s="181">
        <f t="shared" ref="O404" si="523">+O401-O402-O403</f>
        <v>18.497499999999999</v>
      </c>
      <c r="P404" s="181">
        <f t="shared" ref="P404" si="524">+P401-P402-P403</f>
        <v>18.497499999999999</v>
      </c>
      <c r="Q404" s="181">
        <f t="shared" ref="Q404" si="525">+Q401-Q402-Q403</f>
        <v>18.497499999999999</v>
      </c>
      <c r="R404" s="181">
        <f t="shared" ref="R404" si="526">+R401-R402-R403</f>
        <v>18.497499999999999</v>
      </c>
      <c r="S404" s="181">
        <f t="shared" ref="S404" si="527">+S401-S402-S403</f>
        <v>18.497499999999999</v>
      </c>
      <c r="T404" s="181">
        <f t="shared" ref="T404" si="528">+T401-T402-T403</f>
        <v>18.497499999999999</v>
      </c>
      <c r="U404" s="181">
        <f t="shared" ref="U404" si="529">+U401-U402-U403</f>
        <v>18.497499999999999</v>
      </c>
      <c r="V404" s="181">
        <f t="shared" ref="V404" si="530">+V401-V402-V403</f>
        <v>18.497499999999999</v>
      </c>
      <c r="W404" s="181">
        <f t="shared" ref="W404" si="531">+W401-W402-W403</f>
        <v>18.497499999999999</v>
      </c>
      <c r="X404" s="181">
        <f t="shared" ref="X404" si="532">+X401-X402-X403</f>
        <v>18.497499999999999</v>
      </c>
      <c r="Y404" s="181">
        <f t="shared" ref="Y404" si="533">+Y401-Y402-Y403</f>
        <v>18.497499999999999</v>
      </c>
    </row>
    <row r="405" spans="1:26">
      <c r="A405" s="777" t="s">
        <v>57</v>
      </c>
      <c r="N405" s="181">
        <f ca="1">1/(N395-N396)</f>
        <v>12.422279282140796</v>
      </c>
      <c r="O405" s="181">
        <f t="shared" ref="O405:Y405" ca="1" si="534">1/(O395-O396)</f>
        <v>12.422279282140796</v>
      </c>
      <c r="P405" s="181">
        <f t="shared" ca="1" si="534"/>
        <v>12.422279282140796</v>
      </c>
      <c r="Q405" s="181">
        <f t="shared" ca="1" si="534"/>
        <v>12.422279282140796</v>
      </c>
      <c r="R405" s="181">
        <f t="shared" ca="1" si="534"/>
        <v>12.422279282140796</v>
      </c>
      <c r="S405" s="181">
        <f t="shared" ca="1" si="534"/>
        <v>12.422279282140796</v>
      </c>
      <c r="T405" s="181">
        <f t="shared" ca="1" si="534"/>
        <v>12.422279282140796</v>
      </c>
      <c r="U405" s="181">
        <f t="shared" ca="1" si="534"/>
        <v>12.422279282140796</v>
      </c>
      <c r="V405" s="181">
        <f t="shared" ca="1" si="534"/>
        <v>12.422279282140796</v>
      </c>
      <c r="W405" s="181">
        <f t="shared" ca="1" si="534"/>
        <v>12.422279282140796</v>
      </c>
      <c r="X405" s="181">
        <f t="shared" ca="1" si="534"/>
        <v>12.422279282140796</v>
      </c>
      <c r="Y405" s="181">
        <f t="shared" ca="1" si="534"/>
        <v>12.422279282140796</v>
      </c>
    </row>
    <row r="406" spans="1:26">
      <c r="A406" s="777" t="s">
        <v>58</v>
      </c>
      <c r="N406" s="181">
        <f ca="1">+N407/N401</f>
        <v>9.191244440855975</v>
      </c>
      <c r="O406" s="181">
        <f t="shared" ref="O406:Y406" ca="1" si="535">+O407/O401</f>
        <v>9.191244440855975</v>
      </c>
      <c r="P406" s="181">
        <f t="shared" ca="1" si="535"/>
        <v>9.191244440855975</v>
      </c>
      <c r="Q406" s="181">
        <f t="shared" ca="1" si="535"/>
        <v>9.191244440855975</v>
      </c>
      <c r="R406" s="181">
        <f t="shared" ca="1" si="535"/>
        <v>9.191244440855975</v>
      </c>
      <c r="S406" s="181">
        <f t="shared" ca="1" si="535"/>
        <v>9.191244440855975</v>
      </c>
      <c r="T406" s="181">
        <f t="shared" ca="1" si="535"/>
        <v>9.191244440855975</v>
      </c>
      <c r="U406" s="181">
        <f t="shared" ca="1" si="535"/>
        <v>9.191244440855975</v>
      </c>
      <c r="V406" s="181">
        <f t="shared" ca="1" si="535"/>
        <v>9.191244440855975</v>
      </c>
      <c r="W406" s="181">
        <f t="shared" ca="1" si="535"/>
        <v>9.191244440855975</v>
      </c>
      <c r="X406" s="181">
        <f t="shared" ca="1" si="535"/>
        <v>9.191244440855975</v>
      </c>
      <c r="Y406" s="181">
        <f t="shared" ca="1" si="535"/>
        <v>9.191244440855975</v>
      </c>
    </row>
    <row r="407" spans="1:26">
      <c r="A407" s="776" t="s">
        <v>59</v>
      </c>
      <c r="N407" s="181">
        <f ca="1">N405*N404</f>
        <v>229.78111102139934</v>
      </c>
      <c r="O407" s="181">
        <f t="shared" ref="O407:Y407" ca="1" si="536">O405*O404</f>
        <v>229.78111102139934</v>
      </c>
      <c r="P407" s="181">
        <f t="shared" ca="1" si="536"/>
        <v>229.78111102139934</v>
      </c>
      <c r="Q407" s="181">
        <f t="shared" ca="1" si="536"/>
        <v>229.78111102139934</v>
      </c>
      <c r="R407" s="181">
        <f t="shared" ca="1" si="536"/>
        <v>229.78111102139934</v>
      </c>
      <c r="S407" s="181">
        <f t="shared" ca="1" si="536"/>
        <v>229.78111102139934</v>
      </c>
      <c r="T407" s="181">
        <f t="shared" ca="1" si="536"/>
        <v>229.78111102139934</v>
      </c>
      <c r="U407" s="181">
        <f t="shared" ca="1" si="536"/>
        <v>229.78111102139934</v>
      </c>
      <c r="V407" s="181">
        <f t="shared" ca="1" si="536"/>
        <v>229.78111102139934</v>
      </c>
      <c r="W407" s="181">
        <f t="shared" ca="1" si="536"/>
        <v>229.78111102139934</v>
      </c>
      <c r="X407" s="181">
        <f t="shared" ca="1" si="536"/>
        <v>229.78111102139934</v>
      </c>
      <c r="Y407" s="181">
        <f t="shared" ca="1" si="536"/>
        <v>229.78111102139934</v>
      </c>
    </row>
    <row r="408" spans="1:26">
      <c r="A408" s="776" t="s">
        <v>60</v>
      </c>
      <c r="N408" s="181">
        <f ca="1">N407/((1+N395)^N414)</f>
        <v>98.048176656416004</v>
      </c>
      <c r="O408" s="181">
        <f ca="1">O407/((1+O395)^O414)</f>
        <v>105.94110632169712</v>
      </c>
      <c r="P408" s="181">
        <f t="shared" ref="P408:Y408" ca="1" si="537">P407/((1+P395)^P414)</f>
        <v>114.46942096633776</v>
      </c>
      <c r="Q408" s="181">
        <f t="shared" ca="1" si="537"/>
        <v>123.68426941455353</v>
      </c>
      <c r="R408" s="181">
        <f t="shared" ca="1" si="537"/>
        <v>133.64091799774644</v>
      </c>
      <c r="S408" s="181">
        <f t="shared" ca="1" si="537"/>
        <v>144.3990820159938</v>
      </c>
      <c r="T408" s="181">
        <f t="shared" ca="1" si="537"/>
        <v>156.02328388236086</v>
      </c>
      <c r="U408" s="181">
        <f t="shared" ca="1" si="537"/>
        <v>168.58324009801862</v>
      </c>
      <c r="V408" s="181">
        <f t="shared" ca="1" si="537"/>
        <v>182.15427937906156</v>
      </c>
      <c r="W408" s="181">
        <f t="shared" ca="1" si="537"/>
        <v>196.81779444275367</v>
      </c>
      <c r="X408" s="181">
        <f t="shared" ca="1" si="537"/>
        <v>212.66173016280419</v>
      </c>
      <c r="Y408" s="181">
        <f t="shared" ca="1" si="537"/>
        <v>229.78111102139934</v>
      </c>
    </row>
    <row r="409" spans="1:26">
      <c r="A409" s="776" t="s">
        <v>63</v>
      </c>
      <c r="N409" s="173">
        <f ca="1">NPV(N395,O398:$Y398)</f>
        <v>57.297359485502767</v>
      </c>
      <c r="O409" s="173">
        <f ca="1">NPV(O395,P398:$Y398)</f>
        <v>61.909826987169545</v>
      </c>
      <c r="P409" s="173">
        <f ca="1">NPV(P395,Q398:$Y398)</f>
        <v>64.993850542814513</v>
      </c>
      <c r="Q409" s="173">
        <f ca="1">NPV(Q395,R398:$Y398)</f>
        <v>66.426389612830789</v>
      </c>
      <c r="R409" s="173">
        <f ca="1">NPV(R395,S398:$Y398)</f>
        <v>66.074498829615635</v>
      </c>
      <c r="S409" s="173">
        <f ca="1">NPV(S395,T398:$Y398)</f>
        <v>63.794530653719718</v>
      </c>
      <c r="T409" s="173">
        <f ca="1">NPV(T395,U398:$Y398)</f>
        <v>59.431273843398323</v>
      </c>
      <c r="U409" s="173">
        <f ca="1">NPV(U395,V398:$Y398)</f>
        <v>52.817022570509252</v>
      </c>
      <c r="V409" s="173">
        <f ca="1">NPV(V395,W398:$Y398)</f>
        <v>43.770570599751991</v>
      </c>
      <c r="W409" s="173">
        <f ca="1">NPV(W395,X398:$Y398)</f>
        <v>32.09612449880818</v>
      </c>
      <c r="X409" s="173">
        <f ca="1">NPV(X395,Y398:$Y398)</f>
        <v>17.582129361327816</v>
      </c>
      <c r="Y409" s="771">
        <v>0</v>
      </c>
      <c r="Z409" s="1396"/>
    </row>
    <row r="410" spans="1:26">
      <c r="A410" s="776"/>
      <c r="N410" s="539"/>
    </row>
    <row r="411" spans="1:26">
      <c r="A411" s="776" t="s">
        <v>64</v>
      </c>
      <c r="N411" s="540">
        <f ca="1">N409+N408</f>
        <v>155.34553614191879</v>
      </c>
      <c r="O411" s="3429">
        <f ca="1">O409+O408</f>
        <v>167.85093330886667</v>
      </c>
      <c r="P411" s="540">
        <f t="shared" ref="P411:Y411" ca="1" si="538">P409+P408</f>
        <v>179.46327150915226</v>
      </c>
      <c r="Q411" s="540">
        <f t="shared" ca="1" si="538"/>
        <v>190.11065902738432</v>
      </c>
      <c r="R411" s="540">
        <f t="shared" ca="1" si="538"/>
        <v>199.71541682736208</v>
      </c>
      <c r="S411" s="540">
        <f t="shared" ca="1" si="538"/>
        <v>208.1936126697135</v>
      </c>
      <c r="T411" s="540">
        <f t="shared" ca="1" si="538"/>
        <v>215.45455772575917</v>
      </c>
      <c r="U411" s="540">
        <f t="shared" ca="1" si="538"/>
        <v>221.40026266852789</v>
      </c>
      <c r="V411" s="540">
        <f t="shared" ca="1" si="538"/>
        <v>225.92484997881354</v>
      </c>
      <c r="W411" s="540">
        <f t="shared" ca="1" si="538"/>
        <v>228.91391894156186</v>
      </c>
      <c r="X411" s="540">
        <f t="shared" ca="1" si="538"/>
        <v>230.24385952413201</v>
      </c>
      <c r="Y411" s="540">
        <f t="shared" ca="1" si="538"/>
        <v>229.78111102139934</v>
      </c>
    </row>
    <row r="412" spans="1:26">
      <c r="A412" s="777" t="s">
        <v>72</v>
      </c>
      <c r="N412" s="3412" t="s">
        <v>348</v>
      </c>
      <c r="O412" s="3412" t="s">
        <v>348</v>
      </c>
      <c r="P412" s="541">
        <f t="shared" ref="P412:Y412" ca="1" si="539">P411/P399</f>
        <v>71.785308603660908</v>
      </c>
      <c r="Q412" s="541">
        <f t="shared" ca="1" si="539"/>
        <v>38.02213180547686</v>
      </c>
      <c r="R412" s="541">
        <f t="shared" ca="1" si="539"/>
        <v>26.628722243648276</v>
      </c>
      <c r="S412" s="541">
        <f t="shared" ca="1" si="539"/>
        <v>20.819361266971349</v>
      </c>
      <c r="T412" s="541">
        <f t="shared" ca="1" si="539"/>
        <v>17.236364618060733</v>
      </c>
      <c r="U412" s="541">
        <f t="shared" ca="1" si="539"/>
        <v>14.760017511235191</v>
      </c>
      <c r="V412" s="541">
        <f t="shared" ca="1" si="539"/>
        <v>12.909991427360774</v>
      </c>
      <c r="W412" s="541">
        <f t="shared" ca="1" si="539"/>
        <v>11.445695947078093</v>
      </c>
      <c r="X412" s="541">
        <f t="shared" ca="1" si="539"/>
        <v>10.233060423294756</v>
      </c>
      <c r="Y412" s="541">
        <f t="shared" ca="1" si="539"/>
        <v>9.191244440855975</v>
      </c>
    </row>
    <row r="413" spans="1:26">
      <c r="A413" s="777" t="s">
        <v>73</v>
      </c>
      <c r="N413" s="3412" t="s">
        <v>348</v>
      </c>
      <c r="O413" s="3413">
        <f t="shared" ref="O413" ca="1" si="540">O411/P399</f>
        <v>67.140373323546669</v>
      </c>
      <c r="P413" s="541">
        <f t="shared" ref="P413" ca="1" si="541">P411/Q399</f>
        <v>35.892654301830454</v>
      </c>
      <c r="Q413" s="541">
        <f t="shared" ref="Q413" ca="1" si="542">Q411/R399</f>
        <v>25.348087870317908</v>
      </c>
      <c r="R413" s="541">
        <f t="shared" ref="R413" ca="1" si="543">R411/S399</f>
        <v>19.971541682736209</v>
      </c>
      <c r="S413" s="541">
        <f t="shared" ref="S413" ca="1" si="544">S411/T399</f>
        <v>16.655489013577082</v>
      </c>
      <c r="T413" s="541">
        <f t="shared" ref="T413" ca="1" si="545">T411/U399</f>
        <v>14.363637181717277</v>
      </c>
      <c r="U413" s="541">
        <f t="shared" ref="U413" ca="1" si="546">U411/V399</f>
        <v>12.651443581058736</v>
      </c>
      <c r="V413" s="541">
        <f t="shared" ref="V413" ca="1" si="547">V411/W399</f>
        <v>11.296242498940677</v>
      </c>
      <c r="W413" s="541">
        <f t="shared" ref="W413" ca="1" si="548">W411/X399</f>
        <v>10.173951952958305</v>
      </c>
      <c r="X413" s="541">
        <f t="shared" ref="X413" ca="1" si="549">X411/Y399</f>
        <v>9.2097543809652809</v>
      </c>
      <c r="Y413" s="541"/>
    </row>
    <row r="414" spans="1:26">
      <c r="A414" s="778" t="s">
        <v>61</v>
      </c>
      <c r="N414" s="11">
        <f t="shared" ref="N414" si="550">+O414+1</f>
        <v>11</v>
      </c>
      <c r="O414" s="11">
        <f t="shared" ref="O414" si="551">+P414+1</f>
        <v>10</v>
      </c>
      <c r="P414" s="11">
        <f t="shared" ref="P414" si="552">+Q414+1</f>
        <v>9</v>
      </c>
      <c r="Q414" s="11">
        <f t="shared" ref="Q414" si="553">+R414+1</f>
        <v>8</v>
      </c>
      <c r="R414" s="11">
        <f t="shared" ref="R414" si="554">+S414+1</f>
        <v>7</v>
      </c>
      <c r="S414" s="11">
        <f t="shared" ref="S414" si="555">+T414+1</f>
        <v>6</v>
      </c>
      <c r="T414" s="11">
        <f t="shared" ref="T414" si="556">+U414+1</f>
        <v>5</v>
      </c>
      <c r="U414" s="11">
        <f t="shared" ref="U414" si="557">+V414+1</f>
        <v>4</v>
      </c>
      <c r="V414" s="11">
        <f t="shared" ref="V414" si="558">+W414+1</f>
        <v>3</v>
      </c>
      <c r="W414" s="11">
        <f t="shared" ref="W414" si="559">+X414+1</f>
        <v>2</v>
      </c>
      <c r="X414" s="11">
        <f t="shared" ref="X414" si="560">+Y414+1</f>
        <v>1</v>
      </c>
      <c r="Y414" s="469">
        <v>0</v>
      </c>
      <c r="Z414" s="1396"/>
    </row>
  </sheetData>
  <phoneticPr fontId="3" type="noConversion"/>
  <pageMargins left="0.75" right="0.75" top="1" bottom="1" header="0.5" footer="0.5"/>
  <pageSetup scale="54" orientation="portrait" r:id="rId1"/>
  <headerFooter alignWithMargins="0"/>
  <rowBreaks count="1" manualBreakCount="1">
    <brk id="51" max="9" man="1"/>
  </rowBreaks>
  <ignoredErrors>
    <ignoredError sqref="C128:N128 C187:H187 C275:I275 C366:I366 C69:M71 M99:X99 J366:X366 C99:K99 O128:Y128 B157:Y157 I187:Y187 O395:Y395" formula="1"/>
  </ignoredError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Z725"/>
  <sheetViews>
    <sheetView showGridLines="0" zoomScaleNormal="100" workbookViewId="0">
      <pane xSplit="7" ySplit="4" topLeftCell="AA5" activePane="bottomRight" state="frozen"/>
      <selection pane="topRight" activeCell="H1" sqref="H1"/>
      <selection pane="bottomLeft" activeCell="A5" sqref="A5"/>
      <selection pane="bottomRight" activeCell="DK41" sqref="DK41"/>
    </sheetView>
  </sheetViews>
  <sheetFormatPr defaultColWidth="9.140625" defaultRowHeight="12.75" outlineLevelRow="1" outlineLevelCol="2"/>
  <cols>
    <col min="1" max="1" width="38.28515625" customWidth="1"/>
    <col min="2" max="5" width="9.7109375" hidden="1" customWidth="1"/>
    <col min="6" max="6" width="10.5703125" hidden="1" customWidth="1"/>
    <col min="7" max="7" width="9.42578125" hidden="1" customWidth="1"/>
    <col min="8" max="10" width="9.7109375" hidden="1" customWidth="1" outlineLevel="2" collapsed="1"/>
    <col min="11" max="14" width="9.7109375" hidden="1" customWidth="1" outlineLevel="2"/>
    <col min="15" max="15" width="2.7109375" hidden="1" customWidth="1" outlineLevel="2"/>
    <col min="16" max="19" width="9.7109375" hidden="1" customWidth="1" outlineLevel="2"/>
    <col min="20" max="22" width="8.7109375" hidden="1" customWidth="1" outlineLevel="2"/>
    <col min="23" max="23" width="8.7109375" hidden="1" customWidth="1" outlineLevel="1" collapsed="1"/>
    <col min="24" max="25" width="8.7109375" hidden="1" customWidth="1" outlineLevel="2"/>
    <col min="26" max="26" width="8.7109375" hidden="1" customWidth="1" outlineLevel="1"/>
    <col min="27" max="27" width="8.7109375" customWidth="1" collapsed="1"/>
    <col min="28" max="28" width="8.7109375" hidden="1" customWidth="1" outlineLevel="1"/>
    <col min="29" max="29" width="9" customWidth="1" collapsed="1"/>
    <col min="30" max="37" width="8.5703125" customWidth="1"/>
    <col min="38" max="38" width="8.5703125" style="1577" customWidth="1"/>
    <col min="39" max="39" width="8.5703125" customWidth="1"/>
    <col min="40" max="40" width="8.28515625" customWidth="1"/>
    <col min="41" max="45" width="8.28515625" hidden="1" customWidth="1" outlineLevel="1"/>
    <col min="46" max="46" width="8.28515625" customWidth="1" collapsed="1"/>
    <col min="47" max="47" width="38.28515625" customWidth="1"/>
    <col min="48" max="50" width="7.5703125" hidden="1" customWidth="1" outlineLevel="1"/>
    <col min="51" max="51" width="9" hidden="1" customWidth="1" outlineLevel="1"/>
    <col min="52" max="52" width="7.140625" hidden="1" customWidth="1" outlineLevel="1"/>
    <col min="53" max="56" width="8.5703125" hidden="1" customWidth="1" outlineLevel="1"/>
    <col min="57" max="57" width="8.42578125" hidden="1" customWidth="1" outlineLevel="1"/>
    <col min="58" max="61" width="9.7109375" hidden="1" customWidth="1" outlineLevel="1"/>
    <col min="62" max="62" width="2.5703125" hidden="1" customWidth="1" outlineLevel="1"/>
    <col min="63" max="66" width="9.7109375" hidden="1" customWidth="1" outlineLevel="1"/>
    <col min="67" max="67" width="3.7109375" hidden="1" customWidth="1" outlineLevel="1"/>
    <col min="68" max="71" width="9.7109375" hidden="1" customWidth="1" outlineLevel="1"/>
    <col min="72" max="72" width="6.42578125" hidden="1" customWidth="1" outlineLevel="1"/>
    <col min="73" max="73" width="9.140625" hidden="1" customWidth="1" outlineLevel="1"/>
    <col min="74" max="74" width="9.42578125" hidden="1" customWidth="1" outlineLevel="1"/>
    <col min="75" max="75" width="9.28515625" hidden="1" customWidth="1" outlineLevel="1"/>
    <col min="76" max="76" width="8.42578125" hidden="1" customWidth="1" outlineLevel="1"/>
    <col min="77" max="77" width="5.7109375" hidden="1" customWidth="1" outlineLevel="1"/>
    <col min="78" max="81" width="9.28515625" hidden="1" customWidth="1" outlineLevel="1"/>
    <col min="82" max="82" width="8" hidden="1" customWidth="1" outlineLevel="1"/>
    <col min="83" max="86" width="9.28515625" hidden="1" customWidth="1" outlineLevel="1"/>
    <col min="87" max="87" width="8" hidden="1" customWidth="1" outlineLevel="1"/>
    <col min="88" max="91" width="9.28515625" hidden="1" customWidth="1" outlineLevel="1"/>
    <col min="92" max="92" width="8" style="91" hidden="1" customWidth="1" outlineLevel="1"/>
    <col min="93" max="96" width="9.28515625" hidden="1" customWidth="1" outlineLevel="1"/>
    <col min="97" max="97" width="8" hidden="1" customWidth="1" outlineLevel="1"/>
    <col min="98" max="101" width="9.28515625" hidden="1" customWidth="1" outlineLevel="1"/>
    <col min="102" max="102" width="8" hidden="1" customWidth="1" outlineLevel="1"/>
    <col min="103" max="106" width="9.28515625" hidden="1" customWidth="1" outlineLevel="1"/>
    <col min="107" max="107" width="8" style="2807" hidden="1" customWidth="1" outlineLevel="1"/>
    <col min="108" max="112" width="8" hidden="1" customWidth="1" outlineLevel="1"/>
    <col min="113" max="113" width="8" customWidth="1" collapsed="1"/>
    <col min="114" max="122" width="8" customWidth="1"/>
    <col min="123" max="123" width="36.7109375" customWidth="1"/>
    <col min="125" max="125" width="5.28515625" customWidth="1"/>
    <col min="129" max="16384" width="9.140625" style="1577"/>
  </cols>
  <sheetData>
    <row r="1" spans="1:122" ht="15">
      <c r="A1" s="1872" t="s">
        <v>638</v>
      </c>
      <c r="B1" s="1108"/>
      <c r="C1" s="1108"/>
      <c r="D1" s="1108"/>
      <c r="E1" s="1108"/>
      <c r="F1" s="1108"/>
      <c r="G1" s="1108"/>
      <c r="H1" s="1108"/>
      <c r="I1" s="1108"/>
      <c r="J1" s="1689"/>
      <c r="K1" s="1689"/>
      <c r="L1" s="1110"/>
      <c r="M1" s="1873"/>
      <c r="N1" s="1874"/>
      <c r="O1" s="1369"/>
      <c r="P1" s="1369"/>
      <c r="Q1" s="1369"/>
      <c r="R1" s="1135"/>
      <c r="S1" s="1135"/>
      <c r="T1" s="1135"/>
      <c r="U1" s="1135"/>
      <c r="V1" s="1135"/>
      <c r="W1" s="1135"/>
      <c r="X1" s="1135"/>
      <c r="Y1" s="1135"/>
      <c r="Z1" s="1135"/>
      <c r="AA1" s="1135"/>
      <c r="AB1" s="1800"/>
      <c r="AC1" s="1800"/>
      <c r="AD1" s="1800"/>
      <c r="AE1" s="1800"/>
      <c r="AF1" s="1800"/>
      <c r="AG1" s="1800"/>
      <c r="AH1" s="1800"/>
      <c r="AI1" s="1800"/>
      <c r="AJ1" s="1800"/>
      <c r="AK1" s="1800"/>
      <c r="AL1" s="1800"/>
      <c r="AM1" s="1800"/>
      <c r="AN1" s="1800"/>
      <c r="AO1" s="1800"/>
      <c r="AP1" s="1800"/>
      <c r="AQ1" s="1135"/>
      <c r="AR1" s="1135"/>
      <c r="AS1" s="1135"/>
      <c r="AT1" s="1135"/>
      <c r="AU1" s="1108"/>
      <c r="AV1" s="1108"/>
      <c r="AW1" s="1108"/>
      <c r="AX1" s="1108"/>
      <c r="AY1" s="1108"/>
      <c r="AZ1" s="1700"/>
      <c r="BA1" s="1108"/>
      <c r="BB1" s="1108"/>
      <c r="BC1" s="1108"/>
      <c r="BD1" s="1108"/>
      <c r="BE1" s="1108"/>
      <c r="BF1" s="1108"/>
      <c r="BG1" s="1108"/>
      <c r="BH1" s="1108"/>
      <c r="BI1" s="2100"/>
      <c r="BJ1" s="2100"/>
      <c r="BK1" s="2100"/>
      <c r="BL1" s="2100"/>
      <c r="BM1" s="2100"/>
      <c r="BN1" s="2100"/>
      <c r="BO1" s="1108"/>
      <c r="BP1" s="1108"/>
      <c r="BQ1" s="1108"/>
      <c r="BR1" s="1108"/>
      <c r="BS1" s="1108"/>
      <c r="BT1" s="1108"/>
      <c r="BU1" s="1108"/>
      <c r="BV1" s="1108"/>
      <c r="BW1" s="1108"/>
      <c r="BX1" s="1108"/>
      <c r="BY1" s="1108"/>
      <c r="BZ1" s="1108"/>
      <c r="CA1" s="1108"/>
      <c r="CB1" s="1108"/>
      <c r="CC1" s="1108"/>
      <c r="CD1" s="1108"/>
      <c r="CE1" s="1108"/>
      <c r="CF1" s="1108"/>
      <c r="CG1" s="1108"/>
      <c r="CH1" s="1108"/>
      <c r="CI1" s="1108"/>
      <c r="CJ1" s="1108"/>
      <c r="CK1" s="1108"/>
      <c r="CL1" s="1108"/>
      <c r="CM1" s="1108"/>
      <c r="CN1" s="1108"/>
      <c r="CO1" s="1108"/>
      <c r="CP1" s="1108"/>
      <c r="CQ1" s="1108"/>
      <c r="CR1" s="1108"/>
      <c r="CS1" s="1108"/>
      <c r="CT1" s="1470"/>
      <c r="CU1" s="1470"/>
      <c r="CV1" s="1470"/>
      <c r="CW1" s="1470"/>
      <c r="CX1" s="1108"/>
      <c r="CY1" s="1470"/>
      <c r="CZ1" s="1470"/>
      <c r="DA1" s="1470"/>
      <c r="DB1" s="1470"/>
      <c r="DC1" s="2862"/>
      <c r="DD1" s="1108"/>
      <c r="DE1" s="1110"/>
      <c r="DF1" s="1108"/>
      <c r="DG1" s="1108"/>
      <c r="DH1" s="1108"/>
      <c r="DI1" s="1108"/>
      <c r="DJ1" s="1108"/>
      <c r="DK1" s="1108"/>
      <c r="DL1" s="1108"/>
      <c r="DM1" s="1108"/>
      <c r="DN1" s="1108"/>
      <c r="DO1" s="1108"/>
      <c r="DP1" s="1108"/>
      <c r="DQ1" s="1108"/>
      <c r="DR1" s="1108"/>
    </row>
    <row r="2" spans="1:122">
      <c r="A2" s="1494" t="s">
        <v>588</v>
      </c>
      <c r="B2" s="1580"/>
      <c r="C2" s="1580"/>
      <c r="D2" s="1580"/>
      <c r="E2" s="1580"/>
      <c r="F2" s="1580"/>
      <c r="G2" s="1580"/>
      <c r="H2" s="1580"/>
      <c r="I2" s="1580"/>
      <c r="J2" s="1875"/>
      <c r="K2" s="1876"/>
      <c r="L2" s="1739"/>
      <c r="M2" s="1877"/>
      <c r="N2" s="1739"/>
      <c r="O2" s="1369"/>
      <c r="P2" s="1739"/>
      <c r="Q2" s="1739"/>
      <c r="R2" s="1739"/>
      <c r="S2" s="1739"/>
      <c r="T2" s="1878"/>
      <c r="U2" s="1878"/>
      <c r="V2" s="1878"/>
      <c r="W2" s="1878"/>
      <c r="X2" s="1878"/>
      <c r="Y2" s="1878"/>
      <c r="Z2" s="1739"/>
      <c r="AA2" s="3060"/>
      <c r="AB2" s="1739"/>
      <c r="AC2" s="1739"/>
      <c r="AD2" s="1739"/>
      <c r="AE2" s="1739"/>
      <c r="AF2" s="1739"/>
      <c r="AG2" s="1739"/>
      <c r="AH2" s="1739"/>
      <c r="AI2" s="1739"/>
      <c r="AJ2" s="1739"/>
      <c r="AK2" s="1739"/>
      <c r="AL2" s="1739"/>
      <c r="AM2" s="1739"/>
      <c r="AN2" s="1739"/>
      <c r="AO2" s="1135"/>
      <c r="AP2" s="1135"/>
      <c r="AQ2" s="1135"/>
      <c r="AR2" s="1135"/>
      <c r="AS2" s="1135"/>
      <c r="AT2" s="1135"/>
      <c r="AU2" s="1108"/>
      <c r="AV2" s="1108"/>
      <c r="AW2" s="1108"/>
      <c r="AX2" s="1108"/>
      <c r="AY2" s="1108"/>
      <c r="AZ2" s="1700"/>
      <c r="BA2" s="1357"/>
      <c r="BB2" s="1357"/>
      <c r="BC2" s="1108"/>
      <c r="BD2" s="2101"/>
      <c r="BE2" s="2101"/>
      <c r="BF2" s="2102" t="s">
        <v>337</v>
      </c>
      <c r="BG2" s="2102"/>
      <c r="BH2" s="2102"/>
      <c r="BI2" s="2103"/>
      <c r="BJ2" s="1700"/>
      <c r="BK2" s="2103"/>
      <c r="BL2" s="2103"/>
      <c r="BM2" s="2103"/>
      <c r="BN2" s="2103"/>
      <c r="BO2" s="1108"/>
      <c r="BP2" s="2103"/>
      <c r="BQ2" s="2103"/>
      <c r="BR2" s="2103"/>
      <c r="BS2" s="2103"/>
      <c r="BT2" s="1108"/>
      <c r="BU2" s="2103"/>
      <c r="BV2" s="2103"/>
      <c r="BW2" s="2103"/>
      <c r="BX2" s="2103"/>
      <c r="BY2" s="1108"/>
      <c r="BZ2" s="2103"/>
      <c r="CA2" s="2103"/>
      <c r="CB2" s="2103"/>
      <c r="CC2" s="2103"/>
      <c r="CD2" s="1108"/>
      <c r="CE2" s="1108"/>
      <c r="CF2" s="1108"/>
      <c r="CG2" s="1108"/>
      <c r="CH2" s="1108"/>
      <c r="CI2" s="1108"/>
      <c r="CJ2" s="1108"/>
      <c r="CK2" s="2104"/>
      <c r="CL2" s="2104"/>
      <c r="CM2" s="2104"/>
      <c r="CN2" s="1108"/>
      <c r="CO2" s="1108"/>
      <c r="CP2" s="2104"/>
      <c r="CQ2" s="2104"/>
      <c r="CR2" s="2104"/>
      <c r="CS2" s="1108"/>
      <c r="CT2" s="1109"/>
      <c r="CU2" s="1109"/>
      <c r="CV2" s="1109"/>
      <c r="CW2" s="1109"/>
      <c r="CX2" s="1109"/>
      <c r="CY2" s="1109"/>
      <c r="CZ2" s="1109"/>
      <c r="DA2" s="1109"/>
      <c r="DB2" s="1109"/>
      <c r="DC2" s="2934"/>
      <c r="DD2" s="1109"/>
      <c r="DE2" s="1109"/>
      <c r="DF2" s="1109"/>
      <c r="DG2" s="1109"/>
      <c r="DH2" s="1109"/>
      <c r="DI2" s="1579"/>
      <c r="DJ2" s="1109"/>
      <c r="DK2" s="1109"/>
      <c r="DL2" s="1109"/>
      <c r="DM2" s="1109"/>
      <c r="DN2" s="1109"/>
      <c r="DO2" s="1109"/>
      <c r="DP2" s="1109"/>
      <c r="DQ2" s="1109"/>
      <c r="DR2" s="1109"/>
    </row>
    <row r="3" spans="1:122">
      <c r="A3" s="1702"/>
      <c r="B3" s="1580" t="s">
        <v>1032</v>
      </c>
      <c r="C3" s="1580"/>
      <c r="D3" s="1580" t="s">
        <v>478</v>
      </c>
      <c r="E3" s="1580"/>
      <c r="F3" s="1580" t="s">
        <v>1035</v>
      </c>
      <c r="G3" s="1580"/>
      <c r="H3" s="1703"/>
      <c r="I3" s="1703"/>
      <c r="J3" s="1704"/>
      <c r="K3" s="1689"/>
      <c r="L3" s="1494"/>
      <c r="M3" s="1494"/>
      <c r="N3" s="1108"/>
      <c r="O3" s="1369"/>
      <c r="P3" s="1108"/>
      <c r="Q3" s="1108"/>
      <c r="R3" s="1108"/>
      <c r="S3" s="1357"/>
      <c r="T3" s="1108"/>
      <c r="U3" s="1108"/>
      <c r="V3" s="1108"/>
      <c r="W3" s="1108"/>
      <c r="X3" s="1879" t="s">
        <v>1761</v>
      </c>
      <c r="Y3" s="1879"/>
      <c r="Z3" s="1108"/>
      <c r="AA3" s="1108"/>
      <c r="AB3" s="1879" t="s">
        <v>1759</v>
      </c>
      <c r="AC3" s="2802"/>
      <c r="AD3" s="2802"/>
      <c r="AE3" s="2802"/>
      <c r="AF3" s="2802"/>
      <c r="AG3" s="2802"/>
      <c r="AH3" s="2802"/>
      <c r="AI3" s="2802"/>
      <c r="AJ3" s="2802"/>
      <c r="AK3" s="2802"/>
      <c r="AL3" s="2802"/>
      <c r="AM3" s="2802"/>
      <c r="AN3" s="2802"/>
      <c r="AO3" s="1135"/>
      <c r="AP3" s="1135"/>
      <c r="AQ3" s="1135"/>
      <c r="AR3" s="1135"/>
      <c r="AS3" s="1135"/>
      <c r="AT3" s="1135"/>
      <c r="AU3" s="1108"/>
      <c r="AV3" s="2105">
        <v>2004</v>
      </c>
      <c r="AW3" s="2105"/>
      <c r="AX3" s="2105"/>
      <c r="AY3" s="2105"/>
      <c r="AZ3" s="1700"/>
      <c r="BA3" s="2105">
        <v>2005</v>
      </c>
      <c r="BB3" s="2105"/>
      <c r="BC3" s="2105"/>
      <c r="BD3" s="2105"/>
      <c r="BE3" s="2101"/>
      <c r="BF3" s="3591">
        <v>2006</v>
      </c>
      <c r="BG3" s="3591"/>
      <c r="BH3" s="3591"/>
      <c r="BI3" s="3591"/>
      <c r="BJ3" s="2106"/>
      <c r="BK3" s="3591">
        <v>2007</v>
      </c>
      <c r="BL3" s="3591"/>
      <c r="BM3" s="3591"/>
      <c r="BN3" s="3591"/>
      <c r="BO3" s="1108"/>
      <c r="BP3" s="3591">
        <v>2008</v>
      </c>
      <c r="BQ3" s="3591"/>
      <c r="BR3" s="3591"/>
      <c r="BS3" s="3591"/>
      <c r="BT3" s="1108"/>
      <c r="BU3" s="3591">
        <v>2009</v>
      </c>
      <c r="BV3" s="3591"/>
      <c r="BW3" s="3591"/>
      <c r="BX3" s="3591"/>
      <c r="BY3" s="1108"/>
      <c r="BZ3" s="3591">
        <v>2010</v>
      </c>
      <c r="CA3" s="3591"/>
      <c r="CB3" s="3591"/>
      <c r="CC3" s="3591"/>
      <c r="CD3" s="1108"/>
      <c r="CE3" s="2107">
        <v>2011</v>
      </c>
      <c r="CF3" s="2107"/>
      <c r="CG3" s="2107"/>
      <c r="CH3" s="2107"/>
      <c r="CI3" s="1108"/>
      <c r="CJ3" s="2107">
        <v>2012</v>
      </c>
      <c r="CK3" s="2107"/>
      <c r="CL3" s="2107"/>
      <c r="CM3" s="2107"/>
      <c r="CN3" s="1108"/>
      <c r="CO3" s="2107" t="s">
        <v>853</v>
      </c>
      <c r="CP3" s="2107"/>
      <c r="CQ3" s="2107"/>
      <c r="CR3" s="2107"/>
      <c r="CS3" s="1108"/>
      <c r="CT3" s="2105" t="s">
        <v>1531</v>
      </c>
      <c r="CU3" s="2105"/>
      <c r="CV3" s="2105"/>
      <c r="CW3" s="2105"/>
      <c r="CX3" s="1108"/>
      <c r="CY3" s="2105" t="s">
        <v>1628</v>
      </c>
      <c r="CZ3" s="2105"/>
      <c r="DA3" s="2105"/>
      <c r="DB3" s="2105"/>
      <c r="DC3" s="2862"/>
      <c r="DD3" s="2105">
        <v>2016</v>
      </c>
      <c r="DE3" s="2105"/>
      <c r="DF3" s="2105"/>
      <c r="DG3" s="2105"/>
      <c r="DH3" s="1108"/>
      <c r="DI3" s="2105" t="s">
        <v>469</v>
      </c>
      <c r="DJ3" s="2105"/>
      <c r="DK3" s="2105"/>
      <c r="DL3" s="2105"/>
      <c r="DM3" s="1108"/>
      <c r="DN3" s="2105" t="s">
        <v>618</v>
      </c>
      <c r="DO3" s="2105"/>
      <c r="DP3" s="2105"/>
      <c r="DQ3" s="2105"/>
      <c r="DR3" s="1108"/>
    </row>
    <row r="4" spans="1:122">
      <c r="A4" s="1705" t="s">
        <v>479</v>
      </c>
      <c r="B4" s="1706">
        <v>2003</v>
      </c>
      <c r="C4" s="1706">
        <v>2004</v>
      </c>
      <c r="D4" s="1706">
        <v>2003</v>
      </c>
      <c r="E4" s="1706">
        <v>2004</v>
      </c>
      <c r="F4" s="1706">
        <v>2003</v>
      </c>
      <c r="G4" s="1706">
        <v>2004</v>
      </c>
      <c r="H4" s="1706">
        <v>2002</v>
      </c>
      <c r="I4" s="1706">
        <v>2003</v>
      </c>
      <c r="J4" s="1706">
        <v>2004</v>
      </c>
      <c r="K4" s="1706">
        <v>2005</v>
      </c>
      <c r="L4" s="1706">
        <v>2006</v>
      </c>
      <c r="M4" s="1706">
        <v>2007</v>
      </c>
      <c r="N4" s="1706">
        <v>2008</v>
      </c>
      <c r="O4" s="1369"/>
      <c r="P4" s="1706" t="s">
        <v>28</v>
      </c>
      <c r="Q4" s="1706" t="s">
        <v>29</v>
      </c>
      <c r="R4" s="1706">
        <v>2009</v>
      </c>
      <c r="S4" s="1706">
        <v>2010</v>
      </c>
      <c r="T4" s="1706">
        <v>2011</v>
      </c>
      <c r="U4" s="1706">
        <v>2012</v>
      </c>
      <c r="V4" s="1706">
        <v>2013</v>
      </c>
      <c r="W4" s="1706">
        <v>2014</v>
      </c>
      <c r="X4" s="1706" t="s">
        <v>842</v>
      </c>
      <c r="Y4" s="1706" t="s">
        <v>843</v>
      </c>
      <c r="Z4" s="1706">
        <v>2015</v>
      </c>
      <c r="AA4" s="1706">
        <v>2016</v>
      </c>
      <c r="AB4" s="1706" t="s">
        <v>1758</v>
      </c>
      <c r="AC4" s="1706" t="s">
        <v>469</v>
      </c>
      <c r="AD4" s="3071" t="s">
        <v>618</v>
      </c>
      <c r="AE4" s="1706" t="s">
        <v>385</v>
      </c>
      <c r="AF4" s="1706" t="s">
        <v>1080</v>
      </c>
      <c r="AG4" s="1706" t="s">
        <v>345</v>
      </c>
      <c r="AH4" s="1706" t="s">
        <v>346</v>
      </c>
      <c r="AI4" s="1706" t="s">
        <v>1122</v>
      </c>
      <c r="AJ4" s="1706" t="s">
        <v>1123</v>
      </c>
      <c r="AK4" s="1706" t="s">
        <v>1519</v>
      </c>
      <c r="AL4" s="1706" t="s">
        <v>1609</v>
      </c>
      <c r="AM4" s="1706" t="s">
        <v>1698</v>
      </c>
      <c r="AN4" s="1706" t="s">
        <v>1803</v>
      </c>
      <c r="AO4" s="1135"/>
      <c r="AP4" s="1135"/>
      <c r="AQ4" s="1135"/>
      <c r="AR4" s="1135"/>
      <c r="AS4" s="1135"/>
      <c r="AT4" s="1135"/>
      <c r="AU4" s="1705" t="str">
        <f>A4</f>
        <v>US$ Millions</v>
      </c>
      <c r="AV4" s="1582" t="s">
        <v>670</v>
      </c>
      <c r="AW4" s="1582" t="s">
        <v>671</v>
      </c>
      <c r="AX4" s="1582" t="s">
        <v>672</v>
      </c>
      <c r="AY4" s="1582" t="s">
        <v>673</v>
      </c>
      <c r="AZ4" s="1700"/>
      <c r="BA4" s="1582" t="s">
        <v>670</v>
      </c>
      <c r="BB4" s="1582" t="s">
        <v>671</v>
      </c>
      <c r="BC4" s="1582" t="s">
        <v>672</v>
      </c>
      <c r="BD4" s="1582" t="s">
        <v>673</v>
      </c>
      <c r="BE4" s="2108"/>
      <c r="BF4" s="1582" t="s">
        <v>670</v>
      </c>
      <c r="BG4" s="1582" t="s">
        <v>671</v>
      </c>
      <c r="BH4" s="1582" t="s">
        <v>672</v>
      </c>
      <c r="BI4" s="1582" t="s">
        <v>673</v>
      </c>
      <c r="BJ4" s="2108"/>
      <c r="BK4" s="2109" t="s">
        <v>670</v>
      </c>
      <c r="BL4" s="2109" t="s">
        <v>671</v>
      </c>
      <c r="BM4" s="2109" t="s">
        <v>672</v>
      </c>
      <c r="BN4" s="2109" t="s">
        <v>673</v>
      </c>
      <c r="BO4" s="1108"/>
      <c r="BP4" s="2109" t="s">
        <v>670</v>
      </c>
      <c r="BQ4" s="2109" t="s">
        <v>671</v>
      </c>
      <c r="BR4" s="2109" t="s">
        <v>672</v>
      </c>
      <c r="BS4" s="2109" t="s">
        <v>673</v>
      </c>
      <c r="BT4" s="1108"/>
      <c r="BU4" s="2109" t="s">
        <v>670</v>
      </c>
      <c r="BV4" s="2109" t="s">
        <v>671</v>
      </c>
      <c r="BW4" s="2109" t="s">
        <v>672</v>
      </c>
      <c r="BX4" s="2109" t="s">
        <v>673</v>
      </c>
      <c r="BY4" s="1108"/>
      <c r="BZ4" s="2109" t="s">
        <v>670</v>
      </c>
      <c r="CA4" s="2109" t="s">
        <v>671</v>
      </c>
      <c r="CB4" s="2109" t="s">
        <v>672</v>
      </c>
      <c r="CC4" s="2109" t="s">
        <v>673</v>
      </c>
      <c r="CD4" s="1108"/>
      <c r="CE4" s="2109" t="s">
        <v>670</v>
      </c>
      <c r="CF4" s="2109" t="s">
        <v>671</v>
      </c>
      <c r="CG4" s="2109" t="s">
        <v>672</v>
      </c>
      <c r="CH4" s="2109" t="s">
        <v>673</v>
      </c>
      <c r="CI4" s="1108"/>
      <c r="CJ4" s="2109" t="s">
        <v>670</v>
      </c>
      <c r="CK4" s="2109" t="s">
        <v>671</v>
      </c>
      <c r="CL4" s="2109" t="s">
        <v>672</v>
      </c>
      <c r="CM4" s="2109" t="s">
        <v>673</v>
      </c>
      <c r="CN4" s="1108"/>
      <c r="CO4" s="2109" t="s">
        <v>670</v>
      </c>
      <c r="CP4" s="2109" t="s">
        <v>671</v>
      </c>
      <c r="CQ4" s="2109" t="s">
        <v>672</v>
      </c>
      <c r="CR4" s="2109" t="s">
        <v>673</v>
      </c>
      <c r="CS4" s="1108"/>
      <c r="CT4" s="2109" t="s">
        <v>670</v>
      </c>
      <c r="CU4" s="2109" t="s">
        <v>671</v>
      </c>
      <c r="CV4" s="2109" t="s">
        <v>672</v>
      </c>
      <c r="CW4" s="2109" t="s">
        <v>673</v>
      </c>
      <c r="CX4" s="1108"/>
      <c r="CY4" s="2109" t="s">
        <v>670</v>
      </c>
      <c r="CZ4" s="2109" t="s">
        <v>671</v>
      </c>
      <c r="DA4" s="2109" t="s">
        <v>672</v>
      </c>
      <c r="DB4" s="2109" t="s">
        <v>673</v>
      </c>
      <c r="DC4" s="2862"/>
      <c r="DD4" s="2109" t="s">
        <v>670</v>
      </c>
      <c r="DE4" s="2109" t="s">
        <v>671</v>
      </c>
      <c r="DF4" s="2109" t="s">
        <v>672</v>
      </c>
      <c r="DG4" s="2109" t="s">
        <v>673</v>
      </c>
      <c r="DH4" s="1108"/>
      <c r="DI4" s="2109" t="s">
        <v>670</v>
      </c>
      <c r="DJ4" s="2109" t="s">
        <v>671</v>
      </c>
      <c r="DK4" s="2109" t="s">
        <v>672</v>
      </c>
      <c r="DL4" s="2109" t="s">
        <v>674</v>
      </c>
      <c r="DM4" s="1108"/>
      <c r="DN4" s="2109" t="s">
        <v>1797</v>
      </c>
      <c r="DO4" s="2109" t="s">
        <v>1798</v>
      </c>
      <c r="DP4" s="2109" t="s">
        <v>1223</v>
      </c>
      <c r="DQ4" s="2109" t="s">
        <v>674</v>
      </c>
      <c r="DR4" s="1108"/>
    </row>
    <row r="5" spans="1:122">
      <c r="A5" s="1696" t="s">
        <v>865</v>
      </c>
      <c r="B5" s="1635"/>
      <c r="C5" s="1635"/>
      <c r="D5" s="1635"/>
      <c r="E5" s="1635"/>
      <c r="F5" s="1635"/>
      <c r="G5" s="1635"/>
      <c r="H5" s="1362">
        <f>'Revenue and OCF'!O79</f>
        <v>13163.4</v>
      </c>
      <c r="I5" s="1654">
        <f>'Revenue and OCF'!P79</f>
        <v>13554.5</v>
      </c>
      <c r="J5" s="1654">
        <f>'Revenue and OCF'!Q79</f>
        <v>14547.3</v>
      </c>
      <c r="K5" s="1654">
        <f>'Revenue and OCF'!R79</f>
        <v>14536.4</v>
      </c>
      <c r="L5" s="1654">
        <f>'Revenue and OCF'!S79</f>
        <v>14320.2</v>
      </c>
      <c r="M5" s="1654">
        <f>'Revenue and OCF'!T79</f>
        <v>14072.9</v>
      </c>
      <c r="N5" s="1654">
        <f>'Revenue and OCF'!U79</f>
        <v>13950.4</v>
      </c>
      <c r="O5" s="1369"/>
      <c r="P5" s="1654">
        <f>'Revenue and OCF'!W77</f>
        <v>14506.695000000002</v>
      </c>
      <c r="Q5" s="1654">
        <f>'Revenue and OCF'!X77</f>
        <v>14314.757662399999</v>
      </c>
      <c r="R5" s="1654">
        <f>'Revenue and OCF'!Y79</f>
        <v>13014.6</v>
      </c>
      <c r="S5" s="1654">
        <f>'Revenue and OCF'!Z79</f>
        <v>14059.8</v>
      </c>
      <c r="T5" s="1654">
        <f>'Revenue and OCF'!AA79</f>
        <v>13637</v>
      </c>
      <c r="U5" s="1654">
        <f>'Revenue and OCF'!AB79</f>
        <v>14077.599999999999</v>
      </c>
      <c r="V5" s="1654">
        <f>'Revenue and OCF'!AC79</f>
        <v>15284</v>
      </c>
      <c r="W5" s="1654">
        <f>'Revenue and OCF'!AD79</f>
        <v>13805.999999999998</v>
      </c>
      <c r="X5" s="1654">
        <f>+Drivers!O191</f>
        <v>14005</v>
      </c>
      <c r="Y5" s="1654">
        <f>'Revenue and OCF'!AF79</f>
        <v>13805.999999999998</v>
      </c>
      <c r="Z5" s="1654">
        <f>'Revenue and OCF'!AG79</f>
        <v>13885.999999999998</v>
      </c>
      <c r="AA5" s="2801">
        <f>'Revenue and OCF'!AH79</f>
        <v>14386</v>
      </c>
      <c r="AB5" s="2801">
        <f>'Revenue and OCF'!AI79</f>
        <v>13166</v>
      </c>
      <c r="AC5" s="2801">
        <f>'Revenue and OCF'!AJ79</f>
        <v>13557.901091990381</v>
      </c>
      <c r="AD5" s="2801">
        <f>'Revenue and OCF'!AK79</f>
        <v>14424.309304162609</v>
      </c>
      <c r="AE5" s="1654">
        <f>'Revenue and OCF'!AL79</f>
        <v>15473.36303284608</v>
      </c>
      <c r="AF5" s="1654">
        <f>'Revenue and OCF'!AM79</f>
        <v>15875.983851960162</v>
      </c>
      <c r="AG5" s="2801">
        <f>'Revenue and OCF'!AN79</f>
        <v>16457.705564037435</v>
      </c>
      <c r="AH5" s="2801">
        <f>'Revenue and OCF'!AO79</f>
        <v>17531.302010185573</v>
      </c>
      <c r="AI5" s="2801">
        <f>'Revenue and OCF'!AP79</f>
        <v>17428.907276255912</v>
      </c>
      <c r="AJ5" s="2801">
        <f>'Revenue and OCF'!AQ79</f>
        <v>17956.783026838613</v>
      </c>
      <c r="AK5" s="1654">
        <f>'Revenue and OCF'!AR79</f>
        <v>18919.168851530747</v>
      </c>
      <c r="AL5" s="1654">
        <f>'Revenue and OCF'!AS79</f>
        <v>18754.799778234839</v>
      </c>
      <c r="AM5" s="1654">
        <f>'Revenue and OCF'!AT79</f>
        <v>19138.663204395809</v>
      </c>
      <c r="AN5" s="1654">
        <f>'Revenue and OCF'!AU79</f>
        <v>20381.079605438248</v>
      </c>
      <c r="AO5" s="1135"/>
      <c r="AP5" s="1135"/>
      <c r="AQ5" s="1135"/>
      <c r="AR5" s="1135"/>
      <c r="AS5" s="1135"/>
      <c r="AT5" s="1135"/>
      <c r="AU5" s="1696" t="str">
        <f>IF(ISBLANK(A5),"",A5)</f>
        <v>Total Revenues</v>
      </c>
      <c r="AV5" s="1654">
        <v>3512.5</v>
      </c>
      <c r="AW5" s="1654">
        <v>3657.2</v>
      </c>
      <c r="AX5" s="1654">
        <v>3628.8</v>
      </c>
      <c r="AY5" s="1654">
        <v>3748.8</v>
      </c>
      <c r="AZ5" s="2026">
        <f>J5-SUM(AV5:AY5)</f>
        <v>0</v>
      </c>
      <c r="BA5" s="1654">
        <v>3447.8</v>
      </c>
      <c r="BB5" s="1654">
        <v>3657.7</v>
      </c>
      <c r="BC5" s="1654">
        <v>3602.8</v>
      </c>
      <c r="BD5" s="1654">
        <v>3828.1</v>
      </c>
      <c r="BE5" s="2110">
        <f>K5-SUM(BA5:BD5)</f>
        <v>0</v>
      </c>
      <c r="BF5" s="1654">
        <f>'Revenue and OCF'!CO79</f>
        <v>3575.3999999999996</v>
      </c>
      <c r="BG5" s="1654">
        <f>'Revenue and OCF'!CP79</f>
        <v>3483.1000000000004</v>
      </c>
      <c r="BH5" s="1654">
        <f>'Revenue and OCF'!CQ79</f>
        <v>3378.8</v>
      </c>
      <c r="BI5" s="1654">
        <f>L5-SUM(BF5:BH5)</f>
        <v>3882.9000000000015</v>
      </c>
      <c r="BJ5" s="2111">
        <f>L5-SUM(BF5:BI5)</f>
        <v>0</v>
      </c>
      <c r="BK5" s="1654">
        <f>'Revenue and OCF'!CT79</f>
        <v>3657.4</v>
      </c>
      <c r="BL5" s="1654">
        <f>'Revenue and OCF'!CU79</f>
        <v>3374.9</v>
      </c>
      <c r="BM5" s="1654">
        <f>'Revenue and OCF'!CV79</f>
        <v>3281.3999999999996</v>
      </c>
      <c r="BN5" s="1654">
        <f>'Revenue and OCF'!CW79</f>
        <v>3759.1999999999989</v>
      </c>
      <c r="BO5" s="2112"/>
      <c r="BP5" s="1654">
        <f>'Revenue and OCF'!CY79</f>
        <v>3653.8841239049998</v>
      </c>
      <c r="BQ5" s="1654">
        <f>'Revenue and OCF'!CZ79</f>
        <v>3397.9583159999993</v>
      </c>
      <c r="BR5" s="1654">
        <f>'Revenue and OCF'!DA79</f>
        <v>3371.5841090437507</v>
      </c>
      <c r="BS5" s="1654">
        <f>'Revenue and OCF'!DB79</f>
        <v>3526.9734510512499</v>
      </c>
      <c r="BT5" s="2112">
        <f>N5-SUM(BP5:BS5)</f>
        <v>0</v>
      </c>
      <c r="BU5" s="1654">
        <f>'Revenue and OCF'!DD79</f>
        <v>3162.1499849578995</v>
      </c>
      <c r="BV5" s="1654">
        <f>'Revenue and OCF'!DE79</f>
        <v>3012.1972104639999</v>
      </c>
      <c r="BW5" s="1654">
        <f>'Revenue and OCF'!DF79</f>
        <v>3348.3412915964623</v>
      </c>
      <c r="BX5" s="1654">
        <f>'Revenue and OCF'!DG79</f>
        <v>3491.9115129816373</v>
      </c>
      <c r="BY5" s="2026">
        <f>R5-SUM(BU5:BX5)</f>
        <v>0</v>
      </c>
      <c r="BZ5" s="1654">
        <f>'Revenue and OCF'!DI79</f>
        <v>3530.9</v>
      </c>
      <c r="CA5" s="1654">
        <f>'Revenue and OCF'!DJ79</f>
        <v>3331</v>
      </c>
      <c r="CB5" s="1654">
        <f>'Revenue and OCF'!DK79</f>
        <v>3297.4999999999995</v>
      </c>
      <c r="CC5" s="1654">
        <f>'Revenue and OCF'!DL79</f>
        <v>3900.4</v>
      </c>
      <c r="CD5" s="2026">
        <f>S5-SUM(BZ5:CC5)</f>
        <v>0</v>
      </c>
      <c r="CE5" s="1654">
        <f>Drivers!BV191</f>
        <v>3376</v>
      </c>
      <c r="CF5" s="1654">
        <f>Drivers!BW191</f>
        <v>3428</v>
      </c>
      <c r="CG5" s="1654">
        <f>Drivers!BX191</f>
        <v>3221</v>
      </c>
      <c r="CH5" s="1654">
        <f>Drivers!BY191</f>
        <v>3612</v>
      </c>
      <c r="CI5" s="2026">
        <f>T5-SUM(CE5:CH5)</f>
        <v>0</v>
      </c>
      <c r="CJ5" s="1654">
        <f>Drivers!CA191</f>
        <v>3793.9</v>
      </c>
      <c r="CK5" s="1654">
        <f>Drivers!CB191</f>
        <v>3326.4</v>
      </c>
      <c r="CL5" s="1654">
        <f>Drivers!CC191</f>
        <v>3263.5</v>
      </c>
      <c r="CM5" s="1654">
        <f>Drivers!CD191</f>
        <v>3693.8</v>
      </c>
      <c r="CN5" s="2026">
        <f>U5-SUM(CJ5:CM5)</f>
        <v>0</v>
      </c>
      <c r="CO5" s="1654">
        <f>Drivers!CF191</f>
        <v>4040</v>
      </c>
      <c r="CP5" s="1654">
        <f>Drivers!CG191</f>
        <v>3699</v>
      </c>
      <c r="CQ5" s="1654">
        <f>Drivers!CH191</f>
        <v>3634</v>
      </c>
      <c r="CR5" s="1654">
        <f>Drivers!CI191</f>
        <v>3911</v>
      </c>
      <c r="CS5" s="2026">
        <f>V5-SUM(CO5:CR5)</f>
        <v>0</v>
      </c>
      <c r="CT5" s="1654">
        <f>Drivers!CK191</f>
        <v>3570</v>
      </c>
      <c r="CU5" s="1654">
        <f>Drivers!CL191</f>
        <v>3188</v>
      </c>
      <c r="CV5" s="1654">
        <f>Drivers!CM191</f>
        <v>3367</v>
      </c>
      <c r="CW5" s="1654">
        <f>Drivers!CN191</f>
        <v>3681</v>
      </c>
      <c r="CX5" s="2026">
        <f>$W5-SUM(CT5:CW5)</f>
        <v>0</v>
      </c>
      <c r="CY5" s="2029">
        <f>Drivers!CP191</f>
        <v>3500</v>
      </c>
      <c r="CZ5" s="2029">
        <f>Drivers!CQ191</f>
        <v>3219</v>
      </c>
      <c r="DA5" s="2029">
        <f>Drivers!CR191</f>
        <v>3257</v>
      </c>
      <c r="DB5" s="1654">
        <f>Drivers!CS191</f>
        <v>3910</v>
      </c>
      <c r="DC5" s="2842">
        <f>$Z5-SUM(CY5:DB5)</f>
        <v>0</v>
      </c>
      <c r="DD5" s="3288">
        <f>Drivers!CU191</f>
        <v>3588</v>
      </c>
      <c r="DE5" s="3288">
        <f>Drivers!CV191</f>
        <v>2976</v>
      </c>
      <c r="DF5" s="3288">
        <f>Drivers!CW191</f>
        <v>3084</v>
      </c>
      <c r="DG5" s="3288">
        <f>Drivers!CX191</f>
        <v>3518</v>
      </c>
      <c r="DH5" s="2026">
        <f>AB5-SUM(DD5:DG5)</f>
        <v>0</v>
      </c>
      <c r="DI5" s="3288">
        <f>Drivers!CZ191</f>
        <v>3343</v>
      </c>
      <c r="DJ5" s="3288">
        <f>Drivers!DA191</f>
        <v>3257</v>
      </c>
      <c r="DK5" s="3288">
        <f>Drivers!DB191</f>
        <v>3171</v>
      </c>
      <c r="DL5" s="3288">
        <f>Drivers!DC191</f>
        <v>3786.9010919903822</v>
      </c>
      <c r="DM5" s="2026">
        <f>AC5-SUM(DI5:DL5)</f>
        <v>0</v>
      </c>
      <c r="DN5" s="3288">
        <f>Drivers!DE191</f>
        <v>3577.032299295648</v>
      </c>
      <c r="DO5" s="3288">
        <f>Drivers!DF191</f>
        <v>3481.3049747765622</v>
      </c>
      <c r="DP5" s="3288">
        <f>Drivers!DG191</f>
        <v>3279.8716630658878</v>
      </c>
      <c r="DQ5" s="3288">
        <f>Drivers!DH191</f>
        <v>4086.1003670245132</v>
      </c>
      <c r="DR5" s="2026">
        <f>AD5-SUM(DN5:DQ5)</f>
        <v>0</v>
      </c>
    </row>
    <row r="6" spans="1:122">
      <c r="A6" s="1880" t="s">
        <v>746</v>
      </c>
      <c r="B6" s="1110"/>
      <c r="C6" s="1110"/>
      <c r="D6" s="1110"/>
      <c r="E6" s="1110"/>
      <c r="F6" s="1110"/>
      <c r="G6" s="1110"/>
      <c r="H6" s="1110"/>
      <c r="I6" s="1110">
        <f t="shared" ref="I6:N6" si="0">I5/H5-1</f>
        <v>2.9711168846954461E-2</v>
      </c>
      <c r="J6" s="1110">
        <f t="shared" si="0"/>
        <v>7.3245047770113203E-2</v>
      </c>
      <c r="K6" s="1110">
        <f t="shared" si="0"/>
        <v>-7.4927993510820468E-4</v>
      </c>
      <c r="L6" s="1110">
        <f t="shared" si="0"/>
        <v>-1.4873008447758629E-2</v>
      </c>
      <c r="M6" s="1110">
        <f t="shared" si="0"/>
        <v>-1.726931188111902E-2</v>
      </c>
      <c r="N6" s="1110">
        <f t="shared" si="0"/>
        <v>-8.7046735214489912E-3</v>
      </c>
      <c r="O6" s="1369"/>
      <c r="P6" s="1110"/>
      <c r="Q6" s="1110">
        <f>Q5/P5-1</f>
        <v>-1.3230948717126934E-2</v>
      </c>
      <c r="R6" s="1110">
        <f>R5/N5-1</f>
        <v>-6.7080513820392151E-2</v>
      </c>
      <c r="S6" s="1110">
        <f t="shared" ref="S6:AH6" si="1">S5/R5-1</f>
        <v>8.0309805910285359E-2</v>
      </c>
      <c r="T6" s="1110">
        <f t="shared" si="1"/>
        <v>-3.007155151566876E-2</v>
      </c>
      <c r="U6" s="1110">
        <f t="shared" si="1"/>
        <v>3.2309158905917679E-2</v>
      </c>
      <c r="V6" s="1110">
        <f t="shared" si="1"/>
        <v>8.5696425527078679E-2</v>
      </c>
      <c r="W6" s="1110">
        <f t="shared" si="1"/>
        <v>-9.6702433917822628E-2</v>
      </c>
      <c r="X6" s="1110"/>
      <c r="Y6" s="1110">
        <f t="shared" si="1"/>
        <v>-1.4209210996072974E-2</v>
      </c>
      <c r="Z6" s="1110">
        <f>Z5/W5-1</f>
        <v>5.7945820657685498E-3</v>
      </c>
      <c r="AA6" s="2802">
        <f t="shared" si="1"/>
        <v>3.6007489557828176E-2</v>
      </c>
      <c r="AB6" s="2802"/>
      <c r="AC6" s="2802">
        <f>AC5/AB5-1</f>
        <v>2.9766147044689495E-2</v>
      </c>
      <c r="AD6" s="2802">
        <f t="shared" si="1"/>
        <v>6.3904302464935059E-2</v>
      </c>
      <c r="AE6" s="1110">
        <f t="shared" si="1"/>
        <v>7.2728177589808984E-2</v>
      </c>
      <c r="AF6" s="1110">
        <f t="shared" si="1"/>
        <v>2.6020252886164386E-2</v>
      </c>
      <c r="AG6" s="2802">
        <f t="shared" si="1"/>
        <v>3.6641616513451547E-2</v>
      </c>
      <c r="AH6" s="2802">
        <f t="shared" si="1"/>
        <v>6.5233664678878922E-2</v>
      </c>
      <c r="AI6" s="2802">
        <f t="shared" ref="AI6:AN6" si="2">AI5/AH5-1</f>
        <v>-5.8406805079377344E-3</v>
      </c>
      <c r="AJ6" s="2802">
        <f t="shared" si="2"/>
        <v>3.0287369266221775E-2</v>
      </c>
      <c r="AK6" s="1110">
        <f t="shared" si="2"/>
        <v>5.3594556622627243E-2</v>
      </c>
      <c r="AL6" s="1110">
        <f t="shared" si="2"/>
        <v>-8.6879648141947596E-3</v>
      </c>
      <c r="AM6" s="1110">
        <f t="shared" si="2"/>
        <v>2.046747662997972E-2</v>
      </c>
      <c r="AN6" s="1110">
        <f t="shared" si="2"/>
        <v>6.4916571642113396E-2</v>
      </c>
      <c r="AO6" s="1135"/>
      <c r="AP6" s="1135"/>
      <c r="AQ6" s="1135"/>
      <c r="AR6" s="1135"/>
      <c r="AS6" s="1135"/>
      <c r="AT6" s="1135"/>
      <c r="AU6" s="1880" t="str">
        <f t="shared" ref="AU6:AU69" si="3">IF(ISBLANK(A6),"",A6)</f>
        <v xml:space="preserve">  % growth</v>
      </c>
      <c r="AV6" s="1110" t="s">
        <v>737</v>
      </c>
      <c r="AW6" s="1110" t="s">
        <v>737</v>
      </c>
      <c r="AX6" s="1110" t="s">
        <v>737</v>
      </c>
      <c r="AY6" s="1110" t="s">
        <v>737</v>
      </c>
      <c r="AZ6" s="2113"/>
      <c r="BA6" s="1110">
        <f>BA5/AV5-1</f>
        <v>-1.8419928825622711E-2</v>
      </c>
      <c r="BB6" s="1110">
        <f>BB5/AW5-1</f>
        <v>1.3671661380287858E-4</v>
      </c>
      <c r="BC6" s="1110">
        <f>BC5/AX5-1</f>
        <v>-7.1649029982363555E-3</v>
      </c>
      <c r="BD6" s="1110">
        <f>BD5/AY5-1</f>
        <v>2.1153435766111839E-2</v>
      </c>
      <c r="BE6" s="2114"/>
      <c r="BF6" s="1110">
        <f>BF5/BA5-1</f>
        <v>3.7009107256801288E-2</v>
      </c>
      <c r="BG6" s="1110">
        <f>BG5/BB5-1</f>
        <v>-4.7734915383984333E-2</v>
      </c>
      <c r="BH6" s="1110">
        <f>BH5/BC5-1</f>
        <v>-6.2173864771844167E-2</v>
      </c>
      <c r="BI6" s="1110">
        <f>BI5/BD5-1</f>
        <v>1.4315195527808022E-2</v>
      </c>
      <c r="BJ6" s="2115"/>
      <c r="BK6" s="1110">
        <f>BK5/BF5-1</f>
        <v>2.2934496839514651E-2</v>
      </c>
      <c r="BL6" s="1110">
        <f>BL5/BG5-1</f>
        <v>-3.1064281817920869E-2</v>
      </c>
      <c r="BM6" s="1110">
        <f>BM5/BH5-1</f>
        <v>-2.882680241505875E-2</v>
      </c>
      <c r="BN6" s="1110">
        <f>BN5/BI5-1</f>
        <v>-3.1857632182132556E-2</v>
      </c>
      <c r="BO6" s="1357"/>
      <c r="BP6" s="1110">
        <f>BP5/BK5-1</f>
        <v>-9.6130477798439529E-4</v>
      </c>
      <c r="BQ6" s="1110">
        <f>BQ5/BL5-1</f>
        <v>6.8322960680313738E-3</v>
      </c>
      <c r="BR6" s="1110">
        <f>BR5/BM5-1</f>
        <v>2.7483424466310469E-2</v>
      </c>
      <c r="BS6" s="1110">
        <f>BS5/BN5-1</f>
        <v>-6.17755237680222E-2</v>
      </c>
      <c r="BT6" s="1357"/>
      <c r="BU6" s="1110">
        <f>BU5/BP5-1</f>
        <v>-0.13457847109326815</v>
      </c>
      <c r="BV6" s="1110">
        <f>BV5/BQ5-1</f>
        <v>-0.11352732130925869</v>
      </c>
      <c r="BW6" s="1110">
        <f>BW5/BR5-1</f>
        <v>-6.8937379865278148E-3</v>
      </c>
      <c r="BX6" s="1110">
        <f>BX5/BS5-1</f>
        <v>-9.941083639050885E-3</v>
      </c>
      <c r="BY6" s="1357"/>
      <c r="BZ6" s="1110">
        <f>BZ5/BU5-1</f>
        <v>0.1166137016891089</v>
      </c>
      <c r="CA6" s="1110">
        <f>CA5/BV5-1</f>
        <v>0.10583728994519981</v>
      </c>
      <c r="CB6" s="1110">
        <f>CB5/BW5-1</f>
        <v>-1.5184023123348322E-2</v>
      </c>
      <c r="CC6" s="1110">
        <f>CC5/BX5-1</f>
        <v>0.1169813397331958</v>
      </c>
      <c r="CD6" s="1357"/>
      <c r="CE6" s="1110">
        <f>CE5/BZ5-1</f>
        <v>-4.3869834886289594E-2</v>
      </c>
      <c r="CF6" s="1110">
        <f>CF5/CA5-1</f>
        <v>2.912038426898822E-2</v>
      </c>
      <c r="CG6" s="1110">
        <f>CG5/CB5-1</f>
        <v>-2.3199393479908847E-2</v>
      </c>
      <c r="CH6" s="1110">
        <f>CH5/CC5-1</f>
        <v>-7.3941134242641815E-2</v>
      </c>
      <c r="CI6" s="1357"/>
      <c r="CJ6" s="1110">
        <f>CJ5/CE5-1</f>
        <v>0.12378554502369665</v>
      </c>
      <c r="CK6" s="1110">
        <f>CK5/CF5-1</f>
        <v>-2.963827304550759E-2</v>
      </c>
      <c r="CL6" s="1110">
        <f>CL5/CG5-1</f>
        <v>1.3194660043464701E-2</v>
      </c>
      <c r="CM6" s="1110">
        <f>CM5/CH5-1</f>
        <v>2.2646733111849393E-2</v>
      </c>
      <c r="CN6" s="1357"/>
      <c r="CO6" s="1110">
        <f>CO5/CJ5-1</f>
        <v>6.4867286960647252E-2</v>
      </c>
      <c r="CP6" s="1110">
        <f>CP5/CK5-1</f>
        <v>0.1120129870129869</v>
      </c>
      <c r="CQ6" s="1110">
        <f>CQ5/CL5-1</f>
        <v>0.11352842040753797</v>
      </c>
      <c r="CR6" s="1110">
        <f>CR5/CM5-1</f>
        <v>5.8801234501055788E-2</v>
      </c>
      <c r="CS6" s="1357"/>
      <c r="CT6" s="1737">
        <f>CT5/CO5-1</f>
        <v>-0.11633663366336633</v>
      </c>
      <c r="CU6" s="1737">
        <f>CU5/CP5-1</f>
        <v>-0.13814544471478774</v>
      </c>
      <c r="CV6" s="1737">
        <f>CV5/CQ5-1</f>
        <v>-7.347275729224001E-2</v>
      </c>
      <c r="CW6" s="1110">
        <f>CW5/CR5-1</f>
        <v>-5.8808488877524878E-2</v>
      </c>
      <c r="CX6" s="1357"/>
      <c r="CY6" s="2023">
        <f>CY5/CT5-1</f>
        <v>-1.9607843137254943E-2</v>
      </c>
      <c r="CZ6" s="2023">
        <f>CZ5/CU5-1</f>
        <v>9.7239648682558855E-3</v>
      </c>
      <c r="DA6" s="2023">
        <f>DA5/CV5-1</f>
        <v>-3.2670032670032656E-2</v>
      </c>
      <c r="DB6" s="1110">
        <f>DB5/CW5-1</f>
        <v>6.2211355609888663E-2</v>
      </c>
      <c r="DC6" s="2806"/>
      <c r="DD6" s="1110">
        <f>DD5/CY5-1</f>
        <v>2.5142857142857133E-2</v>
      </c>
      <c r="DE6" s="1110">
        <f>DE5/CZ5-1</f>
        <v>-7.5489282385834078E-2</v>
      </c>
      <c r="DF6" s="1110">
        <f>DF5/DA5-1</f>
        <v>-5.3116364752839984E-2</v>
      </c>
      <c r="DG6" s="1110">
        <f>DG5/DB5-1</f>
        <v>-0.10025575447570334</v>
      </c>
      <c r="DH6" s="2026"/>
      <c r="DI6" s="1110">
        <f>DI5/DD5-1</f>
        <v>-6.8283166109253113E-2</v>
      </c>
      <c r="DJ6" s="1110">
        <f>DJ5/DE5-1</f>
        <v>9.4422043010752743E-2</v>
      </c>
      <c r="DK6" s="1110">
        <f>DK5/DF5-1</f>
        <v>2.821011673151741E-2</v>
      </c>
      <c r="DL6" s="1110">
        <f>DL5/DG5-1</f>
        <v>7.6435785102439535E-2</v>
      </c>
      <c r="DM6" s="2026"/>
      <c r="DN6" s="1110">
        <f>DN5/DI5-1</f>
        <v>7.0006670444405561E-2</v>
      </c>
      <c r="DO6" s="1110">
        <f>DO5/DJ5-1</f>
        <v>6.8868582983285798E-2</v>
      </c>
      <c r="DP6" s="1110">
        <f>DP5/DK5-1</f>
        <v>3.433354243641995E-2</v>
      </c>
      <c r="DQ6" s="1110">
        <f>DQ5/DL5-1</f>
        <v>7.9009001757918362E-2</v>
      </c>
      <c r="DR6" s="2026"/>
    </row>
    <row r="7" spans="1:122">
      <c r="A7" s="1711" t="s">
        <v>511</v>
      </c>
      <c r="B7" s="1636"/>
      <c r="C7" s="1636"/>
      <c r="D7" s="1636"/>
      <c r="E7" s="1636"/>
      <c r="F7" s="1636"/>
      <c r="G7" s="1636"/>
      <c r="H7" s="1636">
        <f>(H5-H10)-H9-H8</f>
        <v>7777.5</v>
      </c>
      <c r="I7" s="1636">
        <f>(I5-I10)-I9-I8</f>
        <v>8165.4000000000015</v>
      </c>
      <c r="J7" s="1636">
        <f>(J5-J10)-J9-J8</f>
        <v>8671.0999999999985</v>
      </c>
      <c r="K7" s="1636">
        <f>(K5-K10)-K9-K8</f>
        <v>8653.7999999999975</v>
      </c>
      <c r="L7" s="1636">
        <f>(L5-L10)-L9-L8</f>
        <v>8360.5000000000018</v>
      </c>
      <c r="M7" s="1636">
        <f t="shared" ref="M7:T7" si="4">M5-M10-M9-M8</f>
        <v>8003.543999999999</v>
      </c>
      <c r="N7" s="1636">
        <f t="shared" si="4"/>
        <v>8514.6999999999989</v>
      </c>
      <c r="O7" s="1369"/>
      <c r="P7" s="1105">
        <f t="shared" si="4"/>
        <v>8369.3223749999997</v>
      </c>
      <c r="Q7" s="1105">
        <f t="shared" si="4"/>
        <v>8505.8477034400003</v>
      </c>
      <c r="R7" s="1105">
        <f t="shared" si="4"/>
        <v>8397.2999999999993</v>
      </c>
      <c r="S7" s="1105">
        <f>S5-S10-S9-S8</f>
        <v>8665.4239999999972</v>
      </c>
      <c r="T7" s="1105">
        <f t="shared" si="4"/>
        <v>7337.0223999999998</v>
      </c>
      <c r="U7" s="1105">
        <f t="shared" ref="U7:AH7" si="5">U5-U10-U9-U8</f>
        <v>7307.8232959999987</v>
      </c>
      <c r="V7" s="1105">
        <f t="shared" si="5"/>
        <v>7980.992227839999</v>
      </c>
      <c r="W7" s="1105">
        <f t="shared" si="5"/>
        <v>7665.9999999999982</v>
      </c>
      <c r="X7" s="1105">
        <f t="shared" si="5"/>
        <v>7252.7926164479995</v>
      </c>
      <c r="Y7" s="1105">
        <f>W7</f>
        <v>7665.9999999999982</v>
      </c>
      <c r="Z7" s="1105">
        <f>Z5-Z10-Z9-Z8</f>
        <v>7904.9999999999982</v>
      </c>
      <c r="AA7" s="2804">
        <f>AA5-AA10-AA9-AA8</f>
        <v>7851.4</v>
      </c>
      <c r="AB7" s="2804">
        <f>AB5-AB10-AB9-AB8</f>
        <v>7471.7000000000007</v>
      </c>
      <c r="AC7" s="2804">
        <f t="shared" si="5"/>
        <v>7826.8240929655822</v>
      </c>
      <c r="AD7" s="2804">
        <f>AD5-AD10-AD9-AD8</f>
        <v>8365.8356127004608</v>
      </c>
      <c r="AE7" s="1105">
        <f>AE5-AE10-AE9-AE8</f>
        <v>9124.574080170958</v>
      </c>
      <c r="AF7" s="1105">
        <f t="shared" si="5"/>
        <v>9066.6422971702141</v>
      </c>
      <c r="AG7" s="1105">
        <f t="shared" si="5"/>
        <v>9423.7762502681417</v>
      </c>
      <c r="AH7" s="1105">
        <f t="shared" si="5"/>
        <v>10126.174284387136</v>
      </c>
      <c r="AI7" s="1105">
        <f t="shared" ref="AI7:AN7" si="6">AI5-AI10-AI9-AI8</f>
        <v>10083.072566026764</v>
      </c>
      <c r="AJ7" s="1105">
        <f t="shared" si="6"/>
        <v>10380.33531955404</v>
      </c>
      <c r="AK7" s="1105">
        <f t="shared" si="6"/>
        <v>11204.876244480753</v>
      </c>
      <c r="AL7" s="1105">
        <f t="shared" si="6"/>
        <v>10961.523457390504</v>
      </c>
      <c r="AM7" s="1105">
        <f t="shared" si="6"/>
        <v>11251.589316796526</v>
      </c>
      <c r="AN7" s="1105">
        <f t="shared" si="6"/>
        <v>12146.770141543033</v>
      </c>
      <c r="AO7" s="1105"/>
      <c r="AP7" s="1105"/>
      <c r="AQ7" s="1105"/>
      <c r="AR7" s="1105"/>
      <c r="AS7" s="1105"/>
      <c r="AT7" s="1636"/>
      <c r="AU7" s="1711" t="str">
        <f t="shared" si="3"/>
        <v>Operating Expenses</v>
      </c>
      <c r="AV7" s="1105">
        <f>(AV5-AV10)-AV9-AV8</f>
        <v>2248.0629039409368</v>
      </c>
      <c r="AW7" s="1105">
        <f>(AW5-AW10)-AW9-AW8</f>
        <v>1989.635397805778</v>
      </c>
      <c r="AX7" s="1105">
        <f>(AX5-AX10)-AX9-AX8</f>
        <v>2090.1297390237369</v>
      </c>
      <c r="AY7" s="1105">
        <f>(AY5-AY10)-AY9-AY8</f>
        <v>2343.2719592295475</v>
      </c>
      <c r="AZ7" s="2026">
        <f>J7-SUM(AV7:AY7)</f>
        <v>0</v>
      </c>
      <c r="BA7" s="1105">
        <f>(BA5-BA10)-BA9-BA8</f>
        <v>2186.3650339836545</v>
      </c>
      <c r="BB7" s="1105">
        <f>(BB5-BB10)-BB9-BB8</f>
        <v>2038.1339114223597</v>
      </c>
      <c r="BC7" s="1105">
        <f>(BC5-BC10)-BC9-BC8</f>
        <v>2101.667206461022</v>
      </c>
      <c r="BD7" s="1105">
        <f>(BD5-BD10)-BD9-BD8</f>
        <v>2327.6338481329622</v>
      </c>
      <c r="BE7" s="2110">
        <f>K7-SUM(BA7:BD7)</f>
        <v>0</v>
      </c>
      <c r="BF7" s="1105">
        <f>BF5-BF10-BF9-BF8</f>
        <v>2257.0012108769433</v>
      </c>
      <c r="BG7" s="1105">
        <f>BG5-BG10-BG9-BG8</f>
        <v>1946.8972891440067</v>
      </c>
      <c r="BH7" s="1105">
        <f>BH5-BH10-BH9-BH8</f>
        <v>1962.5900406418905</v>
      </c>
      <c r="BI7" s="1105">
        <f>L7-SUM(BF7:BH7)</f>
        <v>2194.0114593371609</v>
      </c>
      <c r="BJ7" s="2111">
        <f>L7-SUM(BF7:BI7)</f>
        <v>0</v>
      </c>
      <c r="BK7" s="1105">
        <f>BK5-BK10-BK9-BK8</f>
        <v>2267.1244868221897</v>
      </c>
      <c r="BL7" s="1105">
        <f>BL5-BL10-BL9-BL8</f>
        <v>1788.751467046593</v>
      </c>
      <c r="BM7" s="1105">
        <f>BM5-BM10-BM9-BM8</f>
        <v>1815.464644572191</v>
      </c>
      <c r="BN7" s="1105">
        <f>BN5-BN10-BN9-BN8</f>
        <v>2132.2034015590234</v>
      </c>
      <c r="BO7" s="2112"/>
      <c r="BP7" s="1105">
        <f>BP5-BP10-BP9-BP8</f>
        <v>2248.1276939462073</v>
      </c>
      <c r="BQ7" s="1105">
        <f>BQ5-BQ10-BQ9-BQ8</f>
        <v>1950.7619772549976</v>
      </c>
      <c r="BR7" s="1105">
        <f>BR5-BR10-BR9-BR8</f>
        <v>2052.7690525995831</v>
      </c>
      <c r="BS7" s="1105">
        <f>BS5-BS10-BS9-BS8</f>
        <v>2263.0412761992116</v>
      </c>
      <c r="BT7" s="2112">
        <f>N7-SUM(BP7:BS7)</f>
        <v>0</v>
      </c>
      <c r="BU7" s="1105">
        <f>BU5-BU10-BU9-BU8</f>
        <v>2212.2667334631824</v>
      </c>
      <c r="BV7" s="1105">
        <f>BV5-BV10-BV9-BV8</f>
        <v>1952.8491159047314</v>
      </c>
      <c r="BW7" s="1105">
        <f>BW5-BW10-BW9-BW8</f>
        <v>2046.4306338740205</v>
      </c>
      <c r="BX7" s="1105">
        <f>BX5-BX10-BX9-BX8</f>
        <v>2185.7535167580636</v>
      </c>
      <c r="BY7" s="2026">
        <f>R7-SUM(BU7:BX7)</f>
        <v>0</v>
      </c>
      <c r="BZ7" s="1105">
        <f>BZ5-BZ10-BZ9-BZ8</f>
        <v>2439.418487033955</v>
      </c>
      <c r="CA7" s="1105">
        <f>CA5-CA10-CA9-CA8</f>
        <v>2026.8868532980555</v>
      </c>
      <c r="CB7" s="1105">
        <f>CB5-CB10-CB9-CB8</f>
        <v>1909.6329777094979</v>
      </c>
      <c r="CC7" s="1105">
        <f>CC5-CC10-CC9-CC8</f>
        <v>2289.4856819584916</v>
      </c>
      <c r="CD7" s="2026">
        <f>S7-SUM(BZ7:CC7)</f>
        <v>0</v>
      </c>
      <c r="CE7" s="1105">
        <f>CE5-CE10-CE9-CE8</f>
        <v>2008.2594135367017</v>
      </c>
      <c r="CF7" s="1105">
        <f>CF5-CF10-CF9-CF8</f>
        <v>1741.697058531935</v>
      </c>
      <c r="CG7" s="1105">
        <f>CG5-CG10-CG9-CG8</f>
        <v>1615.7433563393706</v>
      </c>
      <c r="CH7" s="1105">
        <f>CH5-CH10-CH9-CH8</f>
        <v>1971.3225715919923</v>
      </c>
      <c r="CI7" s="2026">
        <f>T7-SUM(CE7:CH7)</f>
        <v>0</v>
      </c>
      <c r="CJ7" s="1105">
        <f>CJ5-CJ10-CJ9-CJ8</f>
        <v>2110.5333794605895</v>
      </c>
      <c r="CK7" s="1105">
        <f>CK5-CK10-CK9-CK8</f>
        <v>1643.700475351935</v>
      </c>
      <c r="CL7" s="1105">
        <f>CL5-CL10-CL9-CL8</f>
        <v>1601.6720482536793</v>
      </c>
      <c r="CM7" s="1105">
        <f>CM5-CM10-CM9-CM8</f>
        <v>1951.9173929337953</v>
      </c>
      <c r="CN7" s="2026">
        <f>U7-SUM(CJ7:CM7)</f>
        <v>0</v>
      </c>
      <c r="CO7" s="1105">
        <f>CO5-CO10-CO9-CO8</f>
        <v>2192.0691311484952</v>
      </c>
      <c r="CP7" s="1105">
        <f>CP5-CP10-CP9-CP8</f>
        <v>1905.912801019377</v>
      </c>
      <c r="CQ7" s="1105">
        <f>CQ5-CQ10-CQ9-CQ8</f>
        <v>1835.6542630182255</v>
      </c>
      <c r="CR7" s="1105">
        <f>CR5-CR10-CR9-CR8</f>
        <v>2047.3560326539018</v>
      </c>
      <c r="CS7" s="2026">
        <f>V7-SUM(CO7:CR7)</f>
        <v>0</v>
      </c>
      <c r="CT7" s="1634">
        <f>CT5-CT10-CT9-CT8</f>
        <v>2012</v>
      </c>
      <c r="CU7" s="1634">
        <f>CU5-CU10-CU9-CU8</f>
        <v>1700</v>
      </c>
      <c r="CV7" s="1634">
        <f>CV5-CV10-CV9-CV8</f>
        <v>1853</v>
      </c>
      <c r="CW7" s="1634">
        <f>CW5-CW10-CW9-CW8</f>
        <v>2101</v>
      </c>
      <c r="CX7" s="2026">
        <f>$W7-SUM(CT7:CW7)</f>
        <v>0</v>
      </c>
      <c r="CY7" s="1634">
        <f>CY5-CY10-CY9-CY8</f>
        <v>2036</v>
      </c>
      <c r="CZ7" s="1634">
        <f>CZ5-CZ10-CZ9-CZ8</f>
        <v>1807</v>
      </c>
      <c r="DA7" s="1634">
        <f>DA5-DA10-DA9-DA8</f>
        <v>1762</v>
      </c>
      <c r="DB7" s="1634">
        <f>DB5-DB10-DB9-DB8</f>
        <v>2300</v>
      </c>
      <c r="DC7" s="2842">
        <f>$Z7-SUM(CY7:DB7)</f>
        <v>0</v>
      </c>
      <c r="DD7" s="1105">
        <f>DD5-DD10-DD9-DD8</f>
        <v>2158</v>
      </c>
      <c r="DE7" s="1105">
        <f>DE5-DE10-DE9-DE8</f>
        <v>1641.6999999999998</v>
      </c>
      <c r="DF7" s="1105">
        <f>DF5-DF10-DF9-DF8</f>
        <v>1676</v>
      </c>
      <c r="DG7" s="1105">
        <f>DG5-DG10-DG9-DG8</f>
        <v>1996</v>
      </c>
      <c r="DH7" s="2026">
        <f>AB7-SUM(DD7:DG7)</f>
        <v>0</v>
      </c>
      <c r="DI7" s="1105">
        <f>DI5-DI10-DI9-DI8</f>
        <v>1963</v>
      </c>
      <c r="DJ7" s="1105">
        <f>DJ5-DJ10-DJ9-DJ8</f>
        <v>1883</v>
      </c>
      <c r="DK7" s="1105">
        <f>DK5-DK10-DK9-DK8</f>
        <v>1743</v>
      </c>
      <c r="DL7" s="1105">
        <f>DL5-DL10-DL9-DL8</f>
        <v>2237.8240929655831</v>
      </c>
      <c r="DM7" s="2026">
        <f t="shared" ref="DM7:DM52" si="7">AC7-SUM(DI7:DL7)</f>
        <v>0</v>
      </c>
      <c r="DN7" s="1105">
        <f>DN5-DN10-DN9-DN8</f>
        <v>2150.2918186427319</v>
      </c>
      <c r="DO7" s="1105">
        <f>DO5-DO10-DO9-DO8</f>
        <v>2041.2313871947372</v>
      </c>
      <c r="DP7" s="1105">
        <f>DP5-DP10-DP9-DP8</f>
        <v>1764.7195573509066</v>
      </c>
      <c r="DQ7" s="1105">
        <f>DQ5-DQ10-DQ9-DQ8</f>
        <v>2409.5928495120888</v>
      </c>
      <c r="DR7" s="2026">
        <f t="shared" ref="DR7:DR17" si="8">AD7-SUM(DN7:DQ7)</f>
        <v>0</v>
      </c>
    </row>
    <row r="8" spans="1:122">
      <c r="A8" s="1880" t="s">
        <v>867</v>
      </c>
      <c r="B8" s="1635"/>
      <c r="C8" s="1635"/>
      <c r="D8" s="1635"/>
      <c r="E8" s="1635"/>
      <c r="F8" s="1635"/>
      <c r="G8" s="1635"/>
      <c r="H8" s="1635">
        <f>2326.5-H9</f>
        <v>2272.4</v>
      </c>
      <c r="I8" s="1635">
        <f>2376.1-I9</f>
        <v>2304.7999999999997</v>
      </c>
      <c r="J8" s="1635">
        <f>2552.5-J9</f>
        <v>2455.8000000000002</v>
      </c>
      <c r="K8" s="1635">
        <f>2669.4-K9</f>
        <v>2550.7000000000003</v>
      </c>
      <c r="L8" s="1635">
        <f>2784.3-L9</f>
        <v>2621.4</v>
      </c>
      <c r="M8" s="1105">
        <f>L8*1.04</f>
        <v>2726.2560000000003</v>
      </c>
      <c r="N8" s="1635">
        <f>2608-N9</f>
        <v>2462.5</v>
      </c>
      <c r="O8" s="1369"/>
      <c r="P8" s="1105">
        <f>L8*1.04</f>
        <v>2726.2560000000003</v>
      </c>
      <c r="Q8" s="1105">
        <f>M8*1.04</f>
        <v>2835.3062400000003</v>
      </c>
      <c r="R8" s="1105">
        <f>N8*1.04</f>
        <v>2561</v>
      </c>
      <c r="S8" s="1105">
        <f>R8*1.04</f>
        <v>2663.44</v>
      </c>
      <c r="T8" s="1105">
        <f>S8*1.04</f>
        <v>2769.9776000000002</v>
      </c>
      <c r="U8" s="1105">
        <f>T8*1.04</f>
        <v>2880.7767040000003</v>
      </c>
      <c r="V8" s="1105">
        <f>U8*1.04</f>
        <v>2996.0077721600005</v>
      </c>
      <c r="W8" s="1796">
        <f>SUM(CT8:CW8)</f>
        <v>2462</v>
      </c>
      <c r="X8" s="1105">
        <f>+V8*0.95</f>
        <v>2846.2073835520005</v>
      </c>
      <c r="Y8" s="1105">
        <f>W8</f>
        <v>2462</v>
      </c>
      <c r="Z8" s="1796">
        <f>SUM(CY8:DB8)</f>
        <v>2455</v>
      </c>
      <c r="AA8" s="2903">
        <f>AB8+497</f>
        <v>2621</v>
      </c>
      <c r="AB8" s="2903">
        <v>2124</v>
      </c>
      <c r="AC8" s="2809">
        <f>SUM(DI8:DL8)</f>
        <v>2198.6</v>
      </c>
      <c r="AD8" s="2809">
        <f>SUM(DN8:DQ8)</f>
        <v>2286.5439999999999</v>
      </c>
      <c r="AE8" s="1105">
        <f t="shared" ref="AE8:AN8" si="9">AD8*1.04</f>
        <v>2378.00576</v>
      </c>
      <c r="AF8" s="1105">
        <f t="shared" si="9"/>
        <v>2473.1259904000003</v>
      </c>
      <c r="AG8" s="1105">
        <f t="shared" si="9"/>
        <v>2572.0510300160004</v>
      </c>
      <c r="AH8" s="1105">
        <f t="shared" si="9"/>
        <v>2674.9330712166407</v>
      </c>
      <c r="AI8" s="1105">
        <f t="shared" si="9"/>
        <v>2781.9303940653062</v>
      </c>
      <c r="AJ8" s="1105">
        <f t="shared" si="9"/>
        <v>2893.2076098279185</v>
      </c>
      <c r="AK8" s="1105">
        <f t="shared" si="9"/>
        <v>3008.9359142210355</v>
      </c>
      <c r="AL8" s="1105">
        <f t="shared" si="9"/>
        <v>3129.293350789877</v>
      </c>
      <c r="AM8" s="1105">
        <f t="shared" si="9"/>
        <v>3254.4650848214724</v>
      </c>
      <c r="AN8" s="1105">
        <f t="shared" si="9"/>
        <v>3384.6436882143312</v>
      </c>
      <c r="AO8" s="1105"/>
      <c r="AP8" s="1105"/>
      <c r="AQ8" s="1105"/>
      <c r="AR8" s="1105"/>
      <c r="AS8" s="1105"/>
      <c r="AT8" s="1635"/>
      <c r="AU8" s="3190" t="str">
        <f t="shared" si="3"/>
        <v>Selling, General and Administrative Expenses</v>
      </c>
      <c r="AV8" s="2804">
        <f>$J8*(AV5/$J5)</f>
        <v>592.96209605906256</v>
      </c>
      <c r="AW8" s="2804">
        <f>$J8*(AW5/$J5)</f>
        <v>617.38960219422165</v>
      </c>
      <c r="AX8" s="2804">
        <f>$J8*(AX5/$J5)</f>
        <v>612.59526097626372</v>
      </c>
      <c r="AY8" s="2804">
        <f>$J8*(AY5/$J5)</f>
        <v>632.85304077045237</v>
      </c>
      <c r="AZ8" s="2842">
        <f>J8-SUM(AV8:AY8)</f>
        <v>0</v>
      </c>
      <c r="BA8" s="2804">
        <f>$K8*(BA5/$K5)</f>
        <v>604.98496601634531</v>
      </c>
      <c r="BB8" s="2804">
        <f>$K8*(BB5/$K5)</f>
        <v>641.81608857763968</v>
      </c>
      <c r="BC8" s="2804">
        <f>$K8*(BC5/$K5)</f>
        <v>632.1827935389781</v>
      </c>
      <c r="BD8" s="2804">
        <f>$K8*(BD5/$K5)</f>
        <v>671.71615186703718</v>
      </c>
      <c r="BE8" s="3191">
        <f>K8-SUM(BA8:BD8)</f>
        <v>0</v>
      </c>
      <c r="BF8" s="2804">
        <f>$L8*(BF5/$L5)</f>
        <v>654.49878912305689</v>
      </c>
      <c r="BG8" s="2804">
        <f>$L8*(BG5/$L5)</f>
        <v>637.60271085599368</v>
      </c>
      <c r="BH8" s="2804">
        <f>$L8*(BH5/$L5)</f>
        <v>618.50995935810954</v>
      </c>
      <c r="BI8" s="2804">
        <f>L8-SUM(BF8:BH8)</f>
        <v>710.78854066284021</v>
      </c>
      <c r="BJ8" s="2901">
        <f>L8-SUM(BF8:BI8)</f>
        <v>0</v>
      </c>
      <c r="BK8" s="2804">
        <f>$M8*(BK5/$M5)</f>
        <v>708.5255131778099</v>
      </c>
      <c r="BL8" s="2804">
        <f>$M8*(BL5/$M5)</f>
        <v>653.79853295340706</v>
      </c>
      <c r="BM8" s="2804">
        <f>$M8*(BM5/$M5)</f>
        <v>635.68535542780808</v>
      </c>
      <c r="BN8" s="2804">
        <f>$M8*(BN5/$M5)</f>
        <v>728.24659844097516</v>
      </c>
      <c r="BO8" s="2902"/>
      <c r="BP8" s="2804">
        <f>$N8*(BP5/$N5)</f>
        <v>644.97718023254265</v>
      </c>
      <c r="BQ8" s="2804">
        <f>$N8*(BQ5/$N5)</f>
        <v>599.80160806500157</v>
      </c>
      <c r="BR8" s="2804">
        <f>$N8*(BR5/$N5)</f>
        <v>595.14607957622979</v>
      </c>
      <c r="BS8" s="2970">
        <f>N8-SUM(BP8:BR8)</f>
        <v>622.57513212622598</v>
      </c>
      <c r="BT8" s="2902">
        <f>N8-SUM(BP8:BS8)</f>
        <v>0</v>
      </c>
      <c r="BU8" s="2804">
        <f>$R8*(BU5/$R5)</f>
        <v>622.24471835301745</v>
      </c>
      <c r="BV8" s="2804">
        <f>$R8*(BV5/$R5)</f>
        <v>592.73716103440006</v>
      </c>
      <c r="BW8" s="2804">
        <f>$R8*(BW5/$R5)</f>
        <v>658.88325786259588</v>
      </c>
      <c r="BX8" s="2902">
        <f>R8-SUM(BU8:BW8)</f>
        <v>687.13486274998672</v>
      </c>
      <c r="BY8" s="2842">
        <f>R8-SUM(BU8:BX8)</f>
        <v>0</v>
      </c>
      <c r="BZ8" s="2804">
        <f>$S8*(BZ5/$S5)</f>
        <v>668.88151296604508</v>
      </c>
      <c r="CA8" s="2804">
        <f>$S8*(CA5/$S5)</f>
        <v>631.01314670194461</v>
      </c>
      <c r="CB8" s="2804">
        <f>$S8*(CB5/$S5)</f>
        <v>624.6670222905019</v>
      </c>
      <c r="CC8" s="2804">
        <f>$S8*(CC5/$S5)</f>
        <v>738.87831804150846</v>
      </c>
      <c r="CD8" s="2842">
        <f>S8-SUM(BZ8:CC8)</f>
        <v>0</v>
      </c>
      <c r="CE8" s="2804">
        <f>$T8*(CE5/$T5)</f>
        <v>685.74058646329843</v>
      </c>
      <c r="CF8" s="2804">
        <f>$T8*(CF5/$T5)</f>
        <v>696.30294146806489</v>
      </c>
      <c r="CG8" s="2804">
        <f>$T8*(CG5/$T5)</f>
        <v>654.25664366062927</v>
      </c>
      <c r="CH8" s="2804">
        <f>$T8*(CH5/$T5)</f>
        <v>733.6774284080077</v>
      </c>
      <c r="CI8" s="2842">
        <f>T8-SUM(CE8:CH8)</f>
        <v>0</v>
      </c>
      <c r="CJ8" s="2804">
        <f>$U8*(CJ5/$U5)</f>
        <v>776.36662053941041</v>
      </c>
      <c r="CK8" s="2804">
        <f>$U8*(CK5/$U5)</f>
        <v>680.69952464806522</v>
      </c>
      <c r="CL8" s="2804">
        <f>$U8*(CL5/$U5)</f>
        <v>667.82795174632054</v>
      </c>
      <c r="CM8" s="2804">
        <f>$U8*(CM5/$U5)</f>
        <v>755.88260706620474</v>
      </c>
      <c r="CN8" s="2842">
        <f>U8-SUM(CJ8:CM8)</f>
        <v>0</v>
      </c>
      <c r="CO8" s="2804">
        <f>$V8*(CO5/$V5)</f>
        <v>791.93086885150501</v>
      </c>
      <c r="CP8" s="2804">
        <f>$V8*(CP5/$V5)</f>
        <v>725.08719898062304</v>
      </c>
      <c r="CQ8" s="2804">
        <f>$V8*(CQ5/$V5)</f>
        <v>712.34573698177451</v>
      </c>
      <c r="CR8" s="2804">
        <f>$V8*(CR5/$V5)</f>
        <v>766.64396734609807</v>
      </c>
      <c r="CS8" s="2842">
        <f>V8-SUM(CO8:CR8)</f>
        <v>0</v>
      </c>
      <c r="CT8" s="2829">
        <v>587</v>
      </c>
      <c r="CU8" s="2829">
        <v>589</v>
      </c>
      <c r="CV8" s="2829">
        <v>617</v>
      </c>
      <c r="CW8" s="3188">
        <f>2462-SUM(CT8:CV8)</f>
        <v>669</v>
      </c>
      <c r="CX8" s="2842">
        <f>$W8-SUM(CT8:CW8)</f>
        <v>0</v>
      </c>
      <c r="CY8" s="2829">
        <v>588</v>
      </c>
      <c r="CZ8" s="2829">
        <v>605</v>
      </c>
      <c r="DA8" s="2829">
        <v>597</v>
      </c>
      <c r="DB8" s="3188">
        <f>2455-SUM(CY8:DA8)</f>
        <v>665</v>
      </c>
      <c r="DC8" s="2842">
        <f>$Z8-SUM(CY8:DB8)</f>
        <v>0</v>
      </c>
      <c r="DD8" s="2829">
        <v>503</v>
      </c>
      <c r="DE8" s="2829">
        <v>510</v>
      </c>
      <c r="DF8" s="2829">
        <v>521</v>
      </c>
      <c r="DG8" s="3188">
        <f>2124-SUM(DD8:DF8)</f>
        <v>590</v>
      </c>
      <c r="DH8" s="2842">
        <f t="shared" ref="DH8:DH17" si="10">AB8-SUM(DD8:DG8)</f>
        <v>0</v>
      </c>
      <c r="DI8" s="2829">
        <v>510</v>
      </c>
      <c r="DJ8" s="2829">
        <v>528</v>
      </c>
      <c r="DK8" s="2829">
        <v>547</v>
      </c>
      <c r="DL8" s="1634">
        <f>DG8*1.04</f>
        <v>613.6</v>
      </c>
      <c r="DM8" s="2026">
        <f t="shared" si="7"/>
        <v>0</v>
      </c>
      <c r="DN8" s="2896">
        <f t="shared" ref="DN8:DO8" si="11">DI8*1.04</f>
        <v>530.4</v>
      </c>
      <c r="DO8" s="2896">
        <f t="shared" si="11"/>
        <v>549.12</v>
      </c>
      <c r="DP8" s="2896">
        <f>DK8*1.04</f>
        <v>568.88</v>
      </c>
      <c r="DQ8" s="1634">
        <f>DL8*1.04</f>
        <v>638.14400000000001</v>
      </c>
      <c r="DR8" s="2026">
        <f t="shared" si="8"/>
        <v>0</v>
      </c>
    </row>
    <row r="9" spans="1:122">
      <c r="A9" s="1881" t="s">
        <v>863</v>
      </c>
      <c r="B9" s="1882"/>
      <c r="C9" s="1882"/>
      <c r="D9" s="1882"/>
      <c r="E9" s="1882"/>
      <c r="F9" s="1882"/>
      <c r="G9" s="1882"/>
      <c r="H9" s="1882">
        <f>-'Revenue and OCF'!O83</f>
        <v>54.100000000000051</v>
      </c>
      <c r="I9" s="1639">
        <f>-'Revenue and OCF'!P83</f>
        <v>71.299999999999983</v>
      </c>
      <c r="J9" s="1639">
        <f>-'Revenue and OCF'!Q83</f>
        <v>96.69999999999996</v>
      </c>
      <c r="K9" s="1639">
        <f>-'Revenue and OCF'!R83</f>
        <v>118.7</v>
      </c>
      <c r="L9" s="1639">
        <f>-'Revenue and OCF'!S83</f>
        <v>162.9</v>
      </c>
      <c r="M9" s="1639">
        <f>-'Revenue and OCF'!T83</f>
        <v>159</v>
      </c>
      <c r="N9" s="1639">
        <f>-'Revenue and OCF'!U83</f>
        <v>145.5</v>
      </c>
      <c r="O9" s="1369"/>
      <c r="P9" s="1639">
        <f>M9</f>
        <v>159</v>
      </c>
      <c r="Q9" s="1639">
        <f>N9</f>
        <v>145.5</v>
      </c>
      <c r="R9" s="1639">
        <f>-'Revenue and OCF'!Y83</f>
        <v>147.1</v>
      </c>
      <c r="S9" s="1639">
        <f>-'Revenue and OCF'!Z83</f>
        <v>218.20000000000002</v>
      </c>
      <c r="T9" s="1639">
        <f>-'Revenue and OCF'!AA83</f>
        <v>234</v>
      </c>
      <c r="U9" s="1639">
        <f>-'Revenue and OCF'!AB83</f>
        <v>248</v>
      </c>
      <c r="V9" s="1639">
        <f>-'Revenue and OCF'!AC83</f>
        <v>342</v>
      </c>
      <c r="W9" s="1639">
        <f>-'Revenue and OCF'!AD83</f>
        <v>269</v>
      </c>
      <c r="X9" s="1639">
        <f>-'Revenue and OCF'!AE83</f>
        <v>342</v>
      </c>
      <c r="Y9" s="1639">
        <f>W9</f>
        <v>269</v>
      </c>
      <c r="Z9" s="1639">
        <f>-'Revenue and OCF'!AG83</f>
        <v>245</v>
      </c>
      <c r="AA9" s="2798">
        <f>-'Revenue and OCF'!AH83</f>
        <v>320</v>
      </c>
      <c r="AB9" s="2798">
        <f>AA9</f>
        <v>320</v>
      </c>
      <c r="AC9" s="2798">
        <f>-'Revenue and OCF'!AJ83</f>
        <v>326</v>
      </c>
      <c r="AD9" s="2798">
        <f>-'Revenue and OCF'!AK83</f>
        <v>339.03999999999996</v>
      </c>
      <c r="AE9" s="1639">
        <f>-'Revenue and OCF'!AL83</f>
        <v>349.21119999999996</v>
      </c>
      <c r="AF9" s="1639">
        <f>-'Revenue and OCF'!AM83</f>
        <v>359.68753599999997</v>
      </c>
      <c r="AG9" s="1639">
        <f>-'Revenue and OCF'!AN83</f>
        <v>370.47816207999995</v>
      </c>
      <c r="AH9" s="1639">
        <f>-'Revenue and OCF'!AO83</f>
        <v>381.59250694239995</v>
      </c>
      <c r="AI9" s="1639">
        <f>-'Revenue and OCF'!AP83</f>
        <v>393.04028215067194</v>
      </c>
      <c r="AJ9" s="1639">
        <f>-'Revenue and OCF'!AQ83</f>
        <v>404.83149061519214</v>
      </c>
      <c r="AK9" s="1639">
        <f>-'Revenue and OCF'!AR83</f>
        <v>416.97643533364788</v>
      </c>
      <c r="AL9" s="1639">
        <f>-'Revenue and OCF'!AS83</f>
        <v>429.48572839365733</v>
      </c>
      <c r="AM9" s="1639">
        <f>-'Revenue and OCF'!AT83</f>
        <v>442.37030024546704</v>
      </c>
      <c r="AN9" s="1639">
        <f>-'Revenue and OCF'!AU83</f>
        <v>455.64140925283107</v>
      </c>
      <c r="AO9" s="1771"/>
      <c r="AP9" s="1771"/>
      <c r="AQ9" s="1771"/>
      <c r="AR9" s="1771"/>
      <c r="AS9" s="1771"/>
      <c r="AT9" s="1882"/>
      <c r="AU9" s="3064" t="str">
        <f t="shared" si="3"/>
        <v>Corporate Expenses</v>
      </c>
      <c r="AV9" s="2798">
        <f>13.5-(1.8/4)</f>
        <v>13.05</v>
      </c>
      <c r="AW9" s="2798">
        <f>38.1-(1.8/4)</f>
        <v>37.65</v>
      </c>
      <c r="AX9" s="2798">
        <f>20.4-(1.8/4)</f>
        <v>19.95</v>
      </c>
      <c r="AY9" s="2798">
        <f>26.5-(1.8/4)</f>
        <v>26.05</v>
      </c>
      <c r="AZ9" s="2842">
        <f>J9-SUM(AV9:AY9)</f>
        <v>0</v>
      </c>
      <c r="BA9" s="2798">
        <f>18.9-(1.8/4)</f>
        <v>18.45</v>
      </c>
      <c r="BB9" s="2798">
        <f>26.8-(1.8/4)</f>
        <v>26.35</v>
      </c>
      <c r="BC9" s="2798">
        <f>36.3-(1.8/4)</f>
        <v>35.849999999999994</v>
      </c>
      <c r="BD9" s="2798">
        <f>38.5-(1.8/4)</f>
        <v>38.049999999999997</v>
      </c>
      <c r="BE9" s="3191">
        <f>K9-SUM(BA9:BD9)</f>
        <v>0</v>
      </c>
      <c r="BF9" s="2798">
        <f>-'Revenue and OCF'!CO83</f>
        <v>27.7</v>
      </c>
      <c r="BG9" s="2798">
        <f>-'Revenue and OCF'!CP83</f>
        <v>39.700000000000003</v>
      </c>
      <c r="BH9" s="2798">
        <f>-'Revenue and OCF'!CQ83</f>
        <v>41.3</v>
      </c>
      <c r="BI9" s="2798">
        <f>L9-SUM(BF9:BH9)</f>
        <v>54.2</v>
      </c>
      <c r="BJ9" s="2901">
        <f>L9-SUM(BF9:BI9)</f>
        <v>0</v>
      </c>
      <c r="BK9" s="2798">
        <f>-'Revenue and OCF'!CT83</f>
        <v>26.8</v>
      </c>
      <c r="BL9" s="2798">
        <f>-'Revenue and OCF'!CU83</f>
        <v>41.6</v>
      </c>
      <c r="BM9" s="2798">
        <f>-'Revenue and OCF'!CV83</f>
        <v>41.3</v>
      </c>
      <c r="BN9" s="2798">
        <f>-'Revenue and OCF'!CW83</f>
        <v>49.3</v>
      </c>
      <c r="BO9" s="2902"/>
      <c r="BP9" s="2798">
        <f>-'Revenue and OCF'!CY83</f>
        <v>26</v>
      </c>
      <c r="BQ9" s="2798">
        <f>-'Revenue and OCF'!CZ83</f>
        <v>41.9</v>
      </c>
      <c r="BR9" s="2798">
        <f>-'Revenue and OCF'!DA83</f>
        <v>38.5</v>
      </c>
      <c r="BS9" s="2798">
        <f>-'Revenue and OCF'!DB83</f>
        <v>39.1</v>
      </c>
      <c r="BT9" s="2902">
        <f>N9-SUM(BP9:BS9)</f>
        <v>0</v>
      </c>
      <c r="BU9" s="2798">
        <f>-'Revenue and OCF'!DD83</f>
        <v>28.5</v>
      </c>
      <c r="BV9" s="2798">
        <f>-'Revenue and OCF'!DE83</f>
        <v>34.700000000000003</v>
      </c>
      <c r="BW9" s="2798">
        <f>-'Revenue and OCF'!DF83</f>
        <v>34.799999999999997</v>
      </c>
      <c r="BX9" s="2798">
        <f>-'Revenue and OCF'!DG83</f>
        <v>49.1</v>
      </c>
      <c r="BY9" s="2842">
        <f>R9-SUM(BU9:BX9)</f>
        <v>0</v>
      </c>
      <c r="BZ9" s="2798">
        <f>-'Revenue and OCF'!DI83</f>
        <v>38.700000000000003</v>
      </c>
      <c r="CA9" s="2798">
        <f>-'Revenue and OCF'!DJ83</f>
        <v>55.9</v>
      </c>
      <c r="CB9" s="2798">
        <f>-'Revenue and OCF'!DK83</f>
        <v>58.7</v>
      </c>
      <c r="CC9" s="2798">
        <f>-'Revenue and OCF'!DL83</f>
        <v>64.900000000000006</v>
      </c>
      <c r="CD9" s="2842">
        <f>S9-SUM(BZ9:CC9)</f>
        <v>0</v>
      </c>
      <c r="CE9" s="2798">
        <f>-Drivers!BV195</f>
        <v>52</v>
      </c>
      <c r="CF9" s="2798">
        <f>-Drivers!BW195</f>
        <v>63</v>
      </c>
      <c r="CG9" s="2798">
        <f>-Drivers!BX195</f>
        <v>55</v>
      </c>
      <c r="CH9" s="2798">
        <f>-Drivers!BY195</f>
        <v>64</v>
      </c>
      <c r="CI9" s="2842">
        <f>T9-SUM(CE9:CH9)</f>
        <v>0</v>
      </c>
      <c r="CJ9" s="2798">
        <f>-Drivers!CA195</f>
        <v>58</v>
      </c>
      <c r="CK9" s="2798">
        <f>-Drivers!CB195</f>
        <v>52</v>
      </c>
      <c r="CL9" s="2798">
        <f>-Drivers!CC195</f>
        <v>53</v>
      </c>
      <c r="CM9" s="2798">
        <f>-Drivers!CD195</f>
        <v>85</v>
      </c>
      <c r="CN9" s="2842">
        <f>U9-SUM(CJ9:CM9)</f>
        <v>0</v>
      </c>
      <c r="CO9" s="3083">
        <f>-Drivers!CF195</f>
        <v>80</v>
      </c>
      <c r="CP9" s="3083">
        <f>-Drivers!CG195</f>
        <v>67</v>
      </c>
      <c r="CQ9" s="3083">
        <f>-Drivers!CH195</f>
        <v>85</v>
      </c>
      <c r="CR9" s="3083">
        <f>-Drivers!CI195</f>
        <v>110</v>
      </c>
      <c r="CS9" s="2842">
        <f>V9-SUM(CO9:CR9)</f>
        <v>0</v>
      </c>
      <c r="CT9" s="3083">
        <f>-Drivers!CK195</f>
        <v>67</v>
      </c>
      <c r="CU9" s="3083">
        <f>-Drivers!CL195</f>
        <v>56</v>
      </c>
      <c r="CV9" s="3083">
        <f>-Drivers!CM195</f>
        <v>50</v>
      </c>
      <c r="CW9" s="3083">
        <f>-Drivers!CN195</f>
        <v>96</v>
      </c>
      <c r="CX9" s="2842">
        <f>$W9-SUM(CT9:CW9)</f>
        <v>0</v>
      </c>
      <c r="CY9" s="3083">
        <f>-Drivers!CP195</f>
        <v>60</v>
      </c>
      <c r="CZ9" s="3083">
        <f>-Drivers!CQ195</f>
        <v>57</v>
      </c>
      <c r="DA9" s="3083">
        <f>-Drivers!CR195</f>
        <v>41</v>
      </c>
      <c r="DB9" s="3083">
        <f>-Drivers!CS195</f>
        <v>87</v>
      </c>
      <c r="DC9" s="2842">
        <f>$Z9-SUM(CY9:DB9)</f>
        <v>0</v>
      </c>
      <c r="DD9" s="3083">
        <f>-Drivers!CU195</f>
        <v>75</v>
      </c>
      <c r="DE9" s="3083">
        <f>-Drivers!CV195</f>
        <v>75</v>
      </c>
      <c r="DF9" s="3083">
        <f>-Drivers!CW195</f>
        <v>70</v>
      </c>
      <c r="DG9" s="3083">
        <f>-Drivers!CX195</f>
        <v>100</v>
      </c>
      <c r="DH9" s="2842">
        <f t="shared" si="10"/>
        <v>0</v>
      </c>
      <c r="DI9" s="3083">
        <f>-Drivers!CZ195</f>
        <v>71</v>
      </c>
      <c r="DJ9" s="3083">
        <f>-Drivers!DA195</f>
        <v>76</v>
      </c>
      <c r="DK9" s="3083">
        <f>-Drivers!DB195</f>
        <v>75</v>
      </c>
      <c r="DL9" s="2049">
        <f>-Drivers!DC195</f>
        <v>104</v>
      </c>
      <c r="DM9" s="2026">
        <f t="shared" si="7"/>
        <v>0</v>
      </c>
      <c r="DN9" s="3083">
        <f>-Drivers!DE195</f>
        <v>73.84</v>
      </c>
      <c r="DO9" s="3083">
        <f>-Drivers!DF195</f>
        <v>79.040000000000006</v>
      </c>
      <c r="DP9" s="3083">
        <f>-Drivers!DG195</f>
        <v>78</v>
      </c>
      <c r="DQ9" s="2049">
        <f>-Drivers!DH195</f>
        <v>108.16</v>
      </c>
      <c r="DR9" s="2026">
        <f t="shared" si="8"/>
        <v>0</v>
      </c>
    </row>
    <row r="10" spans="1:122">
      <c r="A10" s="1883" t="s">
        <v>1141</v>
      </c>
      <c r="B10" s="1362"/>
      <c r="C10" s="1362"/>
      <c r="D10" s="1362"/>
      <c r="E10" s="1362"/>
      <c r="F10" s="1362"/>
      <c r="G10" s="1362"/>
      <c r="H10" s="1362">
        <f>'Revenue and OCF'!O86</f>
        <v>3059.3999999999992</v>
      </c>
      <c r="I10" s="1654">
        <f>'Revenue and OCF'!P86</f>
        <v>3013.0000000000009</v>
      </c>
      <c r="J10" s="1654">
        <f>'Revenue and OCF'!Q86+J15</f>
        <v>3323.6999999999994</v>
      </c>
      <c r="K10" s="1654">
        <f>'Revenue and OCF'!R86+K15</f>
        <v>3213.2000000000007</v>
      </c>
      <c r="L10" s="1654">
        <f>'Revenue and OCF'!S86+L12</f>
        <v>3175.4</v>
      </c>
      <c r="M10" s="1654">
        <f>'Revenue and OCF'!T86+M12</f>
        <v>3184.1</v>
      </c>
      <c r="N10" s="1654">
        <f>'Revenue and OCF'!U86+N12</f>
        <v>2827.7000000000003</v>
      </c>
      <c r="O10" s="1369"/>
      <c r="P10" s="1654">
        <f>'Revenue and OCF'!W86+P12</f>
        <v>3252.1166250000001</v>
      </c>
      <c r="Q10" s="1654">
        <f>'Revenue and OCF'!X86+Q12</f>
        <v>2828.1037189600002</v>
      </c>
      <c r="R10" s="1654">
        <f>'Revenue and OCF'!Y86+R12</f>
        <v>1909.2000000000003</v>
      </c>
      <c r="S10" s="1654">
        <f>'Revenue and OCF'!Z86+S12</f>
        <v>2512.7360000000003</v>
      </c>
      <c r="T10" s="1654">
        <f>'Revenue and OCF'!AA86+T12</f>
        <v>3296.0000000000005</v>
      </c>
      <c r="U10" s="1654">
        <f>'Revenue and OCF'!AB86+U12</f>
        <v>3640.9999999999995</v>
      </c>
      <c r="V10" s="1654">
        <f>'Revenue and OCF'!AC86+V12</f>
        <v>3965</v>
      </c>
      <c r="W10" s="1654">
        <f>SUM(CT10:CW10)</f>
        <v>3409</v>
      </c>
      <c r="X10" s="1654">
        <f>+Drivers!O198+X12</f>
        <v>3564</v>
      </c>
      <c r="Y10" s="1654">
        <f>'Revenue and OCF'!AF86+Y12</f>
        <v>3409</v>
      </c>
      <c r="Z10" s="1654">
        <f>'Revenue and OCF'!AG86+Z12</f>
        <v>3281</v>
      </c>
      <c r="AA10" s="2801">
        <f>'Revenue and OCF'!AH86+AA12</f>
        <v>3593.6000000000004</v>
      </c>
      <c r="AB10" s="2801">
        <f>'Revenue and OCF'!AI86+AB12</f>
        <v>3250.3</v>
      </c>
      <c r="AC10" s="2801">
        <f>'Revenue and OCF'!AJ86+AC12</f>
        <v>3206.4769990247987</v>
      </c>
      <c r="AD10" s="2801">
        <f>'Revenue and OCF'!AK86+AD12</f>
        <v>3432.8896914621473</v>
      </c>
      <c r="AE10" s="1654">
        <f>'Revenue and OCF'!AL86+AE12</f>
        <v>3621.5719926751221</v>
      </c>
      <c r="AF10" s="1654">
        <f>'Revenue and OCF'!AM86+AF12</f>
        <v>3976.5280283899492</v>
      </c>
      <c r="AG10" s="1654">
        <f>'Revenue and OCF'!AN86+AG12</f>
        <v>4091.4001216732918</v>
      </c>
      <c r="AH10" s="1654">
        <f>'Revenue and OCF'!AO86+AH12</f>
        <v>4348.6021476393962</v>
      </c>
      <c r="AI10" s="1654">
        <f>'Revenue and OCF'!AP86+AI12</f>
        <v>4170.8640340131697</v>
      </c>
      <c r="AJ10" s="1654">
        <f>'Revenue and OCF'!AQ86+AJ12</f>
        <v>4278.4086068414608</v>
      </c>
      <c r="AK10" s="1654">
        <f>'Revenue and OCF'!AR86+AK12</f>
        <v>4288.3802574953097</v>
      </c>
      <c r="AL10" s="1654">
        <f>'Revenue and OCF'!AS86+AL12</f>
        <v>4234.4972416607998</v>
      </c>
      <c r="AM10" s="1654">
        <f>'Revenue and OCF'!AT86+AM12</f>
        <v>4190.238502532341</v>
      </c>
      <c r="AN10" s="1654">
        <f>'Revenue and OCF'!AU86+AN12</f>
        <v>4394.0243664280542</v>
      </c>
      <c r="AO10" s="1654"/>
      <c r="AP10" s="1654"/>
      <c r="AQ10" s="1654"/>
      <c r="AR10" s="1654"/>
      <c r="AS10" s="1654"/>
      <c r="AT10" s="1362"/>
      <c r="AU10" s="3192" t="str">
        <f t="shared" si="3"/>
        <v>Total Recurring EBITDA</v>
      </c>
      <c r="AV10" s="2801">
        <f>432.7+206.5+68+-13.5+-28.4-(27.5/4)</f>
        <v>658.42500000000007</v>
      </c>
      <c r="AW10" s="2801">
        <f>632.7+275+134.1+44.2+-38.1+-28.5-(27.5/4)</f>
        <v>1012.5250000000001</v>
      </c>
      <c r="AX10" s="2801">
        <f>508.1+228.7+114.4+110.7+-20.4+-28.5-(27.5/4)</f>
        <v>906.125</v>
      </c>
      <c r="AY10" s="2801">
        <f>407.7+238+137.4+25.3+-26.5+-28.4-(27.5/4)</f>
        <v>746.625</v>
      </c>
      <c r="AZ10" s="2842">
        <f>J10-SUM(AV10:AY10)</f>
        <v>0</v>
      </c>
      <c r="BA10" s="2801">
        <f>(412+197.2+69.3+-3.9+-29.7-18.9)+(48.0000000000018/4)</f>
        <v>638.00000000000045</v>
      </c>
      <c r="BB10" s="2801">
        <f>547.5+280.5+134.9+32.9+-29.6-26.8+(48.0000000000018/4)</f>
        <v>951.40000000000043</v>
      </c>
      <c r="BC10" s="2801">
        <f>421+232.6+118.2+115.3+-29.7-36.3+(48.0000000000018/4)</f>
        <v>833.10000000000048</v>
      </c>
      <c r="BD10" s="2801">
        <f>444.2+214.7+147.5+40.5+-29.7-38.5+(48.0000000000018/4)</f>
        <v>790.70000000000039</v>
      </c>
      <c r="BE10" s="3191">
        <f>K10-SUM(BA10:BD10)</f>
        <v>0</v>
      </c>
      <c r="BF10" s="2801">
        <f>'Revenue and OCF'!CO86</f>
        <v>636.19999999999993</v>
      </c>
      <c r="BG10" s="2801">
        <f>'Revenue and OCF'!CP86</f>
        <v>858.9</v>
      </c>
      <c r="BH10" s="2801">
        <f>'Revenue and OCF'!CQ86</f>
        <v>756.40000000000009</v>
      </c>
      <c r="BI10" s="2801">
        <f>L10-SUM(BF10:BH10)</f>
        <v>923.90000000000009</v>
      </c>
      <c r="BJ10" s="2901">
        <f>L10-SUM(BF10:BI10)</f>
        <v>0</v>
      </c>
      <c r="BK10" s="2801">
        <f>'Revenue and OCF'!CT86+BK12</f>
        <v>654.95000000000005</v>
      </c>
      <c r="BL10" s="2801">
        <f>'Revenue and OCF'!CU86+BL12</f>
        <v>890.75000000000011</v>
      </c>
      <c r="BM10" s="2801">
        <f>'Revenue and OCF'!CV86+BM12</f>
        <v>788.95000000000016</v>
      </c>
      <c r="BN10" s="2801">
        <f>'Revenue and OCF'!CW86+BN12</f>
        <v>849.45000000000016</v>
      </c>
      <c r="BO10" s="2902"/>
      <c r="BP10" s="2801">
        <f>'Revenue and OCF'!CY86+BP12</f>
        <v>734.7792497262501</v>
      </c>
      <c r="BQ10" s="2801">
        <f>'Revenue and OCF'!CZ86+BQ12</f>
        <v>805.49473068000009</v>
      </c>
      <c r="BR10" s="2801">
        <f>'Revenue and OCF'!DA86+BR12</f>
        <v>685.16897686793743</v>
      </c>
      <c r="BS10" s="2801">
        <f>'Revenue and OCF'!DB86+BS12</f>
        <v>602.25704272581243</v>
      </c>
      <c r="BT10" s="2902">
        <f>N10-SUM(BP10:BS10)</f>
        <v>0</v>
      </c>
      <c r="BU10" s="2801">
        <f>'Revenue and OCF'!DD86+BU12</f>
        <v>299.13853314169933</v>
      </c>
      <c r="BV10" s="2801">
        <f>'Revenue and OCF'!DE86+BV12</f>
        <v>431.91093352486837</v>
      </c>
      <c r="BW10" s="2801">
        <f>'Revenue and OCF'!DF86+BW12</f>
        <v>608.22739985984583</v>
      </c>
      <c r="BX10" s="2801">
        <f>'Revenue and OCF'!DG86+BX12</f>
        <v>569.92313347358674</v>
      </c>
      <c r="BY10" s="2842">
        <f>R10-SUM(BU10:BX10)</f>
        <v>0</v>
      </c>
      <c r="BZ10" s="2801">
        <f>'Revenue and OCF'!DI86+BZ12</f>
        <v>383.90000000000009</v>
      </c>
      <c r="CA10" s="2801">
        <f>'Revenue and OCF'!DJ86+CA12</f>
        <v>617.19999999999993</v>
      </c>
      <c r="CB10" s="2801">
        <f>'Revenue and OCF'!DK86+CB12</f>
        <v>704.5</v>
      </c>
      <c r="CC10" s="2801">
        <f>'Revenue and OCF'!DL86+CC12</f>
        <v>807.13600000000019</v>
      </c>
      <c r="CD10" s="2842">
        <f>S10-SUM(BZ10:CC10)</f>
        <v>0</v>
      </c>
      <c r="CE10" s="2801">
        <f>Drivers!BV198+CE12</f>
        <v>630</v>
      </c>
      <c r="CF10" s="2801">
        <f>Drivers!BW198+CF12</f>
        <v>927</v>
      </c>
      <c r="CG10" s="2801">
        <f>Drivers!BX198+CG12</f>
        <v>896</v>
      </c>
      <c r="CH10" s="2801">
        <f>Drivers!BY198+CH12</f>
        <v>843</v>
      </c>
      <c r="CI10" s="2842">
        <f>T10-SUM(CE10:CH10)</f>
        <v>0</v>
      </c>
      <c r="CJ10" s="2801">
        <f>Drivers!CA198+CJ12</f>
        <v>849</v>
      </c>
      <c r="CK10" s="2801">
        <f>Drivers!CB198+CK12</f>
        <v>950</v>
      </c>
      <c r="CL10" s="2801">
        <f>Drivers!CC198+CL12</f>
        <v>941</v>
      </c>
      <c r="CM10" s="2801">
        <f>Drivers!CD198+CM12</f>
        <v>901</v>
      </c>
      <c r="CN10" s="2842">
        <f>U10-SUM(CJ10:CM10)</f>
        <v>0</v>
      </c>
      <c r="CO10" s="2801">
        <f>Drivers!CF198+CO12</f>
        <v>976</v>
      </c>
      <c r="CP10" s="2801">
        <f>Drivers!CG198+CP12</f>
        <v>1001</v>
      </c>
      <c r="CQ10" s="2801">
        <f>Drivers!CH198+CQ12</f>
        <v>1001</v>
      </c>
      <c r="CR10" s="2801">
        <f>Drivers!CI198+CR12</f>
        <v>987</v>
      </c>
      <c r="CS10" s="2842">
        <f>V10-SUM(CO10:CR10)</f>
        <v>0</v>
      </c>
      <c r="CT10" s="2801">
        <f>Drivers!CK198+CT12</f>
        <v>904</v>
      </c>
      <c r="CU10" s="2801">
        <f>Drivers!CL198+CU12</f>
        <v>843</v>
      </c>
      <c r="CV10" s="2801">
        <f>Drivers!CM198+CV12</f>
        <v>847</v>
      </c>
      <c r="CW10" s="2801">
        <f>Drivers!CN198+CW12</f>
        <v>815</v>
      </c>
      <c r="CX10" s="2842">
        <f>$W10-SUM(CT10:CW10)</f>
        <v>0</v>
      </c>
      <c r="CY10" s="2801">
        <f>Drivers!CP198+CY12</f>
        <v>816</v>
      </c>
      <c r="CZ10" s="2801">
        <f>Drivers!CQ198+CZ12</f>
        <v>750</v>
      </c>
      <c r="DA10" s="2801">
        <f>Drivers!CR198+DA12</f>
        <v>857</v>
      </c>
      <c r="DB10" s="2801">
        <f>Drivers!CS198+DB12</f>
        <v>858</v>
      </c>
      <c r="DC10" s="2842">
        <f>$Z10-SUM(CY10:DB10)</f>
        <v>0</v>
      </c>
      <c r="DD10" s="2801">
        <f>Drivers!CU198+DD12</f>
        <v>852</v>
      </c>
      <c r="DE10" s="2801">
        <f>Drivers!CV198+DE12</f>
        <v>749.3</v>
      </c>
      <c r="DF10" s="2801">
        <f>Drivers!CW198+DF12</f>
        <v>817</v>
      </c>
      <c r="DG10" s="2801">
        <f>Drivers!CX198+DG12</f>
        <v>832</v>
      </c>
      <c r="DH10" s="2842">
        <f t="shared" si="10"/>
        <v>0</v>
      </c>
      <c r="DI10" s="2801">
        <f>Drivers!CZ198+DI12</f>
        <v>799</v>
      </c>
      <c r="DJ10" s="2801">
        <f>Drivers!DA198+DJ12</f>
        <v>770</v>
      </c>
      <c r="DK10" s="2801">
        <f>Drivers!DB198+DK12</f>
        <v>806</v>
      </c>
      <c r="DL10" s="1654">
        <f>Drivers!DC198+DL12</f>
        <v>831.47699902479906</v>
      </c>
      <c r="DM10" s="2026">
        <f t="shared" si="7"/>
        <v>0</v>
      </c>
      <c r="DN10" s="2801">
        <f>Drivers!DE198+DN12</f>
        <v>822.50048065291605</v>
      </c>
      <c r="DO10" s="2801">
        <f>Drivers!DF198+DO12</f>
        <v>811.91358758182525</v>
      </c>
      <c r="DP10" s="2801">
        <f>Drivers!DG198+DP12</f>
        <v>868.27210571498119</v>
      </c>
      <c r="DQ10" s="1654">
        <f>Drivers!DH198+DQ12</f>
        <v>930.20351751242481</v>
      </c>
      <c r="DR10" s="2026">
        <f t="shared" si="8"/>
        <v>0</v>
      </c>
    </row>
    <row r="11" spans="1:122">
      <c r="A11" s="1883"/>
      <c r="B11" s="1105"/>
      <c r="C11" s="1105"/>
      <c r="D11" s="1105"/>
      <c r="E11" s="1105"/>
      <c r="F11" s="1105"/>
      <c r="G11" s="1105"/>
      <c r="H11" s="1105"/>
      <c r="I11" s="1105"/>
      <c r="J11" s="1105"/>
      <c r="K11" s="1884"/>
      <c r="L11" s="1885"/>
      <c r="M11" s="1886"/>
      <c r="N11" s="1135"/>
      <c r="O11" s="1369"/>
      <c r="P11" s="1108"/>
      <c r="Q11" s="1108"/>
      <c r="R11" s="1135"/>
      <c r="S11" s="1110"/>
      <c r="T11" s="1105"/>
      <c r="U11" s="1135"/>
      <c r="V11" s="1110"/>
      <c r="W11" s="1110"/>
      <c r="X11" s="1110"/>
      <c r="Y11" s="1110"/>
      <c r="Z11" s="1370"/>
      <c r="AA11" s="2802"/>
      <c r="AB11" s="2802"/>
      <c r="AC11" s="2802"/>
      <c r="AD11" s="2802"/>
      <c r="AE11" s="1110"/>
      <c r="AF11" s="1110"/>
      <c r="AG11" s="1110"/>
      <c r="AH11" s="1110"/>
      <c r="AI11" s="1110"/>
      <c r="AJ11" s="1110"/>
      <c r="AK11" s="1110"/>
      <c r="AL11" s="1110"/>
      <c r="AM11" s="1110"/>
      <c r="AN11" s="1110"/>
      <c r="AO11" s="1110"/>
      <c r="AP11" s="1110"/>
      <c r="AQ11" s="1110"/>
      <c r="AR11" s="1110"/>
      <c r="AS11" s="1110"/>
      <c r="AT11" s="1105"/>
      <c r="AU11" s="3192" t="str">
        <f t="shared" si="3"/>
        <v/>
      </c>
      <c r="AV11" s="2804"/>
      <c r="AW11" s="2804"/>
      <c r="AX11" s="2804"/>
      <c r="AY11" s="2804"/>
      <c r="AZ11" s="3193">
        <v>27.5</v>
      </c>
      <c r="BA11" s="2804"/>
      <c r="BB11" s="2804" t="s">
        <v>337</v>
      </c>
      <c r="BC11" s="2804"/>
      <c r="BD11" s="2804"/>
      <c r="BE11" s="2845"/>
      <c r="BF11" s="2804"/>
      <c r="BG11" s="2804"/>
      <c r="BH11" s="2804"/>
      <c r="BI11" s="2804" t="s">
        <v>337</v>
      </c>
      <c r="BJ11" s="3193"/>
      <c r="BK11" s="2804"/>
      <c r="BL11" s="2804"/>
      <c r="BM11" s="2804"/>
      <c r="BN11" s="2804"/>
      <c r="BO11" s="2806"/>
      <c r="BP11" s="2801"/>
      <c r="BQ11" s="2804"/>
      <c r="BR11" s="2804"/>
      <c r="BS11" s="2804"/>
      <c r="BT11" s="2806"/>
      <c r="BU11" s="2806"/>
      <c r="BV11" s="2806"/>
      <c r="BW11" s="2806"/>
      <c r="BX11" s="2806"/>
      <c r="BY11" s="2806"/>
      <c r="BZ11" s="2806"/>
      <c r="CA11" s="2806"/>
      <c r="CB11" s="2806"/>
      <c r="CC11" s="2806"/>
      <c r="CD11" s="2806"/>
      <c r="CE11" s="2806"/>
      <c r="CF11" s="2806"/>
      <c r="CG11" s="2806"/>
      <c r="CH11" s="2806"/>
      <c r="CI11" s="2806"/>
      <c r="CJ11" s="2806"/>
      <c r="CK11" s="2806"/>
      <c r="CL11" s="2806"/>
      <c r="CM11" s="2806"/>
      <c r="CN11" s="2806"/>
      <c r="CO11" s="2806"/>
      <c r="CP11" s="2806"/>
      <c r="CQ11" s="2806"/>
      <c r="CR11" s="2806"/>
      <c r="CS11" s="2806"/>
      <c r="CT11" s="2806"/>
      <c r="CU11" s="2806"/>
      <c r="CV11" s="2806"/>
      <c r="CW11" s="2806"/>
      <c r="CX11" s="2806"/>
      <c r="CY11" s="2851"/>
      <c r="CZ11" s="2851"/>
      <c r="DA11" s="2851"/>
      <c r="DB11" s="2851"/>
      <c r="DC11" s="2851"/>
      <c r="DD11" s="2851"/>
      <c r="DE11" s="2806"/>
      <c r="DF11" s="2806"/>
      <c r="DG11" s="2806"/>
      <c r="DH11" s="2842"/>
      <c r="DI11" s="2842"/>
      <c r="DJ11" s="2842"/>
      <c r="DK11" s="2842"/>
      <c r="DL11" s="2026"/>
      <c r="DM11" s="2026">
        <f t="shared" si="7"/>
        <v>0</v>
      </c>
      <c r="DN11" s="2026"/>
      <c r="DO11" s="2026"/>
      <c r="DP11" s="2026"/>
      <c r="DQ11" s="2026"/>
      <c r="DR11" s="2026"/>
    </row>
    <row r="12" spans="1:122">
      <c r="A12" s="1108" t="s">
        <v>617</v>
      </c>
      <c r="B12" s="1105"/>
      <c r="C12" s="1105"/>
      <c r="D12" s="1105"/>
      <c r="E12" s="1105"/>
      <c r="F12" s="1105"/>
      <c r="G12" s="1105"/>
      <c r="H12" s="1635">
        <v>0</v>
      </c>
      <c r="I12" s="1657">
        <v>0</v>
      </c>
      <c r="J12" s="1657">
        <v>0</v>
      </c>
      <c r="K12" s="1657">
        <v>0</v>
      </c>
      <c r="L12" s="1657">
        <v>64.3</v>
      </c>
      <c r="M12" s="1657">
        <v>106.6</v>
      </c>
      <c r="N12" s="1657">
        <v>137.9</v>
      </c>
      <c r="O12" s="1369"/>
      <c r="P12" s="1639">
        <f>M12</f>
        <v>106.6</v>
      </c>
      <c r="Q12" s="1639">
        <f>N12</f>
        <v>137.9</v>
      </c>
      <c r="R12" s="1639">
        <f>+SUM(BU12:BX12)</f>
        <v>135.6</v>
      </c>
      <c r="S12" s="1639">
        <f>+R12*1.06</f>
        <v>143.73599999999999</v>
      </c>
      <c r="T12" s="1639">
        <f>+T256</f>
        <v>139</v>
      </c>
      <c r="U12" s="1639">
        <f>+U256</f>
        <v>153</v>
      </c>
      <c r="V12" s="1639">
        <f>+V256</f>
        <v>229</v>
      </c>
      <c r="W12" s="1639">
        <f>+W256</f>
        <v>154</v>
      </c>
      <c r="X12" s="1638">
        <f>+V12</f>
        <v>229</v>
      </c>
      <c r="Y12" s="1638">
        <f>W12</f>
        <v>154</v>
      </c>
      <c r="Z12" s="1637">
        <f>+SUM(CY12:DB12)</f>
        <v>174</v>
      </c>
      <c r="AA12" s="2800">
        <f>134 + 46*1.05</f>
        <v>182.3</v>
      </c>
      <c r="AB12" s="2799">
        <f>SUM(DD12:DG12)</f>
        <v>165</v>
      </c>
      <c r="AC12" s="2799">
        <f>SUM(DI12:DL12)</f>
        <v>173.1</v>
      </c>
      <c r="AD12" s="2799">
        <f>SUM(DN12:DQ12)</f>
        <v>178.29300000000001</v>
      </c>
      <c r="AE12" s="1657">
        <f t="shared" ref="AE12:AN12" si="12">+AD12*1.03</f>
        <v>183.64179000000001</v>
      </c>
      <c r="AF12" s="1657">
        <f t="shared" si="12"/>
        <v>189.15104370000003</v>
      </c>
      <c r="AG12" s="1657">
        <f t="shared" si="12"/>
        <v>194.82557501100004</v>
      </c>
      <c r="AH12" s="1657">
        <f t="shared" si="12"/>
        <v>200.67034226133003</v>
      </c>
      <c r="AI12" s="1657">
        <f t="shared" si="12"/>
        <v>206.69045252916993</v>
      </c>
      <c r="AJ12" s="1657">
        <f t="shared" si="12"/>
        <v>212.89116610504504</v>
      </c>
      <c r="AK12" s="1657">
        <f t="shared" si="12"/>
        <v>219.27790108819642</v>
      </c>
      <c r="AL12" s="1657">
        <f t="shared" si="12"/>
        <v>225.85623812084231</v>
      </c>
      <c r="AM12" s="1657">
        <f t="shared" si="12"/>
        <v>232.63192526446758</v>
      </c>
      <c r="AN12" s="1657">
        <f t="shared" si="12"/>
        <v>239.61088302240162</v>
      </c>
      <c r="AO12" s="1646"/>
      <c r="AP12" s="1646"/>
      <c r="AQ12" s="1646"/>
      <c r="AR12" s="1646"/>
      <c r="AS12" s="1646"/>
      <c r="AT12" s="1105"/>
      <c r="AU12" s="2862" t="str">
        <f t="shared" si="3"/>
        <v>Equity Compensation</v>
      </c>
      <c r="AV12" s="2798">
        <v>0</v>
      </c>
      <c r="AW12" s="2798">
        <v>0</v>
      </c>
      <c r="AX12" s="2798">
        <v>0</v>
      </c>
      <c r="AY12" s="2798">
        <v>0</v>
      </c>
      <c r="AZ12" s="3193"/>
      <c r="BA12" s="2798">
        <v>0</v>
      </c>
      <c r="BB12" s="2798">
        <v>0</v>
      </c>
      <c r="BC12" s="2798">
        <v>0</v>
      </c>
      <c r="BD12" s="2798">
        <v>0</v>
      </c>
      <c r="BE12" s="2906" t="s">
        <v>337</v>
      </c>
      <c r="BF12" s="2798">
        <v>8.5</v>
      </c>
      <c r="BG12" s="2798">
        <v>18.2</v>
      </c>
      <c r="BH12" s="2798">
        <v>20.9</v>
      </c>
      <c r="BI12" s="2798">
        <f>L12-SUM(BF12:BH12)</f>
        <v>16.700000000000003</v>
      </c>
      <c r="BJ12" s="2901">
        <f>L12-SUM(BF12:BI12)</f>
        <v>0</v>
      </c>
      <c r="BK12" s="2800">
        <v>21</v>
      </c>
      <c r="BL12" s="2800">
        <v>30.5</v>
      </c>
      <c r="BM12" s="2798">
        <f>BL12</f>
        <v>30.5</v>
      </c>
      <c r="BN12" s="2798">
        <f>M12-SUM(BK12:BM12)</f>
        <v>24.599999999999994</v>
      </c>
      <c r="BO12" s="2806"/>
      <c r="BP12" s="2800">
        <v>33.1</v>
      </c>
      <c r="BQ12" s="2800">
        <v>39.1</v>
      </c>
      <c r="BR12" s="2800">
        <f>110.5-BP12-BQ12</f>
        <v>38.300000000000004</v>
      </c>
      <c r="BS12" s="2800">
        <v>27.4</v>
      </c>
      <c r="BT12" s="2902">
        <f>N12-SUM(BP12:BS12)</f>
        <v>0</v>
      </c>
      <c r="BU12" s="2883">
        <v>32.9</v>
      </c>
      <c r="BV12" s="2883">
        <v>33.9</v>
      </c>
      <c r="BW12" s="2883">
        <f>108.2-BU12-BV12</f>
        <v>41.400000000000013</v>
      </c>
      <c r="BX12" s="2883">
        <f>135.6-SUM(BU12:BW12)</f>
        <v>27.399999999999977</v>
      </c>
      <c r="BY12" s="2842">
        <f>R12-SUM(BU12:BX12)</f>
        <v>0</v>
      </c>
      <c r="BZ12" s="3081">
        <v>32.6</v>
      </c>
      <c r="CA12" s="3081">
        <f>69.6-BZ12</f>
        <v>36.999999999999993</v>
      </c>
      <c r="CB12" s="3081">
        <f>106.7-CA12-BZ12</f>
        <v>37.100000000000016</v>
      </c>
      <c r="CC12" s="3194">
        <f>($S$12-SUM(BZ12:CB12))</f>
        <v>37.035999999999973</v>
      </c>
      <c r="CD12" s="2842">
        <f>S12-SUM(BZ12:CC12)</f>
        <v>0</v>
      </c>
      <c r="CE12" s="3081">
        <v>34</v>
      </c>
      <c r="CF12" s="3081">
        <f>75-CE12</f>
        <v>41</v>
      </c>
      <c r="CG12" s="3081">
        <f>110-CF12-CE12</f>
        <v>35</v>
      </c>
      <c r="CH12" s="3194">
        <f>$T$12-SUM(CE12:CG12)</f>
        <v>29</v>
      </c>
      <c r="CI12" s="2842">
        <f>T12-SUM(CE12:CH12)</f>
        <v>0</v>
      </c>
      <c r="CJ12" s="3081">
        <v>42</v>
      </c>
      <c r="CK12" s="3081">
        <f>81-CJ12</f>
        <v>39</v>
      </c>
      <c r="CL12" s="3081">
        <f>118-SUM(CJ12:CK12)</f>
        <v>37</v>
      </c>
      <c r="CM12" s="3189">
        <f>+U12-SUM(CJ12:CL12)</f>
        <v>35</v>
      </c>
      <c r="CN12" s="2842">
        <f>U12-SUM(CJ12:CM12)</f>
        <v>0</v>
      </c>
      <c r="CO12" s="3081">
        <v>60</v>
      </c>
      <c r="CP12" s="3081">
        <f>109-CO12</f>
        <v>49</v>
      </c>
      <c r="CQ12" s="3081">
        <f>169-SUM(CO12:CP12)</f>
        <v>60</v>
      </c>
      <c r="CR12" s="3189">
        <f>+V12-SUM(CO12:CQ12)</f>
        <v>60</v>
      </c>
      <c r="CS12" s="2842">
        <f>V12-SUM(CO12:CR12)</f>
        <v>0</v>
      </c>
      <c r="CT12" s="3081">
        <v>42</v>
      </c>
      <c r="CU12" s="3081">
        <f>84-CT12</f>
        <v>42</v>
      </c>
      <c r="CV12" s="3081">
        <f>117-SUM(CT12:CU12)</f>
        <v>33</v>
      </c>
      <c r="CW12" s="3081">
        <f>154-SUM(CT12:CV12)</f>
        <v>37</v>
      </c>
      <c r="CX12" s="2842">
        <f>$W12-SUM(CT12:CW12)</f>
        <v>0</v>
      </c>
      <c r="CY12" s="3081">
        <v>46</v>
      </c>
      <c r="CZ12" s="3081">
        <f>89-CY12</f>
        <v>43</v>
      </c>
      <c r="DA12" s="3081">
        <f>128-SUM(CY12:CZ12)</f>
        <v>39</v>
      </c>
      <c r="DB12" s="3081">
        <f>174-SUM(CY12:DA12)</f>
        <v>46</v>
      </c>
      <c r="DC12" s="2842">
        <f>$Z12-SUM(CY12:DB12)</f>
        <v>0</v>
      </c>
      <c r="DD12" s="3081">
        <f>39</f>
        <v>39</v>
      </c>
      <c r="DE12" s="3081">
        <f>81-DD12</f>
        <v>42</v>
      </c>
      <c r="DF12" s="3081">
        <f>123-SUM(DD12:DE12)</f>
        <v>42</v>
      </c>
      <c r="DG12" s="3081">
        <f>165-SUM(DD12:DF12)</f>
        <v>42</v>
      </c>
      <c r="DH12" s="2842">
        <f t="shared" si="10"/>
        <v>0</v>
      </c>
      <c r="DI12" s="3081">
        <v>40</v>
      </c>
      <c r="DJ12" s="3081">
        <f>85-DI12</f>
        <v>45</v>
      </c>
      <c r="DK12" s="3081">
        <f>129-SUM(DI12:DJ12)</f>
        <v>44</v>
      </c>
      <c r="DL12" s="3159">
        <f>DG12*1.05</f>
        <v>44.1</v>
      </c>
      <c r="DM12" s="2026">
        <f t="shared" si="7"/>
        <v>0</v>
      </c>
      <c r="DN12" s="3158">
        <f t="shared" ref="DN12:DO12" si="13">DI12*1.03</f>
        <v>41.2</v>
      </c>
      <c r="DO12" s="3158">
        <f t="shared" si="13"/>
        <v>46.35</v>
      </c>
      <c r="DP12" s="3158">
        <f>DK12*1.03</f>
        <v>45.32</v>
      </c>
      <c r="DQ12" s="3159">
        <f>DL12*1.03</f>
        <v>45.423000000000002</v>
      </c>
      <c r="DR12" s="2026">
        <f t="shared" si="8"/>
        <v>0</v>
      </c>
    </row>
    <row r="13" spans="1:122">
      <c r="A13" s="1883" t="s">
        <v>1142</v>
      </c>
      <c r="B13" s="1105"/>
      <c r="C13" s="1105"/>
      <c r="D13" s="1105"/>
      <c r="E13" s="1105"/>
      <c r="F13" s="1105"/>
      <c r="G13" s="1105"/>
      <c r="H13" s="1105">
        <f t="shared" ref="H13:N13" si="14">H10-H12</f>
        <v>3059.3999999999992</v>
      </c>
      <c r="I13" s="1654">
        <f t="shared" si="14"/>
        <v>3013.0000000000009</v>
      </c>
      <c r="J13" s="1654">
        <f t="shared" si="14"/>
        <v>3323.6999999999994</v>
      </c>
      <c r="K13" s="1654">
        <f t="shared" si="14"/>
        <v>3213.2000000000007</v>
      </c>
      <c r="L13" s="1654">
        <f t="shared" si="14"/>
        <v>3111.1</v>
      </c>
      <c r="M13" s="1654">
        <f t="shared" si="14"/>
        <v>3077.5</v>
      </c>
      <c r="N13" s="1654">
        <f t="shared" si="14"/>
        <v>2689.8</v>
      </c>
      <c r="O13" s="1369"/>
      <c r="P13" s="1654">
        <f t="shared" ref="P13:AH13" si="15">P10-P12</f>
        <v>3145.5166250000002</v>
      </c>
      <c r="Q13" s="1654">
        <f t="shared" si="15"/>
        <v>2690.2037189600001</v>
      </c>
      <c r="R13" s="1654">
        <f t="shared" si="15"/>
        <v>1773.6000000000004</v>
      </c>
      <c r="S13" s="1654">
        <f t="shared" si="15"/>
        <v>2369.0000000000005</v>
      </c>
      <c r="T13" s="1654">
        <f t="shared" si="15"/>
        <v>3157.0000000000005</v>
      </c>
      <c r="U13" s="1654">
        <f t="shared" si="15"/>
        <v>3487.9999999999995</v>
      </c>
      <c r="V13" s="1654">
        <f t="shared" si="15"/>
        <v>3736</v>
      </c>
      <c r="W13" s="1654">
        <f t="shared" si="15"/>
        <v>3255</v>
      </c>
      <c r="X13" s="1654">
        <f t="shared" si="15"/>
        <v>3335</v>
      </c>
      <c r="Y13" s="1654">
        <f t="shared" si="15"/>
        <v>3255</v>
      </c>
      <c r="Z13" s="1654">
        <f>Z10-Z12</f>
        <v>3107</v>
      </c>
      <c r="AA13" s="2801">
        <f>AA10-AA12</f>
        <v>3411.3</v>
      </c>
      <c r="AB13" s="2801">
        <f>AB10-AB12</f>
        <v>3085.3</v>
      </c>
      <c r="AC13" s="2801">
        <f>AC10-AC12</f>
        <v>3033.3769990247988</v>
      </c>
      <c r="AD13" s="2801">
        <f t="shared" si="15"/>
        <v>3254.5966914621472</v>
      </c>
      <c r="AE13" s="1654">
        <f t="shared" si="15"/>
        <v>3437.930202675122</v>
      </c>
      <c r="AF13" s="1654">
        <f t="shared" si="15"/>
        <v>3787.376984689949</v>
      </c>
      <c r="AG13" s="1654">
        <f t="shared" si="15"/>
        <v>3896.5745466622916</v>
      </c>
      <c r="AH13" s="1654">
        <f t="shared" si="15"/>
        <v>4147.9318053780662</v>
      </c>
      <c r="AI13" s="1654">
        <f t="shared" ref="AI13:AN13" si="16">AI10-AI12</f>
        <v>3964.1735814839999</v>
      </c>
      <c r="AJ13" s="1654">
        <f t="shared" si="16"/>
        <v>4065.5174407364157</v>
      </c>
      <c r="AK13" s="1654">
        <f t="shared" si="16"/>
        <v>4069.1023564071133</v>
      </c>
      <c r="AL13" s="1654">
        <f t="shared" si="16"/>
        <v>4008.6410035399576</v>
      </c>
      <c r="AM13" s="1654">
        <f t="shared" si="16"/>
        <v>3957.6065772678735</v>
      </c>
      <c r="AN13" s="1654">
        <f t="shared" si="16"/>
        <v>4154.4134834056522</v>
      </c>
      <c r="AO13" s="1654"/>
      <c r="AP13" s="1654"/>
      <c r="AQ13" s="1654"/>
      <c r="AR13" s="1654"/>
      <c r="AS13" s="1654"/>
      <c r="AT13" s="1105"/>
      <c r="AU13" s="3192" t="str">
        <f t="shared" si="3"/>
        <v>Total Recurring EBITDA after SBC</v>
      </c>
      <c r="AV13" s="2801">
        <f>AV10-AV12</f>
        <v>658.42500000000007</v>
      </c>
      <c r="AW13" s="2801">
        <f>AW10-AW12</f>
        <v>1012.5250000000001</v>
      </c>
      <c r="AX13" s="2801">
        <f>AX10-AX12</f>
        <v>906.125</v>
      </c>
      <c r="AY13" s="2801">
        <f>AY10-AY12</f>
        <v>746.625</v>
      </c>
      <c r="AZ13" s="3193"/>
      <c r="BA13" s="2801">
        <f>BA10-BA12</f>
        <v>638.00000000000045</v>
      </c>
      <c r="BB13" s="2801">
        <f>BB10-BB12</f>
        <v>951.40000000000043</v>
      </c>
      <c r="BC13" s="2801">
        <f>BC10-BC12</f>
        <v>833.10000000000048</v>
      </c>
      <c r="BD13" s="2801">
        <f>BD10-BD12</f>
        <v>790.70000000000039</v>
      </c>
      <c r="BE13" s="2845"/>
      <c r="BF13" s="2801">
        <f>BF10-BF12</f>
        <v>627.69999999999993</v>
      </c>
      <c r="BG13" s="2801">
        <f>BG10-BG12</f>
        <v>840.69999999999993</v>
      </c>
      <c r="BH13" s="2801">
        <f>BH10-BH12</f>
        <v>735.50000000000011</v>
      </c>
      <c r="BI13" s="2801">
        <f>BI10-BI12</f>
        <v>907.2</v>
      </c>
      <c r="BJ13" s="2901">
        <f>L13-SUM(BF13:BI13)</f>
        <v>0</v>
      </c>
      <c r="BK13" s="2801">
        <f>BK10-BK12</f>
        <v>633.95000000000005</v>
      </c>
      <c r="BL13" s="2801">
        <f>BL10-BL12</f>
        <v>860.25000000000011</v>
      </c>
      <c r="BM13" s="2801">
        <f>BM10-BM12</f>
        <v>758.45000000000016</v>
      </c>
      <c r="BN13" s="2801">
        <f>BN10-BN12</f>
        <v>824.85000000000014</v>
      </c>
      <c r="BO13" s="2902"/>
      <c r="BP13" s="2801">
        <f>BP10-BP12</f>
        <v>701.67924972625008</v>
      </c>
      <c r="BQ13" s="2801">
        <f>BQ10-BQ12</f>
        <v>766.39473068000007</v>
      </c>
      <c r="BR13" s="2801">
        <f>BR10-BR12</f>
        <v>646.86897686793748</v>
      </c>
      <c r="BS13" s="2801">
        <f>BS10-BS12</f>
        <v>574.85704272581245</v>
      </c>
      <c r="BT13" s="2902">
        <f>N13-SUM(BP13:BS13)</f>
        <v>0</v>
      </c>
      <c r="BU13" s="2801">
        <f>BU10-BU12</f>
        <v>266.23853314169935</v>
      </c>
      <c r="BV13" s="2801">
        <f>BV10-BV12</f>
        <v>398.01093352486839</v>
      </c>
      <c r="BW13" s="2801">
        <f>BW10-BW12</f>
        <v>566.82739985984585</v>
      </c>
      <c r="BX13" s="2801">
        <f>BX10-BX12</f>
        <v>542.52313347358677</v>
      </c>
      <c r="BY13" s="2842">
        <f>R13-SUM(BU13:BX13)</f>
        <v>0</v>
      </c>
      <c r="BZ13" s="2801">
        <f>BZ10-BZ12</f>
        <v>351.30000000000007</v>
      </c>
      <c r="CA13" s="2801">
        <f>CA10-CA12</f>
        <v>580.19999999999993</v>
      </c>
      <c r="CB13" s="2801">
        <f>CB10-CB12</f>
        <v>667.4</v>
      </c>
      <c r="CC13" s="2801">
        <f>CC10-CC12</f>
        <v>770.10000000000025</v>
      </c>
      <c r="CD13" s="2842">
        <f>S13-SUM(BZ13:CC13)</f>
        <v>0</v>
      </c>
      <c r="CE13" s="2801">
        <f>CE10-CE12</f>
        <v>596</v>
      </c>
      <c r="CF13" s="2801">
        <f>CF10-CF12</f>
        <v>886</v>
      </c>
      <c r="CG13" s="2801">
        <f>CG10-CG12</f>
        <v>861</v>
      </c>
      <c r="CH13" s="2801">
        <f>CH10-CH12</f>
        <v>814</v>
      </c>
      <c r="CI13" s="2842">
        <f>T13-SUM(CE13:CH13)</f>
        <v>0</v>
      </c>
      <c r="CJ13" s="2801">
        <f>CJ10-CJ12</f>
        <v>807</v>
      </c>
      <c r="CK13" s="2801">
        <f>CK10-CK12</f>
        <v>911</v>
      </c>
      <c r="CL13" s="2801">
        <f>CL10-CL12</f>
        <v>904</v>
      </c>
      <c r="CM13" s="2801">
        <f>CM10-CM12</f>
        <v>866</v>
      </c>
      <c r="CN13" s="2842">
        <f>U13-SUM(CJ13:CM13)</f>
        <v>0</v>
      </c>
      <c r="CO13" s="2801">
        <f>CO10-CO12</f>
        <v>916</v>
      </c>
      <c r="CP13" s="2801">
        <f>CP10-CP12</f>
        <v>952</v>
      </c>
      <c r="CQ13" s="2801">
        <f>CQ10-CQ12</f>
        <v>941</v>
      </c>
      <c r="CR13" s="2801">
        <f>CR10-CR12</f>
        <v>927</v>
      </c>
      <c r="CS13" s="2842">
        <f>V13-SUM(CO13:CR13)</f>
        <v>0</v>
      </c>
      <c r="CT13" s="2841">
        <f>CT10-CT12</f>
        <v>862</v>
      </c>
      <c r="CU13" s="2841">
        <f>CU10-CU12</f>
        <v>801</v>
      </c>
      <c r="CV13" s="2841">
        <f>CV10-CV12</f>
        <v>814</v>
      </c>
      <c r="CW13" s="2801">
        <f>CW10-CW12</f>
        <v>778</v>
      </c>
      <c r="CX13" s="2842">
        <f>$W13-SUM(CT13:CW13)</f>
        <v>0</v>
      </c>
      <c r="CY13" s="2841">
        <f>CY10-CY12</f>
        <v>770</v>
      </c>
      <c r="CZ13" s="2841">
        <f>CZ10-CZ12</f>
        <v>707</v>
      </c>
      <c r="DA13" s="2841">
        <f>DA10-DA12</f>
        <v>818</v>
      </c>
      <c r="DB13" s="2801">
        <f>DB10-DB12</f>
        <v>812</v>
      </c>
      <c r="DC13" s="2842">
        <f>$Z13-SUM(CY13:DB13)</f>
        <v>0</v>
      </c>
      <c r="DD13" s="2841">
        <f>DD10-DD12</f>
        <v>813</v>
      </c>
      <c r="DE13" s="2841">
        <f>DE10-DE12</f>
        <v>707.3</v>
      </c>
      <c r="DF13" s="2841">
        <f>DF10-DF12</f>
        <v>775</v>
      </c>
      <c r="DG13" s="2801">
        <f>DG10-DG12</f>
        <v>790</v>
      </c>
      <c r="DH13" s="2842">
        <f t="shared" si="10"/>
        <v>0</v>
      </c>
      <c r="DI13" s="2841">
        <f>DI10-DI12</f>
        <v>759</v>
      </c>
      <c r="DJ13" s="2841">
        <f>DJ10-DJ12</f>
        <v>725</v>
      </c>
      <c r="DK13" s="2841">
        <f>DK10-DK12</f>
        <v>762</v>
      </c>
      <c r="DL13" s="1654">
        <f>DL10-DL12</f>
        <v>787.37699902479903</v>
      </c>
      <c r="DM13" s="2026">
        <f t="shared" si="7"/>
        <v>0</v>
      </c>
      <c r="DN13" s="2841">
        <f t="shared" ref="DN13:DO13" si="17">DN10-DN12</f>
        <v>781.30048065291601</v>
      </c>
      <c r="DO13" s="2841">
        <f t="shared" si="17"/>
        <v>765.56358758182523</v>
      </c>
      <c r="DP13" s="2841">
        <f>DP10-DP12</f>
        <v>822.95210571498114</v>
      </c>
      <c r="DQ13" s="1654">
        <f>DQ10-DQ12</f>
        <v>884.78051751242481</v>
      </c>
      <c r="DR13" s="2026">
        <f t="shared" si="8"/>
        <v>0</v>
      </c>
    </row>
    <row r="14" spans="1:122">
      <c r="A14" s="1887" t="s">
        <v>746</v>
      </c>
      <c r="B14" s="1110"/>
      <c r="C14" s="1110"/>
      <c r="D14" s="1110"/>
      <c r="E14" s="1110"/>
      <c r="F14" s="1110"/>
      <c r="G14" s="1110"/>
      <c r="H14" s="1110"/>
      <c r="I14" s="1110">
        <f t="shared" ref="I14:N14" si="18">I13/H13-1</f>
        <v>-1.5166372491337565E-2</v>
      </c>
      <c r="J14" s="1110">
        <f t="shared" si="18"/>
        <v>0.10311981413873172</v>
      </c>
      <c r="K14" s="1110">
        <f t="shared" si="18"/>
        <v>-3.3246081174594155E-2</v>
      </c>
      <c r="L14" s="1110">
        <f t="shared" si="18"/>
        <v>-3.1775177393253085E-2</v>
      </c>
      <c r="M14" s="1110">
        <f t="shared" si="18"/>
        <v>-1.0800038571566306E-2</v>
      </c>
      <c r="N14" s="1110">
        <f t="shared" si="18"/>
        <v>-0.12597887896019488</v>
      </c>
      <c r="O14" s="1369"/>
      <c r="P14" s="1110"/>
      <c r="Q14" s="1110">
        <f t="shared" ref="Q14:AH14" si="19">Q13/P13-1</f>
        <v>-0.14474980116819447</v>
      </c>
      <c r="R14" s="1110">
        <f t="shared" si="19"/>
        <v>-0.34071907361511922</v>
      </c>
      <c r="S14" s="1110">
        <f t="shared" si="19"/>
        <v>0.33570139828597201</v>
      </c>
      <c r="T14" s="1110">
        <f t="shared" si="19"/>
        <v>0.33262980160405231</v>
      </c>
      <c r="U14" s="1110">
        <f t="shared" si="19"/>
        <v>0.10484637313905587</v>
      </c>
      <c r="V14" s="1110">
        <f t="shared" si="19"/>
        <v>7.1100917431192734E-2</v>
      </c>
      <c r="W14" s="1110">
        <f t="shared" si="19"/>
        <v>-0.12874732334047112</v>
      </c>
      <c r="X14" s="1110"/>
      <c r="Y14" s="1110">
        <f t="shared" si="19"/>
        <v>-2.398800599700146E-2</v>
      </c>
      <c r="Z14" s="1110">
        <f>Z13/W13-1</f>
        <v>-4.5468509984639027E-2</v>
      </c>
      <c r="AA14" s="2802">
        <f t="shared" si="19"/>
        <v>9.7940135178628873E-2</v>
      </c>
      <c r="AB14" s="2802"/>
      <c r="AC14" s="2802">
        <f>AC13/AB13-1</f>
        <v>-1.6829157934463823E-2</v>
      </c>
      <c r="AD14" s="2802">
        <f t="shared" si="19"/>
        <v>7.2928519108725443E-2</v>
      </c>
      <c r="AE14" s="1110">
        <f t="shared" si="19"/>
        <v>5.6330638967930335E-2</v>
      </c>
      <c r="AF14" s="1110">
        <f t="shared" si="19"/>
        <v>0.10164452487805464</v>
      </c>
      <c r="AG14" s="1110">
        <f t="shared" si="19"/>
        <v>2.8831975906745466E-2</v>
      </c>
      <c r="AH14" s="1110">
        <f t="shared" si="19"/>
        <v>6.4507237242793503E-2</v>
      </c>
      <c r="AI14" s="1110">
        <f t="shared" ref="AI14:AN14" si="20">AI13/AH13-1</f>
        <v>-4.4301168031695148E-2</v>
      </c>
      <c r="AJ14" s="1110">
        <f t="shared" si="20"/>
        <v>2.5564939871900672E-2</v>
      </c>
      <c r="AK14" s="1110">
        <f t="shared" si="20"/>
        <v>8.8178582996034649E-4</v>
      </c>
      <c r="AL14" s="1110">
        <f t="shared" si="20"/>
        <v>-1.4858646347874371E-2</v>
      </c>
      <c r="AM14" s="1110">
        <f t="shared" si="20"/>
        <v>-1.2731104188929976E-2</v>
      </c>
      <c r="AN14" s="1110">
        <f t="shared" si="20"/>
        <v>4.9728769723655475E-2</v>
      </c>
      <c r="AO14" s="1110"/>
      <c r="AP14" s="1110"/>
      <c r="AQ14" s="1110"/>
      <c r="AR14" s="1110"/>
      <c r="AS14" s="1110"/>
      <c r="AT14" s="1110"/>
      <c r="AU14" s="3195" t="str">
        <f t="shared" si="3"/>
        <v xml:space="preserve">  % growth</v>
      </c>
      <c r="AV14" s="2802" t="s">
        <v>737</v>
      </c>
      <c r="AW14" s="2802" t="s">
        <v>737</v>
      </c>
      <c r="AX14" s="2802" t="s">
        <v>737</v>
      </c>
      <c r="AY14" s="2802" t="s">
        <v>737</v>
      </c>
      <c r="AZ14" s="3193"/>
      <c r="BA14" s="2802">
        <f>BA13/AV13-1</f>
        <v>-3.1020997076355861E-2</v>
      </c>
      <c r="BB14" s="2802">
        <f>BB13/AW13-1</f>
        <v>-6.0368879780745788E-2</v>
      </c>
      <c r="BC14" s="2802">
        <f>BC13/AX13-1</f>
        <v>-8.059042626569124E-2</v>
      </c>
      <c r="BD14" s="2802">
        <f>BD13/AY13-1</f>
        <v>5.9032312070986581E-2</v>
      </c>
      <c r="BE14" s="2802"/>
      <c r="BF14" s="2802">
        <f>BF13/BA13-1</f>
        <v>-1.6144200626960092E-2</v>
      </c>
      <c r="BG14" s="2802">
        <f>BG13/BB13-1</f>
        <v>-0.11635484549085606</v>
      </c>
      <c r="BH14" s="2802">
        <f>BH13/BC13-1</f>
        <v>-0.11715280278478013</v>
      </c>
      <c r="BI14" s="2802">
        <f>BI13/BD13-1</f>
        <v>0.14733780194764079</v>
      </c>
      <c r="BJ14" s="3186"/>
      <c r="BK14" s="2802">
        <f>BK13/BF13-1</f>
        <v>9.9569858212522622E-3</v>
      </c>
      <c r="BL14" s="2802">
        <f>BL13/BG13-1</f>
        <v>2.3254430831450179E-2</v>
      </c>
      <c r="BM14" s="2802">
        <f>BM13/BH13-1</f>
        <v>3.1203263086335919E-2</v>
      </c>
      <c r="BN14" s="2802">
        <f>BN13/BI13-1</f>
        <v>-9.0773809523809423E-2</v>
      </c>
      <c r="BO14" s="2806"/>
      <c r="BP14" s="2802">
        <f>BP13/BK13-1</f>
        <v>0.10683689522241502</v>
      </c>
      <c r="BQ14" s="2802">
        <f>BQ13/BL13-1</f>
        <v>-0.10910231830281902</v>
      </c>
      <c r="BR14" s="2802">
        <f>BR13/BM13-1</f>
        <v>-0.14711717731170504</v>
      </c>
      <c r="BS14" s="2802">
        <f>BS13/BN13-1</f>
        <v>-0.3030768712786418</v>
      </c>
      <c r="BT14" s="2806"/>
      <c r="BU14" s="2802">
        <f>BU13/BP13-1</f>
        <v>-0.62056946497196774</v>
      </c>
      <c r="BV14" s="2802">
        <f>BV13/BQ13-1</f>
        <v>-0.4806710985972924</v>
      </c>
      <c r="BW14" s="2802">
        <f>BW13/BR13-1</f>
        <v>-0.12373692334983111</v>
      </c>
      <c r="BX14" s="2802">
        <f>BX13/BS13-1</f>
        <v>-5.6246869828552981E-2</v>
      </c>
      <c r="BY14" s="2806"/>
      <c r="BZ14" s="2802">
        <f>BZ13/BU13-1</f>
        <v>0.31949344767847232</v>
      </c>
      <c r="CA14" s="2802">
        <f>CA13/BV13-1</f>
        <v>0.45774889865870505</v>
      </c>
      <c r="CB14" s="2802">
        <f>CB13/BW13-1</f>
        <v>0.17743073140963506</v>
      </c>
      <c r="CC14" s="2802">
        <f>CC13/BX13-1</f>
        <v>0.41947864060527351</v>
      </c>
      <c r="CD14" s="2806"/>
      <c r="CE14" s="2802">
        <f>CE13/BZ13-1</f>
        <v>0.69655565044121803</v>
      </c>
      <c r="CF14" s="2802">
        <f>CF13/CA13-1</f>
        <v>0.52705963460875571</v>
      </c>
      <c r="CG14" s="2802">
        <f>CG13/CB13-1</f>
        <v>0.29008091099790234</v>
      </c>
      <c r="CH14" s="2802">
        <f>CH13/CC13-1</f>
        <v>5.7005583690429518E-2</v>
      </c>
      <c r="CI14" s="2806"/>
      <c r="CJ14" s="2802">
        <f>CJ13/CE13-1</f>
        <v>0.35402684563758391</v>
      </c>
      <c r="CK14" s="2802">
        <f>CK13/CF13-1</f>
        <v>2.8216704288938965E-2</v>
      </c>
      <c r="CL14" s="2802">
        <f>CL13/CG13-1</f>
        <v>4.9941927990708512E-2</v>
      </c>
      <c r="CM14" s="2802">
        <f>CM13/CH13-1</f>
        <v>6.3882063882063855E-2</v>
      </c>
      <c r="CN14" s="2806"/>
      <c r="CO14" s="2802">
        <f>CO13/CJ13-1</f>
        <v>0.13506815365551428</v>
      </c>
      <c r="CP14" s="2802">
        <f>CP13/CK13-1</f>
        <v>4.5005488474204158E-2</v>
      </c>
      <c r="CQ14" s="2802">
        <f>CQ13/CL13-1</f>
        <v>4.0929203539822989E-2</v>
      </c>
      <c r="CR14" s="2802">
        <f>CR13/CM13-1</f>
        <v>7.0438799076212533E-2</v>
      </c>
      <c r="CS14" s="2806"/>
      <c r="CT14" s="2866">
        <f>CT13/CO13-1</f>
        <v>-5.8951965065502154E-2</v>
      </c>
      <c r="CU14" s="2866">
        <f>CU13/CP13-1</f>
        <v>-0.15861344537815125</v>
      </c>
      <c r="CV14" s="2866">
        <f>CV13/CQ13-1</f>
        <v>-0.13496280552603612</v>
      </c>
      <c r="CW14" s="2802">
        <f>CW13/CR13-1</f>
        <v>-0.1607335490830637</v>
      </c>
      <c r="CX14" s="2806"/>
      <c r="CY14" s="3003">
        <f>CY13/CT13-1</f>
        <v>-0.10672853828306261</v>
      </c>
      <c r="CZ14" s="3003">
        <f>CZ13/CU13-1</f>
        <v>-0.11735330836454427</v>
      </c>
      <c r="DA14" s="3003">
        <f>DA13/CV13-1</f>
        <v>4.9140049140048436E-3</v>
      </c>
      <c r="DB14" s="2802">
        <f>DB13/CW13-1</f>
        <v>4.3701799485861281E-2</v>
      </c>
      <c r="DC14" s="2806"/>
      <c r="DD14" s="3003">
        <f>DD13/CY13-1</f>
        <v>5.5844155844155807E-2</v>
      </c>
      <c r="DE14" s="3003">
        <f>DE13/CZ13-1</f>
        <v>4.2432814710036126E-4</v>
      </c>
      <c r="DF14" s="3003">
        <f>DF13/DA13-1</f>
        <v>-5.2567237163814173E-2</v>
      </c>
      <c r="DG14" s="2802">
        <f>DG13/DB13-1</f>
        <v>-2.7093596059113323E-2</v>
      </c>
      <c r="DH14" s="2842"/>
      <c r="DI14" s="3003">
        <f>DI13/DD13-1</f>
        <v>-6.6420664206642055E-2</v>
      </c>
      <c r="DJ14" s="3003">
        <f>DJ13/DE13-1</f>
        <v>2.5024741976530596E-2</v>
      </c>
      <c r="DK14" s="3003">
        <f>DK13/DF13-1</f>
        <v>-1.6774193548387051E-2</v>
      </c>
      <c r="DL14" s="1110">
        <f>DL13/DG13-1</f>
        <v>-3.3202543989885314E-3</v>
      </c>
      <c r="DM14" s="2026"/>
      <c r="DN14" s="3003">
        <f t="shared" ref="DN14:DO14" si="21">DN13/DI13-1</f>
        <v>2.9381397434671941E-2</v>
      </c>
      <c r="DO14" s="3003">
        <f t="shared" si="21"/>
        <v>5.5949775974931448E-2</v>
      </c>
      <c r="DP14" s="3003">
        <f>DP13/DK13-1</f>
        <v>7.9989640045907029E-2</v>
      </c>
      <c r="DQ14" s="1110">
        <f>DQ13/DL13-1</f>
        <v>0.12370632950703953</v>
      </c>
      <c r="DR14" s="2026"/>
    </row>
    <row r="15" spans="1:122">
      <c r="A15" s="1880" t="s">
        <v>474</v>
      </c>
      <c r="B15" s="1110"/>
      <c r="C15" s="1110"/>
      <c r="D15" s="1110"/>
      <c r="E15" s="1110"/>
      <c r="F15" s="1110"/>
      <c r="G15" s="1110"/>
      <c r="H15" s="1635">
        <v>0</v>
      </c>
      <c r="I15" s="1635">
        <v>0</v>
      </c>
      <c r="J15" s="1635">
        <v>-27.5</v>
      </c>
      <c r="K15" s="1635">
        <f>12+16+19+5-25+21</f>
        <v>48</v>
      </c>
      <c r="L15" s="1635">
        <v>0</v>
      </c>
      <c r="M15" s="1635">
        <f>SUM(BK15:BN15)</f>
        <v>-3.4</v>
      </c>
      <c r="N15" s="1636">
        <f>SUM(BP15:BS15)</f>
        <v>137.6</v>
      </c>
      <c r="O15" s="1369"/>
      <c r="P15" s="1635">
        <f>L15</f>
        <v>0</v>
      </c>
      <c r="Q15" s="1635">
        <f>M15</f>
        <v>-3.4</v>
      </c>
      <c r="R15" s="1105">
        <f>SUM(BU15:BX15)</f>
        <v>148.19999999999999</v>
      </c>
      <c r="S15" s="1105">
        <f>SUM(BZ15:CC15)</f>
        <v>23.5</v>
      </c>
      <c r="T15" s="1105">
        <v>0</v>
      </c>
      <c r="U15" s="1105">
        <v>0</v>
      </c>
      <c r="V15" s="1105">
        <v>0</v>
      </c>
      <c r="W15" s="1888">
        <f>+SUM(CT15:CW15)</f>
        <v>26</v>
      </c>
      <c r="X15" s="1105">
        <f>+V15</f>
        <v>0</v>
      </c>
      <c r="Y15" s="1105">
        <f>+W15</f>
        <v>26</v>
      </c>
      <c r="Z15" s="1888">
        <f>+SUM(CY15:DB15)</f>
        <v>-39</v>
      </c>
      <c r="AA15" s="2903">
        <f>SUM(DD15:DG15)+8</f>
        <v>248</v>
      </c>
      <c r="AB15" s="2803">
        <f>SUM(DD15:DG15)</f>
        <v>240</v>
      </c>
      <c r="AC15" s="2803">
        <f>SUM(DI15:DL15)</f>
        <v>0</v>
      </c>
      <c r="AD15" s="2803">
        <f t="shared" ref="AD15:AD16" si="22">SUM(DN15:DQ15)</f>
        <v>0</v>
      </c>
      <c r="AE15" s="1105">
        <v>0</v>
      </c>
      <c r="AF15" s="1105">
        <v>0</v>
      </c>
      <c r="AG15" s="1105">
        <v>0</v>
      </c>
      <c r="AH15" s="1105">
        <v>0</v>
      </c>
      <c r="AI15" s="1105">
        <v>0</v>
      </c>
      <c r="AJ15" s="1105">
        <v>0</v>
      </c>
      <c r="AK15" s="1105">
        <v>0</v>
      </c>
      <c r="AL15" s="1105">
        <v>0</v>
      </c>
      <c r="AM15" s="1105">
        <v>0</v>
      </c>
      <c r="AN15" s="1105">
        <v>0</v>
      </c>
      <c r="AO15" s="1105"/>
      <c r="AP15" s="1105"/>
      <c r="AQ15" s="1105"/>
      <c r="AR15" s="1105"/>
      <c r="AS15" s="1105"/>
      <c r="AT15" s="1635"/>
      <c r="AU15" s="3190" t="str">
        <f t="shared" si="3"/>
        <v>Non-Recurring Charges</v>
      </c>
      <c r="AV15" s="2804">
        <v>0</v>
      </c>
      <c r="AW15" s="2804">
        <v>0</v>
      </c>
      <c r="AX15" s="2804">
        <v>0</v>
      </c>
      <c r="AY15" s="2804">
        <v>-27.5</v>
      </c>
      <c r="AZ15" s="3193"/>
      <c r="BA15" s="2804">
        <v>0</v>
      </c>
      <c r="BB15" s="2804">
        <v>0</v>
      </c>
      <c r="BC15" s="2804">
        <f>12+19+5</f>
        <v>36</v>
      </c>
      <c r="BD15" s="2804">
        <f>16-25+21</f>
        <v>12</v>
      </c>
      <c r="BE15" s="2906"/>
      <c r="BF15" s="2804">
        <v>0</v>
      </c>
      <c r="BG15" s="2804">
        <v>0</v>
      </c>
      <c r="BH15" s="2804">
        <v>0</v>
      </c>
      <c r="BI15" s="2804">
        <v>0</v>
      </c>
      <c r="BJ15" s="2901">
        <f>L15-SUM(BF15:BI15)</f>
        <v>0</v>
      </c>
      <c r="BK15" s="2804">
        <v>-3.4</v>
      </c>
      <c r="BL15" s="2804">
        <v>0</v>
      </c>
      <c r="BM15" s="2804">
        <v>0</v>
      </c>
      <c r="BN15" s="2804">
        <v>0</v>
      </c>
      <c r="BO15" s="2806"/>
      <c r="BP15" s="2829">
        <v>44.9</v>
      </c>
      <c r="BQ15" s="2804">
        <f>2.6+1.4</f>
        <v>4</v>
      </c>
      <c r="BR15" s="2804">
        <f>5.9-3.2</f>
        <v>2.7</v>
      </c>
      <c r="BS15" s="2804">
        <f>83.3+2.7</f>
        <v>86</v>
      </c>
      <c r="BT15" s="2902">
        <f>N15-SUM(BP15:BS15)</f>
        <v>0</v>
      </c>
      <c r="BU15" s="2804">
        <v>0</v>
      </c>
      <c r="BV15" s="2804">
        <f>8.8-4.1</f>
        <v>4.7000000000000011</v>
      </c>
      <c r="BW15" s="2804">
        <v>-28</v>
      </c>
      <c r="BX15" s="2804">
        <f>178.3+13.2-20</f>
        <v>171.5</v>
      </c>
      <c r="BY15" s="2842">
        <f>R15-SUM(BU15:BX15)</f>
        <v>0</v>
      </c>
      <c r="BZ15" s="2804">
        <v>0</v>
      </c>
      <c r="CA15" s="2804">
        <v>1.7</v>
      </c>
      <c r="CB15" s="2804">
        <v>7.2</v>
      </c>
      <c r="CC15" s="2804">
        <v>14.6</v>
      </c>
      <c r="CD15" s="2842">
        <f>S15-SUM(BZ15:CC15)</f>
        <v>0</v>
      </c>
      <c r="CE15" s="2804">
        <v>0</v>
      </c>
      <c r="CF15" s="2804">
        <v>0</v>
      </c>
      <c r="CG15" s="2804">
        <v>0</v>
      </c>
      <c r="CH15" s="2804">
        <v>0</v>
      </c>
      <c r="CI15" s="2842">
        <f>T15-SUM(CE15:CH15)</f>
        <v>0</v>
      </c>
      <c r="CJ15" s="2804">
        <v>0</v>
      </c>
      <c r="CK15" s="2804">
        <v>0</v>
      </c>
      <c r="CL15" s="2804">
        <v>0</v>
      </c>
      <c r="CM15" s="2804">
        <v>0</v>
      </c>
      <c r="CN15" s="2842"/>
      <c r="CO15" s="2804">
        <v>0</v>
      </c>
      <c r="CP15" s="2804">
        <v>0</v>
      </c>
      <c r="CQ15" s="2804">
        <v>0</v>
      </c>
      <c r="CR15" s="2804">
        <v>0</v>
      </c>
      <c r="CS15" s="2842"/>
      <c r="CT15" s="2903">
        <v>0</v>
      </c>
      <c r="CU15" s="2903">
        <v>0</v>
      </c>
      <c r="CV15" s="2903">
        <v>26</v>
      </c>
      <c r="CW15" s="2804">
        <v>0</v>
      </c>
      <c r="CX15" s="2842">
        <f>$W15-SUM(CT15:CW15)</f>
        <v>0</v>
      </c>
      <c r="CY15" s="2903">
        <v>0</v>
      </c>
      <c r="CZ15" s="2903">
        <v>55</v>
      </c>
      <c r="DA15" s="2903">
        <v>0</v>
      </c>
      <c r="DB15" s="2804">
        <f>26-120</f>
        <v>-94</v>
      </c>
      <c r="DC15" s="2842">
        <f>$Z15-SUM(CY15:DB15)</f>
        <v>0</v>
      </c>
      <c r="DD15" s="2903">
        <v>-9</v>
      </c>
      <c r="DE15" s="2903">
        <v>0</v>
      </c>
      <c r="DF15" s="2903">
        <v>0</v>
      </c>
      <c r="DG15" s="2903">
        <f>211+38</f>
        <v>249</v>
      </c>
      <c r="DH15" s="2842">
        <f t="shared" si="10"/>
        <v>0</v>
      </c>
      <c r="DI15" s="2903">
        <v>0</v>
      </c>
      <c r="DJ15" s="2903">
        <v>0</v>
      </c>
      <c r="DK15" s="2903">
        <v>0</v>
      </c>
      <c r="DL15" s="1646">
        <v>0</v>
      </c>
      <c r="DM15" s="2026">
        <f t="shared" si="7"/>
        <v>0</v>
      </c>
      <c r="DN15" s="2903">
        <v>0</v>
      </c>
      <c r="DO15" s="2903">
        <v>0</v>
      </c>
      <c r="DP15" s="2903">
        <v>0</v>
      </c>
      <c r="DQ15" s="1646">
        <v>0</v>
      </c>
      <c r="DR15" s="2026">
        <f t="shared" si="8"/>
        <v>0</v>
      </c>
    </row>
    <row r="16" spans="1:122">
      <c r="A16" s="1880" t="s">
        <v>1326</v>
      </c>
      <c r="B16" s="1635"/>
      <c r="C16" s="1635"/>
      <c r="D16" s="1635"/>
      <c r="E16" s="1635"/>
      <c r="F16" s="1635"/>
      <c r="G16" s="1635"/>
      <c r="H16" s="1635">
        <v>0</v>
      </c>
      <c r="I16" s="1657">
        <v>0</v>
      </c>
      <c r="J16" s="1657">
        <v>17997.099999999999</v>
      </c>
      <c r="K16" s="1657">
        <f>6437.4+3047</f>
        <v>9484.4</v>
      </c>
      <c r="L16" s="1657">
        <f>SUM(BF16:BI16)</f>
        <v>65.2</v>
      </c>
      <c r="M16" s="1657">
        <v>0</v>
      </c>
      <c r="N16" s="1639">
        <f>SUM(BP16:BS16)</f>
        <v>14181.400000000001</v>
      </c>
      <c r="O16" s="1369"/>
      <c r="P16" s="1657">
        <f>M16</f>
        <v>0</v>
      </c>
      <c r="Q16" s="1657">
        <f>N16</f>
        <v>14181.400000000001</v>
      </c>
      <c r="R16" s="1639">
        <f>SUM(BU16:BX16)</f>
        <v>31.7</v>
      </c>
      <c r="S16" s="1639">
        <v>0</v>
      </c>
      <c r="T16" s="1639">
        <v>0</v>
      </c>
      <c r="U16" s="1637">
        <f>SUM(CJ16:CM16)</f>
        <v>11</v>
      </c>
      <c r="V16" s="1639">
        <v>0</v>
      </c>
      <c r="W16" s="1889">
        <f>+SUM(CT16:CW16)</f>
        <v>52</v>
      </c>
      <c r="X16" s="1639">
        <f>+V16</f>
        <v>0</v>
      </c>
      <c r="Y16" s="1639">
        <f>+W16</f>
        <v>52</v>
      </c>
      <c r="Z16" s="1889">
        <f>+SUM(CY16:DB16)</f>
        <v>484</v>
      </c>
      <c r="AA16" s="2800">
        <v>444</v>
      </c>
      <c r="AB16" s="2799">
        <f>SUM(DD16:DG16)</f>
        <v>0</v>
      </c>
      <c r="AC16" s="2799">
        <f>SUM(DI16:DL16)</f>
        <v>0</v>
      </c>
      <c r="AD16" s="2799">
        <f t="shared" si="22"/>
        <v>0</v>
      </c>
      <c r="AE16" s="1639">
        <v>0</v>
      </c>
      <c r="AF16" s="1639">
        <v>0</v>
      </c>
      <c r="AG16" s="1639">
        <v>0</v>
      </c>
      <c r="AH16" s="1639">
        <v>0</v>
      </c>
      <c r="AI16" s="1639">
        <v>0</v>
      </c>
      <c r="AJ16" s="1639">
        <v>0</v>
      </c>
      <c r="AK16" s="1639">
        <v>0</v>
      </c>
      <c r="AL16" s="1639">
        <v>0</v>
      </c>
      <c r="AM16" s="1639">
        <v>0</v>
      </c>
      <c r="AN16" s="1639">
        <v>0</v>
      </c>
      <c r="AO16" s="1771"/>
      <c r="AP16" s="1771"/>
      <c r="AQ16" s="1771"/>
      <c r="AR16" s="1771"/>
      <c r="AS16" s="1771"/>
      <c r="AT16" s="1635"/>
      <c r="AU16" s="3190" t="str">
        <f t="shared" si="3"/>
        <v>Impairment of Goodwill and Other Intangible Assets</v>
      </c>
      <c r="AV16" s="2798">
        <v>0</v>
      </c>
      <c r="AW16" s="2798">
        <v>0</v>
      </c>
      <c r="AX16" s="2798">
        <v>0</v>
      </c>
      <c r="AY16" s="2798">
        <v>17997.099999999999</v>
      </c>
      <c r="AZ16" s="3193"/>
      <c r="BA16" s="2798">
        <v>0</v>
      </c>
      <c r="BB16" s="2798">
        <v>0</v>
      </c>
      <c r="BC16" s="2798">
        <v>0</v>
      </c>
      <c r="BD16" s="2798">
        <v>9484.4</v>
      </c>
      <c r="BE16" s="2906"/>
      <c r="BF16" s="2798">
        <v>0</v>
      </c>
      <c r="BG16" s="2798">
        <v>0</v>
      </c>
      <c r="BH16" s="2798">
        <v>0</v>
      </c>
      <c r="BI16" s="2798">
        <v>65.2</v>
      </c>
      <c r="BJ16" s="2901">
        <f>L16-SUM(BF16:BI16)</f>
        <v>0</v>
      </c>
      <c r="BK16" s="2798">
        <v>0</v>
      </c>
      <c r="BL16" s="2798">
        <v>0</v>
      </c>
      <c r="BM16" s="2798">
        <v>0</v>
      </c>
      <c r="BN16" s="2798">
        <v>0</v>
      </c>
      <c r="BO16" s="2806"/>
      <c r="BP16" s="2798">
        <v>0</v>
      </c>
      <c r="BQ16" s="2798">
        <v>0</v>
      </c>
      <c r="BR16" s="2798">
        <v>14117.2</v>
      </c>
      <c r="BS16" s="2798">
        <v>64.2</v>
      </c>
      <c r="BT16" s="2806"/>
      <c r="BU16" s="2798">
        <v>0</v>
      </c>
      <c r="BV16" s="2798">
        <v>0</v>
      </c>
      <c r="BW16" s="2798">
        <v>31.7</v>
      </c>
      <c r="BX16" s="2798">
        <v>0</v>
      </c>
      <c r="BY16" s="2842">
        <f>R16-SUM(BU16:BX16)</f>
        <v>0</v>
      </c>
      <c r="BZ16" s="2798">
        <v>0</v>
      </c>
      <c r="CA16" s="2798">
        <v>0</v>
      </c>
      <c r="CB16" s="2798">
        <v>0</v>
      </c>
      <c r="CC16" s="2798">
        <v>0</v>
      </c>
      <c r="CD16" s="2842">
        <f>S16-SUM(BZ16:CC16)</f>
        <v>0</v>
      </c>
      <c r="CE16" s="2798">
        <v>0</v>
      </c>
      <c r="CF16" s="2798">
        <v>0</v>
      </c>
      <c r="CG16" s="2798">
        <v>0</v>
      </c>
      <c r="CH16" s="2798">
        <v>0</v>
      </c>
      <c r="CI16" s="2842">
        <f>T16-SUM(CE16:CH16)</f>
        <v>0</v>
      </c>
      <c r="CJ16" s="2800">
        <v>11</v>
      </c>
      <c r="CK16" s="2798">
        <v>0</v>
      </c>
      <c r="CL16" s="2798">
        <v>0</v>
      </c>
      <c r="CM16" s="2798">
        <v>0</v>
      </c>
      <c r="CN16" s="2842"/>
      <c r="CO16" s="2800">
        <v>0</v>
      </c>
      <c r="CP16" s="2800">
        <v>0</v>
      </c>
      <c r="CQ16" s="2800">
        <v>0</v>
      </c>
      <c r="CR16" s="2798">
        <v>0</v>
      </c>
      <c r="CS16" s="2842"/>
      <c r="CT16" s="2800">
        <v>0</v>
      </c>
      <c r="CU16" s="2800">
        <v>0</v>
      </c>
      <c r="CV16" s="2800">
        <v>52</v>
      </c>
      <c r="CW16" s="2798">
        <v>0</v>
      </c>
      <c r="CX16" s="2842">
        <f>$W16-SUM(CT16:CW16)</f>
        <v>0</v>
      </c>
      <c r="CY16" s="2800">
        <v>0</v>
      </c>
      <c r="CZ16" s="2800">
        <v>0</v>
      </c>
      <c r="DA16" s="2800">
        <v>0</v>
      </c>
      <c r="DB16" s="2800">
        <v>484</v>
      </c>
      <c r="DC16" s="2842">
        <f>$Z16-SUM(CY16:DB16)</f>
        <v>0</v>
      </c>
      <c r="DD16" s="2800">
        <v>0</v>
      </c>
      <c r="DE16" s="2800">
        <v>0</v>
      </c>
      <c r="DF16" s="2800">
        <v>0</v>
      </c>
      <c r="DG16" s="2800">
        <v>0</v>
      </c>
      <c r="DH16" s="2842">
        <f t="shared" si="10"/>
        <v>0</v>
      </c>
      <c r="DI16" s="2800">
        <v>0</v>
      </c>
      <c r="DJ16" s="2800">
        <v>0</v>
      </c>
      <c r="DK16" s="2800">
        <v>0</v>
      </c>
      <c r="DL16" s="1657">
        <v>0</v>
      </c>
      <c r="DM16" s="2026">
        <f t="shared" si="7"/>
        <v>0</v>
      </c>
      <c r="DN16" s="2800">
        <v>0</v>
      </c>
      <c r="DO16" s="2800">
        <v>0</v>
      </c>
      <c r="DP16" s="2800">
        <v>0</v>
      </c>
      <c r="DQ16" s="1657">
        <v>0</v>
      </c>
      <c r="DR16" s="2026">
        <f t="shared" si="8"/>
        <v>0</v>
      </c>
    </row>
    <row r="17" spans="1:130">
      <c r="A17" s="1696" t="s">
        <v>362</v>
      </c>
      <c r="B17" s="1105"/>
      <c r="C17" s="1105"/>
      <c r="D17" s="1105"/>
      <c r="E17" s="1105"/>
      <c r="F17" s="1105"/>
      <c r="G17" s="1105"/>
      <c r="H17" s="1105">
        <f>H13-H16-H15</f>
        <v>3059.3999999999992</v>
      </c>
      <c r="I17" s="1654">
        <f>I13-I16-I15</f>
        <v>3013.0000000000009</v>
      </c>
      <c r="J17" s="1654">
        <f>J13-J16-J15</f>
        <v>-14645.9</v>
      </c>
      <c r="K17" s="1654">
        <f>K13-K16-K15</f>
        <v>-6319.1999999999989</v>
      </c>
      <c r="L17" s="1654">
        <f>L13-L15-L16</f>
        <v>3045.9</v>
      </c>
      <c r="M17" s="1654">
        <f>M13-M16-M15</f>
        <v>3080.9</v>
      </c>
      <c r="N17" s="1654">
        <f>N13-N16-N15</f>
        <v>-11629.200000000003</v>
      </c>
      <c r="O17" s="1369"/>
      <c r="P17" s="1654">
        <f t="shared" ref="P17:AH17" si="23">P13-P16-P15</f>
        <v>3145.5166250000002</v>
      </c>
      <c r="Q17" s="1654">
        <f t="shared" si="23"/>
        <v>-11487.796281040002</v>
      </c>
      <c r="R17" s="1654">
        <f t="shared" si="23"/>
        <v>1593.7000000000003</v>
      </c>
      <c r="S17" s="1654">
        <f t="shared" si="23"/>
        <v>2345.5000000000005</v>
      </c>
      <c r="T17" s="1654">
        <f t="shared" si="23"/>
        <v>3157.0000000000005</v>
      </c>
      <c r="U17" s="1654">
        <f t="shared" si="23"/>
        <v>3476.9999999999995</v>
      </c>
      <c r="V17" s="1654">
        <f t="shared" si="23"/>
        <v>3736</v>
      </c>
      <c r="W17" s="1654">
        <f t="shared" si="23"/>
        <v>3177</v>
      </c>
      <c r="X17" s="1654">
        <f t="shared" si="23"/>
        <v>3335</v>
      </c>
      <c r="Y17" s="1654">
        <f t="shared" si="23"/>
        <v>3177</v>
      </c>
      <c r="Z17" s="1654">
        <f>Z13-Z16-Z15</f>
        <v>2662</v>
      </c>
      <c r="AA17" s="2801">
        <f>AA13-AA16-AA15</f>
        <v>2719.3</v>
      </c>
      <c r="AB17" s="2801">
        <f>AB13-AB16-AB15</f>
        <v>2845.3</v>
      </c>
      <c r="AC17" s="2801">
        <f>AC13-AC16-AC15</f>
        <v>3033.3769990247988</v>
      </c>
      <c r="AD17" s="2801">
        <f t="shared" si="23"/>
        <v>3254.5966914621472</v>
      </c>
      <c r="AE17" s="1654">
        <f t="shared" si="23"/>
        <v>3437.930202675122</v>
      </c>
      <c r="AF17" s="1654">
        <f t="shared" si="23"/>
        <v>3787.376984689949</v>
      </c>
      <c r="AG17" s="1654">
        <f t="shared" si="23"/>
        <v>3896.5745466622916</v>
      </c>
      <c r="AH17" s="1654">
        <f t="shared" si="23"/>
        <v>4147.9318053780662</v>
      </c>
      <c r="AI17" s="1654">
        <f t="shared" ref="AI17:AN17" si="24">AI13-AI16-AI15</f>
        <v>3964.1735814839999</v>
      </c>
      <c r="AJ17" s="1654">
        <f t="shared" si="24"/>
        <v>4065.5174407364157</v>
      </c>
      <c r="AK17" s="1654">
        <f t="shared" si="24"/>
        <v>4069.1023564071133</v>
      </c>
      <c r="AL17" s="1654">
        <f t="shared" si="24"/>
        <v>4008.6410035399576</v>
      </c>
      <c r="AM17" s="1654">
        <f t="shared" si="24"/>
        <v>3957.6065772678735</v>
      </c>
      <c r="AN17" s="1654">
        <f t="shared" si="24"/>
        <v>4154.4134834056522</v>
      </c>
      <c r="AO17" s="1654"/>
      <c r="AP17" s="1654"/>
      <c r="AQ17" s="1654"/>
      <c r="AR17" s="1654"/>
      <c r="AS17" s="1654"/>
      <c r="AT17" s="1105"/>
      <c r="AU17" s="3196" t="str">
        <f t="shared" si="3"/>
        <v>Total Reported EBITDA</v>
      </c>
      <c r="AV17" s="2801">
        <f>AV13-AV16-AV15</f>
        <v>658.42500000000007</v>
      </c>
      <c r="AW17" s="2801">
        <f>AW13-AW16-AW15</f>
        <v>1012.5250000000001</v>
      </c>
      <c r="AX17" s="2801">
        <f>AX13-AX16-AX15</f>
        <v>906.125</v>
      </c>
      <c r="AY17" s="2801">
        <f>AY13-AY16-AY15</f>
        <v>-17222.974999999999</v>
      </c>
      <c r="AZ17" s="2804"/>
      <c r="BA17" s="2801">
        <f>BA13-BA16-BA15</f>
        <v>638.00000000000045</v>
      </c>
      <c r="BB17" s="2801">
        <f>BB13-BB16-BB15</f>
        <v>951.40000000000043</v>
      </c>
      <c r="BC17" s="2801">
        <f>BC13-BC16-BC15</f>
        <v>797.10000000000048</v>
      </c>
      <c r="BD17" s="2801">
        <f>BD13-BD16-BD15</f>
        <v>-8705.6999999999989</v>
      </c>
      <c r="BE17" s="2804"/>
      <c r="BF17" s="2801">
        <f>BF13-BF15+BF16</f>
        <v>627.69999999999993</v>
      </c>
      <c r="BG17" s="2801">
        <f>BG13-BG15+BG16</f>
        <v>840.69999999999993</v>
      </c>
      <c r="BH17" s="2801">
        <f>BH13-BH15+BH16</f>
        <v>735.50000000000011</v>
      </c>
      <c r="BI17" s="2801">
        <f>BI13-BI16-BI15</f>
        <v>842</v>
      </c>
      <c r="BJ17" s="2901">
        <f>L17-SUM(BF17:BI17)</f>
        <v>0</v>
      </c>
      <c r="BK17" s="2801">
        <f>BK13-BK16-BK15</f>
        <v>637.35</v>
      </c>
      <c r="BL17" s="2801">
        <f>BL13-BL16-BL15</f>
        <v>860.25000000000011</v>
      </c>
      <c r="BM17" s="2801">
        <f>BM13-BM16-BM15</f>
        <v>758.45000000000016</v>
      </c>
      <c r="BN17" s="2801">
        <f>BN13-BN16-BN15</f>
        <v>824.85000000000014</v>
      </c>
      <c r="BO17" s="2902"/>
      <c r="BP17" s="2801">
        <f>BP13-BP16-BP15</f>
        <v>656.7792497262501</v>
      </c>
      <c r="BQ17" s="2801">
        <f>BQ13-BQ16-BQ15</f>
        <v>762.39473068000007</v>
      </c>
      <c r="BR17" s="2801">
        <f>BR13-BR16-BR15</f>
        <v>-13473.031023132064</v>
      </c>
      <c r="BS17" s="2801">
        <f>BS13-BS16-BS15</f>
        <v>424.65704272581246</v>
      </c>
      <c r="BT17" s="2902">
        <f>N17-SUM(BP17:BS17)</f>
        <v>0</v>
      </c>
      <c r="BU17" s="2801">
        <f>BU13-BU16-BU15</f>
        <v>266.23853314169935</v>
      </c>
      <c r="BV17" s="2801">
        <f>BV13-BV16-BV15</f>
        <v>393.3109335248684</v>
      </c>
      <c r="BW17" s="2801">
        <f>BW13-BW16-BW15</f>
        <v>563.12739985984581</v>
      </c>
      <c r="BX17" s="2801">
        <f>BX13-BX16-BX15</f>
        <v>371.02313347358677</v>
      </c>
      <c r="BY17" s="2842">
        <f>R17-SUM(BU17:BX17)</f>
        <v>0</v>
      </c>
      <c r="BZ17" s="2801">
        <f>BZ13-BZ16-BZ15</f>
        <v>351.30000000000007</v>
      </c>
      <c r="CA17" s="2801">
        <f>CA13-CA16-CA15</f>
        <v>578.49999999999989</v>
      </c>
      <c r="CB17" s="2801">
        <f>CB13-CB16-CB15</f>
        <v>660.19999999999993</v>
      </c>
      <c r="CC17" s="2801">
        <f>CC13-CC16-CC15</f>
        <v>755.50000000000023</v>
      </c>
      <c r="CD17" s="2842">
        <f>S17-SUM(BZ17:CC17)</f>
        <v>0</v>
      </c>
      <c r="CE17" s="2801">
        <f>CE13-CE16-CE15</f>
        <v>596</v>
      </c>
      <c r="CF17" s="2801">
        <f>CF13-CF16-CF15</f>
        <v>886</v>
      </c>
      <c r="CG17" s="2801">
        <f>CG13-CG16-CG15</f>
        <v>861</v>
      </c>
      <c r="CH17" s="2801">
        <f>CH13-CH16-CH15</f>
        <v>814</v>
      </c>
      <c r="CI17" s="2842">
        <f>T17-SUM(CE17:CH17)</f>
        <v>0</v>
      </c>
      <c r="CJ17" s="2801">
        <f>CJ13-CJ16-CJ15</f>
        <v>796</v>
      </c>
      <c r="CK17" s="2801">
        <f>CK13-CK16-CK15</f>
        <v>911</v>
      </c>
      <c r="CL17" s="2801">
        <f>CL13-CL16-CL15</f>
        <v>904</v>
      </c>
      <c r="CM17" s="2801">
        <f>CM13-CM16-CM15</f>
        <v>866</v>
      </c>
      <c r="CN17" s="2842">
        <f>U17-SUM(CJ17:CM17)</f>
        <v>0</v>
      </c>
      <c r="CO17" s="2801">
        <f>CO13-CO16-CO15</f>
        <v>916</v>
      </c>
      <c r="CP17" s="2801">
        <f>CP13-CP16-CP15</f>
        <v>952</v>
      </c>
      <c r="CQ17" s="2801">
        <f>CQ13-CQ16-CQ15</f>
        <v>941</v>
      </c>
      <c r="CR17" s="2801">
        <f>CR13-CR16-CR15</f>
        <v>927</v>
      </c>
      <c r="CS17" s="2842">
        <f>V17-SUM(CO17:CR17)</f>
        <v>0</v>
      </c>
      <c r="CT17" s="2841">
        <f>CT13-CT16-CT15</f>
        <v>862</v>
      </c>
      <c r="CU17" s="2841">
        <f>CU13-CU16-CU15</f>
        <v>801</v>
      </c>
      <c r="CV17" s="2841">
        <f>CV13-CV16-CV15</f>
        <v>736</v>
      </c>
      <c r="CW17" s="2801">
        <f>CW13-CW16-CW15</f>
        <v>778</v>
      </c>
      <c r="CX17" s="2842">
        <f>$W17-SUM(CT17:CW17)</f>
        <v>0</v>
      </c>
      <c r="CY17" s="2841">
        <f>CY13-CY16-CY15</f>
        <v>770</v>
      </c>
      <c r="CZ17" s="2841">
        <f>CZ13-CZ16-CZ15</f>
        <v>652</v>
      </c>
      <c r="DA17" s="2841">
        <f>DA13-DA16-DA15</f>
        <v>818</v>
      </c>
      <c r="DB17" s="2801">
        <f>DB13-DB16-DB15</f>
        <v>422</v>
      </c>
      <c r="DC17" s="2842">
        <f>$Z17-SUM(CY17:DB17)</f>
        <v>0</v>
      </c>
      <c r="DD17" s="2841">
        <f>DD13-DD16-DD15</f>
        <v>822</v>
      </c>
      <c r="DE17" s="2841">
        <f>DE13-DE16-DE15</f>
        <v>707.3</v>
      </c>
      <c r="DF17" s="2841">
        <f>DF13-DF16-DF15</f>
        <v>775</v>
      </c>
      <c r="DG17" s="2801">
        <f>DG13-DG16-DG15</f>
        <v>541</v>
      </c>
      <c r="DH17" s="2842">
        <f t="shared" si="10"/>
        <v>0</v>
      </c>
      <c r="DI17" s="2841">
        <f>DI13-DI16-DI15</f>
        <v>759</v>
      </c>
      <c r="DJ17" s="2841">
        <f>DJ13-DJ16-DJ15</f>
        <v>725</v>
      </c>
      <c r="DK17" s="2841">
        <f>DK13-DK16-DK15</f>
        <v>762</v>
      </c>
      <c r="DL17" s="1654">
        <f>DL13-DL16-DL15</f>
        <v>787.37699902479903</v>
      </c>
      <c r="DM17" s="2026">
        <f t="shared" si="7"/>
        <v>0</v>
      </c>
      <c r="DN17" s="2841">
        <f>DN13-DN16-DN15</f>
        <v>781.30048065291601</v>
      </c>
      <c r="DO17" s="2841">
        <f t="shared" ref="DO17" si="25">DO13-DO16-DO15</f>
        <v>765.56358758182523</v>
      </c>
      <c r="DP17" s="2841">
        <f>DP13-DP16-DP15</f>
        <v>822.95210571498114</v>
      </c>
      <c r="DQ17" s="1654">
        <f>DQ13-DQ16-DQ15</f>
        <v>884.78051751242481</v>
      </c>
      <c r="DR17" s="2026">
        <f t="shared" si="8"/>
        <v>0</v>
      </c>
    </row>
    <row r="18" spans="1:130">
      <c r="A18" s="1887" t="s">
        <v>746</v>
      </c>
      <c r="B18" s="1110"/>
      <c r="C18" s="1110"/>
      <c r="D18" s="1110"/>
      <c r="E18" s="1110"/>
      <c r="F18" s="1110"/>
      <c r="G18" s="1110"/>
      <c r="H18" s="1110"/>
      <c r="I18" s="1110">
        <f t="shared" ref="I18:N18" si="26">I17/H17-1</f>
        <v>-1.5166372491337565E-2</v>
      </c>
      <c r="J18" s="1110">
        <f t="shared" si="26"/>
        <v>-5.8609027547295041</v>
      </c>
      <c r="K18" s="1110">
        <f t="shared" si="26"/>
        <v>-0.56853453867635317</v>
      </c>
      <c r="L18" s="1110">
        <f t="shared" si="26"/>
        <v>-1.4820072161033044</v>
      </c>
      <c r="M18" s="1110">
        <f t="shared" si="26"/>
        <v>1.1490856561279017E-2</v>
      </c>
      <c r="N18" s="1110">
        <f t="shared" si="26"/>
        <v>-4.774611314875524</v>
      </c>
      <c r="O18" s="1369"/>
      <c r="P18" s="1110"/>
      <c r="Q18" s="1110">
        <f t="shared" ref="Q18:AH18" si="27">Q17/P17-1</f>
        <v>-4.6521174899337883</v>
      </c>
      <c r="R18" s="1110">
        <f t="shared" si="27"/>
        <v>-1.1387298278113025</v>
      </c>
      <c r="S18" s="1110">
        <f t="shared" si="27"/>
        <v>0.47173244650812585</v>
      </c>
      <c r="T18" s="1110">
        <f t="shared" si="27"/>
        <v>0.34598166702195687</v>
      </c>
      <c r="U18" s="1110">
        <f t="shared" si="27"/>
        <v>0.10136205258156439</v>
      </c>
      <c r="V18" s="1110">
        <f t="shared" si="27"/>
        <v>7.4489502444636368E-2</v>
      </c>
      <c r="W18" s="1110">
        <f t="shared" si="27"/>
        <v>-0.14962526766595285</v>
      </c>
      <c r="X18" s="1110"/>
      <c r="Y18" s="1110">
        <f t="shared" si="27"/>
        <v>-4.7376311844077978E-2</v>
      </c>
      <c r="Z18" s="1110">
        <f>Z17/W17-1</f>
        <v>-0.16210261252754166</v>
      </c>
      <c r="AA18" s="2802">
        <f t="shared" si="27"/>
        <v>2.1525169045830239E-2</v>
      </c>
      <c r="AB18" s="2802"/>
      <c r="AC18" s="2802">
        <f>AC17/AB17-1</f>
        <v>6.6100938046883773E-2</v>
      </c>
      <c r="AD18" s="2802">
        <f t="shared" si="27"/>
        <v>7.2928519108725443E-2</v>
      </c>
      <c r="AE18" s="2802">
        <f t="shared" si="27"/>
        <v>5.6330638967930335E-2</v>
      </c>
      <c r="AF18" s="2802">
        <f t="shared" si="27"/>
        <v>0.10164452487805464</v>
      </c>
      <c r="AG18" s="2802">
        <f t="shared" si="27"/>
        <v>2.8831975906745466E-2</v>
      </c>
      <c r="AH18" s="1110">
        <f t="shared" si="27"/>
        <v>6.4507237242793503E-2</v>
      </c>
      <c r="AI18" s="1110">
        <f t="shared" ref="AI18:AN18" si="28">AI17/AH17-1</f>
        <v>-4.4301168031695148E-2</v>
      </c>
      <c r="AJ18" s="1110">
        <f t="shared" si="28"/>
        <v>2.5564939871900672E-2</v>
      </c>
      <c r="AK18" s="1110">
        <f t="shared" si="28"/>
        <v>8.8178582996034649E-4</v>
      </c>
      <c r="AL18" s="1110">
        <f t="shared" si="28"/>
        <v>-1.4858646347874371E-2</v>
      </c>
      <c r="AM18" s="1110">
        <f t="shared" si="28"/>
        <v>-1.2731104188929976E-2</v>
      </c>
      <c r="AN18" s="1110">
        <f t="shared" si="28"/>
        <v>4.9728769723655475E-2</v>
      </c>
      <c r="AO18" s="1110"/>
      <c r="AP18" s="1110"/>
      <c r="AQ18" s="1110"/>
      <c r="AR18" s="1110"/>
      <c r="AS18" s="1110"/>
      <c r="AT18" s="1110"/>
      <c r="AU18" s="3195" t="str">
        <f t="shared" si="3"/>
        <v xml:space="preserve">  % growth</v>
      </c>
      <c r="AV18" s="2802" t="s">
        <v>737</v>
      </c>
      <c r="AW18" s="2802" t="s">
        <v>737</v>
      </c>
      <c r="AX18" s="2802" t="s">
        <v>737</v>
      </c>
      <c r="AY18" s="2802" t="s">
        <v>737</v>
      </c>
      <c r="AZ18" s="3193"/>
      <c r="BA18" s="2802">
        <f>BA17/AV17-1</f>
        <v>-3.1020997076355861E-2</v>
      </c>
      <c r="BB18" s="2802">
        <f>BB17/AW17-1</f>
        <v>-6.0368879780745788E-2</v>
      </c>
      <c r="BC18" s="2802">
        <f>BC17/AX17-1</f>
        <v>-0.12032004414401931</v>
      </c>
      <c r="BD18" s="2802">
        <f>BD17/AY17-1</f>
        <v>-0.49452983587330301</v>
      </c>
      <c r="BE18" s="2802"/>
      <c r="BF18" s="2802">
        <f>BF17/BA17-1</f>
        <v>-1.6144200626960092E-2</v>
      </c>
      <c r="BG18" s="2802">
        <f>BG17/BB17-1</f>
        <v>-0.11635484549085606</v>
      </c>
      <c r="BH18" s="2802">
        <f>BH17/BC17-1</f>
        <v>-7.728014050934684E-2</v>
      </c>
      <c r="BI18" s="2802">
        <f>BI17/BD17-1</f>
        <v>-1.0967182420712867</v>
      </c>
      <c r="BJ18" s="3186"/>
      <c r="BK18" s="2802">
        <f>BK17/BF17-1</f>
        <v>1.5373586108013537E-2</v>
      </c>
      <c r="BL18" s="2802">
        <f>BL17/BG17-1</f>
        <v>2.3254430831450179E-2</v>
      </c>
      <c r="BM18" s="2802">
        <f>BM17/BH17-1</f>
        <v>3.1203263086335919E-2</v>
      </c>
      <c r="BN18" s="2802">
        <f>BN17/BI17-1</f>
        <v>-2.0368171021377557E-2</v>
      </c>
      <c r="BO18" s="2806"/>
      <c r="BP18" s="2802">
        <f>BP17/BK17-1</f>
        <v>3.0484427278967718E-2</v>
      </c>
      <c r="BQ18" s="2802">
        <f>BQ17/BL17-1</f>
        <v>-0.11375212940424295</v>
      </c>
      <c r="BR18" s="2802">
        <f>BR17/BM17-1</f>
        <v>-18.763901408309131</v>
      </c>
      <c r="BS18" s="2802">
        <f>BS17/BN17-1</f>
        <v>-0.48517058528724932</v>
      </c>
      <c r="BT18" s="2806"/>
      <c r="BU18" s="2802">
        <f>BU17/BP17-1</f>
        <v>-0.59463010859026177</v>
      </c>
      <c r="BV18" s="2802">
        <f>BV17/BQ17-1</f>
        <v>-0.4841111596166674</v>
      </c>
      <c r="BW18" s="2802">
        <f>BW17/BR17-1</f>
        <v>-1.0417966379571904</v>
      </c>
      <c r="BX18" s="2802">
        <f>BX17/BS17-1</f>
        <v>-0.12629935184391938</v>
      </c>
      <c r="BY18" s="2806"/>
      <c r="BZ18" s="2802">
        <f>BZ17/BU17-1</f>
        <v>0.31949344767847232</v>
      </c>
      <c r="CA18" s="2802">
        <f>CA17/BV17-1</f>
        <v>0.47084647460842133</v>
      </c>
      <c r="CB18" s="2802">
        <f>CB17/BW17-1</f>
        <v>0.17238124119748766</v>
      </c>
      <c r="CC18" s="2802">
        <f>CC17/BX17-1</f>
        <v>1.0362611703665761</v>
      </c>
      <c r="CD18" s="2806"/>
      <c r="CE18" s="2802">
        <f>CE17/BZ17-1</f>
        <v>0.69655565044121803</v>
      </c>
      <c r="CF18" s="2802">
        <f>CF17/CA17-1</f>
        <v>0.53154710458081267</v>
      </c>
      <c r="CG18" s="2802">
        <f>CG17/CB17-1</f>
        <v>0.30415025749772817</v>
      </c>
      <c r="CH18" s="2802">
        <f>CH17/CC17-1</f>
        <v>7.7432164129715098E-2</v>
      </c>
      <c r="CI18" s="2806"/>
      <c r="CJ18" s="2802">
        <f>CJ17/CE17-1</f>
        <v>0.33557046979865768</v>
      </c>
      <c r="CK18" s="2802">
        <f>CK17/CF17-1</f>
        <v>2.8216704288938965E-2</v>
      </c>
      <c r="CL18" s="2802">
        <f>CL17/CG17-1</f>
        <v>4.9941927990708512E-2</v>
      </c>
      <c r="CM18" s="2802">
        <f>CM17/CH17-1</f>
        <v>6.3882063882063855E-2</v>
      </c>
      <c r="CN18" s="2806"/>
      <c r="CO18" s="2802">
        <f>CO17/CJ17-1</f>
        <v>0.15075376884422109</v>
      </c>
      <c r="CP18" s="2802">
        <f>CP17/CK17-1</f>
        <v>4.5005488474204158E-2</v>
      </c>
      <c r="CQ18" s="2802">
        <f>CQ17/CL17-1</f>
        <v>4.0929203539822989E-2</v>
      </c>
      <c r="CR18" s="2802">
        <f>CR17/CM17-1</f>
        <v>7.0438799076212533E-2</v>
      </c>
      <c r="CS18" s="2806"/>
      <c r="CT18" s="2866">
        <f>CT17/CO17-1</f>
        <v>-5.8951965065502154E-2</v>
      </c>
      <c r="CU18" s="2866">
        <f>CU17/CP17-1</f>
        <v>-0.15861344537815125</v>
      </c>
      <c r="CV18" s="2866">
        <f>CV17/CQ17-1</f>
        <v>-0.21785334750265672</v>
      </c>
      <c r="CW18" s="2802">
        <f>CW17/CR17-1</f>
        <v>-0.1607335490830637</v>
      </c>
      <c r="CX18" s="2806"/>
      <c r="CY18" s="3003">
        <f>CY17/CT17-1</f>
        <v>-0.10672853828306261</v>
      </c>
      <c r="CZ18" s="3003">
        <f>CZ17/CU17-1</f>
        <v>-0.18601747815230962</v>
      </c>
      <c r="DA18" s="3003">
        <f>DA17/CV17-1</f>
        <v>0.11141304347826098</v>
      </c>
      <c r="DB18" s="2802">
        <f>DB17/CW17-1</f>
        <v>-0.45758354755784059</v>
      </c>
      <c r="DC18" s="2806"/>
      <c r="DD18" s="3003">
        <f>DD17/CY17-1</f>
        <v>6.7532467532467555E-2</v>
      </c>
      <c r="DE18" s="3003">
        <f>DE17/CZ17-1</f>
        <v>8.4815950920245298E-2</v>
      </c>
      <c r="DF18" s="3003">
        <f>DF17/DA17-1</f>
        <v>-5.2567237163814173E-2</v>
      </c>
      <c r="DG18" s="2802">
        <f>DG17/DB17-1</f>
        <v>0.28199052132701419</v>
      </c>
      <c r="DH18" s="2842"/>
      <c r="DI18" s="3003">
        <f>DI17/DD17-1</f>
        <v>-7.664233576642332E-2</v>
      </c>
      <c r="DJ18" s="3003">
        <f>DJ17/DE17-1</f>
        <v>2.5024741976530596E-2</v>
      </c>
      <c r="DK18" s="3003">
        <f>DK17/DF17-1</f>
        <v>-1.6774193548387051E-2</v>
      </c>
      <c r="DL18" s="1110">
        <f>DL17/DG17-1</f>
        <v>0.45541034939888925</v>
      </c>
      <c r="DM18" s="2026"/>
      <c r="DN18" s="3003">
        <f t="shared" ref="DN18:DO18" si="29">DN17/DI17-1</f>
        <v>2.9381397434671941E-2</v>
      </c>
      <c r="DO18" s="3003">
        <f t="shared" si="29"/>
        <v>5.5949775974931448E-2</v>
      </c>
      <c r="DP18" s="3003">
        <f>DP17/DK17-1</f>
        <v>7.9989640045907029E-2</v>
      </c>
      <c r="DQ18" s="1110">
        <f>DQ17/DL17-1</f>
        <v>0.12370632950703953</v>
      </c>
      <c r="DR18" s="2026"/>
    </row>
    <row r="19" spans="1:130">
      <c r="A19" s="1880"/>
      <c r="B19" s="1105"/>
      <c r="C19" s="1105"/>
      <c r="D19" s="1105"/>
      <c r="E19" s="1105"/>
      <c r="F19" s="1105"/>
      <c r="G19" s="1105"/>
      <c r="H19" s="1357"/>
      <c r="I19" s="1105"/>
      <c r="J19" s="1105"/>
      <c r="K19" s="1135"/>
      <c r="L19" s="1135"/>
      <c r="M19" s="1135"/>
      <c r="N19" s="1135"/>
      <c r="O19" s="1369"/>
      <c r="P19" s="1821"/>
      <c r="Q19" s="1821"/>
      <c r="R19" s="1135"/>
      <c r="S19" s="1110"/>
      <c r="T19" s="1110"/>
      <c r="U19" s="1105"/>
      <c r="V19" s="1135"/>
      <c r="W19" s="1890"/>
      <c r="X19" s="1890"/>
      <c r="Y19" s="1890"/>
      <c r="Z19" s="1890"/>
      <c r="AA19" s="2805"/>
      <c r="AB19" s="2805"/>
      <c r="AC19" s="2805"/>
      <c r="AD19" s="2805"/>
      <c r="AE19" s="2805"/>
      <c r="AF19" s="2805"/>
      <c r="AG19" s="2796"/>
      <c r="AH19" s="1366"/>
      <c r="AI19" s="1366"/>
      <c r="AJ19" s="1366"/>
      <c r="AK19" s="1366"/>
      <c r="AL19" s="1366"/>
      <c r="AM19" s="1366"/>
      <c r="AN19" s="1366"/>
      <c r="AO19" s="1366"/>
      <c r="AP19" s="1366"/>
      <c r="AQ19" s="1366"/>
      <c r="AR19" s="1366"/>
      <c r="AS19" s="1366"/>
      <c r="AT19" s="1525"/>
      <c r="AU19" s="3190"/>
      <c r="AV19" s="2845"/>
      <c r="AW19" s="2845"/>
      <c r="AX19" s="2845"/>
      <c r="AY19" s="2845"/>
      <c r="AZ19" s="3193"/>
      <c r="BA19" s="2845"/>
      <c r="BB19" s="2845"/>
      <c r="BC19" s="2845"/>
      <c r="BD19" s="2845"/>
      <c r="BE19" s="2845"/>
      <c r="BF19" s="2845"/>
      <c r="BG19" s="2845"/>
      <c r="BH19" s="2845"/>
      <c r="BI19" s="2845"/>
      <c r="BJ19" s="3193"/>
      <c r="BK19" s="2845"/>
      <c r="BL19" s="2845"/>
      <c r="BM19" s="2845"/>
      <c r="BN19" s="2845"/>
      <c r="BO19" s="2806"/>
      <c r="BP19" s="2845"/>
      <c r="BQ19" s="2845"/>
      <c r="BR19" s="2845"/>
      <c r="BS19" s="2845"/>
      <c r="BT19" s="2806"/>
      <c r="BU19" s="2806"/>
      <c r="BV19" s="2806"/>
      <c r="BW19" s="2806"/>
      <c r="BX19" s="2806"/>
      <c r="BY19" s="2806"/>
      <c r="BZ19" s="2806"/>
      <c r="CA19" s="2806"/>
      <c r="CB19" s="2806"/>
      <c r="CC19" s="2806"/>
      <c r="CD19" s="2806"/>
      <c r="CE19" s="3082"/>
      <c r="CF19" s="3082"/>
      <c r="CG19" s="3082"/>
      <c r="CH19" s="3082"/>
      <c r="CI19" s="2806"/>
      <c r="CJ19" s="3082"/>
      <c r="CK19" s="3082"/>
      <c r="CL19" s="3082"/>
      <c r="CM19" s="3082"/>
      <c r="CN19" s="2806"/>
      <c r="CO19" s="3082"/>
      <c r="CP19" s="3082"/>
      <c r="CQ19" s="3082"/>
      <c r="CR19" s="3082"/>
      <c r="CS19" s="2806"/>
      <c r="CT19" s="3082"/>
      <c r="CU19" s="3082"/>
      <c r="CV19" s="3082"/>
      <c r="CW19" s="3082"/>
      <c r="CX19" s="2806"/>
      <c r="CY19" s="3082"/>
      <c r="CZ19" s="3082"/>
      <c r="DA19" s="3082"/>
      <c r="DB19" s="3082"/>
      <c r="DC19" s="2806"/>
      <c r="DD19" s="2806"/>
      <c r="DE19" s="2806"/>
      <c r="DF19" s="2806"/>
      <c r="DG19" s="2806"/>
      <c r="DH19" s="2842"/>
      <c r="DI19" s="2842"/>
      <c r="DJ19" s="2842"/>
      <c r="DK19" s="2842"/>
      <c r="DL19" s="2026"/>
      <c r="DM19" s="2026"/>
      <c r="DN19" s="2026"/>
      <c r="DO19" s="2026"/>
      <c r="DP19" s="2026"/>
      <c r="DQ19" s="2026"/>
      <c r="DR19" s="2026"/>
    </row>
    <row r="20" spans="1:130" ht="11.25" customHeight="1">
      <c r="A20" s="1891" t="s">
        <v>681</v>
      </c>
      <c r="B20" s="1105"/>
      <c r="C20" s="1105"/>
      <c r="D20" s="1105"/>
      <c r="E20" s="1105"/>
      <c r="F20" s="1105"/>
      <c r="G20" s="1105"/>
      <c r="H20" s="1362">
        <f>'Revenue and OCF'!O90</f>
        <v>393.70910810080977</v>
      </c>
      <c r="I20" s="1639">
        <f>'Revenue and OCF'!P90</f>
        <v>413.92500000000007</v>
      </c>
      <c r="J20" s="1639">
        <f>'Revenue and OCF'!Q90</f>
        <v>424.5750000000001</v>
      </c>
      <c r="K20" s="1639">
        <f>'Revenue and OCF'!R90</f>
        <v>402.84450000000004</v>
      </c>
      <c r="L20" s="1639">
        <f>'Revenue and OCF'!S90</f>
        <v>352.2</v>
      </c>
      <c r="M20" s="1639">
        <f>'Revenue and OCF'!T90</f>
        <v>374.20000000000005</v>
      </c>
      <c r="N20" s="1639">
        <f>'Revenue and OCF'!U90</f>
        <v>423.99999999999994</v>
      </c>
      <c r="O20" s="1369"/>
      <c r="P20" s="1639">
        <f>'Revenue and OCF'!W90</f>
        <v>408.65000000000003</v>
      </c>
      <c r="Q20" s="1639">
        <f>'Revenue and OCF'!X90</f>
        <v>435.44996999999995</v>
      </c>
      <c r="R20" s="1639">
        <f>'Revenue and OCF'!Y90</f>
        <v>452.3</v>
      </c>
      <c r="S20" s="1639">
        <f>'Revenue and OCF'!Z90</f>
        <v>432.30000000000007</v>
      </c>
      <c r="T20" s="1639">
        <f>'Revenue and OCF'!AA90</f>
        <v>373.99999999999994</v>
      </c>
      <c r="U20" s="1639">
        <f>'Revenue and OCF'!AB90</f>
        <v>369</v>
      </c>
      <c r="V20" s="1639">
        <f>'Revenue and OCF'!AC90</f>
        <v>356.99999999999977</v>
      </c>
      <c r="W20" s="1639">
        <f>'Revenue and OCF'!AD90</f>
        <v>248.99999999999977</v>
      </c>
      <c r="X20" s="1639">
        <f>+Drivers!O204-'GAAP Financial Statements'!X22</f>
        <v>250.4</v>
      </c>
      <c r="Y20" s="1639">
        <f>'Revenue and OCF'!AF90</f>
        <v>248.99999999999977</v>
      </c>
      <c r="Z20" s="2797">
        <f>SUM(CY20:DB20)</f>
        <v>240</v>
      </c>
      <c r="AA20" s="2798">
        <f ca="1">'Revenue and OCF'!AH90</f>
        <v>230.30000000000015</v>
      </c>
      <c r="AB20" s="2798">
        <f ca="1">'Revenue and OCF'!AI90</f>
        <v>204.30000000000015</v>
      </c>
      <c r="AC20" s="2799">
        <f ca="1">SUM(DI20:DL20)</f>
        <v>202.61333088960856</v>
      </c>
      <c r="AD20" s="2799">
        <f ca="1">SUM(DN20:DQ20)</f>
        <v>200.2799201907556</v>
      </c>
      <c r="AE20" s="1639">
        <f ca="1">'Revenue and OCF'!AL90</f>
        <v>197.09204101470471</v>
      </c>
      <c r="AF20" s="1639">
        <f ca="1">'Revenue and OCF'!AM90</f>
        <v>199.26967908155288</v>
      </c>
      <c r="AG20" s="1639">
        <f ca="1">'Revenue and OCF'!AN90</f>
        <v>205.6519198250887</v>
      </c>
      <c r="AH20" s="1639">
        <f ca="1">'Revenue and OCF'!AO90</f>
        <v>216.20605608560521</v>
      </c>
      <c r="AI20" s="1639">
        <f ca="1">'Revenue and OCF'!AP90</f>
        <v>214.55746161639954</v>
      </c>
      <c r="AJ20" s="1639">
        <f ca="1">'Revenue and OCF'!AQ90</f>
        <v>219.23919870478289</v>
      </c>
      <c r="AK20" s="1639">
        <f ca="1">'Revenue and OCF'!AR90</f>
        <v>228.31369725081188</v>
      </c>
      <c r="AL20" s="1639">
        <f ca="1">'Revenue and OCF'!AS90</f>
        <v>225.83619732191275</v>
      </c>
      <c r="AM20" s="1639">
        <f ca="1">'Revenue and OCF'!AT90</f>
        <v>228.93144758459334</v>
      </c>
      <c r="AN20" s="1639">
        <f ca="1">'Revenue and OCF'!AU90</f>
        <v>240.69388998690007</v>
      </c>
      <c r="AO20" s="1771"/>
      <c r="AP20" s="1771"/>
      <c r="AQ20" s="1771"/>
      <c r="AR20" s="1771"/>
      <c r="AS20" s="1771"/>
      <c r="AT20" s="1362"/>
      <c r="AU20" s="3197" t="str">
        <f t="shared" si="3"/>
        <v>Depreciation Expense</v>
      </c>
      <c r="AV20" s="2798">
        <f>124.6-AV22</f>
        <v>103.21875</v>
      </c>
      <c r="AW20" s="2798">
        <f>130.2-AW22</f>
        <v>108.81874999999999</v>
      </c>
      <c r="AX20" s="2798">
        <f>127-AX22</f>
        <v>105.61875000000001</v>
      </c>
      <c r="AY20" s="2798">
        <f>126.8-AY22</f>
        <v>106.91874999999999</v>
      </c>
      <c r="AZ20" s="3193"/>
      <c r="BA20" s="2798">
        <f>120.9-BA22</f>
        <v>98.71112500000001</v>
      </c>
      <c r="BB20" s="2798">
        <f>122.3-BB22</f>
        <v>99.3</v>
      </c>
      <c r="BC20" s="2798">
        <f>124-BC22</f>
        <v>100.036125</v>
      </c>
      <c r="BD20" s="2798">
        <f>131.5-BD22</f>
        <v>104.79724999999999</v>
      </c>
      <c r="BE20" s="2804"/>
      <c r="BF20" s="2798">
        <f>'Segment Detail'!CY199</f>
        <v>86.974999999999994</v>
      </c>
      <c r="BG20" s="2798">
        <f>'Segment Detail'!CZ199</f>
        <v>87.775000000000006</v>
      </c>
      <c r="BH20" s="2798">
        <f>'Segment Detail'!DA199</f>
        <v>86.675000000000011</v>
      </c>
      <c r="BI20" s="2798">
        <f>'Segment Detail'!DB199</f>
        <v>90.774999999999991</v>
      </c>
      <c r="BJ20" s="2901">
        <f>L20-SUM(BF20:BI20)</f>
        <v>0</v>
      </c>
      <c r="BK20" s="2798">
        <f>'Segment Detail'!DD199</f>
        <v>94.825000000000003</v>
      </c>
      <c r="BL20" s="2798">
        <f>'Segment Detail'!DE199</f>
        <v>94.625</v>
      </c>
      <c r="BM20" s="2798">
        <f>'Segment Detail'!DF199</f>
        <v>95.124999999999986</v>
      </c>
      <c r="BN20" s="2798">
        <f>'Segment Detail'!DG199</f>
        <v>98.024999999999991</v>
      </c>
      <c r="BO20" s="2902"/>
      <c r="BP20" s="2798">
        <f>'Segment Detail'!DI199</f>
        <v>97.924999999999997</v>
      </c>
      <c r="BQ20" s="2798">
        <f>'Segment Detail'!DJ199</f>
        <v>102.125</v>
      </c>
      <c r="BR20" s="2798">
        <f>'Segment Detail'!DK199</f>
        <v>108.82500000000002</v>
      </c>
      <c r="BS20" s="2798">
        <f>'Segment Detail'!DL199</f>
        <v>115.125</v>
      </c>
      <c r="BT20" s="2902">
        <f>N20-SUM(BP20:BS20)</f>
        <v>0</v>
      </c>
      <c r="BU20" s="2798">
        <f>'Segment Detail'!DN199</f>
        <v>109.8</v>
      </c>
      <c r="BV20" s="2798">
        <f>'Segment Detail'!DO199</f>
        <v>112.69999999999999</v>
      </c>
      <c r="BW20" s="2798">
        <f>'Segment Detail'!DP199</f>
        <v>114.89999999999999</v>
      </c>
      <c r="BX20" s="2798">
        <f>'Segment Detail'!DQ199</f>
        <v>114.9</v>
      </c>
      <c r="BY20" s="2842">
        <f>R20-SUM(BU20:BX20)</f>
        <v>0</v>
      </c>
      <c r="BZ20" s="2798">
        <f>'Segment Detail'!DS199</f>
        <v>108.30000000000001</v>
      </c>
      <c r="CA20" s="2798">
        <f>'Segment Detail'!DT199</f>
        <v>111</v>
      </c>
      <c r="CB20" s="2798">
        <f>'Segment Detail'!DU199</f>
        <v>106.69999999999999</v>
      </c>
      <c r="CC20" s="2798">
        <f>'Segment Detail'!DV199</f>
        <v>106.30000000000001</v>
      </c>
      <c r="CD20" s="2842">
        <f>S20-SUM(BZ20:CC20)</f>
        <v>0</v>
      </c>
      <c r="CE20" s="2798">
        <f>'Segment Detail'!DX199</f>
        <v>95.75</v>
      </c>
      <c r="CF20" s="2798">
        <f>'Segment Detail'!DY199</f>
        <v>94.75</v>
      </c>
      <c r="CG20" s="2798">
        <f>'Segment Detail'!DZ199</f>
        <v>89.75</v>
      </c>
      <c r="CH20" s="2798">
        <f>'Segment Detail'!EA199</f>
        <v>93.75</v>
      </c>
      <c r="CI20" s="2842">
        <f>T20-SUM(CE20:CH20)</f>
        <v>0</v>
      </c>
      <c r="CJ20" s="2798">
        <f>'Segment Detail'!EC199</f>
        <v>92.550000000000011</v>
      </c>
      <c r="CK20" s="2798">
        <f>'Segment Detail'!ED199</f>
        <v>92.550000000000026</v>
      </c>
      <c r="CL20" s="2798">
        <f>'Segment Detail'!EE199</f>
        <v>89.550000000000011</v>
      </c>
      <c r="CM20" s="2798">
        <f>'Segment Detail'!EF199</f>
        <v>94.350000000000023</v>
      </c>
      <c r="CN20" s="2842">
        <f>U20-SUM(CJ20:CM20)</f>
        <v>0</v>
      </c>
      <c r="CO20" s="2798">
        <f>'Segment Detail'!EH199</f>
        <v>90.999999999999986</v>
      </c>
      <c r="CP20" s="2798">
        <f>'Segment Detail'!EI199</f>
        <v>89.09999999999998</v>
      </c>
      <c r="CQ20" s="2798">
        <f>'Segment Detail'!EJ199</f>
        <v>87.699999999999974</v>
      </c>
      <c r="CR20" s="2798">
        <f>'Segment Detail'!EK199</f>
        <v>89.199999999999989</v>
      </c>
      <c r="CS20" s="2842">
        <f>V20-SUM(CO20:CR20)</f>
        <v>0</v>
      </c>
      <c r="CT20" s="3083">
        <f>'Segment Detail'!EM199</f>
        <v>63</v>
      </c>
      <c r="CU20" s="3083">
        <f>'Segment Detail'!EN199</f>
        <v>63</v>
      </c>
      <c r="CV20" s="3083">
        <f>'Segment Detail'!EO199</f>
        <v>60</v>
      </c>
      <c r="CW20" s="3083">
        <f>'Segment Detail'!EP199</f>
        <v>63</v>
      </c>
      <c r="CX20" s="2842"/>
      <c r="CY20" s="3083">
        <f>'Segment Detail'!ER199</f>
        <v>61.999999999999993</v>
      </c>
      <c r="CZ20" s="3083">
        <f>'Segment Detail'!ES199</f>
        <v>59.999999999999993</v>
      </c>
      <c r="DA20" s="3083">
        <f>'Segment Detail'!ET199</f>
        <v>59.000000000000007</v>
      </c>
      <c r="DB20" s="3083">
        <f>'Segment Detail'!EU199</f>
        <v>58.999999999999993</v>
      </c>
      <c r="DC20" s="2842">
        <f>$Z20-SUM(CY20:DB20)</f>
        <v>0</v>
      </c>
      <c r="DD20" s="3083">
        <f ca="1">'Segment Detail'!EW199-'Segment Detail'!EW192</f>
        <v>52</v>
      </c>
      <c r="DE20" s="3083">
        <f ca="1">'Segment Detail'!EX199-'Segment Detail'!EX192</f>
        <v>51.3</v>
      </c>
      <c r="DF20" s="3083">
        <f ca="1">'Segment Detail'!EY199-'Segment Detail'!EY192</f>
        <v>49</v>
      </c>
      <c r="DG20" s="3083">
        <f ca="1">'Segment Detail'!EZ199-'Segment Detail'!EZ192</f>
        <v>52</v>
      </c>
      <c r="DH20" s="2842">
        <f t="shared" ref="DH20:DH39" ca="1" si="30">AB20-SUM(DD20:DG20)</f>
        <v>0</v>
      </c>
      <c r="DI20" s="3083">
        <f>'Segment Detail'!FB199</f>
        <v>50.25</v>
      </c>
      <c r="DJ20" s="3083">
        <f>'Segment Detail'!FC199</f>
        <v>51.25</v>
      </c>
      <c r="DK20" s="3083">
        <f>'Segment Detail'!FD199</f>
        <v>50.25</v>
      </c>
      <c r="DL20" s="2049">
        <f ca="1">'Segment Detail'!FE199</f>
        <v>50.863330889608577</v>
      </c>
      <c r="DM20" s="2498">
        <f t="shared" ca="1" si="7"/>
        <v>0</v>
      </c>
      <c r="DN20" s="3083">
        <f>'Segment Detail'!FG199</f>
        <v>49.66664732528676</v>
      </c>
      <c r="DO20" s="3083">
        <f>'Segment Detail'!FH199</f>
        <v>50.66664732528676</v>
      </c>
      <c r="DP20" s="3083">
        <f>'Segment Detail'!FI199</f>
        <v>49.66664732528676</v>
      </c>
      <c r="DQ20" s="2049">
        <f ca="1">'Segment Detail'!FJ199</f>
        <v>50.279978214895337</v>
      </c>
      <c r="DR20" s="2026">
        <f t="shared" ref="DR20:DR23" ca="1" si="31">AD20-SUM(DN20:DQ20)</f>
        <v>0</v>
      </c>
    </row>
    <row r="21" spans="1:130">
      <c r="A21" s="1696" t="s">
        <v>1014</v>
      </c>
      <c r="B21" s="1105"/>
      <c r="C21" s="1105"/>
      <c r="D21" s="1105"/>
      <c r="E21" s="1105"/>
      <c r="F21" s="1105"/>
      <c r="G21" s="1105"/>
      <c r="H21" s="1105">
        <f t="shared" ref="H21:N21" si="32">H17-H20</f>
        <v>2665.6908918991894</v>
      </c>
      <c r="I21" s="1105">
        <f t="shared" si="32"/>
        <v>2599.0750000000007</v>
      </c>
      <c r="J21" s="1105">
        <f t="shared" si="32"/>
        <v>-15070.475</v>
      </c>
      <c r="K21" s="1105">
        <f t="shared" si="32"/>
        <v>-6722.0444999999991</v>
      </c>
      <c r="L21" s="1105">
        <f t="shared" si="32"/>
        <v>2693.7000000000003</v>
      </c>
      <c r="M21" s="1105">
        <f t="shared" si="32"/>
        <v>2706.7</v>
      </c>
      <c r="N21" s="1105">
        <f t="shared" si="32"/>
        <v>-12053.200000000003</v>
      </c>
      <c r="O21" s="1369"/>
      <c r="P21" s="1105">
        <f t="shared" ref="P21:AH21" si="33">P17-P20</f>
        <v>2736.8666250000001</v>
      </c>
      <c r="Q21" s="1105">
        <f t="shared" si="33"/>
        <v>-11923.246251040002</v>
      </c>
      <c r="R21" s="1105">
        <f t="shared" si="33"/>
        <v>1141.4000000000003</v>
      </c>
      <c r="S21" s="1105">
        <f t="shared" si="33"/>
        <v>1913.2000000000003</v>
      </c>
      <c r="T21" s="1105">
        <f t="shared" si="33"/>
        <v>2783.0000000000005</v>
      </c>
      <c r="U21" s="1105">
        <f t="shared" si="33"/>
        <v>3107.9999999999995</v>
      </c>
      <c r="V21" s="1105">
        <f t="shared" si="33"/>
        <v>3379</v>
      </c>
      <c r="W21" s="1105">
        <f t="shared" si="33"/>
        <v>2928</v>
      </c>
      <c r="X21" s="1105">
        <f t="shared" si="33"/>
        <v>3084.6</v>
      </c>
      <c r="Y21" s="1105">
        <f t="shared" si="33"/>
        <v>2928</v>
      </c>
      <c r="Z21" s="1105">
        <f>Z17-Z20</f>
        <v>2422</v>
      </c>
      <c r="AA21" s="2804">
        <f t="shared" ca="1" si="33"/>
        <v>2489</v>
      </c>
      <c r="AB21" s="2804">
        <f t="shared" ca="1" si="33"/>
        <v>2641</v>
      </c>
      <c r="AC21" s="2804">
        <f ca="1">AC17-AC20</f>
        <v>2830.7636681351901</v>
      </c>
      <c r="AD21" s="2804">
        <f t="shared" ca="1" si="33"/>
        <v>3054.3167712713916</v>
      </c>
      <c r="AE21" s="1105">
        <f t="shared" ca="1" si="33"/>
        <v>3240.8381616604174</v>
      </c>
      <c r="AF21" s="1105">
        <f t="shared" ca="1" si="33"/>
        <v>3588.107305608396</v>
      </c>
      <c r="AG21" s="1105">
        <f t="shared" ca="1" si="33"/>
        <v>3690.9226268372031</v>
      </c>
      <c r="AH21" s="1105">
        <f t="shared" ca="1" si="33"/>
        <v>3931.7257492924609</v>
      </c>
      <c r="AI21" s="1105">
        <f t="shared" ref="AI21:AN21" ca="1" si="34">AI17-AI20</f>
        <v>3749.6161198676004</v>
      </c>
      <c r="AJ21" s="1105">
        <f t="shared" ca="1" si="34"/>
        <v>3846.2782420316325</v>
      </c>
      <c r="AK21" s="1105">
        <f t="shared" ca="1" si="34"/>
        <v>3840.7886591563015</v>
      </c>
      <c r="AL21" s="1105">
        <f t="shared" ca="1" si="34"/>
        <v>3782.8048062180451</v>
      </c>
      <c r="AM21" s="1105">
        <f t="shared" ca="1" si="34"/>
        <v>3728.6751296832799</v>
      </c>
      <c r="AN21" s="1105">
        <f t="shared" ca="1" si="34"/>
        <v>3913.7195934187521</v>
      </c>
      <c r="AO21" s="1105"/>
      <c r="AP21" s="1105"/>
      <c r="AQ21" s="1105"/>
      <c r="AR21" s="1105"/>
      <c r="AS21" s="1105"/>
      <c r="AT21" s="1105"/>
      <c r="AU21" s="3196" t="str">
        <f t="shared" si="3"/>
        <v xml:space="preserve">Total Reported EBITA </v>
      </c>
      <c r="AV21" s="2804">
        <f>AV17-AV20</f>
        <v>555.20625000000007</v>
      </c>
      <c r="AW21" s="2804">
        <f>AW17-AW20</f>
        <v>903.70625000000007</v>
      </c>
      <c r="AX21" s="2804">
        <f>AX17-AX20</f>
        <v>800.50625000000002</v>
      </c>
      <c r="AY21" s="2804">
        <f>AY17-AY20</f>
        <v>-17329.893749999999</v>
      </c>
      <c r="AZ21" s="3193"/>
      <c r="BA21" s="2804">
        <f>BA17-BA20</f>
        <v>539.28887500000042</v>
      </c>
      <c r="BB21" s="2804">
        <f>BB17-BB20</f>
        <v>852.10000000000048</v>
      </c>
      <c r="BC21" s="2804">
        <f>BC17-BC20</f>
        <v>697.06387500000051</v>
      </c>
      <c r="BD21" s="2804">
        <f>BD17-BD20</f>
        <v>-8810.4972499999985</v>
      </c>
      <c r="BE21" s="2804"/>
      <c r="BF21" s="2804">
        <f>BF17-BF20</f>
        <v>540.72499999999991</v>
      </c>
      <c r="BG21" s="2804">
        <f>BG17-BG20</f>
        <v>752.92499999999995</v>
      </c>
      <c r="BH21" s="2804">
        <f>BH17-BH20</f>
        <v>648.82500000000005</v>
      </c>
      <c r="BI21" s="2804">
        <f>BI17-BI20</f>
        <v>751.22500000000002</v>
      </c>
      <c r="BJ21" s="2901">
        <f>L21-SUM(BF21:BI21)</f>
        <v>0</v>
      </c>
      <c r="BK21" s="2804">
        <f>BK17-BK20</f>
        <v>542.52499999999998</v>
      </c>
      <c r="BL21" s="2804">
        <f>BL17-BL20</f>
        <v>765.62500000000011</v>
      </c>
      <c r="BM21" s="2804">
        <f>BM17-BM20</f>
        <v>663.32500000000016</v>
      </c>
      <c r="BN21" s="2804">
        <f>BN17-BN20</f>
        <v>726.82500000000016</v>
      </c>
      <c r="BO21" s="2902"/>
      <c r="BP21" s="2804">
        <f>BP17-BP20</f>
        <v>558.85424972625015</v>
      </c>
      <c r="BQ21" s="2804">
        <f>BQ17-BQ20</f>
        <v>660.26973068000007</v>
      </c>
      <c r="BR21" s="2804">
        <f>BR17-BR20</f>
        <v>-13581.856023132064</v>
      </c>
      <c r="BS21" s="2804">
        <f>BS17-BS20</f>
        <v>309.53204272581246</v>
      </c>
      <c r="BT21" s="2902">
        <f>N21-SUM(BP21:BS21)</f>
        <v>0</v>
      </c>
      <c r="BU21" s="2804">
        <f>BU17-BU20</f>
        <v>156.43853314169934</v>
      </c>
      <c r="BV21" s="2804">
        <f>BV17-BV20</f>
        <v>280.61093352486841</v>
      </c>
      <c r="BW21" s="2804">
        <f>BW17-BW20</f>
        <v>448.22739985984583</v>
      </c>
      <c r="BX21" s="2804">
        <f>BX17-BX20</f>
        <v>256.12313347358679</v>
      </c>
      <c r="BY21" s="2842">
        <f>R21-SUM(BU21:BX21)</f>
        <v>0</v>
      </c>
      <c r="BZ21" s="2804">
        <f>BZ17-BZ20</f>
        <v>243.00000000000006</v>
      </c>
      <c r="CA21" s="2804">
        <f>CA17-CA20</f>
        <v>467.49999999999989</v>
      </c>
      <c r="CB21" s="2804">
        <f>CB17-CB20</f>
        <v>553.5</v>
      </c>
      <c r="CC21" s="2804">
        <f>CC17-CC20</f>
        <v>649.20000000000027</v>
      </c>
      <c r="CD21" s="2842">
        <f>S21-SUM(BZ21:CC21)</f>
        <v>0</v>
      </c>
      <c r="CE21" s="2804">
        <f>CE17-CE20</f>
        <v>500.25</v>
      </c>
      <c r="CF21" s="2804">
        <f>CF17-CF20</f>
        <v>791.25</v>
      </c>
      <c r="CG21" s="2804">
        <f>CG17-CG20</f>
        <v>771.25</v>
      </c>
      <c r="CH21" s="2804">
        <f>CH17-CH20</f>
        <v>720.25</v>
      </c>
      <c r="CI21" s="2842">
        <f>T21-SUM(CE21:CH21)</f>
        <v>0</v>
      </c>
      <c r="CJ21" s="2804">
        <f>CJ17-CJ20</f>
        <v>703.45</v>
      </c>
      <c r="CK21" s="2804">
        <f>CK17-CK20</f>
        <v>818.44999999999993</v>
      </c>
      <c r="CL21" s="2804">
        <f>CL17-CL20</f>
        <v>814.45</v>
      </c>
      <c r="CM21" s="2804">
        <f>CM17-CM20</f>
        <v>771.65</v>
      </c>
      <c r="CN21" s="2842">
        <f>U21-SUM(CJ21:CM21)</f>
        <v>0</v>
      </c>
      <c r="CO21" s="2804">
        <f>CO17-CO20</f>
        <v>825</v>
      </c>
      <c r="CP21" s="2804">
        <f>CP17-CP20</f>
        <v>862.9</v>
      </c>
      <c r="CQ21" s="2804">
        <f>CQ17-CQ20</f>
        <v>853.30000000000007</v>
      </c>
      <c r="CR21" s="2804">
        <f>CR17-CR20</f>
        <v>837.8</v>
      </c>
      <c r="CS21" s="2842">
        <f>V21-SUM(CO21:CR21)</f>
        <v>0</v>
      </c>
      <c r="CT21" s="2896">
        <f>CT17-CT20</f>
        <v>799</v>
      </c>
      <c r="CU21" s="2896">
        <f>CU17-CU20</f>
        <v>738</v>
      </c>
      <c r="CV21" s="2896">
        <f>CV17-CV20</f>
        <v>676</v>
      </c>
      <c r="CW21" s="2804">
        <f>CW17-CW20</f>
        <v>715</v>
      </c>
      <c r="CX21" s="2842">
        <f>$W21-SUM(CT21:CW21)</f>
        <v>0</v>
      </c>
      <c r="CY21" s="2896">
        <f>CY17-CY20</f>
        <v>708</v>
      </c>
      <c r="CZ21" s="2896">
        <f>CZ17-CZ20</f>
        <v>592</v>
      </c>
      <c r="DA21" s="2896">
        <f>DA17-DA20</f>
        <v>759</v>
      </c>
      <c r="DB21" s="2804">
        <f>DB17-DB20</f>
        <v>363</v>
      </c>
      <c r="DC21" s="2842">
        <f>$Z21-SUM(CY21:DB21)</f>
        <v>0</v>
      </c>
      <c r="DD21" s="2896">
        <f ca="1">DD17-DD20</f>
        <v>770</v>
      </c>
      <c r="DE21" s="2896">
        <f ca="1">DE17-DE20</f>
        <v>656</v>
      </c>
      <c r="DF21" s="2896">
        <f ca="1">DF17-DF20</f>
        <v>726</v>
      </c>
      <c r="DG21" s="2804">
        <f ca="1">DG17-DG20</f>
        <v>489</v>
      </c>
      <c r="DH21" s="2842">
        <f t="shared" ca="1" si="30"/>
        <v>0</v>
      </c>
      <c r="DI21" s="2896">
        <f>DI17-DI20</f>
        <v>708.75</v>
      </c>
      <c r="DJ21" s="2896">
        <f>DJ17-DJ20</f>
        <v>673.75</v>
      </c>
      <c r="DK21" s="2896">
        <f>DK17-DK20</f>
        <v>711.75</v>
      </c>
      <c r="DL21" s="1105">
        <f ca="1">DL17-DL20</f>
        <v>736.51366813519041</v>
      </c>
      <c r="DM21" s="2498">
        <f t="shared" ca="1" si="7"/>
        <v>0</v>
      </c>
      <c r="DN21" s="2896">
        <f>DN17-DN20</f>
        <v>731.63383332762919</v>
      </c>
      <c r="DO21" s="2896">
        <f t="shared" ref="DO21" si="35">DO17-DO20</f>
        <v>714.89694025653853</v>
      </c>
      <c r="DP21" s="2896">
        <f>DP17-DP20</f>
        <v>773.28545838969444</v>
      </c>
      <c r="DQ21" s="1105">
        <f ca="1">DQ17-DQ20</f>
        <v>834.50053929752949</v>
      </c>
      <c r="DR21" s="2026">
        <f t="shared" ca="1" si="31"/>
        <v>0</v>
      </c>
    </row>
    <row r="22" spans="1:130">
      <c r="A22" s="1357" t="s">
        <v>483</v>
      </c>
      <c r="B22" s="1105"/>
      <c r="C22" s="1105"/>
      <c r="D22" s="1105"/>
      <c r="E22" s="1105"/>
      <c r="F22" s="1105"/>
      <c r="G22" s="1105"/>
      <c r="H22" s="1362">
        <f>'Revenue and OCF'!O93</f>
        <v>87.090891899190026</v>
      </c>
      <c r="I22" s="1639">
        <f>'Revenue and OCF'!P93</f>
        <v>87.77499999999992</v>
      </c>
      <c r="J22" s="1639">
        <f>'Revenue and OCF'!Q93</f>
        <v>84.024999999999977</v>
      </c>
      <c r="K22" s="1639">
        <f>'Revenue and OCF'!R93</f>
        <v>95.855499999999893</v>
      </c>
      <c r="L22" s="1639">
        <f>'Revenue and OCF'!S93</f>
        <v>87.300000000000011</v>
      </c>
      <c r="M22" s="1639">
        <f>'Revenue and OCF'!T93</f>
        <v>81.5</v>
      </c>
      <c r="N22" s="1639">
        <f>'Revenue and OCF'!U93</f>
        <v>105.5</v>
      </c>
      <c r="O22" s="1369"/>
      <c r="P22" s="1639">
        <f>'Revenue and OCF'!W93</f>
        <v>90.676999999999992</v>
      </c>
      <c r="Q22" s="1639">
        <f>'Revenue and OCF'!X93</f>
        <v>110.566</v>
      </c>
      <c r="R22" s="1639">
        <f>'Revenue and OCF'!Y93</f>
        <v>130</v>
      </c>
      <c r="S22" s="1639">
        <f>'Revenue and OCF'!Z93</f>
        <v>130</v>
      </c>
      <c r="T22" s="1639">
        <f>'Revenue and OCF'!AA93</f>
        <v>121</v>
      </c>
      <c r="U22" s="1639">
        <f>'Revenue and OCF'!AB93</f>
        <v>106</v>
      </c>
      <c r="V22" s="1639">
        <f>'Revenue and OCF'!AC93</f>
        <v>100</v>
      </c>
      <c r="W22" s="1639">
        <f>'Revenue and OCF'!AD93</f>
        <v>32.000000000000007</v>
      </c>
      <c r="X22" s="1639">
        <f>'Revenue and OCF'!AE93</f>
        <v>39.6</v>
      </c>
      <c r="Y22" s="1639">
        <f>'Revenue and OCF'!AF93</f>
        <v>32.000000000000007</v>
      </c>
      <c r="Z22" s="1889">
        <f>SUM(CY22:DB22)</f>
        <v>24</v>
      </c>
      <c r="AA22" s="2799">
        <f ca="1">SUM(DD22:DG22)</f>
        <v>20</v>
      </c>
      <c r="AB22" s="2798">
        <f ca="1">'Revenue and OCF'!AI93</f>
        <v>20.000000000000004</v>
      </c>
      <c r="AC22" s="2799">
        <f>SUM(DI22:DL22)</f>
        <v>19</v>
      </c>
      <c r="AD22" s="2799">
        <f>SUM(DN22:DQ22)</f>
        <v>18</v>
      </c>
      <c r="AE22" s="1639">
        <f ca="1">'Revenue and OCF'!AL93</f>
        <v>18</v>
      </c>
      <c r="AF22" s="1639">
        <f ca="1">'Revenue and OCF'!AM93</f>
        <v>14.999999999999995</v>
      </c>
      <c r="AG22" s="1639">
        <f ca="1">'Revenue and OCF'!AN93</f>
        <v>13.000000000000007</v>
      </c>
      <c r="AH22" s="1639">
        <f ca="1">'Revenue and OCF'!AO93</f>
        <v>12.948460392448006</v>
      </c>
      <c r="AI22" s="1639">
        <f ca="1">'Revenue and OCF'!AP93</f>
        <v>10.907228706406393</v>
      </c>
      <c r="AJ22" s="1639">
        <f ca="1">'Revenue and OCF'!AQ93</f>
        <v>10.874243357573114</v>
      </c>
      <c r="AK22" s="1639">
        <f ca="1">'Revenue and OCF'!AR93</f>
        <v>10.847855078506491</v>
      </c>
      <c r="AL22" s="1639">
        <f ca="1">'Revenue and OCF'!AS93</f>
        <v>10.826744455253198</v>
      </c>
      <c r="AM22" s="1639">
        <f ca="1">'Revenue and OCF'!AT93</f>
        <v>10.809855956650559</v>
      </c>
      <c r="AN22" s="1639">
        <f ca="1">'Revenue and OCF'!AU93</f>
        <v>10.796345157768435</v>
      </c>
      <c r="AO22" s="1771"/>
      <c r="AP22" s="1771"/>
      <c r="AQ22" s="1771"/>
      <c r="AR22" s="1771"/>
      <c r="AS22" s="1771"/>
      <c r="AT22" s="1362"/>
      <c r="AU22" s="2806" t="str">
        <f t="shared" si="3"/>
        <v>Amortization of Intangible Assets</v>
      </c>
      <c r="AV22" s="2798">
        <f>'Segment Detail'!CO209</f>
        <v>21.381250000000001</v>
      </c>
      <c r="AW22" s="2798">
        <f>'Segment Detail'!CP209</f>
        <v>21.381250000000001</v>
      </c>
      <c r="AX22" s="2798">
        <f>'Segment Detail'!CQ209</f>
        <v>21.381250000000001</v>
      </c>
      <c r="AY22" s="2798">
        <f>'Segment Detail'!CR209</f>
        <v>19.881250000000001</v>
      </c>
      <c r="AZ22" s="3193"/>
      <c r="BA22" s="2798">
        <f>'Segment Detail'!CT209</f>
        <v>22.188875000000003</v>
      </c>
      <c r="BB22" s="2798">
        <f>'Segment Detail'!CU209</f>
        <v>23</v>
      </c>
      <c r="BC22" s="2798">
        <f>'Segment Detail'!CV209</f>
        <v>23.963875000000002</v>
      </c>
      <c r="BD22" s="2798">
        <f>'Segment Detail'!CW209</f>
        <v>26.702750000000002</v>
      </c>
      <c r="BE22" s="2804"/>
      <c r="BF22" s="2798">
        <f>'Segment Detail'!CY209</f>
        <v>21.024999999999999</v>
      </c>
      <c r="BG22" s="2798">
        <f>'Segment Detail'!CZ209</f>
        <v>20.824999999999999</v>
      </c>
      <c r="BH22" s="2798">
        <f>'Segment Detail'!DA209</f>
        <v>22.824999999999999</v>
      </c>
      <c r="BI22" s="2798">
        <f>'Segment Detail'!DB209</f>
        <v>22.624999999999993</v>
      </c>
      <c r="BJ22" s="2901">
        <f>L22-SUM(BF22:BI22)</f>
        <v>0</v>
      </c>
      <c r="BK22" s="2798">
        <f>'Segment Detail'!DD209</f>
        <v>21.375</v>
      </c>
      <c r="BL22" s="2798">
        <f>'Segment Detail'!DE209</f>
        <v>21.375</v>
      </c>
      <c r="BM22" s="2798">
        <f>'Segment Detail'!DF209</f>
        <v>21.375</v>
      </c>
      <c r="BN22" s="2798">
        <f>'Segment Detail'!DG209</f>
        <v>21.375</v>
      </c>
      <c r="BO22" s="2902"/>
      <c r="BP22" s="2798">
        <f>'Segment Detail'!DI209</f>
        <v>19.875</v>
      </c>
      <c r="BQ22" s="2798">
        <f>'Segment Detail'!DJ209</f>
        <v>19.875</v>
      </c>
      <c r="BR22" s="2798">
        <f>'Segment Detail'!DK209</f>
        <v>32.875</v>
      </c>
      <c r="BS22" s="2798">
        <f>'Segment Detail'!DL209</f>
        <v>32.875</v>
      </c>
      <c r="BT22" s="2902">
        <f>N22-SUM(BP22:BS22)</f>
        <v>0</v>
      </c>
      <c r="BU22" s="2798">
        <f>'Segment Detail'!DN209</f>
        <v>32.5</v>
      </c>
      <c r="BV22" s="2798">
        <f>'Segment Detail'!DO209</f>
        <v>32.5</v>
      </c>
      <c r="BW22" s="2798">
        <f>'Segment Detail'!DP209</f>
        <v>32.5</v>
      </c>
      <c r="BX22" s="2798">
        <f>'Segment Detail'!DQ209</f>
        <v>32.5</v>
      </c>
      <c r="BY22" s="2842">
        <f>R22-SUM(BU22:BX22)</f>
        <v>0</v>
      </c>
      <c r="BZ22" s="2798">
        <f>'Segment Detail'!DS209</f>
        <v>32.5</v>
      </c>
      <c r="CA22" s="2798">
        <f>'Segment Detail'!DT209</f>
        <v>32.5</v>
      </c>
      <c r="CB22" s="2798">
        <f>'Segment Detail'!DU209</f>
        <v>32.5</v>
      </c>
      <c r="CC22" s="2798">
        <f>'Segment Detail'!DV209</f>
        <v>32.5</v>
      </c>
      <c r="CD22" s="2842">
        <f>S22-SUM(BZ22:CC22)</f>
        <v>0</v>
      </c>
      <c r="CE22" s="2798">
        <f>'Segment Detail'!DX209</f>
        <v>30.25</v>
      </c>
      <c r="CF22" s="2798">
        <f>'Segment Detail'!DY209</f>
        <v>30.25</v>
      </c>
      <c r="CG22" s="2798">
        <f>'Segment Detail'!DZ209</f>
        <v>30.25</v>
      </c>
      <c r="CH22" s="2798">
        <f>'Segment Detail'!EA209</f>
        <v>30.25</v>
      </c>
      <c r="CI22" s="2842">
        <f>T22-SUM(CE22:CH22)</f>
        <v>0</v>
      </c>
      <c r="CJ22" s="2798">
        <f>'Segment Detail'!EC209</f>
        <v>26.450000000000003</v>
      </c>
      <c r="CK22" s="2798">
        <f>'Segment Detail'!ED209</f>
        <v>26.449999999999996</v>
      </c>
      <c r="CL22" s="2798">
        <f>'Segment Detail'!EE209</f>
        <v>26.450000000000003</v>
      </c>
      <c r="CM22" s="2798">
        <f>'Segment Detail'!EF209</f>
        <v>26.649999999999991</v>
      </c>
      <c r="CN22" s="2842">
        <f>U22-SUM(CJ22:CM22)</f>
        <v>0</v>
      </c>
      <c r="CO22" s="2798">
        <f>'Segment Detail'!EH209</f>
        <v>25</v>
      </c>
      <c r="CP22" s="2798">
        <f>'Segment Detail'!EI209</f>
        <v>24.900000000000006</v>
      </c>
      <c r="CQ22" s="2798">
        <f>'Segment Detail'!EJ209</f>
        <v>25.300000000000004</v>
      </c>
      <c r="CR22" s="2798">
        <f>'Segment Detail'!EK209</f>
        <v>24.799999999999997</v>
      </c>
      <c r="CS22" s="2842">
        <f>V22-SUM(CO22:CR22)</f>
        <v>0</v>
      </c>
      <c r="CT22" s="3083">
        <f>'Segment Detail'!EM209</f>
        <v>8</v>
      </c>
      <c r="CU22" s="3083">
        <f>'Segment Detail'!EN209</f>
        <v>8</v>
      </c>
      <c r="CV22" s="3083">
        <f>'Segment Detail'!EO209</f>
        <v>8</v>
      </c>
      <c r="CW22" s="3083">
        <f>'Segment Detail'!EP209</f>
        <v>8</v>
      </c>
      <c r="CX22" s="2842">
        <f>$W22-SUM(CT22:CW22)</f>
        <v>0</v>
      </c>
      <c r="CY22" s="3083">
        <f>'Segment Detail'!ER209</f>
        <v>6</v>
      </c>
      <c r="CZ22" s="3083">
        <f>'Segment Detail'!ES209</f>
        <v>6</v>
      </c>
      <c r="DA22" s="3083">
        <f>'Segment Detail'!ET209</f>
        <v>6</v>
      </c>
      <c r="DB22" s="3083">
        <f>'Segment Detail'!EU209</f>
        <v>6</v>
      </c>
      <c r="DC22" s="2842">
        <f>$Z22-SUM(CY22:DB22)</f>
        <v>0</v>
      </c>
      <c r="DD22" s="3083">
        <f ca="1">'Segment Detail'!EW209</f>
        <v>5</v>
      </c>
      <c r="DE22" s="3083">
        <f ca="1">'Segment Detail'!EX209</f>
        <v>5</v>
      </c>
      <c r="DF22" s="3083">
        <f ca="1">'Segment Detail'!EY209</f>
        <v>5</v>
      </c>
      <c r="DG22" s="3083">
        <f ca="1">'Segment Detail'!EZ209</f>
        <v>5</v>
      </c>
      <c r="DH22" s="2842">
        <f t="shared" ca="1" si="30"/>
        <v>0</v>
      </c>
      <c r="DI22" s="3083">
        <f>'Segment Detail'!FB209</f>
        <v>4.75</v>
      </c>
      <c r="DJ22" s="3083">
        <f>'Segment Detail'!FC209</f>
        <v>4.75</v>
      </c>
      <c r="DK22" s="3083">
        <f>'Segment Detail'!FD209</f>
        <v>4.75</v>
      </c>
      <c r="DL22" s="3083">
        <f>'Segment Detail'!FE209</f>
        <v>4.75</v>
      </c>
      <c r="DM22" s="2498">
        <f t="shared" si="7"/>
        <v>0</v>
      </c>
      <c r="DN22" s="3083">
        <f>'Segment Detail'!FG209</f>
        <v>4.5</v>
      </c>
      <c r="DO22" s="3083">
        <f>'Segment Detail'!FH209</f>
        <v>4.5</v>
      </c>
      <c r="DP22" s="3083">
        <f>'Segment Detail'!FI209</f>
        <v>4.5</v>
      </c>
      <c r="DQ22" s="3083">
        <f>'Segment Detail'!FJ209</f>
        <v>4.5</v>
      </c>
      <c r="DR22" s="2026">
        <f t="shared" si="31"/>
        <v>0</v>
      </c>
    </row>
    <row r="23" spans="1:130">
      <c r="A23" s="1696" t="s">
        <v>1017</v>
      </c>
      <c r="B23" s="1105"/>
      <c r="C23" s="1105"/>
      <c r="D23" s="1105"/>
      <c r="E23" s="1105"/>
      <c r="F23" s="1105"/>
      <c r="G23" s="1105"/>
      <c r="H23" s="1105">
        <f t="shared" ref="H23:N23" si="36">H21-H22</f>
        <v>2578.5999999999995</v>
      </c>
      <c r="I23" s="1654">
        <f t="shared" si="36"/>
        <v>2511.3000000000006</v>
      </c>
      <c r="J23" s="1654">
        <f t="shared" si="36"/>
        <v>-15154.5</v>
      </c>
      <c r="K23" s="1654">
        <f t="shared" si="36"/>
        <v>-6817.8999999999987</v>
      </c>
      <c r="L23" s="1654">
        <f t="shared" si="36"/>
        <v>2606.4</v>
      </c>
      <c r="M23" s="1654">
        <f t="shared" si="36"/>
        <v>2625.2</v>
      </c>
      <c r="N23" s="1654">
        <f t="shared" si="36"/>
        <v>-12158.700000000003</v>
      </c>
      <c r="O23" s="1369"/>
      <c r="P23" s="1654">
        <f t="shared" ref="P23:AH23" si="37">P21-P22</f>
        <v>2646.189625</v>
      </c>
      <c r="Q23" s="1654">
        <f t="shared" si="37"/>
        <v>-12033.812251040003</v>
      </c>
      <c r="R23" s="1654">
        <f t="shared" si="37"/>
        <v>1011.4000000000003</v>
      </c>
      <c r="S23" s="1654">
        <f t="shared" si="37"/>
        <v>1783.2000000000003</v>
      </c>
      <c r="T23" s="1654">
        <f t="shared" si="37"/>
        <v>2662.0000000000005</v>
      </c>
      <c r="U23" s="1654">
        <f t="shared" si="37"/>
        <v>3001.9999999999995</v>
      </c>
      <c r="V23" s="1654">
        <f t="shared" si="37"/>
        <v>3279</v>
      </c>
      <c r="W23" s="1654">
        <f t="shared" si="37"/>
        <v>2896</v>
      </c>
      <c r="X23" s="1654">
        <f t="shared" si="37"/>
        <v>3045</v>
      </c>
      <c r="Y23" s="1654">
        <f t="shared" si="37"/>
        <v>2896</v>
      </c>
      <c r="Z23" s="1654">
        <f>Z21-Z22</f>
        <v>2398</v>
      </c>
      <c r="AA23" s="2801">
        <f ca="1">AA21-AA22</f>
        <v>2469</v>
      </c>
      <c r="AB23" s="2801">
        <f ca="1">AB21-AB22</f>
        <v>2621</v>
      </c>
      <c r="AC23" s="2801">
        <f ca="1">AC21-AC22</f>
        <v>2811.7636681351901</v>
      </c>
      <c r="AD23" s="2801">
        <f ca="1">AD21-AD22</f>
        <v>3036.3167712713916</v>
      </c>
      <c r="AE23" s="1654">
        <f t="shared" ca="1" si="37"/>
        <v>3222.8381616604174</v>
      </c>
      <c r="AF23" s="1654">
        <f t="shared" ca="1" si="37"/>
        <v>3573.107305608396</v>
      </c>
      <c r="AG23" s="1654">
        <f t="shared" ca="1" si="37"/>
        <v>3677.9226268372031</v>
      </c>
      <c r="AH23" s="1654">
        <f t="shared" ca="1" si="37"/>
        <v>3918.777288900013</v>
      </c>
      <c r="AI23" s="2801">
        <f t="shared" ref="AI23:AN23" ca="1" si="38">AI21-AI22</f>
        <v>3738.7088911611941</v>
      </c>
      <c r="AJ23" s="1654">
        <f t="shared" ca="1" si="38"/>
        <v>3835.4039986740595</v>
      </c>
      <c r="AK23" s="1654">
        <f t="shared" ca="1" si="38"/>
        <v>3829.9408040777948</v>
      </c>
      <c r="AL23" s="1654">
        <f t="shared" ca="1" si="38"/>
        <v>3771.9780617627921</v>
      </c>
      <c r="AM23" s="1654">
        <f t="shared" ca="1" si="38"/>
        <v>3717.8652737266293</v>
      </c>
      <c r="AN23" s="1654">
        <f t="shared" ca="1" si="38"/>
        <v>3902.9232482609837</v>
      </c>
      <c r="AO23" s="1654"/>
      <c r="AP23" s="1654"/>
      <c r="AQ23" s="1654"/>
      <c r="AR23" s="1654"/>
      <c r="AS23" s="1654"/>
      <c r="AT23" s="1105"/>
      <c r="AU23" s="3196" t="str">
        <f t="shared" si="3"/>
        <v xml:space="preserve">Total Reported EBIT </v>
      </c>
      <c r="AV23" s="2801">
        <f>AV21-AV22</f>
        <v>533.82500000000005</v>
      </c>
      <c r="AW23" s="2801">
        <f>AW21-AW22</f>
        <v>882.32500000000005</v>
      </c>
      <c r="AX23" s="2801">
        <f>AX21-AX22</f>
        <v>779.125</v>
      </c>
      <c r="AY23" s="2801">
        <f>AY21-AY22</f>
        <v>-17349.774999999998</v>
      </c>
      <c r="AZ23" s="3198"/>
      <c r="BA23" s="2801">
        <f>BA21-BA22</f>
        <v>517.10000000000036</v>
      </c>
      <c r="BB23" s="2801">
        <f>BB21-BB22</f>
        <v>829.10000000000048</v>
      </c>
      <c r="BC23" s="2801">
        <f>BC21-BC22+BC15</f>
        <v>709.10000000000048</v>
      </c>
      <c r="BD23" s="2801">
        <f>BD21-BD22+BD15</f>
        <v>-8825.1999999999989</v>
      </c>
      <c r="BE23" s="2804"/>
      <c r="BF23" s="2801">
        <f>BF21-BF22</f>
        <v>519.69999999999993</v>
      </c>
      <c r="BG23" s="2801">
        <f>BG21-BG22</f>
        <v>732.09999999999991</v>
      </c>
      <c r="BH23" s="2801">
        <f>BH21-BH22</f>
        <v>626</v>
      </c>
      <c r="BI23" s="2801">
        <f>BI21-BI22</f>
        <v>728.6</v>
      </c>
      <c r="BJ23" s="2901">
        <f>L23-SUM(BF23:BI23)</f>
        <v>0</v>
      </c>
      <c r="BK23" s="2801">
        <f>BK21-BK22</f>
        <v>521.15</v>
      </c>
      <c r="BL23" s="2801">
        <f>BL21-BL22</f>
        <v>744.25000000000011</v>
      </c>
      <c r="BM23" s="2801">
        <f>BM21-BM22</f>
        <v>641.95000000000016</v>
      </c>
      <c r="BN23" s="2801">
        <f>BN21-BN22</f>
        <v>705.45000000000016</v>
      </c>
      <c r="BO23" s="2902"/>
      <c r="BP23" s="2801">
        <f>BP21-BP22</f>
        <v>538.97924972625015</v>
      </c>
      <c r="BQ23" s="2801">
        <f>BQ21-BQ22</f>
        <v>640.39473068000007</v>
      </c>
      <c r="BR23" s="2801">
        <f>BR21-BR22</f>
        <v>-13614.731023132064</v>
      </c>
      <c r="BS23" s="2801">
        <f>BS21-BS22</f>
        <v>276.65704272581246</v>
      </c>
      <c r="BT23" s="2902">
        <f>N23-SUM(BP23:BS23)</f>
        <v>0</v>
      </c>
      <c r="BU23" s="2801">
        <f>BU21-BU22</f>
        <v>123.93853314169934</v>
      </c>
      <c r="BV23" s="2801">
        <f>BV21-BV22</f>
        <v>248.11093352486841</v>
      </c>
      <c r="BW23" s="2801">
        <f>BW21-BW22</f>
        <v>415.72739985984583</v>
      </c>
      <c r="BX23" s="2801">
        <f>BX21-BX22</f>
        <v>223.62313347358679</v>
      </c>
      <c r="BY23" s="2842">
        <f>R23-SUM(BU23:BX23)</f>
        <v>0</v>
      </c>
      <c r="BZ23" s="2801">
        <f>BZ21-BZ22</f>
        <v>210.50000000000006</v>
      </c>
      <c r="CA23" s="2801">
        <f>CA21-CA22</f>
        <v>434.99999999999989</v>
      </c>
      <c r="CB23" s="2801">
        <f>CB21-CB22</f>
        <v>521</v>
      </c>
      <c r="CC23" s="2801">
        <f>CC21-CC22</f>
        <v>616.70000000000027</v>
      </c>
      <c r="CD23" s="2842">
        <f>S23-SUM(BZ23:CC23)</f>
        <v>0</v>
      </c>
      <c r="CE23" s="2801">
        <f>CE21-CE22</f>
        <v>470</v>
      </c>
      <c r="CF23" s="2801">
        <f>CF21-CF22</f>
        <v>761</v>
      </c>
      <c r="CG23" s="2801">
        <f>CG21-CG22</f>
        <v>741</v>
      </c>
      <c r="CH23" s="2801">
        <f>CH21-CH22</f>
        <v>690</v>
      </c>
      <c r="CI23" s="2842">
        <f>T23-SUM(CE23:CH23)</f>
        <v>0</v>
      </c>
      <c r="CJ23" s="2801">
        <f>CJ21-CJ22</f>
        <v>677</v>
      </c>
      <c r="CK23" s="2801">
        <f>CK21-CK22</f>
        <v>791.99999999999989</v>
      </c>
      <c r="CL23" s="2801">
        <f>CL21-CL22</f>
        <v>788</v>
      </c>
      <c r="CM23" s="2801">
        <f>CM21-CM22</f>
        <v>745</v>
      </c>
      <c r="CN23" s="2842">
        <f>U23-SUM(CJ23:CM23)</f>
        <v>0</v>
      </c>
      <c r="CO23" s="2801">
        <f>CO21-CO22</f>
        <v>800</v>
      </c>
      <c r="CP23" s="2801">
        <f>CP21-CP22</f>
        <v>838</v>
      </c>
      <c r="CQ23" s="2801">
        <f>CQ21-CQ22</f>
        <v>828.00000000000011</v>
      </c>
      <c r="CR23" s="2801">
        <f>CR21-CR22</f>
        <v>813</v>
      </c>
      <c r="CS23" s="2842">
        <f>V23-SUM(CO23:CR23)</f>
        <v>0</v>
      </c>
      <c r="CT23" s="2841">
        <f>CT21-CT22</f>
        <v>791</v>
      </c>
      <c r="CU23" s="2841">
        <f>CU21-CU22</f>
        <v>730</v>
      </c>
      <c r="CV23" s="2841">
        <f>CV21-CV22</f>
        <v>668</v>
      </c>
      <c r="CW23" s="2801">
        <f>CW21-CW22</f>
        <v>707</v>
      </c>
      <c r="CX23" s="2842">
        <f>$W23-SUM(CT23:CW23)</f>
        <v>0</v>
      </c>
      <c r="CY23" s="2841">
        <f>CY21-CY22</f>
        <v>702</v>
      </c>
      <c r="CZ23" s="2841">
        <f>CZ21-CZ22</f>
        <v>586</v>
      </c>
      <c r="DA23" s="2841">
        <f>DA21-DA22</f>
        <v>753</v>
      </c>
      <c r="DB23" s="2801">
        <f>DB21-DB22</f>
        <v>357</v>
      </c>
      <c r="DC23" s="2842">
        <f>$Z23-SUM(CY23:DB23)</f>
        <v>0</v>
      </c>
      <c r="DD23" s="2841">
        <f ca="1">DD21-DD22</f>
        <v>765</v>
      </c>
      <c r="DE23" s="2841">
        <f ca="1">DE21-DE22</f>
        <v>651</v>
      </c>
      <c r="DF23" s="2841">
        <f ca="1">DF21-DF22</f>
        <v>721</v>
      </c>
      <c r="DG23" s="2801">
        <f ca="1">DG21-DG22</f>
        <v>484</v>
      </c>
      <c r="DH23" s="2842">
        <f t="shared" ca="1" si="30"/>
        <v>0</v>
      </c>
      <c r="DI23" s="2841">
        <v>704</v>
      </c>
      <c r="DJ23" s="2841">
        <f>DJ21-DJ22</f>
        <v>669</v>
      </c>
      <c r="DK23" s="2841">
        <f>DK21-DK22</f>
        <v>707</v>
      </c>
      <c r="DL23" s="2801">
        <f ca="1">DL21-DL22</f>
        <v>731.76366813519041</v>
      </c>
      <c r="DM23" s="3475">
        <f t="shared" ca="1" si="7"/>
        <v>0</v>
      </c>
      <c r="DN23" s="2841">
        <f>DN21-DN22</f>
        <v>727.13383332762919</v>
      </c>
      <c r="DO23" s="2841">
        <f t="shared" ref="DO23" si="39">DO21-DO22</f>
        <v>710.39694025653853</v>
      </c>
      <c r="DP23" s="2841">
        <f>DP21-DP22</f>
        <v>768.78545838969444</v>
      </c>
      <c r="DQ23" s="2801">
        <f ca="1">DQ21-DQ22</f>
        <v>830.00053929752949</v>
      </c>
      <c r="DR23" s="2026">
        <f t="shared" ca="1" si="31"/>
        <v>0</v>
      </c>
    </row>
    <row r="24" spans="1:130">
      <c r="A24" s="1108"/>
      <c r="B24" s="1525"/>
      <c r="C24" s="1525"/>
      <c r="D24" s="1525"/>
      <c r="E24" s="1525"/>
      <c r="F24" s="1525"/>
      <c r="G24" s="1525"/>
      <c r="H24" s="1525"/>
      <c r="I24" s="1525"/>
      <c r="J24" s="1525"/>
      <c r="K24" s="1525"/>
      <c r="L24" s="1892"/>
      <c r="M24" s="1892"/>
      <c r="N24" s="1892"/>
      <c r="O24" s="1369"/>
      <c r="P24" s="1893"/>
      <c r="Q24" s="1893"/>
      <c r="R24" s="1893"/>
      <c r="S24" s="1893"/>
      <c r="T24" s="1893"/>
      <c r="U24" s="1893"/>
      <c r="V24" s="1893"/>
      <c r="W24" s="1893"/>
      <c r="X24" s="1893"/>
      <c r="Y24" s="1893"/>
      <c r="Z24" s="1893"/>
      <c r="AA24" s="1893"/>
      <c r="AB24" s="1893"/>
      <c r="AC24" s="1893"/>
      <c r="AD24" s="1893"/>
      <c r="AE24" s="1893"/>
      <c r="AF24" s="1893"/>
      <c r="AG24" s="1893"/>
      <c r="AH24" s="1525"/>
      <c r="AI24" s="1525"/>
      <c r="AJ24" s="1525"/>
      <c r="AK24" s="1525"/>
      <c r="AL24" s="1525"/>
      <c r="AM24" s="1525"/>
      <c r="AN24" s="1525"/>
      <c r="AO24" s="1525"/>
      <c r="AP24" s="1525"/>
      <c r="AQ24" s="1525"/>
      <c r="AR24" s="1525"/>
      <c r="AS24" s="1525"/>
      <c r="AT24" s="1525"/>
      <c r="AU24" s="2862" t="str">
        <f t="shared" si="3"/>
        <v/>
      </c>
      <c r="AV24" s="2845"/>
      <c r="AW24" s="2845"/>
      <c r="AX24" s="2845"/>
      <c r="AY24" s="2845"/>
      <c r="AZ24" s="2900"/>
      <c r="BA24" s="2845"/>
      <c r="BB24" s="2845"/>
      <c r="BC24" s="2845"/>
      <c r="BD24" s="2845"/>
      <c r="BE24" s="2845"/>
      <c r="BF24" s="2845"/>
      <c r="BG24" s="2845"/>
      <c r="BH24" s="2845"/>
      <c r="BI24" s="2900"/>
      <c r="BJ24" s="2900"/>
      <c r="BK24" s="2900"/>
      <c r="BL24" s="2889"/>
      <c r="BM24" s="2889"/>
      <c r="BN24" s="2889"/>
      <c r="BO24" s="2843"/>
      <c r="BP24" s="2889"/>
      <c r="BQ24" s="2889"/>
      <c r="BR24" s="2889"/>
      <c r="BS24" s="2889"/>
      <c r="BT24" s="2843"/>
      <c r="BU24" s="2889"/>
      <c r="BV24" s="2889"/>
      <c r="BW24" s="2889"/>
      <c r="BX24" s="2843"/>
      <c r="BY24" s="2843"/>
      <c r="BZ24" s="2843"/>
      <c r="CA24" s="2843"/>
      <c r="CB24" s="2843"/>
      <c r="CC24" s="2843"/>
      <c r="CD24" s="2843"/>
      <c r="CE24" s="2843"/>
      <c r="CF24" s="2843"/>
      <c r="CG24" s="2843"/>
      <c r="CH24" s="2843"/>
      <c r="CI24" s="2843"/>
      <c r="CJ24" s="2843"/>
      <c r="CK24" s="2843"/>
      <c r="CL24" s="2843"/>
      <c r="CM24" s="2843"/>
      <c r="CN24" s="2843"/>
      <c r="CO24" s="2843"/>
      <c r="CP24" s="2843"/>
      <c r="CQ24" s="2843"/>
      <c r="CR24" s="2843"/>
      <c r="CS24" s="2843"/>
      <c r="CT24" s="2912"/>
      <c r="CU24" s="2912"/>
      <c r="CV24" s="2912"/>
      <c r="CW24" s="2912"/>
      <c r="CX24" s="2842"/>
      <c r="CY24" s="2912"/>
      <c r="CZ24" s="2912"/>
      <c r="DA24" s="2912"/>
      <c r="DB24" s="2912"/>
      <c r="DC24" s="2843"/>
      <c r="DD24" s="2843"/>
      <c r="DE24" s="2843"/>
      <c r="DF24" s="2843"/>
      <c r="DG24" s="2843"/>
      <c r="DH24" s="2842"/>
      <c r="DI24" s="2842"/>
      <c r="DJ24" s="2842"/>
      <c r="DK24" s="2842"/>
      <c r="DL24" s="2842"/>
      <c r="DM24" s="2842"/>
      <c r="DN24" s="2842"/>
      <c r="DO24" s="2842"/>
      <c r="DP24" s="2842"/>
      <c r="DQ24" s="2842"/>
      <c r="DR24" s="2026"/>
    </row>
    <row r="25" spans="1:130">
      <c r="A25" s="1691" t="s">
        <v>504</v>
      </c>
      <c r="B25" s="1105"/>
      <c r="C25" s="1105"/>
      <c r="D25" s="1105"/>
      <c r="E25" s="1105"/>
      <c r="F25" s="1105"/>
      <c r="G25" s="1105"/>
      <c r="H25" s="1105">
        <f t="shared" ref="H25:N25" si="40">H27-H26</f>
        <v>-755.6</v>
      </c>
      <c r="I25" s="1654">
        <f t="shared" si="40"/>
        <v>-716.1</v>
      </c>
      <c r="J25" s="1654">
        <f t="shared" si="40"/>
        <v>-694</v>
      </c>
      <c r="K25" s="1654">
        <f t="shared" si="40"/>
        <v>-720.5</v>
      </c>
      <c r="L25" s="1654">
        <f t="shared" si="40"/>
        <v>-565.5</v>
      </c>
      <c r="M25" s="1654">
        <f t="shared" si="40"/>
        <v>-570.9</v>
      </c>
      <c r="N25" s="1654">
        <f t="shared" si="40"/>
        <v>-546.6</v>
      </c>
      <c r="O25" s="1369"/>
      <c r="P25" s="1654">
        <f t="shared" ref="P25:Q28" si="41">M25</f>
        <v>-570.9</v>
      </c>
      <c r="Q25" s="1654">
        <f t="shared" si="41"/>
        <v>-546.6</v>
      </c>
      <c r="R25" s="1654">
        <f>R27-R26</f>
        <v>-542</v>
      </c>
      <c r="S25" s="1654">
        <f>S27-S26</f>
        <v>-528.79999999999995</v>
      </c>
      <c r="T25" s="1796">
        <f>SUM(CE25:CH25)</f>
        <v>-435</v>
      </c>
      <c r="U25" s="1796">
        <f>SUM(CJ25:CM25)</f>
        <v>-402</v>
      </c>
      <c r="V25" s="1780">
        <f>SUM(CO25:CR25)</f>
        <v>-376</v>
      </c>
      <c r="W25" s="1780">
        <f>+SUM(CT25:CW25)</f>
        <v>-363</v>
      </c>
      <c r="X25" s="1743">
        <f t="shared" ref="X25:Y28" si="42">+V25</f>
        <v>-376</v>
      </c>
      <c r="Y25" s="1743">
        <f>+Y27</f>
        <v>-363</v>
      </c>
      <c r="Z25" s="1780">
        <f>+SUM(CY25:DB25)</f>
        <v>-392</v>
      </c>
      <c r="AA25" s="2841">
        <f>AA27-AA26</f>
        <v>-428</v>
      </c>
      <c r="AB25" s="2841">
        <f>AB27-AB26</f>
        <v>-411</v>
      </c>
      <c r="AC25" s="2809">
        <f ca="1">SUM(DI25:DL25)</f>
        <v>-455.76249999999999</v>
      </c>
      <c r="AD25" s="2809">
        <f ca="1">SUM(DN25:DQ25)</f>
        <v>-464.13271260004353</v>
      </c>
      <c r="AE25" s="2029">
        <f ca="1">AE27-AE26</f>
        <v>-440.11341857193656</v>
      </c>
      <c r="AF25" s="2029">
        <f t="shared" ref="AF25:AN25" ca="1" si="43">AF27-AF26</f>
        <v>-433.38259547090985</v>
      </c>
      <c r="AG25" s="2029">
        <f t="shared" ca="1" si="43"/>
        <v>-420.20575000000002</v>
      </c>
      <c r="AH25" s="2029">
        <f t="shared" ca="1" si="43"/>
        <v>-402.049125</v>
      </c>
      <c r="AI25" s="2029">
        <f t="shared" ca="1" si="43"/>
        <v>-376.66841530534543</v>
      </c>
      <c r="AJ25" s="2029">
        <f t="shared" ca="1" si="43"/>
        <v>-351.41703604660472</v>
      </c>
      <c r="AK25" s="2029">
        <f t="shared" ca="1" si="43"/>
        <v>-328.37041901833248</v>
      </c>
      <c r="AL25" s="2029">
        <f t="shared" ca="1" si="43"/>
        <v>-305.52113597454172</v>
      </c>
      <c r="AM25" s="2029">
        <f t="shared" ca="1" si="43"/>
        <v>-287.12303056347071</v>
      </c>
      <c r="AN25" s="2029">
        <f t="shared" ca="1" si="43"/>
        <v>-270.07968772595478</v>
      </c>
      <c r="AO25" s="1654"/>
      <c r="AP25" s="1654"/>
      <c r="AQ25" s="1654"/>
      <c r="AR25" s="1654"/>
      <c r="AS25" s="1654"/>
      <c r="AT25" s="1105"/>
      <c r="AU25" s="3199" t="str">
        <f t="shared" si="3"/>
        <v xml:space="preserve">Cash Interest Expense </v>
      </c>
      <c r="AV25" s="2845"/>
      <c r="AW25" s="2845"/>
      <c r="AX25" s="2845"/>
      <c r="AY25" s="2845"/>
      <c r="AZ25" s="2900"/>
      <c r="BA25" s="2889" t="s">
        <v>737</v>
      </c>
      <c r="BB25" s="2889" t="s">
        <v>737</v>
      </c>
      <c r="BC25" s="2889" t="s">
        <v>737</v>
      </c>
      <c r="BD25" s="2889" t="s">
        <v>737</v>
      </c>
      <c r="BE25" s="2845"/>
      <c r="BF25" s="2801">
        <v>-144.30000000000001</v>
      </c>
      <c r="BG25" s="2801">
        <v>-140.80000000000001</v>
      </c>
      <c r="BH25" s="2801">
        <v>-140.1</v>
      </c>
      <c r="BI25" s="2801">
        <f>L25-BH25-BG25-BF25</f>
        <v>-140.29999999999995</v>
      </c>
      <c r="BJ25" s="3200"/>
      <c r="BK25" s="3070">
        <v>-139.80000000000001</v>
      </c>
      <c r="BL25" s="3070">
        <v>-145.5</v>
      </c>
      <c r="BM25" s="2801">
        <v>-141.69999999999999</v>
      </c>
      <c r="BN25" s="2801">
        <f>M25-BM25-BL25-BK25</f>
        <v>-143.89999999999998</v>
      </c>
      <c r="BO25" s="2806"/>
      <c r="BP25" s="2801">
        <v>-138.69999999999999</v>
      </c>
      <c r="BQ25" s="2801">
        <v>-134.30000000000001</v>
      </c>
      <c r="BR25" s="2801">
        <v>-134.80000000000001</v>
      </c>
      <c r="BS25" s="2801">
        <v>-138.80000000000001</v>
      </c>
      <c r="BT25" s="2902">
        <f>N25-SUM(BP25:BS25)</f>
        <v>0</v>
      </c>
      <c r="BU25" s="2806">
        <v>-133.19999999999999</v>
      </c>
      <c r="BV25" s="2806">
        <v>-133.9</v>
      </c>
      <c r="BW25" s="2806">
        <v>-135.4</v>
      </c>
      <c r="BX25" s="2806">
        <v>-139.5</v>
      </c>
      <c r="BY25" s="2842">
        <f>R25-SUM(BU25:BX25)</f>
        <v>0</v>
      </c>
      <c r="BZ25" s="2806">
        <v>-138</v>
      </c>
      <c r="CA25" s="2806">
        <v>-133.6</v>
      </c>
      <c r="CB25" s="2806">
        <v>-127.8</v>
      </c>
      <c r="CC25" s="2806">
        <v>-129.4</v>
      </c>
      <c r="CD25" s="2842">
        <f>S25-SUM(BZ25:CC25)</f>
        <v>0</v>
      </c>
      <c r="CE25" s="2844">
        <v>-110</v>
      </c>
      <c r="CF25" s="2844">
        <v>-109</v>
      </c>
      <c r="CG25" s="2844">
        <v>-110</v>
      </c>
      <c r="CH25" s="2844">
        <v>-106</v>
      </c>
      <c r="CI25" s="2842">
        <f>T25-SUM(CE25:CH25)</f>
        <v>0</v>
      </c>
      <c r="CJ25" s="2844">
        <v>-110</v>
      </c>
      <c r="CK25" s="2844">
        <v>-104</v>
      </c>
      <c r="CL25" s="2844">
        <v>-94</v>
      </c>
      <c r="CM25" s="2844">
        <v>-94</v>
      </c>
      <c r="CN25" s="2842">
        <f>U25-SUM(CJ25:CM25)</f>
        <v>0</v>
      </c>
      <c r="CO25" s="2844">
        <v>-95</v>
      </c>
      <c r="CP25" s="2844">
        <v>-93</v>
      </c>
      <c r="CQ25" s="2844">
        <v>-93</v>
      </c>
      <c r="CR25" s="2844">
        <v>-95</v>
      </c>
      <c r="CS25" s="2842">
        <f>V25-SUM(CO25:CR25)</f>
        <v>0</v>
      </c>
      <c r="CT25" s="2844">
        <v>-93</v>
      </c>
      <c r="CU25" s="2844">
        <v>-94</v>
      </c>
      <c r="CV25" s="2844">
        <v>-89</v>
      </c>
      <c r="CW25" s="2844">
        <v>-87</v>
      </c>
      <c r="CX25" s="2842">
        <f>$W25-SUM(CT25:CW25)</f>
        <v>0</v>
      </c>
      <c r="CY25" s="2844">
        <v>-93</v>
      </c>
      <c r="CZ25" s="2844">
        <v>-94</v>
      </c>
      <c r="DA25" s="2844">
        <v>-102</v>
      </c>
      <c r="DB25" s="2844">
        <v>-103</v>
      </c>
      <c r="DC25" s="2842">
        <f>$Z25-SUM(CY25:DB25)</f>
        <v>0</v>
      </c>
      <c r="DD25" s="2844">
        <v>-100</v>
      </c>
      <c r="DE25" s="2844">
        <v>-100</v>
      </c>
      <c r="DF25" s="2844">
        <v>-104</v>
      </c>
      <c r="DG25" s="2844">
        <v>-107</v>
      </c>
      <c r="DH25" s="2842">
        <f t="shared" si="30"/>
        <v>0</v>
      </c>
      <c r="DI25" s="2844">
        <v>-109</v>
      </c>
      <c r="DJ25" s="2844">
        <v>-111</v>
      </c>
      <c r="DK25" s="2844">
        <v>-116</v>
      </c>
      <c r="DL25" s="3036">
        <f ca="1">DL27-DL26</f>
        <v>-119.7625</v>
      </c>
      <c r="DM25" s="2842">
        <f t="shared" ca="1" si="7"/>
        <v>0</v>
      </c>
      <c r="DN25" s="3036">
        <f ca="1">DN27-DN26</f>
        <v>-116.03317815001088</v>
      </c>
      <c r="DO25" s="3036">
        <f t="shared" ref="DO25:DP25" ca="1" si="44">DO27-DO26</f>
        <v>-116.03317815001088</v>
      </c>
      <c r="DP25" s="3036">
        <f t="shared" ca="1" si="44"/>
        <v>-116.03317815001088</v>
      </c>
      <c r="DQ25" s="3036">
        <f ca="1">DQ27-DQ26</f>
        <v>-116.03317815001088</v>
      </c>
      <c r="DR25" s="2026">
        <f t="shared" ref="DR25:DR28" ca="1" si="45">AD25-SUM(DN25:DQ25)</f>
        <v>0</v>
      </c>
      <c r="DZ25" s="2135" t="s">
        <v>337</v>
      </c>
    </row>
    <row r="26" spans="1:130">
      <c r="A26" s="1686" t="s">
        <v>505</v>
      </c>
      <c r="B26" s="1635"/>
      <c r="C26" s="1635"/>
      <c r="D26" s="1635"/>
      <c r="E26" s="1635"/>
      <c r="F26" s="1635"/>
      <c r="G26" s="1635"/>
      <c r="H26" s="1635">
        <v>0</v>
      </c>
      <c r="I26" s="1635">
        <v>0</v>
      </c>
      <c r="J26" s="1635">
        <v>0</v>
      </c>
      <c r="K26" s="1635">
        <v>0</v>
      </c>
      <c r="L26" s="1635">
        <v>0</v>
      </c>
      <c r="M26" s="1635">
        <v>0</v>
      </c>
      <c r="N26" s="1635">
        <v>0</v>
      </c>
      <c r="O26" s="1369"/>
      <c r="P26" s="1635">
        <f t="shared" si="41"/>
        <v>0</v>
      </c>
      <c r="Q26" s="1635">
        <f t="shared" si="41"/>
        <v>0</v>
      </c>
      <c r="R26" s="1635">
        <v>0</v>
      </c>
      <c r="S26" s="1635">
        <v>0</v>
      </c>
      <c r="T26" s="1635">
        <v>0</v>
      </c>
      <c r="U26" s="1635">
        <v>0</v>
      </c>
      <c r="V26" s="1635">
        <v>0</v>
      </c>
      <c r="W26" s="1635">
        <v>0</v>
      </c>
      <c r="X26" s="1634">
        <f t="shared" si="42"/>
        <v>0</v>
      </c>
      <c r="Y26" s="1634">
        <f t="shared" si="42"/>
        <v>0</v>
      </c>
      <c r="Z26" s="1635">
        <v>0</v>
      </c>
      <c r="AA26" s="2829">
        <v>0</v>
      </c>
      <c r="AB26" s="2829">
        <v>0</v>
      </c>
      <c r="AC26" s="2829">
        <v>0</v>
      </c>
      <c r="AD26" s="2829">
        <v>0</v>
      </c>
      <c r="AE26" s="1635">
        <v>0</v>
      </c>
      <c r="AF26" s="1635">
        <v>0</v>
      </c>
      <c r="AG26" s="1635">
        <v>0</v>
      </c>
      <c r="AH26" s="1635">
        <v>0</v>
      </c>
      <c r="AI26" s="1635">
        <v>0</v>
      </c>
      <c r="AJ26" s="1635">
        <v>0</v>
      </c>
      <c r="AK26" s="1635">
        <v>0</v>
      </c>
      <c r="AL26" s="1635">
        <v>0</v>
      </c>
      <c r="AM26" s="1635">
        <v>0</v>
      </c>
      <c r="AN26" s="1635">
        <v>0</v>
      </c>
      <c r="AO26" s="1635"/>
      <c r="AP26" s="1635"/>
      <c r="AQ26" s="1635"/>
      <c r="AR26" s="1635"/>
      <c r="AS26" s="1635"/>
      <c r="AT26" s="1635"/>
      <c r="AU26" s="3201" t="str">
        <f t="shared" si="3"/>
        <v>Noncash Interest Expense</v>
      </c>
      <c r="AV26" s="2845"/>
      <c r="AW26" s="2845"/>
      <c r="AX26" s="2845"/>
      <c r="AY26" s="2845"/>
      <c r="AZ26" s="2900"/>
      <c r="BA26" s="2889" t="s">
        <v>737</v>
      </c>
      <c r="BB26" s="2889" t="s">
        <v>737</v>
      </c>
      <c r="BC26" s="2889" t="s">
        <v>737</v>
      </c>
      <c r="BD26" s="2889" t="s">
        <v>737</v>
      </c>
      <c r="BE26" s="2845"/>
      <c r="BF26" s="2829">
        <v>0</v>
      </c>
      <c r="BG26" s="2829">
        <v>0</v>
      </c>
      <c r="BH26" s="2829">
        <v>0</v>
      </c>
      <c r="BI26" s="2829">
        <f>L26-BH26-BG26-BF26</f>
        <v>0</v>
      </c>
      <c r="BJ26" s="2901">
        <f>L26-SUM(BF26:BI26)</f>
        <v>0</v>
      </c>
      <c r="BK26" s="2829">
        <v>0</v>
      </c>
      <c r="BL26" s="2829">
        <v>0</v>
      </c>
      <c r="BM26" s="2829">
        <v>0</v>
      </c>
      <c r="BN26" s="2829">
        <f>M26-SUM(BK26:BM26)</f>
        <v>0</v>
      </c>
      <c r="BO26" s="2902"/>
      <c r="BP26" s="2829">
        <v>0</v>
      </c>
      <c r="BQ26" s="2829">
        <v>0</v>
      </c>
      <c r="BR26" s="2829">
        <v>0</v>
      </c>
      <c r="BS26" s="2829">
        <f>U26-SUM(BP26:BR26)</f>
        <v>0</v>
      </c>
      <c r="BT26" s="2902">
        <f>N26-SUM(BP26:BS26)</f>
        <v>0</v>
      </c>
      <c r="BU26" s="2829">
        <f>W26-SUM(BR26:BT26)</f>
        <v>0</v>
      </c>
      <c r="BV26" s="2829">
        <f>Z26-SUM(BS26:BU26)</f>
        <v>0</v>
      </c>
      <c r="BW26" s="2829">
        <f>AA26-SUM(BT26:BV26)</f>
        <v>0</v>
      </c>
      <c r="BX26" s="2829">
        <f>AC26-SUM(BU26:BW26)</f>
        <v>0</v>
      </c>
      <c r="BY26" s="2842">
        <f>R26-SUM(BU26:BX26)</f>
        <v>0</v>
      </c>
      <c r="BZ26" s="2829">
        <v>0</v>
      </c>
      <c r="CA26" s="2829">
        <v>0</v>
      </c>
      <c r="CB26" s="2829">
        <v>0</v>
      </c>
      <c r="CC26" s="2829">
        <v>0</v>
      </c>
      <c r="CD26" s="2842">
        <f>S26-SUM(BZ26:CC26)</f>
        <v>0</v>
      </c>
      <c r="CE26" s="2829">
        <v>0</v>
      </c>
      <c r="CF26" s="2829">
        <v>0</v>
      </c>
      <c r="CG26" s="2829">
        <v>0</v>
      </c>
      <c r="CH26" s="2829">
        <v>0</v>
      </c>
      <c r="CI26" s="2842">
        <f>T26-SUM(CE26:CH26)</f>
        <v>0</v>
      </c>
      <c r="CJ26" s="2829">
        <v>0</v>
      </c>
      <c r="CK26" s="2829">
        <v>0</v>
      </c>
      <c r="CL26" s="2829">
        <v>0</v>
      </c>
      <c r="CM26" s="2829">
        <v>0</v>
      </c>
      <c r="CN26" s="2842"/>
      <c r="CO26" s="2829">
        <v>0</v>
      </c>
      <c r="CP26" s="2829">
        <v>0</v>
      </c>
      <c r="CQ26" s="2829">
        <v>0</v>
      </c>
      <c r="CR26" s="2829">
        <v>0</v>
      </c>
      <c r="CS26" s="2842"/>
      <c r="CT26" s="2829">
        <v>0</v>
      </c>
      <c r="CU26" s="2829">
        <v>0</v>
      </c>
      <c r="CV26" s="2829">
        <v>0</v>
      </c>
      <c r="CW26" s="2829">
        <v>0</v>
      </c>
      <c r="CX26" s="2842"/>
      <c r="CY26" s="2829">
        <v>0</v>
      </c>
      <c r="CZ26" s="2829">
        <v>0</v>
      </c>
      <c r="DA26" s="2829">
        <v>0</v>
      </c>
      <c r="DB26" s="2829">
        <v>0</v>
      </c>
      <c r="DC26" s="2842"/>
      <c r="DD26" s="2829">
        <v>0</v>
      </c>
      <c r="DE26" s="2829">
        <v>0</v>
      </c>
      <c r="DF26" s="2829">
        <v>0</v>
      </c>
      <c r="DG26" s="2829">
        <v>0</v>
      </c>
      <c r="DH26" s="2842">
        <f t="shared" si="30"/>
        <v>0</v>
      </c>
      <c r="DI26" s="2829">
        <v>0</v>
      </c>
      <c r="DJ26" s="2829">
        <v>0</v>
      </c>
      <c r="DK26" s="2829">
        <v>0</v>
      </c>
      <c r="DL26" s="2829">
        <v>0</v>
      </c>
      <c r="DM26" s="2842">
        <f t="shared" si="7"/>
        <v>0</v>
      </c>
      <c r="DN26" s="2842">
        <v>0</v>
      </c>
      <c r="DO26" s="2842">
        <v>0</v>
      </c>
      <c r="DP26" s="2842">
        <v>0</v>
      </c>
      <c r="DQ26" s="2842">
        <v>0</v>
      </c>
      <c r="DR26" s="2026">
        <f t="shared" si="45"/>
        <v>0</v>
      </c>
    </row>
    <row r="27" spans="1:130">
      <c r="A27" s="1686" t="s">
        <v>1013</v>
      </c>
      <c r="B27" s="1635"/>
      <c r="C27" s="1635"/>
      <c r="D27" s="1635"/>
      <c r="E27" s="1635"/>
      <c r="F27" s="1635"/>
      <c r="G27" s="1635"/>
      <c r="H27" s="1796">
        <f t="shared" ref="H27:N27" si="46">H31-H28</f>
        <v>-755.6</v>
      </c>
      <c r="I27" s="1796">
        <f t="shared" si="46"/>
        <v>-716.1</v>
      </c>
      <c r="J27" s="1796">
        <f t="shared" si="46"/>
        <v>-694</v>
      </c>
      <c r="K27" s="1796">
        <f t="shared" si="46"/>
        <v>-720.5</v>
      </c>
      <c r="L27" s="1796">
        <f t="shared" si="46"/>
        <v>-565.5</v>
      </c>
      <c r="M27" s="1796">
        <f t="shared" si="46"/>
        <v>-570.9</v>
      </c>
      <c r="N27" s="1796">
        <f t="shared" si="46"/>
        <v>-546.6</v>
      </c>
      <c r="O27" s="1369"/>
      <c r="P27" s="1525">
        <f t="shared" si="41"/>
        <v>-570.9</v>
      </c>
      <c r="Q27" s="1525">
        <f t="shared" si="41"/>
        <v>-546.6</v>
      </c>
      <c r="R27" s="1796">
        <f>R31-R28</f>
        <v>-542</v>
      </c>
      <c r="S27" s="1796">
        <f>S31-S28</f>
        <v>-528.79999999999995</v>
      </c>
      <c r="T27" s="1796">
        <f>T31-T28</f>
        <v>-435</v>
      </c>
      <c r="U27" s="1796">
        <f>U31-U28</f>
        <v>-402</v>
      </c>
      <c r="V27" s="1780">
        <f>SUM(CO27:CR27)</f>
        <v>-376</v>
      </c>
      <c r="W27" s="1780">
        <f>+SUM(CT27:CW27)</f>
        <v>-363</v>
      </c>
      <c r="X27" s="1895">
        <f>+V27+1</f>
        <v>-375</v>
      </c>
      <c r="Y27" s="1743">
        <f>+W27</f>
        <v>-363</v>
      </c>
      <c r="Z27" s="1780">
        <f>+SUM(CY27:DB27)</f>
        <v>-392</v>
      </c>
      <c r="AA27" s="2809">
        <f>AB27-17</f>
        <v>-428</v>
      </c>
      <c r="AB27" s="2809">
        <f>SUM(DD27:DG27)</f>
        <v>-411</v>
      </c>
      <c r="AC27" s="2809">
        <f ca="1">SUM(DI27:DL27)</f>
        <v>-455.76249999999999</v>
      </c>
      <c r="AD27" s="2809">
        <f ca="1">SUM(DN27:DQ27)</f>
        <v>-464.13271260004353</v>
      </c>
      <c r="AE27" s="1907">
        <f ca="1">-AE418</f>
        <v>-440.11341857193656</v>
      </c>
      <c r="AF27" s="1907">
        <f t="shared" ref="AF27:AK27" ca="1" si="47">-AF418</f>
        <v>-433.38259547090985</v>
      </c>
      <c r="AG27" s="1907">
        <f t="shared" ca="1" si="47"/>
        <v>-420.20575000000002</v>
      </c>
      <c r="AH27" s="1907">
        <f t="shared" ca="1" si="47"/>
        <v>-402.049125</v>
      </c>
      <c r="AI27" s="1907">
        <f t="shared" ca="1" si="47"/>
        <v>-376.66841530534543</v>
      </c>
      <c r="AJ27" s="1907">
        <f t="shared" ca="1" si="47"/>
        <v>-351.41703604660472</v>
      </c>
      <c r="AK27" s="1907">
        <f t="shared" ca="1" si="47"/>
        <v>-328.37041901833248</v>
      </c>
      <c r="AL27" s="1907">
        <f ca="1">-AL418</f>
        <v>-305.52113597454172</v>
      </c>
      <c r="AM27" s="1907">
        <f ca="1">-AM418</f>
        <v>-287.12303056347071</v>
      </c>
      <c r="AN27" s="1907">
        <f ca="1">-AN418</f>
        <v>-270.07968772595478</v>
      </c>
      <c r="AO27" s="1525"/>
      <c r="AP27" s="1525"/>
      <c r="AQ27" s="1525"/>
      <c r="AR27" s="1525"/>
      <c r="AS27" s="1525"/>
      <c r="AT27" s="1525"/>
      <c r="AU27" s="3201" t="str">
        <f t="shared" si="3"/>
        <v xml:space="preserve">Total Interest Expense </v>
      </c>
      <c r="AV27" s="2845"/>
      <c r="AW27" s="2845"/>
      <c r="AX27" s="2845"/>
      <c r="AY27" s="2845"/>
      <c r="AZ27" s="2900"/>
      <c r="BA27" s="2889" t="s">
        <v>737</v>
      </c>
      <c r="BB27" s="2889" t="s">
        <v>737</v>
      </c>
      <c r="BC27" s="2889" t="s">
        <v>737</v>
      </c>
      <c r="BD27" s="2889" t="s">
        <v>737</v>
      </c>
      <c r="BE27" s="2845"/>
      <c r="BF27" s="2845">
        <f>BF26+BF25</f>
        <v>-144.30000000000001</v>
      </c>
      <c r="BG27" s="2845">
        <f>BG26+BG25</f>
        <v>-140.80000000000001</v>
      </c>
      <c r="BH27" s="2845">
        <f>BH26+BH25</f>
        <v>-140.1</v>
      </c>
      <c r="BI27" s="2845">
        <f>BI26+BI25</f>
        <v>-140.29999999999995</v>
      </c>
      <c r="BJ27" s="3200"/>
      <c r="BK27" s="2845">
        <f>BK26+BK25</f>
        <v>-139.80000000000001</v>
      </c>
      <c r="BL27" s="2845">
        <f>BL26+BL25</f>
        <v>-145.5</v>
      </c>
      <c r="BM27" s="2845">
        <f>BM26+BM25</f>
        <v>-141.69999999999999</v>
      </c>
      <c r="BN27" s="2845">
        <f>BN26+BN25</f>
        <v>-143.89999999999998</v>
      </c>
      <c r="BO27" s="2806"/>
      <c r="BP27" s="2845">
        <f>BP26+BP25</f>
        <v>-138.69999999999999</v>
      </c>
      <c r="BQ27" s="2845">
        <f>BQ26+BQ25</f>
        <v>-134.30000000000001</v>
      </c>
      <c r="BR27" s="2845">
        <f>BR26+BR25</f>
        <v>-134.80000000000001</v>
      </c>
      <c r="BS27" s="2845">
        <f>BS26+BS25</f>
        <v>-138.80000000000001</v>
      </c>
      <c r="BT27" s="2902">
        <f>N27-SUM(BP27:BS27)</f>
        <v>0</v>
      </c>
      <c r="BU27" s="2845">
        <f>BU26+BU25</f>
        <v>-133.19999999999999</v>
      </c>
      <c r="BV27" s="2845">
        <f>BV26+BV25</f>
        <v>-133.9</v>
      </c>
      <c r="BW27" s="2845">
        <f>BW26+BW25</f>
        <v>-135.4</v>
      </c>
      <c r="BX27" s="2845">
        <f>BX26+BX25</f>
        <v>-139.5</v>
      </c>
      <c r="BY27" s="2842">
        <f>R27-SUM(BU27:BX27)</f>
        <v>0</v>
      </c>
      <c r="BZ27" s="2845">
        <f>BZ26+BZ25</f>
        <v>-138</v>
      </c>
      <c r="CA27" s="2845">
        <f>CA26+CA25</f>
        <v>-133.6</v>
      </c>
      <c r="CB27" s="2845">
        <f>CB26+CB25</f>
        <v>-127.8</v>
      </c>
      <c r="CC27" s="2845">
        <f>CC26+CC25</f>
        <v>-129.4</v>
      </c>
      <c r="CD27" s="2842">
        <f>S27-SUM(BZ27:CC27)</f>
        <v>0</v>
      </c>
      <c r="CE27" s="2845">
        <f>CE26+CE25</f>
        <v>-110</v>
      </c>
      <c r="CF27" s="2845">
        <f>CF26+CF25</f>
        <v>-109</v>
      </c>
      <c r="CG27" s="2845">
        <f>CG26+CG25</f>
        <v>-110</v>
      </c>
      <c r="CH27" s="2845">
        <f>CH26+CH25</f>
        <v>-106</v>
      </c>
      <c r="CI27" s="2842">
        <f>T27-SUM(CE27:CH27)</f>
        <v>0</v>
      </c>
      <c r="CJ27" s="2845">
        <f>CJ26+CJ25</f>
        <v>-110</v>
      </c>
      <c r="CK27" s="2845">
        <f>CK26+CK25</f>
        <v>-104</v>
      </c>
      <c r="CL27" s="2845">
        <f>CL26+CL25</f>
        <v>-94</v>
      </c>
      <c r="CM27" s="2845">
        <f>CM26+CM25</f>
        <v>-94</v>
      </c>
      <c r="CN27" s="2842">
        <f>U27-SUM(CJ27:CM27)</f>
        <v>0</v>
      </c>
      <c r="CO27" s="2845">
        <f>CO26+CO25</f>
        <v>-95</v>
      </c>
      <c r="CP27" s="2845">
        <f>CP26+CP25</f>
        <v>-93</v>
      </c>
      <c r="CQ27" s="2845">
        <f>CQ26+CQ25</f>
        <v>-93</v>
      </c>
      <c r="CR27" s="2845">
        <f>CR26+CR25</f>
        <v>-95</v>
      </c>
      <c r="CS27" s="2842">
        <f>V27-SUM(CO27:CR27)</f>
        <v>0</v>
      </c>
      <c r="CT27" s="2845">
        <f>CT26+CT25</f>
        <v>-93</v>
      </c>
      <c r="CU27" s="2845">
        <f>CU26+CU25</f>
        <v>-94</v>
      </c>
      <c r="CV27" s="2845">
        <f>CV26+CV25</f>
        <v>-89</v>
      </c>
      <c r="CW27" s="2845">
        <f>CW26+CW25</f>
        <v>-87</v>
      </c>
      <c r="CX27" s="2842">
        <f>$W27-SUM(CT27:CW27)</f>
        <v>0</v>
      </c>
      <c r="CY27" s="2845">
        <f>CY26+CY25</f>
        <v>-93</v>
      </c>
      <c r="CZ27" s="2845">
        <f>CZ26+CZ25</f>
        <v>-94</v>
      </c>
      <c r="DA27" s="2845">
        <f>DA26+DA25</f>
        <v>-102</v>
      </c>
      <c r="DB27" s="2845">
        <f>DB26+DB25</f>
        <v>-103</v>
      </c>
      <c r="DC27" s="2842"/>
      <c r="DD27" s="2845">
        <f>DD26+DD25</f>
        <v>-100</v>
      </c>
      <c r="DE27" s="2845">
        <f>DE26+DE25</f>
        <v>-100</v>
      </c>
      <c r="DF27" s="2845">
        <f>DF26+DF25</f>
        <v>-104</v>
      </c>
      <c r="DG27" s="2845">
        <f>DG26+DG25</f>
        <v>-107</v>
      </c>
      <c r="DH27" s="2842">
        <f t="shared" si="30"/>
        <v>0</v>
      </c>
      <c r="DI27" s="2845">
        <f>DI26+DI25</f>
        <v>-109</v>
      </c>
      <c r="DJ27" s="2845">
        <f t="shared" ref="DJ27:DK27" si="48">DJ26+DJ25</f>
        <v>-111</v>
      </c>
      <c r="DK27" s="2845">
        <f t="shared" si="48"/>
        <v>-116</v>
      </c>
      <c r="DL27" s="2846">
        <f ca="1">-DL418</f>
        <v>-119.7625</v>
      </c>
      <c r="DM27" s="2842">
        <f t="shared" ca="1" si="7"/>
        <v>0</v>
      </c>
      <c r="DN27" s="2846">
        <f t="shared" ref="DN27:DP27" ca="1" si="49">-DN418</f>
        <v>-116.03317815001088</v>
      </c>
      <c r="DO27" s="2846">
        <f t="shared" ca="1" si="49"/>
        <v>-116.03317815001088</v>
      </c>
      <c r="DP27" s="2846">
        <f t="shared" ca="1" si="49"/>
        <v>-116.03317815001088</v>
      </c>
      <c r="DQ27" s="2846">
        <f ca="1">-DQ418</f>
        <v>-116.03317815001088</v>
      </c>
      <c r="DR27" s="2026">
        <f t="shared" ca="1" si="45"/>
        <v>0</v>
      </c>
    </row>
    <row r="28" spans="1:130">
      <c r="A28" s="1686" t="s">
        <v>506</v>
      </c>
      <c r="B28" s="1635"/>
      <c r="C28" s="1635"/>
      <c r="D28" s="1635"/>
      <c r="E28" s="1635"/>
      <c r="F28" s="1635"/>
      <c r="G28" s="1635"/>
      <c r="H28" s="1635">
        <f>I28</f>
        <v>9.1999999999999993</v>
      </c>
      <c r="I28" s="1635">
        <v>9.1999999999999993</v>
      </c>
      <c r="J28" s="1635">
        <v>21.8</v>
      </c>
      <c r="K28" s="1635">
        <v>21.4</v>
      </c>
      <c r="L28" s="1635">
        <v>112.1</v>
      </c>
      <c r="M28" s="1635">
        <v>116.1</v>
      </c>
      <c r="N28" s="1636">
        <v>42.2</v>
      </c>
      <c r="O28" s="1369"/>
      <c r="P28" s="1105">
        <f t="shared" si="41"/>
        <v>116.1</v>
      </c>
      <c r="Q28" s="1105">
        <f t="shared" si="41"/>
        <v>42.2</v>
      </c>
      <c r="R28" s="1636">
        <f>SUM(BU28:BX28)</f>
        <v>6.7</v>
      </c>
      <c r="S28" s="1636">
        <f>SUM(BZ28:CC28)</f>
        <v>5.5</v>
      </c>
      <c r="T28" s="1636">
        <f>SUM(CE28:CH28)</f>
        <v>6</v>
      </c>
      <c r="U28" s="1636">
        <f>SUM(CJ28:CM28)</f>
        <v>6</v>
      </c>
      <c r="V28" s="1896">
        <f>SUM(CO28:CR28)</f>
        <v>8</v>
      </c>
      <c r="W28" s="1896">
        <f>+SUM(CT28:CW28)</f>
        <v>13</v>
      </c>
      <c r="X28" s="1634">
        <f t="shared" si="42"/>
        <v>8</v>
      </c>
      <c r="Y28" s="1634">
        <f t="shared" si="42"/>
        <v>13</v>
      </c>
      <c r="Z28" s="1896">
        <f>+SUM(CY28:DB28)</f>
        <v>24</v>
      </c>
      <c r="AA28" s="2809">
        <f>SUM(DD28:DG28)</f>
        <v>32</v>
      </c>
      <c r="AB28" s="2809">
        <f>SUM(DD28:DG28)</f>
        <v>32</v>
      </c>
      <c r="AC28" s="2809">
        <f>SUM(DI28:DL28)</f>
        <v>62</v>
      </c>
      <c r="AD28" s="2809">
        <f>SUM(DN28:DQ28)</f>
        <v>64</v>
      </c>
      <c r="AE28" s="1634">
        <f t="shared" ref="AE28:AN28" ca="1" si="50">AVERAGE(AD186:AE186)*AE29</f>
        <v>18.43359084660683</v>
      </c>
      <c r="AF28" s="1634">
        <f t="shared" ca="1" si="50"/>
        <v>10.94845178399304</v>
      </c>
      <c r="AG28" s="1634">
        <f t="shared" ca="1" si="50"/>
        <v>13.777244540205391</v>
      </c>
      <c r="AH28" s="1634">
        <f t="shared" ca="1" si="50"/>
        <v>15.104669485074954</v>
      </c>
      <c r="AI28" s="1634">
        <f t="shared" ca="1" si="50"/>
        <v>12.275876728862603</v>
      </c>
      <c r="AJ28" s="1634">
        <f t="shared" ca="1" si="50"/>
        <v>10.000000000000002</v>
      </c>
      <c r="AK28" s="1634">
        <f t="shared" ca="1" si="50"/>
        <v>10.000000000000002</v>
      </c>
      <c r="AL28" s="1634">
        <f t="shared" ca="1" si="50"/>
        <v>10.000000000000002</v>
      </c>
      <c r="AM28" s="1634">
        <f t="shared" ca="1" si="50"/>
        <v>10.000000000000002</v>
      </c>
      <c r="AN28" s="1634">
        <f t="shared" ca="1" si="50"/>
        <v>10.000000000000002</v>
      </c>
      <c r="AO28" s="1105"/>
      <c r="AP28" s="1105"/>
      <c r="AQ28" s="1105"/>
      <c r="AR28" s="1105"/>
      <c r="AS28" s="1105"/>
      <c r="AT28" s="1105"/>
      <c r="AU28" s="3201" t="str">
        <f t="shared" si="3"/>
        <v>Interest Income</v>
      </c>
      <c r="AV28" s="2845"/>
      <c r="AW28" s="2845"/>
      <c r="AX28" s="2845"/>
      <c r="AY28" s="2845"/>
      <c r="AZ28" s="2900"/>
      <c r="BA28" s="2889" t="s">
        <v>737</v>
      </c>
      <c r="BB28" s="2889" t="s">
        <v>737</v>
      </c>
      <c r="BC28" s="2889" t="s">
        <v>737</v>
      </c>
      <c r="BD28" s="2889" t="s">
        <v>737</v>
      </c>
      <c r="BE28" s="2829"/>
      <c r="BF28" s="2804">
        <v>12.6</v>
      </c>
      <c r="BG28" s="2804">
        <v>18.5</v>
      </c>
      <c r="BH28" s="2804">
        <v>41.4</v>
      </c>
      <c r="BI28" s="2804">
        <v>39.6</v>
      </c>
      <c r="BJ28" s="3200">
        <v>0</v>
      </c>
      <c r="BK28" s="2804">
        <v>39.299999999999997</v>
      </c>
      <c r="BL28" s="2804">
        <v>33.799999999999997</v>
      </c>
      <c r="BM28" s="2804">
        <v>30</v>
      </c>
      <c r="BN28" s="2804">
        <v>13</v>
      </c>
      <c r="BO28" s="2806"/>
      <c r="BP28" s="2829">
        <v>17.600000000000001</v>
      </c>
      <c r="BQ28" s="2829">
        <v>15.2</v>
      </c>
      <c r="BR28" s="2829">
        <v>6.4</v>
      </c>
      <c r="BS28" s="2829">
        <v>3</v>
      </c>
      <c r="BT28" s="2902">
        <f>N28-SUM(BP28:BS28)</f>
        <v>0</v>
      </c>
      <c r="BU28" s="2878">
        <v>2.2999999999999998</v>
      </c>
      <c r="BV28" s="2878">
        <v>1.1000000000000001</v>
      </c>
      <c r="BW28" s="2878">
        <v>1.6</v>
      </c>
      <c r="BX28" s="2878">
        <v>1.7</v>
      </c>
      <c r="BY28" s="2842">
        <f>R28-SUM(BU28:BX28)</f>
        <v>0</v>
      </c>
      <c r="BZ28" s="2847">
        <v>1.1000000000000001</v>
      </c>
      <c r="CA28" s="2847">
        <v>1.1000000000000001</v>
      </c>
      <c r="CB28" s="2847">
        <v>1.4</v>
      </c>
      <c r="CC28" s="2847">
        <v>1.9</v>
      </c>
      <c r="CD28" s="2842">
        <f>S28-SUM(BZ28:CC28)</f>
        <v>0</v>
      </c>
      <c r="CE28" s="2847">
        <v>2</v>
      </c>
      <c r="CF28" s="2847">
        <v>1</v>
      </c>
      <c r="CG28" s="2847">
        <v>1</v>
      </c>
      <c r="CH28" s="2847">
        <v>2</v>
      </c>
      <c r="CI28" s="2842">
        <f>T28-SUM(CE28:CH28)</f>
        <v>0</v>
      </c>
      <c r="CJ28" s="2847">
        <v>2</v>
      </c>
      <c r="CK28" s="2847">
        <v>1</v>
      </c>
      <c r="CL28" s="2847">
        <v>1</v>
      </c>
      <c r="CM28" s="2847">
        <v>2</v>
      </c>
      <c r="CN28" s="2842">
        <f>U28-SUM(CJ28:CM28)</f>
        <v>0</v>
      </c>
      <c r="CO28" s="2847">
        <v>2</v>
      </c>
      <c r="CP28" s="2847">
        <v>2</v>
      </c>
      <c r="CQ28" s="2847">
        <v>2</v>
      </c>
      <c r="CR28" s="2847">
        <v>2</v>
      </c>
      <c r="CS28" s="2842">
        <f>V28-SUM(CO28:CR28)</f>
        <v>0</v>
      </c>
      <c r="CT28" s="2847">
        <v>3</v>
      </c>
      <c r="CU28" s="2847">
        <v>3</v>
      </c>
      <c r="CV28" s="2847">
        <v>4</v>
      </c>
      <c r="CW28" s="2847">
        <v>3</v>
      </c>
      <c r="CX28" s="2842">
        <f>$W28-SUM(CT28:CW28)</f>
        <v>0</v>
      </c>
      <c r="CY28" s="2847">
        <v>5</v>
      </c>
      <c r="CZ28" s="2847">
        <v>7</v>
      </c>
      <c r="DA28" s="2847">
        <v>6</v>
      </c>
      <c r="DB28" s="2847">
        <v>6</v>
      </c>
      <c r="DC28" s="2842">
        <f>$Z28-SUM(CY28:DB28)</f>
        <v>0</v>
      </c>
      <c r="DD28" s="2847">
        <v>7</v>
      </c>
      <c r="DE28" s="2847">
        <v>8</v>
      </c>
      <c r="DF28" s="2847">
        <v>7</v>
      </c>
      <c r="DG28" s="2847">
        <v>10</v>
      </c>
      <c r="DH28" s="2842">
        <f t="shared" si="30"/>
        <v>0</v>
      </c>
      <c r="DI28" s="2848">
        <v>13</v>
      </c>
      <c r="DJ28" s="2848">
        <v>15</v>
      </c>
      <c r="DK28" s="2848">
        <v>17</v>
      </c>
      <c r="DL28" s="2848">
        <v>17</v>
      </c>
      <c r="DM28" s="2842">
        <f t="shared" si="7"/>
        <v>0</v>
      </c>
      <c r="DN28" s="2842">
        <v>15</v>
      </c>
      <c r="DO28" s="2842">
        <f t="shared" ref="DO28:DQ28" si="51">DJ28</f>
        <v>15</v>
      </c>
      <c r="DP28" s="2842">
        <f t="shared" si="51"/>
        <v>17</v>
      </c>
      <c r="DQ28" s="2842">
        <f t="shared" si="51"/>
        <v>17</v>
      </c>
      <c r="DR28" s="2026">
        <f t="shared" si="45"/>
        <v>0</v>
      </c>
    </row>
    <row r="29" spans="1:130">
      <c r="A29" s="1887" t="s">
        <v>507</v>
      </c>
      <c r="B29" s="1897"/>
      <c r="C29" s="1897"/>
      <c r="D29" s="1897"/>
      <c r="E29" s="1897"/>
      <c r="F29" s="1897"/>
      <c r="G29" s="1897"/>
      <c r="H29" s="1897"/>
      <c r="I29" s="1897"/>
      <c r="J29" s="1630">
        <f>J28/I186</f>
        <v>3.3854085784389205E-2</v>
      </c>
      <c r="K29" s="1630">
        <f>K28/J186</f>
        <v>2.7499357491647388E-2</v>
      </c>
      <c r="L29" s="1630">
        <f>L28/AVERAGE(K186,L186)</f>
        <v>4.8953033909037318E-2</v>
      </c>
      <c r="M29" s="1630">
        <f>M28/AVERAGE(L186,M186)</f>
        <v>5.2516114440800628E-2</v>
      </c>
      <c r="N29" s="1630">
        <f>N28/AVERAGE(M186,N186)</f>
        <v>4.7780797101449279E-2</v>
      </c>
      <c r="O29" s="1369"/>
      <c r="P29" s="1630"/>
      <c r="Q29" s="1630"/>
      <c r="R29" s="1630">
        <f t="shared" ref="R29:W29" si="52">R28/AVERAGE(N186,R186)</f>
        <v>1.1793698292554127E-2</v>
      </c>
      <c r="S29" s="1630">
        <f t="shared" si="52"/>
        <v>1.1458333333333333E-2</v>
      </c>
      <c r="T29" s="1630">
        <f t="shared" si="52"/>
        <v>9.0909090909090905E-3</v>
      </c>
      <c r="U29" s="1630">
        <f t="shared" si="52"/>
        <v>8.4745762711864406E-3</v>
      </c>
      <c r="V29" s="1630">
        <f t="shared" si="52"/>
        <v>1.436652599443297E-2</v>
      </c>
      <c r="W29" s="1630">
        <f t="shared" si="52"/>
        <v>2.8634361233480177E-2</v>
      </c>
      <c r="X29" s="1737"/>
      <c r="Y29" s="1737"/>
      <c r="Z29" s="1630">
        <f>Z28/AVERAGE(W186,Z186)</f>
        <v>6.4429530201342289E-2</v>
      </c>
      <c r="AA29" s="2888">
        <f>AA28/AVERAGE(Z186,AA186)</f>
        <v>6.9945355191256831E-2</v>
      </c>
      <c r="AB29" s="2888"/>
      <c r="AC29" s="2888">
        <f ca="1">AC28/AVERAGE(AA186,AC186)</f>
        <v>0.11292746231956677</v>
      </c>
      <c r="AD29" s="2888">
        <v>4.2000000000000003E-2</v>
      </c>
      <c r="AE29" s="1482">
        <v>0.03</v>
      </c>
      <c r="AF29" s="1482">
        <v>0.02</v>
      </c>
      <c r="AG29" s="1482">
        <f t="shared" ref="AG29:AN29" si="53">AF29</f>
        <v>0.02</v>
      </c>
      <c r="AH29" s="1482">
        <f t="shared" si="53"/>
        <v>0.02</v>
      </c>
      <c r="AI29" s="1482">
        <f t="shared" si="53"/>
        <v>0.02</v>
      </c>
      <c r="AJ29" s="1482">
        <f t="shared" si="53"/>
        <v>0.02</v>
      </c>
      <c r="AK29" s="1482">
        <f t="shared" si="53"/>
        <v>0.02</v>
      </c>
      <c r="AL29" s="1482">
        <f t="shared" si="53"/>
        <v>0.02</v>
      </c>
      <c r="AM29" s="1482">
        <f t="shared" si="53"/>
        <v>0.02</v>
      </c>
      <c r="AN29" s="1482">
        <f t="shared" si="53"/>
        <v>0.02</v>
      </c>
      <c r="AO29" s="1482"/>
      <c r="AP29" s="1482"/>
      <c r="AQ29" s="1482"/>
      <c r="AR29" s="1482"/>
      <c r="AS29" s="1482"/>
      <c r="AT29" s="1482"/>
      <c r="AU29" s="1887" t="str">
        <f t="shared" si="3"/>
        <v xml:space="preserve">   % of cash</v>
      </c>
      <c r="AV29" s="1525"/>
      <c r="AW29" s="1525"/>
      <c r="AX29" s="1525"/>
      <c r="AY29" s="1525"/>
      <c r="AZ29" s="2116"/>
      <c r="BA29" s="1525"/>
      <c r="BB29" s="1525"/>
      <c r="BC29" s="1525"/>
      <c r="BD29" s="1525"/>
      <c r="BE29" s="1525"/>
      <c r="BF29" s="1482"/>
      <c r="BG29" s="1482"/>
      <c r="BH29" s="1482"/>
      <c r="BI29" s="1482"/>
      <c r="BJ29" s="2116"/>
      <c r="BK29" s="1482"/>
      <c r="BL29" s="1482"/>
      <c r="BM29" s="1482"/>
      <c r="BN29" s="1482"/>
      <c r="BO29" s="1357"/>
      <c r="BP29" s="1482"/>
      <c r="BQ29" s="1482"/>
      <c r="BR29" s="1482"/>
      <c r="BS29" s="1482"/>
      <c r="BT29" s="1357"/>
      <c r="BU29" s="1357"/>
      <c r="BV29" s="1357"/>
      <c r="BW29" s="1357"/>
      <c r="BX29" s="1357"/>
      <c r="BY29" s="1357"/>
      <c r="BZ29" s="1357"/>
      <c r="CA29" s="1357"/>
      <c r="CB29" s="1357"/>
      <c r="CC29" s="1357"/>
      <c r="CD29" s="1357"/>
      <c r="CE29" s="1357"/>
      <c r="CF29" s="1357"/>
      <c r="CG29" s="1357"/>
      <c r="CH29" s="1357"/>
      <c r="CI29" s="1357"/>
      <c r="CJ29" s="1357"/>
      <c r="CK29" s="1357"/>
      <c r="CL29" s="1357"/>
      <c r="CM29" s="1357"/>
      <c r="CN29" s="1357"/>
      <c r="CO29" s="1357"/>
      <c r="CP29" s="1357"/>
      <c r="CQ29" s="1357"/>
      <c r="CR29" s="1357"/>
      <c r="CS29" s="1357"/>
      <c r="CT29" s="1465"/>
      <c r="CU29" s="1465"/>
      <c r="CV29" s="1465"/>
      <c r="CW29" s="1357"/>
      <c r="CX29" s="1357"/>
      <c r="CY29" s="1465"/>
      <c r="CZ29" s="1465"/>
      <c r="DA29" s="1465"/>
      <c r="DB29" s="2806"/>
      <c r="DC29" s="2806"/>
      <c r="DD29" s="2806"/>
      <c r="DE29" s="2806"/>
      <c r="DF29" s="2806"/>
      <c r="DG29" s="2806"/>
      <c r="DH29" s="2842"/>
      <c r="DI29" s="2806"/>
      <c r="DJ29" s="2806"/>
      <c r="DK29" s="2806"/>
      <c r="DL29" s="2806"/>
      <c r="DM29" s="2842"/>
      <c r="DN29" s="2842"/>
      <c r="DO29" s="2842"/>
      <c r="DP29" s="2842"/>
      <c r="DQ29" s="2842"/>
      <c r="DR29" s="2026"/>
    </row>
    <row r="30" spans="1:130">
      <c r="A30" s="1707" t="s">
        <v>508</v>
      </c>
      <c r="B30" s="1898"/>
      <c r="C30" s="1898"/>
      <c r="D30" s="1898"/>
      <c r="E30" s="1898"/>
      <c r="F30" s="1898"/>
      <c r="G30" s="1898"/>
      <c r="H30" s="1898">
        <v>0</v>
      </c>
      <c r="I30" s="1657">
        <v>0</v>
      </c>
      <c r="J30" s="1657">
        <v>0</v>
      </c>
      <c r="K30" s="1657">
        <v>0</v>
      </c>
      <c r="L30" s="1657">
        <v>0</v>
      </c>
      <c r="M30" s="1657">
        <v>0</v>
      </c>
      <c r="N30" s="1657">
        <v>0</v>
      </c>
      <c r="O30" s="1369"/>
      <c r="P30" s="1657">
        <f>M30</f>
        <v>0</v>
      </c>
      <c r="Q30" s="1657">
        <f>N30</f>
        <v>0</v>
      </c>
      <c r="R30" s="1657">
        <v>0</v>
      </c>
      <c r="S30" s="1657">
        <v>0</v>
      </c>
      <c r="T30" s="1637">
        <f>SUM(CE30:CH30)</f>
        <v>0</v>
      </c>
      <c r="U30" s="1637">
        <f>SUM(CJ30:CM30)</f>
        <v>0</v>
      </c>
      <c r="V30" s="1657">
        <v>0</v>
      </c>
      <c r="W30" s="1657">
        <v>0</v>
      </c>
      <c r="X30" s="1638">
        <f>+V30</f>
        <v>0</v>
      </c>
      <c r="Y30" s="1638">
        <f>+W30</f>
        <v>0</v>
      </c>
      <c r="Z30" s="1657">
        <v>0</v>
      </c>
      <c r="AA30" s="2800">
        <v>0</v>
      </c>
      <c r="AB30" s="2800">
        <f>AA30</f>
        <v>0</v>
      </c>
      <c r="AC30" s="2800">
        <v>0</v>
      </c>
      <c r="AD30" s="2800">
        <v>0</v>
      </c>
      <c r="AE30" s="1657">
        <v>0</v>
      </c>
      <c r="AF30" s="1657">
        <v>0</v>
      </c>
      <c r="AG30" s="1657">
        <v>0</v>
      </c>
      <c r="AH30" s="1657">
        <v>0</v>
      </c>
      <c r="AI30" s="1657">
        <v>0</v>
      </c>
      <c r="AJ30" s="1657">
        <v>0</v>
      </c>
      <c r="AK30" s="1657">
        <v>0</v>
      </c>
      <c r="AL30" s="1657">
        <v>0</v>
      </c>
      <c r="AM30" s="1657">
        <v>0</v>
      </c>
      <c r="AN30" s="1657">
        <v>0</v>
      </c>
      <c r="AO30" s="1646"/>
      <c r="AP30" s="1646"/>
      <c r="AQ30" s="1646"/>
      <c r="AR30" s="1646"/>
      <c r="AS30" s="1646"/>
      <c r="AT30" s="1898"/>
      <c r="AU30" s="1707" t="str">
        <f t="shared" si="3"/>
        <v>Capitalized Interest</v>
      </c>
      <c r="AV30" s="1525"/>
      <c r="AW30" s="1525"/>
      <c r="AX30" s="1525"/>
      <c r="AY30" s="1525"/>
      <c r="AZ30" s="2116"/>
      <c r="BA30" s="1894" t="s">
        <v>737</v>
      </c>
      <c r="BB30" s="1894" t="s">
        <v>737</v>
      </c>
      <c r="BC30" s="1894" t="s">
        <v>737</v>
      </c>
      <c r="BD30" s="1894" t="s">
        <v>737</v>
      </c>
      <c r="BE30" s="1898"/>
      <c r="BF30" s="1657">
        <v>0</v>
      </c>
      <c r="BG30" s="1657">
        <v>0</v>
      </c>
      <c r="BH30" s="1657">
        <v>0</v>
      </c>
      <c r="BI30" s="1657">
        <v>0</v>
      </c>
      <c r="BJ30" s="2111">
        <f>L30-SUM(BF30:BI30)</f>
        <v>0</v>
      </c>
      <c r="BK30" s="1657">
        <v>0</v>
      </c>
      <c r="BL30" s="1657">
        <v>0</v>
      </c>
      <c r="BM30" s="1657">
        <v>0</v>
      </c>
      <c r="BN30" s="1657">
        <f>M30-SUM(BK30:BM30)</f>
        <v>0</v>
      </c>
      <c r="BO30" s="2112"/>
      <c r="BP30" s="1657">
        <v>0</v>
      </c>
      <c r="BQ30" s="1657">
        <v>0</v>
      </c>
      <c r="BR30" s="1657">
        <v>0</v>
      </c>
      <c r="BS30" s="1657">
        <f>N30-SUM(BP30:BR30)</f>
        <v>0</v>
      </c>
      <c r="BT30" s="2112">
        <f>N30-SUM(BP30:BS30)</f>
        <v>0</v>
      </c>
      <c r="BU30" s="1657">
        <v>0</v>
      </c>
      <c r="BV30" s="1657">
        <v>0</v>
      </c>
      <c r="BW30" s="1657">
        <v>0</v>
      </c>
      <c r="BX30" s="1657">
        <v>0</v>
      </c>
      <c r="BY30" s="2026">
        <f>R30-SUM(BU30:BX30)</f>
        <v>0</v>
      </c>
      <c r="BZ30" s="1657">
        <v>0</v>
      </c>
      <c r="CA30" s="1657">
        <v>0</v>
      </c>
      <c r="CB30" s="1657">
        <v>0</v>
      </c>
      <c r="CC30" s="1657">
        <v>0</v>
      </c>
      <c r="CD30" s="2026">
        <f>S30-SUM(BZ30:CC30)</f>
        <v>0</v>
      </c>
      <c r="CE30" s="1657">
        <v>0</v>
      </c>
      <c r="CF30" s="1657">
        <v>0</v>
      </c>
      <c r="CG30" s="1657">
        <v>0</v>
      </c>
      <c r="CH30" s="1657">
        <v>0</v>
      </c>
      <c r="CI30" s="2026">
        <f>T30-SUM(CE30:CH30)</f>
        <v>0</v>
      </c>
      <c r="CJ30" s="1657">
        <v>0</v>
      </c>
      <c r="CK30" s="1657">
        <v>0</v>
      </c>
      <c r="CL30" s="1657">
        <v>0</v>
      </c>
      <c r="CM30" s="1657">
        <v>0</v>
      </c>
      <c r="CN30" s="2026"/>
      <c r="CO30" s="1657">
        <v>0</v>
      </c>
      <c r="CP30" s="1657">
        <v>0</v>
      </c>
      <c r="CQ30" s="1657">
        <v>0</v>
      </c>
      <c r="CR30" s="1657">
        <v>0</v>
      </c>
      <c r="CS30" s="2026"/>
      <c r="CT30" s="1657">
        <v>0</v>
      </c>
      <c r="CU30" s="1657">
        <v>0</v>
      </c>
      <c r="CV30" s="1657">
        <v>0</v>
      </c>
      <c r="CW30" s="1657">
        <v>0</v>
      </c>
      <c r="CX30" s="2026"/>
      <c r="CY30" s="1657">
        <v>0</v>
      </c>
      <c r="CZ30" s="1657">
        <v>0</v>
      </c>
      <c r="DA30" s="1657">
        <v>0</v>
      </c>
      <c r="DB30" s="2800">
        <v>0</v>
      </c>
      <c r="DC30" s="2842"/>
      <c r="DD30" s="2800">
        <v>0</v>
      </c>
      <c r="DE30" s="2800">
        <v>0</v>
      </c>
      <c r="DF30" s="2800">
        <v>0</v>
      </c>
      <c r="DG30" s="2800">
        <v>0</v>
      </c>
      <c r="DH30" s="2842">
        <f t="shared" si="30"/>
        <v>0</v>
      </c>
      <c r="DI30" s="2800">
        <v>0</v>
      </c>
      <c r="DJ30" s="2800">
        <v>0</v>
      </c>
      <c r="DK30" s="2800">
        <v>0</v>
      </c>
      <c r="DL30" s="2800">
        <v>0</v>
      </c>
      <c r="DM30" s="2842">
        <f t="shared" si="7"/>
        <v>0</v>
      </c>
      <c r="DN30" s="2842">
        <v>0</v>
      </c>
      <c r="DO30" s="2842">
        <v>0</v>
      </c>
      <c r="DP30" s="2842">
        <v>0</v>
      </c>
      <c r="DQ30" s="2842">
        <v>0</v>
      </c>
      <c r="DR30" s="2026">
        <f t="shared" ref="DR30:DR39" si="54">AD30-SUM(DN30:DQ30)</f>
        <v>0</v>
      </c>
    </row>
    <row r="31" spans="1:130">
      <c r="A31" s="1686" t="s">
        <v>510</v>
      </c>
      <c r="B31" s="1357"/>
      <c r="C31" s="1357"/>
      <c r="D31" s="1357"/>
      <c r="E31" s="1357"/>
      <c r="F31" s="1357"/>
      <c r="G31" s="1357"/>
      <c r="H31" s="1655">
        <v>-746.4</v>
      </c>
      <c r="I31" s="1654">
        <f>-716.1+9.2</f>
        <v>-706.9</v>
      </c>
      <c r="J31" s="1654">
        <f>-694+21.8</f>
        <v>-672.2</v>
      </c>
      <c r="K31" s="1654">
        <f>-720.5+21.4</f>
        <v>-699.1</v>
      </c>
      <c r="L31" s="1654">
        <f>-565.5+112.1</f>
        <v>-453.4</v>
      </c>
      <c r="M31" s="1654">
        <f>-570.9+116.1</f>
        <v>-454.79999999999995</v>
      </c>
      <c r="N31" s="1654">
        <f>SUM(BP31:BS31)</f>
        <v>-504.40000000000003</v>
      </c>
      <c r="O31" s="1369"/>
      <c r="P31" s="1654">
        <f>P27+P28+P30</f>
        <v>-454.79999999999995</v>
      </c>
      <c r="Q31" s="1654">
        <f>Q27+Q28+Q30</f>
        <v>-504.40000000000003</v>
      </c>
      <c r="R31" s="1654">
        <f>+SUM(BU31:BX31)</f>
        <v>-535.29999999999995</v>
      </c>
      <c r="S31" s="1636">
        <f>SUM(BZ31:CC31)</f>
        <v>-523.29999999999995</v>
      </c>
      <c r="T31" s="1796">
        <f>SUM(CE31:CH31)</f>
        <v>-429</v>
      </c>
      <c r="U31" s="1796">
        <f>SUM(CJ31:CM31)</f>
        <v>-396</v>
      </c>
      <c r="V31" s="1654">
        <f t="shared" ref="V31:AH31" si="55">V27+V28+V30</f>
        <v>-368</v>
      </c>
      <c r="W31" s="1654">
        <f t="shared" si="55"/>
        <v>-350</v>
      </c>
      <c r="X31" s="1654">
        <f t="shared" si="55"/>
        <v>-367</v>
      </c>
      <c r="Y31" s="1654">
        <f t="shared" si="55"/>
        <v>-350</v>
      </c>
      <c r="Z31" s="1654">
        <f>Z27+Z28+Z30</f>
        <v>-368</v>
      </c>
      <c r="AA31" s="2801">
        <f>AA27+AA28+AA30</f>
        <v>-396</v>
      </c>
      <c r="AB31" s="2801">
        <f>AB27+AB28+AB30</f>
        <v>-379</v>
      </c>
      <c r="AC31" s="2801">
        <f t="shared" ca="1" si="55"/>
        <v>-393.76249999999999</v>
      </c>
      <c r="AD31" s="2801">
        <f t="shared" ca="1" si="55"/>
        <v>-400.13271260004353</v>
      </c>
      <c r="AE31" s="1654">
        <f t="shared" ca="1" si="55"/>
        <v>-421.67982772532974</v>
      </c>
      <c r="AF31" s="1654">
        <f t="shared" ca="1" si="55"/>
        <v>-422.4341436869168</v>
      </c>
      <c r="AG31" s="1654">
        <f t="shared" ca="1" si="55"/>
        <v>-406.42850545979462</v>
      </c>
      <c r="AH31" s="1654">
        <f t="shared" ca="1" si="55"/>
        <v>-386.94445551492504</v>
      </c>
      <c r="AI31" s="1654">
        <f t="shared" ref="AI31:AN31" ca="1" si="56">AI27+AI28+AI30</f>
        <v>-364.39253857648282</v>
      </c>
      <c r="AJ31" s="1654">
        <f t="shared" ca="1" si="56"/>
        <v>-341.41703604660472</v>
      </c>
      <c r="AK31" s="1654">
        <f t="shared" ca="1" si="56"/>
        <v>-318.37041901833248</v>
      </c>
      <c r="AL31" s="1654">
        <f t="shared" ca="1" si="56"/>
        <v>-295.52113597454172</v>
      </c>
      <c r="AM31" s="1654">
        <f t="shared" ca="1" si="56"/>
        <v>-277.12303056347071</v>
      </c>
      <c r="AN31" s="1654">
        <f t="shared" ca="1" si="56"/>
        <v>-260.07968772595478</v>
      </c>
      <c r="AO31" s="1654"/>
      <c r="AP31" s="1654"/>
      <c r="AQ31" s="1654"/>
      <c r="AR31" s="1654"/>
      <c r="AS31" s="1654"/>
      <c r="AT31" s="1357"/>
      <c r="AU31" s="1686" t="str">
        <f t="shared" si="3"/>
        <v>Interest Expense, net</v>
      </c>
      <c r="AV31" s="1525"/>
      <c r="AW31" s="1525"/>
      <c r="AX31" s="1525"/>
      <c r="AY31" s="1525"/>
      <c r="AZ31" s="2116"/>
      <c r="BA31" s="1894" t="s">
        <v>737</v>
      </c>
      <c r="BB31" s="1894" t="s">
        <v>737</v>
      </c>
      <c r="BC31" s="1894" t="s">
        <v>737</v>
      </c>
      <c r="BD31" s="1894" t="s">
        <v>737</v>
      </c>
      <c r="BE31" s="1525"/>
      <c r="BF31" s="1654">
        <f>BF27+BF28+BF30</f>
        <v>-131.70000000000002</v>
      </c>
      <c r="BG31" s="1654">
        <f>BG27+BG28+BG30</f>
        <v>-122.30000000000001</v>
      </c>
      <c r="BH31" s="1654">
        <f>BH27+BH28+BH30</f>
        <v>-98.699999999999989</v>
      </c>
      <c r="BI31" s="1654">
        <f>BI27+BI28+BI30</f>
        <v>-100.69999999999996</v>
      </c>
      <c r="BJ31" s="2111">
        <f>L31-SUM(BF31:BI31)</f>
        <v>0</v>
      </c>
      <c r="BK31" s="1654">
        <f>BK27+BK28+BK30</f>
        <v>-100.50000000000001</v>
      </c>
      <c r="BL31" s="1654">
        <f>BL27+BL28+BL30</f>
        <v>-111.7</v>
      </c>
      <c r="BM31" s="1654">
        <f>BM27+BM28+BM30</f>
        <v>-111.69999999999999</v>
      </c>
      <c r="BN31" s="1654">
        <f>BN27+BN28+BN30</f>
        <v>-130.89999999999998</v>
      </c>
      <c r="BO31" s="2112"/>
      <c r="BP31" s="1654">
        <f>BP27+BP28+BP30</f>
        <v>-121.1</v>
      </c>
      <c r="BQ31" s="1654">
        <f>BQ27+BQ28+BQ30</f>
        <v>-119.10000000000001</v>
      </c>
      <c r="BR31" s="1654">
        <f>BR27+BR28+BR30</f>
        <v>-128.4</v>
      </c>
      <c r="BS31" s="1654">
        <f>BS27+BS28+BS30</f>
        <v>-135.80000000000001</v>
      </c>
      <c r="BT31" s="2112">
        <f>N31-SUM(BP31:BS31)</f>
        <v>0</v>
      </c>
      <c r="BU31" s="1654">
        <f>BU27+BU28+BU30</f>
        <v>-130.89999999999998</v>
      </c>
      <c r="BV31" s="1654">
        <f>BV27+BV28+BV30</f>
        <v>-132.80000000000001</v>
      </c>
      <c r="BW31" s="1654">
        <f>BW27+BW28+BW30</f>
        <v>-133.80000000000001</v>
      </c>
      <c r="BX31" s="1654">
        <f>BX27+BX28+BX30</f>
        <v>-137.80000000000001</v>
      </c>
      <c r="BY31" s="2026">
        <f>R31-SUM(BU31:BX31)</f>
        <v>0</v>
      </c>
      <c r="BZ31" s="1654">
        <f>BZ27+BZ28+BZ30</f>
        <v>-136.9</v>
      </c>
      <c r="CA31" s="1654">
        <f>CA27+CA28+CA30</f>
        <v>-132.5</v>
      </c>
      <c r="CB31" s="1654">
        <f>CB27+CB28+CB30</f>
        <v>-126.39999999999999</v>
      </c>
      <c r="CC31" s="1654">
        <f>CC27+CC28+CC30</f>
        <v>-127.5</v>
      </c>
      <c r="CD31" s="2026">
        <f>S31-SUM(BZ31:CC31)</f>
        <v>0</v>
      </c>
      <c r="CE31" s="1654">
        <f>CE27+CE28+CE30</f>
        <v>-108</v>
      </c>
      <c r="CF31" s="1654">
        <f>CF27+CF28+CF30</f>
        <v>-108</v>
      </c>
      <c r="CG31" s="1654">
        <f>CG27+CG28+CG30</f>
        <v>-109</v>
      </c>
      <c r="CH31" s="1654">
        <f>CH27+CH28+CH30</f>
        <v>-104</v>
      </c>
      <c r="CI31" s="2026">
        <f>T31-SUM(CE31:CH31)</f>
        <v>0</v>
      </c>
      <c r="CJ31" s="1654">
        <f>CJ27+CJ28+CJ30</f>
        <v>-108</v>
      </c>
      <c r="CK31" s="1654">
        <f>CK27+CK28+CK30</f>
        <v>-103</v>
      </c>
      <c r="CL31" s="1654">
        <f>CL27+CL28+CL30</f>
        <v>-93</v>
      </c>
      <c r="CM31" s="1654">
        <f>CM27+CM28+CM30</f>
        <v>-92</v>
      </c>
      <c r="CN31" s="2026">
        <f>U31-SUM(CJ31:CM31)</f>
        <v>0</v>
      </c>
      <c r="CO31" s="1654">
        <f>CO27+CO28+CO30</f>
        <v>-93</v>
      </c>
      <c r="CP31" s="1654">
        <f>CP27+CP28+CP30</f>
        <v>-91</v>
      </c>
      <c r="CQ31" s="1654">
        <f>CQ27+CQ28+CQ30</f>
        <v>-91</v>
      </c>
      <c r="CR31" s="1654">
        <f>CR27+CR28+CR30</f>
        <v>-93</v>
      </c>
      <c r="CS31" s="2026">
        <f>V31-SUM(CO31:CR31)</f>
        <v>0</v>
      </c>
      <c r="CT31" s="2029">
        <f>CT27+CT28+CT30</f>
        <v>-90</v>
      </c>
      <c r="CU31" s="2029">
        <f>CU27+CU28+CU30</f>
        <v>-91</v>
      </c>
      <c r="CV31" s="2029">
        <f>CV27+CV28+CV30</f>
        <v>-85</v>
      </c>
      <c r="CW31" s="2029">
        <f>CW27+CW28+CW30</f>
        <v>-84</v>
      </c>
      <c r="CX31" s="2029"/>
      <c r="CY31" s="2029">
        <f>CY27+CY28+CY30</f>
        <v>-88</v>
      </c>
      <c r="CZ31" s="2029">
        <f>CZ27+CZ28+CZ30</f>
        <v>-87</v>
      </c>
      <c r="DA31" s="2029">
        <f>DA27+DA28+DA30</f>
        <v>-96</v>
      </c>
      <c r="DB31" s="2841">
        <f>DB27+DB28+DB30</f>
        <v>-97</v>
      </c>
      <c r="DC31" s="2842">
        <f>$Z31-SUM(CY31:DB31)</f>
        <v>0</v>
      </c>
      <c r="DD31" s="2841">
        <f>DD27+DD28+DD30</f>
        <v>-93</v>
      </c>
      <c r="DE31" s="2841">
        <f>DE27+DE28+DE30</f>
        <v>-92</v>
      </c>
      <c r="DF31" s="2841">
        <f>DF27+DF28+DF30</f>
        <v>-97</v>
      </c>
      <c r="DG31" s="2841">
        <f>DG27+DG28+DG30</f>
        <v>-97</v>
      </c>
      <c r="DH31" s="2842">
        <f t="shared" si="30"/>
        <v>0</v>
      </c>
      <c r="DI31" s="2841">
        <f>DI27+DI28+DI30</f>
        <v>-96</v>
      </c>
      <c r="DJ31" s="2841">
        <f>DJ27+DJ28+DJ30</f>
        <v>-96</v>
      </c>
      <c r="DK31" s="2841">
        <f>DK27+DK28+DK30</f>
        <v>-99</v>
      </c>
      <c r="DL31" s="2841">
        <f ca="1">DL27+DL28+DL30</f>
        <v>-102.7625</v>
      </c>
      <c r="DM31" s="2842">
        <f t="shared" ca="1" si="7"/>
        <v>0</v>
      </c>
      <c r="DN31" s="2905">
        <f ca="1">DN27+DN28+DN30</f>
        <v>-101.03317815001088</v>
      </c>
      <c r="DO31" s="2905">
        <f ca="1">DO27+DO28+DO30</f>
        <v>-101.03317815001088</v>
      </c>
      <c r="DP31" s="2905">
        <f ca="1">DP27+DP28+DP30</f>
        <v>-99.033178150010883</v>
      </c>
      <c r="DQ31" s="2905">
        <f ca="1">DQ27+DQ28+DQ30</f>
        <v>-99.033178150010883</v>
      </c>
      <c r="DR31" s="2026">
        <f t="shared" ca="1" si="54"/>
        <v>0</v>
      </c>
    </row>
    <row r="32" spans="1:130">
      <c r="A32" s="1108" t="s">
        <v>492</v>
      </c>
      <c r="B32" s="1635"/>
      <c r="C32" s="1635"/>
      <c r="D32" s="1635"/>
      <c r="E32" s="1635"/>
      <c r="F32" s="1635"/>
      <c r="G32" s="1635"/>
      <c r="H32" s="1635">
        <v>-3.2</v>
      </c>
      <c r="I32" s="1635">
        <v>21.4</v>
      </c>
      <c r="J32" s="1635">
        <v>25.1</v>
      </c>
      <c r="K32" s="1635">
        <v>5.3</v>
      </c>
      <c r="L32" s="1635">
        <v>-20.3</v>
      </c>
      <c r="M32" s="1635">
        <v>-34</v>
      </c>
      <c r="N32" s="1635">
        <f>SUM(BP32:BS32)</f>
        <v>88</v>
      </c>
      <c r="O32" s="1369"/>
      <c r="P32" s="1635">
        <f>M32</f>
        <v>-34</v>
      </c>
      <c r="Q32" s="1635">
        <f>N32</f>
        <v>88</v>
      </c>
      <c r="R32" s="1635">
        <f>SUM(BU32:BX32)</f>
        <v>-33.1</v>
      </c>
      <c r="S32" s="1105">
        <f>SUM(BZ32:CC32)</f>
        <v>-38.399999999999984</v>
      </c>
      <c r="T32" s="1796">
        <f>+SUM(CE32:CH32)</f>
        <v>-54</v>
      </c>
      <c r="U32" s="1796">
        <f>+SUM(CJ32:CM32)</f>
        <v>-45</v>
      </c>
      <c r="V32" s="1796">
        <f>SUM(CO32:CR32)</f>
        <v>-14</v>
      </c>
      <c r="W32" s="1796">
        <f>+SUM(CT32:CW32)</f>
        <v>-382</v>
      </c>
      <c r="X32" s="1812">
        <f>+V32+1</f>
        <v>-13</v>
      </c>
      <c r="Y32" s="1813">
        <f>+W32</f>
        <v>-382</v>
      </c>
      <c r="Z32" s="1796">
        <f>+SUM(CY32:DB32)</f>
        <v>-7</v>
      </c>
      <c r="AA32" s="2809">
        <f>AB32+2</f>
        <v>-10</v>
      </c>
      <c r="AB32" s="2809">
        <f>SUM(DD32:DG32)</f>
        <v>-12</v>
      </c>
      <c r="AC32" s="2809">
        <f>SUM(DI32:DL32)</f>
        <v>4</v>
      </c>
      <c r="AD32" s="2809">
        <v>0</v>
      </c>
      <c r="AE32" s="1635">
        <v>0</v>
      </c>
      <c r="AF32" s="1635">
        <v>0</v>
      </c>
      <c r="AG32" s="1635">
        <v>0</v>
      </c>
      <c r="AH32" s="1635">
        <v>0</v>
      </c>
      <c r="AI32" s="1635">
        <v>0</v>
      </c>
      <c r="AJ32" s="1635">
        <v>0</v>
      </c>
      <c r="AK32" s="1635">
        <v>0</v>
      </c>
      <c r="AL32" s="1635">
        <v>0</v>
      </c>
      <c r="AM32" s="1635">
        <v>0</v>
      </c>
      <c r="AN32" s="1635">
        <v>0</v>
      </c>
      <c r="AO32" s="1635"/>
      <c r="AP32" s="1635"/>
      <c r="AQ32" s="1635"/>
      <c r="AR32" s="1635"/>
      <c r="AS32" s="1635"/>
      <c r="AT32" s="1635"/>
      <c r="AU32" s="1108" t="str">
        <f t="shared" si="3"/>
        <v>Other Income/ (Expense)</v>
      </c>
      <c r="AV32" s="1525"/>
      <c r="AW32" s="1525"/>
      <c r="AX32" s="1525"/>
      <c r="AY32" s="1525"/>
      <c r="AZ32" s="2116"/>
      <c r="BA32" s="1894" t="s">
        <v>737</v>
      </c>
      <c r="BB32" s="1894" t="s">
        <v>737</v>
      </c>
      <c r="BC32" s="1894" t="s">
        <v>737</v>
      </c>
      <c r="BD32" s="1894" t="s">
        <v>737</v>
      </c>
      <c r="BE32" s="1635"/>
      <c r="BF32" s="1635">
        <f>-4-2.8</f>
        <v>-6.8</v>
      </c>
      <c r="BG32" s="1635">
        <f>-15.2-2</f>
        <v>-17.2</v>
      </c>
      <c r="BH32" s="1635">
        <v>-9.1999999999999993</v>
      </c>
      <c r="BI32" s="1635">
        <v>12.9</v>
      </c>
      <c r="BJ32" s="2111">
        <f>L32-SUM(BF32:BI32)</f>
        <v>0</v>
      </c>
      <c r="BK32" s="1635">
        <v>-1.5</v>
      </c>
      <c r="BL32" s="1635">
        <v>4.3</v>
      </c>
      <c r="BM32" s="1635">
        <v>-8.3000000000000007</v>
      </c>
      <c r="BN32" s="1635">
        <v>-28.5</v>
      </c>
      <c r="BO32" s="1357"/>
      <c r="BP32" s="1635">
        <v>-0.2</v>
      </c>
      <c r="BQ32" s="1635">
        <v>124.9</v>
      </c>
      <c r="BR32" s="1635">
        <v>-41.3</v>
      </c>
      <c r="BS32" s="1635">
        <v>4.5999999999999996</v>
      </c>
      <c r="BT32" s="1357"/>
      <c r="BU32" s="1635">
        <v>-11.9</v>
      </c>
      <c r="BV32" s="1635">
        <v>-34</v>
      </c>
      <c r="BW32" s="1635">
        <v>15</v>
      </c>
      <c r="BX32" s="1635">
        <v>-2.2000000000000002</v>
      </c>
      <c r="BY32" s="2026">
        <f>R32-SUM(BU32:BX32)</f>
        <v>0</v>
      </c>
      <c r="BZ32" s="1635">
        <v>-67.8</v>
      </c>
      <c r="CA32" s="1635">
        <f>-40.3+-13.6</f>
        <v>-53.9</v>
      </c>
      <c r="CB32" s="1635">
        <v>114.2</v>
      </c>
      <c r="CC32" s="1635">
        <v>-30.9</v>
      </c>
      <c r="CD32" s="2026">
        <f>S32-SUM(BZ32:CC32)</f>
        <v>0</v>
      </c>
      <c r="CE32" s="1647">
        <v>6</v>
      </c>
      <c r="CF32" s="1647">
        <v>5</v>
      </c>
      <c r="CG32" s="1647">
        <v>-15</v>
      </c>
      <c r="CH32" s="1647">
        <f>-43-7</f>
        <v>-50</v>
      </c>
      <c r="CI32" s="2026">
        <f>T32-SUM(CE32:CH32)</f>
        <v>0</v>
      </c>
      <c r="CJ32" s="1647">
        <f>25+5</f>
        <v>30</v>
      </c>
      <c r="CK32" s="1647">
        <v>3</v>
      </c>
      <c r="CL32" s="1647">
        <f>-57-3</f>
        <v>-60</v>
      </c>
      <c r="CM32" s="1647">
        <f>-19+1</f>
        <v>-18</v>
      </c>
      <c r="CN32" s="2026"/>
      <c r="CO32" s="1635">
        <v>-2</v>
      </c>
      <c r="CP32" s="1635">
        <v>-7</v>
      </c>
      <c r="CQ32" s="1635">
        <v>7</v>
      </c>
      <c r="CR32" s="1635">
        <f>+-20+8</f>
        <v>-12</v>
      </c>
      <c r="CS32" s="2026"/>
      <c r="CT32" s="1635">
        <v>5</v>
      </c>
      <c r="CU32" s="1635">
        <v>6</v>
      </c>
      <c r="CV32" s="1635">
        <f>+-352-21</f>
        <v>-373</v>
      </c>
      <c r="CW32" s="1635">
        <v>-20</v>
      </c>
      <c r="CX32" s="2026">
        <f>$W32-SUM(CT32:CW32)</f>
        <v>0</v>
      </c>
      <c r="CY32" s="1635">
        <v>-4</v>
      </c>
      <c r="CZ32" s="1635">
        <v>4</v>
      </c>
      <c r="DA32" s="1635">
        <v>-4</v>
      </c>
      <c r="DB32" s="2829">
        <v>-3</v>
      </c>
      <c r="DC32" s="2842">
        <f>$Z32-SUM(CY32:DB32)</f>
        <v>0</v>
      </c>
      <c r="DD32" s="2829">
        <v>-3</v>
      </c>
      <c r="DE32" s="2829">
        <v>-4</v>
      </c>
      <c r="DF32" s="2829">
        <v>0</v>
      </c>
      <c r="DG32" s="2829">
        <v>-5</v>
      </c>
      <c r="DH32" s="2842">
        <f t="shared" si="30"/>
        <v>0</v>
      </c>
      <c r="DI32" s="2829">
        <v>1</v>
      </c>
      <c r="DJ32" s="2829">
        <v>5</v>
      </c>
      <c r="DK32" s="2829">
        <f>-5+3</f>
        <v>-2</v>
      </c>
      <c r="DL32" s="2829">
        <v>0</v>
      </c>
      <c r="DM32" s="2842">
        <f t="shared" si="7"/>
        <v>0</v>
      </c>
      <c r="DN32" s="2829">
        <v>0</v>
      </c>
      <c r="DO32" s="2829">
        <v>0</v>
      </c>
      <c r="DP32" s="2829">
        <v>0</v>
      </c>
      <c r="DQ32" s="2829">
        <v>0</v>
      </c>
      <c r="DR32" s="2026">
        <f t="shared" si="54"/>
        <v>0</v>
      </c>
    </row>
    <row r="33" spans="1:122">
      <c r="A33" s="1108"/>
      <c r="B33" s="1525"/>
      <c r="C33" s="1525"/>
      <c r="D33" s="1525"/>
      <c r="E33" s="1525"/>
      <c r="F33" s="1525"/>
      <c r="G33" s="1525"/>
      <c r="H33" s="1525"/>
      <c r="I33" s="1658"/>
      <c r="J33" s="1658"/>
      <c r="K33" s="1658"/>
      <c r="L33" s="1899"/>
      <c r="M33" s="1900"/>
      <c r="N33" s="1658"/>
      <c r="O33" s="1369"/>
      <c r="P33" s="1658"/>
      <c r="Q33" s="1658"/>
      <c r="R33" s="1658"/>
      <c r="S33" s="1901"/>
      <c r="T33" s="1658"/>
      <c r="U33" s="1658"/>
      <c r="V33" s="1658"/>
      <c r="W33" s="1658"/>
      <c r="X33" s="1791"/>
      <c r="Y33" s="1791"/>
      <c r="Z33" s="1658"/>
      <c r="AA33" s="2850"/>
      <c r="AB33" s="2850"/>
      <c r="AC33" s="2850"/>
      <c r="AD33" s="2850"/>
      <c r="AE33" s="1658"/>
      <c r="AF33" s="1658"/>
      <c r="AG33" s="1658"/>
      <c r="AH33" s="1658"/>
      <c r="AI33" s="1658"/>
      <c r="AJ33" s="1658"/>
      <c r="AK33" s="1658"/>
      <c r="AL33" s="1658"/>
      <c r="AM33" s="1658"/>
      <c r="AN33" s="1658"/>
      <c r="AO33" s="1902"/>
      <c r="AP33" s="1902"/>
      <c r="AQ33" s="1902"/>
      <c r="AR33" s="1902"/>
      <c r="AS33" s="1902"/>
      <c r="AT33" s="1525"/>
      <c r="AU33" s="2862" t="str">
        <f t="shared" si="3"/>
        <v/>
      </c>
      <c r="AV33" s="2845"/>
      <c r="AW33" s="2845"/>
      <c r="AX33" s="2845"/>
      <c r="AY33" s="2845"/>
      <c r="AZ33" s="2900"/>
      <c r="BA33" s="2845"/>
      <c r="BB33" s="2845"/>
      <c r="BC33" s="2845"/>
      <c r="BD33" s="2845"/>
      <c r="BE33" s="2845"/>
      <c r="BF33" s="2850"/>
      <c r="BG33" s="2850"/>
      <c r="BH33" s="2850"/>
      <c r="BI33" s="2850"/>
      <c r="BJ33" s="2900"/>
      <c r="BK33" s="2850"/>
      <c r="BL33" s="2850"/>
      <c r="BM33" s="2850"/>
      <c r="BN33" s="2850"/>
      <c r="BO33" s="2806"/>
      <c r="BP33" s="2850"/>
      <c r="BQ33" s="2850"/>
      <c r="BR33" s="2850"/>
      <c r="BS33" s="2850"/>
      <c r="BT33" s="2806"/>
      <c r="BU33" s="2850"/>
      <c r="BV33" s="2850"/>
      <c r="BW33" s="2850"/>
      <c r="BX33" s="2850"/>
      <c r="BY33" s="2806"/>
      <c r="BZ33" s="2850"/>
      <c r="CA33" s="2850"/>
      <c r="CB33" s="2850"/>
      <c r="CC33" s="2850"/>
      <c r="CD33" s="2806"/>
      <c r="CE33" s="2850"/>
      <c r="CF33" s="2850"/>
      <c r="CG33" s="2850"/>
      <c r="CH33" s="2850"/>
      <c r="CI33" s="2806"/>
      <c r="CJ33" s="2850"/>
      <c r="CK33" s="2850"/>
      <c r="CL33" s="2850"/>
      <c r="CM33" s="2850"/>
      <c r="CN33" s="2806"/>
      <c r="CO33" s="2850"/>
      <c r="CP33" s="2850"/>
      <c r="CQ33" s="2850"/>
      <c r="CR33" s="2850"/>
      <c r="CS33" s="2806"/>
      <c r="CT33" s="3184"/>
      <c r="CU33" s="3184"/>
      <c r="CV33" s="3184"/>
      <c r="CW33" s="2850"/>
      <c r="CX33" s="2806"/>
      <c r="CY33" s="2849"/>
      <c r="CZ33" s="2849"/>
      <c r="DA33" s="2849"/>
      <c r="DB33" s="2850"/>
      <c r="DC33" s="2806"/>
      <c r="DD33" s="2849"/>
      <c r="DE33" s="2849"/>
      <c r="DF33" s="2849"/>
      <c r="DG33" s="2850"/>
      <c r="DH33" s="2842"/>
      <c r="DI33" s="2849"/>
      <c r="DJ33" s="2849"/>
      <c r="DK33" s="2849"/>
      <c r="DL33" s="2850"/>
      <c r="DM33" s="2842">
        <f t="shared" si="7"/>
        <v>0</v>
      </c>
      <c r="DN33" s="2842"/>
      <c r="DO33" s="2842"/>
      <c r="DP33" s="2842"/>
      <c r="DQ33" s="2842"/>
      <c r="DR33" s="2026"/>
    </row>
    <row r="34" spans="1:122">
      <c r="A34" s="1494" t="s">
        <v>1015</v>
      </c>
      <c r="B34" s="1105"/>
      <c r="C34" s="1105"/>
      <c r="D34" s="1105"/>
      <c r="E34" s="1105"/>
      <c r="F34" s="1105"/>
      <c r="G34" s="1105"/>
      <c r="H34" s="1105">
        <f t="shared" ref="H34:S34" si="57">H23+H31+H32</f>
        <v>1828.9999999999993</v>
      </c>
      <c r="I34" s="1654">
        <f t="shared" si="57"/>
        <v>1825.8000000000006</v>
      </c>
      <c r="J34" s="1654">
        <f t="shared" si="57"/>
        <v>-15801.6</v>
      </c>
      <c r="K34" s="1654">
        <f t="shared" si="57"/>
        <v>-7511.6999999999989</v>
      </c>
      <c r="L34" s="1654">
        <f>L23+L31+L32</f>
        <v>2132.6999999999998</v>
      </c>
      <c r="M34" s="1654">
        <f>M23+M31+M32</f>
        <v>2136.3999999999996</v>
      </c>
      <c r="N34" s="1654">
        <f t="shared" si="57"/>
        <v>-12575.100000000002</v>
      </c>
      <c r="O34" s="1369"/>
      <c r="P34" s="1654">
        <f>P23+P31+P32</f>
        <v>2157.3896249999998</v>
      </c>
      <c r="Q34" s="1654">
        <f t="shared" si="57"/>
        <v>-12450.212251040002</v>
      </c>
      <c r="R34" s="1654">
        <f t="shared" si="57"/>
        <v>443.00000000000034</v>
      </c>
      <c r="S34" s="1654">
        <f t="shared" si="57"/>
        <v>1221.5000000000002</v>
      </c>
      <c r="T34" s="1654">
        <f t="shared" ref="T34:AH34" si="58">T23+T31+T32</f>
        <v>2179.0000000000005</v>
      </c>
      <c r="U34" s="1654">
        <f t="shared" si="58"/>
        <v>2560.9999999999995</v>
      </c>
      <c r="V34" s="1654">
        <f t="shared" si="58"/>
        <v>2897</v>
      </c>
      <c r="W34" s="1654">
        <f t="shared" si="58"/>
        <v>2164</v>
      </c>
      <c r="X34" s="1654">
        <f t="shared" si="58"/>
        <v>2665</v>
      </c>
      <c r="Y34" s="1654">
        <f t="shared" si="58"/>
        <v>2164</v>
      </c>
      <c r="Z34" s="1654">
        <f>Z23+Z31+Z32</f>
        <v>2023</v>
      </c>
      <c r="AA34" s="2801">
        <f t="shared" ca="1" si="58"/>
        <v>2063</v>
      </c>
      <c r="AB34" s="2801">
        <f t="shared" ca="1" si="58"/>
        <v>2230</v>
      </c>
      <c r="AC34" s="2801">
        <f ca="1">AC23+AC31+AC32</f>
        <v>2422.0011681351903</v>
      </c>
      <c r="AD34" s="2801">
        <f t="shared" ca="1" si="58"/>
        <v>2636.1840586713479</v>
      </c>
      <c r="AE34" s="1654">
        <f t="shared" ca="1" si="58"/>
        <v>2801.1583339350877</v>
      </c>
      <c r="AF34" s="1654">
        <f t="shared" ca="1" si="58"/>
        <v>3150.6731619214793</v>
      </c>
      <c r="AG34" s="1654">
        <f t="shared" ca="1" si="58"/>
        <v>3271.4941213774086</v>
      </c>
      <c r="AH34" s="1654">
        <f t="shared" ca="1" si="58"/>
        <v>3531.8328333850877</v>
      </c>
      <c r="AI34" s="1654">
        <f t="shared" ref="AI34:AN34" ca="1" si="59">AI23+AI31+AI32</f>
        <v>3374.3163525847112</v>
      </c>
      <c r="AJ34" s="1654">
        <f t="shared" ca="1" si="59"/>
        <v>3493.9869626274549</v>
      </c>
      <c r="AK34" s="1654">
        <f t="shared" ca="1" si="59"/>
        <v>3511.5703850594623</v>
      </c>
      <c r="AL34" s="1654">
        <f t="shared" ca="1" si="59"/>
        <v>3476.4569257882504</v>
      </c>
      <c r="AM34" s="1654">
        <f t="shared" ca="1" si="59"/>
        <v>3440.7422431631585</v>
      </c>
      <c r="AN34" s="1654">
        <f t="shared" ca="1" si="59"/>
        <v>3642.8435605350287</v>
      </c>
      <c r="AO34" s="1654"/>
      <c r="AP34" s="1654"/>
      <c r="AQ34" s="1654"/>
      <c r="AR34" s="1654"/>
      <c r="AS34" s="1654"/>
      <c r="AT34" s="2804"/>
      <c r="AU34" s="2894" t="str">
        <f t="shared" si="3"/>
        <v>Pre-Tax Income</v>
      </c>
      <c r="AV34" s="2845"/>
      <c r="AW34" s="2845"/>
      <c r="AX34" s="2845"/>
      <c r="AY34" s="2845"/>
      <c r="AZ34" s="2900"/>
      <c r="BA34" s="2889" t="s">
        <v>737</v>
      </c>
      <c r="BB34" s="2889" t="s">
        <v>737</v>
      </c>
      <c r="BC34" s="2889" t="s">
        <v>737</v>
      </c>
      <c r="BD34" s="2889" t="s">
        <v>737</v>
      </c>
      <c r="BE34" s="2804"/>
      <c r="BF34" s="2801">
        <f>BF23+BF31+BF32</f>
        <v>381.19999999999987</v>
      </c>
      <c r="BG34" s="2801">
        <f>BG23+BG31+BG32</f>
        <v>592.59999999999991</v>
      </c>
      <c r="BH34" s="2801">
        <f>BH23+BH31+BH32</f>
        <v>518.09999999999991</v>
      </c>
      <c r="BI34" s="2801">
        <f>BI23+BI31+BI32</f>
        <v>640.80000000000007</v>
      </c>
      <c r="BJ34" s="2901">
        <f>L34-SUM(BF34:BI34)</f>
        <v>0</v>
      </c>
      <c r="BK34" s="2801">
        <f>BK23+BK31+BK32</f>
        <v>419.15</v>
      </c>
      <c r="BL34" s="2801">
        <f>BL23+BL31+BL32</f>
        <v>636.85</v>
      </c>
      <c r="BM34" s="2801">
        <f>BM23+BM31+BM32</f>
        <v>521.95000000000027</v>
      </c>
      <c r="BN34" s="2801">
        <f>BN23+BN31+BN32</f>
        <v>546.05000000000018</v>
      </c>
      <c r="BO34" s="2902"/>
      <c r="BP34" s="2801">
        <f>BP23+BP31+BP32</f>
        <v>417.67924972625013</v>
      </c>
      <c r="BQ34" s="2801">
        <f>BQ23+BQ31+BQ32</f>
        <v>646.19473068000002</v>
      </c>
      <c r="BR34" s="2801">
        <f>BR23+BR31+BR32</f>
        <v>-13784.431023132063</v>
      </c>
      <c r="BS34" s="2801">
        <f>BS23+BS31+BS32</f>
        <v>145.45704272581244</v>
      </c>
      <c r="BT34" s="2902">
        <f>N34-SUM(BP34:BS34)</f>
        <v>0</v>
      </c>
      <c r="BU34" s="2801">
        <f>BU23+BU31+BU32</f>
        <v>-18.861466858300638</v>
      </c>
      <c r="BV34" s="2801">
        <f>BV23+BV31+BV32</f>
        <v>81.310933524868403</v>
      </c>
      <c r="BW34" s="2801">
        <f>BW23+BW31+BW32</f>
        <v>296.92739985984582</v>
      </c>
      <c r="BX34" s="2801">
        <f>BX23+BX31+BX32</f>
        <v>83.623133473586776</v>
      </c>
      <c r="BY34" s="2842">
        <f>R34-SUM(BU34:BX34)</f>
        <v>0</v>
      </c>
      <c r="BZ34" s="2801">
        <f>BZ23+BZ31+BZ32</f>
        <v>5.800000000000054</v>
      </c>
      <c r="CA34" s="2801">
        <f>CA23+CA31+CA32</f>
        <v>248.59999999999988</v>
      </c>
      <c r="CB34" s="2801">
        <f>CB23+CB31+CB32</f>
        <v>508.8</v>
      </c>
      <c r="CC34" s="2801">
        <f>CC23+CC31+CC32</f>
        <v>458.3000000000003</v>
      </c>
      <c r="CD34" s="2842">
        <f>S34-SUM(BZ34:CC34)</f>
        <v>0</v>
      </c>
      <c r="CE34" s="2801">
        <f>CE23+CE31+CE32</f>
        <v>368</v>
      </c>
      <c r="CF34" s="2801">
        <f>CF23+CF31+CF32</f>
        <v>658</v>
      </c>
      <c r="CG34" s="2801">
        <f>CG23+CG31+CG32</f>
        <v>617</v>
      </c>
      <c r="CH34" s="2801">
        <f>CH23+CH31+CH32</f>
        <v>536</v>
      </c>
      <c r="CI34" s="2842">
        <f>T34-SUM(CE34:CH34)</f>
        <v>0</v>
      </c>
      <c r="CJ34" s="2801">
        <f>CJ23+CJ31+CJ32</f>
        <v>599</v>
      </c>
      <c r="CK34" s="2801">
        <f>CK23+CK31+CK32</f>
        <v>691.99999999999989</v>
      </c>
      <c r="CL34" s="2801">
        <f>CL23+CL31+CL32</f>
        <v>635</v>
      </c>
      <c r="CM34" s="2801">
        <f>CM23+CM31+CM32</f>
        <v>635</v>
      </c>
      <c r="CN34" s="2842">
        <f>U34-SUM(CJ34:CM34)</f>
        <v>0</v>
      </c>
      <c r="CO34" s="2801">
        <f>CO23+CO31+CO32</f>
        <v>705</v>
      </c>
      <c r="CP34" s="2801">
        <f>CP23+CP31+CP32</f>
        <v>740</v>
      </c>
      <c r="CQ34" s="2801">
        <f>CQ23+CQ31+CQ32</f>
        <v>744.00000000000011</v>
      </c>
      <c r="CR34" s="2801">
        <f>CR23+CR31+CR32</f>
        <v>708</v>
      </c>
      <c r="CS34" s="2842">
        <f>V34-SUM(CO34:CR34)</f>
        <v>0</v>
      </c>
      <c r="CT34" s="2841">
        <f>CT23+CT31+CT32</f>
        <v>706</v>
      </c>
      <c r="CU34" s="2841">
        <f>CU23+CU31+CU32</f>
        <v>645</v>
      </c>
      <c r="CV34" s="2841">
        <f>CV23+CV31+CV32</f>
        <v>210</v>
      </c>
      <c r="CW34" s="2801">
        <f>CW23+CW31+CW32</f>
        <v>603</v>
      </c>
      <c r="CX34" s="2842">
        <f>$W34-SUM(CT34:CW34)</f>
        <v>0</v>
      </c>
      <c r="CY34" s="2841">
        <f>CY23+CY31+CY32</f>
        <v>610</v>
      </c>
      <c r="CZ34" s="2841">
        <f>CZ23+CZ31+CZ32</f>
        <v>503</v>
      </c>
      <c r="DA34" s="2841">
        <f>DA23+DA31+DA32</f>
        <v>653</v>
      </c>
      <c r="DB34" s="2801">
        <f>DB23+DB31+DB32</f>
        <v>257</v>
      </c>
      <c r="DC34" s="2842">
        <f>$Z34-SUM(CY34:DB34)</f>
        <v>0</v>
      </c>
      <c r="DD34" s="2841">
        <f ca="1">DD23+DD31+DD32</f>
        <v>669</v>
      </c>
      <c r="DE34" s="2841">
        <f ca="1">DE23+DE31+DE32</f>
        <v>555</v>
      </c>
      <c r="DF34" s="2841">
        <f ca="1">DF23+DF31+DF32</f>
        <v>624</v>
      </c>
      <c r="DG34" s="2801">
        <f ca="1">DG23+DG31+DG32</f>
        <v>382</v>
      </c>
      <c r="DH34" s="2842">
        <f t="shared" ca="1" si="30"/>
        <v>0</v>
      </c>
      <c r="DI34" s="2841">
        <f>DI23+DI31+DI32</f>
        <v>609</v>
      </c>
      <c r="DJ34" s="2841">
        <f>DJ23+DJ31+DJ32</f>
        <v>578</v>
      </c>
      <c r="DK34" s="2841">
        <f>DK23+DK31+DK32</f>
        <v>606</v>
      </c>
      <c r="DL34" s="2801">
        <f ca="1">DL23+DL31+DL32</f>
        <v>629.00116813519037</v>
      </c>
      <c r="DM34" s="2842">
        <f t="shared" ca="1" si="7"/>
        <v>0</v>
      </c>
      <c r="DN34" s="2905">
        <f ca="1">DN23+DN31+DN32</f>
        <v>626.10065517761836</v>
      </c>
      <c r="DO34" s="2905">
        <f ca="1">DO23+DO31+DO32</f>
        <v>609.3637621065277</v>
      </c>
      <c r="DP34" s="2905">
        <f ca="1">DP23+DP31+DP32</f>
        <v>669.75228023968361</v>
      </c>
      <c r="DQ34" s="2857">
        <f ca="1">DQ23+DQ31+DQ32</f>
        <v>730.96736114751866</v>
      </c>
      <c r="DR34" s="2026">
        <f t="shared" ca="1" si="54"/>
        <v>0</v>
      </c>
    </row>
    <row r="35" spans="1:122" ht="5.0999999999999996" customHeight="1">
      <c r="A35" s="1494"/>
      <c r="B35" s="1105"/>
      <c r="C35" s="1105"/>
      <c r="D35" s="1105"/>
      <c r="E35" s="1105"/>
      <c r="F35" s="1105"/>
      <c r="G35" s="1105"/>
      <c r="H35" s="1105"/>
      <c r="I35" s="1105"/>
      <c r="J35" s="1105"/>
      <c r="K35" s="1105"/>
      <c r="L35" s="1105"/>
      <c r="M35" s="1105"/>
      <c r="N35" s="1105"/>
      <c r="O35" s="1369"/>
      <c r="P35" s="1105"/>
      <c r="Q35" s="1105"/>
      <c r="R35" s="1105"/>
      <c r="S35" s="1105"/>
      <c r="T35" s="1105"/>
      <c r="U35" s="1105"/>
      <c r="V35" s="1105"/>
      <c r="W35" s="1105"/>
      <c r="X35" s="1634"/>
      <c r="Y35" s="1634"/>
      <c r="Z35" s="1634"/>
      <c r="AA35" s="2896"/>
      <c r="AB35" s="2896"/>
      <c r="AC35" s="2804"/>
      <c r="AD35" s="2804"/>
      <c r="AE35" s="1105"/>
      <c r="AF35" s="1105"/>
      <c r="AG35" s="1105"/>
      <c r="AH35" s="1105"/>
      <c r="AI35" s="1105"/>
      <c r="AJ35" s="1105"/>
      <c r="AK35" s="1105"/>
      <c r="AL35" s="1105"/>
      <c r="AM35" s="1105"/>
      <c r="AN35" s="1105"/>
      <c r="AO35" s="1105"/>
      <c r="AP35" s="1105"/>
      <c r="AQ35" s="1105"/>
      <c r="AR35" s="1105"/>
      <c r="AS35" s="1105"/>
      <c r="AT35" s="2804"/>
      <c r="AU35" s="2894" t="str">
        <f t="shared" si="3"/>
        <v/>
      </c>
      <c r="AV35" s="2845"/>
      <c r="AW35" s="2845"/>
      <c r="AX35" s="2845"/>
      <c r="AY35" s="2845"/>
      <c r="AZ35" s="2900"/>
      <c r="BA35" s="2804"/>
      <c r="BB35" s="2804"/>
      <c r="BC35" s="2804"/>
      <c r="BD35" s="2845"/>
      <c r="BE35" s="2804"/>
      <c r="BF35" s="2804"/>
      <c r="BG35" s="2804"/>
      <c r="BH35" s="2804"/>
      <c r="BI35" s="2804"/>
      <c r="BJ35" s="2901"/>
      <c r="BK35" s="2804"/>
      <c r="BL35" s="2804"/>
      <c r="BM35" s="2804"/>
      <c r="BN35" s="2804"/>
      <c r="BO35" s="2806"/>
      <c r="BP35" s="2804"/>
      <c r="BQ35" s="2804"/>
      <c r="BR35" s="2804"/>
      <c r="BS35" s="2804"/>
      <c r="BT35" s="2806"/>
      <c r="BU35" s="2806"/>
      <c r="BV35" s="2806"/>
      <c r="BW35" s="2806"/>
      <c r="BX35" s="2806"/>
      <c r="BY35" s="2806"/>
      <c r="BZ35" s="2806"/>
      <c r="CA35" s="2806"/>
      <c r="CB35" s="2806"/>
      <c r="CC35" s="2806"/>
      <c r="CD35" s="2806"/>
      <c r="CE35" s="2806"/>
      <c r="CF35" s="2806"/>
      <c r="CG35" s="2806"/>
      <c r="CH35" s="2806"/>
      <c r="CI35" s="2806"/>
      <c r="CJ35" s="2806"/>
      <c r="CK35" s="2806"/>
      <c r="CL35" s="2806"/>
      <c r="CM35" s="2806"/>
      <c r="CN35" s="2806"/>
      <c r="CO35" s="2806"/>
      <c r="CP35" s="2806"/>
      <c r="CQ35" s="2806"/>
      <c r="CR35" s="2806"/>
      <c r="CS35" s="2806"/>
      <c r="CT35" s="2851"/>
      <c r="CU35" s="2851"/>
      <c r="CV35" s="2851"/>
      <c r="CW35" s="2806"/>
      <c r="CX35" s="2806"/>
      <c r="CY35" s="2851"/>
      <c r="CZ35" s="2851"/>
      <c r="DA35" s="2851"/>
      <c r="DB35" s="2806"/>
      <c r="DC35" s="2806"/>
      <c r="DD35" s="2851"/>
      <c r="DE35" s="2851"/>
      <c r="DF35" s="2851"/>
      <c r="DG35" s="2806"/>
      <c r="DH35" s="2842">
        <f t="shared" si="30"/>
        <v>0</v>
      </c>
      <c r="DI35" s="2851"/>
      <c r="DJ35" s="2851"/>
      <c r="DK35" s="2851"/>
      <c r="DL35" s="2806"/>
      <c r="DM35" s="2842">
        <f t="shared" si="7"/>
        <v>0</v>
      </c>
      <c r="DN35" s="2842"/>
      <c r="DO35" s="2842"/>
      <c r="DP35" s="2842"/>
      <c r="DQ35" s="2842"/>
      <c r="DR35" s="2026"/>
    </row>
    <row r="36" spans="1:122">
      <c r="A36" s="1108" t="s">
        <v>982</v>
      </c>
      <c r="B36" s="1635"/>
      <c r="C36" s="1635"/>
      <c r="D36" s="1635"/>
      <c r="E36" s="1635"/>
      <c r="F36" s="1635"/>
      <c r="G36" s="1635"/>
      <c r="H36" s="1635">
        <v>0</v>
      </c>
      <c r="I36" s="1635">
        <v>0</v>
      </c>
      <c r="J36" s="1635">
        <f>205.4-76.3</f>
        <v>129.10000000000002</v>
      </c>
      <c r="K36" s="1635">
        <v>0</v>
      </c>
      <c r="L36" s="1635">
        <f>SUM(BF36:BI36)</f>
        <v>125.90299999999993</v>
      </c>
      <c r="M36" s="1635">
        <f>SUM(BK36:BN36)</f>
        <v>-43.5</v>
      </c>
      <c r="N36" s="1635">
        <f>SUM(BP36:BS36)</f>
        <v>1536.1999999999998</v>
      </c>
      <c r="O36" s="1369"/>
      <c r="P36" s="1635">
        <f t="shared" ref="P36:Q39" si="60">M36</f>
        <v>-43.5</v>
      </c>
      <c r="Q36" s="1635">
        <f t="shared" si="60"/>
        <v>1536.1999999999998</v>
      </c>
      <c r="R36" s="1635">
        <v>0</v>
      </c>
      <c r="S36" s="1635">
        <v>0</v>
      </c>
      <c r="T36" s="1635">
        <v>0</v>
      </c>
      <c r="U36" s="1635">
        <v>0</v>
      </c>
      <c r="V36" s="1635">
        <v>0</v>
      </c>
      <c r="W36" s="1635">
        <v>0</v>
      </c>
      <c r="X36" s="1634"/>
      <c r="Y36" s="2896"/>
      <c r="Z36" s="2829">
        <v>0</v>
      </c>
      <c r="AA36" s="2829">
        <v>0</v>
      </c>
      <c r="AB36" s="2829">
        <v>0</v>
      </c>
      <c r="AC36" s="2829">
        <v>0</v>
      </c>
      <c r="AD36" s="2829">
        <v>0</v>
      </c>
      <c r="AE36" s="2829">
        <v>0</v>
      </c>
      <c r="AF36" s="2829">
        <v>0</v>
      </c>
      <c r="AG36" s="1635">
        <v>0</v>
      </c>
      <c r="AH36" s="1635">
        <v>0</v>
      </c>
      <c r="AI36" s="1635">
        <v>0</v>
      </c>
      <c r="AJ36" s="1635">
        <v>0</v>
      </c>
      <c r="AK36" s="1635">
        <v>0</v>
      </c>
      <c r="AL36" s="1635">
        <v>0</v>
      </c>
      <c r="AM36" s="1635">
        <v>0</v>
      </c>
      <c r="AN36" s="1635">
        <v>0</v>
      </c>
      <c r="AO36" s="1635"/>
      <c r="AP36" s="1635"/>
      <c r="AQ36" s="1635"/>
      <c r="AR36" s="1635"/>
      <c r="AS36" s="1635"/>
      <c r="AT36" s="2829"/>
      <c r="AU36" s="2862" t="str">
        <f t="shared" si="3"/>
        <v>Nonrecurring Tax (Expense) / Benefit</v>
      </c>
      <c r="AV36" s="2845"/>
      <c r="AW36" s="2845"/>
      <c r="AX36" s="2845"/>
      <c r="AY36" s="2845"/>
      <c r="AZ36" s="2900"/>
      <c r="BA36" s="2889" t="s">
        <v>737</v>
      </c>
      <c r="BB36" s="2889" t="s">
        <v>737</v>
      </c>
      <c r="BC36" s="2889" t="s">
        <v>737</v>
      </c>
      <c r="BD36" s="2889" t="s">
        <v>737</v>
      </c>
      <c r="BE36" s="2829"/>
      <c r="BF36" s="2829">
        <v>0</v>
      </c>
      <c r="BG36" s="2829">
        <f>-(BG37+BG38-BG39)</f>
        <v>122.00299999999993</v>
      </c>
      <c r="BH36" s="2829">
        <v>3.9</v>
      </c>
      <c r="BI36" s="2829">
        <v>0</v>
      </c>
      <c r="BJ36" s="2901">
        <f>L36-SUM(BF36:BI36)</f>
        <v>0</v>
      </c>
      <c r="BK36" s="2829">
        <v>-43.5</v>
      </c>
      <c r="BL36" s="2829">
        <v>0</v>
      </c>
      <c r="BM36" s="2829">
        <v>0</v>
      </c>
      <c r="BN36" s="2829">
        <v>0</v>
      </c>
      <c r="BO36" s="2902"/>
      <c r="BP36" s="2829">
        <f>17.8</f>
        <v>17.8</v>
      </c>
      <c r="BQ36" s="2829">
        <v>0</v>
      </c>
      <c r="BR36" s="2829">
        <f>1445.5+2.3</f>
        <v>1447.8</v>
      </c>
      <c r="BS36" s="2829">
        <f>37+33.6</f>
        <v>70.599999999999994</v>
      </c>
      <c r="BT36" s="2902">
        <f>N36-SUM(BP36:BS36)</f>
        <v>0</v>
      </c>
      <c r="BU36" s="2829">
        <v>0</v>
      </c>
      <c r="BV36" s="2829">
        <v>0</v>
      </c>
      <c r="BW36" s="2829">
        <v>0</v>
      </c>
      <c r="BX36" s="2829">
        <v>0</v>
      </c>
      <c r="BY36" s="2842">
        <f>R36-SUM(BU36:BX36)</f>
        <v>0</v>
      </c>
      <c r="BZ36" s="2829">
        <v>0</v>
      </c>
      <c r="CA36" s="2829">
        <v>0</v>
      </c>
      <c r="CB36" s="2829">
        <v>0</v>
      </c>
      <c r="CC36" s="2829">
        <v>0</v>
      </c>
      <c r="CD36" s="2842">
        <f>S36-SUM(BZ36:CC36)</f>
        <v>0</v>
      </c>
      <c r="CE36" s="2829">
        <v>0</v>
      </c>
      <c r="CF36" s="2829">
        <v>0</v>
      </c>
      <c r="CG36" s="2829">
        <v>0</v>
      </c>
      <c r="CH36" s="2829">
        <v>0</v>
      </c>
      <c r="CI36" s="2842">
        <f>T36-SUM(CE36:CH36)</f>
        <v>0</v>
      </c>
      <c r="CJ36" s="2829">
        <v>0</v>
      </c>
      <c r="CK36" s="2829">
        <v>0</v>
      </c>
      <c r="CL36" s="2829">
        <v>0</v>
      </c>
      <c r="CM36" s="2829">
        <v>0</v>
      </c>
      <c r="CN36" s="2842">
        <f>U36-SUM(CJ36:CM36)</f>
        <v>0</v>
      </c>
      <c r="CO36" s="2829">
        <v>0</v>
      </c>
      <c r="CP36" s="2829">
        <v>0</v>
      </c>
      <c r="CQ36" s="2829">
        <v>0</v>
      </c>
      <c r="CR36" s="2829">
        <v>0</v>
      </c>
      <c r="CS36" s="2842">
        <f>V36-SUM(CO36:CR36)</f>
        <v>0</v>
      </c>
      <c r="CT36" s="2829">
        <v>0</v>
      </c>
      <c r="CU36" s="2829">
        <v>0</v>
      </c>
      <c r="CV36" s="2829">
        <v>0</v>
      </c>
      <c r="CW36" s="2829">
        <v>0</v>
      </c>
      <c r="CX36" s="2842">
        <f>$W36-SUM(CT36:CW36)</f>
        <v>0</v>
      </c>
      <c r="CY36" s="2829">
        <v>0</v>
      </c>
      <c r="CZ36" s="2829">
        <v>0</v>
      </c>
      <c r="DA36" s="2829">
        <v>0</v>
      </c>
      <c r="DB36" s="2829">
        <v>0</v>
      </c>
      <c r="DC36" s="2842">
        <f>$Z36-SUM(CY36:DB36)</f>
        <v>0</v>
      </c>
      <c r="DD36" s="2829">
        <v>0</v>
      </c>
      <c r="DE36" s="2829">
        <v>0</v>
      </c>
      <c r="DF36" s="2829">
        <v>0</v>
      </c>
      <c r="DG36" s="2829">
        <v>0</v>
      </c>
      <c r="DH36" s="2842">
        <f t="shared" si="30"/>
        <v>0</v>
      </c>
      <c r="DI36" s="2829">
        <v>0</v>
      </c>
      <c r="DJ36" s="2829">
        <v>0</v>
      </c>
      <c r="DK36" s="2829">
        <v>0</v>
      </c>
      <c r="DL36" s="2829">
        <v>0</v>
      </c>
      <c r="DM36" s="2842">
        <f t="shared" si="7"/>
        <v>0</v>
      </c>
      <c r="DN36" s="2829">
        <v>0</v>
      </c>
      <c r="DO36" s="2829">
        <v>0</v>
      </c>
      <c r="DP36" s="2829">
        <v>0</v>
      </c>
      <c r="DQ36" s="2829">
        <v>0</v>
      </c>
      <c r="DR36" s="2026">
        <f t="shared" si="54"/>
        <v>0</v>
      </c>
    </row>
    <row r="37" spans="1:122">
      <c r="A37" s="1108" t="s">
        <v>493</v>
      </c>
      <c r="B37" s="1894"/>
      <c r="C37" s="1894"/>
      <c r="D37" s="1894"/>
      <c r="E37" s="1894"/>
      <c r="F37" s="1894"/>
      <c r="G37" s="1894"/>
      <c r="H37" s="1894">
        <f t="shared" ref="H37:M37" si="61">-H657</f>
        <v>-804.05257393209195</v>
      </c>
      <c r="I37" s="1894">
        <f t="shared" si="61"/>
        <v>-227.9</v>
      </c>
      <c r="J37" s="1894">
        <f t="shared" si="61"/>
        <v>-237.20000000000002</v>
      </c>
      <c r="K37" s="1894">
        <f t="shared" si="61"/>
        <v>-493.4</v>
      </c>
      <c r="L37" s="1894">
        <f t="shared" si="61"/>
        <v>-562.20000000000005</v>
      </c>
      <c r="M37" s="1894">
        <f t="shared" si="61"/>
        <v>-524.9</v>
      </c>
      <c r="N37" s="1635">
        <f>SUM(BP37:BS37)</f>
        <v>-547.54500000000007</v>
      </c>
      <c r="O37" s="1369"/>
      <c r="P37" s="1635">
        <f t="shared" si="60"/>
        <v>-524.9</v>
      </c>
      <c r="Q37" s="1635">
        <f t="shared" si="60"/>
        <v>-547.54500000000007</v>
      </c>
      <c r="R37" s="1894">
        <f>SUM(BU37:BX37)</f>
        <v>-55</v>
      </c>
      <c r="S37" s="1894">
        <f>-S657</f>
        <v>-248</v>
      </c>
      <c r="T37" s="1894">
        <f>-T657</f>
        <v>-235</v>
      </c>
      <c r="U37" s="1894">
        <f>-U657</f>
        <v>-422</v>
      </c>
      <c r="V37" s="1894">
        <f>-V657</f>
        <v>-425</v>
      </c>
      <c r="W37" s="1796">
        <f>+SUM(CT37:CW37)</f>
        <v>-367.74015748031496</v>
      </c>
      <c r="X37" s="1813"/>
      <c r="Y37" s="2891"/>
      <c r="Z37" s="2809">
        <f>SUM(CY37:DB37)</f>
        <v>-346</v>
      </c>
      <c r="AA37" s="2809">
        <f>AB37/AB39*AA39</f>
        <v>-444.64968152866243</v>
      </c>
      <c r="AB37" s="2809">
        <f>SUM(DD37:DG37)</f>
        <v>-390</v>
      </c>
      <c r="AC37" s="2809">
        <f ca="1">SUM(DI37:DL37)</f>
        <v>-462.98723713144358</v>
      </c>
      <c r="AD37" s="2809">
        <f ca="1">SUM(DN37:DQ37)</f>
        <v>-423.04163681528462</v>
      </c>
      <c r="AE37" s="2889">
        <f t="shared" ref="AE37:AM37" ca="1" si="62">-AE657</f>
        <v>-456.3787215563741</v>
      </c>
      <c r="AF37" s="2889">
        <f t="shared" ca="1" si="62"/>
        <v>-521.04257415276459</v>
      </c>
      <c r="AG37" s="1894">
        <f t="shared" ca="1" si="62"/>
        <v>-557.05366151753822</v>
      </c>
      <c r="AH37" s="1894">
        <f t="shared" ca="1" si="62"/>
        <v>-618.68881658823261</v>
      </c>
      <c r="AI37" s="1894">
        <f t="shared" ca="1" si="62"/>
        <v>-607.63001719169188</v>
      </c>
      <c r="AJ37" s="1894">
        <f t="shared" ca="1" si="62"/>
        <v>-646.30023841201341</v>
      </c>
      <c r="AK37" s="1894">
        <f t="shared" ca="1" si="62"/>
        <v>-666.75942686316546</v>
      </c>
      <c r="AL37" s="1894">
        <f t="shared" ca="1" si="62"/>
        <v>-677.12689772040642</v>
      </c>
      <c r="AM37" s="1894">
        <f t="shared" ca="1" si="62"/>
        <v>-687.03020740360375</v>
      </c>
      <c r="AN37" s="1894">
        <f t="shared" ref="AN37" ca="1" si="63">-AN657</f>
        <v>-745.43929639645353</v>
      </c>
      <c r="AO37" s="1894"/>
      <c r="AP37" s="1894"/>
      <c r="AQ37" s="1894"/>
      <c r="AR37" s="1894"/>
      <c r="AS37" s="1894"/>
      <c r="AT37" s="2889"/>
      <c r="AU37" s="2862" t="str">
        <f t="shared" si="3"/>
        <v>Cash Tax (Expense) / Benefit</v>
      </c>
      <c r="AV37" s="2845"/>
      <c r="AW37" s="2845"/>
      <c r="AX37" s="2845"/>
      <c r="AY37" s="2845"/>
      <c r="AZ37" s="2900"/>
      <c r="BA37" s="2889" t="s">
        <v>737</v>
      </c>
      <c r="BB37" s="2889" t="s">
        <v>737</v>
      </c>
      <c r="BC37" s="2889" t="s">
        <v>737</v>
      </c>
      <c r="BD37" s="2889" t="s">
        <v>737</v>
      </c>
      <c r="BE37" s="3185"/>
      <c r="BF37" s="2889">
        <v>-106.3</v>
      </c>
      <c r="BG37" s="2889">
        <f>-BG34*0.282</f>
        <v>-167.11319999999995</v>
      </c>
      <c r="BH37" s="2889">
        <f>BH39-BH38</f>
        <v>-104.78000000000002</v>
      </c>
      <c r="BI37" s="2889">
        <f>L37-SUM(BF37:BH37)</f>
        <v>-184.00680000000006</v>
      </c>
      <c r="BJ37" s="2901">
        <f>L37-SUM(BF37:BI37)</f>
        <v>0</v>
      </c>
      <c r="BK37" s="2889">
        <f>BK39-BK38-BK36</f>
        <v>-97.787011564211809</v>
      </c>
      <c r="BL37" s="2889">
        <f>BL39-BL38-BL36</f>
        <v>-161.69821059038344</v>
      </c>
      <c r="BM37" s="2889">
        <f>BM39-BM38</f>
        <v>-119.35362142422397</v>
      </c>
      <c r="BN37" s="2889">
        <f>BN39-BN38</f>
        <v>-146.06115642118078</v>
      </c>
      <c r="BO37" s="2902"/>
      <c r="BP37" s="2889">
        <f>BP39-BP38-BP36</f>
        <v>-153.97000000000003</v>
      </c>
      <c r="BQ37" s="2889">
        <f>BQ39-BQ38-BQ36</f>
        <v>-197.965</v>
      </c>
      <c r="BR37" s="2889">
        <f>BR39-BR38-BR36</f>
        <v>-100.70000000000005</v>
      </c>
      <c r="BS37" s="2889">
        <f>BS39-BS38-BS36</f>
        <v>-94.91</v>
      </c>
      <c r="BT37" s="2902">
        <f>N37-SUM(BP37:BS37)</f>
        <v>0</v>
      </c>
      <c r="BU37" s="2889">
        <v>-47.4</v>
      </c>
      <c r="BV37" s="2889">
        <f>-72.4-BU37</f>
        <v>-25.000000000000007</v>
      </c>
      <c r="BW37" s="2889">
        <f>72.4-41.4</f>
        <v>31.000000000000007</v>
      </c>
      <c r="BX37" s="2889">
        <f>-55-SUM(BU37:BW37)</f>
        <v>-13.600000000000001</v>
      </c>
      <c r="BY37" s="2842">
        <f>R37-SUM(BU37:BX37)</f>
        <v>0</v>
      </c>
      <c r="BZ37" s="2889">
        <v>-17.899999999999999</v>
      </c>
      <c r="CA37" s="2889">
        <f>-32.3-BZ37</f>
        <v>-14.399999999999999</v>
      </c>
      <c r="CB37" s="2889">
        <f>-46.6-BZ37-CA37</f>
        <v>-14.300000000000004</v>
      </c>
      <c r="CC37" s="2889">
        <f>S37-SUM(BZ37:CB37)</f>
        <v>-201.4</v>
      </c>
      <c r="CD37" s="2842">
        <f>S37-SUM(BZ37:CC37)</f>
        <v>0</v>
      </c>
      <c r="CE37" s="2842">
        <f>CE39*0.7</f>
        <v>-85.399999999999991</v>
      </c>
      <c r="CF37" s="2842">
        <f>CF39*0.7</f>
        <v>-161.69999999999999</v>
      </c>
      <c r="CG37" s="2842">
        <f>CG39*0.7</f>
        <v>-148.39999999999998</v>
      </c>
      <c r="CH37" s="2842">
        <f>T37-SUM(CE37:CG37)</f>
        <v>160.49999999999994</v>
      </c>
      <c r="CI37" s="2842">
        <f>T37-SUM(CE37:CH37)</f>
        <v>0</v>
      </c>
      <c r="CJ37" s="2842">
        <f>+CJ39*0.7</f>
        <v>-140.69999999999999</v>
      </c>
      <c r="CK37" s="2842">
        <f>+CK39*0.7</f>
        <v>-159.6</v>
      </c>
      <c r="CL37" s="2842">
        <f>+CL39*0.7</f>
        <v>-165.2</v>
      </c>
      <c r="CM37" s="2842">
        <f>+U37-SUM(CJ37:CL37)</f>
        <v>43.499999999999943</v>
      </c>
      <c r="CN37" s="2842">
        <f>U37-SUM(CJ37:CM37)</f>
        <v>0</v>
      </c>
      <c r="CO37" s="3042">
        <v>-27</v>
      </c>
      <c r="CP37" s="2842">
        <f>$V$660*CP39</f>
        <v>-111.24744376278119</v>
      </c>
      <c r="CQ37" s="2842">
        <f>$V$660*CQ39</f>
        <v>-110.37832310838446</v>
      </c>
      <c r="CR37" s="2842">
        <f>+V37-SUM(CO37:CQ37)</f>
        <v>-176.37423312883436</v>
      </c>
      <c r="CS37" s="2842">
        <f>V37-SUM(CO37:CR37)</f>
        <v>0</v>
      </c>
      <c r="CT37" s="3042">
        <v>-49</v>
      </c>
      <c r="CU37" s="2854">
        <f>$W$660*CU39</f>
        <v>-130.99737532808399</v>
      </c>
      <c r="CV37" s="2854">
        <f>$W$660*CV39</f>
        <v>-66.40419947506561</v>
      </c>
      <c r="CW37" s="2842">
        <f>$W$660*CW39</f>
        <v>-121.33858267716535</v>
      </c>
      <c r="CX37" s="2842">
        <f>$W37-SUM(CT37:CW37)</f>
        <v>0</v>
      </c>
      <c r="CY37" s="2852">
        <f>$Z$660*CY39</f>
        <v>-119.65587734241909</v>
      </c>
      <c r="CZ37" s="2852">
        <f>$Z$660*CZ39</f>
        <v>-97.257240204429309</v>
      </c>
      <c r="DA37" s="2852">
        <f>$Z$660*DA39</f>
        <v>-124.37137989778535</v>
      </c>
      <c r="DB37" s="2852">
        <f>$Z$660*DB39</f>
        <v>-4.7155025553662693</v>
      </c>
      <c r="DC37" s="2842">
        <f>$Z37-SUM(CY37:DB37)</f>
        <v>0</v>
      </c>
      <c r="DD37" s="2852">
        <f>$AA$660*DD39</f>
        <v>-127.92993630573248</v>
      </c>
      <c r="DE37" s="2852">
        <f>$AA$660*DE39</f>
        <v>-107.43630573248407</v>
      </c>
      <c r="DF37" s="2852">
        <f>$AA$660*DF39</f>
        <v>-90.047770700636946</v>
      </c>
      <c r="DG37" s="2852">
        <f>$AA$660*DG39</f>
        <v>-64.585987261146499</v>
      </c>
      <c r="DH37" s="2842">
        <f t="shared" si="30"/>
        <v>0</v>
      </c>
      <c r="DI37" s="2852">
        <f>$AC$660*DI39</f>
        <v>-96.6</v>
      </c>
      <c r="DJ37" s="2852">
        <f>$AC$660*DJ39</f>
        <v>-118.3</v>
      </c>
      <c r="DK37" s="2852">
        <f>$AC$660*DK39</f>
        <v>-120.39999999999999</v>
      </c>
      <c r="DL37" s="2852">
        <f ca="1">$AC$660*DL39</f>
        <v>-127.68723713144362</v>
      </c>
      <c r="DM37" s="2842">
        <f t="shared" ca="1" si="7"/>
        <v>0</v>
      </c>
      <c r="DN37" s="2852">
        <f ca="1">$AD$660*DN39</f>
        <v>-100.47350263962829</v>
      </c>
      <c r="DO37" s="2852">
        <f ca="1">$AD$660*DO39</f>
        <v>-97.787649724045025</v>
      </c>
      <c r="DP37" s="2852">
        <f ca="1">$AD$660*DP39</f>
        <v>-107.4784971714632</v>
      </c>
      <c r="DQ37" s="2852">
        <f ca="1">$AD$660*DQ39</f>
        <v>-117.30198728014804</v>
      </c>
      <c r="DR37" s="2026">
        <f t="shared" ca="1" si="54"/>
        <v>0</v>
      </c>
    </row>
    <row r="38" spans="1:122">
      <c r="A38" s="1108" t="s">
        <v>494</v>
      </c>
      <c r="B38" s="1903"/>
      <c r="C38" s="1903"/>
      <c r="D38" s="1903"/>
      <c r="E38" s="1903"/>
      <c r="F38" s="1903"/>
      <c r="G38" s="1903"/>
      <c r="H38" s="1903">
        <f t="shared" ref="H38:M38" si="64">H39-H37-H36</f>
        <v>69.952573932091923</v>
      </c>
      <c r="I38" s="1639">
        <f t="shared" si="64"/>
        <v>-498.6</v>
      </c>
      <c r="J38" s="1639">
        <f t="shared" si="64"/>
        <v>-500.79999999999995</v>
      </c>
      <c r="K38" s="1639">
        <f t="shared" si="64"/>
        <v>-314.70000000000005</v>
      </c>
      <c r="L38" s="1639">
        <f t="shared" si="64"/>
        <v>-215.90299999999993</v>
      </c>
      <c r="M38" s="1639">
        <f t="shared" si="64"/>
        <v>-253.10000000000002</v>
      </c>
      <c r="N38" s="1657">
        <f>SUM(BP38:BS38)</f>
        <v>-69.355000000000004</v>
      </c>
      <c r="O38" s="1369"/>
      <c r="P38" s="1657">
        <f t="shared" si="60"/>
        <v>-253.10000000000002</v>
      </c>
      <c r="Q38" s="1657">
        <f t="shared" si="60"/>
        <v>-69.355000000000004</v>
      </c>
      <c r="R38" s="1904">
        <f>SUM(BU38:BX38)</f>
        <v>-127.80000000000001</v>
      </c>
      <c r="S38" s="1639">
        <f t="shared" ref="S38:AH38" si="65">S39-S37-S36</f>
        <v>-214.70000000000005</v>
      </c>
      <c r="T38" s="1639">
        <f t="shared" si="65"/>
        <v>-516</v>
      </c>
      <c r="U38" s="1639">
        <f t="shared" si="65"/>
        <v>-470</v>
      </c>
      <c r="V38" s="1639">
        <f t="shared" si="65"/>
        <v>-553</v>
      </c>
      <c r="W38" s="1639">
        <f t="shared" si="65"/>
        <v>-394.25984251968504</v>
      </c>
      <c r="X38" s="1638"/>
      <c r="Y38" s="2853"/>
      <c r="Z38" s="2810">
        <f>SUM(CY38:DB38)</f>
        <v>-240.99999999999997</v>
      </c>
      <c r="AA38" s="2853">
        <f>AB38/AB39*AA39</f>
        <v>-271.35031847133757</v>
      </c>
      <c r="AB38" s="2810">
        <f>SUM(DD38:DG38)</f>
        <v>-238</v>
      </c>
      <c r="AC38" s="2810">
        <f ca="1">SUM(DI38:DL38)</f>
        <v>-198.42310162776158</v>
      </c>
      <c r="AD38" s="2810">
        <f ca="1">SUM(DN38:DQ38)</f>
        <v>-222.82345755919576</v>
      </c>
      <c r="AE38" s="2798">
        <f t="shared" ca="1" si="65"/>
        <v>-229.9050702577224</v>
      </c>
      <c r="AF38" s="2798">
        <f t="shared" ca="1" si="65"/>
        <v>-250.8723505179978</v>
      </c>
      <c r="AG38" s="1639">
        <f t="shared" ca="1" si="65"/>
        <v>-244.46239821992685</v>
      </c>
      <c r="AH38" s="1639">
        <f t="shared" ca="1" si="65"/>
        <v>-246.61022759111381</v>
      </c>
      <c r="AI38" s="1639">
        <f t="shared" ref="AI38:AN38" ca="1" si="66">AI39-AI37-AI36</f>
        <v>-219.07748919156234</v>
      </c>
      <c r="AJ38" s="1639">
        <f t="shared" ca="1" si="66"/>
        <v>-209.72656743171297</v>
      </c>
      <c r="AK38" s="1639">
        <f t="shared" ca="1" si="66"/>
        <v>-193.5753174764028</v>
      </c>
      <c r="AL38" s="1639">
        <f t="shared" ca="1" si="66"/>
        <v>-174.60504909771487</v>
      </c>
      <c r="AM38" s="1639">
        <f t="shared" ca="1" si="66"/>
        <v>-155.95164217137005</v>
      </c>
      <c r="AN38" s="1639">
        <f t="shared" ca="1" si="66"/>
        <v>-147.30237593462846</v>
      </c>
      <c r="AO38" s="1771"/>
      <c r="AP38" s="1771"/>
      <c r="AQ38" s="1771"/>
      <c r="AR38" s="1771"/>
      <c r="AS38" s="1771"/>
      <c r="AT38" s="3232"/>
      <c r="AU38" s="2862" t="str">
        <f t="shared" si="3"/>
        <v>Deferred Tax (Expense) / Benefit</v>
      </c>
      <c r="AV38" s="2845"/>
      <c r="AW38" s="2845"/>
      <c r="AX38" s="2845"/>
      <c r="AY38" s="2845"/>
      <c r="AZ38" s="2900"/>
      <c r="BA38" s="2889" t="s">
        <v>737</v>
      </c>
      <c r="BB38" s="2889" t="s">
        <v>737</v>
      </c>
      <c r="BC38" s="2889" t="s">
        <v>737</v>
      </c>
      <c r="BD38" s="2889" t="s">
        <v>737</v>
      </c>
      <c r="BE38" s="3185"/>
      <c r="BF38" s="2798">
        <f>BF39-BF37</f>
        <v>-45.600000000000009</v>
      </c>
      <c r="BG38" s="2798">
        <f>-BG34*0.123</f>
        <v>-72.889799999999994</v>
      </c>
      <c r="BH38" s="2798">
        <f>-BH34*0.2</f>
        <v>-103.61999999999999</v>
      </c>
      <c r="BI38" s="2798">
        <f>L38-BH38-BG38-BF38</f>
        <v>6.206800000000058</v>
      </c>
      <c r="BJ38" s="2901">
        <f>L38-SUM(BF38:BI38)</f>
        <v>0</v>
      </c>
      <c r="BK38" s="2798">
        <f>BK39*($M38/$M39)</f>
        <v>-62.912988435788193</v>
      </c>
      <c r="BL38" s="2798">
        <f>BL39*($M38/$M39)</f>
        <v>-72.001789409616563</v>
      </c>
      <c r="BM38" s="2798">
        <f>BM39*($M38/$M39)</f>
        <v>-53.146378575776026</v>
      </c>
      <c r="BN38" s="2798">
        <f>BN39*($M38/$M39)</f>
        <v>-65.038843578819254</v>
      </c>
      <c r="BO38" s="2902"/>
      <c r="BP38" s="2798">
        <f>BP39*0.1</f>
        <v>-15.130000000000003</v>
      </c>
      <c r="BQ38" s="2798">
        <f>BQ39*0.15</f>
        <v>-34.935000000000002</v>
      </c>
      <c r="BR38" s="2798">
        <v>-15</v>
      </c>
      <c r="BS38" s="2798">
        <f>BS39*0.15</f>
        <v>-4.29</v>
      </c>
      <c r="BT38" s="2902">
        <f>N38-SUM(BP38:BS38)</f>
        <v>0</v>
      </c>
      <c r="BU38" s="2798">
        <f>BU39-BU37-BU36</f>
        <v>38.599999999999994</v>
      </c>
      <c r="BV38" s="2798">
        <f>BV39-BV37-BV36</f>
        <v>-31.899999999999991</v>
      </c>
      <c r="BW38" s="2798">
        <f>BW39-BW37-BW36</f>
        <v>-110.70000000000002</v>
      </c>
      <c r="BX38" s="2798">
        <f>BX39-BX37-BX36</f>
        <v>-23.799999999999997</v>
      </c>
      <c r="BY38" s="2842">
        <f>R38-SUM(BU38:BX38)</f>
        <v>0</v>
      </c>
      <c r="BZ38" s="2798">
        <f>BZ39-BZ37-BZ36</f>
        <v>-3.1000000000000014</v>
      </c>
      <c r="CA38" s="2798">
        <f>CA39-CA37-CA36</f>
        <v>-77.300000000000011</v>
      </c>
      <c r="CB38" s="2798">
        <f>CB39-CB37-CB36</f>
        <v>-164.29999999999998</v>
      </c>
      <c r="CC38" s="2798">
        <f>CC39-CC37-CC36</f>
        <v>30</v>
      </c>
      <c r="CD38" s="2842">
        <f>S38-SUM(BZ38:CC38)</f>
        <v>0</v>
      </c>
      <c r="CE38" s="2798">
        <f>CE39-CE37-CE36</f>
        <v>-36.600000000000009</v>
      </c>
      <c r="CF38" s="2798">
        <f>CF39-CF37-CF36</f>
        <v>-69.300000000000011</v>
      </c>
      <c r="CG38" s="2798">
        <f>CG39-CG37-CG36</f>
        <v>-63.600000000000023</v>
      </c>
      <c r="CH38" s="2798">
        <f>CH39-CH37-CH36</f>
        <v>-346.49999999999994</v>
      </c>
      <c r="CI38" s="2842">
        <f>T38-SUM(CE38:CH38)</f>
        <v>0</v>
      </c>
      <c r="CJ38" s="2798">
        <f>CJ39-CJ37-CJ36</f>
        <v>-60.300000000000011</v>
      </c>
      <c r="CK38" s="2798">
        <f>CK39-CK37-CK36</f>
        <v>-68.400000000000006</v>
      </c>
      <c r="CL38" s="2798">
        <f>CL39-CL37-CL36</f>
        <v>-70.800000000000011</v>
      </c>
      <c r="CM38" s="2798">
        <f>CM39-CM37-CM36</f>
        <v>-270.49999999999994</v>
      </c>
      <c r="CN38" s="2842">
        <f>U38-SUM(CJ38:CM38)</f>
        <v>0</v>
      </c>
      <c r="CO38" s="2798">
        <f>CO39-CO37-CO36</f>
        <v>-207</v>
      </c>
      <c r="CP38" s="2798">
        <f>CP39-CP37-CP36</f>
        <v>-144.75255623721881</v>
      </c>
      <c r="CQ38" s="2798">
        <f>CQ39-CQ37-CQ36</f>
        <v>-143.62167689161555</v>
      </c>
      <c r="CR38" s="2798">
        <f>CR39-CR37-CR36</f>
        <v>-57.625766871165638</v>
      </c>
      <c r="CS38" s="2842">
        <f>V38-SUM(CO38:CR38)</f>
        <v>0</v>
      </c>
      <c r="CT38" s="2853">
        <f>CT39-CT37-CT36</f>
        <v>-185</v>
      </c>
      <c r="CU38" s="2853">
        <f>CU39-CU37-CU36</f>
        <v>-86.00262467191601</v>
      </c>
      <c r="CV38" s="2853">
        <f>CV39-CV37-CV36</f>
        <v>-43.59580052493439</v>
      </c>
      <c r="CW38" s="2798">
        <f>CW39-CW37-CW36</f>
        <v>-79.661417322834652</v>
      </c>
      <c r="CX38" s="2842">
        <f>$W38-SUM(CT38:CW38)</f>
        <v>0</v>
      </c>
      <c r="CY38" s="2853">
        <f>CY39-CY37-CY36</f>
        <v>-83.344122657580911</v>
      </c>
      <c r="CZ38" s="2853">
        <f>CZ39-CZ37-CZ36</f>
        <v>-67.742759795570691</v>
      </c>
      <c r="DA38" s="2853">
        <f>DA39-DA37-DA36</f>
        <v>-86.628620102214654</v>
      </c>
      <c r="DB38" s="2798">
        <f>DB39-DB37-DB36</f>
        <v>-3.2844974446337307</v>
      </c>
      <c r="DC38" s="2842">
        <f>$Z38-SUM(CY38:DB38)</f>
        <v>0</v>
      </c>
      <c r="DD38" s="2853">
        <f>DD39-DD37-DD36</f>
        <v>-78.070063694267517</v>
      </c>
      <c r="DE38" s="2853">
        <f>DE39-DE37-DE36</f>
        <v>-65.563694267515928</v>
      </c>
      <c r="DF38" s="2853">
        <f>DF39-DF37-DF36</f>
        <v>-54.952229299363054</v>
      </c>
      <c r="DG38" s="2798">
        <f>DG39-DG37-DG36</f>
        <v>-39.414012738853501</v>
      </c>
      <c r="DH38" s="2842">
        <f t="shared" si="30"/>
        <v>0</v>
      </c>
      <c r="DI38" s="2853">
        <f>DI39-DI37-DI36</f>
        <v>-41.400000000000006</v>
      </c>
      <c r="DJ38" s="2853">
        <f>DJ39-DJ37-DJ36</f>
        <v>-50.7</v>
      </c>
      <c r="DK38" s="2853">
        <f>DK39-DK37-DK36</f>
        <v>-51.600000000000009</v>
      </c>
      <c r="DL38" s="2798">
        <f ca="1">DL39-DL37-DL36</f>
        <v>-54.723101627761565</v>
      </c>
      <c r="DM38" s="2842">
        <f t="shared" ca="1" si="7"/>
        <v>0</v>
      </c>
      <c r="DN38" s="2798">
        <f ca="1">DN39-DN37-DN36</f>
        <v>-52.921157878888209</v>
      </c>
      <c r="DO38" s="2798">
        <f t="shared" ref="DO38:DQ38" ca="1" si="67">DO39-DO37-DO36</f>
        <v>-51.506471992054259</v>
      </c>
      <c r="DP38" s="2798">
        <f t="shared" ca="1" si="67"/>
        <v>-56.610811487259269</v>
      </c>
      <c r="DQ38" s="2798">
        <f t="shared" ca="1" si="67"/>
        <v>-61.785016200994022</v>
      </c>
      <c r="DR38" s="2026">
        <f t="shared" ca="1" si="54"/>
        <v>0</v>
      </c>
    </row>
    <row r="39" spans="1:122">
      <c r="A39" s="1108" t="s">
        <v>961</v>
      </c>
      <c r="B39" s="1635"/>
      <c r="C39" s="1635"/>
      <c r="D39" s="1635"/>
      <c r="E39" s="1635"/>
      <c r="F39" s="1635"/>
      <c r="G39" s="1635"/>
      <c r="H39" s="1655">
        <v>-734.1</v>
      </c>
      <c r="I39" s="1654">
        <v>-726.5</v>
      </c>
      <c r="J39" s="1654">
        <v>-608.9</v>
      </c>
      <c r="K39" s="1654">
        <v>-808.1</v>
      </c>
      <c r="L39" s="1654">
        <v>-652.20000000000005</v>
      </c>
      <c r="M39" s="1654">
        <v>-821.5</v>
      </c>
      <c r="N39" s="1654">
        <f>SUM(N36:N38)</f>
        <v>919.29999999999973</v>
      </c>
      <c r="O39" s="1369"/>
      <c r="P39" s="1654">
        <f t="shared" si="60"/>
        <v>-821.5</v>
      </c>
      <c r="Q39" s="1654">
        <f t="shared" si="60"/>
        <v>919.29999999999973</v>
      </c>
      <c r="R39" s="1654">
        <f>SUM(R36:R38)</f>
        <v>-182.8</v>
      </c>
      <c r="S39" s="1654">
        <f>SUM(BZ39:CC39)</f>
        <v>-462.70000000000005</v>
      </c>
      <c r="T39" s="1780">
        <f>+SUM(CE39:CH39)</f>
        <v>-751</v>
      </c>
      <c r="U39" s="1780">
        <f>SUM(CJ39:CM39)</f>
        <v>-892</v>
      </c>
      <c r="V39" s="1780">
        <f>SUM(CO39:CR39)</f>
        <v>-978</v>
      </c>
      <c r="W39" s="1780">
        <f>SUM(CT39:CW39)</f>
        <v>-762</v>
      </c>
      <c r="X39" s="1895">
        <v>-878</v>
      </c>
      <c r="Y39" s="2890">
        <f>+-Y40*Y34</f>
        <v>-762</v>
      </c>
      <c r="Z39" s="2890">
        <f>SUM(CY39:DB39)</f>
        <v>-587</v>
      </c>
      <c r="AA39" s="2890">
        <f>AB39-88</f>
        <v>-716</v>
      </c>
      <c r="AB39" s="2890">
        <f>SUM(DD39:DG39)</f>
        <v>-628</v>
      </c>
      <c r="AC39" s="2890">
        <f ca="1">SUM(DI39:DL39)</f>
        <v>-661.41033875920516</v>
      </c>
      <c r="AD39" s="2890">
        <f ca="1">SUM(DN39:DQ39)</f>
        <v>-645.86509437448035</v>
      </c>
      <c r="AE39" s="2801">
        <f t="shared" ref="AE39:AL39" ca="1" si="68">-AE656</f>
        <v>-686.2837918140965</v>
      </c>
      <c r="AF39" s="2801">
        <f t="shared" ca="1" si="68"/>
        <v>-771.91492467076239</v>
      </c>
      <c r="AG39" s="1654">
        <f t="shared" ca="1" si="68"/>
        <v>-801.51605973746507</v>
      </c>
      <c r="AH39" s="1654">
        <f t="shared" ca="1" si="68"/>
        <v>-865.29904417934642</v>
      </c>
      <c r="AI39" s="1654">
        <f t="shared" ca="1" si="68"/>
        <v>-826.70750638325421</v>
      </c>
      <c r="AJ39" s="1654">
        <f t="shared" ca="1" si="68"/>
        <v>-856.02680584372638</v>
      </c>
      <c r="AK39" s="1654">
        <f t="shared" ca="1" si="68"/>
        <v>-860.33474433956826</v>
      </c>
      <c r="AL39" s="1654">
        <f t="shared" ca="1" si="68"/>
        <v>-851.73194681812129</v>
      </c>
      <c r="AM39" s="1654">
        <f ca="1">-AM656</f>
        <v>-842.98184957497381</v>
      </c>
      <c r="AN39" s="1654">
        <f ca="1">-AN656</f>
        <v>-892.74167233108199</v>
      </c>
      <c r="AO39" s="1654"/>
      <c r="AP39" s="1654"/>
      <c r="AQ39" s="1654"/>
      <c r="AR39" s="1654"/>
      <c r="AS39" s="1654"/>
      <c r="AT39" s="2804"/>
      <c r="AU39" s="2862" t="str">
        <f t="shared" si="3"/>
        <v xml:space="preserve">Total Tax Provision </v>
      </c>
      <c r="AV39" s="2845"/>
      <c r="AW39" s="2845"/>
      <c r="AX39" s="2845"/>
      <c r="AY39" s="2845"/>
      <c r="AZ39" s="2900"/>
      <c r="BA39" s="2889" t="s">
        <v>737</v>
      </c>
      <c r="BB39" s="2889" t="s">
        <v>737</v>
      </c>
      <c r="BC39" s="2889" t="s">
        <v>737</v>
      </c>
      <c r="BD39" s="2889" t="s">
        <v>737</v>
      </c>
      <c r="BE39" s="3185"/>
      <c r="BF39" s="2801">
        <v>-151.9</v>
      </c>
      <c r="BG39" s="2801">
        <v>-118</v>
      </c>
      <c r="BH39" s="2801">
        <v>-208.4</v>
      </c>
      <c r="BI39" s="2801">
        <f>L39-SUM(BF39:BH39)</f>
        <v>-173.90000000000009</v>
      </c>
      <c r="BJ39" s="2901">
        <f>L39-SUM(BF39:BI39)</f>
        <v>0</v>
      </c>
      <c r="BK39" s="3070">
        <v>-204.2</v>
      </c>
      <c r="BL39" s="3070">
        <v>-233.7</v>
      </c>
      <c r="BM39" s="2801">
        <v>-172.5</v>
      </c>
      <c r="BN39" s="2801">
        <f>M39-SUM(BK39:BM39)</f>
        <v>-211.10000000000002</v>
      </c>
      <c r="BO39" s="2902"/>
      <c r="BP39" s="2801">
        <f>-151.3</f>
        <v>-151.30000000000001</v>
      </c>
      <c r="BQ39" s="2801">
        <v>-232.9</v>
      </c>
      <c r="BR39" s="3070">
        <v>1332.1</v>
      </c>
      <c r="BS39" s="2801">
        <v>-28.6</v>
      </c>
      <c r="BT39" s="2902">
        <f>N39-SUM(BP39:BS39)</f>
        <v>0</v>
      </c>
      <c r="BU39" s="2801">
        <v>-8.8000000000000007</v>
      </c>
      <c r="BV39" s="2801">
        <v>-56.9</v>
      </c>
      <c r="BW39" s="2801">
        <v>-79.7</v>
      </c>
      <c r="BX39" s="2801">
        <v>-37.4</v>
      </c>
      <c r="BY39" s="2842">
        <f>R39-SUM(BU39:BX39)</f>
        <v>0</v>
      </c>
      <c r="BZ39" s="2801">
        <v>-21</v>
      </c>
      <c r="CA39" s="2801">
        <v>-91.7</v>
      </c>
      <c r="CB39" s="2801">
        <v>-178.6</v>
      </c>
      <c r="CC39" s="2801">
        <v>-171.4</v>
      </c>
      <c r="CD39" s="2842">
        <f>S39-SUM(BZ39:CC39)</f>
        <v>0</v>
      </c>
      <c r="CE39" s="2801">
        <v>-122</v>
      </c>
      <c r="CF39" s="2801">
        <v>-231</v>
      </c>
      <c r="CG39" s="2801">
        <v>-212</v>
      </c>
      <c r="CH39" s="2801">
        <v>-186</v>
      </c>
      <c r="CI39" s="2842">
        <f>T39-SUM(CE39:CH39)</f>
        <v>0</v>
      </c>
      <c r="CJ39" s="2847">
        <v>-201</v>
      </c>
      <c r="CK39" s="2847">
        <v>-228</v>
      </c>
      <c r="CL39" s="2847">
        <v>-236</v>
      </c>
      <c r="CM39" s="2847">
        <v>-227</v>
      </c>
      <c r="CN39" s="2842">
        <f>U39-SUM(CJ39:CM39)</f>
        <v>0</v>
      </c>
      <c r="CO39" s="2847">
        <v>-234</v>
      </c>
      <c r="CP39" s="2847">
        <v>-256</v>
      </c>
      <c r="CQ39" s="2847">
        <v>-254</v>
      </c>
      <c r="CR39" s="2847">
        <v>-234</v>
      </c>
      <c r="CS39" s="2842">
        <f>V39-SUM(CO39:CR39)</f>
        <v>0</v>
      </c>
      <c r="CT39" s="2847">
        <v>-234</v>
      </c>
      <c r="CU39" s="2847">
        <v>-217</v>
      </c>
      <c r="CV39" s="2847">
        <v>-110</v>
      </c>
      <c r="CW39" s="2847">
        <v>-201</v>
      </c>
      <c r="CX39" s="2842">
        <f>$W39-SUM(CT39:CW39)</f>
        <v>0</v>
      </c>
      <c r="CY39" s="2847">
        <v>-203</v>
      </c>
      <c r="CZ39" s="2847">
        <v>-165</v>
      </c>
      <c r="DA39" s="2847">
        <v>-211</v>
      </c>
      <c r="DB39" s="2847">
        <v>-8</v>
      </c>
      <c r="DC39" s="2842">
        <f>$Z39-SUM(CY39:DB39)</f>
        <v>0</v>
      </c>
      <c r="DD39" s="2847">
        <v>-206</v>
      </c>
      <c r="DE39" s="2847">
        <v>-173</v>
      </c>
      <c r="DF39" s="2847">
        <f>-628-DG39-DD39-DE39</f>
        <v>-145</v>
      </c>
      <c r="DG39" s="2847">
        <v>-104</v>
      </c>
      <c r="DH39" s="2842">
        <f t="shared" si="30"/>
        <v>0</v>
      </c>
      <c r="DI39" s="2847">
        <v>-138</v>
      </c>
      <c r="DJ39" s="2847">
        <f>-169</f>
        <v>-169</v>
      </c>
      <c r="DK39" s="2847">
        <v>-172</v>
      </c>
      <c r="DL39" s="2854">
        <f ca="1">+-DL40*DL34</f>
        <v>-182.41033875920519</v>
      </c>
      <c r="DM39" s="2842">
        <f t="shared" ca="1" si="7"/>
        <v>0</v>
      </c>
      <c r="DN39" s="2854">
        <f t="shared" ref="DN39:DQ39" ca="1" si="69">+-DN40*DN34</f>
        <v>-153.3946605185165</v>
      </c>
      <c r="DO39" s="2854">
        <f t="shared" ca="1" si="69"/>
        <v>-149.29412171609928</v>
      </c>
      <c r="DP39" s="2854">
        <f t="shared" ca="1" si="69"/>
        <v>-164.08930865872247</v>
      </c>
      <c r="DQ39" s="2854">
        <f t="shared" ca="1" si="69"/>
        <v>-179.08700348114206</v>
      </c>
      <c r="DR39" s="2026">
        <f t="shared" ca="1" si="54"/>
        <v>0</v>
      </c>
    </row>
    <row r="40" spans="1:122">
      <c r="A40" s="1108" t="s">
        <v>798</v>
      </c>
      <c r="B40" s="1110"/>
      <c r="C40" s="1110"/>
      <c r="D40" s="1110"/>
      <c r="E40" s="1110"/>
      <c r="F40" s="1110"/>
      <c r="G40" s="1110"/>
      <c r="H40" s="1110">
        <f t="shared" ref="H40:S40" si="70">-H39/H34</f>
        <v>0.40136686714051412</v>
      </c>
      <c r="I40" s="1110">
        <f t="shared" si="70"/>
        <v>0.39790776645853859</v>
      </c>
      <c r="J40" s="1110">
        <f t="shared" si="70"/>
        <v>-3.8534072498987444E-2</v>
      </c>
      <c r="K40" s="1110">
        <f t="shared" si="70"/>
        <v>-0.10757884367054064</v>
      </c>
      <c r="L40" s="1110">
        <f t="shared" si="70"/>
        <v>0.30580953720635817</v>
      </c>
      <c r="M40" s="1110">
        <f t="shared" si="70"/>
        <v>0.38452536978093999</v>
      </c>
      <c r="N40" s="1110">
        <f t="shared" si="70"/>
        <v>7.3104786443050115E-2</v>
      </c>
      <c r="O40" s="1369"/>
      <c r="P40" s="1110">
        <f t="shared" si="70"/>
        <v>0.38078425448996034</v>
      </c>
      <c r="Q40" s="1110">
        <f t="shared" si="70"/>
        <v>7.3838098617411765E-2</v>
      </c>
      <c r="R40" s="1110">
        <f t="shared" si="70"/>
        <v>0.41264108352144441</v>
      </c>
      <c r="S40" s="1110">
        <f t="shared" si="70"/>
        <v>0.37879656160458447</v>
      </c>
      <c r="T40" s="1110">
        <f t="shared" ref="T40:AG40" si="71">-T39/T34</f>
        <v>0.34465351078476358</v>
      </c>
      <c r="U40" s="1110">
        <f t="shared" si="71"/>
        <v>0.34830144474814534</v>
      </c>
      <c r="V40" s="1110">
        <f t="shared" si="71"/>
        <v>0.33759061097687265</v>
      </c>
      <c r="W40" s="1110">
        <f t="shared" si="71"/>
        <v>0.35212569316081332</v>
      </c>
      <c r="X40" s="1110">
        <f t="shared" si="71"/>
        <v>0.32945590994371482</v>
      </c>
      <c r="Y40" s="2866">
        <f>+W40</f>
        <v>0.35212569316081332</v>
      </c>
      <c r="Z40" s="2802">
        <f>-Z39/Z34</f>
        <v>0.2901631240731587</v>
      </c>
      <c r="AA40" s="2802">
        <f t="shared" ca="1" si="71"/>
        <v>0.34706737760542899</v>
      </c>
      <c r="AB40" s="2802">
        <f ca="1">AA40</f>
        <v>0.34706737760542899</v>
      </c>
      <c r="AC40" s="2802">
        <f t="shared" ca="1" si="71"/>
        <v>0.27308423606932253</v>
      </c>
      <c r="AD40" s="2802">
        <f t="shared" ca="1" si="71"/>
        <v>0.24500000000000005</v>
      </c>
      <c r="AE40" s="2802">
        <f t="shared" ca="1" si="71"/>
        <v>0.245</v>
      </c>
      <c r="AF40" s="2802">
        <f t="shared" ca="1" si="71"/>
        <v>0.245</v>
      </c>
      <c r="AG40" s="1110">
        <f t="shared" ca="1" si="71"/>
        <v>0.245</v>
      </c>
      <c r="AH40" s="1110">
        <f ca="1">-AH39/AH34</f>
        <v>0.24499999999999997</v>
      </c>
      <c r="AI40" s="1110">
        <f t="shared" ref="AI40:AN40" ca="1" si="72">-AI39/AI34</f>
        <v>0.245</v>
      </c>
      <c r="AJ40" s="1110">
        <f t="shared" ca="1" si="72"/>
        <v>0.24499999999999997</v>
      </c>
      <c r="AK40" s="1110">
        <f t="shared" ca="1" si="72"/>
        <v>0.245</v>
      </c>
      <c r="AL40" s="1110">
        <f t="shared" ca="1" si="72"/>
        <v>0.245</v>
      </c>
      <c r="AM40" s="1110">
        <f t="shared" ca="1" si="72"/>
        <v>0.245</v>
      </c>
      <c r="AN40" s="1110">
        <f t="shared" ca="1" si="72"/>
        <v>0.24506725515272029</v>
      </c>
      <c r="AO40" s="1110"/>
      <c r="AP40" s="1110"/>
      <c r="AQ40" s="1110"/>
      <c r="AR40" s="1110"/>
      <c r="AS40" s="1110"/>
      <c r="AT40" s="2802"/>
      <c r="AU40" s="2862" t="str">
        <f t="shared" si="3"/>
        <v>Effective Tax Rate</v>
      </c>
      <c r="AV40" s="2845"/>
      <c r="AW40" s="2845"/>
      <c r="AX40" s="2845"/>
      <c r="AY40" s="2845"/>
      <c r="AZ40" s="2900"/>
      <c r="BA40" s="2889" t="s">
        <v>737</v>
      </c>
      <c r="BB40" s="2889" t="s">
        <v>737</v>
      </c>
      <c r="BC40" s="2889" t="s">
        <v>737</v>
      </c>
      <c r="BD40" s="2889" t="s">
        <v>737</v>
      </c>
      <c r="BE40" s="2845" t="s">
        <v>337</v>
      </c>
      <c r="BF40" s="2802">
        <f>-BF39/BF34</f>
        <v>0.39847848898216176</v>
      </c>
      <c r="BG40" s="2802">
        <f>-BG39/BG34</f>
        <v>0.19912251096861291</v>
      </c>
      <c r="BH40" s="2802">
        <f>-BH39/BH34</f>
        <v>0.40223895000965071</v>
      </c>
      <c r="BI40" s="2802">
        <f>-BI39/BI34</f>
        <v>0.27137952559300887</v>
      </c>
      <c r="BJ40" s="3186"/>
      <c r="BK40" s="2802">
        <f>-BK39/BK34</f>
        <v>0.48717642848622211</v>
      </c>
      <c r="BL40" s="2802">
        <f>-BL39/BL34</f>
        <v>0.36696239302818556</v>
      </c>
      <c r="BM40" s="2802">
        <f>-BM39/BM34</f>
        <v>0.33049142638183715</v>
      </c>
      <c r="BN40" s="2802">
        <f>-BN39/BN34</f>
        <v>0.38659463419100804</v>
      </c>
      <c r="BO40" s="2806"/>
      <c r="BP40" s="2802">
        <f>-BP39/BP34</f>
        <v>0.36223968535464252</v>
      </c>
      <c r="BQ40" s="2802">
        <f>-BQ39/BQ34</f>
        <v>0.36041767124116902</v>
      </c>
      <c r="BR40" s="2802">
        <f>-BR39/BR34</f>
        <v>9.6638011229086163E-2</v>
      </c>
      <c r="BS40" s="2802">
        <f>-BS39/BS34</f>
        <v>0.19662162425446256</v>
      </c>
      <c r="BT40" s="2806"/>
      <c r="BU40" s="2802">
        <f>-BU39/BU34</f>
        <v>-0.46655968308887164</v>
      </c>
      <c r="BV40" s="2802">
        <f>-BV39/BV34</f>
        <v>0.6997828893773248</v>
      </c>
      <c r="BW40" s="2802">
        <f>-BW39/BW34</f>
        <v>0.26841578122335491</v>
      </c>
      <c r="BX40" s="2802">
        <f>-BX39/BX34</f>
        <v>0.44724466121343293</v>
      </c>
      <c r="BY40" s="2806"/>
      <c r="BZ40" s="2802">
        <f>-BZ39/BZ34</f>
        <v>3.62068965517238</v>
      </c>
      <c r="CA40" s="2802">
        <f>-CA39/CA34</f>
        <v>0.36886564762670976</v>
      </c>
      <c r="CB40" s="2802">
        <f>-CB39/CB34</f>
        <v>0.35102201257861632</v>
      </c>
      <c r="CC40" s="2802">
        <f>-CC39/CC34</f>
        <v>0.37399083569714137</v>
      </c>
      <c r="CD40" s="2806"/>
      <c r="CE40" s="2802">
        <f>-CE39/CE34</f>
        <v>0.33152173913043476</v>
      </c>
      <c r="CF40" s="2802">
        <f>-CF39/CF34</f>
        <v>0.35106382978723405</v>
      </c>
      <c r="CG40" s="2802">
        <f>-CG39/CG34</f>
        <v>0.34359805510534847</v>
      </c>
      <c r="CH40" s="2802">
        <f>-CH39/CH34</f>
        <v>0.34701492537313433</v>
      </c>
      <c r="CI40" s="2806"/>
      <c r="CJ40" s="2802">
        <f>-CJ39/CJ34</f>
        <v>0.335559265442404</v>
      </c>
      <c r="CK40" s="2802">
        <f>-CK39/CK34</f>
        <v>0.32947976878612723</v>
      </c>
      <c r="CL40" s="2802">
        <f>-CL39/CL34</f>
        <v>0.37165354330708661</v>
      </c>
      <c r="CM40" s="2802">
        <f>-CM39/CM34</f>
        <v>0.35748031496062993</v>
      </c>
      <c r="CN40" s="2806"/>
      <c r="CO40" s="2802">
        <f>-CO39/CO34</f>
        <v>0.33191489361702126</v>
      </c>
      <c r="CP40" s="2802">
        <f>-CP39/CP34</f>
        <v>0.34594594594594597</v>
      </c>
      <c r="CQ40" s="2802">
        <f>-CQ39/CQ34</f>
        <v>0.34139784946236557</v>
      </c>
      <c r="CR40" s="2802">
        <f>-CR39/CR34</f>
        <v>0.33050847457627119</v>
      </c>
      <c r="CS40" s="2806"/>
      <c r="CT40" s="2802">
        <f>-CT39/CT34</f>
        <v>0.33144475920679889</v>
      </c>
      <c r="CU40" s="2802">
        <f>-CU39/CU34</f>
        <v>0.33643410852713179</v>
      </c>
      <c r="CV40" s="2802">
        <f>-CV39/CV34</f>
        <v>0.52380952380952384</v>
      </c>
      <c r="CW40" s="2802">
        <f>-CW39/CW34</f>
        <v>0.33333333333333331</v>
      </c>
      <c r="CX40" s="2802"/>
      <c r="CY40" s="2802">
        <f>-CY39/CY34</f>
        <v>0.33278688524590166</v>
      </c>
      <c r="CZ40" s="2802">
        <f>-CZ39/CZ34</f>
        <v>0.32803180914512925</v>
      </c>
      <c r="DA40" s="2802">
        <f>-DA39/DA34</f>
        <v>0.32312404287901991</v>
      </c>
      <c r="DB40" s="2802">
        <f>-DB39/DB34</f>
        <v>3.1128404669260701E-2</v>
      </c>
      <c r="DC40" s="2802"/>
      <c r="DD40" s="2802">
        <f t="shared" ref="DD40:DE40" ca="1" si="73">-DD39/DD34</f>
        <v>0.30792227204783257</v>
      </c>
      <c r="DE40" s="2802">
        <f t="shared" ca="1" si="73"/>
        <v>0.31171171171171169</v>
      </c>
      <c r="DF40" s="2802">
        <f ca="1">-DF39/DF34</f>
        <v>0.23237179487179488</v>
      </c>
      <c r="DG40" s="2802">
        <f ca="1">-DG39/DG34</f>
        <v>0.27225130890052357</v>
      </c>
      <c r="DH40" s="2802"/>
      <c r="DI40" s="2802">
        <f t="shared" ref="DI40" si="74">-DI39/DI34</f>
        <v>0.22660098522167488</v>
      </c>
      <c r="DJ40" s="2802">
        <f>-DJ39/DJ34</f>
        <v>0.29238754325259514</v>
      </c>
      <c r="DK40" s="2802">
        <f>-DK39/DK34</f>
        <v>0.28382838283828382</v>
      </c>
      <c r="DL40" s="2830">
        <f>DL670</f>
        <v>0.28999999999999998</v>
      </c>
      <c r="DM40" s="2842"/>
      <c r="DN40" s="2830">
        <f t="shared" ref="DN40:DQ40" si="75">DN670</f>
        <v>0.245</v>
      </c>
      <c r="DO40" s="2830">
        <f t="shared" si="75"/>
        <v>0.245</v>
      </c>
      <c r="DP40" s="2830">
        <f t="shared" si="75"/>
        <v>0.245</v>
      </c>
      <c r="DQ40" s="2830">
        <f t="shared" si="75"/>
        <v>0.245</v>
      </c>
      <c r="DR40" s="2026"/>
    </row>
    <row r="41" spans="1:122">
      <c r="A41" s="1108"/>
      <c r="B41" s="1105"/>
      <c r="C41" s="1105"/>
      <c r="D41" s="1105"/>
      <c r="E41" s="1105"/>
      <c r="F41" s="1105"/>
      <c r="G41" s="1105"/>
      <c r="H41" s="1105"/>
      <c r="I41" s="1105"/>
      <c r="J41" s="1105"/>
      <c r="K41" s="1105"/>
      <c r="L41" s="1905"/>
      <c r="M41" s="1905"/>
      <c r="N41" s="1635"/>
      <c r="O41" s="1369"/>
      <c r="P41" s="1635"/>
      <c r="Q41" s="1635"/>
      <c r="R41" s="1820"/>
      <c r="S41" s="1820"/>
      <c r="T41" s="1110"/>
      <c r="U41" s="1110"/>
      <c r="V41" s="1110"/>
      <c r="W41" s="1110"/>
      <c r="X41" s="1737"/>
      <c r="Y41" s="2866"/>
      <c r="Z41" s="2866"/>
      <c r="AA41" s="2866"/>
      <c r="AB41" s="2866"/>
      <c r="AC41" s="2802"/>
      <c r="AD41" s="2802"/>
      <c r="AE41" s="2802"/>
      <c r="AF41" s="2802"/>
      <c r="AG41" s="1110"/>
      <c r="AH41" s="1110"/>
      <c r="AI41" s="1110"/>
      <c r="AJ41" s="1110"/>
      <c r="AK41" s="1110"/>
      <c r="AL41" s="1110"/>
      <c r="AM41" s="1635"/>
      <c r="AN41" s="1635"/>
      <c r="AO41" s="1635"/>
      <c r="AP41" s="1635"/>
      <c r="AQ41" s="1635"/>
      <c r="AR41" s="1635"/>
      <c r="AS41" s="1635"/>
      <c r="AT41" s="2829"/>
      <c r="AU41" s="2862" t="str">
        <f t="shared" si="3"/>
        <v/>
      </c>
      <c r="AV41" s="2845"/>
      <c r="AW41" s="2845"/>
      <c r="AX41" s="2845"/>
      <c r="AY41" s="2845"/>
      <c r="AZ41" s="2900"/>
      <c r="BA41" s="2829"/>
      <c r="BB41" s="2845"/>
      <c r="BC41" s="2845"/>
      <c r="BD41" s="2845"/>
      <c r="BE41" s="2845"/>
      <c r="BF41" s="2829"/>
      <c r="BG41" s="2829"/>
      <c r="BH41" s="2829"/>
      <c r="BI41" s="2829"/>
      <c r="BJ41" s="2900"/>
      <c r="BK41" s="2829"/>
      <c r="BL41" s="2829"/>
      <c r="BM41" s="2829"/>
      <c r="BN41" s="2829" t="s">
        <v>337</v>
      </c>
      <c r="BO41" s="2806"/>
      <c r="BP41" s="2829"/>
      <c r="BQ41" s="2829"/>
      <c r="BR41" s="2829"/>
      <c r="BS41" s="2829" t="s">
        <v>337</v>
      </c>
      <c r="BT41" s="2806"/>
      <c r="BU41" s="2806"/>
      <c r="BV41" s="2806"/>
      <c r="BW41" s="2806"/>
      <c r="BX41" s="2806"/>
      <c r="BY41" s="2806"/>
      <c r="BZ41" s="2806"/>
      <c r="CA41" s="2806"/>
      <c r="CB41" s="2806"/>
      <c r="CC41" s="2806"/>
      <c r="CD41" s="2806"/>
      <c r="CE41" s="2806"/>
      <c r="CF41" s="2806"/>
      <c r="CG41" s="2806"/>
      <c r="CH41" s="2806"/>
      <c r="CI41" s="2806"/>
      <c r="CJ41" s="2806"/>
      <c r="CK41" s="2806"/>
      <c r="CL41" s="2806"/>
      <c r="CM41" s="2806"/>
      <c r="CN41" s="2806"/>
      <c r="CO41" s="2802"/>
      <c r="CP41" s="2802"/>
      <c r="CQ41" s="2802"/>
      <c r="CR41" s="2802"/>
      <c r="CS41" s="2806"/>
      <c r="CT41" s="2866"/>
      <c r="CU41" s="2866"/>
      <c r="CV41" s="2866"/>
      <c r="CW41" s="2802"/>
      <c r="CX41" s="2806"/>
      <c r="CY41" s="2807"/>
      <c r="CZ41" s="3187"/>
      <c r="DA41" s="2807"/>
      <c r="DB41" s="2807"/>
      <c r="DC41" s="2806"/>
      <c r="DD41" s="2806"/>
      <c r="DE41" s="2806"/>
      <c r="DF41" s="2806"/>
      <c r="DG41" s="2806"/>
      <c r="DH41" s="2842"/>
      <c r="DI41" s="2842"/>
      <c r="DJ41" s="2842"/>
      <c r="DK41" s="2842"/>
      <c r="DL41" s="2842"/>
      <c r="DM41" s="2842"/>
      <c r="DN41" s="2842"/>
      <c r="DO41" s="2842"/>
      <c r="DP41" s="2842"/>
      <c r="DQ41" s="2842"/>
      <c r="DR41" s="2026"/>
    </row>
    <row r="42" spans="1:122">
      <c r="A42" s="1108" t="s">
        <v>489</v>
      </c>
      <c r="B42" s="1635"/>
      <c r="C42" s="1635"/>
      <c r="D42" s="1635"/>
      <c r="E42" s="1635"/>
      <c r="F42" s="1635"/>
      <c r="G42" s="1635"/>
      <c r="H42" s="1635">
        <v>-6.4</v>
      </c>
      <c r="I42" s="1635">
        <v>18.3</v>
      </c>
      <c r="J42" s="1635">
        <v>19.2</v>
      </c>
      <c r="K42" s="1655">
        <v>-1.5</v>
      </c>
      <c r="L42" s="1635">
        <v>-97</v>
      </c>
      <c r="M42" s="1105">
        <v>-80.599999999999994</v>
      </c>
      <c r="N42" s="1105">
        <f>SUM(BP42:BS42)</f>
        <v>-16.7</v>
      </c>
      <c r="O42" s="1369"/>
      <c r="P42" s="1105">
        <f>M42</f>
        <v>-80.599999999999994</v>
      </c>
      <c r="Q42" s="1105">
        <f>N42</f>
        <v>-16.7</v>
      </c>
      <c r="R42" s="1105">
        <f>SUM(BU42:BX42)</f>
        <v>-33.699999999999996</v>
      </c>
      <c r="S42" s="1105">
        <f>SUM(BZ42:CC42)</f>
        <v>-34.6</v>
      </c>
      <c r="T42" s="1796">
        <f>+SUM(CE42:CH42)</f>
        <v>-37</v>
      </c>
      <c r="U42" s="1796">
        <f>SUM(CJ42:CM42)</f>
        <v>-35</v>
      </c>
      <c r="V42" s="1796">
        <f>SUM(CO42:CR42)</f>
        <v>-46</v>
      </c>
      <c r="W42" s="1796">
        <f>+SUM(CT42:CW42)</f>
        <v>-48</v>
      </c>
      <c r="X42" s="1812">
        <f>+V42-3</f>
        <v>-49</v>
      </c>
      <c r="Y42" s="1813">
        <f>+W42</f>
        <v>-48</v>
      </c>
      <c r="Z42" s="1796">
        <f>+SUM(CY42:DB42)</f>
        <v>-33</v>
      </c>
      <c r="AA42" s="2809">
        <f>SUM(DD42:DG42)</f>
        <v>-50</v>
      </c>
      <c r="AB42" s="2809">
        <f>AA42</f>
        <v>-50</v>
      </c>
      <c r="AC42" s="2809">
        <f>SUM(DI42:DL42)</f>
        <v>-55</v>
      </c>
      <c r="AD42" s="2809">
        <f>SUM(DN42:DQ42)</f>
        <v>-49.5</v>
      </c>
      <c r="AE42" s="2804">
        <f t="shared" ref="AE42:AN42" si="76">AD42*0.9</f>
        <v>-44.550000000000004</v>
      </c>
      <c r="AF42" s="2804">
        <f t="shared" si="76"/>
        <v>-40.095000000000006</v>
      </c>
      <c r="AG42" s="1105">
        <f t="shared" si="76"/>
        <v>-36.085500000000003</v>
      </c>
      <c r="AH42" s="1105">
        <f t="shared" si="76"/>
        <v>-32.476950000000002</v>
      </c>
      <c r="AI42" s="1105">
        <f t="shared" si="76"/>
        <v>-29.229255000000002</v>
      </c>
      <c r="AJ42" s="1105">
        <f t="shared" si="76"/>
        <v>-26.306329500000004</v>
      </c>
      <c r="AK42" s="1105">
        <f t="shared" si="76"/>
        <v>-23.675696550000005</v>
      </c>
      <c r="AL42" s="1105">
        <f t="shared" si="76"/>
        <v>-21.308126895000004</v>
      </c>
      <c r="AM42" s="1105">
        <f t="shared" si="76"/>
        <v>-19.177314205500004</v>
      </c>
      <c r="AN42" s="1105">
        <f t="shared" si="76"/>
        <v>-17.259582784950005</v>
      </c>
      <c r="AO42" s="1105"/>
      <c r="AP42" s="1105"/>
      <c r="AQ42" s="1105"/>
      <c r="AR42" s="1105"/>
      <c r="AS42" s="1105"/>
      <c r="AT42" s="2804"/>
      <c r="AU42" s="2862" t="str">
        <f t="shared" si="3"/>
        <v>Equity in the Losses of Equity-Method Affililates</v>
      </c>
      <c r="AV42" s="2845"/>
      <c r="AW42" s="2845"/>
      <c r="AX42" s="2845"/>
      <c r="AY42" s="2845"/>
      <c r="AZ42" s="2900"/>
      <c r="BA42" s="2889" t="s">
        <v>737</v>
      </c>
      <c r="BB42" s="2889" t="s">
        <v>737</v>
      </c>
      <c r="BC42" s="2889" t="s">
        <v>737</v>
      </c>
      <c r="BD42" s="2889" t="s">
        <v>737</v>
      </c>
      <c r="BE42" s="2829"/>
      <c r="BF42" s="2804">
        <v>6</v>
      </c>
      <c r="BG42" s="2804">
        <v>-3</v>
      </c>
      <c r="BH42" s="2804">
        <v>-6.1</v>
      </c>
      <c r="BI42" s="2804">
        <v>-93.9</v>
      </c>
      <c r="BJ42" s="2901">
        <f>L42-SUM(BF42:BI42)</f>
        <v>0</v>
      </c>
      <c r="BK42" s="2829">
        <v>-1.9</v>
      </c>
      <c r="BL42" s="2829">
        <v>-4.9000000000000004</v>
      </c>
      <c r="BM42" s="2829">
        <v>-13</v>
      </c>
      <c r="BN42" s="2829">
        <v>-60.8</v>
      </c>
      <c r="BO42" s="2902"/>
      <c r="BP42" s="2829">
        <v>-7.2</v>
      </c>
      <c r="BQ42" s="2829">
        <v>-1.2</v>
      </c>
      <c r="BR42" s="2804">
        <v>-6</v>
      </c>
      <c r="BS42" s="2903">
        <v>-2.2999999999999998</v>
      </c>
      <c r="BT42" s="2902">
        <f>N42-SUM(BP42:BS42)</f>
        <v>0</v>
      </c>
      <c r="BU42" s="2902">
        <v>-11.2</v>
      </c>
      <c r="BV42" s="2902">
        <v>-3.1</v>
      </c>
      <c r="BW42" s="2902">
        <v>-12.1</v>
      </c>
      <c r="BX42" s="2902">
        <v>-7.3</v>
      </c>
      <c r="BY42" s="2842">
        <f>R42-SUM(BU42:BX42)</f>
        <v>0</v>
      </c>
      <c r="BZ42" s="2847">
        <v>-11</v>
      </c>
      <c r="CA42" s="2847">
        <v>-6.8</v>
      </c>
      <c r="CB42" s="2847">
        <v>-12.9</v>
      </c>
      <c r="CC42" s="2847">
        <v>-3.9</v>
      </c>
      <c r="CD42" s="2842">
        <f>S42-SUM(BZ42:CC42)</f>
        <v>0</v>
      </c>
      <c r="CE42" s="2847">
        <v>-14</v>
      </c>
      <c r="CF42" s="2847">
        <v>-5</v>
      </c>
      <c r="CG42" s="2847">
        <v>-19</v>
      </c>
      <c r="CH42" s="2847">
        <v>1</v>
      </c>
      <c r="CI42" s="2842">
        <f>T42-SUM(CE42:CH42)</f>
        <v>0</v>
      </c>
      <c r="CJ42" s="2847">
        <v>-4</v>
      </c>
      <c r="CK42" s="2847">
        <v>-12</v>
      </c>
      <c r="CL42" s="2847">
        <v>-14</v>
      </c>
      <c r="CM42" s="2847">
        <v>-5</v>
      </c>
      <c r="CN42" s="2842">
        <f>U42-SUM(CJ42:CM42)</f>
        <v>0</v>
      </c>
      <c r="CO42" s="2847">
        <v>-8</v>
      </c>
      <c r="CP42" s="2847">
        <v>-8</v>
      </c>
      <c r="CQ42" s="2847">
        <v>-21</v>
      </c>
      <c r="CR42" s="2847">
        <v>-9</v>
      </c>
      <c r="CS42" s="2842">
        <f>V42-SUM(CO42:CR42)</f>
        <v>0</v>
      </c>
      <c r="CT42" s="2848">
        <v>-10</v>
      </c>
      <c r="CU42" s="2848">
        <v>-10</v>
      </c>
      <c r="CV42" s="2848">
        <v>-28</v>
      </c>
      <c r="CW42" s="2848">
        <v>0</v>
      </c>
      <c r="CX42" s="2842">
        <f>$W42-SUM(CT42:CW42)</f>
        <v>0</v>
      </c>
      <c r="CY42" s="2848">
        <v>-13</v>
      </c>
      <c r="CZ42" s="2848">
        <v>-6</v>
      </c>
      <c r="DA42" s="2848">
        <v>-16</v>
      </c>
      <c r="DB42" s="2848">
        <v>2</v>
      </c>
      <c r="DC42" s="2842">
        <f>$Z42-SUM(CY42:DB42)</f>
        <v>0</v>
      </c>
      <c r="DD42" s="2848">
        <v>-21</v>
      </c>
      <c r="DE42" s="2848">
        <v>-9</v>
      </c>
      <c r="DF42" s="2848">
        <v>-13</v>
      </c>
      <c r="DG42" s="2848">
        <v>-7</v>
      </c>
      <c r="DH42" s="2842">
        <f>AB42-SUM(DD42:DG42)</f>
        <v>0</v>
      </c>
      <c r="DI42" s="2848">
        <v>-17</v>
      </c>
      <c r="DJ42" s="2848">
        <v>-12</v>
      </c>
      <c r="DK42" s="2848">
        <v>-16</v>
      </c>
      <c r="DL42" s="3290">
        <v>-10</v>
      </c>
      <c r="DM42" s="2842">
        <f t="shared" si="7"/>
        <v>0</v>
      </c>
      <c r="DN42" s="2815">
        <f>DI42*0.9</f>
        <v>-15.3</v>
      </c>
      <c r="DO42" s="2815">
        <f t="shared" ref="DO42:DQ42" si="77">DJ42*0.9</f>
        <v>-10.8</v>
      </c>
      <c r="DP42" s="2815">
        <f t="shared" si="77"/>
        <v>-14.4</v>
      </c>
      <c r="DQ42" s="2815">
        <f t="shared" si="77"/>
        <v>-9</v>
      </c>
      <c r="DR42" s="2026">
        <f t="shared" ref="DR42:DR44" si="78">AD42-SUM(DN42:DQ42)</f>
        <v>0</v>
      </c>
    </row>
    <row r="43" spans="1:122">
      <c r="A43" s="1108" t="s">
        <v>868</v>
      </c>
      <c r="B43" s="1635"/>
      <c r="C43" s="1635"/>
      <c r="D43" s="1635"/>
      <c r="E43" s="1635"/>
      <c r="F43" s="1635"/>
      <c r="G43" s="1635"/>
      <c r="H43" s="1635">
        <v>-0.5</v>
      </c>
      <c r="I43" s="1657">
        <v>-0.7</v>
      </c>
      <c r="J43" s="1657">
        <v>-0.6</v>
      </c>
      <c r="K43" s="1657">
        <v>-0.5</v>
      </c>
      <c r="L43" s="1657">
        <v>-0.6</v>
      </c>
      <c r="M43" s="1639">
        <v>-0.1</v>
      </c>
      <c r="N43" s="1639">
        <f>SUM(BP43:BS43)</f>
        <v>-0.9</v>
      </c>
      <c r="O43" s="1369"/>
      <c r="P43" s="1639">
        <f>M43</f>
        <v>-0.1</v>
      </c>
      <c r="Q43" s="1639">
        <f>N43</f>
        <v>-0.9</v>
      </c>
      <c r="R43" s="1639">
        <v>0</v>
      </c>
      <c r="S43" s="1639">
        <f>R43</f>
        <v>0</v>
      </c>
      <c r="T43" s="1639">
        <f>S43</f>
        <v>0</v>
      </c>
      <c r="U43" s="1639">
        <f>T43</f>
        <v>0</v>
      </c>
      <c r="V43" s="1639">
        <v>0</v>
      </c>
      <c r="W43" s="1639">
        <f>+SUM(CT43:CW43)</f>
        <v>0</v>
      </c>
      <c r="X43" s="1638">
        <v>0</v>
      </c>
      <c r="Y43" s="1638">
        <v>0</v>
      </c>
      <c r="Z43" s="1889">
        <f>SUM(CY43:DB43)</f>
        <v>0</v>
      </c>
      <c r="AA43" s="2799">
        <f>SUM(DD43:DG43)</f>
        <v>0</v>
      </c>
      <c r="AB43" s="2799">
        <f>AA43</f>
        <v>0</v>
      </c>
      <c r="AC43" s="2799">
        <f>SUM(DI43:DL43)</f>
        <v>0</v>
      </c>
      <c r="AD43" s="2799">
        <f>SUM(DN43:DQ43)</f>
        <v>0</v>
      </c>
      <c r="AE43" s="2798">
        <f t="shared" ref="AE43:AN43" si="79">AD43*1.03</f>
        <v>0</v>
      </c>
      <c r="AF43" s="2798">
        <f t="shared" si="79"/>
        <v>0</v>
      </c>
      <c r="AG43" s="1639">
        <f t="shared" si="79"/>
        <v>0</v>
      </c>
      <c r="AH43" s="1639">
        <f t="shared" si="79"/>
        <v>0</v>
      </c>
      <c r="AI43" s="1639">
        <f t="shared" si="79"/>
        <v>0</v>
      </c>
      <c r="AJ43" s="1639">
        <f t="shared" si="79"/>
        <v>0</v>
      </c>
      <c r="AK43" s="1639">
        <f t="shared" si="79"/>
        <v>0</v>
      </c>
      <c r="AL43" s="1639">
        <f t="shared" si="79"/>
        <v>0</v>
      </c>
      <c r="AM43" s="1639">
        <f t="shared" si="79"/>
        <v>0</v>
      </c>
      <c r="AN43" s="1639">
        <f t="shared" si="79"/>
        <v>0</v>
      </c>
      <c r="AO43" s="1771"/>
      <c r="AP43" s="1771"/>
      <c r="AQ43" s="1771"/>
      <c r="AR43" s="1771"/>
      <c r="AS43" s="1771"/>
      <c r="AT43" s="2804"/>
      <c r="AU43" s="2862" t="str">
        <f t="shared" si="3"/>
        <v>Minority Interest, Net of Tax</v>
      </c>
      <c r="AV43" s="2845"/>
      <c r="AW43" s="2845"/>
      <c r="AX43" s="2845"/>
      <c r="AY43" s="2845"/>
      <c r="AZ43" s="2900"/>
      <c r="BA43" s="2889" t="s">
        <v>737</v>
      </c>
      <c r="BB43" s="2889" t="s">
        <v>737</v>
      </c>
      <c r="BC43" s="2889" t="s">
        <v>737</v>
      </c>
      <c r="BD43" s="2889" t="s">
        <v>737</v>
      </c>
      <c r="BE43" s="2878"/>
      <c r="BF43" s="2798">
        <v>0.1</v>
      </c>
      <c r="BG43" s="2798">
        <v>0</v>
      </c>
      <c r="BH43" s="2798">
        <v>-0.4</v>
      </c>
      <c r="BI43" s="2798">
        <v>-0.3</v>
      </c>
      <c r="BJ43" s="2901">
        <f>L43-SUM(BF43:BI43)</f>
        <v>0</v>
      </c>
      <c r="BK43" s="2800">
        <v>0.3</v>
      </c>
      <c r="BL43" s="2800">
        <v>0.1</v>
      </c>
      <c r="BM43" s="2798">
        <v>-0.1</v>
      </c>
      <c r="BN43" s="2798">
        <f>M43-SUM(BK43:BM43)</f>
        <v>-0.4</v>
      </c>
      <c r="BO43" s="2902"/>
      <c r="BP43" s="2800">
        <v>-0.1</v>
      </c>
      <c r="BQ43" s="2800">
        <v>-0.3</v>
      </c>
      <c r="BR43" s="2798">
        <v>-0.5</v>
      </c>
      <c r="BS43" s="2800">
        <v>0</v>
      </c>
      <c r="BT43" s="2902">
        <f>N43-SUM(BP43:BS43)</f>
        <v>0</v>
      </c>
      <c r="BU43" s="2904">
        <f>$R$43/4</f>
        <v>0</v>
      </c>
      <c r="BV43" s="2904">
        <f>$R$43/4</f>
        <v>0</v>
      </c>
      <c r="BW43" s="2904">
        <f>$R$43/4</f>
        <v>0</v>
      </c>
      <c r="BX43" s="2904">
        <f>$R$43/4</f>
        <v>0</v>
      </c>
      <c r="BY43" s="2842">
        <f>R43-SUM(BU43:BX43)</f>
        <v>0</v>
      </c>
      <c r="BZ43" s="2904">
        <f>$R$43/4</f>
        <v>0</v>
      </c>
      <c r="CA43" s="2904">
        <f>$R$43/4</f>
        <v>0</v>
      </c>
      <c r="CB43" s="2904">
        <f>$R$43/4</f>
        <v>0</v>
      </c>
      <c r="CC43" s="2904">
        <f>$R$43/4</f>
        <v>0</v>
      </c>
      <c r="CD43" s="2842">
        <f>S43-SUM(BZ43:CC43)</f>
        <v>0</v>
      </c>
      <c r="CE43" s="2904">
        <f>$R$43/4</f>
        <v>0</v>
      </c>
      <c r="CF43" s="2904">
        <f>$R$43/4</f>
        <v>0</v>
      </c>
      <c r="CG43" s="2904">
        <f>$R$43/4</f>
        <v>0</v>
      </c>
      <c r="CH43" s="2904">
        <f>$R$43/4</f>
        <v>0</v>
      </c>
      <c r="CI43" s="2842">
        <f>T43-SUM(CE43:CH43)</f>
        <v>0</v>
      </c>
      <c r="CJ43" s="2904">
        <v>0</v>
      </c>
      <c r="CK43" s="2904">
        <v>0</v>
      </c>
      <c r="CL43" s="2904">
        <v>0</v>
      </c>
      <c r="CM43" s="2904">
        <v>0</v>
      </c>
      <c r="CN43" s="2842"/>
      <c r="CO43" s="2904">
        <v>0</v>
      </c>
      <c r="CP43" s="2904">
        <v>0</v>
      </c>
      <c r="CQ43" s="2904">
        <v>0</v>
      </c>
      <c r="CR43" s="2904">
        <v>0</v>
      </c>
      <c r="CS43" s="2842"/>
      <c r="CT43" s="2856">
        <v>0</v>
      </c>
      <c r="CU43" s="2856">
        <v>0</v>
      </c>
      <c r="CV43" s="2856">
        <v>0</v>
      </c>
      <c r="CW43" s="2856">
        <v>0</v>
      </c>
      <c r="CX43" s="2842">
        <f>$W43-SUM(CT43:CW43)</f>
        <v>0</v>
      </c>
      <c r="CY43" s="2856">
        <v>0</v>
      </c>
      <c r="CZ43" s="2856">
        <v>0</v>
      </c>
      <c r="DA43" s="2856">
        <v>0</v>
      </c>
      <c r="DB43" s="2856">
        <v>0</v>
      </c>
      <c r="DC43" s="2842">
        <f>$Z43-SUM(CY43:DB43)</f>
        <v>0</v>
      </c>
      <c r="DD43" s="2856">
        <v>0</v>
      </c>
      <c r="DE43" s="2856">
        <v>0</v>
      </c>
      <c r="DF43" s="2856">
        <v>0</v>
      </c>
      <c r="DG43" s="2856">
        <v>0</v>
      </c>
      <c r="DH43" s="2842">
        <f>AB43-SUM(DD43:DG43)</f>
        <v>0</v>
      </c>
      <c r="DI43" s="2856">
        <v>0</v>
      </c>
      <c r="DJ43" s="2856">
        <v>0</v>
      </c>
      <c r="DK43" s="2856">
        <v>0</v>
      </c>
      <c r="DL43" s="2856">
        <v>0</v>
      </c>
      <c r="DM43" s="2842">
        <f t="shared" si="7"/>
        <v>0</v>
      </c>
      <c r="DN43" s="2856">
        <v>0</v>
      </c>
      <c r="DO43" s="2856">
        <v>0</v>
      </c>
      <c r="DP43" s="2856">
        <v>0</v>
      </c>
      <c r="DQ43" s="2856">
        <v>0</v>
      </c>
      <c r="DR43" s="2026">
        <f t="shared" si="78"/>
        <v>0</v>
      </c>
    </row>
    <row r="44" spans="1:122">
      <c r="A44" s="1494" t="s">
        <v>1019</v>
      </c>
      <c r="B44" s="1357"/>
      <c r="C44" s="1357"/>
      <c r="D44" s="1357"/>
      <c r="E44" s="1357"/>
      <c r="F44" s="1357"/>
      <c r="G44" s="1357"/>
      <c r="H44" s="1357">
        <f t="shared" ref="H44:N44" si="80">H34+H39+H42+H43</f>
        <v>1087.9999999999991</v>
      </c>
      <c r="I44" s="1654">
        <f t="shared" si="80"/>
        <v>1116.9000000000005</v>
      </c>
      <c r="J44" s="1654">
        <f t="shared" si="80"/>
        <v>-16391.899999999998</v>
      </c>
      <c r="K44" s="1654">
        <f t="shared" si="80"/>
        <v>-8321.7999999999993</v>
      </c>
      <c r="L44" s="1654">
        <f t="shared" si="80"/>
        <v>1382.8999999999999</v>
      </c>
      <c r="M44" s="1654">
        <f t="shared" si="80"/>
        <v>1234.1999999999998</v>
      </c>
      <c r="N44" s="1654">
        <f t="shared" si="80"/>
        <v>-11673.400000000003</v>
      </c>
      <c r="O44" s="1369"/>
      <c r="P44" s="1654">
        <f t="shared" ref="P44:AH44" si="81">P34+P39+P42+P43</f>
        <v>1255.189625</v>
      </c>
      <c r="Q44" s="1654">
        <f t="shared" si="81"/>
        <v>-11548.512251040003</v>
      </c>
      <c r="R44" s="1654">
        <f t="shared" si="81"/>
        <v>226.50000000000034</v>
      </c>
      <c r="S44" s="1654">
        <f t="shared" si="81"/>
        <v>724.20000000000016</v>
      </c>
      <c r="T44" s="1654">
        <f t="shared" si="81"/>
        <v>1391.0000000000005</v>
      </c>
      <c r="U44" s="1654">
        <f t="shared" si="81"/>
        <v>1633.9999999999995</v>
      </c>
      <c r="V44" s="1654">
        <f t="shared" si="81"/>
        <v>1873</v>
      </c>
      <c r="W44" s="1654">
        <f t="shared" si="81"/>
        <v>1354</v>
      </c>
      <c r="X44" s="1654">
        <f t="shared" si="81"/>
        <v>1738</v>
      </c>
      <c r="Y44" s="1654">
        <f t="shared" si="81"/>
        <v>1354</v>
      </c>
      <c r="Z44" s="1654">
        <f>Z34+Z39+Z42+Z43</f>
        <v>1403</v>
      </c>
      <c r="AA44" s="2801">
        <f t="shared" ca="1" si="81"/>
        <v>1297</v>
      </c>
      <c r="AB44" s="2801">
        <f t="shared" ca="1" si="81"/>
        <v>1552</v>
      </c>
      <c r="AC44" s="2801">
        <f t="shared" ca="1" si="81"/>
        <v>1705.5908293759851</v>
      </c>
      <c r="AD44" s="2801">
        <f t="shared" ca="1" si="81"/>
        <v>1940.8189642968675</v>
      </c>
      <c r="AE44" s="2801">
        <f t="shared" ca="1" si="81"/>
        <v>2070.3245421209913</v>
      </c>
      <c r="AF44" s="2801">
        <f t="shared" ca="1" si="81"/>
        <v>2338.663237250717</v>
      </c>
      <c r="AG44" s="1654">
        <f t="shared" ca="1" si="81"/>
        <v>2433.8925616399433</v>
      </c>
      <c r="AH44" s="1654">
        <f t="shared" ca="1" si="81"/>
        <v>2634.0568392057412</v>
      </c>
      <c r="AI44" s="1654">
        <f t="shared" ref="AI44:AN44" ca="1" si="82">AI34+AI39+AI42+AI43</f>
        <v>2518.3795912014566</v>
      </c>
      <c r="AJ44" s="1654">
        <f t="shared" ca="1" si="82"/>
        <v>2611.6538272837283</v>
      </c>
      <c r="AK44" s="1654">
        <f t="shared" ca="1" si="82"/>
        <v>2627.5599441698942</v>
      </c>
      <c r="AL44" s="1654">
        <f t="shared" ca="1" si="82"/>
        <v>2603.4168520751291</v>
      </c>
      <c r="AM44" s="1654">
        <f t="shared" ca="1" si="82"/>
        <v>2578.5830793826849</v>
      </c>
      <c r="AN44" s="1654">
        <f t="shared" ca="1" si="82"/>
        <v>2732.8423054189966</v>
      </c>
      <c r="AO44" s="1654"/>
      <c r="AP44" s="1654"/>
      <c r="AQ44" s="1654"/>
      <c r="AR44" s="1654"/>
      <c r="AS44" s="1654"/>
      <c r="AT44" s="2806"/>
      <c r="AU44" s="2894" t="str">
        <f t="shared" si="3"/>
        <v>Net Income from Continuing Ops.</v>
      </c>
      <c r="AV44" s="2845"/>
      <c r="AW44" s="2845"/>
      <c r="AX44" s="2845"/>
      <c r="AY44" s="2845"/>
      <c r="AZ44" s="2900"/>
      <c r="BA44" s="2889" t="s">
        <v>737</v>
      </c>
      <c r="BB44" s="2889" t="s">
        <v>737</v>
      </c>
      <c r="BC44" s="2889" t="s">
        <v>737</v>
      </c>
      <c r="BD44" s="2889" t="s">
        <v>737</v>
      </c>
      <c r="BE44" s="2806"/>
      <c r="BF44" s="2801">
        <f>BF34+BF39+BF42+BF43</f>
        <v>235.39999999999986</v>
      </c>
      <c r="BG44" s="2801">
        <f>BG34+BG39+BG42+BG43</f>
        <v>471.59999999999991</v>
      </c>
      <c r="BH44" s="2801">
        <f>BH34+BH39+BH42+BH43</f>
        <v>303.19999999999993</v>
      </c>
      <c r="BI44" s="2801">
        <f>BI34+BI39+BI42+BI43</f>
        <v>372.7</v>
      </c>
      <c r="BJ44" s="2901">
        <f>L44-SUM(BF44:BI44)</f>
        <v>0</v>
      </c>
      <c r="BK44" s="2801">
        <f>BK34+BK39+BK42+BK43</f>
        <v>213.35</v>
      </c>
      <c r="BL44" s="2801">
        <f>BL34+BL39+BL42+BL43</f>
        <v>398.35000000000008</v>
      </c>
      <c r="BM44" s="2801">
        <f>BM34+BM39+BM42+BM43</f>
        <v>336.35000000000025</v>
      </c>
      <c r="BN44" s="2801">
        <f>BN34+BN39+BN42+BN43</f>
        <v>273.75000000000017</v>
      </c>
      <c r="BO44" s="2902"/>
      <c r="BP44" s="2801">
        <f>BP34+BP39+BP42+BP43</f>
        <v>259.07924972625011</v>
      </c>
      <c r="BQ44" s="2801">
        <f>BQ34+BQ39+BQ42+BQ43</f>
        <v>411.79473068000004</v>
      </c>
      <c r="BR44" s="2801">
        <f>BR34+BR39+BR42+BR43</f>
        <v>-12458.831023132063</v>
      </c>
      <c r="BS44" s="2881">
        <f>BS34+BS39+BS42+BS43</f>
        <v>114.55704272581245</v>
      </c>
      <c r="BT44" s="2902">
        <f>N44-SUM(BP44:BS44)</f>
        <v>0</v>
      </c>
      <c r="BU44" s="2881">
        <f>BU34+BU39+BU42+BU43</f>
        <v>-38.861466858300638</v>
      </c>
      <c r="BV44" s="2881">
        <f>BV34+BV39+BV42+BV43</f>
        <v>21.310933524868403</v>
      </c>
      <c r="BW44" s="2881">
        <f>BW34+BW39+BW42+BW43</f>
        <v>205.12739985984584</v>
      </c>
      <c r="BX44" s="2881">
        <f>BX34+BX39+BX42+BX43</f>
        <v>38.92313347358678</v>
      </c>
      <c r="BY44" s="2842">
        <f>R44-SUM(BU44:BX44)</f>
        <v>0</v>
      </c>
      <c r="BZ44" s="2881">
        <f>BZ34+BZ39+BZ42+BZ43</f>
        <v>-26.199999999999946</v>
      </c>
      <c r="CA44" s="2881">
        <f>CA34+CA39+CA42+CA43</f>
        <v>150.09999999999985</v>
      </c>
      <c r="CB44" s="2881">
        <f>CB34+CB39+CB42+CB43</f>
        <v>317.30000000000007</v>
      </c>
      <c r="CC44" s="2881">
        <f>CC34+CC39+CC42+CC43</f>
        <v>283.00000000000034</v>
      </c>
      <c r="CD44" s="2842">
        <f>S44-SUM(BZ44:CC44)</f>
        <v>0</v>
      </c>
      <c r="CE44" s="2881">
        <f>CE34+CE39+CE42+CE43</f>
        <v>232</v>
      </c>
      <c r="CF44" s="2881">
        <f>CF34+CF39+CF42+CF43</f>
        <v>422</v>
      </c>
      <c r="CG44" s="2881">
        <f>CG34+CG39+CG42+CG43</f>
        <v>386</v>
      </c>
      <c r="CH44" s="2881">
        <f>CH34+CH39+CH42+CH43</f>
        <v>351</v>
      </c>
      <c r="CI44" s="2842">
        <f>T44-SUM(CE44:CH44)</f>
        <v>0</v>
      </c>
      <c r="CJ44" s="2881">
        <f>CJ34+CJ39+CJ42+CJ43</f>
        <v>394</v>
      </c>
      <c r="CK44" s="2881">
        <f>CK34+CK39+CK42+CK43</f>
        <v>451.99999999999989</v>
      </c>
      <c r="CL44" s="2881">
        <f>CL34+CL39+CL42+CL43</f>
        <v>385</v>
      </c>
      <c r="CM44" s="2881">
        <f>CM34+CM39+CM42+CM43</f>
        <v>403</v>
      </c>
      <c r="CN44" s="2842"/>
      <c r="CO44" s="2881">
        <f>CO34+CO39+CO42+CO43</f>
        <v>463</v>
      </c>
      <c r="CP44" s="2881">
        <f>CP34+CP39+CP42+CP43</f>
        <v>476</v>
      </c>
      <c r="CQ44" s="2881">
        <f>CQ34+CQ39+CQ42+CQ43</f>
        <v>469.00000000000011</v>
      </c>
      <c r="CR44" s="2881">
        <f>CR34+CR39+CR42+CR43</f>
        <v>465</v>
      </c>
      <c r="CS44" s="2842"/>
      <c r="CT44" s="2905">
        <f>CT34+CT39+CT42+CT43</f>
        <v>462</v>
      </c>
      <c r="CU44" s="2905">
        <f>CU34+CU39+CU42+CU43</f>
        <v>418</v>
      </c>
      <c r="CV44" s="2905">
        <f>CV34+CV39+CV42+CV43</f>
        <v>72</v>
      </c>
      <c r="CW44" s="2857">
        <f>CW34+CW39+CW42+CW43</f>
        <v>402</v>
      </c>
      <c r="CX44" s="2842">
        <f>$W44-SUM(CT44:CW44)</f>
        <v>0</v>
      </c>
      <c r="CY44" s="2905">
        <f>CY34+CY39+CY42+CY43</f>
        <v>394</v>
      </c>
      <c r="CZ44" s="2905">
        <f>CZ34+CZ39+CZ42+CZ43</f>
        <v>332</v>
      </c>
      <c r="DA44" s="2905">
        <f>DA34+DA39+DA42+DA43</f>
        <v>426</v>
      </c>
      <c r="DB44" s="2857">
        <f>DB34+DB39+DB42+DB43</f>
        <v>251</v>
      </c>
      <c r="DC44" s="2842">
        <f>$Z44-SUM(CY44:DB44)</f>
        <v>0</v>
      </c>
      <c r="DD44" s="2857">
        <f ca="1">DD34+DD39+DD42+DD43</f>
        <v>442</v>
      </c>
      <c r="DE44" s="2857">
        <f ca="1">DE34+DE39+DE42+DE43</f>
        <v>373</v>
      </c>
      <c r="DF44" s="2857">
        <f ca="1">DF34+DF39+DF42+DF43</f>
        <v>466</v>
      </c>
      <c r="DG44" s="2857">
        <f ca="1">DG34+DG39+DG42+DG43</f>
        <v>271</v>
      </c>
      <c r="DH44" s="2842">
        <f ca="1">AB44-SUM(DD44:DG44)</f>
        <v>0</v>
      </c>
      <c r="DI44" s="2857">
        <f>DI34+DI39+DI42+DI43</f>
        <v>454</v>
      </c>
      <c r="DJ44" s="2857">
        <f>DJ34+DJ39+DJ42+DJ43</f>
        <v>397</v>
      </c>
      <c r="DK44" s="2857">
        <f>DK34+DK39+DK42+DK43</f>
        <v>418</v>
      </c>
      <c r="DL44" s="2857">
        <f ca="1">DL34+DL39+DL42+DL43</f>
        <v>436.59082937598521</v>
      </c>
      <c r="DM44" s="2842">
        <f t="shared" ca="1" si="7"/>
        <v>0</v>
      </c>
      <c r="DN44" s="2857">
        <f ca="1">DN34+DN39+DN42+DN43</f>
        <v>457.40599465910185</v>
      </c>
      <c r="DO44" s="2857">
        <f ca="1">DO34+DO39+DO42+DO43</f>
        <v>449.26964039042838</v>
      </c>
      <c r="DP44" s="2857">
        <f ca="1">DP34+DP39+DP42+DP43</f>
        <v>491.26297158096116</v>
      </c>
      <c r="DQ44" s="2857">
        <f ca="1">DQ34+DQ39+DQ42+DQ43</f>
        <v>542.88035766637654</v>
      </c>
      <c r="DR44" s="2026">
        <f t="shared" ca="1" si="78"/>
        <v>0</v>
      </c>
    </row>
    <row r="45" spans="1:122">
      <c r="A45" s="1108"/>
      <c r="B45" s="1105"/>
      <c r="C45" s="1105"/>
      <c r="D45" s="1105"/>
      <c r="E45" s="1105"/>
      <c r="F45" s="1105"/>
      <c r="G45" s="1105"/>
      <c r="H45" s="1105"/>
      <c r="I45" s="1105"/>
      <c r="J45" s="1105"/>
      <c r="K45" s="1105"/>
      <c r="L45" s="1357"/>
      <c r="M45" s="1357"/>
      <c r="N45" s="1357"/>
      <c r="O45" s="1369"/>
      <c r="P45" s="1357"/>
      <c r="Q45" s="1357"/>
      <c r="R45" s="1357"/>
      <c r="S45" s="1357"/>
      <c r="T45" s="1357"/>
      <c r="U45" s="1357"/>
      <c r="V45" s="1357"/>
      <c r="W45" s="1357"/>
      <c r="X45" s="1465"/>
      <c r="Y45" s="1465"/>
      <c r="Z45" s="1357"/>
      <c r="AA45" s="2806"/>
      <c r="AB45" s="2806"/>
      <c r="AC45" s="2806"/>
      <c r="AD45" s="2806"/>
      <c r="AE45" s="2806"/>
      <c r="AF45" s="2806"/>
      <c r="AG45" s="1357"/>
      <c r="AH45" s="1357"/>
      <c r="AI45" s="1357"/>
      <c r="AJ45" s="1357"/>
      <c r="AK45" s="1357"/>
      <c r="AL45" s="1357"/>
      <c r="AM45" s="1357"/>
      <c r="AN45" s="1357"/>
      <c r="AO45" s="1357"/>
      <c r="AP45" s="1357"/>
      <c r="AQ45" s="1357"/>
      <c r="AR45" s="1357"/>
      <c r="AS45" s="1357"/>
      <c r="AT45" s="2806"/>
      <c r="AU45" s="2862" t="str">
        <f t="shared" si="3"/>
        <v/>
      </c>
      <c r="AV45" s="2845"/>
      <c r="AW45" s="2845"/>
      <c r="AX45" s="2845"/>
      <c r="AY45" s="2845"/>
      <c r="AZ45" s="2900"/>
      <c r="BA45" s="2845"/>
      <c r="BB45" s="2804"/>
      <c r="BC45" s="2804"/>
      <c r="BD45" s="2804"/>
      <c r="BE45" s="2804"/>
      <c r="BF45" s="2806"/>
      <c r="BG45" s="2806"/>
      <c r="BH45" s="2806"/>
      <c r="BI45" s="2806"/>
      <c r="BJ45" s="2900"/>
      <c r="BK45" s="2806"/>
      <c r="BL45" s="2806"/>
      <c r="BM45" s="2806"/>
      <c r="BN45" s="2806"/>
      <c r="BO45" s="2806"/>
      <c r="BP45" s="2806"/>
      <c r="BQ45" s="2806"/>
      <c r="BR45" s="2806"/>
      <c r="BS45" s="2806"/>
      <c r="BT45" s="2806"/>
      <c r="BU45" s="2806"/>
      <c r="BV45" s="2806"/>
      <c r="BW45" s="2806"/>
      <c r="BX45" s="2806"/>
      <c r="BY45" s="2806"/>
      <c r="BZ45" s="2806"/>
      <c r="CA45" s="2806"/>
      <c r="CB45" s="2806"/>
      <c r="CC45" s="2806"/>
      <c r="CD45" s="2806"/>
      <c r="CE45" s="2806"/>
      <c r="CF45" s="2806"/>
      <c r="CG45" s="2806"/>
      <c r="CH45" s="2806"/>
      <c r="CI45" s="2806"/>
      <c r="CJ45" s="2806"/>
      <c r="CK45" s="2806"/>
      <c r="CL45" s="2806"/>
      <c r="CM45" s="2806"/>
      <c r="CN45" s="2806"/>
      <c r="CO45" s="2806"/>
      <c r="CP45" s="2806"/>
      <c r="CQ45" s="2806"/>
      <c r="CR45" s="2806"/>
      <c r="CS45" s="2806"/>
      <c r="CT45" s="2851"/>
      <c r="CU45" s="2851"/>
      <c r="CV45" s="2851"/>
      <c r="CW45" s="2806"/>
      <c r="CX45" s="2806"/>
      <c r="CY45" s="2851"/>
      <c r="CZ45" s="2851"/>
      <c r="DA45" s="2851"/>
      <c r="DB45" s="2806"/>
      <c r="DC45" s="2806"/>
      <c r="DD45" s="2806"/>
      <c r="DE45" s="2806"/>
      <c r="DF45" s="2806"/>
      <c r="DG45" s="2806"/>
      <c r="DH45" s="2842"/>
      <c r="DI45" s="2842"/>
      <c r="DJ45" s="2842"/>
      <c r="DK45" s="2842"/>
      <c r="DL45" s="2842"/>
      <c r="DM45" s="2842">
        <f t="shared" si="7"/>
        <v>0</v>
      </c>
      <c r="DN45" s="2842"/>
      <c r="DO45" s="2842"/>
      <c r="DP45" s="2842"/>
      <c r="DQ45" s="2842"/>
      <c r="DR45" s="2842"/>
    </row>
    <row r="46" spans="1:122">
      <c r="A46" s="1108" t="s">
        <v>869</v>
      </c>
      <c r="B46" s="1635"/>
      <c r="C46" s="1635"/>
      <c r="D46" s="1635"/>
      <c r="E46" s="1635"/>
      <c r="F46" s="1635"/>
      <c r="G46" s="1635"/>
      <c r="H46" s="1664">
        <v>0</v>
      </c>
      <c r="I46" s="1664">
        <v>1170.3</v>
      </c>
      <c r="J46" s="1664">
        <v>917</v>
      </c>
      <c r="K46" s="1664">
        <v>2237.8000000000002</v>
      </c>
      <c r="L46" s="1525">
        <f>SUM(BF46:BI46)</f>
        <v>444.28</v>
      </c>
      <c r="M46" s="1525">
        <f>SUM(BK46:BN46)</f>
        <v>16.2</v>
      </c>
      <c r="N46" s="1664">
        <v>0</v>
      </c>
      <c r="O46" s="1369"/>
      <c r="P46" s="1664">
        <f t="shared" ref="P46:Q48" si="83">M46</f>
        <v>16.2</v>
      </c>
      <c r="Q46" s="1664">
        <f t="shared" si="83"/>
        <v>0</v>
      </c>
      <c r="R46" s="1664">
        <v>0</v>
      </c>
      <c r="S46" s="1664">
        <v>0</v>
      </c>
      <c r="T46" s="1792">
        <f>+SUM(CE46:CH46)</f>
        <v>0</v>
      </c>
      <c r="U46" s="1792">
        <f>SUM(CJ46:CM46)</f>
        <v>0</v>
      </c>
      <c r="V46" s="1792">
        <f>SUM(CO46:CR46)</f>
        <v>9.3651000000000035</v>
      </c>
      <c r="W46" s="1906">
        <f>+SUM(CT46:CW46)</f>
        <v>1605</v>
      </c>
      <c r="X46" s="1907"/>
      <c r="Y46" s="1907"/>
      <c r="Z46" s="1906">
        <f>+SUM(CY46:DB46)</f>
        <v>10</v>
      </c>
      <c r="AA46" s="2858">
        <v>0</v>
      </c>
      <c r="AB46" s="2809">
        <f ca="1">SUM(DD46:DG46)</f>
        <v>-288.99891218431827</v>
      </c>
      <c r="AC46" s="2809">
        <f>SUM(DI46:DL46)</f>
        <v>-1208.9528855138085</v>
      </c>
      <c r="AD46" s="2809">
        <f>SUM(DN46:DQ46)</f>
        <v>0</v>
      </c>
      <c r="AE46" s="2858">
        <v>0</v>
      </c>
      <c r="AF46" s="2858">
        <v>0</v>
      </c>
      <c r="AG46" s="2120">
        <v>0</v>
      </c>
      <c r="AH46" s="2120">
        <v>0</v>
      </c>
      <c r="AI46" s="2120">
        <v>0</v>
      </c>
      <c r="AJ46" s="2120">
        <v>0</v>
      </c>
      <c r="AK46" s="2120">
        <v>0</v>
      </c>
      <c r="AL46" s="2120">
        <v>0</v>
      </c>
      <c r="AM46" s="2120">
        <v>0</v>
      </c>
      <c r="AN46" s="2120">
        <v>0</v>
      </c>
      <c r="AO46" s="1664"/>
      <c r="AP46" s="1664"/>
      <c r="AQ46" s="1664"/>
      <c r="AR46" s="1664"/>
      <c r="AS46" s="1664"/>
      <c r="AT46" s="2906"/>
      <c r="AU46" s="2862" t="str">
        <f t="shared" si="3"/>
        <v>Earnings (Loss) from Discontinued Operations</v>
      </c>
      <c r="AV46" s="2845"/>
      <c r="AW46" s="2845"/>
      <c r="AX46" s="2845"/>
      <c r="AY46" s="2845"/>
      <c r="AZ46" s="2900"/>
      <c r="BA46" s="2889" t="s">
        <v>737</v>
      </c>
      <c r="BB46" s="2889" t="s">
        <v>737</v>
      </c>
      <c r="BC46" s="2889" t="s">
        <v>737</v>
      </c>
      <c r="BD46" s="2889" t="s">
        <v>737</v>
      </c>
      <c r="BE46" s="2804"/>
      <c r="BF46" s="2906">
        <v>0</v>
      </c>
      <c r="BG46" s="2906">
        <v>455</v>
      </c>
      <c r="BH46" s="2906">
        <f>BH48+BH47</f>
        <v>-10.719999999999999</v>
      </c>
      <c r="BI46" s="2906">
        <v>0</v>
      </c>
      <c r="BJ46" s="2901">
        <f>L46-SUM(BF46:BI46)</f>
        <v>0</v>
      </c>
      <c r="BK46" s="2906">
        <v>0</v>
      </c>
      <c r="BL46" s="2906">
        <v>0</v>
      </c>
      <c r="BM46" s="2907">
        <v>3.1</v>
      </c>
      <c r="BN46" s="2906">
        <v>13.1</v>
      </c>
      <c r="BO46" s="2902"/>
      <c r="BP46" s="2906">
        <v>0</v>
      </c>
      <c r="BQ46" s="2906">
        <v>0</v>
      </c>
      <c r="BR46" s="2907">
        <v>0</v>
      </c>
      <c r="BS46" s="2906">
        <v>0</v>
      </c>
      <c r="BT46" s="2902">
        <f>N46-SUM(BP46:BS46)</f>
        <v>0</v>
      </c>
      <c r="BU46" s="2906">
        <v>0</v>
      </c>
      <c r="BV46" s="2906">
        <v>0</v>
      </c>
      <c r="BW46" s="2907">
        <v>0</v>
      </c>
      <c r="BX46" s="2906">
        <v>0</v>
      </c>
      <c r="BY46" s="2842">
        <f>R46-SUM(BU46:BX46)</f>
        <v>0</v>
      </c>
      <c r="BZ46" s="2906">
        <v>0</v>
      </c>
      <c r="CA46" s="2906">
        <v>0</v>
      </c>
      <c r="CB46" s="2907">
        <v>0</v>
      </c>
      <c r="CC46" s="2906">
        <v>0</v>
      </c>
      <c r="CD46" s="2842">
        <f>S46-SUM(BZ46:CC46)</f>
        <v>0</v>
      </c>
      <c r="CE46" s="2908"/>
      <c r="CF46" s="2908"/>
      <c r="CG46" s="2908"/>
      <c r="CH46" s="2908"/>
      <c r="CI46" s="2842">
        <f>T46-SUM(CE46:CH46)</f>
        <v>0</v>
      </c>
      <c r="CJ46" s="2908"/>
      <c r="CK46" s="2908"/>
      <c r="CL46" s="2908"/>
      <c r="CM46" s="2908"/>
      <c r="CN46" s="2842">
        <f>U46-SUM(CJ46:CM46)</f>
        <v>0</v>
      </c>
      <c r="CO46" s="2908">
        <f>CO48+CO47</f>
        <v>-29.9268</v>
      </c>
      <c r="CP46" s="2908">
        <f>CP48+CP47</f>
        <v>-6.1105999999999998</v>
      </c>
      <c r="CQ46" s="2908">
        <f>CQ48+CQ47</f>
        <v>37.92</v>
      </c>
      <c r="CR46" s="2908">
        <f>CR48+CR47</f>
        <v>7.4824999999999999</v>
      </c>
      <c r="CS46" s="2842"/>
      <c r="CT46" s="2908">
        <f>CT48+CT47</f>
        <v>6</v>
      </c>
      <c r="CU46" s="2908">
        <f>CU48+CU47</f>
        <v>21</v>
      </c>
      <c r="CV46" s="2908">
        <f>CV48+CV47</f>
        <v>1567</v>
      </c>
      <c r="CW46" s="2908">
        <f>CW48+CW47</f>
        <v>11</v>
      </c>
      <c r="CX46" s="2842"/>
      <c r="CY46" s="2909">
        <v>0</v>
      </c>
      <c r="CZ46" s="2909">
        <v>0</v>
      </c>
      <c r="DA46" s="2909">
        <v>0</v>
      </c>
      <c r="DB46" s="2858">
        <v>10</v>
      </c>
      <c r="DC46" s="2842"/>
      <c r="DD46" s="3188">
        <f ca="1">DD47+DD48</f>
        <v>40.545590433482808</v>
      </c>
      <c r="DE46" s="2858">
        <v>82</v>
      </c>
      <c r="DF46" s="2858">
        <v>77</v>
      </c>
      <c r="DG46" s="2858">
        <f ca="1">DG47+DG48</f>
        <v>-488.54450261780107</v>
      </c>
      <c r="DH46" s="2842">
        <f t="shared" ref="DH46:DH52" ca="1" si="84">AB46-SUM(DD46:DG46)</f>
        <v>0</v>
      </c>
      <c r="DI46" s="3188">
        <f>DI47+DI48</f>
        <v>-931.92000000000007</v>
      </c>
      <c r="DJ46" s="3290">
        <f>DJ47+DJ48</f>
        <v>-447.48</v>
      </c>
      <c r="DK46" s="2858">
        <v>146</v>
      </c>
      <c r="DL46" s="2858">
        <f>DL47+DL48</f>
        <v>24.44711448619157</v>
      </c>
      <c r="DM46" s="2842">
        <f t="shared" si="7"/>
        <v>0</v>
      </c>
      <c r="DN46" s="2842">
        <v>0</v>
      </c>
      <c r="DO46" s="2842">
        <v>0</v>
      </c>
      <c r="DP46" s="2842">
        <v>0</v>
      </c>
      <c r="DQ46" s="2842">
        <v>0</v>
      </c>
      <c r="DR46" s="2026">
        <f t="shared" ref="DR46:DR48" si="85">AD46-SUM(DN46:DQ46)</f>
        <v>0</v>
      </c>
    </row>
    <row r="47" spans="1:122">
      <c r="A47" s="1108" t="s">
        <v>870</v>
      </c>
      <c r="B47" s="1898"/>
      <c r="C47" s="1898"/>
      <c r="D47" s="1898"/>
      <c r="E47" s="1898"/>
      <c r="F47" s="1898"/>
      <c r="G47" s="1898"/>
      <c r="H47" s="1909">
        <v>0</v>
      </c>
      <c r="I47" s="1910">
        <f>I46-I48</f>
        <v>851.8</v>
      </c>
      <c r="J47" s="1910">
        <f>J46-J48</f>
        <v>674.9</v>
      </c>
      <c r="K47" s="1910">
        <f>K46-K48</f>
        <v>1005.1000000000001</v>
      </c>
      <c r="L47" s="1910">
        <f>L46-L48</f>
        <v>166.67999999999995</v>
      </c>
      <c r="M47" s="1910">
        <f>M46-M48</f>
        <v>0</v>
      </c>
      <c r="N47" s="1911">
        <v>0</v>
      </c>
      <c r="O47" s="1369"/>
      <c r="P47" s="1911">
        <f t="shared" si="83"/>
        <v>0</v>
      </c>
      <c r="Q47" s="1911">
        <f t="shared" si="83"/>
        <v>0</v>
      </c>
      <c r="R47" s="1911">
        <v>0</v>
      </c>
      <c r="S47" s="1911">
        <v>0</v>
      </c>
      <c r="T47" s="1793">
        <f>+SUM(CE47:CH47)</f>
        <v>0</v>
      </c>
      <c r="U47" s="1793">
        <f>SUM(CJ47:CM47)</f>
        <v>0</v>
      </c>
      <c r="V47" s="1793">
        <f>SUM(CO47:CR47)</f>
        <v>3.3651000000000018</v>
      </c>
      <c r="W47" s="1910">
        <f>+SUM(CT47:CW47)</f>
        <v>0</v>
      </c>
      <c r="X47" s="1791"/>
      <c r="Y47" s="1791"/>
      <c r="Z47" s="1910">
        <f>+SUM(CY47:DB47)</f>
        <v>0</v>
      </c>
      <c r="AA47" s="2859">
        <v>0</v>
      </c>
      <c r="AB47" s="2799">
        <f ca="1">SUM(DD47:DG47)</f>
        <v>-33.998912184318243</v>
      </c>
      <c r="AC47" s="2799">
        <f>SUM(DI47:DL47)</f>
        <v>-353.84350992983298</v>
      </c>
      <c r="AD47" s="2799">
        <f>SUM(DN47:DQ47)</f>
        <v>0</v>
      </c>
      <c r="AE47" s="2859">
        <v>0</v>
      </c>
      <c r="AF47" s="2859">
        <v>0</v>
      </c>
      <c r="AG47" s="2031">
        <v>0</v>
      </c>
      <c r="AH47" s="2031">
        <v>0</v>
      </c>
      <c r="AI47" s="2031">
        <v>0</v>
      </c>
      <c r="AJ47" s="2031">
        <v>0</v>
      </c>
      <c r="AK47" s="2031">
        <v>0</v>
      </c>
      <c r="AL47" s="2031">
        <v>0</v>
      </c>
      <c r="AM47" s="2031">
        <v>0</v>
      </c>
      <c r="AN47" s="2031">
        <v>0</v>
      </c>
      <c r="AO47" s="1908"/>
      <c r="AP47" s="1908"/>
      <c r="AQ47" s="1908"/>
      <c r="AR47" s="1908"/>
      <c r="AS47" s="1908"/>
      <c r="AT47" s="3233"/>
      <c r="AU47" s="2862" t="str">
        <f t="shared" si="3"/>
        <v>Income Tax on Earnings from Discontinued Operations</v>
      </c>
      <c r="AV47" s="2845"/>
      <c r="AW47" s="2845"/>
      <c r="AX47" s="2845"/>
      <c r="AY47" s="2845"/>
      <c r="AZ47" s="2900"/>
      <c r="BA47" s="2889" t="s">
        <v>737</v>
      </c>
      <c r="BB47" s="2889" t="s">
        <v>737</v>
      </c>
      <c r="BC47" s="2889" t="s">
        <v>737</v>
      </c>
      <c r="BD47" s="2889" t="s">
        <v>737</v>
      </c>
      <c r="BE47" s="2804"/>
      <c r="BF47" s="2893">
        <v>0</v>
      </c>
      <c r="BG47" s="2893">
        <f>BG46-BG48</f>
        <v>163.10000000000002</v>
      </c>
      <c r="BH47" s="2893">
        <f>BH48*0.6</f>
        <v>-4.0199999999999996</v>
      </c>
      <c r="BI47" s="2893">
        <f>L47-SUM(BF47:BH47)</f>
        <v>7.5999999999999375</v>
      </c>
      <c r="BJ47" s="2901">
        <f>L47-SUM(BF47:BI47)</f>
        <v>0</v>
      </c>
      <c r="BK47" s="2893">
        <f>BK46*0.4</f>
        <v>0</v>
      </c>
      <c r="BL47" s="2893">
        <f>BL46*0.4</f>
        <v>0</v>
      </c>
      <c r="BM47" s="2893">
        <v>0</v>
      </c>
      <c r="BN47" s="2893">
        <v>0</v>
      </c>
      <c r="BO47" s="2902"/>
      <c r="BP47" s="2893">
        <v>0</v>
      </c>
      <c r="BQ47" s="2893">
        <f>BQ46*0.4</f>
        <v>0</v>
      </c>
      <c r="BR47" s="2893">
        <v>0</v>
      </c>
      <c r="BS47" s="2893">
        <f>BS46*0.4</f>
        <v>0</v>
      </c>
      <c r="BT47" s="2902">
        <f>N47-SUM(BP47:BS47)</f>
        <v>0</v>
      </c>
      <c r="BU47" s="2893">
        <v>0</v>
      </c>
      <c r="BV47" s="2893">
        <f>BV46*0.4</f>
        <v>0</v>
      </c>
      <c r="BW47" s="2893">
        <v>0</v>
      </c>
      <c r="BX47" s="2893">
        <f>BX46*0.4</f>
        <v>0</v>
      </c>
      <c r="BY47" s="2842">
        <f>R47-SUM(BU47:BX47)</f>
        <v>0</v>
      </c>
      <c r="BZ47" s="2893">
        <v>0</v>
      </c>
      <c r="CA47" s="2893">
        <f>CA46*0.4</f>
        <v>0</v>
      </c>
      <c r="CB47" s="2893">
        <v>0</v>
      </c>
      <c r="CC47" s="2893">
        <f>CC46*0.4</f>
        <v>0</v>
      </c>
      <c r="CD47" s="2842">
        <f>S47-SUM(BZ47:CC47)</f>
        <v>0</v>
      </c>
      <c r="CE47" s="2893"/>
      <c r="CF47" s="2893"/>
      <c r="CG47" s="2893"/>
      <c r="CH47" s="2893"/>
      <c r="CI47" s="2842">
        <f>T47-SUM(CE47:CH47)</f>
        <v>0</v>
      </c>
      <c r="CJ47" s="2893"/>
      <c r="CK47" s="2893"/>
      <c r="CL47" s="2893"/>
      <c r="CM47" s="2893"/>
      <c r="CN47" s="2842">
        <f>U47-SUM(CJ47:CM47)</f>
        <v>0</v>
      </c>
      <c r="CO47" s="2859">
        <f>-29.9*0.332</f>
        <v>-9.9268000000000001</v>
      </c>
      <c r="CP47" s="2859">
        <f>-6.1*0.346</f>
        <v>-2.1105999999999998</v>
      </c>
      <c r="CQ47" s="2859">
        <f>38*0.34</f>
        <v>12.920000000000002</v>
      </c>
      <c r="CR47" s="2859">
        <f>7.5*0.331</f>
        <v>2.4824999999999999</v>
      </c>
      <c r="CS47" s="2842"/>
      <c r="CT47" s="2910">
        <v>0</v>
      </c>
      <c r="CU47" s="2910">
        <v>0</v>
      </c>
      <c r="CV47" s="2910">
        <v>0</v>
      </c>
      <c r="CW47" s="2910">
        <v>0</v>
      </c>
      <c r="CX47" s="2842"/>
      <c r="CY47" s="2859">
        <v>0</v>
      </c>
      <c r="CZ47" s="2859">
        <f>CZ46*CZ40</f>
        <v>0</v>
      </c>
      <c r="DA47" s="2859">
        <f>DA46*DA40</f>
        <v>0</v>
      </c>
      <c r="DB47" s="2859">
        <v>0</v>
      </c>
      <c r="DC47" s="2842"/>
      <c r="DD47" s="3189">
        <f ca="1">DD48*DD40</f>
        <v>9.5455904334828094</v>
      </c>
      <c r="DE47" s="2859">
        <f ca="1">DE46-DE48</f>
        <v>32</v>
      </c>
      <c r="DF47" s="2859">
        <f ca="1">DF46-36-DF48</f>
        <v>29</v>
      </c>
      <c r="DG47" s="2859">
        <f ca="1">DG48*DG40</f>
        <v>-104.54450261780104</v>
      </c>
      <c r="DH47" s="2842">
        <f t="shared" ca="1" si="84"/>
        <v>0</v>
      </c>
      <c r="DI47" s="3189">
        <f>DI48*32%</f>
        <v>-225.92000000000002</v>
      </c>
      <c r="DJ47" s="3289">
        <f>DJ48*32%</f>
        <v>-108.48</v>
      </c>
      <c r="DK47" s="2859">
        <v>-28</v>
      </c>
      <c r="DL47" s="2859">
        <f>DL48*0.35/0.65</f>
        <v>8.5564900701670492</v>
      </c>
      <c r="DM47" s="2842">
        <f t="shared" si="7"/>
        <v>0</v>
      </c>
      <c r="DN47" s="2842">
        <v>0</v>
      </c>
      <c r="DO47" s="2842">
        <v>0</v>
      </c>
      <c r="DP47" s="2842">
        <v>0</v>
      </c>
      <c r="DQ47" s="2842">
        <v>0</v>
      </c>
      <c r="DR47" s="2026">
        <f t="shared" si="85"/>
        <v>0</v>
      </c>
    </row>
    <row r="48" spans="1:122">
      <c r="A48" s="1108" t="s">
        <v>871</v>
      </c>
      <c r="B48" s="1105"/>
      <c r="C48" s="1105"/>
      <c r="D48" s="1105"/>
      <c r="E48" s="1105"/>
      <c r="F48" s="1105"/>
      <c r="G48" s="1105"/>
      <c r="H48" s="1105">
        <f>H46+H47</f>
        <v>0</v>
      </c>
      <c r="I48" s="1692">
        <v>318.5</v>
      </c>
      <c r="J48" s="1692">
        <v>242.1</v>
      </c>
      <c r="K48" s="1692">
        <v>1232.7</v>
      </c>
      <c r="L48" s="1692">
        <v>277.60000000000002</v>
      </c>
      <c r="M48" s="1692">
        <v>16.2</v>
      </c>
      <c r="N48" s="1654">
        <f>N46+N47</f>
        <v>0</v>
      </c>
      <c r="O48" s="1369"/>
      <c r="P48" s="1654">
        <f t="shared" si="83"/>
        <v>16.2</v>
      </c>
      <c r="Q48" s="1654">
        <f t="shared" si="83"/>
        <v>0</v>
      </c>
      <c r="R48" s="1654">
        <f>R46+R47</f>
        <v>0</v>
      </c>
      <c r="S48" s="1654">
        <f>S46+S47</f>
        <v>0</v>
      </c>
      <c r="T48" s="1780">
        <f>+SUM(CE48:CH48)</f>
        <v>-86</v>
      </c>
      <c r="U48" s="1780">
        <f>SUM(CJ48:CM48)</f>
        <v>-60</v>
      </c>
      <c r="V48" s="1780">
        <f>SUM(CO48:CR48)</f>
        <v>6</v>
      </c>
      <c r="W48" s="1780">
        <f>SUM(CT48:CW48)</f>
        <v>1605</v>
      </c>
      <c r="X48" s="1743"/>
      <c r="Y48" s="1743">
        <f>+W48</f>
        <v>1605</v>
      </c>
      <c r="Z48" s="1780">
        <f>SUM(CY48:DB48)</f>
        <v>10</v>
      </c>
      <c r="AA48" s="2892">
        <v>-36</v>
      </c>
      <c r="AB48" s="2890">
        <f ca="1">SUM(DD48:DG48)</f>
        <v>-291</v>
      </c>
      <c r="AC48" s="2890">
        <f>SUM(DI48:DL48)</f>
        <v>-855.10937558397552</v>
      </c>
      <c r="AD48" s="2890">
        <f>AD46+AD47</f>
        <v>0</v>
      </c>
      <c r="AE48" s="2841">
        <f t="shared" ref="AE48:AN48" si="86">AE46+AE47</f>
        <v>0</v>
      </c>
      <c r="AF48" s="2841">
        <f t="shared" si="86"/>
        <v>0</v>
      </c>
      <c r="AG48" s="2841">
        <f t="shared" si="86"/>
        <v>0</v>
      </c>
      <c r="AH48" s="2841">
        <f t="shared" si="86"/>
        <v>0</v>
      </c>
      <c r="AI48" s="2841">
        <f t="shared" si="86"/>
        <v>0</v>
      </c>
      <c r="AJ48" s="2841">
        <f t="shared" si="86"/>
        <v>0</v>
      </c>
      <c r="AK48" s="2841">
        <f t="shared" si="86"/>
        <v>0</v>
      </c>
      <c r="AL48" s="2841">
        <f t="shared" si="86"/>
        <v>0</v>
      </c>
      <c r="AM48" s="2841">
        <f t="shared" si="86"/>
        <v>0</v>
      </c>
      <c r="AN48" s="2841">
        <f t="shared" si="86"/>
        <v>0</v>
      </c>
      <c r="AO48" s="1654"/>
      <c r="AP48" s="1654"/>
      <c r="AQ48" s="1654"/>
      <c r="AR48" s="1654"/>
      <c r="AS48" s="1654"/>
      <c r="AT48" s="2845"/>
      <c r="AU48" s="2862" t="str">
        <f t="shared" si="3"/>
        <v>Net Earnings (Loss) from Discontinued Operations</v>
      </c>
      <c r="AV48" s="2845"/>
      <c r="AW48" s="2845"/>
      <c r="AX48" s="2845"/>
      <c r="AY48" s="2845"/>
      <c r="AZ48" s="2900"/>
      <c r="BA48" s="2889" t="s">
        <v>737</v>
      </c>
      <c r="BB48" s="2889" t="s">
        <v>737</v>
      </c>
      <c r="BC48" s="2889" t="s">
        <v>737</v>
      </c>
      <c r="BD48" s="2889" t="s">
        <v>737</v>
      </c>
      <c r="BE48" s="2804"/>
      <c r="BF48" s="2801">
        <v>0</v>
      </c>
      <c r="BG48" s="2801">
        <v>291.89999999999998</v>
      </c>
      <c r="BH48" s="2801">
        <v>-6.7</v>
      </c>
      <c r="BI48" s="2801">
        <f>BI46-BI47</f>
        <v>-7.5999999999999375</v>
      </c>
      <c r="BJ48" s="2901">
        <f>L48-SUM(BF48:BI48)</f>
        <v>0</v>
      </c>
      <c r="BK48" s="2801">
        <f>BK46-BK47</f>
        <v>0</v>
      </c>
      <c r="BL48" s="2801">
        <f>BL46-BL47</f>
        <v>0</v>
      </c>
      <c r="BM48" s="2801">
        <f>BM46-BM47</f>
        <v>3.1</v>
      </c>
      <c r="BN48" s="2801">
        <f>BN46-BN47</f>
        <v>13.1</v>
      </c>
      <c r="BO48" s="2902"/>
      <c r="BP48" s="2801">
        <f>BP46-BP47</f>
        <v>0</v>
      </c>
      <c r="BQ48" s="2801">
        <f>BQ46-BQ47</f>
        <v>0</v>
      </c>
      <c r="BR48" s="2801">
        <f>BR46-BR47</f>
        <v>0</v>
      </c>
      <c r="BS48" s="2801">
        <f>BS46-BS47</f>
        <v>0</v>
      </c>
      <c r="BT48" s="2902">
        <f>N48-SUM(BP48:BS48)</f>
        <v>0</v>
      </c>
      <c r="BU48" s="2801">
        <f>BU46-BU47</f>
        <v>0</v>
      </c>
      <c r="BV48" s="2801">
        <f>BV46-BV47</f>
        <v>0</v>
      </c>
      <c r="BW48" s="2801">
        <f>BW46-BW47</f>
        <v>0</v>
      </c>
      <c r="BX48" s="2801">
        <f>BX46-BX47</f>
        <v>0</v>
      </c>
      <c r="BY48" s="2842">
        <f>R48-SUM(BU48:BX48)</f>
        <v>0</v>
      </c>
      <c r="BZ48" s="2801">
        <f>BZ46-BZ47</f>
        <v>0</v>
      </c>
      <c r="CA48" s="2801">
        <f>CA46-CA47</f>
        <v>0</v>
      </c>
      <c r="CB48" s="2801">
        <f>CB46-CB47</f>
        <v>0</v>
      </c>
      <c r="CC48" s="2801">
        <f>CC46-CC47</f>
        <v>0</v>
      </c>
      <c r="CD48" s="2842">
        <f>S48-SUM(BZ48:CC48)</f>
        <v>0</v>
      </c>
      <c r="CE48" s="2911">
        <v>-30</v>
      </c>
      <c r="CF48" s="2911">
        <v>-27</v>
      </c>
      <c r="CG48" s="2911">
        <v>-48</v>
      </c>
      <c r="CH48" s="2911">
        <v>19</v>
      </c>
      <c r="CI48" s="2842">
        <f>T48-SUM(CE48:CH48)</f>
        <v>0</v>
      </c>
      <c r="CJ48" s="2911">
        <v>-31</v>
      </c>
      <c r="CK48" s="2911">
        <v>-25</v>
      </c>
      <c r="CL48" s="2911">
        <v>6</v>
      </c>
      <c r="CM48" s="2911">
        <v>-10</v>
      </c>
      <c r="CN48" s="2842">
        <f>U48-SUM(CJ48:CM48)</f>
        <v>0</v>
      </c>
      <c r="CO48" s="2911">
        <v>-20</v>
      </c>
      <c r="CP48" s="2911">
        <v>-4</v>
      </c>
      <c r="CQ48" s="2911">
        <v>25</v>
      </c>
      <c r="CR48" s="2911">
        <v>5</v>
      </c>
      <c r="CS48" s="2842">
        <f>V48-SUM(CO48:CR48)</f>
        <v>0</v>
      </c>
      <c r="CT48" s="2911">
        <v>6</v>
      </c>
      <c r="CU48" s="2911">
        <v>21</v>
      </c>
      <c r="CV48" s="2911">
        <v>1567</v>
      </c>
      <c r="CW48" s="2911">
        <v>11</v>
      </c>
      <c r="CX48" s="2842">
        <f>$W48-SUM(CT48:CW48)</f>
        <v>0</v>
      </c>
      <c r="CY48" s="2860">
        <f>CY46-CY47</f>
        <v>0</v>
      </c>
      <c r="CZ48" s="2860">
        <f>CZ46-CZ47</f>
        <v>0</v>
      </c>
      <c r="DA48" s="2860">
        <f>DA46-DA47</f>
        <v>0</v>
      </c>
      <c r="DB48" s="2860">
        <f>DB46-DB47</f>
        <v>10</v>
      </c>
      <c r="DC48" s="2842">
        <f>$Z48-SUM(CY48:DB48)</f>
        <v>0</v>
      </c>
      <c r="DD48" s="2848">
        <v>31</v>
      </c>
      <c r="DE48" s="2908">
        <f ca="1">423-DE44</f>
        <v>50</v>
      </c>
      <c r="DF48" s="2908">
        <f ca="1">478-DF44</f>
        <v>12</v>
      </c>
      <c r="DG48" s="2848">
        <v>-384</v>
      </c>
      <c r="DH48" s="2842">
        <f t="shared" ca="1" si="84"/>
        <v>0</v>
      </c>
      <c r="DI48" s="2848">
        <v>-706</v>
      </c>
      <c r="DJ48" s="2848">
        <v>-339</v>
      </c>
      <c r="DK48" s="2848">
        <f>DK46-DK47</f>
        <v>174</v>
      </c>
      <c r="DL48" s="2860">
        <f>0.04*DL123</f>
        <v>15.89062441602452</v>
      </c>
      <c r="DM48" s="2842">
        <f t="shared" si="7"/>
        <v>0</v>
      </c>
      <c r="DN48" s="3291">
        <v>0</v>
      </c>
      <c r="DO48" s="3291">
        <v>0</v>
      </c>
      <c r="DP48" s="3291">
        <v>0</v>
      </c>
      <c r="DQ48" s="3291">
        <v>0</v>
      </c>
      <c r="DR48" s="2026">
        <f t="shared" si="85"/>
        <v>0</v>
      </c>
    </row>
    <row r="49" spans="1:122">
      <c r="A49" s="1108"/>
      <c r="B49" s="1525"/>
      <c r="C49" s="1525"/>
      <c r="D49" s="1525"/>
      <c r="E49" s="1525"/>
      <c r="F49" s="1525"/>
      <c r="G49" s="1525"/>
      <c r="H49" s="1525"/>
      <c r="I49" s="1525"/>
      <c r="J49" s="1525"/>
      <c r="K49" s="1525"/>
      <c r="L49" s="1357"/>
      <c r="M49" s="1135"/>
      <c r="N49" s="1357"/>
      <c r="O49" s="1369"/>
      <c r="P49" s="1357"/>
      <c r="Q49" s="1357"/>
      <c r="R49" s="1357"/>
      <c r="S49" s="1357"/>
      <c r="T49" s="1357"/>
      <c r="U49" s="1357"/>
      <c r="V49" s="1357"/>
      <c r="W49" s="1357"/>
      <c r="X49" s="1465"/>
      <c r="Y49" s="1465"/>
      <c r="Z49" s="1357"/>
      <c r="AA49" s="2806"/>
      <c r="AB49" s="2806"/>
      <c r="AC49" s="2806"/>
      <c r="AD49" s="2806"/>
      <c r="AE49" s="2806"/>
      <c r="AF49" s="2806"/>
      <c r="AG49" s="1357"/>
      <c r="AH49" s="1357"/>
      <c r="AI49" s="1357"/>
      <c r="AJ49" s="1357"/>
      <c r="AK49" s="1357"/>
      <c r="AL49" s="1357"/>
      <c r="AM49" s="1357"/>
      <c r="AN49" s="1357"/>
      <c r="AO49" s="1357"/>
      <c r="AP49" s="1357"/>
      <c r="AQ49" s="1357"/>
      <c r="AR49" s="1357"/>
      <c r="AS49" s="1357"/>
      <c r="AT49" s="2806"/>
      <c r="AU49" s="2862" t="str">
        <f t="shared" si="3"/>
        <v/>
      </c>
      <c r="AV49" s="2845"/>
      <c r="AW49" s="2845"/>
      <c r="AX49" s="2845"/>
      <c r="AY49" s="2845"/>
      <c r="AZ49" s="2900"/>
      <c r="BA49" s="2845"/>
      <c r="BB49" s="2804"/>
      <c r="BC49" s="2804"/>
      <c r="BD49" s="2804"/>
      <c r="BE49" s="2804"/>
      <c r="BF49" s="2806"/>
      <c r="BG49" s="2806"/>
      <c r="BH49" s="2806"/>
      <c r="BI49" s="2806"/>
      <c r="BJ49" s="2900"/>
      <c r="BK49" s="2806"/>
      <c r="BL49" s="2806"/>
      <c r="BM49" s="2806"/>
      <c r="BN49" s="2806"/>
      <c r="BO49" s="2806"/>
      <c r="BP49" s="2806"/>
      <c r="BQ49" s="2806"/>
      <c r="BR49" s="2806"/>
      <c r="BS49" s="2806"/>
      <c r="BT49" s="2806"/>
      <c r="BU49" s="2806"/>
      <c r="BV49" s="2806"/>
      <c r="BW49" s="2806"/>
      <c r="BX49" s="2806"/>
      <c r="BY49" s="2806"/>
      <c r="BZ49" s="2806"/>
      <c r="CA49" s="2806"/>
      <c r="CB49" s="2806"/>
      <c r="CC49" s="2806"/>
      <c r="CD49" s="2806"/>
      <c r="CE49" s="2806"/>
      <c r="CF49" s="2806"/>
      <c r="CG49" s="2806"/>
      <c r="CH49" s="2806"/>
      <c r="CI49" s="2806"/>
      <c r="CJ49" s="2806"/>
      <c r="CK49" s="2806"/>
      <c r="CL49" s="2806"/>
      <c r="CM49" s="2806"/>
      <c r="CN49" s="2806"/>
      <c r="CO49" s="2806"/>
      <c r="CP49" s="2806"/>
      <c r="CQ49" s="2806"/>
      <c r="CR49" s="2806"/>
      <c r="CS49" s="2806"/>
      <c r="CT49" s="2851"/>
      <c r="CU49" s="2912"/>
      <c r="CV49" s="2851"/>
      <c r="CW49" s="2806"/>
      <c r="CX49" s="2806"/>
      <c r="CY49" s="2851"/>
      <c r="CZ49" s="2851"/>
      <c r="DA49" s="2851"/>
      <c r="DB49" s="2806"/>
      <c r="DC49" s="2806"/>
      <c r="DD49" s="2806"/>
      <c r="DE49" s="2806"/>
      <c r="DF49" s="2806"/>
      <c r="DG49" s="2806"/>
      <c r="DH49" s="2806"/>
      <c r="DI49" s="2806"/>
      <c r="DJ49" s="2806"/>
      <c r="DK49" s="2806"/>
      <c r="DL49" s="2806"/>
      <c r="DM49" s="2806"/>
      <c r="DN49" s="2842"/>
      <c r="DO49" s="2842"/>
      <c r="DP49" s="2842"/>
      <c r="DQ49" s="2842"/>
      <c r="DR49" s="2842"/>
    </row>
    <row r="50" spans="1:122">
      <c r="A50" s="1108" t="s">
        <v>1020</v>
      </c>
      <c r="B50" s="1105"/>
      <c r="C50" s="1105"/>
      <c r="D50" s="1105"/>
      <c r="E50" s="1105"/>
      <c r="F50" s="1105"/>
      <c r="G50" s="1105"/>
      <c r="H50" s="1105">
        <f t="shared" ref="H50:S50" si="87">H44+H48</f>
        <v>1087.9999999999991</v>
      </c>
      <c r="I50" s="1105">
        <f t="shared" si="87"/>
        <v>1435.4000000000005</v>
      </c>
      <c r="J50" s="1105">
        <f t="shared" si="87"/>
        <v>-16149.799999999997</v>
      </c>
      <c r="K50" s="1105">
        <f t="shared" si="87"/>
        <v>-7089.0999999999995</v>
      </c>
      <c r="L50" s="1105">
        <f t="shared" si="87"/>
        <v>1660.5</v>
      </c>
      <c r="M50" s="1105">
        <f>M44+M48</f>
        <v>1250.3999999999999</v>
      </c>
      <c r="N50" s="1105">
        <f t="shared" si="87"/>
        <v>-11673.400000000003</v>
      </c>
      <c r="O50" s="1369"/>
      <c r="P50" s="1105">
        <f>P44+P48</f>
        <v>1271.389625</v>
      </c>
      <c r="Q50" s="1105">
        <f>Q44+Q48</f>
        <v>-11548.512251040003</v>
      </c>
      <c r="R50" s="1105">
        <f t="shared" si="87"/>
        <v>226.50000000000034</v>
      </c>
      <c r="S50" s="1105">
        <f t="shared" si="87"/>
        <v>724.20000000000016</v>
      </c>
      <c r="T50" s="1105">
        <f t="shared" ref="T50:AH50" si="88">T44+T48</f>
        <v>1305.0000000000005</v>
      </c>
      <c r="U50" s="1105">
        <f t="shared" si="88"/>
        <v>1573.9999999999995</v>
      </c>
      <c r="V50" s="1105">
        <f t="shared" si="88"/>
        <v>1879</v>
      </c>
      <c r="W50" s="1105">
        <f t="shared" si="88"/>
        <v>2959</v>
      </c>
      <c r="X50" s="1105">
        <f t="shared" si="88"/>
        <v>1738</v>
      </c>
      <c r="Y50" s="1105">
        <f t="shared" si="88"/>
        <v>2959</v>
      </c>
      <c r="Z50" s="1105">
        <f>Z44+Z48</f>
        <v>1413</v>
      </c>
      <c r="AA50" s="2804">
        <f ca="1">AA44+AA48</f>
        <v>1261</v>
      </c>
      <c r="AB50" s="2804">
        <f ca="1">AB44+AB48</f>
        <v>1261</v>
      </c>
      <c r="AC50" s="2804">
        <f ca="1">AC44+AC48</f>
        <v>850.48145379200957</v>
      </c>
      <c r="AD50" s="2804">
        <f t="shared" ca="1" si="88"/>
        <v>1940.8189642968675</v>
      </c>
      <c r="AE50" s="2804">
        <f t="shared" ca="1" si="88"/>
        <v>2070.3245421209913</v>
      </c>
      <c r="AF50" s="2804">
        <f t="shared" ca="1" si="88"/>
        <v>2338.663237250717</v>
      </c>
      <c r="AG50" s="1105">
        <f t="shared" ca="1" si="88"/>
        <v>2433.8925616399433</v>
      </c>
      <c r="AH50" s="1105">
        <f t="shared" ca="1" si="88"/>
        <v>2634.0568392057412</v>
      </c>
      <c r="AI50" s="1105">
        <f t="shared" ref="AI50:AN50" ca="1" si="89">AI44+AI48</f>
        <v>2518.3795912014566</v>
      </c>
      <c r="AJ50" s="1105">
        <f t="shared" ca="1" si="89"/>
        <v>2611.6538272837283</v>
      </c>
      <c r="AK50" s="1105">
        <f t="shared" ca="1" si="89"/>
        <v>2627.5599441698942</v>
      </c>
      <c r="AL50" s="1105">
        <f t="shared" ca="1" si="89"/>
        <v>2603.4168520751291</v>
      </c>
      <c r="AM50" s="1105">
        <f t="shared" ca="1" si="89"/>
        <v>2578.5830793826849</v>
      </c>
      <c r="AN50" s="1105">
        <f t="shared" ca="1" si="89"/>
        <v>2732.8423054189966</v>
      </c>
      <c r="AO50" s="1105"/>
      <c r="AP50" s="1105"/>
      <c r="AQ50" s="1105"/>
      <c r="AR50" s="1105"/>
      <c r="AS50" s="1105"/>
      <c r="AT50" s="2804"/>
      <c r="AU50" s="2862" t="str">
        <f t="shared" si="3"/>
        <v>Net Income before Acctg. Change</v>
      </c>
      <c r="AV50" s="2845"/>
      <c r="AW50" s="2845"/>
      <c r="AX50" s="2845"/>
      <c r="AY50" s="2845"/>
      <c r="AZ50" s="2900"/>
      <c r="BA50" s="2889" t="s">
        <v>737</v>
      </c>
      <c r="BB50" s="2889" t="s">
        <v>737</v>
      </c>
      <c r="BC50" s="2889" t="s">
        <v>737</v>
      </c>
      <c r="BD50" s="2889" t="s">
        <v>737</v>
      </c>
      <c r="BE50" s="2804"/>
      <c r="BF50" s="2804">
        <f>BF44+BF48</f>
        <v>235.39999999999986</v>
      </c>
      <c r="BG50" s="2804">
        <f>BG44+BG48</f>
        <v>763.49999999999989</v>
      </c>
      <c r="BH50" s="2804">
        <f>BH44+BH48</f>
        <v>296.49999999999994</v>
      </c>
      <c r="BI50" s="2804">
        <f>BI44+BI48</f>
        <v>365.1</v>
      </c>
      <c r="BJ50" s="2901">
        <f>L50-SUM(BF50:BI50)</f>
        <v>0</v>
      </c>
      <c r="BK50" s="2804">
        <f>BK44+BK48</f>
        <v>213.35</v>
      </c>
      <c r="BL50" s="2804">
        <f>BL44+BL48</f>
        <v>398.35000000000008</v>
      </c>
      <c r="BM50" s="2804">
        <f>BM44+BM48</f>
        <v>339.45000000000027</v>
      </c>
      <c r="BN50" s="2804">
        <f>BN44+BN48</f>
        <v>286.85000000000019</v>
      </c>
      <c r="BO50" s="2902"/>
      <c r="BP50" s="2804">
        <f>BP44+BP48</f>
        <v>259.07924972625011</v>
      </c>
      <c r="BQ50" s="2804">
        <f>BQ44+BQ48</f>
        <v>411.79473068000004</v>
      </c>
      <c r="BR50" s="2804">
        <f>BR44+BR48</f>
        <v>-12458.831023132063</v>
      </c>
      <c r="BS50" s="2804">
        <f>BS44+BS48</f>
        <v>114.55704272581245</v>
      </c>
      <c r="BT50" s="2902">
        <f>N50-SUM(BP50:BS50)</f>
        <v>0</v>
      </c>
      <c r="BU50" s="2804">
        <f>BU44+BU48</f>
        <v>-38.861466858300638</v>
      </c>
      <c r="BV50" s="2804">
        <f>BV44+BV48</f>
        <v>21.310933524868403</v>
      </c>
      <c r="BW50" s="2804">
        <f>BW44+BW48</f>
        <v>205.12739985984584</v>
      </c>
      <c r="BX50" s="2804">
        <f>BX44+BX48</f>
        <v>38.92313347358678</v>
      </c>
      <c r="BY50" s="2842">
        <f>R50-SUM(BU50:BX50)</f>
        <v>0</v>
      </c>
      <c r="BZ50" s="2804">
        <f>BZ44+BZ48</f>
        <v>-26.199999999999946</v>
      </c>
      <c r="CA50" s="2804">
        <f>CA44+CA48</f>
        <v>150.09999999999985</v>
      </c>
      <c r="CB50" s="2804">
        <f>CB44+CB48</f>
        <v>317.30000000000007</v>
      </c>
      <c r="CC50" s="2804">
        <f>CC44+CC48</f>
        <v>283.00000000000034</v>
      </c>
      <c r="CD50" s="2842">
        <f>S50-SUM(BZ50:CC50)</f>
        <v>0</v>
      </c>
      <c r="CE50" s="2804">
        <f>CE44+CE48</f>
        <v>202</v>
      </c>
      <c r="CF50" s="2804">
        <f>CF44+CF48</f>
        <v>395</v>
      </c>
      <c r="CG50" s="2804">
        <f>CG44+CG48</f>
        <v>338</v>
      </c>
      <c r="CH50" s="2804">
        <f>CH44+CH48</f>
        <v>370</v>
      </c>
      <c r="CI50" s="2842">
        <f>T50-SUM(CE50:CH50)</f>
        <v>0</v>
      </c>
      <c r="CJ50" s="2804">
        <f>CJ44+CJ48</f>
        <v>363</v>
      </c>
      <c r="CK50" s="2804">
        <f>CK44+CK48</f>
        <v>426.99999999999989</v>
      </c>
      <c r="CL50" s="2804">
        <f>CL44+CL48</f>
        <v>391</v>
      </c>
      <c r="CM50" s="2804">
        <f>CM44+CM48</f>
        <v>393</v>
      </c>
      <c r="CN50" s="2842">
        <f>U50-SUM(CJ50:CM50)</f>
        <v>0</v>
      </c>
      <c r="CO50" s="2804">
        <f>CO44+CO48</f>
        <v>443</v>
      </c>
      <c r="CP50" s="2804">
        <f>CP44+CP48</f>
        <v>472</v>
      </c>
      <c r="CQ50" s="2804">
        <f>CQ44+CQ48</f>
        <v>494.00000000000011</v>
      </c>
      <c r="CR50" s="2804">
        <f>CR44+CR48</f>
        <v>470</v>
      </c>
      <c r="CS50" s="2842">
        <f>V50-SUM(CO50:CR50)</f>
        <v>0</v>
      </c>
      <c r="CT50" s="2896">
        <f>CT44+CT48</f>
        <v>468</v>
      </c>
      <c r="CU50" s="2896">
        <f>CU44+CU48</f>
        <v>439</v>
      </c>
      <c r="CV50" s="2896">
        <f>CV44+CV48</f>
        <v>1639</v>
      </c>
      <c r="CW50" s="2804">
        <f>CW44+CW48</f>
        <v>413</v>
      </c>
      <c r="CX50" s="2842">
        <f>$W50-SUM(CT50:CW50)</f>
        <v>0</v>
      </c>
      <c r="CY50" s="2896">
        <f>CY44+CY48</f>
        <v>394</v>
      </c>
      <c r="CZ50" s="2896">
        <f>CZ44+CZ48</f>
        <v>332</v>
      </c>
      <c r="DA50" s="2896">
        <f>DA44+DA48</f>
        <v>426</v>
      </c>
      <c r="DB50" s="2804">
        <f>DB44+DB48</f>
        <v>261</v>
      </c>
      <c r="DC50" s="2842">
        <f>$Z50-SUM(CY50:DB50)</f>
        <v>0</v>
      </c>
      <c r="DD50" s="2804">
        <f ca="1">DD44+DD48</f>
        <v>473</v>
      </c>
      <c r="DE50" s="2804">
        <f ca="1">DE44+DE48</f>
        <v>423</v>
      </c>
      <c r="DF50" s="2804">
        <f ca="1">DF44+DF48</f>
        <v>478</v>
      </c>
      <c r="DG50" s="2804">
        <f ca="1">DG44+DG48</f>
        <v>-113</v>
      </c>
      <c r="DH50" s="2842">
        <f t="shared" ca="1" si="84"/>
        <v>0</v>
      </c>
      <c r="DI50" s="2804">
        <f>DI44+DI48</f>
        <v>-252</v>
      </c>
      <c r="DJ50" s="2804">
        <f>DJ44+DJ48</f>
        <v>58</v>
      </c>
      <c r="DK50" s="2804">
        <f>DK44+DK48</f>
        <v>592</v>
      </c>
      <c r="DL50" s="2804">
        <f ca="1">DL44+DL48</f>
        <v>452.48145379200975</v>
      </c>
      <c r="DM50" s="2842">
        <f t="shared" ca="1" si="7"/>
        <v>0</v>
      </c>
      <c r="DN50" s="2804">
        <f ca="1">DN44+DN48</f>
        <v>457.40599465910185</v>
      </c>
      <c r="DO50" s="2804">
        <f ca="1">DO44+DO48</f>
        <v>449.26964039042838</v>
      </c>
      <c r="DP50" s="2804">
        <f ca="1">DP44+DP48</f>
        <v>491.26297158096116</v>
      </c>
      <c r="DQ50" s="2804">
        <f ca="1">DQ44+DQ48</f>
        <v>542.88035766637654</v>
      </c>
      <c r="DR50" s="2026">
        <f t="shared" ref="DR50:DR52" ca="1" si="90">AD50-SUM(DN50:DQ50)</f>
        <v>0</v>
      </c>
    </row>
    <row r="51" spans="1:122">
      <c r="A51" s="1108" t="s">
        <v>884</v>
      </c>
      <c r="B51" s="1635"/>
      <c r="C51" s="1635"/>
      <c r="D51" s="1635"/>
      <c r="E51" s="1635"/>
      <c r="F51" s="1635"/>
      <c r="G51" s="1635"/>
      <c r="H51" s="1664">
        <v>0</v>
      </c>
      <c r="I51" s="1911">
        <v>-18.5</v>
      </c>
      <c r="J51" s="1911">
        <v>-1312.4</v>
      </c>
      <c r="K51" s="1911">
        <v>0</v>
      </c>
      <c r="L51" s="1911">
        <v>0</v>
      </c>
      <c r="M51" s="1911">
        <v>0</v>
      </c>
      <c r="N51" s="1911">
        <v>0</v>
      </c>
      <c r="O51" s="1369"/>
      <c r="P51" s="1911">
        <f>M51</f>
        <v>0</v>
      </c>
      <c r="Q51" s="1911">
        <f>N51</f>
        <v>0</v>
      </c>
      <c r="R51" s="1911">
        <v>0</v>
      </c>
      <c r="S51" s="1911">
        <v>0</v>
      </c>
      <c r="T51" s="1911">
        <v>0</v>
      </c>
      <c r="U51" s="1911">
        <v>0</v>
      </c>
      <c r="V51" s="1911">
        <v>0</v>
      </c>
      <c r="W51" s="1911">
        <v>0</v>
      </c>
      <c r="X51" s="1791">
        <f>+V51</f>
        <v>0</v>
      </c>
      <c r="Y51" s="1791">
        <f>+W51</f>
        <v>0</v>
      </c>
      <c r="Z51" s="2893">
        <v>0</v>
      </c>
      <c r="AA51" s="2893">
        <v>0</v>
      </c>
      <c r="AB51" s="2893">
        <v>0</v>
      </c>
      <c r="AC51" s="2893">
        <v>0</v>
      </c>
      <c r="AD51" s="2893">
        <v>0</v>
      </c>
      <c r="AE51" s="2893">
        <v>0</v>
      </c>
      <c r="AF51" s="2893">
        <v>0</v>
      </c>
      <c r="AG51" s="1911">
        <v>0</v>
      </c>
      <c r="AH51" s="1911">
        <v>0</v>
      </c>
      <c r="AI51" s="1911">
        <v>0</v>
      </c>
      <c r="AJ51" s="1911">
        <v>0</v>
      </c>
      <c r="AK51" s="1911">
        <v>0</v>
      </c>
      <c r="AL51" s="1911">
        <v>0</v>
      </c>
      <c r="AM51" s="1911">
        <v>0</v>
      </c>
      <c r="AN51" s="1911">
        <v>0</v>
      </c>
      <c r="AO51" s="1908"/>
      <c r="AP51" s="1908"/>
      <c r="AQ51" s="1908"/>
      <c r="AR51" s="1908"/>
      <c r="AS51" s="1908"/>
      <c r="AT51" s="2906"/>
      <c r="AU51" s="2862" t="str">
        <f t="shared" si="3"/>
        <v>Net Effect of Accounting Change</v>
      </c>
      <c r="AV51" s="2845"/>
      <c r="AW51" s="2845"/>
      <c r="AX51" s="2845"/>
      <c r="AY51" s="2845"/>
      <c r="AZ51" s="2900"/>
      <c r="BA51" s="2889" t="s">
        <v>737</v>
      </c>
      <c r="BB51" s="2889" t="s">
        <v>737</v>
      </c>
      <c r="BC51" s="2889" t="s">
        <v>737</v>
      </c>
      <c r="BD51" s="2889" t="s">
        <v>737</v>
      </c>
      <c r="BE51" s="2804"/>
      <c r="BF51" s="2893">
        <v>0</v>
      </c>
      <c r="BG51" s="2893">
        <f>$L51/4</f>
        <v>0</v>
      </c>
      <c r="BH51" s="2893">
        <f>$L51/4</f>
        <v>0</v>
      </c>
      <c r="BI51" s="2893">
        <f>$L51/4</f>
        <v>0</v>
      </c>
      <c r="BJ51" s="2901">
        <f>L51-SUM(BF51:BI51)</f>
        <v>0</v>
      </c>
      <c r="BK51" s="2893">
        <f>M51/4</f>
        <v>0</v>
      </c>
      <c r="BL51" s="2893">
        <f>BK51</f>
        <v>0</v>
      </c>
      <c r="BM51" s="2893">
        <f>BL51</f>
        <v>0</v>
      </c>
      <c r="BN51" s="2893">
        <f>BM51</f>
        <v>0</v>
      </c>
      <c r="BO51" s="2902"/>
      <c r="BP51" s="2893">
        <f>U51/4</f>
        <v>0</v>
      </c>
      <c r="BQ51" s="2893">
        <f>BP51</f>
        <v>0</v>
      </c>
      <c r="BR51" s="2893">
        <f>BQ51</f>
        <v>0</v>
      </c>
      <c r="BS51" s="2893">
        <f>BR51</f>
        <v>0</v>
      </c>
      <c r="BT51" s="2902">
        <f>N51-SUM(BP51:BS51)</f>
        <v>0</v>
      </c>
      <c r="BU51" s="2893">
        <f>AC51/4</f>
        <v>0</v>
      </c>
      <c r="BV51" s="2893">
        <f>BU51</f>
        <v>0</v>
      </c>
      <c r="BW51" s="2893">
        <f>BV51</f>
        <v>0</v>
      </c>
      <c r="BX51" s="2893">
        <f>BW51</f>
        <v>0</v>
      </c>
      <c r="BY51" s="2842">
        <f>R51-SUM(BU51:BX51)</f>
        <v>0</v>
      </c>
      <c r="BZ51" s="2893">
        <f>BY51</f>
        <v>0</v>
      </c>
      <c r="CA51" s="2893">
        <f>BZ51</f>
        <v>0</v>
      </c>
      <c r="CB51" s="2893">
        <f>CA51</f>
        <v>0</v>
      </c>
      <c r="CC51" s="2893">
        <f>CB51</f>
        <v>0</v>
      </c>
      <c r="CD51" s="2842">
        <f>S51-SUM(BZ51:CC51)</f>
        <v>0</v>
      </c>
      <c r="CE51" s="2893">
        <f>CD51</f>
        <v>0</v>
      </c>
      <c r="CF51" s="2893">
        <f>CE51</f>
        <v>0</v>
      </c>
      <c r="CG51" s="2893">
        <f>CF51</f>
        <v>0</v>
      </c>
      <c r="CH51" s="2893">
        <f>CG51</f>
        <v>0</v>
      </c>
      <c r="CI51" s="2842">
        <f>T51-SUM(CE51:CH51)</f>
        <v>0</v>
      </c>
      <c r="CJ51" s="2893">
        <f>CI51</f>
        <v>0</v>
      </c>
      <c r="CK51" s="2893">
        <f>CJ51</f>
        <v>0</v>
      </c>
      <c r="CL51" s="2893">
        <f>CK51</f>
        <v>0</v>
      </c>
      <c r="CM51" s="2893">
        <f>CL51</f>
        <v>0</v>
      </c>
      <c r="CN51" s="2842"/>
      <c r="CO51" s="2893">
        <f>CN51</f>
        <v>0</v>
      </c>
      <c r="CP51" s="2893">
        <v>0</v>
      </c>
      <c r="CQ51" s="2893">
        <f>CP51</f>
        <v>0</v>
      </c>
      <c r="CR51" s="2893">
        <f>CQ51</f>
        <v>0</v>
      </c>
      <c r="CS51" s="2842"/>
      <c r="CT51" s="2893">
        <v>0</v>
      </c>
      <c r="CU51" s="2893">
        <f>CT51</f>
        <v>0</v>
      </c>
      <c r="CV51" s="2893">
        <f>CU51</f>
        <v>0</v>
      </c>
      <c r="CW51" s="2893">
        <f>CV51</f>
        <v>0</v>
      </c>
      <c r="CX51" s="2842"/>
      <c r="CY51" s="2861">
        <v>0</v>
      </c>
      <c r="CZ51" s="2861">
        <v>0</v>
      </c>
      <c r="DA51" s="2861">
        <v>0</v>
      </c>
      <c r="DB51" s="2861">
        <v>0</v>
      </c>
      <c r="DC51" s="2842"/>
      <c r="DD51" s="2861">
        <v>0</v>
      </c>
      <c r="DE51" s="2861">
        <v>0</v>
      </c>
      <c r="DF51" s="2861">
        <v>0</v>
      </c>
      <c r="DG51" s="2861">
        <v>0</v>
      </c>
      <c r="DH51" s="2842">
        <f t="shared" si="84"/>
        <v>0</v>
      </c>
      <c r="DI51" s="2861">
        <v>0</v>
      </c>
      <c r="DJ51" s="2861">
        <v>0</v>
      </c>
      <c r="DK51" s="2861">
        <v>0</v>
      </c>
      <c r="DL51" s="2861">
        <v>0</v>
      </c>
      <c r="DM51" s="2842">
        <f t="shared" si="7"/>
        <v>0</v>
      </c>
      <c r="DN51" s="2861">
        <v>0</v>
      </c>
      <c r="DO51" s="2861">
        <v>0</v>
      </c>
      <c r="DP51" s="2861">
        <v>0</v>
      </c>
      <c r="DQ51" s="2861">
        <v>0</v>
      </c>
      <c r="DR51" s="2026">
        <f t="shared" si="90"/>
        <v>0</v>
      </c>
    </row>
    <row r="52" spans="1:122">
      <c r="A52" s="1494" t="s">
        <v>1021</v>
      </c>
      <c r="B52" s="1105"/>
      <c r="C52" s="1105"/>
      <c r="D52" s="1105"/>
      <c r="E52" s="1105"/>
      <c r="F52" s="1105"/>
      <c r="G52" s="1105"/>
      <c r="H52" s="1105">
        <f t="shared" ref="H52:S52" si="91">H50+H51</f>
        <v>1087.9999999999991</v>
      </c>
      <c r="I52" s="1654">
        <f t="shared" si="91"/>
        <v>1416.9000000000005</v>
      </c>
      <c r="J52" s="1654">
        <f t="shared" si="91"/>
        <v>-17462.199999999997</v>
      </c>
      <c r="K52" s="1654">
        <f t="shared" si="91"/>
        <v>-7089.0999999999995</v>
      </c>
      <c r="L52" s="1654">
        <f t="shared" si="91"/>
        <v>1660.5</v>
      </c>
      <c r="M52" s="1654">
        <f t="shared" si="91"/>
        <v>1250.3999999999999</v>
      </c>
      <c r="N52" s="1654">
        <f t="shared" si="91"/>
        <v>-11673.400000000003</v>
      </c>
      <c r="O52" s="1369"/>
      <c r="P52" s="1654">
        <f t="shared" si="91"/>
        <v>1271.389625</v>
      </c>
      <c r="Q52" s="1654">
        <f t="shared" si="91"/>
        <v>-11548.512251040003</v>
      </c>
      <c r="R52" s="1654">
        <f t="shared" si="91"/>
        <v>226.50000000000034</v>
      </c>
      <c r="S52" s="1654">
        <f t="shared" si="91"/>
        <v>724.20000000000016</v>
      </c>
      <c r="T52" s="1654">
        <f t="shared" ref="T52:AH52" si="92">T50+T51</f>
        <v>1305.0000000000005</v>
      </c>
      <c r="U52" s="1654">
        <f t="shared" si="92"/>
        <v>1573.9999999999995</v>
      </c>
      <c r="V52" s="1654">
        <f t="shared" si="92"/>
        <v>1879</v>
      </c>
      <c r="W52" s="1654">
        <f t="shared" si="92"/>
        <v>2959</v>
      </c>
      <c r="X52" s="1654">
        <f t="shared" si="92"/>
        <v>1738</v>
      </c>
      <c r="Y52" s="1654">
        <f t="shared" si="92"/>
        <v>2959</v>
      </c>
      <c r="Z52" s="2801">
        <f>Z50+Z51</f>
        <v>1413</v>
      </c>
      <c r="AA52" s="2801">
        <f ca="1">AA50+AA51</f>
        <v>1261</v>
      </c>
      <c r="AB52" s="2801">
        <f ca="1">AB50+AB51</f>
        <v>1261</v>
      </c>
      <c r="AC52" s="2801">
        <f ca="1">AC50+AC51</f>
        <v>850.48145379200957</v>
      </c>
      <c r="AD52" s="2801">
        <f t="shared" ca="1" si="92"/>
        <v>1940.8189642968675</v>
      </c>
      <c r="AE52" s="2801">
        <f t="shared" ca="1" si="92"/>
        <v>2070.3245421209913</v>
      </c>
      <c r="AF52" s="2801">
        <f t="shared" ca="1" si="92"/>
        <v>2338.663237250717</v>
      </c>
      <c r="AG52" s="1654">
        <f t="shared" ca="1" si="92"/>
        <v>2433.8925616399433</v>
      </c>
      <c r="AH52" s="1654">
        <f t="shared" ca="1" si="92"/>
        <v>2634.0568392057412</v>
      </c>
      <c r="AI52" s="1654">
        <f t="shared" ref="AI52:AN52" ca="1" si="93">AI50+AI51</f>
        <v>2518.3795912014566</v>
      </c>
      <c r="AJ52" s="1654">
        <f t="shared" ca="1" si="93"/>
        <v>2611.6538272837283</v>
      </c>
      <c r="AK52" s="1654">
        <f t="shared" ca="1" si="93"/>
        <v>2627.5599441698942</v>
      </c>
      <c r="AL52" s="1654">
        <f t="shared" ca="1" si="93"/>
        <v>2603.4168520751291</v>
      </c>
      <c r="AM52" s="1654">
        <f t="shared" ca="1" si="93"/>
        <v>2578.5830793826849</v>
      </c>
      <c r="AN52" s="1654">
        <f t="shared" ca="1" si="93"/>
        <v>2732.8423054189966</v>
      </c>
      <c r="AO52" s="1654"/>
      <c r="AP52" s="1654"/>
      <c r="AQ52" s="1654"/>
      <c r="AR52" s="1654"/>
      <c r="AS52" s="1654"/>
      <c r="AT52" s="2804"/>
      <c r="AU52" s="2894" t="str">
        <f t="shared" si="3"/>
        <v>Reported Net Income</v>
      </c>
      <c r="AV52" s="2845"/>
      <c r="AW52" s="2845"/>
      <c r="AX52" s="2845"/>
      <c r="AY52" s="2845"/>
      <c r="AZ52" s="2900"/>
      <c r="BA52" s="2889" t="s">
        <v>737</v>
      </c>
      <c r="BB52" s="2889" t="s">
        <v>737</v>
      </c>
      <c r="BC52" s="2889" t="s">
        <v>737</v>
      </c>
      <c r="BD52" s="2889" t="s">
        <v>737</v>
      </c>
      <c r="BE52" s="2804"/>
      <c r="BF52" s="2801">
        <f>BF50+BF51</f>
        <v>235.39999999999986</v>
      </c>
      <c r="BG52" s="2801">
        <f>BG50+BG51</f>
        <v>763.49999999999989</v>
      </c>
      <c r="BH52" s="2801">
        <f>BH50+BH51</f>
        <v>296.49999999999994</v>
      </c>
      <c r="BI52" s="2801">
        <f>BI50+BI51</f>
        <v>365.1</v>
      </c>
      <c r="BJ52" s="2901">
        <f>L52-SUM(BF52:BI52)</f>
        <v>0</v>
      </c>
      <c r="BK52" s="2801">
        <f>BK50+BK51</f>
        <v>213.35</v>
      </c>
      <c r="BL52" s="2801">
        <f>BL50+BL51</f>
        <v>398.35000000000008</v>
      </c>
      <c r="BM52" s="2801">
        <f>BM50+BM51</f>
        <v>339.45000000000027</v>
      </c>
      <c r="BN52" s="2801">
        <f>BN50+BN51</f>
        <v>286.85000000000019</v>
      </c>
      <c r="BO52" s="2902"/>
      <c r="BP52" s="2801">
        <f>BP50+BP51</f>
        <v>259.07924972625011</v>
      </c>
      <c r="BQ52" s="2801">
        <f>BQ50+BQ51</f>
        <v>411.79473068000004</v>
      </c>
      <c r="BR52" s="2801">
        <f>BR50+BR51</f>
        <v>-12458.831023132063</v>
      </c>
      <c r="BS52" s="2801">
        <f>BS50+BS51</f>
        <v>114.55704272581245</v>
      </c>
      <c r="BT52" s="2902">
        <f>N52-SUM(BP52:BS52)</f>
        <v>0</v>
      </c>
      <c r="BU52" s="2801">
        <f>BU50+BU51</f>
        <v>-38.861466858300638</v>
      </c>
      <c r="BV52" s="2801">
        <f>BV50+BV51</f>
        <v>21.310933524868403</v>
      </c>
      <c r="BW52" s="2801">
        <f>BW50+BW51</f>
        <v>205.12739985984584</v>
      </c>
      <c r="BX52" s="2801">
        <f>BX50+BX51</f>
        <v>38.92313347358678</v>
      </c>
      <c r="BY52" s="2842">
        <f>R52-SUM(BU52:BX52)</f>
        <v>0</v>
      </c>
      <c r="BZ52" s="2801">
        <f>BZ50+BZ51</f>
        <v>-26.199999999999946</v>
      </c>
      <c r="CA52" s="2801">
        <f>CA50+CA51</f>
        <v>150.09999999999985</v>
      </c>
      <c r="CB52" s="2801">
        <f>CB50+CB51</f>
        <v>317.30000000000007</v>
      </c>
      <c r="CC52" s="2801">
        <f>CC50+CC51</f>
        <v>283.00000000000034</v>
      </c>
      <c r="CD52" s="2842">
        <f>S52-SUM(BZ52:CC52)</f>
        <v>0</v>
      </c>
      <c r="CE52" s="2801">
        <f>CE50+CE51</f>
        <v>202</v>
      </c>
      <c r="CF52" s="2801">
        <f>CF50+CF51</f>
        <v>395</v>
      </c>
      <c r="CG52" s="2801">
        <f>CG50+CG51</f>
        <v>338</v>
      </c>
      <c r="CH52" s="2801">
        <f>CH50+CH51</f>
        <v>370</v>
      </c>
      <c r="CI52" s="2842">
        <f>T52-SUM(CE52:CH52)</f>
        <v>0</v>
      </c>
      <c r="CJ52" s="2801">
        <f>CJ50+CJ51</f>
        <v>363</v>
      </c>
      <c r="CK52" s="2801">
        <f>CK50+CK51</f>
        <v>426.99999999999989</v>
      </c>
      <c r="CL52" s="2801">
        <f>CL50+CL51</f>
        <v>391</v>
      </c>
      <c r="CM52" s="2801">
        <f>CM50+CM51</f>
        <v>393</v>
      </c>
      <c r="CN52" s="2842">
        <f>U52-SUM(CJ52:CM52)</f>
        <v>0</v>
      </c>
      <c r="CO52" s="2801">
        <f>CO50+CO51</f>
        <v>443</v>
      </c>
      <c r="CP52" s="2801">
        <f>CP50+CP51</f>
        <v>472</v>
      </c>
      <c r="CQ52" s="2801">
        <f>CQ50+CQ51</f>
        <v>494.00000000000011</v>
      </c>
      <c r="CR52" s="2801">
        <f>CR50+CR51</f>
        <v>470</v>
      </c>
      <c r="CS52" s="2842">
        <f>V52-SUM(CO52:CR52)</f>
        <v>0</v>
      </c>
      <c r="CT52" s="2841">
        <f>CT50+CT51</f>
        <v>468</v>
      </c>
      <c r="CU52" s="2841">
        <f>CU50+CU51</f>
        <v>439</v>
      </c>
      <c r="CV52" s="2841">
        <f>CV50+CV51</f>
        <v>1639</v>
      </c>
      <c r="CW52" s="2801">
        <f>CW50+CW51</f>
        <v>413</v>
      </c>
      <c r="CX52" s="2842">
        <f>$W52-SUM(CT52:CW52)</f>
        <v>0</v>
      </c>
      <c r="CY52" s="2841">
        <f>CY50+CY51</f>
        <v>394</v>
      </c>
      <c r="CZ52" s="2841">
        <f>CZ50+CZ51</f>
        <v>332</v>
      </c>
      <c r="DA52" s="2841">
        <f>DA50+DA51</f>
        <v>426</v>
      </c>
      <c r="DB52" s="2801">
        <f>DB50+DB51</f>
        <v>261</v>
      </c>
      <c r="DC52" s="2842">
        <f>$Z52-SUM(CY52:DB52)</f>
        <v>0</v>
      </c>
      <c r="DD52" s="2801">
        <f ca="1">DD50+DD51</f>
        <v>473</v>
      </c>
      <c r="DE52" s="2801">
        <f ca="1">DE50+DE51</f>
        <v>423</v>
      </c>
      <c r="DF52" s="2801">
        <f ca="1">DF50+DF51</f>
        <v>478</v>
      </c>
      <c r="DG52" s="2801">
        <f ca="1">DG50+DG51</f>
        <v>-113</v>
      </c>
      <c r="DH52" s="2842">
        <f t="shared" ca="1" si="84"/>
        <v>0</v>
      </c>
      <c r="DI52" s="2801">
        <f>DI50+DI51</f>
        <v>-252</v>
      </c>
      <c r="DJ52" s="2801">
        <f>DJ50+DJ51</f>
        <v>58</v>
      </c>
      <c r="DK52" s="2801">
        <f>DK50+DK51</f>
        <v>592</v>
      </c>
      <c r="DL52" s="2801">
        <f ca="1">DL50+DL51</f>
        <v>452.48145379200975</v>
      </c>
      <c r="DM52" s="2842">
        <f t="shared" ca="1" si="7"/>
        <v>0</v>
      </c>
      <c r="DN52" s="2801">
        <f ca="1">DN50+DN51</f>
        <v>457.40599465910185</v>
      </c>
      <c r="DO52" s="2801">
        <f ca="1">DO50+DO51</f>
        <v>449.26964039042838</v>
      </c>
      <c r="DP52" s="2801">
        <f ca="1">DP50+DP51</f>
        <v>491.26297158096116</v>
      </c>
      <c r="DQ52" s="2801">
        <f ca="1">DQ50+DQ51</f>
        <v>542.88035766637654</v>
      </c>
      <c r="DR52" s="2026">
        <f t="shared" ca="1" si="90"/>
        <v>0</v>
      </c>
    </row>
    <row r="53" spans="1:122">
      <c r="A53" s="1494"/>
      <c r="B53" s="1494"/>
      <c r="C53" s="1494"/>
      <c r="D53" s="1494"/>
      <c r="E53" s="1494"/>
      <c r="F53" s="1494"/>
      <c r="G53" s="1494"/>
      <c r="H53" s="1494"/>
      <c r="I53" s="1494"/>
      <c r="J53" s="1494"/>
      <c r="K53" s="1494"/>
      <c r="L53" s="1494"/>
      <c r="M53" s="1494"/>
      <c r="N53" s="1494"/>
      <c r="O53" s="1494"/>
      <c r="P53" s="1494"/>
      <c r="Q53" s="1494"/>
      <c r="R53" s="1494"/>
      <c r="S53" s="1494"/>
      <c r="T53" s="1494"/>
      <c r="U53" s="1494"/>
      <c r="V53" s="1494"/>
      <c r="W53" s="1494"/>
      <c r="X53" s="1494"/>
      <c r="Y53" s="1494"/>
      <c r="Z53" s="2894"/>
      <c r="AA53" s="2894"/>
      <c r="AB53" s="2894"/>
      <c r="AC53" s="2894"/>
      <c r="AD53" s="2894"/>
      <c r="AE53" s="2894"/>
      <c r="AF53" s="2894"/>
      <c r="AG53" s="2894"/>
      <c r="AH53" s="2894"/>
      <c r="AI53" s="2894"/>
      <c r="AJ53" s="2894"/>
      <c r="AK53" s="2894"/>
      <c r="AL53" s="2894"/>
      <c r="AM53" s="2894"/>
      <c r="AN53" s="2894"/>
      <c r="AO53" s="1494"/>
      <c r="AP53" s="1907"/>
      <c r="AQ53" s="1907"/>
      <c r="AR53" s="1907"/>
      <c r="AS53" s="1907"/>
      <c r="AT53" s="1687"/>
      <c r="AU53" s="2894" t="str">
        <f t="shared" si="3"/>
        <v/>
      </c>
      <c r="AV53" s="2802"/>
      <c r="AW53" s="2802"/>
      <c r="AX53" s="2802"/>
      <c r="AY53" s="2802"/>
      <c r="AZ53" s="2913"/>
      <c r="BA53" s="2802"/>
      <c r="BB53" s="2914"/>
      <c r="BC53" s="2914"/>
      <c r="BD53" s="2914"/>
      <c r="BE53" s="2914"/>
      <c r="BF53" s="2882"/>
      <c r="BG53" s="2882"/>
      <c r="BH53" s="2882"/>
      <c r="BI53" s="2882"/>
      <c r="BJ53" s="2913"/>
      <c r="BK53" s="2882"/>
      <c r="BL53" s="2882"/>
      <c r="BM53" s="2882"/>
      <c r="BN53" s="2882"/>
      <c r="BO53" s="2862"/>
      <c r="BP53" s="2882"/>
      <c r="BQ53" s="2882"/>
      <c r="BR53" s="2882"/>
      <c r="BS53" s="2882"/>
      <c r="BT53" s="2862"/>
      <c r="BU53" s="2862"/>
      <c r="BV53" s="2862"/>
      <c r="BW53" s="2862"/>
      <c r="BX53" s="2862"/>
      <c r="BY53" s="2862"/>
      <c r="BZ53" s="2862"/>
      <c r="CA53" s="2862"/>
      <c r="CB53" s="2862"/>
      <c r="CC53" s="2862"/>
      <c r="CD53" s="2862"/>
      <c r="CE53" s="2862"/>
      <c r="CF53" s="2862"/>
      <c r="CG53" s="2862"/>
      <c r="CH53" s="2862"/>
      <c r="CI53" s="2862"/>
      <c r="CJ53" s="2862"/>
      <c r="CK53" s="2862"/>
      <c r="CL53" s="2862"/>
      <c r="CM53" s="2862"/>
      <c r="CN53" s="2862"/>
      <c r="CO53" s="2862"/>
      <c r="CP53" s="2862"/>
      <c r="CQ53" s="2862"/>
      <c r="CR53" s="2862"/>
      <c r="CS53" s="2862"/>
      <c r="CT53" s="2867"/>
      <c r="CU53" s="2867"/>
      <c r="CV53" s="2867"/>
      <c r="CW53" s="2862"/>
      <c r="CX53" s="2842">
        <f>$W53-SUM(CT53:CW53)</f>
        <v>0</v>
      </c>
      <c r="CY53" s="2867"/>
      <c r="CZ53" s="2867"/>
      <c r="DA53" s="2867"/>
      <c r="DB53" s="2862"/>
      <c r="DC53" s="2862"/>
      <c r="DD53" s="2862"/>
      <c r="DE53" s="2862"/>
      <c r="DF53" s="2862"/>
      <c r="DG53" s="2862"/>
      <c r="DH53" s="2862"/>
      <c r="DI53" s="2862"/>
      <c r="DJ53" s="2862"/>
      <c r="DK53" s="2862"/>
      <c r="DL53" s="2862"/>
      <c r="DM53" s="2842"/>
      <c r="DN53" s="2842"/>
      <c r="DO53" s="2842"/>
      <c r="DP53" s="2842"/>
      <c r="DQ53" s="2842"/>
      <c r="DR53" s="2842"/>
    </row>
    <row r="54" spans="1:122">
      <c r="A54" s="1108" t="s">
        <v>518</v>
      </c>
      <c r="B54" s="1525"/>
      <c r="C54" s="1525"/>
      <c r="D54" s="1525"/>
      <c r="E54" s="1525"/>
      <c r="F54" s="1525"/>
      <c r="G54" s="1525"/>
      <c r="H54" s="1525">
        <f>H117</f>
        <v>876.4</v>
      </c>
      <c r="I54" s="1525">
        <f t="shared" ref="I54:U54" si="94">I117</f>
        <v>872</v>
      </c>
      <c r="J54" s="1525">
        <f t="shared" si="94"/>
        <v>857.2</v>
      </c>
      <c r="K54" s="1525">
        <f>K117</f>
        <v>789.7</v>
      </c>
      <c r="L54" s="1525">
        <f t="shared" si="94"/>
        <v>765.2</v>
      </c>
      <c r="M54" s="1525">
        <f t="shared" si="94"/>
        <v>713.8</v>
      </c>
      <c r="N54" s="1525">
        <f>N117</f>
        <v>669.8</v>
      </c>
      <c r="O54" s="1369"/>
      <c r="P54" s="1525">
        <f>M54</f>
        <v>713.8</v>
      </c>
      <c r="Q54" s="1525">
        <f>N54</f>
        <v>669.8</v>
      </c>
      <c r="R54" s="1525">
        <f t="shared" si="94"/>
        <v>673.6</v>
      </c>
      <c r="S54" s="1525">
        <f t="shared" si="94"/>
        <v>678.7</v>
      </c>
      <c r="T54" s="1525">
        <f t="shared" si="94"/>
        <v>664</v>
      </c>
      <c r="U54" s="1525">
        <f t="shared" si="94"/>
        <v>642</v>
      </c>
      <c r="V54" s="1525">
        <f>V117</f>
        <v>599</v>
      </c>
      <c r="W54" s="1525">
        <f t="shared" ref="W54:AF54" si="95">W117</f>
        <v>550</v>
      </c>
      <c r="X54" s="1912">
        <v>608</v>
      </c>
      <c r="Y54" s="1912">
        <v>550</v>
      </c>
      <c r="Z54" s="2845">
        <f>Z117</f>
        <v>484</v>
      </c>
      <c r="AA54" s="2845">
        <f t="shared" si="95"/>
        <v>444</v>
      </c>
      <c r="AB54" s="2809">
        <f>AA54</f>
        <v>444</v>
      </c>
      <c r="AC54" s="2845">
        <f t="shared" si="95"/>
        <v>402.06640260015325</v>
      </c>
      <c r="AD54" s="2845">
        <f t="shared" si="95"/>
        <v>376.87292592802828</v>
      </c>
      <c r="AE54" s="2845">
        <f t="shared" si="95"/>
        <v>361.54612373244822</v>
      </c>
      <c r="AF54" s="2845">
        <f t="shared" si="95"/>
        <v>342.81863982015966</v>
      </c>
      <c r="AG54" s="1525">
        <f t="shared" ref="AG54:AL54" si="96">AG117</f>
        <v>325.28746113442537</v>
      </c>
      <c r="AH54" s="1525">
        <f t="shared" si="96"/>
        <v>308.98729303451341</v>
      </c>
      <c r="AI54" s="1525">
        <f t="shared" si="96"/>
        <v>293.85087663162511</v>
      </c>
      <c r="AJ54" s="1525">
        <f t="shared" si="96"/>
        <v>279.81529571934982</v>
      </c>
      <c r="AK54" s="1525">
        <f t="shared" si="96"/>
        <v>266.82170515353573</v>
      </c>
      <c r="AL54" s="1525">
        <f t="shared" si="96"/>
        <v>254.81507779698256</v>
      </c>
      <c r="AM54" s="1525">
        <f>AM117</f>
        <v>243.74396868847958</v>
      </c>
      <c r="AN54" s="1525">
        <f>AN117</f>
        <v>233.56029520097843</v>
      </c>
      <c r="AO54" s="1525"/>
      <c r="AP54" s="1525"/>
      <c r="AQ54" s="1525"/>
      <c r="AR54" s="1525"/>
      <c r="AS54" s="1525"/>
      <c r="AT54" s="1525"/>
      <c r="AU54" s="1108" t="str">
        <f t="shared" si="3"/>
        <v>Average Basic Shares Outstanding</v>
      </c>
      <c r="AV54" s="1110"/>
      <c r="AW54" s="1110"/>
      <c r="AX54" s="1110"/>
      <c r="AY54" s="1110"/>
      <c r="AZ54" s="2122"/>
      <c r="BA54" s="1894" t="s">
        <v>737</v>
      </c>
      <c r="BB54" s="1894" t="s">
        <v>737</v>
      </c>
      <c r="BC54" s="1894" t="s">
        <v>737</v>
      </c>
      <c r="BD54" s="1894" t="s">
        <v>737</v>
      </c>
      <c r="BE54" s="1727"/>
      <c r="BF54" s="1525">
        <f>BF117</f>
        <v>762.8</v>
      </c>
      <c r="BG54" s="1525">
        <f>BG117</f>
        <v>764.6</v>
      </c>
      <c r="BH54" s="1525">
        <f>BH117</f>
        <v>766</v>
      </c>
      <c r="BI54" s="1525">
        <f>BI117</f>
        <v>767.4</v>
      </c>
      <c r="BJ54" s="2118"/>
      <c r="BK54" s="1525">
        <f>BK117</f>
        <v>756.7</v>
      </c>
      <c r="BL54" s="1525">
        <f>BL117</f>
        <v>720.8</v>
      </c>
      <c r="BM54" s="1525">
        <f>BM117</f>
        <v>707.1</v>
      </c>
      <c r="BN54" s="1525">
        <f>BN117</f>
        <v>671.7</v>
      </c>
      <c r="BO54" s="1108"/>
      <c r="BP54" s="1525">
        <f>BP117</f>
        <v>667.9</v>
      </c>
      <c r="BQ54" s="1525">
        <f>BQ117</f>
        <v>669.4</v>
      </c>
      <c r="BR54" s="1525">
        <f>BR117</f>
        <v>670.9</v>
      </c>
      <c r="BS54" s="1525">
        <f>BS117</f>
        <v>670.9</v>
      </c>
      <c r="BT54" s="1108"/>
      <c r="BU54" s="1525">
        <f>BU117</f>
        <v>671.5</v>
      </c>
      <c r="BV54" s="1525">
        <f>BV117</f>
        <v>673.4</v>
      </c>
      <c r="BW54" s="1525">
        <f>BW117</f>
        <v>674.8</v>
      </c>
      <c r="BX54" s="1525">
        <f>BX117</f>
        <v>678.8</v>
      </c>
      <c r="BY54" s="1108"/>
      <c r="BZ54" s="1525">
        <f>BZ117</f>
        <v>676.3</v>
      </c>
      <c r="CA54" s="1525">
        <f>CA117</f>
        <v>679.1</v>
      </c>
      <c r="CB54" s="1525">
        <f>CB117</f>
        <v>679.5</v>
      </c>
      <c r="CC54" s="1525">
        <f>CC117</f>
        <v>679.9</v>
      </c>
      <c r="CD54" s="1108"/>
      <c r="CE54" s="1525">
        <f>CE117</f>
        <v>674</v>
      </c>
      <c r="CF54" s="1525">
        <f>CF117</f>
        <v>669</v>
      </c>
      <c r="CG54" s="1525">
        <f>CG117</f>
        <v>659</v>
      </c>
      <c r="CH54" s="1525">
        <f>CH117</f>
        <v>653</v>
      </c>
      <c r="CI54" s="1108"/>
      <c r="CJ54" s="1525">
        <f>CJ117</f>
        <v>650</v>
      </c>
      <c r="CK54" s="1525">
        <f>CK117</f>
        <v>646</v>
      </c>
      <c r="CL54" s="1525">
        <f>CL117</f>
        <v>640</v>
      </c>
      <c r="CM54" s="1525">
        <f>CM117</f>
        <v>634</v>
      </c>
      <c r="CN54" s="1108"/>
      <c r="CO54" s="1525">
        <f>CO117</f>
        <v>621</v>
      </c>
      <c r="CP54" s="1525">
        <f>CP117</f>
        <v>609</v>
      </c>
      <c r="CQ54" s="1525">
        <f>CQ117</f>
        <v>603</v>
      </c>
      <c r="CR54" s="1525">
        <f>CR117</f>
        <v>599</v>
      </c>
      <c r="CS54" s="1108"/>
      <c r="CT54" s="1908">
        <v>585</v>
      </c>
      <c r="CU54" s="1908">
        <v>570</v>
      </c>
      <c r="CV54" s="1908">
        <v>531</v>
      </c>
      <c r="CW54" s="1908">
        <v>515</v>
      </c>
      <c r="CX54" s="2026"/>
      <c r="CY54" s="2123">
        <v>498</v>
      </c>
      <c r="CZ54" s="2123">
        <v>490</v>
      </c>
      <c r="DA54" s="2123">
        <v>480</v>
      </c>
      <c r="DB54" s="2123">
        <v>469</v>
      </c>
      <c r="DC54" s="2862"/>
      <c r="DD54" s="2868">
        <v>459</v>
      </c>
      <c r="DE54" s="2868">
        <v>451</v>
      </c>
      <c r="DF54" s="2868">
        <v>442</v>
      </c>
      <c r="DG54" s="2868">
        <v>424</v>
      </c>
      <c r="DH54" s="2842"/>
      <c r="DI54" s="2868">
        <v>410</v>
      </c>
      <c r="DJ54" s="2868">
        <v>405</v>
      </c>
      <c r="DK54" s="2868">
        <v>401</v>
      </c>
      <c r="DL54" s="2845">
        <f>DL117</f>
        <v>392.26561040061301</v>
      </c>
      <c r="DM54" s="2842"/>
      <c r="DN54" s="2845">
        <f t="shared" ref="DN54:DQ54" si="97">DN117</f>
        <v>381.3716484756427</v>
      </c>
      <c r="DO54" s="2845">
        <f t="shared" si="97"/>
        <v>378.25781083472145</v>
      </c>
      <c r="DP54" s="2845">
        <f t="shared" si="97"/>
        <v>375.31998362404795</v>
      </c>
      <c r="DQ54" s="2845">
        <f t="shared" si="97"/>
        <v>372.54226077770079</v>
      </c>
      <c r="DR54" s="2842"/>
    </row>
    <row r="55" spans="1:122">
      <c r="A55" s="1108" t="s">
        <v>1022</v>
      </c>
      <c r="B55" s="1661"/>
      <c r="C55" s="1661"/>
      <c r="D55" s="1661"/>
      <c r="E55" s="1661"/>
      <c r="F55" s="1661"/>
      <c r="G55" s="1661"/>
      <c r="H55" s="1661">
        <f t="shared" ref="H55:S55" si="98">H52/H54</f>
        <v>1.2414422638064802</v>
      </c>
      <c r="I55" s="1661">
        <f t="shared" si="98"/>
        <v>1.624885321100918</v>
      </c>
      <c r="J55" s="1661">
        <f t="shared" si="98"/>
        <v>-20.371208586094255</v>
      </c>
      <c r="K55" s="1661">
        <f t="shared" si="98"/>
        <v>-8.9769532733949582</v>
      </c>
      <c r="L55" s="1661">
        <f t="shared" si="98"/>
        <v>2.1700209095661265</v>
      </c>
      <c r="M55" s="1661">
        <f t="shared" si="98"/>
        <v>1.7517511908097505</v>
      </c>
      <c r="N55" s="1661">
        <f t="shared" si="98"/>
        <v>-17.428187518662295</v>
      </c>
      <c r="O55" s="1369"/>
      <c r="P55" s="1661">
        <f t="shared" si="98"/>
        <v>1.7811566615298404</v>
      </c>
      <c r="Q55" s="1661">
        <f t="shared" si="98"/>
        <v>-17.241732235055245</v>
      </c>
      <c r="R55" s="1661">
        <f t="shared" si="98"/>
        <v>0.33625296912114061</v>
      </c>
      <c r="S55" s="1661">
        <f t="shared" si="98"/>
        <v>1.0670399292765582</v>
      </c>
      <c r="T55" s="1661">
        <f t="shared" ref="T55:AH55" si="99">T52/T54</f>
        <v>1.9653614457831332</v>
      </c>
      <c r="U55" s="1661">
        <f t="shared" si="99"/>
        <v>2.4517133956386288</v>
      </c>
      <c r="V55" s="1661">
        <f t="shared" si="99"/>
        <v>3.1368948247078463</v>
      </c>
      <c r="W55" s="1661">
        <f t="shared" si="99"/>
        <v>5.38</v>
      </c>
      <c r="X55" s="1661">
        <f t="shared" si="99"/>
        <v>2.8585526315789473</v>
      </c>
      <c r="Y55" s="1661">
        <f t="shared" si="99"/>
        <v>5.38</v>
      </c>
      <c r="Z55" s="2869">
        <f>Z52/Z54</f>
        <v>2.919421487603306</v>
      </c>
      <c r="AA55" s="2869">
        <f t="shared" ca="1" si="99"/>
        <v>2.8400900900900901</v>
      </c>
      <c r="AB55" s="2869">
        <f t="shared" ca="1" si="99"/>
        <v>2.8400900900900901</v>
      </c>
      <c r="AC55" s="2869">
        <f t="shared" ca="1" si="99"/>
        <v>2.1152761043747192</v>
      </c>
      <c r="AD55" s="2869">
        <f t="shared" ca="1" si="99"/>
        <v>5.1497967372363256</v>
      </c>
      <c r="AE55" s="2869">
        <f t="shared" ca="1" si="99"/>
        <v>5.7263082252074575</v>
      </c>
      <c r="AF55" s="2869">
        <f t="shared" ca="1" si="99"/>
        <v>6.8218672079136766</v>
      </c>
      <c r="AG55" s="1661">
        <f t="shared" ca="1" si="99"/>
        <v>7.4822821425450972</v>
      </c>
      <c r="AH55" s="1661">
        <f t="shared" ca="1" si="99"/>
        <v>8.5248063547762829</v>
      </c>
      <c r="AI55" s="1661">
        <f t="shared" ref="AI55:AN55" ca="1" si="100">AI52/AI54</f>
        <v>8.570264006251465</v>
      </c>
      <c r="AJ55" s="1661">
        <f t="shared" ca="1" si="100"/>
        <v>9.3334920114702182</v>
      </c>
      <c r="AK55" s="1661">
        <f t="shared" ca="1" si="100"/>
        <v>9.8476244376668376</v>
      </c>
      <c r="AL55" s="1661">
        <f t="shared" ca="1" si="100"/>
        <v>10.216886985586211</v>
      </c>
      <c r="AM55" s="1661">
        <f t="shared" ca="1" si="100"/>
        <v>10.579064143647711</v>
      </c>
      <c r="AN55" s="1661">
        <f t="shared" ca="1" si="100"/>
        <v>11.700800014263503</v>
      </c>
      <c r="AO55" s="1661"/>
      <c r="AP55" s="1661"/>
      <c r="AQ55" s="1661"/>
      <c r="AR55" s="1661"/>
      <c r="AS55" s="1661"/>
      <c r="AT55" s="1661"/>
      <c r="AU55" s="1108" t="str">
        <f t="shared" si="3"/>
        <v>Reported Net Income per Avg. Basic Share</v>
      </c>
      <c r="AV55" s="1110"/>
      <c r="AW55" s="1110"/>
      <c r="AX55" s="1110"/>
      <c r="AY55" s="1110"/>
      <c r="AZ55" s="2122"/>
      <c r="BA55" s="1894" t="s">
        <v>737</v>
      </c>
      <c r="BB55" s="1894" t="s">
        <v>737</v>
      </c>
      <c r="BC55" s="1894" t="s">
        <v>737</v>
      </c>
      <c r="BD55" s="1894" t="s">
        <v>737</v>
      </c>
      <c r="BE55" s="1727"/>
      <c r="BF55" s="1661">
        <f>BF52/BF54</f>
        <v>0.30859989512323005</v>
      </c>
      <c r="BG55" s="1661">
        <f>BG52/BG54</f>
        <v>0.99856133926235924</v>
      </c>
      <c r="BH55" s="1661">
        <f>BH52/BH54</f>
        <v>0.3870757180156657</v>
      </c>
      <c r="BI55" s="1661">
        <f>BI52/BI54</f>
        <v>0.47576231430805321</v>
      </c>
      <c r="BJ55" s="2124" t="s">
        <v>337</v>
      </c>
      <c r="BK55" s="1661">
        <f>BK52/BK54</f>
        <v>0.28194793180917138</v>
      </c>
      <c r="BL55" s="1661">
        <f>BL52/BL54</f>
        <v>0.55264983351831309</v>
      </c>
      <c r="BM55" s="1661">
        <f>BM52/BM54</f>
        <v>0.48005939753924515</v>
      </c>
      <c r="BN55" s="1661">
        <f>BN52/BN54</f>
        <v>0.42705076671132974</v>
      </c>
      <c r="BO55" s="1108"/>
      <c r="BP55" s="1661">
        <f>BP52/BP54</f>
        <v>0.38790125726343783</v>
      </c>
      <c r="BQ55" s="1661">
        <f>BQ52/BQ54</f>
        <v>0.61516989943232758</v>
      </c>
      <c r="BR55" s="1661">
        <f>BR52/BR54</f>
        <v>-18.570324971131409</v>
      </c>
      <c r="BS55" s="1661">
        <f>BS52/BS54</f>
        <v>0.17075129337578246</v>
      </c>
      <c r="BT55" s="1108"/>
      <c r="BU55" s="1661">
        <f>BU52/BU54</f>
        <v>-5.7872623765153591E-2</v>
      </c>
      <c r="BV55" s="1661">
        <f>BV52/BV54</f>
        <v>3.1646767931197514E-2</v>
      </c>
      <c r="BW55" s="1661">
        <f>BW52/BW54</f>
        <v>0.30398251312958779</v>
      </c>
      <c r="BX55" s="1661">
        <f>BX52/BX54</f>
        <v>5.7341092329974634E-2</v>
      </c>
      <c r="BY55" s="1108"/>
      <c r="BZ55" s="1661">
        <f>BZ52/BZ54</f>
        <v>-3.8740204051456374E-2</v>
      </c>
      <c r="CA55" s="1661">
        <f>CA52/CA54</f>
        <v>0.22102783095273132</v>
      </c>
      <c r="CB55" s="1661">
        <f>CB52/CB54</f>
        <v>0.4669610007358353</v>
      </c>
      <c r="CC55" s="1661">
        <f>CC52/CC54</f>
        <v>0.41623768201206113</v>
      </c>
      <c r="CD55" s="1108"/>
      <c r="CE55" s="1661">
        <f>CE52/CE54</f>
        <v>0.29970326409495551</v>
      </c>
      <c r="CF55" s="1661">
        <f>CF52/CF54</f>
        <v>0.59043348281016439</v>
      </c>
      <c r="CG55" s="1661">
        <f>CG52/CG54</f>
        <v>0.51289833080424885</v>
      </c>
      <c r="CH55" s="1661">
        <f>CH52/CH54</f>
        <v>0.56661562021439515</v>
      </c>
      <c r="CI55" s="1108"/>
      <c r="CJ55" s="1661">
        <f>CJ52/CJ54</f>
        <v>0.55846153846153845</v>
      </c>
      <c r="CK55" s="1661">
        <f>CK52/CK54</f>
        <v>0.66099071207430327</v>
      </c>
      <c r="CL55" s="1661">
        <f>CL52/CL54</f>
        <v>0.61093750000000002</v>
      </c>
      <c r="CM55" s="1661">
        <f>CM52/CM54</f>
        <v>0.61987381703470035</v>
      </c>
      <c r="CN55" s="1108"/>
      <c r="CO55" s="1661">
        <f>CO52/CO54</f>
        <v>0.71336553945249592</v>
      </c>
      <c r="CP55" s="1661">
        <f>CP52/CP54</f>
        <v>0.77504105090311992</v>
      </c>
      <c r="CQ55" s="1661">
        <f>CQ52/CQ54</f>
        <v>0.81923714759535671</v>
      </c>
      <c r="CR55" s="1661">
        <f>CR52/CR54</f>
        <v>0.78464106844741233</v>
      </c>
      <c r="CS55" s="1108"/>
      <c r="CT55" s="1606">
        <f>CT52/CT54</f>
        <v>0.8</v>
      </c>
      <c r="CU55" s="1606">
        <f>CU52/CU54</f>
        <v>0.77017543859649118</v>
      </c>
      <c r="CV55" s="1606">
        <f>CV52/CV54</f>
        <v>3.0866290018832392</v>
      </c>
      <c r="CW55" s="1606">
        <f>CW52/CW54</f>
        <v>0.80194174757281556</v>
      </c>
      <c r="CX55" s="2026"/>
      <c r="CY55" s="1606">
        <f>CY52/CY54</f>
        <v>0.79116465863453811</v>
      </c>
      <c r="CZ55" s="1606">
        <f>CZ52/CZ54</f>
        <v>0.67755102040816328</v>
      </c>
      <c r="DA55" s="1606">
        <f>DA52/DA54</f>
        <v>0.88749999999999996</v>
      </c>
      <c r="DB55" s="1606">
        <f>DB52/DB54</f>
        <v>0.55650319829424311</v>
      </c>
      <c r="DC55" s="2870"/>
      <c r="DD55" s="2869">
        <f ca="1">DD52/DD54</f>
        <v>1.0305010893246187</v>
      </c>
      <c r="DE55" s="2869">
        <f ca="1">DE52/DE54</f>
        <v>0.93791574279379153</v>
      </c>
      <c r="DF55" s="2869">
        <f ca="1">DF52/DF54</f>
        <v>1.0814479638009049</v>
      </c>
      <c r="DG55" s="2869">
        <f ca="1">DG52/DG54</f>
        <v>-0.26650943396226418</v>
      </c>
      <c r="DH55" s="2870"/>
      <c r="DI55" s="2869">
        <f>DI52/DI54</f>
        <v>-0.61463414634146341</v>
      </c>
      <c r="DJ55" s="2869">
        <f>DJ52/DJ54</f>
        <v>0.14320987654320988</v>
      </c>
      <c r="DK55" s="2869">
        <f>DK52/DK54</f>
        <v>1.4763092269326683</v>
      </c>
      <c r="DL55" s="2869">
        <f ca="1">DL52/DL54</f>
        <v>1.1535078319251577</v>
      </c>
      <c r="DM55" s="2842"/>
      <c r="DN55" s="2869">
        <f ca="1">DN52/DN54</f>
        <v>1.1993707358356904</v>
      </c>
      <c r="DO55" s="2869">
        <f t="shared" ref="DO55:DQ55" ca="1" si="101">DO52/DO54</f>
        <v>1.1877339410361452</v>
      </c>
      <c r="DP55" s="2869">
        <f t="shared" ca="1" si="101"/>
        <v>1.3089177049337493</v>
      </c>
      <c r="DQ55" s="2869">
        <f t="shared" ca="1" si="101"/>
        <v>1.4572316078532577</v>
      </c>
      <c r="DR55" s="2842"/>
    </row>
    <row r="56" spans="1:122">
      <c r="A56" s="1108"/>
      <c r="B56" s="1108"/>
      <c r="C56" s="1108"/>
      <c r="D56" s="1108"/>
      <c r="E56" s="1108"/>
      <c r="F56" s="1108"/>
      <c r="G56" s="1108"/>
      <c r="H56" s="1108"/>
      <c r="I56" s="1108"/>
      <c r="J56" s="1108"/>
      <c r="K56" s="1108"/>
      <c r="L56" s="1108"/>
      <c r="M56" s="1108"/>
      <c r="N56" s="1108"/>
      <c r="O56" s="1108"/>
      <c r="P56" s="1108"/>
      <c r="Q56" s="1108"/>
      <c r="R56" s="1108"/>
      <c r="S56" s="1108"/>
      <c r="T56" s="1108"/>
      <c r="U56" s="1108"/>
      <c r="V56" s="1108"/>
      <c r="W56" s="1108"/>
      <c r="X56" s="1108"/>
      <c r="Y56" s="1108"/>
      <c r="Z56" s="2862"/>
      <c r="AA56" s="2862"/>
      <c r="AB56" s="2862"/>
      <c r="AC56" s="2862"/>
      <c r="AD56" s="2862"/>
      <c r="AE56" s="2862"/>
      <c r="AF56" s="2862"/>
      <c r="AG56" s="2862"/>
      <c r="AH56" s="2862"/>
      <c r="AI56" s="2862"/>
      <c r="AJ56" s="2862"/>
      <c r="AK56" s="2862"/>
      <c r="AL56" s="2862"/>
      <c r="AM56" s="2862"/>
      <c r="AN56" s="1108"/>
      <c r="AO56" s="1907"/>
      <c r="AP56" s="1907"/>
      <c r="AQ56" s="1907"/>
      <c r="AR56" s="1907"/>
      <c r="AS56" s="1907"/>
      <c r="AT56" s="1108"/>
      <c r="AU56" s="1108" t="str">
        <f t="shared" si="3"/>
        <v/>
      </c>
      <c r="AV56" s="1108"/>
      <c r="AW56" s="1108"/>
      <c r="AX56" s="1108"/>
      <c r="AY56" s="1108"/>
      <c r="AZ56" s="1700"/>
      <c r="BA56" s="1108"/>
      <c r="BB56" s="1108"/>
      <c r="BC56" s="1108"/>
      <c r="BD56" s="1108"/>
      <c r="BE56" s="1108"/>
      <c r="BF56" s="1108"/>
      <c r="BG56" s="1108"/>
      <c r="BH56" s="1108"/>
      <c r="BI56" s="1108"/>
      <c r="BJ56" s="1700"/>
      <c r="BK56" s="1108"/>
      <c r="BL56" s="1108"/>
      <c r="BM56" s="1108"/>
      <c r="BN56" s="1108"/>
      <c r="BO56" s="1108"/>
      <c r="BP56" s="1108"/>
      <c r="BQ56" s="1108"/>
      <c r="BR56" s="1108"/>
      <c r="BS56" s="1108"/>
      <c r="BT56" s="1108"/>
      <c r="BU56" s="1108"/>
      <c r="BV56" s="1108"/>
      <c r="BW56" s="1108"/>
      <c r="BX56" s="1108"/>
      <c r="BY56" s="1108"/>
      <c r="BZ56" s="1108"/>
      <c r="CA56" s="1108"/>
      <c r="CB56" s="1108"/>
      <c r="CC56" s="1108"/>
      <c r="CD56" s="1108"/>
      <c r="CE56" s="1108"/>
      <c r="CF56" s="1108"/>
      <c r="CG56" s="1108"/>
      <c r="CH56" s="1108"/>
      <c r="CI56" s="1108"/>
      <c r="CJ56" s="1108"/>
      <c r="CK56" s="1108"/>
      <c r="CL56" s="1108"/>
      <c r="CM56" s="1108"/>
      <c r="CN56" s="1108"/>
      <c r="CO56" s="1108"/>
      <c r="CP56" s="1108"/>
      <c r="CQ56" s="1108"/>
      <c r="CR56" s="1108"/>
      <c r="CS56" s="1108"/>
      <c r="CT56" s="1470"/>
      <c r="CU56" s="1470"/>
      <c r="CV56" s="1470" t="s">
        <v>784</v>
      </c>
      <c r="CW56" s="1470"/>
      <c r="CX56" s="2026"/>
      <c r="CY56" s="1470"/>
      <c r="CZ56" s="1470"/>
      <c r="DA56" s="1470"/>
      <c r="DB56" s="1470"/>
      <c r="DC56" s="2862"/>
      <c r="DD56" s="2862"/>
      <c r="DE56" s="2862"/>
      <c r="DF56" s="2862"/>
      <c r="DG56" s="2862"/>
      <c r="DH56" s="2862"/>
      <c r="DI56" s="2862"/>
      <c r="DJ56" s="2862"/>
      <c r="DK56" s="2862"/>
      <c r="DL56" s="2862"/>
      <c r="DM56" s="2842"/>
      <c r="DN56" s="2862"/>
      <c r="DO56" s="2862"/>
      <c r="DP56" s="2862"/>
      <c r="DQ56" s="2862"/>
      <c r="DR56" s="2842"/>
    </row>
    <row r="57" spans="1:122">
      <c r="A57" s="1108" t="s">
        <v>476</v>
      </c>
      <c r="B57" s="1525"/>
      <c r="C57" s="1525"/>
      <c r="D57" s="1525"/>
      <c r="E57" s="1525"/>
      <c r="F57" s="1525"/>
      <c r="G57" s="1525"/>
      <c r="H57" s="1525">
        <f>H123</f>
        <v>876.4</v>
      </c>
      <c r="I57" s="1525">
        <f t="shared" ref="I57:V57" si="102">I123</f>
        <v>880.4</v>
      </c>
      <c r="J57" s="1525">
        <f t="shared" si="102"/>
        <v>857.2</v>
      </c>
      <c r="K57" s="1525">
        <f>K123</f>
        <v>789.7</v>
      </c>
      <c r="L57" s="1525">
        <f t="shared" si="102"/>
        <v>771.8</v>
      </c>
      <c r="M57" s="1525">
        <f>M123</f>
        <v>721.9</v>
      </c>
      <c r="N57" s="1525">
        <f t="shared" si="102"/>
        <v>669.8</v>
      </c>
      <c r="O57" s="1369"/>
      <c r="P57" s="1525">
        <f>M57</f>
        <v>721.9</v>
      </c>
      <c r="Q57" s="1525">
        <f>N57</f>
        <v>669.8</v>
      </c>
      <c r="R57" s="1525">
        <f t="shared" si="102"/>
        <v>682.9</v>
      </c>
      <c r="S57" s="1525">
        <f t="shared" si="102"/>
        <v>698</v>
      </c>
      <c r="T57" s="1525">
        <f t="shared" si="102"/>
        <v>681</v>
      </c>
      <c r="U57" s="1525">
        <f t="shared" si="102"/>
        <v>659</v>
      </c>
      <c r="V57" s="1525">
        <f t="shared" si="102"/>
        <v>615</v>
      </c>
      <c r="W57" s="1525">
        <f t="shared" ref="W57:AF57" si="103">W123</f>
        <v>561</v>
      </c>
      <c r="X57" s="1912">
        <v>624</v>
      </c>
      <c r="Y57" s="1912">
        <v>561</v>
      </c>
      <c r="Z57" s="2845">
        <f>Z123</f>
        <v>489</v>
      </c>
      <c r="AA57" s="2845">
        <f>AA123</f>
        <v>448</v>
      </c>
      <c r="AB57" s="2809">
        <f>AA57</f>
        <v>448</v>
      </c>
      <c r="AC57" s="2845">
        <f t="shared" si="103"/>
        <v>407.31640260015325</v>
      </c>
      <c r="AD57" s="2845">
        <f t="shared" si="103"/>
        <v>380.87292592802828</v>
      </c>
      <c r="AE57" s="2845">
        <f t="shared" si="103"/>
        <v>363.63096242724106</v>
      </c>
      <c r="AF57" s="2845">
        <f t="shared" si="103"/>
        <v>344.84450530584246</v>
      </c>
      <c r="AG57" s="2845">
        <f t="shared" ref="AG57:AL57" si="104">AG123</f>
        <v>327.22403990034542</v>
      </c>
      <c r="AH57" s="2845">
        <f t="shared" si="104"/>
        <v>310.80549166905735</v>
      </c>
      <c r="AI57" s="2845">
        <f t="shared" si="104"/>
        <v>295.52253573413083</v>
      </c>
      <c r="AJ57" s="2845">
        <f t="shared" si="104"/>
        <v>281.31292886456316</v>
      </c>
      <c r="AK57" s="2845">
        <f t="shared" si="104"/>
        <v>268.11825978006073</v>
      </c>
      <c r="AL57" s="2845">
        <f t="shared" si="104"/>
        <v>255.8837152129222</v>
      </c>
      <c r="AM57" s="2845">
        <f>AM123</f>
        <v>244.55786067396593</v>
      </c>
      <c r="AN57" s="2845">
        <f>AN123</f>
        <v>234.09243494223327</v>
      </c>
      <c r="AO57" s="1525"/>
      <c r="AP57" s="1525"/>
      <c r="AQ57" s="1525"/>
      <c r="AR57" s="1525"/>
      <c r="AS57" s="1525"/>
      <c r="AT57" s="1525"/>
      <c r="AU57" s="1108" t="str">
        <f t="shared" si="3"/>
        <v>Average Diluted Shares Outstanding</v>
      </c>
      <c r="AV57" s="1108"/>
      <c r="AW57" s="1108"/>
      <c r="AX57" s="1108"/>
      <c r="AY57" s="1108"/>
      <c r="AZ57" s="1700"/>
      <c r="BA57" s="1894" t="s">
        <v>737</v>
      </c>
      <c r="BB57" s="1894" t="s">
        <v>737</v>
      </c>
      <c r="BC57" s="1894" t="s">
        <v>737</v>
      </c>
      <c r="BD57" s="1894" t="s">
        <v>737</v>
      </c>
      <c r="BE57" s="1727"/>
      <c r="BF57" s="1525">
        <f>BF123</f>
        <v>766.7</v>
      </c>
      <c r="BG57" s="1525">
        <f>BG123</f>
        <v>769.6</v>
      </c>
      <c r="BH57" s="1525">
        <f>BH123</f>
        <v>774.2</v>
      </c>
      <c r="BI57" s="1525">
        <f>BI123</f>
        <v>776.4</v>
      </c>
      <c r="BJ57" s="1525"/>
      <c r="BK57" s="1525">
        <f>BK123</f>
        <v>765.1</v>
      </c>
      <c r="BL57" s="1525">
        <f>BL123</f>
        <v>729.4</v>
      </c>
      <c r="BM57" s="1525">
        <f>BM123</f>
        <v>715.4</v>
      </c>
      <c r="BN57" s="1525">
        <f>BN123</f>
        <v>678.8</v>
      </c>
      <c r="BO57" s="1357"/>
      <c r="BP57" s="1525">
        <f>BP123</f>
        <v>673.8</v>
      </c>
      <c r="BQ57" s="1525">
        <f>BQ123</f>
        <v>674.3</v>
      </c>
      <c r="BR57" s="1525">
        <f>BR123</f>
        <v>670.9</v>
      </c>
      <c r="BS57" s="1525">
        <f>BS123</f>
        <v>674.7</v>
      </c>
      <c r="BT57" s="1357"/>
      <c r="BU57" s="1525">
        <f>BU123</f>
        <v>671.5</v>
      </c>
      <c r="BV57" s="1525">
        <f>BV123</f>
        <v>680.2</v>
      </c>
      <c r="BW57" s="1525">
        <f>BW123</f>
        <v>685.1</v>
      </c>
      <c r="BX57" s="1525">
        <f>BX123</f>
        <v>690.3</v>
      </c>
      <c r="BY57" s="1357"/>
      <c r="BZ57" s="1525">
        <f>BZ123</f>
        <v>692.1</v>
      </c>
      <c r="CA57" s="1525">
        <f>CA123</f>
        <v>693.4</v>
      </c>
      <c r="CB57" s="1525">
        <f>CB123</f>
        <v>694.3</v>
      </c>
      <c r="CC57" s="1525">
        <f>CC123</f>
        <v>698</v>
      </c>
      <c r="CD57" s="1357"/>
      <c r="CE57" s="1525">
        <f>CE123</f>
        <v>693</v>
      </c>
      <c r="CF57" s="1525">
        <f>CF123</f>
        <v>686</v>
      </c>
      <c r="CG57" s="1525">
        <f>CG123</f>
        <v>675</v>
      </c>
      <c r="CH57" s="1525">
        <f>CH123</f>
        <v>669</v>
      </c>
      <c r="CI57" s="2026"/>
      <c r="CJ57" s="1525">
        <f>CJ123</f>
        <v>667</v>
      </c>
      <c r="CK57" s="1525">
        <f>CK123</f>
        <v>661</v>
      </c>
      <c r="CL57" s="1525">
        <f>CL123</f>
        <v>656</v>
      </c>
      <c r="CM57" s="1525">
        <f>CM123</f>
        <v>650</v>
      </c>
      <c r="CN57" s="2026"/>
      <c r="CO57" s="1525">
        <f>CO123</f>
        <v>638</v>
      </c>
      <c r="CP57" s="1525">
        <f>CP123</f>
        <v>624</v>
      </c>
      <c r="CQ57" s="1525">
        <f>CQ123</f>
        <v>618</v>
      </c>
      <c r="CR57" s="1525">
        <f>CR123</f>
        <v>615</v>
      </c>
      <c r="CS57" s="1108"/>
      <c r="CT57" s="1908">
        <v>600</v>
      </c>
      <c r="CU57" s="1908">
        <v>581</v>
      </c>
      <c r="CV57" s="1908">
        <v>541</v>
      </c>
      <c r="CW57" s="1908">
        <v>523</v>
      </c>
      <c r="CX57" s="2026"/>
      <c r="CY57" s="2123">
        <v>506</v>
      </c>
      <c r="CZ57" s="2123">
        <v>495</v>
      </c>
      <c r="DA57" s="2123">
        <v>484</v>
      </c>
      <c r="DB57" s="2123">
        <v>474</v>
      </c>
      <c r="DC57" s="2870"/>
      <c r="DD57" s="2868">
        <v>464</v>
      </c>
      <c r="DE57" s="2868">
        <v>455</v>
      </c>
      <c r="DF57" s="2868">
        <v>446</v>
      </c>
      <c r="DG57" s="2868">
        <v>429</v>
      </c>
      <c r="DH57" s="2842"/>
      <c r="DI57" s="2868">
        <v>416</v>
      </c>
      <c r="DJ57" s="2868">
        <v>410</v>
      </c>
      <c r="DK57" s="2868">
        <v>406</v>
      </c>
      <c r="DL57" s="2845">
        <f>DL123</f>
        <v>397.26561040061301</v>
      </c>
      <c r="DM57" s="2842"/>
      <c r="DN57" s="2845">
        <f t="shared" ref="DN57:DQ57" si="105">DN123</f>
        <v>385.3716484756427</v>
      </c>
      <c r="DO57" s="2845">
        <f t="shared" si="105"/>
        <v>382.25781083472145</v>
      </c>
      <c r="DP57" s="2845">
        <f t="shared" si="105"/>
        <v>379.31998362404795</v>
      </c>
      <c r="DQ57" s="2845">
        <f t="shared" si="105"/>
        <v>376.54226077770079</v>
      </c>
      <c r="DR57" s="2842"/>
    </row>
    <row r="58" spans="1:122">
      <c r="A58" s="1108" t="s">
        <v>834</v>
      </c>
      <c r="B58" s="1661"/>
      <c r="C58" s="1661"/>
      <c r="D58" s="1661"/>
      <c r="E58" s="1661"/>
      <c r="F58" s="1661"/>
      <c r="G58" s="1661"/>
      <c r="H58" s="1661">
        <f>H52/H57</f>
        <v>1.2414422638064802</v>
      </c>
      <c r="I58" s="1661">
        <f t="shared" ref="I58:N58" si="106">I44/I57</f>
        <v>1.2686278964107232</v>
      </c>
      <c r="J58" s="1661">
        <f t="shared" si="106"/>
        <v>-19.122608492767146</v>
      </c>
      <c r="K58" s="1661">
        <f t="shared" si="106"/>
        <v>-10.537925794605545</v>
      </c>
      <c r="L58" s="1661">
        <f t="shared" si="106"/>
        <v>1.7917854366416168</v>
      </c>
      <c r="M58" s="1661">
        <f t="shared" si="106"/>
        <v>1.7096550768804541</v>
      </c>
      <c r="N58" s="1661">
        <f t="shared" si="106"/>
        <v>-17.428187518662295</v>
      </c>
      <c r="O58" s="1369"/>
      <c r="P58" s="1661">
        <f t="shared" ref="P58:AH58" si="107">P44/P57</f>
        <v>1.7387306067322343</v>
      </c>
      <c r="Q58" s="1661">
        <f t="shared" si="107"/>
        <v>-17.241732235055245</v>
      </c>
      <c r="R58" s="1661">
        <f t="shared" si="107"/>
        <v>0.33167374432567043</v>
      </c>
      <c r="S58" s="1661">
        <f t="shared" si="107"/>
        <v>1.0375358166189115</v>
      </c>
      <c r="T58" s="1661">
        <f t="shared" si="107"/>
        <v>2.0425844346549198</v>
      </c>
      <c r="U58" s="1661">
        <f t="shared" si="107"/>
        <v>2.4795144157814866</v>
      </c>
      <c r="V58" s="1661">
        <f t="shared" si="107"/>
        <v>3.0455284552845527</v>
      </c>
      <c r="W58" s="1661">
        <f t="shared" si="107"/>
        <v>2.4135472370766489</v>
      </c>
      <c r="X58" s="1661">
        <f t="shared" si="107"/>
        <v>2.7852564102564101</v>
      </c>
      <c r="Y58" s="1661">
        <f t="shared" si="107"/>
        <v>2.4135472370766489</v>
      </c>
      <c r="Z58" s="2869">
        <f>Z44/Z57</f>
        <v>2.869120654396728</v>
      </c>
      <c r="AA58" s="2869">
        <f ca="1">AA44/AA57</f>
        <v>2.8950892857142856</v>
      </c>
      <c r="AB58" s="2869">
        <f ca="1">AB44/AB57</f>
        <v>3.4642857142857144</v>
      </c>
      <c r="AC58" s="2869">
        <f t="shared" ca="1" si="107"/>
        <v>4.1873855766380652</v>
      </c>
      <c r="AD58" s="2869">
        <f t="shared" ca="1" si="107"/>
        <v>5.0957125911953502</v>
      </c>
      <c r="AE58" s="2869">
        <f t="shared" ca="1" si="107"/>
        <v>5.6934770578983427</v>
      </c>
      <c r="AF58" s="2869">
        <f t="shared" ca="1" si="107"/>
        <v>6.7817906368453151</v>
      </c>
      <c r="AG58" s="1661">
        <f t="shared" ca="1" si="107"/>
        <v>7.4380004671453053</v>
      </c>
      <c r="AH58" s="1661">
        <f t="shared" ca="1" si="107"/>
        <v>8.474936607653186</v>
      </c>
      <c r="AI58" s="1661">
        <f t="shared" ref="AI58:AN58" ca="1" si="108">AI44/AI57</f>
        <v>8.5217852673920493</v>
      </c>
      <c r="AJ58" s="1661">
        <f t="shared" ca="1" si="108"/>
        <v>9.2838030510183103</v>
      </c>
      <c r="AK58" s="1661">
        <f t="shared" ca="1" si="108"/>
        <v>9.8000037234513595</v>
      </c>
      <c r="AL58" s="1661">
        <f t="shared" ca="1" si="108"/>
        <v>10.174218589521463</v>
      </c>
      <c r="AM58" s="1661">
        <f t="shared" ca="1" si="108"/>
        <v>10.543856870012212</v>
      </c>
      <c r="AN58" s="1661">
        <f t="shared" ca="1" si="108"/>
        <v>11.674201714777229</v>
      </c>
      <c r="AO58" s="1661"/>
      <c r="AP58" s="1661"/>
      <c r="AQ58" s="1661"/>
      <c r="AR58" s="1661"/>
      <c r="AS58" s="1661"/>
      <c r="AT58" s="1661"/>
      <c r="AU58" s="1108" t="str">
        <f t="shared" si="3"/>
        <v>Net Income Per Share from Continuing Ops.</v>
      </c>
      <c r="AV58" s="1108"/>
      <c r="AW58" s="1108"/>
      <c r="AX58" s="1108"/>
      <c r="AY58" s="1108"/>
      <c r="AZ58" s="1700"/>
      <c r="BA58" s="1894" t="s">
        <v>737</v>
      </c>
      <c r="BB58" s="1894" t="s">
        <v>737</v>
      </c>
      <c r="BC58" s="1894" t="s">
        <v>737</v>
      </c>
      <c r="BD58" s="1894" t="s">
        <v>737</v>
      </c>
      <c r="BE58" s="1727"/>
      <c r="BF58" s="1661">
        <f>BF44/BF57</f>
        <v>0.30703012912482047</v>
      </c>
      <c r="BG58" s="1661">
        <f>BG44/BG57</f>
        <v>0.61278586278586267</v>
      </c>
      <c r="BH58" s="1661">
        <f>BH44/BH57</f>
        <v>0.39163006974941866</v>
      </c>
      <c r="BI58" s="1661">
        <f>BI44/BI57</f>
        <v>0.48003606388459558</v>
      </c>
      <c r="BJ58" s="1661"/>
      <c r="BK58" s="1661">
        <f>BK44/BK57</f>
        <v>0.2788524375898575</v>
      </c>
      <c r="BL58" s="1661">
        <f>BL44/BL57</f>
        <v>0.54613380860981642</v>
      </c>
      <c r="BM58" s="1661">
        <f>BM44/BM57</f>
        <v>0.47015655577299448</v>
      </c>
      <c r="BN58" s="1661">
        <f>BN44/BN57</f>
        <v>0.40328520919269328</v>
      </c>
      <c r="BO58" s="1108"/>
      <c r="BP58" s="1661">
        <f>BP44/BP57</f>
        <v>0.38450467457146059</v>
      </c>
      <c r="BQ58" s="1661">
        <f>BQ44/BQ57</f>
        <v>0.61069958576301364</v>
      </c>
      <c r="BR58" s="1661">
        <f>BR44/BR57</f>
        <v>-18.570324971131409</v>
      </c>
      <c r="BS58" s="1661">
        <f>BS44/BS57</f>
        <v>0.16978959941575877</v>
      </c>
      <c r="BT58" s="1108"/>
      <c r="BU58" s="1661">
        <f>BU44/BU57</f>
        <v>-5.7872623765153591E-2</v>
      </c>
      <c r="BV58" s="1661">
        <f>BV44/BV57</f>
        <v>3.1330393303246697E-2</v>
      </c>
      <c r="BW58" s="1661">
        <f>BW44/BW57</f>
        <v>0.29941234835767894</v>
      </c>
      <c r="BX58" s="1661">
        <f>BX44/BX57</f>
        <v>5.6385822792389947E-2</v>
      </c>
      <c r="BY58" s="1108"/>
      <c r="BZ58" s="1661">
        <f>BZ44/BZ57</f>
        <v>-3.7855801184799802E-2</v>
      </c>
      <c r="CA58" s="1661">
        <f>CA44/CA57</f>
        <v>0.21646957023363117</v>
      </c>
      <c r="CB58" s="1661">
        <f>CB44/CB57</f>
        <v>0.45700705746795345</v>
      </c>
      <c r="CC58" s="1661">
        <f>CC44/CC57</f>
        <v>0.40544412607449903</v>
      </c>
      <c r="CD58" s="1108"/>
      <c r="CE58" s="1661">
        <f>CE44/CE57</f>
        <v>0.33477633477633478</v>
      </c>
      <c r="CF58" s="1661">
        <f>CF44/CF57</f>
        <v>0.61516034985422741</v>
      </c>
      <c r="CG58" s="1661">
        <f>CG44/CG57</f>
        <v>0.57185185185185183</v>
      </c>
      <c r="CH58" s="1661">
        <f>CH44/CH57</f>
        <v>0.5246636771300448</v>
      </c>
      <c r="CI58" s="1108"/>
      <c r="CJ58" s="1661">
        <f>CJ44/CJ57</f>
        <v>0.59070464767616193</v>
      </c>
      <c r="CK58" s="1661">
        <f>CK44/CK57</f>
        <v>0.68381240544629329</v>
      </c>
      <c r="CL58" s="1661">
        <f>CL44/CL57</f>
        <v>0.58689024390243905</v>
      </c>
      <c r="CM58" s="1661">
        <f>CM44/CM57</f>
        <v>0.62</v>
      </c>
      <c r="CN58" s="1108"/>
      <c r="CO58" s="1661">
        <f>CO44/CO57</f>
        <v>0.72570532915360497</v>
      </c>
      <c r="CP58" s="1661">
        <f>CP44/CP57</f>
        <v>0.76282051282051277</v>
      </c>
      <c r="CQ58" s="1661">
        <f>CQ44/CQ57</f>
        <v>0.75889967637540467</v>
      </c>
      <c r="CR58" s="1661">
        <f>CR44/CR57</f>
        <v>0.75609756097560976</v>
      </c>
      <c r="CS58" s="1108"/>
      <c r="CT58" s="1606">
        <f>CT44/CT57</f>
        <v>0.77</v>
      </c>
      <c r="CU58" s="1606">
        <f>CU44/CU57</f>
        <v>0.71944922547332191</v>
      </c>
      <c r="CV58" s="1606">
        <f>CV44/CV57</f>
        <v>0.13308687615526801</v>
      </c>
      <c r="CW58" s="1606">
        <f>CW44/CW57</f>
        <v>0.768642447418738</v>
      </c>
      <c r="CX58" s="2026"/>
      <c r="CY58" s="1606">
        <f>CY44/CY57</f>
        <v>0.77865612648221338</v>
      </c>
      <c r="CZ58" s="1606">
        <f>CZ44/CZ57</f>
        <v>0.6707070707070707</v>
      </c>
      <c r="DA58" s="1606">
        <f>DA44/DA57</f>
        <v>0.8801652892561983</v>
      </c>
      <c r="DB58" s="1606">
        <f>DB44/DB57</f>
        <v>0.52953586497890293</v>
      </c>
      <c r="DC58" s="2870"/>
      <c r="DD58" s="2869">
        <f ca="1">DD44/DD57</f>
        <v>0.95258620689655171</v>
      </c>
      <c r="DE58" s="2869">
        <f ca="1">DE44/DE57</f>
        <v>0.81978021978021975</v>
      </c>
      <c r="DF58" s="2869">
        <f ca="1">DF44/DF57</f>
        <v>1.0448430493273542</v>
      </c>
      <c r="DG58" s="2869">
        <f ca="1">DG44/DG57</f>
        <v>0.63170163170163174</v>
      </c>
      <c r="DH58" s="2870"/>
      <c r="DI58" s="2869">
        <f>DI44/DI57</f>
        <v>1.0913461538461537</v>
      </c>
      <c r="DJ58" s="2869">
        <f>DJ44/DJ57</f>
        <v>0.96829268292682924</v>
      </c>
      <c r="DK58" s="2869">
        <f>DK44/DK57</f>
        <v>1.0295566502463054</v>
      </c>
      <c r="DL58" s="2869">
        <f ca="1">DL44/DL57</f>
        <v>1.0989897387184246</v>
      </c>
      <c r="DM58" s="2842"/>
      <c r="DN58" s="2869">
        <f t="shared" ref="DN58:DQ58" ca="1" si="109">DN44/DN57</f>
        <v>1.1869217584334362</v>
      </c>
      <c r="DO58" s="2869">
        <f t="shared" ca="1" si="109"/>
        <v>1.175305324459887</v>
      </c>
      <c r="DP58" s="2869">
        <f t="shared" ca="1" si="109"/>
        <v>1.2951149235202495</v>
      </c>
      <c r="DQ58" s="2869">
        <f t="shared" ca="1" si="109"/>
        <v>1.4417514691315798</v>
      </c>
      <c r="DR58" s="2842"/>
    </row>
    <row r="59" spans="1:122">
      <c r="A59" s="1108"/>
      <c r="B59" s="1699"/>
      <c r="C59" s="1699"/>
      <c r="D59" s="1699"/>
      <c r="E59" s="1699"/>
      <c r="F59" s="1699"/>
      <c r="G59" s="1699"/>
      <c r="H59" s="1699"/>
      <c r="I59" s="1108"/>
      <c r="J59" s="1108"/>
      <c r="K59" s="1108"/>
      <c r="L59" s="1108"/>
      <c r="M59" s="1108"/>
      <c r="N59" s="1108"/>
      <c r="O59" s="1369"/>
      <c r="P59" s="1108"/>
      <c r="Q59" s="1108"/>
      <c r="R59" s="1164"/>
      <c r="S59" s="1108"/>
      <c r="T59" s="1108"/>
      <c r="U59" s="1108"/>
      <c r="V59" s="1108"/>
      <c r="W59" s="1108"/>
      <c r="X59" s="1108"/>
      <c r="Y59" s="1108"/>
      <c r="Z59" s="1577"/>
      <c r="AA59" s="2807"/>
      <c r="AB59" s="2807"/>
      <c r="AC59" s="2807"/>
      <c r="AD59" s="2807"/>
      <c r="AE59" s="2807"/>
      <c r="AF59" s="2807"/>
      <c r="AG59" s="2807"/>
      <c r="AH59" s="2807"/>
      <c r="AI59" s="2807"/>
      <c r="AJ59" s="2807"/>
      <c r="AK59" s="2807"/>
      <c r="AL59" s="2807"/>
      <c r="AM59" s="2807"/>
      <c r="AN59" s="2807"/>
      <c r="AO59" s="1577"/>
      <c r="AP59" s="1577"/>
      <c r="AQ59" s="1108"/>
      <c r="AR59" s="1108"/>
      <c r="AS59" s="1108"/>
      <c r="AT59" s="1108"/>
      <c r="AU59" s="1108" t="str">
        <f t="shared" si="3"/>
        <v/>
      </c>
      <c r="AV59" s="1108"/>
      <c r="AW59" s="1108"/>
      <c r="AX59" s="1108"/>
      <c r="AY59" s="1108"/>
      <c r="AZ59" s="1700"/>
      <c r="BA59" s="1108"/>
      <c r="BB59" s="1108"/>
      <c r="BC59" s="1108"/>
      <c r="BD59" s="1108"/>
      <c r="BE59" s="1108"/>
      <c r="BF59" s="1108"/>
      <c r="BG59" s="1108"/>
      <c r="BH59" s="1108"/>
      <c r="BI59" s="1108"/>
      <c r="BJ59" s="1700"/>
      <c r="BK59" s="2117"/>
      <c r="BL59" s="1108"/>
      <c r="BM59" s="1108"/>
      <c r="BN59" s="1108"/>
      <c r="BO59" s="1108"/>
      <c r="BP59" s="2117"/>
      <c r="BQ59" s="1108"/>
      <c r="BR59" s="1661"/>
      <c r="BS59" s="1108"/>
      <c r="BT59" s="1108"/>
      <c r="BU59" s="1108"/>
      <c r="BV59" s="1108"/>
      <c r="BW59" s="1108"/>
      <c r="BX59" s="1108"/>
      <c r="BY59" s="1108"/>
      <c r="BZ59" s="1108"/>
      <c r="CA59" s="1108"/>
      <c r="CB59" s="1108"/>
      <c r="CC59" s="1108"/>
      <c r="CD59" s="1108"/>
      <c r="CE59" s="1108"/>
      <c r="CF59" s="1108"/>
      <c r="CG59" s="1108"/>
      <c r="CH59" s="1108"/>
      <c r="CI59" s="1108"/>
      <c r="CJ59" s="1108"/>
      <c r="CK59" s="1108"/>
      <c r="CL59" s="1108"/>
      <c r="CM59" s="1108"/>
      <c r="CN59" s="1108"/>
      <c r="CO59" s="1108"/>
      <c r="CP59" s="1108"/>
      <c r="CQ59" s="1108"/>
      <c r="CR59" s="1108"/>
      <c r="CS59" s="1108"/>
      <c r="CT59" s="1108"/>
      <c r="CU59" s="1108"/>
      <c r="CV59" s="1108"/>
      <c r="CW59" s="1108"/>
      <c r="CX59" s="2026"/>
      <c r="CY59" s="1470"/>
      <c r="CZ59" s="1470"/>
      <c r="DA59" s="1470"/>
      <c r="DB59" s="1108"/>
      <c r="DC59" s="2862"/>
      <c r="DD59" s="2862"/>
      <c r="DE59" s="2862"/>
      <c r="DF59" s="2862"/>
      <c r="DG59" s="2862"/>
      <c r="DH59" s="2862"/>
      <c r="DI59" s="2862"/>
      <c r="DJ59" s="2862"/>
      <c r="DK59" s="2862"/>
      <c r="DL59" s="2862"/>
      <c r="DM59" s="2842"/>
      <c r="DN59" s="2862"/>
      <c r="DO59" s="2862"/>
      <c r="DP59" s="2862"/>
      <c r="DQ59" s="2862"/>
      <c r="DR59" s="2842"/>
    </row>
    <row r="60" spans="1:122" hidden="1" outlineLevel="1">
      <c r="A60" s="1108" t="s">
        <v>1029</v>
      </c>
      <c r="B60" s="1366"/>
      <c r="C60" s="1366"/>
      <c r="D60" s="1366"/>
      <c r="E60" s="1366"/>
      <c r="F60" s="1366"/>
      <c r="G60" s="1366"/>
      <c r="H60" s="1366">
        <f t="shared" ref="H60:S60" si="110">H44</f>
        <v>1087.9999999999991</v>
      </c>
      <c r="I60" s="1654">
        <f t="shared" si="110"/>
        <v>1116.9000000000005</v>
      </c>
      <c r="J60" s="1654">
        <f t="shared" si="110"/>
        <v>-16391.899999999998</v>
      </c>
      <c r="K60" s="1654">
        <f t="shared" si="110"/>
        <v>-8321.7999999999993</v>
      </c>
      <c r="L60" s="1654">
        <f t="shared" si="110"/>
        <v>1382.8999999999999</v>
      </c>
      <c r="M60" s="1654">
        <f t="shared" si="110"/>
        <v>1234.1999999999998</v>
      </c>
      <c r="N60" s="1654">
        <f t="shared" si="110"/>
        <v>-11673.400000000003</v>
      </c>
      <c r="O60" s="1369"/>
      <c r="P60" s="1654">
        <f t="shared" si="110"/>
        <v>1255.189625</v>
      </c>
      <c r="Q60" s="1654">
        <f t="shared" si="110"/>
        <v>-11548.512251040003</v>
      </c>
      <c r="R60" s="1654">
        <f t="shared" si="110"/>
        <v>226.50000000000034</v>
      </c>
      <c r="S60" s="1654">
        <f t="shared" si="110"/>
        <v>724.20000000000016</v>
      </c>
      <c r="T60" s="1654">
        <f t="shared" ref="T60:AH60" si="111">T44</f>
        <v>1391.0000000000005</v>
      </c>
      <c r="U60" s="1654">
        <f t="shared" si="111"/>
        <v>1633.9999999999995</v>
      </c>
      <c r="V60" s="1654">
        <f t="shared" si="111"/>
        <v>1873</v>
      </c>
      <c r="W60" s="1654">
        <f t="shared" si="111"/>
        <v>1354</v>
      </c>
      <c r="X60" s="1654">
        <f t="shared" si="111"/>
        <v>1738</v>
      </c>
      <c r="Y60" s="1654">
        <f t="shared" si="111"/>
        <v>1354</v>
      </c>
      <c r="Z60" s="1654">
        <f>Z44</f>
        <v>1403</v>
      </c>
      <c r="AA60" s="1654">
        <f t="shared" ca="1" si="111"/>
        <v>1297</v>
      </c>
      <c r="AB60" s="1654"/>
      <c r="AC60" s="1654">
        <f t="shared" ca="1" si="111"/>
        <v>1705.5908293759851</v>
      </c>
      <c r="AD60" s="1654">
        <f t="shared" ca="1" si="111"/>
        <v>1940.8189642968675</v>
      </c>
      <c r="AE60" s="1654">
        <f t="shared" ca="1" si="111"/>
        <v>2070.3245421209913</v>
      </c>
      <c r="AF60" s="1654">
        <f t="shared" ca="1" si="111"/>
        <v>2338.663237250717</v>
      </c>
      <c r="AG60" s="1654">
        <f t="shared" ca="1" si="111"/>
        <v>2433.8925616399433</v>
      </c>
      <c r="AH60" s="1654">
        <f t="shared" ca="1" si="111"/>
        <v>2634.0568392057412</v>
      </c>
      <c r="AI60" s="1654">
        <f t="shared" ref="AI60:AN60" ca="1" si="112">AI44</f>
        <v>2518.3795912014566</v>
      </c>
      <c r="AJ60" s="1654">
        <f t="shared" ca="1" si="112"/>
        <v>2611.6538272837283</v>
      </c>
      <c r="AK60" s="1654">
        <f t="shared" ca="1" si="112"/>
        <v>2627.5599441698942</v>
      </c>
      <c r="AL60" s="1654">
        <f t="shared" ca="1" si="112"/>
        <v>2603.4168520751291</v>
      </c>
      <c r="AM60" s="1654">
        <f t="shared" ca="1" si="112"/>
        <v>2578.5830793826849</v>
      </c>
      <c r="AN60" s="1654">
        <f t="shared" ca="1" si="112"/>
        <v>2732.8423054189966</v>
      </c>
      <c r="AO60" s="1654"/>
      <c r="AP60" s="1654"/>
      <c r="AQ60" s="1654"/>
      <c r="AR60" s="1654"/>
      <c r="AS60" s="1654"/>
      <c r="AT60" s="1366"/>
      <c r="AU60" s="1108" t="str">
        <f t="shared" si="3"/>
        <v>Reported Net Income from Cont. Opers.</v>
      </c>
      <c r="AV60" s="1108"/>
      <c r="AW60" s="1108"/>
      <c r="AX60" s="1108"/>
      <c r="AY60" s="1108"/>
      <c r="AZ60" s="1700"/>
      <c r="BA60" s="1894" t="s">
        <v>737</v>
      </c>
      <c r="BB60" s="1894" t="s">
        <v>737</v>
      </c>
      <c r="BC60" s="1894" t="s">
        <v>737</v>
      </c>
      <c r="BD60" s="1894" t="s">
        <v>737</v>
      </c>
      <c r="BE60" s="1687"/>
      <c r="BF60" s="1654">
        <f>BF44</f>
        <v>235.39999999999986</v>
      </c>
      <c r="BG60" s="1654">
        <f>BG44</f>
        <v>471.59999999999991</v>
      </c>
      <c r="BH60" s="1654">
        <f>BH44</f>
        <v>303.19999999999993</v>
      </c>
      <c r="BI60" s="1654">
        <f>BI44</f>
        <v>372.7</v>
      </c>
      <c r="BJ60" s="1366"/>
      <c r="BK60" s="1654">
        <f>BK44</f>
        <v>213.35</v>
      </c>
      <c r="BL60" s="1654">
        <f>BL44</f>
        <v>398.35000000000008</v>
      </c>
      <c r="BM60" s="1654">
        <f>BM44</f>
        <v>336.35000000000025</v>
      </c>
      <c r="BN60" s="1654">
        <f>BN44</f>
        <v>273.75000000000017</v>
      </c>
      <c r="BO60" s="1108"/>
      <c r="BP60" s="1654">
        <f>BP44</f>
        <v>259.07924972625011</v>
      </c>
      <c r="BQ60" s="1654">
        <f>BQ44</f>
        <v>411.79473068000004</v>
      </c>
      <c r="BR60" s="1654">
        <f>BR44</f>
        <v>-12458.831023132063</v>
      </c>
      <c r="BS60" s="1654">
        <f>BS44</f>
        <v>114.55704272581245</v>
      </c>
      <c r="BT60" s="1108"/>
      <c r="BU60" s="1654">
        <f>BU44</f>
        <v>-38.861466858300638</v>
      </c>
      <c r="BV60" s="1654">
        <f>BV44</f>
        <v>21.310933524868403</v>
      </c>
      <c r="BW60" s="1654">
        <f>BW44</f>
        <v>205.12739985984584</v>
      </c>
      <c r="BX60" s="1654">
        <f>BX44</f>
        <v>38.92313347358678</v>
      </c>
      <c r="BY60" s="1108"/>
      <c r="BZ60" s="1654">
        <f>BZ44</f>
        <v>-26.199999999999946</v>
      </c>
      <c r="CA60" s="1654">
        <f>CA44</f>
        <v>150.09999999999985</v>
      </c>
      <c r="CB60" s="1654">
        <f>CB44</f>
        <v>317.30000000000007</v>
      </c>
      <c r="CC60" s="1654">
        <f>CC44</f>
        <v>283.00000000000034</v>
      </c>
      <c r="CD60" s="1108"/>
      <c r="CE60" s="1654">
        <f>CE44</f>
        <v>232</v>
      </c>
      <c r="CF60" s="1654">
        <f>CF44</f>
        <v>422</v>
      </c>
      <c r="CG60" s="1654">
        <f>CG44</f>
        <v>386</v>
      </c>
      <c r="CH60" s="1654">
        <f>CH44</f>
        <v>351</v>
      </c>
      <c r="CI60" s="1108"/>
      <c r="CJ60" s="1654">
        <f>CJ44</f>
        <v>394</v>
      </c>
      <c r="CK60" s="1654">
        <f>CK44</f>
        <v>451.99999999999989</v>
      </c>
      <c r="CL60" s="1654">
        <f>CL44</f>
        <v>385</v>
      </c>
      <c r="CM60" s="1654">
        <f>CM44</f>
        <v>403</v>
      </c>
      <c r="CN60" s="1108"/>
      <c r="CO60" s="1654">
        <f>CO44</f>
        <v>463</v>
      </c>
      <c r="CP60" s="1654">
        <f>CP44</f>
        <v>476</v>
      </c>
      <c r="CQ60" s="1654">
        <f>CQ44</f>
        <v>469.00000000000011</v>
      </c>
      <c r="CR60" s="1654">
        <f>CR44</f>
        <v>465</v>
      </c>
      <c r="CS60" s="1108"/>
      <c r="CT60" s="2029">
        <f>CT44</f>
        <v>462</v>
      </c>
      <c r="CU60" s="2029">
        <f>CU44</f>
        <v>418</v>
      </c>
      <c r="CV60" s="2029">
        <f>CV44</f>
        <v>72</v>
      </c>
      <c r="CW60" s="1654">
        <f>CW44</f>
        <v>402</v>
      </c>
      <c r="CX60" s="2026">
        <f t="shared" ref="CX60:CX67" si="113">$W60-SUM(CT60:CW60)</f>
        <v>0</v>
      </c>
      <c r="CY60" s="2029">
        <f>CY44</f>
        <v>394</v>
      </c>
      <c r="CZ60" s="2029">
        <f>CZ44</f>
        <v>332</v>
      </c>
      <c r="DA60" s="2029">
        <f>DA44</f>
        <v>426</v>
      </c>
      <c r="DB60" s="1654">
        <f>DB44</f>
        <v>251</v>
      </c>
      <c r="DC60" s="2870">
        <f t="shared" ref="DC60:DC65" si="114">$Z60-SUM(CY60:DB60)</f>
        <v>0</v>
      </c>
      <c r="DD60" s="2841">
        <f ca="1">DD44</f>
        <v>442</v>
      </c>
      <c r="DE60" s="2841">
        <f ca="1">DE44</f>
        <v>373</v>
      </c>
      <c r="DF60" s="2841">
        <f ca="1">DF44</f>
        <v>466</v>
      </c>
      <c r="DG60" s="2801">
        <f ca="1">DG44</f>
        <v>271</v>
      </c>
      <c r="DH60" s="2862"/>
      <c r="DI60" s="2841">
        <f>DI44</f>
        <v>454</v>
      </c>
      <c r="DJ60" s="2841">
        <f>DJ44</f>
        <v>397</v>
      </c>
      <c r="DK60" s="2841">
        <f>DK44</f>
        <v>418</v>
      </c>
      <c r="DL60" s="2801">
        <f ca="1">DL44</f>
        <v>436.59082937598521</v>
      </c>
      <c r="DM60" s="2842"/>
      <c r="DN60" s="2801">
        <f t="shared" ref="DN60:DQ60" ca="1" si="115">DN44</f>
        <v>457.40599465910185</v>
      </c>
      <c r="DO60" s="2801">
        <f t="shared" ca="1" si="115"/>
        <v>449.26964039042838</v>
      </c>
      <c r="DP60" s="2801">
        <f t="shared" ca="1" si="115"/>
        <v>491.26297158096116</v>
      </c>
      <c r="DQ60" s="2801">
        <f t="shared" ca="1" si="115"/>
        <v>542.88035766637654</v>
      </c>
      <c r="DR60" s="2026"/>
    </row>
    <row r="61" spans="1:122" hidden="1" outlineLevel="1">
      <c r="A61" s="1108" t="s">
        <v>495</v>
      </c>
      <c r="B61" s="1357"/>
      <c r="C61" s="1357"/>
      <c r="D61" s="1357"/>
      <c r="E61" s="1357"/>
      <c r="F61" s="1357"/>
      <c r="G61" s="1357"/>
      <c r="H61" s="1357">
        <f>H22</f>
        <v>87.090891899190026</v>
      </c>
      <c r="I61" s="1357">
        <f>I22</f>
        <v>87.77499999999992</v>
      </c>
      <c r="J61" s="1357">
        <f>J22</f>
        <v>84.024999999999977</v>
      </c>
      <c r="K61" s="1357">
        <f>K22</f>
        <v>95.855499999999893</v>
      </c>
      <c r="L61" s="1357">
        <f t="shared" ref="L61:W61" si="116">L22</f>
        <v>87.300000000000011</v>
      </c>
      <c r="M61" s="1357">
        <f t="shared" si="116"/>
        <v>81.5</v>
      </c>
      <c r="N61" s="1357">
        <f t="shared" si="116"/>
        <v>105.5</v>
      </c>
      <c r="O61" s="1369"/>
      <c r="P61" s="1357">
        <f>P22</f>
        <v>90.676999999999992</v>
      </c>
      <c r="Q61" s="1357">
        <f>Q22</f>
        <v>110.566</v>
      </c>
      <c r="R61" s="1357">
        <f t="shared" si="116"/>
        <v>130</v>
      </c>
      <c r="S61" s="1357">
        <f t="shared" si="116"/>
        <v>130</v>
      </c>
      <c r="T61" s="1357">
        <f t="shared" si="116"/>
        <v>121</v>
      </c>
      <c r="U61" s="1357">
        <f t="shared" si="116"/>
        <v>106</v>
      </c>
      <c r="V61" s="1357">
        <f t="shared" si="116"/>
        <v>100</v>
      </c>
      <c r="W61" s="1357">
        <f t="shared" si="116"/>
        <v>32.000000000000007</v>
      </c>
      <c r="X61" s="1357">
        <f>X22</f>
        <v>39.6</v>
      </c>
      <c r="Y61" s="1357">
        <f>Y22</f>
        <v>32.000000000000007</v>
      </c>
      <c r="Z61" s="1357">
        <f>Z22</f>
        <v>24</v>
      </c>
      <c r="AA61" s="1357">
        <f t="shared" ref="AA61:AH61" ca="1" si="117">AA22</f>
        <v>20</v>
      </c>
      <c r="AB61" s="1357"/>
      <c r="AC61" s="1357">
        <f t="shared" si="117"/>
        <v>19</v>
      </c>
      <c r="AD61" s="1357">
        <f t="shared" si="117"/>
        <v>18</v>
      </c>
      <c r="AE61" s="1357">
        <f t="shared" ca="1" si="117"/>
        <v>18</v>
      </c>
      <c r="AF61" s="1357">
        <f t="shared" ca="1" si="117"/>
        <v>14.999999999999995</v>
      </c>
      <c r="AG61" s="1357">
        <f t="shared" ca="1" si="117"/>
        <v>13.000000000000007</v>
      </c>
      <c r="AH61" s="1357">
        <f t="shared" ca="1" si="117"/>
        <v>12.948460392448006</v>
      </c>
      <c r="AI61" s="1357">
        <f t="shared" ref="AI61:AN61" ca="1" si="118">AI22</f>
        <v>10.907228706406393</v>
      </c>
      <c r="AJ61" s="1357">
        <f t="shared" ca="1" si="118"/>
        <v>10.874243357573114</v>
      </c>
      <c r="AK61" s="1357">
        <f t="shared" ca="1" si="118"/>
        <v>10.847855078506491</v>
      </c>
      <c r="AL61" s="1357">
        <f t="shared" ca="1" si="118"/>
        <v>10.826744455253198</v>
      </c>
      <c r="AM61" s="1357">
        <f t="shared" ca="1" si="118"/>
        <v>10.809855956650559</v>
      </c>
      <c r="AN61" s="1357">
        <f t="shared" ca="1" si="118"/>
        <v>10.796345157768435</v>
      </c>
      <c r="AO61" s="1357"/>
      <c r="AP61" s="1357"/>
      <c r="AQ61" s="1357"/>
      <c r="AR61" s="1357"/>
      <c r="AS61" s="1357"/>
      <c r="AT61" s="1357"/>
      <c r="AU61" s="1108" t="str">
        <f t="shared" si="3"/>
        <v>Add: Amortization of Intangible Assets</v>
      </c>
      <c r="AV61" s="1108"/>
      <c r="AW61" s="1108"/>
      <c r="AX61" s="1108"/>
      <c r="AY61" s="1108"/>
      <c r="AZ61" s="1700"/>
      <c r="BA61" s="1894" t="s">
        <v>737</v>
      </c>
      <c r="BB61" s="1894" t="s">
        <v>737</v>
      </c>
      <c r="BC61" s="1894" t="s">
        <v>737</v>
      </c>
      <c r="BD61" s="1894" t="s">
        <v>737</v>
      </c>
      <c r="BE61" s="1687"/>
      <c r="BF61" s="1357">
        <f>BF22</f>
        <v>21.024999999999999</v>
      </c>
      <c r="BG61" s="1357">
        <f>BG22</f>
        <v>20.824999999999999</v>
      </c>
      <c r="BH61" s="1357">
        <f>BH22</f>
        <v>22.824999999999999</v>
      </c>
      <c r="BI61" s="1357">
        <f>BI22</f>
        <v>22.624999999999993</v>
      </c>
      <c r="BJ61" s="1357"/>
      <c r="BK61" s="1357">
        <f>BK22</f>
        <v>21.375</v>
      </c>
      <c r="BL61" s="1357">
        <f>BL22</f>
        <v>21.375</v>
      </c>
      <c r="BM61" s="1357">
        <f>BM22</f>
        <v>21.375</v>
      </c>
      <c r="BN61" s="1357">
        <f>BN22</f>
        <v>21.375</v>
      </c>
      <c r="BO61" s="1108"/>
      <c r="BP61" s="1357">
        <f>BP22</f>
        <v>19.875</v>
      </c>
      <c r="BQ61" s="1357">
        <f>BQ22</f>
        <v>19.875</v>
      </c>
      <c r="BR61" s="1357">
        <f>BR22</f>
        <v>32.875</v>
      </c>
      <c r="BS61" s="1357">
        <f>BS22</f>
        <v>32.875</v>
      </c>
      <c r="BT61" s="1108"/>
      <c r="BU61" s="1357">
        <f>BU22</f>
        <v>32.5</v>
      </c>
      <c r="BV61" s="1357">
        <f>BV22</f>
        <v>32.5</v>
      </c>
      <c r="BW61" s="1357">
        <f>BW22</f>
        <v>32.5</v>
      </c>
      <c r="BX61" s="1357">
        <f>BX22</f>
        <v>32.5</v>
      </c>
      <c r="BY61" s="1108"/>
      <c r="BZ61" s="1357">
        <f>BZ22</f>
        <v>32.5</v>
      </c>
      <c r="CA61" s="1357">
        <f>CA22</f>
        <v>32.5</v>
      </c>
      <c r="CB61" s="1357">
        <f>CB22</f>
        <v>32.5</v>
      </c>
      <c r="CC61" s="1357">
        <f>CC22</f>
        <v>32.5</v>
      </c>
      <c r="CD61" s="1108"/>
      <c r="CE61" s="1357">
        <f>CE22</f>
        <v>30.25</v>
      </c>
      <c r="CF61" s="1357">
        <f>CF22</f>
        <v>30.25</v>
      </c>
      <c r="CG61" s="1357">
        <f>CG22</f>
        <v>30.25</v>
      </c>
      <c r="CH61" s="1357">
        <f>CH22</f>
        <v>30.25</v>
      </c>
      <c r="CI61" s="2026"/>
      <c r="CJ61" s="1357">
        <f>CJ22</f>
        <v>26.450000000000003</v>
      </c>
      <c r="CK61" s="1357">
        <f>CK22</f>
        <v>26.449999999999996</v>
      </c>
      <c r="CL61" s="1357">
        <f>CL22</f>
        <v>26.450000000000003</v>
      </c>
      <c r="CM61" s="1357">
        <f>CM22</f>
        <v>26.649999999999991</v>
      </c>
      <c r="CN61" s="2026"/>
      <c r="CO61" s="1357">
        <f>CO22</f>
        <v>25</v>
      </c>
      <c r="CP61" s="1357">
        <f>CP22</f>
        <v>24.900000000000006</v>
      </c>
      <c r="CQ61" s="1357">
        <f>CQ22</f>
        <v>25.300000000000004</v>
      </c>
      <c r="CR61" s="1357">
        <f>CR22</f>
        <v>24.799999999999997</v>
      </c>
      <c r="CS61" s="2026"/>
      <c r="CT61" s="1465">
        <f>CT22</f>
        <v>8</v>
      </c>
      <c r="CU61" s="1465">
        <f>CU22</f>
        <v>8</v>
      </c>
      <c r="CV61" s="1465">
        <f>CV22</f>
        <v>8</v>
      </c>
      <c r="CW61" s="1357">
        <f>CW22</f>
        <v>8</v>
      </c>
      <c r="CX61" s="2026">
        <f t="shared" si="113"/>
        <v>0</v>
      </c>
      <c r="CY61" s="1465">
        <f>CY22</f>
        <v>6</v>
      </c>
      <c r="CZ61" s="1465">
        <f>CZ22</f>
        <v>6</v>
      </c>
      <c r="DA61" s="1465">
        <f>DA22</f>
        <v>6</v>
      </c>
      <c r="DB61" s="1357">
        <f>DB22</f>
        <v>6</v>
      </c>
      <c r="DC61" s="2870">
        <f t="shared" si="114"/>
        <v>0</v>
      </c>
      <c r="DD61" s="2851">
        <f ca="1">DD22</f>
        <v>5</v>
      </c>
      <c r="DE61" s="2851">
        <f ca="1">DE22</f>
        <v>5</v>
      </c>
      <c r="DF61" s="2851">
        <f ca="1">DF22</f>
        <v>5</v>
      </c>
      <c r="DG61" s="2806">
        <f ca="1">DG22</f>
        <v>5</v>
      </c>
      <c r="DH61" s="2862"/>
      <c r="DI61" s="2851">
        <f>DI22</f>
        <v>4.75</v>
      </c>
      <c r="DJ61" s="2851">
        <f>DJ22</f>
        <v>4.75</v>
      </c>
      <c r="DK61" s="2851">
        <f>DK22</f>
        <v>4.75</v>
      </c>
      <c r="DL61" s="2806">
        <f>DL22</f>
        <v>4.75</v>
      </c>
      <c r="DM61" s="2842"/>
      <c r="DN61" s="2806">
        <f t="shared" ref="DN61:DQ61" si="119">DN22</f>
        <v>4.5</v>
      </c>
      <c r="DO61" s="2806">
        <f t="shared" si="119"/>
        <v>4.5</v>
      </c>
      <c r="DP61" s="2806">
        <f t="shared" si="119"/>
        <v>4.5</v>
      </c>
      <c r="DQ61" s="2806">
        <f t="shared" si="119"/>
        <v>4.5</v>
      </c>
      <c r="DR61" s="2026"/>
    </row>
    <row r="62" spans="1:122" hidden="1" outlineLevel="1">
      <c r="A62" s="1108" t="s">
        <v>1030</v>
      </c>
      <c r="B62" s="1357"/>
      <c r="C62" s="1357"/>
      <c r="D62" s="1357"/>
      <c r="E62" s="1357"/>
      <c r="F62" s="1357"/>
      <c r="G62" s="1357"/>
      <c r="H62" s="1357">
        <f t="shared" ref="H62:M62" si="120">-H32+H16+H15</f>
        <v>3.2</v>
      </c>
      <c r="I62" s="1357">
        <f t="shared" si="120"/>
        <v>-21.4</v>
      </c>
      <c r="J62" s="1357">
        <f t="shared" si="120"/>
        <v>17944.5</v>
      </c>
      <c r="K62" s="1357">
        <f t="shared" si="120"/>
        <v>9527.1</v>
      </c>
      <c r="L62" s="1357">
        <f t="shared" si="120"/>
        <v>85.5</v>
      </c>
      <c r="M62" s="1357">
        <f t="shared" si="120"/>
        <v>30.6</v>
      </c>
      <c r="N62" s="1357">
        <f>N32+N16+N15</f>
        <v>14407.000000000002</v>
      </c>
      <c r="O62" s="1369"/>
      <c r="P62" s="1357">
        <f>P32+P16+P15</f>
        <v>-34</v>
      </c>
      <c r="Q62" s="1357">
        <f>Q32+Q16+Q15</f>
        <v>14266.000000000002</v>
      </c>
      <c r="R62" s="1357">
        <f>-R32+R16+R15</f>
        <v>213</v>
      </c>
      <c r="S62" s="1357">
        <f>-S32+S16+S15</f>
        <v>61.899999999999984</v>
      </c>
      <c r="T62" s="1357">
        <f>-T32+T16+T15</f>
        <v>54</v>
      </c>
      <c r="U62" s="1357">
        <f>-U32+U16+U15</f>
        <v>56</v>
      </c>
      <c r="V62" s="1357">
        <f>-V32+V16+V15</f>
        <v>14</v>
      </c>
      <c r="W62" s="1465">
        <f>W32+W16+W15</f>
        <v>-304</v>
      </c>
      <c r="X62" s="1357">
        <f>-X32+X16+X15</f>
        <v>13</v>
      </c>
      <c r="Y62" s="1357">
        <f>-Y32+Y16+Y15</f>
        <v>460</v>
      </c>
      <c r="Z62" s="1465">
        <f>-Z32+Z16+Z15</f>
        <v>452</v>
      </c>
      <c r="AA62" s="1465">
        <f t="shared" ref="AA62:AH62" si="121">-AA32+AA16+AA15</f>
        <v>702</v>
      </c>
      <c r="AB62" s="1465"/>
      <c r="AC62" s="1465">
        <f t="shared" si="121"/>
        <v>-4</v>
      </c>
      <c r="AD62" s="1465">
        <f t="shared" si="121"/>
        <v>0</v>
      </c>
      <c r="AE62" s="1465">
        <f t="shared" si="121"/>
        <v>0</v>
      </c>
      <c r="AF62" s="1465">
        <f t="shared" si="121"/>
        <v>0</v>
      </c>
      <c r="AG62" s="1465">
        <f t="shared" si="121"/>
        <v>0</v>
      </c>
      <c r="AH62" s="1465">
        <f t="shared" si="121"/>
        <v>0</v>
      </c>
      <c r="AI62" s="1465">
        <f t="shared" ref="AI62:AN62" si="122">-AI32+AI16+AI15</f>
        <v>0</v>
      </c>
      <c r="AJ62" s="1465">
        <f t="shared" si="122"/>
        <v>0</v>
      </c>
      <c r="AK62" s="1465">
        <f t="shared" si="122"/>
        <v>0</v>
      </c>
      <c r="AL62" s="1465">
        <f t="shared" si="122"/>
        <v>0</v>
      </c>
      <c r="AM62" s="1465">
        <f t="shared" si="122"/>
        <v>0</v>
      </c>
      <c r="AN62" s="1465">
        <f t="shared" si="122"/>
        <v>0</v>
      </c>
      <c r="AO62" s="1357"/>
      <c r="AP62" s="1357"/>
      <c r="AQ62" s="1357"/>
      <c r="AR62" s="1357"/>
      <c r="AS62" s="1357"/>
      <c r="AT62" s="1357"/>
      <c r="AU62" s="1108" t="str">
        <f t="shared" si="3"/>
        <v>Add:  Nonrecurring Losses/(Income)</v>
      </c>
      <c r="AV62" s="1108"/>
      <c r="AW62" s="1108"/>
      <c r="AX62" s="1108"/>
      <c r="AY62" s="1108"/>
      <c r="AZ62" s="1700"/>
      <c r="BA62" s="1894" t="s">
        <v>737</v>
      </c>
      <c r="BB62" s="1894" t="s">
        <v>737</v>
      </c>
      <c r="BC62" s="1894" t="s">
        <v>737</v>
      </c>
      <c r="BD62" s="1894" t="s">
        <v>737</v>
      </c>
      <c r="BE62" s="1687"/>
      <c r="BF62" s="1357">
        <f>-BF32+BF16+BF15</f>
        <v>6.8</v>
      </c>
      <c r="BG62" s="1357">
        <f>-BG32+BG16+BG15</f>
        <v>17.2</v>
      </c>
      <c r="BH62" s="1357">
        <f>-BH32+BH16+BH15</f>
        <v>9.1999999999999993</v>
      </c>
      <c r="BI62" s="1357">
        <f>-BI32+BI16+BI15</f>
        <v>52.300000000000004</v>
      </c>
      <c r="BJ62" s="1357"/>
      <c r="BK62" s="1357">
        <f>BK32+BK16+BK15</f>
        <v>-4.9000000000000004</v>
      </c>
      <c r="BL62" s="1357">
        <f>BL32+BL16+BL15-9.2-12.6</f>
        <v>-17.5</v>
      </c>
      <c r="BM62" s="1357">
        <f>BM32+BM16+BM15</f>
        <v>-8.3000000000000007</v>
      </c>
      <c r="BN62" s="1357">
        <f>-BN32+BN16+BN15+24.8+57.3</f>
        <v>110.6</v>
      </c>
      <c r="BO62" s="1108"/>
      <c r="BP62" s="1357">
        <f>BP32+BP16+BP15</f>
        <v>44.699999999999996</v>
      </c>
      <c r="BQ62" s="1357">
        <f>-BQ32+BQ16+BQ15</f>
        <v>-120.9</v>
      </c>
      <c r="BR62" s="1357">
        <f>BR32+BR16+BR15</f>
        <v>14078.600000000002</v>
      </c>
      <c r="BS62" s="1357">
        <f>BS32+BS16+BS15</f>
        <v>154.80000000000001</v>
      </c>
      <c r="BT62" s="1108"/>
      <c r="BU62" s="1357">
        <f>BU32+BU16+BU15</f>
        <v>-11.9</v>
      </c>
      <c r="BV62" s="1357">
        <f>BV32+BV16+BV15</f>
        <v>-29.299999999999997</v>
      </c>
      <c r="BW62" s="1357">
        <f>BW32+BW16+BW15</f>
        <v>18.700000000000003</v>
      </c>
      <c r="BX62" s="1357">
        <f>BX32+BX16+BX15</f>
        <v>169.3</v>
      </c>
      <c r="BY62" s="1108"/>
      <c r="BZ62" s="1357">
        <f>BZ32+BZ16+BZ15</f>
        <v>-67.8</v>
      </c>
      <c r="CA62" s="1357">
        <f>CA32+CA16+CA15</f>
        <v>-52.199999999999996</v>
      </c>
      <c r="CB62" s="1357">
        <f>CB32+CB16+CB15</f>
        <v>121.4</v>
      </c>
      <c r="CC62" s="1357">
        <f>CC32+CC16+CC15</f>
        <v>-16.299999999999997</v>
      </c>
      <c r="CD62" s="1108"/>
      <c r="CE62" s="1357">
        <f>-CE32+CE16+CE15</f>
        <v>-6</v>
      </c>
      <c r="CF62" s="1357">
        <f>CF32+CF16+CF15</f>
        <v>5</v>
      </c>
      <c r="CG62" s="1357">
        <f>CG32+CG16+CG15</f>
        <v>-15</v>
      </c>
      <c r="CH62" s="1357">
        <f>CH32+CH16+CH15</f>
        <v>-50</v>
      </c>
      <c r="CI62" s="2026"/>
      <c r="CJ62" s="1357">
        <f>CJ32+CJ16+CJ15</f>
        <v>41</v>
      </c>
      <c r="CK62" s="1357">
        <f>CK32+CK16+CK15</f>
        <v>3</v>
      </c>
      <c r="CL62" s="1357">
        <f>CL32+CL16+CL15</f>
        <v>-60</v>
      </c>
      <c r="CM62" s="1357">
        <f>CM32+CM16+CM15</f>
        <v>-18</v>
      </c>
      <c r="CN62" s="2026"/>
      <c r="CO62" s="1357">
        <f>CO32+CO16+CO15</f>
        <v>-2</v>
      </c>
      <c r="CP62" s="1357">
        <f>CP32+CP16+CP15</f>
        <v>-7</v>
      </c>
      <c r="CQ62" s="1357">
        <f>CQ32+CQ16+CQ15</f>
        <v>7</v>
      </c>
      <c r="CR62" s="1357">
        <f>CR32+CR16+CR15</f>
        <v>-12</v>
      </c>
      <c r="CS62" s="2026"/>
      <c r="CT62" s="1465">
        <f>CT32+CT16+CT15</f>
        <v>5</v>
      </c>
      <c r="CU62" s="1465">
        <f>CU32+CU16+CU15</f>
        <v>6</v>
      </c>
      <c r="CV62" s="1465">
        <f>CV32+CV16+CV15</f>
        <v>-295</v>
      </c>
      <c r="CW62" s="1357">
        <f>CW32+CW16+CW15</f>
        <v>-20</v>
      </c>
      <c r="CX62" s="2026">
        <f t="shared" si="113"/>
        <v>0</v>
      </c>
      <c r="CY62" s="1357">
        <f>-CY32+CY16+CY15</f>
        <v>4</v>
      </c>
      <c r="CZ62" s="1357">
        <f>-CZ32+CZ16+CZ15</f>
        <v>51</v>
      </c>
      <c r="DA62" s="1357">
        <f>-DA32+DA16+DA15</f>
        <v>4</v>
      </c>
      <c r="DB62" s="1357">
        <f>-DB32+DB16+DB15</f>
        <v>393</v>
      </c>
      <c r="DC62" s="2870">
        <f t="shared" si="114"/>
        <v>0</v>
      </c>
      <c r="DD62" s="2806">
        <f>-DD32+DD16+DD15</f>
        <v>-6</v>
      </c>
      <c r="DE62" s="2806">
        <f>-DE32+DE16+DE15</f>
        <v>4</v>
      </c>
      <c r="DF62" s="2806">
        <f>-DF32+DF16+DF15</f>
        <v>0</v>
      </c>
      <c r="DG62" s="2806">
        <f>-DG32+DG16+DG15</f>
        <v>254</v>
      </c>
      <c r="DH62" s="2862"/>
      <c r="DI62" s="2806">
        <f>-DI32+DI16+DI15</f>
        <v>-1</v>
      </c>
      <c r="DJ62" s="2806">
        <f>-DJ32+DJ16+DJ15</f>
        <v>-5</v>
      </c>
      <c r="DK62" s="2806">
        <f>-DK32+DK16+DK15</f>
        <v>2</v>
      </c>
      <c r="DL62" s="2806">
        <f>-DL32+DL16+DL15</f>
        <v>0</v>
      </c>
      <c r="DM62" s="2842"/>
      <c r="DN62" s="2806">
        <f t="shared" ref="DN62:DQ62" si="123">-DN32+DN16+DN15</f>
        <v>0</v>
      </c>
      <c r="DO62" s="2806">
        <f t="shared" si="123"/>
        <v>0</v>
      </c>
      <c r="DP62" s="2806">
        <f t="shared" si="123"/>
        <v>0</v>
      </c>
      <c r="DQ62" s="2806">
        <f t="shared" si="123"/>
        <v>0</v>
      </c>
      <c r="DR62" s="2026"/>
    </row>
    <row r="63" spans="1:122" hidden="1" outlineLevel="1">
      <c r="A63" s="1108" t="s">
        <v>496</v>
      </c>
      <c r="B63" s="1357"/>
      <c r="C63" s="1357"/>
      <c r="D63" s="1357"/>
      <c r="E63" s="1357"/>
      <c r="F63" s="1357"/>
      <c r="G63" s="1357"/>
      <c r="H63" s="1357">
        <f>SUM(H61:H62)*-H664</f>
        <v>-37.470720138163863</v>
      </c>
      <c r="I63" s="1357">
        <f>SUM(I61:I62)*-I664</f>
        <v>-27.545624999999962</v>
      </c>
      <c r="J63" s="1357">
        <f>J61*-J664</f>
        <v>-34.030124999999991</v>
      </c>
      <c r="K63" s="1357">
        <f>K61*-K664</f>
        <v>-38.150488999999951</v>
      </c>
      <c r="L63" s="1357">
        <f>L61*-L664</f>
        <v>-32.387002391334931</v>
      </c>
      <c r="M63" s="1357">
        <f>M61*-M664</f>
        <v>-32.021671971540911</v>
      </c>
      <c r="N63" s="1357">
        <f>N61*-N664</f>
        <v>-39.5625</v>
      </c>
      <c r="O63" s="1369"/>
      <c r="P63" s="1357">
        <f>M63</f>
        <v>-32.021671971540911</v>
      </c>
      <c r="Q63" s="1357">
        <f>N63</f>
        <v>-39.5625</v>
      </c>
      <c r="R63" s="1357">
        <f>R61*-R664</f>
        <v>-48.75</v>
      </c>
      <c r="S63" s="1357">
        <f>S61*-S664</f>
        <v>-49.4</v>
      </c>
      <c r="T63" s="1357">
        <f>T61*-T664</f>
        <v>-46.948</v>
      </c>
      <c r="U63" s="1357">
        <f>U61*-U664</f>
        <v>-37.623584537290128</v>
      </c>
      <c r="V63" s="1357">
        <f>V61*-V664</f>
        <v>-35.692095270969972</v>
      </c>
      <c r="W63" s="1913">
        <f>+SUM(CT63:CW63)</f>
        <v>-12.572926418273733</v>
      </c>
      <c r="X63" s="1357">
        <f>X61*-X664</f>
        <v>0</v>
      </c>
      <c r="Y63" s="1357">
        <f>Y61*-Y664</f>
        <v>0</v>
      </c>
      <c r="Z63" s="1913">
        <f>+SUM(CY63:DB63)</f>
        <v>-9.0519031141868513</v>
      </c>
      <c r="AA63" s="1913">
        <f t="shared" ref="AA63:AK63" ca="1" si="124">AA61*-AA664</f>
        <v>-7.5246636771300448</v>
      </c>
      <c r="AB63" s="1913"/>
      <c r="AC63" s="1913">
        <f t="shared" si="124"/>
        <v>-7.03</v>
      </c>
      <c r="AD63" s="1913">
        <f t="shared" si="124"/>
        <v>-4.41</v>
      </c>
      <c r="AE63" s="1913">
        <f t="shared" ca="1" si="124"/>
        <v>-4.41</v>
      </c>
      <c r="AF63" s="1913">
        <f t="shared" ca="1" si="124"/>
        <v>-3.6749999999999985</v>
      </c>
      <c r="AG63" s="1913">
        <f t="shared" ca="1" si="124"/>
        <v>-3.1850000000000018</v>
      </c>
      <c r="AH63" s="1913">
        <f t="shared" ca="1" si="124"/>
        <v>-3.1723727961497614</v>
      </c>
      <c r="AI63" s="1913">
        <f t="shared" ca="1" si="124"/>
        <v>-2.672271033069566</v>
      </c>
      <c r="AJ63" s="1913">
        <f t="shared" ca="1" si="124"/>
        <v>-2.6641896226054129</v>
      </c>
      <c r="AK63" s="1913">
        <f t="shared" ca="1" si="124"/>
        <v>-2.6577244942340901</v>
      </c>
      <c r="AL63" s="1913">
        <f ca="1">AL61*-AL664</f>
        <v>-2.6525523915370335</v>
      </c>
      <c r="AM63" s="1913">
        <f ca="1">AM61*-AM664</f>
        <v>-2.6484147093793866</v>
      </c>
      <c r="AN63" s="1913">
        <f ca="1">AN61*-AN664</f>
        <v>-2.6451045636532666</v>
      </c>
      <c r="AO63" s="1357"/>
      <c r="AP63" s="1357"/>
      <c r="AQ63" s="1357"/>
      <c r="AR63" s="1357"/>
      <c r="AS63" s="1357"/>
      <c r="AT63" s="1357"/>
      <c r="AU63" s="1108" t="str">
        <f t="shared" si="3"/>
        <v>Tax Prov./(Benefit) Related to Non-recurring Items</v>
      </c>
      <c r="AV63" s="1108"/>
      <c r="AW63" s="1108"/>
      <c r="AX63" s="1108"/>
      <c r="AY63" s="1108"/>
      <c r="AZ63" s="1700"/>
      <c r="BA63" s="1894" t="s">
        <v>737</v>
      </c>
      <c r="BB63" s="1894" t="s">
        <v>737</v>
      </c>
      <c r="BC63" s="1894" t="s">
        <v>737</v>
      </c>
      <c r="BD63" s="1894" t="s">
        <v>737</v>
      </c>
      <c r="BE63" s="1687"/>
      <c r="BF63" s="1357">
        <f>SUM(BF61:BF62)*-$L664</f>
        <v>-10.322661415107611</v>
      </c>
      <c r="BG63" s="1357">
        <f>SUM(BG61:BG62)*-$L664</f>
        <v>-14.106709804473203</v>
      </c>
      <c r="BH63" s="1357">
        <f>SUM(BH61:BH62)*-$L664</f>
        <v>-11.880798987199325</v>
      </c>
      <c r="BI63" s="1357">
        <f>SUM(BI61:BI62)*-$L664</f>
        <v>-27.796061330707555</v>
      </c>
      <c r="BJ63" s="1357"/>
      <c r="BK63" s="1357">
        <f>SUM(BK61:BK62)*-$M664</f>
        <v>-6.4730925856581178</v>
      </c>
      <c r="BL63" s="1357">
        <f>SUM(BL61:BL62)*-$M664</f>
        <v>-1.5225028084628349</v>
      </c>
      <c r="BM63" s="1357">
        <f>SUM(BM61:BM62)*-$M664</f>
        <v>-5.1372191537165328</v>
      </c>
      <c r="BN63" s="1357">
        <f>-BN61-18.8+1.8</f>
        <v>-38.375</v>
      </c>
      <c r="BO63" s="1108"/>
      <c r="BP63" s="1357">
        <f>BP61*-$M664</f>
        <v>-7.8089660175997011</v>
      </c>
      <c r="BQ63" s="1357">
        <f>SUM(BQ61:BQ62)*-$M664</f>
        <v>39.693121606440748</v>
      </c>
      <c r="BR63" s="1357">
        <f>BR61*-$M664</f>
        <v>-12.916717375023405</v>
      </c>
      <c r="BS63" s="1357">
        <f>BS61*-$M664</f>
        <v>-12.916717375023405</v>
      </c>
      <c r="BT63" s="1108"/>
      <c r="BU63" s="1357">
        <f>BU61*-$M664</f>
        <v>-12.76937839355926</v>
      </c>
      <c r="BV63" s="1357">
        <f>BV61*-$M664</f>
        <v>-12.76937839355926</v>
      </c>
      <c r="BW63" s="1357">
        <f>BW61*-$M664</f>
        <v>-12.76937839355926</v>
      </c>
      <c r="BX63" s="1357">
        <f>BX61*-$M664</f>
        <v>-12.76937839355926</v>
      </c>
      <c r="BY63" s="1108"/>
      <c r="BZ63" s="1357">
        <f>BZ61*-$M664</f>
        <v>-12.76937839355926</v>
      </c>
      <c r="CA63" s="1357">
        <f>CA61*-$M664</f>
        <v>-12.76937839355926</v>
      </c>
      <c r="CB63" s="1357">
        <f>CB61*-$M664</f>
        <v>-12.76937839355926</v>
      </c>
      <c r="CC63" s="1357">
        <f>CC61*-$M664</f>
        <v>-12.76937839355926</v>
      </c>
      <c r="CD63" s="1108"/>
      <c r="CE63" s="1357">
        <f>CE61*-$M664</f>
        <v>-11.885344504774388</v>
      </c>
      <c r="CF63" s="1357">
        <f>CF61*-$M664</f>
        <v>-11.885344504774388</v>
      </c>
      <c r="CG63" s="1357">
        <f>CG61*-$M664</f>
        <v>-11.885344504774388</v>
      </c>
      <c r="CH63" s="1357">
        <f>CH61*-$M664</f>
        <v>-11.885344504774388</v>
      </c>
      <c r="CI63" s="2026"/>
      <c r="CJ63" s="1357">
        <f>CJ61*-$M664</f>
        <v>-10.392309492604383</v>
      </c>
      <c r="CK63" s="1357">
        <f>CK61*-$M664</f>
        <v>-10.392309492604381</v>
      </c>
      <c r="CL63" s="1357">
        <f>CL61*-$M664</f>
        <v>-10.392309492604383</v>
      </c>
      <c r="CM63" s="1357">
        <f>CM61*-$M664</f>
        <v>-10.470890282718591</v>
      </c>
      <c r="CN63" s="2026"/>
      <c r="CO63" s="1357">
        <f>CO61*-$M664</f>
        <v>-9.8225987642763535</v>
      </c>
      <c r="CP63" s="1357">
        <f>CP61*-$M664</f>
        <v>-9.7833083692192506</v>
      </c>
      <c r="CQ63" s="1357">
        <f>CQ61*-$M664</f>
        <v>-9.9404699494476709</v>
      </c>
      <c r="CR63" s="1357">
        <f>CR61*-$M664</f>
        <v>-9.7440179741621424</v>
      </c>
      <c r="CS63" s="2026"/>
      <c r="CT63" s="1465">
        <f>CT61*-$M664</f>
        <v>-3.1432316045684332</v>
      </c>
      <c r="CU63" s="1465">
        <f>CU61*-$M664</f>
        <v>-3.1432316045684332</v>
      </c>
      <c r="CV63" s="1465">
        <f>CV61*-$M664</f>
        <v>-3.1432316045684332</v>
      </c>
      <c r="CW63" s="1357">
        <f>CW61*-$M664</f>
        <v>-3.1432316045684332</v>
      </c>
      <c r="CX63" s="2026">
        <f t="shared" si="113"/>
        <v>0</v>
      </c>
      <c r="CY63" s="1465">
        <f>CY61*-$Z664</f>
        <v>-2.2629757785467128</v>
      </c>
      <c r="CZ63" s="1465">
        <f>CZ61*-$Z664</f>
        <v>-2.2629757785467128</v>
      </c>
      <c r="DA63" s="1465">
        <f>DA61*-$Z664</f>
        <v>-2.2629757785467128</v>
      </c>
      <c r="DB63" s="1465">
        <f>DB61*-$Z664</f>
        <v>-2.2629757785467128</v>
      </c>
      <c r="DC63" s="2870">
        <f t="shared" si="114"/>
        <v>0</v>
      </c>
      <c r="DD63" s="2851">
        <f ca="1">DD61*-$Z664</f>
        <v>-1.8858131487889274</v>
      </c>
      <c r="DE63" s="2851">
        <f ca="1">DE61*-$Z664</f>
        <v>-1.8858131487889274</v>
      </c>
      <c r="DF63" s="2851">
        <f ca="1">DF61*-$Z664</f>
        <v>-1.8858131487889274</v>
      </c>
      <c r="DG63" s="2851">
        <f ca="1">DG61*-$Z664</f>
        <v>-1.8858131487889274</v>
      </c>
      <c r="DH63" s="2862"/>
      <c r="DI63" s="2851">
        <f>DI61*-$Z664</f>
        <v>-1.7915224913494809</v>
      </c>
      <c r="DJ63" s="2851">
        <f>DJ61*-Z664</f>
        <v>-1.7915224913494809</v>
      </c>
      <c r="DK63" s="2851">
        <f>DK61*-$Z664</f>
        <v>-1.7915224913494809</v>
      </c>
      <c r="DL63" s="2851">
        <f>DL61*-$Z664</f>
        <v>-1.7915224913494809</v>
      </c>
      <c r="DM63" s="2842"/>
      <c r="DN63" s="2851">
        <f t="shared" ref="DN63:DQ63" si="125">DN61*-$Z664</f>
        <v>-1.6972318339100347</v>
      </c>
      <c r="DO63" s="2851">
        <f t="shared" si="125"/>
        <v>-1.6972318339100347</v>
      </c>
      <c r="DP63" s="2851">
        <f t="shared" si="125"/>
        <v>-1.6972318339100347</v>
      </c>
      <c r="DQ63" s="2851">
        <f t="shared" si="125"/>
        <v>-1.6972318339100347</v>
      </c>
      <c r="DR63" s="2026"/>
    </row>
    <row r="64" spans="1:122" hidden="1" outlineLevel="1">
      <c r="A64" s="1108" t="s">
        <v>1031</v>
      </c>
      <c r="B64" s="1357"/>
      <c r="C64" s="1357"/>
      <c r="D64" s="1357"/>
      <c r="E64" s="1357"/>
      <c r="F64" s="1357"/>
      <c r="G64" s="1357"/>
      <c r="H64" s="1708">
        <f>-H36</f>
        <v>0</v>
      </c>
      <c r="I64" s="1439">
        <f t="shared" ref="I64:W64" si="126">-I36</f>
        <v>0</v>
      </c>
      <c r="J64" s="1439">
        <f t="shared" si="126"/>
        <v>-129.10000000000002</v>
      </c>
      <c r="K64" s="1439">
        <f t="shared" si="126"/>
        <v>0</v>
      </c>
      <c r="L64" s="1439">
        <f t="shared" si="126"/>
        <v>-125.90299999999993</v>
      </c>
      <c r="M64" s="1439">
        <f t="shared" si="126"/>
        <v>43.5</v>
      </c>
      <c r="N64" s="1439">
        <f t="shared" si="126"/>
        <v>-1536.1999999999998</v>
      </c>
      <c r="O64" s="1369"/>
      <c r="P64" s="1439">
        <f>M64</f>
        <v>43.5</v>
      </c>
      <c r="Q64" s="1439">
        <f>N64</f>
        <v>-1536.1999999999998</v>
      </c>
      <c r="R64" s="1439">
        <f t="shared" si="126"/>
        <v>0</v>
      </c>
      <c r="S64" s="1439">
        <f t="shared" si="126"/>
        <v>0</v>
      </c>
      <c r="T64" s="1439">
        <f t="shared" si="126"/>
        <v>0</v>
      </c>
      <c r="U64" s="1439">
        <f t="shared" si="126"/>
        <v>0</v>
      </c>
      <c r="V64" s="1439">
        <f t="shared" si="126"/>
        <v>0</v>
      </c>
      <c r="W64" s="1439">
        <f t="shared" si="126"/>
        <v>0</v>
      </c>
      <c r="X64" s="1439">
        <f>-X36</f>
        <v>0</v>
      </c>
      <c r="Y64" s="1439">
        <f>-Y36</f>
        <v>0</v>
      </c>
      <c r="Z64" s="1439">
        <f>-Z36</f>
        <v>0</v>
      </c>
      <c r="AA64" s="1439">
        <f t="shared" ref="AA64:AH64" si="127">-AA36</f>
        <v>0</v>
      </c>
      <c r="AB64" s="1439"/>
      <c r="AC64" s="1439">
        <f t="shared" si="127"/>
        <v>0</v>
      </c>
      <c r="AD64" s="1439">
        <f t="shared" si="127"/>
        <v>0</v>
      </c>
      <c r="AE64" s="1439">
        <f t="shared" si="127"/>
        <v>0</v>
      </c>
      <c r="AF64" s="1439">
        <f t="shared" si="127"/>
        <v>0</v>
      </c>
      <c r="AG64" s="1439">
        <f t="shared" si="127"/>
        <v>0</v>
      </c>
      <c r="AH64" s="1439">
        <f t="shared" si="127"/>
        <v>0</v>
      </c>
      <c r="AI64" s="1439">
        <f t="shared" ref="AI64:AN64" si="128">-AI36</f>
        <v>0</v>
      </c>
      <c r="AJ64" s="1439">
        <f t="shared" si="128"/>
        <v>0</v>
      </c>
      <c r="AK64" s="1439">
        <f t="shared" si="128"/>
        <v>0</v>
      </c>
      <c r="AL64" s="1439">
        <f t="shared" si="128"/>
        <v>0</v>
      </c>
      <c r="AM64" s="1439">
        <f t="shared" si="128"/>
        <v>0</v>
      </c>
      <c r="AN64" s="1439">
        <f t="shared" si="128"/>
        <v>0</v>
      </c>
      <c r="AO64" s="1373"/>
      <c r="AP64" s="1373"/>
      <c r="AQ64" s="1373"/>
      <c r="AR64" s="1373"/>
      <c r="AS64" s="1373"/>
      <c r="AT64" s="1914"/>
      <c r="AU64" s="1108" t="str">
        <f t="shared" si="3"/>
        <v>Add: Nonrecurring Tax Expense / (Benefit)</v>
      </c>
      <c r="AV64" s="1108"/>
      <c r="AW64" s="1108"/>
      <c r="AX64" s="1108"/>
      <c r="AY64" s="1108"/>
      <c r="AZ64" s="1700"/>
      <c r="BA64" s="1894" t="s">
        <v>737</v>
      </c>
      <c r="BB64" s="1894" t="s">
        <v>737</v>
      </c>
      <c r="BC64" s="1894" t="s">
        <v>737</v>
      </c>
      <c r="BD64" s="1894" t="s">
        <v>737</v>
      </c>
      <c r="BE64" s="1687"/>
      <c r="BF64" s="1439">
        <f>-BF36</f>
        <v>0</v>
      </c>
      <c r="BG64" s="1439">
        <f>-BG36</f>
        <v>-122.00299999999993</v>
      </c>
      <c r="BH64" s="1439">
        <f>-BH36</f>
        <v>-3.9</v>
      </c>
      <c r="BI64" s="1439">
        <f>-BI36</f>
        <v>0</v>
      </c>
      <c r="BJ64" s="1708"/>
      <c r="BK64" s="1439">
        <f>-BK36</f>
        <v>43.5</v>
      </c>
      <c r="BL64" s="1439">
        <f>-BL36</f>
        <v>0</v>
      </c>
      <c r="BM64" s="1439">
        <f>-BM36</f>
        <v>0</v>
      </c>
      <c r="BN64" s="1439">
        <f>-BN36</f>
        <v>0</v>
      </c>
      <c r="BO64" s="1108"/>
      <c r="BP64" s="1439">
        <f>-BP36</f>
        <v>-17.8</v>
      </c>
      <c r="BQ64" s="1439">
        <f>-BQ36</f>
        <v>0</v>
      </c>
      <c r="BR64" s="1439">
        <f>-BR36</f>
        <v>-1447.8</v>
      </c>
      <c r="BS64" s="1439">
        <f>-BS36</f>
        <v>-70.599999999999994</v>
      </c>
      <c r="BT64" s="1108"/>
      <c r="BU64" s="1439">
        <f>-BU36</f>
        <v>0</v>
      </c>
      <c r="BV64" s="1439">
        <f>-BV36</f>
        <v>0</v>
      </c>
      <c r="BW64" s="1439">
        <f>-BW36</f>
        <v>0</v>
      </c>
      <c r="BX64" s="1439">
        <f>-BX36</f>
        <v>0</v>
      </c>
      <c r="BY64" s="1108"/>
      <c r="BZ64" s="1439">
        <f>-BZ36</f>
        <v>0</v>
      </c>
      <c r="CA64" s="1439">
        <f>-CA36</f>
        <v>0</v>
      </c>
      <c r="CB64" s="1439">
        <f>-CB36</f>
        <v>0</v>
      </c>
      <c r="CC64" s="1439">
        <f>-CC36</f>
        <v>0</v>
      </c>
      <c r="CD64" s="1108"/>
      <c r="CE64" s="1439">
        <f>-CE36</f>
        <v>0</v>
      </c>
      <c r="CF64" s="1439">
        <f>-CF36</f>
        <v>0</v>
      </c>
      <c r="CG64" s="1439">
        <f>-CG36</f>
        <v>0</v>
      </c>
      <c r="CH64" s="1439">
        <f>-CH36</f>
        <v>0</v>
      </c>
      <c r="CI64" s="2026"/>
      <c r="CJ64" s="1439">
        <f>-CJ36</f>
        <v>0</v>
      </c>
      <c r="CK64" s="1439">
        <f>-CK36</f>
        <v>0</v>
      </c>
      <c r="CL64" s="1439">
        <f>-CL36</f>
        <v>0</v>
      </c>
      <c r="CM64" s="1439">
        <f>-CM36</f>
        <v>0</v>
      </c>
      <c r="CN64" s="2026"/>
      <c r="CO64" s="1439">
        <f>-CO36</f>
        <v>0</v>
      </c>
      <c r="CP64" s="1439">
        <f>-CP36</f>
        <v>0</v>
      </c>
      <c r="CQ64" s="1439">
        <f>-CQ36</f>
        <v>0</v>
      </c>
      <c r="CR64" s="1439">
        <f>-CR36</f>
        <v>0</v>
      </c>
      <c r="CS64" s="2026"/>
      <c r="CT64" s="1458">
        <f>-CT36</f>
        <v>0</v>
      </c>
      <c r="CU64" s="1458">
        <f>-CU36</f>
        <v>0</v>
      </c>
      <c r="CV64" s="1458">
        <f>-CV36</f>
        <v>0</v>
      </c>
      <c r="CW64" s="1439">
        <f>-CW36</f>
        <v>0</v>
      </c>
      <c r="CX64" s="2026">
        <f t="shared" si="113"/>
        <v>0</v>
      </c>
      <c r="CY64" s="1458">
        <f>-CY36</f>
        <v>0</v>
      </c>
      <c r="CZ64" s="1458">
        <f>-CZ36</f>
        <v>0</v>
      </c>
      <c r="DA64" s="1458">
        <f>-DA36</f>
        <v>0</v>
      </c>
      <c r="DB64" s="1439">
        <f>-DB36</f>
        <v>0</v>
      </c>
      <c r="DC64" s="2870">
        <f t="shared" si="114"/>
        <v>0</v>
      </c>
      <c r="DD64" s="2871">
        <f>-DD36</f>
        <v>0</v>
      </c>
      <c r="DE64" s="2871">
        <f>-DE36</f>
        <v>0</v>
      </c>
      <c r="DF64" s="2871">
        <f>-DF36</f>
        <v>0</v>
      </c>
      <c r="DG64" s="2872">
        <f>-DG36</f>
        <v>0</v>
      </c>
      <c r="DH64" s="2862"/>
      <c r="DI64" s="2871">
        <f>-DI36</f>
        <v>0</v>
      </c>
      <c r="DJ64" s="2871">
        <f>-DJ36</f>
        <v>0</v>
      </c>
      <c r="DK64" s="2871">
        <f>-DK36</f>
        <v>0</v>
      </c>
      <c r="DL64" s="2872">
        <f>-DL36</f>
        <v>0</v>
      </c>
      <c r="DM64" s="2842"/>
      <c r="DN64" s="2872">
        <f t="shared" ref="DN64:DQ64" si="129">-DN36</f>
        <v>0</v>
      </c>
      <c r="DO64" s="2872">
        <f t="shared" si="129"/>
        <v>0</v>
      </c>
      <c r="DP64" s="2872">
        <f t="shared" si="129"/>
        <v>0</v>
      </c>
      <c r="DQ64" s="2872">
        <f t="shared" si="129"/>
        <v>0</v>
      </c>
      <c r="DR64" s="2026"/>
    </row>
    <row r="65" spans="1:122" hidden="1" outlineLevel="1">
      <c r="A65" s="1108" t="s">
        <v>497</v>
      </c>
      <c r="B65" s="1687"/>
      <c r="C65" s="1687"/>
      <c r="D65" s="1687"/>
      <c r="E65" s="1687"/>
      <c r="F65" s="1687"/>
      <c r="G65" s="1687"/>
      <c r="H65" s="1687">
        <f t="shared" ref="H65:S65" si="130">SUM(H60:H64)</f>
        <v>1140.8201717610252</v>
      </c>
      <c r="I65" s="1654">
        <f t="shared" si="130"/>
        <v>1155.7293750000003</v>
      </c>
      <c r="J65" s="1654">
        <f t="shared" si="130"/>
        <v>1473.4948750000017</v>
      </c>
      <c r="K65" s="1654">
        <f t="shared" si="130"/>
        <v>1263.0050110000009</v>
      </c>
      <c r="L65" s="1654">
        <f t="shared" si="130"/>
        <v>1397.4099976086648</v>
      </c>
      <c r="M65" s="1654">
        <f t="shared" si="130"/>
        <v>1357.7783280284589</v>
      </c>
      <c r="N65" s="1654">
        <f t="shared" si="130"/>
        <v>1263.3374999999987</v>
      </c>
      <c r="O65" s="1369"/>
      <c r="P65" s="1654">
        <f t="shared" si="130"/>
        <v>1323.344953028459</v>
      </c>
      <c r="Q65" s="1654">
        <f t="shared" si="130"/>
        <v>1252.2912489599994</v>
      </c>
      <c r="R65" s="1654">
        <f t="shared" si="130"/>
        <v>520.75000000000034</v>
      </c>
      <c r="S65" s="1654">
        <f t="shared" si="130"/>
        <v>866.70000000000016</v>
      </c>
      <c r="T65" s="1654">
        <f t="shared" ref="T65:AH65" si="131">SUM(T60:T64)</f>
        <v>1519.0520000000004</v>
      </c>
      <c r="U65" s="1654">
        <f t="shared" si="131"/>
        <v>1758.3764154627095</v>
      </c>
      <c r="V65" s="1654">
        <f t="shared" si="131"/>
        <v>1951.30790472903</v>
      </c>
      <c r="W65" s="1654">
        <f t="shared" si="131"/>
        <v>1069.4270735817263</v>
      </c>
      <c r="X65" s="1654">
        <f t="shared" si="131"/>
        <v>1790.6</v>
      </c>
      <c r="Y65" s="1654">
        <f t="shared" si="131"/>
        <v>1846</v>
      </c>
      <c r="Z65" s="1654">
        <f>SUM(Z60:Z64)</f>
        <v>1869.9480968858131</v>
      </c>
      <c r="AA65" s="1654">
        <f t="shared" ca="1" si="131"/>
        <v>2011.4753363228699</v>
      </c>
      <c r="AB65" s="1654"/>
      <c r="AC65" s="1654">
        <f t="shared" ca="1" si="131"/>
        <v>1713.5608293759851</v>
      </c>
      <c r="AD65" s="1654">
        <f t="shared" ca="1" si="131"/>
        <v>1954.4089642968675</v>
      </c>
      <c r="AE65" s="1654">
        <f t="shared" ca="1" si="131"/>
        <v>2083.9145421209914</v>
      </c>
      <c r="AF65" s="1654">
        <f t="shared" ca="1" si="131"/>
        <v>2349.9882372507168</v>
      </c>
      <c r="AG65" s="1654">
        <f t="shared" ca="1" si="131"/>
        <v>2443.7075616399434</v>
      </c>
      <c r="AH65" s="1654">
        <f t="shared" ca="1" si="131"/>
        <v>2643.8329268020393</v>
      </c>
      <c r="AI65" s="1654">
        <f t="shared" ref="AI65:AN65" ca="1" si="132">SUM(AI60:AI64)</f>
        <v>2526.6145488747934</v>
      </c>
      <c r="AJ65" s="1654">
        <f t="shared" ca="1" si="132"/>
        <v>2619.8638810186958</v>
      </c>
      <c r="AK65" s="1654">
        <f t="shared" ca="1" si="132"/>
        <v>2635.7500747541667</v>
      </c>
      <c r="AL65" s="1654">
        <f t="shared" ca="1" si="132"/>
        <v>2611.5910441388451</v>
      </c>
      <c r="AM65" s="1654">
        <f t="shared" ca="1" si="132"/>
        <v>2586.7445206299562</v>
      </c>
      <c r="AN65" s="1654">
        <f t="shared" ca="1" si="132"/>
        <v>2740.9935460131119</v>
      </c>
      <c r="AO65" s="1654"/>
      <c r="AP65" s="1654"/>
      <c r="AQ65" s="1654"/>
      <c r="AR65" s="1654"/>
      <c r="AS65" s="1654"/>
      <c r="AT65" s="1687"/>
      <c r="AU65" s="1108" t="str">
        <f t="shared" si="3"/>
        <v>Adjusted Net Income</v>
      </c>
      <c r="AV65" s="1108"/>
      <c r="AW65" s="1108"/>
      <c r="AX65" s="1108"/>
      <c r="AY65" s="1108"/>
      <c r="AZ65" s="1700"/>
      <c r="BA65" s="1894" t="s">
        <v>737</v>
      </c>
      <c r="BB65" s="1894" t="s">
        <v>737</v>
      </c>
      <c r="BC65" s="1894" t="s">
        <v>737</v>
      </c>
      <c r="BD65" s="1894" t="s">
        <v>737</v>
      </c>
      <c r="BE65" s="1687"/>
      <c r="BF65" s="1654">
        <f>SUM(BF60:BF64)</f>
        <v>252.90233858489225</v>
      </c>
      <c r="BG65" s="1654">
        <f>SUM(BG60:BG64)</f>
        <v>373.51529019552675</v>
      </c>
      <c r="BH65" s="1654">
        <f>SUM(BH60:BH64)</f>
        <v>319.44420101280059</v>
      </c>
      <c r="BI65" s="1654">
        <f>SUM(BI60:BI64)</f>
        <v>419.82893866929243</v>
      </c>
      <c r="BJ65" s="1687"/>
      <c r="BK65" s="1654">
        <f>SUM(BK60:BK64)</f>
        <v>266.85190741434189</v>
      </c>
      <c r="BL65" s="1654">
        <f>SUM(BL60:BL64)</f>
        <v>400.70249719153725</v>
      </c>
      <c r="BM65" s="1654">
        <f>SUM(BM60:BM64)</f>
        <v>344.28778084628368</v>
      </c>
      <c r="BN65" s="1654">
        <f>SUM(BN60:BN64)</f>
        <v>367.35000000000014</v>
      </c>
      <c r="BO65" s="1108"/>
      <c r="BP65" s="1654">
        <f>SUM(BP60:BP64)</f>
        <v>298.0452837086504</v>
      </c>
      <c r="BQ65" s="1654">
        <f>SUM(BQ60:BQ64)</f>
        <v>350.46285228644081</v>
      </c>
      <c r="BR65" s="1654">
        <f>SUM(BR60:BR64)</f>
        <v>191.92725949291594</v>
      </c>
      <c r="BS65" s="1654">
        <f>SUM(BS60:BS64)</f>
        <v>218.71532535078907</v>
      </c>
      <c r="BT65" s="1108"/>
      <c r="BU65" s="1654">
        <f>SUM(BU60:BU64)</f>
        <v>-31.030845251859894</v>
      </c>
      <c r="BV65" s="1654">
        <f>SUM(BV60:BV64)</f>
        <v>11.741555131309147</v>
      </c>
      <c r="BW65" s="1654">
        <f>SUM(BW60:BW64)</f>
        <v>243.55802146628659</v>
      </c>
      <c r="BX65" s="1654">
        <f>SUM(BX60:BX64)</f>
        <v>227.95375508002752</v>
      </c>
      <c r="BY65" s="1108"/>
      <c r="BZ65" s="1654">
        <f>SUM(BZ60:BZ64)</f>
        <v>-74.269378393559208</v>
      </c>
      <c r="CA65" s="1654">
        <f>SUM(CA60:CA64)</f>
        <v>117.6306216064406</v>
      </c>
      <c r="CB65" s="1654">
        <f>SUM(CB60:CB64)</f>
        <v>458.43062160644081</v>
      </c>
      <c r="CC65" s="1654">
        <f>SUM(CC60:CC64)</f>
        <v>286.43062160644109</v>
      </c>
      <c r="CD65" s="1108"/>
      <c r="CE65" s="1654">
        <f>SUM(CE60:CE64)</f>
        <v>244.36465549522561</v>
      </c>
      <c r="CF65" s="1654">
        <f>SUM(CF60:CF64)</f>
        <v>445.36465549522563</v>
      </c>
      <c r="CG65" s="1654">
        <f>SUM(CG60:CG64)</f>
        <v>389.36465549522563</v>
      </c>
      <c r="CH65" s="1654">
        <f>SUM(CH60:CH64)</f>
        <v>319.36465549522563</v>
      </c>
      <c r="CI65" s="2026"/>
      <c r="CJ65" s="1654">
        <f>SUM(CJ60:CJ64)</f>
        <v>451.05769050739559</v>
      </c>
      <c r="CK65" s="1654">
        <f>SUM(CK60:CK64)</f>
        <v>471.05769050739548</v>
      </c>
      <c r="CL65" s="1654">
        <f>SUM(CL60:CL64)</f>
        <v>341.05769050739559</v>
      </c>
      <c r="CM65" s="1654">
        <f>SUM(CM60:CM64)</f>
        <v>401.17910971728139</v>
      </c>
      <c r="CN65" s="2026"/>
      <c r="CO65" s="1654">
        <f>SUM(CO60:CO64)</f>
        <v>476.17740123572366</v>
      </c>
      <c r="CP65" s="1654">
        <f>SUM(CP60:CP64)</f>
        <v>484.11669163078074</v>
      </c>
      <c r="CQ65" s="1654">
        <f>SUM(CQ60:CQ64)</f>
        <v>491.35953005055245</v>
      </c>
      <c r="CR65" s="1654">
        <f>SUM(CR60:CR64)</f>
        <v>468.05598202583786</v>
      </c>
      <c r="CS65" s="2026"/>
      <c r="CT65" s="2029">
        <f>SUM(CT60:CT64)</f>
        <v>471.85676839543157</v>
      </c>
      <c r="CU65" s="2029">
        <f>SUM(CU60:CU64)</f>
        <v>428.85676839543157</v>
      </c>
      <c r="CV65" s="2029">
        <f>SUM(CV60:CV64)</f>
        <v>-218.14323160456843</v>
      </c>
      <c r="CW65" s="1654">
        <f>SUM(CW60:CW64)</f>
        <v>386.85676839543157</v>
      </c>
      <c r="CX65" s="2026">
        <f t="shared" si="113"/>
        <v>0</v>
      </c>
      <c r="CY65" s="2029">
        <f>SUM(CY60:CY64)</f>
        <v>401.73702422145328</v>
      </c>
      <c r="CZ65" s="2029">
        <f>SUM(CZ60:CZ64)</f>
        <v>386.73702422145328</v>
      </c>
      <c r="DA65" s="2029">
        <f>SUM(DA60:DA64)</f>
        <v>433.73702422145328</v>
      </c>
      <c r="DB65" s="1654">
        <f>SUM(DB60:DB64)</f>
        <v>647.73702422145334</v>
      </c>
      <c r="DC65" s="2870">
        <f t="shared" si="114"/>
        <v>0</v>
      </c>
      <c r="DD65" s="2841">
        <f ca="1">SUM(DD60:DD64)</f>
        <v>439.11418685121106</v>
      </c>
      <c r="DE65" s="2841">
        <f ca="1">SUM(DE60:DE64)</f>
        <v>380.11418685121106</v>
      </c>
      <c r="DF65" s="2841">
        <f ca="1">SUM(DF60:DF64)</f>
        <v>469.11418685121106</v>
      </c>
      <c r="DG65" s="2801">
        <f ca="1">SUM(DG60:DG64)</f>
        <v>528.11418685121112</v>
      </c>
      <c r="DH65" s="2862"/>
      <c r="DI65" s="2841">
        <f>SUM(DI60:DI64)</f>
        <v>455.9584775086505</v>
      </c>
      <c r="DJ65" s="2841">
        <f>SUM(DJ60:DJ64)</f>
        <v>394.9584775086505</v>
      </c>
      <c r="DK65" s="2841">
        <f>SUM(DK60:DK64)</f>
        <v>422.9584775086505</v>
      </c>
      <c r="DL65" s="2801">
        <f ca="1">SUM(DL60:DL64)</f>
        <v>439.54930688463571</v>
      </c>
      <c r="DM65" s="2842"/>
      <c r="DN65" s="2801">
        <f t="shared" ref="DN65:DQ65" ca="1" si="133">SUM(DN60:DN64)</f>
        <v>460.2087628251918</v>
      </c>
      <c r="DO65" s="2801">
        <f t="shared" ca="1" si="133"/>
        <v>452.07240855651833</v>
      </c>
      <c r="DP65" s="2801">
        <f t="shared" ca="1" si="133"/>
        <v>494.06573974705111</v>
      </c>
      <c r="DQ65" s="2801">
        <f t="shared" ca="1" si="133"/>
        <v>545.68312583246654</v>
      </c>
      <c r="DR65" s="2026"/>
    </row>
    <row r="66" spans="1:122" ht="5.0999999999999996" hidden="1" customHeight="1" outlineLevel="1">
      <c r="A66" s="1108"/>
      <c r="B66" s="1108"/>
      <c r="C66" s="1108"/>
      <c r="D66" s="1108"/>
      <c r="E66" s="1108"/>
      <c r="F66" s="1108"/>
      <c r="G66" s="1108"/>
      <c r="H66" s="1108"/>
      <c r="I66" s="1108"/>
      <c r="J66" s="1108"/>
      <c r="K66" s="1108"/>
      <c r="L66" s="1108"/>
      <c r="M66" s="1108"/>
      <c r="N66" s="1108"/>
      <c r="O66" s="1369"/>
      <c r="P66" s="1108"/>
      <c r="Q66" s="1108"/>
      <c r="R66" s="1108"/>
      <c r="S66" s="1108"/>
      <c r="T66" s="1108"/>
      <c r="U66" s="1108"/>
      <c r="V66" s="1108"/>
      <c r="W66" s="1108"/>
      <c r="X66" s="1470"/>
      <c r="Y66" s="1470"/>
      <c r="Z66" s="1108"/>
      <c r="AA66" s="1108"/>
      <c r="AB66" s="1108"/>
      <c r="AC66" s="1108"/>
      <c r="AD66" s="1108"/>
      <c r="AE66" s="1108"/>
      <c r="AF66" s="1108"/>
      <c r="AG66" s="1108"/>
      <c r="AH66" s="1108"/>
      <c r="AI66" s="1108"/>
      <c r="AJ66" s="1108"/>
      <c r="AK66" s="1108"/>
      <c r="AL66" s="1108"/>
      <c r="AM66" s="1108"/>
      <c r="AN66" s="1108"/>
      <c r="AO66" s="1108"/>
      <c r="AP66" s="1108"/>
      <c r="AQ66" s="1108"/>
      <c r="AR66" s="1108"/>
      <c r="AS66" s="1108"/>
      <c r="AT66" s="1108"/>
      <c r="AU66" s="1108" t="str">
        <f t="shared" si="3"/>
        <v/>
      </c>
      <c r="AV66" s="1108"/>
      <c r="AW66" s="1108"/>
      <c r="AX66" s="1108"/>
      <c r="AY66" s="1108"/>
      <c r="AZ66" s="1700"/>
      <c r="BA66" s="1108"/>
      <c r="BB66" s="1108"/>
      <c r="BC66" s="1108"/>
      <c r="BD66" s="1108"/>
      <c r="BE66" s="1108"/>
      <c r="BF66" s="1108"/>
      <c r="BG66" s="1108"/>
      <c r="BH66" s="1108"/>
      <c r="BI66" s="1108"/>
      <c r="BJ66" s="1700"/>
      <c r="BK66" s="1108"/>
      <c r="BL66" s="1108"/>
      <c r="BM66" s="1108"/>
      <c r="BN66" s="1108"/>
      <c r="BO66" s="1108"/>
      <c r="BP66" s="1108"/>
      <c r="BQ66" s="1108"/>
      <c r="BR66" s="1108"/>
      <c r="BS66" s="1108"/>
      <c r="BT66" s="1108"/>
      <c r="BU66" s="1108"/>
      <c r="BV66" s="1108"/>
      <c r="BW66" s="1108"/>
      <c r="BX66" s="1108"/>
      <c r="BY66" s="1108"/>
      <c r="BZ66" s="1108"/>
      <c r="CA66" s="1108"/>
      <c r="CB66" s="1108"/>
      <c r="CC66" s="1108"/>
      <c r="CD66" s="1108"/>
      <c r="CE66" s="1108"/>
      <c r="CF66" s="1108"/>
      <c r="CG66" s="1108"/>
      <c r="CH66" s="1108"/>
      <c r="CI66" s="1108"/>
      <c r="CJ66" s="1108"/>
      <c r="CK66" s="1108"/>
      <c r="CL66" s="1108"/>
      <c r="CM66" s="1108"/>
      <c r="CN66" s="1108"/>
      <c r="CO66" s="1108"/>
      <c r="CP66" s="1108"/>
      <c r="CQ66" s="1108"/>
      <c r="CR66" s="1108"/>
      <c r="CS66" s="1108"/>
      <c r="CT66" s="1470"/>
      <c r="CU66" s="1470"/>
      <c r="CV66" s="1470"/>
      <c r="CW66" s="1108"/>
      <c r="CX66" s="2026">
        <f t="shared" si="113"/>
        <v>0</v>
      </c>
      <c r="CY66" s="1470"/>
      <c r="CZ66" s="1470"/>
      <c r="DA66" s="1470"/>
      <c r="DB66" s="1108"/>
      <c r="DC66" s="2862"/>
      <c r="DD66" s="2867"/>
      <c r="DE66" s="2867"/>
      <c r="DF66" s="2867"/>
      <c r="DG66" s="2862"/>
      <c r="DH66" s="2862"/>
      <c r="DI66" s="2867"/>
      <c r="DJ66" s="2867"/>
      <c r="DK66" s="2867"/>
      <c r="DL66" s="2862"/>
      <c r="DM66" s="2842"/>
      <c r="DN66" s="2862"/>
      <c r="DO66" s="2862"/>
      <c r="DP66" s="2862"/>
      <c r="DQ66" s="2862"/>
      <c r="DR66" s="2026"/>
    </row>
    <row r="67" spans="1:122" hidden="1" outlineLevel="1">
      <c r="A67" s="1108" t="s">
        <v>498</v>
      </c>
      <c r="B67" s="1357"/>
      <c r="C67" s="1357"/>
      <c r="D67" s="1357"/>
      <c r="E67" s="1357"/>
      <c r="F67" s="1357"/>
      <c r="G67" s="1357"/>
      <c r="H67" s="1357">
        <f>H124</f>
        <v>11</v>
      </c>
      <c r="I67" s="1357">
        <f t="shared" ref="I67:W67" si="134">I124</f>
        <v>0</v>
      </c>
      <c r="J67" s="1357">
        <f t="shared" si="134"/>
        <v>0</v>
      </c>
      <c r="K67" s="1357">
        <f>K124</f>
        <v>0</v>
      </c>
      <c r="L67" s="1357">
        <f t="shared" si="134"/>
        <v>0</v>
      </c>
      <c r="M67" s="1357">
        <f t="shared" si="134"/>
        <v>0</v>
      </c>
      <c r="N67" s="1357">
        <f t="shared" si="134"/>
        <v>0</v>
      </c>
      <c r="O67" s="1369"/>
      <c r="P67" s="1357">
        <f>N67</f>
        <v>0</v>
      </c>
      <c r="Q67" s="1357">
        <f>N67</f>
        <v>0</v>
      </c>
      <c r="R67" s="1357">
        <f t="shared" si="134"/>
        <v>0</v>
      </c>
      <c r="S67" s="1357">
        <f t="shared" si="134"/>
        <v>0</v>
      </c>
      <c r="T67" s="1357">
        <f t="shared" si="134"/>
        <v>0</v>
      </c>
      <c r="U67" s="1357">
        <f t="shared" si="134"/>
        <v>0</v>
      </c>
      <c r="V67" s="1357">
        <f t="shared" si="134"/>
        <v>0</v>
      </c>
      <c r="W67" s="1357">
        <f t="shared" si="134"/>
        <v>0</v>
      </c>
      <c r="X67" s="1357">
        <f>X124</f>
        <v>0</v>
      </c>
      <c r="Y67" s="1357">
        <f>Y124</f>
        <v>0</v>
      </c>
      <c r="Z67" s="1357">
        <f>Z124</f>
        <v>0</v>
      </c>
      <c r="AA67" s="1357">
        <f t="shared" ref="AA67:AH67" si="135">AA124</f>
        <v>0</v>
      </c>
      <c r="AB67" s="1357"/>
      <c r="AC67" s="1357">
        <f t="shared" si="135"/>
        <v>0</v>
      </c>
      <c r="AD67" s="1357">
        <f t="shared" si="135"/>
        <v>0</v>
      </c>
      <c r="AE67" s="1357">
        <f t="shared" si="135"/>
        <v>0</v>
      </c>
      <c r="AF67" s="1357">
        <f t="shared" si="135"/>
        <v>0</v>
      </c>
      <c r="AG67" s="1357">
        <f t="shared" si="135"/>
        <v>0</v>
      </c>
      <c r="AH67" s="1357">
        <f t="shared" si="135"/>
        <v>0</v>
      </c>
      <c r="AI67" s="1357">
        <f t="shared" ref="AI67:AN67" si="136">AI124</f>
        <v>0</v>
      </c>
      <c r="AJ67" s="1357">
        <f t="shared" si="136"/>
        <v>0</v>
      </c>
      <c r="AK67" s="1357">
        <f t="shared" si="136"/>
        <v>0</v>
      </c>
      <c r="AL67" s="1357">
        <f t="shared" si="136"/>
        <v>0</v>
      </c>
      <c r="AM67" s="1357">
        <f t="shared" si="136"/>
        <v>0</v>
      </c>
      <c r="AN67" s="1357">
        <f t="shared" si="136"/>
        <v>0</v>
      </c>
      <c r="AO67" s="1357"/>
      <c r="AP67" s="1357"/>
      <c r="AQ67" s="1357"/>
      <c r="AR67" s="1357"/>
      <c r="AS67" s="1357"/>
      <c r="AT67" s="1357"/>
      <c r="AU67" s="1108" t="str">
        <f t="shared" si="3"/>
        <v>Adjustment for Additional Com. Share Equivalents</v>
      </c>
      <c r="AV67" s="1108"/>
      <c r="AW67" s="1108"/>
      <c r="AX67" s="1108"/>
      <c r="AY67" s="1108"/>
      <c r="AZ67" s="1700"/>
      <c r="BA67" s="1894" t="s">
        <v>737</v>
      </c>
      <c r="BB67" s="1894" t="s">
        <v>737</v>
      </c>
      <c r="BC67" s="1894" t="s">
        <v>737</v>
      </c>
      <c r="BD67" s="1894" t="s">
        <v>737</v>
      </c>
      <c r="BE67" s="1108"/>
      <c r="BF67" s="1357">
        <f>BF124</f>
        <v>0</v>
      </c>
      <c r="BG67" s="1357">
        <f>BG124</f>
        <v>0</v>
      </c>
      <c r="BH67" s="1357">
        <f>BH124</f>
        <v>0</v>
      </c>
      <c r="BI67" s="1357">
        <f>BI124</f>
        <v>0</v>
      </c>
      <c r="BJ67" s="1357"/>
      <c r="BK67" s="1357">
        <f>BK124</f>
        <v>0</v>
      </c>
      <c r="BL67" s="1357">
        <f>BL124</f>
        <v>0</v>
      </c>
      <c r="BM67" s="1357">
        <f>BM124</f>
        <v>0</v>
      </c>
      <c r="BN67" s="1357">
        <f>BN124</f>
        <v>0</v>
      </c>
      <c r="BO67" s="1108"/>
      <c r="BP67" s="1357">
        <f>BP124</f>
        <v>0</v>
      </c>
      <c r="BQ67" s="1357">
        <f>BQ124</f>
        <v>0</v>
      </c>
      <c r="BR67" s="1357">
        <f>BR124</f>
        <v>0</v>
      </c>
      <c r="BS67" s="1357">
        <f>BS124</f>
        <v>0</v>
      </c>
      <c r="BT67" s="1108"/>
      <c r="BU67" s="1357">
        <f>BU124</f>
        <v>0</v>
      </c>
      <c r="BV67" s="1357">
        <f>BV124</f>
        <v>0</v>
      </c>
      <c r="BW67" s="1357">
        <f>BW124</f>
        <v>0</v>
      </c>
      <c r="BX67" s="1357">
        <f>BX124</f>
        <v>0</v>
      </c>
      <c r="BY67" s="1108"/>
      <c r="BZ67" s="1357">
        <f>BZ124</f>
        <v>0</v>
      </c>
      <c r="CA67" s="1357">
        <f>CA124</f>
        <v>0</v>
      </c>
      <c r="CB67" s="1357">
        <f>CB124</f>
        <v>0</v>
      </c>
      <c r="CC67" s="1357">
        <f>CC124</f>
        <v>0</v>
      </c>
      <c r="CD67" s="1108"/>
      <c r="CE67" s="1357">
        <f>CE124</f>
        <v>0</v>
      </c>
      <c r="CF67" s="1357">
        <f>CF124</f>
        <v>0</v>
      </c>
      <c r="CG67" s="1357">
        <f>CG124</f>
        <v>0</v>
      </c>
      <c r="CH67" s="1357">
        <f>CH124</f>
        <v>0</v>
      </c>
      <c r="CI67" s="1108"/>
      <c r="CJ67" s="1357">
        <f>CJ124</f>
        <v>0</v>
      </c>
      <c r="CK67" s="1357">
        <f>CK124</f>
        <v>0</v>
      </c>
      <c r="CL67" s="1357">
        <f>CL124</f>
        <v>0</v>
      </c>
      <c r="CM67" s="1357">
        <f>CM124</f>
        <v>0</v>
      </c>
      <c r="CN67" s="1108"/>
      <c r="CO67" s="1357">
        <f>CO124</f>
        <v>0</v>
      </c>
      <c r="CP67" s="1357">
        <f>CP124</f>
        <v>0</v>
      </c>
      <c r="CQ67" s="1357">
        <f>CQ124</f>
        <v>0</v>
      </c>
      <c r="CR67" s="1357">
        <f>CR124</f>
        <v>0</v>
      </c>
      <c r="CS67" s="1108"/>
      <c r="CT67" s="1465">
        <f>CT124</f>
        <v>0</v>
      </c>
      <c r="CU67" s="1465">
        <f>CU124</f>
        <v>0</v>
      </c>
      <c r="CV67" s="1465">
        <f>CV124</f>
        <v>0</v>
      </c>
      <c r="CW67" s="1357">
        <f>CW124</f>
        <v>0</v>
      </c>
      <c r="CX67" s="2026">
        <f t="shared" si="113"/>
        <v>0</v>
      </c>
      <c r="CY67" s="1465">
        <f>CY124</f>
        <v>0</v>
      </c>
      <c r="CZ67" s="1465">
        <f>CZ124</f>
        <v>0</v>
      </c>
      <c r="DA67" s="1465">
        <f>DA124</f>
        <v>0</v>
      </c>
      <c r="DB67" s="1357">
        <f>DB124</f>
        <v>0</v>
      </c>
      <c r="DC67" s="2870">
        <f>$Z67-SUM(CY67:DB67)</f>
        <v>0</v>
      </c>
      <c r="DD67" s="2851">
        <f>DD124</f>
        <v>0</v>
      </c>
      <c r="DE67" s="2851">
        <f>DE124</f>
        <v>0</v>
      </c>
      <c r="DF67" s="2851">
        <f>DF124</f>
        <v>0</v>
      </c>
      <c r="DG67" s="2806">
        <f>DG124</f>
        <v>0</v>
      </c>
      <c r="DH67" s="2862"/>
      <c r="DI67" s="2851">
        <f>DI124</f>
        <v>0</v>
      </c>
      <c r="DJ67" s="2851">
        <f>DJ124</f>
        <v>0</v>
      </c>
      <c r="DK67" s="2851">
        <f>DK124</f>
        <v>0</v>
      </c>
      <c r="DL67" s="2806">
        <f>DL124</f>
        <v>0</v>
      </c>
      <c r="DM67" s="2842"/>
      <c r="DN67" s="2806">
        <f t="shared" ref="DN67:DQ67" si="137">DN124</f>
        <v>0</v>
      </c>
      <c r="DO67" s="2806">
        <f t="shared" si="137"/>
        <v>0</v>
      </c>
      <c r="DP67" s="2806">
        <f t="shared" si="137"/>
        <v>0</v>
      </c>
      <c r="DQ67" s="2806">
        <f t="shared" si="137"/>
        <v>0</v>
      </c>
      <c r="DR67" s="2026"/>
    </row>
    <row r="68" spans="1:122" hidden="1" outlineLevel="1">
      <c r="A68" s="1108" t="s">
        <v>499</v>
      </c>
      <c r="B68" s="1727"/>
      <c r="C68" s="1727"/>
      <c r="D68" s="1727"/>
      <c r="E68" s="1727"/>
      <c r="F68" s="1727"/>
      <c r="G68" s="1727"/>
      <c r="H68" s="1727">
        <f t="shared" ref="H68:V68" si="138">H57+H67</f>
        <v>887.4</v>
      </c>
      <c r="I68" s="1862">
        <f t="shared" si="138"/>
        <v>880.4</v>
      </c>
      <c r="J68" s="1862">
        <f t="shared" si="138"/>
        <v>857.2</v>
      </c>
      <c r="K68" s="1862">
        <f t="shared" si="138"/>
        <v>789.7</v>
      </c>
      <c r="L68" s="1862">
        <f>L57+L67</f>
        <v>771.8</v>
      </c>
      <c r="M68" s="1862">
        <f t="shared" si="138"/>
        <v>721.9</v>
      </c>
      <c r="N68" s="1862">
        <f t="shared" si="138"/>
        <v>669.8</v>
      </c>
      <c r="O68" s="1369"/>
      <c r="P68" s="1862">
        <f t="shared" si="138"/>
        <v>721.9</v>
      </c>
      <c r="Q68" s="1862">
        <f t="shared" si="138"/>
        <v>669.8</v>
      </c>
      <c r="R68" s="1862">
        <f t="shared" si="138"/>
        <v>682.9</v>
      </c>
      <c r="S68" s="1862">
        <f t="shared" si="138"/>
        <v>698</v>
      </c>
      <c r="T68" s="1862">
        <f>T57+T67</f>
        <v>681</v>
      </c>
      <c r="U68" s="1862">
        <f t="shared" si="138"/>
        <v>659</v>
      </c>
      <c r="V68" s="1862">
        <f t="shared" si="138"/>
        <v>615</v>
      </c>
      <c r="W68" s="1862">
        <f t="shared" ref="W68:AF68" si="139">W57+W67</f>
        <v>561</v>
      </c>
      <c r="X68" s="1862">
        <f>X57+X67</f>
        <v>624</v>
      </c>
      <c r="Y68" s="1862">
        <f>Y57+Y67</f>
        <v>561</v>
      </c>
      <c r="Z68" s="1862">
        <f>Z57+Z67</f>
        <v>489</v>
      </c>
      <c r="AA68" s="1862">
        <f t="shared" si="139"/>
        <v>448</v>
      </c>
      <c r="AB68" s="1862"/>
      <c r="AC68" s="1862">
        <f t="shared" si="139"/>
        <v>407.31640260015325</v>
      </c>
      <c r="AD68" s="1862">
        <f t="shared" si="139"/>
        <v>380.87292592802828</v>
      </c>
      <c r="AE68" s="1862">
        <f t="shared" si="139"/>
        <v>363.63096242724106</v>
      </c>
      <c r="AF68" s="1862">
        <f t="shared" si="139"/>
        <v>344.84450530584246</v>
      </c>
      <c r="AG68" s="1862">
        <f t="shared" ref="AG68:AL68" si="140">AG57+AG67</f>
        <v>327.22403990034542</v>
      </c>
      <c r="AH68" s="1862">
        <f t="shared" si="140"/>
        <v>310.80549166905735</v>
      </c>
      <c r="AI68" s="1862">
        <f t="shared" si="140"/>
        <v>295.52253573413083</v>
      </c>
      <c r="AJ68" s="1862">
        <f t="shared" si="140"/>
        <v>281.31292886456316</v>
      </c>
      <c r="AK68" s="1862">
        <f t="shared" si="140"/>
        <v>268.11825978006073</v>
      </c>
      <c r="AL68" s="1862">
        <f t="shared" si="140"/>
        <v>255.8837152129222</v>
      </c>
      <c r="AM68" s="1862">
        <f>AM57+AM67</f>
        <v>244.55786067396593</v>
      </c>
      <c r="AN68" s="1862">
        <f>AN57+AN67</f>
        <v>234.09243494223327</v>
      </c>
      <c r="AO68" s="1915"/>
      <c r="AP68" s="1915"/>
      <c r="AQ68" s="1915"/>
      <c r="AR68" s="1915"/>
      <c r="AS68" s="1915"/>
      <c r="AT68" s="1727"/>
      <c r="AU68" s="1108" t="str">
        <f t="shared" si="3"/>
        <v>Adjusted Average Diluted Shares Outstanding</v>
      </c>
      <c r="AV68" s="1108"/>
      <c r="AW68" s="1108"/>
      <c r="AX68" s="1108"/>
      <c r="AY68" s="1108"/>
      <c r="AZ68" s="1700"/>
      <c r="BA68" s="1894" t="s">
        <v>737</v>
      </c>
      <c r="BB68" s="1894" t="s">
        <v>737</v>
      </c>
      <c r="BC68" s="1894" t="s">
        <v>737</v>
      </c>
      <c r="BD68" s="1894" t="s">
        <v>737</v>
      </c>
      <c r="BE68" s="1727"/>
      <c r="BF68" s="1862">
        <f>BF57+BF67</f>
        <v>766.7</v>
      </c>
      <c r="BG68" s="1862">
        <f>BG57+BG67</f>
        <v>769.6</v>
      </c>
      <c r="BH68" s="1862">
        <f>BH57+BH67</f>
        <v>774.2</v>
      </c>
      <c r="BI68" s="1862">
        <f>BI57+BI67</f>
        <v>776.4</v>
      </c>
      <c r="BJ68" s="1727"/>
      <c r="BK68" s="1862">
        <f>BK57+BK67</f>
        <v>765.1</v>
      </c>
      <c r="BL68" s="1862">
        <f>BL57+BL67</f>
        <v>729.4</v>
      </c>
      <c r="BM68" s="1862">
        <f>BM57+BM67</f>
        <v>715.4</v>
      </c>
      <c r="BN68" s="1862">
        <f>BN57+BN67</f>
        <v>678.8</v>
      </c>
      <c r="BO68" s="1108"/>
      <c r="BP68" s="1862">
        <f>BP57+BP67</f>
        <v>673.8</v>
      </c>
      <c r="BQ68" s="1862">
        <f>BQ57+BQ67</f>
        <v>674.3</v>
      </c>
      <c r="BR68" s="1862">
        <f>BR57+BR67</f>
        <v>670.9</v>
      </c>
      <c r="BS68" s="1862">
        <f>BS57+BS67</f>
        <v>674.7</v>
      </c>
      <c r="BT68" s="1108"/>
      <c r="BU68" s="1862">
        <f>BU57+BU67</f>
        <v>671.5</v>
      </c>
      <c r="BV68" s="1862">
        <f>BV57+BV67</f>
        <v>680.2</v>
      </c>
      <c r="BW68" s="1862">
        <f>BW57+BW67</f>
        <v>685.1</v>
      </c>
      <c r="BX68" s="1862">
        <f>BX57+BX67</f>
        <v>690.3</v>
      </c>
      <c r="BY68" s="1108"/>
      <c r="BZ68" s="1862">
        <f>BZ57+BZ67</f>
        <v>692.1</v>
      </c>
      <c r="CA68" s="1862">
        <f>CA57+CA67</f>
        <v>693.4</v>
      </c>
      <c r="CB68" s="1862">
        <f>CB57+CB67</f>
        <v>694.3</v>
      </c>
      <c r="CC68" s="1862">
        <f>CC57+CC67</f>
        <v>698</v>
      </c>
      <c r="CD68" s="1108"/>
      <c r="CE68" s="1862">
        <f>CE57+CE67</f>
        <v>693</v>
      </c>
      <c r="CF68" s="1862">
        <f>CF57+CF67</f>
        <v>686</v>
      </c>
      <c r="CG68" s="1862">
        <f>CG57+CG67</f>
        <v>675</v>
      </c>
      <c r="CH68" s="1862">
        <f>CH57+CH67</f>
        <v>669</v>
      </c>
      <c r="CI68" s="1108"/>
      <c r="CJ68" s="1862">
        <f>CJ57+CJ67</f>
        <v>667</v>
      </c>
      <c r="CK68" s="1862">
        <f>CK57+CK67</f>
        <v>661</v>
      </c>
      <c r="CL68" s="1862">
        <f>CL57+CL67</f>
        <v>656</v>
      </c>
      <c r="CM68" s="1862">
        <f>CM57+CM67</f>
        <v>650</v>
      </c>
      <c r="CN68" s="1108"/>
      <c r="CO68" s="1862">
        <f>CO57+CO67</f>
        <v>638</v>
      </c>
      <c r="CP68" s="1862">
        <f>CP57+CP67</f>
        <v>624</v>
      </c>
      <c r="CQ68" s="1862">
        <f>CQ57+CQ67</f>
        <v>618</v>
      </c>
      <c r="CR68" s="1862">
        <f>CR57+CR67</f>
        <v>615</v>
      </c>
      <c r="CS68" s="1108"/>
      <c r="CT68" s="2125">
        <f>CT57+CT67</f>
        <v>600</v>
      </c>
      <c r="CU68" s="2125">
        <f>CU57+CU67</f>
        <v>581</v>
      </c>
      <c r="CV68" s="2125">
        <f>CV57+CV67</f>
        <v>541</v>
      </c>
      <c r="CW68" s="1862">
        <f>CW57+CW67</f>
        <v>523</v>
      </c>
      <c r="CX68" s="2026"/>
      <c r="CY68" s="2125">
        <f>CY57+CY67</f>
        <v>506</v>
      </c>
      <c r="CZ68" s="2125">
        <f>CZ57+CZ67</f>
        <v>495</v>
      </c>
      <c r="DA68" s="2125">
        <f>DA57+DA67</f>
        <v>484</v>
      </c>
      <c r="DB68" s="1862">
        <f>DB57+DB67</f>
        <v>474</v>
      </c>
      <c r="DC68" s="2870"/>
      <c r="DD68" s="2873">
        <f>DD57+DD67</f>
        <v>464</v>
      </c>
      <c r="DE68" s="2873">
        <f>DE57+DE67</f>
        <v>455</v>
      </c>
      <c r="DF68" s="2873">
        <f>DF57+DF67</f>
        <v>446</v>
      </c>
      <c r="DG68" s="2816">
        <f>DG57+DG67</f>
        <v>429</v>
      </c>
      <c r="DH68" s="2862"/>
      <c r="DI68" s="2873">
        <f>DI57+DI67</f>
        <v>416</v>
      </c>
      <c r="DJ68" s="2873">
        <f>DJ57+DJ67</f>
        <v>410</v>
      </c>
      <c r="DK68" s="2873">
        <f>DK57+DK67</f>
        <v>406</v>
      </c>
      <c r="DL68" s="2816">
        <f>DL57+DL67</f>
        <v>397.26561040061301</v>
      </c>
      <c r="DM68" s="2842"/>
      <c r="DN68" s="2816">
        <f t="shared" ref="DN68:DQ68" si="141">DN57+DN67</f>
        <v>385.3716484756427</v>
      </c>
      <c r="DO68" s="2816">
        <f t="shared" si="141"/>
        <v>382.25781083472145</v>
      </c>
      <c r="DP68" s="2816">
        <f t="shared" si="141"/>
        <v>379.31998362404795</v>
      </c>
      <c r="DQ68" s="2816">
        <f t="shared" si="141"/>
        <v>376.54226077770079</v>
      </c>
      <c r="DR68" s="2026"/>
    </row>
    <row r="69" spans="1:122" hidden="1" outlineLevel="1">
      <c r="A69" s="1108" t="s">
        <v>500</v>
      </c>
      <c r="B69" s="1916"/>
      <c r="C69" s="1916"/>
      <c r="D69" s="1916"/>
      <c r="E69" s="1916"/>
      <c r="F69" s="1916"/>
      <c r="G69" s="1916"/>
      <c r="H69" s="1916">
        <f t="shared" ref="H69:N69" si="142">H65/H68</f>
        <v>1.2855760330865733</v>
      </c>
      <c r="I69" s="1916">
        <f t="shared" si="142"/>
        <v>1.3127321388005457</v>
      </c>
      <c r="J69" s="1916">
        <f t="shared" si="142"/>
        <v>1.7189627566495587</v>
      </c>
      <c r="K69" s="1916">
        <f t="shared" si="142"/>
        <v>1.5993478675446382</v>
      </c>
      <c r="L69" s="1916">
        <f t="shared" si="142"/>
        <v>1.8105856408508225</v>
      </c>
      <c r="M69" s="1916">
        <f t="shared" si="142"/>
        <v>1.8808399058435503</v>
      </c>
      <c r="N69" s="1916">
        <f t="shared" si="142"/>
        <v>1.8861413854882036</v>
      </c>
      <c r="O69" s="1369"/>
      <c r="P69" s="1916">
        <f t="shared" ref="P69:AH69" si="143">P65/P68</f>
        <v>1.8331416443114823</v>
      </c>
      <c r="Q69" s="1916">
        <f t="shared" si="143"/>
        <v>1.8696495206927433</v>
      </c>
      <c r="R69" s="1916">
        <f t="shared" si="143"/>
        <v>0.76255674330063017</v>
      </c>
      <c r="S69" s="1916">
        <f t="shared" si="143"/>
        <v>1.2416905444126076</v>
      </c>
      <c r="T69" s="1916">
        <f t="shared" si="143"/>
        <v>2.2306196769456688</v>
      </c>
      <c r="U69" s="1916">
        <f t="shared" si="143"/>
        <v>2.6682494923561602</v>
      </c>
      <c r="V69" s="1916">
        <f t="shared" si="143"/>
        <v>3.1728583816732194</v>
      </c>
      <c r="W69" s="1916">
        <f t="shared" si="143"/>
        <v>1.906287118684004</v>
      </c>
      <c r="X69" s="1916">
        <f>X65/X68</f>
        <v>2.8695512820512818</v>
      </c>
      <c r="Y69" s="1916">
        <f>Y65/Y68</f>
        <v>3.2905525846702317</v>
      </c>
      <c r="Z69" s="1916">
        <f>Z65/Z68</f>
        <v>3.8240247380077976</v>
      </c>
      <c r="AA69" s="1916">
        <f t="shared" ca="1" si="143"/>
        <v>4.4899003042921199</v>
      </c>
      <c r="AB69" s="1916"/>
      <c r="AC69" s="1916">
        <f t="shared" ca="1" si="143"/>
        <v>4.206952674719858</v>
      </c>
      <c r="AD69" s="1916">
        <f t="shared" ca="1" si="143"/>
        <v>5.1313937832015464</v>
      </c>
      <c r="AE69" s="1916">
        <f t="shared" ca="1" si="143"/>
        <v>5.7308501130124805</v>
      </c>
      <c r="AF69" s="1916">
        <f t="shared" ca="1" si="143"/>
        <v>6.8146315254944057</v>
      </c>
      <c r="AG69" s="1916">
        <f t="shared" ca="1" si="143"/>
        <v>7.4679952071497047</v>
      </c>
      <c r="AH69" s="1916">
        <f t="shared" ca="1" si="143"/>
        <v>8.5063906451729192</v>
      </c>
      <c r="AI69" s="1916">
        <f t="shared" ref="AI69:AN69" ca="1" si="144">AI65/AI68</f>
        <v>8.5496510193316766</v>
      </c>
      <c r="AJ69" s="1916">
        <f t="shared" ca="1" si="144"/>
        <v>9.3129878231797072</v>
      </c>
      <c r="AK69" s="1916">
        <f t="shared" ca="1" si="144"/>
        <v>9.83055043291826</v>
      </c>
      <c r="AL69" s="1916">
        <f t="shared" ca="1" si="144"/>
        <v>10.206163537862214</v>
      </c>
      <c r="AM69" s="1916">
        <f t="shared" ca="1" si="144"/>
        <v>10.577229100308877</v>
      </c>
      <c r="AN69" s="1916">
        <f t="shared" ca="1" si="144"/>
        <v>11.709022321415487</v>
      </c>
      <c r="AO69" s="1916"/>
      <c r="AP69" s="1916"/>
      <c r="AQ69" s="1916"/>
      <c r="AR69" s="1916"/>
      <c r="AS69" s="1916"/>
      <c r="AT69" s="1916"/>
      <c r="AU69" s="1108" t="str">
        <f t="shared" si="3"/>
        <v>Adj. Net Income per Adj. Avg. Diluted Share</v>
      </c>
      <c r="AV69" s="1108"/>
      <c r="AW69" s="1108"/>
      <c r="AX69" s="1108"/>
      <c r="AY69" s="1108"/>
      <c r="AZ69" s="1700"/>
      <c r="BA69" s="1894" t="s">
        <v>737</v>
      </c>
      <c r="BB69" s="1894" t="s">
        <v>737</v>
      </c>
      <c r="BC69" s="1894" t="s">
        <v>737</v>
      </c>
      <c r="BD69" s="1894" t="s">
        <v>737</v>
      </c>
      <c r="BE69" s="1916"/>
      <c r="BF69" s="1916">
        <f>BF65/BF68</f>
        <v>0.3298582738814298</v>
      </c>
      <c r="BG69" s="1916">
        <f>BG65/BG68</f>
        <v>0.48533691553472808</v>
      </c>
      <c r="BH69" s="1916">
        <f>BH65/BH68</f>
        <v>0.41261198787496844</v>
      </c>
      <c r="BI69" s="1916">
        <f>BI65/BI68</f>
        <v>0.54073794264463215</v>
      </c>
      <c r="BJ69" s="1916"/>
      <c r="BK69" s="1916">
        <f>BK65/BK68</f>
        <v>0.34878043055070174</v>
      </c>
      <c r="BL69" s="1916">
        <f>BL65/BL68</f>
        <v>0.54935905839256549</v>
      </c>
      <c r="BM69" s="1916">
        <f>BM65/BM68</f>
        <v>0.4812521398466364</v>
      </c>
      <c r="BN69" s="1916">
        <f>BN65/BN68</f>
        <v>0.54117560400707154</v>
      </c>
      <c r="BO69" s="1108"/>
      <c r="BP69" s="1916">
        <f>BP65/BP68</f>
        <v>0.44233494168692555</v>
      </c>
      <c r="BQ69" s="1916">
        <f>BQ65/BQ68</f>
        <v>0.51974321857695516</v>
      </c>
      <c r="BR69" s="1916">
        <f>BR65/BR68</f>
        <v>0.28607431732436422</v>
      </c>
      <c r="BS69" s="1916">
        <f>BS65/BS68</f>
        <v>0.324166778347101</v>
      </c>
      <c r="BT69" s="1108"/>
      <c r="BU69" s="1916">
        <f>BU65/BU68</f>
        <v>-4.6211236413789866E-2</v>
      </c>
      <c r="BV69" s="1916">
        <f>BV65/BV68</f>
        <v>1.7261915806099891E-2</v>
      </c>
      <c r="BW69" s="1916">
        <f>BW65/BW68</f>
        <v>0.35550725655566573</v>
      </c>
      <c r="BX69" s="1916">
        <f>BX65/BX68</f>
        <v>0.33022418525282854</v>
      </c>
      <c r="BY69" s="1108"/>
      <c r="BZ69" s="1916">
        <f>BZ65/BZ68</f>
        <v>-0.10731018406813929</v>
      </c>
      <c r="CA69" s="1916">
        <f>CA65/CA68</f>
        <v>0.1696432385440447</v>
      </c>
      <c r="CB69" s="1916">
        <f>CB65/CB68</f>
        <v>0.66027743281930118</v>
      </c>
      <c r="CC69" s="1916">
        <f>CC65/CC68</f>
        <v>0.4103590567427523</v>
      </c>
      <c r="CD69" s="1108"/>
      <c r="CE69" s="1916">
        <f>CE65/CE68</f>
        <v>0.35261855049816104</v>
      </c>
      <c r="CF69" s="1916">
        <f>CF65/CF68</f>
        <v>0.64921961442452714</v>
      </c>
      <c r="CG69" s="1916">
        <f>CG65/CG68</f>
        <v>0.57683652665959351</v>
      </c>
      <c r="CH69" s="1916">
        <f>CH65/CH68</f>
        <v>0.47737616665953009</v>
      </c>
      <c r="CI69" s="1108">
        <f>43-17</f>
        <v>26</v>
      </c>
      <c r="CJ69" s="1916">
        <f>CJ65/CJ68</f>
        <v>0.67624841155531568</v>
      </c>
      <c r="CK69" s="1916">
        <f>CK65/CK68</f>
        <v>0.71264400984477383</v>
      </c>
      <c r="CL69" s="1916">
        <f>CL65/CL68</f>
        <v>0.51990501601737138</v>
      </c>
      <c r="CM69" s="1916">
        <f>CM65/CM68</f>
        <v>0.61719863033427902</v>
      </c>
      <c r="CN69" s="1108"/>
      <c r="CO69" s="1916">
        <f>CO65/CO68</f>
        <v>0.74635956306539764</v>
      </c>
      <c r="CP69" s="1916">
        <f>CP65/CP68</f>
        <v>0.77582803145958457</v>
      </c>
      <c r="CQ69" s="1916">
        <f>CQ65/CQ68</f>
        <v>0.795080145712868</v>
      </c>
      <c r="CR69" s="1916">
        <f>CR65/CR68</f>
        <v>0.76106663744038672</v>
      </c>
      <c r="CS69" s="1108"/>
      <c r="CT69" s="2126">
        <f>CT65/CT68</f>
        <v>0.7864279473257193</v>
      </c>
      <c r="CU69" s="2126">
        <f>CU65/CU68</f>
        <v>0.73813557383034689</v>
      </c>
      <c r="CV69" s="2126">
        <f>CV65/CV68</f>
        <v>-0.40322223956482151</v>
      </c>
      <c r="CW69" s="1916">
        <f>CW65/CW68</f>
        <v>0.73968789368151355</v>
      </c>
      <c r="CX69" s="2026"/>
      <c r="CY69" s="2126">
        <f>CY65/CY68</f>
        <v>0.79394668818469027</v>
      </c>
      <c r="CZ69" s="2126">
        <f>CZ65/CZ68</f>
        <v>0.78128691761909752</v>
      </c>
      <c r="DA69" s="2126">
        <f>DA65/DA68</f>
        <v>0.89615087649060599</v>
      </c>
      <c r="DB69" s="1916">
        <f>DB65/DB68</f>
        <v>1.3665338063743742</v>
      </c>
      <c r="DC69" s="2870"/>
      <c r="DD69" s="2874">
        <f ca="1">DD65/DD68</f>
        <v>0.94636678200692037</v>
      </c>
      <c r="DE69" s="2874">
        <f ca="1">DE65/DE68</f>
        <v>0.83541579527738696</v>
      </c>
      <c r="DF69" s="2874">
        <f ca="1">DF65/DF68</f>
        <v>1.051825531056527</v>
      </c>
      <c r="DG69" s="2875">
        <f ca="1">DG65/DG68</f>
        <v>1.2310354005855737</v>
      </c>
      <c r="DH69" s="2862"/>
      <c r="DI69" s="2874">
        <f>DI65/DI68</f>
        <v>1.0960540324727175</v>
      </c>
      <c r="DJ69" s="2874">
        <f>DJ65/DJ68</f>
        <v>0.96331335977719634</v>
      </c>
      <c r="DK69" s="2874">
        <f>DK65/DK68</f>
        <v>1.041769649036085</v>
      </c>
      <c r="DL69" s="2875">
        <f ca="1">DL65/DL68</f>
        <v>1.1064368406854617</v>
      </c>
      <c r="DM69" s="2842"/>
      <c r="DN69" s="2875">
        <f t="shared" ref="DN69:DQ69" ca="1" si="145">DN65/DN68</f>
        <v>1.194194655070167</v>
      </c>
      <c r="DO69" s="2875">
        <f t="shared" ca="1" si="145"/>
        <v>1.182637465456482</v>
      </c>
      <c r="DP69" s="2875">
        <f t="shared" ca="1" si="145"/>
        <v>1.3025038518316769</v>
      </c>
      <c r="DQ69" s="2875">
        <f t="shared" ca="1" si="145"/>
        <v>1.4491949049900177</v>
      </c>
      <c r="DR69" s="2026"/>
    </row>
    <row r="70" spans="1:122" hidden="1" outlineLevel="1">
      <c r="A70" s="1108" t="s">
        <v>935</v>
      </c>
      <c r="B70" s="1661"/>
      <c r="C70" s="1661"/>
      <c r="D70" s="1661"/>
      <c r="E70" s="1661"/>
      <c r="F70" s="1661"/>
      <c r="G70" s="1661"/>
      <c r="H70" s="1661"/>
      <c r="I70" s="1661"/>
      <c r="J70" s="1661"/>
      <c r="K70" s="1661"/>
      <c r="L70" s="1886"/>
      <c r="M70" s="1917"/>
      <c r="N70" s="1918"/>
      <c r="O70" s="1369"/>
      <c r="P70" s="1918"/>
      <c r="Q70" s="1918"/>
      <c r="R70" s="1918"/>
      <c r="S70" s="1919"/>
      <c r="T70" s="1920"/>
      <c r="U70" s="1920"/>
      <c r="V70" s="1920"/>
      <c r="W70" s="1920"/>
      <c r="X70" s="1920"/>
      <c r="Y70" s="1920"/>
      <c r="Z70" s="2247"/>
      <c r="AA70" s="2245"/>
      <c r="AB70" s="2245"/>
      <c r="AC70" s="1794"/>
      <c r="AD70" s="2247"/>
      <c r="AE70" s="2247"/>
      <c r="AF70" s="2247"/>
      <c r="AG70" s="2247"/>
      <c r="AH70" s="2247"/>
      <c r="AI70" s="2247"/>
      <c r="AJ70" s="2247"/>
      <c r="AK70" s="2247"/>
      <c r="AL70" s="2247"/>
      <c r="AM70" s="2247"/>
      <c r="AN70" s="1919"/>
      <c r="AO70" s="1919"/>
      <c r="AP70" s="1919"/>
      <c r="AQ70" s="1919"/>
      <c r="AR70" s="1919"/>
      <c r="AS70" s="1919"/>
      <c r="AT70" s="1108"/>
      <c r="AU70" s="1108" t="str">
        <f t="shared" ref="AU70:AU100" si="146">IF(ISBLANK(A70),"",A70)</f>
        <v>CBS EPS ex-stock comp</v>
      </c>
      <c r="AV70" s="1108"/>
      <c r="AW70" s="1108"/>
      <c r="AX70" s="1108"/>
      <c r="AY70" s="1108"/>
      <c r="AZ70" s="1700"/>
      <c r="BA70" s="1108"/>
      <c r="BB70" s="1108"/>
      <c r="BC70" s="1727"/>
      <c r="BD70" s="1727"/>
      <c r="BE70" s="1727"/>
      <c r="BF70" s="2047"/>
      <c r="BG70" s="2047"/>
      <c r="BH70" s="1727"/>
      <c r="BI70" s="1700"/>
      <c r="BJ70" s="1700"/>
      <c r="BK70" s="1700"/>
      <c r="BL70" s="1700"/>
      <c r="BM70" s="1921"/>
      <c r="BN70" s="1700"/>
      <c r="BO70" s="1108"/>
      <c r="BP70" s="1700"/>
      <c r="BQ70" s="2127"/>
      <c r="BR70" s="1921"/>
      <c r="BS70" s="1921"/>
      <c r="BT70" s="1108"/>
      <c r="BU70" s="1108"/>
      <c r="BV70" s="1108"/>
      <c r="BW70" s="1108"/>
      <c r="BX70" s="1108"/>
      <c r="BY70" s="1108"/>
      <c r="BZ70" s="1108"/>
      <c r="CA70" s="1108"/>
      <c r="CB70" s="1108"/>
      <c r="CC70" s="1108"/>
      <c r="CD70" s="1108"/>
      <c r="CE70" s="1108"/>
      <c r="CF70" s="1108"/>
      <c r="CG70" s="1795"/>
      <c r="CH70" s="1108"/>
      <c r="CI70" s="1108"/>
      <c r="CJ70" s="1108"/>
      <c r="CK70" s="1108"/>
      <c r="CL70" s="1108"/>
      <c r="CM70" s="1108"/>
      <c r="CN70" s="1108"/>
      <c r="CO70" s="1108"/>
      <c r="CP70" s="1108"/>
      <c r="CQ70" s="1108"/>
      <c r="CR70" s="1108"/>
      <c r="CS70" s="1108"/>
      <c r="CT70" s="1470"/>
      <c r="CU70" s="1470"/>
      <c r="CV70" s="1470"/>
      <c r="CW70" s="1108"/>
      <c r="CX70" s="2026"/>
      <c r="CY70" s="1470"/>
      <c r="CZ70" s="1470"/>
      <c r="DA70" s="1470"/>
      <c r="DB70" s="1108"/>
      <c r="DC70" s="2870"/>
      <c r="DD70" s="2876"/>
      <c r="DE70" s="2876"/>
      <c r="DF70" s="2876"/>
      <c r="DG70" s="2876"/>
      <c r="DH70" s="2862"/>
      <c r="DI70" s="2876"/>
      <c r="DJ70" s="2876"/>
      <c r="DK70" s="2876"/>
      <c r="DL70" s="2876"/>
      <c r="DM70" s="2842"/>
      <c r="DN70" s="2842"/>
      <c r="DO70" s="2842"/>
      <c r="DP70" s="2842"/>
      <c r="DQ70" s="2842"/>
      <c r="DR70" s="2026"/>
    </row>
    <row r="71" spans="1:122" hidden="1" outlineLevel="1">
      <c r="A71" s="1108" t="s">
        <v>617</v>
      </c>
      <c r="B71" s="1357"/>
      <c r="C71" s="1357"/>
      <c r="D71" s="1357"/>
      <c r="E71" s="1357"/>
      <c r="F71" s="1357"/>
      <c r="G71" s="1357"/>
      <c r="H71" s="1357">
        <f>H73/(1-H72)</f>
        <v>169.69230769230771</v>
      </c>
      <c r="I71" s="1357">
        <f>I73/(1-I72)</f>
        <v>224.76923076923075</v>
      </c>
      <c r="J71" s="1357">
        <f>J73/(1-J72)</f>
        <v>349.69230769230768</v>
      </c>
      <c r="K71" s="1357">
        <f>K73/(1-K72)</f>
        <v>367.07692307692304</v>
      </c>
      <c r="L71" s="1437">
        <v>63</v>
      </c>
      <c r="M71" s="1922"/>
      <c r="N71" s="1922">
        <f>N12</f>
        <v>137.9</v>
      </c>
      <c r="O71" s="1369"/>
      <c r="P71" s="1922"/>
      <c r="Q71" s="1922"/>
      <c r="R71" s="1922">
        <f t="shared" ref="R71:AD71" si="147">R12</f>
        <v>135.6</v>
      </c>
      <c r="S71" s="1922">
        <f t="shared" si="147"/>
        <v>143.73599999999999</v>
      </c>
      <c r="T71" s="1922">
        <f t="shared" si="147"/>
        <v>139</v>
      </c>
      <c r="U71" s="1922">
        <f t="shared" si="147"/>
        <v>153</v>
      </c>
      <c r="V71" s="1922">
        <f t="shared" si="147"/>
        <v>229</v>
      </c>
      <c r="W71" s="1922">
        <f t="shared" si="147"/>
        <v>154</v>
      </c>
      <c r="X71" s="1465"/>
      <c r="Y71" s="1465"/>
      <c r="Z71" s="1922">
        <f>Z12</f>
        <v>174</v>
      </c>
      <c r="AA71" s="1922">
        <f t="shared" si="147"/>
        <v>182.3</v>
      </c>
      <c r="AB71" s="1922"/>
      <c r="AC71" s="1922">
        <f t="shared" si="147"/>
        <v>173.1</v>
      </c>
      <c r="AD71" s="1922">
        <f t="shared" si="147"/>
        <v>178.29300000000001</v>
      </c>
      <c r="AE71" s="1922">
        <f t="shared" ref="AE71:AJ71" si="148">AE12</f>
        <v>183.64179000000001</v>
      </c>
      <c r="AF71" s="1922">
        <f t="shared" si="148"/>
        <v>189.15104370000003</v>
      </c>
      <c r="AG71" s="1922">
        <f t="shared" si="148"/>
        <v>194.82557501100004</v>
      </c>
      <c r="AH71" s="1922">
        <f t="shared" si="148"/>
        <v>200.67034226133003</v>
      </c>
      <c r="AI71" s="1922">
        <f t="shared" si="148"/>
        <v>206.69045252916993</v>
      </c>
      <c r="AJ71" s="1922">
        <f t="shared" si="148"/>
        <v>212.89116610504504</v>
      </c>
      <c r="AK71" s="1922">
        <f>AK12</f>
        <v>219.27790108819642</v>
      </c>
      <c r="AL71" s="1922">
        <f>AL12</f>
        <v>225.85623812084231</v>
      </c>
      <c r="AM71" s="1922">
        <f>AM12</f>
        <v>232.63192526446758</v>
      </c>
      <c r="AN71" s="1922">
        <f>AN12</f>
        <v>239.61088302240162</v>
      </c>
      <c r="AO71" s="1922"/>
      <c r="AP71" s="1922"/>
      <c r="AQ71" s="1922"/>
      <c r="AR71" s="1922"/>
      <c r="AS71" s="1922"/>
      <c r="AT71" s="1922"/>
      <c r="AU71" s="1108" t="str">
        <f t="shared" si="146"/>
        <v>Equity Compensation</v>
      </c>
      <c r="AV71" s="1108"/>
      <c r="AW71" s="1108"/>
      <c r="AX71" s="1108"/>
      <c r="AY71" s="1108"/>
      <c r="AZ71" s="1700"/>
      <c r="BA71" s="1108"/>
      <c r="BB71" s="1108"/>
      <c r="BC71" s="1727"/>
      <c r="BD71" s="1727"/>
      <c r="BE71" s="1727"/>
      <c r="BF71" s="1525">
        <f>BF12</f>
        <v>8.5</v>
      </c>
      <c r="BG71" s="1525">
        <f>BG12</f>
        <v>18.2</v>
      </c>
      <c r="BH71" s="1525">
        <f>BH12</f>
        <v>20.9</v>
      </c>
      <c r="BI71" s="1525">
        <f>BI12</f>
        <v>16.700000000000003</v>
      </c>
      <c r="BJ71" s="1525"/>
      <c r="BK71" s="1525">
        <f>BK12</f>
        <v>21</v>
      </c>
      <c r="BL71" s="1525">
        <f>BL12</f>
        <v>30.5</v>
      </c>
      <c r="BM71" s="1525">
        <f>BM12</f>
        <v>30.5</v>
      </c>
      <c r="BN71" s="1525">
        <f>BN12</f>
        <v>24.599999999999994</v>
      </c>
      <c r="BO71" s="1108"/>
      <c r="BP71" s="1525">
        <f>BP12</f>
        <v>33.1</v>
      </c>
      <c r="BQ71" s="1525">
        <f>BQ12</f>
        <v>39.1</v>
      </c>
      <c r="BR71" s="1525">
        <f>BR12</f>
        <v>38.300000000000004</v>
      </c>
      <c r="BS71" s="1525">
        <f>BS12</f>
        <v>27.4</v>
      </c>
      <c r="BT71" s="1108"/>
      <c r="BU71" s="1108"/>
      <c r="BV71" s="1108"/>
      <c r="BW71" s="1108"/>
      <c r="BX71" s="1108"/>
      <c r="BY71" s="1108"/>
      <c r="BZ71" s="1108"/>
      <c r="CA71" s="1108"/>
      <c r="CB71" s="1108"/>
      <c r="CC71" s="1108"/>
      <c r="CD71" s="1108"/>
      <c r="CE71" s="1108"/>
      <c r="CF71" s="1108"/>
      <c r="CG71" s="1108"/>
      <c r="CH71" s="1108"/>
      <c r="CI71" s="1108"/>
      <c r="CJ71" s="1108"/>
      <c r="CK71" s="1108"/>
      <c r="CL71" s="1108"/>
      <c r="CM71" s="1108"/>
      <c r="CN71" s="1108"/>
      <c r="CO71" s="1108"/>
      <c r="CP71" s="1108"/>
      <c r="CQ71" s="1108"/>
      <c r="CR71" s="1108"/>
      <c r="CS71" s="1108"/>
      <c r="CT71" s="1470"/>
      <c r="CU71" s="1470"/>
      <c r="CV71" s="1470"/>
      <c r="CW71" s="1108"/>
      <c r="CX71" s="2026"/>
      <c r="CY71" s="1470"/>
      <c r="CZ71" s="1470"/>
      <c r="DA71" s="1470"/>
      <c r="DB71" s="1108"/>
      <c r="DC71" s="2870"/>
      <c r="DD71" s="2876"/>
      <c r="DE71" s="2876"/>
      <c r="DF71" s="2877"/>
      <c r="DG71" s="2877"/>
      <c r="DH71" s="2862"/>
      <c r="DI71" s="2842"/>
      <c r="DJ71" s="2842"/>
      <c r="DK71" s="2842"/>
      <c r="DL71" s="2842"/>
      <c r="DM71" s="2842"/>
      <c r="DN71" s="2842"/>
      <c r="DO71" s="2842"/>
      <c r="DP71" s="2842"/>
      <c r="DQ71" s="2842"/>
      <c r="DR71" s="2026"/>
    </row>
    <row r="72" spans="1:122" hidden="1" outlineLevel="1">
      <c r="A72" s="1108" t="s">
        <v>1016</v>
      </c>
      <c r="B72" s="1482"/>
      <c r="C72" s="1482"/>
      <c r="D72" s="1482"/>
      <c r="E72" s="1482"/>
      <c r="F72" s="1482"/>
      <c r="G72" s="1482"/>
      <c r="H72" s="1482">
        <v>0.35</v>
      </c>
      <c r="I72" s="1482">
        <f t="shared" ref="I72:W72" si="149">H72</f>
        <v>0.35</v>
      </c>
      <c r="J72" s="1482">
        <f t="shared" si="149"/>
        <v>0.35</v>
      </c>
      <c r="K72" s="1482">
        <f t="shared" si="149"/>
        <v>0.35</v>
      </c>
      <c r="L72" s="1482">
        <f t="shared" si="149"/>
        <v>0.35</v>
      </c>
      <c r="M72" s="1482"/>
      <c r="N72" s="1482">
        <f t="shared" si="149"/>
        <v>0</v>
      </c>
      <c r="O72" s="1369"/>
      <c r="P72" s="1482"/>
      <c r="Q72" s="1482"/>
      <c r="R72" s="1482">
        <f>N72</f>
        <v>0</v>
      </c>
      <c r="S72" s="1482">
        <f t="shared" si="149"/>
        <v>0</v>
      </c>
      <c r="T72" s="1482">
        <f t="shared" si="149"/>
        <v>0</v>
      </c>
      <c r="U72" s="1482">
        <f t="shared" si="149"/>
        <v>0</v>
      </c>
      <c r="V72" s="1482">
        <f t="shared" si="149"/>
        <v>0</v>
      </c>
      <c r="W72" s="1482">
        <f t="shared" si="149"/>
        <v>0</v>
      </c>
      <c r="X72" s="1737"/>
      <c r="Y72" s="1737"/>
      <c r="Z72" s="1482">
        <f>W72</f>
        <v>0</v>
      </c>
      <c r="AA72" s="1482">
        <f t="shared" ref="AA72:AH72" si="150">Z72</f>
        <v>0</v>
      </c>
      <c r="AB72" s="1482"/>
      <c r="AC72" s="1482">
        <f>AA72</f>
        <v>0</v>
      </c>
      <c r="AD72" s="1482">
        <f t="shared" si="150"/>
        <v>0</v>
      </c>
      <c r="AE72" s="1482">
        <f t="shared" si="150"/>
        <v>0</v>
      </c>
      <c r="AF72" s="1482">
        <f t="shared" si="150"/>
        <v>0</v>
      </c>
      <c r="AG72" s="1482">
        <f t="shared" si="150"/>
        <v>0</v>
      </c>
      <c r="AH72" s="1482">
        <f t="shared" si="150"/>
        <v>0</v>
      </c>
      <c r="AI72" s="1482">
        <f t="shared" ref="AI72:AN72" si="151">AH72</f>
        <v>0</v>
      </c>
      <c r="AJ72" s="1482">
        <f t="shared" si="151"/>
        <v>0</v>
      </c>
      <c r="AK72" s="1482">
        <f t="shared" si="151"/>
        <v>0</v>
      </c>
      <c r="AL72" s="1482">
        <f t="shared" si="151"/>
        <v>0</v>
      </c>
      <c r="AM72" s="1482">
        <f t="shared" si="151"/>
        <v>0</v>
      </c>
      <c r="AN72" s="1482">
        <f t="shared" si="151"/>
        <v>0</v>
      </c>
      <c r="AO72" s="1482"/>
      <c r="AP72" s="1482"/>
      <c r="AQ72" s="1482"/>
      <c r="AR72" s="1482"/>
      <c r="AS72" s="1482"/>
      <c r="AT72" s="1482"/>
      <c r="AU72" s="1108" t="str">
        <f t="shared" si="146"/>
        <v>Marginal Tax Rate</v>
      </c>
      <c r="AV72" s="1108"/>
      <c r="AW72" s="1108"/>
      <c r="AX72" s="1108"/>
      <c r="AY72" s="1108"/>
      <c r="AZ72" s="1700"/>
      <c r="BA72" s="1108"/>
      <c r="BB72" s="1108"/>
      <c r="BC72" s="1727"/>
      <c r="BD72" s="1727"/>
      <c r="BE72" s="1698"/>
      <c r="BF72" s="1923">
        <v>0.35</v>
      </c>
      <c r="BG72" s="1923">
        <v>0.35</v>
      </c>
      <c r="BH72" s="1923">
        <v>0.35</v>
      </c>
      <c r="BI72" s="1923">
        <v>0.35</v>
      </c>
      <c r="BJ72" s="1923"/>
      <c r="BK72" s="1923">
        <v>0.35</v>
      </c>
      <c r="BL72" s="1923">
        <v>0.35</v>
      </c>
      <c r="BM72" s="1923">
        <v>0.35</v>
      </c>
      <c r="BN72" s="1923">
        <v>0.35</v>
      </c>
      <c r="BO72" s="1108"/>
      <c r="BP72" s="1923">
        <v>0.35</v>
      </c>
      <c r="BQ72" s="1923">
        <v>0.35</v>
      </c>
      <c r="BR72" s="1923">
        <v>0.35</v>
      </c>
      <c r="BS72" s="1923">
        <v>0.35</v>
      </c>
      <c r="BT72" s="1108"/>
      <c r="BU72" s="1108"/>
      <c r="BV72" s="1108"/>
      <c r="BW72" s="1108"/>
      <c r="BX72" s="1108"/>
      <c r="BY72" s="1108"/>
      <c r="BZ72" s="1108"/>
      <c r="CA72" s="1108"/>
      <c r="CB72" s="1108"/>
      <c r="CC72" s="1108"/>
      <c r="CD72" s="1108"/>
      <c r="CE72" s="1108"/>
      <c r="CF72" s="1108"/>
      <c r="CG72" s="1108"/>
      <c r="CH72" s="1108"/>
      <c r="CI72" s="1108"/>
      <c r="CJ72" s="1108"/>
      <c r="CK72" s="1108"/>
      <c r="CL72" s="1108"/>
      <c r="CM72" s="1108"/>
      <c r="CN72" s="1108"/>
      <c r="CO72" s="1108"/>
      <c r="CP72" s="1108"/>
      <c r="CQ72" s="1108"/>
      <c r="CR72" s="1108"/>
      <c r="CS72" s="1108"/>
      <c r="CT72" s="1470"/>
      <c r="CU72" s="1470"/>
      <c r="CV72" s="1470"/>
      <c r="CW72" s="1108"/>
      <c r="CX72" s="2026"/>
      <c r="CY72" s="1470"/>
      <c r="CZ72" s="1470"/>
      <c r="DA72" s="1470"/>
      <c r="DB72" s="1108"/>
      <c r="DC72" s="2870"/>
      <c r="DD72" s="2876"/>
      <c r="DE72" s="2876"/>
      <c r="DF72" s="2877"/>
      <c r="DG72" s="2877"/>
      <c r="DH72" s="2862"/>
      <c r="DI72" s="2842"/>
      <c r="DJ72" s="2842"/>
      <c r="DK72" s="2842"/>
      <c r="DL72" s="2842"/>
      <c r="DM72" s="2842"/>
      <c r="DN72" s="2842"/>
      <c r="DO72" s="2842"/>
      <c r="DP72" s="2842"/>
      <c r="DQ72" s="2842"/>
      <c r="DR72" s="2026"/>
    </row>
    <row r="73" spans="1:122" hidden="1" outlineLevel="1">
      <c r="A73" s="1108" t="s">
        <v>628</v>
      </c>
      <c r="B73" s="1664"/>
      <c r="C73" s="1664"/>
      <c r="D73" s="1664"/>
      <c r="E73" s="1664"/>
      <c r="F73" s="1664"/>
      <c r="G73" s="1664"/>
      <c r="H73" s="1664">
        <f>182.8-72.5</f>
        <v>110.30000000000001</v>
      </c>
      <c r="I73" s="1664">
        <v>146.1</v>
      </c>
      <c r="J73" s="1664">
        <v>227.3</v>
      </c>
      <c r="K73" s="1635">
        <v>238.6</v>
      </c>
      <c r="L73" s="1105">
        <f t="shared" ref="L73:AF73" si="152">L71*(1-L72)</f>
        <v>40.950000000000003</v>
      </c>
      <c r="M73" s="1105"/>
      <c r="N73" s="1105">
        <f t="shared" si="152"/>
        <v>137.9</v>
      </c>
      <c r="O73" s="1369"/>
      <c r="P73" s="1105"/>
      <c r="Q73" s="1105"/>
      <c r="R73" s="1105">
        <f t="shared" si="152"/>
        <v>135.6</v>
      </c>
      <c r="S73" s="1105">
        <f t="shared" si="152"/>
        <v>143.73599999999999</v>
      </c>
      <c r="T73" s="1105">
        <f t="shared" si="152"/>
        <v>139</v>
      </c>
      <c r="U73" s="1105">
        <f t="shared" si="152"/>
        <v>153</v>
      </c>
      <c r="V73" s="1105">
        <f t="shared" si="152"/>
        <v>229</v>
      </c>
      <c r="W73" s="1105">
        <f t="shared" si="152"/>
        <v>154</v>
      </c>
      <c r="X73" s="1634"/>
      <c r="Y73" s="1634"/>
      <c r="Z73" s="1105">
        <f>Z71*(1-Z72)</f>
        <v>174</v>
      </c>
      <c r="AA73" s="1105">
        <f t="shared" si="152"/>
        <v>182.3</v>
      </c>
      <c r="AB73" s="1105"/>
      <c r="AC73" s="1105">
        <f t="shared" si="152"/>
        <v>173.1</v>
      </c>
      <c r="AD73" s="1105">
        <f t="shared" si="152"/>
        <v>178.29300000000001</v>
      </c>
      <c r="AE73" s="1105">
        <f t="shared" si="152"/>
        <v>183.64179000000001</v>
      </c>
      <c r="AF73" s="1105">
        <f t="shared" si="152"/>
        <v>189.15104370000003</v>
      </c>
      <c r="AG73" s="1105">
        <f t="shared" ref="AG73:AL73" si="153">AG71*(1-AG72)</f>
        <v>194.82557501100004</v>
      </c>
      <c r="AH73" s="1105">
        <f t="shared" si="153"/>
        <v>200.67034226133003</v>
      </c>
      <c r="AI73" s="1105">
        <f t="shared" si="153"/>
        <v>206.69045252916993</v>
      </c>
      <c r="AJ73" s="1105">
        <f t="shared" si="153"/>
        <v>212.89116610504504</v>
      </c>
      <c r="AK73" s="1105">
        <f t="shared" si="153"/>
        <v>219.27790108819642</v>
      </c>
      <c r="AL73" s="1105">
        <f t="shared" si="153"/>
        <v>225.85623812084231</v>
      </c>
      <c r="AM73" s="1105">
        <f>AM71*(1-AM72)</f>
        <v>232.63192526446758</v>
      </c>
      <c r="AN73" s="1105">
        <f>AN71*(1-AN72)</f>
        <v>239.61088302240162</v>
      </c>
      <c r="AO73" s="1105"/>
      <c r="AP73" s="1105"/>
      <c r="AQ73" s="1105"/>
      <c r="AR73" s="1105"/>
      <c r="AS73" s="1105"/>
      <c r="AT73" s="1105"/>
      <c r="AU73" s="1108" t="str">
        <f t="shared" si="146"/>
        <v>Equity Compensation, Net of Tax</v>
      </c>
      <c r="AV73" s="1525"/>
      <c r="AW73" s="1525"/>
      <c r="AX73" s="1525"/>
      <c r="AY73" s="1525"/>
      <c r="AZ73" s="2113"/>
      <c r="BA73" s="1105"/>
      <c r="BB73" s="1105"/>
      <c r="BC73" s="1105"/>
      <c r="BD73" s="1105"/>
      <c r="BE73" s="1105"/>
      <c r="BF73" s="1105">
        <f>BF71*(1-BF72)</f>
        <v>5.5250000000000004</v>
      </c>
      <c r="BG73" s="1105">
        <f>BG71*(1-BG72)</f>
        <v>11.83</v>
      </c>
      <c r="BH73" s="1105">
        <f>BH71*(1-BH72)</f>
        <v>13.584999999999999</v>
      </c>
      <c r="BI73" s="1105">
        <f>BI71*(1-BI72)</f>
        <v>10.855000000000002</v>
      </c>
      <c r="BJ73" s="1105"/>
      <c r="BK73" s="1105">
        <f>BK71*(1-BK72)</f>
        <v>13.65</v>
      </c>
      <c r="BL73" s="1105">
        <f>BL71*(1-BL72)</f>
        <v>19.824999999999999</v>
      </c>
      <c r="BM73" s="1105">
        <f>BM71*(1-BM72)</f>
        <v>19.824999999999999</v>
      </c>
      <c r="BN73" s="1105">
        <f>BN71*(1-BN72)</f>
        <v>15.989999999999997</v>
      </c>
      <c r="BO73" s="1357"/>
      <c r="BP73" s="1105">
        <f>BP71*(1-BP72)</f>
        <v>21.515000000000001</v>
      </c>
      <c r="BQ73" s="1105">
        <f>BQ71*(1-BQ72)</f>
        <v>25.415000000000003</v>
      </c>
      <c r="BR73" s="1105">
        <f>BR71*(1-BR72)</f>
        <v>24.895000000000003</v>
      </c>
      <c r="BS73" s="1105">
        <f>BS71*(1-BS72)</f>
        <v>17.809999999999999</v>
      </c>
      <c r="BT73" s="1357"/>
      <c r="BU73" s="1357"/>
      <c r="BV73" s="1357"/>
      <c r="BW73" s="1357"/>
      <c r="BX73" s="1357"/>
      <c r="BY73" s="1357"/>
      <c r="BZ73" s="1357"/>
      <c r="CA73" s="1357"/>
      <c r="CB73" s="1357"/>
      <c r="CC73" s="1357"/>
      <c r="CD73" s="1357"/>
      <c r="CE73" s="1357"/>
      <c r="CF73" s="1357"/>
      <c r="CG73" s="1357"/>
      <c r="CH73" s="1357"/>
      <c r="CI73" s="1357"/>
      <c r="CJ73" s="1357"/>
      <c r="CK73" s="1357"/>
      <c r="CL73" s="1357"/>
      <c r="CM73" s="1357"/>
      <c r="CN73" s="1357"/>
      <c r="CO73" s="1357"/>
      <c r="CP73" s="1357"/>
      <c r="CQ73" s="1357"/>
      <c r="CR73" s="1357"/>
      <c r="CS73" s="1357"/>
      <c r="CT73" s="1465"/>
      <c r="CU73" s="1465"/>
      <c r="CV73" s="1465"/>
      <c r="CW73" s="1357"/>
      <c r="CX73" s="2026"/>
      <c r="CY73" s="1465"/>
      <c r="CZ73" s="1465"/>
      <c r="DA73" s="1465"/>
      <c r="DB73" s="1357"/>
      <c r="DC73" s="2870"/>
      <c r="DD73" s="2876"/>
      <c r="DE73" s="2876"/>
      <c r="DF73" s="2877"/>
      <c r="DG73" s="2877"/>
      <c r="DH73" s="2862"/>
      <c r="DI73" s="2842"/>
      <c r="DJ73" s="2842"/>
      <c r="DK73" s="2842"/>
      <c r="DL73" s="2842"/>
      <c r="DM73" s="2842"/>
      <c r="DN73" s="2842"/>
      <c r="DO73" s="2842"/>
      <c r="DP73" s="2842"/>
      <c r="DQ73" s="2842"/>
      <c r="DR73" s="2026"/>
    </row>
    <row r="74" spans="1:122" hidden="1" outlineLevel="1">
      <c r="A74" s="1108"/>
      <c r="B74" s="1661"/>
      <c r="C74" s="1661"/>
      <c r="D74" s="1661"/>
      <c r="E74" s="1661"/>
      <c r="F74" s="1661"/>
      <c r="G74" s="1661"/>
      <c r="H74" s="1661"/>
      <c r="I74" s="1661"/>
      <c r="J74" s="1661"/>
      <c r="K74" s="1661"/>
      <c r="L74" s="1661"/>
      <c r="M74" s="1661"/>
      <c r="N74" s="1661"/>
      <c r="O74" s="1369"/>
      <c r="P74" s="1661"/>
      <c r="Q74" s="1661"/>
      <c r="R74" s="1661"/>
      <c r="S74" s="1108"/>
      <c r="T74" s="1108"/>
      <c r="U74" s="1108"/>
      <c r="V74" s="1108"/>
      <c r="W74" s="1108"/>
      <c r="X74" s="1470"/>
      <c r="Y74" s="1470"/>
      <c r="Z74" s="2246"/>
      <c r="AA74" s="2246"/>
      <c r="AB74" s="2246"/>
      <c r="AC74" s="1795"/>
      <c r="AD74" s="2246"/>
      <c r="AE74" s="2246"/>
      <c r="AF74" s="2246"/>
      <c r="AG74" s="2246"/>
      <c r="AH74" s="2246"/>
      <c r="AI74" s="2246"/>
      <c r="AJ74" s="2246"/>
      <c r="AK74" s="2246"/>
      <c r="AL74" s="2246"/>
      <c r="AM74" s="2246"/>
      <c r="AN74" s="1108"/>
      <c r="AO74" s="1108"/>
      <c r="AP74" s="1108"/>
      <c r="AQ74" s="1108"/>
      <c r="AR74" s="1108"/>
      <c r="AS74" s="1108"/>
      <c r="AT74" s="1108"/>
      <c r="AU74" s="1108" t="str">
        <f t="shared" si="146"/>
        <v/>
      </c>
      <c r="AV74" s="1108"/>
      <c r="AW74" s="1108"/>
      <c r="AX74" s="1108"/>
      <c r="AY74" s="1108"/>
      <c r="AZ74" s="1700"/>
      <c r="BA74" s="1108"/>
      <c r="BB74" s="1108"/>
      <c r="BC74" s="1727"/>
      <c r="BD74" s="1727"/>
      <c r="BE74" s="1727"/>
      <c r="BF74" s="1727"/>
      <c r="BG74" s="1727"/>
      <c r="BH74" s="1727"/>
      <c r="BI74" s="1700"/>
      <c r="BJ74" s="1700"/>
      <c r="BK74" s="1700"/>
      <c r="BL74" s="1700"/>
      <c r="BM74" s="1700"/>
      <c r="BN74" s="1700"/>
      <c r="BO74" s="1108"/>
      <c r="BP74" s="1700"/>
      <c r="BQ74" s="1700"/>
      <c r="BR74" s="1700"/>
      <c r="BS74" s="1700"/>
      <c r="BT74" s="1108"/>
      <c r="BU74" s="1108"/>
      <c r="BV74" s="1108"/>
      <c r="BW74" s="1108"/>
      <c r="BX74" s="1108"/>
      <c r="BY74" s="1108"/>
      <c r="BZ74" s="1108"/>
      <c r="CA74" s="1108"/>
      <c r="CB74" s="1108"/>
      <c r="CC74" s="1108"/>
      <c r="CD74" s="1108"/>
      <c r="CE74" s="1108"/>
      <c r="CF74" s="1108"/>
      <c r="CG74" s="1108"/>
      <c r="CH74" s="1108"/>
      <c r="CI74" s="1108"/>
      <c r="CJ74" s="1108"/>
      <c r="CK74" s="1108"/>
      <c r="CL74" s="1108"/>
      <c r="CM74" s="1108"/>
      <c r="CN74" s="1108"/>
      <c r="CO74" s="1108"/>
      <c r="CP74" s="1108"/>
      <c r="CQ74" s="1108"/>
      <c r="CR74" s="1108"/>
      <c r="CS74" s="1108"/>
      <c r="CT74" s="1470"/>
      <c r="CU74" s="1470"/>
      <c r="CV74" s="1470"/>
      <c r="CW74" s="1108"/>
      <c r="CX74" s="2026"/>
      <c r="CY74" s="1470"/>
      <c r="CZ74" s="1470"/>
      <c r="DA74" s="1470"/>
      <c r="DB74" s="1108"/>
      <c r="DC74" s="2870"/>
      <c r="DD74" s="2876"/>
      <c r="DE74" s="2876"/>
      <c r="DF74" s="2877"/>
      <c r="DG74" s="2877"/>
      <c r="DH74" s="2842"/>
      <c r="DI74" s="2842"/>
      <c r="DJ74" s="2842"/>
      <c r="DK74" s="2842"/>
      <c r="DL74" s="2842"/>
      <c r="DM74" s="2842"/>
      <c r="DN74" s="2842"/>
      <c r="DO74" s="2842"/>
      <c r="DP74" s="2842"/>
      <c r="DQ74" s="2842"/>
      <c r="DR74" s="2026"/>
    </row>
    <row r="75" spans="1:122" hidden="1" outlineLevel="1">
      <c r="A75" s="1108" t="s">
        <v>882</v>
      </c>
      <c r="B75" s="1661"/>
      <c r="C75" s="1661"/>
      <c r="D75" s="1661"/>
      <c r="E75" s="1661"/>
      <c r="F75" s="1661"/>
      <c r="G75" s="1661"/>
      <c r="H75" s="1727">
        <f>H21-H12</f>
        <v>2665.6908918991894</v>
      </c>
      <c r="I75" s="1727">
        <f>I21-I12</f>
        <v>2599.0750000000007</v>
      </c>
      <c r="J75" s="1727">
        <f>J21-J12</f>
        <v>-15070.475</v>
      </c>
      <c r="K75" s="1727">
        <f>K21-K12</f>
        <v>-6722.0444999999991</v>
      </c>
      <c r="L75" s="1727">
        <f>L21-L12</f>
        <v>2629.4</v>
      </c>
      <c r="M75" s="1727"/>
      <c r="N75" s="1727">
        <f>N21-N12</f>
        <v>-12191.100000000002</v>
      </c>
      <c r="O75" s="1369"/>
      <c r="P75" s="1727"/>
      <c r="Q75" s="1727"/>
      <c r="R75" s="1727">
        <f t="shared" ref="R75:AH75" si="154">R21-R12</f>
        <v>1005.8000000000003</v>
      </c>
      <c r="S75" s="1727">
        <f t="shared" si="154"/>
        <v>1769.4640000000004</v>
      </c>
      <c r="T75" s="1727">
        <f t="shared" si="154"/>
        <v>2644.0000000000005</v>
      </c>
      <c r="U75" s="1727">
        <f t="shared" si="154"/>
        <v>2954.9999999999995</v>
      </c>
      <c r="V75" s="1727">
        <f t="shared" si="154"/>
        <v>3150</v>
      </c>
      <c r="W75" s="1727">
        <f t="shared" si="154"/>
        <v>2774</v>
      </c>
      <c r="X75" s="1727"/>
      <c r="Y75" s="1727"/>
      <c r="Z75" s="1727">
        <f>Z21-Z12</f>
        <v>2248</v>
      </c>
      <c r="AA75" s="1727">
        <f t="shared" ca="1" si="154"/>
        <v>2306.6999999999998</v>
      </c>
      <c r="AB75" s="1727"/>
      <c r="AC75" s="1727">
        <f t="shared" ca="1" si="154"/>
        <v>2657.6636681351902</v>
      </c>
      <c r="AD75" s="1727">
        <f t="shared" ca="1" si="154"/>
        <v>2876.0237712713915</v>
      </c>
      <c r="AE75" s="1727">
        <f t="shared" ca="1" si="154"/>
        <v>3057.1963716604173</v>
      </c>
      <c r="AF75" s="1727">
        <f t="shared" ca="1" si="154"/>
        <v>3398.9562619083958</v>
      </c>
      <c r="AG75" s="1727">
        <f t="shared" ca="1" si="154"/>
        <v>3496.0970518262029</v>
      </c>
      <c r="AH75" s="1727">
        <f t="shared" ca="1" si="154"/>
        <v>3731.0554070311309</v>
      </c>
      <c r="AI75" s="1727">
        <f t="shared" ref="AI75:AN75" ca="1" si="155">AI21-AI12</f>
        <v>3542.9256673384307</v>
      </c>
      <c r="AJ75" s="1727">
        <f t="shared" ca="1" si="155"/>
        <v>3633.3870759265874</v>
      </c>
      <c r="AK75" s="1727">
        <f t="shared" ca="1" si="155"/>
        <v>3621.5107580681051</v>
      </c>
      <c r="AL75" s="1727">
        <f t="shared" ca="1" si="155"/>
        <v>3556.948568097203</v>
      </c>
      <c r="AM75" s="1727">
        <f t="shared" ca="1" si="155"/>
        <v>3496.0432044188124</v>
      </c>
      <c r="AN75" s="1727">
        <f t="shared" ca="1" si="155"/>
        <v>3674.1087103963505</v>
      </c>
      <c r="AO75" s="1727"/>
      <c r="AP75" s="1727"/>
      <c r="AQ75" s="1727"/>
      <c r="AR75" s="1727"/>
      <c r="AS75" s="1727"/>
      <c r="AT75" s="1727"/>
      <c r="AU75" s="1108" t="str">
        <f t="shared" si="146"/>
        <v>Total Reported EBITA before FAS 123 Expense</v>
      </c>
      <c r="AV75" s="1108"/>
      <c r="AW75" s="1108"/>
      <c r="AX75" s="1108"/>
      <c r="AY75" s="1108"/>
      <c r="AZ75" s="1700"/>
      <c r="BA75" s="1108"/>
      <c r="BB75" s="1108"/>
      <c r="BC75" s="1727"/>
      <c r="BD75" s="1727"/>
      <c r="BE75" s="1727"/>
      <c r="BF75" s="1727">
        <f>BF21-BF12</f>
        <v>532.22499999999991</v>
      </c>
      <c r="BG75" s="1727">
        <f>BG21-BG12</f>
        <v>734.72499999999991</v>
      </c>
      <c r="BH75" s="1727">
        <f>BH21-BH12</f>
        <v>627.92500000000007</v>
      </c>
      <c r="BI75" s="1727">
        <f>BI21-BI12</f>
        <v>734.52499999999998</v>
      </c>
      <c r="BJ75" s="1727"/>
      <c r="BK75" s="1727">
        <f>BK21-BK12</f>
        <v>521.52499999999998</v>
      </c>
      <c r="BL75" s="1727">
        <f>BL21-BL12</f>
        <v>735.12500000000011</v>
      </c>
      <c r="BM75" s="1727">
        <f>BM21-BM12</f>
        <v>632.82500000000016</v>
      </c>
      <c r="BN75" s="1727">
        <f>BN21-BN12</f>
        <v>702.22500000000014</v>
      </c>
      <c r="BO75" s="1108"/>
      <c r="BP75" s="1727">
        <f>BP21-BP12</f>
        <v>525.75424972625012</v>
      </c>
      <c r="BQ75" s="1727">
        <f>BQ21-BQ12</f>
        <v>621.16973068000004</v>
      </c>
      <c r="BR75" s="1727">
        <f>BR21-BR12</f>
        <v>-13620.156023132064</v>
      </c>
      <c r="BS75" s="1727">
        <f>BS21-BS12</f>
        <v>282.13204272581248</v>
      </c>
      <c r="BT75" s="1108"/>
      <c r="BU75" s="1108"/>
      <c r="BV75" s="1108"/>
      <c r="BW75" s="1108"/>
      <c r="BX75" s="1108"/>
      <c r="BY75" s="1108"/>
      <c r="BZ75" s="1108"/>
      <c r="CA75" s="1108"/>
      <c r="CB75" s="1108"/>
      <c r="CC75" s="1108"/>
      <c r="CD75" s="1108"/>
      <c r="CE75" s="1108"/>
      <c r="CF75" s="1108"/>
      <c r="CG75" s="1108"/>
      <c r="CH75" s="1108"/>
      <c r="CI75" s="1108"/>
      <c r="CJ75" s="1108"/>
      <c r="CK75" s="1108"/>
      <c r="CL75" s="1108"/>
      <c r="CM75" s="1108"/>
      <c r="CN75" s="1108"/>
      <c r="CO75" s="1108"/>
      <c r="CP75" s="1108"/>
      <c r="CQ75" s="1108"/>
      <c r="CR75" s="1108"/>
      <c r="CS75" s="1108"/>
      <c r="CT75" s="1470"/>
      <c r="CU75" s="1470"/>
      <c r="CV75" s="1470"/>
      <c r="CW75" s="1108"/>
      <c r="CX75" s="2026"/>
      <c r="CY75" s="1470"/>
      <c r="CZ75" s="1470"/>
      <c r="DA75" s="1470"/>
      <c r="DB75" s="1108"/>
      <c r="DC75" s="2870"/>
      <c r="DD75" s="2876"/>
      <c r="DE75" s="2876"/>
      <c r="DF75" s="2877"/>
      <c r="DG75" s="2877"/>
      <c r="DH75" s="2842"/>
      <c r="DI75" s="2842"/>
      <c r="DJ75" s="2842"/>
      <c r="DK75" s="2842"/>
      <c r="DL75" s="2842"/>
      <c r="DM75" s="2842"/>
      <c r="DN75" s="2842"/>
      <c r="DO75" s="2842"/>
      <c r="DP75" s="2842"/>
      <c r="DQ75" s="2842"/>
      <c r="DR75" s="2026"/>
    </row>
    <row r="76" spans="1:122" hidden="1" outlineLevel="1">
      <c r="A76" s="1108" t="s">
        <v>676</v>
      </c>
      <c r="B76" s="1661"/>
      <c r="C76" s="1661"/>
      <c r="D76" s="1661"/>
      <c r="E76" s="1661"/>
      <c r="F76" s="1661"/>
      <c r="G76" s="1661"/>
      <c r="H76" s="1661"/>
      <c r="I76" s="1110">
        <f>I75/H75-1</f>
        <v>-2.4990103729441659E-2</v>
      </c>
      <c r="J76" s="1110">
        <f>J75/I75-1</f>
        <v>-6.7983994305666426</v>
      </c>
      <c r="K76" s="1110">
        <f>K75/J75-1</f>
        <v>-0.55395934766488786</v>
      </c>
      <c r="L76" s="1110">
        <f>L75/K75-1</f>
        <v>-1.3911607547376397</v>
      </c>
      <c r="M76" s="1110"/>
      <c r="N76" s="1110"/>
      <c r="O76" s="1369"/>
      <c r="P76" s="1110"/>
      <c r="Q76" s="1110"/>
      <c r="R76" s="1110">
        <f>R75/N75-1</f>
        <v>-1.082502809426549</v>
      </c>
      <c r="S76" s="1110">
        <f t="shared" ref="S76:AH76" si="156">S75/R75-1</f>
        <v>0.75926029031616604</v>
      </c>
      <c r="T76" s="1110">
        <f t="shared" si="156"/>
        <v>0.4942378030861323</v>
      </c>
      <c r="U76" s="1110">
        <f t="shared" si="156"/>
        <v>0.11762481089258658</v>
      </c>
      <c r="V76" s="1110">
        <f t="shared" si="156"/>
        <v>6.5989847715736127E-2</v>
      </c>
      <c r="W76" s="1110">
        <f t="shared" si="156"/>
        <v>-0.11936507936507934</v>
      </c>
      <c r="X76" s="1110"/>
      <c r="Y76" s="1110"/>
      <c r="Z76" s="1110">
        <f>Z75/W75-1</f>
        <v>-0.18961788031723148</v>
      </c>
      <c r="AA76" s="1110">
        <f t="shared" ca="1" si="156"/>
        <v>2.6112099644127973E-2</v>
      </c>
      <c r="AB76" s="1110"/>
      <c r="AC76" s="1110">
        <f ca="1">AC75/AA75-1</f>
        <v>0.15214968055455436</v>
      </c>
      <c r="AD76" s="1110">
        <f t="shared" ca="1" si="156"/>
        <v>8.2162429262322201E-2</v>
      </c>
      <c r="AE76" s="1110">
        <f t="shared" ca="1" si="156"/>
        <v>6.2994124804794493E-2</v>
      </c>
      <c r="AF76" s="1110">
        <f t="shared" ca="1" si="156"/>
        <v>0.11178866147298305</v>
      </c>
      <c r="AG76" s="1110">
        <f t="shared" ca="1" si="156"/>
        <v>2.8579593979025208E-2</v>
      </c>
      <c r="AH76" s="1110">
        <f t="shared" ca="1" si="156"/>
        <v>6.7205901816197011E-2</v>
      </c>
      <c r="AI76" s="1110">
        <f t="shared" ref="AI76:AN76" ca="1" si="157">AI75/AH75-1</f>
        <v>-5.0422660392062779E-2</v>
      </c>
      <c r="AJ76" s="1110">
        <f t="shared" ca="1" si="157"/>
        <v>2.5532968253357158E-2</v>
      </c>
      <c r="AK76" s="1110">
        <f t="shared" ca="1" si="157"/>
        <v>-3.2686629886394813E-3</v>
      </c>
      <c r="AL76" s="1110">
        <f t="shared" ca="1" si="157"/>
        <v>-1.7827419075607809E-2</v>
      </c>
      <c r="AM76" s="1110">
        <f t="shared" ca="1" si="157"/>
        <v>-1.7122925033175806E-2</v>
      </c>
      <c r="AN76" s="1110">
        <f t="shared" ca="1" si="157"/>
        <v>5.0933439767698818E-2</v>
      </c>
      <c r="AO76" s="1110"/>
      <c r="AP76" s="1110"/>
      <c r="AQ76" s="1110"/>
      <c r="AR76" s="1110"/>
      <c r="AS76" s="1110"/>
      <c r="AT76" s="1110"/>
      <c r="AU76" s="1108" t="str">
        <f t="shared" si="146"/>
        <v>% Change</v>
      </c>
      <c r="AV76" s="1108"/>
      <c r="AW76" s="1108"/>
      <c r="AX76" s="1108"/>
      <c r="AY76" s="1108"/>
      <c r="AZ76" s="1700"/>
      <c r="BA76" s="1108"/>
      <c r="BB76" s="1108"/>
      <c r="BC76" s="1727"/>
      <c r="BD76" s="1727"/>
      <c r="BE76" s="1727"/>
      <c r="BF76" s="1630" t="s">
        <v>737</v>
      </c>
      <c r="BG76" s="1630" t="s">
        <v>737</v>
      </c>
      <c r="BH76" s="1630" t="s">
        <v>737</v>
      </c>
      <c r="BI76" s="1630" t="s">
        <v>737</v>
      </c>
      <c r="BJ76" s="1630"/>
      <c r="BK76" s="1630">
        <f>BK75/BF75-1</f>
        <v>-2.0104279205223285E-2</v>
      </c>
      <c r="BL76" s="1630">
        <f>BL75/BG75-1</f>
        <v>5.44421382150162E-4</v>
      </c>
      <c r="BM76" s="1630">
        <f>BM75/BH75-1</f>
        <v>7.803479714934225E-3</v>
      </c>
      <c r="BN76" s="1630">
        <f>BN75/BI75-1</f>
        <v>-4.3973996800653281E-2</v>
      </c>
      <c r="BO76" s="1108"/>
      <c r="BP76" s="1630">
        <f>BP75/BK75-1</f>
        <v>8.1093902042090882E-3</v>
      </c>
      <c r="BQ76" s="1630">
        <f>BQ75/BL75-1</f>
        <v>-0.15501481968372732</v>
      </c>
      <c r="BR76" s="1630">
        <f>BR75/BM75-1</f>
        <v>-22.522784376616062</v>
      </c>
      <c r="BS76" s="1630">
        <f>BS75/BN75-1</f>
        <v>-0.59823127526674158</v>
      </c>
      <c r="BT76" s="1108"/>
      <c r="BU76" s="1108"/>
      <c r="BV76" s="1108"/>
      <c r="BW76" s="1108"/>
      <c r="BX76" s="1108"/>
      <c r="BY76" s="1108"/>
      <c r="BZ76" s="1108"/>
      <c r="CA76" s="1108"/>
      <c r="CB76" s="1108"/>
      <c r="CC76" s="1108"/>
      <c r="CD76" s="1108"/>
      <c r="CE76" s="1108"/>
      <c r="CF76" s="1108"/>
      <c r="CG76" s="1108"/>
      <c r="CH76" s="1108"/>
      <c r="CI76" s="1108"/>
      <c r="CJ76" s="1108"/>
      <c r="CK76" s="1108"/>
      <c r="CL76" s="1108"/>
      <c r="CM76" s="1108"/>
      <c r="CN76" s="1108"/>
      <c r="CO76" s="1108"/>
      <c r="CP76" s="1108"/>
      <c r="CQ76" s="1108"/>
      <c r="CR76" s="1108"/>
      <c r="CS76" s="1108"/>
      <c r="CT76" s="1470"/>
      <c r="CU76" s="1470"/>
      <c r="CV76" s="1470"/>
      <c r="CW76" s="1108"/>
      <c r="CX76" s="2026"/>
      <c r="CY76" s="1470"/>
      <c r="CZ76" s="1470"/>
      <c r="DA76" s="1470"/>
      <c r="DB76" s="1108"/>
      <c r="DC76" s="2870"/>
      <c r="DD76" s="2876"/>
      <c r="DE76" s="2876"/>
      <c r="DF76" s="2877"/>
      <c r="DG76" s="2877"/>
      <c r="DH76" s="2842"/>
      <c r="DI76" s="2842"/>
      <c r="DJ76" s="2842"/>
      <c r="DK76" s="2842"/>
      <c r="DL76" s="2842"/>
      <c r="DM76" s="2842"/>
      <c r="DN76" s="2842"/>
      <c r="DO76" s="2842"/>
      <c r="DP76" s="2842"/>
      <c r="DQ76" s="2842"/>
      <c r="DR76" s="2026"/>
    </row>
    <row r="77" spans="1:122" hidden="1" outlineLevel="1">
      <c r="A77" s="1108" t="s">
        <v>1023</v>
      </c>
      <c r="B77" s="1661"/>
      <c r="C77" s="1661"/>
      <c r="D77" s="1661"/>
      <c r="E77" s="1661"/>
      <c r="F77" s="1661"/>
      <c r="G77" s="1661"/>
      <c r="H77" s="1727">
        <f>H21</f>
        <v>2665.6908918991894</v>
      </c>
      <c r="I77" s="1727">
        <f>I21</f>
        <v>2599.0750000000007</v>
      </c>
      <c r="J77" s="1727">
        <f>J21</f>
        <v>-15070.475</v>
      </c>
      <c r="K77" s="1727">
        <f>K21</f>
        <v>-6722.0444999999991</v>
      </c>
      <c r="L77" s="1727">
        <f>L21</f>
        <v>2693.7000000000003</v>
      </c>
      <c r="M77" s="1727"/>
      <c r="N77" s="1727">
        <f>N21</f>
        <v>-12053.200000000003</v>
      </c>
      <c r="O77" s="1369"/>
      <c r="P77" s="1727"/>
      <c r="Q77" s="1727"/>
      <c r="R77" s="1727">
        <f t="shared" ref="R77:AH77" si="158">R21</f>
        <v>1141.4000000000003</v>
      </c>
      <c r="S77" s="1727">
        <f t="shared" si="158"/>
        <v>1913.2000000000003</v>
      </c>
      <c r="T77" s="1727">
        <f t="shared" si="158"/>
        <v>2783.0000000000005</v>
      </c>
      <c r="U77" s="1727">
        <f t="shared" si="158"/>
        <v>3107.9999999999995</v>
      </c>
      <c r="V77" s="1727">
        <f t="shared" si="158"/>
        <v>3379</v>
      </c>
      <c r="W77" s="1727">
        <f t="shared" si="158"/>
        <v>2928</v>
      </c>
      <c r="X77" s="1727"/>
      <c r="Y77" s="1727"/>
      <c r="Z77" s="1727">
        <f>Z21</f>
        <v>2422</v>
      </c>
      <c r="AA77" s="1727">
        <f t="shared" ca="1" si="158"/>
        <v>2489</v>
      </c>
      <c r="AB77" s="1727"/>
      <c r="AC77" s="1727">
        <f t="shared" ca="1" si="158"/>
        <v>2830.7636681351901</v>
      </c>
      <c r="AD77" s="1727">
        <f t="shared" ca="1" si="158"/>
        <v>3054.3167712713916</v>
      </c>
      <c r="AE77" s="1727">
        <f t="shared" ca="1" si="158"/>
        <v>3240.8381616604174</v>
      </c>
      <c r="AF77" s="1727">
        <f t="shared" ca="1" si="158"/>
        <v>3588.107305608396</v>
      </c>
      <c r="AG77" s="1727">
        <f t="shared" ca="1" si="158"/>
        <v>3690.9226268372031</v>
      </c>
      <c r="AH77" s="1727">
        <f t="shared" ca="1" si="158"/>
        <v>3931.7257492924609</v>
      </c>
      <c r="AI77" s="1727">
        <f t="shared" ref="AI77:AN77" ca="1" si="159">AI21</f>
        <v>3749.6161198676004</v>
      </c>
      <c r="AJ77" s="1727">
        <f t="shared" ca="1" si="159"/>
        <v>3846.2782420316325</v>
      </c>
      <c r="AK77" s="1727">
        <f t="shared" ca="1" si="159"/>
        <v>3840.7886591563015</v>
      </c>
      <c r="AL77" s="1727">
        <f t="shared" ca="1" si="159"/>
        <v>3782.8048062180451</v>
      </c>
      <c r="AM77" s="1727">
        <f t="shared" ca="1" si="159"/>
        <v>3728.6751296832799</v>
      </c>
      <c r="AN77" s="1727">
        <f t="shared" ca="1" si="159"/>
        <v>3913.7195934187521</v>
      </c>
      <c r="AO77" s="1727"/>
      <c r="AP77" s="1727"/>
      <c r="AQ77" s="1727"/>
      <c r="AR77" s="1727"/>
      <c r="AS77" s="1727"/>
      <c r="AT77" s="1727"/>
      <c r="AU77" s="1108" t="str">
        <f t="shared" si="146"/>
        <v>Total Reported EBITA after FAS 123 Expense</v>
      </c>
      <c r="AV77" s="1108"/>
      <c r="AW77" s="1108"/>
      <c r="AX77" s="1108"/>
      <c r="AY77" s="1108"/>
      <c r="AZ77" s="1700"/>
      <c r="BA77" s="1108"/>
      <c r="BB77" s="1108"/>
      <c r="BC77" s="1727"/>
      <c r="BD77" s="1727"/>
      <c r="BE77" s="1727"/>
      <c r="BF77" s="1727">
        <f>BF21</f>
        <v>540.72499999999991</v>
      </c>
      <c r="BG77" s="1727">
        <f>BG21</f>
        <v>752.92499999999995</v>
      </c>
      <c r="BH77" s="1727">
        <f>BH21</f>
        <v>648.82500000000005</v>
      </c>
      <c r="BI77" s="1727">
        <f>BI21</f>
        <v>751.22500000000002</v>
      </c>
      <c r="BJ77" s="1727"/>
      <c r="BK77" s="1727">
        <f>BK21</f>
        <v>542.52499999999998</v>
      </c>
      <c r="BL77" s="1727">
        <f>BL21</f>
        <v>765.62500000000011</v>
      </c>
      <c r="BM77" s="1727">
        <f>BM21</f>
        <v>663.32500000000016</v>
      </c>
      <c r="BN77" s="1727">
        <f>BN21</f>
        <v>726.82500000000016</v>
      </c>
      <c r="BO77" s="1108"/>
      <c r="BP77" s="1727">
        <f>BP21</f>
        <v>558.85424972625015</v>
      </c>
      <c r="BQ77" s="1727">
        <f>BQ21</f>
        <v>660.26973068000007</v>
      </c>
      <c r="BR77" s="1727">
        <f>BR21</f>
        <v>-13581.856023132064</v>
      </c>
      <c r="BS77" s="1727">
        <f>BS21</f>
        <v>309.53204272581246</v>
      </c>
      <c r="BT77" s="1108"/>
      <c r="BU77" s="1108"/>
      <c r="BV77" s="1108"/>
      <c r="BW77" s="1108"/>
      <c r="BX77" s="1108"/>
      <c r="BY77" s="1108"/>
      <c r="BZ77" s="1108"/>
      <c r="CA77" s="1108"/>
      <c r="CB77" s="1108"/>
      <c r="CC77" s="1108"/>
      <c r="CD77" s="1108"/>
      <c r="CE77" s="1108"/>
      <c r="CF77" s="1108"/>
      <c r="CG77" s="1108"/>
      <c r="CH77" s="1108"/>
      <c r="CI77" s="1108"/>
      <c r="CJ77" s="1108"/>
      <c r="CK77" s="1108"/>
      <c r="CL77" s="1108"/>
      <c r="CM77" s="1108"/>
      <c r="CN77" s="1108"/>
      <c r="CO77" s="1108"/>
      <c r="CP77" s="1108"/>
      <c r="CQ77" s="1108"/>
      <c r="CR77" s="1108"/>
      <c r="CS77" s="1108"/>
      <c r="CT77" s="1470"/>
      <c r="CU77" s="1470"/>
      <c r="CV77" s="1470"/>
      <c r="CW77" s="1108"/>
      <c r="CX77" s="2026"/>
      <c r="CY77" s="1470"/>
      <c r="CZ77" s="1470"/>
      <c r="DA77" s="1470"/>
      <c r="DB77" s="1108"/>
      <c r="DC77" s="2870"/>
      <c r="DD77" s="2876"/>
      <c r="DE77" s="2876"/>
      <c r="DF77" s="2877"/>
      <c r="DG77" s="2877"/>
      <c r="DH77" s="2842"/>
      <c r="DI77" s="2842"/>
      <c r="DJ77" s="2842"/>
      <c r="DK77" s="2842"/>
      <c r="DL77" s="2842"/>
      <c r="DM77" s="2842"/>
      <c r="DN77" s="2842"/>
      <c r="DO77" s="2842"/>
      <c r="DP77" s="2842"/>
      <c r="DQ77" s="2842"/>
      <c r="DR77" s="2026"/>
    </row>
    <row r="78" spans="1:122" hidden="1" outlineLevel="1">
      <c r="A78" s="1108" t="s">
        <v>676</v>
      </c>
      <c r="B78" s="1661"/>
      <c r="C78" s="1661"/>
      <c r="D78" s="1661"/>
      <c r="E78" s="1661"/>
      <c r="F78" s="1661"/>
      <c r="G78" s="1661"/>
      <c r="H78" s="1661"/>
      <c r="I78" s="1110">
        <f>I77/H77-1</f>
        <v>-2.4990103729441659E-2</v>
      </c>
      <c r="J78" s="1110">
        <f>J77/I77-1</f>
        <v>-6.7983994305666426</v>
      </c>
      <c r="K78" s="1110">
        <f>K77/J77-1</f>
        <v>-0.55395934766488786</v>
      </c>
      <c r="L78" s="1110">
        <f>L77/K77-1</f>
        <v>-1.4007262968877996</v>
      </c>
      <c r="M78" s="1110"/>
      <c r="N78" s="1110"/>
      <c r="O78" s="1369"/>
      <c r="P78" s="1110"/>
      <c r="Q78" s="1110"/>
      <c r="R78" s="1110">
        <f>R77/N77-1</f>
        <v>-1.0946968439916371</v>
      </c>
      <c r="S78" s="1110">
        <f t="shared" ref="S78:AH78" si="160">S77/R77-1</f>
        <v>0.67618713860171686</v>
      </c>
      <c r="T78" s="1110">
        <f t="shared" si="160"/>
        <v>0.45463098473761243</v>
      </c>
      <c r="U78" s="1110">
        <f t="shared" si="160"/>
        <v>0.11678045274883186</v>
      </c>
      <c r="V78" s="1110">
        <f t="shared" si="160"/>
        <v>8.7194337194337335E-2</v>
      </c>
      <c r="W78" s="1110">
        <f t="shared" si="160"/>
        <v>-0.13347144125480914</v>
      </c>
      <c r="X78" s="1110"/>
      <c r="Y78" s="1110"/>
      <c r="Z78" s="1110">
        <f>Z77/W77-1</f>
        <v>-0.17281420765027322</v>
      </c>
      <c r="AA78" s="1110">
        <f t="shared" ca="1" si="160"/>
        <v>2.7663088356729926E-2</v>
      </c>
      <c r="AB78" s="1110"/>
      <c r="AC78" s="1110">
        <f ca="1">AC77/AA77-1</f>
        <v>0.13730962962442339</v>
      </c>
      <c r="AD78" s="1110">
        <f t="shared" ca="1" si="160"/>
        <v>7.8972718794102281E-2</v>
      </c>
      <c r="AE78" s="1110">
        <f t="shared" ca="1" si="160"/>
        <v>6.1068122384497991E-2</v>
      </c>
      <c r="AF78" s="1110">
        <f t="shared" ca="1" si="160"/>
        <v>0.10715411465349378</v>
      </c>
      <c r="AG78" s="1110">
        <f t="shared" ca="1" si="160"/>
        <v>2.8654472252850782E-2</v>
      </c>
      <c r="AH78" s="1110">
        <f t="shared" ca="1" si="160"/>
        <v>6.5241986029277665E-2</v>
      </c>
      <c r="AI78" s="1110">
        <f t="shared" ref="AI78:AN78" ca="1" si="161">AI77/AH77-1</f>
        <v>-4.6317988852002778E-2</v>
      </c>
      <c r="AJ78" s="1110">
        <f t="shared" ca="1" si="161"/>
        <v>2.5779204876963613E-2</v>
      </c>
      <c r="AK78" s="1110">
        <f t="shared" ca="1" si="161"/>
        <v>-1.4272453862910206E-3</v>
      </c>
      <c r="AL78" s="1110">
        <f t="shared" ca="1" si="161"/>
        <v>-1.5096861109508031E-2</v>
      </c>
      <c r="AM78" s="1110">
        <f t="shared" ca="1" si="161"/>
        <v>-1.430940249567958E-2</v>
      </c>
      <c r="AN78" s="1110">
        <f t="shared" ca="1" si="161"/>
        <v>4.9627403112265878E-2</v>
      </c>
      <c r="AO78" s="1110"/>
      <c r="AP78" s="1110"/>
      <c r="AQ78" s="1110"/>
      <c r="AR78" s="1110"/>
      <c r="AS78" s="1110"/>
      <c r="AT78" s="1110"/>
      <c r="AU78" s="1108" t="str">
        <f t="shared" si="146"/>
        <v>% Change</v>
      </c>
      <c r="AV78" s="1108"/>
      <c r="AW78" s="1108"/>
      <c r="AX78" s="1108"/>
      <c r="AY78" s="1108"/>
      <c r="AZ78" s="1700"/>
      <c r="BA78" s="1108"/>
      <c r="BB78" s="1108"/>
      <c r="BC78" s="1727"/>
      <c r="BD78" s="1727"/>
      <c r="BE78" s="1727"/>
      <c r="BF78" s="1630" t="s">
        <v>737</v>
      </c>
      <c r="BG78" s="1630" t="s">
        <v>737</v>
      </c>
      <c r="BH78" s="1630" t="s">
        <v>737</v>
      </c>
      <c r="BI78" s="1630" t="s">
        <v>737</v>
      </c>
      <c r="BJ78" s="1630"/>
      <c r="BK78" s="1630">
        <f>BK77/BF77-1</f>
        <v>3.3288640251516455E-3</v>
      </c>
      <c r="BL78" s="1630">
        <f>BL77/BG77-1</f>
        <v>1.6867549888767375E-2</v>
      </c>
      <c r="BM78" s="1630">
        <f>BM77/BH77-1</f>
        <v>2.2348090779486185E-2</v>
      </c>
      <c r="BN78" s="1630">
        <f>BN77/BI77-1</f>
        <v>-3.2480282205730404E-2</v>
      </c>
      <c r="BO78" s="1108"/>
      <c r="BP78" s="1630">
        <f>BP77/BK77-1</f>
        <v>3.0098612462559737E-2</v>
      </c>
      <c r="BQ78" s="1630">
        <f>BQ77/BL77-1</f>
        <v>-0.13760688237714291</v>
      </c>
      <c r="BR78" s="1630">
        <f>BR77/BM77-1</f>
        <v>-21.475417062725001</v>
      </c>
      <c r="BS78" s="1630">
        <f>BS77/BN77-1</f>
        <v>-0.57413126581252372</v>
      </c>
      <c r="BT78" s="1108"/>
      <c r="BU78" s="1108"/>
      <c r="BV78" s="1108"/>
      <c r="BW78" s="1108"/>
      <c r="BX78" s="1108"/>
      <c r="BY78" s="1108"/>
      <c r="BZ78" s="1108"/>
      <c r="CA78" s="1108"/>
      <c r="CB78" s="1108"/>
      <c r="CC78" s="1108"/>
      <c r="CD78" s="1108"/>
      <c r="CE78" s="1108"/>
      <c r="CF78" s="1108"/>
      <c r="CG78" s="1108"/>
      <c r="CH78" s="1108"/>
      <c r="CI78" s="1108"/>
      <c r="CJ78" s="1108"/>
      <c r="CK78" s="1108"/>
      <c r="CL78" s="1108"/>
      <c r="CM78" s="1108"/>
      <c r="CN78" s="1108"/>
      <c r="CO78" s="1108"/>
      <c r="CP78" s="1108"/>
      <c r="CQ78" s="1108"/>
      <c r="CR78" s="1108"/>
      <c r="CS78" s="1108"/>
      <c r="CT78" s="1470"/>
      <c r="CU78" s="1470"/>
      <c r="CV78" s="1470"/>
      <c r="CW78" s="1108"/>
      <c r="CX78" s="2026"/>
      <c r="CY78" s="1470"/>
      <c r="CZ78" s="1470"/>
      <c r="DA78" s="1470"/>
      <c r="DB78" s="1108"/>
      <c r="DC78" s="2870"/>
      <c r="DD78" s="2876"/>
      <c r="DE78" s="2876"/>
      <c r="DF78" s="2877"/>
      <c r="DG78" s="2877"/>
      <c r="DH78" s="2842"/>
      <c r="DI78" s="2842"/>
      <c r="DJ78" s="2842"/>
      <c r="DK78" s="2842"/>
      <c r="DL78" s="2842"/>
      <c r="DM78" s="2842"/>
      <c r="DN78" s="2842"/>
      <c r="DO78" s="2842"/>
      <c r="DP78" s="2842"/>
      <c r="DQ78" s="2842"/>
      <c r="DR78" s="2026"/>
    </row>
    <row r="79" spans="1:122" hidden="1" outlineLevel="1">
      <c r="A79" s="1108" t="s">
        <v>1024</v>
      </c>
      <c r="B79" s="1661"/>
      <c r="C79" s="1661"/>
      <c r="D79" s="1661"/>
      <c r="E79" s="1661"/>
      <c r="F79" s="1661"/>
      <c r="G79" s="1661"/>
      <c r="H79" s="1110">
        <f>H12/H77</f>
        <v>0</v>
      </c>
      <c r="I79" s="1110">
        <f>I12/I77</f>
        <v>0</v>
      </c>
      <c r="J79" s="1110">
        <f>J12/J77</f>
        <v>0</v>
      </c>
      <c r="K79" s="1110">
        <f>K12/K77</f>
        <v>0</v>
      </c>
      <c r="L79" s="1110">
        <f>L12/L77</f>
        <v>2.3870512677729515E-2</v>
      </c>
      <c r="M79" s="1110"/>
      <c r="N79" s="1110">
        <f>N12/N77</f>
        <v>-1.1440945143198485E-2</v>
      </c>
      <c r="O79" s="1369"/>
      <c r="P79" s="1110"/>
      <c r="Q79" s="1110"/>
      <c r="R79" s="1110">
        <f t="shared" ref="R79:AH79" si="162">R12/R77</f>
        <v>0.11880147187664268</v>
      </c>
      <c r="S79" s="1110">
        <f t="shared" si="162"/>
        <v>7.5128580388877264E-2</v>
      </c>
      <c r="T79" s="1110">
        <f t="shared" si="162"/>
        <v>4.9946101329500531E-2</v>
      </c>
      <c r="U79" s="1110">
        <f t="shared" si="162"/>
        <v>4.9227799227799234E-2</v>
      </c>
      <c r="V79" s="1110">
        <f t="shared" si="162"/>
        <v>6.7771530038472916E-2</v>
      </c>
      <c r="W79" s="1110">
        <f t="shared" si="162"/>
        <v>5.2595628415300549E-2</v>
      </c>
      <c r="X79" s="1110"/>
      <c r="Y79" s="1110"/>
      <c r="Z79" s="1110">
        <f>Z12/Z77</f>
        <v>7.1841453344343512E-2</v>
      </c>
      <c r="AA79" s="1110">
        <f t="shared" ca="1" si="162"/>
        <v>7.3242265970269185E-2</v>
      </c>
      <c r="AB79" s="1110"/>
      <c r="AC79" s="1110">
        <f t="shared" ca="1" si="162"/>
        <v>6.1149576684383665E-2</v>
      </c>
      <c r="AD79" s="1110">
        <f t="shared" ca="1" si="162"/>
        <v>5.8374102410400495E-2</v>
      </c>
      <c r="AE79" s="1110">
        <f t="shared" ca="1" si="162"/>
        <v>5.6664906064273393E-2</v>
      </c>
      <c r="AF79" s="1110">
        <f t="shared" ca="1" si="162"/>
        <v>5.2716105620461022E-2</v>
      </c>
      <c r="AG79" s="1110">
        <f t="shared" ca="1" si="162"/>
        <v>5.2785060730993559E-2</v>
      </c>
      <c r="AH79" s="1110">
        <f t="shared" ca="1" si="162"/>
        <v>5.1038743558713864E-2</v>
      </c>
      <c r="AI79" s="1110">
        <f t="shared" ref="AI79:AN79" ca="1" si="163">AI12/AI77</f>
        <v>5.5123096850903289E-2</v>
      </c>
      <c r="AJ79" s="1110">
        <f t="shared" ca="1" si="163"/>
        <v>5.5349913009048027E-2</v>
      </c>
      <c r="AK79" s="1110">
        <f t="shared" ca="1" si="163"/>
        <v>5.7091894542399726E-2</v>
      </c>
      <c r="AL79" s="1110">
        <f t="shared" ca="1" si="163"/>
        <v>5.9706024944662109E-2</v>
      </c>
      <c r="AM79" s="1110">
        <f t="shared" ca="1" si="163"/>
        <v>6.2389968869244916E-2</v>
      </c>
      <c r="AN79" s="1110">
        <f t="shared" ca="1" si="163"/>
        <v>6.1223313858593094E-2</v>
      </c>
      <c r="AO79" s="1110"/>
      <c r="AP79" s="1110"/>
      <c r="AQ79" s="1110"/>
      <c r="AR79" s="1110"/>
      <c r="AS79" s="1110"/>
      <c r="AT79" s="1110"/>
      <c r="AU79" s="1108" t="str">
        <f t="shared" si="146"/>
        <v>FAS 123R as % of EBITA</v>
      </c>
      <c r="AV79" s="1108"/>
      <c r="AW79" s="1108"/>
      <c r="AX79" s="1108"/>
      <c r="AY79" s="1108"/>
      <c r="AZ79" s="1700"/>
      <c r="BA79" s="1108"/>
      <c r="BB79" s="1108"/>
      <c r="BC79" s="1727"/>
      <c r="BD79" s="1727"/>
      <c r="BE79" s="1727"/>
      <c r="BF79" s="1110">
        <f>BF12/BF77</f>
        <v>1.5719635674326139E-2</v>
      </c>
      <c r="BG79" s="1110">
        <f>BG12/BG77</f>
        <v>2.4172394328784409E-2</v>
      </c>
      <c r="BH79" s="1110">
        <f>BH12/BH77</f>
        <v>3.2212075675259119E-2</v>
      </c>
      <c r="BI79" s="1110">
        <f>BI12/BI77</f>
        <v>2.2230357083430401E-2</v>
      </c>
      <c r="BJ79" s="1110"/>
      <c r="BK79" s="1110">
        <f>BK12/BK77</f>
        <v>3.8707893645454128E-2</v>
      </c>
      <c r="BL79" s="1110">
        <f>BL12/BL77</f>
        <v>3.9836734693877544E-2</v>
      </c>
      <c r="BM79" s="1110">
        <f>BM12/BM77</f>
        <v>4.5980477141672624E-2</v>
      </c>
      <c r="BN79" s="1110">
        <f>BN12/BN77</f>
        <v>3.3845836342998641E-2</v>
      </c>
      <c r="BO79" s="1108"/>
      <c r="BP79" s="1110">
        <f>BP12/BP77</f>
        <v>5.9228322977258822E-2</v>
      </c>
      <c r="BQ79" s="1110">
        <f>BQ12/BQ77</f>
        <v>5.9218222770460197E-2</v>
      </c>
      <c r="BR79" s="1110">
        <f>BR12/BR77</f>
        <v>-2.8199385956358988E-3</v>
      </c>
      <c r="BS79" s="1110">
        <f>BS12/BS77</f>
        <v>8.8520722309422678E-2</v>
      </c>
      <c r="BT79" s="1108"/>
      <c r="BU79" s="1108"/>
      <c r="BV79" s="1108"/>
      <c r="BW79" s="1108"/>
      <c r="BX79" s="1108"/>
      <c r="BY79" s="1108"/>
      <c r="BZ79" s="1108"/>
      <c r="CA79" s="1108"/>
      <c r="CB79" s="1108"/>
      <c r="CC79" s="1108"/>
      <c r="CD79" s="1108"/>
      <c r="CE79" s="1108"/>
      <c r="CF79" s="1108"/>
      <c r="CG79" s="1108"/>
      <c r="CH79" s="1108"/>
      <c r="CI79" s="1108"/>
      <c r="CJ79" s="1108"/>
      <c r="CK79" s="1108"/>
      <c r="CL79" s="1108"/>
      <c r="CM79" s="1108"/>
      <c r="CN79" s="1108"/>
      <c r="CO79" s="1108"/>
      <c r="CP79" s="1108"/>
      <c r="CQ79" s="1108"/>
      <c r="CR79" s="1108"/>
      <c r="CS79" s="1108"/>
      <c r="CT79" s="1470"/>
      <c r="CU79" s="1470"/>
      <c r="CV79" s="1470"/>
      <c r="CW79" s="1108"/>
      <c r="CX79" s="2026"/>
      <c r="CY79" s="1470"/>
      <c r="CZ79" s="1470"/>
      <c r="DA79" s="1470"/>
      <c r="DB79" s="1108"/>
      <c r="DC79" s="2870"/>
      <c r="DD79" s="2876"/>
      <c r="DE79" s="2876"/>
      <c r="DF79" s="2877"/>
      <c r="DG79" s="2877"/>
      <c r="DH79" s="2842"/>
      <c r="DI79" s="2842"/>
      <c r="DJ79" s="2842"/>
      <c r="DK79" s="2842"/>
      <c r="DL79" s="2842"/>
      <c r="DM79" s="2842"/>
      <c r="DN79" s="2842"/>
      <c r="DO79" s="2842"/>
      <c r="DP79" s="2842"/>
      <c r="DQ79" s="2842"/>
      <c r="DR79" s="2026"/>
    </row>
    <row r="80" spans="1:122" hidden="1" outlineLevel="1">
      <c r="A80" s="1108"/>
      <c r="B80" s="1661"/>
      <c r="C80" s="1661"/>
      <c r="D80" s="1661"/>
      <c r="E80" s="1661"/>
      <c r="F80" s="1661"/>
      <c r="G80" s="1661"/>
      <c r="H80" s="1661"/>
      <c r="I80" s="1661"/>
      <c r="J80" s="1661"/>
      <c r="K80" s="1661"/>
      <c r="L80" s="1661"/>
      <c r="M80" s="1661"/>
      <c r="N80" s="1661"/>
      <c r="O80" s="1369"/>
      <c r="P80" s="1661"/>
      <c r="Q80" s="1661"/>
      <c r="R80" s="1661"/>
      <c r="S80" s="1661"/>
      <c r="T80" s="1661"/>
      <c r="U80" s="1661"/>
      <c r="V80" s="1661"/>
      <c r="W80" s="1661"/>
      <c r="X80" s="1661"/>
      <c r="Y80" s="1661"/>
      <c r="Z80" s="1661"/>
      <c r="AA80" s="1661"/>
      <c r="AB80" s="1661"/>
      <c r="AC80" s="1661"/>
      <c r="AD80" s="1661"/>
      <c r="AE80" s="1661"/>
      <c r="AF80" s="1661"/>
      <c r="AG80" s="1661"/>
      <c r="AH80" s="1661"/>
      <c r="AI80" s="1661"/>
      <c r="AJ80" s="1661"/>
      <c r="AK80" s="1661"/>
      <c r="AL80" s="1661"/>
      <c r="AM80" s="1661"/>
      <c r="AN80" s="1661"/>
      <c r="AO80" s="1661"/>
      <c r="AP80" s="1661"/>
      <c r="AQ80" s="1661"/>
      <c r="AR80" s="1661"/>
      <c r="AS80" s="1661"/>
      <c r="AT80" s="1661"/>
      <c r="AU80" s="1108" t="str">
        <f t="shared" si="146"/>
        <v/>
      </c>
      <c r="AV80" s="1108"/>
      <c r="AW80" s="1108"/>
      <c r="AX80" s="1108"/>
      <c r="AY80" s="1108"/>
      <c r="AZ80" s="1700"/>
      <c r="BA80" s="1108"/>
      <c r="BB80" s="1108"/>
      <c r="BC80" s="1727"/>
      <c r="BD80" s="1727"/>
      <c r="BE80" s="1727"/>
      <c r="BF80" s="1727"/>
      <c r="BG80" s="1727"/>
      <c r="BH80" s="1727"/>
      <c r="BI80" s="1700"/>
      <c r="BJ80" s="1700"/>
      <c r="BK80" s="1700"/>
      <c r="BL80" s="1700"/>
      <c r="BM80" s="1700"/>
      <c r="BN80" s="1700"/>
      <c r="BO80" s="1108"/>
      <c r="BP80" s="1700"/>
      <c r="BQ80" s="1700"/>
      <c r="BR80" s="1700"/>
      <c r="BS80" s="1700"/>
      <c r="BT80" s="1108"/>
      <c r="BU80" s="1108"/>
      <c r="BV80" s="1108"/>
      <c r="BW80" s="1108"/>
      <c r="BX80" s="1108"/>
      <c r="BY80" s="1108"/>
      <c r="BZ80" s="1108"/>
      <c r="CA80" s="1108"/>
      <c r="CB80" s="1108"/>
      <c r="CC80" s="1108"/>
      <c r="CD80" s="1108"/>
      <c r="CE80" s="1108"/>
      <c r="CF80" s="1108"/>
      <c r="CG80" s="1108"/>
      <c r="CH80" s="1108"/>
      <c r="CI80" s="1108"/>
      <c r="CJ80" s="1108"/>
      <c r="CK80" s="1108"/>
      <c r="CL80" s="1108"/>
      <c r="CM80" s="1108"/>
      <c r="CN80" s="1108"/>
      <c r="CO80" s="1108"/>
      <c r="CP80" s="1108"/>
      <c r="CQ80" s="1108"/>
      <c r="CR80" s="1108"/>
      <c r="CS80" s="1108"/>
      <c r="CT80" s="1470"/>
      <c r="CU80" s="1470"/>
      <c r="CV80" s="1470"/>
      <c r="CW80" s="1108"/>
      <c r="CX80" s="2026"/>
      <c r="CY80" s="1470"/>
      <c r="CZ80" s="1470"/>
      <c r="DA80" s="1470"/>
      <c r="DB80" s="1108"/>
      <c r="DC80" s="2870"/>
      <c r="DD80" s="2876"/>
      <c r="DE80" s="2876"/>
      <c r="DF80" s="2877"/>
      <c r="DG80" s="2877"/>
      <c r="DH80" s="2842"/>
      <c r="DI80" s="2842"/>
      <c r="DJ80" s="2842"/>
      <c r="DK80" s="2842"/>
      <c r="DL80" s="2842"/>
      <c r="DM80" s="2842"/>
      <c r="DN80" s="2842"/>
      <c r="DO80" s="2842"/>
      <c r="DP80" s="2842"/>
      <c r="DQ80" s="2842"/>
      <c r="DR80" s="2026"/>
    </row>
    <row r="81" spans="1:122" hidden="1" outlineLevel="1">
      <c r="A81" s="1108" t="s">
        <v>883</v>
      </c>
      <c r="B81" s="1661"/>
      <c r="C81" s="1661"/>
      <c r="D81" s="1661"/>
      <c r="E81" s="1661"/>
      <c r="F81" s="1661"/>
      <c r="G81" s="1661"/>
      <c r="H81" s="1727">
        <f>H34+H12</f>
        <v>1828.9999999999993</v>
      </c>
      <c r="I81" s="1727">
        <f>I34+I12</f>
        <v>1825.8000000000006</v>
      </c>
      <c r="J81" s="1727">
        <f>J34+J12</f>
        <v>-15801.6</v>
      </c>
      <c r="K81" s="1727">
        <f>K34+K12</f>
        <v>-7511.6999999999989</v>
      </c>
      <c r="L81" s="1727">
        <f>L34+L12</f>
        <v>2197</v>
      </c>
      <c r="M81" s="1727"/>
      <c r="N81" s="1727">
        <f>N34+N12</f>
        <v>-12437.200000000003</v>
      </c>
      <c r="O81" s="1369"/>
      <c r="P81" s="1727"/>
      <c r="Q81" s="1727"/>
      <c r="R81" s="1727">
        <f t="shared" ref="R81:AH81" si="164">R34+R12</f>
        <v>578.60000000000036</v>
      </c>
      <c r="S81" s="1727">
        <f t="shared" si="164"/>
        <v>1365.2360000000003</v>
      </c>
      <c r="T81" s="1727">
        <f t="shared" si="164"/>
        <v>2318.0000000000005</v>
      </c>
      <c r="U81" s="1727">
        <f t="shared" si="164"/>
        <v>2713.9999999999995</v>
      </c>
      <c r="V81" s="1727">
        <f t="shared" si="164"/>
        <v>3126</v>
      </c>
      <c r="W81" s="1727">
        <f t="shared" si="164"/>
        <v>2318</v>
      </c>
      <c r="X81" s="1727"/>
      <c r="Y81" s="1727"/>
      <c r="Z81" s="1727">
        <f>Z34+Z12</f>
        <v>2197</v>
      </c>
      <c r="AA81" s="1727">
        <f t="shared" ca="1" si="164"/>
        <v>2245.3000000000002</v>
      </c>
      <c r="AB81" s="1727"/>
      <c r="AC81" s="1727">
        <f t="shared" ca="1" si="164"/>
        <v>2595.1011681351902</v>
      </c>
      <c r="AD81" s="1727">
        <f t="shared" ca="1" si="164"/>
        <v>2814.477058671348</v>
      </c>
      <c r="AE81" s="1727">
        <f t="shared" ca="1" si="164"/>
        <v>2984.8001239350879</v>
      </c>
      <c r="AF81" s="1727">
        <f t="shared" ca="1" si="164"/>
        <v>3339.8242056214795</v>
      </c>
      <c r="AG81" s="1727">
        <f t="shared" ca="1" si="164"/>
        <v>3466.3196963884088</v>
      </c>
      <c r="AH81" s="1727">
        <f t="shared" ca="1" si="164"/>
        <v>3732.5031756464177</v>
      </c>
      <c r="AI81" s="1727">
        <f t="shared" ref="AI81:AN81" ca="1" si="165">AI34+AI12</f>
        <v>3581.006805113881</v>
      </c>
      <c r="AJ81" s="1727">
        <f t="shared" ca="1" si="165"/>
        <v>3706.8781287325</v>
      </c>
      <c r="AK81" s="1727">
        <f t="shared" ca="1" si="165"/>
        <v>3730.8482861476587</v>
      </c>
      <c r="AL81" s="1727">
        <f t="shared" ca="1" si="165"/>
        <v>3702.3131639090925</v>
      </c>
      <c r="AM81" s="1727">
        <f t="shared" ca="1" si="165"/>
        <v>3673.374168427626</v>
      </c>
      <c r="AN81" s="1727">
        <f t="shared" ca="1" si="165"/>
        <v>3882.4544435574303</v>
      </c>
      <c r="AO81" s="1727"/>
      <c r="AP81" s="1727"/>
      <c r="AQ81" s="1727"/>
      <c r="AR81" s="1727"/>
      <c r="AS81" s="1727"/>
      <c r="AT81" s="1727"/>
      <c r="AU81" s="1108" t="str">
        <f t="shared" si="146"/>
        <v>Pre-Tax Income before FAS 123 Expense</v>
      </c>
      <c r="AV81" s="1108"/>
      <c r="AW81" s="1108"/>
      <c r="AX81" s="1108"/>
      <c r="AY81" s="1108"/>
      <c r="AZ81" s="1700"/>
      <c r="BA81" s="1108"/>
      <c r="BB81" s="1108"/>
      <c r="BC81" s="1727"/>
      <c r="BD81" s="1727"/>
      <c r="BE81" s="1727"/>
      <c r="BF81" s="1727">
        <f>BF34+BF12</f>
        <v>389.69999999999987</v>
      </c>
      <c r="BG81" s="1727">
        <f>BG34+BG12</f>
        <v>610.79999999999995</v>
      </c>
      <c r="BH81" s="1727">
        <f>BH34+BH12</f>
        <v>538.99999999999989</v>
      </c>
      <c r="BI81" s="1727">
        <f>BI34+BI12</f>
        <v>657.50000000000011</v>
      </c>
      <c r="BJ81" s="1727"/>
      <c r="BK81" s="1727">
        <f>BK34+BK12</f>
        <v>440.15</v>
      </c>
      <c r="BL81" s="1727">
        <f>BL34+BL12</f>
        <v>667.35</v>
      </c>
      <c r="BM81" s="1727">
        <f>BM34+BM12</f>
        <v>552.45000000000027</v>
      </c>
      <c r="BN81" s="1727">
        <f>BN34+BN12</f>
        <v>570.6500000000002</v>
      </c>
      <c r="BO81" s="1108"/>
      <c r="BP81" s="1727">
        <f>BP34+BP12</f>
        <v>450.77924972625016</v>
      </c>
      <c r="BQ81" s="1727">
        <f>BQ34+BQ12</f>
        <v>685.29473068000004</v>
      </c>
      <c r="BR81" s="1727">
        <f>BR34+BR12</f>
        <v>-13746.131023132064</v>
      </c>
      <c r="BS81" s="1727">
        <f>BS34+BS12</f>
        <v>172.85704272581245</v>
      </c>
      <c r="BT81" s="1108"/>
      <c r="BU81" s="1108"/>
      <c r="BV81" s="1108"/>
      <c r="BW81" s="1108"/>
      <c r="BX81" s="1108"/>
      <c r="BY81" s="1108"/>
      <c r="BZ81" s="1108"/>
      <c r="CA81" s="1108"/>
      <c r="CB81" s="1108"/>
      <c r="CC81" s="1108"/>
      <c r="CD81" s="1108"/>
      <c r="CE81" s="1108"/>
      <c r="CF81" s="1108"/>
      <c r="CG81" s="1108"/>
      <c r="CH81" s="1108"/>
      <c r="CI81" s="1108"/>
      <c r="CJ81" s="1108"/>
      <c r="CK81" s="1108"/>
      <c r="CL81" s="1108"/>
      <c r="CM81" s="1108"/>
      <c r="CN81" s="1108"/>
      <c r="CO81" s="1108"/>
      <c r="CP81" s="1108"/>
      <c r="CQ81" s="1108"/>
      <c r="CR81" s="1108"/>
      <c r="CS81" s="1108"/>
      <c r="CT81" s="1470"/>
      <c r="CU81" s="1470"/>
      <c r="CV81" s="1470"/>
      <c r="CW81" s="1108"/>
      <c r="CX81" s="2026"/>
      <c r="CY81" s="1470"/>
      <c r="CZ81" s="1470"/>
      <c r="DA81" s="1470"/>
      <c r="DB81" s="1108"/>
      <c r="DC81" s="2870"/>
      <c r="DD81" s="2876"/>
      <c r="DE81" s="2876"/>
      <c r="DF81" s="2877"/>
      <c r="DG81" s="2877"/>
      <c r="DH81" s="2842"/>
      <c r="DI81" s="2842"/>
      <c r="DJ81" s="2802"/>
      <c r="DK81" s="2842"/>
      <c r="DL81" s="2842"/>
      <c r="DM81" s="2842"/>
      <c r="DN81" s="2842"/>
      <c r="DO81" s="2842"/>
      <c r="DP81" s="2842"/>
      <c r="DQ81" s="2842"/>
      <c r="DR81" s="2026"/>
    </row>
    <row r="82" spans="1:122" hidden="1" outlineLevel="1">
      <c r="A82" s="1108" t="s">
        <v>676</v>
      </c>
      <c r="B82" s="1661"/>
      <c r="C82" s="1661"/>
      <c r="D82" s="1661"/>
      <c r="E82" s="1661"/>
      <c r="F82" s="1661"/>
      <c r="G82" s="1661"/>
      <c r="H82" s="1661"/>
      <c r="I82" s="1110">
        <f>I81/H81-1</f>
        <v>-1.7495899398570769E-3</v>
      </c>
      <c r="J82" s="1110">
        <f>J81/I81-1</f>
        <v>-9.6546171541242174</v>
      </c>
      <c r="K82" s="1110">
        <f>K81/J81-1</f>
        <v>-0.52462408869987853</v>
      </c>
      <c r="L82" s="1110">
        <f>L81/K81-1</f>
        <v>-1.2924770691055287</v>
      </c>
      <c r="M82" s="1110"/>
      <c r="N82" s="1110"/>
      <c r="O82" s="1369"/>
      <c r="P82" s="1110"/>
      <c r="Q82" s="1110"/>
      <c r="R82" s="1110">
        <f>R81/N81-1</f>
        <v>-1.0465217251471393</v>
      </c>
      <c r="S82" s="1110">
        <f t="shared" ref="S82:AH82" si="166">S81/R81-1</f>
        <v>1.3595506394745929</v>
      </c>
      <c r="T82" s="1110">
        <f t="shared" si="166"/>
        <v>0.69787494616315415</v>
      </c>
      <c r="U82" s="1110">
        <f t="shared" si="166"/>
        <v>0.17083692838653963</v>
      </c>
      <c r="V82" s="1110">
        <f t="shared" si="166"/>
        <v>0.15180545320560079</v>
      </c>
      <c r="W82" s="1110">
        <f t="shared" si="166"/>
        <v>-0.25847728726807417</v>
      </c>
      <c r="X82" s="1110"/>
      <c r="Y82" s="1110"/>
      <c r="Z82" s="1110">
        <f>Z81/W81-1</f>
        <v>-5.2200172562553937E-2</v>
      </c>
      <c r="AA82" s="1110">
        <f t="shared" ca="1" si="166"/>
        <v>2.1984524351388313E-2</v>
      </c>
      <c r="AB82" s="1110"/>
      <c r="AC82" s="1110">
        <f ca="1">AC81/AA81-1</f>
        <v>0.15579261930930821</v>
      </c>
      <c r="AD82" s="1110">
        <f t="shared" ca="1" si="166"/>
        <v>8.4534619778927178E-2</v>
      </c>
      <c r="AE82" s="1110">
        <f t="shared" ca="1" si="166"/>
        <v>6.0516771575372275E-2</v>
      </c>
      <c r="AF82" s="1110">
        <f t="shared" ca="1" si="166"/>
        <v>0.11894400527507898</v>
      </c>
      <c r="AG82" s="1110">
        <f t="shared" ca="1" si="166"/>
        <v>3.7874894898365152E-2</v>
      </c>
      <c r="AH82" s="1110">
        <f t="shared" ca="1" si="166"/>
        <v>7.6791381803400283E-2</v>
      </c>
      <c r="AI82" s="1110">
        <f t="shared" ref="AI82:AN82" ca="1" si="167">AI81/AH81-1</f>
        <v>-4.058841035180083E-2</v>
      </c>
      <c r="AJ82" s="1110">
        <f t="shared" ca="1" si="167"/>
        <v>3.5149702435322894E-2</v>
      </c>
      <c r="AK82" s="1110">
        <f t="shared" ca="1" si="167"/>
        <v>6.4664001843930397E-3</v>
      </c>
      <c r="AL82" s="1110">
        <f t="shared" ca="1" si="167"/>
        <v>-7.6484273950551129E-3</v>
      </c>
      <c r="AM82" s="1110">
        <f t="shared" ca="1" si="167"/>
        <v>-7.816463437931076E-3</v>
      </c>
      <c r="AN82" s="1110">
        <f t="shared" ca="1" si="167"/>
        <v>5.6917772473829009E-2</v>
      </c>
      <c r="AO82" s="1110"/>
      <c r="AP82" s="1110"/>
      <c r="AQ82" s="1110"/>
      <c r="AR82" s="1110"/>
      <c r="AS82" s="1110"/>
      <c r="AT82" s="1110"/>
      <c r="AU82" s="1108" t="str">
        <f t="shared" si="146"/>
        <v>% Change</v>
      </c>
      <c r="AV82" s="1108"/>
      <c r="AW82" s="1108"/>
      <c r="AX82" s="1108"/>
      <c r="AY82" s="1108"/>
      <c r="AZ82" s="1700"/>
      <c r="BA82" s="1108"/>
      <c r="BB82" s="1108"/>
      <c r="BC82" s="1727"/>
      <c r="BD82" s="1727"/>
      <c r="BE82" s="1727"/>
      <c r="BF82" s="1630" t="s">
        <v>737</v>
      </c>
      <c r="BG82" s="1630" t="s">
        <v>737</v>
      </c>
      <c r="BH82" s="1630" t="s">
        <v>737</v>
      </c>
      <c r="BI82" s="1630" t="s">
        <v>737</v>
      </c>
      <c r="BJ82" s="1630"/>
      <c r="BK82" s="1630">
        <f>BK81/BF81-1</f>
        <v>0.12945855786502469</v>
      </c>
      <c r="BL82" s="1630">
        <f>BL81/BG81-1</f>
        <v>9.2583497053045249E-2</v>
      </c>
      <c r="BM82" s="1630">
        <f>BM81/BH81-1</f>
        <v>2.4953617810761441E-2</v>
      </c>
      <c r="BN82" s="1630">
        <f>BN81/BI81-1</f>
        <v>-0.13209125475285155</v>
      </c>
      <c r="BO82" s="1108"/>
      <c r="BP82" s="1630">
        <f>BP81/BK81-1</f>
        <v>2.4149153075656349E-2</v>
      </c>
      <c r="BQ82" s="1630">
        <f>BQ81/BL81-1</f>
        <v>2.6889534247396485E-2</v>
      </c>
      <c r="BR82" s="1630">
        <f>BR81/BM81-1</f>
        <v>-25.882126931183016</v>
      </c>
      <c r="BS82" s="1630">
        <f>BS81/BN81-1</f>
        <v>-0.69708745688984075</v>
      </c>
      <c r="BT82" s="1108"/>
      <c r="BU82" s="1108"/>
      <c r="BV82" s="1108"/>
      <c r="BW82" s="1108"/>
      <c r="BX82" s="1108"/>
      <c r="BY82" s="1108"/>
      <c r="BZ82" s="1108"/>
      <c r="CA82" s="1108"/>
      <c r="CB82" s="1108"/>
      <c r="CC82" s="1108"/>
      <c r="CD82" s="1108"/>
      <c r="CE82" s="1108"/>
      <c r="CF82" s="1108"/>
      <c r="CG82" s="1108"/>
      <c r="CH82" s="1108"/>
      <c r="CI82" s="1108"/>
      <c r="CJ82" s="1108"/>
      <c r="CK82" s="1108"/>
      <c r="CL82" s="1108"/>
      <c r="CM82" s="1108"/>
      <c r="CN82" s="1108"/>
      <c r="CO82" s="1108"/>
      <c r="CP82" s="1108"/>
      <c r="CQ82" s="1108"/>
      <c r="CR82" s="1108"/>
      <c r="CS82" s="1108"/>
      <c r="CT82" s="1470"/>
      <c r="CU82" s="1470"/>
      <c r="CV82" s="1470"/>
      <c r="CW82" s="1108"/>
      <c r="CX82" s="2026"/>
      <c r="CY82" s="1470"/>
      <c r="CZ82" s="1470"/>
      <c r="DA82" s="1470"/>
      <c r="DB82" s="1108"/>
      <c r="DC82" s="2870"/>
      <c r="DD82" s="2876"/>
      <c r="DE82" s="2876"/>
      <c r="DF82" s="2877"/>
      <c r="DG82" s="2877"/>
      <c r="DH82" s="2842"/>
      <c r="DI82" s="2842"/>
      <c r="DJ82" s="2842"/>
      <c r="DK82" s="2842"/>
      <c r="DL82" s="2842"/>
      <c r="DM82" s="2842"/>
      <c r="DN82" s="2842"/>
      <c r="DO82" s="2842"/>
      <c r="DP82" s="2842"/>
      <c r="DQ82" s="2842"/>
      <c r="DR82" s="2026"/>
    </row>
    <row r="83" spans="1:122" hidden="1" outlineLevel="1">
      <c r="A83" s="1108" t="s">
        <v>960</v>
      </c>
      <c r="B83" s="1661"/>
      <c r="C83" s="1661"/>
      <c r="D83" s="1661"/>
      <c r="E83" s="1661"/>
      <c r="F83" s="1661"/>
      <c r="G83" s="1661"/>
      <c r="H83" s="1727">
        <f>H34</f>
        <v>1828.9999999999993</v>
      </c>
      <c r="I83" s="1727">
        <f>I34</f>
        <v>1825.8000000000006</v>
      </c>
      <c r="J83" s="1727">
        <f>J34</f>
        <v>-15801.6</v>
      </c>
      <c r="K83" s="1727">
        <f>K34</f>
        <v>-7511.6999999999989</v>
      </c>
      <c r="L83" s="1727">
        <f>L34</f>
        <v>2132.6999999999998</v>
      </c>
      <c r="M83" s="1727"/>
      <c r="N83" s="1727">
        <f>N34</f>
        <v>-12575.100000000002</v>
      </c>
      <c r="O83" s="1369"/>
      <c r="P83" s="1727"/>
      <c r="Q83" s="1727"/>
      <c r="R83" s="1727">
        <f t="shared" ref="R83:AH83" si="168">R34</f>
        <v>443.00000000000034</v>
      </c>
      <c r="S83" s="1727">
        <f t="shared" si="168"/>
        <v>1221.5000000000002</v>
      </c>
      <c r="T83" s="1727">
        <f t="shared" si="168"/>
        <v>2179.0000000000005</v>
      </c>
      <c r="U83" s="1727">
        <f t="shared" si="168"/>
        <v>2560.9999999999995</v>
      </c>
      <c r="V83" s="1727">
        <f t="shared" si="168"/>
        <v>2897</v>
      </c>
      <c r="W83" s="1727">
        <f t="shared" si="168"/>
        <v>2164</v>
      </c>
      <c r="X83" s="1727"/>
      <c r="Y83" s="1727"/>
      <c r="Z83" s="1727">
        <f>Z34</f>
        <v>2023</v>
      </c>
      <c r="AA83" s="1727">
        <f t="shared" ca="1" si="168"/>
        <v>2063</v>
      </c>
      <c r="AB83" s="1727"/>
      <c r="AC83" s="1727">
        <f t="shared" ca="1" si="168"/>
        <v>2422.0011681351903</v>
      </c>
      <c r="AD83" s="1727">
        <f t="shared" ca="1" si="168"/>
        <v>2636.1840586713479</v>
      </c>
      <c r="AE83" s="1727">
        <f t="shared" ca="1" si="168"/>
        <v>2801.1583339350877</v>
      </c>
      <c r="AF83" s="1727">
        <f t="shared" ca="1" si="168"/>
        <v>3150.6731619214793</v>
      </c>
      <c r="AG83" s="1727">
        <f t="shared" ca="1" si="168"/>
        <v>3271.4941213774086</v>
      </c>
      <c r="AH83" s="1727">
        <f t="shared" ca="1" si="168"/>
        <v>3531.8328333850877</v>
      </c>
      <c r="AI83" s="1727">
        <f t="shared" ref="AI83:AN83" ca="1" si="169">AI34</f>
        <v>3374.3163525847112</v>
      </c>
      <c r="AJ83" s="1727">
        <f t="shared" ca="1" si="169"/>
        <v>3493.9869626274549</v>
      </c>
      <c r="AK83" s="1727">
        <f t="shared" ca="1" si="169"/>
        <v>3511.5703850594623</v>
      </c>
      <c r="AL83" s="1727">
        <f t="shared" ca="1" si="169"/>
        <v>3476.4569257882504</v>
      </c>
      <c r="AM83" s="1727">
        <f t="shared" ca="1" si="169"/>
        <v>3440.7422431631585</v>
      </c>
      <c r="AN83" s="1727">
        <f t="shared" ca="1" si="169"/>
        <v>3642.8435605350287</v>
      </c>
      <c r="AO83" s="1727"/>
      <c r="AP83" s="1727"/>
      <c r="AQ83" s="1727"/>
      <c r="AR83" s="1727"/>
      <c r="AS83" s="1727"/>
      <c r="AT83" s="1727"/>
      <c r="AU83" s="1108" t="str">
        <f t="shared" si="146"/>
        <v>Pre-Tax Income after FAS 123 Expense</v>
      </c>
      <c r="AV83" s="1108"/>
      <c r="AW83" s="1108"/>
      <c r="AX83" s="1108"/>
      <c r="AY83" s="1108"/>
      <c r="AZ83" s="1700"/>
      <c r="BA83" s="1108"/>
      <c r="BB83" s="1108"/>
      <c r="BC83" s="1727"/>
      <c r="BD83" s="1727"/>
      <c r="BE83" s="1727"/>
      <c r="BF83" s="1727">
        <f>BF34</f>
        <v>381.19999999999987</v>
      </c>
      <c r="BG83" s="1727">
        <f>BG34</f>
        <v>592.59999999999991</v>
      </c>
      <c r="BH83" s="1727">
        <f>BH34</f>
        <v>518.09999999999991</v>
      </c>
      <c r="BI83" s="1727">
        <f>BI34</f>
        <v>640.80000000000007</v>
      </c>
      <c r="BJ83" s="1727"/>
      <c r="BK83" s="1727">
        <f>BK34</f>
        <v>419.15</v>
      </c>
      <c r="BL83" s="1727">
        <f>BL34</f>
        <v>636.85</v>
      </c>
      <c r="BM83" s="1727">
        <f>BM34</f>
        <v>521.95000000000027</v>
      </c>
      <c r="BN83" s="1727">
        <f>BN34</f>
        <v>546.05000000000018</v>
      </c>
      <c r="BO83" s="1108"/>
      <c r="BP83" s="1727">
        <f>BP34</f>
        <v>417.67924972625013</v>
      </c>
      <c r="BQ83" s="1727">
        <f>BQ34</f>
        <v>646.19473068000002</v>
      </c>
      <c r="BR83" s="1727">
        <f>BR34</f>
        <v>-13784.431023132063</v>
      </c>
      <c r="BS83" s="1727">
        <f>BS34</f>
        <v>145.45704272581244</v>
      </c>
      <c r="BT83" s="1108"/>
      <c r="BU83" s="1108"/>
      <c r="BV83" s="1108"/>
      <c r="BW83" s="1108"/>
      <c r="BX83" s="1108"/>
      <c r="BY83" s="1108"/>
      <c r="BZ83" s="1108"/>
      <c r="CA83" s="1108"/>
      <c r="CB83" s="1108"/>
      <c r="CC83" s="1108"/>
      <c r="CD83" s="1108"/>
      <c r="CE83" s="1108"/>
      <c r="CF83" s="1108"/>
      <c r="CG83" s="1108"/>
      <c r="CH83" s="1108"/>
      <c r="CI83" s="1108"/>
      <c r="CJ83" s="1108"/>
      <c r="CK83" s="1108"/>
      <c r="CL83" s="1108"/>
      <c r="CM83" s="1108"/>
      <c r="CN83" s="1108"/>
      <c r="CO83" s="1108"/>
      <c r="CP83" s="1108"/>
      <c r="CQ83" s="1108"/>
      <c r="CR83" s="1108"/>
      <c r="CS83" s="1108"/>
      <c r="CT83" s="1470"/>
      <c r="CU83" s="1470"/>
      <c r="CV83" s="1470"/>
      <c r="CW83" s="1108"/>
      <c r="CX83" s="2026"/>
      <c r="CY83" s="1470"/>
      <c r="CZ83" s="1470"/>
      <c r="DA83" s="1470"/>
      <c r="DB83" s="1108"/>
      <c r="DC83" s="2870"/>
      <c r="DD83" s="2876"/>
      <c r="DE83" s="2876"/>
      <c r="DF83" s="2877"/>
      <c r="DG83" s="2877"/>
      <c r="DH83" s="2842"/>
      <c r="DI83" s="2842"/>
      <c r="DJ83" s="2842"/>
      <c r="DK83" s="2842"/>
      <c r="DL83" s="2842"/>
      <c r="DM83" s="2842"/>
      <c r="DN83" s="2842"/>
      <c r="DO83" s="2842"/>
      <c r="DP83" s="2842"/>
      <c r="DQ83" s="2842"/>
      <c r="DR83" s="2026"/>
    </row>
    <row r="84" spans="1:122" hidden="1" outlineLevel="1">
      <c r="A84" s="1108" t="s">
        <v>676</v>
      </c>
      <c r="B84" s="1661"/>
      <c r="C84" s="1661"/>
      <c r="D84" s="1661"/>
      <c r="E84" s="1661"/>
      <c r="F84" s="1661"/>
      <c r="G84" s="1661"/>
      <c r="H84" s="1661"/>
      <c r="I84" s="1110">
        <f>I83/H83-1</f>
        <v>-1.7495899398570769E-3</v>
      </c>
      <c r="J84" s="1110">
        <f>J83/I83-1</f>
        <v>-9.6546171541242174</v>
      </c>
      <c r="K84" s="1110">
        <f>K83/J83-1</f>
        <v>-0.52462408869987853</v>
      </c>
      <c r="L84" s="1110">
        <f>L83/K83-1</f>
        <v>-1.2839170893406286</v>
      </c>
      <c r="M84" s="1110"/>
      <c r="N84" s="1110"/>
      <c r="O84" s="1369"/>
      <c r="P84" s="1110"/>
      <c r="Q84" s="1110"/>
      <c r="R84" s="1110">
        <f>R83/N83-1</f>
        <v>-1.0352283480847071</v>
      </c>
      <c r="S84" s="1110">
        <f t="shared" ref="S84:AH84" si="170">S83/R83-1</f>
        <v>1.7573363431151225</v>
      </c>
      <c r="T84" s="1110">
        <f t="shared" si="170"/>
        <v>0.78387228817028243</v>
      </c>
      <c r="U84" s="1110">
        <f t="shared" si="170"/>
        <v>0.17530977512620427</v>
      </c>
      <c r="V84" s="1110">
        <f t="shared" si="170"/>
        <v>0.13119875048809071</v>
      </c>
      <c r="W84" s="1110">
        <f t="shared" si="170"/>
        <v>-0.25302036589575427</v>
      </c>
      <c r="X84" s="1110"/>
      <c r="Y84" s="1110"/>
      <c r="Z84" s="1110">
        <f>Z83/W83-1</f>
        <v>-6.5157116451016628E-2</v>
      </c>
      <c r="AA84" s="1110">
        <f t="shared" ca="1" si="170"/>
        <v>1.9772614928324161E-2</v>
      </c>
      <c r="AB84" s="1110"/>
      <c r="AC84" s="1110">
        <f ca="1">AC83/AA83-1</f>
        <v>0.17401898600833254</v>
      </c>
      <c r="AD84" s="1110">
        <f t="shared" ca="1" si="170"/>
        <v>8.8432199519155041E-2</v>
      </c>
      <c r="AE84" s="1110">
        <f t="shared" ca="1" si="170"/>
        <v>6.2580711965494418E-2</v>
      </c>
      <c r="AF84" s="1110">
        <f t="shared" ca="1" si="170"/>
        <v>0.12477510598102848</v>
      </c>
      <c r="AG84" s="1110">
        <f t="shared" ca="1" si="170"/>
        <v>3.8347665164432776E-2</v>
      </c>
      <c r="AH84" s="1110">
        <f t="shared" ca="1" si="170"/>
        <v>7.9577924443302361E-2</v>
      </c>
      <c r="AI84" s="1110">
        <f t="shared" ref="AI84:AN84" ca="1" si="171">AI83/AH83-1</f>
        <v>-4.4599075956096357E-2</v>
      </c>
      <c r="AJ84" s="1110">
        <f t="shared" ca="1" si="171"/>
        <v>3.5465142428354746E-2</v>
      </c>
      <c r="AK84" s="1110">
        <f t="shared" ca="1" si="171"/>
        <v>5.0324808363866325E-3</v>
      </c>
      <c r="AL84" s="1110">
        <f t="shared" ca="1" si="171"/>
        <v>-9.9993608046723415E-3</v>
      </c>
      <c r="AM84" s="1110">
        <f t="shared" ca="1" si="171"/>
        <v>-1.0273299335355368E-2</v>
      </c>
      <c r="AN84" s="1110">
        <f t="shared" ca="1" si="171"/>
        <v>5.8737709217669742E-2</v>
      </c>
      <c r="AO84" s="1110"/>
      <c r="AP84" s="1110"/>
      <c r="AQ84" s="1110"/>
      <c r="AR84" s="1110"/>
      <c r="AS84" s="1110"/>
      <c r="AT84" s="1110"/>
      <c r="AU84" s="1108" t="str">
        <f t="shared" si="146"/>
        <v>% Change</v>
      </c>
      <c r="AV84" s="1108"/>
      <c r="AW84" s="1108"/>
      <c r="AX84" s="1108"/>
      <c r="AY84" s="1108"/>
      <c r="AZ84" s="1700"/>
      <c r="BA84" s="1108"/>
      <c r="BB84" s="1108"/>
      <c r="BC84" s="1727"/>
      <c r="BD84" s="1727"/>
      <c r="BE84" s="1727"/>
      <c r="BF84" s="1630" t="s">
        <v>737</v>
      </c>
      <c r="BG84" s="1630" t="s">
        <v>737</v>
      </c>
      <c r="BH84" s="1630" t="s">
        <v>737</v>
      </c>
      <c r="BI84" s="1630" t="s">
        <v>737</v>
      </c>
      <c r="BJ84" s="1630"/>
      <c r="BK84" s="1630">
        <f>BK83/BF83-1</f>
        <v>9.9554039874082179E-2</v>
      </c>
      <c r="BL84" s="1630">
        <f>BL83/BG83-1</f>
        <v>7.4670941613230069E-2</v>
      </c>
      <c r="BM84" s="1630">
        <f>BM83/BH83-1</f>
        <v>7.430997876858525E-3</v>
      </c>
      <c r="BN84" s="1630">
        <f>BN83/BI83-1</f>
        <v>-0.14786204744069897</v>
      </c>
      <c r="BO84" s="1108"/>
      <c r="BP84" s="1630">
        <f>BP83/BK83-1</f>
        <v>-3.5088876863887952E-3</v>
      </c>
      <c r="BQ84" s="1630">
        <f>BQ83/BL83-1</f>
        <v>1.4673362141791602E-2</v>
      </c>
      <c r="BR84" s="1630">
        <f>BR83/BM83-1</f>
        <v>-27.409485627228769</v>
      </c>
      <c r="BS84" s="1630">
        <f>BS83/BN83-1</f>
        <v>-0.73361955365660214</v>
      </c>
      <c r="BT84" s="1108"/>
      <c r="BU84" s="1108"/>
      <c r="BV84" s="1108"/>
      <c r="BW84" s="1108"/>
      <c r="BX84" s="1108"/>
      <c r="BY84" s="1108"/>
      <c r="BZ84" s="1108"/>
      <c r="CA84" s="1108"/>
      <c r="CB84" s="1108"/>
      <c r="CC84" s="1108"/>
      <c r="CD84" s="1108"/>
      <c r="CE84" s="1108"/>
      <c r="CF84" s="1108"/>
      <c r="CG84" s="1108"/>
      <c r="CH84" s="1108"/>
      <c r="CI84" s="1108"/>
      <c r="CJ84" s="1108"/>
      <c r="CK84" s="1108"/>
      <c r="CL84" s="1108"/>
      <c r="CM84" s="1108"/>
      <c r="CN84" s="1108"/>
      <c r="CO84" s="1108"/>
      <c r="CP84" s="1108"/>
      <c r="CQ84" s="1108"/>
      <c r="CR84" s="1108"/>
      <c r="CS84" s="1108"/>
      <c r="CT84" s="1470"/>
      <c r="CU84" s="1470"/>
      <c r="CV84" s="1470"/>
      <c r="CW84" s="1108"/>
      <c r="CX84" s="2026"/>
      <c r="CY84" s="1470"/>
      <c r="CZ84" s="1470"/>
      <c r="DA84" s="1470"/>
      <c r="DB84" s="1108"/>
      <c r="DC84" s="2870"/>
      <c r="DD84" s="2876"/>
      <c r="DE84" s="2876"/>
      <c r="DF84" s="2877"/>
      <c r="DG84" s="2877"/>
      <c r="DH84" s="2842"/>
      <c r="DI84" s="2842"/>
      <c r="DJ84" s="2842"/>
      <c r="DK84" s="2842"/>
      <c r="DL84" s="2842"/>
      <c r="DM84" s="2842"/>
      <c r="DN84" s="2842"/>
      <c r="DO84" s="2842"/>
      <c r="DP84" s="2842"/>
      <c r="DQ84" s="2842"/>
      <c r="DR84" s="2026"/>
    </row>
    <row r="85" spans="1:122" hidden="1" outlineLevel="1">
      <c r="A85" s="1108" t="s">
        <v>1025</v>
      </c>
      <c r="B85" s="1661"/>
      <c r="C85" s="1661"/>
      <c r="D85" s="1661"/>
      <c r="E85" s="1661"/>
      <c r="F85" s="1661"/>
      <c r="G85" s="1661"/>
      <c r="H85" s="1110">
        <f>H12/H83</f>
        <v>0</v>
      </c>
      <c r="I85" s="1110">
        <f>I12/I83</f>
        <v>0</v>
      </c>
      <c r="J85" s="1110">
        <f>J12/J83</f>
        <v>0</v>
      </c>
      <c r="K85" s="1110">
        <f>K12/K83</f>
        <v>0</v>
      </c>
      <c r="L85" s="1110">
        <f>L12/L83</f>
        <v>3.014957565527266E-2</v>
      </c>
      <c r="M85" s="1110"/>
      <c r="N85" s="1110">
        <f>N12/N83</f>
        <v>-1.0966115577609719E-2</v>
      </c>
      <c r="O85" s="1369"/>
      <c r="P85" s="1110"/>
      <c r="Q85" s="1110"/>
      <c r="R85" s="1110">
        <f t="shared" ref="R85:AH85" si="172">R12/R83</f>
        <v>0.3060948081264106</v>
      </c>
      <c r="S85" s="1110">
        <f t="shared" si="172"/>
        <v>0.11767171510437983</v>
      </c>
      <c r="T85" s="1110">
        <f t="shared" si="172"/>
        <v>6.3790729692519491E-2</v>
      </c>
      <c r="U85" s="1110">
        <f t="shared" si="172"/>
        <v>5.974228816868412E-2</v>
      </c>
      <c r="V85" s="1110">
        <f t="shared" si="172"/>
        <v>7.9047290300310671E-2</v>
      </c>
      <c r="W85" s="1110">
        <f t="shared" si="172"/>
        <v>7.1164510166358594E-2</v>
      </c>
      <c r="X85" s="1110"/>
      <c r="Y85" s="1110"/>
      <c r="Z85" s="1110">
        <f>Z12/Z83</f>
        <v>8.601087493821058E-2</v>
      </c>
      <c r="AA85" s="1110">
        <f t="shared" ca="1" si="172"/>
        <v>8.8366456616577799E-2</v>
      </c>
      <c r="AB85" s="1110"/>
      <c r="AC85" s="1110">
        <f t="shared" ca="1" si="172"/>
        <v>7.1469825150116517E-2</v>
      </c>
      <c r="AD85" s="1110">
        <f t="shared" ca="1" si="172"/>
        <v>6.7632986176944229E-2</v>
      </c>
      <c r="AE85" s="1110">
        <f t="shared" ca="1" si="172"/>
        <v>6.5559232327298933E-2</v>
      </c>
      <c r="AF85" s="1110">
        <f t="shared" ca="1" si="172"/>
        <v>6.0035120743734585E-2</v>
      </c>
      <c r="AG85" s="1110">
        <f t="shared" ca="1" si="172"/>
        <v>5.9552475958285368E-2</v>
      </c>
      <c r="AH85" s="1110">
        <f t="shared" ca="1" si="172"/>
        <v>5.6817621820735326E-2</v>
      </c>
      <c r="AI85" s="1110">
        <f t="shared" ref="AI85:AN85" ca="1" si="173">AI12/AI83</f>
        <v>6.1254023313743529E-2</v>
      </c>
      <c r="AJ85" s="1110">
        <f t="shared" ca="1" si="173"/>
        <v>6.0930727098349645E-2</v>
      </c>
      <c r="AK85" s="1110">
        <f t="shared" ca="1" si="173"/>
        <v>6.2444398671645397E-2</v>
      </c>
      <c r="AL85" s="1110">
        <f t="shared" ca="1" si="173"/>
        <v>6.4967362732282888E-2</v>
      </c>
      <c r="AM85" s="1110">
        <f t="shared" ca="1" si="173"/>
        <v>6.7610971361401179E-2</v>
      </c>
      <c r="AN85" s="1110">
        <f t="shared" ca="1" si="173"/>
        <v>6.577578175967834E-2</v>
      </c>
      <c r="AO85" s="1110"/>
      <c r="AP85" s="1110"/>
      <c r="AQ85" s="1110"/>
      <c r="AR85" s="1110"/>
      <c r="AS85" s="1110"/>
      <c r="AT85" s="1110"/>
      <c r="AU85" s="1108" t="str">
        <f t="shared" si="146"/>
        <v>FAS 123R as % of Pre-tax Income</v>
      </c>
      <c r="AV85" s="1108"/>
      <c r="AW85" s="1108"/>
      <c r="AX85" s="1108"/>
      <c r="AY85" s="1108"/>
      <c r="AZ85" s="1700"/>
      <c r="BA85" s="1108"/>
      <c r="BB85" s="1108"/>
      <c r="BC85" s="1727"/>
      <c r="BD85" s="1727"/>
      <c r="BE85" s="1727"/>
      <c r="BF85" s="1110">
        <f>BF12/BF83</f>
        <v>2.2298006295907669E-2</v>
      </c>
      <c r="BG85" s="1110">
        <f>BG12/BG83</f>
        <v>3.0712116098548771E-2</v>
      </c>
      <c r="BH85" s="1110">
        <f>BH12/BH83</f>
        <v>4.0339702760084931E-2</v>
      </c>
      <c r="BI85" s="1110">
        <f>BI12/BI83</f>
        <v>2.6061173533083647E-2</v>
      </c>
      <c r="BJ85" s="1110"/>
      <c r="BK85" s="1110">
        <f>BK12/BK83</f>
        <v>5.0101395681736854E-2</v>
      </c>
      <c r="BL85" s="1110">
        <f>BL12/BL83</f>
        <v>4.7891968281384943E-2</v>
      </c>
      <c r="BM85" s="1110">
        <f>BM12/BM83</f>
        <v>5.8434715968962513E-2</v>
      </c>
      <c r="BN85" s="1110">
        <f>BN12/BN83</f>
        <v>4.5050819522021765E-2</v>
      </c>
      <c r="BO85" s="1108"/>
      <c r="BP85" s="1110">
        <f>BP12/BP83</f>
        <v>7.9247412989019619E-2</v>
      </c>
      <c r="BQ85" s="1110">
        <f>BQ12/BQ83</f>
        <v>6.0508076193772901E-2</v>
      </c>
      <c r="BR85" s="1110">
        <f>BR12/BR83</f>
        <v>-2.7784969822640948E-3</v>
      </c>
      <c r="BS85" s="1110">
        <f>BS12/BS83</f>
        <v>0.18837176589413546</v>
      </c>
      <c r="BT85" s="1108"/>
      <c r="BU85" s="1108"/>
      <c r="BV85" s="1108"/>
      <c r="BW85" s="1108"/>
      <c r="BX85" s="1108"/>
      <c r="BY85" s="1108"/>
      <c r="BZ85" s="1108"/>
      <c r="CA85" s="1108"/>
      <c r="CB85" s="1108"/>
      <c r="CC85" s="1108"/>
      <c r="CD85" s="1108"/>
      <c r="CE85" s="1108"/>
      <c r="CF85" s="1108"/>
      <c r="CG85" s="1108"/>
      <c r="CH85" s="1108"/>
      <c r="CI85" s="1108"/>
      <c r="CJ85" s="1108"/>
      <c r="CK85" s="1108"/>
      <c r="CL85" s="1108"/>
      <c r="CM85" s="1108"/>
      <c r="CN85" s="1108"/>
      <c r="CO85" s="1108"/>
      <c r="CP85" s="1108"/>
      <c r="CQ85" s="1108"/>
      <c r="CR85" s="1108"/>
      <c r="CS85" s="1108"/>
      <c r="CT85" s="1470"/>
      <c r="CU85" s="1470"/>
      <c r="CV85" s="1470"/>
      <c r="CW85" s="1108"/>
      <c r="CX85" s="2026"/>
      <c r="CY85" s="1470"/>
      <c r="CZ85" s="1470"/>
      <c r="DA85" s="1470"/>
      <c r="DB85" s="1108"/>
      <c r="DC85" s="2870"/>
      <c r="DD85" s="2876"/>
      <c r="DE85" s="2876"/>
      <c r="DF85" s="2877"/>
      <c r="DG85" s="2877"/>
      <c r="DH85" s="2842"/>
      <c r="DI85" s="2842"/>
      <c r="DJ85" s="2842"/>
      <c r="DK85" s="2842"/>
      <c r="DL85" s="2842"/>
      <c r="DM85" s="2842"/>
      <c r="DN85" s="2842"/>
      <c r="DO85" s="2842"/>
      <c r="DP85" s="2842"/>
      <c r="DQ85" s="2842"/>
      <c r="DR85" s="2026"/>
    </row>
    <row r="86" spans="1:122" hidden="1" outlineLevel="1">
      <c r="A86" s="1108"/>
      <c r="B86" s="1661"/>
      <c r="C86" s="1661"/>
      <c r="D86" s="1661"/>
      <c r="E86" s="1661"/>
      <c r="F86" s="1661"/>
      <c r="G86" s="1661"/>
      <c r="H86" s="1661"/>
      <c r="I86" s="1661"/>
      <c r="J86" s="1661"/>
      <c r="K86" s="1661"/>
      <c r="L86" s="1661" t="s">
        <v>337</v>
      </c>
      <c r="M86" s="1661"/>
      <c r="N86" s="1661"/>
      <c r="O86" s="1369"/>
      <c r="P86" s="1661"/>
      <c r="Q86" s="1661"/>
      <c r="R86" s="1661"/>
      <c r="S86" s="1661"/>
      <c r="T86" s="1661"/>
      <c r="U86" s="1661"/>
      <c r="V86" s="1661"/>
      <c r="W86" s="1661"/>
      <c r="X86" s="1661"/>
      <c r="Y86" s="1661"/>
      <c r="Z86" s="1661"/>
      <c r="AA86" s="1661"/>
      <c r="AB86" s="1661"/>
      <c r="AC86" s="1661"/>
      <c r="AD86" s="1661"/>
      <c r="AE86" s="1661"/>
      <c r="AF86" s="1661"/>
      <c r="AG86" s="1661"/>
      <c r="AH86" s="1661"/>
      <c r="AI86" s="1661"/>
      <c r="AJ86" s="1661"/>
      <c r="AK86" s="1661"/>
      <c r="AL86" s="1661"/>
      <c r="AM86" s="1661"/>
      <c r="AN86" s="1661"/>
      <c r="AO86" s="1661"/>
      <c r="AP86" s="1661"/>
      <c r="AQ86" s="1661"/>
      <c r="AR86" s="1661"/>
      <c r="AS86" s="1661"/>
      <c r="AT86" s="1661"/>
      <c r="AU86" s="1108" t="str">
        <f t="shared" si="146"/>
        <v/>
      </c>
      <c r="AV86" s="1108"/>
      <c r="AW86" s="1108"/>
      <c r="AX86" s="1108"/>
      <c r="AY86" s="1108"/>
      <c r="AZ86" s="1700"/>
      <c r="BA86" s="1108"/>
      <c r="BB86" s="1108"/>
      <c r="BC86" s="1727"/>
      <c r="BD86" s="1727"/>
      <c r="BE86" s="1727"/>
      <c r="BF86" s="1727"/>
      <c r="BG86" s="1727"/>
      <c r="BH86" s="1727"/>
      <c r="BI86" s="1700"/>
      <c r="BJ86" s="1700"/>
      <c r="BK86" s="1700"/>
      <c r="BL86" s="1700"/>
      <c r="BM86" s="1700"/>
      <c r="BN86" s="1700"/>
      <c r="BO86" s="1108"/>
      <c r="BP86" s="1700"/>
      <c r="BQ86" s="1700"/>
      <c r="BR86" s="1700"/>
      <c r="BS86" s="1700"/>
      <c r="BT86" s="1108"/>
      <c r="BU86" s="1108"/>
      <c r="BV86" s="1108"/>
      <c r="BW86" s="1108"/>
      <c r="BX86" s="1108"/>
      <c r="BY86" s="1108"/>
      <c r="BZ86" s="1108"/>
      <c r="CA86" s="1108"/>
      <c r="CB86" s="1108"/>
      <c r="CC86" s="1108"/>
      <c r="CD86" s="1108"/>
      <c r="CE86" s="1108"/>
      <c r="CF86" s="1108"/>
      <c r="CG86" s="1108"/>
      <c r="CH86" s="1108"/>
      <c r="CI86" s="1108"/>
      <c r="CJ86" s="1108"/>
      <c r="CK86" s="1108"/>
      <c r="CL86" s="1108"/>
      <c r="CM86" s="1108"/>
      <c r="CN86" s="1108"/>
      <c r="CO86" s="1108"/>
      <c r="CP86" s="1108"/>
      <c r="CQ86" s="1108"/>
      <c r="CR86" s="1108"/>
      <c r="CS86" s="1108"/>
      <c r="CT86" s="1470"/>
      <c r="CU86" s="1470"/>
      <c r="CV86" s="1470"/>
      <c r="CW86" s="1108"/>
      <c r="CX86" s="2026"/>
      <c r="CY86" s="1470"/>
      <c r="CZ86" s="1470"/>
      <c r="DA86" s="1470"/>
      <c r="DB86" s="1108"/>
      <c r="DC86" s="2870"/>
      <c r="DD86" s="2876"/>
      <c r="DE86" s="2876"/>
      <c r="DF86" s="2877"/>
      <c r="DG86" s="2877"/>
      <c r="DH86" s="2842"/>
      <c r="DI86" s="2842"/>
      <c r="DJ86" s="2842"/>
      <c r="DK86" s="2842"/>
      <c r="DL86" s="2842"/>
      <c r="DM86" s="2842"/>
      <c r="DN86" s="2842"/>
      <c r="DO86" s="2842"/>
      <c r="DP86" s="2842"/>
      <c r="DQ86" s="2842"/>
      <c r="DR86" s="2026"/>
    </row>
    <row r="87" spans="1:122" hidden="1" outlineLevel="1">
      <c r="A87" s="1108" t="s">
        <v>885</v>
      </c>
      <c r="B87" s="1661"/>
      <c r="C87" s="1661"/>
      <c r="D87" s="1661"/>
      <c r="E87" s="1661"/>
      <c r="F87" s="1661"/>
      <c r="G87" s="1661"/>
      <c r="H87" s="1366">
        <f>H44</f>
        <v>1087.9999999999991</v>
      </c>
      <c r="I87" s="1366">
        <f>I44</f>
        <v>1116.9000000000005</v>
      </c>
      <c r="J87" s="1366">
        <f>J44</f>
        <v>-16391.899999999998</v>
      </c>
      <c r="K87" s="1366">
        <f>K44</f>
        <v>-8321.7999999999993</v>
      </c>
      <c r="L87" s="1366">
        <f>L44</f>
        <v>1382.8999999999999</v>
      </c>
      <c r="M87" s="1366"/>
      <c r="N87" s="1366">
        <f>N44+N73</f>
        <v>-11535.500000000004</v>
      </c>
      <c r="O87" s="1369"/>
      <c r="P87" s="1366"/>
      <c r="Q87" s="1366"/>
      <c r="R87" s="1366">
        <f t="shared" ref="R87:AH87" si="174">R44+R73</f>
        <v>362.10000000000036</v>
      </c>
      <c r="S87" s="1366">
        <f t="shared" si="174"/>
        <v>867.93600000000015</v>
      </c>
      <c r="T87" s="1366">
        <f t="shared" si="174"/>
        <v>1530.0000000000005</v>
      </c>
      <c r="U87" s="1366">
        <f t="shared" si="174"/>
        <v>1786.9999999999995</v>
      </c>
      <c r="V87" s="1366">
        <f t="shared" si="174"/>
        <v>2102</v>
      </c>
      <c r="W87" s="1366">
        <f t="shared" si="174"/>
        <v>1508</v>
      </c>
      <c r="X87" s="1366"/>
      <c r="Y87" s="1366"/>
      <c r="Z87" s="1366">
        <f>Z44+Z73</f>
        <v>1577</v>
      </c>
      <c r="AA87" s="1366">
        <f t="shared" ca="1" si="174"/>
        <v>1479.3</v>
      </c>
      <c r="AB87" s="1366"/>
      <c r="AC87" s="1366">
        <f t="shared" ca="1" si="174"/>
        <v>1878.690829375985</v>
      </c>
      <c r="AD87" s="1366">
        <f t="shared" ca="1" si="174"/>
        <v>2119.1119642968674</v>
      </c>
      <c r="AE87" s="1366">
        <f t="shared" ca="1" si="174"/>
        <v>2253.9663321209914</v>
      </c>
      <c r="AF87" s="1366">
        <f t="shared" ca="1" si="174"/>
        <v>2527.8142809507171</v>
      </c>
      <c r="AG87" s="1366">
        <f t="shared" ca="1" si="174"/>
        <v>2628.7181366509435</v>
      </c>
      <c r="AH87" s="1366">
        <f t="shared" ca="1" si="174"/>
        <v>2834.7271814670712</v>
      </c>
      <c r="AI87" s="1366">
        <f t="shared" ref="AI87:AN87" ca="1" si="175">AI44+AI73</f>
        <v>2725.0700437306264</v>
      </c>
      <c r="AJ87" s="1366">
        <f t="shared" ca="1" si="175"/>
        <v>2824.5449933887735</v>
      </c>
      <c r="AK87" s="1366">
        <f t="shared" ca="1" si="175"/>
        <v>2846.8378452580905</v>
      </c>
      <c r="AL87" s="1366">
        <f t="shared" ca="1" si="175"/>
        <v>2829.2730901959712</v>
      </c>
      <c r="AM87" s="1366">
        <f t="shared" ca="1" si="175"/>
        <v>2811.2150046471525</v>
      </c>
      <c r="AN87" s="1366">
        <f t="shared" ca="1" si="175"/>
        <v>2972.4531884413982</v>
      </c>
      <c r="AO87" s="1366"/>
      <c r="AP87" s="1366"/>
      <c r="AQ87" s="1366"/>
      <c r="AR87" s="1366"/>
      <c r="AS87" s="1366"/>
      <c r="AT87" s="1366"/>
      <c r="AU87" s="1108" t="str">
        <f t="shared" si="146"/>
        <v>Net Income from Continuing Ops.  before FAS 123 Expense</v>
      </c>
      <c r="AV87" s="1108"/>
      <c r="AW87" s="1108"/>
      <c r="AX87" s="1108"/>
      <c r="AY87" s="1108"/>
      <c r="AZ87" s="1700"/>
      <c r="BA87" s="1108"/>
      <c r="BB87" s="1108"/>
      <c r="BC87" s="1727"/>
      <c r="BD87" s="1727"/>
      <c r="BE87" s="1727"/>
      <c r="BF87" s="1366">
        <f>BF44+BF73</f>
        <v>240.92499999999987</v>
      </c>
      <c r="BG87" s="1366">
        <f>BG44+BG73</f>
        <v>483.42999999999989</v>
      </c>
      <c r="BH87" s="1366">
        <f>BH44+BH73</f>
        <v>316.78499999999991</v>
      </c>
      <c r="BI87" s="1366">
        <f>BI44+BI73</f>
        <v>383.55500000000001</v>
      </c>
      <c r="BJ87" s="1366"/>
      <c r="BK87" s="1366">
        <f>BK44+BK73</f>
        <v>227</v>
      </c>
      <c r="BL87" s="1366">
        <f>BL44+BL73</f>
        <v>418.17500000000007</v>
      </c>
      <c r="BM87" s="1366">
        <f>BM44+BM73</f>
        <v>356.17500000000024</v>
      </c>
      <c r="BN87" s="1366">
        <f>BN44+BN73</f>
        <v>289.74000000000018</v>
      </c>
      <c r="BO87" s="1108"/>
      <c r="BP87" s="1366">
        <f>BP44+BP73</f>
        <v>280.5942497262501</v>
      </c>
      <c r="BQ87" s="1366">
        <f>BQ44+BQ73</f>
        <v>437.20973068000006</v>
      </c>
      <c r="BR87" s="1366">
        <f>BR44+BR73</f>
        <v>-12433.936023132062</v>
      </c>
      <c r="BS87" s="1366">
        <f>BS44+BS73</f>
        <v>132.36704272581244</v>
      </c>
      <c r="BT87" s="1108"/>
      <c r="BU87" s="1108"/>
      <c r="BV87" s="1108"/>
      <c r="BW87" s="1108"/>
      <c r="BX87" s="1108"/>
      <c r="BY87" s="1108"/>
      <c r="BZ87" s="1108"/>
      <c r="CA87" s="1108"/>
      <c r="CB87" s="1108"/>
      <c r="CC87" s="1108"/>
      <c r="CD87" s="1108"/>
      <c r="CE87" s="1108"/>
      <c r="CF87" s="1108"/>
      <c r="CG87" s="1108"/>
      <c r="CH87" s="1108"/>
      <c r="CI87" s="1108"/>
      <c r="CJ87" s="1108"/>
      <c r="CK87" s="1108"/>
      <c r="CL87" s="1108"/>
      <c r="CM87" s="1108"/>
      <c r="CN87" s="1108"/>
      <c r="CO87" s="1108"/>
      <c r="CP87" s="1108"/>
      <c r="CQ87" s="1108"/>
      <c r="CR87" s="1108"/>
      <c r="CS87" s="1108"/>
      <c r="CT87" s="1470"/>
      <c r="CU87" s="1470"/>
      <c r="CV87" s="1470"/>
      <c r="CW87" s="1108"/>
      <c r="CX87" s="2026"/>
      <c r="CY87" s="1470"/>
      <c r="CZ87" s="1470"/>
      <c r="DA87" s="1470"/>
      <c r="DB87" s="1108"/>
      <c r="DC87" s="2870"/>
      <c r="DD87" s="2876"/>
      <c r="DE87" s="2876"/>
      <c r="DF87" s="2877"/>
      <c r="DG87" s="2877"/>
      <c r="DH87" s="2842"/>
      <c r="DI87" s="2842"/>
      <c r="DJ87" s="2842"/>
      <c r="DK87" s="2842"/>
      <c r="DL87" s="2842"/>
      <c r="DM87" s="2842"/>
      <c r="DN87" s="2842"/>
      <c r="DO87" s="2842"/>
      <c r="DP87" s="2842"/>
      <c r="DQ87" s="2842"/>
      <c r="DR87" s="2026"/>
    </row>
    <row r="88" spans="1:122" hidden="1" outlineLevel="1">
      <c r="A88" s="1108" t="s">
        <v>676</v>
      </c>
      <c r="B88" s="1661"/>
      <c r="C88" s="1661"/>
      <c r="D88" s="1661"/>
      <c r="E88" s="1661"/>
      <c r="F88" s="1661"/>
      <c r="G88" s="1661"/>
      <c r="H88" s="1661"/>
      <c r="I88" s="1110">
        <f>I87/H87-1</f>
        <v>2.6562500000001377E-2</v>
      </c>
      <c r="J88" s="1110">
        <f>J87/I87-1</f>
        <v>-15.676246754409517</v>
      </c>
      <c r="K88" s="1110">
        <f>K87/J87-1</f>
        <v>-0.49232242754043154</v>
      </c>
      <c r="L88" s="1110">
        <f>L87/K87-1</f>
        <v>-1.1661779903386287</v>
      </c>
      <c r="M88" s="1110"/>
      <c r="N88" s="1110"/>
      <c r="O88" s="1369"/>
      <c r="P88" s="1110"/>
      <c r="Q88" s="1110"/>
      <c r="R88" s="1110">
        <f>R87/N87-1</f>
        <v>-1.0313900567812406</v>
      </c>
      <c r="S88" s="1110">
        <f t="shared" ref="S88:AH88" si="176">S87/R87-1</f>
        <v>1.3969511184755574</v>
      </c>
      <c r="T88" s="1110">
        <f t="shared" si="176"/>
        <v>0.76280278730228979</v>
      </c>
      <c r="U88" s="1110">
        <f t="shared" si="176"/>
        <v>0.16797385620914973</v>
      </c>
      <c r="V88" s="1110">
        <f t="shared" si="176"/>
        <v>0.17627308337996683</v>
      </c>
      <c r="W88" s="1110">
        <f t="shared" si="176"/>
        <v>-0.2825880114176974</v>
      </c>
      <c r="X88" s="1110"/>
      <c r="Y88" s="1110"/>
      <c r="Z88" s="1110">
        <f>Z87/W87-1</f>
        <v>4.5755968169761241E-2</v>
      </c>
      <c r="AA88" s="1110">
        <f t="shared" ca="1" si="176"/>
        <v>-6.195307545973372E-2</v>
      </c>
      <c r="AB88" s="1110"/>
      <c r="AC88" s="1110">
        <f ca="1">AC87/AA87-1</f>
        <v>0.26998636475088555</v>
      </c>
      <c r="AD88" s="1110">
        <f t="shared" ca="1" si="176"/>
        <v>0.12797269841400105</v>
      </c>
      <c r="AE88" s="1110">
        <f t="shared" ca="1" si="176"/>
        <v>6.363720751719204E-2</v>
      </c>
      <c r="AF88" s="1110">
        <f t="shared" ca="1" si="176"/>
        <v>0.12149602455331876</v>
      </c>
      <c r="AG88" s="1110">
        <f t="shared" ca="1" si="176"/>
        <v>3.9917432408157927E-2</v>
      </c>
      <c r="AH88" s="1110">
        <f t="shared" ca="1" si="176"/>
        <v>7.8368632202838073E-2</v>
      </c>
      <c r="AI88" s="1110">
        <f t="shared" ref="AI88:AN88" ca="1" si="177">AI87/AH87-1</f>
        <v>-3.8683488997940718E-2</v>
      </c>
      <c r="AJ88" s="1110">
        <f t="shared" ca="1" si="177"/>
        <v>3.6503630388144304E-2</v>
      </c>
      <c r="AK88" s="1110">
        <f t="shared" ca="1" si="177"/>
        <v>7.8925462053167639E-3</v>
      </c>
      <c r="AL88" s="1110">
        <f t="shared" ca="1" si="177"/>
        <v>-6.1699176478831053E-3</v>
      </c>
      <c r="AM88" s="1110">
        <f t="shared" ca="1" si="177"/>
        <v>-6.3825883798187544E-3</v>
      </c>
      <c r="AN88" s="1110">
        <f t="shared" ca="1" si="177"/>
        <v>5.7355336937127355E-2</v>
      </c>
      <c r="AO88" s="1110"/>
      <c r="AP88" s="1110"/>
      <c r="AQ88" s="1110"/>
      <c r="AR88" s="1110"/>
      <c r="AS88" s="1110"/>
      <c r="AT88" s="1110"/>
      <c r="AU88" s="1108" t="str">
        <f t="shared" si="146"/>
        <v>% Change</v>
      </c>
      <c r="AV88" s="1108"/>
      <c r="AW88" s="1108"/>
      <c r="AX88" s="1108"/>
      <c r="AY88" s="1108"/>
      <c r="AZ88" s="1700"/>
      <c r="BA88" s="1108"/>
      <c r="BB88" s="1108"/>
      <c r="BC88" s="1727"/>
      <c r="BD88" s="1727"/>
      <c r="BE88" s="1727"/>
      <c r="BF88" s="1630" t="s">
        <v>737</v>
      </c>
      <c r="BG88" s="1630" t="s">
        <v>737</v>
      </c>
      <c r="BH88" s="1630" t="s">
        <v>737</v>
      </c>
      <c r="BI88" s="1630" t="s">
        <v>737</v>
      </c>
      <c r="BJ88" s="1630"/>
      <c r="BK88" s="1630">
        <f>BK87/BF87-1</f>
        <v>-5.7798069938777119E-2</v>
      </c>
      <c r="BL88" s="1630">
        <f>BL87/BG87-1</f>
        <v>-0.13498334815795432</v>
      </c>
      <c r="BM88" s="1630">
        <f>BM87/BH87-1</f>
        <v>0.124343008665184</v>
      </c>
      <c r="BN88" s="1630">
        <f>BN87/BI87-1</f>
        <v>-0.24459334384899123</v>
      </c>
      <c r="BO88" s="1108"/>
      <c r="BP88" s="1630">
        <f>BP87/BK87-1</f>
        <v>0.23609801641519867</v>
      </c>
      <c r="BQ88" s="1630">
        <f>BQ87/BL87-1</f>
        <v>4.5518576385484621E-2</v>
      </c>
      <c r="BR88" s="1630">
        <f>BR87/BM87-1</f>
        <v>-35.909625951097226</v>
      </c>
      <c r="BS88" s="1630">
        <f>BS87/BN87-1</f>
        <v>-0.54315233407257413</v>
      </c>
      <c r="BT88" s="1108"/>
      <c r="BU88" s="1108"/>
      <c r="BV88" s="1108"/>
      <c r="BW88" s="1108"/>
      <c r="BX88" s="1108"/>
      <c r="BY88" s="1108"/>
      <c r="BZ88" s="1108"/>
      <c r="CA88" s="1108"/>
      <c r="CB88" s="1108"/>
      <c r="CC88" s="1108"/>
      <c r="CD88" s="1108"/>
      <c r="CE88" s="1108"/>
      <c r="CF88" s="1108"/>
      <c r="CG88" s="1108"/>
      <c r="CH88" s="1108"/>
      <c r="CI88" s="1108"/>
      <c r="CJ88" s="1108"/>
      <c r="CK88" s="1108"/>
      <c r="CL88" s="1108"/>
      <c r="CM88" s="1108"/>
      <c r="CN88" s="1108"/>
      <c r="CO88" s="1108"/>
      <c r="CP88" s="1108"/>
      <c r="CQ88" s="1108"/>
      <c r="CR88" s="1108"/>
      <c r="CS88" s="1108"/>
      <c r="CT88" s="1470"/>
      <c r="CU88" s="1470"/>
      <c r="CV88" s="1470"/>
      <c r="CW88" s="1108"/>
      <c r="CX88" s="2026"/>
      <c r="CY88" s="1470"/>
      <c r="CZ88" s="1470"/>
      <c r="DA88" s="1470"/>
      <c r="DB88" s="1108"/>
      <c r="DC88" s="2870"/>
      <c r="DD88" s="2876"/>
      <c r="DE88" s="2876"/>
      <c r="DF88" s="2877"/>
      <c r="DG88" s="2877"/>
      <c r="DH88" s="2842"/>
      <c r="DI88" s="2842"/>
      <c r="DJ88" s="2842"/>
      <c r="DK88" s="2842"/>
      <c r="DL88" s="2842"/>
      <c r="DM88" s="2842"/>
      <c r="DN88" s="2842"/>
      <c r="DO88" s="2842"/>
      <c r="DP88" s="2842"/>
      <c r="DQ88" s="2842"/>
      <c r="DR88" s="2026"/>
    </row>
    <row r="89" spans="1:122" hidden="1" outlineLevel="1">
      <c r="A89" s="1108" t="s">
        <v>886</v>
      </c>
      <c r="B89" s="1661"/>
      <c r="C89" s="1661"/>
      <c r="D89" s="1661"/>
      <c r="E89" s="1661"/>
      <c r="F89" s="1661"/>
      <c r="G89" s="1661"/>
      <c r="H89" s="1366">
        <f>H44-H73</f>
        <v>977.69999999999914</v>
      </c>
      <c r="I89" s="1366">
        <f>I44-I73</f>
        <v>970.80000000000052</v>
      </c>
      <c r="J89" s="1366">
        <f>J44-J73</f>
        <v>-16619.199999999997</v>
      </c>
      <c r="K89" s="1366">
        <f>K44-K73</f>
        <v>-8560.4</v>
      </c>
      <c r="L89" s="1366">
        <f>L44-L73</f>
        <v>1341.9499999999998</v>
      </c>
      <c r="M89" s="1366"/>
      <c r="N89" s="1366">
        <f>N44</f>
        <v>-11673.400000000003</v>
      </c>
      <c r="O89" s="1369"/>
      <c r="P89" s="1366"/>
      <c r="Q89" s="1366"/>
      <c r="R89" s="1366">
        <f t="shared" ref="R89:AH89" si="178">R44</f>
        <v>226.50000000000034</v>
      </c>
      <c r="S89" s="1366">
        <f t="shared" si="178"/>
        <v>724.20000000000016</v>
      </c>
      <c r="T89" s="1366">
        <f t="shared" si="178"/>
        <v>1391.0000000000005</v>
      </c>
      <c r="U89" s="1366">
        <f t="shared" si="178"/>
        <v>1633.9999999999995</v>
      </c>
      <c r="V89" s="1366">
        <f t="shared" si="178"/>
        <v>1873</v>
      </c>
      <c r="W89" s="1366">
        <f t="shared" si="178"/>
        <v>1354</v>
      </c>
      <c r="X89" s="1366"/>
      <c r="Y89" s="1366"/>
      <c r="Z89" s="1366">
        <f>Z44</f>
        <v>1403</v>
      </c>
      <c r="AA89" s="1366">
        <f t="shared" ca="1" si="178"/>
        <v>1297</v>
      </c>
      <c r="AB89" s="1366"/>
      <c r="AC89" s="1366">
        <f t="shared" ca="1" si="178"/>
        <v>1705.5908293759851</v>
      </c>
      <c r="AD89" s="1366">
        <f t="shared" ca="1" si="178"/>
        <v>1940.8189642968675</v>
      </c>
      <c r="AE89" s="1366">
        <f t="shared" ca="1" si="178"/>
        <v>2070.3245421209913</v>
      </c>
      <c r="AF89" s="1366">
        <f t="shared" ca="1" si="178"/>
        <v>2338.663237250717</v>
      </c>
      <c r="AG89" s="1366">
        <f t="shared" ca="1" si="178"/>
        <v>2433.8925616399433</v>
      </c>
      <c r="AH89" s="1366">
        <f t="shared" ca="1" si="178"/>
        <v>2634.0568392057412</v>
      </c>
      <c r="AI89" s="1366">
        <f t="shared" ref="AI89:AN89" ca="1" si="179">AI44</f>
        <v>2518.3795912014566</v>
      </c>
      <c r="AJ89" s="1366">
        <f t="shared" ca="1" si="179"/>
        <v>2611.6538272837283</v>
      </c>
      <c r="AK89" s="1366">
        <f t="shared" ca="1" si="179"/>
        <v>2627.5599441698942</v>
      </c>
      <c r="AL89" s="1366">
        <f t="shared" ca="1" si="179"/>
        <v>2603.4168520751291</v>
      </c>
      <c r="AM89" s="1366">
        <f t="shared" ca="1" si="179"/>
        <v>2578.5830793826849</v>
      </c>
      <c r="AN89" s="1366">
        <f t="shared" ca="1" si="179"/>
        <v>2732.8423054189966</v>
      </c>
      <c r="AO89" s="1366"/>
      <c r="AP89" s="1366"/>
      <c r="AQ89" s="1366"/>
      <c r="AR89" s="1366"/>
      <c r="AS89" s="1366"/>
      <c r="AT89" s="1366"/>
      <c r="AU89" s="1108" t="str">
        <f t="shared" si="146"/>
        <v>Net Income from Continuing Ops. After FAS 123 Expense</v>
      </c>
      <c r="AV89" s="1108"/>
      <c r="AW89" s="1108"/>
      <c r="AX89" s="1108"/>
      <c r="AY89" s="1108"/>
      <c r="AZ89" s="1700"/>
      <c r="BA89" s="1108"/>
      <c r="BB89" s="1108"/>
      <c r="BC89" s="1727"/>
      <c r="BD89" s="1727"/>
      <c r="BE89" s="1727"/>
      <c r="BF89" s="1366">
        <f>BF44</f>
        <v>235.39999999999986</v>
      </c>
      <c r="BG89" s="1366">
        <f>BG44</f>
        <v>471.59999999999991</v>
      </c>
      <c r="BH89" s="1366">
        <f>BH44</f>
        <v>303.19999999999993</v>
      </c>
      <c r="BI89" s="1366">
        <f>BI44</f>
        <v>372.7</v>
      </c>
      <c r="BJ89" s="1366"/>
      <c r="BK89" s="1366">
        <f>BK44</f>
        <v>213.35</v>
      </c>
      <c r="BL89" s="1366">
        <f>BL44</f>
        <v>398.35000000000008</v>
      </c>
      <c r="BM89" s="1366">
        <f>BM44</f>
        <v>336.35000000000025</v>
      </c>
      <c r="BN89" s="1366">
        <f>BN44</f>
        <v>273.75000000000017</v>
      </c>
      <c r="BO89" s="1108"/>
      <c r="BP89" s="1366">
        <f>BP44</f>
        <v>259.07924972625011</v>
      </c>
      <c r="BQ89" s="1366">
        <f>BQ44</f>
        <v>411.79473068000004</v>
      </c>
      <c r="BR89" s="1366">
        <f>BR44</f>
        <v>-12458.831023132063</v>
      </c>
      <c r="BS89" s="1366">
        <f>BS44</f>
        <v>114.55704272581245</v>
      </c>
      <c r="BT89" s="1108"/>
      <c r="BU89" s="1108"/>
      <c r="BV89" s="1108"/>
      <c r="BW89" s="1108"/>
      <c r="BX89" s="1108"/>
      <c r="BY89" s="1108"/>
      <c r="BZ89" s="1108"/>
      <c r="CA89" s="1108"/>
      <c r="CB89" s="1108"/>
      <c r="CC89" s="1108"/>
      <c r="CD89" s="1108"/>
      <c r="CE89" s="1108"/>
      <c r="CF89" s="1108"/>
      <c r="CG89" s="1108"/>
      <c r="CH89" s="1108"/>
      <c r="CI89" s="1108"/>
      <c r="CJ89" s="1108"/>
      <c r="CK89" s="1108"/>
      <c r="CL89" s="1108"/>
      <c r="CM89" s="1108"/>
      <c r="CN89" s="1108"/>
      <c r="CO89" s="1108"/>
      <c r="CP89" s="1108"/>
      <c r="CQ89" s="1108"/>
      <c r="CR89" s="1108"/>
      <c r="CS89" s="1108"/>
      <c r="CT89" s="1470"/>
      <c r="CU89" s="1470"/>
      <c r="CV89" s="1470"/>
      <c r="CW89" s="1108"/>
      <c r="CX89" s="2026"/>
      <c r="CY89" s="1470"/>
      <c r="CZ89" s="1470"/>
      <c r="DA89" s="1470"/>
      <c r="DB89" s="1108"/>
      <c r="DC89" s="2870"/>
      <c r="DD89" s="2876"/>
      <c r="DE89" s="2876"/>
      <c r="DF89" s="2877"/>
      <c r="DG89" s="2877"/>
      <c r="DH89" s="2842"/>
      <c r="DI89" s="2842"/>
      <c r="DJ89" s="2842"/>
      <c r="DK89" s="2842"/>
      <c r="DL89" s="2842"/>
      <c r="DM89" s="2842"/>
      <c r="DN89" s="2842"/>
      <c r="DO89" s="2842"/>
      <c r="DP89" s="2842"/>
      <c r="DQ89" s="2842"/>
      <c r="DR89" s="2026"/>
    </row>
    <row r="90" spans="1:122" hidden="1" outlineLevel="1">
      <c r="A90" s="1108" t="s">
        <v>676</v>
      </c>
      <c r="B90" s="1661"/>
      <c r="C90" s="1661"/>
      <c r="D90" s="1661"/>
      <c r="E90" s="1661"/>
      <c r="F90" s="1661"/>
      <c r="G90" s="1661"/>
      <c r="H90" s="1661"/>
      <c r="I90" s="1110">
        <f>I89/H89-1</f>
        <v>-7.0573795642820958E-3</v>
      </c>
      <c r="J90" s="1110">
        <f>J89/I89-1</f>
        <v>-18.119077049855775</v>
      </c>
      <c r="K90" s="1110">
        <f>K89/J89-1</f>
        <v>-0.4849090208914989</v>
      </c>
      <c r="L90" s="1110">
        <f>L89/K89-1</f>
        <v>-1.1567625344610064</v>
      </c>
      <c r="M90" s="1110"/>
      <c r="N90" s="1110"/>
      <c r="O90" s="1369"/>
      <c r="P90" s="1110"/>
      <c r="Q90" s="1110"/>
      <c r="R90" s="1110">
        <f>R89/N89-1</f>
        <v>-1.0194030873610087</v>
      </c>
      <c r="S90" s="1110">
        <f t="shared" ref="S90:AH90" si="180">S89/R89-1</f>
        <v>2.1973509933774795</v>
      </c>
      <c r="T90" s="1110">
        <f t="shared" si="180"/>
        <v>0.92074012703673036</v>
      </c>
      <c r="U90" s="1110">
        <f t="shared" si="180"/>
        <v>0.17469446441408998</v>
      </c>
      <c r="V90" s="1110">
        <f t="shared" si="180"/>
        <v>0.14626682986536133</v>
      </c>
      <c r="W90" s="1110">
        <f t="shared" si="180"/>
        <v>-0.27709556860651363</v>
      </c>
      <c r="X90" s="1110"/>
      <c r="Y90" s="1110"/>
      <c r="Z90" s="1110">
        <f>Z89/W89-1</f>
        <v>3.6189069423929077E-2</v>
      </c>
      <c r="AA90" s="1110">
        <f t="shared" ca="1" si="180"/>
        <v>-7.5552387740555949E-2</v>
      </c>
      <c r="AB90" s="1110"/>
      <c r="AC90" s="1110">
        <f ca="1">AC89/AA89-1</f>
        <v>0.31502762480800706</v>
      </c>
      <c r="AD90" s="1110">
        <f t="shared" ca="1" si="180"/>
        <v>0.13791592383675289</v>
      </c>
      <c r="AE90" s="1110">
        <f t="shared" ca="1" si="180"/>
        <v>6.6727283794365544E-2</v>
      </c>
      <c r="AF90" s="1110">
        <f t="shared" ca="1" si="180"/>
        <v>0.12961189884500901</v>
      </c>
      <c r="AG90" s="1110">
        <f t="shared" ca="1" si="180"/>
        <v>4.0719554176246398E-2</v>
      </c>
      <c r="AH90" s="1110">
        <f t="shared" ca="1" si="180"/>
        <v>8.2240391675681979E-2</v>
      </c>
      <c r="AI90" s="1110">
        <f t="shared" ref="AI90:AN90" ca="1" si="181">AI89/AH89-1</f>
        <v>-4.3916002981608138E-2</v>
      </c>
      <c r="AJ90" s="1110">
        <f t="shared" ca="1" si="181"/>
        <v>3.7037401513317025E-2</v>
      </c>
      <c r="AK90" s="1110">
        <f t="shared" ca="1" si="181"/>
        <v>6.090438449382507E-3</v>
      </c>
      <c r="AL90" s="1110">
        <f t="shared" ca="1" si="181"/>
        <v>-9.188407727227843E-3</v>
      </c>
      <c r="AM90" s="1110">
        <f t="shared" ca="1" si="181"/>
        <v>-9.5389152423476231E-3</v>
      </c>
      <c r="AN90" s="1110">
        <f t="shared" ca="1" si="181"/>
        <v>5.9823252261952176E-2</v>
      </c>
      <c r="AO90" s="1110"/>
      <c r="AP90" s="1110"/>
      <c r="AQ90" s="1110"/>
      <c r="AR90" s="1110"/>
      <c r="AS90" s="1110"/>
      <c r="AT90" s="1110"/>
      <c r="AU90" s="1108" t="str">
        <f t="shared" si="146"/>
        <v>% Change</v>
      </c>
      <c r="AV90" s="1108"/>
      <c r="AW90" s="1108"/>
      <c r="AX90" s="1108"/>
      <c r="AY90" s="1108"/>
      <c r="AZ90" s="1700"/>
      <c r="BA90" s="1108"/>
      <c r="BB90" s="1108"/>
      <c r="BC90" s="1727"/>
      <c r="BD90" s="1727"/>
      <c r="BE90" s="1727"/>
      <c r="BF90" s="1630" t="s">
        <v>737</v>
      </c>
      <c r="BG90" s="1630" t="s">
        <v>737</v>
      </c>
      <c r="BH90" s="1630" t="s">
        <v>737</v>
      </c>
      <c r="BI90" s="1630" t="s">
        <v>737</v>
      </c>
      <c r="BJ90" s="1630"/>
      <c r="BK90" s="1630">
        <f>BK89/BF89-1</f>
        <v>-9.3670348343245058E-2</v>
      </c>
      <c r="BL90" s="1630">
        <f>BL89/BG89-1</f>
        <v>-0.15532230703986394</v>
      </c>
      <c r="BM90" s="1630">
        <f>BM89/BH89-1</f>
        <v>0.10933377308707226</v>
      </c>
      <c r="BN90" s="1630">
        <f>BN89/BI89-1</f>
        <v>-0.26549503622216208</v>
      </c>
      <c r="BO90" s="1108"/>
      <c r="BP90" s="1630">
        <f>BP89/BK89-1</f>
        <v>0.21433911284860607</v>
      </c>
      <c r="BQ90" s="1630">
        <f>BQ89/BL89-1</f>
        <v>3.3751049780343712E-2</v>
      </c>
      <c r="BR90" s="1630">
        <f>BR89/BM89-1</f>
        <v>-38.041269579699879</v>
      </c>
      <c r="BS90" s="1630">
        <f>BS89/BN89-1</f>
        <v>-0.58152678456324247</v>
      </c>
      <c r="BT90" s="1108"/>
      <c r="BU90" s="1108"/>
      <c r="BV90" s="1108"/>
      <c r="BW90" s="1108"/>
      <c r="BX90" s="1108"/>
      <c r="BY90" s="1108"/>
      <c r="BZ90" s="1108"/>
      <c r="CA90" s="1108"/>
      <c r="CB90" s="1108"/>
      <c r="CC90" s="1108"/>
      <c r="CD90" s="1108"/>
      <c r="CE90" s="1108"/>
      <c r="CF90" s="1108"/>
      <c r="CG90" s="1108"/>
      <c r="CH90" s="1108"/>
      <c r="CI90" s="1108"/>
      <c r="CJ90" s="1108"/>
      <c r="CK90" s="1108"/>
      <c r="CL90" s="1108"/>
      <c r="CM90" s="1108"/>
      <c r="CN90" s="1108"/>
      <c r="CO90" s="1108"/>
      <c r="CP90" s="1108"/>
      <c r="CQ90" s="1108"/>
      <c r="CR90" s="1108"/>
      <c r="CS90" s="1108"/>
      <c r="CT90" s="1470"/>
      <c r="CU90" s="1470"/>
      <c r="CV90" s="1470"/>
      <c r="CW90" s="1108"/>
      <c r="CX90" s="2026"/>
      <c r="CY90" s="1470"/>
      <c r="CZ90" s="1470"/>
      <c r="DA90" s="1470"/>
      <c r="DB90" s="1108"/>
      <c r="DC90" s="2870"/>
      <c r="DD90" s="2876"/>
      <c r="DE90" s="2876"/>
      <c r="DF90" s="2877"/>
      <c r="DG90" s="2877"/>
      <c r="DH90" s="2842"/>
      <c r="DI90" s="2842"/>
      <c r="DJ90" s="2842"/>
      <c r="DK90" s="2842"/>
      <c r="DL90" s="2842"/>
      <c r="DM90" s="2842"/>
      <c r="DN90" s="2842"/>
      <c r="DO90" s="2842"/>
      <c r="DP90" s="2842"/>
      <c r="DQ90" s="2842"/>
      <c r="DR90" s="2026"/>
    </row>
    <row r="91" spans="1:122" hidden="1" outlineLevel="1">
      <c r="A91" s="1108" t="s">
        <v>1026</v>
      </c>
      <c r="B91" s="1661"/>
      <c r="C91" s="1661"/>
      <c r="D91" s="1661"/>
      <c r="E91" s="1661"/>
      <c r="F91" s="1661"/>
      <c r="G91" s="1661"/>
      <c r="H91" s="1110">
        <f>H73/H89</f>
        <v>0.11281579216528599</v>
      </c>
      <c r="I91" s="1110">
        <f>I73/I89</f>
        <v>0.15049443757725578</v>
      </c>
      <c r="J91" s="1110">
        <f>J73/J89</f>
        <v>-1.3676951959179747E-2</v>
      </c>
      <c r="K91" s="1110">
        <f>K73/K89</f>
        <v>-2.7872529321059766E-2</v>
      </c>
      <c r="L91" s="1110">
        <f>L73/L89</f>
        <v>3.0515294906665678E-2</v>
      </c>
      <c r="M91" s="1110"/>
      <c r="N91" s="1110">
        <f>N73/N89</f>
        <v>-1.1813182106327202E-2</v>
      </c>
      <c r="O91" s="1369"/>
      <c r="P91" s="1110"/>
      <c r="Q91" s="1110"/>
      <c r="R91" s="1110">
        <f t="shared" ref="R91:AH91" si="182">R73/R89</f>
        <v>0.59867549668874076</v>
      </c>
      <c r="S91" s="1110">
        <f t="shared" si="182"/>
        <v>0.19847555923777957</v>
      </c>
      <c r="T91" s="1110">
        <f t="shared" si="182"/>
        <v>9.9928109273903637E-2</v>
      </c>
      <c r="U91" s="1110">
        <f t="shared" si="182"/>
        <v>9.3635250917992685E-2</v>
      </c>
      <c r="V91" s="1110">
        <f t="shared" si="182"/>
        <v>0.12226374799786439</v>
      </c>
      <c r="W91" s="1110">
        <f t="shared" si="182"/>
        <v>0.1137370753323486</v>
      </c>
      <c r="X91" s="1110"/>
      <c r="Y91" s="1110"/>
      <c r="Z91" s="1110">
        <f>Z73/Z89</f>
        <v>0.1240199572344975</v>
      </c>
      <c r="AA91" s="1110">
        <f t="shared" ca="1" si="182"/>
        <v>0.14055512721665384</v>
      </c>
      <c r="AB91" s="1110"/>
      <c r="AC91" s="1110">
        <f t="shared" ca="1" si="182"/>
        <v>0.10148975769489281</v>
      </c>
      <c r="AD91" s="1110">
        <f t="shared" ca="1" si="182"/>
        <v>9.1864827827768655E-2</v>
      </c>
      <c r="AE91" s="1110">
        <f t="shared" ca="1" si="182"/>
        <v>8.8701933568282001E-2</v>
      </c>
      <c r="AF91" s="1110">
        <f t="shared" ca="1" si="182"/>
        <v>8.0879983354235296E-2</v>
      </c>
      <c r="AG91" s="1110">
        <f t="shared" ca="1" si="182"/>
        <v>8.0046908430390057E-2</v>
      </c>
      <c r="AH91" s="1110">
        <f t="shared" ca="1" si="182"/>
        <v>7.6182996233991315E-2</v>
      </c>
      <c r="AI91" s="1110">
        <f t="shared" ref="AI91:AN91" ca="1" si="183">AI73/AI89</f>
        <v>8.2072795241547772E-2</v>
      </c>
      <c r="AJ91" s="1110">
        <f t="shared" ca="1" si="183"/>
        <v>8.1515844052909653E-2</v>
      </c>
      <c r="AK91" s="1110">
        <f t="shared" ca="1" si="183"/>
        <v>8.3453053687599615E-2</v>
      </c>
      <c r="AL91" s="1110">
        <f t="shared" ca="1" si="183"/>
        <v>8.6753774348820478E-2</v>
      </c>
      <c r="AM91" s="1110">
        <f t="shared" ca="1" si="183"/>
        <v>9.0216959509468231E-2</v>
      </c>
      <c r="AN91" s="1110">
        <f t="shared" ca="1" si="183"/>
        <v>8.767826908536705E-2</v>
      </c>
      <c r="AO91" s="1110"/>
      <c r="AP91" s="1110"/>
      <c r="AQ91" s="1110"/>
      <c r="AR91" s="1110"/>
      <c r="AS91" s="1110"/>
      <c r="AT91" s="1110"/>
      <c r="AU91" s="1108" t="str">
        <f t="shared" si="146"/>
        <v>FAS 123R as % of Net Income</v>
      </c>
      <c r="AV91" s="1108"/>
      <c r="AW91" s="1108"/>
      <c r="AX91" s="1108"/>
      <c r="AY91" s="1108"/>
      <c r="AZ91" s="1700"/>
      <c r="BA91" s="1108"/>
      <c r="BB91" s="1108"/>
      <c r="BC91" s="1727"/>
      <c r="BD91" s="1727"/>
      <c r="BE91" s="1727"/>
      <c r="BF91" s="1110">
        <f>BF73/BF89</f>
        <v>2.3470688190314375E-2</v>
      </c>
      <c r="BG91" s="1110">
        <f>BG73/BG89</f>
        <v>2.5084817642069556E-2</v>
      </c>
      <c r="BH91" s="1110">
        <f>BH73/BH89</f>
        <v>4.4805408970976263E-2</v>
      </c>
      <c r="BI91" s="1110">
        <f>BI73/BI89</f>
        <v>2.9125301851354982E-2</v>
      </c>
      <c r="BJ91" s="1110"/>
      <c r="BK91" s="1110">
        <f>BK73/BK89</f>
        <v>6.397937661120226E-2</v>
      </c>
      <c r="BL91" s="1110">
        <f>BL73/BL89</f>
        <v>4.9767792142588162E-2</v>
      </c>
      <c r="BM91" s="1110">
        <f>BM73/BM89</f>
        <v>5.8941578712650468E-2</v>
      </c>
      <c r="BN91" s="1110">
        <f>BN73/BN89</f>
        <v>5.8410958904109543E-2</v>
      </c>
      <c r="BO91" s="1108"/>
      <c r="BP91" s="1110">
        <f>BP73/BP89</f>
        <v>8.3044087948893286E-2</v>
      </c>
      <c r="BQ91" s="1110">
        <f>BQ73/BQ89</f>
        <v>6.1717642569228612E-2</v>
      </c>
      <c r="BR91" s="1110">
        <f>BR73/BR89</f>
        <v>-1.9981810455393409E-3</v>
      </c>
      <c r="BS91" s="1110">
        <f>BS73/BS89</f>
        <v>0.15546839876643376</v>
      </c>
      <c r="BT91" s="1108"/>
      <c r="BU91" s="1108"/>
      <c r="BV91" s="1108"/>
      <c r="BW91" s="1108"/>
      <c r="BX91" s="1108"/>
      <c r="BY91" s="1108"/>
      <c r="BZ91" s="1108"/>
      <c r="CA91" s="1108"/>
      <c r="CB91" s="1108"/>
      <c r="CC91" s="1108"/>
      <c r="CD91" s="1108"/>
      <c r="CE91" s="1108"/>
      <c r="CF91" s="1108"/>
      <c r="CG91" s="1108"/>
      <c r="CH91" s="1108"/>
      <c r="CI91" s="1108"/>
      <c r="CJ91" s="1108"/>
      <c r="CK91" s="1108"/>
      <c r="CL91" s="1108"/>
      <c r="CM91" s="1108"/>
      <c r="CN91" s="1108"/>
      <c r="CO91" s="1108"/>
      <c r="CP91" s="1108"/>
      <c r="CQ91" s="1108"/>
      <c r="CR91" s="1108"/>
      <c r="CS91" s="1108"/>
      <c r="CT91" s="1470"/>
      <c r="CU91" s="1470"/>
      <c r="CV91" s="1470"/>
      <c r="CW91" s="1108"/>
      <c r="CX91" s="2026"/>
      <c r="CY91" s="1470"/>
      <c r="CZ91" s="1470"/>
      <c r="DA91" s="1470"/>
      <c r="DB91" s="1108"/>
      <c r="DC91" s="2870"/>
      <c r="DD91" s="2876"/>
      <c r="DE91" s="2876"/>
      <c r="DF91" s="2877"/>
      <c r="DG91" s="2877"/>
      <c r="DH91" s="2842"/>
      <c r="DI91" s="2842"/>
      <c r="DJ91" s="2842"/>
      <c r="DK91" s="2842"/>
      <c r="DL91" s="2842"/>
      <c r="DM91" s="2842"/>
      <c r="DN91" s="2842"/>
      <c r="DO91" s="2842"/>
      <c r="DP91" s="2842"/>
      <c r="DQ91" s="2842"/>
      <c r="DR91" s="2026"/>
    </row>
    <row r="92" spans="1:122" hidden="1" outlineLevel="1">
      <c r="A92" s="1108"/>
      <c r="B92" s="1661"/>
      <c r="C92" s="1661"/>
      <c r="D92" s="1661"/>
      <c r="E92" s="1661"/>
      <c r="F92" s="1661"/>
      <c r="G92" s="1661"/>
      <c r="H92" s="1661"/>
      <c r="I92" s="1661"/>
      <c r="J92" s="1661"/>
      <c r="K92" s="1661"/>
      <c r="L92" s="1661"/>
      <c r="M92" s="1661"/>
      <c r="N92" s="1661"/>
      <c r="O92" s="1369"/>
      <c r="P92" s="1661"/>
      <c r="Q92" s="1661"/>
      <c r="R92" s="1661"/>
      <c r="S92" s="1108"/>
      <c r="T92" s="1108"/>
      <c r="U92" s="1108"/>
      <c r="V92" s="1108"/>
      <c r="W92" s="1108"/>
      <c r="X92" s="1108"/>
      <c r="Y92" s="1108"/>
      <c r="Z92" s="1108"/>
      <c r="AA92" s="1108"/>
      <c r="AB92" s="1108"/>
      <c r="AC92" s="1108"/>
      <c r="AD92" s="1108"/>
      <c r="AE92" s="1108"/>
      <c r="AF92" s="1108"/>
      <c r="AG92" s="1108"/>
      <c r="AH92" s="1108"/>
      <c r="AI92" s="1108"/>
      <c r="AJ92" s="1108"/>
      <c r="AK92" s="1108"/>
      <c r="AL92" s="1108"/>
      <c r="AM92" s="1108"/>
      <c r="AN92" s="1108"/>
      <c r="AO92" s="1108"/>
      <c r="AP92" s="1108"/>
      <c r="AQ92" s="1108"/>
      <c r="AR92" s="1108"/>
      <c r="AS92" s="1108"/>
      <c r="AT92" s="1108"/>
      <c r="AU92" s="1108" t="str">
        <f t="shared" si="146"/>
        <v/>
      </c>
      <c r="AV92" s="1108"/>
      <c r="AW92" s="1108"/>
      <c r="AX92" s="1108"/>
      <c r="AY92" s="1108"/>
      <c r="AZ92" s="1700"/>
      <c r="BA92" s="1108"/>
      <c r="BB92" s="1108"/>
      <c r="BC92" s="1727"/>
      <c r="BD92" s="1727"/>
      <c r="BE92" s="1727"/>
      <c r="BF92" s="1630"/>
      <c r="BG92" s="1630"/>
      <c r="BH92" s="1630"/>
      <c r="BI92" s="1630"/>
      <c r="BJ92" s="1630"/>
      <c r="BK92" s="1630"/>
      <c r="BL92" s="1630"/>
      <c r="BM92" s="1630"/>
      <c r="BN92" s="1630"/>
      <c r="BO92" s="1108"/>
      <c r="BP92" s="1630"/>
      <c r="BQ92" s="1630"/>
      <c r="BR92" s="1630"/>
      <c r="BS92" s="1630"/>
      <c r="BT92" s="1108"/>
      <c r="BU92" s="1108"/>
      <c r="BV92" s="1108"/>
      <c r="BW92" s="1108"/>
      <c r="BX92" s="1108"/>
      <c r="BY92" s="1108"/>
      <c r="BZ92" s="1108"/>
      <c r="CA92" s="1108"/>
      <c r="CB92" s="1108"/>
      <c r="CC92" s="1108"/>
      <c r="CD92" s="1108"/>
      <c r="CE92" s="1108"/>
      <c r="CF92" s="1108"/>
      <c r="CG92" s="1108"/>
      <c r="CH92" s="1108"/>
      <c r="CI92" s="1108"/>
      <c r="CJ92" s="1108"/>
      <c r="CK92" s="1108"/>
      <c r="CL92" s="1108"/>
      <c r="CM92" s="1108"/>
      <c r="CN92" s="1108"/>
      <c r="CO92" s="1108"/>
      <c r="CP92" s="1108"/>
      <c r="CQ92" s="1108"/>
      <c r="CR92" s="1108"/>
      <c r="CS92" s="1108"/>
      <c r="CT92" s="1470"/>
      <c r="CU92" s="1470"/>
      <c r="CV92" s="1470"/>
      <c r="CW92" s="1108"/>
      <c r="CX92" s="2026"/>
      <c r="CY92" s="1470"/>
      <c r="CZ92" s="1470"/>
      <c r="DA92" s="1470"/>
      <c r="DB92" s="1108"/>
      <c r="DC92" s="2870"/>
      <c r="DD92" s="2876"/>
      <c r="DE92" s="2876"/>
      <c r="DF92" s="2877"/>
      <c r="DG92" s="2877"/>
      <c r="DH92" s="2842"/>
      <c r="DI92" s="2842"/>
      <c r="DJ92" s="2842"/>
      <c r="DK92" s="2842"/>
      <c r="DL92" s="2842"/>
      <c r="DM92" s="2842"/>
      <c r="DN92" s="2842"/>
      <c r="DO92" s="2842"/>
      <c r="DP92" s="2842"/>
      <c r="DQ92" s="2842"/>
      <c r="DR92" s="2026"/>
    </row>
    <row r="93" spans="1:122" hidden="1" outlineLevel="1">
      <c r="A93" s="1108" t="s">
        <v>1027</v>
      </c>
      <c r="B93" s="1795"/>
      <c r="C93" s="1795"/>
      <c r="D93" s="1795"/>
      <c r="E93" s="1795"/>
      <c r="F93" s="1795"/>
      <c r="G93" s="1795"/>
      <c r="H93" s="1795">
        <f>H69</f>
        <v>1.2855760330865733</v>
      </c>
      <c r="I93" s="1795">
        <f>I69</f>
        <v>1.3127321388005457</v>
      </c>
      <c r="J93" s="1795">
        <f>J69</f>
        <v>1.7189627566495587</v>
      </c>
      <c r="K93" s="1795">
        <f>K69</f>
        <v>1.5993478675446382</v>
      </c>
      <c r="L93" s="1795">
        <f>L69</f>
        <v>1.8105856408508225</v>
      </c>
      <c r="M93" s="1795"/>
      <c r="N93" s="1795">
        <f>N69+(N73/N68)</f>
        <v>2.0920237384293801</v>
      </c>
      <c r="O93" s="1369"/>
      <c r="P93" s="1795"/>
      <c r="Q93" s="1795"/>
      <c r="R93" s="1795">
        <f t="shared" ref="R93:AH93" si="184">R69+(R73/R68)</f>
        <v>0.96112168692341537</v>
      </c>
      <c r="S93" s="1795">
        <f t="shared" si="184"/>
        <v>1.4476160458452725</v>
      </c>
      <c r="T93" s="1795">
        <f t="shared" si="184"/>
        <v>2.4347312775330403</v>
      </c>
      <c r="U93" s="1795">
        <f t="shared" si="184"/>
        <v>2.9004194468326396</v>
      </c>
      <c r="V93" s="1795">
        <f t="shared" si="184"/>
        <v>3.5452161052504554</v>
      </c>
      <c r="W93" s="1795">
        <f t="shared" si="184"/>
        <v>2.1807969226055728</v>
      </c>
      <c r="X93" s="1795"/>
      <c r="Y93" s="1795"/>
      <c r="Z93" s="1795">
        <f>Z69+(Z73/Z68)</f>
        <v>4.1798529588666931</v>
      </c>
      <c r="AA93" s="1795">
        <f t="shared" ca="1" si="184"/>
        <v>4.8968199471492628</v>
      </c>
      <c r="AB93" s="1795"/>
      <c r="AC93" s="1795">
        <f t="shared" ca="1" si="184"/>
        <v>4.6319294222679446</v>
      </c>
      <c r="AD93" s="1795">
        <f t="shared" ca="1" si="184"/>
        <v>5.5995105430515002</v>
      </c>
      <c r="AE93" s="1795">
        <f t="shared" ca="1" si="184"/>
        <v>6.2358725367747168</v>
      </c>
      <c r="AF93" s="1795">
        <f t="shared" ca="1" si="184"/>
        <v>7.3631426393143631</v>
      </c>
      <c r="AG93" s="1795">
        <f t="shared" ca="1" si="184"/>
        <v>8.063384149448483</v>
      </c>
      <c r="AH93" s="1795">
        <f t="shared" ca="1" si="184"/>
        <v>9.1520367088370769</v>
      </c>
      <c r="AI93" s="1795">
        <f t="shared" ref="AI93:AN93" ca="1" si="185">AI69+(AI73/AI68)</f>
        <v>9.249057756674782</v>
      </c>
      <c r="AJ93" s="1795">
        <f t="shared" ca="1" si="185"/>
        <v>10.069764864904442</v>
      </c>
      <c r="AK93" s="1795">
        <f t="shared" ca="1" si="185"/>
        <v>10.648390669790123</v>
      </c>
      <c r="AL93" s="1795">
        <f t="shared" ca="1" si="185"/>
        <v>11.088815401553132</v>
      </c>
      <c r="AM93" s="1795">
        <f t="shared" ca="1" si="185"/>
        <v>11.528463808624396</v>
      </c>
      <c r="AN93" s="1795">
        <f t="shared" ca="1" si="185"/>
        <v>12.732596120720579</v>
      </c>
      <c r="AO93" s="1795"/>
      <c r="AP93" s="1795"/>
      <c r="AQ93" s="1795"/>
      <c r="AR93" s="1795"/>
      <c r="AS93" s="1795"/>
      <c r="AT93" s="1795"/>
      <c r="AU93" s="1108" t="str">
        <f t="shared" si="146"/>
        <v>Adjusted Net Income per Avg. Diluted Share before FAS 123</v>
      </c>
      <c r="AV93" s="1108"/>
      <c r="AW93" s="1108"/>
      <c r="AX93" s="1108"/>
      <c r="AY93" s="1108"/>
      <c r="AZ93" s="1700"/>
      <c r="BA93" s="1661"/>
      <c r="BB93" s="1661"/>
      <c r="BC93" s="1661"/>
      <c r="BD93" s="1661"/>
      <c r="BE93" s="1661"/>
      <c r="BF93" s="1795">
        <f>BF69+(BF73/BF68)</f>
        <v>0.33706448230715041</v>
      </c>
      <c r="BG93" s="1795">
        <f>BG69+(BG73/BG68)</f>
        <v>0.50070853715634966</v>
      </c>
      <c r="BH93" s="1795">
        <f>BH69+(BH73/BH68)</f>
        <v>0.4301591333154231</v>
      </c>
      <c r="BI93" s="1795">
        <f>BI69+(BI73/BI68)</f>
        <v>0.55471913790480731</v>
      </c>
      <c r="BJ93" s="1795"/>
      <c r="BK93" s="1795">
        <f>BK69+(BK73/BK68)</f>
        <v>0.36662123567421501</v>
      </c>
      <c r="BL93" s="1795">
        <f>BL69+(BL73/BL68)</f>
        <v>0.57653893226149888</v>
      </c>
      <c r="BM93" s="1795">
        <f>BM69+(BM73/BM68)</f>
        <v>0.50896390948599901</v>
      </c>
      <c r="BN93" s="1795">
        <f>BN69+(BN73/BN68)</f>
        <v>0.56473187978786121</v>
      </c>
      <c r="BO93" s="1108"/>
      <c r="BP93" s="1795">
        <f>BP69+(BP73/BP68)</f>
        <v>0.47426578169879852</v>
      </c>
      <c r="BQ93" s="1795">
        <f>BQ69+(BQ73/BQ68)</f>
        <v>0.55743415732825286</v>
      </c>
      <c r="BR93" s="1795">
        <f>BR69+(BR73/BR68)</f>
        <v>0.3231811886911849</v>
      </c>
      <c r="BS93" s="1795">
        <f>BS69+(BS73/BS68)</f>
        <v>0.35056369549546323</v>
      </c>
      <c r="BT93" s="1108"/>
      <c r="BU93" s="1108"/>
      <c r="BV93" s="1108"/>
      <c r="BW93" s="1108"/>
      <c r="BX93" s="1108"/>
      <c r="BY93" s="1108"/>
      <c r="BZ93" s="1108"/>
      <c r="CA93" s="1108"/>
      <c r="CB93" s="1108"/>
      <c r="CC93" s="1108"/>
      <c r="CD93" s="1108"/>
      <c r="CE93" s="1108"/>
      <c r="CF93" s="1108"/>
      <c r="CG93" s="1108"/>
      <c r="CH93" s="1108"/>
      <c r="CI93" s="1108"/>
      <c r="CJ93" s="1108"/>
      <c r="CK93" s="1108"/>
      <c r="CL93" s="1108"/>
      <c r="CM93" s="1108"/>
      <c r="CN93" s="1108"/>
      <c r="CO93" s="1108"/>
      <c r="CP93" s="1108"/>
      <c r="CQ93" s="1108"/>
      <c r="CR93" s="1108"/>
      <c r="CS93" s="1108"/>
      <c r="CT93" s="1470"/>
      <c r="CU93" s="1470"/>
      <c r="CV93" s="1470"/>
      <c r="CW93" s="1108"/>
      <c r="CX93" s="2026"/>
      <c r="CY93" s="1470"/>
      <c r="CZ93" s="1470"/>
      <c r="DA93" s="1470"/>
      <c r="DB93" s="1108"/>
      <c r="DC93" s="2870"/>
      <c r="DD93" s="2876"/>
      <c r="DE93" s="2876"/>
      <c r="DF93" s="2877"/>
      <c r="DG93" s="2877"/>
      <c r="DH93" s="2842"/>
      <c r="DI93" s="2842"/>
      <c r="DJ93" s="2842"/>
      <c r="DK93" s="2842"/>
      <c r="DL93" s="2842"/>
      <c r="DM93" s="2842"/>
      <c r="DN93" s="2842"/>
      <c r="DO93" s="2842"/>
      <c r="DP93" s="2842"/>
      <c r="DQ93" s="2842"/>
      <c r="DR93" s="2026"/>
    </row>
    <row r="94" spans="1:122" hidden="1" outlineLevel="1">
      <c r="A94" s="1108" t="s">
        <v>676</v>
      </c>
      <c r="B94" s="1795"/>
      <c r="C94" s="1795"/>
      <c r="D94" s="1795"/>
      <c r="E94" s="1795"/>
      <c r="F94" s="1795"/>
      <c r="G94" s="1795"/>
      <c r="H94" s="1795"/>
      <c r="I94" s="1110">
        <f>I93/H93-1</f>
        <v>2.1123686981603607E-2</v>
      </c>
      <c r="J94" s="1110">
        <f>J93/I93-1</f>
        <v>0.30945430971179633</v>
      </c>
      <c r="K94" s="1110">
        <f>K93/J93-1</f>
        <v>-6.9585503608037835E-2</v>
      </c>
      <c r="L94" s="1110">
        <f>L93/K93-1</f>
        <v>0.13207744080747252</v>
      </c>
      <c r="M94" s="1110"/>
      <c r="N94" s="1110"/>
      <c r="O94" s="1369"/>
      <c r="P94" s="1110"/>
      <c r="Q94" s="1110"/>
      <c r="R94" s="1110">
        <f>R93/N93-1</f>
        <v>-0.54057802057017157</v>
      </c>
      <c r="S94" s="1110">
        <f t="shared" ref="S94:AH94" si="186">S93/R93-1</f>
        <v>0.50617353196882164</v>
      </c>
      <c r="T94" s="1110">
        <f t="shared" si="186"/>
        <v>0.68189022532655397</v>
      </c>
      <c r="U94" s="1110">
        <f t="shared" si="186"/>
        <v>0.19126881623316216</v>
      </c>
      <c r="V94" s="1110">
        <f t="shared" si="186"/>
        <v>0.22231152088086992</v>
      </c>
      <c r="W94" s="1110">
        <f t="shared" si="186"/>
        <v>-0.38486206260435907</v>
      </c>
      <c r="X94" s="1110"/>
      <c r="Y94" s="1110"/>
      <c r="Z94" s="1110">
        <f>Z93/W93-1</f>
        <v>0.91666308565434318</v>
      </c>
      <c r="AA94" s="1110">
        <f t="shared" ca="1" si="186"/>
        <v>0.1715292368746304</v>
      </c>
      <c r="AB94" s="1110"/>
      <c r="AC94" s="1110">
        <f ca="1">AC93/AA93-1</f>
        <v>-5.4094397535593974E-2</v>
      </c>
      <c r="AD94" s="1110">
        <f t="shared" ca="1" si="186"/>
        <v>0.20889375302912017</v>
      </c>
      <c r="AE94" s="1110">
        <f t="shared" ca="1" si="186"/>
        <v>0.1136460033123583</v>
      </c>
      <c r="AF94" s="1110">
        <f t="shared" ca="1" si="186"/>
        <v>0.1807718319917242</v>
      </c>
      <c r="AG94" s="1110">
        <f t="shared" ca="1" si="186"/>
        <v>9.5100902486295436E-2</v>
      </c>
      <c r="AH94" s="1110">
        <f t="shared" ca="1" si="186"/>
        <v>0.13501186836832701</v>
      </c>
      <c r="AI94" s="1110">
        <f t="shared" ref="AI94:AN94" ca="1" si="187">AI93/AH93-1</f>
        <v>1.0601033510281077E-2</v>
      </c>
      <c r="AJ94" s="1110">
        <f t="shared" ca="1" si="187"/>
        <v>8.8734131607879574E-2</v>
      </c>
      <c r="AK94" s="1110">
        <f t="shared" ca="1" si="187"/>
        <v>5.746169971677606E-2</v>
      </c>
      <c r="AL94" s="1110">
        <f t="shared" ca="1" si="187"/>
        <v>4.1360684954254268E-2</v>
      </c>
      <c r="AM94" s="1110">
        <f t="shared" ca="1" si="187"/>
        <v>3.964791469156248E-2</v>
      </c>
      <c r="AN94" s="1110">
        <f t="shared" ca="1" si="187"/>
        <v>0.10444863531560689</v>
      </c>
      <c r="AO94" s="1110"/>
      <c r="AP94" s="1110"/>
      <c r="AQ94" s="1110"/>
      <c r="AR94" s="1110"/>
      <c r="AS94" s="1110"/>
      <c r="AT94" s="1110"/>
      <c r="AU94" s="1108" t="str">
        <f t="shared" si="146"/>
        <v>% Change</v>
      </c>
      <c r="AV94" s="1108"/>
      <c r="AW94" s="1108"/>
      <c r="AX94" s="1108"/>
      <c r="AY94" s="1108"/>
      <c r="AZ94" s="1700"/>
      <c r="BA94" s="1661"/>
      <c r="BB94" s="1661"/>
      <c r="BC94" s="1661"/>
      <c r="BD94" s="1661"/>
      <c r="BE94" s="1661"/>
      <c r="BF94" s="1630" t="s">
        <v>737</v>
      </c>
      <c r="BG94" s="1630" t="s">
        <v>737</v>
      </c>
      <c r="BH94" s="1630" t="s">
        <v>737</v>
      </c>
      <c r="BI94" s="1630" t="s">
        <v>737</v>
      </c>
      <c r="BJ94" s="1630"/>
      <c r="BK94" s="1630">
        <f>BK93/BF93-1</f>
        <v>8.7688721056438546E-2</v>
      </c>
      <c r="BL94" s="1630">
        <f>BL93/BG93-1</f>
        <v>0.15144617971926189</v>
      </c>
      <c r="BM94" s="1630">
        <f>BM93/BH93-1</f>
        <v>0.18319912345738953</v>
      </c>
      <c r="BN94" s="1630">
        <f>BN93/BI93-1</f>
        <v>1.8050110765733374E-2</v>
      </c>
      <c r="BO94" s="1108"/>
      <c r="BP94" s="1630">
        <f>BP93/BK93-1</f>
        <v>0.29361241398531002</v>
      </c>
      <c r="BQ94" s="1630">
        <f>BQ93/BL93-1</f>
        <v>-3.3137007518827422E-2</v>
      </c>
      <c r="BR94" s="1630">
        <f>BR93/BM93-1</f>
        <v>-0.36502140393890692</v>
      </c>
      <c r="BS94" s="1630">
        <f>BS93/BN93-1</f>
        <v>-0.37923870062524045</v>
      </c>
      <c r="BT94" s="1108"/>
      <c r="BU94" s="1108"/>
      <c r="BV94" s="1108"/>
      <c r="BW94" s="1108"/>
      <c r="BX94" s="1108"/>
      <c r="BY94" s="1108"/>
      <c r="BZ94" s="1108"/>
      <c r="CA94" s="1108"/>
      <c r="CB94" s="1108"/>
      <c r="CC94" s="1108"/>
      <c r="CD94" s="1108"/>
      <c r="CE94" s="1108"/>
      <c r="CF94" s="1108"/>
      <c r="CG94" s="1108"/>
      <c r="CH94" s="1108"/>
      <c r="CI94" s="1108"/>
      <c r="CJ94" s="1108"/>
      <c r="CK94" s="1108"/>
      <c r="CL94" s="1108"/>
      <c r="CM94" s="1108"/>
      <c r="CN94" s="1108"/>
      <c r="CO94" s="1108"/>
      <c r="CP94" s="1108"/>
      <c r="CQ94" s="1108"/>
      <c r="CR94" s="1108"/>
      <c r="CS94" s="1108"/>
      <c r="CT94" s="1470"/>
      <c r="CU94" s="1470"/>
      <c r="CV94" s="1470"/>
      <c r="CW94" s="1108"/>
      <c r="CX94" s="2026"/>
      <c r="CY94" s="1470"/>
      <c r="CZ94" s="1470"/>
      <c r="DA94" s="1470"/>
      <c r="DB94" s="1108"/>
      <c r="DC94" s="2870"/>
      <c r="DD94" s="2876"/>
      <c r="DE94" s="2876"/>
      <c r="DF94" s="2877"/>
      <c r="DG94" s="2877"/>
      <c r="DH94" s="2877"/>
      <c r="DI94" s="2877"/>
      <c r="DJ94" s="2877"/>
      <c r="DK94" s="2877"/>
      <c r="DL94" s="2877"/>
      <c r="DM94" s="2877"/>
      <c r="DN94" s="2842"/>
      <c r="DO94" s="2842"/>
      <c r="DP94" s="2842"/>
      <c r="DQ94" s="2842"/>
      <c r="DR94" s="2026"/>
    </row>
    <row r="95" spans="1:122" hidden="1" outlineLevel="1">
      <c r="A95" s="1108" t="s">
        <v>1028</v>
      </c>
      <c r="B95" s="1795"/>
      <c r="C95" s="1795"/>
      <c r="D95" s="1795"/>
      <c r="E95" s="1795"/>
      <c r="F95" s="1795"/>
      <c r="G95" s="1795"/>
      <c r="H95" s="1795">
        <f>H93-(H73/H68)</f>
        <v>1.1612803377969632</v>
      </c>
      <c r="I95" s="1795">
        <f>I93-(I73/I68)</f>
        <v>1.14678484211722</v>
      </c>
      <c r="J95" s="1795">
        <f>J93-(J73/J68)</f>
        <v>1.4537971010266002</v>
      </c>
      <c r="K95" s="1795">
        <f>K93-(K73/K68)</f>
        <v>1.2972078143598846</v>
      </c>
      <c r="L95" s="1795">
        <f>L93-(L73/L68)</f>
        <v>1.7575278538593739</v>
      </c>
      <c r="M95" s="1795"/>
      <c r="N95" s="1795">
        <f>N69</f>
        <v>1.8861413854882036</v>
      </c>
      <c r="O95" s="1369"/>
      <c r="P95" s="1795"/>
      <c r="Q95" s="1795"/>
      <c r="R95" s="1795">
        <f t="shared" ref="R95:AH95" si="188">R69</f>
        <v>0.76255674330063017</v>
      </c>
      <c r="S95" s="1795">
        <f t="shared" si="188"/>
        <v>1.2416905444126076</v>
      </c>
      <c r="T95" s="1795">
        <f t="shared" si="188"/>
        <v>2.2306196769456688</v>
      </c>
      <c r="U95" s="1795">
        <f t="shared" si="188"/>
        <v>2.6682494923561602</v>
      </c>
      <c r="V95" s="1795">
        <f t="shared" si="188"/>
        <v>3.1728583816732194</v>
      </c>
      <c r="W95" s="1795">
        <f t="shared" si="188"/>
        <v>1.906287118684004</v>
      </c>
      <c r="X95" s="1795"/>
      <c r="Y95" s="1795"/>
      <c r="Z95" s="1795">
        <f>Z69</f>
        <v>3.8240247380077976</v>
      </c>
      <c r="AA95" s="1795">
        <f t="shared" ca="1" si="188"/>
        <v>4.4899003042921199</v>
      </c>
      <c r="AB95" s="1795"/>
      <c r="AC95" s="1795">
        <f t="shared" ca="1" si="188"/>
        <v>4.206952674719858</v>
      </c>
      <c r="AD95" s="1795">
        <f t="shared" ca="1" si="188"/>
        <v>5.1313937832015464</v>
      </c>
      <c r="AE95" s="1795">
        <f t="shared" ca="1" si="188"/>
        <v>5.7308501130124805</v>
      </c>
      <c r="AF95" s="1795">
        <f t="shared" ca="1" si="188"/>
        <v>6.8146315254944057</v>
      </c>
      <c r="AG95" s="1795">
        <f t="shared" ca="1" si="188"/>
        <v>7.4679952071497047</v>
      </c>
      <c r="AH95" s="1795">
        <f t="shared" ca="1" si="188"/>
        <v>8.5063906451729192</v>
      </c>
      <c r="AI95" s="1795">
        <f t="shared" ref="AI95:AN95" ca="1" si="189">AI69</f>
        <v>8.5496510193316766</v>
      </c>
      <c r="AJ95" s="1795">
        <f t="shared" ca="1" si="189"/>
        <v>9.3129878231797072</v>
      </c>
      <c r="AK95" s="1795">
        <f t="shared" ca="1" si="189"/>
        <v>9.83055043291826</v>
      </c>
      <c r="AL95" s="1795">
        <f t="shared" ca="1" si="189"/>
        <v>10.206163537862214</v>
      </c>
      <c r="AM95" s="1795">
        <f t="shared" ca="1" si="189"/>
        <v>10.577229100308877</v>
      </c>
      <c r="AN95" s="1795">
        <f t="shared" ca="1" si="189"/>
        <v>11.709022321415487</v>
      </c>
      <c r="AO95" s="1795"/>
      <c r="AP95" s="1795"/>
      <c r="AQ95" s="1795"/>
      <c r="AR95" s="1795"/>
      <c r="AS95" s="1795"/>
      <c r="AT95" s="1795"/>
      <c r="AU95" s="1108" t="str">
        <f t="shared" si="146"/>
        <v>Adjusted Net Income per Avg. Diluted Share after FAS 123</v>
      </c>
      <c r="AV95" s="1108"/>
      <c r="AW95" s="1108"/>
      <c r="AX95" s="1108"/>
      <c r="AY95" s="1108"/>
      <c r="AZ95" s="1700"/>
      <c r="BA95" s="1661"/>
      <c r="BB95" s="1661"/>
      <c r="BC95" s="1661"/>
      <c r="BD95" s="1661"/>
      <c r="BE95" s="1661"/>
      <c r="BF95" s="1795">
        <f>BF69</f>
        <v>0.3298582738814298</v>
      </c>
      <c r="BG95" s="1795">
        <f>BG69</f>
        <v>0.48533691553472808</v>
      </c>
      <c r="BH95" s="1795">
        <f>BH69</f>
        <v>0.41261198787496844</v>
      </c>
      <c r="BI95" s="1795">
        <f>BI69</f>
        <v>0.54073794264463215</v>
      </c>
      <c r="BJ95" s="1795"/>
      <c r="BK95" s="1795">
        <f>BK69</f>
        <v>0.34878043055070174</v>
      </c>
      <c r="BL95" s="1795">
        <f>BL69</f>
        <v>0.54935905839256549</v>
      </c>
      <c r="BM95" s="1795">
        <f>BM69</f>
        <v>0.4812521398466364</v>
      </c>
      <c r="BN95" s="1795">
        <f>BN69</f>
        <v>0.54117560400707154</v>
      </c>
      <c r="BO95" s="1108"/>
      <c r="BP95" s="1795">
        <f>BP69</f>
        <v>0.44233494168692555</v>
      </c>
      <c r="BQ95" s="1795">
        <f>BQ69</f>
        <v>0.51974321857695516</v>
      </c>
      <c r="BR95" s="1795">
        <f>BR69</f>
        <v>0.28607431732436422</v>
      </c>
      <c r="BS95" s="1795">
        <f>BS69</f>
        <v>0.324166778347101</v>
      </c>
      <c r="BT95" s="1108"/>
      <c r="BU95" s="1108"/>
      <c r="BV95" s="1108"/>
      <c r="BW95" s="1108"/>
      <c r="BX95" s="1108"/>
      <c r="BY95" s="1108"/>
      <c r="BZ95" s="1108"/>
      <c r="CA95" s="1108"/>
      <c r="CB95" s="1108"/>
      <c r="CC95" s="1108"/>
      <c r="CD95" s="1108"/>
      <c r="CE95" s="1108"/>
      <c r="CF95" s="1108"/>
      <c r="CG95" s="1108"/>
      <c r="CH95" s="1108"/>
      <c r="CI95" s="1108"/>
      <c r="CJ95" s="1108"/>
      <c r="CK95" s="1108"/>
      <c r="CL95" s="1108"/>
      <c r="CM95" s="1108"/>
      <c r="CN95" s="1108"/>
      <c r="CO95" s="1108"/>
      <c r="CP95" s="1108"/>
      <c r="CQ95" s="1108"/>
      <c r="CR95" s="1108"/>
      <c r="CS95" s="1108"/>
      <c r="CT95" s="1108"/>
      <c r="CU95" s="1108"/>
      <c r="CV95" s="1108"/>
      <c r="CW95" s="1108"/>
      <c r="CX95" s="1108"/>
      <c r="CY95" s="1108"/>
      <c r="CZ95" s="1470"/>
      <c r="DA95" s="1470"/>
      <c r="DB95" s="1108"/>
      <c r="DC95" s="2870"/>
      <c r="DD95" s="2876"/>
      <c r="DE95" s="2876"/>
      <c r="DF95" s="2877"/>
      <c r="DG95" s="2877"/>
      <c r="DH95" s="2877"/>
      <c r="DI95" s="2877"/>
      <c r="DJ95" s="2877"/>
      <c r="DK95" s="2877"/>
      <c r="DL95" s="2877"/>
      <c r="DM95" s="2877"/>
      <c r="DN95" s="2842"/>
      <c r="DO95" s="2842"/>
      <c r="DP95" s="2842"/>
      <c r="DQ95" s="2842"/>
      <c r="DR95" s="2026"/>
    </row>
    <row r="96" spans="1:122" hidden="1" outlineLevel="1">
      <c r="A96" s="1108" t="s">
        <v>676</v>
      </c>
      <c r="B96" s="1661"/>
      <c r="C96" s="1661"/>
      <c r="D96" s="1661"/>
      <c r="E96" s="1661"/>
      <c r="F96" s="1661"/>
      <c r="G96" s="1661"/>
      <c r="H96" s="1661"/>
      <c r="I96" s="1110">
        <f>I95/H95-1</f>
        <v>-1.2482339714148805E-2</v>
      </c>
      <c r="J96" s="1110">
        <f>J95/I95-1</f>
        <v>0.26771565827689803</v>
      </c>
      <c r="K96" s="1110">
        <f>K95/J95-1</f>
        <v>-0.10771055091259973</v>
      </c>
      <c r="L96" s="1110">
        <f>L95/K95-1</f>
        <v>0.35485450704491561</v>
      </c>
      <c r="M96" s="1110"/>
      <c r="N96" s="1110"/>
      <c r="O96" s="1369"/>
      <c r="P96" s="1110"/>
      <c r="Q96" s="1110"/>
      <c r="R96" s="1110">
        <f>R95/N95-1</f>
        <v>-0.5957054178612109</v>
      </c>
      <c r="S96" s="1110">
        <f t="shared" ref="S96:AH96" si="190">S95/R95-1</f>
        <v>0.62832543980675792</v>
      </c>
      <c r="T96" s="1110">
        <f t="shared" si="190"/>
        <v>0.796437676829441</v>
      </c>
      <c r="U96" s="1110">
        <f t="shared" si="190"/>
        <v>0.19619203575291988</v>
      </c>
      <c r="V96" s="1110">
        <f t="shared" si="190"/>
        <v>0.18911608182167083</v>
      </c>
      <c r="W96" s="1110">
        <f t="shared" si="190"/>
        <v>-0.39918934620753044</v>
      </c>
      <c r="X96" s="1110"/>
      <c r="Y96" s="1110"/>
      <c r="Z96" s="1110">
        <f>Z95/W95-1</f>
        <v>1.0060067030446569</v>
      </c>
      <c r="AA96" s="1110">
        <f t="shared" ca="1" si="190"/>
        <v>0.17412951324975579</v>
      </c>
      <c r="AB96" s="1110"/>
      <c r="AC96" s="1110">
        <f ca="1">AC95/AA95-1</f>
        <v>-6.3018688700454684E-2</v>
      </c>
      <c r="AD96" s="1110">
        <f t="shared" ca="1" si="190"/>
        <v>0.21974126641280733</v>
      </c>
      <c r="AE96" s="1110">
        <f t="shared" ca="1" si="190"/>
        <v>0.11682134623410745</v>
      </c>
      <c r="AF96" s="1110">
        <f t="shared" ca="1" si="190"/>
        <v>0.1891135505395769</v>
      </c>
      <c r="AG96" s="1110">
        <f t="shared" ca="1" si="190"/>
        <v>9.5876597173446987E-2</v>
      </c>
      <c r="AH96" s="1110">
        <f t="shared" ca="1" si="190"/>
        <v>0.13904607718937423</v>
      </c>
      <c r="AI96" s="1110">
        <f t="shared" ref="AI96:AN96" ca="1" si="191">AI95/AH95-1</f>
        <v>5.0856321985759401E-3</v>
      </c>
      <c r="AJ96" s="1110">
        <f t="shared" ca="1" si="191"/>
        <v>8.9282802552062668E-2</v>
      </c>
      <c r="AK96" s="1110">
        <f t="shared" ca="1" si="191"/>
        <v>5.5574281805711889E-2</v>
      </c>
      <c r="AL96" s="1110">
        <f t="shared" ca="1" si="191"/>
        <v>3.8208756214320072E-2</v>
      </c>
      <c r="AM96" s="1110">
        <f t="shared" ca="1" si="191"/>
        <v>3.6357007319166135E-2</v>
      </c>
      <c r="AN96" s="1110">
        <f t="shared" ca="1" si="191"/>
        <v>0.10700280861587452</v>
      </c>
      <c r="AO96" s="1110"/>
      <c r="AP96" s="1110"/>
      <c r="AQ96" s="1110"/>
      <c r="AR96" s="1110"/>
      <c r="AS96" s="1110"/>
      <c r="AT96" s="1110"/>
      <c r="AU96" s="1108" t="str">
        <f t="shared" si="146"/>
        <v>% Change</v>
      </c>
      <c r="AV96" s="1108"/>
      <c r="AW96" s="1108"/>
      <c r="AX96" s="1108"/>
      <c r="AY96" s="1108"/>
      <c r="AZ96" s="1700"/>
      <c r="BA96" s="1108"/>
      <c r="BB96" s="1108"/>
      <c r="BC96" s="1727"/>
      <c r="BD96" s="1727"/>
      <c r="BE96" s="1727"/>
      <c r="BF96" s="1630" t="s">
        <v>737</v>
      </c>
      <c r="BG96" s="1630" t="s">
        <v>737</v>
      </c>
      <c r="BH96" s="1630" t="s">
        <v>737</v>
      </c>
      <c r="BI96" s="1630" t="s">
        <v>737</v>
      </c>
      <c r="BJ96" s="1630"/>
      <c r="BK96" s="1630">
        <f>BK95/BF95-1</f>
        <v>5.7364505205874217E-2</v>
      </c>
      <c r="BL96" s="1630">
        <f>BL95/BG95-1</f>
        <v>0.13191278225209779</v>
      </c>
      <c r="BM96" s="1630">
        <f>BM95/BH95-1</f>
        <v>0.16635520534722703</v>
      </c>
      <c r="BN96" s="1630">
        <f>BN95/BI95-1</f>
        <v>8.0937794063218327E-4</v>
      </c>
      <c r="BO96" s="1108"/>
      <c r="BP96" s="1630">
        <f>BP95/BK95-1</f>
        <v>0.2682332577791342</v>
      </c>
      <c r="BQ96" s="1630">
        <f>BQ95/BL95-1</f>
        <v>-5.3909805186915127E-2</v>
      </c>
      <c r="BR96" s="1630">
        <f>BR95/BM95-1</f>
        <v>-0.40556250323265197</v>
      </c>
      <c r="BS96" s="1630">
        <f>BS95/BN95-1</f>
        <v>-0.40099521126442883</v>
      </c>
      <c r="BT96" s="1108"/>
      <c r="BU96" s="1108"/>
      <c r="BV96" s="1108"/>
      <c r="BW96" s="1108"/>
      <c r="BX96" s="1108"/>
      <c r="BY96" s="1108"/>
      <c r="BZ96" s="1108"/>
      <c r="CA96" s="1108"/>
      <c r="CB96" s="1108"/>
      <c r="CC96" s="1108"/>
      <c r="CD96" s="1108"/>
      <c r="CE96" s="1108"/>
      <c r="CF96" s="1108"/>
      <c r="CG96" s="1108"/>
      <c r="CH96" s="1108"/>
      <c r="CI96" s="1108"/>
      <c r="CJ96" s="1108"/>
      <c r="CK96" s="1108"/>
      <c r="CL96" s="1108"/>
      <c r="CM96" s="1108"/>
      <c r="CN96" s="1108"/>
      <c r="CO96" s="1108"/>
      <c r="CP96" s="1108"/>
      <c r="CQ96" s="1108"/>
      <c r="CR96" s="1108"/>
      <c r="CS96" s="1108"/>
      <c r="CT96" s="1108"/>
      <c r="CU96" s="1108"/>
      <c r="CV96" s="1108"/>
      <c r="CW96" s="1108"/>
      <c r="CX96" s="1108"/>
      <c r="CY96" s="1108"/>
      <c r="CZ96" s="2026"/>
      <c r="DA96" s="2026"/>
      <c r="DB96" s="2026"/>
      <c r="DC96" s="2842"/>
      <c r="DD96" s="2842"/>
      <c r="DE96" s="2842"/>
      <c r="DF96" s="2842"/>
      <c r="DG96" s="2842"/>
      <c r="DH96" s="2842"/>
      <c r="DI96" s="2842"/>
      <c r="DJ96" s="2842"/>
      <c r="DK96" s="2842"/>
      <c r="DL96" s="2842"/>
      <c r="DM96" s="2842"/>
      <c r="DN96" s="2842"/>
      <c r="DO96" s="2842"/>
      <c r="DP96" s="2842"/>
      <c r="DQ96" s="2842"/>
      <c r="DR96" s="2026"/>
    </row>
    <row r="97" spans="1:122" hidden="1" outlineLevel="1">
      <c r="A97" s="1108"/>
      <c r="B97" s="1661"/>
      <c r="C97" s="1661"/>
      <c r="D97" s="1661"/>
      <c r="E97" s="1661"/>
      <c r="F97" s="1661"/>
      <c r="G97" s="1661"/>
      <c r="H97" s="1110"/>
      <c r="I97" s="1110"/>
      <c r="J97" s="1110"/>
      <c r="K97" s="1110"/>
      <c r="L97" s="1110"/>
      <c r="M97" s="1110"/>
      <c r="N97" s="1110"/>
      <c r="O97" s="1369"/>
      <c r="P97" s="1110"/>
      <c r="Q97" s="1110"/>
      <c r="R97" s="1110"/>
      <c r="S97" s="1110"/>
      <c r="T97" s="1110"/>
      <c r="U97" s="1110"/>
      <c r="V97" s="1110"/>
      <c r="W97" s="1110"/>
      <c r="X97" s="1110"/>
      <c r="Y97" s="1110"/>
      <c r="Z97" s="1110"/>
      <c r="AA97" s="1110"/>
      <c r="AB97" s="1110"/>
      <c r="AC97" s="1110"/>
      <c r="AD97" s="1110"/>
      <c r="AE97" s="1110"/>
      <c r="AF97" s="1110"/>
      <c r="AG97" s="1110"/>
      <c r="AH97" s="1110"/>
      <c r="AI97" s="1110"/>
      <c r="AJ97" s="1110"/>
      <c r="AK97" s="1110"/>
      <c r="AL97" s="1110"/>
      <c r="AM97" s="1110"/>
      <c r="AN97" s="1110"/>
      <c r="AO97" s="1110"/>
      <c r="AP97" s="1110"/>
      <c r="AQ97" s="1110"/>
      <c r="AR97" s="1110"/>
      <c r="AS97" s="1110"/>
      <c r="AT97" s="2802"/>
      <c r="AU97" s="2862" t="str">
        <f t="shared" si="146"/>
        <v/>
      </c>
      <c r="AV97" s="2862"/>
      <c r="AW97" s="2862"/>
      <c r="AX97" s="2862"/>
      <c r="AY97" s="2862"/>
      <c r="AZ97" s="3228"/>
      <c r="BA97" s="2862"/>
      <c r="BB97" s="2862"/>
      <c r="BC97" s="2815"/>
      <c r="BD97" s="2815"/>
      <c r="BE97" s="2815"/>
      <c r="BF97" s="2802">
        <f>(BF73/BF68)/BF95</f>
        <v>2.184637766070088E-2</v>
      </c>
      <c r="BG97" s="2802">
        <f>(BG73/BG68)/BG95</f>
        <v>3.1672063528663752E-2</v>
      </c>
      <c r="BH97" s="2802">
        <f>(BH73/BH68)/BH95</f>
        <v>4.252698892929857E-2</v>
      </c>
      <c r="BI97" s="2802">
        <f>(BI73/BI68)/BI95</f>
        <v>2.5855768862447812E-2</v>
      </c>
      <c r="BJ97" s="2802"/>
      <c r="BK97" s="2802">
        <f>(BK73/BK68)/BK95</f>
        <v>5.115196714260542E-2</v>
      </c>
      <c r="BL97" s="2802">
        <f>(BL73/BL68)/BL95</f>
        <v>4.9475608809404492E-2</v>
      </c>
      <c r="BM97" s="2802">
        <f>(BM73/BM68)/BM95</f>
        <v>5.7582641914472682E-2</v>
      </c>
      <c r="BN97" s="2802">
        <f>(BN73/BN68)/BN95</f>
        <v>4.3527970600244971E-2</v>
      </c>
      <c r="BO97" s="2862"/>
      <c r="BP97" s="2802">
        <f>(BP73/BP68)/BP95</f>
        <v>7.2187017128013536E-2</v>
      </c>
      <c r="BQ97" s="2802">
        <f>(BQ73/BQ68)/BQ95</f>
        <v>7.2518384856457702E-2</v>
      </c>
      <c r="BR97" s="2802">
        <f>(BR73/BR68)/BR95</f>
        <v>0.12971060007720725</v>
      </c>
      <c r="BS97" s="2802">
        <f>(BS73/BS68)/BS95</f>
        <v>8.1430050552860109E-2</v>
      </c>
      <c r="BT97" s="2862"/>
      <c r="BU97" s="2862"/>
      <c r="BV97" s="2862"/>
      <c r="BW97" s="2862"/>
      <c r="BX97" s="2862"/>
      <c r="BY97" s="2862"/>
      <c r="BZ97" s="2862"/>
      <c r="CA97" s="2862"/>
      <c r="CB97" s="2862"/>
      <c r="CC97" s="2862"/>
      <c r="CD97" s="2862"/>
      <c r="CE97" s="2862"/>
      <c r="CF97" s="2862"/>
      <c r="CG97" s="2862"/>
      <c r="CH97" s="2862"/>
      <c r="CI97" s="2862"/>
      <c r="CJ97" s="2862"/>
      <c r="CK97" s="2862"/>
      <c r="CL97" s="2862"/>
      <c r="CM97" s="2862"/>
      <c r="CN97" s="2862"/>
      <c r="CO97" s="2862"/>
      <c r="CP97" s="2862"/>
      <c r="CQ97" s="2862"/>
      <c r="CR97" s="2862"/>
      <c r="CS97" s="2862"/>
      <c r="CT97" s="2862"/>
      <c r="CU97" s="2862"/>
      <c r="CV97" s="2862"/>
      <c r="CW97" s="2862"/>
      <c r="CX97" s="2862"/>
      <c r="CY97" s="2862"/>
      <c r="CZ97" s="3229"/>
      <c r="DA97" s="3229"/>
      <c r="DB97" s="2876"/>
      <c r="DC97" s="2870"/>
      <c r="DD97" s="2876"/>
      <c r="DE97" s="2876"/>
      <c r="DF97" s="2876"/>
      <c r="DG97" s="2876"/>
      <c r="DH97" s="2876"/>
      <c r="DI97" s="2876"/>
      <c r="DJ97" s="2876"/>
      <c r="DK97" s="2876"/>
      <c r="DL97" s="2876"/>
      <c r="DM97" s="2876"/>
      <c r="DN97" s="2842"/>
      <c r="DO97" s="2842"/>
      <c r="DP97" s="2842"/>
      <c r="DQ97" s="2842"/>
      <c r="DR97" s="2026"/>
    </row>
    <row r="98" spans="1:122" collapsed="1">
      <c r="A98" s="1494" t="s">
        <v>1694</v>
      </c>
      <c r="B98" s="1924"/>
      <c r="C98" s="1924"/>
      <c r="D98" s="1924"/>
      <c r="E98" s="1924"/>
      <c r="F98" s="1924"/>
      <c r="G98" s="1924"/>
      <c r="H98" s="1924"/>
      <c r="I98" s="1794"/>
      <c r="J98" s="1794"/>
      <c r="K98" s="1794"/>
      <c r="L98" s="1794">
        <f>(L52-(L32*(1-L664)))/L57</f>
        <v>2.1680085536860458</v>
      </c>
      <c r="M98" s="1794">
        <f>(M52-(M32*(1-M664)))/M57</f>
        <v>1.7606888290353013</v>
      </c>
      <c r="N98" s="1794">
        <f>(N52-(N32*(1-N664))+(N16-1445))/N57</f>
        <v>1.5049268438339778</v>
      </c>
      <c r="O98" s="1925"/>
      <c r="P98" s="1920"/>
      <c r="Q98" s="1920"/>
      <c r="R98" s="1794">
        <f>(R52-(R32*(1-R664))+(R15*(1-R664)))/R57</f>
        <v>0.49760213794113389</v>
      </c>
      <c r="S98" s="1794">
        <f>S100/S57</f>
        <v>1.109025787965616</v>
      </c>
      <c r="T98" s="1794">
        <f>T100/T57</f>
        <v>2.0807635829662261</v>
      </c>
      <c r="U98" s="1794">
        <f>(U44-(U32*(1-U664)))/U57</f>
        <v>2.5235625546972527</v>
      </c>
      <c r="V98" s="1794">
        <f>(V44-(V32*(1-V664)))/V57</f>
        <v>3.0601676531090476</v>
      </c>
      <c r="W98" s="1794">
        <f>+W100/W57</f>
        <v>2.964349376114082</v>
      </c>
      <c r="X98" s="1794">
        <f>(X44)/X57</f>
        <v>2.7852564102564101</v>
      </c>
      <c r="Y98" s="1794">
        <f>+Y100/Y57</f>
        <v>2.964349376114082</v>
      </c>
      <c r="Z98" s="1794">
        <f>+Z100/Z57</f>
        <v>3.3087934560327197</v>
      </c>
      <c r="AA98" s="2865">
        <f ca="1">+AA100/AA57</f>
        <v>4.1071428571428568</v>
      </c>
      <c r="AB98" s="2865">
        <f ca="1">+AB100/AB57</f>
        <v>4.1071428571428568</v>
      </c>
      <c r="AC98" s="2865">
        <f ca="1">AC100/AC57</f>
        <v>4.3466981503566471</v>
      </c>
      <c r="AD98" s="1794">
        <f ca="1">AD52/AD57</f>
        <v>5.0957125911953502</v>
      </c>
      <c r="AE98" s="1794">
        <f ca="1">AE52/AE57</f>
        <v>5.6934770578983427</v>
      </c>
      <c r="AF98" s="1794">
        <f t="shared" ref="AF98:AM98" ca="1" si="192">AF52/AF57</f>
        <v>6.7817906368453151</v>
      </c>
      <c r="AG98" s="1794">
        <f t="shared" ca="1" si="192"/>
        <v>7.4380004671453053</v>
      </c>
      <c r="AH98" s="2865">
        <f t="shared" ca="1" si="192"/>
        <v>8.474936607653186</v>
      </c>
      <c r="AI98" s="2865">
        <f t="shared" ca="1" si="192"/>
        <v>8.5217852673920493</v>
      </c>
      <c r="AJ98" s="2865">
        <f t="shared" ca="1" si="192"/>
        <v>9.2838030510183103</v>
      </c>
      <c r="AK98" s="1794">
        <f t="shared" ca="1" si="192"/>
        <v>9.8000037234513595</v>
      </c>
      <c r="AL98" s="1794">
        <f t="shared" ca="1" si="192"/>
        <v>10.174218589521463</v>
      </c>
      <c r="AM98" s="1794">
        <f t="shared" ca="1" si="192"/>
        <v>10.543856870012212</v>
      </c>
      <c r="AN98" s="1794">
        <f t="shared" ref="AN98" ca="1" si="193">AN52/AN57</f>
        <v>11.674201714777229</v>
      </c>
      <c r="AO98" s="1794"/>
      <c r="AP98" s="1794"/>
      <c r="AQ98" s="1794"/>
      <c r="AR98" s="1794"/>
      <c r="AS98" s="1794"/>
      <c r="AT98" s="2894"/>
      <c r="AU98" s="2894" t="str">
        <f t="shared" si="146"/>
        <v>Adj. EPS For Consensus</v>
      </c>
      <c r="AV98" s="2894"/>
      <c r="AW98" s="2894"/>
      <c r="AX98" s="2894"/>
      <c r="AY98" s="2894"/>
      <c r="AZ98" s="3230"/>
      <c r="BA98" s="2894"/>
      <c r="BB98" s="2894"/>
      <c r="BC98" s="3111"/>
      <c r="BD98" s="3111"/>
      <c r="BE98" s="3111"/>
      <c r="BF98" s="3111"/>
      <c r="BG98" s="3111"/>
      <c r="BH98" s="3111"/>
      <c r="BI98" s="3230"/>
      <c r="BJ98" s="3230"/>
      <c r="BK98" s="2865">
        <f>(BK52-(BK32*(1-BK664)))/BK57</f>
        <v>0.28004266641503517</v>
      </c>
      <c r="BL98" s="2865">
        <f>(BL52-(BL32*(1-BL664)))/BL57</f>
        <v>0.54255482175412073</v>
      </c>
      <c r="BM98" s="2865">
        <f>(BM52-(BM32*(1-BM664)))/BM57</f>
        <v>0.48153326420220932</v>
      </c>
      <c r="BN98" s="2865">
        <f>(BN52-(BN32*(1-BN664)))/BN57</f>
        <v>0.44807341987142779</v>
      </c>
      <c r="BO98" s="2894"/>
      <c r="BP98" s="2865">
        <f>(BP52-(BP32*(1-BP664)))/BP57</f>
        <v>0.38469614400548641</v>
      </c>
      <c r="BQ98" s="2865">
        <f>(BQ52-(BQ32*(1-BQ664)))/BQ57</f>
        <v>0.49121558850390684</v>
      </c>
      <c r="BR98" s="2865">
        <f>(BR52-(BR32*(1-BR664))+(BR16-1445))/BR57</f>
        <v>0.35774329479425532</v>
      </c>
      <c r="BS98" s="2865">
        <f>(BS52+41.9+49.7)/BS57</f>
        <v>0.30555364269425295</v>
      </c>
      <c r="BT98" s="2894"/>
      <c r="BU98" s="2865">
        <f>(BU52-(BU32*(1-BU664)))/BU57</f>
        <v>-4.6796674398064987E-2</v>
      </c>
      <c r="BV98" s="2865">
        <f>BV100/BV57</f>
        <v>8.4386945016171708E-2</v>
      </c>
      <c r="BW98" s="2865">
        <f>BW100/BW57</f>
        <v>0.24161056759574634</v>
      </c>
      <c r="BX98" s="2865">
        <f>(BX52+(BX15*(1-BX664)))/BX57</f>
        <v>0.21290472761637955</v>
      </c>
      <c r="BY98" s="2894"/>
      <c r="BZ98" s="2865">
        <f>BZ100/BZ57</f>
        <v>4.9559312238115875E-2</v>
      </c>
      <c r="CA98" s="2865">
        <f>CA100/CA123</f>
        <v>0.25266801269108741</v>
      </c>
      <c r="CB98" s="2865">
        <f>CB100/CB123</f>
        <v>0.3531614575831773</v>
      </c>
      <c r="CC98" s="2865">
        <f>CC100/CC57</f>
        <v>0.45759312320916901</v>
      </c>
      <c r="CD98" s="2894"/>
      <c r="CE98" s="2865">
        <f>CE100/CE57</f>
        <v>0.33477633477633478</v>
      </c>
      <c r="CF98" s="2865">
        <f>CF100/CF57</f>
        <v>0.61516034985422741</v>
      </c>
      <c r="CG98" s="2865">
        <f>CG100/CG57</f>
        <v>0.57185185185185183</v>
      </c>
      <c r="CH98" s="2865">
        <f>CH100/CH57</f>
        <v>0.56352765321375187</v>
      </c>
      <c r="CI98" s="2862"/>
      <c r="CJ98" s="2865">
        <f>CJ100/CJ57</f>
        <v>0.59070464767616193</v>
      </c>
      <c r="CK98" s="2865">
        <f>(CK44-(CK32*(1-CK664)))/CK57</f>
        <v>0.6792738275340392</v>
      </c>
      <c r="CL98" s="2865">
        <f>(CL44-(CL32*(1-37%)))/CL57</f>
        <v>0.64451219512195124</v>
      </c>
      <c r="CM98" s="2865">
        <f>(CM44-CM32-8+1)/CM57</f>
        <v>0.63692307692307693</v>
      </c>
      <c r="CN98" s="2862"/>
      <c r="CO98" s="2865">
        <f>(CO44-(CO32*(1-CO664)))/CO57</f>
        <v>0.7288401253918495</v>
      </c>
      <c r="CP98" s="2865">
        <f>(CP44-(CP32*(1-CP664)))/CP57</f>
        <v>0.77403846153846156</v>
      </c>
      <c r="CQ98" s="2865">
        <f>(CQ44-CQ32+7)/CQ57</f>
        <v>0.75889967637540467</v>
      </c>
      <c r="CR98" s="2865">
        <f>(CR44-CR32)/CR57</f>
        <v>0.775609756097561</v>
      </c>
      <c r="CS98" s="2862"/>
      <c r="CT98" s="2865">
        <f>+CT100/CT57</f>
        <v>0.77</v>
      </c>
      <c r="CU98" s="2865">
        <f>+CU100/CU57</f>
        <v>0.71944922547332191</v>
      </c>
      <c r="CV98" s="2865">
        <f>+CV100/CV57</f>
        <v>0.70425138632162665</v>
      </c>
      <c r="CW98" s="2865">
        <f>+CW100/CW57</f>
        <v>0.768642447418738</v>
      </c>
      <c r="CX98" s="2870"/>
      <c r="CY98" s="2865">
        <f>+CY100/CY57</f>
        <v>0.77272727272727271</v>
      </c>
      <c r="CZ98" s="2865">
        <f>+CZ100/CZ57</f>
        <v>0.73737373737373735</v>
      </c>
      <c r="DA98" s="2865">
        <f>+DA100/DA57</f>
        <v>0.8801652892561983</v>
      </c>
      <c r="DB98" s="2865">
        <f>+DB100/DB57</f>
        <v>0.91983122362869196</v>
      </c>
      <c r="DC98" s="2842"/>
      <c r="DD98" s="2865">
        <f ca="1">+DD100/DD57</f>
        <v>1.021551724137931</v>
      </c>
      <c r="DE98" s="2865">
        <f ca="1">+DE100/DE57</f>
        <v>0.9296703296703297</v>
      </c>
      <c r="DF98" s="2865">
        <f ca="1">+DF100/DF57</f>
        <v>1.047085201793722</v>
      </c>
      <c r="DG98" s="2865">
        <f>+DG100/DG57</f>
        <v>1.1095571095571095</v>
      </c>
      <c r="DH98" s="2842"/>
      <c r="DI98" s="2865">
        <f>+DI100/DI57</f>
        <v>1.0600961538461537</v>
      </c>
      <c r="DJ98" s="2865">
        <f>+DJ100/DJ57</f>
        <v>1.0414634146341464</v>
      </c>
      <c r="DK98" s="2865">
        <f>+DK100/DK57</f>
        <v>1.1083743842364533</v>
      </c>
      <c r="DL98" s="2865">
        <f ca="1">+DL100/DL57</f>
        <v>1.1389897387184247</v>
      </c>
      <c r="DM98" s="2876"/>
      <c r="DN98" s="2865">
        <f ca="1">+DN100/DN57</f>
        <v>1.1869217584334362</v>
      </c>
      <c r="DO98" s="2865">
        <f ca="1">+DO100/DO57</f>
        <v>1.175305324459887</v>
      </c>
      <c r="DP98" s="2865">
        <f ca="1">+DP100/DP57</f>
        <v>1.2951149235202495</v>
      </c>
      <c r="DQ98" s="2865">
        <f ca="1">+DQ100/DQ57</f>
        <v>1.4417514691315798</v>
      </c>
      <c r="DR98" s="2026"/>
    </row>
    <row r="99" spans="1:122">
      <c r="A99" s="1887" t="s">
        <v>746</v>
      </c>
      <c r="B99" s="1924"/>
      <c r="C99" s="1924"/>
      <c r="D99" s="1924"/>
      <c r="E99" s="1924"/>
      <c r="F99" s="1924"/>
      <c r="G99" s="1924"/>
      <c r="H99" s="1924"/>
      <c r="I99" s="1794"/>
      <c r="J99" s="1794"/>
      <c r="K99" s="1794"/>
      <c r="L99" s="1794"/>
      <c r="M99" s="1794"/>
      <c r="N99" s="1794"/>
      <c r="O99" s="1925"/>
      <c r="P99" s="1920"/>
      <c r="Q99" s="1920"/>
      <c r="R99" s="1794"/>
      <c r="S99" s="1794"/>
      <c r="T99" s="1794"/>
      <c r="U99" s="1794"/>
      <c r="V99" s="1794"/>
      <c r="W99" s="1737">
        <f>+W98/V98-1</f>
        <v>-3.1311446906386542E-2</v>
      </c>
      <c r="X99" s="1737"/>
      <c r="Y99" s="1737">
        <f>+Y98/X98-1</f>
        <v>6.4300351378128395E-2</v>
      </c>
      <c r="Z99" s="1737">
        <f t="shared" ref="Z99:AN99" si="194">+Z98/Y98-1</f>
        <v>0.11619550741693074</v>
      </c>
      <c r="AA99" s="1737">
        <f t="shared" ca="1" si="194"/>
        <v>0.24128112307963967</v>
      </c>
      <c r="AB99" s="1737"/>
      <c r="AC99" s="1737">
        <f ca="1">+AC98/AA98-1</f>
        <v>5.8326506173792536E-2</v>
      </c>
      <c r="AD99" s="1737">
        <f t="shared" ca="1" si="194"/>
        <v>0.17231802506857918</v>
      </c>
      <c r="AE99" s="1737">
        <f t="shared" ca="1" si="194"/>
        <v>0.11730733553062667</v>
      </c>
      <c r="AF99" s="1737">
        <f t="shared" ca="1" si="194"/>
        <v>0.19115095536166193</v>
      </c>
      <c r="AG99" s="1737">
        <f t="shared" ca="1" si="194"/>
        <v>9.6760555646589363E-2</v>
      </c>
      <c r="AH99" s="2866">
        <f t="shared" ca="1" si="194"/>
        <v>0.13941060438059583</v>
      </c>
      <c r="AI99" s="2866">
        <f t="shared" ca="1" si="194"/>
        <v>5.5279068042299873E-3</v>
      </c>
      <c r="AJ99" s="2866">
        <f t="shared" ca="1" si="194"/>
        <v>8.9419970078577604E-2</v>
      </c>
      <c r="AK99" s="1737">
        <f t="shared" ca="1" si="194"/>
        <v>5.5602286002440549E-2</v>
      </c>
      <c r="AL99" s="1737">
        <f t="shared" ca="1" si="194"/>
        <v>3.8185175907087476E-2</v>
      </c>
      <c r="AM99" s="1737">
        <f t="shared" ca="1" si="194"/>
        <v>3.6330876640634058E-2</v>
      </c>
      <c r="AN99" s="1737">
        <f t="shared" ca="1" si="194"/>
        <v>0.10720411503117355</v>
      </c>
      <c r="AO99" s="1794"/>
      <c r="AP99" s="1794"/>
      <c r="AQ99" s="1794"/>
      <c r="AR99" s="1794"/>
      <c r="AS99" s="1794"/>
      <c r="AT99" s="2894"/>
      <c r="AU99" s="1887" t="s">
        <v>746</v>
      </c>
      <c r="AV99" s="2894"/>
      <c r="AW99" s="2894"/>
      <c r="AX99" s="2894"/>
      <c r="AY99" s="2894"/>
      <c r="AZ99" s="3230"/>
      <c r="BA99" s="2894"/>
      <c r="BB99" s="2894"/>
      <c r="BC99" s="3111"/>
      <c r="BD99" s="3111"/>
      <c r="BE99" s="3111"/>
      <c r="BF99" s="3111"/>
      <c r="BG99" s="3111"/>
      <c r="BH99" s="3111"/>
      <c r="BI99" s="3230"/>
      <c r="BJ99" s="3230"/>
      <c r="BK99" s="2865"/>
      <c r="BL99" s="2865"/>
      <c r="BM99" s="2865"/>
      <c r="BN99" s="2865"/>
      <c r="BO99" s="2894"/>
      <c r="BP99" s="2865"/>
      <c r="BQ99" s="2865"/>
      <c r="BR99" s="2865"/>
      <c r="BS99" s="2865"/>
      <c r="BT99" s="2894"/>
      <c r="BU99" s="2865"/>
      <c r="BV99" s="2865"/>
      <c r="BW99" s="2865"/>
      <c r="BX99" s="2865"/>
      <c r="BY99" s="2894"/>
      <c r="BZ99" s="2865"/>
      <c r="CA99" s="2865"/>
      <c r="CB99" s="2865"/>
      <c r="CC99" s="2865"/>
      <c r="CD99" s="2894"/>
      <c r="CE99" s="2865"/>
      <c r="CF99" s="2865"/>
      <c r="CG99" s="2865"/>
      <c r="CH99" s="2865"/>
      <c r="CI99" s="2862"/>
      <c r="CJ99" s="2865"/>
      <c r="CK99" s="2865"/>
      <c r="CL99" s="2865"/>
      <c r="CM99" s="2865"/>
      <c r="CN99" s="2862"/>
      <c r="CO99" s="2865"/>
      <c r="CP99" s="2865"/>
      <c r="CQ99" s="2865"/>
      <c r="CR99" s="2865"/>
      <c r="CS99" s="2876"/>
      <c r="CT99" s="2876"/>
      <c r="CU99" s="2876"/>
      <c r="CV99" s="2876"/>
      <c r="CW99" s="2876"/>
      <c r="CX99" s="2842"/>
      <c r="CY99" s="3231"/>
      <c r="CZ99" s="3231"/>
      <c r="DA99" s="3231"/>
      <c r="DB99" s="2865"/>
      <c r="DC99" s="2842"/>
      <c r="DD99" s="2865"/>
      <c r="DE99" s="2865"/>
      <c r="DF99" s="2865"/>
      <c r="DG99" s="2865"/>
      <c r="DH99" s="2865"/>
      <c r="DI99" s="1135">
        <f t="shared" ref="DI99:DK99" ca="1" si="195">DI98/DD98-1</f>
        <v>3.7731256085686393E-2</v>
      </c>
      <c r="DJ99" s="1135">
        <f t="shared" ca="1" si="195"/>
        <v>0.12025024505564197</v>
      </c>
      <c r="DK99" s="1135">
        <f t="shared" ca="1" si="195"/>
        <v>5.8533137836098925E-2</v>
      </c>
      <c r="DL99" s="1135">
        <f ca="1">DL98/DG98-1</f>
        <v>2.6526466197908105E-2</v>
      </c>
      <c r="DM99" s="2876"/>
      <c r="DN99" s="1135">
        <f ca="1">+DN98/DI98-1</f>
        <v>0.11963594446328685</v>
      </c>
      <c r="DO99" s="1135">
        <f t="shared" ref="DO99:DQ99" ca="1" si="196">+DO98/DJ98-1</f>
        <v>0.12851330920035986</v>
      </c>
      <c r="DP99" s="1135">
        <f t="shared" ca="1" si="196"/>
        <v>0.16848146433160283</v>
      </c>
      <c r="DQ99" s="1135">
        <f t="shared" ca="1" si="196"/>
        <v>0.26581602987382347</v>
      </c>
      <c r="DR99" s="2026"/>
    </row>
    <row r="100" spans="1:122">
      <c r="A100" s="1470" t="s">
        <v>1695</v>
      </c>
      <c r="B100" s="1661"/>
      <c r="C100" s="1661"/>
      <c r="D100" s="1661"/>
      <c r="E100" s="1661"/>
      <c r="F100" s="1661"/>
      <c r="G100" s="1661"/>
      <c r="H100" s="1661"/>
      <c r="I100" s="1921"/>
      <c r="J100" s="1921"/>
      <c r="K100" s="1926"/>
      <c r="L100" s="1926">
        <f>L98*L57</f>
        <v>1673.26900173489</v>
      </c>
      <c r="M100" s="1926">
        <f>M98*M57</f>
        <v>1271.041265680584</v>
      </c>
      <c r="N100" s="1926">
        <f>N98*N57</f>
        <v>1007.9999999999983</v>
      </c>
      <c r="O100" s="1369"/>
      <c r="P100" s="1110"/>
      <c r="Q100" s="1110"/>
      <c r="R100" s="1926">
        <f>R98*R57</f>
        <v>339.81250000000034</v>
      </c>
      <c r="S100" s="1926">
        <f>SUM(BZ100:CC100)</f>
        <v>774.09999999999991</v>
      </c>
      <c r="T100" s="1926">
        <f>+SUM(CE100:CH100)</f>
        <v>1417</v>
      </c>
      <c r="U100" s="1927">
        <f>+SUM(CJ100:CM100)</f>
        <v>1679.8</v>
      </c>
      <c r="V100" s="1927">
        <f>SUM(CO100:CR100)</f>
        <v>1894</v>
      </c>
      <c r="W100" s="1927">
        <f>SUM(CT100:CW100)</f>
        <v>1663</v>
      </c>
      <c r="X100" s="1926">
        <f t="shared" ref="X100:AH100" si="197">X98*X57</f>
        <v>1738</v>
      </c>
      <c r="Y100" s="1926">
        <f>W100</f>
        <v>1663</v>
      </c>
      <c r="Z100" s="1927">
        <f>SUM(CY100:DB100)</f>
        <v>1618</v>
      </c>
      <c r="AA100" s="1927">
        <f ca="1">SUM(DD100:DG100)</f>
        <v>1840</v>
      </c>
      <c r="AB100" s="1927">
        <f ca="1">AA100</f>
        <v>1840</v>
      </c>
      <c r="AC100" s="1927">
        <f ca="1">SUM(DI100:DL100)</f>
        <v>1770.4814537920097</v>
      </c>
      <c r="AD100" s="1927">
        <f ca="1">SUM(DN100:DQ100)</f>
        <v>1940.818964296868</v>
      </c>
      <c r="AE100" s="1926">
        <f t="shared" ca="1" si="197"/>
        <v>2070.3245421209913</v>
      </c>
      <c r="AF100" s="1926">
        <f t="shared" ca="1" si="197"/>
        <v>2338.663237250717</v>
      </c>
      <c r="AG100" s="1926">
        <f t="shared" ca="1" si="197"/>
        <v>2433.8925616399433</v>
      </c>
      <c r="AH100" s="1926">
        <f t="shared" ca="1" si="197"/>
        <v>2634.0568392057417</v>
      </c>
      <c r="AI100" s="1926">
        <f t="shared" ref="AI100:AN100" ca="1" si="198">AI98*AI57</f>
        <v>2518.3795912014566</v>
      </c>
      <c r="AJ100" s="1926">
        <f t="shared" ca="1" si="198"/>
        <v>2611.6538272837283</v>
      </c>
      <c r="AK100" s="1926">
        <f t="shared" ca="1" si="198"/>
        <v>2627.5599441698942</v>
      </c>
      <c r="AL100" s="1926">
        <f t="shared" ca="1" si="198"/>
        <v>2603.4168520751291</v>
      </c>
      <c r="AM100" s="1926">
        <f t="shared" ca="1" si="198"/>
        <v>2578.5830793826849</v>
      </c>
      <c r="AN100" s="1926">
        <f t="shared" ca="1" si="198"/>
        <v>2732.8423054189966</v>
      </c>
      <c r="AO100" s="1926"/>
      <c r="AP100" s="1926"/>
      <c r="AQ100" s="1926"/>
      <c r="AR100" s="1926"/>
      <c r="AS100" s="1926"/>
      <c r="AT100" s="1108"/>
      <c r="AU100" s="1108" t="str">
        <f t="shared" si="146"/>
        <v>Adj. net income for consensus</v>
      </c>
      <c r="AV100" s="1108"/>
      <c r="AW100" s="1108"/>
      <c r="AX100" s="1108"/>
      <c r="AY100" s="1108"/>
      <c r="AZ100" s="1700"/>
      <c r="BA100" s="1108"/>
      <c r="BB100" s="1108"/>
      <c r="BC100" s="1727"/>
      <c r="BD100" s="1727"/>
      <c r="BE100" s="1727"/>
      <c r="BF100" s="1727"/>
      <c r="BG100" s="1727"/>
      <c r="BH100" s="1727"/>
      <c r="BI100" s="1700"/>
      <c r="BJ100" s="1700"/>
      <c r="BK100" s="1926">
        <f>BK98*BK57</f>
        <v>214.26064407414341</v>
      </c>
      <c r="BL100" s="1926">
        <f>BL98*BL57</f>
        <v>395.73948698745562</v>
      </c>
      <c r="BM100" s="1926">
        <f>BM98*BM57</f>
        <v>344.48889721026052</v>
      </c>
      <c r="BN100" s="1926">
        <f>BN98*BN57</f>
        <v>304.15223740872517</v>
      </c>
      <c r="BO100" s="1108"/>
      <c r="BP100" s="1926">
        <f>BP98*BP57</f>
        <v>259.20826183089673</v>
      </c>
      <c r="BQ100" s="1926">
        <f>BQ98*BQ57</f>
        <v>331.22667132818435</v>
      </c>
      <c r="BR100" s="1926">
        <f>BR98*BR57</f>
        <v>240.0099764774659</v>
      </c>
      <c r="BS100" s="1926">
        <f>BS98*BS57</f>
        <v>206.15704272581249</v>
      </c>
      <c r="BT100" s="1108"/>
      <c r="BU100" s="1926">
        <f>BU98*BU57</f>
        <v>-31.423966858300638</v>
      </c>
      <c r="BV100" s="1926">
        <v>57.4</v>
      </c>
      <c r="BW100" s="1926">
        <f>BW60+(32*0.6)-(28*0.6)-42</f>
        <v>165.52739985984581</v>
      </c>
      <c r="BX100" s="1926">
        <f>BX98*BX57</f>
        <v>146.96813347358679</v>
      </c>
      <c r="BY100" s="1108"/>
      <c r="BZ100" s="1926">
        <v>34.299999999999997</v>
      </c>
      <c r="CA100" s="1926">
        <v>175.2</v>
      </c>
      <c r="CB100" s="1926">
        <v>245.2</v>
      </c>
      <c r="CC100" s="1926">
        <v>319.39999999999998</v>
      </c>
      <c r="CD100" s="1108"/>
      <c r="CE100" s="1926">
        <f>+CE44</f>
        <v>232</v>
      </c>
      <c r="CF100" s="1926">
        <f>+CF44</f>
        <v>422</v>
      </c>
      <c r="CG100" s="1926">
        <f>+CG44</f>
        <v>386</v>
      </c>
      <c r="CH100" s="1926">
        <f>+CH44+26</f>
        <v>377</v>
      </c>
      <c r="CI100" s="2026">
        <f>T100-SUM(CE100:CH100)</f>
        <v>0</v>
      </c>
      <c r="CJ100" s="1926">
        <f>CJ44</f>
        <v>394</v>
      </c>
      <c r="CK100" s="1926">
        <f>CK98*CK57</f>
        <v>448.99999999999989</v>
      </c>
      <c r="CL100" s="1926">
        <f>CL98*CL57</f>
        <v>422.8</v>
      </c>
      <c r="CM100" s="1926">
        <f>CM98*CM57</f>
        <v>414</v>
      </c>
      <c r="CN100" s="2026">
        <f>U100-SUM(CJ100:CM100)</f>
        <v>0</v>
      </c>
      <c r="CO100" s="1926">
        <f>CO98*CO57</f>
        <v>465</v>
      </c>
      <c r="CP100" s="1926">
        <f>CP98*CP57</f>
        <v>483</v>
      </c>
      <c r="CQ100" s="1926">
        <f>CQ98*CQ57</f>
        <v>469.00000000000011</v>
      </c>
      <c r="CR100" s="1926">
        <f>CR98*CR57</f>
        <v>477</v>
      </c>
      <c r="CS100" s="2026">
        <f>V100-SUM(CO100:CR100)</f>
        <v>0</v>
      </c>
      <c r="CT100" s="2080">
        <f>CT52-CT48</f>
        <v>462</v>
      </c>
      <c r="CU100" s="2080">
        <f>CU52-CU48</f>
        <v>418</v>
      </c>
      <c r="CV100" s="2080">
        <f>CV52-CV48+16+74+219</f>
        <v>381</v>
      </c>
      <c r="CW100" s="2080">
        <f>CW52-CW48</f>
        <v>402</v>
      </c>
      <c r="CX100" s="2026">
        <f>$W100-SUM(CT100:CW100)</f>
        <v>0</v>
      </c>
      <c r="CY100" s="2080">
        <f>CY52-CY48-3</f>
        <v>391</v>
      </c>
      <c r="CZ100" s="2080">
        <f>CZ52-CZ48+33</f>
        <v>365</v>
      </c>
      <c r="DA100" s="2080">
        <f>DA52-DA48</f>
        <v>426</v>
      </c>
      <c r="DB100" s="1926">
        <f>DB52-DB48+16+297-128</f>
        <v>436</v>
      </c>
      <c r="DC100" s="2842">
        <f>$Z100-SUM(CY100:DB100)</f>
        <v>0</v>
      </c>
      <c r="DD100" s="3084">
        <f ca="1">DD52-DD48-5+6+ (DD48)</f>
        <v>474</v>
      </c>
      <c r="DE100" s="3084">
        <f ca="1">DE52-DE48 + (DE48)</f>
        <v>423</v>
      </c>
      <c r="DF100" s="3084">
        <f ca="1">DF52-DF48-47 + (DF48) +36</f>
        <v>467</v>
      </c>
      <c r="DG100" s="3084">
        <v>476</v>
      </c>
      <c r="DH100" s="2842">
        <f ca="1">AA100-SUM(DD100:DG100)</f>
        <v>0</v>
      </c>
      <c r="DI100" s="3084">
        <f>DI52-22+715</f>
        <v>441</v>
      </c>
      <c r="DJ100" s="3084">
        <f>DJ52+369</f>
        <v>427</v>
      </c>
      <c r="DK100" s="3084">
        <f>DK52+3-45-100</f>
        <v>450</v>
      </c>
      <c r="DL100" s="3084">
        <f ca="1">DL52</f>
        <v>452.48145379200975</v>
      </c>
      <c r="DM100" s="2026">
        <f ca="1">AC100-SUM(DI100:DL100)</f>
        <v>0</v>
      </c>
      <c r="DN100" s="3084">
        <f ca="1">DN52</f>
        <v>457.40599465910185</v>
      </c>
      <c r="DO100" s="3084">
        <f t="shared" ref="DO100:DQ100" ca="1" si="199">DO52</f>
        <v>449.26964039042838</v>
      </c>
      <c r="DP100" s="3084">
        <f t="shared" ca="1" si="199"/>
        <v>491.26297158096116</v>
      </c>
      <c r="DQ100" s="3084">
        <f t="shared" ca="1" si="199"/>
        <v>542.88035766637654</v>
      </c>
      <c r="DR100" s="2026">
        <f t="shared" ref="DR100" ca="1" si="200">AD100-SUM(DN100:DQ100)</f>
        <v>0</v>
      </c>
    </row>
    <row r="101" spans="1:122">
      <c r="A101" s="134"/>
      <c r="B101" s="135"/>
      <c r="C101" s="135"/>
      <c r="D101" s="135"/>
      <c r="E101" s="135"/>
      <c r="F101" s="135"/>
      <c r="G101" s="135"/>
      <c r="H101" s="135"/>
      <c r="I101" s="135"/>
      <c r="J101" s="136"/>
      <c r="K101" s="136"/>
      <c r="L101" s="135"/>
      <c r="M101" s="135"/>
      <c r="N101" s="1057"/>
      <c r="O101" s="1058"/>
      <c r="P101" s="135"/>
      <c r="Q101" s="135"/>
      <c r="R101" s="1057"/>
      <c r="S101" s="1057"/>
      <c r="T101" s="1057"/>
      <c r="U101" s="1057"/>
      <c r="V101" s="1057"/>
      <c r="W101" s="1057"/>
      <c r="X101" s="1057"/>
      <c r="Y101" s="1057"/>
      <c r="Z101" s="1057"/>
      <c r="AA101" s="1057"/>
      <c r="AB101" s="1057"/>
      <c r="AC101" s="1057"/>
      <c r="AD101" s="1057"/>
      <c r="AE101" s="1057"/>
      <c r="AF101" s="1057"/>
      <c r="AG101" s="1057"/>
      <c r="AH101" s="1057"/>
      <c r="AI101" s="1057"/>
      <c r="AJ101" s="1057"/>
      <c r="AK101" s="1057"/>
      <c r="AL101" s="1057"/>
      <c r="AM101" s="1057"/>
      <c r="AN101" s="1057"/>
      <c r="AO101" s="1057">
        <v>12.746015063323972</v>
      </c>
      <c r="AP101" s="1057">
        <v>0</v>
      </c>
      <c r="AQ101" s="1057">
        <v>0</v>
      </c>
      <c r="AR101" s="1057">
        <v>0</v>
      </c>
      <c r="AS101" s="1057">
        <v>0</v>
      </c>
      <c r="AT101" s="1108"/>
      <c r="AU101" s="1057"/>
      <c r="AV101" s="135"/>
      <c r="AW101" s="135"/>
      <c r="AX101" s="135"/>
      <c r="AY101" s="135"/>
      <c r="AZ101" s="90"/>
      <c r="BA101" s="135"/>
      <c r="BB101" s="135"/>
      <c r="BC101" s="135"/>
      <c r="BD101" s="135"/>
      <c r="BE101" s="38"/>
      <c r="BF101" s="135"/>
      <c r="BG101" s="135"/>
      <c r="BH101" s="135"/>
      <c r="BI101" s="135"/>
      <c r="BJ101" s="135"/>
      <c r="BK101" s="135"/>
      <c r="BL101" s="135"/>
      <c r="BM101" s="135"/>
      <c r="BN101" s="135"/>
      <c r="BO101" s="6"/>
      <c r="BP101" s="135"/>
      <c r="BQ101" s="135"/>
      <c r="BR101" s="135"/>
      <c r="BS101" s="135"/>
      <c r="BT101" s="6"/>
      <c r="BU101" s="135"/>
      <c r="BV101" s="135"/>
      <c r="BW101" s="135"/>
      <c r="BX101" s="135"/>
      <c r="BY101" s="6"/>
      <c r="BZ101" s="135"/>
      <c r="CA101" s="135"/>
      <c r="CB101" s="135"/>
      <c r="CC101" s="135"/>
      <c r="CD101" s="135"/>
      <c r="CE101" s="135"/>
      <c r="CF101" s="135"/>
      <c r="CG101" s="135"/>
      <c r="CH101" s="135"/>
      <c r="CI101" s="6"/>
      <c r="CJ101" s="135"/>
      <c r="CK101" s="135"/>
      <c r="CL101" s="135"/>
      <c r="CM101" s="135"/>
      <c r="CN101" s="6"/>
      <c r="CO101" s="135"/>
      <c r="CP101" s="135"/>
      <c r="CQ101" s="135"/>
      <c r="CR101" s="135"/>
      <c r="CS101" s="11"/>
      <c r="CT101" s="1480"/>
      <c r="CU101" s="1480"/>
      <c r="CV101" s="1480"/>
      <c r="CW101" s="135"/>
      <c r="CX101" s="11"/>
      <c r="CY101" s="1624"/>
      <c r="CZ101" s="1624"/>
      <c r="DA101" s="1624"/>
      <c r="DB101" s="135"/>
      <c r="DC101" s="2862"/>
      <c r="DD101" s="1624"/>
      <c r="DE101" s="1624"/>
      <c r="DF101" s="1624"/>
      <c r="DG101" s="135"/>
      <c r="DH101" s="11"/>
      <c r="DI101" s="1624"/>
      <c r="DJ101" s="1624"/>
      <c r="DK101" s="1624"/>
      <c r="DL101" s="135"/>
      <c r="DM101" s="11"/>
      <c r="DN101" s="1624"/>
      <c r="DO101" s="1624"/>
      <c r="DP101" s="1624"/>
      <c r="DQ101" s="135"/>
      <c r="DR101" s="11"/>
    </row>
    <row r="102" spans="1:122" ht="15">
      <c r="A102" s="1697" t="str">
        <f>A1</f>
        <v>CBS</v>
      </c>
      <c r="B102" s="2678"/>
      <c r="C102" s="2678"/>
      <c r="D102" s="2678"/>
      <c r="E102" s="2678"/>
      <c r="F102" s="2678"/>
      <c r="G102" s="2678"/>
      <c r="H102" s="2678"/>
      <c r="I102" s="2678"/>
      <c r="J102" s="2677"/>
      <c r="K102" s="2677"/>
      <c r="L102" s="2678"/>
      <c r="M102" s="2678"/>
      <c r="N102" s="2678"/>
      <c r="O102" s="2678"/>
      <c r="P102" s="2678"/>
      <c r="Q102" s="2678"/>
      <c r="R102" s="2678"/>
      <c r="S102" s="2678"/>
      <c r="T102" s="2678"/>
      <c r="U102" s="2678"/>
      <c r="V102" s="2678"/>
      <c r="W102" s="2678"/>
      <c r="X102" s="2678"/>
      <c r="Y102" s="2678"/>
      <c r="Z102" s="2678"/>
      <c r="AA102" s="1577"/>
      <c r="AB102" s="1577"/>
      <c r="AC102" s="1577"/>
      <c r="AD102" s="1577"/>
      <c r="AE102" s="1577"/>
      <c r="AF102" s="1577"/>
      <c r="AG102" s="1577"/>
      <c r="AH102" s="1577"/>
      <c r="AI102" s="1577"/>
      <c r="AJ102" s="1577"/>
      <c r="AK102" s="1577"/>
      <c r="AM102" s="1577"/>
      <c r="AN102" s="1577"/>
      <c r="AO102" s="1926"/>
      <c r="AP102" s="1926"/>
      <c r="AQ102" s="1926"/>
      <c r="AR102" s="1926"/>
      <c r="AS102" s="1926"/>
      <c r="AT102" s="2678"/>
      <c r="AU102" s="1108"/>
      <c r="AV102" s="1110"/>
      <c r="AW102" s="1110"/>
      <c r="AX102" s="1110"/>
      <c r="AY102" s="1110"/>
      <c r="AZ102" s="1700"/>
      <c r="BA102" s="1110"/>
      <c r="BB102" s="1110"/>
      <c r="BC102" s="1110"/>
      <c r="BD102" s="1110"/>
      <c r="BE102" s="1110"/>
      <c r="BF102" s="1110"/>
      <c r="BG102" s="1110"/>
      <c r="BH102" s="1110"/>
      <c r="BI102" s="1700"/>
      <c r="BJ102" s="1700"/>
      <c r="BK102" s="1700"/>
      <c r="BL102" s="1700"/>
      <c r="BM102" s="1700"/>
      <c r="BN102" s="1700"/>
      <c r="BO102" s="1108"/>
      <c r="BP102" s="1700"/>
      <c r="BQ102" s="1700"/>
      <c r="BR102" s="1700"/>
      <c r="BS102" s="1700"/>
      <c r="BT102" s="1108"/>
      <c r="BU102" s="1108"/>
      <c r="BV102" s="1108"/>
      <c r="BW102" s="1108"/>
      <c r="BX102" s="1108"/>
      <c r="BY102" s="1108"/>
      <c r="BZ102" s="1108"/>
      <c r="CA102" s="1108"/>
      <c r="CB102" s="1108"/>
      <c r="CC102" s="1108"/>
      <c r="CD102" s="1108"/>
      <c r="CE102" s="1108"/>
      <c r="CF102" s="1108"/>
      <c r="CG102" s="1108"/>
      <c r="CH102" s="1108"/>
      <c r="CI102" s="1108"/>
      <c r="CJ102" s="1108"/>
      <c r="CK102" s="1108"/>
      <c r="CL102" s="1108"/>
      <c r="CM102" s="1108"/>
      <c r="CN102" s="1108"/>
      <c r="CO102" s="1108"/>
      <c r="CP102" s="1108"/>
      <c r="CQ102" s="1108"/>
      <c r="CR102" s="1108"/>
      <c r="CS102" s="1108"/>
      <c r="CT102" s="1470"/>
      <c r="CU102" s="1470"/>
      <c r="CV102" s="1470"/>
      <c r="CW102" s="1108"/>
      <c r="CX102" s="1108"/>
      <c r="CY102" s="1470"/>
      <c r="CZ102" s="1470"/>
      <c r="DA102" s="1470"/>
      <c r="DB102" s="1108"/>
      <c r="DC102" s="2862"/>
      <c r="DD102" s="1108"/>
      <c r="DE102" s="1108"/>
      <c r="DF102" s="1108"/>
      <c r="DG102" s="1108"/>
      <c r="DH102" s="1108"/>
      <c r="DI102" s="1108"/>
      <c r="DJ102" s="1108"/>
      <c r="DK102" s="1108"/>
      <c r="DL102" s="1108"/>
      <c r="DM102" s="1108"/>
      <c r="DN102" s="1108"/>
      <c r="DO102" s="1108"/>
      <c r="DP102" s="1108"/>
      <c r="DQ102" s="1108"/>
      <c r="DR102" s="1108"/>
    </row>
    <row r="103" spans="1:122">
      <c r="A103" s="137" t="s">
        <v>501</v>
      </c>
      <c r="B103" s="102"/>
      <c r="C103" s="102"/>
      <c r="D103" s="102"/>
      <c r="E103" s="102"/>
      <c r="F103" s="102"/>
      <c r="G103" s="102"/>
      <c r="H103" s="102">
        <f t="shared" ref="H103:W103" si="201">H4</f>
        <v>2002</v>
      </c>
      <c r="I103" s="102">
        <f t="shared" si="201"/>
        <v>2003</v>
      </c>
      <c r="J103" s="102">
        <f t="shared" si="201"/>
        <v>2004</v>
      </c>
      <c r="K103" s="138">
        <f t="shared" si="201"/>
        <v>2005</v>
      </c>
      <c r="L103" s="102">
        <f t="shared" si="201"/>
        <v>2006</v>
      </c>
      <c r="M103" s="102">
        <f t="shared" si="201"/>
        <v>2007</v>
      </c>
      <c r="N103" s="102">
        <f t="shared" si="201"/>
        <v>2008</v>
      </c>
      <c r="O103" s="919"/>
      <c r="P103" s="102"/>
      <c r="Q103" s="102"/>
      <c r="R103" s="102">
        <f t="shared" si="201"/>
        <v>2009</v>
      </c>
      <c r="S103" s="102">
        <f t="shared" si="201"/>
        <v>2010</v>
      </c>
      <c r="T103" s="102">
        <f t="shared" si="201"/>
        <v>2011</v>
      </c>
      <c r="U103" s="102">
        <f t="shared" si="201"/>
        <v>2012</v>
      </c>
      <c r="V103" s="102">
        <f t="shared" si="201"/>
        <v>2013</v>
      </c>
      <c r="W103" s="102">
        <f t="shared" si="201"/>
        <v>2014</v>
      </c>
      <c r="X103" s="102"/>
      <c r="Y103" s="102"/>
      <c r="Z103" s="102">
        <f t="shared" ref="Z103:AF103" si="202">Z4</f>
        <v>2015</v>
      </c>
      <c r="AA103" s="102">
        <f t="shared" si="202"/>
        <v>2016</v>
      </c>
      <c r="AB103" s="102"/>
      <c r="AC103" s="102" t="str">
        <f t="shared" si="202"/>
        <v>2017E</v>
      </c>
      <c r="AD103" s="102" t="str">
        <f t="shared" si="202"/>
        <v>2018E</v>
      </c>
      <c r="AE103" s="102" t="str">
        <f t="shared" si="202"/>
        <v>2019E</v>
      </c>
      <c r="AF103" s="102" t="str">
        <f t="shared" si="202"/>
        <v>2020E</v>
      </c>
      <c r="AG103" s="138" t="str">
        <f t="shared" ref="AG103:AL103" si="203">AG4</f>
        <v>2021E</v>
      </c>
      <c r="AH103" s="138" t="str">
        <f t="shared" si="203"/>
        <v>2022E</v>
      </c>
      <c r="AI103" s="138" t="str">
        <f t="shared" si="203"/>
        <v>2023E</v>
      </c>
      <c r="AJ103" s="138" t="str">
        <f t="shared" si="203"/>
        <v>2024E</v>
      </c>
      <c r="AK103" s="138" t="str">
        <f t="shared" si="203"/>
        <v>2025E</v>
      </c>
      <c r="AL103" s="1706" t="str">
        <f t="shared" si="203"/>
        <v>2026E</v>
      </c>
      <c r="AM103" s="1706" t="str">
        <f>AM4</f>
        <v>2027E</v>
      </c>
      <c r="AN103" s="1706" t="str">
        <f>AN4</f>
        <v>2028E</v>
      </c>
      <c r="AO103" s="1926"/>
      <c r="AP103" s="1926"/>
      <c r="AQ103" s="1926"/>
      <c r="AR103" s="1926"/>
      <c r="AS103" s="1926"/>
      <c r="AT103" s="86"/>
      <c r="AU103" s="11"/>
      <c r="AV103" s="38"/>
      <c r="AW103" s="38"/>
      <c r="AX103" s="38"/>
      <c r="AY103" s="38"/>
      <c r="AZ103" s="90"/>
      <c r="BA103" s="38"/>
      <c r="BB103" s="38"/>
      <c r="BC103" s="38"/>
      <c r="BD103" s="38"/>
      <c r="BE103" s="38"/>
      <c r="BF103" s="39"/>
      <c r="BG103" s="39"/>
      <c r="BH103" s="39"/>
      <c r="BI103" s="90"/>
      <c r="BJ103" s="90"/>
      <c r="BK103" s="90"/>
      <c r="BL103" s="90"/>
      <c r="BM103" s="90"/>
      <c r="BN103" s="90"/>
      <c r="BO103" s="6"/>
      <c r="BP103" s="90"/>
      <c r="BQ103" s="90"/>
      <c r="BR103" s="90"/>
      <c r="BS103" s="90"/>
      <c r="BT103" s="6"/>
      <c r="BU103" s="6"/>
      <c r="BV103" s="6"/>
      <c r="BW103" s="6"/>
      <c r="BX103" s="6"/>
      <c r="BY103" s="6"/>
      <c r="BZ103" s="6"/>
      <c r="CA103" s="6"/>
      <c r="CB103" s="6"/>
      <c r="CC103" s="6"/>
      <c r="CD103" s="6"/>
      <c r="CE103" s="52"/>
      <c r="CF103" s="52"/>
      <c r="CG103" s="52"/>
      <c r="CH103" s="38"/>
      <c r="CI103" s="6"/>
      <c r="CJ103" s="52"/>
      <c r="CK103" s="52"/>
      <c r="CL103" s="52"/>
      <c r="CM103" s="38"/>
      <c r="CN103" s="6"/>
      <c r="CO103" s="88"/>
      <c r="CP103" s="88"/>
      <c r="CQ103" s="88"/>
      <c r="CR103" s="39"/>
      <c r="CS103" s="11"/>
      <c r="CT103" s="939"/>
      <c r="CU103" s="939"/>
      <c r="CV103" s="939"/>
      <c r="CW103" s="39"/>
      <c r="CX103" s="11"/>
      <c r="CY103" s="1621"/>
      <c r="CZ103" s="1621"/>
      <c r="DA103" s="1621"/>
      <c r="DB103" s="39"/>
      <c r="DC103" s="2862"/>
      <c r="DD103" s="11"/>
      <c r="DE103" s="11"/>
      <c r="DF103" s="11"/>
      <c r="DG103" s="11"/>
      <c r="DH103" s="11"/>
      <c r="DI103" s="11"/>
      <c r="DJ103" s="11"/>
      <c r="DK103" s="11"/>
      <c r="DL103" s="11"/>
      <c r="DM103" s="11"/>
      <c r="DN103" s="11"/>
      <c r="DO103" s="11"/>
      <c r="DP103" s="11"/>
      <c r="DQ103" s="11"/>
      <c r="DR103" s="11"/>
    </row>
    <row r="104" spans="1:122">
      <c r="A104" s="139"/>
      <c r="B104" s="139"/>
      <c r="C104" s="139"/>
      <c r="D104" s="139"/>
      <c r="E104" s="139"/>
      <c r="F104" s="139"/>
      <c r="G104" s="139"/>
      <c r="H104" s="38"/>
      <c r="I104" s="38"/>
      <c r="J104" s="140"/>
      <c r="K104" s="140"/>
      <c r="L104" s="38"/>
      <c r="M104" s="38"/>
      <c r="N104" s="38"/>
      <c r="O104" s="919"/>
      <c r="P104" s="38"/>
      <c r="Q104" s="38"/>
      <c r="R104" s="38"/>
      <c r="S104" s="38"/>
      <c r="T104" s="38"/>
      <c r="U104" s="38"/>
      <c r="V104" s="38"/>
      <c r="W104" s="38"/>
      <c r="X104" s="38"/>
      <c r="Y104" s="38"/>
      <c r="Z104" s="38"/>
      <c r="AA104" s="38"/>
      <c r="AB104" s="38"/>
      <c r="AC104" s="38"/>
      <c r="AD104" s="38"/>
      <c r="AE104" s="38"/>
      <c r="AF104" s="38"/>
      <c r="AG104" s="39"/>
      <c r="AH104" s="39"/>
      <c r="AI104" s="39"/>
      <c r="AJ104" s="39"/>
      <c r="AK104" s="39"/>
      <c r="AL104" s="1110"/>
      <c r="AM104" s="1110"/>
      <c r="AN104" s="1110"/>
      <c r="AO104" s="1926"/>
      <c r="AP104" s="38"/>
      <c r="AQ104" s="38"/>
      <c r="AR104" s="38"/>
      <c r="AS104" s="38"/>
      <c r="AT104" s="38"/>
      <c r="AU104" s="11"/>
      <c r="AV104" s="38"/>
      <c r="AW104" s="38"/>
      <c r="AX104" s="38"/>
      <c r="AY104" s="38"/>
      <c r="AZ104" s="90"/>
      <c r="BA104" s="38"/>
      <c r="BB104" s="38"/>
      <c r="BC104" s="38"/>
      <c r="BD104" s="38"/>
      <c r="BE104" s="38"/>
      <c r="BF104" s="39"/>
      <c r="BG104" s="39"/>
      <c r="BH104" s="39"/>
      <c r="BI104" s="90"/>
      <c r="BJ104" s="90"/>
      <c r="BK104" s="90"/>
      <c r="BL104" s="90"/>
      <c r="BM104" s="90"/>
      <c r="BN104" s="90"/>
      <c r="BO104" s="6"/>
      <c r="BP104" s="90"/>
      <c r="BQ104" s="90"/>
      <c r="BR104" s="90"/>
      <c r="BS104" s="90"/>
      <c r="BT104" s="6"/>
      <c r="BU104" s="6"/>
      <c r="BV104" s="6"/>
      <c r="BW104" s="6"/>
      <c r="BX104" s="6"/>
      <c r="BY104" s="6"/>
      <c r="BZ104" s="6"/>
      <c r="CA104" s="6"/>
      <c r="CB104" s="6"/>
      <c r="CC104" s="6"/>
      <c r="CD104" s="6"/>
      <c r="CE104" s="52"/>
      <c r="CF104" s="52"/>
      <c r="CG104" s="52"/>
      <c r="CH104" s="52"/>
      <c r="CI104" s="6"/>
      <c r="CJ104" s="52"/>
      <c r="CK104" s="52"/>
      <c r="CL104" s="52"/>
      <c r="CM104" s="52"/>
      <c r="CN104" s="6"/>
      <c r="CO104" s="88"/>
      <c r="CP104" s="88"/>
      <c r="CQ104" s="88"/>
      <c r="CR104" s="88"/>
      <c r="CS104" s="11"/>
      <c r="CT104" s="939"/>
      <c r="CU104" s="939"/>
      <c r="CV104" s="939"/>
      <c r="CW104" s="88"/>
      <c r="CX104" s="11"/>
      <c r="CY104" s="1621"/>
      <c r="CZ104" s="1621"/>
      <c r="DA104" s="1621"/>
      <c r="DB104" s="88"/>
      <c r="DC104" s="2862"/>
      <c r="DD104" s="2862"/>
      <c r="DE104" s="2862"/>
      <c r="DF104" s="2862"/>
      <c r="DG104" s="2862"/>
      <c r="DH104" s="2862"/>
      <c r="DI104" s="2862"/>
      <c r="DJ104" s="2862"/>
      <c r="DK104" s="2862"/>
      <c r="DL104" s="2862"/>
      <c r="DM104" s="11"/>
      <c r="DN104" s="11"/>
      <c r="DO104" s="11"/>
      <c r="DP104" s="11"/>
      <c r="DQ104" s="11"/>
      <c r="DR104" s="11"/>
    </row>
    <row r="105" spans="1:122">
      <c r="A105" s="69" t="s">
        <v>252</v>
      </c>
      <c r="B105" s="139"/>
      <c r="C105" s="139"/>
      <c r="D105" s="139"/>
      <c r="E105" s="139"/>
      <c r="F105" s="139"/>
      <c r="G105" s="139"/>
      <c r="H105" s="64">
        <f>(138.8-1.4)/2</f>
        <v>68.7</v>
      </c>
      <c r="I105" s="64">
        <v>68.7</v>
      </c>
      <c r="J105" s="64">
        <v>66.8</v>
      </c>
      <c r="K105" s="64">
        <v>66.7</v>
      </c>
      <c r="L105" s="64">
        <v>65.7</v>
      </c>
      <c r="M105" s="64">
        <v>61.5</v>
      </c>
      <c r="N105" s="49">
        <f>M109</f>
        <v>59.5</v>
      </c>
      <c r="O105" s="919"/>
      <c r="P105" s="49"/>
      <c r="Q105" s="49"/>
      <c r="R105" s="49">
        <f>N109</f>
        <v>57.7</v>
      </c>
      <c r="S105" s="49">
        <f>R109</f>
        <v>51.8</v>
      </c>
      <c r="T105" s="49">
        <f>S109</f>
        <v>43.7</v>
      </c>
      <c r="U105" s="49">
        <f>T109</f>
        <v>44</v>
      </c>
      <c r="V105" s="49">
        <f>U109</f>
        <v>43</v>
      </c>
      <c r="W105" s="49">
        <f>V109</f>
        <v>39</v>
      </c>
      <c r="X105" s="49"/>
      <c r="Y105" s="49"/>
      <c r="Z105" s="49">
        <f>W109</f>
        <v>38</v>
      </c>
      <c r="AA105" s="49">
        <f t="shared" ref="AA105:AN105" si="204">Z109</f>
        <v>38</v>
      </c>
      <c r="AB105" s="49"/>
      <c r="AC105" s="49">
        <f>AA109</f>
        <v>38</v>
      </c>
      <c r="AD105" s="49">
        <f t="shared" si="204"/>
        <v>38</v>
      </c>
      <c r="AE105" s="49">
        <f t="shared" si="204"/>
        <v>38</v>
      </c>
      <c r="AF105" s="49">
        <f t="shared" si="204"/>
        <v>38</v>
      </c>
      <c r="AG105" s="49">
        <f t="shared" si="204"/>
        <v>38</v>
      </c>
      <c r="AH105" s="49">
        <f t="shared" si="204"/>
        <v>38</v>
      </c>
      <c r="AI105" s="49">
        <f t="shared" si="204"/>
        <v>38</v>
      </c>
      <c r="AJ105" s="49">
        <f t="shared" si="204"/>
        <v>38</v>
      </c>
      <c r="AK105" s="49">
        <f t="shared" si="204"/>
        <v>38</v>
      </c>
      <c r="AL105" s="1366">
        <f t="shared" si="204"/>
        <v>38</v>
      </c>
      <c r="AM105" s="1366">
        <f t="shared" si="204"/>
        <v>38</v>
      </c>
      <c r="AN105" s="1366">
        <f t="shared" si="204"/>
        <v>38</v>
      </c>
      <c r="AO105" s="1926"/>
      <c r="AP105" s="49"/>
      <c r="AQ105" s="49"/>
      <c r="AR105" s="49"/>
      <c r="AS105" s="49"/>
      <c r="AT105" s="49"/>
      <c r="AU105" s="11"/>
      <c r="AV105" s="38"/>
      <c r="AW105" s="38"/>
      <c r="AX105" s="38"/>
      <c r="AY105" s="38"/>
      <c r="AZ105" s="90"/>
      <c r="BA105" s="38"/>
      <c r="BB105" s="38"/>
      <c r="BC105" s="38"/>
      <c r="BD105" s="38"/>
      <c r="BE105" s="38"/>
      <c r="BF105" s="111">
        <f t="shared" ref="BF105:BI108" si="205">$L105</f>
        <v>65.7</v>
      </c>
      <c r="BG105" s="111">
        <f t="shared" si="205"/>
        <v>65.7</v>
      </c>
      <c r="BH105" s="111">
        <f t="shared" si="205"/>
        <v>65.7</v>
      </c>
      <c r="BI105" s="110">
        <f t="shared" si="205"/>
        <v>65.7</v>
      </c>
      <c r="BJ105" s="141"/>
      <c r="BK105" s="111">
        <f>$M105</f>
        <v>61.5</v>
      </c>
      <c r="BL105" s="111">
        <f>BK109</f>
        <v>61.2</v>
      </c>
      <c r="BM105" s="111">
        <f>BL109</f>
        <v>60.2</v>
      </c>
      <c r="BN105" s="111">
        <f>BM109</f>
        <v>59.582000000000001</v>
      </c>
      <c r="BO105" s="6"/>
      <c r="BP105" s="111">
        <f>$N105</f>
        <v>59.5</v>
      </c>
      <c r="BQ105" s="111">
        <f>BP109</f>
        <v>58.6</v>
      </c>
      <c r="BR105" s="111">
        <f>BQ109</f>
        <v>58.4</v>
      </c>
      <c r="BS105" s="111">
        <f>BR109</f>
        <v>58.199999999999996</v>
      </c>
      <c r="BT105" s="6"/>
      <c r="BU105" s="14">
        <f>BS109</f>
        <v>45.7</v>
      </c>
      <c r="BV105" s="11">
        <f>BU109</f>
        <v>57.7</v>
      </c>
      <c r="BW105" s="11">
        <f>BV109</f>
        <v>57.7</v>
      </c>
      <c r="BX105" s="11">
        <f>BW109</f>
        <v>57.7</v>
      </c>
      <c r="BY105" s="6"/>
      <c r="BZ105" s="13">
        <f>BX109</f>
        <v>51.8</v>
      </c>
      <c r="CA105" s="13">
        <f>BZ109</f>
        <v>51.4</v>
      </c>
      <c r="CB105" s="13">
        <f>CA109</f>
        <v>51.4</v>
      </c>
      <c r="CC105" s="13">
        <f>CB109</f>
        <v>49.9</v>
      </c>
      <c r="CD105" s="6"/>
      <c r="CE105" s="13">
        <f>CC109</f>
        <v>43.7</v>
      </c>
      <c r="CF105" s="13">
        <f>CE109</f>
        <v>43.7</v>
      </c>
      <c r="CG105" s="13">
        <f>CF109</f>
        <v>43.7</v>
      </c>
      <c r="CH105" s="13">
        <f>CG109</f>
        <v>43.7</v>
      </c>
      <c r="CI105" s="6"/>
      <c r="CJ105" s="13">
        <f>CH109</f>
        <v>44</v>
      </c>
      <c r="CK105" s="13">
        <f>CJ109</f>
        <v>44</v>
      </c>
      <c r="CL105" s="13">
        <f>CK109</f>
        <v>44</v>
      </c>
      <c r="CM105" s="13">
        <f>CL109</f>
        <v>44</v>
      </c>
      <c r="CN105" s="6"/>
      <c r="CO105" s="14">
        <f>CM109</f>
        <v>43</v>
      </c>
      <c r="CP105" s="14">
        <f>CO109</f>
        <v>42</v>
      </c>
      <c r="CQ105" s="14">
        <f>CP109</f>
        <v>39</v>
      </c>
      <c r="CR105" s="14">
        <f>CQ109</f>
        <v>39</v>
      </c>
      <c r="CS105" s="11"/>
      <c r="CT105" s="1328">
        <f>CR109</f>
        <v>39</v>
      </c>
      <c r="CU105" s="1328">
        <f>CT109</f>
        <v>39</v>
      </c>
      <c r="CV105" s="1328">
        <f>CU109</f>
        <v>39</v>
      </c>
      <c r="CW105" s="14">
        <f>CV109</f>
        <v>38</v>
      </c>
      <c r="CX105" s="11"/>
      <c r="CY105" s="1328">
        <f>CW109</f>
        <v>38</v>
      </c>
      <c r="CZ105" s="1328">
        <f>CY109</f>
        <v>38</v>
      </c>
      <c r="DA105" s="1328">
        <f>CZ109</f>
        <v>38</v>
      </c>
      <c r="DB105" s="1328">
        <f>DA109</f>
        <v>38</v>
      </c>
      <c r="DC105" s="2862"/>
      <c r="DD105" s="2806">
        <f>DB109</f>
        <v>38</v>
      </c>
      <c r="DE105" s="2806">
        <f>DD109</f>
        <v>38</v>
      </c>
      <c r="DF105" s="2806">
        <f>DE109</f>
        <v>38</v>
      </c>
      <c r="DG105" s="2806">
        <f>DF109</f>
        <v>38</v>
      </c>
      <c r="DH105" s="2862"/>
      <c r="DI105" s="3292">
        <f>DG109</f>
        <v>38</v>
      </c>
      <c r="DJ105" s="3292">
        <f>DI109</f>
        <v>38</v>
      </c>
      <c r="DK105" s="3292">
        <f>DJ109</f>
        <v>38</v>
      </c>
      <c r="DL105" s="3292">
        <f>DK109</f>
        <v>38</v>
      </c>
      <c r="DM105" s="11"/>
      <c r="DN105" s="3292">
        <f>DL109</f>
        <v>38</v>
      </c>
      <c r="DO105" s="3292">
        <f>DN109</f>
        <v>38</v>
      </c>
      <c r="DP105" s="3292">
        <f>DO109</f>
        <v>38</v>
      </c>
      <c r="DQ105" s="3292">
        <f>DP109</f>
        <v>38</v>
      </c>
      <c r="DR105" s="11"/>
    </row>
    <row r="106" spans="1:122">
      <c r="A106" s="938" t="s">
        <v>390</v>
      </c>
      <c r="B106" s="139"/>
      <c r="C106" s="139"/>
      <c r="D106" s="139"/>
      <c r="E106" s="139"/>
      <c r="F106" s="139"/>
      <c r="G106" s="139"/>
      <c r="H106" s="112">
        <v>0</v>
      </c>
      <c r="I106" s="113">
        <v>0</v>
      </c>
      <c r="J106" s="113">
        <v>0</v>
      </c>
      <c r="K106" s="113">
        <v>0</v>
      </c>
      <c r="L106" s="112">
        <v>0</v>
      </c>
      <c r="M106" s="112">
        <v>0</v>
      </c>
      <c r="N106" s="112">
        <v>0</v>
      </c>
      <c r="O106" s="919"/>
      <c r="P106" s="112"/>
      <c r="Q106" s="112"/>
      <c r="R106" s="112">
        <v>0</v>
      </c>
      <c r="S106" s="112">
        <v>0</v>
      </c>
      <c r="T106" s="112">
        <v>0</v>
      </c>
      <c r="U106" s="112">
        <f>SUM(CJ106:CM106)</f>
        <v>0</v>
      </c>
      <c r="V106" s="112">
        <f>SUM(CO106:CR106)</f>
        <v>0</v>
      </c>
      <c r="W106" s="112">
        <v>0</v>
      </c>
      <c r="X106" s="112"/>
      <c r="Y106" s="112"/>
      <c r="Z106" s="112">
        <v>0</v>
      </c>
      <c r="AA106" s="112">
        <v>0</v>
      </c>
      <c r="AB106" s="112"/>
      <c r="AC106" s="112">
        <v>0</v>
      </c>
      <c r="AD106" s="112">
        <v>0</v>
      </c>
      <c r="AE106" s="112">
        <v>0</v>
      </c>
      <c r="AF106" s="112">
        <v>0</v>
      </c>
      <c r="AG106" s="113">
        <v>0</v>
      </c>
      <c r="AH106" s="113">
        <v>0</v>
      </c>
      <c r="AI106" s="113">
        <v>0</v>
      </c>
      <c r="AJ106" s="113">
        <v>0</v>
      </c>
      <c r="AK106" s="113">
        <v>0</v>
      </c>
      <c r="AL106" s="1664">
        <v>0</v>
      </c>
      <c r="AM106" s="1664">
        <v>0</v>
      </c>
      <c r="AN106" s="1664">
        <v>0</v>
      </c>
      <c r="AO106" s="1926"/>
      <c r="AP106" s="112"/>
      <c r="AQ106" s="112"/>
      <c r="AR106" s="112"/>
      <c r="AS106" s="112"/>
      <c r="AT106" s="112"/>
      <c r="AU106" s="11"/>
      <c r="AV106" s="38"/>
      <c r="AW106" s="38"/>
      <c r="AX106" s="38"/>
      <c r="AY106" s="38"/>
      <c r="AZ106" s="90"/>
      <c r="BA106" s="38"/>
      <c r="BB106" s="38"/>
      <c r="BC106" s="38"/>
      <c r="BD106" s="38"/>
      <c r="BE106" s="38"/>
      <c r="BF106" s="111">
        <f t="shared" si="205"/>
        <v>0</v>
      </c>
      <c r="BG106" s="111">
        <f t="shared" si="205"/>
        <v>0</v>
      </c>
      <c r="BH106" s="111">
        <f t="shared" si="205"/>
        <v>0</v>
      </c>
      <c r="BI106" s="110">
        <f t="shared" si="205"/>
        <v>0</v>
      </c>
      <c r="BJ106" s="141"/>
      <c r="BK106" s="111">
        <f>$M106</f>
        <v>0</v>
      </c>
      <c r="BL106" s="111">
        <f t="shared" ref="BL106:BN107" si="206">$M106</f>
        <v>0</v>
      </c>
      <c r="BM106" s="111">
        <f t="shared" si="206"/>
        <v>0</v>
      </c>
      <c r="BN106" s="111">
        <f t="shared" si="206"/>
        <v>0</v>
      </c>
      <c r="BO106" s="6"/>
      <c r="BP106" s="111">
        <f t="shared" ref="BP106:BR107" si="207">$M106</f>
        <v>0</v>
      </c>
      <c r="BQ106" s="111">
        <f t="shared" si="207"/>
        <v>0</v>
      </c>
      <c r="BR106" s="111">
        <f t="shared" si="207"/>
        <v>0</v>
      </c>
      <c r="BS106" s="111">
        <f>$N106</f>
        <v>0</v>
      </c>
      <c r="BT106" s="6"/>
      <c r="BU106" s="111">
        <f>$M106</f>
        <v>0</v>
      </c>
      <c r="BV106" s="111">
        <f>$M106</f>
        <v>0</v>
      </c>
      <c r="BW106" s="111">
        <f>$M106</f>
        <v>0</v>
      </c>
      <c r="BX106" s="111">
        <f>$N106</f>
        <v>0</v>
      </c>
      <c r="BY106" s="6"/>
      <c r="BZ106" s="111">
        <f>$M106</f>
        <v>0</v>
      </c>
      <c r="CA106" s="111">
        <f>$M106</f>
        <v>0</v>
      </c>
      <c r="CB106" s="111">
        <f>$M106</f>
        <v>0</v>
      </c>
      <c r="CC106" s="111">
        <f>$N106</f>
        <v>0</v>
      </c>
      <c r="CD106" s="6"/>
      <c r="CE106" s="111">
        <f>$M106</f>
        <v>0</v>
      </c>
      <c r="CF106" s="111">
        <f>$M106</f>
        <v>0</v>
      </c>
      <c r="CG106" s="111">
        <f>$M106</f>
        <v>0</v>
      </c>
      <c r="CH106" s="111">
        <f>$N106</f>
        <v>0</v>
      </c>
      <c r="CI106" s="6"/>
      <c r="CJ106" s="111">
        <f>$M106</f>
        <v>0</v>
      </c>
      <c r="CK106" s="111">
        <f>$M106</f>
        <v>0</v>
      </c>
      <c r="CL106" s="111">
        <f>$M106</f>
        <v>0</v>
      </c>
      <c r="CM106" s="111">
        <f>$N106</f>
        <v>0</v>
      </c>
      <c r="CN106" s="6"/>
      <c r="CO106" s="111">
        <f>$M106</f>
        <v>0</v>
      </c>
      <c r="CP106" s="111">
        <f>$M106</f>
        <v>0</v>
      </c>
      <c r="CQ106" s="111">
        <f>$M106</f>
        <v>0</v>
      </c>
      <c r="CR106" s="111">
        <f>$N106</f>
        <v>0</v>
      </c>
      <c r="CS106" s="11"/>
      <c r="CT106" s="1479">
        <f>$W106</f>
        <v>0</v>
      </c>
      <c r="CU106" s="1479">
        <f t="shared" ref="CU106:CW107" si="208">$W106</f>
        <v>0</v>
      </c>
      <c r="CV106" s="1479">
        <f t="shared" si="208"/>
        <v>0</v>
      </c>
      <c r="CW106" s="1479">
        <f t="shared" si="208"/>
        <v>0</v>
      </c>
      <c r="CX106" s="11"/>
      <c r="CY106" s="1623">
        <f t="shared" ref="CY106:DB107" si="209">$Z106</f>
        <v>0</v>
      </c>
      <c r="CZ106" s="1623">
        <f t="shared" si="209"/>
        <v>0</v>
      </c>
      <c r="DA106" s="1623">
        <f>$Z106</f>
        <v>0</v>
      </c>
      <c r="DB106" s="1623">
        <f>$Z106</f>
        <v>0</v>
      </c>
      <c r="DC106" s="2862"/>
      <c r="DD106" s="2895">
        <v>0</v>
      </c>
      <c r="DE106" s="2895">
        <v>0</v>
      </c>
      <c r="DF106" s="2895">
        <v>0</v>
      </c>
      <c r="DG106" s="2895">
        <v>0</v>
      </c>
      <c r="DH106" s="2862"/>
      <c r="DI106" s="3293">
        <v>0</v>
      </c>
      <c r="DJ106" s="3293">
        <v>0</v>
      </c>
      <c r="DK106" s="3293">
        <v>0</v>
      </c>
      <c r="DL106" s="3293">
        <v>0</v>
      </c>
      <c r="DM106" s="11"/>
      <c r="DN106" s="3293">
        <v>0</v>
      </c>
      <c r="DO106" s="3293">
        <v>0</v>
      </c>
      <c r="DP106" s="3293">
        <v>0</v>
      </c>
      <c r="DQ106" s="3293">
        <v>0</v>
      </c>
      <c r="DR106" s="11"/>
    </row>
    <row r="107" spans="1:122">
      <c r="A107" s="69" t="s">
        <v>1315</v>
      </c>
      <c r="B107" s="139"/>
      <c r="C107" s="139"/>
      <c r="D107" s="139"/>
      <c r="E107" s="139"/>
      <c r="F107" s="139"/>
      <c r="G107" s="139"/>
      <c r="H107" s="112">
        <v>0</v>
      </c>
      <c r="I107" s="113">
        <v>0</v>
      </c>
      <c r="J107" s="113">
        <v>0</v>
      </c>
      <c r="K107" s="113">
        <v>-1</v>
      </c>
      <c r="L107" s="112">
        <v>0</v>
      </c>
      <c r="M107" s="112">
        <v>-6</v>
      </c>
      <c r="N107" s="112">
        <v>0</v>
      </c>
      <c r="O107" s="919"/>
      <c r="P107" s="112"/>
      <c r="Q107" s="112"/>
      <c r="R107" s="112">
        <v>0</v>
      </c>
      <c r="S107" s="111">
        <f>AVERAGE(BZ107:CC107)</f>
        <v>-1.5</v>
      </c>
      <c r="T107" s="112">
        <v>0</v>
      </c>
      <c r="U107" s="112">
        <f>SUM(CJ107:CM107)</f>
        <v>0</v>
      </c>
      <c r="V107" s="112">
        <f>SUM(CO107:CR107)</f>
        <v>0</v>
      </c>
      <c r="W107" s="112">
        <v>0</v>
      </c>
      <c r="X107" s="112"/>
      <c r="Y107" s="112"/>
      <c r="Z107" s="112">
        <v>0</v>
      </c>
      <c r="AA107" s="112">
        <v>0</v>
      </c>
      <c r="AB107" s="112"/>
      <c r="AC107" s="112">
        <v>0</v>
      </c>
      <c r="AD107" s="112">
        <v>0</v>
      </c>
      <c r="AE107" s="112">
        <v>0</v>
      </c>
      <c r="AF107" s="112">
        <v>0</v>
      </c>
      <c r="AG107" s="113">
        <v>0</v>
      </c>
      <c r="AH107" s="113">
        <v>0</v>
      </c>
      <c r="AI107" s="113">
        <v>0</v>
      </c>
      <c r="AJ107" s="113">
        <v>0</v>
      </c>
      <c r="AK107" s="113">
        <v>0</v>
      </c>
      <c r="AL107" s="1664">
        <v>0</v>
      </c>
      <c r="AM107" s="1664">
        <v>0</v>
      </c>
      <c r="AN107" s="1664">
        <v>0</v>
      </c>
      <c r="AO107" s="1926"/>
      <c r="AP107" s="112"/>
      <c r="AQ107" s="112"/>
      <c r="AR107" s="112"/>
      <c r="AS107" s="112"/>
      <c r="AT107" s="112"/>
      <c r="AU107" s="11"/>
      <c r="AV107" s="38"/>
      <c r="AW107" s="38"/>
      <c r="AX107" s="38"/>
      <c r="AY107" s="38"/>
      <c r="AZ107" s="90"/>
      <c r="BA107" s="38"/>
      <c r="BB107" s="38"/>
      <c r="BC107" s="38"/>
      <c r="BD107" s="38"/>
      <c r="BE107" s="38"/>
      <c r="BF107" s="111">
        <f t="shared" si="205"/>
        <v>0</v>
      </c>
      <c r="BG107" s="111">
        <f t="shared" si="205"/>
        <v>0</v>
      </c>
      <c r="BH107" s="111">
        <f t="shared" si="205"/>
        <v>0</v>
      </c>
      <c r="BI107" s="110">
        <f t="shared" si="205"/>
        <v>0</v>
      </c>
      <c r="BJ107" s="141"/>
      <c r="BK107" s="111">
        <f>$M107</f>
        <v>-6</v>
      </c>
      <c r="BL107" s="111">
        <f t="shared" si="206"/>
        <v>-6</v>
      </c>
      <c r="BM107" s="111">
        <f t="shared" si="206"/>
        <v>-6</v>
      </c>
      <c r="BN107" s="111">
        <f t="shared" si="206"/>
        <v>-6</v>
      </c>
      <c r="BO107" s="6"/>
      <c r="BP107" s="111">
        <f t="shared" si="207"/>
        <v>-6</v>
      </c>
      <c r="BQ107" s="111">
        <f t="shared" si="207"/>
        <v>-6</v>
      </c>
      <c r="BR107" s="111">
        <f t="shared" si="207"/>
        <v>-6</v>
      </c>
      <c r="BS107" s="111">
        <f>$N107</f>
        <v>0</v>
      </c>
      <c r="BT107" s="6"/>
      <c r="BU107" s="111">
        <f>$R107</f>
        <v>0</v>
      </c>
      <c r="BV107" s="111">
        <f>$R107</f>
        <v>0</v>
      </c>
      <c r="BW107" s="111">
        <f>$R107</f>
        <v>0</v>
      </c>
      <c r="BX107" s="111">
        <f>$R107</f>
        <v>0</v>
      </c>
      <c r="BY107" s="6"/>
      <c r="BZ107" s="111">
        <v>0</v>
      </c>
      <c r="CA107" s="111">
        <v>0</v>
      </c>
      <c r="CB107" s="111">
        <v>0</v>
      </c>
      <c r="CC107" s="111">
        <v>-6</v>
      </c>
      <c r="CD107" s="6"/>
      <c r="CE107" s="111">
        <f>$T107</f>
        <v>0</v>
      </c>
      <c r="CF107" s="111">
        <f>$T107</f>
        <v>0</v>
      </c>
      <c r="CG107" s="111">
        <f>$T107</f>
        <v>0</v>
      </c>
      <c r="CH107" s="111">
        <f>$T107</f>
        <v>0</v>
      </c>
      <c r="CI107" s="6"/>
      <c r="CJ107" s="111">
        <f>$T107</f>
        <v>0</v>
      </c>
      <c r="CK107" s="111">
        <f>$T107</f>
        <v>0</v>
      </c>
      <c r="CL107" s="111">
        <f>$T107</f>
        <v>0</v>
      </c>
      <c r="CM107" s="111">
        <f>$T107</f>
        <v>0</v>
      </c>
      <c r="CN107" s="6"/>
      <c r="CO107" s="111">
        <f>$T107</f>
        <v>0</v>
      </c>
      <c r="CP107" s="111">
        <f>$T107</f>
        <v>0</v>
      </c>
      <c r="CQ107" s="111">
        <f>$T107</f>
        <v>0</v>
      </c>
      <c r="CR107" s="111">
        <f>$T107</f>
        <v>0</v>
      </c>
      <c r="CS107" s="11"/>
      <c r="CT107" s="1479">
        <f>$W107</f>
        <v>0</v>
      </c>
      <c r="CU107" s="1479">
        <f t="shared" si="208"/>
        <v>0</v>
      </c>
      <c r="CV107" s="1479">
        <f t="shared" si="208"/>
        <v>0</v>
      </c>
      <c r="CW107" s="1479">
        <f t="shared" si="208"/>
        <v>0</v>
      </c>
      <c r="CX107" s="11"/>
      <c r="CY107" s="1623">
        <f t="shared" si="209"/>
        <v>0</v>
      </c>
      <c r="CZ107" s="1623">
        <f t="shared" si="209"/>
        <v>0</v>
      </c>
      <c r="DA107" s="1623">
        <f t="shared" si="209"/>
        <v>0</v>
      </c>
      <c r="DB107" s="1623">
        <f t="shared" si="209"/>
        <v>0</v>
      </c>
      <c r="DC107" s="2862"/>
      <c r="DD107" s="2895">
        <v>0</v>
      </c>
      <c r="DE107" s="2895">
        <v>0</v>
      </c>
      <c r="DF107" s="2895">
        <v>0</v>
      </c>
      <c r="DG107" s="2895">
        <v>0</v>
      </c>
      <c r="DH107" s="2862"/>
      <c r="DI107" s="3293">
        <v>0</v>
      </c>
      <c r="DJ107" s="3293">
        <v>0</v>
      </c>
      <c r="DK107" s="3293">
        <v>0</v>
      </c>
      <c r="DL107" s="3293">
        <v>0</v>
      </c>
      <c r="DM107" s="11"/>
      <c r="DN107" s="3293">
        <v>0</v>
      </c>
      <c r="DO107" s="3293">
        <v>0</v>
      </c>
      <c r="DP107" s="3293">
        <v>0</v>
      </c>
      <c r="DQ107" s="3293">
        <v>0</v>
      </c>
      <c r="DR107" s="11"/>
    </row>
    <row r="108" spans="1:122">
      <c r="A108" s="938" t="s">
        <v>1762</v>
      </c>
      <c r="B108" s="139"/>
      <c r="C108" s="139"/>
      <c r="D108" s="139"/>
      <c r="E108" s="139"/>
      <c r="F108" s="139"/>
      <c r="G108" s="139"/>
      <c r="H108" s="142">
        <f t="shared" ref="H108:N108" si="210">H109-(H105+H106+H107)</f>
        <v>-0.75</v>
      </c>
      <c r="I108" s="835">
        <f t="shared" si="210"/>
        <v>-1.9000000000000057</v>
      </c>
      <c r="J108" s="835">
        <f t="shared" si="210"/>
        <v>-9.9999999999994316E-2</v>
      </c>
      <c r="K108" s="835">
        <f t="shared" si="210"/>
        <v>0</v>
      </c>
      <c r="L108" s="1040">
        <f t="shared" si="210"/>
        <v>-4.2000000000000028</v>
      </c>
      <c r="M108" s="1040">
        <f t="shared" si="210"/>
        <v>4</v>
      </c>
      <c r="N108" s="1040">
        <f t="shared" si="210"/>
        <v>-1.7999999999999972</v>
      </c>
      <c r="O108" s="919"/>
      <c r="P108" s="837"/>
      <c r="Q108" s="837"/>
      <c r="R108" s="1040">
        <f>R109-(R105+R106+R107)</f>
        <v>-5.9000000000000057</v>
      </c>
      <c r="S108" s="1040">
        <f>S109-(S105+S106+S107)</f>
        <v>-6.5999999999999943</v>
      </c>
      <c r="T108" s="1040">
        <f>T109-(T105+T106+T107)</f>
        <v>0.29999999999999716</v>
      </c>
      <c r="U108" s="1040">
        <f>SUM(CJ108:CM108)</f>
        <v>-1</v>
      </c>
      <c r="V108" s="1040">
        <f>SUM(CO108:CR108)</f>
        <v>-4</v>
      </c>
      <c r="W108" s="1040">
        <f>SUM(CT108:CW108)</f>
        <v>-1</v>
      </c>
      <c r="X108" s="1040"/>
      <c r="Y108" s="1040"/>
      <c r="Z108" s="1040">
        <f>SUM(CY108:DB108)</f>
        <v>0</v>
      </c>
      <c r="AA108" s="1040">
        <f>SUM(DD108:DG108)</f>
        <v>0</v>
      </c>
      <c r="AB108" s="1040"/>
      <c r="AC108" s="1040">
        <f>SUM(DI108:DL108)</f>
        <v>0</v>
      </c>
      <c r="AD108" s="1040">
        <f>SUM(DN108:DQ108)</f>
        <v>0</v>
      </c>
      <c r="AE108" s="837">
        <f t="shared" ref="AE108:AN108" si="211">AD108</f>
        <v>0</v>
      </c>
      <c r="AF108" s="837">
        <f t="shared" si="211"/>
        <v>0</v>
      </c>
      <c r="AG108" s="836">
        <f t="shared" si="211"/>
        <v>0</v>
      </c>
      <c r="AH108" s="836">
        <f t="shared" si="211"/>
        <v>0</v>
      </c>
      <c r="AI108" s="836">
        <f t="shared" si="211"/>
        <v>0</v>
      </c>
      <c r="AJ108" s="836">
        <f t="shared" si="211"/>
        <v>0</v>
      </c>
      <c r="AK108" s="836">
        <f t="shared" si="211"/>
        <v>0</v>
      </c>
      <c r="AL108" s="1911">
        <f t="shared" si="211"/>
        <v>0</v>
      </c>
      <c r="AM108" s="1911">
        <f t="shared" si="211"/>
        <v>0</v>
      </c>
      <c r="AN108" s="1911">
        <f t="shared" si="211"/>
        <v>0</v>
      </c>
      <c r="AO108" s="1926"/>
      <c r="AP108" s="1212"/>
      <c r="AQ108" s="1212"/>
      <c r="AR108" s="1212"/>
      <c r="AS108" s="1212"/>
      <c r="AT108" s="112"/>
      <c r="AU108" s="11"/>
      <c r="AV108" s="38"/>
      <c r="AW108" s="38"/>
      <c r="AX108" s="38"/>
      <c r="AY108" s="38"/>
      <c r="AZ108" s="90"/>
      <c r="BA108" s="38"/>
      <c r="BB108" s="38"/>
      <c r="BC108" s="38"/>
      <c r="BD108" s="38"/>
      <c r="BE108" s="38"/>
      <c r="BF108" s="111">
        <f t="shared" si="205"/>
        <v>-4.2000000000000028</v>
      </c>
      <c r="BG108" s="111">
        <f t="shared" si="205"/>
        <v>-4.2000000000000028</v>
      </c>
      <c r="BH108" s="111">
        <f t="shared" si="205"/>
        <v>-4.2000000000000028</v>
      </c>
      <c r="BI108" s="110">
        <f t="shared" si="205"/>
        <v>-4.2000000000000028</v>
      </c>
      <c r="BJ108" s="141"/>
      <c r="BK108" s="1041">
        <f>+BK109-BK105-BK106-BK107</f>
        <v>5.7000000000000028</v>
      </c>
      <c r="BL108" s="1041">
        <f>+BL109-BL105-BL106-BL107</f>
        <v>5</v>
      </c>
      <c r="BM108" s="1041">
        <f>+BM109-BM105-BM106-BM107</f>
        <v>5.3819999999999979</v>
      </c>
      <c r="BN108" s="1041">
        <f>+BN109-BN105-BN106-BN107</f>
        <v>5.9179999999999993</v>
      </c>
      <c r="BO108" s="6"/>
      <c r="BP108" s="1041">
        <f>+BP109-BP105-BP106-BP107</f>
        <v>5.1000000000000014</v>
      </c>
      <c r="BQ108" s="1041">
        <f>+BQ109-BQ105-BQ106-BQ107</f>
        <v>5.7999999999999972</v>
      </c>
      <c r="BR108" s="111">
        <v>-0.2</v>
      </c>
      <c r="BS108" s="111">
        <f>N108-SUM(BP108:BR108)</f>
        <v>-12.499999999999996</v>
      </c>
      <c r="BT108" s="6"/>
      <c r="BU108" s="1041">
        <f>+BU109-BU105-BU106-BU107</f>
        <v>12</v>
      </c>
      <c r="BV108" s="1041">
        <f>+BV109-BV105-BV106-BV107</f>
        <v>0</v>
      </c>
      <c r="BW108" s="1041">
        <f>+BW109-BW105-BW106-BW107</f>
        <v>0</v>
      </c>
      <c r="BX108" s="1041">
        <f>+BX109-BX105-BX106-BX107</f>
        <v>-5.9000000000000057</v>
      </c>
      <c r="BY108" s="6"/>
      <c r="BZ108" s="111">
        <f>BZ109-BZ105</f>
        <v>-0.39999999999999858</v>
      </c>
      <c r="CA108" s="111">
        <v>0</v>
      </c>
      <c r="CB108" s="111">
        <f>CB109-CB105</f>
        <v>-1.5</v>
      </c>
      <c r="CC108" s="111">
        <f>CC109-CC105-CC107</f>
        <v>-0.19999999999999574</v>
      </c>
      <c r="CD108" s="6"/>
      <c r="CE108" s="111">
        <v>0</v>
      </c>
      <c r="CF108" s="111">
        <v>0</v>
      </c>
      <c r="CG108" s="111">
        <v>0</v>
      </c>
      <c r="CH108" s="111">
        <f>CH109-CH105</f>
        <v>0.29999999999999716</v>
      </c>
      <c r="CI108" s="6"/>
      <c r="CJ108" s="111">
        <v>0</v>
      </c>
      <c r="CK108" s="111">
        <v>0</v>
      </c>
      <c r="CL108" s="111">
        <v>0</v>
      </c>
      <c r="CM108" s="1041">
        <f>CM109-CM105</f>
        <v>-1</v>
      </c>
      <c r="CN108" s="6"/>
      <c r="CO108" s="1041">
        <f>CO109-CO105</f>
        <v>-1</v>
      </c>
      <c r="CP108" s="1041">
        <f>CP109-CP105</f>
        <v>-3</v>
      </c>
      <c r="CQ108" s="1041">
        <f>CQ109-CQ105</f>
        <v>0</v>
      </c>
      <c r="CR108" s="1041">
        <f>CR109-CR105</f>
        <v>0</v>
      </c>
      <c r="CS108" s="11"/>
      <c r="CT108" s="1041">
        <f>CT109-CT105</f>
        <v>0</v>
      </c>
      <c r="CU108" s="1041">
        <f>CU109-CU105</f>
        <v>0</v>
      </c>
      <c r="CV108" s="1041">
        <f>CV109-CV105</f>
        <v>-1</v>
      </c>
      <c r="CW108" s="111">
        <v>0</v>
      </c>
      <c r="CX108" s="11"/>
      <c r="CY108" s="1623">
        <v>0</v>
      </c>
      <c r="CZ108" s="1623">
        <v>0</v>
      </c>
      <c r="DA108" s="1623">
        <v>0</v>
      </c>
      <c r="DB108" s="1623">
        <v>0</v>
      </c>
      <c r="DC108" s="2862"/>
      <c r="DD108" s="2845">
        <v>0</v>
      </c>
      <c r="DE108" s="2845">
        <v>0</v>
      </c>
      <c r="DF108" s="2845">
        <v>0</v>
      </c>
      <c r="DG108" s="2845">
        <v>0</v>
      </c>
      <c r="DH108" s="2862"/>
      <c r="DI108" s="3294">
        <v>0</v>
      </c>
      <c r="DJ108" s="3294">
        <v>0</v>
      </c>
      <c r="DK108" s="3294">
        <v>0</v>
      </c>
      <c r="DL108" s="3294">
        <v>0</v>
      </c>
      <c r="DM108" s="11"/>
      <c r="DN108" s="3294">
        <v>0</v>
      </c>
      <c r="DO108" s="3294">
        <v>0</v>
      </c>
      <c r="DP108" s="3294">
        <v>0</v>
      </c>
      <c r="DQ108" s="3294">
        <v>0</v>
      </c>
      <c r="DR108" s="11"/>
    </row>
    <row r="109" spans="1:122">
      <c r="A109" s="69" t="s">
        <v>253</v>
      </c>
      <c r="B109" s="139"/>
      <c r="C109" s="139"/>
      <c r="D109" s="139"/>
      <c r="E109" s="139"/>
      <c r="F109" s="139"/>
      <c r="G109" s="139"/>
      <c r="H109" s="76">
        <f>(137.3-1.4)/2</f>
        <v>67.95</v>
      </c>
      <c r="I109" s="77">
        <v>66.8</v>
      </c>
      <c r="J109" s="77">
        <v>66.7</v>
      </c>
      <c r="K109" s="113">
        <v>65.7</v>
      </c>
      <c r="L109" s="112">
        <v>61.5</v>
      </c>
      <c r="M109" s="112">
        <v>59.5</v>
      </c>
      <c r="N109" s="112">
        <v>57.7</v>
      </c>
      <c r="O109" s="919"/>
      <c r="P109" s="110"/>
      <c r="Q109" s="110"/>
      <c r="R109" s="112">
        <v>51.8</v>
      </c>
      <c r="S109" s="112">
        <v>43.7</v>
      </c>
      <c r="T109" s="112">
        <v>44</v>
      </c>
      <c r="U109" s="110">
        <f t="shared" ref="U109:AF109" si="212">SUM(U105:U108)</f>
        <v>43</v>
      </c>
      <c r="V109" s="110">
        <f t="shared" si="212"/>
        <v>39</v>
      </c>
      <c r="W109" s="110">
        <f t="shared" si="212"/>
        <v>38</v>
      </c>
      <c r="X109" s="110"/>
      <c r="Y109" s="110"/>
      <c r="Z109" s="110">
        <f>SUM(Z105:Z108)</f>
        <v>38</v>
      </c>
      <c r="AA109" s="110">
        <f t="shared" si="212"/>
        <v>38</v>
      </c>
      <c r="AB109" s="110"/>
      <c r="AC109" s="110">
        <f>SUM(AC105:AC108)</f>
        <v>38</v>
      </c>
      <c r="AD109" s="110">
        <f>SUM(AD105:AD108)</f>
        <v>38</v>
      </c>
      <c r="AE109" s="110">
        <f t="shared" si="212"/>
        <v>38</v>
      </c>
      <c r="AF109" s="110">
        <f t="shared" si="212"/>
        <v>38</v>
      </c>
      <c r="AG109" s="111">
        <f t="shared" ref="AG109:AL109" si="213">SUM(AG105:AG108)</f>
        <v>38</v>
      </c>
      <c r="AH109" s="111">
        <f t="shared" si="213"/>
        <v>38</v>
      </c>
      <c r="AI109" s="111">
        <f t="shared" si="213"/>
        <v>38</v>
      </c>
      <c r="AJ109" s="111">
        <f t="shared" si="213"/>
        <v>38</v>
      </c>
      <c r="AK109" s="111">
        <f t="shared" si="213"/>
        <v>38</v>
      </c>
      <c r="AL109" s="1525">
        <f t="shared" si="213"/>
        <v>38</v>
      </c>
      <c r="AM109" s="1525">
        <f>SUM(AM105:AM108)</f>
        <v>38</v>
      </c>
      <c r="AN109" s="1525">
        <f>SUM(AN105:AN108)</f>
        <v>38</v>
      </c>
      <c r="AO109" s="1926"/>
      <c r="AP109" s="110"/>
      <c r="AQ109" s="110"/>
      <c r="AR109" s="110"/>
      <c r="AS109" s="110"/>
      <c r="AT109" s="110"/>
      <c r="AU109" s="11"/>
      <c r="AV109" s="38"/>
      <c r="AW109" s="38"/>
      <c r="AX109" s="38"/>
      <c r="AY109" s="38"/>
      <c r="AZ109" s="90"/>
      <c r="BA109" s="76">
        <f>(133.4-1.9)/2</f>
        <v>65.75</v>
      </c>
      <c r="BB109" s="76">
        <f>(133.4-1.9)/2</f>
        <v>65.75</v>
      </c>
      <c r="BC109" s="76">
        <f>(133.4-1.9)/2</f>
        <v>65.75</v>
      </c>
      <c r="BD109" s="77">
        <f>BC109</f>
        <v>65.75</v>
      </c>
      <c r="BE109" s="77"/>
      <c r="BF109" s="113">
        <v>64.2</v>
      </c>
      <c r="BG109" s="113">
        <v>63.3</v>
      </c>
      <c r="BH109" s="113">
        <v>62.4</v>
      </c>
      <c r="BI109" s="112">
        <v>61.5</v>
      </c>
      <c r="BJ109" s="141"/>
      <c r="BK109" s="113">
        <v>61.2</v>
      </c>
      <c r="BL109" s="113">
        <v>60.2</v>
      </c>
      <c r="BM109" s="113">
        <v>59.582000000000001</v>
      </c>
      <c r="BN109" s="113">
        <v>59.5</v>
      </c>
      <c r="BO109" s="6"/>
      <c r="BP109" s="113">
        <v>58.6</v>
      </c>
      <c r="BQ109" s="113">
        <v>58.4</v>
      </c>
      <c r="BR109" s="111">
        <f>BR105+BR108</f>
        <v>58.199999999999996</v>
      </c>
      <c r="BS109" s="111">
        <f>BS105+BS108</f>
        <v>45.7</v>
      </c>
      <c r="BT109" s="6"/>
      <c r="BU109" s="113">
        <v>57.7</v>
      </c>
      <c r="BV109" s="113">
        <v>57.7</v>
      </c>
      <c r="BW109" s="113">
        <v>57.7</v>
      </c>
      <c r="BX109" s="113">
        <f>R109</f>
        <v>51.8</v>
      </c>
      <c r="BY109" s="6"/>
      <c r="BZ109" s="113">
        <v>51.4</v>
      </c>
      <c r="CA109" s="111">
        <f>CA105+CA108</f>
        <v>51.4</v>
      </c>
      <c r="CB109" s="113">
        <v>49.9</v>
      </c>
      <c r="CC109" s="111">
        <v>43.7</v>
      </c>
      <c r="CD109" s="6"/>
      <c r="CE109" s="111">
        <f>CE105+CE108</f>
        <v>43.7</v>
      </c>
      <c r="CF109" s="111">
        <f>CF105+CF108</f>
        <v>43.7</v>
      </c>
      <c r="CG109" s="111">
        <f>CG105+CG108</f>
        <v>43.7</v>
      </c>
      <c r="CH109" s="111">
        <v>44</v>
      </c>
      <c r="CI109" s="6"/>
      <c r="CJ109" s="111">
        <f>CJ105+CJ108</f>
        <v>44</v>
      </c>
      <c r="CK109" s="111">
        <f>CK105+CK108</f>
        <v>44</v>
      </c>
      <c r="CL109" s="111">
        <f>CL105+CL108</f>
        <v>44</v>
      </c>
      <c r="CM109" s="113">
        <v>43</v>
      </c>
      <c r="CN109" s="6"/>
      <c r="CO109" s="113">
        <v>42</v>
      </c>
      <c r="CP109" s="113">
        <v>39</v>
      </c>
      <c r="CQ109" s="113">
        <v>39</v>
      </c>
      <c r="CR109" s="113">
        <v>39</v>
      </c>
      <c r="CS109" s="53">
        <f>+CR109-V109</f>
        <v>0</v>
      </c>
      <c r="CT109" s="113">
        <v>39</v>
      </c>
      <c r="CU109" s="113">
        <v>39</v>
      </c>
      <c r="CV109" s="113">
        <v>38</v>
      </c>
      <c r="CW109" s="113">
        <v>38</v>
      </c>
      <c r="CX109" s="53">
        <f>+CW109-W109</f>
        <v>0</v>
      </c>
      <c r="CY109" s="113">
        <v>38</v>
      </c>
      <c r="CZ109" s="113">
        <v>38</v>
      </c>
      <c r="DA109" s="113">
        <v>38</v>
      </c>
      <c r="DB109" s="113">
        <v>38</v>
      </c>
      <c r="DC109" s="2926">
        <f>+DB109-$Z109</f>
        <v>0</v>
      </c>
      <c r="DD109" s="2906">
        <v>38</v>
      </c>
      <c r="DE109" s="2906">
        <v>38</v>
      </c>
      <c r="DF109" s="2906">
        <v>38</v>
      </c>
      <c r="DG109" s="2906">
        <v>38</v>
      </c>
      <c r="DH109" s="2926">
        <f>+DG109-$AA109</f>
        <v>0</v>
      </c>
      <c r="DI109" s="3299">
        <v>38</v>
      </c>
      <c r="DJ109" s="3299">
        <v>38</v>
      </c>
      <c r="DK109" s="3299">
        <v>38</v>
      </c>
      <c r="DL109" s="3294">
        <f>DL105+DL108</f>
        <v>38</v>
      </c>
      <c r="DM109" s="53">
        <f>+DL109-$AC109</f>
        <v>0</v>
      </c>
      <c r="DN109" s="3294">
        <f t="shared" ref="DN109:DP109" si="214">DN105+DN108</f>
        <v>38</v>
      </c>
      <c r="DO109" s="3294">
        <f t="shared" si="214"/>
        <v>38</v>
      </c>
      <c r="DP109" s="3294">
        <f t="shared" si="214"/>
        <v>38</v>
      </c>
      <c r="DQ109" s="3294">
        <f>DQ105+DQ108</f>
        <v>38</v>
      </c>
      <c r="DR109" s="53">
        <f>+DQ109-$AD109</f>
        <v>0</v>
      </c>
    </row>
    <row r="110" spans="1:122">
      <c r="A110" s="3061"/>
      <c r="B110" s="3062"/>
      <c r="C110" s="3062"/>
      <c r="D110" s="3062"/>
      <c r="E110" s="3062"/>
      <c r="F110" s="3062"/>
      <c r="G110" s="3062"/>
      <c r="H110" s="2802"/>
      <c r="I110" s="38"/>
      <c r="J110" s="140"/>
      <c r="K110" s="140"/>
      <c r="L110" s="38"/>
      <c r="M110" s="38"/>
      <c r="N110" s="38"/>
      <c r="O110" s="919"/>
      <c r="P110" s="38"/>
      <c r="Q110" s="38"/>
      <c r="R110" s="38"/>
      <c r="S110" s="38"/>
      <c r="T110" s="38"/>
      <c r="U110" s="38"/>
      <c r="V110" s="38"/>
      <c r="W110" s="38"/>
      <c r="X110" s="38"/>
      <c r="Y110" s="38"/>
      <c r="Z110" s="38"/>
      <c r="AA110" s="38"/>
      <c r="AB110" s="38"/>
      <c r="AC110" s="38"/>
      <c r="AD110" s="38"/>
      <c r="AE110" s="38"/>
      <c r="AF110" s="38"/>
      <c r="AG110" s="39"/>
      <c r="AH110" s="39"/>
      <c r="AI110" s="39"/>
      <c r="AJ110" s="39"/>
      <c r="AK110" s="39"/>
      <c r="AL110" s="1110"/>
      <c r="AM110" s="1110"/>
      <c r="AN110" s="38"/>
      <c r="AO110" s="1926"/>
      <c r="AP110" s="38"/>
      <c r="AQ110" s="38"/>
      <c r="AR110" s="38"/>
      <c r="AS110" s="38"/>
      <c r="AT110" s="38"/>
      <c r="AU110" s="11"/>
      <c r="AV110" s="38"/>
      <c r="AW110" s="38"/>
      <c r="AX110" s="38"/>
      <c r="AY110" s="38"/>
      <c r="AZ110" s="90"/>
      <c r="BA110" s="38"/>
      <c r="BB110" s="38"/>
      <c r="BC110" s="38"/>
      <c r="BD110" s="38"/>
      <c r="BE110" s="38"/>
      <c r="BF110" s="39"/>
      <c r="BG110" s="39"/>
      <c r="BH110" s="39"/>
      <c r="BI110" s="90"/>
      <c r="BJ110" s="90"/>
      <c r="BK110" s="94"/>
      <c r="BL110" s="94"/>
      <c r="BM110" s="94">
        <f>$M110</f>
        <v>0</v>
      </c>
      <c r="BN110" s="94">
        <f>$M110</f>
        <v>0</v>
      </c>
      <c r="BO110" s="6"/>
      <c r="BP110" s="94"/>
      <c r="BQ110" s="94"/>
      <c r="BR110" s="94"/>
      <c r="BS110" s="94"/>
      <c r="BT110" s="6"/>
      <c r="BU110" s="11"/>
      <c r="BV110" s="11"/>
      <c r="BW110" s="11"/>
      <c r="BX110" s="11"/>
      <c r="BY110" s="6"/>
      <c r="BZ110" s="6"/>
      <c r="CA110" s="6"/>
      <c r="CB110" s="6"/>
      <c r="CC110" s="6"/>
      <c r="CD110" s="6"/>
      <c r="CE110" s="6"/>
      <c r="CF110" s="6"/>
      <c r="CG110" s="6"/>
      <c r="CH110" s="6"/>
      <c r="CI110" s="6"/>
      <c r="CJ110" s="6"/>
      <c r="CK110" s="6"/>
      <c r="CL110" s="6"/>
      <c r="CM110" s="6"/>
      <c r="CN110" s="6"/>
      <c r="CO110" s="11"/>
      <c r="CP110" s="11"/>
      <c r="CQ110" s="11"/>
      <c r="CR110" s="11"/>
      <c r="CS110" s="11"/>
      <c r="CT110" s="906"/>
      <c r="CU110" s="906"/>
      <c r="CV110" s="906"/>
      <c r="CW110" s="11"/>
      <c r="CX110" s="11"/>
      <c r="CY110" s="906"/>
      <c r="CZ110" s="906"/>
      <c r="DA110" s="906"/>
      <c r="DB110" s="906"/>
      <c r="DC110" s="2862"/>
      <c r="DD110" s="2862"/>
      <c r="DE110" s="2862"/>
      <c r="DF110" s="2862"/>
      <c r="DG110" s="2862"/>
      <c r="DH110" s="2862"/>
      <c r="DI110" s="3292"/>
      <c r="DJ110" s="3292"/>
      <c r="DK110" s="3292"/>
      <c r="DL110" s="3292"/>
      <c r="DM110" s="53"/>
      <c r="DN110" s="3295"/>
      <c r="DO110" s="3295"/>
      <c r="DP110" s="3295"/>
      <c r="DQ110" s="3295"/>
      <c r="DR110" s="53"/>
    </row>
    <row r="111" spans="1:122">
      <c r="A111" s="2934" t="s">
        <v>254</v>
      </c>
      <c r="B111" s="2934"/>
      <c r="C111" s="2934"/>
      <c r="D111" s="2934"/>
      <c r="E111" s="2934"/>
      <c r="F111" s="2934"/>
      <c r="G111" s="2934"/>
      <c r="H111" s="3049">
        <f>(1697-(79.3-1.4))/2</f>
        <v>809.55</v>
      </c>
      <c r="I111" s="64">
        <f>858-53.3</f>
        <v>804.7</v>
      </c>
      <c r="J111" s="49">
        <f>I115</f>
        <v>800.5</v>
      </c>
      <c r="K111" s="49">
        <f>J115</f>
        <v>756</v>
      </c>
      <c r="L111" s="49">
        <f>K115</f>
        <v>695</v>
      </c>
      <c r="M111" s="49">
        <f>L115+8.6</f>
        <v>715.5</v>
      </c>
      <c r="N111" s="49">
        <f>M115</f>
        <v>612.4</v>
      </c>
      <c r="O111" s="919"/>
      <c r="P111" s="49"/>
      <c r="Q111" s="49"/>
      <c r="R111" s="49">
        <f>N115</f>
        <v>613.1</v>
      </c>
      <c r="S111" s="49">
        <f t="shared" ref="S111:AF111" si="215">R115</f>
        <v>623</v>
      </c>
      <c r="T111" s="49">
        <f t="shared" si="215"/>
        <v>636.30000000000007</v>
      </c>
      <c r="U111" s="49">
        <f t="shared" si="215"/>
        <v>607</v>
      </c>
      <c r="V111" s="49">
        <f>U115</f>
        <v>587</v>
      </c>
      <c r="W111" s="49">
        <f t="shared" si="215"/>
        <v>557</v>
      </c>
      <c r="X111" s="49"/>
      <c r="Y111" s="49"/>
      <c r="Z111" s="49">
        <f>W115</f>
        <v>469</v>
      </c>
      <c r="AA111" s="49">
        <f t="shared" si="215"/>
        <v>425</v>
      </c>
      <c r="AB111" s="49"/>
      <c r="AC111" s="49">
        <f>AA115</f>
        <v>374</v>
      </c>
      <c r="AD111" s="2796">
        <f t="shared" si="215"/>
        <v>344.97469906209562</v>
      </c>
      <c r="AE111" s="2796">
        <f t="shared" si="215"/>
        <v>333.19157808755881</v>
      </c>
      <c r="AF111" s="2796">
        <f t="shared" si="215"/>
        <v>313.90066937733769</v>
      </c>
      <c r="AG111" s="2796">
        <f t="shared" ref="AG111:AN111" si="216">AF115</f>
        <v>295.73661026298163</v>
      </c>
      <c r="AH111" s="2796">
        <f t="shared" si="216"/>
        <v>278.83831200586911</v>
      </c>
      <c r="AI111" s="2796">
        <f t="shared" si="216"/>
        <v>263.13627406315771</v>
      </c>
      <c r="AJ111" s="49">
        <f t="shared" si="216"/>
        <v>248.56547920009251</v>
      </c>
      <c r="AK111" s="49">
        <f t="shared" si="216"/>
        <v>235.06511223860713</v>
      </c>
      <c r="AL111" s="1366">
        <f t="shared" si="216"/>
        <v>222.57829806846428</v>
      </c>
      <c r="AM111" s="1366">
        <f t="shared" si="216"/>
        <v>211.05185752550082</v>
      </c>
      <c r="AN111" s="1366">
        <f t="shared" si="216"/>
        <v>200.43607985145829</v>
      </c>
      <c r="AO111" s="1926"/>
      <c r="AP111" s="49"/>
      <c r="AQ111" s="49"/>
      <c r="AR111" s="49"/>
      <c r="AS111" s="49"/>
      <c r="AT111" s="49"/>
      <c r="AU111" s="11"/>
      <c r="AV111" s="38"/>
      <c r="AW111" s="38"/>
      <c r="AX111" s="38"/>
      <c r="AY111" s="38"/>
      <c r="AZ111" s="90"/>
      <c r="BA111" s="38"/>
      <c r="BB111" s="38"/>
      <c r="BC111" s="38"/>
      <c r="BD111" s="38"/>
      <c r="BE111" s="38"/>
      <c r="BF111" s="111">
        <f>L111</f>
        <v>695</v>
      </c>
      <c r="BG111" s="111">
        <f>BF115</f>
        <v>699.57408400000008</v>
      </c>
      <c r="BH111" s="111">
        <f>BG115</f>
        <v>702</v>
      </c>
      <c r="BI111" s="110">
        <f>BH115</f>
        <v>704.19999999999993</v>
      </c>
      <c r="BJ111" s="141"/>
      <c r="BK111" s="111">
        <f>+BI115</f>
        <v>706.9</v>
      </c>
      <c r="BL111" s="111">
        <f>BK115</f>
        <v>664</v>
      </c>
      <c r="BM111" s="111">
        <f>BL115</f>
        <v>661.5</v>
      </c>
      <c r="BN111" s="111">
        <f>BM115</f>
        <v>625.46100000000001</v>
      </c>
      <c r="BO111" s="6"/>
      <c r="BP111" s="111">
        <f>+BN115</f>
        <v>612.4</v>
      </c>
      <c r="BQ111" s="111">
        <f>BP115</f>
        <v>610</v>
      </c>
      <c r="BR111" s="111">
        <f>BQ115</f>
        <v>612.6</v>
      </c>
      <c r="BS111" s="111">
        <f>BR115</f>
        <v>612.69999999999993</v>
      </c>
      <c r="BT111" s="6"/>
      <c r="BU111" s="14">
        <f>BS115</f>
        <v>625.19999999999993</v>
      </c>
      <c r="BV111" s="14">
        <f>BU115</f>
        <v>614.4</v>
      </c>
      <c r="BW111" s="14">
        <f>BV115</f>
        <v>617</v>
      </c>
      <c r="BX111" s="14">
        <f>BW115</f>
        <v>617.1</v>
      </c>
      <c r="BY111" s="6"/>
      <c r="BZ111" s="13">
        <f>BX115</f>
        <v>623</v>
      </c>
      <c r="CA111" s="13">
        <f>BZ115</f>
        <v>626.9</v>
      </c>
      <c r="CB111" s="13">
        <f>CA115</f>
        <v>628.29999999999995</v>
      </c>
      <c r="CC111" s="13">
        <f>CB115</f>
        <v>629.70000000000005</v>
      </c>
      <c r="CD111" s="6"/>
      <c r="CE111" s="13">
        <f>CC115</f>
        <v>636.30000000000007</v>
      </c>
      <c r="CF111" s="13">
        <f>CE115</f>
        <v>625</v>
      </c>
      <c r="CG111" s="13">
        <f>CF115</f>
        <v>613</v>
      </c>
      <c r="CH111" s="13">
        <f>CG115</f>
        <v>613</v>
      </c>
      <c r="CI111" s="6"/>
      <c r="CJ111" s="13">
        <f>CH115</f>
        <v>607</v>
      </c>
      <c r="CK111" s="13">
        <f>CJ115</f>
        <v>605</v>
      </c>
      <c r="CL111" s="13">
        <f>CK115</f>
        <v>596</v>
      </c>
      <c r="CM111" s="13">
        <f>CL115</f>
        <v>594</v>
      </c>
      <c r="CN111" s="6"/>
      <c r="CO111" s="14">
        <f>CM115</f>
        <v>587</v>
      </c>
      <c r="CP111" s="14">
        <f>CO115</f>
        <v>571</v>
      </c>
      <c r="CQ111" s="14">
        <f>CP115</f>
        <v>566</v>
      </c>
      <c r="CR111" s="14">
        <f>CQ115</f>
        <v>562</v>
      </c>
      <c r="CS111" s="11"/>
      <c r="CT111" s="1328">
        <f>CR115</f>
        <v>557</v>
      </c>
      <c r="CU111" s="1328">
        <f>CT115</f>
        <v>536</v>
      </c>
      <c r="CV111" s="1328">
        <f>CU115</f>
        <v>531</v>
      </c>
      <c r="CW111" s="14">
        <f>CV115</f>
        <v>482</v>
      </c>
      <c r="CX111" s="53"/>
      <c r="CY111" s="1328">
        <f>CW115</f>
        <v>469</v>
      </c>
      <c r="CZ111" s="1465">
        <f>CY115</f>
        <v>457</v>
      </c>
      <c r="DA111" s="1465">
        <f>CZ115</f>
        <v>446</v>
      </c>
      <c r="DB111" s="1465">
        <f>DA115</f>
        <v>436</v>
      </c>
      <c r="DC111" s="2926"/>
      <c r="DD111" s="2806">
        <f>DB115</f>
        <v>425</v>
      </c>
      <c r="DE111" s="2806">
        <f>DD115</f>
        <v>416</v>
      </c>
      <c r="DF111" s="2806">
        <f>DE115</f>
        <v>408</v>
      </c>
      <c r="DG111" s="2806">
        <f>DF115</f>
        <v>399</v>
      </c>
      <c r="DH111" s="2926"/>
      <c r="DI111" s="3292">
        <f>DG115</f>
        <v>374</v>
      </c>
      <c r="DJ111" s="3292">
        <f>DI115</f>
        <v>369</v>
      </c>
      <c r="DK111" s="3292">
        <f>DJ115</f>
        <v>365</v>
      </c>
      <c r="DL111" s="3292">
        <f>DK115</f>
        <v>362</v>
      </c>
      <c r="DM111" s="2926"/>
      <c r="DN111" s="3292">
        <f>DL115</f>
        <v>344.97469906209562</v>
      </c>
      <c r="DO111" s="3292">
        <f>DN115</f>
        <v>341.76859788918972</v>
      </c>
      <c r="DP111" s="3292">
        <f t="shared" ref="DP111" si="217">DO115</f>
        <v>338.74702378025319</v>
      </c>
      <c r="DQ111" s="3292">
        <f>DP115</f>
        <v>335.89294346784271</v>
      </c>
      <c r="DR111" s="53"/>
    </row>
    <row r="112" spans="1:122">
      <c r="A112" s="2934" t="s">
        <v>390</v>
      </c>
      <c r="B112" s="2934"/>
      <c r="C112" s="2934"/>
      <c r="D112" s="2934"/>
      <c r="E112" s="2934"/>
      <c r="F112" s="2934"/>
      <c r="G112" s="2934"/>
      <c r="H112" s="2906">
        <f>17.5/2</f>
        <v>8.75</v>
      </c>
      <c r="I112" s="113">
        <v>5.5</v>
      </c>
      <c r="J112" s="113">
        <v>3.4</v>
      </c>
      <c r="K112" s="113">
        <v>8.4</v>
      </c>
      <c r="L112" s="113">
        <v>5.7</v>
      </c>
      <c r="M112" s="113">
        <v>8.8000000000000007</v>
      </c>
      <c r="N112" s="111">
        <f>N177</f>
        <v>1.365</v>
      </c>
      <c r="O112" s="919"/>
      <c r="P112" s="111"/>
      <c r="Q112" s="111"/>
      <c r="R112" s="111">
        <f t="shared" ref="R112:W112" si="218">R177</f>
        <v>0</v>
      </c>
      <c r="S112" s="111">
        <f t="shared" si="218"/>
        <v>1.2596339999999999</v>
      </c>
      <c r="T112" s="111">
        <f t="shared" si="218"/>
        <v>7.423216</v>
      </c>
      <c r="U112" s="111">
        <f>U177</f>
        <v>10.282048</v>
      </c>
      <c r="V112" s="111">
        <f>V177</f>
        <v>7.71021</v>
      </c>
      <c r="W112" s="111">
        <f t="shared" si="218"/>
        <v>13.534632</v>
      </c>
      <c r="X112" s="111"/>
      <c r="Y112" s="2845"/>
      <c r="Z112" s="2845">
        <f>Z177</f>
        <v>1.0987962483825127</v>
      </c>
      <c r="AA112" s="2845">
        <f>AA177</f>
        <v>1.0428390000000001</v>
      </c>
      <c r="AB112" s="2845"/>
      <c r="AC112" s="2845">
        <f t="shared" ref="AC112:AM112" si="219">AC177</f>
        <v>1.0987962483825127</v>
      </c>
      <c r="AD112" s="2845">
        <f t="shared" si="219"/>
        <v>1.2298325965117842</v>
      </c>
      <c r="AE112" s="2845">
        <f t="shared" si="219"/>
        <v>1.3718317147012764</v>
      </c>
      <c r="AF112" s="2845">
        <f t="shared" si="219"/>
        <v>1.507455239377034</v>
      </c>
      <c r="AG112" s="2845">
        <f t="shared" si="219"/>
        <v>1.6375881237688852</v>
      </c>
      <c r="AH112" s="2845">
        <f t="shared" si="219"/>
        <v>1.7630329660870159</v>
      </c>
      <c r="AI112" s="2845">
        <f t="shared" si="219"/>
        <v>1.8845185589103011</v>
      </c>
      <c r="AJ112" s="1525">
        <f t="shared" si="219"/>
        <v>2.0027075799302518</v>
      </c>
      <c r="AK112" s="1525">
        <f t="shared" si="219"/>
        <v>2.1182035111316941</v>
      </c>
      <c r="AL112" s="1525">
        <f t="shared" si="219"/>
        <v>2.2315568646853081</v>
      </c>
      <c r="AM112" s="1525">
        <f t="shared" si="219"/>
        <v>2.343270785912452</v>
      </c>
      <c r="AN112" s="1525">
        <f t="shared" ref="AN112" si="220">AN177</f>
        <v>2.4538060965690391</v>
      </c>
      <c r="AO112" s="1926"/>
      <c r="AP112" s="111"/>
      <c r="AQ112" s="111"/>
      <c r="AR112" s="111"/>
      <c r="AS112" s="111"/>
      <c r="AT112" s="144"/>
      <c r="AU112" s="11"/>
      <c r="AV112" s="38"/>
      <c r="AW112" s="38"/>
      <c r="AX112" s="38"/>
      <c r="AY112" s="38"/>
      <c r="AZ112" s="90"/>
      <c r="BA112" s="38"/>
      <c r="BB112" s="38"/>
      <c r="BC112" s="38"/>
      <c r="BD112" s="38"/>
      <c r="BE112" s="38" t="s">
        <v>337</v>
      </c>
      <c r="BF112" s="111">
        <v>1</v>
      </c>
      <c r="BG112" s="111">
        <f>$L112/4</f>
        <v>1.425</v>
      </c>
      <c r="BH112" s="111">
        <f>$L112/4</f>
        <v>1.425</v>
      </c>
      <c r="BI112" s="110">
        <f>L112-BH112-BG112-BF112</f>
        <v>1.8500000000000005</v>
      </c>
      <c r="BJ112" s="141"/>
      <c r="BK112" s="111">
        <f>M112/4</f>
        <v>2.2000000000000002</v>
      </c>
      <c r="BL112" s="111">
        <f>BK112</f>
        <v>2.2000000000000002</v>
      </c>
      <c r="BM112" s="111">
        <f>BL112</f>
        <v>2.2000000000000002</v>
      </c>
      <c r="BN112" s="111">
        <f>M112-SUM(BK112:BM112)</f>
        <v>2.2000000000000002</v>
      </c>
      <c r="BO112" s="6"/>
      <c r="BP112" s="111">
        <f>N112/4</f>
        <v>0.34125</v>
      </c>
      <c r="BQ112" s="111">
        <f>BP112</f>
        <v>0.34125</v>
      </c>
      <c r="BR112" s="111">
        <f>BQ112</f>
        <v>0.34125</v>
      </c>
      <c r="BS112" s="111">
        <f>N112-SUM(BP112:BR112)</f>
        <v>0.34125000000000005</v>
      </c>
      <c r="BT112" s="6"/>
      <c r="BU112" s="14">
        <f>BU115-BU111</f>
        <v>-10.799999999999955</v>
      </c>
      <c r="BV112" s="14">
        <f>$R$112/4</f>
        <v>0</v>
      </c>
      <c r="BW112" s="14">
        <f>$R$112/4</f>
        <v>0</v>
      </c>
      <c r="BX112" s="14">
        <f>$R$112/4</f>
        <v>0</v>
      </c>
      <c r="BY112" s="6"/>
      <c r="BZ112" s="14">
        <f>$S$112/4</f>
        <v>0.31490849999999998</v>
      </c>
      <c r="CA112" s="14">
        <f>$S$112/4</f>
        <v>0.31490849999999998</v>
      </c>
      <c r="CB112" s="14">
        <f>$S$112/4</f>
        <v>0.31490849999999998</v>
      </c>
      <c r="CC112" s="14">
        <f>$S$112/4</f>
        <v>0.31490849999999998</v>
      </c>
      <c r="CD112" s="6"/>
      <c r="CE112" s="14">
        <f>$T$112/4</f>
        <v>1.855804</v>
      </c>
      <c r="CF112" s="14">
        <f>$T$112/4</f>
        <v>1.855804</v>
      </c>
      <c r="CG112" s="14">
        <f>$T$112/4</f>
        <v>1.855804</v>
      </c>
      <c r="CH112" s="14">
        <f>$T$112/4</f>
        <v>1.855804</v>
      </c>
      <c r="CI112" s="6"/>
      <c r="CJ112" s="14">
        <f>$U$112/4</f>
        <v>2.5705119999999999</v>
      </c>
      <c r="CK112" s="14">
        <f>$U$112/4</f>
        <v>2.5705119999999999</v>
      </c>
      <c r="CL112" s="14">
        <f>$U$112/4</f>
        <v>2.5705119999999999</v>
      </c>
      <c r="CM112" s="14">
        <f>$U$112/4</f>
        <v>2.5705119999999999</v>
      </c>
      <c r="CN112" s="6"/>
      <c r="CO112" s="14">
        <f>$V$112/4</f>
        <v>1.9275525</v>
      </c>
      <c r="CP112" s="14">
        <f>$V$112/4</f>
        <v>1.9275525</v>
      </c>
      <c r="CQ112" s="14">
        <f>$V$112/4</f>
        <v>1.9275525</v>
      </c>
      <c r="CR112" s="14">
        <f>$V$112/4</f>
        <v>1.9275525</v>
      </c>
      <c r="CS112" s="11"/>
      <c r="CT112" s="1328">
        <f>$W$112/4</f>
        <v>3.3836580000000001</v>
      </c>
      <c r="CU112" s="1328">
        <f>$W$112/4</f>
        <v>3.3836580000000001</v>
      </c>
      <c r="CV112" s="1328">
        <f>$W$112/4</f>
        <v>3.3836580000000001</v>
      </c>
      <c r="CW112" s="1328">
        <f>$W$112/4</f>
        <v>3.3836580000000001</v>
      </c>
      <c r="CX112" s="11"/>
      <c r="CY112" s="1328">
        <f>$Z$112/4</f>
        <v>0.27469906209562817</v>
      </c>
      <c r="CZ112" s="1465">
        <f>$Z$112/4</f>
        <v>0.27469906209562817</v>
      </c>
      <c r="DA112" s="1465">
        <f>$Z$112/4</f>
        <v>0.27469906209562817</v>
      </c>
      <c r="DB112" s="1465">
        <f>$Z$112/4</f>
        <v>0.27469906209562817</v>
      </c>
      <c r="DC112" s="2862"/>
      <c r="DD112" s="2851">
        <f>$AA$112/4</f>
        <v>0.26070975000000002</v>
      </c>
      <c r="DE112" s="2851">
        <f t="shared" ref="DE112:DG112" si="221">$AA$112/4</f>
        <v>0.26070975000000002</v>
      </c>
      <c r="DF112" s="2851">
        <f t="shared" si="221"/>
        <v>0.26070975000000002</v>
      </c>
      <c r="DG112" s="2851">
        <f t="shared" si="221"/>
        <v>0.26070975000000002</v>
      </c>
      <c r="DH112" s="2862"/>
      <c r="DI112" s="3292">
        <f>$AC112/4</f>
        <v>0.27469906209562817</v>
      </c>
      <c r="DJ112" s="3292">
        <f>$AC112/4</f>
        <v>0.27469906209562817</v>
      </c>
      <c r="DK112" s="3292">
        <f>$AC112/4</f>
        <v>0.27469906209562817</v>
      </c>
      <c r="DL112" s="3296">
        <f>AC112-SUM(DI112:DK112)</f>
        <v>0.27469906209562822</v>
      </c>
      <c r="DM112" s="2926"/>
      <c r="DN112" s="3292">
        <f>$AD112/4</f>
        <v>0.30745814912794606</v>
      </c>
      <c r="DO112" s="3292">
        <f t="shared" ref="DO112:DP112" si="222">$AD112/4</f>
        <v>0.30745814912794606</v>
      </c>
      <c r="DP112" s="3292">
        <f t="shared" si="222"/>
        <v>0.30745814912794606</v>
      </c>
      <c r="DQ112" s="3296">
        <f>AD112-SUM(DN112:DP112)</f>
        <v>0.307458149127946</v>
      </c>
      <c r="DR112" s="53"/>
    </row>
    <row r="113" spans="1:122">
      <c r="A113" s="2934" t="s">
        <v>1315</v>
      </c>
      <c r="B113" s="2934"/>
      <c r="C113" s="2934"/>
      <c r="D113" s="2934"/>
      <c r="E113" s="2934"/>
      <c r="F113" s="2934"/>
      <c r="G113" s="2934"/>
      <c r="H113" s="2845">
        <f>-H163</f>
        <v>-13.9</v>
      </c>
      <c r="I113" s="110">
        <f t="shared" ref="I113:V113" si="223">-I171</f>
        <v>-11.8</v>
      </c>
      <c r="J113" s="110">
        <f t="shared" si="223"/>
        <v>-34.200000000000003</v>
      </c>
      <c r="K113" s="110">
        <f t="shared" si="223"/>
        <v>-79.599999999999994</v>
      </c>
      <c r="L113" s="111">
        <f t="shared" si="223"/>
        <v>-0.2</v>
      </c>
      <c r="M113" s="111">
        <f t="shared" si="223"/>
        <v>-106.9</v>
      </c>
      <c r="N113" s="111">
        <f t="shared" si="223"/>
        <v>-2.3346</v>
      </c>
      <c r="O113" s="919"/>
      <c r="P113" s="111"/>
      <c r="Q113" s="111"/>
      <c r="R113" s="111">
        <f t="shared" si="223"/>
        <v>0</v>
      </c>
      <c r="S113" s="111">
        <f>AVERAGE(BZ113:CC113)</f>
        <v>1.5</v>
      </c>
      <c r="T113" s="111">
        <f t="shared" si="223"/>
        <v>-42.2</v>
      </c>
      <c r="U113" s="111">
        <f>-U171</f>
        <v>-35.5</v>
      </c>
      <c r="V113" s="111">
        <f t="shared" si="223"/>
        <v>-45.8</v>
      </c>
      <c r="W113" s="111">
        <f>-W171</f>
        <v>-60.199999999999996</v>
      </c>
      <c r="X113" s="111"/>
      <c r="Y113" s="2845"/>
      <c r="Z113" s="2845">
        <f>-Z171</f>
        <v>-51.7</v>
      </c>
      <c r="AA113" s="2845">
        <f>-AA171</f>
        <v>-54.3</v>
      </c>
      <c r="AB113" s="2845"/>
      <c r="AC113" s="2845">
        <f>-AC171</f>
        <v>-16.2</v>
      </c>
      <c r="AD113" s="2845">
        <f>-AD171</f>
        <v>-14.21295357104864</v>
      </c>
      <c r="AE113" s="2845">
        <f>-AE171</f>
        <v>-21.821752650433709</v>
      </c>
      <c r="AF113" s="2845">
        <f>-AF171</f>
        <v>-20.763422845216368</v>
      </c>
      <c r="AG113" s="2845">
        <f t="shared" ref="AG113:AL113" si="224">-AG171</f>
        <v>-19.564610902651914</v>
      </c>
      <c r="AH113" s="2845">
        <f t="shared" si="224"/>
        <v>-18.43501443021243</v>
      </c>
      <c r="AI113" s="2845">
        <f t="shared" si="224"/>
        <v>-17.370637153641276</v>
      </c>
      <c r="AJ113" s="1525">
        <f t="shared" si="224"/>
        <v>-16.367713530451823</v>
      </c>
      <c r="AK113" s="1525">
        <f t="shared" si="224"/>
        <v>-15.422695428231741</v>
      </c>
      <c r="AL113" s="1525">
        <f t="shared" si="224"/>
        <v>-14.53223957209827</v>
      </c>
      <c r="AM113" s="1525">
        <f>-AM171</f>
        <v>-13.693195716896291</v>
      </c>
      <c r="AN113" s="1525">
        <f>-AN171</f>
        <v>-12.902595502294888</v>
      </c>
      <c r="AO113" s="1926"/>
      <c r="AP113" s="111"/>
      <c r="AQ113" s="111"/>
      <c r="AR113" s="111"/>
      <c r="AS113" s="111"/>
      <c r="AT113" s="110"/>
      <c r="AU113" s="11"/>
      <c r="AV113" s="38"/>
      <c r="AW113" s="38"/>
      <c r="AX113" s="38"/>
      <c r="AY113" s="38"/>
      <c r="AZ113" s="90"/>
      <c r="BA113" s="38"/>
      <c r="BB113" s="38"/>
      <c r="BC113" s="38"/>
      <c r="BD113" s="38"/>
      <c r="BE113" s="38" t="s">
        <v>337</v>
      </c>
      <c r="BF113" s="113">
        <v>0</v>
      </c>
      <c r="BG113" s="113">
        <v>0</v>
      </c>
      <c r="BH113" s="113">
        <v>0</v>
      </c>
      <c r="BI113" s="110">
        <f>L113-BH113-BG113-BF113</f>
        <v>-0.2</v>
      </c>
      <c r="BJ113" s="141"/>
      <c r="BK113" s="113">
        <v>-47.3</v>
      </c>
      <c r="BL113" s="113">
        <v>-7.6</v>
      </c>
      <c r="BM113" s="111">
        <v>-50.7</v>
      </c>
      <c r="BN113" s="111">
        <f>M113-SUM(BK113:BM113)</f>
        <v>-1.3000000000000114</v>
      </c>
      <c r="BO113" s="6"/>
      <c r="BP113" s="113">
        <v>-6</v>
      </c>
      <c r="BQ113" s="113">
        <f>-BQ171</f>
        <v>-1.4821509263443289</v>
      </c>
      <c r="BR113" s="113">
        <f>-BR171</f>
        <v>-5.3892215568862617E-2</v>
      </c>
      <c r="BS113" s="113">
        <f>-BS171</f>
        <v>-0.10919999999999988</v>
      </c>
      <c r="BT113" s="6" t="s">
        <v>337</v>
      </c>
      <c r="BU113" s="113">
        <f>-BU171</f>
        <v>0</v>
      </c>
      <c r="BV113" s="14">
        <v>0</v>
      </c>
      <c r="BW113" s="14">
        <v>0</v>
      </c>
      <c r="BX113" s="14">
        <v>0</v>
      </c>
      <c r="BY113" s="6"/>
      <c r="BZ113" s="14">
        <v>0</v>
      </c>
      <c r="CA113" s="14">
        <v>0</v>
      </c>
      <c r="CB113" s="14">
        <v>0</v>
      </c>
      <c r="CC113" s="14">
        <v>6</v>
      </c>
      <c r="CD113" s="6"/>
      <c r="CE113" s="124">
        <f>-CE171</f>
        <v>-11.8</v>
      </c>
      <c r="CF113" s="124">
        <f>-CF171</f>
        <v>-9.9</v>
      </c>
      <c r="CG113" s="124">
        <f>-CG171</f>
        <v>-13.5</v>
      </c>
      <c r="CH113" s="124">
        <f>-CH171</f>
        <v>-7</v>
      </c>
      <c r="CI113" s="6"/>
      <c r="CJ113" s="124">
        <f>-CJ171</f>
        <v>-9</v>
      </c>
      <c r="CK113" s="124">
        <f>-CK171</f>
        <v>-9.4</v>
      </c>
      <c r="CL113" s="124">
        <f>-CL171</f>
        <v>-8.6</v>
      </c>
      <c r="CM113" s="124">
        <f>-CM171</f>
        <v>-8.5</v>
      </c>
      <c r="CN113" s="6"/>
      <c r="CO113" s="124">
        <f>-CO171</f>
        <v>-24.1</v>
      </c>
      <c r="CP113" s="124">
        <f>-CP171</f>
        <v>-10.399999999999999</v>
      </c>
      <c r="CQ113" s="124">
        <f>-CQ171</f>
        <v>-5.3</v>
      </c>
      <c r="CR113" s="124">
        <f>-CR171</f>
        <v>-6</v>
      </c>
      <c r="CS113" s="11"/>
      <c r="CT113" s="1468">
        <f>-CT171</f>
        <v>-31.4</v>
      </c>
      <c r="CU113" s="1468">
        <f>-CU171</f>
        <v>-7</v>
      </c>
      <c r="CV113" s="1468">
        <f>-CV171</f>
        <v>-6.9</v>
      </c>
      <c r="CW113" s="124">
        <f>-CW171</f>
        <v>-14.9</v>
      </c>
      <c r="CX113" s="11"/>
      <c r="CY113" s="1468">
        <f>-CY171</f>
        <v>-17.2</v>
      </c>
      <c r="CZ113" s="1659">
        <f>-CZ171</f>
        <v>-13.3</v>
      </c>
      <c r="DA113" s="1659">
        <f>-DA171</f>
        <v>-10.6</v>
      </c>
      <c r="DB113" s="1659">
        <f>-DB171</f>
        <v>-10.600000000000001</v>
      </c>
      <c r="DC113" s="2862"/>
      <c r="DD113" s="2815">
        <f>-DD171</f>
        <v>-10.3</v>
      </c>
      <c r="DE113" s="2815">
        <f>-DE171</f>
        <v>-9.1999999999999993</v>
      </c>
      <c r="DF113" s="2815">
        <f>-DF171</f>
        <v>-9.5</v>
      </c>
      <c r="DG113" s="2815">
        <f>-DG171</f>
        <v>-25.299999999999997</v>
      </c>
      <c r="DH113" s="2862"/>
      <c r="DI113" s="3292">
        <f>-DI171</f>
        <v>-7.6</v>
      </c>
      <c r="DJ113" s="3292">
        <f>-DJ171</f>
        <v>-4.7</v>
      </c>
      <c r="DK113" s="3292">
        <f>-DK171</f>
        <v>-3.9</v>
      </c>
      <c r="DL113" s="3292">
        <f t="shared" ref="DL113:DQ113" si="225">-DL171</f>
        <v>0</v>
      </c>
      <c r="DM113" s="2926"/>
      <c r="DN113" s="3292">
        <f>-DN171</f>
        <v>-3.8135593220338984</v>
      </c>
      <c r="DO113" s="3292">
        <f t="shared" si="225"/>
        <v>-3.629032258064516</v>
      </c>
      <c r="DP113" s="3292">
        <f t="shared" si="225"/>
        <v>-3.4615384615384617</v>
      </c>
      <c r="DQ113" s="3292">
        <f t="shared" si="225"/>
        <v>-3.3088235294117645</v>
      </c>
      <c r="DR113" s="53"/>
    </row>
    <row r="114" spans="1:122">
      <c r="A114" s="2934" t="s">
        <v>1762</v>
      </c>
      <c r="B114" s="2934"/>
      <c r="C114" s="2934"/>
      <c r="D114" s="2934"/>
      <c r="E114" s="2934"/>
      <c r="F114" s="2934"/>
      <c r="G114" s="2934"/>
      <c r="H114" s="2935">
        <f t="shared" ref="H114:N114" si="226">H115-(H111+H112+H113)</f>
        <v>0.95000000000004547</v>
      </c>
      <c r="I114" s="838">
        <f t="shared" si="226"/>
        <v>2.0999999999999091</v>
      </c>
      <c r="J114" s="835">
        <f t="shared" si="226"/>
        <v>-13.699999999999932</v>
      </c>
      <c r="K114" s="838">
        <f t="shared" si="226"/>
        <v>10.200000000000045</v>
      </c>
      <c r="L114" s="838">
        <f t="shared" si="226"/>
        <v>6.3999999999999773</v>
      </c>
      <c r="M114" s="835">
        <f t="shared" si="226"/>
        <v>-5</v>
      </c>
      <c r="N114" s="835">
        <f t="shared" si="226"/>
        <v>1.6696000000000595</v>
      </c>
      <c r="O114" s="919"/>
      <c r="P114" s="837"/>
      <c r="Q114" s="837"/>
      <c r="R114" s="835">
        <f>R115-(R111+R112+R113)</f>
        <v>9.8999999999999773</v>
      </c>
      <c r="S114" s="835">
        <f>S115-(S111+S112+S113)</f>
        <v>10.540366000000063</v>
      </c>
      <c r="T114" s="835">
        <f>T115-(T111+T112+T113)</f>
        <v>5.4767839999999524</v>
      </c>
      <c r="U114" s="835">
        <f>SUM(CJ114:CM114)</f>
        <v>5.2179519999999986</v>
      </c>
      <c r="V114" s="835">
        <f>SUM(CO114:CR114)</f>
        <v>8.0897899999999971</v>
      </c>
      <c r="W114" s="835">
        <f>SUM(CT114:CW114)</f>
        <v>-41.334631999999999</v>
      </c>
      <c r="X114" s="835"/>
      <c r="Y114" s="2924"/>
      <c r="Z114" s="2924">
        <f>SUM(CY114:DB114)</f>
        <v>6.6012037516174882</v>
      </c>
      <c r="AA114" s="2924">
        <f>SUM(DD114:DG114)</f>
        <v>2.2571609999999964</v>
      </c>
      <c r="AB114" s="2924"/>
      <c r="AC114" s="2924">
        <f>SUM(DI114:DL114)</f>
        <v>-13.924097186286883</v>
      </c>
      <c r="AD114" s="2924">
        <f>SUM(DN114:DQ114)</f>
        <v>1.2</v>
      </c>
      <c r="AE114" s="2859">
        <f t="shared" ref="AE114:AN114" si="227">AE111/AD111*AD114</f>
        <v>1.1590122255113584</v>
      </c>
      <c r="AF114" s="2859">
        <f t="shared" si="227"/>
        <v>1.0919084914833204</v>
      </c>
      <c r="AG114" s="2859">
        <f t="shared" si="227"/>
        <v>1.0287245217705043</v>
      </c>
      <c r="AH114" s="2859">
        <f t="shared" si="227"/>
        <v>0.96994352141405504</v>
      </c>
      <c r="AI114" s="2859">
        <f t="shared" si="227"/>
        <v>0.91532373166575809</v>
      </c>
      <c r="AJ114" s="2859">
        <f t="shared" si="227"/>
        <v>0.86463898903618064</v>
      </c>
      <c r="AK114" s="2859">
        <f t="shared" si="227"/>
        <v>0.81767774695718876</v>
      </c>
      <c r="AL114" s="2859">
        <f t="shared" si="227"/>
        <v>0.77424216444951544</v>
      </c>
      <c r="AM114" s="2859">
        <f t="shared" si="227"/>
        <v>0.73414725694133776</v>
      </c>
      <c r="AN114" s="2859">
        <f t="shared" si="227"/>
        <v>0.69722010476616325</v>
      </c>
      <c r="AO114" s="1926"/>
      <c r="AP114" s="2907"/>
      <c r="AQ114" s="1212"/>
      <c r="AR114" s="1212"/>
      <c r="AS114" s="1212"/>
      <c r="AT114" s="112"/>
      <c r="AU114" s="11"/>
      <c r="AV114" s="38"/>
      <c r="AW114" s="38"/>
      <c r="AX114" s="38"/>
      <c r="AY114" s="38"/>
      <c r="AZ114" s="90"/>
      <c r="BA114" s="38"/>
      <c r="BB114" s="38"/>
      <c r="BC114" s="38"/>
      <c r="BD114" s="38"/>
      <c r="BE114" s="38"/>
      <c r="BF114" s="109">
        <f t="shared" ref="BF114:BQ114" si="228">+BF115-BF111-BF112-BF113</f>
        <v>3.5740840000000844</v>
      </c>
      <c r="BG114" s="109">
        <f t="shared" si="228"/>
        <v>1.0009159999999155</v>
      </c>
      <c r="BH114" s="109">
        <f t="shared" si="228"/>
        <v>0.77499999999993174</v>
      </c>
      <c r="BI114" s="109">
        <f t="shared" si="228"/>
        <v>1.0500000000000449</v>
      </c>
      <c r="BJ114" s="116"/>
      <c r="BK114" s="109">
        <f t="shared" si="228"/>
        <v>2.2000000000000171</v>
      </c>
      <c r="BL114" s="109">
        <f t="shared" si="228"/>
        <v>2.8999999999999995</v>
      </c>
      <c r="BM114" s="109">
        <f t="shared" si="228"/>
        <v>12.461000000000013</v>
      </c>
      <c r="BN114" s="109">
        <f t="shared" si="228"/>
        <v>-13.961000000000023</v>
      </c>
      <c r="BO114" s="145"/>
      <c r="BP114" s="109">
        <f t="shared" si="228"/>
        <v>3.2587500000000227</v>
      </c>
      <c r="BQ114" s="109">
        <f t="shared" si="228"/>
        <v>3.7409009263443513</v>
      </c>
      <c r="BR114" s="111">
        <v>0</v>
      </c>
      <c r="BS114" s="111">
        <v>0</v>
      </c>
      <c r="BT114" s="145"/>
      <c r="BU114" s="109">
        <f>+BU115-BU111-BU112-BU113</f>
        <v>0</v>
      </c>
      <c r="BV114" s="109">
        <f>+BV115-BV111-BV112-BV113</f>
        <v>2.6000000000000227</v>
      </c>
      <c r="BW114" s="109">
        <f>+BW115-BW111-BW112-BW113</f>
        <v>0.10000000000002274</v>
      </c>
      <c r="BX114" s="109">
        <f>+BX115-BX111-BX112-BX113</f>
        <v>5.8999999999999773</v>
      </c>
      <c r="BY114" s="145"/>
      <c r="BZ114" s="109">
        <f>+BZ115-BZ111-BZ112-BZ113</f>
        <v>3.5850914999999772</v>
      </c>
      <c r="CA114" s="109">
        <f>+CA115-CA111-CA112-CA113</f>
        <v>1.0850914999999772</v>
      </c>
      <c r="CB114" s="109">
        <f>+CB115-CB111-CB112-CB113</f>
        <v>1.0850915000000909</v>
      </c>
      <c r="CC114" s="109">
        <f>+CC115-CC111-CC112-CC113</f>
        <v>0.28509150000002315</v>
      </c>
      <c r="CD114" s="145"/>
      <c r="CE114" s="109">
        <f>+CE115-CE111-CE112-CE113</f>
        <v>-1.3558040000000666</v>
      </c>
      <c r="CF114" s="109">
        <f>+CF115-CF111-CF112-CF113</f>
        <v>-3.9558039999999988</v>
      </c>
      <c r="CG114" s="109">
        <f>+CG115-CG111-CG112-CG113</f>
        <v>11.644196000000001</v>
      </c>
      <c r="CH114" s="109">
        <f>+CH115-CH111-CH112-CH113</f>
        <v>-0.85580400000000001</v>
      </c>
      <c r="CI114" s="145"/>
      <c r="CJ114" s="109">
        <f>+CJ115-CJ111-CJ112-CJ113</f>
        <v>4.4294880000000001</v>
      </c>
      <c r="CK114" s="109">
        <f>+CK115-CK111-CK112-CK113</f>
        <v>-2.1705120000000004</v>
      </c>
      <c r="CL114" s="109">
        <f>+CL115-CL111-CL112-CL113</f>
        <v>4.0294879999999997</v>
      </c>
      <c r="CM114" s="109">
        <f>+CM115-CM111-CM112-CM113</f>
        <v>-1.0705120000000008</v>
      </c>
      <c r="CN114" s="145"/>
      <c r="CO114" s="109">
        <f>+CO115-CO111-CO112-CO113</f>
        <v>6.1724475000000005</v>
      </c>
      <c r="CP114" s="109">
        <f>+CP115-CP111-CP112-CP113</f>
        <v>3.4724474999999986</v>
      </c>
      <c r="CQ114" s="109">
        <f>+CQ115-CQ111-CQ112-CQ113</f>
        <v>-0.62755250000000018</v>
      </c>
      <c r="CR114" s="109">
        <f>+CR115-CR111-CR112-CR113</f>
        <v>-0.9275525</v>
      </c>
      <c r="CS114" s="54"/>
      <c r="CT114" s="109">
        <f>+CT115-CT111-CT112-CT113</f>
        <v>7.0163419999999981</v>
      </c>
      <c r="CU114" s="109">
        <f>+CU115-CU111-CU112-CU113</f>
        <v>-1.3836580000000005</v>
      </c>
      <c r="CV114" s="109">
        <f>+CV115-CV111-CV112-CV113</f>
        <v>-45.483657999999998</v>
      </c>
      <c r="CW114" s="109">
        <f>+CW115-CW111-CW112-CW113</f>
        <v>-1.4836580000000001</v>
      </c>
      <c r="CX114" s="109"/>
      <c r="CY114" s="109">
        <f>+CY115-CY111-CY112-CY113</f>
        <v>4.9253009379043711</v>
      </c>
      <c r="CZ114" s="1906">
        <f>+CZ115-CZ111-CZ112-CZ113</f>
        <v>2.0253009379043725</v>
      </c>
      <c r="DA114" s="1906">
        <f>+DA115-DA111-DA112-DA113</f>
        <v>0.32530093790437142</v>
      </c>
      <c r="DB114" s="1906">
        <f>+DB115-DB111-DB112-DB113</f>
        <v>-0.6746990620956268</v>
      </c>
      <c r="DC114" s="2935"/>
      <c r="DD114" s="2935">
        <f>+DD115-DD111-DD112-DD113</f>
        <v>1.0392902500000005</v>
      </c>
      <c r="DE114" s="2935">
        <f>+DE115-DE111-DE112-DE113</f>
        <v>0.93929024999999911</v>
      </c>
      <c r="DF114" s="2935">
        <f>+DF115-DF111-DF112-DF113</f>
        <v>0.23929024999999982</v>
      </c>
      <c r="DG114" s="2935">
        <f>+DG115-DG111-DG112-DG113</f>
        <v>3.9290249999996973E-2</v>
      </c>
      <c r="DH114" s="3097"/>
      <c r="DI114" s="3300">
        <f>+DI115-DI111-DI112-DI113</f>
        <v>2.3253009379043714</v>
      </c>
      <c r="DJ114" s="3300">
        <f>+DJ115-DJ111-DJ112-DJ113</f>
        <v>0.42530093790437196</v>
      </c>
      <c r="DK114" s="3300">
        <f>+DK115-DK111-DK112-DK113</f>
        <v>0.62530093790437169</v>
      </c>
      <c r="DL114" s="3297">
        <f>0.6-17.9</f>
        <v>-17.299999999999997</v>
      </c>
      <c r="DM114" s="2926"/>
      <c r="DN114" s="3297">
        <v>0.3</v>
      </c>
      <c r="DO114" s="3297">
        <v>0.3</v>
      </c>
      <c r="DP114" s="3297">
        <v>0.3</v>
      </c>
      <c r="DQ114" s="3297">
        <v>0.3</v>
      </c>
      <c r="DR114" s="2926"/>
    </row>
    <row r="115" spans="1:122">
      <c r="A115" s="2934" t="s">
        <v>256</v>
      </c>
      <c r="B115" s="3063"/>
      <c r="C115" s="3063"/>
      <c r="D115" s="3063"/>
      <c r="E115" s="3063"/>
      <c r="F115" s="3063"/>
      <c r="G115" s="3063"/>
      <c r="H115" s="2878">
        <f>(1716-(106.7-1.4))/2</f>
        <v>805.35</v>
      </c>
      <c r="I115" s="77">
        <f>865.4-64.9</f>
        <v>800.5</v>
      </c>
      <c r="J115" s="77">
        <f>868.9-112.9</f>
        <v>756</v>
      </c>
      <c r="K115" s="113">
        <v>695</v>
      </c>
      <c r="L115" s="112">
        <f>715.5-8.6</f>
        <v>706.9</v>
      </c>
      <c r="M115" s="113">
        <f>727.1-114.7</f>
        <v>612.4</v>
      </c>
      <c r="N115" s="112">
        <f>733.5-120.4</f>
        <v>613.1</v>
      </c>
      <c r="O115" s="919"/>
      <c r="P115" s="110"/>
      <c r="Q115" s="110"/>
      <c r="R115" s="112">
        <f>743.4-120.4</f>
        <v>623</v>
      </c>
      <c r="S115" s="112">
        <f>756.7-120.4</f>
        <v>636.30000000000007</v>
      </c>
      <c r="T115" s="112">
        <f>769-162</f>
        <v>607</v>
      </c>
      <c r="U115" s="110">
        <f>SUM(U111:U114)</f>
        <v>587</v>
      </c>
      <c r="V115" s="110">
        <f>SUM(V111:V114)</f>
        <v>557</v>
      </c>
      <c r="W115" s="110">
        <f t="shared" ref="W115:AF115" si="229">SUM(W111:W114)</f>
        <v>469</v>
      </c>
      <c r="X115" s="110"/>
      <c r="Y115" s="2845"/>
      <c r="Z115" s="2845">
        <f>SUM(Z111:Z114)</f>
        <v>425</v>
      </c>
      <c r="AA115" s="2845">
        <f t="shared" si="229"/>
        <v>374</v>
      </c>
      <c r="AB115" s="2845"/>
      <c r="AC115" s="2845">
        <f>SUM(AC111:AC114)</f>
        <v>344.97469906209562</v>
      </c>
      <c r="AD115" s="2845">
        <f>SUM(AD111:AD114)</f>
        <v>333.19157808755881</v>
      </c>
      <c r="AE115" s="2845">
        <f t="shared" si="229"/>
        <v>313.90066937733769</v>
      </c>
      <c r="AF115" s="2845">
        <f t="shared" si="229"/>
        <v>295.73661026298163</v>
      </c>
      <c r="AG115" s="2845">
        <f t="shared" ref="AG115:AL115" si="230">SUM(AG111:AG114)</f>
        <v>278.83831200586911</v>
      </c>
      <c r="AH115" s="2845">
        <f t="shared" si="230"/>
        <v>263.13627406315771</v>
      </c>
      <c r="AI115" s="2845">
        <f t="shared" si="230"/>
        <v>248.56547920009251</v>
      </c>
      <c r="AJ115" s="1525">
        <f t="shared" si="230"/>
        <v>235.06511223860713</v>
      </c>
      <c r="AK115" s="1525">
        <f t="shared" si="230"/>
        <v>222.57829806846428</v>
      </c>
      <c r="AL115" s="1525">
        <f t="shared" si="230"/>
        <v>211.05185752550082</v>
      </c>
      <c r="AM115" s="1525">
        <f>SUM(AM111:AM114)</f>
        <v>200.43607985145829</v>
      </c>
      <c r="AN115" s="1525">
        <f>SUM(AN111:AN114)</f>
        <v>190.68451055049857</v>
      </c>
      <c r="AO115" s="1926"/>
      <c r="AP115" s="110"/>
      <c r="AQ115" s="110"/>
      <c r="AR115" s="110"/>
      <c r="AS115" s="110"/>
      <c r="AT115" s="110"/>
      <c r="AU115" s="11"/>
      <c r="AV115" s="38"/>
      <c r="AW115" s="38"/>
      <c r="AX115" s="38"/>
      <c r="AY115" s="38"/>
      <c r="AZ115" s="90"/>
      <c r="BA115" s="76">
        <f>(1741.2-262.6)/2</f>
        <v>739.3</v>
      </c>
      <c r="BB115" s="76">
        <f>(1744.7-290.6)/2</f>
        <v>727.05</v>
      </c>
      <c r="BC115" s="76">
        <f>(1746.5-325.6)/2</f>
        <v>710.45</v>
      </c>
      <c r="BD115" s="77">
        <f>+K115</f>
        <v>695</v>
      </c>
      <c r="BE115" s="77"/>
      <c r="BF115" s="113">
        <f>+(708.374084-8.8)</f>
        <v>699.57408400000008</v>
      </c>
      <c r="BG115" s="113">
        <f>710.8-8.8</f>
        <v>702</v>
      </c>
      <c r="BH115" s="113">
        <f>712.8-8.6</f>
        <v>704.19999999999993</v>
      </c>
      <c r="BI115" s="112">
        <f>715.5-8.6</f>
        <v>706.9</v>
      </c>
      <c r="BJ115" s="110"/>
      <c r="BK115" s="113">
        <f>719.6-55.6</f>
        <v>664</v>
      </c>
      <c r="BL115" s="113">
        <f>724.6-63.1</f>
        <v>661.5</v>
      </c>
      <c r="BM115" s="113">
        <v>625.46100000000001</v>
      </c>
      <c r="BN115" s="113">
        <f>727.1-114.7</f>
        <v>612.4</v>
      </c>
      <c r="BO115" s="6"/>
      <c r="BP115" s="113">
        <f>730.3-120.3</f>
        <v>610</v>
      </c>
      <c r="BQ115" s="113">
        <f>732.9-120.3</f>
        <v>612.6</v>
      </c>
      <c r="BR115" s="109">
        <f>BR117-BR109</f>
        <v>612.69999999999993</v>
      </c>
      <c r="BS115" s="109">
        <f>BS117-BS109</f>
        <v>625.19999999999993</v>
      </c>
      <c r="BT115" s="6"/>
      <c r="BU115" s="113">
        <v>614.4</v>
      </c>
      <c r="BV115" s="113">
        <v>617</v>
      </c>
      <c r="BW115" s="113">
        <v>617.1</v>
      </c>
      <c r="BX115" s="113">
        <f>R115</f>
        <v>623</v>
      </c>
      <c r="BY115" s="6"/>
      <c r="BZ115" s="113">
        <f>747.1-120.2</f>
        <v>626.9</v>
      </c>
      <c r="CA115" s="113">
        <f>748.5-120.2</f>
        <v>628.29999999999995</v>
      </c>
      <c r="CB115" s="113">
        <v>629.70000000000005</v>
      </c>
      <c r="CC115" s="111">
        <f>756.7-120.4</f>
        <v>636.30000000000007</v>
      </c>
      <c r="CD115" s="6"/>
      <c r="CE115" s="113">
        <f>767-142</f>
        <v>625</v>
      </c>
      <c r="CF115" s="113">
        <f>768-155</f>
        <v>613</v>
      </c>
      <c r="CG115" s="113">
        <f>768-155</f>
        <v>613</v>
      </c>
      <c r="CH115" s="113">
        <f>769-162</f>
        <v>607</v>
      </c>
      <c r="CI115" s="6"/>
      <c r="CJ115" s="113">
        <f>776-171</f>
        <v>605</v>
      </c>
      <c r="CK115" s="113">
        <f>777-181</f>
        <v>596</v>
      </c>
      <c r="CL115" s="113">
        <f>783-189</f>
        <v>594</v>
      </c>
      <c r="CM115" s="113">
        <f>785-198</f>
        <v>587</v>
      </c>
      <c r="CN115" s="11"/>
      <c r="CO115" s="113">
        <f>793-222</f>
        <v>571</v>
      </c>
      <c r="CP115" s="113">
        <f>798-232</f>
        <v>566</v>
      </c>
      <c r="CQ115" s="113">
        <f>799-237</f>
        <v>562</v>
      </c>
      <c r="CR115" s="113">
        <f>801-244</f>
        <v>557</v>
      </c>
      <c r="CS115" s="53">
        <f>+CR115-V115</f>
        <v>0</v>
      </c>
      <c r="CT115" s="113">
        <f>806-270</f>
        <v>536</v>
      </c>
      <c r="CU115" s="113">
        <f>813-282</f>
        <v>531</v>
      </c>
      <c r="CV115" s="113">
        <f>816-334</f>
        <v>482</v>
      </c>
      <c r="CW115" s="113">
        <f>818-349</f>
        <v>469</v>
      </c>
      <c r="CX115" s="53">
        <f>+CW115-W115</f>
        <v>0</v>
      </c>
      <c r="CY115" s="1664">
        <f>823-366</f>
        <v>457</v>
      </c>
      <c r="CZ115" s="1664">
        <f>825-379</f>
        <v>446</v>
      </c>
      <c r="DA115" s="1664">
        <f>826-390</f>
        <v>436</v>
      </c>
      <c r="DB115" s="1664">
        <f>826-401</f>
        <v>425</v>
      </c>
      <c r="DC115" s="2926">
        <f>+DB115-$Z115</f>
        <v>0</v>
      </c>
      <c r="DD115" s="2906">
        <f>827-411</f>
        <v>416</v>
      </c>
      <c r="DE115" s="2906">
        <f>828-420</f>
        <v>408</v>
      </c>
      <c r="DF115" s="2906">
        <f>828-429</f>
        <v>399</v>
      </c>
      <c r="DG115" s="2906">
        <f>829-455</f>
        <v>374</v>
      </c>
      <c r="DH115" s="2926">
        <f>+DG115-$AA115</f>
        <v>0</v>
      </c>
      <c r="DI115" s="3299">
        <f>831-462</f>
        <v>369</v>
      </c>
      <c r="DJ115" s="3299">
        <f>832-467</f>
        <v>365</v>
      </c>
      <c r="DK115" s="3299">
        <f>833-471</f>
        <v>362</v>
      </c>
      <c r="DL115" s="3294">
        <f>SUM(DL111:DL114)</f>
        <v>344.97469906209562</v>
      </c>
      <c r="DM115" s="2926">
        <f>$AC115-DL115</f>
        <v>0</v>
      </c>
      <c r="DN115" s="3294">
        <f>SUM(DN111:DN114)</f>
        <v>341.76859788918972</v>
      </c>
      <c r="DO115" s="3294">
        <f>SUM(DO111:DO114)</f>
        <v>338.74702378025319</v>
      </c>
      <c r="DP115" s="3294">
        <f>SUM(DP111:DP114)</f>
        <v>335.89294346784271</v>
      </c>
      <c r="DQ115" s="3294">
        <f>SUM(DQ111:DQ114)</f>
        <v>333.19157808755892</v>
      </c>
      <c r="DR115" s="2926">
        <f>$AD115-DQ115</f>
        <v>0</v>
      </c>
    </row>
    <row r="116" spans="1:122">
      <c r="A116" s="2934"/>
      <c r="B116" s="3063"/>
      <c r="C116" s="3063"/>
      <c r="D116" s="3063"/>
      <c r="E116" s="3063"/>
      <c r="F116" s="3063"/>
      <c r="G116" s="3063"/>
      <c r="H116" s="2878"/>
      <c r="I116" s="77"/>
      <c r="J116" s="77"/>
      <c r="K116" s="76"/>
      <c r="L116" s="110"/>
      <c r="M116" s="110"/>
      <c r="N116" s="110"/>
      <c r="O116" s="919"/>
      <c r="P116" s="110"/>
      <c r="Q116" s="110"/>
      <c r="R116" s="110"/>
      <c r="S116" s="110"/>
      <c r="T116" s="110"/>
      <c r="U116" s="52"/>
      <c r="V116" s="110"/>
      <c r="W116" s="110"/>
      <c r="X116" s="110"/>
      <c r="Y116" s="2845"/>
      <c r="Z116" s="2845"/>
      <c r="AA116" s="2845"/>
      <c r="AB116" s="2845"/>
      <c r="AC116" s="2845"/>
      <c r="AD116" s="2845"/>
      <c r="AE116" s="2845"/>
      <c r="AF116" s="2845"/>
      <c r="AG116" s="2845"/>
      <c r="AH116" s="2845"/>
      <c r="AI116" s="2845"/>
      <c r="AJ116" s="1525"/>
      <c r="AK116" s="1525"/>
      <c r="AL116" s="1525"/>
      <c r="AM116" s="1525"/>
      <c r="AN116" s="110"/>
      <c r="AO116" s="1926"/>
      <c r="AP116" s="110"/>
      <c r="AQ116" s="110"/>
      <c r="AR116" s="110"/>
      <c r="AS116" s="110"/>
      <c r="AT116" s="110"/>
      <c r="AU116" s="11"/>
      <c r="AV116" s="38"/>
      <c r="AW116" s="38"/>
      <c r="AX116" s="38"/>
      <c r="AY116" s="38"/>
      <c r="AZ116" s="90"/>
      <c r="BA116" s="76"/>
      <c r="BB116" s="76"/>
      <c r="BC116" s="76"/>
      <c r="BD116" s="77"/>
      <c r="BE116" s="77"/>
      <c r="BF116" s="77"/>
      <c r="BG116" s="901"/>
      <c r="BH116" s="901"/>
      <c r="BI116" s="901"/>
      <c r="BJ116" s="94"/>
      <c r="BK116" s="901"/>
      <c r="BL116" s="901"/>
      <c r="BM116" s="887"/>
      <c r="BN116" s="887"/>
      <c r="BO116" s="6"/>
      <c r="BP116" s="901"/>
      <c r="BQ116" s="901"/>
      <c r="BR116" s="159"/>
      <c r="BS116" s="887"/>
      <c r="BT116" s="6" t="s">
        <v>337</v>
      </c>
      <c r="BU116" s="11"/>
      <c r="BV116" s="11"/>
      <c r="BW116" s="14"/>
      <c r="BX116" s="14"/>
      <c r="BY116" s="6"/>
      <c r="BZ116" s="6"/>
      <c r="CA116" s="6"/>
      <c r="CB116" s="6"/>
      <c r="CC116" s="6"/>
      <c r="CD116" s="6"/>
      <c r="CE116" s="13"/>
      <c r="CF116" s="6"/>
      <c r="CG116" s="6"/>
      <c r="CH116" s="13"/>
      <c r="CI116" s="6"/>
      <c r="CJ116" s="13"/>
      <c r="CK116" s="13"/>
      <c r="CL116" s="13"/>
      <c r="CM116" s="14"/>
      <c r="CN116" s="14"/>
      <c r="CO116" s="14"/>
      <c r="CP116" s="14"/>
      <c r="CQ116" s="6"/>
      <c r="CR116" s="6"/>
      <c r="CS116" s="11"/>
      <c r="CT116" s="862"/>
      <c r="CU116" s="1564"/>
      <c r="CV116" s="881"/>
      <c r="CW116" s="13"/>
      <c r="CX116" s="14"/>
      <c r="CY116" s="1648"/>
      <c r="CZ116" s="1648"/>
      <c r="DA116" s="1648"/>
      <c r="DB116" s="1648"/>
      <c r="DC116" s="2862"/>
      <c r="DD116" s="2862"/>
      <c r="DE116" s="2862"/>
      <c r="DF116" s="2862"/>
      <c r="DG116" s="2862"/>
      <c r="DH116" s="2862"/>
      <c r="DI116" s="3292"/>
      <c r="DJ116" s="3292"/>
      <c r="DK116" s="3292"/>
      <c r="DL116" s="3292"/>
      <c r="DM116" s="2862"/>
      <c r="DN116" s="3292"/>
      <c r="DO116" s="3292"/>
      <c r="DP116" s="3298"/>
      <c r="DQ116" s="3298"/>
      <c r="DR116" s="2862"/>
    </row>
    <row r="117" spans="1:122">
      <c r="A117" s="3064" t="s">
        <v>502</v>
      </c>
      <c r="B117" s="3064"/>
      <c r="C117" s="3064"/>
      <c r="D117" s="3064"/>
      <c r="E117" s="3064"/>
      <c r="F117" s="3064"/>
      <c r="G117" s="3064"/>
      <c r="H117" s="2906">
        <f>1752.8/2</f>
        <v>876.4</v>
      </c>
      <c r="I117" s="113">
        <v>872</v>
      </c>
      <c r="J117" s="113">
        <v>857.2</v>
      </c>
      <c r="K117" s="113">
        <v>789.7</v>
      </c>
      <c r="L117" s="113">
        <v>765.2</v>
      </c>
      <c r="M117" s="76">
        <v>713.8</v>
      </c>
      <c r="N117" s="76">
        <v>669.8</v>
      </c>
      <c r="O117" s="919"/>
      <c r="P117" s="13"/>
      <c r="Q117" s="13"/>
      <c r="R117" s="76">
        <v>673.6</v>
      </c>
      <c r="S117" s="76">
        <v>678.7</v>
      </c>
      <c r="T117" s="76">
        <v>664</v>
      </c>
      <c r="U117" s="76">
        <v>642</v>
      </c>
      <c r="V117" s="76">
        <v>599</v>
      </c>
      <c r="W117" s="76">
        <v>550</v>
      </c>
      <c r="X117" s="166"/>
      <c r="Y117" s="2787"/>
      <c r="Z117" s="2878">
        <v>484</v>
      </c>
      <c r="AA117" s="2878">
        <v>444</v>
      </c>
      <c r="AB117" s="2787"/>
      <c r="AC117" s="2787">
        <f>AVERAGE(DI117:DL117)</f>
        <v>402.06640260015325</v>
      </c>
      <c r="AD117" s="2787">
        <f>AVERAGE(DN117:DQ117)</f>
        <v>376.87292592802828</v>
      </c>
      <c r="AE117" s="2806">
        <f>(AE105+AE109+AE111+AE115)/2</f>
        <v>361.54612373244822</v>
      </c>
      <c r="AF117" s="2806">
        <f t="shared" ref="AF117:AK117" si="231">(AF105+AF109+AF111+AF115)/2</f>
        <v>342.81863982015966</v>
      </c>
      <c r="AG117" s="2806">
        <f t="shared" si="231"/>
        <v>325.28746113442537</v>
      </c>
      <c r="AH117" s="2806">
        <f t="shared" si="231"/>
        <v>308.98729303451341</v>
      </c>
      <c r="AI117" s="2806">
        <f t="shared" si="231"/>
        <v>293.85087663162511</v>
      </c>
      <c r="AJ117" s="1357">
        <f t="shared" si="231"/>
        <v>279.81529571934982</v>
      </c>
      <c r="AK117" s="1357">
        <f t="shared" si="231"/>
        <v>266.82170515353573</v>
      </c>
      <c r="AL117" s="1357">
        <f>(AL105+AL109+AL111+AL115)/2</f>
        <v>254.81507779698256</v>
      </c>
      <c r="AM117" s="1357">
        <f>(AM105+AM109+AM111+AM115)/2</f>
        <v>243.74396868847958</v>
      </c>
      <c r="AN117" s="1357">
        <f>(AN105+AN109+AN111+AN115)/2</f>
        <v>233.56029520097843</v>
      </c>
      <c r="AO117" s="1926"/>
      <c r="AP117" s="13"/>
      <c r="AQ117" s="13"/>
      <c r="AR117" s="13"/>
      <c r="AS117" s="13"/>
      <c r="AT117" s="13"/>
      <c r="AU117" s="11"/>
      <c r="AV117" s="76">
        <f>1731/2</f>
        <v>865.5</v>
      </c>
      <c r="AW117" s="76">
        <f>1724.3/2</f>
        <v>862.15</v>
      </c>
      <c r="AX117" s="76">
        <f>1725.7/2</f>
        <v>862.85</v>
      </c>
      <c r="AY117" s="76">
        <f>1677.1/2</f>
        <v>838.55</v>
      </c>
      <c r="AZ117" s="40"/>
      <c r="BA117" s="76">
        <f>1625/2</f>
        <v>812.5</v>
      </c>
      <c r="BB117" s="76">
        <f>1600.2/2</f>
        <v>800.1</v>
      </c>
      <c r="BC117" s="76">
        <f>1570.3/2</f>
        <v>785.15</v>
      </c>
      <c r="BD117" s="76">
        <f>1523.3/2</f>
        <v>761.65</v>
      </c>
      <c r="BE117" s="76"/>
      <c r="BF117" s="77">
        <v>762.8</v>
      </c>
      <c r="BG117" s="77">
        <v>764.6</v>
      </c>
      <c r="BH117" s="77">
        <v>766</v>
      </c>
      <c r="BI117" s="76">
        <v>767.4</v>
      </c>
      <c r="BJ117" s="13"/>
      <c r="BK117" s="76">
        <v>756.7</v>
      </c>
      <c r="BL117" s="76">
        <v>720.8</v>
      </c>
      <c r="BM117" s="76">
        <v>707.1</v>
      </c>
      <c r="BN117" s="76">
        <v>671.7</v>
      </c>
      <c r="BO117" s="6"/>
      <c r="BP117" s="76">
        <v>667.9</v>
      </c>
      <c r="BQ117" s="77">
        <v>669.4</v>
      </c>
      <c r="BR117" s="76">
        <v>670.9</v>
      </c>
      <c r="BS117" s="76">
        <v>670.9</v>
      </c>
      <c r="BT117" s="6"/>
      <c r="BU117" s="76">
        <v>671.5</v>
      </c>
      <c r="BV117" s="76">
        <v>673.4</v>
      </c>
      <c r="BW117" s="76">
        <v>674.8</v>
      </c>
      <c r="BX117" s="76">
        <v>678.8</v>
      </c>
      <c r="BY117" s="6"/>
      <c r="BZ117" s="76">
        <v>676.3</v>
      </c>
      <c r="CA117" s="76">
        <v>679.1</v>
      </c>
      <c r="CB117" s="76">
        <v>679.5</v>
      </c>
      <c r="CC117" s="76">
        <v>679.9</v>
      </c>
      <c r="CD117" s="6"/>
      <c r="CE117" s="76">
        <v>674</v>
      </c>
      <c r="CF117" s="76">
        <v>669</v>
      </c>
      <c r="CG117" s="76">
        <v>659</v>
      </c>
      <c r="CH117" s="76">
        <v>653</v>
      </c>
      <c r="CI117" s="6"/>
      <c r="CJ117" s="76">
        <v>650</v>
      </c>
      <c r="CK117" s="76">
        <v>646</v>
      </c>
      <c r="CL117" s="76">
        <v>640</v>
      </c>
      <c r="CM117" s="77">
        <v>634</v>
      </c>
      <c r="CN117" s="11"/>
      <c r="CO117" s="77">
        <v>621</v>
      </c>
      <c r="CP117" s="77">
        <v>609</v>
      </c>
      <c r="CQ117" s="77">
        <v>603</v>
      </c>
      <c r="CR117" s="77">
        <v>599</v>
      </c>
      <c r="CS117" s="11"/>
      <c r="CT117" s="77">
        <f>CT54</f>
        <v>585</v>
      </c>
      <c r="CU117" s="77">
        <f>CU54</f>
        <v>570</v>
      </c>
      <c r="CV117" s="77">
        <f>CV54</f>
        <v>531</v>
      </c>
      <c r="CW117" s="77">
        <f>CW54</f>
        <v>515</v>
      </c>
      <c r="CX117" s="77"/>
      <c r="CY117" s="77">
        <f>CY54</f>
        <v>498</v>
      </c>
      <c r="CZ117" s="77">
        <f>CZ54</f>
        <v>490</v>
      </c>
      <c r="DA117" s="77">
        <f>DA54</f>
        <v>480</v>
      </c>
      <c r="DB117" s="77">
        <f>DB54</f>
        <v>469</v>
      </c>
      <c r="DC117" s="2878"/>
      <c r="DD117" s="2878">
        <f>DD54</f>
        <v>459</v>
      </c>
      <c r="DE117" s="2878">
        <f>DE54</f>
        <v>451</v>
      </c>
      <c r="DF117" s="2878">
        <f>DF54</f>
        <v>442</v>
      </c>
      <c r="DG117" s="2878">
        <f>DG54</f>
        <v>424</v>
      </c>
      <c r="DH117" s="2862"/>
      <c r="DI117" s="3297">
        <f t="shared" ref="DI117:DK117" si="232">DI54</f>
        <v>410</v>
      </c>
      <c r="DJ117" s="3297">
        <f t="shared" si="232"/>
        <v>405</v>
      </c>
      <c r="DK117" s="3297">
        <f t="shared" si="232"/>
        <v>401</v>
      </c>
      <c r="DL117" s="3292">
        <f>(DL105+DL109+DL111+(DL115-(DL114-0.6)))/2-(17.9*42/92)</f>
        <v>392.26561040061301</v>
      </c>
      <c r="DM117" s="2862"/>
      <c r="DN117" s="3292">
        <f>(DN105+DN109+DN111+DN115)/2</f>
        <v>381.3716484756427</v>
      </c>
      <c r="DO117" s="3292">
        <f>(DO105+DO109+DO111+DO115)/2</f>
        <v>378.25781083472145</v>
      </c>
      <c r="DP117" s="3292">
        <f>(DP105+DP109+DP111+DP115)/2</f>
        <v>375.31998362404795</v>
      </c>
      <c r="DQ117" s="3292">
        <f>(DQ105+DQ109+DQ111+DQ115)/2</f>
        <v>372.54226077770079</v>
      </c>
      <c r="DR117" s="2862"/>
    </row>
    <row r="118" spans="1:122">
      <c r="A118" s="3064"/>
      <c r="B118" s="3064"/>
      <c r="C118" s="3064"/>
      <c r="D118" s="3064"/>
      <c r="E118" s="3064"/>
      <c r="F118" s="3064"/>
      <c r="G118" s="3064"/>
      <c r="H118" s="2845"/>
      <c r="I118" s="110"/>
      <c r="J118" s="110"/>
      <c r="K118" s="140"/>
      <c r="L118" s="91"/>
      <c r="M118" s="110"/>
      <c r="N118" s="110"/>
      <c r="O118" s="919"/>
      <c r="P118" s="110"/>
      <c r="Q118" s="110"/>
      <c r="R118" s="110"/>
      <c r="S118" s="110"/>
      <c r="T118" s="110"/>
      <c r="U118" s="110"/>
      <c r="V118" s="110"/>
      <c r="W118" s="110"/>
      <c r="X118" s="110"/>
      <c r="Y118" s="2845"/>
      <c r="Z118" s="2845"/>
      <c r="AA118" s="2845"/>
      <c r="AB118" s="2845"/>
      <c r="AC118" s="2845"/>
      <c r="AD118" s="2845"/>
      <c r="AE118" s="2845"/>
      <c r="AF118" s="2845"/>
      <c r="AG118" s="2845"/>
      <c r="AH118" s="2845"/>
      <c r="AI118" s="2845"/>
      <c r="AJ118" s="1525"/>
      <c r="AK118" s="1525"/>
      <c r="AL118" s="1525"/>
      <c r="AM118" s="110"/>
      <c r="AN118" s="110"/>
      <c r="AO118" s="1926"/>
      <c r="AP118" s="110"/>
      <c r="AQ118" s="110"/>
      <c r="AR118" s="110"/>
      <c r="AS118" s="110"/>
      <c r="AT118" s="110"/>
      <c r="AU118" s="11"/>
      <c r="AV118" s="6"/>
      <c r="AW118" s="6"/>
      <c r="AX118" s="6"/>
      <c r="AY118" s="6"/>
      <c r="AZ118" s="90"/>
      <c r="BA118" s="6"/>
      <c r="BB118" s="6"/>
      <c r="BC118" s="6"/>
      <c r="BD118" s="6"/>
      <c r="BE118" s="6"/>
      <c r="BF118" s="11"/>
      <c r="BG118" s="901"/>
      <c r="BH118" s="901"/>
      <c r="BI118" s="901"/>
      <c r="BJ118" s="94"/>
      <c r="BK118" s="901"/>
      <c r="BL118" s="94"/>
      <c r="BM118" s="90"/>
      <c r="BN118" s="90"/>
      <c r="BO118" s="6"/>
      <c r="BP118" s="901"/>
      <c r="BQ118" s="94"/>
      <c r="BR118" s="90"/>
      <c r="BS118" s="90"/>
      <c r="BT118" s="6"/>
      <c r="BU118" s="11"/>
      <c r="BV118" s="11"/>
      <c r="BW118" s="11"/>
      <c r="BX118" s="11"/>
      <c r="BY118" s="6"/>
      <c r="BZ118" s="6"/>
      <c r="CA118" s="6"/>
      <c r="CB118" s="6"/>
      <c r="CC118" s="6"/>
      <c r="CD118" s="6"/>
      <c r="CE118" s="6"/>
      <c r="CF118" s="6"/>
      <c r="CG118" s="6"/>
      <c r="CH118" s="6"/>
      <c r="CI118" s="6"/>
      <c r="CJ118" s="6"/>
      <c r="CK118" s="6"/>
      <c r="CL118" s="6"/>
      <c r="CM118" s="11"/>
      <c r="CN118" s="11"/>
      <c r="CO118" s="11"/>
      <c r="CP118" s="11"/>
      <c r="CQ118" s="11"/>
      <c r="CR118" s="11"/>
      <c r="CS118" s="11"/>
      <c r="CT118" s="906"/>
      <c r="CU118" s="906"/>
      <c r="CV118" s="1565"/>
      <c r="CW118" s="11"/>
      <c r="CX118" s="11"/>
      <c r="CY118" s="1662"/>
      <c r="CZ118" s="1662"/>
      <c r="DA118" s="1662"/>
      <c r="DB118" s="1662"/>
      <c r="DC118" s="2862"/>
      <c r="DD118" s="2862"/>
      <c r="DE118" s="2862"/>
      <c r="DF118" s="2862"/>
      <c r="DG118" s="2862"/>
      <c r="DH118" s="2862"/>
      <c r="DI118" s="3292"/>
      <c r="DJ118" s="3292"/>
      <c r="DK118" s="3292"/>
      <c r="DL118" s="3292"/>
      <c r="DM118" s="2862"/>
      <c r="DN118" s="3292"/>
      <c r="DO118" s="3292"/>
      <c r="DP118" s="3292"/>
      <c r="DQ118" s="3292"/>
      <c r="DR118" s="2862"/>
    </row>
    <row r="119" spans="1:122">
      <c r="A119" s="3063" t="s">
        <v>503</v>
      </c>
      <c r="B119" s="3063"/>
      <c r="C119" s="3063"/>
      <c r="D119" s="3063"/>
      <c r="E119" s="3063"/>
      <c r="F119" s="3063"/>
      <c r="G119" s="3063"/>
      <c r="H119" s="2906">
        <v>0</v>
      </c>
      <c r="I119" s="113">
        <v>0</v>
      </c>
      <c r="J119" s="113">
        <v>0</v>
      </c>
      <c r="K119" s="113">
        <v>0</v>
      </c>
      <c r="L119" s="113">
        <v>0</v>
      </c>
      <c r="M119" s="113">
        <v>0</v>
      </c>
      <c r="N119" s="113">
        <v>0</v>
      </c>
      <c r="O119" s="919"/>
      <c r="P119" s="113"/>
      <c r="Q119" s="113"/>
      <c r="R119" s="113">
        <v>0</v>
      </c>
      <c r="S119" s="113">
        <v>0</v>
      </c>
      <c r="T119" s="113">
        <v>0</v>
      </c>
      <c r="U119" s="113">
        <v>0</v>
      </c>
      <c r="V119" s="113">
        <v>0</v>
      </c>
      <c r="W119" s="113">
        <v>0</v>
      </c>
      <c r="X119" s="113"/>
      <c r="Y119" s="2906"/>
      <c r="Z119" s="2906">
        <v>0</v>
      </c>
      <c r="AA119" s="2906">
        <v>0</v>
      </c>
      <c r="AB119" s="2906"/>
      <c r="AC119" s="2906">
        <v>0</v>
      </c>
      <c r="AD119" s="2906">
        <v>0</v>
      </c>
      <c r="AE119" s="2906">
        <v>0</v>
      </c>
      <c r="AF119" s="2906">
        <v>0</v>
      </c>
      <c r="AG119" s="2906">
        <v>0</v>
      </c>
      <c r="AH119" s="2906">
        <v>0</v>
      </c>
      <c r="AI119" s="2906">
        <v>0</v>
      </c>
      <c r="AJ119" s="1664">
        <v>0</v>
      </c>
      <c r="AK119" s="1664">
        <v>0</v>
      </c>
      <c r="AL119" s="1664">
        <v>0</v>
      </c>
      <c r="AM119" s="1664">
        <v>0</v>
      </c>
      <c r="AN119" s="1664">
        <v>0</v>
      </c>
      <c r="AO119" s="1926"/>
      <c r="AP119" s="113"/>
      <c r="AQ119" s="113"/>
      <c r="AR119" s="113"/>
      <c r="AS119" s="113"/>
      <c r="AT119" s="113"/>
      <c r="AU119" s="11"/>
      <c r="AV119" s="38"/>
      <c r="AW119" s="38"/>
      <c r="AX119" s="38"/>
      <c r="AY119" s="38"/>
      <c r="AZ119" s="90"/>
      <c r="BA119" s="110"/>
      <c r="BB119" s="110"/>
      <c r="BC119" s="142"/>
      <c r="BD119" s="142"/>
      <c r="BE119" s="142"/>
      <c r="BF119" s="113">
        <v>0</v>
      </c>
      <c r="BG119" s="113">
        <v>0</v>
      </c>
      <c r="BH119" s="113">
        <v>0</v>
      </c>
      <c r="BI119" s="113">
        <v>0</v>
      </c>
      <c r="BJ119" s="141"/>
      <c r="BK119" s="113">
        <v>0</v>
      </c>
      <c r="BL119" s="113">
        <v>0</v>
      </c>
      <c r="BM119" s="113">
        <v>0</v>
      </c>
      <c r="BN119" s="111">
        <f>M119-SUM(BK119:BM119)</f>
        <v>0</v>
      </c>
      <c r="BO119" s="6"/>
      <c r="BP119" s="113">
        <v>0</v>
      </c>
      <c r="BQ119" s="113">
        <v>0</v>
      </c>
      <c r="BR119" s="113">
        <v>0</v>
      </c>
      <c r="BS119" s="111">
        <f>N119-SUM(BP119:BR119)</f>
        <v>0</v>
      </c>
      <c r="BT119" s="6"/>
      <c r="BU119" s="113">
        <v>0</v>
      </c>
      <c r="BV119" s="113">
        <v>0</v>
      </c>
      <c r="BW119" s="113">
        <v>0</v>
      </c>
      <c r="BX119" s="113">
        <v>0</v>
      </c>
      <c r="BY119" s="6"/>
      <c r="BZ119" s="113">
        <v>0</v>
      </c>
      <c r="CA119" s="113">
        <v>0</v>
      </c>
      <c r="CB119" s="113">
        <v>0</v>
      </c>
      <c r="CC119" s="113">
        <v>0</v>
      </c>
      <c r="CD119" s="6"/>
      <c r="CE119" s="113">
        <v>0</v>
      </c>
      <c r="CF119" s="113">
        <v>0</v>
      </c>
      <c r="CG119" s="113">
        <v>0</v>
      </c>
      <c r="CH119" s="113">
        <v>0</v>
      </c>
      <c r="CI119" s="6"/>
      <c r="CJ119" s="113">
        <v>0</v>
      </c>
      <c r="CK119" s="113">
        <v>0</v>
      </c>
      <c r="CL119" s="113">
        <v>0</v>
      </c>
      <c r="CM119" s="113">
        <v>0</v>
      </c>
      <c r="CN119" s="11"/>
      <c r="CO119" s="113">
        <v>0</v>
      </c>
      <c r="CP119" s="113">
        <v>0</v>
      </c>
      <c r="CQ119" s="113">
        <v>0</v>
      </c>
      <c r="CR119" s="113">
        <v>0</v>
      </c>
      <c r="CS119" s="11"/>
      <c r="CT119" s="113">
        <v>0</v>
      </c>
      <c r="CU119" s="113">
        <v>0</v>
      </c>
      <c r="CV119" s="113">
        <v>0</v>
      </c>
      <c r="CW119" s="113">
        <v>0</v>
      </c>
      <c r="CX119" s="11"/>
      <c r="CY119" s="1663">
        <v>0</v>
      </c>
      <c r="CZ119" s="1663">
        <v>0</v>
      </c>
      <c r="DA119" s="1663">
        <v>0</v>
      </c>
      <c r="DB119" s="1663">
        <v>0</v>
      </c>
      <c r="DC119" s="2862"/>
      <c r="DD119" s="2906">
        <v>0</v>
      </c>
      <c r="DE119" s="2906">
        <v>0</v>
      </c>
      <c r="DF119" s="2906">
        <v>0</v>
      </c>
      <c r="DG119" s="2906">
        <v>0</v>
      </c>
      <c r="DH119" s="2862"/>
      <c r="DI119" s="3299">
        <v>0</v>
      </c>
      <c r="DJ119" s="3299">
        <v>0</v>
      </c>
      <c r="DK119" s="3299">
        <v>0</v>
      </c>
      <c r="DL119" s="3299">
        <v>0</v>
      </c>
      <c r="DM119" s="2862"/>
      <c r="DN119" s="3299">
        <v>0</v>
      </c>
      <c r="DO119" s="3299">
        <v>0</v>
      </c>
      <c r="DP119" s="3299">
        <v>0</v>
      </c>
      <c r="DQ119" s="3299">
        <v>0</v>
      </c>
      <c r="DR119" s="11"/>
    </row>
    <row r="120" spans="1:122">
      <c r="A120" s="3063" t="s">
        <v>872</v>
      </c>
      <c r="B120" s="3063"/>
      <c r="C120" s="3063"/>
      <c r="D120" s="3063"/>
      <c r="E120" s="3063"/>
      <c r="F120" s="3063"/>
      <c r="G120" s="3063"/>
      <c r="H120" s="2906">
        <v>0</v>
      </c>
      <c r="I120" s="113">
        <v>0</v>
      </c>
      <c r="J120" s="113">
        <v>0</v>
      </c>
      <c r="K120" s="113">
        <v>0</v>
      </c>
      <c r="L120" s="113">
        <v>0</v>
      </c>
      <c r="M120" s="113">
        <v>0</v>
      </c>
      <c r="N120" s="113">
        <v>0</v>
      </c>
      <c r="O120" s="919"/>
      <c r="P120" s="113"/>
      <c r="Q120" s="113"/>
      <c r="R120" s="113">
        <v>0</v>
      </c>
      <c r="S120" s="113">
        <v>0</v>
      </c>
      <c r="T120" s="113">
        <v>0</v>
      </c>
      <c r="U120" s="113">
        <v>0</v>
      </c>
      <c r="V120" s="113">
        <v>0</v>
      </c>
      <c r="W120" s="113">
        <v>0</v>
      </c>
      <c r="X120" s="113"/>
      <c r="Y120" s="2906"/>
      <c r="Z120" s="2906">
        <v>0</v>
      </c>
      <c r="AA120" s="2906">
        <v>0</v>
      </c>
      <c r="AB120" s="2906"/>
      <c r="AC120" s="2906">
        <v>0</v>
      </c>
      <c r="AD120" s="2906">
        <v>0</v>
      </c>
      <c r="AE120" s="2906">
        <v>0</v>
      </c>
      <c r="AF120" s="1664">
        <v>0</v>
      </c>
      <c r="AG120" s="1664">
        <v>0</v>
      </c>
      <c r="AH120" s="1664">
        <v>0</v>
      </c>
      <c r="AI120" s="1664">
        <v>0</v>
      </c>
      <c r="AJ120" s="1664">
        <v>0</v>
      </c>
      <c r="AK120" s="1664">
        <v>0</v>
      </c>
      <c r="AL120" s="1664">
        <v>0</v>
      </c>
      <c r="AM120" s="1664">
        <v>0</v>
      </c>
      <c r="AN120" s="1664">
        <v>0</v>
      </c>
      <c r="AO120" s="1926"/>
      <c r="AP120" s="113"/>
      <c r="AQ120" s="113"/>
      <c r="AR120" s="113"/>
      <c r="AS120" s="113"/>
      <c r="AT120" s="113"/>
      <c r="AU120" s="11"/>
      <c r="AV120" s="38"/>
      <c r="AW120" s="38"/>
      <c r="AX120" s="38"/>
      <c r="AY120" s="38"/>
      <c r="AZ120" s="90"/>
      <c r="BA120" s="110"/>
      <c r="BB120" s="110"/>
      <c r="BC120" s="142"/>
      <c r="BD120" s="142"/>
      <c r="BE120" s="142"/>
      <c r="BF120" s="113">
        <v>0</v>
      </c>
      <c r="BG120" s="113">
        <v>0</v>
      </c>
      <c r="BH120" s="113">
        <v>0</v>
      </c>
      <c r="BI120" s="113">
        <v>0</v>
      </c>
      <c r="BJ120" s="141"/>
      <c r="BK120" s="113">
        <v>0</v>
      </c>
      <c r="BL120" s="113">
        <v>0</v>
      </c>
      <c r="BM120" s="113">
        <v>0</v>
      </c>
      <c r="BN120" s="111">
        <f>M120-SUM(BK120:BM120)</f>
        <v>0</v>
      </c>
      <c r="BO120" s="6"/>
      <c r="BP120" s="113">
        <v>0</v>
      </c>
      <c r="BQ120" s="113">
        <v>0</v>
      </c>
      <c r="BR120" s="113">
        <v>0</v>
      </c>
      <c r="BS120" s="111">
        <f>N120-SUM(BP120:BR120)</f>
        <v>0</v>
      </c>
      <c r="BT120" s="6"/>
      <c r="BU120" s="113">
        <v>0</v>
      </c>
      <c r="BV120" s="113">
        <v>0</v>
      </c>
      <c r="BW120" s="113">
        <v>0</v>
      </c>
      <c r="BX120" s="113">
        <v>0</v>
      </c>
      <c r="BY120" s="6"/>
      <c r="BZ120" s="113">
        <v>0</v>
      </c>
      <c r="CA120" s="113">
        <v>0</v>
      </c>
      <c r="CB120" s="113">
        <v>0</v>
      </c>
      <c r="CC120" s="113">
        <v>0</v>
      </c>
      <c r="CD120" s="6"/>
      <c r="CE120" s="113">
        <v>0</v>
      </c>
      <c r="CF120" s="113">
        <v>0</v>
      </c>
      <c r="CG120" s="113">
        <v>0</v>
      </c>
      <c r="CH120" s="113">
        <v>0</v>
      </c>
      <c r="CI120" s="6"/>
      <c r="CJ120" s="113">
        <v>0</v>
      </c>
      <c r="CK120" s="113">
        <v>0</v>
      </c>
      <c r="CL120" s="113">
        <v>0</v>
      </c>
      <c r="CM120" s="113">
        <v>0</v>
      </c>
      <c r="CN120" s="11"/>
      <c r="CO120" s="113">
        <v>0</v>
      </c>
      <c r="CP120" s="113">
        <v>0</v>
      </c>
      <c r="CQ120" s="113">
        <v>0</v>
      </c>
      <c r="CR120" s="113">
        <v>0</v>
      </c>
      <c r="CS120" s="11"/>
      <c r="CT120" s="113">
        <v>0</v>
      </c>
      <c r="CU120" s="113">
        <v>0</v>
      </c>
      <c r="CV120" s="113">
        <v>0</v>
      </c>
      <c r="CW120" s="113">
        <v>0</v>
      </c>
      <c r="CX120" s="11"/>
      <c r="CY120" s="1663">
        <v>0</v>
      </c>
      <c r="CZ120" s="1663">
        <v>0</v>
      </c>
      <c r="DA120" s="1663">
        <v>0</v>
      </c>
      <c r="DB120" s="1663">
        <v>0</v>
      </c>
      <c r="DC120" s="2862"/>
      <c r="DD120" s="2906">
        <v>0</v>
      </c>
      <c r="DE120" s="2906">
        <v>0</v>
      </c>
      <c r="DF120" s="2906">
        <v>0</v>
      </c>
      <c r="DG120" s="2906">
        <v>0</v>
      </c>
      <c r="DH120" s="2862"/>
      <c r="DI120" s="3299">
        <v>0</v>
      </c>
      <c r="DJ120" s="3299">
        <v>0</v>
      </c>
      <c r="DK120" s="3299">
        <v>0</v>
      </c>
      <c r="DL120" s="3299">
        <v>0</v>
      </c>
      <c r="DM120" s="2862"/>
      <c r="DN120" s="3299">
        <v>0</v>
      </c>
      <c r="DO120" s="3299">
        <v>0</v>
      </c>
      <c r="DP120" s="3299">
        <v>0</v>
      </c>
      <c r="DQ120" s="3299">
        <v>0</v>
      </c>
      <c r="DR120" s="11"/>
    </row>
    <row r="121" spans="1:122">
      <c r="A121" s="3063" t="s">
        <v>873</v>
      </c>
      <c r="B121" s="3063"/>
      <c r="C121" s="3063"/>
      <c r="D121" s="3063"/>
      <c r="E121" s="3063"/>
      <c r="F121" s="3063"/>
      <c r="G121" s="3063"/>
      <c r="H121" s="2906">
        <v>0</v>
      </c>
      <c r="I121" s="113">
        <v>0</v>
      </c>
      <c r="J121" s="113">
        <v>0</v>
      </c>
      <c r="K121" s="113">
        <v>0</v>
      </c>
      <c r="L121" s="113">
        <v>0</v>
      </c>
      <c r="M121" s="113">
        <v>0</v>
      </c>
      <c r="N121" s="113">
        <v>0</v>
      </c>
      <c r="O121" s="919"/>
      <c r="P121" s="113"/>
      <c r="Q121" s="113"/>
      <c r="R121" s="113">
        <v>0</v>
      </c>
      <c r="S121" s="113">
        <v>0</v>
      </c>
      <c r="T121" s="113">
        <v>0</v>
      </c>
      <c r="U121" s="113">
        <v>0</v>
      </c>
      <c r="V121" s="113">
        <v>0</v>
      </c>
      <c r="W121" s="113">
        <v>0</v>
      </c>
      <c r="X121" s="113"/>
      <c r="Y121" s="2906"/>
      <c r="Z121" s="2906">
        <v>0</v>
      </c>
      <c r="AA121" s="2906">
        <v>0</v>
      </c>
      <c r="AB121" s="2906"/>
      <c r="AC121" s="2906">
        <v>0</v>
      </c>
      <c r="AD121" s="2906">
        <v>0</v>
      </c>
      <c r="AE121" s="2906">
        <v>0</v>
      </c>
      <c r="AF121" s="1664">
        <v>0</v>
      </c>
      <c r="AG121" s="1664">
        <v>0</v>
      </c>
      <c r="AH121" s="1664">
        <v>0</v>
      </c>
      <c r="AI121" s="1664">
        <v>0</v>
      </c>
      <c r="AJ121" s="1664">
        <v>0</v>
      </c>
      <c r="AK121" s="1664">
        <v>0</v>
      </c>
      <c r="AL121" s="1664">
        <v>0</v>
      </c>
      <c r="AM121" s="1664">
        <v>0</v>
      </c>
      <c r="AN121" s="1664">
        <v>0</v>
      </c>
      <c r="AO121" s="1926"/>
      <c r="AP121" s="113"/>
      <c r="AQ121" s="113"/>
      <c r="AR121" s="113"/>
      <c r="AS121" s="113"/>
      <c r="AT121" s="113"/>
      <c r="AU121" s="11"/>
      <c r="AV121" s="38"/>
      <c r="AW121" s="38"/>
      <c r="AX121" s="38"/>
      <c r="AY121" s="38"/>
      <c r="AZ121" s="90"/>
      <c r="BA121" s="110"/>
      <c r="BB121" s="110"/>
      <c r="BC121" s="142"/>
      <c r="BD121" s="142"/>
      <c r="BE121" s="142"/>
      <c r="BF121" s="113">
        <v>0</v>
      </c>
      <c r="BG121" s="113">
        <v>0</v>
      </c>
      <c r="BH121" s="113">
        <v>0</v>
      </c>
      <c r="BI121" s="113">
        <v>0</v>
      </c>
      <c r="BJ121" s="141"/>
      <c r="BK121" s="113">
        <v>0</v>
      </c>
      <c r="BL121" s="113">
        <v>0</v>
      </c>
      <c r="BM121" s="113">
        <v>0</v>
      </c>
      <c r="BN121" s="111">
        <f>M121-SUM(BK121:BM121)</f>
        <v>0</v>
      </c>
      <c r="BO121" s="6"/>
      <c r="BP121" s="113">
        <v>0</v>
      </c>
      <c r="BQ121" s="113">
        <v>0</v>
      </c>
      <c r="BR121" s="113">
        <v>0</v>
      </c>
      <c r="BS121" s="111">
        <f>N121-SUM(BP121:BR121)</f>
        <v>0</v>
      </c>
      <c r="BT121" s="6"/>
      <c r="BU121" s="113">
        <v>0</v>
      </c>
      <c r="BV121" s="113">
        <v>0</v>
      </c>
      <c r="BW121" s="113">
        <v>0</v>
      </c>
      <c r="BX121" s="113">
        <v>0</v>
      </c>
      <c r="BY121" s="6"/>
      <c r="BZ121" s="113">
        <v>0</v>
      </c>
      <c r="CA121" s="113">
        <v>0</v>
      </c>
      <c r="CB121" s="113">
        <v>0</v>
      </c>
      <c r="CC121" s="113">
        <v>0</v>
      </c>
      <c r="CD121" s="6"/>
      <c r="CE121" s="113">
        <v>0</v>
      </c>
      <c r="CF121" s="113">
        <v>0</v>
      </c>
      <c r="CG121" s="113">
        <v>0</v>
      </c>
      <c r="CH121" s="113">
        <v>0</v>
      </c>
      <c r="CI121" s="6"/>
      <c r="CJ121" s="113">
        <v>0</v>
      </c>
      <c r="CK121" s="113">
        <v>0</v>
      </c>
      <c r="CL121" s="113">
        <v>0</v>
      </c>
      <c r="CM121" s="113">
        <v>0</v>
      </c>
      <c r="CN121" s="11"/>
      <c r="CO121" s="113">
        <v>0</v>
      </c>
      <c r="CP121" s="113">
        <v>0</v>
      </c>
      <c r="CQ121" s="113">
        <v>0</v>
      </c>
      <c r="CR121" s="113">
        <v>0</v>
      </c>
      <c r="CS121" s="11"/>
      <c r="CT121" s="113">
        <v>0</v>
      </c>
      <c r="CU121" s="113">
        <v>0</v>
      </c>
      <c r="CV121" s="113">
        <v>0</v>
      </c>
      <c r="CW121" s="113">
        <v>0</v>
      </c>
      <c r="CX121" s="11"/>
      <c r="CY121" s="1663">
        <v>0</v>
      </c>
      <c r="CZ121" s="1663">
        <v>0</v>
      </c>
      <c r="DA121" s="1663">
        <v>0</v>
      </c>
      <c r="DB121" s="1663">
        <v>0</v>
      </c>
      <c r="DC121" s="2862"/>
      <c r="DD121" s="2906">
        <v>0</v>
      </c>
      <c r="DE121" s="2906">
        <v>0</v>
      </c>
      <c r="DF121" s="2906">
        <v>0</v>
      </c>
      <c r="DG121" s="2906">
        <v>0</v>
      </c>
      <c r="DH121" s="2862"/>
      <c r="DI121" s="3299">
        <v>0</v>
      </c>
      <c r="DJ121" s="3299">
        <v>0</v>
      </c>
      <c r="DK121" s="3299">
        <v>0</v>
      </c>
      <c r="DL121" s="3299">
        <v>0</v>
      </c>
      <c r="DM121" s="2862"/>
      <c r="DN121" s="3299">
        <v>0</v>
      </c>
      <c r="DO121" s="3299">
        <v>0</v>
      </c>
      <c r="DP121" s="3299">
        <v>0</v>
      </c>
      <c r="DQ121" s="3299">
        <v>0</v>
      </c>
      <c r="DR121" s="11"/>
    </row>
    <row r="122" spans="1:122">
      <c r="A122" s="147" t="s">
        <v>874</v>
      </c>
      <c r="B122" s="147"/>
      <c r="C122" s="147"/>
      <c r="D122" s="147"/>
      <c r="E122" s="147"/>
      <c r="F122" s="147"/>
      <c r="G122" s="147"/>
      <c r="H122" s="109">
        <f t="shared" ref="H122:N122" si="233">H123-H117-H121-H120-H119</f>
        <v>0</v>
      </c>
      <c r="I122" s="109">
        <f t="shared" si="233"/>
        <v>8.3999999999999773</v>
      </c>
      <c r="J122" s="109">
        <f t="shared" si="233"/>
        <v>0</v>
      </c>
      <c r="K122" s="109">
        <f t="shared" si="233"/>
        <v>0</v>
      </c>
      <c r="L122" s="109">
        <f t="shared" si="233"/>
        <v>6.5999999999999091</v>
      </c>
      <c r="M122" s="109">
        <f t="shared" si="233"/>
        <v>8.1000000000000227</v>
      </c>
      <c r="N122" s="109">
        <f t="shared" si="233"/>
        <v>0</v>
      </c>
      <c r="O122" s="919"/>
      <c r="P122" s="111"/>
      <c r="Q122" s="111"/>
      <c r="R122" s="109">
        <f>R123-R117-R121-R120-R119</f>
        <v>9.2999999999999545</v>
      </c>
      <c r="S122" s="109">
        <f>S123-S117-S121-S120-S119</f>
        <v>19.299999999999955</v>
      </c>
      <c r="T122" s="109">
        <f>T123-T117-T121-T120-T119</f>
        <v>17</v>
      </c>
      <c r="U122" s="109">
        <f>U123-U117-U121-U120-U119</f>
        <v>17</v>
      </c>
      <c r="V122" s="109">
        <f>AVERAGE(CO122:CR122)</f>
        <v>15.75</v>
      </c>
      <c r="W122" s="109">
        <f>AVERAGE(CT122:CW122)</f>
        <v>11</v>
      </c>
      <c r="X122" s="109"/>
      <c r="Y122" s="109"/>
      <c r="Z122" s="1906">
        <f>AVERAGE(CY122:DB122)</f>
        <v>5.5</v>
      </c>
      <c r="AA122" s="1693">
        <f>AVERAGE(DD122:DG122)</f>
        <v>4.5</v>
      </c>
      <c r="AB122" s="1693"/>
      <c r="AC122" s="2787">
        <f>AVERAGE(DI122:DL122)</f>
        <v>5.25</v>
      </c>
      <c r="AD122" s="2787">
        <f>AVERAGE(DN122:DQ122)</f>
        <v>4</v>
      </c>
      <c r="AE122" s="1525">
        <f t="shared" ref="AE122:AK122" si="234">AE148+AE154</f>
        <v>2.0848386947928361</v>
      </c>
      <c r="AF122" s="1525">
        <f t="shared" si="234"/>
        <v>2.025865485682818</v>
      </c>
      <c r="AG122" s="1525">
        <f t="shared" si="234"/>
        <v>1.9365787659200322</v>
      </c>
      <c r="AH122" s="1525">
        <f t="shared" si="234"/>
        <v>1.8181986345439505</v>
      </c>
      <c r="AI122" s="1525">
        <f t="shared" si="234"/>
        <v>1.6716591025056999</v>
      </c>
      <c r="AJ122" s="1525">
        <f t="shared" si="234"/>
        <v>1.49763314521336</v>
      </c>
      <c r="AK122" s="1525">
        <f t="shared" si="234"/>
        <v>1.2965546265250012</v>
      </c>
      <c r="AL122" s="1525">
        <f>AL148+AL154</f>
        <v>1.0686374159396443</v>
      </c>
      <c r="AM122" s="1525">
        <f>AM148+AM154</f>
        <v>0.81389198548635022</v>
      </c>
      <c r="AN122" s="1525">
        <f>AN148+AN154</f>
        <v>0.53213974125483787</v>
      </c>
      <c r="AO122" s="1926"/>
      <c r="AP122" s="111"/>
      <c r="AQ122" s="111"/>
      <c r="AR122" s="111"/>
      <c r="AS122" s="111"/>
      <c r="AT122" s="148"/>
      <c r="AU122" s="11"/>
      <c r="AV122" s="38"/>
      <c r="AW122" s="38"/>
      <c r="AX122" s="38"/>
      <c r="AY122" s="38"/>
      <c r="AZ122" s="90"/>
      <c r="BA122" s="112"/>
      <c r="BB122" s="112"/>
      <c r="BC122" s="142"/>
      <c r="BD122" s="142"/>
      <c r="BE122" s="142"/>
      <c r="BF122" s="109">
        <f>BF123-BF117</f>
        <v>3.9000000000000909</v>
      </c>
      <c r="BG122" s="109">
        <f>BG123-BG117</f>
        <v>5</v>
      </c>
      <c r="BH122" s="109">
        <f>BH123-BH117</f>
        <v>8.2000000000000455</v>
      </c>
      <c r="BI122" s="109">
        <f>BI123-BI117</f>
        <v>9</v>
      </c>
      <c r="BJ122" s="328"/>
      <c r="BK122" s="109">
        <f>BK123-BK117</f>
        <v>8.3999999999999773</v>
      </c>
      <c r="BL122" s="109">
        <f>BL123-BL117</f>
        <v>8.6000000000000227</v>
      </c>
      <c r="BM122" s="109">
        <f>BM123-BM117</f>
        <v>8.2999999999999545</v>
      </c>
      <c r="BN122" s="109">
        <f>BN123-BN117</f>
        <v>7.0999999999999091</v>
      </c>
      <c r="BO122" s="6"/>
      <c r="BP122" s="109">
        <f>BP123-BP117</f>
        <v>5.8999999999999773</v>
      </c>
      <c r="BQ122" s="109">
        <f>BQ123-BQ117</f>
        <v>4.8999999999999773</v>
      </c>
      <c r="BR122" s="109">
        <f>BR123-BR117</f>
        <v>0</v>
      </c>
      <c r="BS122" s="109">
        <f>BS123-BS117</f>
        <v>3.8000000000000682</v>
      </c>
      <c r="BT122" s="6"/>
      <c r="BU122" s="109">
        <f>BU123-BU117</f>
        <v>0</v>
      </c>
      <c r="BV122" s="109">
        <f>BV123-BV117</f>
        <v>6.8000000000000682</v>
      </c>
      <c r="BW122" s="109">
        <f>BW123-BW117</f>
        <v>10.300000000000068</v>
      </c>
      <c r="BX122" s="109">
        <f>BX123-BX117</f>
        <v>11.5</v>
      </c>
      <c r="BY122" s="6"/>
      <c r="BZ122" s="109">
        <f>BZ123-BZ117</f>
        <v>15.800000000000068</v>
      </c>
      <c r="CA122" s="109">
        <f>CA123-CA117</f>
        <v>14.299999999999955</v>
      </c>
      <c r="CB122" s="109">
        <f>CB123-CB117</f>
        <v>14.799999999999955</v>
      </c>
      <c r="CC122" s="109">
        <f>CC123-CC117</f>
        <v>18.100000000000023</v>
      </c>
      <c r="CD122" s="6"/>
      <c r="CE122" s="109">
        <f>CE123-CE117</f>
        <v>19</v>
      </c>
      <c r="CF122" s="109">
        <f>CF123-CF117</f>
        <v>17</v>
      </c>
      <c r="CG122" s="109">
        <f>CG123-CG117</f>
        <v>16</v>
      </c>
      <c r="CH122" s="109">
        <f>CH123-CH117</f>
        <v>16</v>
      </c>
      <c r="CI122" s="6"/>
      <c r="CJ122" s="109">
        <f>CJ123-CJ117</f>
        <v>17</v>
      </c>
      <c r="CK122" s="109">
        <f>CK123-CK117</f>
        <v>15</v>
      </c>
      <c r="CL122" s="109">
        <f>CL123-CL117</f>
        <v>16</v>
      </c>
      <c r="CM122" s="109">
        <f>CM123-CM117</f>
        <v>16</v>
      </c>
      <c r="CN122" s="11"/>
      <c r="CO122" s="109">
        <f>CO123-CO117</f>
        <v>17</v>
      </c>
      <c r="CP122" s="109">
        <f>CP123-CP117</f>
        <v>15</v>
      </c>
      <c r="CQ122" s="109">
        <f>CQ123-CQ117</f>
        <v>15</v>
      </c>
      <c r="CR122" s="109">
        <f>CR123-CR117</f>
        <v>16</v>
      </c>
      <c r="CS122" s="11"/>
      <c r="CT122" s="109">
        <f>CT123-CT117</f>
        <v>15</v>
      </c>
      <c r="CU122" s="109">
        <f>CU123-CU117</f>
        <v>11</v>
      </c>
      <c r="CV122" s="109">
        <f>CV123-CV117</f>
        <v>10</v>
      </c>
      <c r="CW122" s="109">
        <f>CW123-CW117</f>
        <v>8</v>
      </c>
      <c r="CX122" s="109"/>
      <c r="CY122" s="109">
        <f>CY123-CY117</f>
        <v>8</v>
      </c>
      <c r="CZ122" s="109">
        <f>CZ123-CZ117</f>
        <v>5</v>
      </c>
      <c r="DA122" s="109">
        <f>DA123-DA117</f>
        <v>4</v>
      </c>
      <c r="DB122" s="109">
        <f>DB123-DB117</f>
        <v>5</v>
      </c>
      <c r="DC122" s="2862"/>
      <c r="DD122" s="2935">
        <f>DD123-DD117</f>
        <v>5</v>
      </c>
      <c r="DE122" s="2935">
        <f>DE123-DE117</f>
        <v>4</v>
      </c>
      <c r="DF122" s="2935">
        <f>DF123-DF117</f>
        <v>4</v>
      </c>
      <c r="DG122" s="2935">
        <f>DG123-DG117</f>
        <v>5</v>
      </c>
      <c r="DH122" s="2862"/>
      <c r="DI122" s="3300">
        <f t="shared" ref="DI122:DK122" si="235">DI123-DI117</f>
        <v>6</v>
      </c>
      <c r="DJ122" s="3300">
        <f t="shared" si="235"/>
        <v>5</v>
      </c>
      <c r="DK122" s="3300">
        <f t="shared" si="235"/>
        <v>5</v>
      </c>
      <c r="DL122" s="3301">
        <v>5</v>
      </c>
      <c r="DM122" s="2862"/>
      <c r="DN122" s="3301">
        <v>4</v>
      </c>
      <c r="DO122" s="3301">
        <v>4</v>
      </c>
      <c r="DP122" s="3301">
        <v>4</v>
      </c>
      <c r="DQ122" s="3301">
        <v>4</v>
      </c>
      <c r="DR122" s="11"/>
    </row>
    <row r="123" spans="1:122">
      <c r="A123" s="149" t="s">
        <v>387</v>
      </c>
      <c r="B123" s="149"/>
      <c r="C123" s="149"/>
      <c r="D123" s="149"/>
      <c r="E123" s="149"/>
      <c r="F123" s="149"/>
      <c r="G123" s="149"/>
      <c r="H123" s="112">
        <f>H117</f>
        <v>876.4</v>
      </c>
      <c r="I123" s="113">
        <v>880.4</v>
      </c>
      <c r="J123" s="113">
        <v>857.2</v>
      </c>
      <c r="K123" s="113">
        <v>789.7</v>
      </c>
      <c r="L123" s="113">
        <v>771.8</v>
      </c>
      <c r="M123" s="76">
        <v>721.9</v>
      </c>
      <c r="N123" s="76">
        <v>669.8</v>
      </c>
      <c r="O123" s="919"/>
      <c r="P123" s="13"/>
      <c r="Q123" s="13"/>
      <c r="R123" s="76">
        <v>682.9</v>
      </c>
      <c r="S123" s="76">
        <v>698</v>
      </c>
      <c r="T123" s="76">
        <v>681</v>
      </c>
      <c r="U123" s="76">
        <v>659</v>
      </c>
      <c r="V123" s="76">
        <v>615</v>
      </c>
      <c r="W123" s="76">
        <v>561</v>
      </c>
      <c r="X123" s="166"/>
      <c r="Y123" s="166"/>
      <c r="Z123" s="76">
        <v>489</v>
      </c>
      <c r="AA123" s="76">
        <v>448</v>
      </c>
      <c r="AB123" s="1693"/>
      <c r="AC123" s="2787">
        <f>AVERAGE(DI123:DL123)</f>
        <v>407.31640260015325</v>
      </c>
      <c r="AD123" s="2787">
        <f>AVERAGE(DN123:DQ123)</f>
        <v>380.87292592802828</v>
      </c>
      <c r="AE123" s="1357">
        <f>SUM(AE119:AE122)+AE117</f>
        <v>363.63096242724106</v>
      </c>
      <c r="AF123" s="1357">
        <f t="shared" ref="AF123:AK123" si="236">SUM(AF119:AF122)+AF117</f>
        <v>344.84450530584246</v>
      </c>
      <c r="AG123" s="1357">
        <f t="shared" si="236"/>
        <v>327.22403990034542</v>
      </c>
      <c r="AH123" s="1357">
        <f t="shared" si="236"/>
        <v>310.80549166905735</v>
      </c>
      <c r="AI123" s="1357">
        <f t="shared" si="236"/>
        <v>295.52253573413083</v>
      </c>
      <c r="AJ123" s="1357">
        <f t="shared" si="236"/>
        <v>281.31292886456316</v>
      </c>
      <c r="AK123" s="1357">
        <f t="shared" si="236"/>
        <v>268.11825978006073</v>
      </c>
      <c r="AL123" s="1357">
        <f>SUM(AL119:AL122)+AL117</f>
        <v>255.8837152129222</v>
      </c>
      <c r="AM123" s="1357">
        <f>SUM(AM119:AM122)+AM117</f>
        <v>244.55786067396593</v>
      </c>
      <c r="AN123" s="1357">
        <f>SUM(AN119:AN122)+AN117</f>
        <v>234.09243494223327</v>
      </c>
      <c r="AO123" s="1926"/>
      <c r="AP123" s="13"/>
      <c r="AQ123" s="13"/>
      <c r="AR123" s="13"/>
      <c r="AS123" s="13"/>
      <c r="AT123" s="13"/>
      <c r="AU123" s="11"/>
      <c r="AV123" s="76">
        <f>1744.5/2</f>
        <v>872.25</v>
      </c>
      <c r="AW123" s="76">
        <f>1736/2</f>
        <v>868</v>
      </c>
      <c r="AX123" s="76">
        <f>1734.8/2</f>
        <v>867.4</v>
      </c>
      <c r="AY123" s="76">
        <f>AY117</f>
        <v>838.55</v>
      </c>
      <c r="AZ123" s="44"/>
      <c r="BA123" s="76">
        <f>1635.4/2</f>
        <v>817.7</v>
      </c>
      <c r="BB123" s="76">
        <f>1609/2</f>
        <v>804.5</v>
      </c>
      <c r="BC123" s="76">
        <f>1577.9/2</f>
        <v>788.95</v>
      </c>
      <c r="BD123" s="76">
        <f>BD117</f>
        <v>761.65</v>
      </c>
      <c r="BE123" s="76"/>
      <c r="BF123" s="77">
        <v>766.7</v>
      </c>
      <c r="BG123" s="77">
        <v>769.6</v>
      </c>
      <c r="BH123" s="77">
        <v>774.2</v>
      </c>
      <c r="BI123" s="76">
        <v>776.4</v>
      </c>
      <c r="BJ123" s="13"/>
      <c r="BK123" s="76">
        <v>765.1</v>
      </c>
      <c r="BL123" s="76">
        <v>729.4</v>
      </c>
      <c r="BM123" s="76">
        <v>715.4</v>
      </c>
      <c r="BN123" s="76">
        <v>678.8</v>
      </c>
      <c r="BO123" s="13"/>
      <c r="BP123" s="76">
        <v>673.8</v>
      </c>
      <c r="BQ123" s="76">
        <v>674.3</v>
      </c>
      <c r="BR123" s="76">
        <v>670.9</v>
      </c>
      <c r="BS123" s="76">
        <v>674.7</v>
      </c>
      <c r="BT123" s="13"/>
      <c r="BU123" s="76">
        <v>671.5</v>
      </c>
      <c r="BV123" s="76">
        <v>680.2</v>
      </c>
      <c r="BW123" s="76">
        <v>685.1</v>
      </c>
      <c r="BX123" s="76">
        <v>690.3</v>
      </c>
      <c r="BY123" s="13"/>
      <c r="BZ123" s="76">
        <v>692.1</v>
      </c>
      <c r="CA123" s="76">
        <v>693.4</v>
      </c>
      <c r="CB123" s="76">
        <v>694.3</v>
      </c>
      <c r="CC123" s="76">
        <v>698</v>
      </c>
      <c r="CD123" s="13"/>
      <c r="CE123" s="76">
        <v>693</v>
      </c>
      <c r="CF123" s="76">
        <v>686</v>
      </c>
      <c r="CG123" s="76">
        <v>675</v>
      </c>
      <c r="CH123" s="76">
        <v>669</v>
      </c>
      <c r="CI123" s="13"/>
      <c r="CJ123" s="76">
        <v>667</v>
      </c>
      <c r="CK123" s="76">
        <v>661</v>
      </c>
      <c r="CL123" s="76">
        <v>656</v>
      </c>
      <c r="CM123" s="1437">
        <v>650</v>
      </c>
      <c r="CN123" s="14"/>
      <c r="CO123" s="77">
        <v>638</v>
      </c>
      <c r="CP123" s="77">
        <v>624</v>
      </c>
      <c r="CQ123" s="77">
        <v>618</v>
      </c>
      <c r="CR123" s="77">
        <v>615</v>
      </c>
      <c r="CS123" s="14"/>
      <c r="CT123" s="77">
        <f>CT57</f>
        <v>600</v>
      </c>
      <c r="CU123" s="77">
        <f>CU57</f>
        <v>581</v>
      </c>
      <c r="CV123" s="77">
        <f>CV57</f>
        <v>541</v>
      </c>
      <c r="CW123" s="77">
        <f>CW57</f>
        <v>523</v>
      </c>
      <c r="CX123" s="77"/>
      <c r="CY123" s="77">
        <f>CY57</f>
        <v>506</v>
      </c>
      <c r="CZ123" s="77">
        <f>CZ57</f>
        <v>495</v>
      </c>
      <c r="DA123" s="77">
        <f>DA57</f>
        <v>484</v>
      </c>
      <c r="DB123" s="77">
        <f>DB57</f>
        <v>474</v>
      </c>
      <c r="DC123" s="2862"/>
      <c r="DD123" s="2878">
        <f>DD57</f>
        <v>464</v>
      </c>
      <c r="DE123" s="2878">
        <f>DE57</f>
        <v>455</v>
      </c>
      <c r="DF123" s="2878">
        <f>DF57</f>
        <v>446</v>
      </c>
      <c r="DG123" s="2878">
        <f>DG57</f>
        <v>429</v>
      </c>
      <c r="DH123" s="2862"/>
      <c r="DI123" s="3297">
        <f t="shared" ref="DI123:DJ123" si="237">DI57</f>
        <v>416</v>
      </c>
      <c r="DJ123" s="3297">
        <f t="shared" si="237"/>
        <v>410</v>
      </c>
      <c r="DK123" s="3297">
        <f t="shared" ref="DK123" si="238">DK57</f>
        <v>406</v>
      </c>
      <c r="DL123" s="3292">
        <f>SUM(DL119:DL122)+DL117</f>
        <v>397.26561040061301</v>
      </c>
      <c r="DM123" s="2806"/>
      <c r="DN123" s="3292">
        <f>SUM(DN119:DN122)+DN117</f>
        <v>385.3716484756427</v>
      </c>
      <c r="DO123" s="3292">
        <f>SUM(DO119:DO122)+DO117</f>
        <v>382.25781083472145</v>
      </c>
      <c r="DP123" s="3292">
        <f>SUM(DP119:DP122)+DP117</f>
        <v>379.31998362404795</v>
      </c>
      <c r="DQ123" s="3292">
        <f>SUM(DQ119:DQ122)+DQ117</f>
        <v>376.54226077770079</v>
      </c>
      <c r="DR123" s="14"/>
    </row>
    <row r="124" spans="1:122">
      <c r="A124" s="146" t="s">
        <v>677</v>
      </c>
      <c r="B124" s="146"/>
      <c r="C124" s="146"/>
      <c r="D124" s="146"/>
      <c r="E124" s="146"/>
      <c r="F124" s="146"/>
      <c r="G124" s="146"/>
      <c r="H124" s="109">
        <f>H125-H123</f>
        <v>11</v>
      </c>
      <c r="I124" s="836">
        <f>I125-I123</f>
        <v>0</v>
      </c>
      <c r="J124" s="836">
        <f>J125-J123</f>
        <v>0</v>
      </c>
      <c r="K124" s="836">
        <f>K125-K123</f>
        <v>0</v>
      </c>
      <c r="L124" s="836">
        <f>L125-L123</f>
        <v>0</v>
      </c>
      <c r="M124" s="836">
        <v>0</v>
      </c>
      <c r="N124" s="836">
        <v>0</v>
      </c>
      <c r="O124" s="919"/>
      <c r="P124" s="836"/>
      <c r="Q124" s="836"/>
      <c r="R124" s="836">
        <v>0</v>
      </c>
      <c r="S124" s="836">
        <v>0</v>
      </c>
      <c r="T124" s="836">
        <v>0</v>
      </c>
      <c r="U124" s="836">
        <v>0</v>
      </c>
      <c r="V124" s="836">
        <v>0</v>
      </c>
      <c r="W124" s="836">
        <v>0</v>
      </c>
      <c r="X124" s="836"/>
      <c r="Y124" s="836"/>
      <c r="Z124" s="1911">
        <v>0</v>
      </c>
      <c r="AA124" s="1911">
        <v>0</v>
      </c>
      <c r="AB124" s="1911"/>
      <c r="AC124" s="1911">
        <v>0</v>
      </c>
      <c r="AD124" s="1911">
        <v>0</v>
      </c>
      <c r="AE124" s="1911">
        <v>0</v>
      </c>
      <c r="AF124" s="1911">
        <v>0</v>
      </c>
      <c r="AG124" s="1911">
        <v>0</v>
      </c>
      <c r="AH124" s="1911">
        <v>0</v>
      </c>
      <c r="AI124" s="1911">
        <v>0</v>
      </c>
      <c r="AJ124" s="1911">
        <v>0</v>
      </c>
      <c r="AK124" s="1911">
        <v>0</v>
      </c>
      <c r="AL124" s="1911">
        <v>0</v>
      </c>
      <c r="AM124" s="1911">
        <v>0</v>
      </c>
      <c r="AN124" s="1911">
        <v>0</v>
      </c>
      <c r="AO124" s="1926"/>
      <c r="AP124" s="885"/>
      <c r="AQ124" s="885"/>
      <c r="AR124" s="885"/>
      <c r="AS124" s="885"/>
      <c r="AT124" s="109"/>
      <c r="AU124" s="11"/>
      <c r="AV124" s="39"/>
      <c r="AW124" s="39"/>
      <c r="AX124" s="39"/>
      <c r="AY124" s="39"/>
      <c r="AZ124" s="94"/>
      <c r="BA124" s="113"/>
      <c r="BB124" s="113"/>
      <c r="BC124" s="109"/>
      <c r="BD124" s="109"/>
      <c r="BE124" s="109"/>
      <c r="BF124" s="113">
        <v>0</v>
      </c>
      <c r="BG124" s="113">
        <v>0</v>
      </c>
      <c r="BH124" s="113">
        <f>$L124/4</f>
        <v>0</v>
      </c>
      <c r="BI124" s="112">
        <f>$L124/4</f>
        <v>0</v>
      </c>
      <c r="BJ124" s="141"/>
      <c r="BK124" s="113">
        <v>0</v>
      </c>
      <c r="BL124" s="113">
        <v>0</v>
      </c>
      <c r="BM124" s="113">
        <v>0</v>
      </c>
      <c r="BN124" s="111">
        <f>$M124</f>
        <v>0</v>
      </c>
      <c r="BO124" s="11"/>
      <c r="BP124" s="113">
        <v>0</v>
      </c>
      <c r="BQ124" s="113">
        <v>0</v>
      </c>
      <c r="BR124" s="113">
        <v>0</v>
      </c>
      <c r="BS124" s="111">
        <f>$N124</f>
        <v>0</v>
      </c>
      <c r="BT124" s="11"/>
      <c r="BU124" s="14">
        <f>R124</f>
        <v>0</v>
      </c>
      <c r="BV124" s="14">
        <f>BU124</f>
        <v>0</v>
      </c>
      <c r="BW124" s="14">
        <f>BV124</f>
        <v>0</v>
      </c>
      <c r="BX124" s="14">
        <f>BW124</f>
        <v>0</v>
      </c>
      <c r="BY124" s="11"/>
      <c r="BZ124" s="14">
        <f>BY124</f>
        <v>0</v>
      </c>
      <c r="CA124" s="14">
        <f>BZ124</f>
        <v>0</v>
      </c>
      <c r="CB124" s="14">
        <f>CA124</f>
        <v>0</v>
      </c>
      <c r="CC124" s="14">
        <f>CB124</f>
        <v>0</v>
      </c>
      <c r="CD124" s="11"/>
      <c r="CE124" s="14">
        <f>CD124</f>
        <v>0</v>
      </c>
      <c r="CF124" s="14">
        <f>CE124</f>
        <v>0</v>
      </c>
      <c r="CG124" s="14">
        <f>CF124</f>
        <v>0</v>
      </c>
      <c r="CH124" s="14">
        <f>CG124</f>
        <v>0</v>
      </c>
      <c r="CI124" s="11"/>
      <c r="CJ124" s="14">
        <f>CI124</f>
        <v>0</v>
      </c>
      <c r="CK124" s="14">
        <f>CJ124</f>
        <v>0</v>
      </c>
      <c r="CL124" s="14">
        <f>CK124</f>
        <v>0</v>
      </c>
      <c r="CM124" s="14">
        <f>CL124</f>
        <v>0</v>
      </c>
      <c r="CN124" s="11"/>
      <c r="CO124" s="14">
        <f>CN124</f>
        <v>0</v>
      </c>
      <c r="CP124" s="14">
        <f>CO124</f>
        <v>0</v>
      </c>
      <c r="CQ124" s="14">
        <f>CP124</f>
        <v>0</v>
      </c>
      <c r="CR124" s="14">
        <f>CQ124</f>
        <v>0</v>
      </c>
      <c r="CS124" s="11"/>
      <c r="CT124" s="1328">
        <f>CR124</f>
        <v>0</v>
      </c>
      <c r="CU124" s="1328">
        <f>CT124</f>
        <v>0</v>
      </c>
      <c r="CV124" s="1328">
        <f>CU124</f>
        <v>0</v>
      </c>
      <c r="CW124" s="14">
        <f>CV124</f>
        <v>0</v>
      </c>
      <c r="CX124" s="11"/>
      <c r="CY124" s="1328">
        <f>CT124</f>
        <v>0</v>
      </c>
      <c r="CZ124" s="1328">
        <f>CU124</f>
        <v>0</v>
      </c>
      <c r="DA124" s="1328">
        <f>CV124</f>
        <v>0</v>
      </c>
      <c r="DB124" s="1328">
        <f>CW124</f>
        <v>0</v>
      </c>
      <c r="DC124" s="2862"/>
      <c r="DD124" s="2806">
        <f>DC124</f>
        <v>0</v>
      </c>
      <c r="DE124" s="2806">
        <f>DD124</f>
        <v>0</v>
      </c>
      <c r="DF124" s="2806">
        <f>DE124</f>
        <v>0</v>
      </c>
      <c r="DG124" s="2806">
        <f>DF124</f>
        <v>0</v>
      </c>
      <c r="DH124" s="2862"/>
      <c r="DI124" s="3292">
        <f>DH124</f>
        <v>0</v>
      </c>
      <c r="DJ124" s="3292">
        <f>DI124</f>
        <v>0</v>
      </c>
      <c r="DK124" s="3292">
        <f>DJ124</f>
        <v>0</v>
      </c>
      <c r="DL124" s="3292">
        <f>DK124</f>
        <v>0</v>
      </c>
      <c r="DM124" s="2862"/>
      <c r="DN124" s="3292">
        <f>DM124</f>
        <v>0</v>
      </c>
      <c r="DO124" s="3292">
        <f t="shared" ref="DO124" si="239">DN124</f>
        <v>0</v>
      </c>
      <c r="DP124" s="3292">
        <f>DO124</f>
        <v>0</v>
      </c>
      <c r="DQ124" s="3292">
        <f>DP124</f>
        <v>0</v>
      </c>
      <c r="DR124" s="11"/>
    </row>
    <row r="125" spans="1:122">
      <c r="A125" s="147" t="s">
        <v>388</v>
      </c>
      <c r="B125" s="147"/>
      <c r="C125" s="147"/>
      <c r="D125" s="147"/>
      <c r="E125" s="147"/>
      <c r="F125" s="147"/>
      <c r="G125" s="147"/>
      <c r="H125" s="112">
        <f>1774.8/2</f>
        <v>887.4</v>
      </c>
      <c r="I125" s="113">
        <v>880.4</v>
      </c>
      <c r="J125" s="113">
        <v>857.2</v>
      </c>
      <c r="K125" s="113">
        <v>789.7</v>
      </c>
      <c r="L125" s="113">
        <v>771.8</v>
      </c>
      <c r="M125" s="112">
        <v>721.9</v>
      </c>
      <c r="N125" s="112">
        <v>669.8</v>
      </c>
      <c r="O125" s="919"/>
      <c r="P125" s="110"/>
      <c r="Q125" s="110"/>
      <c r="R125" s="112">
        <v>682.9</v>
      </c>
      <c r="S125" s="110">
        <f>+S109+S115+S122</f>
        <v>699.30000000000007</v>
      </c>
      <c r="T125" s="110">
        <f>+T109+T115+T122</f>
        <v>668</v>
      </c>
      <c r="U125" s="110">
        <f>+U109+U115+U122</f>
        <v>647</v>
      </c>
      <c r="V125" s="110">
        <f>+V109+V115+V122</f>
        <v>611.75</v>
      </c>
      <c r="W125" s="110">
        <f>+W109+W115+W122</f>
        <v>518</v>
      </c>
      <c r="X125" s="110"/>
      <c r="Y125" s="110"/>
      <c r="Z125" s="1525">
        <f>+Z109+Z115+Z122</f>
        <v>468.5</v>
      </c>
      <c r="AA125" s="1525">
        <f>+AA109+AA115+AA122</f>
        <v>416.5</v>
      </c>
      <c r="AB125" s="1525"/>
      <c r="AC125" s="1525">
        <f>+AC109+AC115+AC122</f>
        <v>388.22469906209562</v>
      </c>
      <c r="AD125" s="1525">
        <f>+AD109+AD115+AD122</f>
        <v>375.19157808755881</v>
      </c>
      <c r="AE125" s="1525">
        <f>+AE109+AE115+AE122</f>
        <v>353.98550807213053</v>
      </c>
      <c r="AF125" s="1525">
        <f>+AF109+AF115+AF122</f>
        <v>335.76247574866443</v>
      </c>
      <c r="AG125" s="1525">
        <f t="shared" ref="AG125:AL125" si="240">+AG109+AG115+AG122</f>
        <v>318.77489077178916</v>
      </c>
      <c r="AH125" s="1525">
        <f t="shared" si="240"/>
        <v>302.95447269770165</v>
      </c>
      <c r="AI125" s="1525">
        <f t="shared" si="240"/>
        <v>288.23713830259823</v>
      </c>
      <c r="AJ125" s="1525">
        <f t="shared" si="240"/>
        <v>274.56274538382047</v>
      </c>
      <c r="AK125" s="1525">
        <f t="shared" si="240"/>
        <v>261.87485269498927</v>
      </c>
      <c r="AL125" s="1525">
        <f t="shared" si="240"/>
        <v>250.12049494144046</v>
      </c>
      <c r="AM125" s="1525">
        <f>+AM109+AM115+AM122</f>
        <v>239.24997183694464</v>
      </c>
      <c r="AN125" s="1525">
        <f>+AN109+AN115+AN122</f>
        <v>229.21665029175341</v>
      </c>
      <c r="AO125" s="1926"/>
      <c r="AP125" s="110"/>
      <c r="AQ125" s="110"/>
      <c r="AR125" s="110"/>
      <c r="AS125" s="110"/>
      <c r="AT125" s="110"/>
      <c r="AU125" s="11"/>
      <c r="AV125" s="38"/>
      <c r="AW125" s="38"/>
      <c r="AX125" s="38"/>
      <c r="AY125" s="38"/>
      <c r="AZ125" s="90"/>
      <c r="BA125" s="110"/>
      <c r="BB125" s="110"/>
      <c r="BC125" s="110"/>
      <c r="BD125" s="110"/>
      <c r="BE125" s="110"/>
      <c r="BF125" s="113">
        <v>766.7</v>
      </c>
      <c r="BG125" s="77">
        <v>769.6</v>
      </c>
      <c r="BH125" s="113">
        <v>774.2</v>
      </c>
      <c r="BI125" s="76">
        <v>776.4</v>
      </c>
      <c r="BJ125" s="110"/>
      <c r="BK125" s="76">
        <v>765.1</v>
      </c>
      <c r="BL125" s="76">
        <v>729.4</v>
      </c>
      <c r="BM125" s="76">
        <v>729.4</v>
      </c>
      <c r="BN125" s="112">
        <v>678.8</v>
      </c>
      <c r="BO125" s="6"/>
      <c r="BP125" s="76">
        <v>673.8</v>
      </c>
      <c r="BQ125" s="112">
        <v>674.3</v>
      </c>
      <c r="BR125" s="112">
        <v>670.9</v>
      </c>
      <c r="BS125" s="112">
        <v>674.7</v>
      </c>
      <c r="BT125" s="6"/>
      <c r="BU125" s="112">
        <v>671.5</v>
      </c>
      <c r="BV125" s="112">
        <f>BV123+BV124</f>
        <v>680.2</v>
      </c>
      <c r="BW125" s="112">
        <v>685.1</v>
      </c>
      <c r="BX125" s="112">
        <v>690.3</v>
      </c>
      <c r="BY125" s="6"/>
      <c r="BZ125" s="110">
        <f>BZ123+BZ124</f>
        <v>692.1</v>
      </c>
      <c r="CA125" s="110">
        <f>CA123+CA124</f>
        <v>693.4</v>
      </c>
      <c r="CB125" s="110">
        <f>CB123+CB124</f>
        <v>694.3</v>
      </c>
      <c r="CC125" s="110">
        <f>CC123+CC124</f>
        <v>698</v>
      </c>
      <c r="CD125" s="6"/>
      <c r="CE125" s="110">
        <f>CE123+CE124</f>
        <v>693</v>
      </c>
      <c r="CF125" s="110">
        <f>CF123+CF124</f>
        <v>686</v>
      </c>
      <c r="CG125" s="110">
        <f>CG123+CG124</f>
        <v>675</v>
      </c>
      <c r="CH125" s="110">
        <f>CH123+CH124</f>
        <v>669</v>
      </c>
      <c r="CI125" s="6"/>
      <c r="CJ125" s="110">
        <f>CJ123+CJ124</f>
        <v>667</v>
      </c>
      <c r="CK125" s="110">
        <f>CK123+CK124</f>
        <v>661</v>
      </c>
      <c r="CL125" s="110">
        <f>CL123+CL124</f>
        <v>656</v>
      </c>
      <c r="CM125" s="111">
        <f>CM123+CM124</f>
        <v>650</v>
      </c>
      <c r="CN125" s="11"/>
      <c r="CO125" s="111">
        <f>CO123+CO124</f>
        <v>638</v>
      </c>
      <c r="CP125" s="111">
        <f>CP123+CP124</f>
        <v>624</v>
      </c>
      <c r="CQ125" s="111">
        <f>CQ123+CQ124</f>
        <v>618</v>
      </c>
      <c r="CR125" s="111">
        <f>CR123+CR124</f>
        <v>615</v>
      </c>
      <c r="CS125" s="11"/>
      <c r="CT125" s="1479">
        <f>CT123+CT124</f>
        <v>600</v>
      </c>
      <c r="CU125" s="1479">
        <f>CU123+CU124</f>
        <v>581</v>
      </c>
      <c r="CV125" s="1479">
        <f>CV123+CV124</f>
        <v>541</v>
      </c>
      <c r="CW125" s="111">
        <f>CW123+CW124</f>
        <v>523</v>
      </c>
      <c r="CX125" s="11"/>
      <c r="CY125" s="1656">
        <f>CY123+CY124</f>
        <v>506</v>
      </c>
      <c r="CZ125" s="1623">
        <f>CZ123+CZ124</f>
        <v>495</v>
      </c>
      <c r="DA125" s="1623">
        <f>DA123+DA124</f>
        <v>484</v>
      </c>
      <c r="DB125" s="1623">
        <f>DB123+DB124</f>
        <v>474</v>
      </c>
      <c r="DC125" s="2862"/>
      <c r="DD125" s="2845">
        <f>DD123+DD124</f>
        <v>464</v>
      </c>
      <c r="DE125" s="2845">
        <f>DE123+DE124</f>
        <v>455</v>
      </c>
      <c r="DF125" s="2845">
        <f>DF123+DF124</f>
        <v>446</v>
      </c>
      <c r="DG125" s="2845">
        <f>DG123+DG124</f>
        <v>429</v>
      </c>
      <c r="DH125" s="2862"/>
      <c r="DI125" s="3294">
        <f>DI123+DI124</f>
        <v>416</v>
      </c>
      <c r="DJ125" s="3294">
        <f>DJ123+DJ124</f>
        <v>410</v>
      </c>
      <c r="DK125" s="3294">
        <f>DK123+DK124</f>
        <v>406</v>
      </c>
      <c r="DL125" s="3294">
        <f>DL123+DL124</f>
        <v>397.26561040061301</v>
      </c>
      <c r="DM125" s="2862"/>
      <c r="DN125" s="3294">
        <f>DN123+DN124</f>
        <v>385.3716484756427</v>
      </c>
      <c r="DO125" s="3294">
        <f>DO123+DO124</f>
        <v>382.25781083472145</v>
      </c>
      <c r="DP125" s="3294">
        <f>DP123+DP124</f>
        <v>379.31998362404795</v>
      </c>
      <c r="DQ125" s="3294">
        <f>DQ123+DQ124</f>
        <v>376.54226077770079</v>
      </c>
      <c r="DR125" s="11"/>
    </row>
    <row r="126" spans="1:122">
      <c r="A126" s="147" t="s">
        <v>1071</v>
      </c>
      <c r="B126" s="149"/>
      <c r="C126" s="149"/>
      <c r="D126" s="149"/>
      <c r="E126" s="149"/>
      <c r="F126" s="149"/>
      <c r="G126" s="149"/>
      <c r="H126" s="111"/>
      <c r="I126" s="111"/>
      <c r="J126" s="111"/>
      <c r="K126" s="140"/>
      <c r="L126" s="111"/>
      <c r="M126" s="110">
        <f>+M115+M109</f>
        <v>671.9</v>
      </c>
      <c r="N126" s="110">
        <f>+N115+N109</f>
        <v>670.80000000000007</v>
      </c>
      <c r="O126" s="919"/>
      <c r="P126" s="110"/>
      <c r="Q126" s="110"/>
      <c r="R126" s="110">
        <f>+R115+R109</f>
        <v>674.8</v>
      </c>
      <c r="S126" s="110">
        <f>+S115+S109</f>
        <v>680.00000000000011</v>
      </c>
      <c r="T126" s="110">
        <f>+T115+T109</f>
        <v>651</v>
      </c>
      <c r="U126" s="110">
        <f>+U115+U109</f>
        <v>630</v>
      </c>
      <c r="V126" s="110">
        <f t="shared" ref="V126:AF126" si="241">+V115+V109</f>
        <v>596</v>
      </c>
      <c r="W126" s="110">
        <f t="shared" si="241"/>
        <v>507</v>
      </c>
      <c r="X126" s="110"/>
      <c r="Y126" s="110"/>
      <c r="Z126" s="1525">
        <f>+Z115+Z109</f>
        <v>463</v>
      </c>
      <c r="AA126" s="1525">
        <f t="shared" si="241"/>
        <v>412</v>
      </c>
      <c r="AB126" s="1525"/>
      <c r="AC126" s="1525">
        <f>+AC115+AC109</f>
        <v>382.97469906209562</v>
      </c>
      <c r="AD126" s="1525">
        <f>+AD115+AD109</f>
        <v>371.19157808755881</v>
      </c>
      <c r="AE126" s="1525">
        <f t="shared" si="241"/>
        <v>351.90066937733769</v>
      </c>
      <c r="AF126" s="1525">
        <f t="shared" si="241"/>
        <v>333.73661026298163</v>
      </c>
      <c r="AG126" s="1525">
        <f t="shared" ref="AG126:AL126" si="242">+AG115+AG109</f>
        <v>316.83831200586911</v>
      </c>
      <c r="AH126" s="1525">
        <f t="shared" si="242"/>
        <v>301.13627406315771</v>
      </c>
      <c r="AI126" s="1525">
        <f t="shared" si="242"/>
        <v>286.56547920009251</v>
      </c>
      <c r="AJ126" s="1525">
        <f t="shared" si="242"/>
        <v>273.06511223860713</v>
      </c>
      <c r="AK126" s="1525">
        <f t="shared" si="242"/>
        <v>260.57829806846428</v>
      </c>
      <c r="AL126" s="1525">
        <f t="shared" si="242"/>
        <v>249.05185752550082</v>
      </c>
      <c r="AM126" s="1525">
        <f>+AM115+AM109</f>
        <v>238.43607985145829</v>
      </c>
      <c r="AN126" s="1525">
        <f>+AN115+AN109</f>
        <v>228.68451055049857</v>
      </c>
      <c r="AO126" s="1926"/>
      <c r="AP126" s="110"/>
      <c r="AQ126" s="110"/>
      <c r="AR126" s="110"/>
      <c r="AS126" s="110"/>
      <c r="AT126" s="110"/>
      <c r="AU126" s="11"/>
      <c r="AV126" s="38"/>
      <c r="AW126" s="38"/>
      <c r="AX126" s="38"/>
      <c r="AY126" s="38"/>
      <c r="AZ126" s="90"/>
      <c r="BA126" s="110"/>
      <c r="BB126" s="110"/>
      <c r="BC126" s="110"/>
      <c r="BD126" s="110"/>
      <c r="BE126" s="110"/>
      <c r="BF126" s="111"/>
      <c r="BG126" s="111"/>
      <c r="BH126" s="111"/>
      <c r="BI126" s="90"/>
      <c r="BJ126" s="90"/>
      <c r="BK126" s="90"/>
      <c r="BL126" s="90"/>
      <c r="BM126" s="90"/>
      <c r="BN126" s="90"/>
      <c r="BO126" s="6"/>
      <c r="BP126" s="90"/>
      <c r="BQ126" s="90"/>
      <c r="BR126" s="90"/>
      <c r="BS126" s="90"/>
      <c r="BT126" s="6"/>
      <c r="BU126" s="6"/>
      <c r="BV126" s="6"/>
      <c r="BW126" s="6"/>
      <c r="BX126" s="6"/>
      <c r="BY126" s="6"/>
      <c r="BZ126" s="13"/>
      <c r="CA126" s="6"/>
      <c r="CB126" s="6"/>
      <c r="CC126" s="6"/>
      <c r="CD126" s="6"/>
      <c r="CE126" s="6"/>
      <c r="CF126" s="6"/>
      <c r="CG126" s="6"/>
      <c r="CH126" s="6"/>
      <c r="CI126" s="6"/>
      <c r="CJ126" s="13"/>
      <c r="CK126" s="13"/>
      <c r="CL126" s="13"/>
      <c r="CM126" s="13"/>
      <c r="CN126" s="6"/>
      <c r="CO126" s="14"/>
      <c r="CP126" s="14"/>
      <c r="CQ126" s="14"/>
      <c r="CR126" s="14"/>
      <c r="CS126" s="11"/>
      <c r="CT126" s="1328"/>
      <c r="CU126" s="1328"/>
      <c r="CV126" s="1328"/>
      <c r="CW126" s="14"/>
      <c r="CX126" s="11"/>
      <c r="CY126" s="1328"/>
      <c r="CZ126" s="1328"/>
      <c r="DA126" s="1328"/>
      <c r="DB126" s="14"/>
      <c r="DC126" s="2862"/>
      <c r="DD126" s="2862"/>
      <c r="DE126" s="2862"/>
      <c r="DF126" s="2862"/>
      <c r="DG126" s="2862"/>
      <c r="DH126" s="2862"/>
      <c r="DI126" s="2862"/>
      <c r="DJ126" s="2862"/>
      <c r="DK126" s="2862"/>
      <c r="DL126" s="2862"/>
      <c r="DM126" s="2862"/>
      <c r="DN126" s="2862"/>
      <c r="DO126" s="2862"/>
      <c r="DP126" s="11"/>
      <c r="DQ126" s="11"/>
      <c r="DR126" s="11"/>
    </row>
    <row r="127" spans="1:122">
      <c r="A127" s="150" t="s">
        <v>879</v>
      </c>
      <c r="B127" s="150"/>
      <c r="C127" s="150"/>
      <c r="D127" s="150"/>
      <c r="E127" s="150"/>
      <c r="F127" s="150"/>
      <c r="G127" s="151"/>
      <c r="H127" s="111"/>
      <c r="I127" s="111"/>
      <c r="J127" s="111"/>
      <c r="K127" s="140"/>
      <c r="L127" s="111"/>
      <c r="M127" s="111"/>
      <c r="N127" s="111"/>
      <c r="O127" s="919"/>
      <c r="P127" s="111"/>
      <c r="Q127" s="111"/>
      <c r="R127" s="111"/>
      <c r="S127" s="111"/>
      <c r="T127" s="39"/>
      <c r="U127" s="111"/>
      <c r="V127" s="111"/>
      <c r="W127" s="88"/>
      <c r="X127" s="88"/>
      <c r="Y127" s="88"/>
      <c r="Z127" s="1135"/>
      <c r="AA127" s="1525"/>
      <c r="AB127" s="1525"/>
      <c r="AC127" s="1525"/>
      <c r="AD127" s="1525"/>
      <c r="AE127" s="1525"/>
      <c r="AF127" s="1525"/>
      <c r="AG127" s="1525"/>
      <c r="AH127" s="1525"/>
      <c r="AI127" s="1525"/>
      <c r="AJ127" s="1525"/>
      <c r="AK127" s="1525"/>
      <c r="AL127" s="1525"/>
      <c r="AM127" s="111"/>
      <c r="AN127" s="111"/>
      <c r="AO127" s="1926"/>
      <c r="AP127" s="111"/>
      <c r="AQ127" s="111"/>
      <c r="AR127" s="111"/>
      <c r="AS127" s="111"/>
      <c r="AT127" s="111"/>
      <c r="AU127" s="11"/>
      <c r="AV127" s="39"/>
      <c r="AW127" s="39"/>
      <c r="AX127" s="39"/>
      <c r="AY127" s="39"/>
      <c r="AZ127" s="94"/>
      <c r="BA127" s="111"/>
      <c r="BB127" s="111"/>
      <c r="BC127" s="110"/>
      <c r="BD127" s="110"/>
      <c r="BE127" s="110"/>
      <c r="BF127" s="913"/>
      <c r="BG127" s="111"/>
      <c r="BH127" s="111"/>
      <c r="BI127" s="90"/>
      <c r="BJ127" s="90"/>
      <c r="BK127" s="913"/>
      <c r="BL127" s="90"/>
      <c r="BM127" s="90"/>
      <c r="BN127" s="90"/>
      <c r="BO127" s="6"/>
      <c r="BP127" s="913"/>
      <c r="BQ127" s="90"/>
      <c r="BR127" s="90"/>
      <c r="BS127" s="90"/>
      <c r="BT127" s="6"/>
      <c r="BU127" s="6"/>
      <c r="BV127" s="6"/>
      <c r="BW127" s="6"/>
      <c r="BX127" s="6"/>
      <c r="BY127" s="6"/>
      <c r="BZ127" s="6"/>
      <c r="CA127" s="6"/>
      <c r="CB127" s="6"/>
      <c r="CC127" s="6"/>
      <c r="CD127" s="6"/>
      <c r="CE127" s="6"/>
      <c r="CF127" s="6"/>
      <c r="CG127" s="6"/>
      <c r="CH127" s="6"/>
      <c r="CI127" s="6"/>
      <c r="CJ127" s="6"/>
      <c r="CK127" s="6"/>
      <c r="CL127" s="6"/>
      <c r="CM127" s="6"/>
      <c r="CN127" s="6"/>
      <c r="CO127" s="11"/>
      <c r="CP127" s="11"/>
      <c r="CQ127" s="11"/>
      <c r="CR127" s="11"/>
      <c r="CS127" s="11"/>
      <c r="CT127" s="906"/>
      <c r="CU127" s="906"/>
      <c r="CV127" s="906"/>
      <c r="CW127" s="11"/>
      <c r="CX127" s="11"/>
      <c r="CY127" s="906"/>
      <c r="CZ127" s="906"/>
      <c r="DA127" s="906"/>
      <c r="DB127" s="11"/>
      <c r="DC127" s="2862"/>
      <c r="DD127" s="2862"/>
      <c r="DE127" s="2862"/>
      <c r="DF127" s="2862"/>
      <c r="DG127" s="2862"/>
      <c r="DH127" s="2862"/>
      <c r="DI127" s="2862"/>
      <c r="DJ127" s="2862"/>
      <c r="DK127" s="2862"/>
      <c r="DL127" s="2862"/>
      <c r="DM127" s="2862"/>
      <c r="DN127" s="2862"/>
      <c r="DO127" s="2862"/>
      <c r="DP127" s="11"/>
      <c r="DQ127" s="11"/>
      <c r="DR127" s="11"/>
    </row>
    <row r="128" spans="1:122">
      <c r="A128" s="152" t="s">
        <v>389</v>
      </c>
      <c r="B128" s="152"/>
      <c r="C128" s="152"/>
      <c r="D128" s="152"/>
      <c r="E128" s="152"/>
      <c r="F128" s="152"/>
      <c r="G128" s="152"/>
      <c r="H128" s="153"/>
      <c r="I128" s="111">
        <f t="shared" ref="I128:N128" si="243">H148</f>
        <v>69.192631000000006</v>
      </c>
      <c r="J128" s="111">
        <f t="shared" si="243"/>
        <v>73.704429000000005</v>
      </c>
      <c r="K128" s="140">
        <f t="shared" si="243"/>
        <v>81.209911999999989</v>
      </c>
      <c r="L128" s="111">
        <f t="shared" si="243"/>
        <v>130.12997799999999</v>
      </c>
      <c r="M128" s="111">
        <f t="shared" si="243"/>
        <v>48.087513999999999</v>
      </c>
      <c r="N128" s="111">
        <f t="shared" si="243"/>
        <v>37.838882999999996</v>
      </c>
      <c r="O128" s="919"/>
      <c r="P128" s="111"/>
      <c r="Q128" s="111"/>
      <c r="R128" s="111">
        <f>N148</f>
        <v>36.520882999999991</v>
      </c>
      <c r="S128" s="111">
        <f>R148</f>
        <v>46.06688299999999</v>
      </c>
      <c r="T128" s="111">
        <f t="shared" ref="T128:AF128" si="244">S148</f>
        <v>46.644989999999993</v>
      </c>
      <c r="U128" s="111">
        <f t="shared" si="244"/>
        <v>41.912551999999991</v>
      </c>
      <c r="V128" s="111">
        <f t="shared" si="244"/>
        <v>34.032870999999993</v>
      </c>
      <c r="W128" s="111">
        <f t="shared" si="244"/>
        <v>27.974396999999993</v>
      </c>
      <c r="X128" s="111"/>
      <c r="Y128" s="111"/>
      <c r="Z128" s="1525">
        <f>W148</f>
        <v>15.63408699999999</v>
      </c>
      <c r="AA128" s="1525">
        <f t="shared" si="244"/>
        <v>17.054603975174103</v>
      </c>
      <c r="AB128" s="1525"/>
      <c r="AC128" s="1525">
        <f>AA148</f>
        <v>17.661215975174102</v>
      </c>
      <c r="AD128" s="1525">
        <f t="shared" si="244"/>
        <v>19.081732950348215</v>
      </c>
      <c r="AE128" s="1525">
        <f t="shared" si="244"/>
        <v>20.621093293700685</v>
      </c>
      <c r="AF128" s="1525">
        <f t="shared" si="244"/>
        <v>22.091338166862126</v>
      </c>
      <c r="AG128" s="1525">
        <f t="shared" ref="AG128:AN128" si="245">AF148</f>
        <v>23.502061023123574</v>
      </c>
      <c r="AH128" s="1525">
        <f t="shared" si="245"/>
        <v>24.861962535222709</v>
      </c>
      <c r="AI128" s="1525">
        <f t="shared" si="245"/>
        <v>26.178943276126134</v>
      </c>
      <c r="AJ128" s="1525">
        <f t="shared" si="245"/>
        <v>27.460187091562918</v>
      </c>
      <c r="AK128" s="1525">
        <f t="shared" si="245"/>
        <v>28.712236108323793</v>
      </c>
      <c r="AL128" s="1525">
        <f t="shared" si="245"/>
        <v>29.941058226878031</v>
      </c>
      <c r="AM128" s="1525">
        <f t="shared" si="245"/>
        <v>31.152107861059438</v>
      </c>
      <c r="AN128" s="1525">
        <f t="shared" si="245"/>
        <v>32.350380610456604</v>
      </c>
      <c r="AO128" s="1926"/>
      <c r="AP128" s="111"/>
      <c r="AQ128" s="111"/>
      <c r="AR128" s="111"/>
      <c r="AS128" s="111"/>
      <c r="AT128" s="111"/>
      <c r="AU128" s="11"/>
      <c r="AV128" s="38"/>
      <c r="AW128" s="38"/>
      <c r="AX128" s="38"/>
      <c r="AY128" s="38"/>
      <c r="AZ128" s="90"/>
      <c r="BA128" s="110"/>
      <c r="BB128" s="110"/>
      <c r="BC128" s="110"/>
      <c r="BD128" s="110"/>
      <c r="BE128" s="110"/>
      <c r="BF128" s="111"/>
      <c r="BG128" s="111"/>
      <c r="BH128" s="111"/>
      <c r="BI128" s="90"/>
      <c r="BJ128" s="90"/>
      <c r="BK128" s="90"/>
      <c r="BL128" s="90"/>
      <c r="BM128" s="90"/>
      <c r="BN128" s="90"/>
      <c r="BO128" s="6"/>
      <c r="BP128" s="90"/>
      <c r="BQ128" s="90"/>
      <c r="BR128" s="90"/>
      <c r="BS128" s="90"/>
      <c r="BT128" s="6"/>
      <c r="BU128" s="6"/>
      <c r="BV128" s="6"/>
      <c r="BW128" s="6"/>
      <c r="BX128" s="6"/>
      <c r="BY128" s="6"/>
      <c r="BZ128" s="6"/>
      <c r="CA128" s="6"/>
      <c r="CB128" s="6"/>
      <c r="CC128" s="6"/>
      <c r="CD128" s="6"/>
      <c r="CE128" s="6"/>
      <c r="CF128" s="6"/>
      <c r="CG128" s="6"/>
      <c r="CH128" s="6"/>
      <c r="CI128" s="6"/>
      <c r="CJ128" s="6"/>
      <c r="CK128" s="6"/>
      <c r="CL128" s="6"/>
      <c r="CM128" s="6"/>
      <c r="CN128" s="6"/>
      <c r="CO128" s="11"/>
      <c r="CP128" s="11"/>
      <c r="CQ128" s="11"/>
      <c r="CR128" s="11"/>
      <c r="CS128" s="11"/>
      <c r="CT128" s="906"/>
      <c r="CU128" s="906"/>
      <c r="CV128" s="906"/>
      <c r="CW128" s="11"/>
      <c r="CX128" s="11"/>
      <c r="CY128" s="1328"/>
      <c r="CZ128" s="1328"/>
      <c r="DA128" s="1328"/>
      <c r="DB128" s="1328"/>
      <c r="DC128" s="2851"/>
      <c r="DD128" s="2851"/>
      <c r="DE128" s="2851"/>
      <c r="DF128" s="2851"/>
      <c r="DG128" s="2851"/>
      <c r="DH128" s="2851"/>
      <c r="DI128" s="2851"/>
      <c r="DJ128" s="2851"/>
      <c r="DK128" s="2851"/>
      <c r="DL128" s="2851"/>
      <c r="DM128" s="2851"/>
      <c r="DN128" s="2851"/>
      <c r="DO128" s="2851"/>
      <c r="DP128" s="1328"/>
      <c r="DQ128" s="1328"/>
      <c r="DR128" s="1328"/>
    </row>
    <row r="129" spans="1:122" ht="5.0999999999999996" customHeight="1">
      <c r="A129" s="152"/>
      <c r="B129" s="152"/>
      <c r="C129" s="152"/>
      <c r="D129" s="152"/>
      <c r="E129" s="152"/>
      <c r="F129" s="152"/>
      <c r="G129" s="152"/>
      <c r="H129" s="113"/>
      <c r="I129" s="113"/>
      <c r="J129" s="154"/>
      <c r="K129" s="154"/>
      <c r="L129" s="111"/>
      <c r="M129" s="111"/>
      <c r="N129" s="111"/>
      <c r="O129" s="919"/>
      <c r="P129" s="111"/>
      <c r="Q129" s="111"/>
      <c r="R129" s="111"/>
      <c r="S129" s="111"/>
      <c r="T129" s="111"/>
      <c r="U129" s="111"/>
      <c r="V129" s="111"/>
      <c r="W129" s="111"/>
      <c r="X129" s="111"/>
      <c r="Y129" s="111"/>
      <c r="Z129" s="111"/>
      <c r="AA129" s="111"/>
      <c r="AB129" s="111"/>
      <c r="AC129" s="111"/>
      <c r="AD129" s="111"/>
      <c r="AE129" s="111"/>
      <c r="AF129" s="111"/>
      <c r="AG129" s="111"/>
      <c r="AH129" s="111"/>
      <c r="AI129" s="111"/>
      <c r="AJ129" s="111"/>
      <c r="AK129" s="111"/>
      <c r="AL129" s="1525"/>
      <c r="AM129" s="1525"/>
      <c r="AN129" s="111"/>
      <c r="AO129" s="111"/>
      <c r="AP129" s="111"/>
      <c r="AQ129" s="111"/>
      <c r="AR129" s="111"/>
      <c r="AS129" s="111"/>
      <c r="AT129" s="111"/>
      <c r="AU129" s="11"/>
      <c r="AV129" s="38"/>
      <c r="AW129" s="38"/>
      <c r="AX129" s="38"/>
      <c r="AY129" s="38"/>
      <c r="AZ129" s="90"/>
      <c r="BA129" s="110"/>
      <c r="BB129" s="110"/>
      <c r="BC129" s="110"/>
      <c r="BD129" s="110"/>
      <c r="BE129" s="110"/>
      <c r="BF129" s="111"/>
      <c r="BG129" s="111"/>
      <c r="BH129" s="111"/>
      <c r="BI129" s="90"/>
      <c r="BJ129" s="90"/>
      <c r="BK129" s="90"/>
      <c r="BL129" s="90"/>
      <c r="BM129" s="90"/>
      <c r="BN129" s="90"/>
      <c r="BO129" s="6"/>
      <c r="BP129" s="90"/>
      <c r="BQ129" s="90"/>
      <c r="BR129" s="90"/>
      <c r="BS129" s="90"/>
      <c r="BT129" s="6"/>
      <c r="BU129" s="6"/>
      <c r="BV129" s="6"/>
      <c r="BW129" s="6"/>
      <c r="BX129" s="6"/>
      <c r="BY129" s="6"/>
      <c r="BZ129" s="6"/>
      <c r="CA129" s="6"/>
      <c r="CB129" s="6"/>
      <c r="CC129" s="6"/>
      <c r="CD129" s="6"/>
      <c r="CE129" s="6"/>
      <c r="CF129" s="6"/>
      <c r="CG129" s="6"/>
      <c r="CH129" s="6"/>
      <c r="CI129" s="6"/>
      <c r="CJ129" s="6"/>
      <c r="CK129" s="6"/>
      <c r="CL129" s="6"/>
      <c r="CM129" s="6"/>
      <c r="CN129" s="6"/>
      <c r="CO129" s="11"/>
      <c r="CP129" s="11"/>
      <c r="CQ129" s="11"/>
      <c r="CR129" s="11"/>
      <c r="CS129" s="11"/>
      <c r="CT129" s="906"/>
      <c r="CU129" s="906"/>
      <c r="CV129" s="906"/>
      <c r="CW129" s="11"/>
      <c r="CX129" s="11"/>
      <c r="CY129" s="906"/>
      <c r="CZ129" s="906"/>
      <c r="DA129" s="906"/>
      <c r="DB129" s="11"/>
      <c r="DC129" s="2862"/>
      <c r="DD129" s="2862"/>
      <c r="DE129" s="2862"/>
      <c r="DF129" s="2862"/>
      <c r="DG129" s="2862"/>
      <c r="DH129" s="2862"/>
      <c r="DI129" s="2862"/>
      <c r="DJ129" s="2862"/>
      <c r="DK129" s="2862"/>
      <c r="DL129" s="2862"/>
      <c r="DM129" s="2862"/>
      <c r="DN129" s="2862"/>
      <c r="DO129" s="2862"/>
      <c r="DP129" s="11"/>
      <c r="DQ129" s="11"/>
      <c r="DR129" s="11"/>
    </row>
    <row r="130" spans="1:122">
      <c r="A130" s="152" t="s">
        <v>475</v>
      </c>
      <c r="B130" s="152"/>
      <c r="C130" s="152"/>
      <c r="D130" s="152"/>
      <c r="E130" s="152"/>
      <c r="F130" s="152"/>
      <c r="G130" s="152"/>
      <c r="H130" s="148"/>
      <c r="I130" s="113">
        <v>11.879977999999999</v>
      </c>
      <c r="J130" s="113">
        <v>14.147871</v>
      </c>
      <c r="K130" s="113">
        <v>9.0732750000000006</v>
      </c>
      <c r="L130" s="113">
        <v>2.2729400000000002</v>
      </c>
      <c r="M130" s="113">
        <v>6.9849639999999997</v>
      </c>
      <c r="N130" s="113">
        <f>6.056+1.448</f>
        <v>7.5039999999999996</v>
      </c>
      <c r="O130" s="919"/>
      <c r="P130" s="113"/>
      <c r="Q130" s="113"/>
      <c r="R130" s="113">
        <v>18.016999999999999</v>
      </c>
      <c r="S130" s="111">
        <v>6.6486650000000003</v>
      </c>
      <c r="T130" s="111">
        <v>6.2710920000000003</v>
      </c>
      <c r="U130" s="111">
        <v>4.4929240000000004</v>
      </c>
      <c r="V130" s="111">
        <v>2.7500849999999999</v>
      </c>
      <c r="W130" s="111">
        <v>2.0398179999999999</v>
      </c>
      <c r="X130" s="111"/>
      <c r="Y130" s="111"/>
      <c r="Z130" s="111">
        <v>2.6258655000000002</v>
      </c>
      <c r="AA130" s="111">
        <v>1.750577</v>
      </c>
      <c r="AB130" s="111"/>
      <c r="AC130" s="111">
        <v>2.6258655000000002</v>
      </c>
      <c r="AD130" s="111">
        <v>2.8884520500000006</v>
      </c>
      <c r="AE130" s="111">
        <v>2.9751056115000005</v>
      </c>
      <c r="AF130" s="111">
        <v>3.0643587798450005</v>
      </c>
      <c r="AG130" s="111">
        <v>3.1562895432403506</v>
      </c>
      <c r="AH130" s="111">
        <v>3.2509782295375613</v>
      </c>
      <c r="AI130" s="111">
        <v>3.3485075764236885</v>
      </c>
      <c r="AJ130" s="111">
        <v>3.4489628037163991</v>
      </c>
      <c r="AK130" s="111">
        <v>3.552431687827891</v>
      </c>
      <c r="AL130" s="1525">
        <v>3.6590046384627279</v>
      </c>
      <c r="AM130" s="1525">
        <v>3.7687747776166098</v>
      </c>
      <c r="AN130" s="1525">
        <v>3.8818380209451084</v>
      </c>
      <c r="AO130" s="111"/>
      <c r="AP130" s="111"/>
      <c r="AQ130" s="111"/>
      <c r="AR130" s="111"/>
      <c r="AS130" s="111"/>
      <c r="AT130" s="148"/>
      <c r="AU130" s="11"/>
      <c r="AV130" s="38"/>
      <c r="AW130" s="38"/>
      <c r="AX130" s="38"/>
      <c r="AY130" s="38"/>
      <c r="AZ130" s="90"/>
      <c r="BA130" s="112"/>
      <c r="BB130" s="112"/>
      <c r="BC130" s="112"/>
      <c r="BD130" s="112"/>
      <c r="BE130" s="112"/>
      <c r="BF130" s="113"/>
      <c r="BG130" s="113"/>
      <c r="BH130" s="113"/>
      <c r="BI130" s="90"/>
      <c r="BJ130" s="90"/>
      <c r="BK130" s="90"/>
      <c r="BL130" s="90"/>
      <c r="BM130" s="90"/>
      <c r="BN130" s="90"/>
      <c r="BO130" s="6"/>
      <c r="BP130" s="90"/>
      <c r="BQ130" s="90"/>
      <c r="BR130" s="90"/>
      <c r="BS130" s="90"/>
      <c r="BT130" s="6"/>
      <c r="BU130" s="6"/>
      <c r="BV130" s="6"/>
      <c r="BW130" s="6"/>
      <c r="BX130" s="6"/>
      <c r="BY130" s="6"/>
      <c r="BZ130" s="6"/>
      <c r="CA130" s="6"/>
      <c r="CB130" s="6"/>
      <c r="CC130" s="6"/>
      <c r="CD130" s="6"/>
      <c r="CE130" s="6"/>
      <c r="CF130" s="6"/>
      <c r="CG130" s="6"/>
      <c r="CH130" s="6"/>
      <c r="CI130" s="6"/>
      <c r="CJ130" s="6"/>
      <c r="CK130" s="6"/>
      <c r="CL130" s="6"/>
      <c r="CM130" s="6"/>
      <c r="CN130" s="6"/>
      <c r="CO130" s="11"/>
      <c r="CP130" s="11"/>
      <c r="CQ130" s="11"/>
      <c r="CR130" s="11"/>
      <c r="CS130" s="11"/>
      <c r="CT130" s="906"/>
      <c r="CU130" s="906"/>
      <c r="CV130" s="906"/>
      <c r="CW130" s="11"/>
      <c r="CX130" s="11"/>
      <c r="DC130" s="2862"/>
      <c r="DD130" s="2862"/>
      <c r="DE130" s="2862"/>
      <c r="DF130" s="2862"/>
      <c r="DG130" s="2862"/>
      <c r="DH130" s="2862"/>
      <c r="DI130" s="2862"/>
      <c r="DJ130" s="2862"/>
      <c r="DK130" s="2862"/>
      <c r="DL130" s="2862"/>
      <c r="DM130" s="2862"/>
      <c r="DN130" s="2862"/>
      <c r="DO130" s="2862"/>
      <c r="DP130" s="11"/>
      <c r="DQ130" s="11"/>
      <c r="DR130" s="11"/>
    </row>
    <row r="131" spans="1:122">
      <c r="A131" s="152" t="s">
        <v>391</v>
      </c>
      <c r="B131" s="152"/>
      <c r="C131" s="152"/>
      <c r="D131" s="152"/>
      <c r="E131" s="152"/>
      <c r="F131" s="152"/>
      <c r="G131" s="152"/>
      <c r="H131" s="39"/>
      <c r="I131" s="39">
        <f t="shared" ref="I131:S131" si="246">I130/I128</f>
        <v>0.17169426611339578</v>
      </c>
      <c r="J131" s="39">
        <f t="shared" si="246"/>
        <v>0.19195414972959088</v>
      </c>
      <c r="K131" s="39">
        <f t="shared" si="246"/>
        <v>0.11172620159962741</v>
      </c>
      <c r="L131" s="39">
        <f t="shared" si="246"/>
        <v>1.7466690111943309E-2</v>
      </c>
      <c r="M131" s="39">
        <f t="shared" si="246"/>
        <v>0.14525525274606627</v>
      </c>
      <c r="N131" s="39">
        <f t="shared" si="246"/>
        <v>0.19831452212793915</v>
      </c>
      <c r="O131" s="919"/>
      <c r="P131" s="39"/>
      <c r="Q131" s="39"/>
      <c r="R131" s="39">
        <f t="shared" si="246"/>
        <v>0.49333418362310694</v>
      </c>
      <c r="S131" s="39">
        <f t="shared" si="246"/>
        <v>0.14432634827930516</v>
      </c>
      <c r="T131" s="39">
        <f t="shared" ref="T131:AF131" si="247">T130/T128</f>
        <v>0.13444299162675352</v>
      </c>
      <c r="U131" s="39">
        <f t="shared" si="247"/>
        <v>0.10719757651598026</v>
      </c>
      <c r="V131" s="39">
        <f t="shared" si="247"/>
        <v>8.0806729470458152E-2</v>
      </c>
      <c r="W131" s="39">
        <f t="shared" si="247"/>
        <v>7.291731793182174E-2</v>
      </c>
      <c r="X131" s="39"/>
      <c r="Y131" s="39"/>
      <c r="Z131" s="39">
        <f>Z130/Z128</f>
        <v>0.16795771316866803</v>
      </c>
      <c r="AA131" s="39">
        <f t="shared" si="247"/>
        <v>0.10264542070565019</v>
      </c>
      <c r="AB131" s="39"/>
      <c r="AC131" s="39">
        <f>AC130/AC128</f>
        <v>0.1486797683518003</v>
      </c>
      <c r="AD131" s="39">
        <f t="shared" si="247"/>
        <v>0.1513726272931249</v>
      </c>
      <c r="AE131" s="39">
        <f t="shared" si="247"/>
        <v>0.1442748727783911</v>
      </c>
      <c r="AF131" s="39">
        <f t="shared" si="247"/>
        <v>0.13871313528854756</v>
      </c>
      <c r="AG131" s="39">
        <f t="shared" ref="AG131:AL131" si="248">AG130/AG128</f>
        <v>0.13429841494049782</v>
      </c>
      <c r="AH131" s="39">
        <f t="shared" si="248"/>
        <v>0.13076112655755959</v>
      </c>
      <c r="AI131" s="39">
        <f t="shared" si="248"/>
        <v>0.12790843163930751</v>
      </c>
      <c r="AJ131" s="39">
        <f t="shared" si="248"/>
        <v>0.12559866370233455</v>
      </c>
      <c r="AK131" s="39">
        <f t="shared" si="248"/>
        <v>0.12372535787270246</v>
      </c>
      <c r="AL131" s="1110">
        <f t="shared" si="248"/>
        <v>0.12220692437577395</v>
      </c>
      <c r="AM131" s="1110">
        <f>AM130/AM128</f>
        <v>0.12097976786757438</v>
      </c>
      <c r="AN131" s="1110">
        <f>AN130/AN128</f>
        <v>0.11999358114786393</v>
      </c>
      <c r="AO131" s="39"/>
      <c r="AP131" s="39"/>
      <c r="AQ131" s="39"/>
      <c r="AR131" s="39"/>
      <c r="AS131" s="39"/>
      <c r="AT131" s="39"/>
      <c r="AU131" s="11"/>
      <c r="AV131" s="38"/>
      <c r="AW131" s="38"/>
      <c r="AX131" s="38"/>
      <c r="AY131" s="38"/>
      <c r="AZ131" s="90"/>
      <c r="BA131" s="110"/>
      <c r="BB131" s="110"/>
      <c r="BC131" s="110"/>
      <c r="BD131" s="110"/>
      <c r="BE131" s="110"/>
      <c r="BF131" s="111"/>
      <c r="BG131" s="111"/>
      <c r="BH131" s="111"/>
      <c r="BI131" s="90"/>
      <c r="BJ131" s="90"/>
      <c r="BK131" s="90"/>
      <c r="BL131" s="90"/>
      <c r="BM131" s="90"/>
      <c r="BN131" s="90"/>
      <c r="BO131" s="6"/>
      <c r="BP131" s="90"/>
      <c r="BQ131" s="90"/>
      <c r="BR131" s="90"/>
      <c r="BS131" s="90"/>
      <c r="BT131" s="6"/>
      <c r="BU131" s="6"/>
      <c r="BV131" s="6"/>
      <c r="BW131" s="6"/>
      <c r="BX131" s="6"/>
      <c r="BY131" s="6"/>
      <c r="BZ131" s="6"/>
      <c r="CA131" s="6"/>
      <c r="CB131" s="6"/>
      <c r="CC131" s="6"/>
      <c r="CD131" s="6"/>
      <c r="CE131" s="6"/>
      <c r="CF131" s="6"/>
      <c r="CG131" s="6"/>
      <c r="CH131" s="6"/>
      <c r="CI131" s="6"/>
      <c r="CJ131" s="6"/>
      <c r="CK131" s="6"/>
      <c r="CL131" s="6"/>
      <c r="CM131" s="6"/>
      <c r="CN131" s="6"/>
      <c r="CO131" s="11"/>
      <c r="CP131" s="11"/>
      <c r="CQ131" s="11"/>
      <c r="CR131" s="11"/>
      <c r="CS131" s="11"/>
      <c r="CT131" s="906"/>
      <c r="CU131" s="906"/>
      <c r="CV131" s="906"/>
      <c r="CW131" s="11"/>
      <c r="CX131" s="11"/>
      <c r="CY131" s="906"/>
      <c r="CZ131" s="906"/>
      <c r="DA131" s="906"/>
      <c r="DB131" s="11"/>
      <c r="DC131" s="2862"/>
      <c r="DD131" s="2862"/>
      <c r="DE131" s="2862"/>
      <c r="DF131" s="2862"/>
      <c r="DG131" s="2862"/>
      <c r="DH131" s="2862"/>
      <c r="DI131" s="2862"/>
      <c r="DJ131" s="2862"/>
      <c r="DK131" s="2862"/>
      <c r="DL131" s="2862"/>
      <c r="DM131" s="2862"/>
      <c r="DN131" s="2862"/>
      <c r="DO131" s="11"/>
      <c r="DP131" s="11"/>
      <c r="DQ131" s="11"/>
      <c r="DR131" s="11"/>
    </row>
    <row r="132" spans="1:122" ht="5.0999999999999996" customHeight="1">
      <c r="A132" s="152"/>
      <c r="B132" s="152"/>
      <c r="C132" s="152"/>
      <c r="D132" s="152"/>
      <c r="E132" s="152"/>
      <c r="F132" s="152"/>
      <c r="G132" s="152"/>
      <c r="H132" s="155"/>
      <c r="I132" s="155"/>
      <c r="J132" s="155"/>
      <c r="K132" s="155"/>
      <c r="L132" s="111"/>
      <c r="M132" s="111"/>
      <c r="N132" s="111"/>
      <c r="O132" s="919"/>
      <c r="P132" s="111"/>
      <c r="Q132" s="111"/>
      <c r="R132" s="111"/>
      <c r="S132" s="111"/>
      <c r="T132" s="111"/>
      <c r="U132" s="111"/>
      <c r="V132" s="111"/>
      <c r="W132" s="111"/>
      <c r="X132" s="111"/>
      <c r="Y132" s="111"/>
      <c r="Z132" s="111"/>
      <c r="AA132" s="111"/>
      <c r="AB132" s="111"/>
      <c r="AC132" s="111"/>
      <c r="AD132" s="111"/>
      <c r="AE132" s="111"/>
      <c r="AF132" s="111"/>
      <c r="AG132" s="111"/>
      <c r="AH132" s="111"/>
      <c r="AI132" s="111"/>
      <c r="AJ132" s="111"/>
      <c r="AK132" s="111"/>
      <c r="AL132" s="1525"/>
      <c r="AM132" s="1525"/>
      <c r="AN132" s="111"/>
      <c r="AO132" s="111"/>
      <c r="AP132" s="111"/>
      <c r="AQ132" s="111"/>
      <c r="AR132" s="111"/>
      <c r="AS132" s="111"/>
      <c r="AT132" s="111"/>
      <c r="AU132" s="11"/>
      <c r="AV132" s="38"/>
      <c r="AW132" s="38"/>
      <c r="AX132" s="38"/>
      <c r="AY132" s="38"/>
      <c r="AZ132" s="90"/>
      <c r="BA132" s="110"/>
      <c r="BB132" s="110"/>
      <c r="BC132" s="110"/>
      <c r="BD132" s="110"/>
      <c r="BE132" s="110"/>
      <c r="BF132" s="111"/>
      <c r="BG132" s="111"/>
      <c r="BH132" s="111"/>
      <c r="BI132" s="90"/>
      <c r="BJ132" s="90"/>
      <c r="BK132" s="90"/>
      <c r="BL132" s="90"/>
      <c r="BM132" s="90"/>
      <c r="BN132" s="90"/>
      <c r="BO132" s="6"/>
      <c r="BP132" s="90"/>
      <c r="BQ132" s="90"/>
      <c r="BR132" s="90"/>
      <c r="BS132" s="90"/>
      <c r="BT132" s="6"/>
      <c r="BU132" s="6"/>
      <c r="BV132" s="6"/>
      <c r="BW132" s="6"/>
      <c r="BX132" s="6"/>
      <c r="BY132" s="6"/>
      <c r="BZ132" s="6"/>
      <c r="CA132" s="6"/>
      <c r="CB132" s="6"/>
      <c r="CC132" s="6"/>
      <c r="CD132" s="6"/>
      <c r="CE132" s="6"/>
      <c r="CF132" s="6"/>
      <c r="CG132" s="6"/>
      <c r="CH132" s="6"/>
      <c r="CI132" s="6"/>
      <c r="CJ132" s="6"/>
      <c r="CK132" s="6"/>
      <c r="CL132" s="6"/>
      <c r="CM132" s="6"/>
      <c r="CN132" s="6"/>
      <c r="CO132" s="11"/>
      <c r="CP132" s="11"/>
      <c r="CQ132" s="11"/>
      <c r="CR132" s="11"/>
      <c r="CS132" s="11"/>
      <c r="CT132" s="906"/>
      <c r="CU132" s="906"/>
      <c r="CV132" s="906"/>
      <c r="CW132" s="11"/>
      <c r="CX132" s="11"/>
      <c r="CY132" s="906"/>
      <c r="CZ132" s="906"/>
      <c r="DA132" s="906"/>
      <c r="DB132" s="11"/>
      <c r="DC132" s="2862"/>
      <c r="DD132" s="2862"/>
      <c r="DE132" s="2862"/>
      <c r="DF132" s="2862"/>
      <c r="DG132" s="2862"/>
      <c r="DH132" s="2862"/>
      <c r="DI132" s="2862"/>
      <c r="DJ132" s="2862"/>
      <c r="DK132" s="2862"/>
      <c r="DL132" s="2862"/>
      <c r="DM132" s="2862"/>
      <c r="DN132" s="2862"/>
      <c r="DO132" s="11"/>
      <c r="DP132" s="11"/>
      <c r="DQ132" s="11"/>
      <c r="DR132" s="11"/>
    </row>
    <row r="133" spans="1:122">
      <c r="A133" s="152" t="s">
        <v>390</v>
      </c>
      <c r="B133" s="152"/>
      <c r="C133" s="152"/>
      <c r="D133" s="152"/>
      <c r="E133" s="152"/>
      <c r="F133" s="152"/>
      <c r="G133" s="152"/>
      <c r="H133" s="148"/>
      <c r="I133" s="148">
        <v>-5.5852300000000001</v>
      </c>
      <c r="J133" s="148">
        <v>-3.36911</v>
      </c>
      <c r="K133" s="148">
        <v>-8.3720689999999998</v>
      </c>
      <c r="L133" s="148">
        <v>-5.7661870000000004</v>
      </c>
      <c r="M133" s="148">
        <v>-8.8367900000000006</v>
      </c>
      <c r="N133" s="113">
        <v>-1.365</v>
      </c>
      <c r="O133" s="919"/>
      <c r="P133" s="113"/>
      <c r="Q133" s="113"/>
      <c r="R133" s="113">
        <v>0</v>
      </c>
      <c r="S133" s="113">
        <f>-S177</f>
        <v>-1.2596339999999999</v>
      </c>
      <c r="T133" s="113">
        <f t="shared" ref="T133:AE133" si="249">-T177</f>
        <v>-7.423216</v>
      </c>
      <c r="U133" s="113">
        <f t="shared" si="249"/>
        <v>-10.282048</v>
      </c>
      <c r="V133" s="113">
        <f t="shared" si="249"/>
        <v>-7.71021</v>
      </c>
      <c r="W133" s="113">
        <f t="shared" si="249"/>
        <v>-13.534632</v>
      </c>
      <c r="X133" s="113"/>
      <c r="Y133" s="113"/>
      <c r="Z133" s="113">
        <f>-Z177</f>
        <v>-1.0987962483825127</v>
      </c>
      <c r="AA133" s="113">
        <f t="shared" si="249"/>
        <v>-1.0428390000000001</v>
      </c>
      <c r="AB133" s="113"/>
      <c r="AC133" s="113">
        <f t="shared" si="249"/>
        <v>-1.0987962483825127</v>
      </c>
      <c r="AD133" s="113">
        <f t="shared" si="249"/>
        <v>-1.2298325965117842</v>
      </c>
      <c r="AE133" s="113">
        <f t="shared" si="249"/>
        <v>-1.3718317147012764</v>
      </c>
      <c r="AF133" s="113">
        <f t="shared" ref="AF133:AK133" si="250">-AF177</f>
        <v>-1.507455239377034</v>
      </c>
      <c r="AG133" s="113">
        <f t="shared" si="250"/>
        <v>-1.6375881237688852</v>
      </c>
      <c r="AH133" s="113">
        <f t="shared" si="250"/>
        <v>-1.7630329660870159</v>
      </c>
      <c r="AI133" s="113">
        <f t="shared" si="250"/>
        <v>-1.8845185589103011</v>
      </c>
      <c r="AJ133" s="113">
        <f t="shared" si="250"/>
        <v>-2.0027075799302518</v>
      </c>
      <c r="AK133" s="113">
        <f t="shared" si="250"/>
        <v>-2.1182035111316941</v>
      </c>
      <c r="AL133" s="1664">
        <f>-AL177</f>
        <v>-2.2315568646853081</v>
      </c>
      <c r="AM133" s="1664">
        <f>-AM177</f>
        <v>-2.343270785912452</v>
      </c>
      <c r="AN133" s="1664">
        <f>-AN177</f>
        <v>-2.4538060965690391</v>
      </c>
      <c r="AO133" s="113"/>
      <c r="AP133" s="113"/>
      <c r="AQ133" s="113"/>
      <c r="AR133" s="113"/>
      <c r="AS133" s="113"/>
      <c r="AT133" s="148"/>
      <c r="AU133" s="11"/>
      <c r="AV133" s="38"/>
      <c r="AW133" s="38"/>
      <c r="AX133" s="38"/>
      <c r="AY133" s="38"/>
      <c r="AZ133" s="90"/>
      <c r="BA133" s="112"/>
      <c r="BB133" s="112"/>
      <c r="BC133" s="112"/>
      <c r="BD133" s="112"/>
      <c r="BE133" s="112"/>
      <c r="BF133" s="113"/>
      <c r="BG133" s="113"/>
      <c r="BH133" s="113"/>
      <c r="BI133" s="90"/>
      <c r="BJ133" s="90"/>
      <c r="BK133" s="90"/>
      <c r="BL133" s="90"/>
      <c r="BM133" s="90"/>
      <c r="BN133" s="90"/>
      <c r="BO133" s="6"/>
      <c r="BP133" s="90"/>
      <c r="BQ133" s="90"/>
      <c r="BR133" s="90"/>
      <c r="BS133" s="90"/>
      <c r="BT133" s="6"/>
      <c r="BU133" s="6"/>
      <c r="BV133" s="6"/>
      <c r="BW133" s="6"/>
      <c r="BX133" s="6"/>
      <c r="BY133" s="6"/>
      <c r="BZ133" s="6"/>
      <c r="CA133" s="6"/>
      <c r="CB133" s="6"/>
      <c r="CC133" s="6"/>
      <c r="CD133" s="6"/>
      <c r="CE133" s="6"/>
      <c r="CF133" s="6"/>
      <c r="CG133" s="6"/>
      <c r="CH133" s="6"/>
      <c r="CI133" s="6"/>
      <c r="CJ133" s="6"/>
      <c r="CK133" s="6"/>
      <c r="CL133" s="6"/>
      <c r="CM133" s="6"/>
      <c r="CN133" s="6"/>
      <c r="CO133" s="11"/>
      <c r="CP133" s="11"/>
      <c r="CQ133" s="11"/>
      <c r="CR133" s="11"/>
      <c r="CS133" s="11"/>
      <c r="CT133" s="906"/>
      <c r="CU133" s="906"/>
      <c r="CV133" s="906"/>
      <c r="CW133" s="11"/>
      <c r="CX133" s="11"/>
      <c r="CY133" s="14"/>
      <c r="CZ133" s="14"/>
      <c r="DA133" s="14"/>
      <c r="DB133" s="14"/>
      <c r="DC133" s="2862"/>
      <c r="DD133" s="2862"/>
      <c r="DE133" s="2862"/>
      <c r="DF133" s="2862"/>
      <c r="DG133" s="2862"/>
      <c r="DH133" s="2862"/>
      <c r="DI133" s="2862"/>
      <c r="DJ133" s="2862"/>
      <c r="DK133" s="2862"/>
      <c r="DL133" s="2862"/>
      <c r="DM133" s="2862"/>
      <c r="DN133" s="2862"/>
      <c r="DO133" s="11"/>
      <c r="DP133" s="11"/>
      <c r="DQ133" s="11"/>
      <c r="DR133" s="11"/>
    </row>
    <row r="134" spans="1:122">
      <c r="A134" s="152" t="s">
        <v>391</v>
      </c>
      <c r="B134" s="152"/>
      <c r="C134" s="152"/>
      <c r="D134" s="152"/>
      <c r="E134" s="152"/>
      <c r="F134" s="152"/>
      <c r="G134" s="152"/>
      <c r="H134" s="39"/>
      <c r="I134" s="39">
        <f t="shared" ref="I134:S134" si="251">I133/I128</f>
        <v>-8.0720011933062635E-2</v>
      </c>
      <c r="J134" s="39">
        <f t="shared" si="251"/>
        <v>-4.5711092884255296E-2</v>
      </c>
      <c r="K134" s="39">
        <f t="shared" si="251"/>
        <v>-0.10309171373070815</v>
      </c>
      <c r="L134" s="39">
        <f t="shared" si="251"/>
        <v>-4.4310981133033008E-2</v>
      </c>
      <c r="M134" s="39">
        <f t="shared" si="251"/>
        <v>-0.18376475024265138</v>
      </c>
      <c r="N134" s="39">
        <f t="shared" si="251"/>
        <v>-3.6074003558720279E-2</v>
      </c>
      <c r="O134" s="919"/>
      <c r="P134" s="39"/>
      <c r="Q134" s="39"/>
      <c r="R134" s="39">
        <f t="shared" si="251"/>
        <v>0</v>
      </c>
      <c r="S134" s="39">
        <f t="shared" si="251"/>
        <v>-2.7343590839432313E-2</v>
      </c>
      <c r="T134" s="39">
        <f t="shared" ref="T134:AF134" si="252">T133/T128</f>
        <v>-0.15914283613309813</v>
      </c>
      <c r="U134" s="39">
        <f t="shared" si="252"/>
        <v>-0.24532144928803196</v>
      </c>
      <c r="V134" s="39">
        <f t="shared" si="252"/>
        <v>-0.22655185335377676</v>
      </c>
      <c r="W134" s="39">
        <f t="shared" si="252"/>
        <v>-0.48382211777433498</v>
      </c>
      <c r="X134" s="39"/>
      <c r="Y134" s="39"/>
      <c r="Z134" s="39">
        <f>Z133/Z128</f>
        <v>-7.0282086084241011E-2</v>
      </c>
      <c r="AA134" s="39">
        <f t="shared" si="252"/>
        <v>-6.1147066300573781E-2</v>
      </c>
      <c r="AB134" s="39"/>
      <c r="AC134" s="39">
        <f t="shared" si="252"/>
        <v>-6.2215209299691543E-2</v>
      </c>
      <c r="AD134" s="39">
        <f t="shared" si="252"/>
        <v>-6.4450781263519441E-2</v>
      </c>
      <c r="AE134" s="39">
        <f t="shared" si="252"/>
        <v>-6.6525653861444017E-2</v>
      </c>
      <c r="AF134" s="39">
        <f t="shared" si="252"/>
        <v>-6.8237389151838523E-2</v>
      </c>
      <c r="AG134" s="39">
        <f t="shared" ref="AG134:AL134" si="253">AG133/AG128</f>
        <v>-6.9678489991055234E-2</v>
      </c>
      <c r="AH134" s="39">
        <f t="shared" si="253"/>
        <v>-7.0912863921714656E-2</v>
      </c>
      <c r="AI134" s="39">
        <f t="shared" si="253"/>
        <v>-7.1986043861017354E-2</v>
      </c>
      <c r="AJ134" s="39">
        <f t="shared" si="253"/>
        <v>-7.2931315917566325E-2</v>
      </c>
      <c r="AK134" s="39">
        <f t="shared" si="253"/>
        <v>-7.3773547387262481E-2</v>
      </c>
      <c r="AL134" s="1110">
        <f t="shared" si="253"/>
        <v>-7.453166310207579E-2</v>
      </c>
      <c r="AM134" s="1110">
        <f>AM133/AM128</f>
        <v>-7.5220296371712708E-2</v>
      </c>
      <c r="AN134" s="1110">
        <f>AN133/AN128</f>
        <v>-7.5850918915491714E-2</v>
      </c>
      <c r="AO134" s="39"/>
      <c r="AP134" s="39"/>
      <c r="AQ134" s="39"/>
      <c r="AR134" s="39"/>
      <c r="AS134" s="39"/>
      <c r="AT134" s="39"/>
      <c r="AU134" s="11"/>
      <c r="AV134" s="38"/>
      <c r="AW134" s="38"/>
      <c r="AX134" s="38"/>
      <c r="AY134" s="38"/>
      <c r="AZ134" s="90"/>
      <c r="BA134" s="110"/>
      <c r="BB134" s="110"/>
      <c r="BC134" s="110"/>
      <c r="BD134" s="110"/>
      <c r="BE134" s="110"/>
      <c r="BF134" s="111"/>
      <c r="BG134" s="111"/>
      <c r="BH134" s="111"/>
      <c r="BI134" s="90"/>
      <c r="BJ134" s="90"/>
      <c r="BK134" s="90"/>
      <c r="BL134" s="90"/>
      <c r="BM134" s="90"/>
      <c r="BN134" s="90"/>
      <c r="BO134" s="6"/>
      <c r="BP134" s="90"/>
      <c r="BQ134" s="90"/>
      <c r="BR134" s="90"/>
      <c r="BS134" s="90"/>
      <c r="BT134" s="6"/>
      <c r="BU134" s="6"/>
      <c r="BV134" s="6"/>
      <c r="BW134" s="6"/>
      <c r="BX134" s="6"/>
      <c r="BY134" s="6"/>
      <c r="BZ134" s="6"/>
      <c r="CA134" s="6"/>
      <c r="CB134" s="6"/>
      <c r="CC134" s="6"/>
      <c r="CD134" s="6"/>
      <c r="CE134" s="6"/>
      <c r="CF134" s="6"/>
      <c r="CG134" s="6"/>
      <c r="CH134" s="6"/>
      <c r="CI134" s="6"/>
      <c r="CJ134" s="6"/>
      <c r="CK134" s="6"/>
      <c r="CL134" s="6"/>
      <c r="CM134" s="6"/>
      <c r="CN134" s="6"/>
      <c r="CO134" s="11"/>
      <c r="CP134" s="11"/>
      <c r="CQ134" s="11"/>
      <c r="CR134" s="11"/>
      <c r="CS134" s="11"/>
      <c r="CT134" s="906"/>
      <c r="CU134" s="906"/>
      <c r="CV134" s="906"/>
      <c r="CW134" s="11"/>
      <c r="CX134" s="11"/>
      <c r="CY134" s="906"/>
      <c r="CZ134" s="906"/>
      <c r="DA134" s="906"/>
      <c r="DB134" s="11"/>
      <c r="DC134" s="2862"/>
      <c r="DD134" s="2862"/>
      <c r="DE134" s="2862"/>
      <c r="DF134" s="2862"/>
      <c r="DG134" s="2862"/>
      <c r="DH134" s="2862"/>
      <c r="DI134" s="2862"/>
      <c r="DJ134" s="2862"/>
      <c r="DK134" s="2862"/>
      <c r="DL134" s="2862"/>
      <c r="DM134" s="2862"/>
      <c r="DN134" s="2862"/>
      <c r="DO134" s="11"/>
      <c r="DP134" s="11"/>
      <c r="DQ134" s="11"/>
      <c r="DR134" s="11"/>
    </row>
    <row r="135" spans="1:122" ht="5.0999999999999996" customHeight="1">
      <c r="A135" s="152"/>
      <c r="B135" s="152"/>
      <c r="C135" s="152"/>
      <c r="D135" s="152"/>
      <c r="E135" s="152"/>
      <c r="F135" s="152"/>
      <c r="G135" s="152"/>
      <c r="H135" s="155"/>
      <c r="I135" s="155"/>
      <c r="J135" s="155"/>
      <c r="K135" s="155"/>
      <c r="L135" s="155"/>
      <c r="M135" s="155"/>
      <c r="N135" s="155"/>
      <c r="O135" s="919"/>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55"/>
      <c r="AK135" s="155"/>
      <c r="AL135" s="2232"/>
      <c r="AM135" s="2232"/>
      <c r="AN135" s="2232"/>
      <c r="AO135" s="155"/>
      <c r="AP135" s="155"/>
      <c r="AQ135" s="155"/>
      <c r="AR135" s="155"/>
      <c r="AS135" s="155"/>
      <c r="AT135" s="155"/>
      <c r="AU135" s="11"/>
      <c r="AV135" s="38"/>
      <c r="AW135" s="38"/>
      <c r="AX135" s="38"/>
      <c r="AY135" s="38"/>
      <c r="AZ135" s="90"/>
      <c r="BA135" s="110"/>
      <c r="BB135" s="110"/>
      <c r="BC135" s="110"/>
      <c r="BD135" s="110"/>
      <c r="BE135" s="110"/>
      <c r="BF135" s="111"/>
      <c r="BG135" s="111"/>
      <c r="BH135" s="111"/>
      <c r="BI135" s="90"/>
      <c r="BJ135" s="90"/>
      <c r="BK135" s="90"/>
      <c r="BL135" s="90"/>
      <c r="BM135" s="90"/>
      <c r="BN135" s="90"/>
      <c r="BO135" s="6"/>
      <c r="BP135" s="90"/>
      <c r="BQ135" s="90"/>
      <c r="BR135" s="90"/>
      <c r="BS135" s="90"/>
      <c r="BT135" s="6"/>
      <c r="BU135" s="6"/>
      <c r="BV135" s="6"/>
      <c r="BW135" s="6"/>
      <c r="BX135" s="6"/>
      <c r="BY135" s="6"/>
      <c r="BZ135" s="6"/>
      <c r="CA135" s="6"/>
      <c r="CB135" s="6"/>
      <c r="CC135" s="6"/>
      <c r="CD135" s="6"/>
      <c r="CE135" s="6"/>
      <c r="CF135" s="6"/>
      <c r="CG135" s="6"/>
      <c r="CH135" s="6"/>
      <c r="CI135" s="6"/>
      <c r="CJ135" s="6"/>
      <c r="CK135" s="6"/>
      <c r="CL135" s="6"/>
      <c r="CM135" s="6"/>
      <c r="CN135" s="6"/>
      <c r="CO135" s="11"/>
      <c r="CP135" s="11"/>
      <c r="CQ135" s="11"/>
      <c r="CR135" s="11"/>
      <c r="CS135" s="11"/>
      <c r="CT135" s="906"/>
      <c r="CU135" s="906"/>
      <c r="CV135" s="906"/>
      <c r="CW135" s="11"/>
      <c r="CX135" s="11"/>
      <c r="CY135" s="906"/>
      <c r="CZ135" s="906"/>
      <c r="DA135" s="906"/>
      <c r="DB135" s="11"/>
      <c r="DC135" s="2862"/>
      <c r="DD135" s="2862"/>
      <c r="DE135" s="2862"/>
      <c r="DF135" s="2862"/>
      <c r="DG135" s="2862"/>
      <c r="DH135" s="2862"/>
      <c r="DI135" s="2862"/>
      <c r="DJ135" s="2862"/>
      <c r="DK135" s="2862"/>
      <c r="DL135" s="2862"/>
      <c r="DM135" s="11"/>
      <c r="DN135" s="11"/>
      <c r="DO135" s="11"/>
      <c r="DP135" s="11"/>
      <c r="DQ135" s="11"/>
      <c r="DR135" s="11"/>
    </row>
    <row r="136" spans="1:122">
      <c r="A136" s="152" t="s">
        <v>877</v>
      </c>
      <c r="B136" s="152"/>
      <c r="C136" s="152"/>
      <c r="D136" s="152"/>
      <c r="E136" s="152"/>
      <c r="F136" s="152"/>
      <c r="G136" s="152"/>
      <c r="H136" s="148"/>
      <c r="I136" s="148">
        <v>-1.78295</v>
      </c>
      <c r="J136" s="148">
        <v>-3.2732779999999999</v>
      </c>
      <c r="K136" s="148">
        <v>-4.6740219999999999</v>
      </c>
      <c r="L136" s="148">
        <v>-14.850049</v>
      </c>
      <c r="M136" s="113">
        <v>-8.3968050000000005</v>
      </c>
      <c r="N136" s="113">
        <v>-7.4569999999999999</v>
      </c>
      <c r="O136" s="919"/>
      <c r="P136" s="113"/>
      <c r="Q136" s="113"/>
      <c r="R136" s="113">
        <v>-8.4710000000000001</v>
      </c>
      <c r="S136" s="113">
        <v>-4.810924</v>
      </c>
      <c r="T136" s="113">
        <v>-3.580314</v>
      </c>
      <c r="U136" s="113">
        <v>-2.090557</v>
      </c>
      <c r="V136" s="113">
        <v>-1.098349</v>
      </c>
      <c r="W136" s="113">
        <v>-0.84549599999999991</v>
      </c>
      <c r="X136" s="113"/>
      <c r="Y136" s="113"/>
      <c r="Z136" s="113">
        <v>-0.10655227644337234</v>
      </c>
      <c r="AA136" s="113">
        <v>-0.10112599999999999</v>
      </c>
      <c r="AB136" s="113"/>
      <c r="AC136" s="113">
        <v>-0.10655227644337234</v>
      </c>
      <c r="AD136" s="113">
        <v>-0.11925911013574549</v>
      </c>
      <c r="AE136" s="113">
        <v>-0.13302902363728369</v>
      </c>
      <c r="AF136" s="113">
        <v>-0.14618068420651886</v>
      </c>
      <c r="AG136" s="113">
        <v>-0.15879990737232907</v>
      </c>
      <c r="AH136" s="113">
        <v>-0.17096452254711952</v>
      </c>
      <c r="AI136" s="113">
        <v>-0.1827452020766035</v>
      </c>
      <c r="AJ136" s="113">
        <v>-0.19420620702527108</v>
      </c>
      <c r="AK136" s="113">
        <v>-0.20540605814196025</v>
      </c>
      <c r="AL136" s="1664">
        <v>-0.21639813959601287</v>
      </c>
      <c r="AM136" s="1664">
        <v>-0.22723124230699335</v>
      </c>
      <c r="AN136" s="1664">
        <v>-0.23795005300112546</v>
      </c>
      <c r="AO136" s="113"/>
      <c r="AP136" s="113"/>
      <c r="AQ136" s="113"/>
      <c r="AR136" s="113"/>
      <c r="AS136" s="113"/>
      <c r="AT136" s="148"/>
      <c r="AU136" s="11"/>
      <c r="AV136" s="38"/>
      <c r="AW136" s="38"/>
      <c r="AX136" s="38"/>
      <c r="AY136" s="38"/>
      <c r="AZ136" s="90"/>
      <c r="BA136" s="110"/>
      <c r="BB136" s="110"/>
      <c r="BC136" s="110"/>
      <c r="BD136" s="110"/>
      <c r="BE136" s="110"/>
      <c r="BF136" s="111"/>
      <c r="BG136" s="111"/>
      <c r="BH136" s="111"/>
      <c r="BI136" s="90"/>
      <c r="BJ136" s="90"/>
      <c r="BK136" s="90"/>
      <c r="BL136" s="90"/>
      <c r="BM136" s="90"/>
      <c r="BN136" s="90"/>
      <c r="BO136" s="6"/>
      <c r="BP136" s="90"/>
      <c r="BQ136" s="90"/>
      <c r="BR136" s="90"/>
      <c r="BS136" s="90"/>
      <c r="BT136" s="6"/>
      <c r="BU136" s="6"/>
      <c r="BV136" s="6"/>
      <c r="BW136" s="6"/>
      <c r="BX136" s="6"/>
      <c r="BY136" s="6"/>
      <c r="BZ136" s="6"/>
      <c r="CA136" s="6"/>
      <c r="CB136" s="6"/>
      <c r="CC136" s="6"/>
      <c r="CD136" s="6"/>
      <c r="CE136" s="6"/>
      <c r="CF136" s="6"/>
      <c r="CG136" s="6"/>
      <c r="CH136" s="6"/>
      <c r="CI136" s="6"/>
      <c r="CJ136" s="6"/>
      <c r="CK136" s="6"/>
      <c r="CL136" s="6"/>
      <c r="CM136" s="6"/>
      <c r="CN136" s="6"/>
      <c r="CO136" s="11"/>
      <c r="CP136" s="11"/>
      <c r="CQ136" s="11"/>
      <c r="CR136" s="11"/>
      <c r="CS136" s="11"/>
      <c r="CT136" s="906"/>
      <c r="CU136" s="906"/>
      <c r="CV136" s="906"/>
      <c r="CW136" s="11"/>
      <c r="CX136" s="11"/>
      <c r="CY136" s="906"/>
      <c r="CZ136" s="906"/>
      <c r="DA136" s="906"/>
      <c r="DB136" s="11"/>
      <c r="DC136" s="2862"/>
      <c r="DD136" s="2862"/>
      <c r="DE136" s="2862"/>
      <c r="DF136" s="2862"/>
      <c r="DG136" s="2862"/>
      <c r="DH136" s="2862"/>
      <c r="DI136" s="2862"/>
      <c r="DJ136" s="2862"/>
      <c r="DK136" s="2862"/>
      <c r="DL136" s="2862"/>
      <c r="DM136" s="11"/>
      <c r="DN136" s="11"/>
      <c r="DO136" s="11"/>
      <c r="DP136" s="11"/>
      <c r="DQ136" s="11"/>
      <c r="DR136" s="11"/>
    </row>
    <row r="137" spans="1:122">
      <c r="A137" s="152" t="s">
        <v>391</v>
      </c>
      <c r="B137" s="152"/>
      <c r="C137" s="152"/>
      <c r="D137" s="152"/>
      <c r="E137" s="152"/>
      <c r="F137" s="152"/>
      <c r="G137" s="152"/>
      <c r="H137" s="39"/>
      <c r="I137" s="39">
        <f t="shared" ref="I137:S137" si="254">I136/I128</f>
        <v>-2.5767917395712266E-2</v>
      </c>
      <c r="J137" s="39">
        <f t="shared" si="254"/>
        <v>-4.4410872513509329E-2</v>
      </c>
      <c r="K137" s="39">
        <f t="shared" si="254"/>
        <v>-5.7554821633103118E-2</v>
      </c>
      <c r="L137" s="39">
        <f t="shared" si="254"/>
        <v>-0.1141170484175445</v>
      </c>
      <c r="M137" s="39">
        <f t="shared" si="254"/>
        <v>-0.17461507783496566</v>
      </c>
      <c r="N137" s="39">
        <f t="shared" si="254"/>
        <v>-0.19707241358049604</v>
      </c>
      <c r="O137" s="919"/>
      <c r="P137" s="39"/>
      <c r="Q137" s="39"/>
      <c r="R137" s="39">
        <f t="shared" si="254"/>
        <v>-0.23194948490155626</v>
      </c>
      <c r="S137" s="39">
        <f t="shared" si="254"/>
        <v>-0.10443346036674547</v>
      </c>
      <c r="T137" s="39">
        <f t="shared" ref="T137:AF137" si="255">T136/T128</f>
        <v>-7.6756667757887836E-2</v>
      </c>
      <c r="U137" s="39">
        <f t="shared" si="255"/>
        <v>-4.9879019535722866E-2</v>
      </c>
      <c r="V137" s="39">
        <f t="shared" si="255"/>
        <v>-3.2273180831555476E-2</v>
      </c>
      <c r="W137" s="39">
        <f t="shared" si="255"/>
        <v>-3.0223922252908621E-2</v>
      </c>
      <c r="X137" s="39"/>
      <c r="Y137" s="39"/>
      <c r="Z137" s="39">
        <f>Z136/Z128</f>
        <v>-6.8153820842478622E-3</v>
      </c>
      <c r="AA137" s="39">
        <f t="shared" si="255"/>
        <v>-5.9295425532721957E-3</v>
      </c>
      <c r="AB137" s="39"/>
      <c r="AC137" s="39">
        <f t="shared" si="255"/>
        <v>-6.0331223282219081E-3</v>
      </c>
      <c r="AD137" s="39">
        <f t="shared" si="255"/>
        <v>-6.2499098193054409E-3</v>
      </c>
      <c r="AE137" s="39">
        <f t="shared" si="255"/>
        <v>-6.4511139997568065E-3</v>
      </c>
      <c r="AF137" s="39">
        <f t="shared" si="255"/>
        <v>-6.6171040931235041E-3</v>
      </c>
      <c r="AG137" s="39">
        <f t="shared" ref="AG137:AL137" si="256">AG136/AG128</f>
        <v>-6.7568502701140362E-3</v>
      </c>
      <c r="AH137" s="39">
        <f t="shared" si="256"/>
        <v>-6.8765497617056101E-3</v>
      </c>
      <c r="AI137" s="39">
        <f t="shared" si="256"/>
        <v>-6.9806179779325862E-3</v>
      </c>
      <c r="AJ137" s="39">
        <f t="shared" si="256"/>
        <v>-7.0722827334610732E-3</v>
      </c>
      <c r="AK137" s="39">
        <f t="shared" si="256"/>
        <v>-7.1539554553332824E-3</v>
      </c>
      <c r="AL137" s="1110">
        <f t="shared" si="256"/>
        <v>-7.2274713190248118E-3</v>
      </c>
      <c r="AM137" s="1110">
        <f>AM136/AM128</f>
        <v>-7.2942493432694971E-3</v>
      </c>
      <c r="AN137" s="1110">
        <f>AN136/AN128</f>
        <v>-7.3554019616144158E-3</v>
      </c>
      <c r="AO137" s="39"/>
      <c r="AP137" s="39"/>
      <c r="AQ137" s="39"/>
      <c r="AR137" s="39"/>
      <c r="AS137" s="39"/>
      <c r="AT137" s="39"/>
      <c r="AU137" s="11"/>
      <c r="AV137" s="38"/>
      <c r="AW137" s="38"/>
      <c r="AX137" s="38"/>
      <c r="AY137" s="38"/>
      <c r="AZ137" s="90"/>
      <c r="BA137" s="110"/>
      <c r="BB137" s="110"/>
      <c r="BC137" s="110"/>
      <c r="BD137" s="110"/>
      <c r="BE137" s="110"/>
      <c r="BF137" s="111"/>
      <c r="BG137" s="111"/>
      <c r="BH137" s="111"/>
      <c r="BI137" s="90"/>
      <c r="BJ137" s="90"/>
      <c r="BK137" s="90"/>
      <c r="BL137" s="90"/>
      <c r="BM137" s="90"/>
      <c r="BN137" s="90"/>
      <c r="BO137" s="6"/>
      <c r="BP137" s="90"/>
      <c r="BQ137" s="90"/>
      <c r="BR137" s="90"/>
      <c r="BS137" s="90"/>
      <c r="BT137" s="6"/>
      <c r="BU137" s="6"/>
      <c r="BV137" s="6"/>
      <c r="BW137" s="6"/>
      <c r="BX137" s="6"/>
      <c r="BY137" s="6"/>
      <c r="BZ137" s="6"/>
      <c r="CA137" s="6"/>
      <c r="CB137" s="6"/>
      <c r="CC137" s="6"/>
      <c r="CD137" s="6"/>
      <c r="CE137" s="6"/>
      <c r="CF137" s="6"/>
      <c r="CG137" s="6"/>
      <c r="CH137" s="6"/>
      <c r="CI137" s="6"/>
      <c r="CJ137" s="6"/>
      <c r="CK137" s="6"/>
      <c r="CL137" s="6"/>
      <c r="CM137" s="6"/>
      <c r="CN137" s="6"/>
      <c r="CO137" s="11"/>
      <c r="CP137" s="11"/>
      <c r="CQ137" s="11"/>
      <c r="CR137" s="11"/>
      <c r="CS137" s="11"/>
      <c r="CT137" s="906"/>
      <c r="CU137" s="906"/>
      <c r="CV137" s="906"/>
      <c r="CW137" s="11"/>
      <c r="CX137" s="11"/>
      <c r="CY137" s="906"/>
      <c r="CZ137" s="906"/>
      <c r="DA137" s="906"/>
      <c r="DB137" s="11"/>
      <c r="DC137" s="2862"/>
      <c r="DD137" s="2862"/>
      <c r="DE137" s="2862"/>
      <c r="DF137" s="2862"/>
      <c r="DG137" s="2862"/>
      <c r="DH137" s="2862"/>
      <c r="DI137" s="2862"/>
      <c r="DJ137" s="2862"/>
      <c r="DK137" s="2862"/>
      <c r="DL137" s="2862"/>
      <c r="DM137" s="11"/>
      <c r="DN137" s="11"/>
      <c r="DO137" s="11"/>
      <c r="DP137" s="11"/>
      <c r="DQ137" s="11"/>
      <c r="DR137" s="11"/>
    </row>
    <row r="138" spans="1:122" ht="5.0999999999999996" customHeight="1">
      <c r="A138" s="152"/>
      <c r="B138" s="152"/>
      <c r="C138" s="152"/>
      <c r="D138" s="152"/>
      <c r="E138" s="152"/>
      <c r="F138" s="152"/>
      <c r="G138" s="152"/>
      <c r="H138" s="113"/>
      <c r="I138" s="113"/>
      <c r="J138" s="113"/>
      <c r="K138" s="113"/>
      <c r="L138" s="111"/>
      <c r="M138" s="111"/>
      <c r="N138" s="111"/>
      <c r="O138" s="919"/>
      <c r="P138" s="111"/>
      <c r="Q138" s="111"/>
      <c r="R138" s="111"/>
      <c r="S138" s="111"/>
      <c r="T138" s="111"/>
      <c r="U138" s="111"/>
      <c r="V138" s="111"/>
      <c r="W138" s="111"/>
      <c r="X138" s="111"/>
      <c r="Y138" s="111"/>
      <c r="Z138" s="111"/>
      <c r="AA138" s="111"/>
      <c r="AB138" s="111"/>
      <c r="AC138" s="111"/>
      <c r="AD138" s="111"/>
      <c r="AE138" s="111"/>
      <c r="AF138" s="111"/>
      <c r="AG138" s="111"/>
      <c r="AH138" s="111"/>
      <c r="AI138" s="111"/>
      <c r="AJ138" s="111"/>
      <c r="AK138" s="111"/>
      <c r="AL138" s="1525"/>
      <c r="AM138" s="1525"/>
      <c r="AN138" s="1525"/>
      <c r="AO138" s="111"/>
      <c r="AP138" s="111"/>
      <c r="AQ138" s="111"/>
      <c r="AR138" s="111"/>
      <c r="AS138" s="111"/>
      <c r="AT138" s="111"/>
      <c r="AU138" s="11"/>
      <c r="AV138" s="38"/>
      <c r="AW138" s="38"/>
      <c r="AX138" s="38"/>
      <c r="AY138" s="38"/>
      <c r="AZ138" s="90"/>
      <c r="BA138" s="110"/>
      <c r="BB138" s="110"/>
      <c r="BC138" s="110"/>
      <c r="BD138" s="110"/>
      <c r="BE138" s="110"/>
      <c r="BF138" s="111"/>
      <c r="BG138" s="111"/>
      <c r="BH138" s="111"/>
      <c r="BI138" s="90"/>
      <c r="BJ138" s="90"/>
      <c r="BK138" s="90"/>
      <c r="BL138" s="90"/>
      <c r="BM138" s="90"/>
      <c r="BN138" s="90"/>
      <c r="BO138" s="6"/>
      <c r="BP138" s="90"/>
      <c r="BQ138" s="90"/>
      <c r="BR138" s="90"/>
      <c r="BS138" s="90"/>
      <c r="BT138" s="6"/>
      <c r="BU138" s="6"/>
      <c r="BV138" s="6"/>
      <c r="BW138" s="6"/>
      <c r="BX138" s="6"/>
      <c r="BY138" s="6"/>
      <c r="BZ138" s="6"/>
      <c r="CA138" s="6"/>
      <c r="CB138" s="6"/>
      <c r="CC138" s="6"/>
      <c r="CD138" s="6"/>
      <c r="CE138" s="6"/>
      <c r="CF138" s="6"/>
      <c r="CG138" s="6"/>
      <c r="CH138" s="6"/>
      <c r="CI138" s="6"/>
      <c r="CJ138" s="6"/>
      <c r="CK138" s="6"/>
      <c r="CL138" s="6"/>
      <c r="CM138" s="6"/>
      <c r="CN138" s="6"/>
      <c r="CO138" s="11"/>
      <c r="CP138" s="11"/>
      <c r="CQ138" s="11"/>
      <c r="CR138" s="11"/>
      <c r="CS138" s="11"/>
      <c r="CT138" s="906"/>
      <c r="CU138" s="906"/>
      <c r="CV138" s="906"/>
      <c r="CW138" s="11"/>
      <c r="CX138" s="11"/>
      <c r="CY138" s="906"/>
      <c r="CZ138" s="906"/>
      <c r="DA138" s="906"/>
      <c r="DB138" s="11"/>
      <c r="DC138" s="2862"/>
      <c r="DD138" s="2862"/>
      <c r="DE138" s="2862"/>
      <c r="DF138" s="2862"/>
      <c r="DG138" s="2862"/>
      <c r="DH138" s="2862"/>
      <c r="DI138" s="2862"/>
      <c r="DJ138" s="2862"/>
      <c r="DK138" s="2862"/>
      <c r="DL138" s="2862"/>
      <c r="DM138" s="11"/>
      <c r="DN138" s="11"/>
      <c r="DO138" s="11"/>
      <c r="DP138" s="11"/>
      <c r="DQ138" s="11"/>
      <c r="DR138" s="11"/>
    </row>
    <row r="139" spans="1:122" ht="11.25" customHeight="1">
      <c r="A139" s="152" t="s">
        <v>338</v>
      </c>
      <c r="B139" s="152"/>
      <c r="C139" s="152"/>
      <c r="D139" s="152"/>
      <c r="E139" s="152"/>
      <c r="F139" s="152"/>
      <c r="G139" s="152"/>
      <c r="H139" s="113"/>
      <c r="I139" s="113">
        <v>0</v>
      </c>
      <c r="J139" s="113">
        <v>0</v>
      </c>
      <c r="K139" s="113">
        <v>-25.447599</v>
      </c>
      <c r="L139" s="113">
        <v>0</v>
      </c>
      <c r="M139" s="113">
        <v>0</v>
      </c>
      <c r="N139" s="113">
        <v>0</v>
      </c>
      <c r="O139" s="919"/>
      <c r="P139" s="113"/>
      <c r="Q139" s="113"/>
      <c r="R139" s="113">
        <v>0</v>
      </c>
      <c r="S139" s="113">
        <v>0</v>
      </c>
      <c r="T139" s="113">
        <v>0</v>
      </c>
      <c r="U139" s="113">
        <v>0</v>
      </c>
      <c r="V139" s="113">
        <v>0</v>
      </c>
      <c r="W139" s="113">
        <v>0</v>
      </c>
      <c r="X139" s="113"/>
      <c r="Y139" s="113"/>
      <c r="Z139" s="113">
        <v>0</v>
      </c>
      <c r="AA139" s="113">
        <v>0</v>
      </c>
      <c r="AB139" s="113"/>
      <c r="AC139" s="113">
        <v>0</v>
      </c>
      <c r="AD139" s="113">
        <v>0</v>
      </c>
      <c r="AE139" s="113">
        <v>0</v>
      </c>
      <c r="AF139" s="113">
        <v>0</v>
      </c>
      <c r="AG139" s="113">
        <v>0</v>
      </c>
      <c r="AH139" s="113">
        <v>0</v>
      </c>
      <c r="AI139" s="113">
        <v>0</v>
      </c>
      <c r="AJ139" s="113">
        <v>0</v>
      </c>
      <c r="AK139" s="113">
        <v>0</v>
      </c>
      <c r="AL139" s="1664">
        <v>0</v>
      </c>
      <c r="AM139" s="1664">
        <v>0</v>
      </c>
      <c r="AN139" s="1664">
        <v>0</v>
      </c>
      <c r="AO139" s="113"/>
      <c r="AP139" s="113"/>
      <c r="AQ139" s="113"/>
      <c r="AR139" s="113"/>
      <c r="AS139" s="113"/>
      <c r="AT139" s="111"/>
      <c r="AU139" s="11"/>
      <c r="AV139" s="38"/>
      <c r="AW139" s="38"/>
      <c r="AX139" s="38"/>
      <c r="AY139" s="38"/>
      <c r="AZ139" s="90"/>
      <c r="BA139" s="110"/>
      <c r="BB139" s="110"/>
      <c r="BC139" s="110"/>
      <c r="BD139" s="110"/>
      <c r="BE139" s="110"/>
      <c r="BF139" s="110"/>
      <c r="BG139" s="110"/>
      <c r="BH139" s="111"/>
      <c r="BI139" s="90"/>
      <c r="BJ139" s="90"/>
      <c r="BK139" s="90"/>
      <c r="BL139" s="90"/>
      <c r="BM139" s="90"/>
      <c r="BN139" s="90"/>
      <c r="BO139" s="6"/>
      <c r="BP139" s="90"/>
      <c r="BQ139" s="90"/>
      <c r="BR139" s="90"/>
      <c r="BS139" s="90"/>
      <c r="BT139" s="6"/>
      <c r="BU139" s="6"/>
      <c r="BV139" s="6"/>
      <c r="BW139" s="6"/>
      <c r="BX139" s="6"/>
      <c r="BY139" s="6"/>
      <c r="BZ139" s="6"/>
      <c r="CA139" s="6"/>
      <c r="CB139" s="6"/>
      <c r="CC139" s="6"/>
      <c r="CD139" s="6"/>
      <c r="CE139" s="6"/>
      <c r="CF139" s="6"/>
      <c r="CG139" s="6"/>
      <c r="CH139" s="6"/>
      <c r="CI139" s="6"/>
      <c r="CJ139" s="6"/>
      <c r="CK139" s="6"/>
      <c r="CL139" s="6"/>
      <c r="CM139" s="6"/>
      <c r="CN139" s="6"/>
      <c r="CO139" s="11"/>
      <c r="CP139" s="11"/>
      <c r="CQ139" s="11"/>
      <c r="CR139" s="11"/>
      <c r="CS139" s="11"/>
      <c r="CT139" s="906"/>
      <c r="CU139" s="906"/>
      <c r="CV139" s="906"/>
      <c r="CW139" s="11"/>
      <c r="CX139" s="11"/>
      <c r="CY139" s="906"/>
      <c r="CZ139" s="906"/>
      <c r="DA139" s="906"/>
      <c r="DB139" s="11"/>
      <c r="DC139" s="2862"/>
      <c r="DD139" s="2862"/>
      <c r="DE139" s="2862"/>
      <c r="DF139" s="2862"/>
      <c r="DG139" s="2862"/>
      <c r="DH139" s="2862"/>
      <c r="DI139" s="2862"/>
      <c r="DJ139" s="2862"/>
      <c r="DK139" s="2862"/>
      <c r="DL139" s="2862"/>
      <c r="DM139" s="11"/>
      <c r="DN139" s="11"/>
      <c r="DO139" s="11"/>
      <c r="DP139" s="11"/>
      <c r="DQ139" s="11"/>
      <c r="DR139" s="11"/>
    </row>
    <row r="140" spans="1:122" ht="11.25" customHeight="1">
      <c r="A140" s="152" t="s">
        <v>391</v>
      </c>
      <c r="B140" s="152"/>
      <c r="C140" s="152"/>
      <c r="D140" s="152"/>
      <c r="E140" s="152"/>
      <c r="F140" s="152"/>
      <c r="G140" s="152"/>
      <c r="H140" s="39"/>
      <c r="I140" s="39">
        <f t="shared" ref="I140:S140" si="257">I139/I128</f>
        <v>0</v>
      </c>
      <c r="J140" s="39">
        <f t="shared" si="257"/>
        <v>0</v>
      </c>
      <c r="K140" s="39">
        <f t="shared" si="257"/>
        <v>-0.31335582533324263</v>
      </c>
      <c r="L140" s="39">
        <f t="shared" si="257"/>
        <v>0</v>
      </c>
      <c r="M140" s="39">
        <f t="shared" si="257"/>
        <v>0</v>
      </c>
      <c r="N140" s="39">
        <f t="shared" si="257"/>
        <v>0</v>
      </c>
      <c r="O140" s="919"/>
      <c r="P140" s="39"/>
      <c r="Q140" s="39"/>
      <c r="R140" s="39">
        <f t="shared" si="257"/>
        <v>0</v>
      </c>
      <c r="S140" s="39">
        <f t="shared" si="257"/>
        <v>0</v>
      </c>
      <c r="T140" s="1126">
        <v>0</v>
      </c>
      <c r="U140" s="1126">
        <v>0</v>
      </c>
      <c r="V140" s="1126">
        <v>0</v>
      </c>
      <c r="W140" s="1126">
        <v>0</v>
      </c>
      <c r="X140" s="1126"/>
      <c r="Y140" s="1126"/>
      <c r="Z140" s="1126">
        <v>0</v>
      </c>
      <c r="AA140" s="1126">
        <v>0</v>
      </c>
      <c r="AB140" s="1126"/>
      <c r="AC140" s="1126">
        <v>0</v>
      </c>
      <c r="AD140" s="1126">
        <v>0</v>
      </c>
      <c r="AE140" s="1126">
        <v>0</v>
      </c>
      <c r="AF140" s="1126">
        <v>0</v>
      </c>
      <c r="AG140" s="1126">
        <v>0</v>
      </c>
      <c r="AH140" s="1126">
        <v>0</v>
      </c>
      <c r="AI140" s="1126">
        <v>0</v>
      </c>
      <c r="AJ140" s="1126">
        <v>0</v>
      </c>
      <c r="AK140" s="1126">
        <v>0</v>
      </c>
      <c r="AL140" s="2233">
        <v>0</v>
      </c>
      <c r="AM140" s="2233">
        <v>0</v>
      </c>
      <c r="AN140" s="2233">
        <v>0</v>
      </c>
      <c r="AO140" s="1126"/>
      <c r="AP140" s="1126"/>
      <c r="AQ140" s="1126"/>
      <c r="AR140" s="1126"/>
      <c r="AS140" s="1126"/>
      <c r="AT140" s="111"/>
      <c r="AU140" s="11"/>
      <c r="AV140" s="38"/>
      <c r="AW140" s="38"/>
      <c r="AX140" s="38"/>
      <c r="AY140" s="38"/>
      <c r="AZ140" s="90"/>
      <c r="BA140" s="110"/>
      <c r="BB140" s="110"/>
      <c r="BC140" s="110"/>
      <c r="BD140" s="110"/>
      <c r="BE140" s="110"/>
      <c r="BF140" s="110"/>
      <c r="BG140" s="110"/>
      <c r="BH140" s="111"/>
      <c r="BI140" s="90"/>
      <c r="BJ140" s="90"/>
      <c r="BK140" s="90"/>
      <c r="BL140" s="90"/>
      <c r="BM140" s="90"/>
      <c r="BN140" s="90"/>
      <c r="BO140" s="6"/>
      <c r="BP140" s="90"/>
      <c r="BQ140" s="90"/>
      <c r="BR140" s="90"/>
      <c r="BS140" s="90"/>
      <c r="BT140" s="6"/>
      <c r="BU140" s="6"/>
      <c r="BV140" s="6"/>
      <c r="BW140" s="6"/>
      <c r="BX140" s="6"/>
      <c r="BY140" s="6"/>
      <c r="BZ140" s="6"/>
      <c r="CA140" s="6"/>
      <c r="CB140" s="6"/>
      <c r="CC140" s="6"/>
      <c r="CD140" s="6"/>
      <c r="CE140" s="6"/>
      <c r="CF140" s="6"/>
      <c r="CG140" s="6"/>
      <c r="CH140" s="6"/>
      <c r="CI140" s="6"/>
      <c r="CJ140" s="6"/>
      <c r="CK140" s="6"/>
      <c r="CL140" s="6"/>
      <c r="CM140" s="6"/>
      <c r="CN140" s="6"/>
      <c r="CO140" s="11"/>
      <c r="CP140" s="11"/>
      <c r="CQ140" s="11"/>
      <c r="CR140" s="11"/>
      <c r="CS140" s="11"/>
      <c r="CT140" s="906"/>
      <c r="CU140" s="906"/>
      <c r="CV140" s="906"/>
      <c r="CW140" s="11"/>
      <c r="CX140" s="11"/>
      <c r="CY140" s="906"/>
      <c r="CZ140" s="906"/>
      <c r="DA140" s="906"/>
      <c r="DB140" s="11"/>
      <c r="DC140" s="2862"/>
      <c r="DD140" s="2862"/>
      <c r="DE140" s="2862"/>
      <c r="DF140" s="2862"/>
      <c r="DG140" s="2862"/>
      <c r="DH140" s="2862"/>
      <c r="DI140" s="2862"/>
      <c r="DJ140" s="2862"/>
      <c r="DK140" s="2862"/>
      <c r="DL140" s="2862"/>
      <c r="DM140" s="11"/>
      <c r="DN140" s="11"/>
      <c r="DO140" s="11"/>
      <c r="DP140" s="11"/>
      <c r="DQ140" s="11"/>
      <c r="DR140" s="11"/>
    </row>
    <row r="141" spans="1:122" ht="6" customHeight="1">
      <c r="A141" s="152"/>
      <c r="B141" s="152"/>
      <c r="C141" s="152"/>
      <c r="D141" s="152"/>
      <c r="E141" s="152"/>
      <c r="F141" s="152"/>
      <c r="G141" s="152"/>
      <c r="H141" s="39"/>
      <c r="I141" s="39"/>
      <c r="J141" s="39"/>
      <c r="K141" s="39"/>
      <c r="L141" s="111"/>
      <c r="M141" s="111"/>
      <c r="N141" s="111"/>
      <c r="O141" s="919"/>
      <c r="P141" s="111"/>
      <c r="Q141" s="111"/>
      <c r="R141" s="111"/>
      <c r="S141" s="111"/>
      <c r="T141" s="111"/>
      <c r="U141" s="111"/>
      <c r="V141" s="111"/>
      <c r="W141" s="111"/>
      <c r="X141" s="111"/>
      <c r="Y141" s="111"/>
      <c r="Z141" s="111"/>
      <c r="AA141" s="111"/>
      <c r="AB141" s="111"/>
      <c r="AC141" s="111"/>
      <c r="AD141" s="111"/>
      <c r="AE141" s="111"/>
      <c r="AF141" s="111"/>
      <c r="AG141" s="111"/>
      <c r="AH141" s="111"/>
      <c r="AI141" s="111"/>
      <c r="AJ141" s="111"/>
      <c r="AK141" s="111"/>
      <c r="AL141" s="1525"/>
      <c r="AM141" s="1525"/>
      <c r="AN141" s="1525"/>
      <c r="AO141" s="111"/>
      <c r="AP141" s="111"/>
      <c r="AQ141" s="111"/>
      <c r="AR141" s="111"/>
      <c r="AS141" s="111"/>
      <c r="AT141" s="111"/>
      <c r="AU141" s="11"/>
      <c r="AV141" s="38"/>
      <c r="AW141" s="38"/>
      <c r="AX141" s="38"/>
      <c r="AY141" s="38"/>
      <c r="AZ141" s="90"/>
      <c r="BA141" s="110"/>
      <c r="BB141" s="110"/>
      <c r="BC141" s="110"/>
      <c r="BD141" s="110"/>
      <c r="BE141" s="110"/>
      <c r="BF141" s="110"/>
      <c r="BG141" s="110"/>
      <c r="BH141" s="111"/>
      <c r="BI141" s="90"/>
      <c r="BJ141" s="90"/>
      <c r="BK141" s="90"/>
      <c r="BL141" s="90"/>
      <c r="BM141" s="90"/>
      <c r="BN141" s="90"/>
      <c r="BO141" s="6"/>
      <c r="BP141" s="90"/>
      <c r="BQ141" s="90"/>
      <c r="BR141" s="90"/>
      <c r="BS141" s="90"/>
      <c r="BT141" s="6"/>
      <c r="BU141" s="6"/>
      <c r="BV141" s="6"/>
      <c r="BW141" s="6"/>
      <c r="BX141" s="6"/>
      <c r="BY141" s="6"/>
      <c r="BZ141" s="6"/>
      <c r="CA141" s="6"/>
      <c r="CB141" s="6"/>
      <c r="CC141" s="6"/>
      <c r="CD141" s="6"/>
      <c r="CE141" s="6"/>
      <c r="CF141" s="6"/>
      <c r="CG141" s="6"/>
      <c r="CH141" s="6"/>
      <c r="CI141" s="6"/>
      <c r="CJ141" s="6"/>
      <c r="CK141" s="6"/>
      <c r="CL141" s="6"/>
      <c r="CM141" s="6"/>
      <c r="CN141" s="6"/>
      <c r="CO141" s="11"/>
      <c r="CP141" s="11"/>
      <c r="CQ141" s="11"/>
      <c r="CR141" s="11"/>
      <c r="CS141" s="11"/>
      <c r="CT141" s="906"/>
      <c r="CU141" s="906"/>
      <c r="CV141" s="906"/>
      <c r="CW141" s="11"/>
      <c r="CX141" s="11"/>
      <c r="CY141" s="906"/>
      <c r="CZ141" s="906"/>
      <c r="DA141" s="906"/>
      <c r="DB141" s="11"/>
      <c r="DC141" s="2862"/>
      <c r="DD141" s="2862"/>
      <c r="DE141" s="2862"/>
      <c r="DF141" s="2862"/>
      <c r="DG141" s="2862"/>
      <c r="DH141" s="2862"/>
      <c r="DI141" s="2862"/>
      <c r="DJ141" s="2862"/>
      <c r="DK141" s="2862"/>
      <c r="DL141" s="2862"/>
      <c r="DM141" s="11"/>
      <c r="DN141" s="11"/>
      <c r="DO141" s="11"/>
      <c r="DP141" s="11"/>
      <c r="DQ141" s="11"/>
      <c r="DR141" s="11"/>
    </row>
    <row r="142" spans="1:122" ht="11.25" customHeight="1">
      <c r="A142" s="152" t="s">
        <v>339</v>
      </c>
      <c r="B142" s="152"/>
      <c r="C142" s="152"/>
      <c r="D142" s="152"/>
      <c r="E142" s="152"/>
      <c r="F142" s="152"/>
      <c r="G142" s="152"/>
      <c r="H142" s="39"/>
      <c r="I142" s="113">
        <v>0</v>
      </c>
      <c r="J142" s="113">
        <v>0</v>
      </c>
      <c r="K142" s="113">
        <f>26.550984/2</f>
        <v>13.275492</v>
      </c>
      <c r="L142" s="113">
        <v>0</v>
      </c>
      <c r="M142" s="113">
        <v>0</v>
      </c>
      <c r="N142" s="113">
        <v>0</v>
      </c>
      <c r="O142" s="919"/>
      <c r="P142" s="113"/>
      <c r="Q142" s="113"/>
      <c r="R142" s="113">
        <v>0</v>
      </c>
      <c r="S142" s="113">
        <v>0</v>
      </c>
      <c r="T142" s="113">
        <v>0</v>
      </c>
      <c r="U142" s="113">
        <v>0</v>
      </c>
      <c r="V142" s="113">
        <v>0</v>
      </c>
      <c r="W142" s="113">
        <v>0</v>
      </c>
      <c r="X142" s="113"/>
      <c r="Y142" s="113"/>
      <c r="Z142" s="113">
        <v>0</v>
      </c>
      <c r="AA142" s="113">
        <v>0</v>
      </c>
      <c r="AB142" s="113"/>
      <c r="AC142" s="113">
        <v>0</v>
      </c>
      <c r="AD142" s="113">
        <v>0</v>
      </c>
      <c r="AE142" s="113">
        <v>0</v>
      </c>
      <c r="AF142" s="113">
        <v>0</v>
      </c>
      <c r="AG142" s="113">
        <v>0</v>
      </c>
      <c r="AH142" s="113">
        <v>0</v>
      </c>
      <c r="AI142" s="113">
        <v>0</v>
      </c>
      <c r="AJ142" s="113">
        <v>0</v>
      </c>
      <c r="AK142" s="113">
        <v>0</v>
      </c>
      <c r="AL142" s="1664">
        <v>0</v>
      </c>
      <c r="AM142" s="1664">
        <v>0</v>
      </c>
      <c r="AN142" s="1664">
        <v>0</v>
      </c>
      <c r="AO142" s="113"/>
      <c r="AP142" s="113"/>
      <c r="AQ142" s="113"/>
      <c r="AR142" s="113"/>
      <c r="AS142" s="113"/>
      <c r="AT142" s="111"/>
      <c r="AU142" s="11"/>
      <c r="AV142" s="38"/>
      <c r="AW142" s="38"/>
      <c r="AX142" s="38"/>
      <c r="AY142" s="38"/>
      <c r="AZ142" s="90"/>
      <c r="BA142" s="110"/>
      <c r="BB142" s="110"/>
      <c r="BC142" s="110"/>
      <c r="BD142" s="110"/>
      <c r="BE142" s="110"/>
      <c r="BF142" s="110"/>
      <c r="BG142" s="110"/>
      <c r="BH142" s="111"/>
      <c r="BI142" s="90"/>
      <c r="BJ142" s="90"/>
      <c r="BK142" s="90"/>
      <c r="BL142" s="90"/>
      <c r="BM142" s="90"/>
      <c r="BN142" s="90"/>
      <c r="BO142" s="6"/>
      <c r="BP142" s="90"/>
      <c r="BQ142" s="90"/>
      <c r="BR142" s="90"/>
      <c r="BS142" s="90"/>
      <c r="BT142" s="6"/>
      <c r="BU142" s="6"/>
      <c r="BV142" s="6"/>
      <c r="BW142" s="6"/>
      <c r="BX142" s="6"/>
      <c r="BY142" s="6"/>
      <c r="BZ142" s="6"/>
      <c r="CA142" s="6"/>
      <c r="CB142" s="6"/>
      <c r="CC142" s="6"/>
      <c r="CD142" s="6"/>
      <c r="CE142" s="6"/>
      <c r="CF142" s="6"/>
      <c r="CG142" s="6"/>
      <c r="CH142" s="6"/>
      <c r="CI142" s="6"/>
      <c r="CJ142" s="6"/>
      <c r="CK142" s="6"/>
      <c r="CL142" s="6"/>
      <c r="CM142" s="6"/>
      <c r="CN142" s="6"/>
      <c r="CO142" s="11"/>
      <c r="CP142" s="11"/>
      <c r="CQ142" s="11"/>
      <c r="CR142" s="11"/>
      <c r="CS142" s="11"/>
      <c r="CT142" s="906"/>
      <c r="CU142" s="906"/>
      <c r="CV142" s="906"/>
      <c r="CW142" s="11"/>
      <c r="CX142" s="11"/>
      <c r="CY142" s="906"/>
      <c r="CZ142" s="906"/>
      <c r="DA142" s="906"/>
      <c r="DB142" s="11"/>
      <c r="DC142" s="2862"/>
      <c r="DD142" s="2862"/>
      <c r="DE142" s="2862"/>
      <c r="DF142" s="2862"/>
      <c r="DG142" s="2862"/>
      <c r="DH142" s="2862"/>
      <c r="DI142" s="2862"/>
      <c r="DJ142" s="2862"/>
      <c r="DK142" s="2862"/>
      <c r="DL142" s="2862"/>
      <c r="DM142" s="11"/>
      <c r="DN142" s="11"/>
      <c r="DO142" s="11"/>
      <c r="DP142" s="11"/>
      <c r="DQ142" s="11"/>
      <c r="DR142" s="11"/>
    </row>
    <row r="143" spans="1:122" ht="11.25" customHeight="1">
      <c r="A143" s="152" t="s">
        <v>391</v>
      </c>
      <c r="B143" s="152"/>
      <c r="C143" s="152"/>
      <c r="D143" s="152"/>
      <c r="E143" s="152"/>
      <c r="F143" s="152"/>
      <c r="G143" s="152"/>
      <c r="H143" s="39"/>
      <c r="I143" s="39">
        <f t="shared" ref="I143:S143" si="258">I142/I128</f>
        <v>0</v>
      </c>
      <c r="J143" s="39">
        <f t="shared" si="258"/>
        <v>0</v>
      </c>
      <c r="K143" s="39">
        <f t="shared" si="258"/>
        <v>0.16347132601251929</v>
      </c>
      <c r="L143" s="39">
        <f t="shared" si="258"/>
        <v>0</v>
      </c>
      <c r="M143" s="39">
        <f t="shared" si="258"/>
        <v>0</v>
      </c>
      <c r="N143" s="39">
        <f t="shared" si="258"/>
        <v>0</v>
      </c>
      <c r="O143" s="919"/>
      <c r="P143" s="39"/>
      <c r="Q143" s="39"/>
      <c r="R143" s="39">
        <f t="shared" si="258"/>
        <v>0</v>
      </c>
      <c r="S143" s="39">
        <f t="shared" si="258"/>
        <v>0</v>
      </c>
      <c r="T143" s="1126">
        <v>0</v>
      </c>
      <c r="U143" s="1126">
        <v>0</v>
      </c>
      <c r="V143" s="1126">
        <v>0</v>
      </c>
      <c r="W143" s="1126">
        <v>0</v>
      </c>
      <c r="X143" s="1126"/>
      <c r="Y143" s="1126"/>
      <c r="Z143" s="1126">
        <v>0</v>
      </c>
      <c r="AA143" s="1126">
        <v>0</v>
      </c>
      <c r="AB143" s="1126"/>
      <c r="AC143" s="1126">
        <v>0</v>
      </c>
      <c r="AD143" s="1126">
        <v>0</v>
      </c>
      <c r="AE143" s="1126">
        <v>0</v>
      </c>
      <c r="AF143" s="1126">
        <v>0</v>
      </c>
      <c r="AG143" s="1126">
        <v>0</v>
      </c>
      <c r="AH143" s="1126">
        <v>0</v>
      </c>
      <c r="AI143" s="1126">
        <v>0</v>
      </c>
      <c r="AJ143" s="1126">
        <v>0</v>
      </c>
      <c r="AK143" s="1126">
        <v>0</v>
      </c>
      <c r="AL143" s="2233">
        <v>0</v>
      </c>
      <c r="AM143" s="2233">
        <v>0</v>
      </c>
      <c r="AN143" s="2233">
        <v>0</v>
      </c>
      <c r="AO143" s="1126"/>
      <c r="AP143" s="1126"/>
      <c r="AQ143" s="1126"/>
      <c r="AR143" s="1126"/>
      <c r="AS143" s="1126"/>
      <c r="AT143" s="111"/>
      <c r="AU143" s="11"/>
      <c r="AV143" s="38"/>
      <c r="AW143" s="38"/>
      <c r="AX143" s="38"/>
      <c r="AY143" s="38"/>
      <c r="AZ143" s="90"/>
      <c r="BA143" s="110"/>
      <c r="BB143" s="110"/>
      <c r="BC143" s="110"/>
      <c r="BD143" s="110"/>
      <c r="BE143" s="110"/>
      <c r="BF143" s="110"/>
      <c r="BG143" s="110"/>
      <c r="BH143" s="111"/>
      <c r="BI143" s="90"/>
      <c r="BJ143" s="90"/>
      <c r="BK143" s="90"/>
      <c r="BL143" s="90"/>
      <c r="BM143" s="90"/>
      <c r="BN143" s="90"/>
      <c r="BO143" s="6"/>
      <c r="BP143" s="90"/>
      <c r="BQ143" s="90"/>
      <c r="BR143" s="90"/>
      <c r="BS143" s="90"/>
      <c r="BT143" s="6"/>
      <c r="BU143" s="6"/>
      <c r="BV143" s="6"/>
      <c r="BW143" s="6"/>
      <c r="BX143" s="6"/>
      <c r="BY143" s="6"/>
      <c r="BZ143" s="6"/>
      <c r="CA143" s="6"/>
      <c r="CB143" s="6"/>
      <c r="CC143" s="6"/>
      <c r="CD143" s="6"/>
      <c r="CE143" s="6"/>
      <c r="CF143" s="6"/>
      <c r="CG143" s="6"/>
      <c r="CH143" s="6"/>
      <c r="CI143" s="6"/>
      <c r="CJ143" s="6"/>
      <c r="CK143" s="6"/>
      <c r="CL143" s="6"/>
      <c r="CM143" s="6"/>
      <c r="CN143" s="6"/>
      <c r="CO143" s="11"/>
      <c r="CP143" s="11"/>
      <c r="CQ143" s="11"/>
      <c r="CR143" s="11"/>
      <c r="CS143" s="11"/>
      <c r="CT143" s="906"/>
      <c r="CU143" s="906"/>
      <c r="CV143" s="906"/>
      <c r="CW143" s="11"/>
      <c r="CX143" s="11"/>
      <c r="CY143" s="906"/>
      <c r="CZ143" s="906"/>
      <c r="DA143" s="906"/>
      <c r="DB143" s="11"/>
      <c r="DC143" s="2862"/>
      <c r="DD143" s="2862"/>
      <c r="DE143" s="2862"/>
      <c r="DF143" s="2862"/>
      <c r="DG143" s="2862"/>
      <c r="DH143" s="2862"/>
      <c r="DI143" s="2862"/>
      <c r="DJ143" s="2862"/>
      <c r="DK143" s="2862"/>
      <c r="DL143" s="2862"/>
      <c r="DM143" s="11"/>
      <c r="DN143" s="11"/>
      <c r="DO143" s="11"/>
      <c r="DP143" s="11"/>
      <c r="DQ143" s="11"/>
      <c r="DR143" s="11"/>
    </row>
    <row r="144" spans="1:122" ht="4.5" customHeight="1">
      <c r="A144" s="152"/>
      <c r="B144" s="152"/>
      <c r="C144" s="152"/>
      <c r="D144" s="152"/>
      <c r="E144" s="152"/>
      <c r="F144" s="152"/>
      <c r="G144" s="152"/>
      <c r="H144" s="39"/>
      <c r="I144" s="39"/>
      <c r="J144" s="39"/>
      <c r="K144" s="39"/>
      <c r="L144" s="111"/>
      <c r="M144" s="111"/>
      <c r="N144" s="111"/>
      <c r="O144" s="919"/>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525"/>
      <c r="AM144" s="1525"/>
      <c r="AN144" s="1525"/>
      <c r="AO144" s="111"/>
      <c r="AP144" s="111"/>
      <c r="AQ144" s="111"/>
      <c r="AR144" s="111"/>
      <c r="AS144" s="111"/>
      <c r="AT144" s="111"/>
      <c r="AU144" s="11"/>
      <c r="AV144" s="38"/>
      <c r="AW144" s="38"/>
      <c r="AX144" s="38"/>
      <c r="AY144" s="38"/>
      <c r="AZ144" s="90"/>
      <c r="BA144" s="110"/>
      <c r="BB144" s="110"/>
      <c r="BC144" s="110"/>
      <c r="BD144" s="110"/>
      <c r="BE144" s="110"/>
      <c r="BF144" s="110"/>
      <c r="BG144" s="110"/>
      <c r="BH144" s="111"/>
      <c r="BI144" s="90"/>
      <c r="BJ144" s="90"/>
      <c r="BK144" s="90"/>
      <c r="BL144" s="90"/>
      <c r="BM144" s="90"/>
      <c r="BN144" s="90"/>
      <c r="BO144" s="6"/>
      <c r="BP144" s="90"/>
      <c r="BQ144" s="90"/>
      <c r="BR144" s="90"/>
      <c r="BS144" s="90"/>
      <c r="BT144" s="6"/>
      <c r="BU144" s="6"/>
      <c r="BV144" s="6"/>
      <c r="BW144" s="6"/>
      <c r="BX144" s="6"/>
      <c r="BY144" s="6"/>
      <c r="BZ144" s="6"/>
      <c r="CA144" s="6"/>
      <c r="CB144" s="6"/>
      <c r="CC144" s="6"/>
      <c r="CD144" s="6"/>
      <c r="CE144" s="6"/>
      <c r="CF144" s="6"/>
      <c r="CG144" s="6"/>
      <c r="CH144" s="6"/>
      <c r="CI144" s="6"/>
      <c r="CJ144" s="6"/>
      <c r="CK144" s="6"/>
      <c r="CL144" s="6"/>
      <c r="CM144" s="6"/>
      <c r="CN144" s="6"/>
      <c r="CO144" s="11"/>
      <c r="CP144" s="11"/>
      <c r="CQ144" s="11"/>
      <c r="CR144" s="11"/>
      <c r="CS144" s="11"/>
      <c r="CT144" s="906"/>
      <c r="CU144" s="906"/>
      <c r="CV144" s="906"/>
      <c r="CW144" s="11"/>
      <c r="CX144" s="11"/>
      <c r="CY144" s="906"/>
      <c r="CZ144" s="906"/>
      <c r="DA144" s="906"/>
      <c r="DB144" s="11"/>
      <c r="DC144" s="2862"/>
      <c r="DD144" s="2862"/>
      <c r="DE144" s="2862"/>
      <c r="DF144" s="2862"/>
      <c r="DG144" s="2862"/>
      <c r="DH144" s="2862"/>
      <c r="DI144" s="2862"/>
      <c r="DJ144" s="2862"/>
      <c r="DK144" s="2862"/>
      <c r="DL144" s="2862"/>
      <c r="DM144" s="11"/>
      <c r="DN144" s="11"/>
      <c r="DO144" s="11"/>
      <c r="DP144" s="11"/>
      <c r="DQ144" s="11"/>
      <c r="DR144" s="11"/>
    </row>
    <row r="145" spans="1:122" ht="11.25" customHeight="1">
      <c r="A145" s="152" t="s">
        <v>340</v>
      </c>
      <c r="B145" s="152"/>
      <c r="C145" s="152"/>
      <c r="D145" s="152"/>
      <c r="E145" s="152"/>
      <c r="F145" s="152"/>
      <c r="G145" s="152"/>
      <c r="H145" s="39"/>
      <c r="I145" s="113">
        <v>0</v>
      </c>
      <c r="J145" s="113">
        <v>0</v>
      </c>
      <c r="K145" s="156">
        <f>130.129978-K128-K130-K133-K136-K139-K142</f>
        <v>65.064989000000011</v>
      </c>
      <c r="L145" s="113">
        <v>-63.699168</v>
      </c>
      <c r="M145" s="113">
        <v>0</v>
      </c>
      <c r="N145" s="113">
        <v>0</v>
      </c>
      <c r="O145" s="919"/>
      <c r="P145" s="113"/>
      <c r="Q145" s="113"/>
      <c r="R145" s="113">
        <v>0</v>
      </c>
      <c r="S145" s="113">
        <v>0</v>
      </c>
      <c r="T145" s="113">
        <v>0</v>
      </c>
      <c r="U145" s="113">
        <v>0</v>
      </c>
      <c r="V145" s="113">
        <v>0</v>
      </c>
      <c r="W145" s="113">
        <v>0</v>
      </c>
      <c r="X145" s="113"/>
      <c r="Y145" s="113"/>
      <c r="Z145" s="113">
        <v>0</v>
      </c>
      <c r="AA145" s="113">
        <v>0</v>
      </c>
      <c r="AB145" s="113"/>
      <c r="AC145" s="113">
        <v>0</v>
      </c>
      <c r="AD145" s="113">
        <v>0</v>
      </c>
      <c r="AE145" s="113">
        <v>0</v>
      </c>
      <c r="AF145" s="113">
        <v>0</v>
      </c>
      <c r="AG145" s="113">
        <v>0</v>
      </c>
      <c r="AH145" s="113">
        <v>0</v>
      </c>
      <c r="AI145" s="113">
        <v>0</v>
      </c>
      <c r="AJ145" s="113">
        <v>0</v>
      </c>
      <c r="AK145" s="113">
        <v>0</v>
      </c>
      <c r="AL145" s="1664">
        <v>0</v>
      </c>
      <c r="AM145" s="1664">
        <v>0</v>
      </c>
      <c r="AN145" s="1664">
        <v>0</v>
      </c>
      <c r="AO145" s="113"/>
      <c r="AP145" s="113"/>
      <c r="AQ145" s="113"/>
      <c r="AR145" s="113"/>
      <c r="AS145" s="113"/>
      <c r="AT145" s="111"/>
      <c r="AU145" s="11"/>
      <c r="AV145" s="38"/>
      <c r="AW145" s="38"/>
      <c r="AX145" s="38"/>
      <c r="AY145" s="38"/>
      <c r="AZ145" s="90"/>
      <c r="BA145" s="110"/>
      <c r="BB145" s="110"/>
      <c r="BC145" s="110"/>
      <c r="BD145" s="110"/>
      <c r="BE145" s="110"/>
      <c r="BF145" s="110"/>
      <c r="BG145" s="110"/>
      <c r="BH145" s="111"/>
      <c r="BI145" s="90"/>
      <c r="BJ145" s="90"/>
      <c r="BK145" s="90"/>
      <c r="BL145" s="90"/>
      <c r="BM145" s="90"/>
      <c r="BN145" s="90"/>
      <c r="BO145" s="6"/>
      <c r="BP145" s="90"/>
      <c r="BQ145" s="90"/>
      <c r="BR145" s="90"/>
      <c r="BS145" s="90"/>
      <c r="BT145" s="6"/>
      <c r="BU145" s="6"/>
      <c r="BV145" s="6"/>
      <c r="BW145" s="6"/>
      <c r="BX145" s="6"/>
      <c r="BY145" s="6"/>
      <c r="BZ145" s="6"/>
      <c r="CA145" s="6"/>
      <c r="CB145" s="6"/>
      <c r="CC145" s="6"/>
      <c r="CD145" s="6"/>
      <c r="CE145" s="6"/>
      <c r="CF145" s="6"/>
      <c r="CG145" s="6"/>
      <c r="CH145" s="6"/>
      <c r="CI145" s="6"/>
      <c r="CJ145" s="6"/>
      <c r="CK145" s="6"/>
      <c r="CL145" s="6"/>
      <c r="CM145" s="6"/>
      <c r="CN145" s="6"/>
      <c r="CO145" s="11"/>
      <c r="CP145" s="11"/>
      <c r="CQ145" s="11"/>
      <c r="CR145" s="11"/>
      <c r="CS145" s="11"/>
      <c r="CT145" s="906"/>
      <c r="CU145" s="906"/>
      <c r="CV145" s="906"/>
      <c r="CW145" s="11"/>
      <c r="CX145" s="11"/>
      <c r="CY145" s="906"/>
      <c r="CZ145" s="906"/>
      <c r="DA145" s="906"/>
      <c r="DB145" s="11"/>
      <c r="DC145" s="2862"/>
      <c r="DD145" s="11"/>
      <c r="DE145" s="11"/>
      <c r="DF145" s="11"/>
      <c r="DG145" s="11"/>
      <c r="DH145" s="11"/>
      <c r="DI145" s="11"/>
      <c r="DJ145" s="11"/>
      <c r="DK145" s="11"/>
      <c r="DL145" s="11"/>
      <c r="DM145" s="11"/>
      <c r="DN145" s="11"/>
      <c r="DO145" s="11"/>
      <c r="DP145" s="11"/>
      <c r="DQ145" s="11"/>
      <c r="DR145" s="11"/>
    </row>
    <row r="146" spans="1:122" ht="11.25" customHeight="1">
      <c r="A146" s="152" t="s">
        <v>341</v>
      </c>
      <c r="B146" s="152"/>
      <c r="C146" s="152"/>
      <c r="D146" s="152"/>
      <c r="E146" s="152"/>
      <c r="F146" s="152"/>
      <c r="G146" s="152"/>
      <c r="H146" s="39"/>
      <c r="I146" s="118" t="s">
        <v>737</v>
      </c>
      <c r="J146" s="118" t="s">
        <v>737</v>
      </c>
      <c r="K146" s="113">
        <f>1/(K145/K148)</f>
        <v>1.9999999999999996</v>
      </c>
      <c r="L146" s="113">
        <f>1/(L145/L148)</f>
        <v>-0.75491588838334589</v>
      </c>
      <c r="M146" s="118" t="s">
        <v>737</v>
      </c>
      <c r="N146" s="118" t="s">
        <v>737</v>
      </c>
      <c r="O146" s="919"/>
      <c r="P146" s="118"/>
      <c r="Q146" s="118"/>
      <c r="R146" s="118" t="s">
        <v>737</v>
      </c>
      <c r="S146" s="118" t="s">
        <v>737</v>
      </c>
      <c r="T146" s="118" t="s">
        <v>737</v>
      </c>
      <c r="U146" s="118" t="s">
        <v>737</v>
      </c>
      <c r="V146" s="118" t="s">
        <v>737</v>
      </c>
      <c r="W146" s="118" t="s">
        <v>737</v>
      </c>
      <c r="X146" s="118"/>
      <c r="Y146" s="118"/>
      <c r="Z146" s="118" t="s">
        <v>737</v>
      </c>
      <c r="AA146" s="118" t="s">
        <v>737</v>
      </c>
      <c r="AB146" s="118"/>
      <c r="AC146" s="118" t="s">
        <v>737</v>
      </c>
      <c r="AD146" s="118" t="s">
        <v>737</v>
      </c>
      <c r="AE146" s="118" t="s">
        <v>737</v>
      </c>
      <c r="AF146" s="118" t="s">
        <v>737</v>
      </c>
      <c r="AG146" s="118" t="s">
        <v>737</v>
      </c>
      <c r="AH146" s="118" t="s">
        <v>737</v>
      </c>
      <c r="AI146" s="118" t="s">
        <v>737</v>
      </c>
      <c r="AJ146" s="118" t="s">
        <v>737</v>
      </c>
      <c r="AK146" s="118" t="s">
        <v>737</v>
      </c>
      <c r="AL146" s="1630" t="s">
        <v>737</v>
      </c>
      <c r="AM146" s="1630" t="s">
        <v>737</v>
      </c>
      <c r="AN146" s="1630" t="s">
        <v>737</v>
      </c>
      <c r="AO146" s="118"/>
      <c r="AP146" s="118"/>
      <c r="AQ146" s="118"/>
      <c r="AR146" s="118"/>
      <c r="AS146" s="118"/>
      <c r="AT146" s="111"/>
      <c r="AU146" s="11"/>
      <c r="AV146" s="38"/>
      <c r="AW146" s="38"/>
      <c r="AX146" s="38"/>
      <c r="AY146" s="38"/>
      <c r="AZ146" s="90"/>
      <c r="BA146" s="110"/>
      <c r="BB146" s="110"/>
      <c r="BC146" s="110"/>
      <c r="BD146" s="110"/>
      <c r="BE146" s="110"/>
      <c r="BF146" s="110"/>
      <c r="BG146" s="110"/>
      <c r="BH146" s="111"/>
      <c r="BI146" s="90"/>
      <c r="BJ146" s="90"/>
      <c r="BK146" s="90"/>
      <c r="BL146" s="90"/>
      <c r="BM146" s="90"/>
      <c r="BN146" s="90"/>
      <c r="BO146" s="6"/>
      <c r="BP146" s="90"/>
      <c r="BQ146" s="90"/>
      <c r="BR146" s="90"/>
      <c r="BS146" s="90"/>
      <c r="BT146" s="6"/>
      <c r="BU146" s="6"/>
      <c r="BV146" s="6"/>
      <c r="BW146" s="6"/>
      <c r="BX146" s="6"/>
      <c r="BY146" s="6"/>
      <c r="BZ146" s="6"/>
      <c r="CA146" s="6"/>
      <c r="CB146" s="6"/>
      <c r="CC146" s="6"/>
      <c r="CD146" s="6"/>
      <c r="CE146" s="6"/>
      <c r="CF146" s="6"/>
      <c r="CG146" s="6"/>
      <c r="CH146" s="6"/>
      <c r="CI146" s="6"/>
      <c r="CJ146" s="6"/>
      <c r="CK146" s="6"/>
      <c r="CL146" s="6"/>
      <c r="CM146" s="6"/>
      <c r="CN146" s="6"/>
      <c r="CO146" s="11"/>
      <c r="CP146" s="11"/>
      <c r="CQ146" s="11"/>
      <c r="CR146" s="11"/>
      <c r="CS146" s="11"/>
      <c r="CT146" s="906"/>
      <c r="CU146" s="906"/>
      <c r="CV146" s="906"/>
      <c r="CW146" s="11"/>
      <c r="CX146" s="11"/>
      <c r="CY146" s="906"/>
      <c r="CZ146" s="906"/>
      <c r="DA146" s="906"/>
      <c r="DB146" s="11"/>
      <c r="DC146" s="2862"/>
      <c r="DD146" s="11"/>
      <c r="DE146" s="11"/>
      <c r="DF146" s="11"/>
      <c r="DG146" s="11"/>
      <c r="DH146" s="11"/>
      <c r="DI146" s="11"/>
      <c r="DJ146" s="11"/>
      <c r="DK146" s="11"/>
      <c r="DL146" s="11"/>
      <c r="DM146" s="11"/>
      <c r="DN146" s="11"/>
      <c r="DO146" s="11"/>
      <c r="DP146" s="11"/>
      <c r="DQ146" s="11"/>
      <c r="DR146" s="11"/>
    </row>
    <row r="147" spans="1:122" ht="5.25" customHeight="1">
      <c r="A147" s="152"/>
      <c r="B147" s="152"/>
      <c r="C147" s="152"/>
      <c r="D147" s="152"/>
      <c r="E147" s="152"/>
      <c r="F147" s="152"/>
      <c r="G147" s="152"/>
      <c r="H147" s="113"/>
      <c r="I147" s="113"/>
      <c r="J147" s="113"/>
      <c r="K147" s="156"/>
      <c r="L147" s="111"/>
      <c r="M147" s="111"/>
      <c r="N147" s="111"/>
      <c r="O147" s="919"/>
      <c r="P147" s="111"/>
      <c r="Q147" s="111"/>
      <c r="R147" s="111"/>
      <c r="S147" s="111"/>
      <c r="T147" s="111"/>
      <c r="U147" s="111"/>
      <c r="V147" s="111"/>
      <c r="W147" s="111"/>
      <c r="X147" s="111"/>
      <c r="Y147" s="111"/>
      <c r="Z147" s="111"/>
      <c r="AA147" s="111"/>
      <c r="AB147" s="111"/>
      <c r="AC147" s="111"/>
      <c r="AD147" s="111"/>
      <c r="AE147" s="111"/>
      <c r="AF147" s="111"/>
      <c r="AG147" s="111"/>
      <c r="AH147" s="111"/>
      <c r="AI147" s="111"/>
      <c r="AJ147" s="111"/>
      <c r="AK147" s="111"/>
      <c r="AL147" s="1525"/>
      <c r="AM147" s="111"/>
      <c r="AN147" s="111"/>
      <c r="AO147" s="111"/>
      <c r="AP147" s="111"/>
      <c r="AQ147" s="111"/>
      <c r="AR147" s="111"/>
      <c r="AS147" s="111"/>
      <c r="AT147" s="111"/>
      <c r="AU147" s="11"/>
      <c r="AV147" s="38"/>
      <c r="AW147" s="38"/>
      <c r="AX147" s="38"/>
      <c r="AY147" s="38"/>
      <c r="AZ147" s="90"/>
      <c r="BA147" s="110"/>
      <c r="BB147" s="110"/>
      <c r="BC147" s="110"/>
      <c r="BD147" s="110"/>
      <c r="BE147" s="110"/>
      <c r="BF147" s="110"/>
      <c r="BG147" s="110"/>
      <c r="BH147" s="111"/>
      <c r="BI147" s="90"/>
      <c r="BJ147" s="90"/>
      <c r="BK147" s="90"/>
      <c r="BL147" s="90"/>
      <c r="BM147" s="90"/>
      <c r="BN147" s="90"/>
      <c r="BO147" s="6"/>
      <c r="BP147" s="90"/>
      <c r="BQ147" s="90"/>
      <c r="BR147" s="90"/>
      <c r="BS147" s="90"/>
      <c r="BT147" s="6"/>
      <c r="BU147" s="6"/>
      <c r="BV147" s="6"/>
      <c r="BW147" s="6"/>
      <c r="BX147" s="6"/>
      <c r="BY147" s="6"/>
      <c r="BZ147" s="6"/>
      <c r="CA147" s="6"/>
      <c r="CB147" s="6"/>
      <c r="CC147" s="6"/>
      <c r="CD147" s="6"/>
      <c r="CE147" s="6"/>
      <c r="CF147" s="6"/>
      <c r="CG147" s="6"/>
      <c r="CH147" s="6"/>
      <c r="CI147" s="6"/>
      <c r="CJ147" s="6"/>
      <c r="CK147" s="6"/>
      <c r="CL147" s="6"/>
      <c r="CM147" s="6"/>
      <c r="CN147" s="6"/>
      <c r="CO147" s="11"/>
      <c r="CP147" s="11"/>
      <c r="CQ147" s="11"/>
      <c r="CR147" s="11"/>
      <c r="CS147" s="11"/>
      <c r="CT147" s="906"/>
      <c r="CU147" s="906"/>
      <c r="CV147" s="906"/>
      <c r="CW147" s="11"/>
      <c r="CX147" s="11"/>
      <c r="CY147" s="906"/>
      <c r="CZ147" s="906"/>
      <c r="DA147" s="906"/>
      <c r="DB147" s="11"/>
      <c r="DC147" s="2862"/>
      <c r="DD147" s="11"/>
      <c r="DE147" s="11"/>
      <c r="DF147" s="11"/>
      <c r="DG147" s="11"/>
      <c r="DH147" s="11"/>
      <c r="DI147" s="11"/>
      <c r="DJ147" s="11"/>
      <c r="DK147" s="11"/>
      <c r="DL147" s="11"/>
      <c r="DM147" s="11"/>
      <c r="DN147" s="11"/>
      <c r="DO147" s="11"/>
      <c r="DP147" s="11"/>
      <c r="DQ147" s="11"/>
      <c r="DR147" s="11"/>
    </row>
    <row r="148" spans="1:122">
      <c r="A148" s="152" t="s">
        <v>400</v>
      </c>
      <c r="B148" s="152"/>
      <c r="C148" s="152"/>
      <c r="D148" s="152"/>
      <c r="E148" s="152"/>
      <c r="F148" s="152"/>
      <c r="G148" s="152"/>
      <c r="H148" s="112">
        <v>69.192631000000006</v>
      </c>
      <c r="I148" s="111">
        <f>I139+I136+I133+I130+I128+I142+I145</f>
        <v>73.704429000000005</v>
      </c>
      <c r="J148" s="111">
        <f>J128+J130+J133+J136+J139+J142+J145</f>
        <v>81.209911999999989</v>
      </c>
      <c r="K148" s="49">
        <f>K128+K130+K133+K136+K139+K142+K145</f>
        <v>130.12997799999999</v>
      </c>
      <c r="L148" s="111">
        <f>L128+L130+L133+L136+L139+L142+L145</f>
        <v>48.087513999999999</v>
      </c>
      <c r="M148" s="111">
        <f>M128+M130+M133+M136+M139+M142+M145</f>
        <v>37.838882999999996</v>
      </c>
      <c r="N148" s="111">
        <f>N128+N130+N133+N136+N139+N142+N145</f>
        <v>36.520882999999991</v>
      </c>
      <c r="O148" s="919"/>
      <c r="P148" s="111"/>
      <c r="Q148" s="111"/>
      <c r="R148" s="111">
        <f t="shared" ref="R148:W148" si="259">R128+R130+R133+R136+R139+R142+R145</f>
        <v>46.06688299999999</v>
      </c>
      <c r="S148" s="111">
        <f>S128+S130+S133+S136+S139+S142+S145</f>
        <v>46.644989999999993</v>
      </c>
      <c r="T148" s="110">
        <f t="shared" si="259"/>
        <v>41.912551999999991</v>
      </c>
      <c r="U148" s="110">
        <f t="shared" si="259"/>
        <v>34.032870999999993</v>
      </c>
      <c r="V148" s="110">
        <f t="shared" si="259"/>
        <v>27.974396999999993</v>
      </c>
      <c r="W148" s="110">
        <f t="shared" si="259"/>
        <v>15.63408699999999</v>
      </c>
      <c r="X148" s="110"/>
      <c r="Y148" s="110"/>
      <c r="Z148" s="110">
        <f>Z128+Z130+Z133+Z136+Z139+Z142+Z145</f>
        <v>17.054603975174103</v>
      </c>
      <c r="AA148" s="110">
        <f t="shared" ref="AA148:AH148" si="260">AA128+AA130+AA133+AA136+AA139+AA142+AA145</f>
        <v>17.661215975174102</v>
      </c>
      <c r="AB148" s="110"/>
      <c r="AC148" s="110">
        <f t="shared" si="260"/>
        <v>19.081732950348215</v>
      </c>
      <c r="AD148" s="110">
        <f t="shared" si="260"/>
        <v>20.621093293700685</v>
      </c>
      <c r="AE148" s="110">
        <f t="shared" si="260"/>
        <v>22.091338166862126</v>
      </c>
      <c r="AF148" s="110">
        <f t="shared" si="260"/>
        <v>23.502061023123574</v>
      </c>
      <c r="AG148" s="111">
        <f t="shared" si="260"/>
        <v>24.861962535222709</v>
      </c>
      <c r="AH148" s="111">
        <f t="shared" si="260"/>
        <v>26.178943276126134</v>
      </c>
      <c r="AI148" s="111">
        <f t="shared" ref="AI148:AN148" si="261">AI128+AI130+AI133+AI136+AI139+AI142+AI145</f>
        <v>27.460187091562918</v>
      </c>
      <c r="AJ148" s="111">
        <f t="shared" si="261"/>
        <v>28.712236108323793</v>
      </c>
      <c r="AK148" s="111">
        <f t="shared" si="261"/>
        <v>29.941058226878031</v>
      </c>
      <c r="AL148" s="1525">
        <f t="shared" si="261"/>
        <v>31.152107861059438</v>
      </c>
      <c r="AM148" s="1525">
        <f t="shared" si="261"/>
        <v>32.350380610456604</v>
      </c>
      <c r="AN148" s="1525">
        <f t="shared" si="261"/>
        <v>33.540462481831547</v>
      </c>
      <c r="AO148" s="110"/>
      <c r="AP148" s="110"/>
      <c r="AQ148" s="110"/>
      <c r="AR148" s="110"/>
      <c r="AS148" s="110"/>
      <c r="AT148" s="110"/>
      <c r="AU148" s="11"/>
      <c r="AV148" s="38"/>
      <c r="AW148" s="38"/>
      <c r="AX148" s="38"/>
      <c r="AY148" s="38"/>
      <c r="AZ148" s="90"/>
      <c r="BA148" s="110"/>
      <c r="BB148" s="110"/>
      <c r="BC148" s="110"/>
      <c r="BD148" s="110"/>
      <c r="BE148" s="110"/>
      <c r="BF148" s="110"/>
      <c r="BG148" s="110"/>
      <c r="BH148" s="111"/>
      <c r="BI148" s="90"/>
      <c r="BJ148" s="90"/>
      <c r="BK148" s="90"/>
      <c r="BL148" s="90"/>
      <c r="BM148" s="90"/>
      <c r="BN148" s="90"/>
      <c r="BO148" s="6"/>
      <c r="BP148" s="90"/>
      <c r="BQ148" s="90"/>
      <c r="BR148" s="90"/>
      <c r="BS148" s="90"/>
      <c r="BT148" s="6"/>
      <c r="BU148" s="6"/>
      <c r="BV148" s="6"/>
      <c r="BW148" s="6"/>
      <c r="BX148" s="6"/>
      <c r="BY148" s="6"/>
      <c r="BZ148" s="6"/>
      <c r="CA148" s="6"/>
      <c r="CB148" s="6"/>
      <c r="CC148" s="6"/>
      <c r="CD148" s="6"/>
      <c r="CE148" s="6"/>
      <c r="CF148" s="6"/>
      <c r="CG148" s="6"/>
      <c r="CH148" s="6"/>
      <c r="CI148" s="6"/>
      <c r="CJ148" s="6"/>
      <c r="CK148" s="6"/>
      <c r="CL148" s="6"/>
      <c r="CM148" s="6"/>
      <c r="CN148" s="6"/>
      <c r="CO148" s="11"/>
      <c r="CP148" s="11"/>
      <c r="CQ148" s="11"/>
      <c r="CR148" s="11"/>
      <c r="CS148" s="11"/>
      <c r="CT148" s="906"/>
      <c r="CU148" s="906"/>
      <c r="CV148" s="906"/>
      <c r="CW148" s="11"/>
      <c r="CX148" s="11"/>
      <c r="CY148" s="906"/>
      <c r="CZ148" s="906"/>
      <c r="DA148" s="906"/>
      <c r="DB148" s="11"/>
      <c r="DC148" s="2862"/>
      <c r="DD148" s="11"/>
      <c r="DE148" s="11"/>
      <c r="DF148" s="11"/>
      <c r="DG148" s="11"/>
      <c r="DH148" s="11"/>
      <c r="DI148" s="11"/>
      <c r="DJ148" s="11"/>
      <c r="DK148" s="11"/>
      <c r="DL148" s="11"/>
      <c r="DM148" s="11"/>
      <c r="DN148" s="11"/>
      <c r="DO148" s="11"/>
      <c r="DP148" s="11"/>
      <c r="DQ148" s="11"/>
      <c r="DR148" s="11"/>
    </row>
    <row r="149" spans="1:122">
      <c r="A149" s="3" t="s">
        <v>441</v>
      </c>
      <c r="B149" s="3"/>
      <c r="C149" s="3"/>
      <c r="D149" s="3"/>
      <c r="E149" s="3"/>
      <c r="F149" s="3"/>
      <c r="G149" s="3"/>
      <c r="H149" s="113"/>
      <c r="I149" s="111"/>
      <c r="J149" s="111"/>
      <c r="K149" s="49"/>
      <c r="L149" s="140">
        <v>25.81</v>
      </c>
      <c r="M149" s="140">
        <f>L149</f>
        <v>25.81</v>
      </c>
      <c r="N149" s="140">
        <f>M149</f>
        <v>25.81</v>
      </c>
      <c r="O149" s="919"/>
      <c r="P149" s="140"/>
      <c r="Q149" s="140"/>
      <c r="R149" s="140">
        <f>N149</f>
        <v>25.81</v>
      </c>
      <c r="S149" s="140">
        <f>S176</f>
        <v>5.3983935016044349</v>
      </c>
      <c r="T149" s="140">
        <f t="shared" ref="T149:AE149" si="262">T176</f>
        <v>9.6993001416097826</v>
      </c>
      <c r="U149" s="140">
        <f t="shared" si="262"/>
        <v>16.339157335192368</v>
      </c>
      <c r="V149" s="140">
        <f t="shared" si="262"/>
        <v>18.935930409158765</v>
      </c>
      <c r="W149" s="140">
        <f t="shared" si="262"/>
        <v>25.150461354843497</v>
      </c>
      <c r="X149" s="140"/>
      <c r="Y149" s="140"/>
      <c r="Z149" s="140">
        <f>Z176</f>
        <v>31.4</v>
      </c>
      <c r="AA149" s="140">
        <f t="shared" si="262"/>
        <v>38.159999999999997</v>
      </c>
      <c r="AB149" s="140"/>
      <c r="AC149" s="140">
        <f t="shared" si="262"/>
        <v>45.791999999999994</v>
      </c>
      <c r="AD149" s="140">
        <f t="shared" si="262"/>
        <v>52.660799999999988</v>
      </c>
      <c r="AE149" s="140">
        <f t="shared" si="262"/>
        <v>57.92687999999999</v>
      </c>
      <c r="AF149" s="140">
        <f t="shared" ref="AF149:AK149" si="263">AF176</f>
        <v>63.719567999999995</v>
      </c>
      <c r="AG149" s="140">
        <f t="shared" si="263"/>
        <v>70.091524800000002</v>
      </c>
      <c r="AH149" s="140">
        <f t="shared" si="263"/>
        <v>77.100677280000014</v>
      </c>
      <c r="AI149" s="140">
        <f>AI176</f>
        <v>84.810745008000026</v>
      </c>
      <c r="AJ149" s="140">
        <f t="shared" si="263"/>
        <v>93.291819508800032</v>
      </c>
      <c r="AK149" s="140">
        <f t="shared" si="263"/>
        <v>102.62100145968004</v>
      </c>
      <c r="AL149" s="2234">
        <f>AL176</f>
        <v>112.88310160564806</v>
      </c>
      <c r="AM149" s="2234">
        <f>AM176</f>
        <v>124.17141176621288</v>
      </c>
      <c r="AN149" s="2234">
        <f>AN176</f>
        <v>136.58855294283418</v>
      </c>
      <c r="AO149" s="140"/>
      <c r="AP149" s="140"/>
      <c r="AQ149" s="140"/>
      <c r="AR149" s="140"/>
      <c r="AS149" s="140"/>
      <c r="AT149" s="111"/>
      <c r="AU149" s="11"/>
      <c r="AV149" s="39"/>
      <c r="AW149" s="39"/>
      <c r="AX149" s="39"/>
      <c r="AY149" s="39"/>
      <c r="AZ149" s="94"/>
      <c r="BA149" s="111"/>
      <c r="BB149" s="111"/>
      <c r="BC149" s="111"/>
      <c r="BD149" s="111"/>
      <c r="BE149" s="111"/>
      <c r="BF149" s="111"/>
      <c r="BG149" s="111"/>
      <c r="BH149" s="111"/>
      <c r="BI149" s="94"/>
      <c r="BJ149" s="94"/>
      <c r="BK149" s="94"/>
      <c r="BL149" s="94"/>
      <c r="BM149" s="94"/>
      <c r="BN149" s="94"/>
      <c r="BO149" s="11"/>
      <c r="BP149" s="94"/>
      <c r="BQ149" s="94"/>
      <c r="BR149" s="94"/>
      <c r="BS149" s="94"/>
      <c r="BT149" s="11"/>
      <c r="BU149" s="11"/>
      <c r="BV149" s="11"/>
      <c r="BW149" s="11"/>
      <c r="BX149" s="11"/>
      <c r="BY149" s="11"/>
      <c r="BZ149" s="11"/>
      <c r="CA149" s="11"/>
      <c r="CB149" s="11"/>
      <c r="CC149" s="11"/>
      <c r="CD149" s="11"/>
      <c r="CE149" s="11"/>
      <c r="CF149" s="11"/>
      <c r="CG149" s="11"/>
      <c r="CH149" s="11"/>
      <c r="CI149" s="11"/>
      <c r="CJ149" s="11"/>
      <c r="CK149" s="11"/>
      <c r="CL149" s="11"/>
      <c r="CM149" s="11"/>
      <c r="CN149" s="11"/>
      <c r="CO149" s="11"/>
      <c r="CP149" s="11"/>
      <c r="CQ149" s="11"/>
      <c r="CR149" s="11"/>
      <c r="CS149" s="11"/>
      <c r="CT149" s="906"/>
      <c r="CU149" s="906"/>
      <c r="CV149" s="906"/>
      <c r="CW149" s="11"/>
      <c r="CX149" s="11"/>
      <c r="CY149" s="906"/>
      <c r="CZ149" s="906"/>
      <c r="DA149" s="906"/>
      <c r="DB149" s="11"/>
      <c r="DC149" s="2862"/>
      <c r="DD149" s="11"/>
      <c r="DE149" s="11"/>
      <c r="DF149" s="11"/>
      <c r="DG149" s="11"/>
      <c r="DH149" s="11"/>
      <c r="DI149" s="11"/>
      <c r="DJ149" s="11"/>
      <c r="DK149" s="11"/>
      <c r="DL149" s="11"/>
      <c r="DM149" s="11"/>
      <c r="DN149" s="11"/>
      <c r="DO149" s="11"/>
      <c r="DP149" s="11"/>
      <c r="DQ149" s="11"/>
      <c r="DR149" s="11"/>
    </row>
    <row r="150" spans="1:122">
      <c r="A150" s="3" t="s">
        <v>915</v>
      </c>
      <c r="B150" s="3"/>
      <c r="C150" s="3"/>
      <c r="D150" s="3"/>
      <c r="E150" s="3"/>
      <c r="F150" s="3"/>
      <c r="G150" s="3"/>
      <c r="H150" s="113"/>
      <c r="I150" s="111"/>
      <c r="J150" s="111"/>
      <c r="K150" s="49"/>
      <c r="L150" s="111">
        <f>IF(L151&lt;L149,0,L148*L149)</f>
        <v>1241.1387363399999</v>
      </c>
      <c r="M150" s="111">
        <f t="shared" ref="M150:AF150" si="264">IF(M151&lt;M149,0,M148*M149)</f>
        <v>976.62157022999986</v>
      </c>
      <c r="N150" s="111">
        <f t="shared" si="264"/>
        <v>0</v>
      </c>
      <c r="O150" s="919"/>
      <c r="P150" s="111"/>
      <c r="Q150" s="111"/>
      <c r="R150" s="111">
        <f t="shared" si="264"/>
        <v>0</v>
      </c>
      <c r="S150" s="111">
        <f t="shared" si="264"/>
        <v>251.80801089840381</v>
      </c>
      <c r="T150" s="111">
        <f t="shared" si="264"/>
        <v>406.52242154882731</v>
      </c>
      <c r="U150" s="111">
        <f t="shared" si="264"/>
        <v>556.06843383730552</v>
      </c>
      <c r="V150" s="111">
        <f t="shared" si="264"/>
        <v>529.72123483017958</v>
      </c>
      <c r="W150" s="111">
        <f t="shared" si="264"/>
        <v>393.20450091176087</v>
      </c>
      <c r="X150" s="111"/>
      <c r="Y150" s="111"/>
      <c r="Z150" s="111">
        <f>IF(Z151&lt;Z149,0,Z148*Z149)</f>
        <v>535.51456482046683</v>
      </c>
      <c r="AA150" s="111">
        <f t="shared" si="264"/>
        <v>673.9520016126437</v>
      </c>
      <c r="AB150" s="111"/>
      <c r="AC150" s="111">
        <f t="shared" si="264"/>
        <v>873.79071526234532</v>
      </c>
      <c r="AD150" s="111">
        <f>IF(AD151&lt;AD149,0,AD148*AD149)</f>
        <v>1085.9232697209127</v>
      </c>
      <c r="AE150" s="111">
        <f t="shared" si="264"/>
        <v>1279.6822950312421</v>
      </c>
      <c r="AF150" s="111">
        <f t="shared" si="264"/>
        <v>1497.5411755030721</v>
      </c>
      <c r="AG150" s="111">
        <f t="shared" ref="AG150:AL150" si="265">IF(AG151&lt;AG149,0,AG148*AG149)</f>
        <v>1742.6128636142334</v>
      </c>
      <c r="AH150" s="111">
        <f t="shared" si="265"/>
        <v>2018.4142570640274</v>
      </c>
      <c r="AI150" s="111">
        <f t="shared" si="265"/>
        <v>2328.9189252945166</v>
      </c>
      <c r="AJ150" s="111">
        <f t="shared" si="265"/>
        <v>2678.6167487117946</v>
      </c>
      <c r="AK150" s="111">
        <f t="shared" si="265"/>
        <v>3072.5813800048159</v>
      </c>
      <c r="AL150" s="1525">
        <f t="shared" si="265"/>
        <v>3516.5465569100802</v>
      </c>
      <c r="AM150" s="1525">
        <f>IF(AM151&lt;AM149,0,AM148*AM149)</f>
        <v>4016.9924315747162</v>
      </c>
      <c r="AN150" s="1525">
        <f>IF(AN151&lt;AN149,0,AN148*AN149)</f>
        <v>4581.2432354267921</v>
      </c>
      <c r="AO150" s="111"/>
      <c r="AP150" s="111"/>
      <c r="AQ150" s="111"/>
      <c r="AR150" s="111"/>
      <c r="AS150" s="111"/>
      <c r="AT150" s="111"/>
      <c r="AU150" s="11"/>
      <c r="AV150" s="39"/>
      <c r="AW150" s="39"/>
      <c r="AX150" s="39"/>
      <c r="AY150" s="39"/>
      <c r="AZ150" s="94"/>
      <c r="BA150" s="111"/>
      <c r="BB150" s="111"/>
      <c r="BC150" s="111"/>
      <c r="BD150" s="111"/>
      <c r="BE150" s="111"/>
      <c r="BF150" s="111"/>
      <c r="BG150" s="111"/>
      <c r="BH150" s="111"/>
      <c r="BI150" s="94"/>
      <c r="BJ150" s="94"/>
      <c r="BK150" s="94"/>
      <c r="BL150" s="94"/>
      <c r="BM150" s="94"/>
      <c r="BN150" s="94"/>
      <c r="BO150" s="11"/>
      <c r="BP150" s="94"/>
      <c r="BQ150" s="94"/>
      <c r="BR150" s="94"/>
      <c r="BS150" s="94"/>
      <c r="BT150" s="11"/>
      <c r="BU150" s="11"/>
      <c r="BV150" s="11"/>
      <c r="BW150" s="11"/>
      <c r="BX150" s="11"/>
      <c r="BY150" s="11"/>
      <c r="BZ150" s="11"/>
      <c r="CA150" s="11"/>
      <c r="CB150" s="11"/>
      <c r="CC150" s="11"/>
      <c r="CD150" s="11"/>
      <c r="CE150" s="11"/>
      <c r="CF150" s="11"/>
      <c r="CG150" s="11"/>
      <c r="CH150" s="11"/>
      <c r="CI150" s="11"/>
      <c r="CJ150" s="11"/>
      <c r="CK150" s="11"/>
      <c r="CL150" s="11"/>
      <c r="CM150" s="11"/>
      <c r="CN150" s="11"/>
      <c r="CO150" s="11"/>
      <c r="CP150" s="11"/>
      <c r="CQ150" s="11"/>
      <c r="CR150" s="11"/>
      <c r="CS150" s="11"/>
      <c r="CT150" s="906"/>
      <c r="CU150" s="906"/>
      <c r="CV150" s="906"/>
      <c r="CW150" s="11"/>
      <c r="CX150" s="11"/>
      <c r="CY150" s="906"/>
      <c r="CZ150" s="906"/>
      <c r="DA150" s="906"/>
      <c r="DB150" s="11"/>
      <c r="DC150" s="2862"/>
      <c r="DD150" s="11"/>
      <c r="DE150" s="11"/>
      <c r="DF150" s="11"/>
      <c r="DG150" s="11"/>
      <c r="DH150" s="11"/>
      <c r="DI150" s="11"/>
      <c r="DJ150" s="11"/>
      <c r="DK150" s="11"/>
      <c r="DL150" s="11"/>
      <c r="DM150" s="11"/>
      <c r="DN150" s="11"/>
      <c r="DO150" s="11"/>
      <c r="DP150" s="11"/>
      <c r="DQ150" s="11"/>
      <c r="DR150" s="11"/>
    </row>
    <row r="151" spans="1:122">
      <c r="A151" s="3" t="s">
        <v>916</v>
      </c>
      <c r="B151" s="3"/>
      <c r="C151" s="3"/>
      <c r="D151" s="3"/>
      <c r="E151" s="3"/>
      <c r="F151" s="3"/>
      <c r="G151" s="3"/>
      <c r="H151" s="113"/>
      <c r="I151" s="111"/>
      <c r="J151" s="111"/>
      <c r="K151" s="49"/>
      <c r="L151" s="140">
        <f>L166</f>
        <v>31</v>
      </c>
      <c r="M151" s="140">
        <f>M166</f>
        <v>31.941066417212348</v>
      </c>
      <c r="N151" s="140">
        <f>N166</f>
        <v>20</v>
      </c>
      <c r="O151" s="919"/>
      <c r="P151" s="140"/>
      <c r="Q151" s="140"/>
      <c r="R151" s="140">
        <f t="shared" ref="R151:AD151" si="266">R166</f>
        <v>13</v>
      </c>
      <c r="S151" s="140">
        <f t="shared" si="266"/>
        <v>17.5</v>
      </c>
      <c r="T151" s="140">
        <f t="shared" si="266"/>
        <v>23.936318389708219</v>
      </c>
      <c r="U151" s="140">
        <f t="shared" si="266"/>
        <v>32.028169014084504</v>
      </c>
      <c r="V151" s="140">
        <f t="shared" si="266"/>
        <v>50.229859484248628</v>
      </c>
      <c r="W151" s="140">
        <f t="shared" si="266"/>
        <v>57.967118665233947</v>
      </c>
      <c r="X151" s="140"/>
      <c r="Y151" s="140"/>
      <c r="Z151" s="140">
        <f>Z166</f>
        <v>53.101930588867958</v>
      </c>
      <c r="AA151" s="140">
        <f t="shared" si="266"/>
        <v>54.16458199106885</v>
      </c>
      <c r="AB151" s="140"/>
      <c r="AC151" s="140">
        <f t="shared" si="266"/>
        <v>65.470514974014407</v>
      </c>
      <c r="AD151" s="140">
        <f t="shared" si="266"/>
        <v>63.5</v>
      </c>
      <c r="AE151" s="140">
        <f t="shared" ref="AE151:AL151" si="267">AE166</f>
        <v>68.738749999999996</v>
      </c>
      <c r="AF151" s="140">
        <f t="shared" si="267"/>
        <v>74.409696874999995</v>
      </c>
      <c r="AG151" s="140">
        <f t="shared" si="267"/>
        <v>80.548496867187495</v>
      </c>
      <c r="AH151" s="140">
        <f t="shared" si="267"/>
        <v>87.193747858730461</v>
      </c>
      <c r="AI151" s="140">
        <f t="shared" si="267"/>
        <v>94.387232057075721</v>
      </c>
      <c r="AJ151" s="140">
        <f t="shared" si="267"/>
        <v>102.17417870178447</v>
      </c>
      <c r="AK151" s="140">
        <f t="shared" si="267"/>
        <v>110.60354844468169</v>
      </c>
      <c r="AL151" s="2234">
        <f t="shared" si="267"/>
        <v>119.72834119136793</v>
      </c>
      <c r="AM151" s="2234">
        <f>AM166</f>
        <v>129.6059293396558</v>
      </c>
      <c r="AN151" s="2234">
        <f>AN166</f>
        <v>140.29841851017741</v>
      </c>
      <c r="AO151" s="140"/>
      <c r="AP151" s="140"/>
      <c r="AQ151" s="140"/>
      <c r="AR151" s="140"/>
      <c r="AS151" s="140"/>
      <c r="AT151" s="111"/>
      <c r="AU151" s="11"/>
      <c r="AV151" s="39"/>
      <c r="AW151" s="39"/>
      <c r="AX151" s="39"/>
      <c r="AY151" s="39"/>
      <c r="AZ151" s="94"/>
      <c r="BA151" s="111"/>
      <c r="BB151" s="111"/>
      <c r="BC151" s="111"/>
      <c r="BD151" s="111"/>
      <c r="BE151" s="111"/>
      <c r="BF151" s="111"/>
      <c r="BG151" s="111"/>
      <c r="BH151" s="111"/>
      <c r="BI151" s="94"/>
      <c r="BJ151" s="94"/>
      <c r="BK151" s="94"/>
      <c r="BL151" s="94"/>
      <c r="BM151" s="94"/>
      <c r="BN151" s="94"/>
      <c r="BO151" s="11"/>
      <c r="BP151" s="94"/>
      <c r="BQ151" s="94"/>
      <c r="BR151" s="94"/>
      <c r="BS151" s="94"/>
      <c r="BT151" s="11"/>
      <c r="BU151" s="11"/>
      <c r="BV151" s="11"/>
      <c r="BW151" s="11"/>
      <c r="BX151" s="11"/>
      <c r="BY151" s="11"/>
      <c r="BZ151" s="11"/>
      <c r="CA151" s="11"/>
      <c r="CB151" s="11"/>
      <c r="CC151" s="11"/>
      <c r="CD151" s="11"/>
      <c r="CE151" s="11"/>
      <c r="CF151" s="11"/>
      <c r="CG151" s="11"/>
      <c r="CH151" s="11"/>
      <c r="CI151" s="11"/>
      <c r="CJ151" s="11"/>
      <c r="CK151" s="11"/>
      <c r="CL151" s="11"/>
      <c r="CM151" s="11"/>
      <c r="CN151" s="11"/>
      <c r="CO151" s="11"/>
      <c r="CP151" s="11"/>
      <c r="CQ151" s="11"/>
      <c r="CR151" s="11"/>
      <c r="CS151" s="11"/>
      <c r="CT151" s="906"/>
      <c r="CU151" s="906"/>
      <c r="CV151" s="906"/>
      <c r="CW151" s="11"/>
      <c r="CX151" s="11"/>
      <c r="CY151" s="906"/>
      <c r="CZ151" s="906"/>
      <c r="DA151" s="906"/>
      <c r="DB151" s="11"/>
      <c r="DC151" s="2862"/>
      <c r="DD151" s="11"/>
      <c r="DE151" s="11"/>
      <c r="DF151" s="11"/>
      <c r="DG151" s="11"/>
      <c r="DH151" s="11"/>
      <c r="DI151" s="11"/>
      <c r="DJ151" s="11"/>
      <c r="DK151" s="11"/>
      <c r="DL151" s="11"/>
      <c r="DM151" s="11"/>
      <c r="DN151" s="11"/>
      <c r="DO151" s="11"/>
      <c r="DP151" s="11"/>
      <c r="DQ151" s="11"/>
      <c r="DR151" s="11"/>
    </row>
    <row r="152" spans="1:122">
      <c r="A152" s="3" t="s">
        <v>878</v>
      </c>
      <c r="B152" s="3"/>
      <c r="C152" s="3"/>
      <c r="D152" s="3"/>
      <c r="E152" s="3"/>
      <c r="F152" s="3"/>
      <c r="G152" s="3"/>
      <c r="H152" s="113"/>
      <c r="I152" s="111"/>
      <c r="J152" s="88"/>
      <c r="K152" s="49"/>
      <c r="L152" s="111">
        <f>IF(L151&lt;L149,0,(L151-L149)*0.4)</f>
        <v>2.0760000000000005</v>
      </c>
      <c r="M152" s="111">
        <f>IF(M151&lt;M149,0,(M151-M149)*0.4*M148)</f>
        <v>92.797081930450901</v>
      </c>
      <c r="N152" s="111">
        <f t="shared" ref="N152:AF152" si="268">IF(N151&lt;N149,0,(N151-N149)*0.4*N148)</f>
        <v>0</v>
      </c>
      <c r="O152" s="919"/>
      <c r="P152" s="111"/>
      <c r="Q152" s="111"/>
      <c r="R152" s="111">
        <f t="shared" si="268"/>
        <v>0</v>
      </c>
      <c r="S152" s="111">
        <f t="shared" si="268"/>
        <v>225.79172564063842</v>
      </c>
      <c r="T152" s="111">
        <f t="shared" si="268"/>
        <v>238.68390705934982</v>
      </c>
      <c r="U152" s="111">
        <f t="shared" si="268"/>
        <v>213.57684423409177</v>
      </c>
      <c r="V152" s="111">
        <f t="shared" si="268"/>
        <v>350.17151825456256</v>
      </c>
      <c r="W152" s="111">
        <f t="shared" si="268"/>
        <v>205.22339017593202</v>
      </c>
      <c r="X152" s="111"/>
      <c r="Y152" s="111"/>
      <c r="Z152" s="111">
        <f>IF(Z151&lt;Z149,0,(Z151-Z149)*0.4*Z148)</f>
        <v>148.047132675944</v>
      </c>
      <c r="AA152" s="111">
        <f t="shared" si="268"/>
        <v>113.06415165465958</v>
      </c>
      <c r="AB152" s="111"/>
      <c r="AC152" s="111">
        <f t="shared" si="268"/>
        <v>150.20006703742862</v>
      </c>
      <c r="AD152" s="111">
        <f t="shared" si="268"/>
        <v>89.406461771632294</v>
      </c>
      <c r="AE152" s="111">
        <f t="shared" si="268"/>
        <v>95.539470554460692</v>
      </c>
      <c r="AF152" s="111">
        <f t="shared" si="268"/>
        <v>100.49602446612214</v>
      </c>
      <c r="AG152" s="111">
        <f t="shared" ref="AG152:AL152" si="269">IF(AG151&lt;AG149,0,(AG151-AG149)*0.4*AG148)</f>
        <v>103.99233910651432</v>
      </c>
      <c r="AH152" s="111">
        <f t="shared" si="269"/>
        <v>105.69036886500878</v>
      </c>
      <c r="AI152" s="111">
        <f t="shared" si="269"/>
        <v>105.18885041901915</v>
      </c>
      <c r="AJ152" s="111">
        <f t="shared" si="269"/>
        <v>102.01295773916384</v>
      </c>
      <c r="AK152" s="111">
        <f t="shared" si="269"/>
        <v>95.602361630689614</v>
      </c>
      <c r="AL152" s="1525">
        <f t="shared" si="269"/>
        <v>85.297456763655646</v>
      </c>
      <c r="AM152" s="1525">
        <f>IF(AM151&lt;AM149,0,(AM151-AM149)*0.4*AM148)</f>
        <v>70.323484774037368</v>
      </c>
      <c r="AN152" s="1525">
        <f>IF(AN151&lt;AN149,0,(AN151-AN149)*0.4*AN148)</f>
        <v>49.772242749645713</v>
      </c>
      <c r="AO152" s="111"/>
      <c r="AP152" s="111"/>
      <c r="AQ152" s="111"/>
      <c r="AR152" s="111"/>
      <c r="AS152" s="111"/>
      <c r="AT152" s="111"/>
      <c r="AU152" s="11"/>
      <c r="AV152" s="39"/>
      <c r="AW152" s="39"/>
      <c r="AX152" s="39"/>
      <c r="AY152" s="39"/>
      <c r="AZ152" s="94"/>
      <c r="BA152" s="111"/>
      <c r="BB152" s="111"/>
      <c r="BC152" s="111"/>
      <c r="BD152" s="111"/>
      <c r="BE152" s="111"/>
      <c r="BF152" s="111"/>
      <c r="BG152" s="111"/>
      <c r="BH152" s="111"/>
      <c r="BI152" s="94"/>
      <c r="BJ152" s="94"/>
      <c r="BK152" s="94"/>
      <c r="BL152" s="94"/>
      <c r="BM152" s="94"/>
      <c r="BN152" s="94"/>
      <c r="BO152" s="11"/>
      <c r="BP152" s="94"/>
      <c r="BQ152" s="94"/>
      <c r="BR152" s="94"/>
      <c r="BS152" s="94"/>
      <c r="BT152" s="11"/>
      <c r="BU152" s="11"/>
      <c r="BV152" s="11"/>
      <c r="BW152" s="11"/>
      <c r="BX152" s="11"/>
      <c r="BY152" s="11"/>
      <c r="BZ152" s="11"/>
      <c r="CA152" s="11"/>
      <c r="CB152" s="11"/>
      <c r="CC152" s="11"/>
      <c r="CD152" s="11"/>
      <c r="CE152" s="11"/>
      <c r="CF152" s="11"/>
      <c r="CG152" s="11"/>
      <c r="CH152" s="11"/>
      <c r="CI152" s="11"/>
      <c r="CJ152" s="11"/>
      <c r="CK152" s="11"/>
      <c r="CL152" s="11"/>
      <c r="CM152" s="11"/>
      <c r="CN152" s="11"/>
      <c r="CO152" s="11"/>
      <c r="CP152" s="11"/>
      <c r="CQ152" s="11"/>
      <c r="CR152" s="11"/>
      <c r="CS152" s="11"/>
      <c r="CT152" s="906"/>
      <c r="CU152" s="906"/>
      <c r="CV152" s="906"/>
      <c r="CW152" s="11"/>
      <c r="CX152" s="11"/>
      <c r="CY152" s="906"/>
      <c r="CZ152" s="906"/>
      <c r="DA152" s="906"/>
      <c r="DB152" s="11"/>
      <c r="DC152" s="2862"/>
      <c r="DD152" s="11"/>
      <c r="DE152" s="11"/>
      <c r="DF152" s="11"/>
      <c r="DG152" s="11"/>
      <c r="DH152" s="11"/>
      <c r="DI152" s="11"/>
      <c r="DJ152" s="11"/>
      <c r="DK152" s="11"/>
      <c r="DL152" s="11"/>
      <c r="DM152" s="11"/>
      <c r="DN152" s="11"/>
      <c r="DO152" s="11"/>
      <c r="DP152" s="11"/>
      <c r="DQ152" s="11"/>
      <c r="DR152" s="11"/>
    </row>
    <row r="153" spans="1:122">
      <c r="A153" s="3" t="s">
        <v>917</v>
      </c>
      <c r="B153" s="3"/>
      <c r="C153" s="3"/>
      <c r="D153" s="3"/>
      <c r="E153" s="3"/>
      <c r="F153" s="3"/>
      <c r="G153" s="3"/>
      <c r="H153" s="113"/>
      <c r="I153" s="111"/>
      <c r="J153" s="111"/>
      <c r="K153" s="49"/>
      <c r="L153" s="111">
        <f>L150+L152</f>
        <v>1243.2147363399999</v>
      </c>
      <c r="M153" s="111">
        <f t="shared" ref="M153:AF153" si="270">M150+M152</f>
        <v>1069.4186521604508</v>
      </c>
      <c r="N153" s="111">
        <f t="shared" si="270"/>
        <v>0</v>
      </c>
      <c r="O153" s="919"/>
      <c r="P153" s="111"/>
      <c r="Q153" s="111"/>
      <c r="R153" s="111">
        <f t="shared" si="270"/>
        <v>0</v>
      </c>
      <c r="S153" s="111">
        <f t="shared" si="270"/>
        <v>477.59973653904223</v>
      </c>
      <c r="T153" s="111">
        <f t="shared" si="270"/>
        <v>645.20632860817716</v>
      </c>
      <c r="U153" s="111">
        <f t="shared" si="270"/>
        <v>769.64527807139734</v>
      </c>
      <c r="V153" s="111">
        <f t="shared" si="270"/>
        <v>879.89275308474214</v>
      </c>
      <c r="W153" s="111">
        <f t="shared" si="270"/>
        <v>598.42789108769284</v>
      </c>
      <c r="X153" s="111"/>
      <c r="Y153" s="111"/>
      <c r="Z153" s="111">
        <f>Z150+Z152</f>
        <v>683.56169749641083</v>
      </c>
      <c r="AA153" s="111">
        <f t="shared" si="270"/>
        <v>787.01615326730325</v>
      </c>
      <c r="AB153" s="111"/>
      <c r="AC153" s="111">
        <f t="shared" si="270"/>
        <v>1023.990782299774</v>
      </c>
      <c r="AD153" s="111">
        <f t="shared" si="270"/>
        <v>1175.3297314925451</v>
      </c>
      <c r="AE153" s="111">
        <f t="shared" si="270"/>
        <v>1375.2217655857028</v>
      </c>
      <c r="AF153" s="111">
        <f t="shared" si="270"/>
        <v>1598.0371999691943</v>
      </c>
      <c r="AG153" s="111">
        <f t="shared" ref="AG153:AL153" si="271">AG150+AG152</f>
        <v>1846.6052027207477</v>
      </c>
      <c r="AH153" s="111">
        <f t="shared" si="271"/>
        <v>2124.104625929036</v>
      </c>
      <c r="AI153" s="111">
        <f t="shared" si="271"/>
        <v>2434.1077757135358</v>
      </c>
      <c r="AJ153" s="111">
        <f t="shared" si="271"/>
        <v>2780.6297064509586</v>
      </c>
      <c r="AK153" s="111">
        <f t="shared" si="271"/>
        <v>3168.1837416355056</v>
      </c>
      <c r="AL153" s="1525">
        <f t="shared" si="271"/>
        <v>3601.8440136737358</v>
      </c>
      <c r="AM153" s="1525">
        <f>AM150+AM152</f>
        <v>4087.3159163487535</v>
      </c>
      <c r="AN153" s="1525">
        <f>AN150+AN152</f>
        <v>4631.0154781764377</v>
      </c>
      <c r="AO153" s="111"/>
      <c r="AP153" s="111"/>
      <c r="AQ153" s="111"/>
      <c r="AR153" s="111"/>
      <c r="AS153" s="111"/>
      <c r="AT153" s="111"/>
      <c r="AU153" s="11"/>
      <c r="AV153" s="39"/>
      <c r="AW153" s="39"/>
      <c r="AX153" s="39"/>
      <c r="AY153" s="39"/>
      <c r="AZ153" s="94"/>
      <c r="BA153" s="111"/>
      <c r="BB153" s="111"/>
      <c r="BC153" s="111"/>
      <c r="BD153" s="111"/>
      <c r="BE153" s="111"/>
      <c r="BF153" s="111"/>
      <c r="BG153" s="111"/>
      <c r="BH153" s="111"/>
      <c r="BI153" s="94"/>
      <c r="BJ153" s="94"/>
      <c r="BK153" s="94"/>
      <c r="BL153" s="94"/>
      <c r="BM153" s="94"/>
      <c r="BN153" s="94"/>
      <c r="BO153" s="11"/>
      <c r="BP153" s="94"/>
      <c r="BQ153" s="94"/>
      <c r="BR153" s="94"/>
      <c r="BS153" s="94"/>
      <c r="BT153" s="11"/>
      <c r="BU153" s="11"/>
      <c r="BV153" s="11"/>
      <c r="BW153" s="11"/>
      <c r="BX153" s="11"/>
      <c r="BY153" s="11"/>
      <c r="BZ153" s="11"/>
      <c r="CA153" s="11"/>
      <c r="CB153" s="11"/>
      <c r="CC153" s="11"/>
      <c r="CD153" s="11"/>
      <c r="CE153" s="11"/>
      <c r="CF153" s="11"/>
      <c r="CG153" s="11"/>
      <c r="CH153" s="11"/>
      <c r="CI153" s="11"/>
      <c r="CJ153" s="11"/>
      <c r="CK153" s="11"/>
      <c r="CL153" s="11"/>
      <c r="CM153" s="11"/>
      <c r="CN153" s="11"/>
      <c r="CO153" s="11"/>
      <c r="CP153" s="11"/>
      <c r="CQ153" s="11"/>
      <c r="CR153" s="11"/>
      <c r="CS153" s="11"/>
      <c r="CT153" s="906"/>
      <c r="CU153" s="906"/>
      <c r="CV153" s="906"/>
      <c r="CW153" s="11"/>
      <c r="CX153" s="11"/>
      <c r="CY153" s="906"/>
      <c r="CZ153" s="906"/>
      <c r="DA153" s="906"/>
      <c r="DB153" s="11"/>
      <c r="DC153" s="2862"/>
      <c r="DD153" s="11"/>
      <c r="DE153" s="11"/>
      <c r="DF153" s="11"/>
      <c r="DG153" s="11"/>
      <c r="DH153" s="11"/>
      <c r="DI153" s="11"/>
      <c r="DJ153" s="11"/>
      <c r="DK153" s="11"/>
      <c r="DL153" s="11"/>
      <c r="DM153" s="11"/>
      <c r="DN153" s="11"/>
      <c r="DO153" s="11"/>
      <c r="DP153" s="11"/>
      <c r="DQ153" s="11"/>
      <c r="DR153" s="11"/>
    </row>
    <row r="154" spans="1:122">
      <c r="A154" s="3" t="s">
        <v>918</v>
      </c>
      <c r="B154" s="3"/>
      <c r="C154" s="3"/>
      <c r="D154" s="3"/>
      <c r="E154" s="3"/>
      <c r="F154" s="3"/>
      <c r="G154" s="3"/>
      <c r="H154" s="113"/>
      <c r="I154" s="111"/>
      <c r="J154" s="111"/>
      <c r="K154" s="49"/>
      <c r="L154" s="111">
        <f>-L153/L151</f>
        <v>-40.103701172258063</v>
      </c>
      <c r="M154" s="111">
        <f t="shared" ref="M154:AF154" si="272">-M153/M151</f>
        <v>-33.480993971577739</v>
      </c>
      <c r="N154" s="111">
        <f t="shared" si="272"/>
        <v>0</v>
      </c>
      <c r="O154" s="919"/>
      <c r="P154" s="111"/>
      <c r="Q154" s="111"/>
      <c r="R154" s="111">
        <f t="shared" si="272"/>
        <v>0</v>
      </c>
      <c r="S154" s="111">
        <f t="shared" si="272"/>
        <v>-27.291413516516698</v>
      </c>
      <c r="T154" s="111">
        <f t="shared" si="272"/>
        <v>-26.955119751648748</v>
      </c>
      <c r="U154" s="111">
        <f t="shared" si="272"/>
        <v>-24.030261540487782</v>
      </c>
      <c r="V154" s="111">
        <f t="shared" si="272"/>
        <v>-17.51732459774577</v>
      </c>
      <c r="W154" s="111">
        <f t="shared" si="272"/>
        <v>-10.323574896721627</v>
      </c>
      <c r="X154" s="111"/>
      <c r="Y154" s="111"/>
      <c r="Z154" s="111">
        <f>-Z153/Z151</f>
        <v>-12.872633629627574</v>
      </c>
      <c r="AA154" s="111">
        <f t="shared" si="272"/>
        <v>-14.530088193001722</v>
      </c>
      <c r="AB154" s="111"/>
      <c r="AC154" s="111">
        <f t="shared" si="272"/>
        <v>-15.640487671529716</v>
      </c>
      <c r="AD154" s="111">
        <f>-AD153/AD151</f>
        <v>-18.509129629803859</v>
      </c>
      <c r="AE154" s="111">
        <f t="shared" si="272"/>
        <v>-20.00649947206929</v>
      </c>
      <c r="AF154" s="111">
        <f t="shared" si="272"/>
        <v>-21.476195537440756</v>
      </c>
      <c r="AG154" s="111">
        <f t="shared" ref="AG154:AL154" si="273">-AG153/AG151</f>
        <v>-22.925383769302677</v>
      </c>
      <c r="AH154" s="111">
        <f t="shared" si="273"/>
        <v>-24.360744641582183</v>
      </c>
      <c r="AI154" s="111">
        <f t="shared" si="273"/>
        <v>-25.788527989057219</v>
      </c>
      <c r="AJ154" s="111">
        <f t="shared" si="273"/>
        <v>-27.214602963110433</v>
      </c>
      <c r="AK154" s="111">
        <f t="shared" si="273"/>
        <v>-28.64450360035303</v>
      </c>
      <c r="AL154" s="1525">
        <f t="shared" si="273"/>
        <v>-30.083470445119794</v>
      </c>
      <c r="AM154" s="1525">
        <f>-AM153/AM151</f>
        <v>-31.536488624970254</v>
      </c>
      <c r="AN154" s="1525">
        <f>-AN153/AN151</f>
        <v>-33.008322740576709</v>
      </c>
      <c r="AO154" s="111"/>
      <c r="AP154" s="111"/>
      <c r="AQ154" s="111"/>
      <c r="AR154" s="111"/>
      <c r="AS154" s="111"/>
      <c r="AT154" s="111"/>
      <c r="AU154" s="11"/>
      <c r="AV154" s="39"/>
      <c r="AW154" s="39"/>
      <c r="AX154" s="39"/>
      <c r="AY154" s="39"/>
      <c r="AZ154" s="94"/>
      <c r="BA154" s="111"/>
      <c r="BB154" s="111"/>
      <c r="BC154" s="111"/>
      <c r="BD154" s="111"/>
      <c r="BE154" s="111"/>
      <c r="BF154" s="111"/>
      <c r="BG154" s="111"/>
      <c r="BH154" s="111"/>
      <c r="BI154" s="94"/>
      <c r="BJ154" s="94"/>
      <c r="BK154" s="94"/>
      <c r="BL154" s="94"/>
      <c r="BM154" s="94"/>
      <c r="BN154" s="94"/>
      <c r="BO154" s="11"/>
      <c r="BP154" s="94"/>
      <c r="BQ154" s="94"/>
      <c r="BR154" s="94"/>
      <c r="BS154" s="94"/>
      <c r="BT154" s="11"/>
      <c r="BU154" s="11"/>
      <c r="BV154" s="11"/>
      <c r="BW154" s="11"/>
      <c r="BX154" s="11"/>
      <c r="BY154" s="11"/>
      <c r="BZ154" s="11"/>
      <c r="CA154" s="11"/>
      <c r="CB154" s="11"/>
      <c r="CC154" s="11"/>
      <c r="CD154" s="11"/>
      <c r="CE154" s="11"/>
      <c r="CF154" s="11"/>
      <c r="CG154" s="11"/>
      <c r="CH154" s="11"/>
      <c r="CI154" s="11"/>
      <c r="CJ154" s="11"/>
      <c r="CK154" s="11"/>
      <c r="CL154" s="11"/>
      <c r="CM154" s="11"/>
      <c r="CN154" s="11"/>
      <c r="CO154" s="11"/>
      <c r="CP154" s="11"/>
      <c r="CQ154" s="11"/>
      <c r="CR154" s="11"/>
      <c r="CS154" s="11"/>
      <c r="CT154" s="906"/>
      <c r="CU154" s="906"/>
      <c r="CV154" s="906"/>
      <c r="CW154" s="11"/>
      <c r="CX154" s="11"/>
      <c r="CY154" s="906"/>
      <c r="CZ154" s="906"/>
      <c r="DA154" s="906"/>
      <c r="DB154" s="11"/>
      <c r="DC154" s="2862"/>
      <c r="DD154" s="11"/>
      <c r="DE154" s="11"/>
      <c r="DF154" s="11"/>
      <c r="DG154" s="11"/>
      <c r="DH154" s="11"/>
      <c r="DI154" s="11"/>
      <c r="DJ154" s="11"/>
      <c r="DK154" s="11"/>
      <c r="DL154" s="11"/>
      <c r="DM154" s="11"/>
      <c r="DN154" s="11"/>
      <c r="DO154" s="11"/>
      <c r="DP154" s="11"/>
      <c r="DQ154" s="11"/>
      <c r="DR154" s="11"/>
    </row>
    <row r="155" spans="1:122">
      <c r="A155" s="11"/>
      <c r="B155" s="11"/>
      <c r="C155" s="11"/>
      <c r="D155" s="11"/>
      <c r="E155" s="11"/>
      <c r="F155" s="11"/>
      <c r="G155" s="11"/>
      <c r="H155" s="111"/>
      <c r="I155" s="111"/>
      <c r="J155" s="111"/>
      <c r="K155" s="111"/>
      <c r="L155" s="157" t="s">
        <v>337</v>
      </c>
      <c r="M155" s="113"/>
      <c r="N155" s="113"/>
      <c r="O155" s="919"/>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664"/>
      <c r="AM155" s="1664"/>
      <c r="AN155" s="113"/>
      <c r="AO155" s="113"/>
      <c r="AP155" s="113"/>
      <c r="AQ155" s="113"/>
      <c r="AR155" s="113"/>
      <c r="AS155" s="113"/>
      <c r="AT155" s="113"/>
      <c r="AU155" s="11"/>
      <c r="AV155" s="39"/>
      <c r="AW155" s="39"/>
      <c r="AX155" s="39"/>
      <c r="AY155" s="39"/>
      <c r="AZ155" s="94"/>
      <c r="BA155" s="113"/>
      <c r="BB155" s="113"/>
      <c r="BC155" s="113"/>
      <c r="BD155" s="113"/>
      <c r="BE155" s="113"/>
      <c r="BF155" s="113"/>
      <c r="BG155" s="113"/>
      <c r="BH155" s="113"/>
      <c r="BI155" s="94"/>
      <c r="BJ155" s="94"/>
      <c r="BK155" s="94"/>
      <c r="BL155" s="94"/>
      <c r="BM155" s="94"/>
      <c r="BN155" s="94"/>
      <c r="BO155" s="11"/>
      <c r="BP155" s="94"/>
      <c r="BQ155" s="94"/>
      <c r="BR155" s="94"/>
      <c r="BS155" s="94"/>
      <c r="BT155" s="11"/>
      <c r="BU155" s="11"/>
      <c r="BV155" s="11"/>
      <c r="BW155" s="11"/>
      <c r="BX155" s="11"/>
      <c r="BY155" s="11"/>
      <c r="BZ155" s="11"/>
      <c r="CA155" s="11"/>
      <c r="CB155" s="11"/>
      <c r="CC155" s="11"/>
      <c r="CD155" s="11"/>
      <c r="CE155" s="11"/>
      <c r="CF155" s="11"/>
      <c r="CG155" s="11"/>
      <c r="CH155" s="11"/>
      <c r="CI155" s="11"/>
      <c r="CJ155" s="11"/>
      <c r="CK155" s="11"/>
      <c r="CL155" s="11"/>
      <c r="CM155" s="11"/>
      <c r="CN155" s="11"/>
      <c r="CO155" s="11"/>
      <c r="CP155" s="11"/>
      <c r="CQ155" s="11"/>
      <c r="CR155" s="11"/>
      <c r="CS155" s="11"/>
      <c r="CT155" s="906"/>
      <c r="CU155" s="906"/>
      <c r="CV155" s="906"/>
      <c r="CW155" s="11"/>
      <c r="CX155" s="11"/>
      <c r="CY155" s="906"/>
      <c r="CZ155" s="906"/>
      <c r="DA155" s="906"/>
      <c r="DB155" s="11"/>
      <c r="DC155" s="2862"/>
      <c r="DD155" s="11"/>
      <c r="DE155" s="11"/>
      <c r="DF155" s="11"/>
      <c r="DG155" s="11"/>
      <c r="DH155" s="11"/>
      <c r="DI155" s="11"/>
      <c r="DJ155" s="11"/>
      <c r="DK155" s="11"/>
      <c r="DL155" s="11"/>
      <c r="DM155" s="11"/>
      <c r="DN155" s="11"/>
      <c r="DO155" s="11"/>
      <c r="DP155" s="11"/>
      <c r="DQ155" s="11"/>
      <c r="DR155" s="11"/>
    </row>
    <row r="156" spans="1:122">
      <c r="A156" s="11" t="s">
        <v>401</v>
      </c>
      <c r="B156" s="11"/>
      <c r="C156" s="11"/>
      <c r="D156" s="11"/>
      <c r="E156" s="11"/>
      <c r="F156" s="11"/>
      <c r="G156" s="11"/>
      <c r="H156" s="14">
        <f>H157*H158</f>
        <v>0</v>
      </c>
      <c r="I156" s="77">
        <v>104.6</v>
      </c>
      <c r="J156" s="77">
        <v>415.2</v>
      </c>
      <c r="K156" s="77">
        <v>451.3</v>
      </c>
      <c r="L156" s="77">
        <v>519.1</v>
      </c>
      <c r="M156" s="77">
        <v>640.29999999999995</v>
      </c>
      <c r="N156" s="77">
        <v>705.4</v>
      </c>
      <c r="O156" s="919"/>
      <c r="P156" s="14"/>
      <c r="Q156" s="14"/>
      <c r="R156" s="77">
        <v>297.3</v>
      </c>
      <c r="S156" s="14">
        <f>S157*S158</f>
        <v>135.74</v>
      </c>
      <c r="T156" s="14">
        <f>T157*T158</f>
        <v>199.2</v>
      </c>
      <c r="U156" s="14">
        <f>U157*U158</f>
        <v>282.48</v>
      </c>
      <c r="V156" s="14">
        <f>V157*V158</f>
        <v>294.70799999999997</v>
      </c>
      <c r="W156" s="14">
        <f t="shared" ref="W156:AF156" si="274">W157*W158</f>
        <v>297</v>
      </c>
      <c r="X156" s="14"/>
      <c r="Y156" s="1357"/>
      <c r="Z156" s="1357">
        <f t="shared" si="274"/>
        <v>290.39999999999998</v>
      </c>
      <c r="AA156" s="1357">
        <f t="shared" si="274"/>
        <v>293.03999999999996</v>
      </c>
      <c r="AB156" s="1357"/>
      <c r="AC156" s="1357">
        <f>AC157*AC158</f>
        <v>289.48780987211035</v>
      </c>
      <c r="AD156" s="1357">
        <f t="shared" si="274"/>
        <v>293.05638720163483</v>
      </c>
      <c r="AE156" s="1357">
        <f t="shared" si="274"/>
        <v>303.62932707949994</v>
      </c>
      <c r="AF156" s="1357">
        <f t="shared" si="274"/>
        <v>310.93398317169579</v>
      </c>
      <c r="AG156" s="1357">
        <f t="shared" ref="AG156:AL156" si="275">AG157*AG158</f>
        <v>318.63599978386674</v>
      </c>
      <c r="AH156" s="1357">
        <f t="shared" si="275"/>
        <v>326.88266762162863</v>
      </c>
      <c r="AI156" s="14">
        <f t="shared" si="275"/>
        <v>335.739175848944</v>
      </c>
      <c r="AJ156" s="14">
        <f t="shared" si="275"/>
        <v>345.27905609726878</v>
      </c>
      <c r="AK156" s="14">
        <f t="shared" si="275"/>
        <v>355.58521547587509</v>
      </c>
      <c r="AL156" s="1357">
        <f t="shared" si="275"/>
        <v>366.75109409194386</v>
      </c>
      <c r="AM156" s="1357">
        <f>AM157*AM158</f>
        <v>378.8819617939447</v>
      </c>
      <c r="AN156" s="1357">
        <f>AN157*AN158</f>
        <v>392.09637056701547</v>
      </c>
      <c r="AO156" s="14"/>
      <c r="AP156" s="14"/>
      <c r="AQ156" s="14"/>
      <c r="AR156" s="14"/>
      <c r="AS156" s="14"/>
      <c r="AT156" s="14"/>
      <c r="AU156" s="11"/>
      <c r="AV156" s="11"/>
      <c r="AW156" s="11"/>
      <c r="AX156" s="11"/>
      <c r="AY156" s="11"/>
      <c r="AZ156" s="94"/>
      <c r="BA156" s="11"/>
      <c r="BB156" s="11"/>
      <c r="BC156" s="11"/>
      <c r="BD156" s="11"/>
      <c r="BE156" s="11"/>
      <c r="BF156" s="11"/>
      <c r="BG156" s="11"/>
      <c r="BH156" s="11"/>
      <c r="BI156" s="94"/>
      <c r="BJ156" s="94"/>
      <c r="BK156" s="94"/>
      <c r="BL156" s="94"/>
      <c r="BM156" s="94"/>
      <c r="BN156" s="94"/>
      <c r="BO156" s="11"/>
      <c r="BP156" s="94"/>
      <c r="BQ156" s="94"/>
      <c r="BR156" s="94"/>
      <c r="BS156" s="94"/>
      <c r="BT156" s="11"/>
      <c r="BU156" s="11"/>
      <c r="BV156" s="11"/>
      <c r="BW156" s="11"/>
      <c r="BX156" s="11"/>
      <c r="BY156" s="11"/>
      <c r="BZ156" s="11"/>
      <c r="CA156" s="11"/>
      <c r="CB156" s="11"/>
      <c r="CC156" s="11"/>
      <c r="CD156" s="11"/>
      <c r="CE156" s="11"/>
      <c r="CF156" s="11"/>
      <c r="CG156" s="11"/>
      <c r="CH156" s="11"/>
      <c r="CI156" s="11"/>
      <c r="CJ156" s="11"/>
      <c r="CK156" s="11"/>
      <c r="CL156" s="11"/>
      <c r="CM156" s="11"/>
      <c r="CN156" s="11"/>
      <c r="CO156" s="11"/>
      <c r="CP156" s="11"/>
      <c r="CQ156" s="11"/>
      <c r="CR156" s="11"/>
      <c r="CS156" s="11"/>
      <c r="CT156" s="906"/>
      <c r="CU156" s="906"/>
      <c r="CV156" s="906"/>
      <c r="CW156" s="11"/>
      <c r="CX156" s="11"/>
      <c r="CY156" s="906"/>
      <c r="CZ156" s="906"/>
      <c r="DA156" s="906"/>
      <c r="DB156" s="11"/>
      <c r="DC156" s="2862"/>
      <c r="DD156" s="1108"/>
      <c r="DE156" s="1108"/>
      <c r="DF156" s="1108"/>
      <c r="DG156" s="1108"/>
      <c r="DH156" s="1108"/>
      <c r="DI156" s="1108"/>
      <c r="DJ156" s="1108"/>
      <c r="DK156" s="1108"/>
      <c r="DL156" s="1108"/>
      <c r="DM156" s="1108"/>
      <c r="DN156" s="1108"/>
      <c r="DO156" s="1108"/>
      <c r="DP156" s="1108"/>
      <c r="DQ156" s="1108"/>
      <c r="DR156" s="1108"/>
    </row>
    <row r="157" spans="1:122">
      <c r="A157" s="11" t="s">
        <v>502</v>
      </c>
      <c r="B157" s="11"/>
      <c r="C157" s="11"/>
      <c r="D157" s="11"/>
      <c r="E157" s="11"/>
      <c r="F157" s="11"/>
      <c r="G157" s="11"/>
      <c r="H157" s="159">
        <f>H115</f>
        <v>805.35</v>
      </c>
      <c r="I157" s="159">
        <f t="shared" ref="I157:V157" si="276">I117</f>
        <v>872</v>
      </c>
      <c r="J157" s="159">
        <f t="shared" si="276"/>
        <v>857.2</v>
      </c>
      <c r="K157" s="159">
        <f t="shared" si="276"/>
        <v>789.7</v>
      </c>
      <c r="L157" s="159">
        <f t="shared" si="276"/>
        <v>765.2</v>
      </c>
      <c r="M157" s="159">
        <f t="shared" si="276"/>
        <v>713.8</v>
      </c>
      <c r="N157" s="159">
        <f t="shared" si="276"/>
        <v>669.8</v>
      </c>
      <c r="O157" s="919"/>
      <c r="P157" s="159"/>
      <c r="Q157" s="159"/>
      <c r="R157" s="159">
        <f t="shared" si="276"/>
        <v>673.6</v>
      </c>
      <c r="S157" s="159">
        <f t="shared" si="276"/>
        <v>678.7</v>
      </c>
      <c r="T157" s="159">
        <f t="shared" si="276"/>
        <v>664</v>
      </c>
      <c r="U157" s="159">
        <f t="shared" si="276"/>
        <v>642</v>
      </c>
      <c r="V157" s="159">
        <f t="shared" si="276"/>
        <v>599</v>
      </c>
      <c r="W157" s="159">
        <f t="shared" ref="W157:AF157" si="277">W117</f>
        <v>550</v>
      </c>
      <c r="X157" s="159"/>
      <c r="Y157" s="2235"/>
      <c r="Z157" s="2235">
        <f t="shared" si="277"/>
        <v>484</v>
      </c>
      <c r="AA157" s="2235">
        <f t="shared" si="277"/>
        <v>444</v>
      </c>
      <c r="AB157" s="2235"/>
      <c r="AC157" s="2235">
        <f t="shared" si="277"/>
        <v>402.06640260015325</v>
      </c>
      <c r="AD157" s="2235">
        <f t="shared" si="277"/>
        <v>376.87292592802828</v>
      </c>
      <c r="AE157" s="2235">
        <f t="shared" si="277"/>
        <v>361.54612373244822</v>
      </c>
      <c r="AF157" s="2235">
        <f t="shared" si="277"/>
        <v>342.81863982015966</v>
      </c>
      <c r="AG157" s="2235">
        <f t="shared" ref="AG157:AL157" si="278">AG117</f>
        <v>325.28746113442537</v>
      </c>
      <c r="AH157" s="2235">
        <f t="shared" si="278"/>
        <v>308.98729303451341</v>
      </c>
      <c r="AI157" s="159">
        <f t="shared" si="278"/>
        <v>293.85087663162511</v>
      </c>
      <c r="AJ157" s="159">
        <f t="shared" si="278"/>
        <v>279.81529571934982</v>
      </c>
      <c r="AK157" s="159">
        <f t="shared" si="278"/>
        <v>266.82170515353573</v>
      </c>
      <c r="AL157" s="2235">
        <f t="shared" si="278"/>
        <v>254.81507779698256</v>
      </c>
      <c r="AM157" s="2235">
        <f>AM117</f>
        <v>243.74396868847958</v>
      </c>
      <c r="AN157" s="2235">
        <f>AN117</f>
        <v>233.56029520097843</v>
      </c>
      <c r="AO157" s="159"/>
      <c r="AP157" s="159"/>
      <c r="AQ157" s="159"/>
      <c r="AR157" s="159"/>
      <c r="AS157" s="159"/>
      <c r="AT157" s="159"/>
      <c r="AU157" s="14"/>
      <c r="AV157" s="159"/>
      <c r="AW157" s="159"/>
      <c r="AX157" s="159"/>
      <c r="AY157" s="159"/>
      <c r="AZ157" s="160"/>
      <c r="BA157" s="159"/>
      <c r="BB157" s="159"/>
      <c r="BC157" s="14"/>
      <c r="BD157" s="14"/>
      <c r="BE157" s="14"/>
      <c r="BF157" s="14"/>
      <c r="BG157" s="14"/>
      <c r="BH157" s="14"/>
      <c r="BI157" s="94"/>
      <c r="BJ157" s="94"/>
      <c r="BK157" s="94"/>
      <c r="BL157" s="94"/>
      <c r="BM157" s="94"/>
      <c r="BN157" s="94"/>
      <c r="BO157" s="11"/>
      <c r="BP157" s="94"/>
      <c r="BQ157" s="94"/>
      <c r="BR157" s="94"/>
      <c r="BS157" s="94"/>
      <c r="BT157" s="11"/>
      <c r="BU157" s="11"/>
      <c r="BV157" s="11"/>
      <c r="BW157" s="11"/>
      <c r="BX157" s="11"/>
      <c r="BY157" s="11"/>
      <c r="BZ157" s="11"/>
      <c r="CA157" s="11"/>
      <c r="CB157" s="11"/>
      <c r="CC157" s="11"/>
      <c r="CD157" s="11"/>
      <c r="CE157" s="11"/>
      <c r="CF157" s="11"/>
      <c r="CG157" s="11"/>
      <c r="CH157" s="11"/>
      <c r="CI157" s="11"/>
      <c r="CJ157" s="11"/>
      <c r="CK157" s="11"/>
      <c r="CL157" s="11"/>
      <c r="CM157" s="11"/>
      <c r="CN157" s="11"/>
      <c r="CO157" s="11"/>
      <c r="CP157" s="11"/>
      <c r="CQ157" s="11"/>
      <c r="CR157" s="11"/>
      <c r="CS157" s="11"/>
      <c r="CT157" s="906"/>
      <c r="CU157" s="906"/>
      <c r="CV157" s="906"/>
      <c r="CW157" s="11"/>
      <c r="CX157" s="11"/>
      <c r="CY157" s="906"/>
      <c r="CZ157" s="906"/>
      <c r="DA157" s="906"/>
      <c r="DB157" s="11"/>
      <c r="DC157" s="2862"/>
      <c r="DD157" s="1108"/>
      <c r="DE157" s="1108"/>
      <c r="DF157" s="1108"/>
      <c r="DG157" s="1108"/>
      <c r="DH157" s="1108"/>
      <c r="DI157" s="1108"/>
      <c r="DJ157" s="1108"/>
      <c r="DK157" s="1108"/>
      <c r="DL157" s="1108"/>
      <c r="DM157" s="1108"/>
      <c r="DN157" s="1108"/>
      <c r="DO157" s="1108"/>
      <c r="DP157" s="1108"/>
      <c r="DQ157" s="1108"/>
      <c r="DR157" s="1108"/>
    </row>
    <row r="158" spans="1:122">
      <c r="A158" s="11" t="s">
        <v>402</v>
      </c>
      <c r="B158" s="11"/>
      <c r="C158" s="11"/>
      <c r="D158" s="11"/>
      <c r="E158" s="11"/>
      <c r="F158" s="11"/>
      <c r="G158" s="11"/>
      <c r="H158" s="155">
        <v>0</v>
      </c>
      <c r="I158" s="155">
        <v>0.24</v>
      </c>
      <c r="J158" s="155">
        <v>0.5</v>
      </c>
      <c r="K158" s="155">
        <v>0.56000000000000005</v>
      </c>
      <c r="L158" s="155">
        <v>0.74</v>
      </c>
      <c r="M158" s="162">
        <f>M156/M157</f>
        <v>0.89702998038666293</v>
      </c>
      <c r="N158" s="162">
        <f>N156/N157</f>
        <v>1.0531501940877874</v>
      </c>
      <c r="O158" s="919"/>
      <c r="P158" s="155"/>
      <c r="Q158" s="155"/>
      <c r="R158" s="162">
        <f>R156/R157</f>
        <v>0.44135985748218526</v>
      </c>
      <c r="S158" s="155">
        <v>0.2</v>
      </c>
      <c r="T158" s="155">
        <v>0.3</v>
      </c>
      <c r="U158" s="155">
        <f>0.1*2+0.1*1.2*2</f>
        <v>0.44</v>
      </c>
      <c r="V158" s="155">
        <f>0.1*1.2*2+0.1*1.2*2*1.05</f>
        <v>0.49199999999999999</v>
      </c>
      <c r="W158" s="155">
        <f>0.12*2+0.15*2</f>
        <v>0.54</v>
      </c>
      <c r="X158" s="155"/>
      <c r="Y158" s="2232"/>
      <c r="Z158" s="2232">
        <f>0.15*4</f>
        <v>0.6</v>
      </c>
      <c r="AA158" s="2232">
        <f>0.15*2+0.18*2</f>
        <v>0.65999999999999992</v>
      </c>
      <c r="AB158" s="2232"/>
      <c r="AC158" s="3476">
        <f>0.18*4</f>
        <v>0.72</v>
      </c>
      <c r="AD158" s="2232">
        <f t="shared" ref="AD158:AN158" si="279">AC158*1.08</f>
        <v>0.77760000000000007</v>
      </c>
      <c r="AE158" s="2232">
        <f t="shared" si="279"/>
        <v>0.83980800000000011</v>
      </c>
      <c r="AF158" s="2232">
        <f t="shared" si="279"/>
        <v>0.90699264000000013</v>
      </c>
      <c r="AG158" s="2232">
        <f t="shared" si="279"/>
        <v>0.97955205120000022</v>
      </c>
      <c r="AH158" s="2232">
        <f t="shared" si="279"/>
        <v>1.0579162152960002</v>
      </c>
      <c r="AI158" s="155">
        <f t="shared" si="279"/>
        <v>1.1425495125196803</v>
      </c>
      <c r="AJ158" s="155">
        <f t="shared" si="279"/>
        <v>1.2339534735212547</v>
      </c>
      <c r="AK158" s="155">
        <f t="shared" si="279"/>
        <v>1.3326697514029553</v>
      </c>
      <c r="AL158" s="2232">
        <f t="shared" si="279"/>
        <v>1.4392833315151918</v>
      </c>
      <c r="AM158" s="2232">
        <f t="shared" si="279"/>
        <v>1.5544259980364072</v>
      </c>
      <c r="AN158" s="2232">
        <f t="shared" si="279"/>
        <v>1.6787800778793198</v>
      </c>
      <c r="AO158" s="155"/>
      <c r="AP158" s="155"/>
      <c r="AQ158" s="155"/>
      <c r="AR158" s="155"/>
      <c r="AS158" s="155"/>
      <c r="AT158" s="155"/>
      <c r="AU158" s="14"/>
      <c r="AV158" s="14"/>
      <c r="AW158" s="14"/>
      <c r="AX158" s="14"/>
      <c r="AY158" s="14"/>
      <c r="AZ158" s="160"/>
      <c r="BA158" s="11"/>
      <c r="BB158" s="11"/>
      <c r="BC158" s="11"/>
      <c r="BD158" s="11"/>
      <c r="BE158" s="11"/>
      <c r="BF158" s="11"/>
      <c r="BG158" s="11"/>
      <c r="BH158" s="11"/>
      <c r="BI158" s="94"/>
      <c r="BJ158" s="94"/>
      <c r="BK158" s="94"/>
      <c r="BL158" s="94"/>
      <c r="BM158" s="94"/>
      <c r="BN158" s="94"/>
      <c r="BO158" s="11"/>
      <c r="BP158" s="94"/>
      <c r="BQ158" s="94"/>
      <c r="BR158" s="94"/>
      <c r="BS158" s="94"/>
      <c r="BT158" s="11"/>
      <c r="BU158" s="11"/>
      <c r="BV158" s="11"/>
      <c r="BW158" s="11"/>
      <c r="BX158" s="11"/>
      <c r="BY158" s="11"/>
      <c r="BZ158" s="11"/>
      <c r="CA158" s="11"/>
      <c r="CB158" s="11"/>
      <c r="CC158" s="11"/>
      <c r="CD158" s="11"/>
      <c r="CE158" s="11"/>
      <c r="CF158" s="11"/>
      <c r="CG158" s="11"/>
      <c r="CH158" s="11"/>
      <c r="CI158" s="11"/>
      <c r="CJ158" s="11"/>
      <c r="CK158" s="11"/>
      <c r="CL158" s="11"/>
      <c r="CM158" s="11"/>
      <c r="CN158" s="11"/>
      <c r="CO158" s="11"/>
      <c r="CP158" s="11"/>
      <c r="CQ158" s="11"/>
      <c r="CR158" s="11"/>
      <c r="CS158" s="11"/>
      <c r="CT158" s="906"/>
      <c r="CU158" s="906"/>
      <c r="CV158" s="906"/>
      <c r="CW158" s="11"/>
      <c r="CX158" s="11"/>
      <c r="CY158" s="906"/>
      <c r="CZ158" s="906"/>
      <c r="DA158" s="906"/>
      <c r="DB158" s="11"/>
      <c r="DC158" s="2862"/>
      <c r="DD158" s="1108"/>
      <c r="DE158" s="1108"/>
      <c r="DF158" s="1108"/>
      <c r="DG158" s="1108"/>
      <c r="DH158" s="1108"/>
      <c r="DI158" s="1108"/>
      <c r="DJ158" s="1108"/>
      <c r="DK158" s="1108"/>
      <c r="DL158" s="1108"/>
      <c r="DM158" s="1108"/>
      <c r="DN158" s="1108"/>
      <c r="DO158" s="1108"/>
      <c r="DP158" s="1108"/>
      <c r="DQ158" s="1108"/>
      <c r="DR158" s="1108"/>
    </row>
    <row r="159" spans="1:122">
      <c r="A159" s="11" t="s">
        <v>777</v>
      </c>
      <c r="B159" s="11"/>
      <c r="C159" s="11"/>
      <c r="D159" s="11"/>
      <c r="E159" s="11"/>
      <c r="F159" s="11"/>
      <c r="G159" s="11"/>
      <c r="H159" s="155"/>
      <c r="I159" s="155"/>
      <c r="J159" s="155"/>
      <c r="K159" s="155"/>
      <c r="L159" s="155"/>
      <c r="M159" s="162"/>
      <c r="N159" s="88">
        <f>N158/M158-1</f>
        <v>0.17404124401040555</v>
      </c>
      <c r="O159" s="919"/>
      <c r="P159" s="155"/>
      <c r="Q159" s="155"/>
      <c r="R159" s="88">
        <f>R158/N158-1</f>
        <v>-0.58091461221779461</v>
      </c>
      <c r="S159" s="88">
        <f>S158/R158-1</f>
        <v>-0.54685502859064916</v>
      </c>
      <c r="T159" s="88">
        <f t="shared" ref="T159:AF159" si="280">T158/S158-1</f>
        <v>0.49999999999999978</v>
      </c>
      <c r="U159" s="88">
        <f t="shared" si="280"/>
        <v>0.46666666666666679</v>
      </c>
      <c r="V159" s="88">
        <f t="shared" si="280"/>
        <v>0.11818181818181817</v>
      </c>
      <c r="W159" s="88">
        <f t="shared" si="280"/>
        <v>9.7560975609756184E-2</v>
      </c>
      <c r="X159" s="88"/>
      <c r="Y159" s="1135"/>
      <c r="Z159" s="1135">
        <f>Z158/W158-1</f>
        <v>0.11111111111111094</v>
      </c>
      <c r="AA159" s="1135">
        <f t="shared" si="280"/>
        <v>9.9999999999999867E-2</v>
      </c>
      <c r="AB159" s="1135"/>
      <c r="AC159" s="1135">
        <f>AC158/AA158-1</f>
        <v>9.090909090909105E-2</v>
      </c>
      <c r="AD159" s="1135">
        <f t="shared" si="280"/>
        <v>8.0000000000000071E-2</v>
      </c>
      <c r="AE159" s="1135">
        <f t="shared" si="280"/>
        <v>8.0000000000000071E-2</v>
      </c>
      <c r="AF159" s="1135">
        <f t="shared" si="280"/>
        <v>8.0000000000000071E-2</v>
      </c>
      <c r="AG159" s="1135">
        <f t="shared" ref="AG159:AN159" si="281">AG158/AF158-1</f>
        <v>8.0000000000000071E-2</v>
      </c>
      <c r="AH159" s="1135">
        <f t="shared" si="281"/>
        <v>8.0000000000000071E-2</v>
      </c>
      <c r="AI159" s="88">
        <f t="shared" si="281"/>
        <v>8.0000000000000071E-2</v>
      </c>
      <c r="AJ159" s="88">
        <f t="shared" si="281"/>
        <v>8.0000000000000071E-2</v>
      </c>
      <c r="AK159" s="88">
        <f t="shared" si="281"/>
        <v>8.0000000000000071E-2</v>
      </c>
      <c r="AL159" s="1135">
        <f t="shared" si="281"/>
        <v>8.0000000000000071E-2</v>
      </c>
      <c r="AM159" s="1135">
        <f t="shared" si="281"/>
        <v>8.0000000000000071E-2</v>
      </c>
      <c r="AN159" s="1135">
        <f t="shared" si="281"/>
        <v>8.0000000000000071E-2</v>
      </c>
      <c r="AO159" s="88"/>
      <c r="AP159" s="88"/>
      <c r="AQ159" s="88"/>
      <c r="AR159" s="88"/>
      <c r="AS159" s="88"/>
      <c r="AT159" s="155"/>
      <c r="AU159" s="14"/>
      <c r="AV159" s="14"/>
      <c r="AW159" s="14"/>
      <c r="AX159" s="14"/>
      <c r="AY159" s="14"/>
      <c r="AZ159" s="160"/>
      <c r="BA159" s="11"/>
      <c r="BB159" s="11"/>
      <c r="BC159" s="11"/>
      <c r="BD159" s="11"/>
      <c r="BE159" s="11"/>
      <c r="BF159" s="11"/>
      <c r="BG159" s="11"/>
      <c r="BH159" s="11"/>
      <c r="BI159" s="94"/>
      <c r="BJ159" s="94"/>
      <c r="BK159" s="94"/>
      <c r="BL159" s="94"/>
      <c r="BM159" s="94"/>
      <c r="BN159" s="94"/>
      <c r="BO159" s="11"/>
      <c r="BP159" s="94"/>
      <c r="BQ159" s="94"/>
      <c r="BR159" s="94"/>
      <c r="BS159" s="94"/>
      <c r="BT159" s="11"/>
      <c r="BU159" s="11"/>
      <c r="BV159" s="11"/>
      <c r="BW159" s="11"/>
      <c r="BX159" s="11"/>
      <c r="BY159" s="11"/>
      <c r="BZ159" s="11"/>
      <c r="CA159" s="11"/>
      <c r="CB159" s="11"/>
      <c r="CC159" s="11"/>
      <c r="CD159" s="11"/>
      <c r="CE159" s="11"/>
      <c r="CF159" s="11"/>
      <c r="CG159" s="11"/>
      <c r="CH159" s="11"/>
      <c r="CI159" s="11"/>
      <c r="CJ159" s="11"/>
      <c r="CK159" s="11"/>
      <c r="CL159" s="11"/>
      <c r="CM159" s="11"/>
      <c r="CN159" s="11"/>
      <c r="CO159" s="11"/>
      <c r="CP159" s="11"/>
      <c r="CQ159" s="11"/>
      <c r="CR159" s="11"/>
      <c r="CS159" s="11"/>
      <c r="CT159" s="906"/>
      <c r="CU159" s="906"/>
      <c r="CV159" s="906"/>
      <c r="CW159" s="11"/>
      <c r="CX159" s="11"/>
      <c r="CY159" s="906"/>
      <c r="CZ159" s="906"/>
      <c r="DA159" s="906"/>
      <c r="DB159" s="11"/>
      <c r="DC159" s="2862"/>
      <c r="DD159" s="1108"/>
      <c r="DE159" s="1108"/>
      <c r="DF159" s="1108"/>
      <c r="DG159" s="1108"/>
      <c r="DH159" s="1108"/>
      <c r="DI159" s="1108"/>
      <c r="DJ159" s="1108"/>
      <c r="DK159" s="1108"/>
      <c r="DL159" s="1108"/>
      <c r="DM159" s="1108"/>
      <c r="DN159" s="1108"/>
      <c r="DO159" s="1108"/>
      <c r="DP159" s="1108"/>
      <c r="DQ159" s="1108"/>
      <c r="DR159" s="1108"/>
    </row>
    <row r="160" spans="1:122">
      <c r="A160" s="11" t="s">
        <v>776</v>
      </c>
      <c r="B160" s="11"/>
      <c r="C160" s="11"/>
      <c r="D160" s="11"/>
      <c r="E160" s="11"/>
      <c r="F160" s="11"/>
      <c r="G160" s="11"/>
      <c r="H160" s="155"/>
      <c r="I160" s="155"/>
      <c r="J160" s="155"/>
      <c r="K160" s="155"/>
      <c r="L160" s="155"/>
      <c r="M160" s="88">
        <f>M158/'Free Cash Flow'!G21</f>
        <v>0.33893328945940121</v>
      </c>
      <c r="N160" s="88">
        <f>N158/'Free Cash Flow'!H21</f>
        <v>2.3587634381635478</v>
      </c>
      <c r="O160" s="919"/>
      <c r="P160" s="155"/>
      <c r="Q160" s="155"/>
      <c r="R160" s="88">
        <f>R158/'Free Cash Flow'!I21</f>
        <v>0.30046119851125891</v>
      </c>
      <c r="S160" s="88">
        <f>S158/'Free Cash Flow'!J21</f>
        <v>0.11270698605695091</v>
      </c>
      <c r="T160" s="88">
        <f>T158/'Free Cash Flow'!K21</f>
        <v>0.14417784050811566</v>
      </c>
      <c r="U160" s="88">
        <f>U158/'Free Cash Flow'!L21</f>
        <v>0.30016563146997932</v>
      </c>
      <c r="V160" s="88">
        <f>V158/'Free Cash Flow'!M21</f>
        <v>0.29462512171372929</v>
      </c>
      <c r="W160" s="88">
        <f>W158/'Free Cash Flow'!N21</f>
        <v>0.30786585365853653</v>
      </c>
      <c r="X160" s="88"/>
      <c r="Y160" s="1135"/>
      <c r="Z160" s="1135">
        <f>Z158/'Free Cash Flow'!Q21</f>
        <v>0.30498960498960498</v>
      </c>
      <c r="AA160" s="1135">
        <f ca="1">AA158/'Free Cash Flow'!R21</f>
        <v>0.21609296206972151</v>
      </c>
      <c r="AB160" s="1135"/>
      <c r="AC160" s="1135">
        <f ca="1">AC158/'Free Cash Flow'!T21</f>
        <v>0.30431825516920674</v>
      </c>
      <c r="AD160" s="1135">
        <f ca="1">AD158/'Free Cash Flow'!U21</f>
        <v>0.25926205658234541</v>
      </c>
      <c r="AE160" s="1135">
        <f ca="1">AE158/'Free Cash Flow'!V21</f>
        <v>0.20607217497201025</v>
      </c>
      <c r="AF160" s="1135">
        <f ca="1">AF158/'Free Cash Flow'!W21</f>
        <v>0.16918209127548148</v>
      </c>
      <c r="AG160" s="1135">
        <f ca="1">AG158/'Free Cash Flow'!X21</f>
        <v>0.16447036191826944</v>
      </c>
      <c r="AH160" s="1135">
        <f ca="1">AH158/'Free Cash Flow'!Y21</f>
        <v>0.15529171553188134</v>
      </c>
      <c r="AI160" s="88">
        <f ca="1">AI158/'Free Cash Flow'!Z21</f>
        <v>0.1634767730376962</v>
      </c>
      <c r="AJ160" s="88">
        <f ca="1">AJ158/'Free Cash Flow'!AA21</f>
        <v>0.15911122530002983</v>
      </c>
      <c r="AK160" s="88">
        <f ca="1">AK158/'Free Cash Flow'!AB21</f>
        <v>0.16194049998959897</v>
      </c>
      <c r="AL160" s="1135">
        <f ca="1">AL158/'Free Cash Flow'!AC21</f>
        <v>0.16594887402958783</v>
      </c>
      <c r="AM160" s="1135">
        <f ca="1">AM158/'Free Cash Flow'!AD21</f>
        <v>0.17319362851842238</v>
      </c>
      <c r="AN160" s="1135">
        <f ca="1">AN158/'Free Cash Flow'!AE21</f>
        <v>0.16791162406673071</v>
      </c>
      <c r="AO160" s="88"/>
      <c r="AP160" s="88"/>
      <c r="AQ160" s="88"/>
      <c r="AR160" s="88"/>
      <c r="AS160" s="88"/>
      <c r="AT160" s="155"/>
      <c r="AU160" s="14"/>
      <c r="AV160" s="14"/>
      <c r="AW160" s="14"/>
      <c r="AX160" s="14"/>
      <c r="AY160" s="14"/>
      <c r="AZ160" s="160"/>
      <c r="BA160" s="11"/>
      <c r="BB160" s="11"/>
      <c r="BC160" s="11"/>
      <c r="BD160" s="11"/>
      <c r="BE160" s="11"/>
      <c r="BF160" s="11"/>
      <c r="BG160" s="11"/>
      <c r="BH160" s="11"/>
      <c r="BI160" s="94"/>
      <c r="BJ160" s="94"/>
      <c r="BK160" s="94"/>
      <c r="BL160" s="94"/>
      <c r="BM160" s="94"/>
      <c r="BN160" s="94"/>
      <c r="BO160" s="11"/>
      <c r="BP160" s="94"/>
      <c r="BQ160" s="94"/>
      <c r="BR160" s="94"/>
      <c r="BS160" s="94"/>
      <c r="BT160" s="11"/>
      <c r="BU160" s="11"/>
      <c r="BV160" s="11"/>
      <c r="BW160" s="11"/>
      <c r="BX160" s="11"/>
      <c r="BY160" s="11"/>
      <c r="BZ160" s="11"/>
      <c r="CA160" s="11"/>
      <c r="CB160" s="11"/>
      <c r="CC160" s="11"/>
      <c r="CD160" s="11"/>
      <c r="CE160" s="11"/>
      <c r="CF160" s="11"/>
      <c r="CG160" s="11"/>
      <c r="CH160" s="11"/>
      <c r="CI160" s="11"/>
      <c r="CJ160" s="11"/>
      <c r="CK160" s="11"/>
      <c r="CL160" s="11"/>
      <c r="CM160" s="11"/>
      <c r="CN160" s="11"/>
      <c r="CO160" s="11"/>
      <c r="CP160" s="11"/>
      <c r="CQ160" s="11"/>
      <c r="CR160" s="11"/>
      <c r="CS160" s="11"/>
      <c r="CT160" s="906"/>
      <c r="CU160" s="906"/>
      <c r="CV160" s="906"/>
      <c r="CW160" s="11"/>
      <c r="CX160" s="11"/>
      <c r="CY160" s="906"/>
      <c r="CZ160" s="906"/>
      <c r="DA160" s="906"/>
      <c r="DB160" s="1141"/>
      <c r="DC160" s="2862"/>
      <c r="DD160" s="1108"/>
      <c r="DE160" s="1108"/>
      <c r="DF160" s="1108"/>
      <c r="DG160" s="1108"/>
      <c r="DH160" s="1108"/>
      <c r="DI160" s="1108"/>
      <c r="DJ160" s="1108"/>
      <c r="DK160" s="1108"/>
      <c r="DL160" s="1777"/>
      <c r="DM160" s="1108"/>
      <c r="DN160" s="1108"/>
      <c r="DO160" s="1108"/>
      <c r="DP160" s="1108"/>
      <c r="DQ160" s="1108"/>
      <c r="DR160" s="1108"/>
    </row>
    <row r="161" spans="1:122">
      <c r="A161" s="11"/>
      <c r="B161" s="11"/>
      <c r="C161" s="11"/>
      <c r="D161" s="11"/>
      <c r="E161" s="11"/>
      <c r="F161" s="11"/>
      <c r="G161" s="11"/>
      <c r="H161" s="155"/>
      <c r="I161" s="119"/>
      <c r="J161" s="119"/>
      <c r="K161" s="119"/>
      <c r="L161" s="119"/>
      <c r="M161" s="119"/>
      <c r="N161" s="119"/>
      <c r="O161" s="919"/>
      <c r="P161" s="119"/>
      <c r="Q161" s="119"/>
      <c r="R161" s="119"/>
      <c r="S161" s="119"/>
      <c r="T161" s="119"/>
      <c r="U161" s="119"/>
      <c r="V161" s="119"/>
      <c r="W161" s="119"/>
      <c r="X161" s="119"/>
      <c r="Y161" s="1482"/>
      <c r="Z161" s="1482"/>
      <c r="AA161" s="1482"/>
      <c r="AB161" s="1482"/>
      <c r="AC161" s="1482"/>
      <c r="AD161" s="1482"/>
      <c r="AE161" s="1482"/>
      <c r="AF161" s="1482"/>
      <c r="AG161" s="1482"/>
      <c r="AH161" s="1482"/>
      <c r="AI161" s="119"/>
      <c r="AJ161" s="119"/>
      <c r="AK161" s="119"/>
      <c r="AL161" s="1482"/>
      <c r="AM161" s="88"/>
      <c r="AN161" s="119"/>
      <c r="AO161" s="119"/>
      <c r="AP161" s="119"/>
      <c r="AQ161" s="119"/>
      <c r="AR161" s="119"/>
      <c r="AS161" s="119"/>
      <c r="AT161" s="155"/>
      <c r="AU161" s="14"/>
      <c r="AV161" s="14"/>
      <c r="AW161" s="14"/>
      <c r="AX161" s="14"/>
      <c r="AY161" s="14"/>
      <c r="AZ161" s="160"/>
      <c r="BA161" s="11"/>
      <c r="BB161" s="11"/>
      <c r="BC161" s="11"/>
      <c r="BD161" s="11"/>
      <c r="BE161" s="11"/>
      <c r="BF161" s="11"/>
      <c r="BG161" s="11"/>
      <c r="BH161" s="11"/>
      <c r="BI161" s="94"/>
      <c r="BJ161" s="94"/>
      <c r="BK161" s="94"/>
      <c r="BL161" s="94"/>
      <c r="BM161" s="94"/>
      <c r="BN161" s="94"/>
      <c r="BO161" s="11"/>
      <c r="BP161" s="94"/>
      <c r="BQ161" s="94"/>
      <c r="BR161" s="94"/>
      <c r="BS161" s="94"/>
      <c r="BT161" s="11"/>
      <c r="BU161" s="11"/>
      <c r="BV161" s="11"/>
      <c r="BW161" s="11"/>
      <c r="BX161" s="11"/>
      <c r="BY161" s="11"/>
      <c r="BZ161" s="11"/>
      <c r="CA161" s="11"/>
      <c r="CB161" s="11"/>
      <c r="CC161" s="11"/>
      <c r="CD161" s="11"/>
      <c r="CE161" s="11"/>
      <c r="CF161" s="11"/>
      <c r="CG161" s="11"/>
      <c r="CH161" s="11"/>
      <c r="CI161" s="11"/>
      <c r="CJ161" s="11"/>
      <c r="CK161" s="11"/>
      <c r="CL161" s="11"/>
      <c r="CM161" s="11"/>
      <c r="CN161" s="11"/>
      <c r="CO161" s="11"/>
      <c r="CP161" s="11"/>
      <c r="CQ161" s="11"/>
      <c r="CR161" s="11"/>
      <c r="CS161" s="11"/>
      <c r="CT161" s="906"/>
      <c r="CU161" s="906"/>
      <c r="CV161" s="906"/>
      <c r="CW161" s="11"/>
      <c r="CX161" s="11"/>
      <c r="CY161" s="906"/>
      <c r="CZ161" s="906"/>
      <c r="DA161" s="906"/>
      <c r="DB161" s="11"/>
      <c r="DC161" s="2862"/>
      <c r="DD161" s="1108"/>
      <c r="DE161" s="1108"/>
      <c r="DF161" s="1108"/>
      <c r="DG161" s="1108"/>
      <c r="DH161" s="1108"/>
      <c r="DI161" s="1108"/>
      <c r="DJ161" s="1108"/>
      <c r="DK161" s="1108"/>
      <c r="DL161" s="1108"/>
      <c r="DM161" s="1108"/>
      <c r="DN161" s="1108"/>
      <c r="DO161" s="1108"/>
      <c r="DP161" s="1108"/>
      <c r="DQ161" s="1108"/>
      <c r="DR161" s="1108"/>
    </row>
    <row r="162" spans="1:122">
      <c r="A162" s="924" t="s">
        <v>620</v>
      </c>
      <c r="B162" s="11"/>
      <c r="C162" s="11"/>
      <c r="D162" s="11"/>
      <c r="E162" s="11"/>
      <c r="F162" s="11"/>
      <c r="G162" s="11"/>
      <c r="H162" s="162"/>
      <c r="I162" s="162"/>
      <c r="J162" s="162"/>
      <c r="K162" s="162"/>
      <c r="L162" s="162"/>
      <c r="M162" s="162"/>
      <c r="N162" s="163"/>
      <c r="O162" s="919"/>
      <c r="P162" s="163"/>
      <c r="Q162" s="163"/>
      <c r="R162" s="163"/>
      <c r="S162" s="119"/>
      <c r="T162" s="119"/>
      <c r="U162" s="119"/>
      <c r="V162" s="119"/>
      <c r="W162" s="64"/>
      <c r="X162" s="64"/>
      <c r="Y162" s="1379"/>
      <c r="Z162" s="1482"/>
      <c r="AA162" s="1482"/>
      <c r="AB162" s="1482"/>
      <c r="AC162" s="1482"/>
      <c r="AD162" s="1482"/>
      <c r="AE162" s="1482"/>
      <c r="AF162" s="1482"/>
      <c r="AG162" s="1482"/>
      <c r="AH162" s="1482"/>
      <c r="AI162" s="119"/>
      <c r="AJ162" s="119"/>
      <c r="AK162" s="119"/>
      <c r="AL162" s="1482"/>
      <c r="AM162" s="119"/>
      <c r="AN162" s="119"/>
      <c r="AO162" s="119"/>
      <c r="AP162" s="119"/>
      <c r="AQ162" s="119"/>
      <c r="AR162" s="119"/>
      <c r="AS162" s="119"/>
      <c r="AT162" s="155"/>
      <c r="AU162" s="14"/>
      <c r="AV162" s="14"/>
      <c r="AW162" s="14"/>
      <c r="AX162" s="14"/>
      <c r="AY162" s="14"/>
      <c r="AZ162" s="160"/>
      <c r="BA162" s="11"/>
      <c r="BB162" s="11"/>
      <c r="BC162" s="11"/>
      <c r="BD162" s="11"/>
      <c r="BE162" s="11"/>
      <c r="BF162" s="11"/>
      <c r="BG162" s="11"/>
      <c r="BH162" s="11"/>
      <c r="BI162" s="94"/>
      <c r="BJ162" s="94"/>
      <c r="BK162" s="94"/>
      <c r="BL162" s="94"/>
      <c r="BM162" s="94"/>
      <c r="BN162" s="94"/>
      <c r="BO162" s="11"/>
      <c r="BP162" s="94"/>
      <c r="BQ162" s="94"/>
      <c r="BR162" s="94"/>
      <c r="BS162" s="94"/>
      <c r="BT162" s="11"/>
      <c r="BU162" s="11"/>
      <c r="BV162" s="11"/>
      <c r="BW162" s="11"/>
      <c r="BX162" s="11"/>
      <c r="BY162" s="11"/>
      <c r="BZ162" s="11"/>
      <c r="CA162" s="11"/>
      <c r="CB162" s="11"/>
      <c r="CC162" s="11"/>
      <c r="CD162" s="11"/>
      <c r="CE162" s="11"/>
      <c r="CF162" s="11"/>
      <c r="CG162" s="11"/>
      <c r="CH162" s="11"/>
      <c r="CI162" s="11"/>
      <c r="CJ162" s="11"/>
      <c r="CK162" s="11"/>
      <c r="CL162" s="11"/>
      <c r="CM162" s="11"/>
      <c r="CN162" s="11"/>
      <c r="CO162" s="749"/>
      <c r="CP162" s="11"/>
      <c r="CQ162" s="11"/>
      <c r="CR162" s="11"/>
      <c r="CS162" s="11"/>
      <c r="CT162" s="906"/>
      <c r="CU162" s="906"/>
      <c r="CV162" s="906"/>
      <c r="CW162" s="11"/>
      <c r="CX162" s="11"/>
      <c r="CY162" s="906"/>
      <c r="CZ162" s="906"/>
      <c r="DA162" s="906"/>
      <c r="DB162" s="11"/>
      <c r="DC162" s="2862"/>
      <c r="DD162" s="1108"/>
      <c r="DE162" s="1108"/>
      <c r="DF162" s="1108"/>
      <c r="DG162" s="1108"/>
      <c r="DH162" s="1108"/>
      <c r="DI162" s="1108"/>
      <c r="DJ162" s="1108"/>
      <c r="DK162" s="1108"/>
      <c r="DL162" s="1108"/>
      <c r="DM162" s="1108"/>
      <c r="DN162" s="1108"/>
      <c r="DO162" s="1108"/>
      <c r="DP162" s="1108"/>
      <c r="DQ162" s="1108"/>
      <c r="DR162" s="1108"/>
    </row>
    <row r="163" spans="1:122" ht="13.5" thickBot="1">
      <c r="A163" s="1137" t="s">
        <v>621</v>
      </c>
      <c r="B163" s="11"/>
      <c r="C163" s="11"/>
      <c r="D163" s="11"/>
      <c r="E163" s="11"/>
      <c r="F163" s="11"/>
      <c r="G163" s="11"/>
      <c r="H163" s="111">
        <v>13.9</v>
      </c>
      <c r="I163" s="922">
        <v>981.4</v>
      </c>
      <c r="J163" s="922">
        <v>2530</v>
      </c>
      <c r="K163" s="922">
        <v>5460</v>
      </c>
      <c r="L163" s="922">
        <v>6.2</v>
      </c>
      <c r="M163" s="922">
        <v>3414.5</v>
      </c>
      <c r="N163" s="1138">
        <f>J186*N172*N170</f>
        <v>46.692</v>
      </c>
      <c r="O163" s="919"/>
      <c r="P163" s="922"/>
      <c r="Q163" s="922"/>
      <c r="R163" s="1138">
        <f>N186*R172*R170</f>
        <v>0</v>
      </c>
      <c r="S163" s="1138">
        <f>R186*S172*S170</f>
        <v>0</v>
      </c>
      <c r="T163" s="1138">
        <f>-T293</f>
        <v>1012</v>
      </c>
      <c r="U163" s="1138">
        <f>-U293</f>
        <v>1137</v>
      </c>
      <c r="V163" s="1138">
        <f>-V293</f>
        <v>2185</v>
      </c>
      <c r="W163" s="1138">
        <f>-W293</f>
        <v>3595</v>
      </c>
      <c r="X163" s="64"/>
      <c r="Y163" s="1379"/>
      <c r="Z163" s="1138">
        <f>-Z293</f>
        <v>2813</v>
      </c>
      <c r="AA163" s="1138">
        <f>-AA293</f>
        <v>2997</v>
      </c>
      <c r="AB163" s="2174"/>
      <c r="AC163" s="2174">
        <f>Scenarios!L144</f>
        <v>1111</v>
      </c>
      <c r="AD163" s="2174">
        <f>Scenarios!M144</f>
        <v>900</v>
      </c>
      <c r="AE163" s="2174">
        <f>Scenarios!N144</f>
        <v>1500</v>
      </c>
      <c r="AF163" s="2174">
        <f>Scenarios!O144</f>
        <v>1545</v>
      </c>
      <c r="AG163" s="2174">
        <f>Scenarios!P144</f>
        <v>1575.9</v>
      </c>
      <c r="AH163" s="2174">
        <f>Scenarios!Q144</f>
        <v>1607.4180000000001</v>
      </c>
      <c r="AI163" s="1178">
        <f>Scenarios!R144</f>
        <v>1639.5663600000003</v>
      </c>
      <c r="AJ163" s="1178">
        <f>Scenarios!S144</f>
        <v>1672.3576872000003</v>
      </c>
      <c r="AK163" s="1178">
        <f>Scenarios!T144</f>
        <v>1705.8048409440003</v>
      </c>
      <c r="AL163" s="2174">
        <f>Scenarios!U144</f>
        <v>1739.9209377628804</v>
      </c>
      <c r="AM163" s="2174">
        <f>Scenarios!V144</f>
        <v>1774.7193565181381</v>
      </c>
      <c r="AN163" s="2174">
        <f>Scenarios!W144</f>
        <v>1810.2137436485009</v>
      </c>
      <c r="AO163" s="1178"/>
      <c r="AP163" s="1178"/>
      <c r="AQ163" s="1178"/>
      <c r="AR163" s="1178"/>
      <c r="AS163" s="1178"/>
      <c r="AT163" s="155"/>
      <c r="AU163" s="14"/>
      <c r="AV163" s="14"/>
      <c r="AW163" s="14"/>
      <c r="AX163" s="14"/>
      <c r="AY163" s="14"/>
      <c r="AZ163" s="160"/>
      <c r="BA163" s="11"/>
      <c r="BB163" s="11"/>
      <c r="BC163" s="11"/>
      <c r="BD163" s="11"/>
      <c r="BE163" s="11"/>
      <c r="BF163" s="11"/>
      <c r="BG163" s="11"/>
      <c r="BH163" s="11"/>
      <c r="BI163" s="94"/>
      <c r="BJ163" s="94"/>
      <c r="BK163" s="94"/>
      <c r="BL163" s="94"/>
      <c r="BM163" s="94"/>
      <c r="BN163" s="94"/>
      <c r="BO163" s="11"/>
      <c r="BP163" s="1139">
        <v>11.9</v>
      </c>
      <c r="BQ163" s="1139">
        <v>32.799999999999997</v>
      </c>
      <c r="BR163" s="1139">
        <f>45.6-BP163-BQ163</f>
        <v>0.90000000000000568</v>
      </c>
      <c r="BS163" s="1140">
        <f>N163-SUM(BP163:BR163)</f>
        <v>1.0919999999999987</v>
      </c>
      <c r="BT163" s="11"/>
      <c r="BU163" s="1141"/>
      <c r="BV163" s="1141"/>
      <c r="BW163" s="1141"/>
      <c r="BX163" s="1141"/>
      <c r="BY163" s="11"/>
      <c r="BZ163" s="1141"/>
      <c r="CA163" s="1141"/>
      <c r="CB163" s="1141"/>
      <c r="CC163" s="1141"/>
      <c r="CD163" s="11"/>
      <c r="CE163" s="1150">
        <v>249</v>
      </c>
      <c r="CF163" s="1150">
        <v>249</v>
      </c>
      <c r="CG163" s="1150">
        <v>348</v>
      </c>
      <c r="CH163" s="1150">
        <f>+T163-SUM(CE163:CG163)</f>
        <v>166</v>
      </c>
      <c r="CI163" s="11"/>
      <c r="CJ163" s="1150">
        <v>269</v>
      </c>
      <c r="CK163" s="1150">
        <v>300</v>
      </c>
      <c r="CL163" s="1150">
        <v>300</v>
      </c>
      <c r="CM163" s="1150">
        <v>299</v>
      </c>
      <c r="CN163" s="11"/>
      <c r="CO163" s="1363">
        <f>262+80%*1000</f>
        <v>1062</v>
      </c>
      <c r="CP163" s="1150">
        <f>1579-CO163</f>
        <v>517</v>
      </c>
      <c r="CQ163" s="1150">
        <v>279</v>
      </c>
      <c r="CR163" s="1150">
        <f>2185-SUM(CO163:CQ163)</f>
        <v>327</v>
      </c>
      <c r="CS163" s="11"/>
      <c r="CT163" s="1363">
        <v>2032</v>
      </c>
      <c r="CU163" s="1363">
        <v>411</v>
      </c>
      <c r="CV163" s="1363">
        <v>400</v>
      </c>
      <c r="CW163" s="1363">
        <f>3595-SUM(CT163:CV163)</f>
        <v>752</v>
      </c>
      <c r="CX163" s="11"/>
      <c r="CY163" s="1363">
        <v>1049</v>
      </c>
      <c r="CZ163" s="1363">
        <f>1832-CY163</f>
        <v>783</v>
      </c>
      <c r="DA163" s="1363">
        <f>2345-SUM(CY163:CZ163)</f>
        <v>513</v>
      </c>
      <c r="DB163" s="1363">
        <f>2813-SUM(CY163:DA163)</f>
        <v>468</v>
      </c>
      <c r="DC163" s="2862"/>
      <c r="DD163" s="1363">
        <v>533</v>
      </c>
      <c r="DE163" s="1363">
        <f>1033-DD163</f>
        <v>500</v>
      </c>
      <c r="DF163" s="1363">
        <f>1534-SUM(DD163:DE163)</f>
        <v>501</v>
      </c>
      <c r="DG163" s="1363">
        <f>2997-SUM(DD163:DF163)</f>
        <v>1463</v>
      </c>
      <c r="DH163" s="2474"/>
      <c r="DI163" s="1363">
        <v>531</v>
      </c>
      <c r="DJ163" s="1363">
        <f>845-DI163</f>
        <v>314</v>
      </c>
      <c r="DK163" s="1363">
        <f>1111-SUM(DI163:DJ163)</f>
        <v>266</v>
      </c>
      <c r="DL163" s="2474">
        <f>Scenarios!BZ144</f>
        <v>0</v>
      </c>
      <c r="DM163" s="1108"/>
      <c r="DN163" s="3547">
        <f>Scenarios!CB144</f>
        <v>225</v>
      </c>
      <c r="DO163" s="3547">
        <f>Scenarios!CC144</f>
        <v>225</v>
      </c>
      <c r="DP163" s="3547">
        <f>Scenarios!CD144</f>
        <v>225</v>
      </c>
      <c r="DQ163" s="3547">
        <f>Scenarios!CE144</f>
        <v>225</v>
      </c>
      <c r="DR163" s="1108"/>
    </row>
    <row r="164" spans="1:122" ht="13.5" thickBot="1">
      <c r="A164" s="1134">
        <f>Scenarios!B3</f>
        <v>1</v>
      </c>
      <c r="B164" s="11"/>
      <c r="C164" s="11"/>
      <c r="D164" s="11"/>
      <c r="E164" s="11"/>
      <c r="F164" s="11"/>
      <c r="G164" s="11"/>
      <c r="H164" s="111"/>
      <c r="I164" s="922"/>
      <c r="J164" s="922"/>
      <c r="K164" s="922"/>
      <c r="L164" s="922"/>
      <c r="M164" s="922"/>
      <c r="N164" s="1138"/>
      <c r="O164" s="919"/>
      <c r="P164" s="922"/>
      <c r="Q164" s="922"/>
      <c r="R164" s="1138"/>
      <c r="S164" s="1138"/>
      <c r="T164" s="1138"/>
      <c r="U164" s="1138"/>
      <c r="V164" s="1138"/>
      <c r="W164" s="1138"/>
      <c r="X164" s="1138"/>
      <c r="Y164" s="2236"/>
      <c r="Z164" s="2236"/>
      <c r="AA164" s="2236"/>
      <c r="AB164" s="2236"/>
      <c r="AC164" s="2545"/>
      <c r="AD164" s="2236"/>
      <c r="AE164" s="2236"/>
      <c r="AF164" s="2236"/>
      <c r="AG164" s="2236"/>
      <c r="AH164" s="2236"/>
      <c r="AI164" s="1138"/>
      <c r="AJ164" s="1138"/>
      <c r="AK164" s="1138"/>
      <c r="AL164" s="2236"/>
      <c r="AM164" s="2236"/>
      <c r="AN164" s="1138"/>
      <c r="AO164" s="1138"/>
      <c r="AP164" s="1138"/>
      <c r="AQ164" s="1138"/>
      <c r="AR164" s="1138"/>
      <c r="AS164" s="1138"/>
      <c r="AT164" s="155"/>
      <c r="AU164" s="14"/>
      <c r="AV164" s="14"/>
      <c r="AW164" s="14"/>
      <c r="AX164" s="14"/>
      <c r="AY164" s="14"/>
      <c r="AZ164" s="160"/>
      <c r="BA164" s="11"/>
      <c r="BB164" s="11"/>
      <c r="BC164" s="11"/>
      <c r="BD164" s="11"/>
      <c r="BE164" s="11"/>
      <c r="BF164" s="11"/>
      <c r="BG164" s="11"/>
      <c r="BH164" s="11"/>
      <c r="BI164" s="94"/>
      <c r="BJ164" s="94"/>
      <c r="BK164" s="94"/>
      <c r="BL164" s="94"/>
      <c r="BM164" s="94"/>
      <c r="BN164" s="94"/>
      <c r="BO164" s="11"/>
      <c r="BP164" s="1139"/>
      <c r="BQ164" s="1139"/>
      <c r="BR164" s="1139"/>
      <c r="BS164" s="1140"/>
      <c r="BT164" s="11"/>
      <c r="BU164" s="1141"/>
      <c r="BV164" s="1141"/>
      <c r="BW164" s="1141"/>
      <c r="BX164" s="1141"/>
      <c r="BY164" s="11"/>
      <c r="BZ164" s="1141"/>
      <c r="CA164" s="1141"/>
      <c r="CB164" s="1141"/>
      <c r="CC164" s="1141"/>
      <c r="CD164" s="11"/>
      <c r="CE164" s="11"/>
      <c r="CF164" s="11"/>
      <c r="CG164" s="11"/>
      <c r="CH164" s="11"/>
      <c r="CI164" s="11"/>
      <c r="CJ164" s="11"/>
      <c r="CK164" s="11"/>
      <c r="CL164" s="1188"/>
      <c r="CM164" s="53"/>
      <c r="CN164" s="11"/>
      <c r="CO164" s="11"/>
      <c r="CP164" s="11"/>
      <c r="CQ164" s="11"/>
      <c r="CR164" s="53"/>
      <c r="CS164" s="11"/>
      <c r="CT164" s="906"/>
      <c r="CU164" s="906"/>
      <c r="CV164" s="906"/>
      <c r="CW164" s="53"/>
      <c r="CX164" s="11"/>
      <c r="CY164" s="906"/>
      <c r="CZ164" s="906"/>
      <c r="DA164" s="906"/>
      <c r="DB164" s="53"/>
      <c r="DC164" s="2862"/>
      <c r="DD164" s="2047"/>
      <c r="DE164" s="2047"/>
      <c r="DF164" s="2047"/>
      <c r="DG164" s="2047"/>
      <c r="DH164" s="1108"/>
      <c r="DI164" s="1108"/>
      <c r="DJ164" s="1108"/>
      <c r="DK164" s="1108"/>
      <c r="DL164" s="1108"/>
      <c r="DM164" s="1108"/>
      <c r="DN164" s="1108"/>
      <c r="DO164" s="1108"/>
      <c r="DP164" s="1108"/>
      <c r="DQ164" s="1108"/>
      <c r="DR164" s="1108"/>
    </row>
    <row r="165" spans="1:122">
      <c r="A165" s="1137" t="s">
        <v>623</v>
      </c>
      <c r="B165" s="11"/>
      <c r="C165" s="11"/>
      <c r="D165" s="11"/>
      <c r="E165" s="11"/>
      <c r="F165" s="11"/>
      <c r="G165" s="11"/>
      <c r="H165" s="111"/>
      <c r="I165" s="922"/>
      <c r="J165" s="922"/>
      <c r="K165" s="922"/>
      <c r="L165" s="922"/>
      <c r="M165" s="922"/>
      <c r="N165" s="1138"/>
      <c r="O165" s="919"/>
      <c r="P165" s="922"/>
      <c r="Q165" s="922"/>
      <c r="R165" s="1138"/>
      <c r="S165" s="1142">
        <f>CHOOSE(A164,S166,S167,S168)</f>
        <v>17.5</v>
      </c>
      <c r="T165" s="1142">
        <f>CHOOSE($A$164,T166,T167,T168)</f>
        <v>23.936318389708219</v>
      </c>
      <c r="U165" s="1142">
        <f t="shared" ref="U165:AE165" si="282">CHOOSE($A$164,U166,U167,U168)</f>
        <v>32.028169014084504</v>
      </c>
      <c r="V165" s="1142">
        <f t="shared" si="282"/>
        <v>50.229859484248628</v>
      </c>
      <c r="W165" s="1142">
        <f t="shared" si="282"/>
        <v>57.967118665233947</v>
      </c>
      <c r="X165" s="1142"/>
      <c r="Y165" s="2191"/>
      <c r="Z165" s="2191">
        <f>CHOOSE($A$164,Z166,Z167,Z168)</f>
        <v>53.101930588867958</v>
      </c>
      <c r="AA165" s="2191">
        <f t="shared" si="282"/>
        <v>54.16458199106885</v>
      </c>
      <c r="AB165" s="2191"/>
      <c r="AC165" s="2191">
        <f t="shared" si="282"/>
        <v>65.470514974014407</v>
      </c>
      <c r="AD165" s="2191">
        <f t="shared" si="282"/>
        <v>63.5</v>
      </c>
      <c r="AE165" s="2191">
        <f t="shared" si="282"/>
        <v>68.738749999999996</v>
      </c>
      <c r="AF165" s="2191">
        <f t="shared" ref="AF165:AK165" si="283">CHOOSE($A$164,AF166,AF167,AF168)</f>
        <v>74.409696874999995</v>
      </c>
      <c r="AG165" s="2191">
        <f t="shared" si="283"/>
        <v>80.548496867187495</v>
      </c>
      <c r="AH165" s="2191">
        <f t="shared" si="283"/>
        <v>87.193747858730461</v>
      </c>
      <c r="AI165" s="1142">
        <f t="shared" si="283"/>
        <v>94.387232057075721</v>
      </c>
      <c r="AJ165" s="1142">
        <f t="shared" si="283"/>
        <v>102.17417870178447</v>
      </c>
      <c r="AK165" s="1142">
        <f t="shared" si="283"/>
        <v>110.60354844468169</v>
      </c>
      <c r="AL165" s="2191">
        <f>CHOOSE($A$164,AL166,AL167,AL168)</f>
        <v>119.72834119136793</v>
      </c>
      <c r="AM165" s="2191">
        <f>CHOOSE($A$164,AM166,AM167,AM168)</f>
        <v>129.6059293396558</v>
      </c>
      <c r="AN165" s="2191">
        <f>CHOOSE($A$164,AN166,AN167,AN168)</f>
        <v>140.29841851017741</v>
      </c>
      <c r="AO165" s="1213"/>
      <c r="AP165" s="1213"/>
      <c r="AQ165" s="1213"/>
      <c r="AR165" s="1213"/>
      <c r="AS165" s="1213"/>
      <c r="AT165" s="155"/>
      <c r="AU165" s="14"/>
      <c r="AV165" s="14"/>
      <c r="AW165" s="14"/>
      <c r="AX165" s="14"/>
      <c r="AY165" s="14"/>
      <c r="AZ165" s="160"/>
      <c r="BA165" s="11"/>
      <c r="BB165" s="11"/>
      <c r="BC165" s="11"/>
      <c r="BD165" s="11"/>
      <c r="BE165" s="11"/>
      <c r="BF165" s="11"/>
      <c r="BG165" s="11"/>
      <c r="BH165" s="11"/>
      <c r="BI165" s="94"/>
      <c r="BJ165" s="94"/>
      <c r="BK165" s="94"/>
      <c r="BL165" s="94"/>
      <c r="BM165" s="94"/>
      <c r="BN165" s="94"/>
      <c r="BO165" s="11"/>
      <c r="BP165" s="1139"/>
      <c r="BQ165" s="1139"/>
      <c r="BR165" s="1139"/>
      <c r="BS165" s="1140"/>
      <c r="BT165" s="11"/>
      <c r="BU165" s="1141"/>
      <c r="BV165" s="1141"/>
      <c r="BW165" s="1141"/>
      <c r="BX165" s="1141"/>
      <c r="BY165" s="11"/>
      <c r="BZ165" s="1141"/>
      <c r="CA165" s="1141"/>
      <c r="CB165" s="1141"/>
      <c r="CC165" s="1141"/>
      <c r="CD165" s="11"/>
      <c r="CE165" s="1142">
        <f>CHOOSE($A$164,CE166,CE167,CE168)</f>
        <v>21.101694915254235</v>
      </c>
      <c r="CF165" s="1142">
        <f>CHOOSE($A$164,CF166,CF167,CF168)</f>
        <v>25.151515151515152</v>
      </c>
      <c r="CG165" s="1142">
        <f>CHOOSE($A$164,CG166,CG167,CG168)</f>
        <v>25.777777777777779</v>
      </c>
      <c r="CH165" s="1142">
        <f>CHOOSE($A$164,CH166,CH167,CH168)</f>
        <v>23.714285714285715</v>
      </c>
      <c r="CI165" s="11"/>
      <c r="CJ165" s="1278">
        <f>CHOOSE($A$164,CJ166,CJ167,CJ168)</f>
        <v>29.888888888888889</v>
      </c>
      <c r="CK165" s="1278">
        <f>CHOOSE($A$164,CK166,CK167,CK168)</f>
        <v>31.914893617021274</v>
      </c>
      <c r="CL165" s="1278">
        <f>CHOOSE($A$164,CL166,CL167,CL168)</f>
        <v>34.883720930232556</v>
      </c>
      <c r="CM165" s="1278">
        <f>CHOOSE($A$164,CM166,CM167,CM168)</f>
        <v>35.176470588235297</v>
      </c>
      <c r="CN165" s="11"/>
      <c r="CO165" s="1278">
        <f>CHOOSE($A$164,CO166,CO167,CO168)</f>
        <v>44.066390041493776</v>
      </c>
      <c r="CP165" s="1142">
        <f>CHOOSE($A$164,CP166,CP167,CP168)</f>
        <v>49.711538461538467</v>
      </c>
      <c r="CQ165" s="1142">
        <f>CHOOSE($A$164,CQ166,CQ167,CQ168)</f>
        <v>52.641509433962263</v>
      </c>
      <c r="CR165" s="1142">
        <f>CHOOSE($A$164,CR166,CR167,CR168)</f>
        <v>54.5</v>
      </c>
      <c r="CS165" s="11"/>
      <c r="CT165" s="1481">
        <f>CHOOSE($A$164,CT166,CT167,CT168)</f>
        <v>64.71337579617834</v>
      </c>
      <c r="CU165" s="1481">
        <f>CHOOSE($A$164,CU166,CU167,CU168)</f>
        <v>58.714285714285715</v>
      </c>
      <c r="CV165" s="1481">
        <f>CHOOSE($A$164,CV166,CV167,CV168)</f>
        <v>57.971014492753618</v>
      </c>
      <c r="CW165" s="1142">
        <f>CHOOSE($A$164,CW166,CW167,CW168)</f>
        <v>50.469798657718123</v>
      </c>
      <c r="CX165" s="11"/>
      <c r="CY165" s="1625">
        <f>CHOOSE($A$164,CY166,CY167,CY168)</f>
        <v>60.988372093023258</v>
      </c>
      <c r="CZ165" s="1625">
        <f>CHOOSE($A$164,CZ166,CZ167,CZ168)</f>
        <v>58.872180451127818</v>
      </c>
      <c r="DA165" s="1625">
        <f>CHOOSE($A$164,DA166,DA167,DA168)</f>
        <v>48.39622641509434</v>
      </c>
      <c r="DB165" s="1625">
        <f>CHOOSE($A$164,DB166,DB167,DB168)</f>
        <v>44.15094339622641</v>
      </c>
      <c r="DC165" s="2862"/>
      <c r="DD165" s="2374">
        <f>CHOOSE($A$164,DD166,DD167,DD168)</f>
        <v>51.747572815533978</v>
      </c>
      <c r="DE165" s="2374">
        <f>CHOOSE($A$164,DE166,DE167,DE168)</f>
        <v>54.347826086956523</v>
      </c>
      <c r="DF165" s="2374">
        <f>CHOOSE($A$164,DF166,DF167,DF168)</f>
        <v>52.736842105263158</v>
      </c>
      <c r="DG165" s="2374">
        <f>CHOOSE($A$164,DG166,DG167,DG168)</f>
        <v>57.826086956521749</v>
      </c>
      <c r="DH165" s="2862"/>
      <c r="DI165" s="2930">
        <f>CHOOSE($A$164,DI166,DI167,DI168)</f>
        <v>69.868421052631575</v>
      </c>
      <c r="DJ165" s="2930">
        <f>CHOOSE($A$164,DJ166,DJ167,DJ168)</f>
        <v>66.808510638297875</v>
      </c>
      <c r="DK165" s="2930">
        <f>CHOOSE($A$164,DK166,DK167,DK168)</f>
        <v>68.205128205128204</v>
      </c>
      <c r="DL165" s="2930">
        <f>CHOOSE($A$164,DL166,DL167,DL168)</f>
        <v>57</v>
      </c>
      <c r="DM165" s="2862"/>
      <c r="DN165" s="2930">
        <f t="shared" ref="DN165:DQ165" si="284">CHOOSE($A$164,DN166,DN167,DN168)</f>
        <v>59</v>
      </c>
      <c r="DO165" s="2930">
        <f t="shared" si="284"/>
        <v>62</v>
      </c>
      <c r="DP165" s="2930">
        <f t="shared" si="284"/>
        <v>65</v>
      </c>
      <c r="DQ165" s="2930">
        <f t="shared" si="284"/>
        <v>68</v>
      </c>
      <c r="DR165" s="1108"/>
    </row>
    <row r="166" spans="1:122">
      <c r="A166" s="1137" t="s">
        <v>907</v>
      </c>
      <c r="B166" s="11"/>
      <c r="C166" s="11"/>
      <c r="D166" s="11"/>
      <c r="E166" s="11"/>
      <c r="F166" s="11"/>
      <c r="G166" s="11"/>
      <c r="H166" s="162">
        <v>81.942446043165461</v>
      </c>
      <c r="I166" s="162">
        <v>83.169491525423723</v>
      </c>
      <c r="J166" s="162">
        <v>73.976608187134502</v>
      </c>
      <c r="K166" s="162">
        <v>68.592964824120614</v>
      </c>
      <c r="L166" s="162">
        <v>31</v>
      </c>
      <c r="M166" s="162">
        <f>M163/M171</f>
        <v>31.941066417212348</v>
      </c>
      <c r="N166" s="155">
        <v>20</v>
      </c>
      <c r="O166" s="919"/>
      <c r="P166" s="155"/>
      <c r="Q166" s="155"/>
      <c r="R166" s="155">
        <v>13</v>
      </c>
      <c r="S166" s="155">
        <v>17.5</v>
      </c>
      <c r="T166" s="155">
        <f>AVERAGE(CE166:CH166)</f>
        <v>23.936318389708219</v>
      </c>
      <c r="U166" s="1206">
        <f>+U163/U171</f>
        <v>32.028169014084504</v>
      </c>
      <c r="V166" s="1312">
        <f>AVERAGE(CO166:CR166)</f>
        <v>50.229859484248628</v>
      </c>
      <c r="W166" s="1206">
        <f>AVERAGE(CT166:CW166)</f>
        <v>57.967118665233947</v>
      </c>
      <c r="X166" s="1206"/>
      <c r="Y166" s="1206"/>
      <c r="Z166" s="2192">
        <f>AVERAGE(CY166:DB166)</f>
        <v>53.101930588867958</v>
      </c>
      <c r="AA166" s="2192">
        <f>AVERAGE(DD166:DG166)</f>
        <v>54.16458199106885</v>
      </c>
      <c r="AB166" s="2192"/>
      <c r="AC166" s="2192">
        <f>AVERAGE(DI166:DL166)</f>
        <v>65.470514974014407</v>
      </c>
      <c r="AD166" s="2192">
        <f>AVERAGE(DN166:DQ166)</f>
        <v>63.5</v>
      </c>
      <c r="AE166" s="2193">
        <f t="shared" ref="AE166:AN166" si="285">AD166*1.0825</f>
        <v>68.738749999999996</v>
      </c>
      <c r="AF166" s="2193">
        <f t="shared" si="285"/>
        <v>74.409696874999995</v>
      </c>
      <c r="AG166" s="2193">
        <f t="shared" si="285"/>
        <v>80.548496867187495</v>
      </c>
      <c r="AH166" s="2193">
        <f t="shared" si="285"/>
        <v>87.193747858730461</v>
      </c>
      <c r="AI166" s="2193">
        <f t="shared" si="285"/>
        <v>94.387232057075721</v>
      </c>
      <c r="AJ166" s="2193">
        <f t="shared" si="285"/>
        <v>102.17417870178447</v>
      </c>
      <c r="AK166" s="2193">
        <f t="shared" si="285"/>
        <v>110.60354844468169</v>
      </c>
      <c r="AL166" s="2193">
        <f t="shared" si="285"/>
        <v>119.72834119136793</v>
      </c>
      <c r="AM166" s="2193">
        <f t="shared" si="285"/>
        <v>129.6059293396558</v>
      </c>
      <c r="AN166" s="2193">
        <f t="shared" si="285"/>
        <v>140.29841851017741</v>
      </c>
      <c r="AO166" s="162"/>
      <c r="AP166" s="162"/>
      <c r="AQ166" s="162"/>
      <c r="AR166" s="162"/>
      <c r="AS166" s="162"/>
      <c r="AT166" s="155"/>
      <c r="AU166" s="14"/>
      <c r="AV166" s="14"/>
      <c r="AW166" s="14"/>
      <c r="AX166" s="14"/>
      <c r="AY166" s="14"/>
      <c r="AZ166" s="160"/>
      <c r="BA166" s="11"/>
      <c r="BB166" s="11"/>
      <c r="BC166" s="11"/>
      <c r="BD166" s="11"/>
      <c r="BE166" s="11"/>
      <c r="BF166" s="11"/>
      <c r="BG166" s="11"/>
      <c r="BH166" s="11"/>
      <c r="BI166" s="94"/>
      <c r="BJ166" s="94"/>
      <c r="BK166" s="94"/>
      <c r="BL166" s="94"/>
      <c r="BM166" s="94"/>
      <c r="BN166" s="94"/>
      <c r="BO166" s="11"/>
      <c r="BP166" s="155">
        <v>23.85</v>
      </c>
      <c r="BQ166" s="155">
        <v>22.13</v>
      </c>
      <c r="BR166" s="155">
        <v>16.7</v>
      </c>
      <c r="BS166" s="162">
        <v>10</v>
      </c>
      <c r="BT166" s="11"/>
      <c r="BU166" s="11"/>
      <c r="BV166" s="11"/>
      <c r="BW166" s="11"/>
      <c r="BX166" s="11"/>
      <c r="BY166" s="11"/>
      <c r="BZ166" s="11"/>
      <c r="CA166" s="11"/>
      <c r="CB166" s="11"/>
      <c r="CC166" s="11"/>
      <c r="CD166" s="11"/>
      <c r="CE166" s="1153">
        <f>+CE163/CE171</f>
        <v>21.101694915254235</v>
      </c>
      <c r="CF166" s="1153">
        <f>+CF163/CF171</f>
        <v>25.151515151515152</v>
      </c>
      <c r="CG166" s="1153">
        <f>+CG163/CG171</f>
        <v>25.777777777777779</v>
      </c>
      <c r="CH166" s="1153">
        <f>+CH163/CH171</f>
        <v>23.714285714285715</v>
      </c>
      <c r="CI166" s="125"/>
      <c r="CJ166" s="1279">
        <f>+CJ163/CJ171</f>
        <v>29.888888888888889</v>
      </c>
      <c r="CK166" s="1279">
        <f>+CK163/CK171</f>
        <v>31.914893617021274</v>
      </c>
      <c r="CL166" s="1279">
        <f>+CL163/CL171</f>
        <v>34.883720930232556</v>
      </c>
      <c r="CM166" s="1279">
        <f>+CM163/CM171</f>
        <v>35.176470588235297</v>
      </c>
      <c r="CN166" s="125"/>
      <c r="CO166" s="1279">
        <f>+CO163/CO171</f>
        <v>44.066390041493776</v>
      </c>
      <c r="CP166" s="1279">
        <f>+CP163/CP171</f>
        <v>49.711538461538467</v>
      </c>
      <c r="CQ166" s="1279">
        <f>+CQ163/CQ171</f>
        <v>52.641509433962263</v>
      </c>
      <c r="CR166" s="1279">
        <f>+CR163/CR171</f>
        <v>54.5</v>
      </c>
      <c r="CS166" s="125"/>
      <c r="CT166" s="1279">
        <f>+CT163/CT171</f>
        <v>64.71337579617834</v>
      </c>
      <c r="CU166" s="1279">
        <f>+CU163/CU171</f>
        <v>58.714285714285715</v>
      </c>
      <c r="CV166" s="1279">
        <f>+CV163/CV171</f>
        <v>57.971014492753618</v>
      </c>
      <c r="CW166" s="1279">
        <f>+CW163/CW171</f>
        <v>50.469798657718123</v>
      </c>
      <c r="CX166" s="1279"/>
      <c r="CY166" s="1279">
        <f>+CY163/CY171</f>
        <v>60.988372093023258</v>
      </c>
      <c r="CZ166" s="1279">
        <f>+CZ163/CZ171</f>
        <v>58.872180451127818</v>
      </c>
      <c r="DA166" s="1279">
        <f>+DA163/DA171</f>
        <v>48.39622641509434</v>
      </c>
      <c r="DB166" s="1279">
        <f>+DB163/DB171</f>
        <v>44.15094339622641</v>
      </c>
      <c r="DC166" s="2862"/>
      <c r="DD166" s="2375">
        <f>+DD163/DD171</f>
        <v>51.747572815533978</v>
      </c>
      <c r="DE166" s="2375">
        <f>+DE163/DE171</f>
        <v>54.347826086956523</v>
      </c>
      <c r="DF166" s="2375">
        <f>+DF163/DF171</f>
        <v>52.736842105263158</v>
      </c>
      <c r="DG166" s="2375">
        <f>+DG163/DG171</f>
        <v>57.826086956521749</v>
      </c>
      <c r="DH166" s="2862"/>
      <c r="DI166" s="3257">
        <f t="shared" ref="DI166:DJ166" si="286">+DI163/DI171</f>
        <v>69.868421052631575</v>
      </c>
      <c r="DJ166" s="3257">
        <f t="shared" si="286"/>
        <v>66.808510638297875</v>
      </c>
      <c r="DK166" s="3257">
        <f t="shared" ref="DK166" si="287">+DK163/DK171</f>
        <v>68.205128205128204</v>
      </c>
      <c r="DL166" s="3422">
        <v>57</v>
      </c>
      <c r="DM166" s="2862"/>
      <c r="DN166" s="3422">
        <v>59</v>
      </c>
      <c r="DO166" s="3422">
        <v>62</v>
      </c>
      <c r="DP166" s="3422">
        <v>65</v>
      </c>
      <c r="DQ166" s="3422">
        <v>68</v>
      </c>
      <c r="DR166" s="1108"/>
    </row>
    <row r="167" spans="1:122">
      <c r="A167" s="1137" t="s">
        <v>906</v>
      </c>
      <c r="B167" s="11"/>
      <c r="C167" s="11"/>
      <c r="D167" s="11"/>
      <c r="E167" s="11"/>
      <c r="F167" s="11"/>
      <c r="G167" s="11"/>
      <c r="H167" s="162"/>
      <c r="I167" s="162"/>
      <c r="J167" s="162"/>
      <c r="K167" s="162"/>
      <c r="L167" s="162"/>
      <c r="M167" s="162"/>
      <c r="N167" s="155"/>
      <c r="O167" s="919"/>
      <c r="P167" s="155"/>
      <c r="Q167" s="155"/>
      <c r="R167" s="155"/>
      <c r="S167" s="155">
        <v>18.5</v>
      </c>
      <c r="T167" s="155">
        <f>AVERAGE(CE167:CH167)</f>
        <v>24.329413627803458</v>
      </c>
      <c r="U167" s="162">
        <f>U166</f>
        <v>32.028169014084504</v>
      </c>
      <c r="V167" s="1312">
        <f>AVERAGE(CO167:CR167)</f>
        <v>50.229859484248628</v>
      </c>
      <c r="W167" s="1206">
        <f>AVERAGE(CT167:CW167)</f>
        <v>57.967118665233947</v>
      </c>
      <c r="X167" s="1206"/>
      <c r="Y167" s="1206"/>
      <c r="Z167" s="2192">
        <f>AVERAGE(CY167:DB167)</f>
        <v>53.101930588867958</v>
      </c>
      <c r="AA167" s="2192">
        <f>AVERAGE(DD167:DG167)</f>
        <v>54.16458199106885</v>
      </c>
      <c r="AB167" s="2192"/>
      <c r="AC167" s="2192">
        <f>AVERAGE(DI167:DL167)</f>
        <v>65.470514974014407</v>
      </c>
      <c r="AD167" s="2192">
        <f t="shared" ref="AD167:AD168" si="288">AVERAGE(DN167:DQ167)</f>
        <v>76.125</v>
      </c>
      <c r="AE167" s="2193">
        <f t="shared" ref="AE167:AN167" si="289">AD167*1.0825</f>
        <v>82.405312500000008</v>
      </c>
      <c r="AF167" s="2193">
        <f t="shared" si="289"/>
        <v>89.203750781250008</v>
      </c>
      <c r="AG167" s="2193">
        <f t="shared" si="289"/>
        <v>96.563060220703136</v>
      </c>
      <c r="AH167" s="2193">
        <f t="shared" si="289"/>
        <v>104.52951268891114</v>
      </c>
      <c r="AI167" s="2193">
        <f t="shared" si="289"/>
        <v>113.1531974857463</v>
      </c>
      <c r="AJ167" s="2193">
        <f t="shared" si="289"/>
        <v>122.48833627832038</v>
      </c>
      <c r="AK167" s="2193">
        <f t="shared" si="289"/>
        <v>132.59362402128181</v>
      </c>
      <c r="AL167" s="2193">
        <f t="shared" si="289"/>
        <v>143.53259800303758</v>
      </c>
      <c r="AM167" s="2193">
        <f t="shared" si="289"/>
        <v>155.37403733828819</v>
      </c>
      <c r="AN167" s="2193">
        <f t="shared" si="289"/>
        <v>168.19239541869698</v>
      </c>
      <c r="AO167" s="162"/>
      <c r="AP167" s="162"/>
      <c r="AQ167" s="162"/>
      <c r="AR167" s="162"/>
      <c r="AS167" s="162"/>
      <c r="AT167" s="155"/>
      <c r="AU167" s="14"/>
      <c r="AV167" s="14"/>
      <c r="AW167" s="14"/>
      <c r="AX167" s="14"/>
      <c r="AY167" s="14"/>
      <c r="AZ167" s="160"/>
      <c r="BA167" s="11"/>
      <c r="BB167" s="11"/>
      <c r="BC167" s="11"/>
      <c r="BD167" s="11"/>
      <c r="BE167" s="11"/>
      <c r="BF167" s="11"/>
      <c r="BG167" s="11"/>
      <c r="BH167" s="11"/>
      <c r="BI167" s="94"/>
      <c r="BJ167" s="94"/>
      <c r="BK167" s="94"/>
      <c r="BL167" s="94"/>
      <c r="BM167" s="94"/>
      <c r="BN167" s="94"/>
      <c r="BO167" s="11"/>
      <c r="BP167" s="155"/>
      <c r="BQ167" s="155"/>
      <c r="BR167" s="155"/>
      <c r="BS167" s="162"/>
      <c r="BT167" s="11"/>
      <c r="BU167" s="11"/>
      <c r="BV167" s="11"/>
      <c r="BW167" s="11"/>
      <c r="BX167" s="11"/>
      <c r="BY167" s="11"/>
      <c r="BZ167" s="11"/>
      <c r="CA167" s="11"/>
      <c r="CB167" s="11"/>
      <c r="CC167" s="11"/>
      <c r="CD167" s="11"/>
      <c r="CE167" s="125">
        <f>+CE166</f>
        <v>21.101694915254235</v>
      </c>
      <c r="CF167" s="125">
        <f>+CF166</f>
        <v>25.151515151515152</v>
      </c>
      <c r="CG167" s="125">
        <f>CG166*1.015</f>
        <v>26.164444444444442</v>
      </c>
      <c r="CH167" s="125">
        <f>CH166*1.05</f>
        <v>24.900000000000002</v>
      </c>
      <c r="CI167" s="11"/>
      <c r="CJ167" s="1280">
        <f>CJ166</f>
        <v>29.888888888888889</v>
      </c>
      <c r="CK167" s="1280">
        <f>CK166</f>
        <v>31.914893617021274</v>
      </c>
      <c r="CL167" s="1280">
        <f>CL166</f>
        <v>34.883720930232556</v>
      </c>
      <c r="CM167" s="1280">
        <f>CM166</f>
        <v>35.176470588235297</v>
      </c>
      <c r="CN167" s="11"/>
      <c r="CO167" s="1280">
        <f>CO166</f>
        <v>44.066390041493776</v>
      </c>
      <c r="CP167" s="1280">
        <f>CP166</f>
        <v>49.711538461538467</v>
      </c>
      <c r="CQ167" s="1280">
        <f>CQ166</f>
        <v>52.641509433962263</v>
      </c>
      <c r="CR167" s="1280">
        <f>CR166</f>
        <v>54.5</v>
      </c>
      <c r="CS167" s="11"/>
      <c r="CT167" s="1280">
        <f>CT166</f>
        <v>64.71337579617834</v>
      </c>
      <c r="CU167" s="1280">
        <f>CU166</f>
        <v>58.714285714285715</v>
      </c>
      <c r="CV167" s="1280">
        <f>CV166</f>
        <v>57.971014492753618</v>
      </c>
      <c r="CW167" s="1280">
        <f>CW166</f>
        <v>50.469798657718123</v>
      </c>
      <c r="CX167" s="125"/>
      <c r="CY167" s="1280">
        <f>CY166</f>
        <v>60.988372093023258</v>
      </c>
      <c r="CZ167" s="1280">
        <f>CZ166</f>
        <v>58.872180451127818</v>
      </c>
      <c r="DA167" s="1280">
        <f>DA166</f>
        <v>48.39622641509434</v>
      </c>
      <c r="DB167" s="1280">
        <f>DB166</f>
        <v>44.15094339622641</v>
      </c>
      <c r="DC167" s="2862"/>
      <c r="DD167" s="2376">
        <f>DD166</f>
        <v>51.747572815533978</v>
      </c>
      <c r="DE167" s="2376">
        <f>DE166</f>
        <v>54.347826086956523</v>
      </c>
      <c r="DF167" s="2376">
        <f>DF166</f>
        <v>52.736842105263158</v>
      </c>
      <c r="DG167" s="2376">
        <f>DG166</f>
        <v>57.826086956521749</v>
      </c>
      <c r="DH167" s="2862"/>
      <c r="DI167" s="2931">
        <f t="shared" ref="DI167:DK168" si="290">DI166</f>
        <v>69.868421052631575</v>
      </c>
      <c r="DJ167" s="2931">
        <f t="shared" si="290"/>
        <v>66.808510638297875</v>
      </c>
      <c r="DK167" s="2931">
        <f t="shared" si="290"/>
        <v>68.205128205128204</v>
      </c>
      <c r="DL167" s="2931">
        <f t="shared" ref="DL167:DL168" si="291">DL166</f>
        <v>57</v>
      </c>
      <c r="DM167" s="2862"/>
      <c r="DN167" s="3423">
        <f>DN166*1.05</f>
        <v>61.95</v>
      </c>
      <c r="DO167" s="3423">
        <f>DO166*1.15</f>
        <v>71.3</v>
      </c>
      <c r="DP167" s="3423">
        <f>DP166*1.25</f>
        <v>81.25</v>
      </c>
      <c r="DQ167" s="3422">
        <v>90</v>
      </c>
      <c r="DR167" s="1108"/>
    </row>
    <row r="168" spans="1:122">
      <c r="A168" s="1137" t="s">
        <v>908</v>
      </c>
      <c r="B168" s="11"/>
      <c r="C168" s="11"/>
      <c r="D168" s="11"/>
      <c r="E168" s="11"/>
      <c r="F168" s="11"/>
      <c r="G168" s="11"/>
      <c r="H168" s="162"/>
      <c r="I168" s="162"/>
      <c r="J168" s="162"/>
      <c r="K168" s="162"/>
      <c r="L168" s="162"/>
      <c r="M168" s="162"/>
      <c r="N168" s="155"/>
      <c r="O168" s="919"/>
      <c r="P168" s="155"/>
      <c r="Q168" s="155"/>
      <c r="R168" s="155"/>
      <c r="S168" s="155">
        <v>15</v>
      </c>
      <c r="T168" s="155">
        <f>AVERAGE(CE168:CH168)</f>
        <v>23.070207278597106</v>
      </c>
      <c r="U168" s="162">
        <f>U167</f>
        <v>32.028169014084504</v>
      </c>
      <c r="V168" s="1312">
        <f>AVERAGE(CO168:CR168)</f>
        <v>50.229859484248628</v>
      </c>
      <c r="W168" s="1206">
        <f>AVERAGE(CT168:CW168)</f>
        <v>57.967118665233947</v>
      </c>
      <c r="X168" s="1206"/>
      <c r="Y168" s="1206"/>
      <c r="Z168" s="2192">
        <f>AVERAGE(CY168:DB168)</f>
        <v>53.101930588867958</v>
      </c>
      <c r="AA168" s="2192">
        <f>AVERAGE(DD168:DG168)</f>
        <v>54.16458199106885</v>
      </c>
      <c r="AB168" s="2192"/>
      <c r="AC168" s="2192">
        <f>AVERAGE(DI168:DL168)</f>
        <v>65.470514974014407</v>
      </c>
      <c r="AD168" s="2192">
        <f t="shared" si="288"/>
        <v>51.45</v>
      </c>
      <c r="AE168" s="2193">
        <f t="shared" ref="AE168:AN168" si="292">AD168*1.0825</f>
        <v>55.694625000000002</v>
      </c>
      <c r="AF168" s="2193">
        <f t="shared" si="292"/>
        <v>60.289431562500006</v>
      </c>
      <c r="AG168" s="2193">
        <f t="shared" si="292"/>
        <v>65.263309666406258</v>
      </c>
      <c r="AH168" s="2193">
        <f t="shared" si="292"/>
        <v>70.647532713884772</v>
      </c>
      <c r="AI168" s="2193">
        <f t="shared" si="292"/>
        <v>76.475954162780269</v>
      </c>
      <c r="AJ168" s="2193">
        <f t="shared" si="292"/>
        <v>82.785220381209641</v>
      </c>
      <c r="AK168" s="2193">
        <f t="shared" si="292"/>
        <v>89.615001062659431</v>
      </c>
      <c r="AL168" s="2193">
        <f t="shared" si="292"/>
        <v>97.008238650328835</v>
      </c>
      <c r="AM168" s="2193">
        <f t="shared" si="292"/>
        <v>105.01141833898096</v>
      </c>
      <c r="AN168" s="2193">
        <f t="shared" si="292"/>
        <v>113.67486035194689</v>
      </c>
      <c r="AO168" s="162"/>
      <c r="AP168" s="162"/>
      <c r="AQ168" s="162"/>
      <c r="AR168" s="162"/>
      <c r="AS168" s="162"/>
      <c r="AT168" s="155"/>
      <c r="AU168" s="14"/>
      <c r="AV168" s="14"/>
      <c r="AW168" s="14"/>
      <c r="AX168" s="14"/>
      <c r="AY168" s="14"/>
      <c r="AZ168" s="160"/>
      <c r="BA168" s="11"/>
      <c r="BB168" s="11"/>
      <c r="BC168" s="11"/>
      <c r="BD168" s="11"/>
      <c r="BE168" s="11"/>
      <c r="BF168" s="11"/>
      <c r="BG168" s="11"/>
      <c r="BH168" s="11"/>
      <c r="BI168" s="94"/>
      <c r="BJ168" s="94"/>
      <c r="BK168" s="94"/>
      <c r="BL168" s="94"/>
      <c r="BM168" s="94"/>
      <c r="BN168" s="94"/>
      <c r="BO168" s="11"/>
      <c r="BP168" s="155"/>
      <c r="BQ168" s="155"/>
      <c r="BR168" s="155"/>
      <c r="BS168" s="162"/>
      <c r="BT168" s="11"/>
      <c r="BU168" s="11"/>
      <c r="BV168" s="11"/>
      <c r="BW168" s="11"/>
      <c r="BX168" s="11"/>
      <c r="BY168" s="11"/>
      <c r="BZ168" s="11"/>
      <c r="CA168" s="11"/>
      <c r="CB168" s="11"/>
      <c r="CC168" s="11"/>
      <c r="CD168" s="11"/>
      <c r="CE168" s="125">
        <f>+CE167</f>
        <v>21.101694915254235</v>
      </c>
      <c r="CF168" s="125">
        <f>+CF167</f>
        <v>25.151515151515152</v>
      </c>
      <c r="CG168" s="125">
        <f>CG166*0.93</f>
        <v>23.973333333333336</v>
      </c>
      <c r="CH168" s="125">
        <f>CH166*0.93</f>
        <v>22.054285714285715</v>
      </c>
      <c r="CI168" s="11"/>
      <c r="CJ168" s="1280">
        <f>CJ166</f>
        <v>29.888888888888889</v>
      </c>
      <c r="CK168" s="1280">
        <f>CK166</f>
        <v>31.914893617021274</v>
      </c>
      <c r="CL168" s="1280">
        <f>CL166</f>
        <v>34.883720930232556</v>
      </c>
      <c r="CM168" s="1280">
        <f>CM166</f>
        <v>35.176470588235297</v>
      </c>
      <c r="CN168" s="11"/>
      <c r="CO168" s="1280">
        <f>CO166</f>
        <v>44.066390041493776</v>
      </c>
      <c r="CP168" s="1280">
        <f>CP166</f>
        <v>49.711538461538467</v>
      </c>
      <c r="CQ168" s="1280">
        <f>CQ166</f>
        <v>52.641509433962263</v>
      </c>
      <c r="CR168" s="1280">
        <f>CR166</f>
        <v>54.5</v>
      </c>
      <c r="CS168" s="11"/>
      <c r="CT168" s="1280">
        <f>CT166</f>
        <v>64.71337579617834</v>
      </c>
      <c r="CU168" s="1280">
        <f>CU166</f>
        <v>58.714285714285715</v>
      </c>
      <c r="CV168" s="1280">
        <f>CV166</f>
        <v>57.971014492753618</v>
      </c>
      <c r="CW168" s="1280">
        <f>CW166</f>
        <v>50.469798657718123</v>
      </c>
      <c r="CX168" s="125"/>
      <c r="CY168" s="1280">
        <f>CY166</f>
        <v>60.988372093023258</v>
      </c>
      <c r="CZ168" s="1280">
        <f>CZ166</f>
        <v>58.872180451127818</v>
      </c>
      <c r="DA168" s="1280">
        <f>DA166</f>
        <v>48.39622641509434</v>
      </c>
      <c r="DB168" s="1280">
        <f>DB166</f>
        <v>44.15094339622641</v>
      </c>
      <c r="DC168" s="2869"/>
      <c r="DD168" s="2376">
        <f>DD166</f>
        <v>51.747572815533978</v>
      </c>
      <c r="DE168" s="2376">
        <f>DE166</f>
        <v>54.347826086956523</v>
      </c>
      <c r="DF168" s="2376">
        <f>DF166</f>
        <v>52.736842105263158</v>
      </c>
      <c r="DG168" s="2376">
        <f>DG166</f>
        <v>57.826086956521749</v>
      </c>
      <c r="DH168" s="2869"/>
      <c r="DI168" s="2931">
        <f t="shared" si="290"/>
        <v>69.868421052631575</v>
      </c>
      <c r="DJ168" s="2931">
        <f t="shared" si="290"/>
        <v>66.808510638297875</v>
      </c>
      <c r="DK168" s="2931">
        <f t="shared" si="290"/>
        <v>68.205128205128204</v>
      </c>
      <c r="DL168" s="2931">
        <f t="shared" si="291"/>
        <v>57</v>
      </c>
      <c r="DM168" s="2862"/>
      <c r="DN168" s="3423">
        <f>DN166*0.95</f>
        <v>56.05</v>
      </c>
      <c r="DO168" s="3423">
        <f>DO166*0.85</f>
        <v>52.699999999999996</v>
      </c>
      <c r="DP168" s="3423">
        <f>DP166*0.77</f>
        <v>50.050000000000004</v>
      </c>
      <c r="DQ168" s="3422">
        <v>47</v>
      </c>
      <c r="DR168" s="1108"/>
    </row>
    <row r="169" spans="1:122">
      <c r="A169" s="1137"/>
      <c r="B169" s="11"/>
      <c r="C169" s="11"/>
      <c r="D169" s="11"/>
      <c r="E169" s="11"/>
      <c r="F169" s="11"/>
      <c r="G169" s="11"/>
      <c r="H169" s="162"/>
      <c r="I169" s="162"/>
      <c r="J169" s="162"/>
      <c r="K169" s="162"/>
      <c r="L169" s="162"/>
      <c r="M169" s="162"/>
      <c r="N169" s="155"/>
      <c r="O169" s="919"/>
      <c r="P169" s="155"/>
      <c r="Q169" s="155"/>
      <c r="R169" s="155"/>
      <c r="S169" s="155"/>
      <c r="T169" s="162"/>
      <c r="U169" s="162"/>
      <c r="V169" s="162"/>
      <c r="W169" s="162"/>
      <c r="X169" s="162"/>
      <c r="Y169" s="162"/>
      <c r="Z169" s="2193"/>
      <c r="AA169" s="2193"/>
      <c r="AB169" s="2193"/>
      <c r="AC169" s="2193"/>
      <c r="AD169" s="2193"/>
      <c r="AE169" s="2193"/>
      <c r="AF169" s="2193"/>
      <c r="AG169" s="162"/>
      <c r="AH169" s="162"/>
      <c r="AI169" s="162"/>
      <c r="AJ169" s="162"/>
      <c r="AK169" s="162"/>
      <c r="AL169" s="2193"/>
      <c r="AM169" s="162"/>
      <c r="AN169" s="162"/>
      <c r="AO169" s="162"/>
      <c r="AP169" s="162"/>
      <c r="AQ169" s="162"/>
      <c r="AR169" s="162"/>
      <c r="AS169" s="162"/>
      <c r="AT169" s="155"/>
      <c r="AU169" s="14"/>
      <c r="AV169" s="14"/>
      <c r="AW169" s="14"/>
      <c r="AX169" s="14"/>
      <c r="AY169" s="14"/>
      <c r="AZ169" s="160"/>
      <c r="BA169" s="11"/>
      <c r="BB169" s="11"/>
      <c r="BC169" s="11"/>
      <c r="BD169" s="11"/>
      <c r="BE169" s="11"/>
      <c r="BF169" s="11"/>
      <c r="BG169" s="11"/>
      <c r="BH169" s="11"/>
      <c r="BI169" s="94"/>
      <c r="BJ169" s="94"/>
      <c r="BK169" s="94"/>
      <c r="BL169" s="94"/>
      <c r="BM169" s="94"/>
      <c r="BN169" s="94"/>
      <c r="BO169" s="11"/>
      <c r="BP169" s="155"/>
      <c r="BQ169" s="155"/>
      <c r="BR169" s="155"/>
      <c r="BS169" s="162"/>
      <c r="BT169" s="11"/>
      <c r="BU169" s="11"/>
      <c r="BV169" s="11"/>
      <c r="BW169" s="11"/>
      <c r="BX169" s="11"/>
      <c r="BY169" s="11"/>
      <c r="BZ169" s="11"/>
      <c r="CA169" s="11"/>
      <c r="CB169" s="11"/>
      <c r="CC169" s="11"/>
      <c r="CD169" s="11"/>
      <c r="CE169" s="11"/>
      <c r="CF169" s="11"/>
      <c r="CG169" s="11"/>
      <c r="CH169" s="11"/>
      <c r="CI169" s="11"/>
      <c r="CJ169" s="11"/>
      <c r="CK169" s="11"/>
      <c r="CL169" s="11"/>
      <c r="CM169" s="11"/>
      <c r="CN169" s="11"/>
      <c r="CO169" s="11"/>
      <c r="CP169" s="432"/>
      <c r="CQ169" s="11"/>
      <c r="CR169" s="11"/>
      <c r="CS169" s="11"/>
      <c r="CT169" s="906"/>
      <c r="CU169" s="906"/>
      <c r="CV169" s="906"/>
      <c r="CW169" s="11"/>
      <c r="CX169" s="11"/>
      <c r="CY169" s="906"/>
      <c r="CZ169" s="906"/>
      <c r="DA169" s="906"/>
      <c r="DB169" s="906"/>
      <c r="DC169" s="2862"/>
      <c r="DD169" s="1108"/>
      <c r="DE169" s="1108"/>
      <c r="DF169" s="1108"/>
      <c r="DG169" s="2862"/>
      <c r="DH169" s="2862"/>
      <c r="DI169" s="2862"/>
      <c r="DJ169" s="2862"/>
      <c r="DK169" s="2862"/>
      <c r="DL169" s="2932"/>
      <c r="DM169" s="1108"/>
      <c r="DN169" s="1108"/>
      <c r="DO169" s="1108"/>
      <c r="DP169" s="1108"/>
      <c r="DQ169" s="1108"/>
      <c r="DR169" s="1108"/>
    </row>
    <row r="170" spans="1:122">
      <c r="A170" s="1137" t="s">
        <v>624</v>
      </c>
      <c r="B170" s="11"/>
      <c r="C170" s="11"/>
      <c r="D170" s="11"/>
      <c r="E170" s="11"/>
      <c r="F170" s="11"/>
      <c r="G170" s="11"/>
      <c r="H170" s="162"/>
      <c r="I170" s="162"/>
      <c r="J170" s="162"/>
      <c r="K170" s="162"/>
      <c r="L170" s="162"/>
      <c r="M170" s="162"/>
      <c r="N170" s="923">
        <v>0.06</v>
      </c>
      <c r="O170" s="919"/>
      <c r="P170" s="923"/>
      <c r="Q170" s="923"/>
      <c r="R170" s="923">
        <v>1.4999999999999999E-2</v>
      </c>
      <c r="S170" s="923">
        <v>0.05</v>
      </c>
      <c r="T170" s="923">
        <f>T163/T186</f>
        <v>1.5333333333333334</v>
      </c>
      <c r="U170" s="923">
        <f>U163/U186</f>
        <v>1.6059322033898304</v>
      </c>
      <c r="V170" s="923">
        <f>V163/V186</f>
        <v>5.5037783375314859</v>
      </c>
      <c r="W170" s="923">
        <f>W163/W186</f>
        <v>8.3995327102803738</v>
      </c>
      <c r="X170" s="923"/>
      <c r="Y170" s="923"/>
      <c r="Z170" s="923">
        <f>Z163/Z186</f>
        <v>8.8738170347003162</v>
      </c>
      <c r="AA170" s="923">
        <f t="shared" ref="AA170:AL170" si="293">AA163/AA186</f>
        <v>5.011705685618729</v>
      </c>
      <c r="AB170" s="923"/>
      <c r="AC170" s="923">
        <f t="shared" ca="1" si="293"/>
        <v>2.2217778222177889</v>
      </c>
      <c r="AD170" s="923">
        <f t="shared" ca="1" si="293"/>
        <v>1.2347270159820953</v>
      </c>
      <c r="AE170" s="923">
        <f t="shared" ca="1" si="293"/>
        <v>2.9999999999999991</v>
      </c>
      <c r="AF170" s="923">
        <f t="shared" ca="1" si="293"/>
        <v>2.5973144880446228</v>
      </c>
      <c r="AG170" s="923">
        <f t="shared" ca="1" si="293"/>
        <v>2.0129540391134788</v>
      </c>
      <c r="AH170" s="923">
        <f t="shared" ca="1" si="293"/>
        <v>2.2092430368199478</v>
      </c>
      <c r="AI170" s="923">
        <f t="shared" ca="1" si="293"/>
        <v>3.2791327199999998</v>
      </c>
      <c r="AJ170" s="923">
        <f t="shared" ca="1" si="293"/>
        <v>3.3447153743999998</v>
      </c>
      <c r="AK170" s="923">
        <f t="shared" ca="1" si="293"/>
        <v>3.4116096818879997</v>
      </c>
      <c r="AL170" s="923">
        <f t="shared" ca="1" si="293"/>
        <v>3.4798418755257599</v>
      </c>
      <c r="AM170" s="923">
        <f ca="1">AM163/AM186</f>
        <v>3.5494387130362752</v>
      </c>
      <c r="AN170" s="923">
        <f ca="1">AN163/AN186</f>
        <v>3.6204274872970008</v>
      </c>
      <c r="AO170" s="923"/>
      <c r="AP170" s="923"/>
      <c r="AQ170" s="923"/>
      <c r="AR170" s="923"/>
      <c r="AS170" s="923"/>
      <c r="AT170" s="155"/>
      <c r="AU170" s="14"/>
      <c r="AV170" s="14"/>
      <c r="AW170" s="14"/>
      <c r="AX170" s="14"/>
      <c r="AY170" s="14"/>
      <c r="AZ170" s="160"/>
      <c r="BA170" s="11"/>
      <c r="BB170" s="11"/>
      <c r="BC170" s="11"/>
      <c r="BD170" s="11"/>
      <c r="BE170" s="11"/>
      <c r="BF170" s="11"/>
      <c r="BG170" s="11"/>
      <c r="BH170" s="11"/>
      <c r="BI170" s="94"/>
      <c r="BJ170" s="94"/>
      <c r="BK170" s="94"/>
      <c r="BL170" s="94"/>
      <c r="BM170" s="94"/>
      <c r="BN170" s="94"/>
      <c r="BO170" s="11"/>
      <c r="BP170" s="103"/>
      <c r="BQ170" s="103"/>
      <c r="BR170" s="103"/>
      <c r="BS170" s="103"/>
      <c r="BT170" s="11"/>
      <c r="BU170" s="11"/>
      <c r="BV170" s="11"/>
      <c r="BW170" s="11"/>
      <c r="BX170" s="11"/>
      <c r="BY170" s="11"/>
      <c r="BZ170" s="11"/>
      <c r="CA170" s="11"/>
      <c r="CB170" s="11"/>
      <c r="CC170" s="11"/>
      <c r="CD170" s="11"/>
      <c r="CE170" s="11"/>
      <c r="CF170" s="11"/>
      <c r="CG170" s="11"/>
      <c r="CH170" s="11"/>
      <c r="CI170" s="11"/>
      <c r="CJ170" s="11"/>
      <c r="CK170" s="11"/>
      <c r="CL170" s="11"/>
      <c r="CM170" s="11"/>
      <c r="CN170" s="11"/>
      <c r="CO170" s="11"/>
      <c r="CP170" s="11"/>
      <c r="CQ170" s="11"/>
      <c r="CR170" s="11"/>
      <c r="CS170" s="11"/>
      <c r="CT170" s="906"/>
      <c r="CU170" s="906"/>
      <c r="CV170" s="906"/>
      <c r="CW170" s="11"/>
      <c r="CX170" s="11"/>
      <c r="CY170" s="906"/>
      <c r="CZ170" s="906"/>
      <c r="DA170" s="906"/>
      <c r="DB170" s="11"/>
      <c r="DC170" s="2862"/>
      <c r="DD170" s="1108"/>
      <c r="DE170" s="1108"/>
      <c r="DF170" s="1108"/>
      <c r="DG170" s="1108"/>
      <c r="DH170" s="1108"/>
      <c r="DI170" s="1108"/>
      <c r="DJ170" s="1108"/>
      <c r="DK170" s="1108"/>
      <c r="DL170" s="1108"/>
      <c r="DM170" s="1108"/>
      <c r="DN170" s="1108"/>
      <c r="DO170" s="1108"/>
      <c r="DP170" s="1108"/>
      <c r="DQ170" s="1108"/>
      <c r="DR170" s="1108"/>
    </row>
    <row r="171" spans="1:122">
      <c r="A171" s="1137" t="s">
        <v>625</v>
      </c>
      <c r="B171" s="11"/>
      <c r="C171" s="11"/>
      <c r="D171" s="11"/>
      <c r="E171" s="11"/>
      <c r="F171" s="11"/>
      <c r="G171" s="11"/>
      <c r="H171" s="162"/>
      <c r="I171" s="111">
        <v>11.8</v>
      </c>
      <c r="J171" s="111">
        <v>34.200000000000003</v>
      </c>
      <c r="K171" s="113">
        <v>79.599999999999994</v>
      </c>
      <c r="L171" s="113">
        <v>0.2</v>
      </c>
      <c r="M171" s="113">
        <v>106.9</v>
      </c>
      <c r="N171" s="124">
        <f>N163/N166</f>
        <v>2.3346</v>
      </c>
      <c r="O171" s="919"/>
      <c r="P171" s="124"/>
      <c r="Q171" s="124"/>
      <c r="R171" s="124">
        <f>R163*1000/R166/1000</f>
        <v>0</v>
      </c>
      <c r="S171" s="124">
        <f>S163*1000/S166/1000</f>
        <v>0</v>
      </c>
      <c r="T171" s="124">
        <f>+SUM(CE171:CH171)</f>
        <v>42.2</v>
      </c>
      <c r="U171" s="757">
        <f>+SUM(CJ171:CM171)</f>
        <v>35.5</v>
      </c>
      <c r="V171" s="757">
        <f>SUM(CO171:CR171)</f>
        <v>45.8</v>
      </c>
      <c r="W171" s="757">
        <f>SUM(CT171:CW171)</f>
        <v>60.199999999999996</v>
      </c>
      <c r="X171" s="757"/>
      <c r="Y171" s="757"/>
      <c r="Z171" s="757">
        <f>SUM(CY171:DB171)</f>
        <v>51.7</v>
      </c>
      <c r="AA171" s="2431">
        <f>SUM(DD171:DG171)</f>
        <v>54.3</v>
      </c>
      <c r="AB171" s="2431"/>
      <c r="AC171" s="2431">
        <f>SUM(DI171:DL171)</f>
        <v>16.2</v>
      </c>
      <c r="AD171" s="2431">
        <f>SUM(DN171:DQ171)</f>
        <v>14.21295357104864</v>
      </c>
      <c r="AE171" s="1727">
        <f t="shared" ref="AE171:AK171" si="294">AE163/AE165</f>
        <v>21.821752650433709</v>
      </c>
      <c r="AF171" s="1727">
        <f t="shared" si="294"/>
        <v>20.763422845216368</v>
      </c>
      <c r="AG171" s="124">
        <f t="shared" si="294"/>
        <v>19.564610902651914</v>
      </c>
      <c r="AH171" s="124">
        <f t="shared" si="294"/>
        <v>18.43501443021243</v>
      </c>
      <c r="AI171" s="124">
        <f t="shared" si="294"/>
        <v>17.370637153641276</v>
      </c>
      <c r="AJ171" s="124">
        <f t="shared" si="294"/>
        <v>16.367713530451823</v>
      </c>
      <c r="AK171" s="124">
        <f t="shared" si="294"/>
        <v>15.422695428231741</v>
      </c>
      <c r="AL171" s="1727">
        <f>AL163/AL165</f>
        <v>14.53223957209827</v>
      </c>
      <c r="AM171" s="1727">
        <f>AM163/AM165</f>
        <v>13.693195716896291</v>
      </c>
      <c r="AN171" s="1727">
        <f>AN163/AN165</f>
        <v>12.902595502294888</v>
      </c>
      <c r="AO171" s="124"/>
      <c r="AP171" s="124"/>
      <c r="AQ171" s="124"/>
      <c r="AR171" s="124"/>
      <c r="AS171" s="124"/>
      <c r="AT171" s="155"/>
      <c r="AU171" s="14"/>
      <c r="AV171" s="14"/>
      <c r="AW171" s="14"/>
      <c r="AX171" s="14"/>
      <c r="AY171" s="14"/>
      <c r="AZ171" s="160"/>
      <c r="BA171" s="11"/>
      <c r="BB171" s="11"/>
      <c r="BC171" s="11"/>
      <c r="BD171" s="11"/>
      <c r="BE171" s="11"/>
      <c r="BF171" s="11"/>
      <c r="BG171" s="11"/>
      <c r="BH171" s="11"/>
      <c r="BI171" s="94"/>
      <c r="BJ171" s="94"/>
      <c r="BK171" s="94"/>
      <c r="BL171" s="94"/>
      <c r="BM171" s="94"/>
      <c r="BN171" s="94"/>
      <c r="BO171" s="11"/>
      <c r="BP171" s="159">
        <f>BP163/BP166</f>
        <v>0.49895178197064988</v>
      </c>
      <c r="BQ171" s="159">
        <f>BQ163/BQ166</f>
        <v>1.4821509263443289</v>
      </c>
      <c r="BR171" s="159">
        <f>BR163/BR166</f>
        <v>5.3892215568862617E-2</v>
      </c>
      <c r="BS171" s="159">
        <f>BS163/BS166</f>
        <v>0.10919999999999988</v>
      </c>
      <c r="BT171" s="11"/>
      <c r="BU171" s="159"/>
      <c r="BV171" s="159"/>
      <c r="BW171" s="159"/>
      <c r="BX171" s="159"/>
      <c r="BY171" s="11"/>
      <c r="BZ171" s="159"/>
      <c r="CA171" s="159"/>
      <c r="CB171" s="159"/>
      <c r="CC171" s="159"/>
      <c r="CD171" s="11"/>
      <c r="CE171" s="78">
        <v>11.8</v>
      </c>
      <c r="CF171" s="78">
        <v>9.9</v>
      </c>
      <c r="CG171" s="78">
        <v>13.5</v>
      </c>
      <c r="CH171" s="78">
        <v>7</v>
      </c>
      <c r="CI171" s="11"/>
      <c r="CJ171" s="78">
        <v>9</v>
      </c>
      <c r="CK171" s="78">
        <v>9.4</v>
      </c>
      <c r="CL171" s="78">
        <v>8.6</v>
      </c>
      <c r="CM171" s="78">
        <v>8.5</v>
      </c>
      <c r="CN171" s="432">
        <f>U171-SUM(CJ171:CM171)</f>
        <v>0</v>
      </c>
      <c r="CO171" s="78">
        <v>24.1</v>
      </c>
      <c r="CP171" s="78">
        <f>4.3+6.1</f>
        <v>10.399999999999999</v>
      </c>
      <c r="CQ171" s="78">
        <v>5.3</v>
      </c>
      <c r="CR171" s="78">
        <f>45.8-SUM(CO171:CQ171)</f>
        <v>6</v>
      </c>
      <c r="CS171" s="432">
        <f>V171-SUM(CO171:CR171)</f>
        <v>0</v>
      </c>
      <c r="CT171" s="78">
        <v>31.4</v>
      </c>
      <c r="CU171" s="78">
        <v>7</v>
      </c>
      <c r="CV171" s="78">
        <v>6.9</v>
      </c>
      <c r="CW171" s="78">
        <v>14.9</v>
      </c>
      <c r="CX171" s="432">
        <f>$W171-SUM(CT171:CW171)</f>
        <v>0</v>
      </c>
      <c r="CY171" s="78">
        <v>17.2</v>
      </c>
      <c r="CZ171" s="78">
        <f>30.5-CY171</f>
        <v>13.3</v>
      </c>
      <c r="DA171" s="2030">
        <v>10.6</v>
      </c>
      <c r="DB171" s="2030">
        <f>51.7-SUM(CY171:DA171)</f>
        <v>10.600000000000001</v>
      </c>
      <c r="DC171" s="2936">
        <f>$Z171-SUM(CY171:DB171)</f>
        <v>0</v>
      </c>
      <c r="DD171" s="2848">
        <v>10.3</v>
      </c>
      <c r="DE171" s="2848">
        <v>9.1999999999999993</v>
      </c>
      <c r="DF171" s="2848">
        <v>9.5</v>
      </c>
      <c r="DG171" s="2848">
        <f>54.3-SUM(DD171:DF171)</f>
        <v>25.299999999999997</v>
      </c>
      <c r="DH171" s="2862"/>
      <c r="DI171" s="2848">
        <v>7.6</v>
      </c>
      <c r="DJ171" s="2848">
        <v>4.7</v>
      </c>
      <c r="DK171" s="2848">
        <v>3.9</v>
      </c>
      <c r="DL171" s="1727">
        <f>DL163/DL165</f>
        <v>0</v>
      </c>
      <c r="DM171" s="1108"/>
      <c r="DN171" s="1727">
        <f t="shared" ref="DN171:DQ171" si="295">DN163/DN165</f>
        <v>3.8135593220338984</v>
      </c>
      <c r="DO171" s="1727">
        <f t="shared" si="295"/>
        <v>3.629032258064516</v>
      </c>
      <c r="DP171" s="1727">
        <f t="shared" si="295"/>
        <v>3.4615384615384617</v>
      </c>
      <c r="DQ171" s="1727">
        <f t="shared" si="295"/>
        <v>3.3088235294117645</v>
      </c>
      <c r="DR171" s="1699"/>
    </row>
    <row r="172" spans="1:122">
      <c r="A172" s="1137" t="s">
        <v>626</v>
      </c>
      <c r="B172" s="11"/>
      <c r="C172" s="11"/>
      <c r="D172" s="11"/>
      <c r="E172" s="11"/>
      <c r="F172" s="11"/>
      <c r="G172" s="11"/>
      <c r="H172" s="162"/>
      <c r="I172" s="162"/>
      <c r="J172" s="162"/>
      <c r="K172" s="162"/>
      <c r="L172" s="11"/>
      <c r="M172" s="11"/>
      <c r="N172" s="1143">
        <v>1</v>
      </c>
      <c r="O172" s="919"/>
      <c r="P172" s="1143"/>
      <c r="Q172" s="1143"/>
      <c r="R172" s="1143">
        <v>0</v>
      </c>
      <c r="S172" s="1143">
        <v>0</v>
      </c>
      <c r="T172" s="1143">
        <v>0</v>
      </c>
      <c r="U172" s="1143">
        <v>0</v>
      </c>
      <c r="V172" s="1143">
        <v>1</v>
      </c>
      <c r="W172" s="1143">
        <v>1</v>
      </c>
      <c r="X172" s="1143"/>
      <c r="Y172" s="1143"/>
      <c r="Z172" s="1143">
        <v>1</v>
      </c>
      <c r="AA172" s="2237">
        <v>1</v>
      </c>
      <c r="AB172" s="2237"/>
      <c r="AC172" s="2237">
        <v>1</v>
      </c>
      <c r="AD172" s="2237">
        <v>1</v>
      </c>
      <c r="AE172" s="2237">
        <v>1</v>
      </c>
      <c r="AF172" s="2237">
        <v>1</v>
      </c>
      <c r="AG172" s="1143">
        <v>1</v>
      </c>
      <c r="AH172" s="1143">
        <v>1</v>
      </c>
      <c r="AI172" s="1143">
        <v>1</v>
      </c>
      <c r="AJ172" s="1143">
        <v>1</v>
      </c>
      <c r="AK172" s="1143">
        <v>1</v>
      </c>
      <c r="AL172" s="2237">
        <v>1</v>
      </c>
      <c r="AM172" s="2237">
        <v>1</v>
      </c>
      <c r="AN172" s="2237">
        <v>1</v>
      </c>
      <c r="AO172" s="1143"/>
      <c r="AP172" s="1143"/>
      <c r="AQ172" s="1143"/>
      <c r="AR172" s="1143"/>
      <c r="AS172" s="1143"/>
      <c r="AT172" s="155"/>
      <c r="AU172" s="14"/>
      <c r="AV172" s="14"/>
      <c r="AW172" s="14"/>
      <c r="AX172" s="14"/>
      <c r="AY172" s="14"/>
      <c r="AZ172" s="160"/>
      <c r="BA172" s="11"/>
      <c r="BB172" s="11"/>
      <c r="BC172" s="11"/>
      <c r="BD172" s="11"/>
      <c r="BE172" s="11"/>
      <c r="BF172" s="11"/>
      <c r="BG172" s="11"/>
      <c r="BH172" s="11"/>
      <c r="BI172" s="94"/>
      <c r="BJ172" s="94"/>
      <c r="BK172" s="94"/>
      <c r="BL172" s="94"/>
      <c r="BM172" s="94"/>
      <c r="BN172" s="94"/>
      <c r="BO172" s="11"/>
      <c r="BP172" s="262"/>
      <c r="BQ172" s="103"/>
      <c r="BR172" s="103"/>
      <c r="BS172" s="103"/>
      <c r="BT172" s="11"/>
      <c r="BU172" s="11"/>
      <c r="BV172" s="11"/>
      <c r="BW172" s="11"/>
      <c r="BX172" s="11"/>
      <c r="BY172" s="11"/>
      <c r="BZ172" s="11"/>
      <c r="CA172" s="11"/>
      <c r="CB172" s="11"/>
      <c r="CC172" s="11"/>
      <c r="CD172" s="11"/>
      <c r="CE172" s="11"/>
      <c r="CF172" s="11"/>
      <c r="CG172" s="11"/>
      <c r="CH172" s="11"/>
      <c r="CI172" s="11"/>
      <c r="CJ172" s="11"/>
      <c r="CK172" s="11"/>
      <c r="CL172" s="11"/>
      <c r="CM172" s="11"/>
      <c r="CN172" s="304"/>
      <c r="CO172" s="1048"/>
      <c r="CP172" s="1048"/>
      <c r="CQ172" s="1048"/>
      <c r="CR172" s="11"/>
      <c r="CS172" s="11"/>
      <c r="CT172" s="1048"/>
      <c r="CU172" s="1048"/>
      <c r="CV172" s="1048"/>
      <c r="CW172" s="11"/>
      <c r="CX172" s="11"/>
      <c r="CY172" s="1048"/>
      <c r="CZ172" s="1048"/>
      <c r="DA172" s="1048"/>
      <c r="DB172" s="1048"/>
      <c r="DD172" s="2807"/>
      <c r="DE172" s="2848"/>
      <c r="DF172" s="2862"/>
      <c r="DG172" s="2862"/>
      <c r="DH172" s="2862"/>
      <c r="DI172" s="2862"/>
      <c r="DJ172" s="2862"/>
      <c r="DK172" s="2862"/>
      <c r="DL172" s="1108"/>
      <c r="DM172" s="1108"/>
      <c r="DN172" s="1108"/>
      <c r="DO172" s="1108"/>
      <c r="DP172" s="1108"/>
      <c r="DQ172" s="1108"/>
      <c r="DR172" s="1108"/>
    </row>
    <row r="173" spans="1:122">
      <c r="A173" s="906" t="s">
        <v>1588</v>
      </c>
      <c r="B173" s="11"/>
      <c r="C173" s="11"/>
      <c r="D173" s="11"/>
      <c r="E173" s="11"/>
      <c r="F173" s="11"/>
      <c r="G173" s="11"/>
      <c r="H173" s="162"/>
      <c r="I173" s="162"/>
      <c r="J173" s="162"/>
      <c r="K173" s="162"/>
      <c r="L173" s="162"/>
      <c r="M173" s="162"/>
      <c r="N173" s="163"/>
      <c r="O173" s="919"/>
      <c r="P173" s="163"/>
      <c r="Q173" s="163"/>
      <c r="R173" s="1177">
        <f>R370</f>
        <v>3.5524921064501571</v>
      </c>
      <c r="S173" s="1177">
        <f>S370</f>
        <v>2.3300970873786402</v>
      </c>
      <c r="T173" s="1177">
        <f>T370</f>
        <v>1.6857776369971489</v>
      </c>
      <c r="U173" s="2084">
        <f>U371</f>
        <v>1.6978211009174313</v>
      </c>
      <c r="V173" s="2084">
        <f>V371</f>
        <v>1.7226980728051391</v>
      </c>
      <c r="W173" s="2084">
        <f>W371</f>
        <v>2.1953917050691243</v>
      </c>
      <c r="X173" s="2084"/>
      <c r="Y173" s="2084"/>
      <c r="Z173" s="2084">
        <f>Z371</f>
        <v>2.7190215642098488</v>
      </c>
      <c r="AA173" s="2084">
        <f t="shared" ref="AA173:AK173" si="296">AA371</f>
        <v>2.7482191539882157</v>
      </c>
      <c r="AB173" s="2084"/>
      <c r="AC173" s="2084">
        <f t="shared" ca="1" si="296"/>
        <v>3.3134723339006222</v>
      </c>
      <c r="AD173" s="2084">
        <f t="shared" ca="1" si="296"/>
        <v>3.0639741096522837</v>
      </c>
      <c r="AE173" s="2084">
        <f t="shared" ca="1" si="296"/>
        <v>2.816685804469234</v>
      </c>
      <c r="AF173" s="2084">
        <f t="shared" ca="1" si="296"/>
        <v>2.4729516068405695</v>
      </c>
      <c r="AG173" s="2084">
        <f t="shared" ca="1" si="296"/>
        <v>2.3269155745439454</v>
      </c>
      <c r="AH173" s="2084">
        <f t="shared" ca="1" si="296"/>
        <v>2.0183552654229153</v>
      </c>
      <c r="AI173" s="2084">
        <f t="shared" ca="1" si="296"/>
        <v>1.917340845867225</v>
      </c>
      <c r="AJ173" s="2084">
        <f t="shared" ca="1" si="296"/>
        <v>1.7131560109070687</v>
      </c>
      <c r="AK173" s="2084">
        <f t="shared" ca="1" si="296"/>
        <v>1.5564221700434773</v>
      </c>
      <c r="AL173" s="2083">
        <f ca="1">AL371</f>
        <v>1.426467053109483</v>
      </c>
      <c r="AM173" s="2083">
        <f ca="1">AM371</f>
        <v>1.3022661051880755</v>
      </c>
      <c r="AN173" s="2083">
        <f ca="1">AN371</f>
        <v>1.0728591709988053</v>
      </c>
      <c r="AO173" s="1177"/>
      <c r="AP173" s="1177"/>
      <c r="AQ173" s="1177"/>
      <c r="AR173" s="1177"/>
      <c r="AS173" s="1177"/>
      <c r="AT173" s="155"/>
      <c r="AU173" s="14"/>
      <c r="AV173" s="14"/>
      <c r="AW173" s="14"/>
      <c r="AX173" s="14"/>
      <c r="AY173" s="14"/>
      <c r="AZ173" s="160"/>
      <c r="BA173" s="11"/>
      <c r="BB173" s="11"/>
      <c r="BC173" s="11"/>
      <c r="BD173" s="11"/>
      <c r="BE173" s="11"/>
      <c r="BF173" s="11"/>
      <c r="BG173" s="11"/>
      <c r="BH173" s="11"/>
      <c r="BI173" s="94"/>
      <c r="BJ173" s="94"/>
      <c r="BK173" s="94"/>
      <c r="BL173" s="94"/>
      <c r="BM173" s="94"/>
      <c r="BN173" s="94"/>
      <c r="BO173" s="11"/>
      <c r="BP173" s="262"/>
      <c r="BQ173" s="94"/>
      <c r="BR173" s="94"/>
      <c r="BS173" s="94"/>
      <c r="BT173" s="11"/>
      <c r="BU173" s="11"/>
      <c r="BV173" s="11"/>
      <c r="BW173" s="11"/>
      <c r="BX173" s="11"/>
      <c r="BY173" s="11"/>
      <c r="BZ173" s="11"/>
      <c r="CA173" s="11"/>
      <c r="CB173" s="11"/>
      <c r="CC173" s="11"/>
      <c r="CD173" s="11"/>
      <c r="CE173" s="11"/>
      <c r="CF173" s="11"/>
      <c r="CG173" s="11"/>
      <c r="CH173" s="11"/>
      <c r="CI173" s="11"/>
      <c r="CJ173" s="11"/>
      <c r="CK173" s="11"/>
      <c r="CL173" s="11"/>
      <c r="CM173" s="11"/>
      <c r="CN173" s="304"/>
      <c r="CO173" s="1048"/>
      <c r="CP173" s="1048"/>
      <c r="CQ173" s="1048"/>
      <c r="CR173" s="11"/>
      <c r="CS173" s="11"/>
      <c r="CT173" s="1048"/>
      <c r="CU173" s="1048"/>
      <c r="CV173" s="1048"/>
      <c r="CW173" s="11"/>
      <c r="CX173" s="11"/>
      <c r="CY173" s="1048"/>
      <c r="CZ173" s="1048"/>
      <c r="DA173" s="1048"/>
      <c r="DB173" s="11"/>
      <c r="DC173" s="2862"/>
      <c r="DD173" s="2862"/>
      <c r="DE173" s="2862"/>
      <c r="DF173" s="2862"/>
      <c r="DG173" s="2862"/>
      <c r="DH173" s="2862"/>
      <c r="DI173" s="2862"/>
      <c r="DJ173" s="2862"/>
      <c r="DK173" s="2862"/>
      <c r="DL173" s="1108"/>
      <c r="DM173" s="1108"/>
      <c r="DN173" s="1108"/>
      <c r="DO173" s="1108"/>
      <c r="DP173" s="1108"/>
      <c r="DQ173" s="1108"/>
      <c r="DR173" s="1108"/>
    </row>
    <row r="174" spans="1:122">
      <c r="A174" s="11"/>
      <c r="B174" s="11"/>
      <c r="C174" s="11"/>
      <c r="D174" s="11"/>
      <c r="E174" s="11"/>
      <c r="F174" s="11"/>
      <c r="G174" s="11"/>
      <c r="H174" s="162"/>
      <c r="I174" s="162"/>
      <c r="J174" s="162"/>
      <c r="K174" s="162"/>
      <c r="L174" s="161"/>
      <c r="M174" s="155"/>
      <c r="N174" s="155"/>
      <c r="O174" s="919"/>
      <c r="P174" s="155"/>
      <c r="Q174" s="155"/>
      <c r="R174" s="155"/>
      <c r="S174" s="155"/>
      <c r="T174" s="155"/>
      <c r="U174" s="155"/>
      <c r="V174" s="155"/>
      <c r="W174" s="155"/>
      <c r="X174" s="155"/>
      <c r="Y174" s="155"/>
      <c r="Z174" s="155"/>
      <c r="AA174" s="1177"/>
      <c r="AB174" s="1177"/>
      <c r="AC174" s="155"/>
      <c r="AD174" s="155"/>
      <c r="AE174" s="155"/>
      <c r="AF174" s="155"/>
      <c r="AG174" s="155"/>
      <c r="AH174" s="155"/>
      <c r="AI174" s="155"/>
      <c r="AJ174" s="155"/>
      <c r="AK174" s="155"/>
      <c r="AL174" s="2232"/>
      <c r="AM174" s="2232"/>
      <c r="AN174" s="155"/>
      <c r="AO174" s="155"/>
      <c r="AP174" s="155"/>
      <c r="AQ174" s="155"/>
      <c r="AR174" s="155"/>
      <c r="AS174" s="155"/>
      <c r="AT174" s="155"/>
      <c r="AU174" s="14"/>
      <c r="AV174" s="14"/>
      <c r="AW174" s="14"/>
      <c r="AX174" s="14"/>
      <c r="AY174" s="14"/>
      <c r="AZ174" s="160"/>
      <c r="BA174" s="11"/>
      <c r="BB174" s="11"/>
      <c r="BC174" s="11"/>
      <c r="BD174" s="11"/>
      <c r="BE174" s="11"/>
      <c r="BF174" s="11"/>
      <c r="BG174" s="11"/>
      <c r="BH174" s="11"/>
      <c r="BI174" s="94"/>
      <c r="BJ174" s="94"/>
      <c r="BK174" s="94"/>
      <c r="BL174" s="94"/>
      <c r="BM174" s="94"/>
      <c r="BN174" s="94"/>
      <c r="BO174" s="11"/>
      <c r="BP174" s="94"/>
      <c r="BQ174" s="94"/>
      <c r="BR174" s="94"/>
      <c r="BS174" s="94"/>
      <c r="BT174" s="11"/>
      <c r="BU174" s="11"/>
      <c r="BV174" s="11"/>
      <c r="BW174" s="11"/>
      <c r="BX174" s="11"/>
      <c r="BY174" s="11"/>
      <c r="BZ174" s="11"/>
      <c r="CA174" s="11"/>
      <c r="CB174" s="11"/>
      <c r="CC174" s="11"/>
      <c r="CD174" s="11"/>
      <c r="CE174" s="11"/>
      <c r="CF174" s="11"/>
      <c r="CG174" s="11"/>
      <c r="CH174" s="11"/>
      <c r="CI174" s="11"/>
      <c r="CJ174" s="11"/>
      <c r="CK174" s="11"/>
      <c r="CL174" s="11"/>
      <c r="CM174" s="11"/>
      <c r="CN174" s="304"/>
      <c r="CO174" s="1048"/>
      <c r="CP174" s="1048"/>
      <c r="CQ174" s="1048"/>
      <c r="CR174" s="11"/>
      <c r="CS174" s="11"/>
      <c r="CT174" s="1048"/>
      <c r="CU174" s="1048"/>
      <c r="CV174" s="1048"/>
      <c r="CW174" s="11"/>
      <c r="CX174" s="11"/>
      <c r="CY174" s="1048"/>
      <c r="CZ174" s="1048"/>
      <c r="DA174" s="1048"/>
      <c r="DB174" s="11"/>
      <c r="DC174" s="2862"/>
      <c r="DD174" s="1108"/>
      <c r="DE174" s="1108"/>
      <c r="DF174" s="1108"/>
      <c r="DG174" s="1108"/>
      <c r="DH174" s="1108"/>
      <c r="DI174" s="1108"/>
      <c r="DJ174" s="1108"/>
      <c r="DK174" s="1108"/>
      <c r="DL174" s="1108"/>
      <c r="DM174" s="1108"/>
      <c r="DN174" s="1108"/>
      <c r="DO174" s="1108"/>
      <c r="DP174" s="1108"/>
      <c r="DQ174" s="1108"/>
      <c r="DR174" s="1108"/>
    </row>
    <row r="175" spans="1:122">
      <c r="A175" s="11" t="s">
        <v>1300</v>
      </c>
      <c r="B175" s="11"/>
      <c r="C175" s="11"/>
      <c r="D175" s="11"/>
      <c r="E175" s="11"/>
      <c r="F175" s="11"/>
      <c r="G175" s="11"/>
      <c r="H175" s="162"/>
      <c r="I175" s="162"/>
      <c r="J175" s="162"/>
      <c r="K175" s="162"/>
      <c r="L175" s="63">
        <v>91.1</v>
      </c>
      <c r="M175" s="63">
        <v>203.8</v>
      </c>
      <c r="N175" s="63">
        <v>31.2</v>
      </c>
      <c r="O175" s="919"/>
      <c r="P175" s="105"/>
      <c r="Q175" s="105"/>
      <c r="R175" s="63">
        <v>0</v>
      </c>
      <c r="S175" s="105">
        <f>S177*S176</f>
        <v>6.8000000000000007</v>
      </c>
      <c r="T175" s="105">
        <f>T177*T176</f>
        <v>72</v>
      </c>
      <c r="U175" s="105">
        <f>U177*U176</f>
        <v>168</v>
      </c>
      <c r="V175" s="1531">
        <v>146</v>
      </c>
      <c r="W175" s="105">
        <f>W177*W176</f>
        <v>340.40223906802817</v>
      </c>
      <c r="X175" s="105"/>
      <c r="Y175" s="105"/>
      <c r="Z175" s="105">
        <f>Z177*Z176</f>
        <v>34.502202199210899</v>
      </c>
      <c r="AA175" s="105">
        <f t="shared" ref="AA175:AH175" si="297">AA177*AA176</f>
        <v>39.794736239999999</v>
      </c>
      <c r="AB175" s="105"/>
      <c r="AC175" s="105">
        <f t="shared" si="297"/>
        <v>50.316077805932011</v>
      </c>
      <c r="AD175" s="105">
        <f t="shared" si="297"/>
        <v>64.763968398387746</v>
      </c>
      <c r="AE175" s="105">
        <f t="shared" si="297"/>
        <v>79.465931117695064</v>
      </c>
      <c r="AF175" s="105">
        <f t="shared" si="297"/>
        <v>96.054396632441183</v>
      </c>
      <c r="AG175" s="105">
        <f t="shared" si="297"/>
        <v>114.78104858933229</v>
      </c>
      <c r="AH175" s="105">
        <f t="shared" si="297"/>
        <v>135.93103575227622</v>
      </c>
      <c r="AI175" s="105">
        <f t="shared" ref="AI175:AN175" si="298">AI177*AI176</f>
        <v>159.82742296258522</v>
      </c>
      <c r="AJ175" s="105">
        <f t="shared" si="298"/>
        <v>186.83623407575877</v>
      </c>
      <c r="AK175" s="105">
        <f t="shared" si="298"/>
        <v>217.37216560774499</v>
      </c>
      <c r="AL175" s="1105">
        <f t="shared" si="298"/>
        <v>251.90506029505306</v>
      </c>
      <c r="AM175" s="1105">
        <f t="shared" si="298"/>
        <v>290.96724163727237</v>
      </c>
      <c r="AN175" s="1105">
        <f t="shared" si="298"/>
        <v>335.16182393266951</v>
      </c>
      <c r="AO175" s="105"/>
      <c r="AP175" s="105"/>
      <c r="AQ175" s="105"/>
      <c r="AR175" s="105"/>
      <c r="AS175" s="105"/>
      <c r="AT175" s="155"/>
      <c r="AU175" s="14"/>
      <c r="AV175" s="14"/>
      <c r="AW175" s="14"/>
      <c r="AX175" s="14"/>
      <c r="AY175" s="14"/>
      <c r="AZ175" s="160"/>
      <c r="BA175" s="11"/>
      <c r="BB175" s="11"/>
      <c r="BC175" s="11"/>
      <c r="BD175" s="11"/>
      <c r="BE175" s="11"/>
      <c r="BF175" s="11"/>
      <c r="BG175" s="11"/>
      <c r="BH175" s="11"/>
      <c r="BI175" s="94"/>
      <c r="BJ175" s="94"/>
      <c r="BK175" s="94"/>
      <c r="BL175" s="94"/>
      <c r="BM175" s="94"/>
      <c r="BN175" s="94"/>
      <c r="BO175" s="11"/>
      <c r="BP175" s="94"/>
      <c r="BQ175" s="94"/>
      <c r="BR175" s="94"/>
      <c r="BS175" s="94"/>
      <c r="BT175" s="11"/>
      <c r="BU175" s="11"/>
      <c r="BV175" s="11"/>
      <c r="BW175" s="11"/>
      <c r="BX175" s="11"/>
      <c r="BY175" s="11"/>
      <c r="BZ175" s="11"/>
      <c r="CA175" s="11"/>
      <c r="CB175" s="11"/>
      <c r="CC175" s="11"/>
      <c r="CD175" s="11"/>
      <c r="CE175" s="11"/>
      <c r="CF175" s="11"/>
      <c r="CG175" s="11"/>
      <c r="CH175" s="11"/>
      <c r="CI175" s="11"/>
      <c r="CJ175" s="11"/>
      <c r="CK175" s="11"/>
      <c r="CL175" s="11"/>
      <c r="CM175" s="11"/>
      <c r="CR175" s="11"/>
      <c r="CS175" s="11"/>
      <c r="CW175" s="11"/>
      <c r="CX175" s="11"/>
      <c r="DB175" s="133"/>
      <c r="DC175" s="2862"/>
      <c r="DD175" s="11"/>
      <c r="DE175" s="11"/>
      <c r="DF175" s="11"/>
      <c r="DG175" s="11"/>
      <c r="DH175" s="11"/>
      <c r="DI175" s="11"/>
      <c r="DJ175" s="11"/>
      <c r="DK175" s="11"/>
      <c r="DL175" s="11"/>
      <c r="DM175" s="11"/>
      <c r="DN175" s="11"/>
      <c r="DO175" s="11"/>
      <c r="DP175" s="11"/>
      <c r="DQ175" s="11"/>
      <c r="DR175" s="11"/>
    </row>
    <row r="176" spans="1:122">
      <c r="A176" s="11" t="s">
        <v>914</v>
      </c>
      <c r="B176" s="11"/>
      <c r="C176" s="11"/>
      <c r="D176" s="11"/>
      <c r="E176" s="11"/>
      <c r="F176" s="11"/>
      <c r="G176" s="11"/>
      <c r="H176" s="162"/>
      <c r="I176" s="162"/>
      <c r="J176" s="162"/>
      <c r="K176" s="162"/>
      <c r="L176" s="162">
        <v>15.14</v>
      </c>
      <c r="M176" s="162">
        <v>25.81</v>
      </c>
      <c r="N176" s="162">
        <v>25.81</v>
      </c>
      <c r="O176" s="919"/>
      <c r="P176" s="162"/>
      <c r="Q176" s="162"/>
      <c r="R176" s="162">
        <v>25.81</v>
      </c>
      <c r="S176" s="1527">
        <v>5.3983935016044349</v>
      </c>
      <c r="T176" s="1527">
        <v>9.6993001416097826</v>
      </c>
      <c r="U176" s="1527">
        <v>16.339157335192368</v>
      </c>
      <c r="V176" s="1527">
        <v>18.935930409158765</v>
      </c>
      <c r="W176" s="1527">
        <v>25.150461354843497</v>
      </c>
      <c r="X176" s="1527"/>
      <c r="Y176" s="1527"/>
      <c r="Z176" s="1527">
        <v>31.4</v>
      </c>
      <c r="AA176" s="1527">
        <v>38.159999999999997</v>
      </c>
      <c r="AB176" s="1527"/>
      <c r="AC176" s="1527">
        <v>45.791999999999994</v>
      </c>
      <c r="AD176" s="1527">
        <v>52.660799999999988</v>
      </c>
      <c r="AE176" s="1527">
        <v>57.92687999999999</v>
      </c>
      <c r="AF176" s="1527">
        <v>63.719567999999995</v>
      </c>
      <c r="AG176" s="1527">
        <v>70.091524800000002</v>
      </c>
      <c r="AH176" s="1527">
        <v>77.100677280000014</v>
      </c>
      <c r="AI176" s="1527">
        <v>84.810745008000026</v>
      </c>
      <c r="AJ176" s="1527">
        <v>93.291819508800032</v>
      </c>
      <c r="AK176" s="1527">
        <v>102.62100145968004</v>
      </c>
      <c r="AL176" s="2238">
        <v>112.88310160564806</v>
      </c>
      <c r="AM176" s="2238">
        <v>124.17141176621288</v>
      </c>
      <c r="AN176" s="2238">
        <v>136.58855294283418</v>
      </c>
      <c r="AO176" s="162"/>
      <c r="AP176" s="162"/>
      <c r="AQ176" s="162"/>
      <c r="AR176" s="162"/>
      <c r="AS176" s="162"/>
      <c r="AT176" s="155"/>
      <c r="AU176" s="14"/>
      <c r="AV176" s="14"/>
      <c r="AW176" s="14"/>
      <c r="AX176" s="14"/>
      <c r="AY176" s="14"/>
      <c r="AZ176" s="160"/>
      <c r="BA176" s="11"/>
      <c r="BB176" s="11"/>
      <c r="BC176" s="11"/>
      <c r="BD176" s="11"/>
      <c r="BE176" s="11"/>
      <c r="BF176" s="11"/>
      <c r="BG176" s="11"/>
      <c r="BH176" s="11"/>
      <c r="BI176" s="94"/>
      <c r="BJ176" s="94"/>
      <c r="BK176" s="94"/>
      <c r="BL176" s="94"/>
      <c r="BM176" s="94"/>
      <c r="BN176" s="94"/>
      <c r="BO176" s="11"/>
      <c r="BP176" s="94"/>
      <c r="BQ176" s="94"/>
      <c r="BR176" s="94"/>
      <c r="BS176" s="94"/>
      <c r="BT176" s="11"/>
      <c r="BU176" s="11"/>
      <c r="BV176" s="11"/>
      <c r="BW176" s="11"/>
      <c r="BX176" s="11"/>
      <c r="BY176" s="11"/>
      <c r="BZ176" s="11"/>
      <c r="CA176" s="11"/>
      <c r="CB176" s="11"/>
      <c r="CC176" s="11"/>
      <c r="CD176" s="11"/>
      <c r="CE176" s="11"/>
      <c r="CF176" s="11"/>
      <c r="CG176" s="11"/>
      <c r="CH176" s="11"/>
      <c r="CI176" s="11"/>
      <c r="CJ176" s="11"/>
      <c r="CK176" s="11"/>
      <c r="CL176" s="11"/>
      <c r="CM176" s="11"/>
      <c r="CR176" s="11"/>
      <c r="CS176" s="11"/>
      <c r="CW176" s="11"/>
      <c r="CX176" s="11"/>
      <c r="DB176" s="11"/>
      <c r="DC176" s="2862"/>
      <c r="DD176" s="11"/>
      <c r="DE176" s="11"/>
      <c r="DF176" s="11"/>
      <c r="DG176" s="11"/>
      <c r="DH176" s="11"/>
      <c r="DI176" s="11"/>
      <c r="DJ176" s="11"/>
      <c r="DK176" s="11"/>
      <c r="DL176" s="11"/>
      <c r="DM176" s="11"/>
      <c r="DN176" s="11"/>
      <c r="DO176" s="11"/>
      <c r="DP176" s="11"/>
      <c r="DQ176" s="11"/>
      <c r="DR176" s="11"/>
    </row>
    <row r="177" spans="1:122">
      <c r="A177" s="152" t="s">
        <v>390</v>
      </c>
      <c r="B177" s="11"/>
      <c r="C177" s="11"/>
      <c r="D177" s="11"/>
      <c r="E177" s="11"/>
      <c r="F177" s="11"/>
      <c r="G177" s="11"/>
      <c r="H177" s="162"/>
      <c r="I177" s="162"/>
      <c r="J177" s="162"/>
      <c r="K177" s="162"/>
      <c r="L177" s="105">
        <f>-L133</f>
        <v>5.7661870000000004</v>
      </c>
      <c r="M177" s="105">
        <f>-M133</f>
        <v>8.8367900000000006</v>
      </c>
      <c r="N177" s="105">
        <f>-N133</f>
        <v>1.365</v>
      </c>
      <c r="O177" s="919"/>
      <c r="P177" s="105"/>
      <c r="Q177" s="105"/>
      <c r="R177" s="105">
        <f>-R133</f>
        <v>0</v>
      </c>
      <c r="S177" s="1528">
        <v>1.2596339999999999</v>
      </c>
      <c r="T177" s="1528">
        <v>7.423216</v>
      </c>
      <c r="U177" s="1528">
        <v>10.282048</v>
      </c>
      <c r="V177" s="1528">
        <v>7.71021</v>
      </c>
      <c r="W177" s="1528">
        <v>13.534632</v>
      </c>
      <c r="X177" s="1528"/>
      <c r="Y177" s="1528"/>
      <c r="Z177" s="1528">
        <v>1.0987962483825127</v>
      </c>
      <c r="AA177" s="1528">
        <v>1.0428390000000001</v>
      </c>
      <c r="AB177" s="1528"/>
      <c r="AC177" s="1528">
        <v>1.0987962483825127</v>
      </c>
      <c r="AD177" s="1528">
        <v>1.2298325965117842</v>
      </c>
      <c r="AE177" s="1528">
        <v>1.3718317147012764</v>
      </c>
      <c r="AF177" s="1528">
        <v>1.507455239377034</v>
      </c>
      <c r="AG177" s="1528">
        <v>1.6375881237688852</v>
      </c>
      <c r="AH177" s="1528">
        <v>1.7630329660870159</v>
      </c>
      <c r="AI177" s="1528">
        <v>1.8845185589103011</v>
      </c>
      <c r="AJ177" s="1528">
        <v>2.0027075799302518</v>
      </c>
      <c r="AK177" s="1528">
        <v>2.1182035111316941</v>
      </c>
      <c r="AL177" s="1528">
        <v>2.2315568646853081</v>
      </c>
      <c r="AM177" s="1528">
        <v>2.343270785912452</v>
      </c>
      <c r="AN177" s="1528">
        <v>2.4538060965690391</v>
      </c>
      <c r="AO177" s="105"/>
      <c r="AP177" s="105"/>
      <c r="AQ177" s="105"/>
      <c r="AR177" s="105"/>
      <c r="AS177" s="105"/>
      <c r="AT177" s="155"/>
      <c r="AU177" s="14"/>
      <c r="AV177" s="14"/>
      <c r="AW177" s="14"/>
      <c r="AX177" s="14"/>
      <c r="AY177" s="14"/>
      <c r="AZ177" s="160"/>
      <c r="BA177" s="11"/>
      <c r="BB177" s="11"/>
      <c r="BC177" s="11"/>
      <c r="BD177" s="11"/>
      <c r="BE177" s="11"/>
      <c r="BF177" s="11"/>
      <c r="BG177" s="11"/>
      <c r="BH177" s="11"/>
      <c r="BI177" s="94"/>
      <c r="BJ177" s="94"/>
      <c r="BK177" s="94"/>
      <c r="BL177" s="94"/>
      <c r="BM177" s="94"/>
      <c r="BN177" s="94"/>
      <c r="BO177" s="11"/>
      <c r="BP177" s="94"/>
      <c r="BQ177" s="94"/>
      <c r="BR177" s="94"/>
      <c r="BS177" s="94"/>
      <c r="BT177" s="11"/>
      <c r="BU177" s="11"/>
      <c r="BV177" s="11"/>
      <c r="BW177" s="11"/>
      <c r="BX177" s="11"/>
      <c r="BY177" s="11"/>
      <c r="BZ177" s="11"/>
      <c r="CA177" s="11"/>
      <c r="CB177" s="11"/>
      <c r="CC177" s="11"/>
      <c r="CD177" s="11"/>
      <c r="CE177" s="11"/>
      <c r="CF177" s="11"/>
      <c r="CG177" s="11"/>
      <c r="CH177" s="11"/>
      <c r="CI177" s="11"/>
      <c r="CJ177" s="11"/>
      <c r="CK177" s="11"/>
      <c r="CL177" s="11"/>
      <c r="CM177" s="11"/>
      <c r="CR177" s="11"/>
      <c r="CS177" s="11"/>
      <c r="CW177" s="11"/>
      <c r="CX177" s="11"/>
      <c r="DB177" s="11"/>
      <c r="DC177" s="2862"/>
      <c r="DD177" s="11"/>
      <c r="DE177" s="11"/>
      <c r="DF177" s="11"/>
      <c r="DG177" s="11"/>
      <c r="DH177" s="125"/>
      <c r="DI177" s="11"/>
      <c r="DJ177" s="11"/>
      <c r="DK177" s="11"/>
      <c r="DL177" s="11"/>
      <c r="DM177" s="11"/>
      <c r="DN177" s="11"/>
      <c r="DO177" s="11"/>
      <c r="DP177" s="11"/>
      <c r="DQ177" s="11"/>
      <c r="DR177" s="11"/>
    </row>
    <row r="178" spans="1:122">
      <c r="A178" s="11"/>
      <c r="B178" s="11"/>
      <c r="C178" s="11"/>
      <c r="D178" s="11"/>
      <c r="E178" s="11"/>
      <c r="F178" s="11"/>
      <c r="G178" s="11"/>
      <c r="H178" s="162"/>
      <c r="I178" s="162"/>
      <c r="J178" s="162"/>
      <c r="K178" s="39"/>
      <c r="L178" s="155"/>
      <c r="M178" s="872"/>
      <c r="N178" s="155"/>
      <c r="O178" s="919"/>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55"/>
      <c r="AK178" s="155"/>
      <c r="AL178" s="2232"/>
      <c r="AM178" s="155"/>
      <c r="AN178" s="155"/>
      <c r="AO178" s="155"/>
      <c r="AP178" s="155"/>
      <c r="AQ178" s="155"/>
      <c r="AR178" s="155"/>
      <c r="AS178" s="155"/>
      <c r="AT178" s="155"/>
      <c r="AU178" s="14"/>
      <c r="AV178" s="14"/>
      <c r="AW178" s="14"/>
      <c r="AX178" s="14"/>
      <c r="AY178" s="14"/>
      <c r="AZ178" s="160"/>
      <c r="BA178" s="11"/>
      <c r="BB178" s="11"/>
      <c r="BC178" s="11"/>
      <c r="BD178" s="11"/>
      <c r="BE178" s="11"/>
      <c r="BF178" s="11"/>
      <c r="BG178" s="11"/>
      <c r="BH178" s="11"/>
      <c r="BI178" s="94"/>
      <c r="BJ178" s="94"/>
      <c r="BK178" s="94"/>
      <c r="BL178" s="94"/>
      <c r="BM178" s="94"/>
      <c r="BN178" s="94"/>
      <c r="BO178" s="11"/>
      <c r="BP178" s="94"/>
      <c r="BQ178" s="94"/>
      <c r="BR178" s="94"/>
      <c r="BS178" s="94"/>
      <c r="BT178" s="11"/>
      <c r="BU178" s="11"/>
      <c r="BV178" s="11"/>
      <c r="BW178" s="11"/>
      <c r="BX178" s="11"/>
      <c r="BY178" s="11"/>
      <c r="BZ178" s="11"/>
      <c r="CA178" s="11"/>
      <c r="CB178" s="11"/>
      <c r="CC178" s="11"/>
      <c r="CD178" s="11"/>
      <c r="CE178" s="11"/>
      <c r="CF178" s="11"/>
      <c r="CG178" s="11"/>
      <c r="CH178" s="11"/>
      <c r="CI178" s="11"/>
      <c r="CJ178" s="11"/>
      <c r="CK178" s="11"/>
      <c r="CL178" s="11"/>
      <c r="CM178" s="11"/>
      <c r="CR178" s="11"/>
      <c r="CS178" s="11"/>
      <c r="CW178" s="11"/>
      <c r="CX178" s="11"/>
      <c r="DB178" s="11"/>
      <c r="DC178" s="2862"/>
      <c r="DD178" s="11"/>
      <c r="DE178" s="11"/>
      <c r="DF178" s="11"/>
      <c r="DG178" s="11"/>
      <c r="DH178" s="11"/>
      <c r="DI178" s="11"/>
      <c r="DJ178" s="11"/>
      <c r="DK178" s="11"/>
      <c r="DL178" s="11"/>
      <c r="DM178" s="11"/>
      <c r="DN178" s="11"/>
      <c r="DO178" s="11"/>
      <c r="DP178" s="11"/>
      <c r="DQ178" s="11"/>
      <c r="DR178" s="11"/>
    </row>
    <row r="179" spans="1:122">
      <c r="A179" s="6"/>
      <c r="B179" s="38"/>
      <c r="C179" s="38"/>
      <c r="D179" s="158"/>
      <c r="E179" s="158"/>
      <c r="F179" s="38"/>
      <c r="G179" s="38"/>
      <c r="H179" s="38"/>
      <c r="I179" s="39"/>
      <c r="J179" s="39"/>
      <c r="K179" s="39"/>
      <c r="L179" s="39"/>
      <c r="M179" s="872"/>
      <c r="N179" s="38"/>
      <c r="O179" s="919"/>
      <c r="P179" s="38"/>
      <c r="Q179" s="38"/>
      <c r="R179" s="38"/>
      <c r="S179" s="11"/>
      <c r="T179" s="38"/>
      <c r="U179" s="38"/>
      <c r="V179" s="38"/>
      <c r="W179" s="38"/>
      <c r="X179" s="38"/>
      <c r="Y179" s="38"/>
      <c r="Z179" s="90"/>
      <c r="AA179" s="90"/>
      <c r="AB179" s="90"/>
      <c r="AC179" s="90"/>
      <c r="AD179" s="90"/>
      <c r="AE179" s="90"/>
      <c r="AF179" s="90"/>
      <c r="AG179" s="94"/>
      <c r="AH179" s="94"/>
      <c r="AI179" s="94"/>
      <c r="AJ179" s="94"/>
      <c r="AK179" s="94"/>
      <c r="AL179" s="1700"/>
      <c r="AM179" s="90"/>
      <c r="AN179" s="90"/>
      <c r="AO179" s="90"/>
      <c r="AP179" s="90"/>
      <c r="AQ179" s="90"/>
      <c r="AR179" s="90"/>
      <c r="AS179" s="90"/>
      <c r="AT179" s="90"/>
      <c r="AU179" s="38"/>
      <c r="AV179" s="38"/>
      <c r="AW179" s="38"/>
      <c r="AX179" s="38"/>
      <c r="AY179" s="90"/>
      <c r="AZ179" s="6"/>
      <c r="BA179" s="11"/>
      <c r="BB179" s="11"/>
      <c r="BC179" s="11"/>
      <c r="BD179" s="11"/>
      <c r="BE179" s="11"/>
      <c r="BF179" s="11"/>
      <c r="BG179" s="11"/>
      <c r="BH179" s="11"/>
      <c r="BI179" s="11"/>
      <c r="BJ179" s="11"/>
      <c r="BK179" s="11"/>
      <c r="BL179" s="11"/>
      <c r="BM179" s="11"/>
      <c r="BN179" s="11"/>
      <c r="BO179" s="11"/>
      <c r="BP179" s="11"/>
      <c r="BQ179" s="11"/>
      <c r="BR179" s="11"/>
      <c r="BS179" s="11"/>
      <c r="BT179" s="11"/>
      <c r="BU179" s="11"/>
      <c r="BV179" s="11"/>
      <c r="BW179" s="11"/>
      <c r="BX179" s="11"/>
      <c r="BY179" s="11"/>
      <c r="BZ179" s="11"/>
      <c r="CA179" s="11"/>
      <c r="CB179" s="11"/>
      <c r="CC179" s="11"/>
      <c r="CD179" s="11"/>
      <c r="CE179" s="11"/>
      <c r="CF179" s="11"/>
      <c r="CG179" s="11"/>
      <c r="CH179" s="11"/>
      <c r="CI179" s="11"/>
      <c r="CJ179" s="11"/>
      <c r="CK179" s="11"/>
      <c r="CL179" s="11"/>
      <c r="CM179" s="11"/>
      <c r="CR179" s="11"/>
      <c r="CS179" s="11"/>
      <c r="CW179" s="11"/>
      <c r="CX179" s="11"/>
      <c r="DB179" s="11"/>
      <c r="DC179" s="2862"/>
      <c r="DD179" s="11"/>
      <c r="DE179" s="11"/>
      <c r="DF179" s="11"/>
      <c r="DG179" s="11"/>
      <c r="DH179" s="11"/>
      <c r="DI179" s="11"/>
      <c r="DJ179" s="11"/>
      <c r="DK179" s="11"/>
      <c r="DL179" s="11"/>
      <c r="DM179" s="11"/>
      <c r="DN179" s="11"/>
      <c r="DO179" s="11"/>
      <c r="DP179" s="11"/>
      <c r="DQ179" s="11"/>
      <c r="DR179" s="11"/>
    </row>
    <row r="180" spans="1:122">
      <c r="A180" s="134"/>
      <c r="B180" s="135"/>
      <c r="C180" s="135"/>
      <c r="D180" s="135"/>
      <c r="E180" s="135"/>
      <c r="F180" s="135"/>
      <c r="G180" s="135"/>
      <c r="H180" s="135"/>
      <c r="I180" s="135"/>
      <c r="J180" s="136"/>
      <c r="K180" s="136"/>
      <c r="L180" s="135"/>
      <c r="M180" s="135" t="s">
        <v>337</v>
      </c>
      <c r="N180" s="135"/>
      <c r="O180" s="919"/>
      <c r="P180" s="135"/>
      <c r="Q180" s="135"/>
      <c r="R180" s="135"/>
      <c r="S180" s="135"/>
      <c r="T180" s="135"/>
      <c r="U180" s="135"/>
      <c r="V180" s="135"/>
      <c r="W180" s="135"/>
      <c r="X180" s="135"/>
      <c r="Y180" s="135"/>
      <c r="Z180" s="135"/>
      <c r="AA180" s="135"/>
      <c r="AB180" s="135"/>
      <c r="AC180" s="135"/>
      <c r="AD180" s="135"/>
      <c r="AE180" s="135"/>
      <c r="AF180" s="135"/>
      <c r="AG180" s="135"/>
      <c r="AH180" s="135"/>
      <c r="AI180" s="135"/>
      <c r="AJ180" s="135"/>
      <c r="AK180" s="135"/>
      <c r="AL180" s="135"/>
      <c r="AM180" s="135"/>
      <c r="AN180" s="135"/>
      <c r="AO180" s="90"/>
      <c r="AP180" s="90"/>
      <c r="AQ180" s="90"/>
      <c r="AR180" s="90"/>
      <c r="AS180" s="90"/>
      <c r="AT180" s="90"/>
      <c r="AU180" s="11"/>
      <c r="AV180" s="38"/>
      <c r="AW180" s="38"/>
      <c r="AX180" s="38"/>
      <c r="AY180" s="38"/>
      <c r="AZ180" s="90"/>
      <c r="BA180" s="38"/>
      <c r="BB180" s="38"/>
      <c r="BC180" s="38"/>
      <c r="BD180" s="38"/>
      <c r="BE180" s="38"/>
      <c r="BF180" s="38"/>
      <c r="BG180" s="38"/>
      <c r="BH180" s="39"/>
      <c r="BI180" s="90"/>
      <c r="BJ180" s="90"/>
      <c r="BK180" s="90"/>
      <c r="BL180" s="90"/>
      <c r="BM180" s="90"/>
      <c r="BN180" s="90"/>
      <c r="BO180" s="6"/>
      <c r="BP180" s="90"/>
      <c r="BQ180" s="90"/>
      <c r="BR180" s="90"/>
      <c r="BS180" s="90"/>
      <c r="BT180" s="6"/>
      <c r="BU180" s="6"/>
      <c r="BV180" s="6"/>
      <c r="BW180" s="6"/>
      <c r="BX180" s="6"/>
      <c r="BY180" s="6"/>
      <c r="BZ180" s="6"/>
      <c r="CA180" s="6"/>
      <c r="CB180" s="6"/>
      <c r="CC180" s="6"/>
      <c r="CD180" s="6"/>
      <c r="CE180" s="6"/>
      <c r="CF180" s="6"/>
      <c r="CG180" s="6"/>
      <c r="CH180" s="6"/>
      <c r="CI180" s="6"/>
      <c r="CJ180" s="6"/>
      <c r="CK180" s="6"/>
      <c r="CL180" s="6"/>
      <c r="CM180" s="6"/>
      <c r="CR180" s="11"/>
      <c r="CS180" s="11"/>
      <c r="CW180" s="11"/>
      <c r="CX180" s="11"/>
      <c r="DB180" s="11"/>
      <c r="DC180" s="2862"/>
      <c r="DD180" s="11"/>
      <c r="DE180" s="11"/>
      <c r="DF180" s="11"/>
      <c r="DG180" s="11"/>
      <c r="DH180" s="11"/>
      <c r="DI180" s="11"/>
      <c r="DJ180" s="11"/>
      <c r="DK180" s="11"/>
      <c r="DL180" s="11"/>
      <c r="DM180" s="11"/>
      <c r="DN180" s="11"/>
      <c r="DO180" s="11"/>
      <c r="DP180" s="11"/>
      <c r="DQ180" s="11"/>
      <c r="DR180" s="11"/>
    </row>
    <row r="181" spans="1:122" ht="15">
      <c r="A181" s="1697" t="str">
        <f>A1</f>
        <v>CBS</v>
      </c>
      <c r="B181" s="1108"/>
      <c r="C181" s="1108"/>
      <c r="D181" s="1108"/>
      <c r="E181" s="1108"/>
      <c r="F181" s="1108"/>
      <c r="G181" s="1108"/>
      <c r="H181" s="1108"/>
      <c r="I181" s="1108"/>
      <c r="J181" s="1689"/>
      <c r="K181" s="1689"/>
      <c r="L181" s="1689"/>
      <c r="M181" s="1689"/>
      <c r="N181" s="1689"/>
      <c r="O181" s="1369"/>
      <c r="P181" s="1689"/>
      <c r="Q181" s="1689"/>
      <c r="R181" s="1108"/>
      <c r="S181" s="1108"/>
      <c r="T181" s="1108"/>
      <c r="U181" s="1108"/>
      <c r="V181" s="1108"/>
      <c r="W181" s="1108"/>
      <c r="X181" s="1108"/>
      <c r="Y181" s="1108"/>
      <c r="Z181" s="1108"/>
      <c r="AA181" s="1108"/>
      <c r="AB181" s="1108"/>
      <c r="AC181" s="1108"/>
      <c r="AD181" s="1108"/>
      <c r="AE181" s="1108"/>
      <c r="AF181" s="1108"/>
      <c r="AG181" s="1108"/>
      <c r="AH181" s="1108"/>
      <c r="AI181" s="1108"/>
      <c r="AJ181" s="1108"/>
      <c r="AK181" s="1108"/>
      <c r="AL181" s="1108"/>
      <c r="AM181" s="1108"/>
      <c r="AN181" s="1108"/>
      <c r="AO181" s="90"/>
      <c r="AP181" s="90"/>
      <c r="AQ181" s="90"/>
      <c r="AR181" s="90"/>
      <c r="AS181" s="90"/>
      <c r="AT181" s="90"/>
      <c r="AU181" s="1108"/>
      <c r="AV181" s="1108"/>
      <c r="AW181" s="1108"/>
      <c r="AX181" s="1108"/>
      <c r="AY181" s="1108"/>
      <c r="AZ181" s="1700"/>
      <c r="BA181" s="1108"/>
      <c r="BB181" s="1108"/>
      <c r="BC181" s="1108"/>
      <c r="BD181" s="1108"/>
      <c r="BE181" s="1108"/>
      <c r="BF181" s="1108"/>
      <c r="BG181" s="1108"/>
      <c r="BH181" s="1108"/>
      <c r="BI181" s="1700"/>
      <c r="BJ181" s="1700"/>
      <c r="BK181" s="1700"/>
      <c r="BL181" s="1700"/>
      <c r="BM181" s="1700"/>
      <c r="BN181" s="1700"/>
      <c r="BO181" s="1108"/>
      <c r="BP181" s="1700"/>
      <c r="BQ181" s="1700"/>
      <c r="BR181" s="1700"/>
      <c r="BS181" s="1700"/>
      <c r="BT181" s="1108"/>
      <c r="BU181" s="1108"/>
      <c r="BV181" s="1108"/>
      <c r="BW181" s="1108"/>
      <c r="BX181" s="1108"/>
      <c r="BY181" s="1108"/>
      <c r="BZ181" s="1108"/>
      <c r="CA181" s="1108"/>
      <c r="CB181" s="1108"/>
      <c r="CC181" s="1108"/>
      <c r="CD181" s="1108"/>
      <c r="CE181" s="1108"/>
      <c r="CF181" s="1108"/>
      <c r="CG181" s="1108"/>
      <c r="CH181" s="1108"/>
      <c r="CI181" s="1108"/>
      <c r="CJ181" s="1108"/>
      <c r="CK181" s="1108"/>
      <c r="CL181" s="1108"/>
      <c r="CM181" s="1108"/>
      <c r="CN181" s="1710"/>
      <c r="CO181" s="1577"/>
      <c r="CP181" s="1577"/>
      <c r="CQ181" s="1577"/>
      <c r="CR181" s="1108"/>
      <c r="CS181" s="1108"/>
      <c r="CT181" s="1577"/>
      <c r="CU181" s="1577"/>
      <c r="CV181" s="1577"/>
      <c r="CW181" s="1108"/>
      <c r="CX181" s="1108"/>
      <c r="CY181" s="1577"/>
      <c r="CZ181" s="1577"/>
      <c r="DA181" s="1577"/>
      <c r="DB181" s="1108"/>
      <c r="DC181" s="2862"/>
      <c r="DD181" s="1108"/>
      <c r="DE181" s="1108"/>
      <c r="DF181" s="1108"/>
      <c r="DG181" s="1108"/>
      <c r="DH181" s="1108"/>
      <c r="DI181" s="1108"/>
      <c r="DJ181" s="1108"/>
      <c r="DK181" s="1108"/>
      <c r="DL181" s="1108"/>
      <c r="DM181" s="1108"/>
      <c r="DN181" s="1108"/>
      <c r="DO181" s="1108"/>
      <c r="DP181" s="1108"/>
      <c r="DQ181" s="1108"/>
      <c r="DR181" s="1108"/>
    </row>
    <row r="182" spans="1:122">
      <c r="A182" s="1494" t="s">
        <v>589</v>
      </c>
      <c r="B182" s="1108"/>
      <c r="C182" s="1108"/>
      <c r="D182" s="1108"/>
      <c r="E182" s="1108"/>
      <c r="F182" s="1108"/>
      <c r="G182" s="1108"/>
      <c r="H182" s="1108"/>
      <c r="I182" s="1108"/>
      <c r="J182" s="1689"/>
      <c r="K182" s="1689"/>
      <c r="L182" s="1108"/>
      <c r="M182" s="1108"/>
      <c r="N182" s="1108"/>
      <c r="O182" s="1369"/>
      <c r="P182" s="1108"/>
      <c r="Q182" s="1108"/>
      <c r="R182" s="1108"/>
      <c r="S182" s="1108"/>
      <c r="T182" s="1108"/>
      <c r="U182" s="1108"/>
      <c r="V182" s="1108"/>
      <c r="W182" s="1108"/>
      <c r="X182" s="1108"/>
      <c r="Y182" s="1108"/>
      <c r="Z182" s="1108"/>
      <c r="AA182" s="1108"/>
      <c r="AB182" s="1108"/>
      <c r="AC182" s="1108"/>
      <c r="AD182" s="1108"/>
      <c r="AE182" s="1108"/>
      <c r="AF182" s="1108"/>
      <c r="AG182" s="1108"/>
      <c r="AH182" s="1108"/>
      <c r="AI182" s="1108"/>
      <c r="AJ182" s="1108"/>
      <c r="AK182" s="1108"/>
      <c r="AL182" s="1108"/>
      <c r="AM182" s="1108"/>
      <c r="AN182" s="1108"/>
      <c r="AO182" s="90"/>
      <c r="AP182" s="1108"/>
      <c r="AQ182" s="1108"/>
      <c r="AR182" s="1108"/>
      <c r="AS182" s="1108"/>
      <c r="AT182" s="1108"/>
      <c r="AU182" s="1108"/>
      <c r="AV182" s="1108"/>
      <c r="AW182" s="1108"/>
      <c r="AX182" s="1108"/>
      <c r="AY182" s="1108"/>
      <c r="AZ182" s="1700"/>
      <c r="BA182" s="1108"/>
      <c r="BB182" s="1108"/>
      <c r="BC182" s="1108"/>
      <c r="BD182" s="1108"/>
      <c r="BE182" s="1108"/>
      <c r="BF182" s="1108"/>
      <c r="BG182" s="1108"/>
      <c r="BH182" s="1108"/>
      <c r="BI182" s="1700"/>
      <c r="BJ182" s="1700"/>
      <c r="BK182" s="1700"/>
      <c r="BL182" s="1700"/>
      <c r="BM182" s="1700"/>
      <c r="BN182" s="1700"/>
      <c r="BO182" s="1108"/>
      <c r="BP182" s="1700"/>
      <c r="BQ182" s="1700"/>
      <c r="BR182" s="1700"/>
      <c r="BS182" s="1700"/>
      <c r="BT182" s="1108"/>
      <c r="BU182" s="1108"/>
      <c r="BV182" s="1108"/>
      <c r="BW182" s="1108"/>
      <c r="BX182" s="1108"/>
      <c r="BY182" s="1108"/>
      <c r="BZ182" s="1108"/>
      <c r="CA182" s="1108"/>
      <c r="CB182" s="1108"/>
      <c r="CC182" s="1108"/>
      <c r="CD182" s="1108"/>
      <c r="CE182" s="1108"/>
      <c r="CF182" s="1108"/>
      <c r="CG182" s="1108"/>
      <c r="CH182" s="1108"/>
      <c r="CI182" s="1108"/>
      <c r="CJ182" s="1108"/>
      <c r="CK182" s="1108"/>
      <c r="CL182" s="1108"/>
      <c r="CM182" s="1108"/>
      <c r="CN182" s="1710"/>
      <c r="CO182" s="1577"/>
      <c r="CP182" s="1577"/>
      <c r="CQ182" s="1577"/>
      <c r="CR182" s="1108"/>
      <c r="CS182" s="1108"/>
      <c r="CT182" s="1577"/>
      <c r="CU182" s="1577"/>
      <c r="CV182" s="1577"/>
      <c r="CW182" s="1108"/>
      <c r="CX182" s="1108"/>
      <c r="CY182" s="1577"/>
      <c r="CZ182" s="1577"/>
      <c r="DA182" s="1577"/>
      <c r="DB182" s="1108"/>
      <c r="DC182" s="2862"/>
      <c r="DD182" s="1108"/>
      <c r="DE182" s="1108"/>
      <c r="DF182" s="1108"/>
      <c r="DG182" s="1108"/>
      <c r="DH182" s="1108"/>
      <c r="DI182" s="1108"/>
      <c r="DJ182" s="1108"/>
      <c r="DK182" s="1108"/>
      <c r="DL182" s="1108"/>
      <c r="DM182" s="1108"/>
      <c r="DN182" s="1108"/>
      <c r="DO182" s="1108"/>
      <c r="DP182" s="1108"/>
      <c r="DQ182" s="1108"/>
      <c r="DR182" s="1108"/>
    </row>
    <row r="183" spans="1:122">
      <c r="A183" s="1702"/>
      <c r="B183" s="1580" t="s">
        <v>1032</v>
      </c>
      <c r="C183" s="1580"/>
      <c r="D183" s="1580" t="s">
        <v>478</v>
      </c>
      <c r="E183" s="1580"/>
      <c r="F183" s="1580" t="s">
        <v>1035</v>
      </c>
      <c r="G183" s="1580"/>
      <c r="H183" s="1703"/>
      <c r="I183" s="1703"/>
      <c r="J183" s="1704"/>
      <c r="K183" s="1689"/>
      <c r="L183" s="1108"/>
      <c r="M183" s="1108"/>
      <c r="N183" s="1108"/>
      <c r="O183" s="1369"/>
      <c r="P183" s="1108"/>
      <c r="Q183" s="1108"/>
      <c r="R183" s="1108"/>
      <c r="S183" s="1108"/>
      <c r="T183" s="1108"/>
      <c r="U183" s="1626"/>
      <c r="V183" s="1108"/>
      <c r="W183" s="1108"/>
      <c r="X183" s="1108"/>
      <c r="Y183" s="1626"/>
      <c r="Z183" s="1108"/>
      <c r="AA183" s="1108"/>
      <c r="AB183" s="1108"/>
      <c r="AC183" s="1108"/>
      <c r="AD183" s="1108"/>
      <c r="AE183" s="1108"/>
      <c r="AF183" s="1108"/>
      <c r="AG183" s="1108"/>
      <c r="AH183" s="1108"/>
      <c r="AI183" s="1108"/>
      <c r="AJ183" s="1108"/>
      <c r="AK183" s="1108"/>
      <c r="AL183" s="1108"/>
      <c r="AM183" s="1108"/>
      <c r="AN183" s="1108"/>
      <c r="AO183" s="90"/>
      <c r="AP183" s="1108"/>
      <c r="AQ183" s="1108"/>
      <c r="AR183" s="1108"/>
      <c r="AS183" s="1108"/>
      <c r="AT183" s="1108"/>
      <c r="AU183" s="1108"/>
      <c r="AV183" s="1108"/>
      <c r="AW183" s="1108"/>
      <c r="AX183" s="1108"/>
      <c r="AY183" s="1108"/>
      <c r="AZ183" s="1700"/>
      <c r="BA183" s="1108"/>
      <c r="BB183" s="1108"/>
      <c r="BC183" s="1108"/>
      <c r="BD183" s="1108"/>
      <c r="BE183" s="1108"/>
      <c r="BF183" s="1108"/>
      <c r="BG183" s="1108"/>
      <c r="BH183" s="1108"/>
      <c r="BI183" s="1700"/>
      <c r="BJ183" s="1700"/>
      <c r="BK183" s="1700"/>
      <c r="BL183" s="1700"/>
      <c r="BM183" s="1700"/>
      <c r="BN183" s="1700"/>
      <c r="BO183" s="1108"/>
      <c r="BP183" s="1700"/>
      <c r="BQ183" s="1700"/>
      <c r="BR183" s="1700"/>
      <c r="BS183" s="1700"/>
      <c r="BT183" s="1108"/>
      <c r="BU183" s="1108"/>
      <c r="BV183" s="1108"/>
      <c r="BW183" s="1108"/>
      <c r="BX183" s="1108"/>
      <c r="BY183" s="1108"/>
      <c r="BZ183" s="1108"/>
      <c r="CA183" s="1108"/>
      <c r="CB183" s="1108"/>
      <c r="CC183" s="1108"/>
      <c r="CD183" s="1108"/>
      <c r="CE183" s="1108"/>
      <c r="CF183" s="1108"/>
      <c r="CG183" s="1108"/>
      <c r="CH183" s="1108"/>
      <c r="CI183" s="1108"/>
      <c r="CJ183" s="1108"/>
      <c r="CK183" s="1108"/>
      <c r="CL183" s="1108"/>
      <c r="CM183" s="1108"/>
      <c r="CN183" s="1108"/>
      <c r="CO183" s="1108"/>
      <c r="CP183" s="1108"/>
      <c r="CQ183" s="1108"/>
      <c r="CR183" s="1108"/>
      <c r="CS183" s="1108"/>
      <c r="CT183" s="1470"/>
      <c r="CU183" s="1470"/>
      <c r="CV183" s="1470"/>
      <c r="CW183" s="1108"/>
      <c r="CX183" s="1108"/>
      <c r="CY183" s="1470"/>
      <c r="CZ183" s="1470"/>
      <c r="DA183" s="1470"/>
      <c r="DB183" s="1108"/>
      <c r="DC183" s="2862"/>
      <c r="DD183" s="1108"/>
      <c r="DE183" s="1108"/>
      <c r="DF183" s="1108"/>
      <c r="DG183" s="1108"/>
      <c r="DH183" s="1108"/>
      <c r="DI183" s="1108"/>
      <c r="DJ183" s="1108"/>
      <c r="DK183" s="1108"/>
      <c r="DL183" s="1108"/>
      <c r="DM183" s="1108"/>
      <c r="DN183" s="1108"/>
      <c r="DO183" s="1108"/>
      <c r="DP183" s="1108"/>
      <c r="DQ183" s="1108"/>
      <c r="DR183" s="1108"/>
    </row>
    <row r="184" spans="1:122">
      <c r="A184" s="1705" t="s">
        <v>479</v>
      </c>
      <c r="B184" s="1706">
        <v>2003</v>
      </c>
      <c r="C184" s="1706">
        <v>2004</v>
      </c>
      <c r="D184" s="1706">
        <v>2003</v>
      </c>
      <c r="E184" s="1706">
        <v>2004</v>
      </c>
      <c r="F184" s="1706">
        <v>2003</v>
      </c>
      <c r="G184" s="1706">
        <v>2004</v>
      </c>
      <c r="H184" s="1706">
        <f t="shared" ref="H184:Z184" si="299">H4</f>
        <v>2002</v>
      </c>
      <c r="I184" s="1706">
        <f t="shared" si="299"/>
        <v>2003</v>
      </c>
      <c r="J184" s="1706">
        <f t="shared" si="299"/>
        <v>2004</v>
      </c>
      <c r="K184" s="1706">
        <v>2005</v>
      </c>
      <c r="L184" s="1706">
        <f t="shared" si="299"/>
        <v>2006</v>
      </c>
      <c r="M184" s="1706">
        <f t="shared" si="299"/>
        <v>2007</v>
      </c>
      <c r="N184" s="1706">
        <f t="shared" si="299"/>
        <v>2008</v>
      </c>
      <c r="O184" s="1369"/>
      <c r="P184" s="1706"/>
      <c r="Q184" s="1706"/>
      <c r="R184" s="1706">
        <f t="shared" si="299"/>
        <v>2009</v>
      </c>
      <c r="S184" s="1706">
        <f t="shared" si="299"/>
        <v>2010</v>
      </c>
      <c r="T184" s="1706">
        <f t="shared" si="299"/>
        <v>2011</v>
      </c>
      <c r="U184" s="1706">
        <f t="shared" si="299"/>
        <v>2012</v>
      </c>
      <c r="V184" s="1706">
        <f t="shared" si="299"/>
        <v>2013</v>
      </c>
      <c r="W184" s="1706">
        <f t="shared" si="299"/>
        <v>2014</v>
      </c>
      <c r="X184" s="1706"/>
      <c r="Y184" s="1706"/>
      <c r="Z184" s="1706">
        <f t="shared" si="299"/>
        <v>2015</v>
      </c>
      <c r="AA184" s="1706">
        <f t="shared" ref="AA184:AH184" si="300">AA4</f>
        <v>2016</v>
      </c>
      <c r="AB184" s="1706"/>
      <c r="AC184" s="1706" t="str">
        <f t="shared" si="300"/>
        <v>2017E</v>
      </c>
      <c r="AD184" s="1706" t="str">
        <f t="shared" si="300"/>
        <v>2018E</v>
      </c>
      <c r="AE184" s="1706" t="str">
        <f t="shared" si="300"/>
        <v>2019E</v>
      </c>
      <c r="AF184" s="1706" t="str">
        <f t="shared" si="300"/>
        <v>2020E</v>
      </c>
      <c r="AG184" s="1706" t="str">
        <f t="shared" si="300"/>
        <v>2021E</v>
      </c>
      <c r="AH184" s="1706" t="str">
        <f t="shared" si="300"/>
        <v>2022E</v>
      </c>
      <c r="AI184" s="1706" t="str">
        <f t="shared" ref="AI184:AN184" si="301">AI4</f>
        <v>2023E</v>
      </c>
      <c r="AJ184" s="1706" t="str">
        <f t="shared" si="301"/>
        <v>2024E</v>
      </c>
      <c r="AK184" s="1706" t="str">
        <f t="shared" si="301"/>
        <v>2025E</v>
      </c>
      <c r="AL184" s="1706" t="str">
        <f t="shared" si="301"/>
        <v>2026E</v>
      </c>
      <c r="AM184" s="1706" t="str">
        <f t="shared" si="301"/>
        <v>2027E</v>
      </c>
      <c r="AN184" s="1706" t="str">
        <f t="shared" si="301"/>
        <v>2028E</v>
      </c>
      <c r="AO184" s="90"/>
      <c r="AP184" s="1534"/>
      <c r="AQ184" s="1534"/>
      <c r="AR184" s="1534"/>
      <c r="AS184" s="1534"/>
      <c r="AT184" s="1534"/>
      <c r="AU184" s="1108"/>
      <c r="AV184" s="1108"/>
      <c r="AW184" s="1108"/>
      <c r="AX184" s="1108"/>
      <c r="AY184" s="1108"/>
      <c r="AZ184" s="1700"/>
      <c r="BA184" s="1108"/>
      <c r="BB184" s="1108"/>
      <c r="BC184" s="1108"/>
      <c r="BD184" s="1108"/>
      <c r="BE184" s="1108"/>
      <c r="BF184" s="1108"/>
      <c r="BG184" s="1108"/>
      <c r="BH184" s="1108"/>
      <c r="BI184" s="1700"/>
      <c r="BJ184" s="1700"/>
      <c r="BK184" s="1700"/>
      <c r="BL184" s="1700"/>
      <c r="BM184" s="1700"/>
      <c r="BN184" s="1700"/>
      <c r="BO184" s="1108"/>
      <c r="BP184" s="1700"/>
      <c r="BQ184" s="1700"/>
      <c r="BR184" s="1700"/>
      <c r="BS184" s="1700"/>
      <c r="BT184" s="1108"/>
      <c r="BU184" s="1108"/>
      <c r="BV184" s="1108"/>
      <c r="BW184" s="1108"/>
      <c r="BX184" s="1108"/>
      <c r="BY184" s="1108"/>
      <c r="BZ184" s="1108"/>
      <c r="CA184" s="1108"/>
      <c r="CB184" s="1108"/>
      <c r="CC184" s="1108"/>
      <c r="CD184" s="1108"/>
      <c r="CE184" s="1108"/>
      <c r="CF184" s="1108"/>
      <c r="CG184" s="1108"/>
      <c r="CH184" s="1108"/>
      <c r="CI184" s="1108"/>
      <c r="CJ184" s="1108"/>
      <c r="CK184" s="1108"/>
      <c r="CL184" s="1108"/>
      <c r="CM184" s="1108"/>
      <c r="CN184" s="1108"/>
      <c r="CO184" s="1108"/>
      <c r="CP184" s="1108"/>
      <c r="CQ184" s="1108"/>
      <c r="CR184" s="1108"/>
      <c r="CS184" s="1108"/>
      <c r="CT184" s="1470"/>
      <c r="CU184" s="1470"/>
      <c r="CV184" s="1470"/>
      <c r="CW184" s="1108"/>
      <c r="CX184" s="1108"/>
      <c r="CY184" s="1470"/>
      <c r="CZ184" s="1470"/>
      <c r="DA184" s="1470"/>
      <c r="DB184" s="1108"/>
      <c r="DC184" s="2862"/>
      <c r="DD184" s="1108"/>
      <c r="DE184" s="1108"/>
      <c r="DF184" s="1108"/>
      <c r="DG184" s="1108"/>
      <c r="DH184" s="1108"/>
      <c r="DI184" s="1108"/>
      <c r="DJ184" s="1108"/>
      <c r="DK184" s="1108"/>
      <c r="DL184" s="1108"/>
      <c r="DM184" s="1108"/>
      <c r="DN184" s="1108"/>
      <c r="DO184" s="1108"/>
      <c r="DP184" s="1108"/>
      <c r="DQ184" s="1108"/>
      <c r="DR184" s="1108"/>
    </row>
    <row r="185" spans="1:122">
      <c r="A185" s="1721" t="s">
        <v>403</v>
      </c>
      <c r="B185" s="1108"/>
      <c r="C185" s="1108"/>
      <c r="D185" s="1108"/>
      <c r="E185" s="1108"/>
      <c r="F185" s="1108"/>
      <c r="G185" s="1108"/>
      <c r="H185" s="1108"/>
      <c r="I185" s="1146"/>
      <c r="J185" s="1689"/>
      <c r="K185" s="1689"/>
      <c r="L185" s="1689"/>
      <c r="M185" s="1108"/>
      <c r="N185" s="1108"/>
      <c r="O185" s="1369"/>
      <c r="P185" s="1108"/>
      <c r="Q185" s="1108"/>
      <c r="R185" s="1108"/>
      <c r="S185" s="1108"/>
      <c r="T185" s="1108"/>
      <c r="U185" s="1577"/>
      <c r="V185" s="1108"/>
      <c r="W185" s="1108"/>
      <c r="X185" s="1108"/>
      <c r="Y185" s="1108"/>
      <c r="Z185" s="1108"/>
      <c r="AA185" s="1108"/>
      <c r="AB185" s="1108"/>
      <c r="AC185" s="1108"/>
      <c r="AD185" s="1108"/>
      <c r="AE185" s="1108"/>
      <c r="AF185" s="1108"/>
      <c r="AG185" s="1108"/>
      <c r="AH185" s="1108"/>
      <c r="AI185" s="1108"/>
      <c r="AJ185" s="1108"/>
      <c r="AK185" s="1108"/>
      <c r="AL185" s="1108"/>
      <c r="AM185" s="1108"/>
      <c r="AN185" s="1108"/>
      <c r="AO185" s="90"/>
      <c r="AP185" s="1108"/>
      <c r="AQ185" s="1108"/>
      <c r="AR185" s="1108"/>
      <c r="AS185" s="1108"/>
      <c r="AT185" s="1108"/>
      <c r="AU185" s="1108"/>
      <c r="AV185" s="1108"/>
      <c r="AW185" s="1108"/>
      <c r="AX185" s="1108"/>
      <c r="AY185" s="1108"/>
      <c r="AZ185" s="1700"/>
      <c r="BA185" s="1108"/>
      <c r="BB185" s="1108"/>
      <c r="BC185" s="1108"/>
      <c r="BD185" s="1108"/>
      <c r="BE185" s="1108"/>
      <c r="BF185" s="1108"/>
      <c r="BG185" s="1108"/>
      <c r="BH185" s="1108"/>
      <c r="BI185" s="1700"/>
      <c r="BJ185" s="1700"/>
      <c r="BK185" s="1700"/>
      <c r="BL185" s="1700"/>
      <c r="BM185" s="1700"/>
      <c r="BN185" s="1700"/>
      <c r="BO185" s="1108"/>
      <c r="BP185" s="1700"/>
      <c r="BQ185" s="1700"/>
      <c r="BR185" s="1700"/>
      <c r="BS185" s="1700"/>
      <c r="BT185" s="1108"/>
      <c r="BU185" s="1108"/>
      <c r="BV185" s="1108"/>
      <c r="BW185" s="1108"/>
      <c r="BX185" s="1108"/>
      <c r="BY185" s="1108"/>
      <c r="BZ185" s="1108"/>
      <c r="CA185" s="1108"/>
      <c r="CB185" s="1108"/>
      <c r="CC185" s="1108"/>
      <c r="CD185" s="1108"/>
      <c r="CE185" s="1108"/>
      <c r="CF185" s="1108"/>
      <c r="CG185" s="1108"/>
      <c r="CH185" s="1108"/>
      <c r="CI185" s="1108"/>
      <c r="CJ185" s="1108"/>
      <c r="CK185" s="1108"/>
      <c r="CL185" s="1108"/>
      <c r="CM185" s="1108"/>
      <c r="CN185" s="1108"/>
      <c r="CO185" s="1108"/>
      <c r="CP185" s="1108"/>
      <c r="CQ185" s="1108"/>
      <c r="CR185" s="1108"/>
      <c r="CS185" s="1108"/>
      <c r="CT185" s="1470"/>
      <c r="CU185" s="1470"/>
      <c r="CV185" s="1470"/>
      <c r="CW185" s="1108"/>
      <c r="CX185" s="1108"/>
      <c r="CY185" s="1470"/>
      <c r="CZ185" s="1470"/>
      <c r="DA185" s="1470"/>
      <c r="DB185" s="1108"/>
      <c r="DC185" s="2862"/>
      <c r="DD185" s="1108"/>
      <c r="DE185" s="1108"/>
      <c r="DF185" s="1108"/>
      <c r="DG185" s="1108"/>
      <c r="DH185" s="1108"/>
      <c r="DI185" s="1108"/>
      <c r="DJ185" s="1108"/>
      <c r="DK185" s="1108"/>
      <c r="DL185" s="1108"/>
      <c r="DM185" s="1108"/>
      <c r="DN185" s="1108"/>
      <c r="DO185" s="1108"/>
      <c r="DP185" s="1108"/>
      <c r="DQ185" s="1108"/>
      <c r="DR185" s="1108"/>
    </row>
    <row r="186" spans="1:122">
      <c r="A186" s="1686" t="s">
        <v>582</v>
      </c>
      <c r="B186" s="1437">
        <v>615.9</v>
      </c>
      <c r="C186" s="1437">
        <v>927.1</v>
      </c>
      <c r="D186" s="1437">
        <v>58.3</v>
      </c>
      <c r="E186" s="1437">
        <v>148.9</v>
      </c>
      <c r="F186" s="1357">
        <v>-4.05</v>
      </c>
      <c r="G186" s="1437">
        <v>0</v>
      </c>
      <c r="H186" s="1722"/>
      <c r="I186" s="1692">
        <f>I303-197-4.04999999998836-5.71</f>
        <v>643.94000000001222</v>
      </c>
      <c r="J186" s="1692">
        <f>778.2</f>
        <v>778.2</v>
      </c>
      <c r="K186" s="1692">
        <f>1655.3-150</f>
        <v>1505.3</v>
      </c>
      <c r="L186" s="1692">
        <v>3074.6</v>
      </c>
      <c r="M186" s="1692">
        <v>1346.9</v>
      </c>
      <c r="N186" s="1692">
        <v>419.5</v>
      </c>
      <c r="O186" s="1369"/>
      <c r="P186" s="1654"/>
      <c r="Q186" s="1654"/>
      <c r="R186" s="1692">
        <v>716.7</v>
      </c>
      <c r="S186" s="1692">
        <v>480</v>
      </c>
      <c r="T186" s="1692">
        <v>660</v>
      </c>
      <c r="U186" s="1692">
        <v>708</v>
      </c>
      <c r="V186" s="1692">
        <v>397</v>
      </c>
      <c r="W186" s="1692">
        <v>428</v>
      </c>
      <c r="X186" s="1654"/>
      <c r="Y186" s="2801"/>
      <c r="Z186" s="3070">
        <v>317</v>
      </c>
      <c r="AA186" s="3070">
        <v>598</v>
      </c>
      <c r="AB186" s="2801"/>
      <c r="AC186" s="2801">
        <f t="shared" ref="AC186:AN186" ca="1" si="302">AC303</f>
        <v>500.04999999999757</v>
      </c>
      <c r="AD186" s="2801">
        <f t="shared" ca="1" si="302"/>
        <v>728.90605644045525</v>
      </c>
      <c r="AE186" s="2801">
        <f t="shared" ca="1" si="302"/>
        <v>500.00000000000011</v>
      </c>
      <c r="AF186" s="1654">
        <f t="shared" ca="1" si="302"/>
        <v>594.84517839930379</v>
      </c>
      <c r="AG186" s="1654">
        <f t="shared" ca="1" si="302"/>
        <v>782.87927562123525</v>
      </c>
      <c r="AH186" s="1654">
        <f t="shared" ca="1" si="302"/>
        <v>727.58767288626007</v>
      </c>
      <c r="AI186" s="1654">
        <f t="shared" ca="1" si="302"/>
        <v>500.00000000000011</v>
      </c>
      <c r="AJ186" s="1654">
        <f t="shared" ca="1" si="302"/>
        <v>500.00000000000011</v>
      </c>
      <c r="AK186" s="1654">
        <f t="shared" ca="1" si="302"/>
        <v>500.00000000000011</v>
      </c>
      <c r="AL186" s="1654">
        <f t="shared" ca="1" si="302"/>
        <v>500.00000000000011</v>
      </c>
      <c r="AM186" s="1654">
        <f t="shared" ca="1" si="302"/>
        <v>500.00000000000011</v>
      </c>
      <c r="AN186" s="1654">
        <f t="shared" ca="1" si="302"/>
        <v>500.00000000000011</v>
      </c>
      <c r="AO186" s="90"/>
      <c r="AP186" s="1654"/>
      <c r="AQ186" s="1654"/>
      <c r="AR186" s="1654"/>
      <c r="AS186" s="1654"/>
      <c r="AT186" s="1562"/>
      <c r="AU186" s="1108"/>
      <c r="AV186" s="1108"/>
      <c r="AW186" s="1689"/>
      <c r="AX186" s="1108"/>
      <c r="AY186" s="1108"/>
      <c r="AZ186" s="1700"/>
      <c r="BA186" s="1108"/>
      <c r="BB186" s="1108"/>
      <c r="BC186" s="1108"/>
      <c r="BD186" s="1108"/>
      <c r="BE186" s="1108"/>
      <c r="BF186" s="1108"/>
      <c r="BG186" s="1108"/>
      <c r="BH186" s="1108"/>
      <c r="BI186" s="1700"/>
      <c r="BJ186" s="1700"/>
      <c r="BK186" s="1700"/>
      <c r="BL186" s="1700"/>
      <c r="BM186" s="1700"/>
      <c r="BN186" s="1700"/>
      <c r="BO186" s="1108"/>
      <c r="BP186" s="1700"/>
      <c r="BQ186" s="1700"/>
      <c r="BR186" s="1700"/>
      <c r="BS186" s="1700"/>
      <c r="BT186" s="1108"/>
      <c r="BU186" s="1108"/>
      <c r="BV186" s="1108"/>
      <c r="BW186" s="1108"/>
      <c r="BX186" s="1108"/>
      <c r="BY186" s="1108"/>
      <c r="BZ186" s="1108"/>
      <c r="CA186" s="1108"/>
      <c r="CB186" s="1108"/>
      <c r="CC186" s="1108"/>
      <c r="CD186" s="1108"/>
      <c r="CE186" s="1108"/>
      <c r="CF186" s="1108"/>
      <c r="CG186" s="1108"/>
      <c r="CH186" s="1108"/>
      <c r="CI186" s="1108"/>
      <c r="CJ186" s="1108"/>
      <c r="CK186" s="1108"/>
      <c r="CL186" s="1108"/>
      <c r="CM186" s="1108"/>
      <c r="CN186" s="1108"/>
      <c r="CO186" s="1108"/>
      <c r="CP186" s="1108"/>
      <c r="CQ186" s="1108"/>
      <c r="CR186" s="1108"/>
      <c r="CS186" s="1108"/>
      <c r="CT186" s="1470"/>
      <c r="CU186" s="1470"/>
      <c r="CV186" s="1470"/>
      <c r="CW186" s="1108"/>
      <c r="CX186" s="1108"/>
      <c r="CY186" s="1470"/>
      <c r="CZ186" s="1470"/>
      <c r="DA186" s="1470"/>
      <c r="DB186" s="1108"/>
      <c r="DC186" s="2862"/>
      <c r="DD186" s="1108"/>
      <c r="DE186" s="1108"/>
      <c r="DF186" s="1108"/>
      <c r="DG186" s="1108"/>
      <c r="DH186" s="1108"/>
      <c r="DI186" s="1108"/>
      <c r="DJ186" s="1108"/>
      <c r="DK186" s="1108"/>
      <c r="DL186" s="1108"/>
      <c r="DM186" s="1108"/>
      <c r="DN186" s="1108"/>
      <c r="DO186" s="1108"/>
      <c r="DP186" s="1108"/>
      <c r="DQ186" s="1108"/>
      <c r="DR186" s="1108"/>
    </row>
    <row r="187" spans="1:122">
      <c r="A187" s="1686" t="s">
        <v>583</v>
      </c>
      <c r="B187" s="1437">
        <v>4156.7</v>
      </c>
      <c r="C187" s="1437">
        <v>4223.5</v>
      </c>
      <c r="D187" s="1437">
        <v>1707.1</v>
      </c>
      <c r="E187" s="1437">
        <v>1828.8</v>
      </c>
      <c r="F187" s="1357">
        <f>287.6-F186</f>
        <v>291.65000000000003</v>
      </c>
      <c r="G187" s="1437">
        <f>287.6-G186</f>
        <v>287.60000000000002</v>
      </c>
      <c r="H187" s="1722"/>
      <c r="I187" s="1357">
        <f>B187-D187+F187</f>
        <v>2741.25</v>
      </c>
      <c r="J187" s="1437">
        <v>2476.5</v>
      </c>
      <c r="K187" s="1437">
        <v>2733.2</v>
      </c>
      <c r="L187" s="1437">
        <v>2824</v>
      </c>
      <c r="M187" s="1437">
        <v>2678</v>
      </c>
      <c r="N187" s="1437">
        <v>2749.9</v>
      </c>
      <c r="O187" s="1369"/>
      <c r="P187" s="1357"/>
      <c r="Q187" s="1357"/>
      <c r="R187" s="1437">
        <v>2900.2</v>
      </c>
      <c r="S187" s="1437">
        <v>3248.1</v>
      </c>
      <c r="T187" s="1437">
        <v>3086</v>
      </c>
      <c r="U187" s="1437">
        <v>3137</v>
      </c>
      <c r="V187" s="1437">
        <v>3415</v>
      </c>
      <c r="W187" s="1437">
        <v>3459</v>
      </c>
      <c r="X187" s="1357"/>
      <c r="Y187" s="2806"/>
      <c r="Z187" s="2878">
        <v>3375</v>
      </c>
      <c r="AA187" s="2878">
        <v>3314</v>
      </c>
      <c r="AB187" s="2806"/>
      <c r="AC187" s="2806">
        <f t="shared" ref="AC187:AL187" si="303">AC479</f>
        <v>3897.8965639472344</v>
      </c>
      <c r="AD187" s="2806">
        <f t="shared" si="303"/>
        <v>4500.3845028987344</v>
      </c>
      <c r="AE187" s="2806">
        <f t="shared" si="303"/>
        <v>4827.6892662479768</v>
      </c>
      <c r="AF187" s="1357">
        <f t="shared" si="303"/>
        <v>5040.6248729973513</v>
      </c>
      <c r="AG187" s="1357">
        <f t="shared" si="303"/>
        <v>5266.4657804919789</v>
      </c>
      <c r="AH187" s="1357">
        <f t="shared" si="303"/>
        <v>5469.7662271778991</v>
      </c>
      <c r="AI187" s="1357">
        <f t="shared" si="303"/>
        <v>5664.3948647831712</v>
      </c>
      <c r="AJ187" s="1357">
        <f t="shared" si="303"/>
        <v>5853.9112667493882</v>
      </c>
      <c r="AK187" s="1357">
        <f t="shared" si="303"/>
        <v>6035.2148636383081</v>
      </c>
      <c r="AL187" s="1357">
        <f t="shared" si="303"/>
        <v>6189.0839268174968</v>
      </c>
      <c r="AM187" s="1357">
        <f>AM479</f>
        <v>6334.8975206550131</v>
      </c>
      <c r="AN187" s="1357">
        <f t="shared" ref="AN187" si="304">AN479</f>
        <v>6481.1833145293631</v>
      </c>
      <c r="AO187" s="90"/>
      <c r="AP187" s="1357"/>
      <c r="AQ187" s="1357"/>
      <c r="AR187" s="1357"/>
      <c r="AS187" s="1357"/>
      <c r="AT187" s="1562"/>
      <c r="AU187" s="1108"/>
      <c r="AV187" s="1108"/>
      <c r="AW187" s="1689"/>
      <c r="AX187" s="1108"/>
      <c r="AY187" s="1108"/>
      <c r="AZ187" s="1700"/>
      <c r="BA187" s="1108"/>
      <c r="BB187" s="1108"/>
      <c r="BC187" s="1108"/>
      <c r="BD187" s="1108"/>
      <c r="BE187" s="1108"/>
      <c r="BF187" s="1108"/>
      <c r="BG187" s="1108"/>
      <c r="BH187" s="1108"/>
      <c r="BI187" s="1700"/>
      <c r="BJ187" s="1700"/>
      <c r="BK187" s="1700"/>
      <c r="BL187" s="1700"/>
      <c r="BM187" s="1700"/>
      <c r="BN187" s="1700"/>
      <c r="BO187" s="1108"/>
      <c r="BP187" s="1700"/>
      <c r="BQ187" s="1700"/>
      <c r="BR187" s="1700"/>
      <c r="BS187" s="1700"/>
      <c r="BT187" s="1108"/>
      <c r="BU187" s="1108"/>
      <c r="BV187" s="1108"/>
      <c r="BW187" s="1108"/>
      <c r="BX187" s="1108"/>
      <c r="BY187" s="1108"/>
      <c r="BZ187" s="1108"/>
      <c r="CA187" s="1108"/>
      <c r="CB187" s="1108"/>
      <c r="CC187" s="1108"/>
      <c r="CD187" s="1108"/>
      <c r="CE187" s="1108"/>
      <c r="CF187" s="1108"/>
      <c r="CG187" s="1108"/>
      <c r="CH187" s="1108"/>
      <c r="CI187" s="1108"/>
      <c r="CJ187" s="1108"/>
      <c r="CK187" s="1108"/>
      <c r="CL187" s="1108"/>
      <c r="CM187" s="1108"/>
      <c r="CN187" s="1108"/>
      <c r="CO187" s="1108"/>
      <c r="CP187" s="1108"/>
      <c r="CQ187" s="1108"/>
      <c r="CR187" s="1108"/>
      <c r="CS187" s="1108"/>
      <c r="CT187" s="1470"/>
      <c r="CU187" s="1470"/>
      <c r="CV187" s="1470"/>
      <c r="CW187" s="1108"/>
      <c r="CX187" s="1108"/>
      <c r="CY187" s="1470"/>
      <c r="CZ187" s="1470"/>
      <c r="DA187" s="1470"/>
      <c r="DB187" s="1108"/>
      <c r="DC187" s="2862"/>
      <c r="DD187" s="1108"/>
      <c r="DE187" s="1108"/>
      <c r="DF187" s="1108"/>
      <c r="DG187" s="1108"/>
      <c r="DH187" s="1108"/>
      <c r="DI187" s="1108"/>
      <c r="DJ187" s="1108"/>
      <c r="DK187" s="1108"/>
      <c r="DL187" s="1108"/>
      <c r="DM187" s="1108"/>
      <c r="DN187" s="1108"/>
      <c r="DO187" s="1108"/>
      <c r="DP187" s="1108"/>
      <c r="DQ187" s="1108"/>
      <c r="DR187" s="1108"/>
    </row>
    <row r="188" spans="1:122">
      <c r="A188" s="1686" t="s">
        <v>890</v>
      </c>
      <c r="B188" s="1437">
        <v>1000.7</v>
      </c>
      <c r="C188" s="1437">
        <v>994.1</v>
      </c>
      <c r="D188" s="1437">
        <v>281.8</v>
      </c>
      <c r="E188" s="1437">
        <v>396.6</v>
      </c>
      <c r="F188" s="1357">
        <f>G188</f>
        <v>3.8</v>
      </c>
      <c r="G188" s="1437">
        <v>3.8</v>
      </c>
      <c r="H188" s="1722"/>
      <c r="I188" s="1357">
        <f>B188-D188+F188</f>
        <v>722.7</v>
      </c>
      <c r="J188" s="1437">
        <v>749.7</v>
      </c>
      <c r="K188" s="1437">
        <v>976.3</v>
      </c>
      <c r="L188" s="1437">
        <v>982.9</v>
      </c>
      <c r="M188" s="1437">
        <v>971.9</v>
      </c>
      <c r="N188" s="1437">
        <v>1027.3</v>
      </c>
      <c r="O188" s="1369"/>
      <c r="P188" s="1357"/>
      <c r="Q188" s="1357"/>
      <c r="R188" s="1437">
        <v>1085</v>
      </c>
      <c r="S188" s="1437">
        <v>725.4</v>
      </c>
      <c r="T188" s="1437">
        <v>735</v>
      </c>
      <c r="U188" s="1437">
        <v>859</v>
      </c>
      <c r="V188" s="1437">
        <v>772</v>
      </c>
      <c r="W188" s="1437">
        <v>922</v>
      </c>
      <c r="X188" s="1357"/>
      <c r="Y188" s="2806"/>
      <c r="Z188" s="2878">
        <v>1270</v>
      </c>
      <c r="AA188" s="2878">
        <v>1427</v>
      </c>
      <c r="AB188" s="2806"/>
      <c r="AC188" s="2806">
        <f>AC552</f>
        <v>1342.5927518851711</v>
      </c>
      <c r="AD188" s="2806">
        <f>AD552</f>
        <v>1495.2410826483963</v>
      </c>
      <c r="AE188" s="2806">
        <f>AE552</f>
        <v>1617.6604360790175</v>
      </c>
      <c r="AF188" s="1357">
        <f>AF552</f>
        <v>1765.8318908497577</v>
      </c>
      <c r="AG188" s="1357">
        <f t="shared" ref="AG188:AL188" si="305">AG552</f>
        <v>1902.3499432474466</v>
      </c>
      <c r="AH188" s="1357">
        <f t="shared" si="305"/>
        <v>2103.2134078032332</v>
      </c>
      <c r="AI188" s="1357">
        <f t="shared" si="305"/>
        <v>2270.3327024525252</v>
      </c>
      <c r="AJ188" s="1357">
        <f t="shared" si="305"/>
        <v>2492.8172622178454</v>
      </c>
      <c r="AK188" s="1357">
        <f t="shared" si="305"/>
        <v>2682.648182118055</v>
      </c>
      <c r="AL188" s="1357">
        <f t="shared" si="305"/>
        <v>2901.0078068378061</v>
      </c>
      <c r="AM188" s="1357">
        <f>AM552</f>
        <v>3117.8620162198818</v>
      </c>
      <c r="AN188" s="1357">
        <f>AN552</f>
        <v>3500.0663352871811</v>
      </c>
      <c r="AO188" s="90"/>
      <c r="AP188" s="1357"/>
      <c r="AQ188" s="1357"/>
      <c r="AR188" s="1357"/>
      <c r="AS188" s="1357"/>
      <c r="AT188" s="1562"/>
      <c r="AU188" s="1108"/>
      <c r="AV188" s="1108"/>
      <c r="AW188" s="1689"/>
      <c r="AX188" s="1108"/>
      <c r="AY188" s="1108"/>
      <c r="AZ188" s="1700"/>
      <c r="BA188" s="1108"/>
      <c r="BB188" s="1108"/>
      <c r="BC188" s="1108"/>
      <c r="BD188" s="1108"/>
      <c r="BE188" s="1108"/>
      <c r="BF188" s="1108"/>
      <c r="BG188" s="1108"/>
      <c r="BH188" s="1108"/>
      <c r="BI188" s="1700"/>
      <c r="BJ188" s="1700"/>
      <c r="BK188" s="1700"/>
      <c r="BL188" s="1700"/>
      <c r="BM188" s="1700"/>
      <c r="BN188" s="1700"/>
      <c r="BO188" s="1108"/>
      <c r="BP188" s="1700"/>
      <c r="BQ188" s="1700"/>
      <c r="BR188" s="1700"/>
      <c r="BS188" s="1700"/>
      <c r="BT188" s="1108"/>
      <c r="BU188" s="1108"/>
      <c r="BV188" s="1108"/>
      <c r="BW188" s="1108"/>
      <c r="BX188" s="1108"/>
      <c r="BY188" s="1108"/>
      <c r="BZ188" s="1108"/>
      <c r="CA188" s="1108"/>
      <c r="CB188" s="1108"/>
      <c r="CC188" s="1108"/>
      <c r="CD188" s="1108"/>
      <c r="CE188" s="1108"/>
      <c r="CF188" s="1108"/>
      <c r="CG188" s="1108"/>
      <c r="CH188" s="1108"/>
      <c r="CI188" s="1108"/>
      <c r="CJ188" s="1108"/>
      <c r="CK188" s="1108"/>
      <c r="CL188" s="1108"/>
      <c r="CM188" s="1108"/>
      <c r="CN188" s="1108"/>
      <c r="CO188" s="1108"/>
      <c r="CP188" s="1108"/>
      <c r="CQ188" s="1108"/>
      <c r="CR188" s="1108"/>
      <c r="CS188" s="1108"/>
      <c r="CT188" s="1470"/>
      <c r="CU188" s="1470"/>
      <c r="CV188" s="1470"/>
      <c r="CW188" s="1108"/>
      <c r="CX188" s="1108"/>
      <c r="CY188" s="1470"/>
      <c r="CZ188" s="1110"/>
      <c r="DA188" s="1110"/>
      <c r="DB188" s="1108"/>
      <c r="DC188" s="2862"/>
      <c r="DD188" s="1108"/>
      <c r="DE188" s="1108"/>
      <c r="DF188" s="1108"/>
      <c r="DG188" s="1108"/>
      <c r="DH188" s="1108"/>
      <c r="DI188" s="1108"/>
      <c r="DJ188" s="1108"/>
      <c r="DK188" s="1108"/>
      <c r="DL188" s="1108"/>
      <c r="DM188" s="1108"/>
      <c r="DN188" s="1108"/>
      <c r="DO188" s="1108"/>
      <c r="DP188" s="1108"/>
      <c r="DQ188" s="1108"/>
      <c r="DR188" s="1108"/>
    </row>
    <row r="189" spans="1:122">
      <c r="A189" s="2136" t="s">
        <v>1773</v>
      </c>
      <c r="B189" s="1437">
        <v>69</v>
      </c>
      <c r="C189" s="1437">
        <v>215</v>
      </c>
      <c r="D189" s="1437">
        <v>10.4</v>
      </c>
      <c r="E189" s="1437">
        <v>13.5</v>
      </c>
      <c r="F189" s="1357">
        <f>G189</f>
        <v>0</v>
      </c>
      <c r="G189" s="1437">
        <v>0</v>
      </c>
      <c r="H189" s="1722"/>
      <c r="I189" s="1357">
        <f>B189-D189+F189</f>
        <v>58.6</v>
      </c>
      <c r="J189" s="1437">
        <v>201.5</v>
      </c>
      <c r="K189" s="1635">
        <v>468.9</v>
      </c>
      <c r="L189" s="1635">
        <v>307.7</v>
      </c>
      <c r="M189" s="1635">
        <v>273.7</v>
      </c>
      <c r="N189" s="1635">
        <v>318.7</v>
      </c>
      <c r="O189" s="1369"/>
      <c r="P189" s="1105"/>
      <c r="Q189" s="1105"/>
      <c r="R189" s="1635">
        <v>303.39999999999998</v>
      </c>
      <c r="S189" s="1437">
        <v>302.60000000000002</v>
      </c>
      <c r="T189" s="1437">
        <v>319</v>
      </c>
      <c r="U189" s="1437">
        <v>0</v>
      </c>
      <c r="V189" s="1437">
        <v>0</v>
      </c>
      <c r="W189" s="1105">
        <v>0</v>
      </c>
      <c r="X189" s="1105"/>
      <c r="Y189" s="2804"/>
      <c r="Z189" s="2878">
        <v>101</v>
      </c>
      <c r="AA189" s="2878">
        <v>30</v>
      </c>
      <c r="AB189" s="2804"/>
      <c r="AC189" s="2804">
        <f ca="1">MAX(0,AA189+AC38)</f>
        <v>0</v>
      </c>
      <c r="AD189" s="2804">
        <f t="shared" ref="AD189:AN189" ca="1" si="306">MAX(0,AC189+AD38)</f>
        <v>0</v>
      </c>
      <c r="AE189" s="2804">
        <f t="shared" ca="1" si="306"/>
        <v>0</v>
      </c>
      <c r="AF189" s="1105">
        <f t="shared" ca="1" si="306"/>
        <v>0</v>
      </c>
      <c r="AG189" s="1105">
        <f t="shared" ca="1" si="306"/>
        <v>0</v>
      </c>
      <c r="AH189" s="1105">
        <f t="shared" ca="1" si="306"/>
        <v>0</v>
      </c>
      <c r="AI189" s="1105">
        <f t="shared" ca="1" si="306"/>
        <v>0</v>
      </c>
      <c r="AJ189" s="1105">
        <f t="shared" ca="1" si="306"/>
        <v>0</v>
      </c>
      <c r="AK189" s="1105">
        <f t="shared" ca="1" si="306"/>
        <v>0</v>
      </c>
      <c r="AL189" s="1105">
        <f t="shared" ca="1" si="306"/>
        <v>0</v>
      </c>
      <c r="AM189" s="1105">
        <f t="shared" ca="1" si="306"/>
        <v>0</v>
      </c>
      <c r="AN189" s="1105">
        <f t="shared" ca="1" si="306"/>
        <v>0</v>
      </c>
      <c r="AO189" s="90"/>
      <c r="AP189" s="1105"/>
      <c r="AQ189" s="1105"/>
      <c r="AR189" s="1105"/>
      <c r="AS189" s="1105"/>
      <c r="AT189" s="1562"/>
      <c r="AU189" s="1108"/>
      <c r="AV189" s="1108"/>
      <c r="AW189" s="1689"/>
      <c r="AX189" s="1108"/>
      <c r="AY189" s="1108"/>
      <c r="AZ189" s="1700"/>
      <c r="BA189" s="1108"/>
      <c r="BB189" s="1108"/>
      <c r="BC189" s="1108"/>
      <c r="BD189" s="1108"/>
      <c r="BE189" s="1108"/>
      <c r="BF189" s="1108"/>
      <c r="BG189" s="1108"/>
      <c r="BH189" s="1108"/>
      <c r="BI189" s="1700"/>
      <c r="BJ189" s="1700"/>
      <c r="BK189" s="1700"/>
      <c r="BL189" s="1700"/>
      <c r="BM189" s="1700"/>
      <c r="BN189" s="1700"/>
      <c r="BO189" s="1108"/>
      <c r="BP189" s="1700"/>
      <c r="BQ189" s="1700"/>
      <c r="BR189" s="1700"/>
      <c r="BS189" s="1700"/>
      <c r="BT189" s="1108"/>
      <c r="BU189" s="1108"/>
      <c r="BV189" s="1108"/>
      <c r="BW189" s="1108"/>
      <c r="BX189" s="1108"/>
      <c r="BY189" s="1108"/>
      <c r="BZ189" s="1108"/>
      <c r="CA189" s="1108"/>
      <c r="CB189" s="1108"/>
      <c r="CC189" s="1108"/>
      <c r="CD189" s="1108"/>
      <c r="CE189" s="1108"/>
      <c r="CF189" s="1108"/>
      <c r="CG189" s="1108"/>
      <c r="CH189" s="1108"/>
      <c r="CI189" s="1108"/>
      <c r="CJ189" s="1108"/>
      <c r="CK189" s="1108"/>
      <c r="CL189" s="1108"/>
      <c r="CM189" s="1108"/>
      <c r="CN189" s="1108"/>
      <c r="CO189" s="1108"/>
      <c r="CP189" s="1108"/>
      <c r="CQ189" s="1108"/>
      <c r="CR189" s="1108"/>
      <c r="CS189" s="1108"/>
      <c r="CT189" s="1470"/>
      <c r="CU189" s="1470"/>
      <c r="CV189" s="1470"/>
      <c r="CW189" s="1108"/>
      <c r="CX189" s="1108"/>
      <c r="CY189" s="1470"/>
      <c r="CZ189" s="1470"/>
      <c r="DA189" s="1470"/>
      <c r="DB189" s="1108"/>
      <c r="DC189" s="2862"/>
      <c r="DD189" s="1108"/>
      <c r="DE189" s="1108"/>
      <c r="DF189" s="1108"/>
      <c r="DG189" s="1108"/>
      <c r="DH189" s="1108"/>
      <c r="DI189" s="1108"/>
      <c r="DJ189" s="1108"/>
      <c r="DK189" s="1108"/>
      <c r="DL189" s="1108"/>
      <c r="DM189" s="1108"/>
      <c r="DN189" s="1108"/>
      <c r="DO189" s="1108"/>
      <c r="DP189" s="1108"/>
      <c r="DQ189" s="1108"/>
      <c r="DR189" s="1108"/>
    </row>
    <row r="190" spans="1:122">
      <c r="A190" s="1686" t="s">
        <v>887</v>
      </c>
      <c r="B190" s="1437">
        <v>233.8</v>
      </c>
      <c r="C190" s="1437">
        <v>263.5</v>
      </c>
      <c r="D190" s="1437">
        <v>70.5</v>
      </c>
      <c r="E190" s="1437">
        <v>99.7</v>
      </c>
      <c r="F190" s="1357">
        <f>G190</f>
        <v>0</v>
      </c>
      <c r="G190" s="1437">
        <v>0</v>
      </c>
      <c r="H190" s="1722"/>
      <c r="I190" s="1357">
        <f>B190-D190+F190</f>
        <v>163.30000000000001</v>
      </c>
      <c r="J190" s="1437">
        <v>163.80000000000001</v>
      </c>
      <c r="K190" s="1635">
        <v>212.3</v>
      </c>
      <c r="L190" s="1379">
        <v>163.69999999999999</v>
      </c>
      <c r="M190" s="1379">
        <v>177.6</v>
      </c>
      <c r="N190" s="1379">
        <v>181.1</v>
      </c>
      <c r="O190" s="1369"/>
      <c r="P190" s="1366"/>
      <c r="Q190" s="1366"/>
      <c r="R190" s="1379">
        <v>174.5</v>
      </c>
      <c r="S190" s="1437">
        <v>177.9</v>
      </c>
      <c r="T190" s="1437">
        <v>213</v>
      </c>
      <c r="U190" s="1366">
        <f t="shared" ref="U190:AH190" si="307">U483</f>
        <v>219.88185084696045</v>
      </c>
      <c r="V190" s="1366">
        <f t="shared" si="307"/>
        <v>238.72493950282322</v>
      </c>
      <c r="W190" s="1437">
        <v>129</v>
      </c>
      <c r="X190" s="1366"/>
      <c r="Y190" s="2796"/>
      <c r="Z190" s="2878">
        <v>133</v>
      </c>
      <c r="AA190" s="2878">
        <v>185</v>
      </c>
      <c r="AB190" s="2796"/>
      <c r="AC190" s="2796">
        <f>AC483</f>
        <v>174.35087599181293</v>
      </c>
      <c r="AD190" s="2796">
        <f t="shared" si="307"/>
        <v>185.49264710622012</v>
      </c>
      <c r="AE190" s="2796">
        <f t="shared" si="307"/>
        <v>198.98318928656508</v>
      </c>
      <c r="AF190" s="1366">
        <f t="shared" si="307"/>
        <v>204.160782191897</v>
      </c>
      <c r="AG190" s="1366">
        <f t="shared" si="307"/>
        <v>211.64156328005879</v>
      </c>
      <c r="AH190" s="1366">
        <f t="shared" si="307"/>
        <v>225.44771805118387</v>
      </c>
      <c r="AI190" s="1366">
        <f t="shared" ref="AI190:AN190" si="308">AI483</f>
        <v>224.13094995880328</v>
      </c>
      <c r="AJ190" s="1366">
        <f t="shared" si="308"/>
        <v>230.9192868041946</v>
      </c>
      <c r="AK190" s="1366">
        <f t="shared" si="308"/>
        <v>243.29530359607872</v>
      </c>
      <c r="AL190" s="1366">
        <f t="shared" si="308"/>
        <v>241.18156255897716</v>
      </c>
      <c r="AM190" s="1366">
        <f t="shared" si="308"/>
        <v>246.11794055423502</v>
      </c>
      <c r="AN190" s="1366">
        <f t="shared" si="308"/>
        <v>262.09507347463341</v>
      </c>
      <c r="AO190" s="90"/>
      <c r="AP190" s="1366"/>
      <c r="AQ190" s="1366"/>
      <c r="AR190" s="1366"/>
      <c r="AS190" s="1366"/>
      <c r="AT190" s="1562"/>
      <c r="AU190" s="1108"/>
      <c r="AV190" s="1357"/>
      <c r="AW190" s="1689"/>
      <c r="AX190" s="1108"/>
      <c r="AY190" s="1108"/>
      <c r="AZ190" s="1700"/>
      <c r="BA190" s="1108"/>
      <c r="BB190" s="1108"/>
      <c r="BC190" s="1108"/>
      <c r="BD190" s="1108"/>
      <c r="BE190" s="1108"/>
      <c r="BF190" s="1108"/>
      <c r="BG190" s="1108"/>
      <c r="BH190" s="1108"/>
      <c r="BI190" s="1700"/>
      <c r="BJ190" s="1700"/>
      <c r="BK190" s="1700"/>
      <c r="BL190" s="1700"/>
      <c r="BM190" s="1700"/>
      <c r="BN190" s="1700"/>
      <c r="BO190" s="1108"/>
      <c r="BP190" s="1700"/>
      <c r="BQ190" s="1700"/>
      <c r="BR190" s="1700"/>
      <c r="BS190" s="1700"/>
      <c r="BT190" s="1108"/>
      <c r="BU190" s="1108"/>
      <c r="BV190" s="1108"/>
      <c r="BW190" s="1108"/>
      <c r="BX190" s="1108"/>
      <c r="BY190" s="1108"/>
      <c r="BZ190" s="1108"/>
      <c r="CA190" s="1108"/>
      <c r="CB190" s="1108"/>
      <c r="CC190" s="1108"/>
      <c r="CD190" s="1108"/>
      <c r="CE190" s="1108"/>
      <c r="CF190" s="1108"/>
      <c r="CG190" s="1108"/>
      <c r="CH190" s="1108"/>
      <c r="CI190" s="1108"/>
      <c r="CJ190" s="1108"/>
      <c r="CK190" s="1108"/>
      <c r="CL190" s="1108"/>
      <c r="CM190" s="1108"/>
      <c r="CN190" s="1108"/>
      <c r="CO190" s="1108"/>
      <c r="CP190" s="1108"/>
      <c r="CQ190" s="1108"/>
      <c r="CR190" s="1108"/>
      <c r="CS190" s="1108"/>
      <c r="CT190" s="1470"/>
      <c r="CU190" s="1470"/>
      <c r="CV190" s="1470"/>
      <c r="CW190" s="1108"/>
      <c r="CX190" s="1108"/>
      <c r="CY190" s="1470"/>
      <c r="CZ190" s="1470"/>
      <c r="DA190" s="1470"/>
      <c r="DB190" s="1108"/>
      <c r="DC190" s="2862"/>
      <c r="DD190" s="1108"/>
      <c r="DE190" s="1108"/>
      <c r="DF190" s="1108"/>
      <c r="DG190" s="1108"/>
      <c r="DH190" s="1108"/>
      <c r="DI190" s="1108"/>
      <c r="DJ190" s="1108"/>
      <c r="DK190" s="1108"/>
      <c r="DL190" s="1108"/>
      <c r="DM190" s="1108"/>
      <c r="DN190" s="1108"/>
      <c r="DO190" s="1108"/>
      <c r="DP190" s="1108"/>
      <c r="DQ190" s="1108"/>
      <c r="DR190" s="1108"/>
    </row>
    <row r="191" spans="1:122">
      <c r="A191" s="1686" t="s">
        <v>584</v>
      </c>
      <c r="B191" s="1437">
        <v>664.7</v>
      </c>
      <c r="C191" s="1437">
        <v>805</v>
      </c>
      <c r="D191" s="1437">
        <v>89.2</v>
      </c>
      <c r="E191" s="1437">
        <v>124.2</v>
      </c>
      <c r="F191" s="1357">
        <f>G191</f>
        <v>0</v>
      </c>
      <c r="G191" s="1437">
        <v>0</v>
      </c>
      <c r="H191" s="1723"/>
      <c r="I191" s="1357">
        <f>B191-D191+F191</f>
        <v>575.5</v>
      </c>
      <c r="J191" s="1437">
        <v>680.8</v>
      </c>
      <c r="K191" s="1635">
        <v>669.9</v>
      </c>
      <c r="L191" s="1379">
        <v>593.6</v>
      </c>
      <c r="M191" s="1379">
        <v>573.70000000000005</v>
      </c>
      <c r="N191" s="1379">
        <v>488.2</v>
      </c>
      <c r="O191" s="1369"/>
      <c r="P191" s="1366"/>
      <c r="Q191" s="1366"/>
      <c r="R191" s="1379">
        <v>455.9</v>
      </c>
      <c r="S191" s="1724">
        <f>881.2-S189-S190-S192</f>
        <v>395.80000000000007</v>
      </c>
      <c r="T191" s="1724">
        <f>1068-T189-T190-T192</f>
        <v>527</v>
      </c>
      <c r="U191" s="1724">
        <f>1016-U189-U190-U192</f>
        <v>796.11814915303955</v>
      </c>
      <c r="V191" s="1724">
        <f>786-V189-V190-V192</f>
        <v>547.27506049717681</v>
      </c>
      <c r="W191" s="1724">
        <f>780-W190</f>
        <v>651</v>
      </c>
      <c r="X191" s="1366"/>
      <c r="Y191" s="2796"/>
      <c r="Z191" s="2878">
        <v>228</v>
      </c>
      <c r="AA191" s="2878">
        <v>204</v>
      </c>
      <c r="AB191" s="2796"/>
      <c r="AC191" s="2796">
        <f>AC485</f>
        <v>474.52653821966339</v>
      </c>
      <c r="AD191" s="2796">
        <f t="shared" ref="AD191:AH191" si="309">AD485</f>
        <v>504.85082564569137</v>
      </c>
      <c r="AE191" s="2796">
        <f t="shared" si="309"/>
        <v>541.56770614961283</v>
      </c>
      <c r="AF191" s="1366">
        <f t="shared" si="309"/>
        <v>555.65943481860575</v>
      </c>
      <c r="AG191" s="1366">
        <f t="shared" si="309"/>
        <v>576.01969474131022</v>
      </c>
      <c r="AH191" s="1366">
        <f t="shared" si="309"/>
        <v>613.59557035649516</v>
      </c>
      <c r="AI191" s="1366">
        <f t="shared" ref="AI191:AN191" si="310">AI485</f>
        <v>610.011754668957</v>
      </c>
      <c r="AJ191" s="1366">
        <f t="shared" si="310"/>
        <v>628.48740593935156</v>
      </c>
      <c r="AK191" s="1366">
        <f t="shared" si="310"/>
        <v>662.17090980357625</v>
      </c>
      <c r="AL191" s="1366">
        <f t="shared" si="310"/>
        <v>656.41799223821943</v>
      </c>
      <c r="AM191" s="1366">
        <f t="shared" si="310"/>
        <v>669.85321215385341</v>
      </c>
      <c r="AN191" s="1366">
        <f t="shared" si="310"/>
        <v>713.33778619033876</v>
      </c>
      <c r="AO191" s="90"/>
      <c r="AP191" s="1366"/>
      <c r="AQ191" s="1366"/>
      <c r="AR191" s="1366"/>
      <c r="AS191" s="1366"/>
      <c r="AT191" s="1562"/>
      <c r="AU191" s="1108"/>
      <c r="AV191" s="1108"/>
      <c r="AW191" s="1689"/>
      <c r="AX191" s="1108"/>
      <c r="AY191" s="1108"/>
      <c r="AZ191" s="1700"/>
      <c r="BA191" s="1108"/>
      <c r="BB191" s="1108"/>
      <c r="BC191" s="1108"/>
      <c r="BD191" s="1108"/>
      <c r="BE191" s="1108"/>
      <c r="BF191" s="1108"/>
      <c r="BG191" s="1108"/>
      <c r="BH191" s="1108"/>
      <c r="BI191" s="1700"/>
      <c r="BJ191" s="1700"/>
      <c r="BK191" s="1700"/>
      <c r="BL191" s="1700"/>
      <c r="BM191" s="1700"/>
      <c r="BN191" s="1700"/>
      <c r="BO191" s="1108"/>
      <c r="BP191" s="1700"/>
      <c r="BQ191" s="1700"/>
      <c r="BR191" s="1700"/>
      <c r="BS191" s="1700"/>
      <c r="BT191" s="1108"/>
      <c r="BU191" s="1108"/>
      <c r="BV191" s="1108"/>
      <c r="BW191" s="1108"/>
      <c r="BX191" s="1108"/>
      <c r="BY191" s="1108"/>
      <c r="BZ191" s="1108"/>
      <c r="CA191" s="1108"/>
      <c r="CB191" s="1108"/>
      <c r="CC191" s="1108"/>
      <c r="CD191" s="1108"/>
      <c r="CE191" s="1108"/>
      <c r="CF191" s="1108"/>
      <c r="CG191" s="1108"/>
      <c r="CH191" s="1108"/>
      <c r="CI191" s="1108"/>
      <c r="CJ191" s="1108"/>
      <c r="CK191" s="1108"/>
      <c r="CL191" s="1108"/>
      <c r="CM191" s="1108"/>
      <c r="CN191" s="1108"/>
      <c r="CO191" s="1108"/>
      <c r="CP191" s="1108"/>
      <c r="CQ191" s="1108"/>
      <c r="CR191" s="1108"/>
      <c r="CS191" s="1108"/>
      <c r="CT191" s="1470"/>
      <c r="CU191" s="1470"/>
      <c r="CV191" s="1470"/>
      <c r="CW191" s="1108"/>
      <c r="CX191" s="1108"/>
      <c r="CY191" s="1470"/>
      <c r="CZ191" s="1470"/>
      <c r="DA191" s="1470"/>
      <c r="DB191" s="1108"/>
      <c r="DC191" s="2862"/>
      <c r="DD191" s="1108"/>
      <c r="DE191" s="1108"/>
      <c r="DF191" s="1108"/>
      <c r="DG191" s="1108"/>
      <c r="DH191" s="1108"/>
      <c r="DI191" s="1108"/>
      <c r="DJ191" s="1108"/>
      <c r="DK191" s="1108"/>
      <c r="DL191" s="1108"/>
      <c r="DM191" s="1108"/>
      <c r="DN191" s="1108"/>
      <c r="DO191" s="1108"/>
      <c r="DP191" s="1108"/>
      <c r="DQ191" s="1108"/>
      <c r="DR191" s="1108"/>
    </row>
    <row r="192" spans="1:122">
      <c r="A192" s="2136" t="s">
        <v>888</v>
      </c>
      <c r="B192" s="1695">
        <v>1027.5999999999999</v>
      </c>
      <c r="C192" s="1695">
        <v>65.3</v>
      </c>
      <c r="D192" s="1695">
        <v>995.5</v>
      </c>
      <c r="E192" s="1695">
        <v>14.6</v>
      </c>
      <c r="F192" s="1708">
        <f>G192</f>
        <v>0</v>
      </c>
      <c r="G192" s="1695">
        <v>0</v>
      </c>
      <c r="H192" s="1723"/>
      <c r="I192" s="1439">
        <f>B192-D192+F192+197+5.71</f>
        <v>234.80999999999992</v>
      </c>
      <c r="J192" s="1725">
        <f>2443</f>
        <v>2443</v>
      </c>
      <c r="K192" s="1464">
        <f>79.6+150</f>
        <v>229.6</v>
      </c>
      <c r="L192" s="1464">
        <v>197.6</v>
      </c>
      <c r="M192" s="1464">
        <v>9.1</v>
      </c>
      <c r="N192" s="1464">
        <v>8.1</v>
      </c>
      <c r="O192" s="1369"/>
      <c r="P192" s="1464"/>
      <c r="Q192" s="1464"/>
      <c r="R192" s="1464">
        <v>1.2</v>
      </c>
      <c r="S192" s="1464">
        <v>4.9000000000000004</v>
      </c>
      <c r="T192" s="1464">
        <v>9</v>
      </c>
      <c r="U192" s="1464">
        <v>0</v>
      </c>
      <c r="V192" s="1464">
        <v>0</v>
      </c>
      <c r="W192" s="1464">
        <v>0</v>
      </c>
      <c r="X192" s="1464"/>
      <c r="Y192" s="2883"/>
      <c r="Z192" s="2883">
        <v>323</v>
      </c>
      <c r="AA192" s="2883">
        <v>305</v>
      </c>
      <c r="AB192" s="2883"/>
      <c r="AC192" s="2883">
        <v>0</v>
      </c>
      <c r="AD192" s="2883">
        <f>AC192</f>
        <v>0</v>
      </c>
      <c r="AE192" s="2883">
        <f t="shared" ref="AE192:AN192" si="311">AD192</f>
        <v>0</v>
      </c>
      <c r="AF192" s="1464">
        <f t="shared" si="311"/>
        <v>0</v>
      </c>
      <c r="AG192" s="1464">
        <f t="shared" si="311"/>
        <v>0</v>
      </c>
      <c r="AH192" s="1464">
        <f t="shared" si="311"/>
        <v>0</v>
      </c>
      <c r="AI192" s="1464">
        <f t="shared" si="311"/>
        <v>0</v>
      </c>
      <c r="AJ192" s="1464">
        <f t="shared" si="311"/>
        <v>0</v>
      </c>
      <c r="AK192" s="1464">
        <f t="shared" si="311"/>
        <v>0</v>
      </c>
      <c r="AL192" s="1464">
        <f t="shared" si="311"/>
        <v>0</v>
      </c>
      <c r="AM192" s="1464">
        <f t="shared" si="311"/>
        <v>0</v>
      </c>
      <c r="AN192" s="1464">
        <f t="shared" si="311"/>
        <v>0</v>
      </c>
      <c r="AO192" s="90"/>
      <c r="AP192" s="1366"/>
      <c r="AQ192" s="1366"/>
      <c r="AR192" s="1366"/>
      <c r="AS192" s="1366"/>
      <c r="AT192" s="1562"/>
      <c r="AU192" s="1108"/>
      <c r="AV192" s="1108"/>
      <c r="AW192" s="1689"/>
      <c r="AX192" s="1108"/>
      <c r="AY192" s="1108"/>
      <c r="AZ192" s="1700"/>
      <c r="BA192" s="1108"/>
      <c r="BB192" s="1108"/>
      <c r="BC192" s="1108"/>
      <c r="BD192" s="1108"/>
      <c r="BE192" s="1108"/>
      <c r="BF192" s="1108"/>
      <c r="BG192" s="1108"/>
      <c r="BH192" s="1108"/>
      <c r="BI192" s="1700"/>
      <c r="BJ192" s="1700"/>
      <c r="BK192" s="1700"/>
      <c r="BL192" s="1700"/>
      <c r="BM192" s="1700"/>
      <c r="BN192" s="1700"/>
      <c r="BO192" s="1108"/>
      <c r="BP192" s="1700"/>
      <c r="BQ192" s="1700"/>
      <c r="BR192" s="1700"/>
      <c r="BS192" s="1700"/>
      <c r="BT192" s="1108"/>
      <c r="BU192" s="1108"/>
      <c r="BV192" s="1108"/>
      <c r="BW192" s="1108"/>
      <c r="BX192" s="1108"/>
      <c r="BY192" s="1108"/>
      <c r="BZ192" s="1108"/>
      <c r="CA192" s="1108"/>
      <c r="CB192" s="1108"/>
      <c r="CC192" s="1108"/>
      <c r="CD192" s="1108"/>
      <c r="CE192" s="1108"/>
      <c r="CF192" s="1108"/>
      <c r="CG192" s="1108"/>
      <c r="CH192" s="1108"/>
      <c r="CI192" s="1108"/>
      <c r="CJ192" s="1108"/>
      <c r="CK192" s="1108"/>
      <c r="CL192" s="1108"/>
      <c r="CM192" s="1108"/>
      <c r="CN192" s="1108"/>
      <c r="CO192" s="1108"/>
      <c r="CP192" s="1108"/>
      <c r="CQ192" s="1108"/>
      <c r="CR192" s="1108"/>
      <c r="CS192" s="1108"/>
      <c r="CT192" s="1470"/>
      <c r="CU192" s="1470"/>
      <c r="CV192" s="1470"/>
      <c r="CW192" s="1108"/>
      <c r="CX192" s="1108"/>
      <c r="CY192" s="1470"/>
      <c r="CZ192" s="1470"/>
      <c r="DA192" s="1470"/>
      <c r="DB192" s="1108"/>
      <c r="DC192" s="2862"/>
      <c r="DD192" s="1108"/>
      <c r="DE192" s="1108"/>
      <c r="DF192" s="1108"/>
      <c r="DG192" s="1108"/>
      <c r="DH192" s="1108"/>
      <c r="DI192" s="1108"/>
      <c r="DJ192" s="1108"/>
      <c r="DK192" s="1108"/>
      <c r="DL192" s="1108"/>
      <c r="DM192" s="1108"/>
      <c r="DN192" s="1108"/>
      <c r="DO192" s="1108"/>
      <c r="DP192" s="1108"/>
      <c r="DQ192" s="1108"/>
      <c r="DR192" s="1108"/>
    </row>
    <row r="193" spans="1:122">
      <c r="A193" s="2334" t="s">
        <v>585</v>
      </c>
      <c r="B193" s="1357">
        <f t="shared" ref="B193:G193" si="312">SUM(B186:B192)</f>
        <v>7768.4</v>
      </c>
      <c r="C193" s="1357">
        <f t="shared" si="312"/>
        <v>7493.5000000000009</v>
      </c>
      <c r="D193" s="1357">
        <f t="shared" si="312"/>
        <v>3212.7999999999997</v>
      </c>
      <c r="E193" s="1357">
        <f t="shared" si="312"/>
        <v>2626.2999999999997</v>
      </c>
      <c r="F193" s="1357">
        <f t="shared" si="312"/>
        <v>291.40000000000003</v>
      </c>
      <c r="G193" s="1357">
        <f t="shared" si="312"/>
        <v>291.40000000000003</v>
      </c>
      <c r="H193" s="1687"/>
      <c r="I193" s="1654">
        <f t="shared" ref="I193:N193" si="313">SUM(I186:I192)</f>
        <v>5140.1000000000122</v>
      </c>
      <c r="J193" s="1654">
        <f t="shared" si="313"/>
        <v>7493.5</v>
      </c>
      <c r="K193" s="1654">
        <f t="shared" si="313"/>
        <v>6795.5</v>
      </c>
      <c r="L193" s="1654">
        <f t="shared" si="313"/>
        <v>8144.1</v>
      </c>
      <c r="M193" s="1654">
        <f t="shared" si="313"/>
        <v>6030.9000000000005</v>
      </c>
      <c r="N193" s="1654">
        <f t="shared" si="313"/>
        <v>5192.8</v>
      </c>
      <c r="O193" s="1369"/>
      <c r="P193" s="1654"/>
      <c r="Q193" s="1654"/>
      <c r="R193" s="1654">
        <f t="shared" ref="R193:AH193" si="314">SUM(R186:R192)</f>
        <v>5636.8999999999987</v>
      </c>
      <c r="S193" s="1654">
        <f t="shared" si="314"/>
        <v>5334.7</v>
      </c>
      <c r="T193" s="1654">
        <f t="shared" si="314"/>
        <v>5549</v>
      </c>
      <c r="U193" s="1654">
        <f t="shared" si="314"/>
        <v>5720</v>
      </c>
      <c r="V193" s="1654">
        <f t="shared" si="314"/>
        <v>5370</v>
      </c>
      <c r="W193" s="1654">
        <f t="shared" si="314"/>
        <v>5589</v>
      </c>
      <c r="X193" s="1654"/>
      <c r="Y193" s="2801"/>
      <c r="Z193" s="2801">
        <f>SUM(Z186:Z192)</f>
        <v>5747</v>
      </c>
      <c r="AA193" s="2801">
        <f>SUM(AA186:AA192)</f>
        <v>6063</v>
      </c>
      <c r="AB193" s="2801"/>
      <c r="AC193" s="2801">
        <f ca="1">SUM(AC186:AC192)</f>
        <v>6389.4167300438794</v>
      </c>
      <c r="AD193" s="2801">
        <f t="shared" ca="1" si="314"/>
        <v>7414.8751147394978</v>
      </c>
      <c r="AE193" s="2801">
        <f t="shared" ca="1" si="314"/>
        <v>7685.9005977631714</v>
      </c>
      <c r="AF193" s="1654">
        <f t="shared" ca="1" si="314"/>
        <v>8161.1221592569154</v>
      </c>
      <c r="AG193" s="1654">
        <f t="shared" ca="1" si="314"/>
        <v>8739.3562573820291</v>
      </c>
      <c r="AH193" s="1654">
        <f t="shared" ca="1" si="314"/>
        <v>9139.6105962750735</v>
      </c>
      <c r="AI193" s="1654">
        <f t="shared" ref="AI193:AN193" ca="1" si="315">SUM(AI186:AI192)</f>
        <v>9268.870271863454</v>
      </c>
      <c r="AJ193" s="1654">
        <f t="shared" ca="1" si="315"/>
        <v>9706.1352217107778</v>
      </c>
      <c r="AK193" s="1654">
        <f t="shared" ca="1" si="315"/>
        <v>10123.329259156017</v>
      </c>
      <c r="AL193" s="1654">
        <f t="shared" ca="1" si="315"/>
        <v>10487.691288452499</v>
      </c>
      <c r="AM193" s="1654">
        <f t="shared" ca="1" si="315"/>
        <v>10868.730689582984</v>
      </c>
      <c r="AN193" s="1654">
        <f t="shared" ca="1" si="315"/>
        <v>11456.682509481516</v>
      </c>
      <c r="AO193" s="90"/>
      <c r="AP193" s="1366"/>
      <c r="AQ193" s="1366"/>
      <c r="AR193" s="1366"/>
      <c r="AS193" s="1366"/>
      <c r="AT193" s="1562"/>
      <c r="AU193" s="1108"/>
      <c r="AV193" s="1108"/>
      <c r="AW193" s="1689"/>
      <c r="AX193" s="1108"/>
      <c r="AY193" s="1108"/>
      <c r="AZ193" s="1700"/>
      <c r="BA193" s="1108"/>
      <c r="BB193" s="1108"/>
      <c r="BC193" s="1108"/>
      <c r="BD193" s="1108"/>
      <c r="BE193" s="1108"/>
      <c r="BF193" s="1108"/>
      <c r="BG193" s="1108"/>
      <c r="BH193" s="1108"/>
      <c r="BI193" s="1700"/>
      <c r="BJ193" s="1700"/>
      <c r="BK193" s="1700"/>
      <c r="BL193" s="1700"/>
      <c r="BM193" s="1700"/>
      <c r="BN193" s="1700"/>
      <c r="BO193" s="1108"/>
      <c r="BP193" s="1700"/>
      <c r="BQ193" s="1700"/>
      <c r="BR193" s="1700"/>
      <c r="BS193" s="1700"/>
      <c r="BT193" s="1108"/>
      <c r="BU193" s="1108"/>
      <c r="BV193" s="1108"/>
      <c r="BW193" s="1108"/>
      <c r="BX193" s="1108"/>
      <c r="BY193" s="1108"/>
      <c r="BZ193" s="1108"/>
      <c r="CA193" s="1108"/>
      <c r="CB193" s="1108"/>
      <c r="CC193" s="1108"/>
      <c r="CD193" s="1108"/>
      <c r="CE193" s="1108"/>
      <c r="CF193" s="1108"/>
      <c r="CG193" s="1108"/>
      <c r="CH193" s="1108"/>
      <c r="CI193" s="1108"/>
      <c r="CJ193" s="1108"/>
      <c r="CK193" s="1108"/>
      <c r="CL193" s="1108"/>
      <c r="CM193" s="1108"/>
      <c r="CN193" s="1108"/>
      <c r="CO193" s="1108"/>
      <c r="CP193" s="1108"/>
      <c r="CQ193" s="1108"/>
      <c r="CR193" s="1108"/>
      <c r="CS193" s="1108"/>
      <c r="CT193" s="1470"/>
      <c r="CU193" s="1470"/>
      <c r="CV193" s="1470"/>
      <c r="CW193" s="1108"/>
      <c r="CX193" s="1108"/>
      <c r="CY193" s="1470"/>
      <c r="CZ193" s="1470"/>
      <c r="DA193" s="1470"/>
      <c r="DB193" s="1108"/>
      <c r="DC193" s="2862"/>
      <c r="DD193" s="1108"/>
      <c r="DE193" s="1108"/>
      <c r="DF193" s="1108"/>
      <c r="DG193" s="1108"/>
      <c r="DH193" s="1108"/>
      <c r="DI193" s="1108"/>
      <c r="DJ193" s="1108"/>
      <c r="DK193" s="1108"/>
      <c r="DL193" s="1108"/>
      <c r="DM193" s="1108"/>
      <c r="DN193" s="1108"/>
      <c r="DO193" s="1108"/>
      <c r="DP193" s="1108"/>
      <c r="DQ193" s="1108"/>
      <c r="DR193" s="1108"/>
    </row>
    <row r="194" spans="1:122">
      <c r="A194" s="1686"/>
      <c r="B194" s="1357"/>
      <c r="C194" s="1357"/>
      <c r="D194" s="1357"/>
      <c r="E194" s="1357"/>
      <c r="F194" s="1357"/>
      <c r="G194" s="1357"/>
      <c r="H194" s="1687"/>
      <c r="I194" s="1357"/>
      <c r="J194" s="1689"/>
      <c r="K194" s="1357" t="s">
        <v>337</v>
      </c>
      <c r="L194" s="1687"/>
      <c r="M194" s="1687"/>
      <c r="N194" s="1687"/>
      <c r="O194" s="1369"/>
      <c r="P194" s="1687"/>
      <c r="Q194" s="1687"/>
      <c r="R194" s="1687"/>
      <c r="S194" s="1687"/>
      <c r="T194" s="1687"/>
      <c r="U194" s="1687"/>
      <c r="V194" s="1687"/>
      <c r="W194" s="1687"/>
      <c r="X194" s="1687"/>
      <c r="Y194" s="2882"/>
      <c r="Z194" s="2882"/>
      <c r="AA194" s="2882"/>
      <c r="AB194" s="2882"/>
      <c r="AC194" s="2882"/>
      <c r="AD194" s="2882"/>
      <c r="AE194" s="2882"/>
      <c r="AF194" s="1687"/>
      <c r="AG194" s="1687"/>
      <c r="AH194" s="1687"/>
      <c r="AI194" s="1687"/>
      <c r="AJ194" s="1687"/>
      <c r="AK194" s="1687"/>
      <c r="AL194" s="1687"/>
      <c r="AM194" s="1687"/>
      <c r="AN194" s="1108"/>
      <c r="AO194" s="90"/>
      <c r="AP194" s="1366"/>
      <c r="AQ194" s="1366"/>
      <c r="AR194" s="1366"/>
      <c r="AS194" s="1366"/>
      <c r="AT194" s="1562"/>
      <c r="AU194" s="1108"/>
      <c r="AV194" s="1108"/>
      <c r="AW194" s="1689"/>
      <c r="AX194" s="1108"/>
      <c r="AY194" s="1108"/>
      <c r="AZ194" s="1700"/>
      <c r="BA194" s="1108"/>
      <c r="BB194" s="1108"/>
      <c r="BC194" s="1108"/>
      <c r="BD194" s="1108"/>
      <c r="BE194" s="1108"/>
      <c r="BF194" s="1699"/>
      <c r="BG194" s="1108"/>
      <c r="BH194" s="1108"/>
      <c r="BI194" s="1700"/>
      <c r="BJ194" s="1700"/>
      <c r="BK194" s="1700"/>
      <c r="BL194" s="1700"/>
      <c r="BM194" s="1700"/>
      <c r="BN194" s="1700"/>
      <c r="BO194" s="1108"/>
      <c r="BP194" s="1700"/>
      <c r="BQ194" s="1700"/>
      <c r="BR194" s="1700"/>
      <c r="BS194" s="1700"/>
      <c r="BT194" s="1108"/>
      <c r="BU194" s="1108"/>
      <c r="BV194" s="1108"/>
      <c r="BW194" s="1108"/>
      <c r="BX194" s="1108"/>
      <c r="BY194" s="1108"/>
      <c r="BZ194" s="1108"/>
      <c r="CA194" s="1108"/>
      <c r="CB194" s="1108"/>
      <c r="CC194" s="1108"/>
      <c r="CD194" s="1108"/>
      <c r="CE194" s="1108"/>
      <c r="CF194" s="1108"/>
      <c r="CG194" s="1108"/>
      <c r="CH194" s="1108"/>
      <c r="CI194" s="1108"/>
      <c r="CJ194" s="1108"/>
      <c r="CK194" s="1108"/>
      <c r="CL194" s="1108"/>
      <c r="CM194" s="1108"/>
      <c r="CN194" s="1108"/>
      <c r="CO194" s="1108"/>
      <c r="CP194" s="1108"/>
      <c r="CQ194" s="1108"/>
      <c r="CR194" s="1108"/>
      <c r="CS194" s="1108"/>
      <c r="CT194" s="1470"/>
      <c r="CU194" s="1470"/>
      <c r="CV194" s="1470"/>
      <c r="CW194" s="1108"/>
      <c r="CX194" s="1108"/>
      <c r="CY194" s="1470"/>
      <c r="CZ194" s="1470"/>
      <c r="DA194" s="1470"/>
      <c r="DB194" s="1108"/>
      <c r="DC194" s="2862"/>
      <c r="DD194" s="1108"/>
      <c r="DE194" s="1108"/>
      <c r="DF194" s="1108"/>
      <c r="DG194" s="1108"/>
      <c r="DH194" s="1108"/>
      <c r="DI194" s="1108"/>
      <c r="DJ194" s="1108"/>
      <c r="DK194" s="1108"/>
      <c r="DL194" s="1108"/>
      <c r="DM194" s="1108"/>
      <c r="DN194" s="1108"/>
      <c r="DO194" s="1108"/>
      <c r="DP194" s="1108"/>
      <c r="DQ194" s="1108"/>
      <c r="DR194" s="1108"/>
    </row>
    <row r="195" spans="1:122">
      <c r="A195" s="1686" t="s">
        <v>470</v>
      </c>
      <c r="B195" s="1437">
        <v>6852.2</v>
      </c>
      <c r="C195" s="1437">
        <v>7157.9</v>
      </c>
      <c r="D195" s="1437">
        <v>2123.9</v>
      </c>
      <c r="E195" s="1437">
        <v>2262</v>
      </c>
      <c r="F195" s="1357">
        <f>G195</f>
        <v>0</v>
      </c>
      <c r="G195" s="1437">
        <v>0</v>
      </c>
      <c r="H195" s="1722"/>
      <c r="I195" s="1654">
        <f>B195-D195+F195</f>
        <v>4728.2999999999993</v>
      </c>
      <c r="J195" s="1692">
        <f>506.4+684.2+190.8+1492.5+2022</f>
        <v>4895.8999999999996</v>
      </c>
      <c r="K195" s="1692">
        <f>500.8+689.7+209.2+1528.1+2182.3</f>
        <v>5110.1000000000004</v>
      </c>
      <c r="L195" s="1692">
        <v>4275.6000000000004</v>
      </c>
      <c r="M195" s="1692">
        <v>4683.3999999999996</v>
      </c>
      <c r="N195" s="1692">
        <v>4899.5</v>
      </c>
      <c r="O195" s="1369"/>
      <c r="P195" s="1654"/>
      <c r="Q195" s="1654"/>
      <c r="R195" s="1692">
        <v>4998</v>
      </c>
      <c r="S195" s="1692">
        <v>5104.7</v>
      </c>
      <c r="T195" s="1692">
        <v>4880</v>
      </c>
      <c r="U195" s="1692">
        <v>4988</v>
      </c>
      <c r="V195" s="1692">
        <v>5023</v>
      </c>
      <c r="W195" s="1692">
        <v>3164</v>
      </c>
      <c r="X195" s="1654"/>
      <c r="Y195" s="2801"/>
      <c r="Z195" s="3070">
        <v>2880</v>
      </c>
      <c r="AA195" s="3070">
        <v>2935</v>
      </c>
      <c r="AB195" s="2801"/>
      <c r="AC195" s="2801">
        <f>AC569</f>
        <v>3037.6198524806696</v>
      </c>
      <c r="AD195" s="2801">
        <f t="shared" ref="AD195:AK195" si="316">AD569</f>
        <v>2975.873696718229</v>
      </c>
      <c r="AE195" s="2801">
        <f t="shared" si="316"/>
        <v>2929.4892045472629</v>
      </c>
      <c r="AF195" s="1654">
        <f t="shared" si="316"/>
        <v>2891.8027639388056</v>
      </c>
      <c r="AG195" s="1654">
        <f t="shared" si="316"/>
        <v>2864.8734676814379</v>
      </c>
      <c r="AH195" s="1654">
        <f t="shared" si="316"/>
        <v>2852.0511376056224</v>
      </c>
      <c r="AI195" s="1654">
        <f t="shared" si="316"/>
        <v>2840.2592803771599</v>
      </c>
      <c r="AJ195" s="1654">
        <f t="shared" si="316"/>
        <v>2835.7622994132666</v>
      </c>
      <c r="AK195" s="1654">
        <f t="shared" si="316"/>
        <v>2842.3813959998752</v>
      </c>
      <c r="AL195" s="1654">
        <f>AL569</f>
        <v>2847.720317088008</v>
      </c>
      <c r="AM195" s="1654">
        <f>AM569</f>
        <v>2857.4710892547023</v>
      </c>
      <c r="AN195" s="1654">
        <f>AN569</f>
        <v>2879.9554194693292</v>
      </c>
      <c r="AO195" s="90"/>
      <c r="AP195" s="1654"/>
      <c r="AQ195" s="1654"/>
      <c r="AR195" s="1654"/>
      <c r="AS195" s="1654"/>
      <c r="AT195" s="1562"/>
      <c r="AU195" s="1108"/>
      <c r="AV195" s="1626"/>
      <c r="AW195" s="1689"/>
      <c r="AX195" s="1108"/>
      <c r="AY195" s="1108"/>
      <c r="AZ195" s="1700"/>
      <c r="BA195" s="1108"/>
      <c r="BB195" s="1108"/>
      <c r="BC195" s="1108"/>
      <c r="BD195" s="1108"/>
      <c r="BE195" s="1108"/>
      <c r="BF195" s="1108"/>
      <c r="BG195" s="1108"/>
      <c r="BH195" s="1108"/>
      <c r="BI195" s="1700"/>
      <c r="BJ195" s="1700"/>
      <c r="BK195" s="1700"/>
      <c r="BL195" s="1700"/>
      <c r="BM195" s="1700"/>
      <c r="BN195" s="1700"/>
      <c r="BO195" s="1108"/>
      <c r="BP195" s="1700"/>
      <c r="BQ195" s="1700"/>
      <c r="BR195" s="1700"/>
      <c r="BS195" s="1700"/>
      <c r="BT195" s="1108"/>
      <c r="BU195" s="1108"/>
      <c r="BV195" s="1108"/>
      <c r="BW195" s="1108"/>
      <c r="BX195" s="1108"/>
      <c r="BY195" s="1108"/>
      <c r="BZ195" s="1108"/>
      <c r="CA195" s="1108"/>
      <c r="CB195" s="1108"/>
      <c r="CC195" s="1108"/>
      <c r="CD195" s="1108"/>
      <c r="CE195" s="1108"/>
      <c r="CF195" s="1108"/>
      <c r="CG195" s="1108"/>
      <c r="CH195" s="1108"/>
      <c r="CI195" s="1108"/>
      <c r="CJ195" s="1108"/>
      <c r="CK195" s="1108"/>
      <c r="CL195" s="1108"/>
      <c r="CM195" s="1108"/>
      <c r="CN195" s="1108"/>
      <c r="CO195" s="1108"/>
      <c r="CP195" s="1108"/>
      <c r="CQ195" s="1108"/>
      <c r="CR195" s="1108"/>
      <c r="CS195" s="1108"/>
      <c r="CT195" s="1470"/>
      <c r="CU195" s="1470"/>
      <c r="CV195" s="1470"/>
      <c r="CW195" s="1108"/>
      <c r="CX195" s="1108"/>
      <c r="CY195" s="1470"/>
      <c r="CZ195" s="1470"/>
      <c r="DA195" s="1470"/>
      <c r="DB195" s="1108"/>
      <c r="DC195" s="2862"/>
      <c r="DD195" s="1108"/>
      <c r="DE195" s="1108"/>
      <c r="DF195" s="1108"/>
      <c r="DG195" s="1108"/>
      <c r="DH195" s="1108"/>
      <c r="DI195" s="1108"/>
      <c r="DJ195" s="1108"/>
      <c r="DK195" s="1108"/>
      <c r="DL195" s="1108"/>
      <c r="DM195" s="1108"/>
      <c r="DN195" s="1108"/>
      <c r="DO195" s="1108"/>
      <c r="DP195" s="1108"/>
      <c r="DQ195" s="1108"/>
      <c r="DR195" s="1108"/>
    </row>
    <row r="196" spans="1:122">
      <c r="A196" s="2136" t="s">
        <v>889</v>
      </c>
      <c r="B196" s="1695">
        <v>2563.8000000000002</v>
      </c>
      <c r="C196" s="1695">
        <v>2820</v>
      </c>
      <c r="D196" s="1695">
        <v>1123.4000000000001</v>
      </c>
      <c r="E196" s="1695">
        <v>1157.0999999999999</v>
      </c>
      <c r="F196" s="1708">
        <f>G196</f>
        <v>0</v>
      </c>
      <c r="G196" s="1695">
        <v>0</v>
      </c>
      <c r="H196" s="1723"/>
      <c r="I196" s="1439">
        <f>B196-D196+F196</f>
        <v>1440.4</v>
      </c>
      <c r="J196" s="1464">
        <v>1662.9</v>
      </c>
      <c r="K196" s="1464">
        <v>1877.3</v>
      </c>
      <c r="L196" s="1464">
        <v>1461.8</v>
      </c>
      <c r="M196" s="1464">
        <v>1761.9</v>
      </c>
      <c r="N196" s="1464">
        <v>1891.2</v>
      </c>
      <c r="O196" s="1369"/>
      <c r="P196" s="1439"/>
      <c r="Q196" s="1439"/>
      <c r="R196" s="1464">
        <v>2139.3000000000002</v>
      </c>
      <c r="S196" s="1464">
        <v>2410.5</v>
      </c>
      <c r="T196" s="1464">
        <v>2508</v>
      </c>
      <c r="U196" s="1464">
        <v>2717</v>
      </c>
      <c r="V196" s="1464">
        <v>2787</v>
      </c>
      <c r="W196" s="1464">
        <v>1731</v>
      </c>
      <c r="X196" s="1439"/>
      <c r="Y196" s="2872"/>
      <c r="Z196" s="2883">
        <v>1627</v>
      </c>
      <c r="AA196" s="2883">
        <v>1694</v>
      </c>
      <c r="AB196" s="2872"/>
      <c r="AC196" s="2872">
        <f ca="1">-AC570</f>
        <v>1618.1636781118307</v>
      </c>
      <c r="AD196" s="2872">
        <f t="shared" ref="AD196:AH196" ca="1" si="317">-AD570</f>
        <v>1554.6917144039764</v>
      </c>
      <c r="AE196" s="2872">
        <f t="shared" ca="1" si="317"/>
        <v>1493.0273070383523</v>
      </c>
      <c r="AF196" s="1439">
        <f t="shared" ca="1" si="317"/>
        <v>1437.293172002019</v>
      </c>
      <c r="AG196" s="1439">
        <f t="shared" ca="1" si="317"/>
        <v>1390.9902154390029</v>
      </c>
      <c r="AH196" s="1439">
        <f t="shared" ca="1" si="317"/>
        <v>1357.4200500073252</v>
      </c>
      <c r="AI196" s="1439">
        <f t="shared" ref="AI196:AN196" ca="1" si="318">-AI570</f>
        <v>1323.2386522271586</v>
      </c>
      <c r="AJ196" s="1439">
        <f t="shared" ca="1" si="318"/>
        <v>1294.6929855403171</v>
      </c>
      <c r="AK196" s="1439">
        <f t="shared" ca="1" si="318"/>
        <v>1275.5856356510972</v>
      </c>
      <c r="AL196" s="1439">
        <f t="shared" ca="1" si="318"/>
        <v>1253.4652825327423</v>
      </c>
      <c r="AM196" s="1439">
        <f t="shared" ca="1" si="318"/>
        <v>1234.0082461307018</v>
      </c>
      <c r="AN196" s="1439">
        <f t="shared" ca="1" si="318"/>
        <v>1225.5247875772041</v>
      </c>
      <c r="AO196" s="90"/>
      <c r="AP196" s="1373"/>
      <c r="AQ196" s="1373"/>
      <c r="AR196" s="1373"/>
      <c r="AS196" s="1373"/>
      <c r="AT196" s="1562"/>
      <c r="AU196" s="1108"/>
      <c r="AV196" s="1626"/>
      <c r="AW196" s="1689"/>
      <c r="AX196" s="1108"/>
      <c r="AY196" s="1108"/>
      <c r="AZ196" s="1700"/>
      <c r="BA196" s="1108"/>
      <c r="BB196" s="1108"/>
      <c r="BC196" s="1108"/>
      <c r="BD196" s="1108"/>
      <c r="BE196" s="1108"/>
      <c r="BF196" s="1108"/>
      <c r="BG196" s="1108"/>
      <c r="BH196" s="1108"/>
      <c r="BI196" s="1700"/>
      <c r="BJ196" s="1700"/>
      <c r="BK196" s="1700"/>
      <c r="BL196" s="1700"/>
      <c r="BM196" s="1700"/>
      <c r="BN196" s="1700"/>
      <c r="BO196" s="1108"/>
      <c r="BP196" s="1700"/>
      <c r="BQ196" s="1700"/>
      <c r="BR196" s="1700"/>
      <c r="BS196" s="1700"/>
      <c r="BT196" s="1108"/>
      <c r="BU196" s="1108"/>
      <c r="BV196" s="1108"/>
      <c r="BW196" s="1108"/>
      <c r="BX196" s="1108"/>
      <c r="BY196" s="1108"/>
      <c r="BZ196" s="1108"/>
      <c r="CA196" s="1108"/>
      <c r="CB196" s="1108"/>
      <c r="CC196" s="1108"/>
      <c r="CD196" s="1108"/>
      <c r="CE196" s="1108"/>
      <c r="CF196" s="1108"/>
      <c r="CG196" s="1108"/>
      <c r="CH196" s="1108"/>
      <c r="CI196" s="1108"/>
      <c r="CJ196" s="1108"/>
      <c r="CK196" s="1108"/>
      <c r="CL196" s="1108"/>
      <c r="CM196" s="1108"/>
      <c r="CN196" s="1108"/>
      <c r="CO196" s="1108"/>
      <c r="CP196" s="1108"/>
      <c r="CQ196" s="1108"/>
      <c r="CR196" s="1108"/>
      <c r="CS196" s="1108"/>
      <c r="CT196" s="1470"/>
      <c r="CU196" s="1470"/>
      <c r="CV196" s="1470"/>
      <c r="CW196" s="1108"/>
      <c r="CX196" s="1108"/>
      <c r="CY196" s="1470"/>
      <c r="CZ196" s="1470"/>
      <c r="DA196" s="1470"/>
      <c r="DB196" s="1108"/>
      <c r="DC196" s="2862"/>
      <c r="DD196" s="1108"/>
      <c r="DE196" s="1108"/>
      <c r="DF196" s="1108"/>
      <c r="DG196" s="1108"/>
      <c r="DH196" s="1108"/>
      <c r="DI196" s="1108"/>
      <c r="DJ196" s="1108"/>
      <c r="DK196" s="1108"/>
      <c r="DL196" s="1108"/>
      <c r="DM196" s="1108"/>
      <c r="DN196" s="1108"/>
      <c r="DO196" s="1108"/>
      <c r="DP196" s="1108"/>
      <c r="DQ196" s="1108"/>
      <c r="DR196" s="1108"/>
    </row>
    <row r="197" spans="1:122">
      <c r="A197" s="2333" t="s">
        <v>579</v>
      </c>
      <c r="B197" s="1357">
        <f t="shared" ref="B197:G197" si="319">B195-B196</f>
        <v>4288.3999999999996</v>
      </c>
      <c r="C197" s="1357">
        <f t="shared" si="319"/>
        <v>4337.8999999999996</v>
      </c>
      <c r="D197" s="1357">
        <f t="shared" si="319"/>
        <v>1000.5</v>
      </c>
      <c r="E197" s="1357">
        <f t="shared" si="319"/>
        <v>1104.9000000000001</v>
      </c>
      <c r="F197" s="1357">
        <f t="shared" si="319"/>
        <v>0</v>
      </c>
      <c r="G197" s="1357">
        <f t="shared" si="319"/>
        <v>0</v>
      </c>
      <c r="H197" s="1687"/>
      <c r="I197" s="1654">
        <f t="shared" ref="I197:N197" si="320">I195-I196</f>
        <v>3287.8999999999992</v>
      </c>
      <c r="J197" s="1654">
        <f t="shared" si="320"/>
        <v>3232.9999999999995</v>
      </c>
      <c r="K197" s="1654">
        <f t="shared" si="320"/>
        <v>3232.8</v>
      </c>
      <c r="L197" s="1654">
        <f t="shared" si="320"/>
        <v>2813.8</v>
      </c>
      <c r="M197" s="1654">
        <f t="shared" si="320"/>
        <v>2921.4999999999995</v>
      </c>
      <c r="N197" s="1654">
        <f t="shared" si="320"/>
        <v>3008.3</v>
      </c>
      <c r="O197" s="1369"/>
      <c r="P197" s="1654"/>
      <c r="Q197" s="1654"/>
      <c r="R197" s="1654">
        <f t="shared" ref="R197:AH197" si="321">R195-R196</f>
        <v>2858.7</v>
      </c>
      <c r="S197" s="1654">
        <f t="shared" si="321"/>
        <v>2694.2</v>
      </c>
      <c r="T197" s="1654">
        <f t="shared" si="321"/>
        <v>2372</v>
      </c>
      <c r="U197" s="1654">
        <f t="shared" si="321"/>
        <v>2271</v>
      </c>
      <c r="V197" s="1654">
        <f t="shared" si="321"/>
        <v>2236</v>
      </c>
      <c r="W197" s="1654">
        <f t="shared" si="321"/>
        <v>1433</v>
      </c>
      <c r="X197" s="1110"/>
      <c r="Y197" s="2801"/>
      <c r="Z197" s="2801">
        <f t="shared" si="321"/>
        <v>1253</v>
      </c>
      <c r="AA197" s="2801">
        <f>AA195-AA196</f>
        <v>1241</v>
      </c>
      <c r="AB197" s="2801"/>
      <c r="AC197" s="2801">
        <f t="shared" ca="1" si="321"/>
        <v>1419.4561743688389</v>
      </c>
      <c r="AD197" s="2801">
        <f t="shared" ca="1" si="321"/>
        <v>1421.1819823142525</v>
      </c>
      <c r="AE197" s="2801">
        <f t="shared" ca="1" si="321"/>
        <v>1436.4618975089106</v>
      </c>
      <c r="AF197" s="1654">
        <f t="shared" ca="1" si="321"/>
        <v>1454.5095919367866</v>
      </c>
      <c r="AG197" s="1654">
        <f t="shared" ca="1" si="321"/>
        <v>1473.883252242435</v>
      </c>
      <c r="AH197" s="1654">
        <f t="shared" ca="1" si="321"/>
        <v>1494.6310875982972</v>
      </c>
      <c r="AI197" s="1654">
        <f t="shared" ref="AI197:AN197" ca="1" si="322">AI195-AI196</f>
        <v>1517.0206281500014</v>
      </c>
      <c r="AJ197" s="1654">
        <f t="shared" ca="1" si="322"/>
        <v>1541.0693138729496</v>
      </c>
      <c r="AK197" s="1654">
        <f t="shared" ca="1" si="322"/>
        <v>1566.795760348778</v>
      </c>
      <c r="AL197" s="1654">
        <f t="shared" ca="1" si="322"/>
        <v>1594.2550345552656</v>
      </c>
      <c r="AM197" s="1654">
        <f t="shared" ca="1" si="322"/>
        <v>1623.4628431240005</v>
      </c>
      <c r="AN197" s="1654">
        <f t="shared" ca="1" si="322"/>
        <v>1654.4306318921251</v>
      </c>
      <c r="AO197" s="90"/>
      <c r="AP197" s="1654"/>
      <c r="AQ197" s="1654"/>
      <c r="AR197" s="1654"/>
      <c r="AS197" s="1654"/>
      <c r="AT197" s="1562"/>
      <c r="AU197" s="1108"/>
      <c r="AV197" s="1108"/>
      <c r="AW197" s="1689"/>
      <c r="AX197" s="1108"/>
      <c r="AY197" s="1108"/>
      <c r="AZ197" s="1700"/>
      <c r="BA197" s="1108"/>
      <c r="BB197" s="1108"/>
      <c r="BC197" s="1108"/>
      <c r="BD197" s="1108"/>
      <c r="BE197" s="1108"/>
      <c r="BF197" s="1108"/>
      <c r="BG197" s="1108"/>
      <c r="BH197" s="1108"/>
      <c r="BI197" s="1700"/>
      <c r="BJ197" s="1700"/>
      <c r="BK197" s="1700"/>
      <c r="BL197" s="1700"/>
      <c r="BM197" s="1700"/>
      <c r="BN197" s="1700"/>
      <c r="BO197" s="1108"/>
      <c r="BP197" s="1700"/>
      <c r="BQ197" s="1700"/>
      <c r="BR197" s="1700"/>
      <c r="BS197" s="1700"/>
      <c r="BT197" s="1108"/>
      <c r="BU197" s="1108"/>
      <c r="BV197" s="1108"/>
      <c r="BW197" s="1108"/>
      <c r="BX197" s="1108"/>
      <c r="BY197" s="1108"/>
      <c r="BZ197" s="1108"/>
      <c r="CA197" s="1108"/>
      <c r="CB197" s="1108"/>
      <c r="CC197" s="1108"/>
      <c r="CD197" s="1108"/>
      <c r="CE197" s="1108"/>
      <c r="CF197" s="1108"/>
      <c r="CG197" s="1108"/>
      <c r="CH197" s="1108"/>
      <c r="CI197" s="1108"/>
      <c r="CJ197" s="1108"/>
      <c r="CK197" s="1108"/>
      <c r="CL197" s="1108"/>
      <c r="CM197" s="1108"/>
      <c r="CN197" s="1108"/>
      <c r="CO197" s="1108"/>
      <c r="CP197" s="1108"/>
      <c r="CQ197" s="1108"/>
      <c r="CR197" s="1108"/>
      <c r="CS197" s="1108"/>
      <c r="CT197" s="1470"/>
      <c r="CU197" s="1470"/>
      <c r="CV197" s="1470"/>
      <c r="CW197" s="1108"/>
      <c r="CX197" s="1108"/>
      <c r="CY197" s="1470"/>
      <c r="CZ197" s="1470"/>
      <c r="DA197" s="1470"/>
      <c r="DB197" s="1108"/>
      <c r="DC197" s="2862"/>
      <c r="DD197" s="1108"/>
      <c r="DE197" s="1108"/>
      <c r="DF197" s="1108"/>
      <c r="DG197" s="1108"/>
      <c r="DH197" s="1108"/>
      <c r="DI197" s="1108"/>
      <c r="DJ197" s="1108"/>
      <c r="DK197" s="1108"/>
      <c r="DL197" s="1108"/>
      <c r="DM197" s="1108"/>
      <c r="DN197" s="1108"/>
      <c r="DO197" s="1108"/>
      <c r="DP197" s="1108"/>
      <c r="DQ197" s="1108"/>
      <c r="DR197" s="1108"/>
    </row>
    <row r="198" spans="1:122">
      <c r="A198" s="1686"/>
      <c r="B198" s="1357"/>
      <c r="C198" s="1357"/>
      <c r="D198" s="1357"/>
      <c r="E198" s="1357"/>
      <c r="F198" s="1357"/>
      <c r="G198" s="1357"/>
      <c r="H198" s="1687"/>
      <c r="I198" s="1357"/>
      <c r="J198" s="1689"/>
      <c r="K198" s="1357" t="s">
        <v>337</v>
      </c>
      <c r="L198" s="1687"/>
      <c r="M198" s="1687"/>
      <c r="N198" s="1687"/>
      <c r="O198" s="1369"/>
      <c r="P198" s="1687"/>
      <c r="Q198" s="1687"/>
      <c r="R198" s="1687"/>
      <c r="S198" s="1687"/>
      <c r="T198" s="1687"/>
      <c r="U198" s="1687"/>
      <c r="V198" s="1687"/>
      <c r="W198" s="1687"/>
      <c r="X198" s="1687"/>
      <c r="Y198" s="2882"/>
      <c r="Z198" s="2882"/>
      <c r="AA198" s="2882"/>
      <c r="AB198" s="2882"/>
      <c r="AC198" s="2882"/>
      <c r="AD198" s="2882"/>
      <c r="AE198" s="2882"/>
      <c r="AF198" s="1687"/>
      <c r="AG198" s="1687"/>
      <c r="AH198" s="1687"/>
      <c r="AI198" s="1687"/>
      <c r="AJ198" s="1687"/>
      <c r="AK198" s="1687"/>
      <c r="AL198" s="1687"/>
      <c r="AM198" s="1687"/>
      <c r="AN198" s="1108"/>
      <c r="AO198" s="90"/>
      <c r="AP198" s="1687"/>
      <c r="AQ198" s="1687"/>
      <c r="AR198" s="1687"/>
      <c r="AS198" s="1687"/>
      <c r="AT198" s="1562"/>
      <c r="AU198" s="1108"/>
      <c r="AV198" s="1108"/>
      <c r="AW198" s="1689"/>
      <c r="AX198" s="1108"/>
      <c r="AY198" s="1108"/>
      <c r="AZ198" s="1700"/>
      <c r="BA198" s="1108"/>
      <c r="BB198" s="1108"/>
      <c r="BC198" s="1108"/>
      <c r="BD198" s="1108"/>
      <c r="BE198" s="1108"/>
      <c r="BF198" s="1727"/>
      <c r="BG198" s="1108"/>
      <c r="BH198" s="1108"/>
      <c r="BI198" s="1700"/>
      <c r="BJ198" s="1700"/>
      <c r="BK198" s="1700"/>
      <c r="BL198" s="1700"/>
      <c r="BM198" s="1700"/>
      <c r="BN198" s="1700"/>
      <c r="BO198" s="1108"/>
      <c r="BP198" s="1700"/>
      <c r="BQ198" s="1700"/>
      <c r="BR198" s="1700"/>
      <c r="BS198" s="1700"/>
      <c r="BT198" s="1108"/>
      <c r="BU198" s="1108"/>
      <c r="BV198" s="1108"/>
      <c r="BW198" s="1108"/>
      <c r="BX198" s="1108"/>
      <c r="BY198" s="1108"/>
      <c r="BZ198" s="1108"/>
      <c r="CA198" s="1108"/>
      <c r="CB198" s="1108"/>
      <c r="CC198" s="1108"/>
      <c r="CD198" s="1108"/>
      <c r="CE198" s="1108"/>
      <c r="CF198" s="1108"/>
      <c r="CG198" s="1108"/>
      <c r="CH198" s="1108"/>
      <c r="CI198" s="1108"/>
      <c r="CJ198" s="1108"/>
      <c r="CK198" s="1108"/>
      <c r="CL198" s="1108"/>
      <c r="CM198" s="1108"/>
      <c r="CN198" s="1108"/>
      <c r="CO198" s="1108"/>
      <c r="CP198" s="1108"/>
      <c r="CQ198" s="1108"/>
      <c r="CR198" s="1108"/>
      <c r="CS198" s="1108"/>
      <c r="CT198" s="1470"/>
      <c r="CU198" s="1470"/>
      <c r="CV198" s="1470"/>
      <c r="CW198" s="1108"/>
      <c r="CX198" s="1108"/>
      <c r="CY198" s="1470"/>
      <c r="CZ198" s="1470"/>
      <c r="DA198" s="1470"/>
      <c r="DB198" s="1108"/>
      <c r="DC198" s="2862"/>
      <c r="DD198" s="1108"/>
      <c r="DE198" s="1108"/>
      <c r="DF198" s="1108"/>
      <c r="DG198" s="1108"/>
      <c r="DH198" s="1108"/>
      <c r="DI198" s="1108"/>
      <c r="DJ198" s="1108"/>
      <c r="DK198" s="1108"/>
      <c r="DL198" s="1108"/>
      <c r="DM198" s="1108"/>
      <c r="DN198" s="1108"/>
      <c r="DO198" s="1108"/>
      <c r="DP198" s="1108"/>
      <c r="DQ198" s="1108"/>
      <c r="DR198" s="1108"/>
    </row>
    <row r="199" spans="1:122">
      <c r="A199" s="1686" t="s">
        <v>890</v>
      </c>
      <c r="B199" s="1437">
        <v>4236.2</v>
      </c>
      <c r="C199" s="1437">
        <v>4466</v>
      </c>
      <c r="D199" s="1437">
        <v>2452.1</v>
      </c>
      <c r="E199" s="1437">
        <v>2740.4</v>
      </c>
      <c r="F199" s="1357">
        <f t="shared" ref="F199:F206" si="323">G199</f>
        <v>-2.8</v>
      </c>
      <c r="G199" s="1437">
        <v>-2.8</v>
      </c>
      <c r="H199" s="1687"/>
      <c r="I199" s="1654">
        <f t="shared" ref="I199:I205" si="324">B199-D199+F199</f>
        <v>1781.3</v>
      </c>
      <c r="J199" s="1692">
        <v>1839.7</v>
      </c>
      <c r="K199" s="1692">
        <v>1884.4</v>
      </c>
      <c r="L199" s="1692">
        <v>1665.6</v>
      </c>
      <c r="M199" s="1692">
        <v>1548.5</v>
      </c>
      <c r="N199" s="1692">
        <v>1578.1</v>
      </c>
      <c r="O199" s="1369"/>
      <c r="P199" s="1654"/>
      <c r="Q199" s="1654"/>
      <c r="R199" s="1692">
        <v>1464.2</v>
      </c>
      <c r="S199" s="1692">
        <v>1425.4</v>
      </c>
      <c r="T199" s="1692">
        <v>1496</v>
      </c>
      <c r="U199" s="1692">
        <v>1582</v>
      </c>
      <c r="V199" s="1692">
        <v>1697</v>
      </c>
      <c r="W199" s="1692">
        <v>1817</v>
      </c>
      <c r="X199" s="1654"/>
      <c r="Y199" s="2801"/>
      <c r="Z199" s="3070">
        <v>1957</v>
      </c>
      <c r="AA199" s="3070">
        <v>2439</v>
      </c>
      <c r="AB199" s="2801"/>
      <c r="AC199" s="2801">
        <f>AC554</f>
        <v>2294.7328113860767</v>
      </c>
      <c r="AD199" s="2801">
        <f>AD554</f>
        <v>2555.6363003359766</v>
      </c>
      <c r="AE199" s="2801">
        <f>AE554</f>
        <v>2764.8730228428335</v>
      </c>
      <c r="AF199" s="2801">
        <f>AF554</f>
        <v>3018.1247244446804</v>
      </c>
      <c r="AG199" s="2801">
        <f t="shared" ref="AG199:AL199" si="325">AG554</f>
        <v>3251.4586626352648</v>
      </c>
      <c r="AH199" s="2801">
        <f t="shared" si="325"/>
        <v>3594.7704986910203</v>
      </c>
      <c r="AI199" s="2801">
        <f t="shared" si="325"/>
        <v>3880.4074711154226</v>
      </c>
      <c r="AJ199" s="2801">
        <f t="shared" si="325"/>
        <v>4260.6736528026104</v>
      </c>
      <c r="AK199" s="2801">
        <f t="shared" si="325"/>
        <v>4585.1288831015672</v>
      </c>
      <c r="AL199" s="2801">
        <f t="shared" si="325"/>
        <v>4958.3448079028794</v>
      </c>
      <c r="AM199" s="2801">
        <f>AM554</f>
        <v>5328.9877067696507</v>
      </c>
      <c r="AN199" s="2801">
        <f>AN554</f>
        <v>5982.2437223303677</v>
      </c>
      <c r="AO199" s="90"/>
      <c r="AP199" s="1654"/>
      <c r="AQ199" s="1654"/>
      <c r="AR199" s="1654"/>
      <c r="AS199" s="1654"/>
      <c r="AT199" s="1562"/>
      <c r="AU199" s="1108"/>
      <c r="AV199" s="1108"/>
      <c r="AW199" s="1689"/>
      <c r="AX199" s="1108"/>
      <c r="AY199" s="1108"/>
      <c r="AZ199" s="1700"/>
      <c r="BA199" s="1108"/>
      <c r="BB199" s="1108"/>
      <c r="BC199" s="1108"/>
      <c r="BD199" s="1108"/>
      <c r="BE199" s="1108"/>
      <c r="BF199" s="1108"/>
      <c r="BG199" s="1108"/>
      <c r="BH199" s="1108"/>
      <c r="BI199" s="1700"/>
      <c r="BJ199" s="1700"/>
      <c r="BK199" s="1700"/>
      <c r="BL199" s="1700"/>
      <c r="BM199" s="1700"/>
      <c r="BN199" s="1700"/>
      <c r="BO199" s="1108"/>
      <c r="BP199" s="1700"/>
      <c r="BQ199" s="1700"/>
      <c r="BR199" s="1700"/>
      <c r="BS199" s="1700"/>
      <c r="BT199" s="1108"/>
      <c r="BU199" s="1108"/>
      <c r="BV199" s="1108"/>
      <c r="BW199" s="1108"/>
      <c r="BX199" s="1108"/>
      <c r="BY199" s="1108"/>
      <c r="BZ199" s="1108"/>
      <c r="CA199" s="1108"/>
      <c r="CB199" s="1108"/>
      <c r="CC199" s="1108"/>
      <c r="CD199" s="1108"/>
      <c r="CE199" s="1108"/>
      <c r="CF199" s="1108"/>
      <c r="CG199" s="1108"/>
      <c r="CH199" s="1108"/>
      <c r="CI199" s="1108"/>
      <c r="CJ199" s="1108"/>
      <c r="CK199" s="1108"/>
      <c r="CL199" s="1108"/>
      <c r="CM199" s="1108"/>
      <c r="CN199" s="1108"/>
      <c r="CO199" s="1108"/>
      <c r="CP199" s="1108"/>
      <c r="CQ199" s="1108"/>
      <c r="CR199" s="1108"/>
      <c r="CS199" s="1108"/>
      <c r="CT199" s="1470"/>
      <c r="CU199" s="1470"/>
      <c r="CV199" s="1470"/>
      <c r="CW199" s="1108"/>
      <c r="CX199" s="1108"/>
      <c r="CY199" s="1470"/>
      <c r="CZ199" s="1470"/>
      <c r="DA199" s="1470"/>
      <c r="DB199" s="1108"/>
      <c r="DC199" s="2862"/>
      <c r="DD199" s="1108"/>
      <c r="DE199" s="1108"/>
      <c r="DF199" s="1108"/>
      <c r="DG199" s="1108"/>
      <c r="DH199" s="1108"/>
      <c r="DI199" s="1108"/>
      <c r="DJ199" s="1108"/>
      <c r="DK199" s="1108"/>
      <c r="DL199" s="1108"/>
      <c r="DM199" s="1108"/>
      <c r="DN199" s="1108"/>
      <c r="DO199" s="1108"/>
      <c r="DP199" s="1108"/>
      <c r="DQ199" s="1108"/>
      <c r="DR199" s="1108"/>
    </row>
    <row r="200" spans="1:122">
      <c r="A200" s="1686" t="s">
        <v>520</v>
      </c>
      <c r="B200" s="1437">
        <v>54445.2</v>
      </c>
      <c r="C200" s="1437">
        <v>38520.199999999997</v>
      </c>
      <c r="D200" s="1437">
        <v>10040</v>
      </c>
      <c r="E200" s="1437">
        <v>10266.9</v>
      </c>
      <c r="F200" s="1357">
        <f t="shared" si="323"/>
        <v>0</v>
      </c>
      <c r="G200" s="1437">
        <v>0</v>
      </c>
      <c r="H200" s="1722"/>
      <c r="I200" s="1357">
        <f t="shared" si="324"/>
        <v>44405.2</v>
      </c>
      <c r="J200" s="1437">
        <v>28253.3</v>
      </c>
      <c r="K200" s="1437">
        <v>18904.3</v>
      </c>
      <c r="L200" s="1437">
        <v>18821.5</v>
      </c>
      <c r="M200" s="1437">
        <v>18452</v>
      </c>
      <c r="N200" s="1437">
        <v>8647.7999999999993</v>
      </c>
      <c r="O200" s="1369"/>
      <c r="P200" s="1357"/>
      <c r="Q200" s="1357"/>
      <c r="R200" s="1437">
        <v>8667.5</v>
      </c>
      <c r="S200" s="1437">
        <v>8523.5</v>
      </c>
      <c r="T200" s="1437">
        <v>8571</v>
      </c>
      <c r="U200" s="1437">
        <v>8567</v>
      </c>
      <c r="V200" s="1437">
        <v>8562</v>
      </c>
      <c r="W200" s="1437">
        <v>6698</v>
      </c>
      <c r="X200" s="1357"/>
      <c r="Y200" s="2806"/>
      <c r="Z200" s="2878">
        <v>4789</v>
      </c>
      <c r="AA200" s="2878">
        <v>4864</v>
      </c>
      <c r="AB200" s="2806"/>
      <c r="AC200" s="2806">
        <f>AC628</f>
        <v>4864</v>
      </c>
      <c r="AD200" s="2806">
        <f>AD628</f>
        <v>4864</v>
      </c>
      <c r="AE200" s="2806">
        <f>AE628</f>
        <v>4864</v>
      </c>
      <c r="AF200" s="2806">
        <f>AF628</f>
        <v>4864</v>
      </c>
      <c r="AG200" s="2806">
        <f t="shared" ref="AG200:AL200" si="326">AG628</f>
        <v>4864</v>
      </c>
      <c r="AH200" s="2806">
        <f t="shared" si="326"/>
        <v>4864</v>
      </c>
      <c r="AI200" s="2806">
        <f t="shared" si="326"/>
        <v>4864</v>
      </c>
      <c r="AJ200" s="2806">
        <f t="shared" si="326"/>
        <v>4864</v>
      </c>
      <c r="AK200" s="2806">
        <f t="shared" si="326"/>
        <v>4864</v>
      </c>
      <c r="AL200" s="2806">
        <f t="shared" si="326"/>
        <v>4864</v>
      </c>
      <c r="AM200" s="2806">
        <f>AM628</f>
        <v>4864</v>
      </c>
      <c r="AN200" s="2806">
        <f>AN628</f>
        <v>4864</v>
      </c>
      <c r="AO200" s="90"/>
      <c r="AP200" s="1357"/>
      <c r="AQ200" s="1357"/>
      <c r="AR200" s="1357"/>
      <c r="AS200" s="1357"/>
      <c r="AT200" s="1562"/>
      <c r="AU200" s="1108"/>
      <c r="AV200" s="1108"/>
      <c r="AW200" s="1689"/>
      <c r="AX200" s="1108"/>
      <c r="AY200" s="1108"/>
      <c r="AZ200" s="1700"/>
      <c r="BA200" s="1108"/>
      <c r="BB200" s="1108"/>
      <c r="BC200" s="1108"/>
      <c r="BD200" s="1108"/>
      <c r="BE200" s="1108"/>
      <c r="BF200" s="1108"/>
      <c r="BG200" s="1108"/>
      <c r="BH200" s="1108"/>
      <c r="BI200" s="1700"/>
      <c r="BJ200" s="1700"/>
      <c r="BK200" s="1700"/>
      <c r="BL200" s="1700"/>
      <c r="BM200" s="1700"/>
      <c r="BN200" s="1700"/>
      <c r="BO200" s="1108"/>
      <c r="BP200" s="1700"/>
      <c r="BQ200" s="1700"/>
      <c r="BR200" s="1700"/>
      <c r="BS200" s="1700"/>
      <c r="BT200" s="1108"/>
      <c r="BU200" s="1108"/>
      <c r="BV200" s="1108"/>
      <c r="BW200" s="1108"/>
      <c r="BX200" s="1108"/>
      <c r="BY200" s="1108"/>
      <c r="BZ200" s="1108"/>
      <c r="CA200" s="1108"/>
      <c r="CB200" s="1108"/>
      <c r="CC200" s="1108"/>
      <c r="CD200" s="1108"/>
      <c r="CE200" s="1108"/>
      <c r="CF200" s="1108"/>
      <c r="CG200" s="1108"/>
      <c r="CH200" s="1108"/>
      <c r="CI200" s="1108"/>
      <c r="CJ200" s="1108"/>
      <c r="CK200" s="1108"/>
      <c r="CL200" s="1108"/>
      <c r="CM200" s="1108"/>
      <c r="CN200" s="1108"/>
      <c r="CO200" s="1108"/>
      <c r="CP200" s="1108"/>
      <c r="CQ200" s="1108"/>
      <c r="CR200" s="1108"/>
      <c r="CS200" s="1108"/>
      <c r="CT200" s="1470"/>
      <c r="CU200" s="1470"/>
      <c r="CV200" s="1470"/>
      <c r="CW200" s="1108"/>
      <c r="CX200" s="1108"/>
      <c r="CY200" s="1470"/>
      <c r="CZ200" s="1470"/>
      <c r="DA200" s="1470"/>
      <c r="DB200" s="1108"/>
      <c r="DC200" s="2862"/>
      <c r="DD200" s="1108"/>
      <c r="DE200" s="1108"/>
      <c r="DF200" s="1108"/>
      <c r="DG200" s="1108"/>
      <c r="DH200" s="1108"/>
      <c r="DI200" s="1108"/>
      <c r="DJ200" s="1108"/>
      <c r="DK200" s="1108"/>
      <c r="DL200" s="1108"/>
      <c r="DM200" s="1108"/>
      <c r="DN200" s="1108"/>
      <c r="DO200" s="1108"/>
      <c r="DP200" s="1108"/>
      <c r="DQ200" s="1108"/>
      <c r="DR200" s="1108"/>
    </row>
    <row r="201" spans="1:122">
      <c r="A201" s="1686" t="s">
        <v>404</v>
      </c>
      <c r="B201" s="1437">
        <v>1220.5</v>
      </c>
      <c r="C201" s="1437">
        <v>1160.0999999999999</v>
      </c>
      <c r="D201" s="1437">
        <v>202.1</v>
      </c>
      <c r="E201" s="1437">
        <v>216.7</v>
      </c>
      <c r="F201" s="1357">
        <f t="shared" si="323"/>
        <v>0</v>
      </c>
      <c r="G201" s="1437">
        <v>0</v>
      </c>
      <c r="H201" s="1720"/>
      <c r="I201" s="1357">
        <f t="shared" si="324"/>
        <v>1018.4</v>
      </c>
      <c r="J201" s="1357">
        <f>J599</f>
        <v>943.40000000000009</v>
      </c>
      <c r="K201" s="1357">
        <f>K599</f>
        <v>933.4</v>
      </c>
      <c r="L201" s="1357">
        <f t="shared" ref="L201:W201" si="327">L599</f>
        <v>881.6</v>
      </c>
      <c r="M201" s="1357">
        <f t="shared" si="327"/>
        <v>856.8</v>
      </c>
      <c r="N201" s="1357">
        <f>N599</f>
        <v>958.09999999999991</v>
      </c>
      <c r="O201" s="1369"/>
      <c r="P201" s="1357"/>
      <c r="Q201" s="1357"/>
      <c r="R201" s="1357">
        <f>R599</f>
        <v>846.7</v>
      </c>
      <c r="S201" s="1357">
        <f>S599</f>
        <v>716.7</v>
      </c>
      <c r="T201" s="1357">
        <f t="shared" si="327"/>
        <v>595.70000000000005</v>
      </c>
      <c r="U201" s="1357">
        <f t="shared" si="327"/>
        <v>489.70000000000005</v>
      </c>
      <c r="V201" s="1357">
        <f t="shared" si="327"/>
        <v>389.70000000000005</v>
      </c>
      <c r="W201" s="1357">
        <f t="shared" si="327"/>
        <v>357.70000000000005</v>
      </c>
      <c r="X201" s="1357"/>
      <c r="Y201" s="2806"/>
      <c r="Z201" s="2806">
        <f>Z599</f>
        <v>333.70000000000005</v>
      </c>
      <c r="AA201" s="2806">
        <f ca="1">AA599</f>
        <v>313.70000000000005</v>
      </c>
      <c r="AB201" s="2806"/>
      <c r="AC201" s="2806">
        <f ca="1">AC599</f>
        <v>294.70000000000005</v>
      </c>
      <c r="AD201" s="2806">
        <f t="shared" ref="AD201:AH201" ca="1" si="328">AD599</f>
        <v>276.70000000000005</v>
      </c>
      <c r="AE201" s="2806">
        <f t="shared" ca="1" si="328"/>
        <v>258.70000000000005</v>
      </c>
      <c r="AF201" s="2806">
        <f t="shared" ca="1" si="328"/>
        <v>243.70000000000005</v>
      </c>
      <c r="AG201" s="2806">
        <f t="shared" ca="1" si="328"/>
        <v>230.70000000000005</v>
      </c>
      <c r="AH201" s="2806">
        <f t="shared" ca="1" si="328"/>
        <v>217.7515396075521</v>
      </c>
      <c r="AI201" s="2806">
        <f t="shared" ref="AI201:AN201" ca="1" si="329">AI599</f>
        <v>206.84431090114572</v>
      </c>
      <c r="AJ201" s="2806">
        <f t="shared" ca="1" si="329"/>
        <v>195.97006754357267</v>
      </c>
      <c r="AK201" s="2806">
        <f t="shared" ca="1" si="329"/>
        <v>185.12221246506624</v>
      </c>
      <c r="AL201" s="2806">
        <f t="shared" ca="1" si="329"/>
        <v>174.29546800981302</v>
      </c>
      <c r="AM201" s="2806">
        <f t="shared" ca="1" si="329"/>
        <v>163.48561205316241</v>
      </c>
      <c r="AN201" s="2806">
        <f t="shared" ca="1" si="329"/>
        <v>152.68926689539398</v>
      </c>
      <c r="AO201" s="90"/>
      <c r="AP201" s="1357"/>
      <c r="AQ201" s="1357"/>
      <c r="AR201" s="1357"/>
      <c r="AS201" s="1357"/>
      <c r="AT201" s="1562"/>
      <c r="AU201" s="1108"/>
      <c r="AV201" s="1108"/>
      <c r="AW201" s="1689"/>
      <c r="AX201" s="1108"/>
      <c r="AY201" s="1108"/>
      <c r="AZ201" s="1700"/>
      <c r="BA201" s="1108"/>
      <c r="BB201" s="1108"/>
      <c r="BC201" s="1108"/>
      <c r="BD201" s="1108"/>
      <c r="BE201" s="1108"/>
      <c r="BF201" s="1108"/>
      <c r="BG201" s="1108"/>
      <c r="BH201" s="1108"/>
      <c r="BI201" s="1700"/>
      <c r="BJ201" s="1700"/>
      <c r="BK201" s="1700"/>
      <c r="BL201" s="1700"/>
      <c r="BM201" s="1700"/>
      <c r="BN201" s="1700"/>
      <c r="BO201" s="1108"/>
      <c r="BP201" s="1700"/>
      <c r="BQ201" s="1700"/>
      <c r="BR201" s="1700"/>
      <c r="BS201" s="1700"/>
      <c r="BT201" s="1108"/>
      <c r="BU201" s="1108"/>
      <c r="BV201" s="1108"/>
      <c r="BW201" s="1108"/>
      <c r="BX201" s="1108"/>
      <c r="BY201" s="1108"/>
      <c r="BZ201" s="1108"/>
      <c r="CA201" s="1108"/>
      <c r="CB201" s="1108"/>
      <c r="CC201" s="1108"/>
      <c r="CD201" s="1108"/>
      <c r="CE201" s="1108"/>
      <c r="CF201" s="1108"/>
      <c r="CG201" s="1108"/>
      <c r="CH201" s="1108"/>
      <c r="CI201" s="1108"/>
      <c r="CJ201" s="1108"/>
      <c r="CK201" s="1108"/>
      <c r="CL201" s="1108"/>
      <c r="CM201" s="1108"/>
      <c r="CN201" s="1108"/>
      <c r="CO201" s="1108"/>
      <c r="CP201" s="1108"/>
      <c r="CQ201" s="1108"/>
      <c r="CR201" s="1108"/>
      <c r="CS201" s="1108"/>
      <c r="CT201" s="1470"/>
      <c r="CU201" s="1470"/>
      <c r="CV201" s="1470"/>
      <c r="CW201" s="1108"/>
      <c r="CX201" s="1108"/>
      <c r="CY201" s="1470"/>
      <c r="CZ201" s="1470"/>
      <c r="DA201" s="1470"/>
      <c r="DB201" s="1108"/>
      <c r="DC201" s="2862"/>
      <c r="DD201" s="1108"/>
      <c r="DE201" s="1108"/>
      <c r="DF201" s="1108"/>
      <c r="DG201" s="1108"/>
      <c r="DH201" s="1108"/>
      <c r="DI201" s="1108"/>
      <c r="DJ201" s="1108"/>
      <c r="DK201" s="1108"/>
      <c r="DL201" s="1108"/>
      <c r="DM201" s="1108"/>
      <c r="DN201" s="1108"/>
      <c r="DO201" s="1108"/>
      <c r="DP201" s="1108"/>
      <c r="DQ201" s="1108"/>
      <c r="DR201" s="1108"/>
    </row>
    <row r="202" spans="1:122">
      <c r="A202" s="1686" t="s">
        <v>405</v>
      </c>
      <c r="B202" s="1437">
        <f>12918.5-B201</f>
        <v>11698</v>
      </c>
      <c r="C202" s="1437">
        <f>10623.1-C201</f>
        <v>9463</v>
      </c>
      <c r="D202" s="1437">
        <v>0</v>
      </c>
      <c r="E202" s="1437">
        <v>33.5</v>
      </c>
      <c r="F202" s="1357">
        <f t="shared" si="323"/>
        <v>0</v>
      </c>
      <c r="G202" s="1437">
        <v>0</v>
      </c>
      <c r="H202" s="1722"/>
      <c r="I202" s="1357">
        <f t="shared" si="324"/>
        <v>11698</v>
      </c>
      <c r="J202" s="1357">
        <f>10372.9-J201</f>
        <v>9429.5</v>
      </c>
      <c r="K202" s="1357">
        <f>10514.2-K201</f>
        <v>9580.8000000000011</v>
      </c>
      <c r="L202" s="1357">
        <f>10425-L201</f>
        <v>9543.4</v>
      </c>
      <c r="M202" s="1357">
        <f>10081.3-M201</f>
        <v>9224.5</v>
      </c>
      <c r="N202" s="1437">
        <f>7104.2-N201</f>
        <v>6146.1</v>
      </c>
      <c r="O202" s="1369"/>
      <c r="P202" s="1357"/>
      <c r="Q202" s="1357"/>
      <c r="R202" s="1437">
        <f>6753.7-R201</f>
        <v>5907</v>
      </c>
      <c r="S202" s="1437">
        <f>6623.8-S201</f>
        <v>5907.1</v>
      </c>
      <c r="T202" s="1437">
        <f>6521-T201</f>
        <v>5925.3</v>
      </c>
      <c r="U202" s="1437">
        <f>6515-U201</f>
        <v>6025.3</v>
      </c>
      <c r="V202" s="1437">
        <f>6430-V201</f>
        <v>6040.3</v>
      </c>
      <c r="W202" s="1437">
        <f>6008-W201</f>
        <v>5650.3</v>
      </c>
      <c r="X202" s="1357"/>
      <c r="Y202" s="2806"/>
      <c r="Z202" s="2878">
        <f>2639-Z201</f>
        <v>2305.3000000000002</v>
      </c>
      <c r="AA202" s="2878">
        <f ca="1">2633-AA201</f>
        <v>2319.3000000000002</v>
      </c>
      <c r="AB202" s="2806"/>
      <c r="AC202" s="2806">
        <f ca="1">AA202</f>
        <v>2319.3000000000002</v>
      </c>
      <c r="AD202" s="2806">
        <f ca="1">AC202</f>
        <v>2319.3000000000002</v>
      </c>
      <c r="AE202" s="2806">
        <f ca="1">AD202</f>
        <v>2319.3000000000002</v>
      </c>
      <c r="AF202" s="2806">
        <f t="shared" ref="AF202:AN202" ca="1" si="330">AE202</f>
        <v>2319.3000000000002</v>
      </c>
      <c r="AG202" s="2806">
        <f t="shared" ca="1" si="330"/>
        <v>2319.3000000000002</v>
      </c>
      <c r="AH202" s="2806">
        <f t="shared" ca="1" si="330"/>
        <v>2319.3000000000002</v>
      </c>
      <c r="AI202" s="2806">
        <f t="shared" ca="1" si="330"/>
        <v>2319.3000000000002</v>
      </c>
      <c r="AJ202" s="2806">
        <f t="shared" ca="1" si="330"/>
        <v>2319.3000000000002</v>
      </c>
      <c r="AK202" s="2806">
        <f t="shared" ca="1" si="330"/>
        <v>2319.3000000000002</v>
      </c>
      <c r="AL202" s="2806">
        <f t="shared" ca="1" si="330"/>
        <v>2319.3000000000002</v>
      </c>
      <c r="AM202" s="2806">
        <f t="shared" ca="1" si="330"/>
        <v>2319.3000000000002</v>
      </c>
      <c r="AN202" s="2806">
        <f t="shared" ca="1" si="330"/>
        <v>2319.3000000000002</v>
      </c>
      <c r="AO202" s="90"/>
      <c r="AP202" s="1357"/>
      <c r="AQ202" s="1357"/>
      <c r="AR202" s="1357"/>
      <c r="AS202" s="1357"/>
      <c r="AT202" s="1562"/>
      <c r="AU202" s="1108"/>
      <c r="AV202" s="1108"/>
      <c r="AW202" s="1689"/>
      <c r="AX202" s="1108"/>
      <c r="AY202" s="1108"/>
      <c r="AZ202" s="1700"/>
      <c r="BA202" s="1108"/>
      <c r="BB202" s="1108"/>
      <c r="BC202" s="1108"/>
      <c r="BD202" s="1108"/>
      <c r="BE202" s="1108"/>
      <c r="BF202" s="1108"/>
      <c r="BG202" s="1108"/>
      <c r="BH202" s="1108"/>
      <c r="BI202" s="1700"/>
      <c r="BJ202" s="1700"/>
      <c r="BK202" s="1700"/>
      <c r="BL202" s="1700"/>
      <c r="BM202" s="1700"/>
      <c r="BN202" s="1700"/>
      <c r="BO202" s="1108"/>
      <c r="BP202" s="1700"/>
      <c r="BQ202" s="1700"/>
      <c r="BR202" s="1700"/>
      <c r="BS202" s="1700"/>
      <c r="BT202" s="1108"/>
      <c r="BU202" s="1108"/>
      <c r="BV202" s="1108"/>
      <c r="BW202" s="1108"/>
      <c r="BX202" s="1108"/>
      <c r="BY202" s="1108"/>
      <c r="BZ202" s="1108"/>
      <c r="CA202" s="1108"/>
      <c r="CB202" s="1108"/>
      <c r="CC202" s="1108"/>
      <c r="CD202" s="1108"/>
      <c r="CE202" s="1108"/>
      <c r="CF202" s="1108"/>
      <c r="CG202" s="1108"/>
      <c r="CH202" s="1108"/>
      <c r="CI202" s="1108"/>
      <c r="CJ202" s="1108"/>
      <c r="CK202" s="1108"/>
      <c r="CL202" s="1108"/>
      <c r="CM202" s="1108"/>
      <c r="CN202" s="1108"/>
      <c r="CO202" s="1108"/>
      <c r="CP202" s="1108"/>
      <c r="CQ202" s="1108"/>
      <c r="CR202" s="1108"/>
      <c r="CS202" s="1108"/>
      <c r="CT202" s="1470"/>
      <c r="CU202" s="1470"/>
      <c r="CV202" s="1470"/>
      <c r="CW202" s="1108"/>
      <c r="CX202" s="1108"/>
      <c r="CY202" s="1470"/>
      <c r="CZ202" s="1470"/>
      <c r="DA202" s="1470"/>
      <c r="DB202" s="1108"/>
      <c r="DC202" s="2862"/>
      <c r="DD202" s="1108"/>
      <c r="DE202" s="1108"/>
      <c r="DF202" s="1108"/>
      <c r="DG202" s="1108"/>
      <c r="DH202" s="1108"/>
      <c r="DI202" s="1108"/>
      <c r="DJ202" s="1108"/>
      <c r="DK202" s="1108"/>
      <c r="DL202" s="1108"/>
      <c r="DM202" s="1108"/>
      <c r="DN202" s="1108"/>
      <c r="DO202" s="1108"/>
      <c r="DP202" s="1108"/>
      <c r="DQ202" s="1108"/>
      <c r="DR202" s="1108"/>
    </row>
    <row r="203" spans="1:122">
      <c r="A203" s="1686" t="s">
        <v>891</v>
      </c>
      <c r="B203" s="1437">
        <v>0</v>
      </c>
      <c r="C203" s="1437">
        <v>0</v>
      </c>
      <c r="D203" s="1437">
        <v>466.9</v>
      </c>
      <c r="E203" s="1437">
        <v>435.1</v>
      </c>
      <c r="F203" s="1357">
        <f>I203-(B203-D203)</f>
        <v>466.9</v>
      </c>
      <c r="G203" s="1357">
        <f>J203-(C203-E203)</f>
        <v>435.1</v>
      </c>
      <c r="H203" s="1722"/>
      <c r="I203" s="1437">
        <v>0</v>
      </c>
      <c r="J203" s="1437">
        <v>0</v>
      </c>
      <c r="K203" s="1437">
        <v>0</v>
      </c>
      <c r="L203" s="1437">
        <v>0</v>
      </c>
      <c r="M203" s="1437">
        <v>0</v>
      </c>
      <c r="N203" s="1437">
        <v>0</v>
      </c>
      <c r="O203" s="1369"/>
      <c r="P203" s="1437"/>
      <c r="Q203" s="1437"/>
      <c r="R203" s="1437">
        <v>0</v>
      </c>
      <c r="S203" s="1437">
        <v>0</v>
      </c>
      <c r="T203" s="1437">
        <v>0</v>
      </c>
      <c r="U203" s="1437">
        <v>0</v>
      </c>
      <c r="V203" s="1437">
        <v>0</v>
      </c>
      <c r="W203" s="1437">
        <v>0</v>
      </c>
      <c r="X203" s="1437"/>
      <c r="Y203" s="2878"/>
      <c r="Z203" s="2878">
        <v>0</v>
      </c>
      <c r="AA203" s="2878">
        <v>0</v>
      </c>
      <c r="AB203" s="2878"/>
      <c r="AC203" s="2878">
        <v>0</v>
      </c>
      <c r="AD203" s="2878">
        <v>0</v>
      </c>
      <c r="AE203" s="2878">
        <v>0</v>
      </c>
      <c r="AF203" s="2878">
        <v>0</v>
      </c>
      <c r="AG203" s="2878">
        <v>0</v>
      </c>
      <c r="AH203" s="2878">
        <v>0</v>
      </c>
      <c r="AI203" s="2878">
        <v>0</v>
      </c>
      <c r="AJ203" s="2878">
        <v>0</v>
      </c>
      <c r="AK203" s="2878">
        <v>0</v>
      </c>
      <c r="AL203" s="2878">
        <v>0</v>
      </c>
      <c r="AM203" s="2878">
        <v>0</v>
      </c>
      <c r="AN203" s="2878">
        <v>0</v>
      </c>
      <c r="AO203" s="90"/>
      <c r="AP203" s="1437"/>
      <c r="AQ203" s="1437"/>
      <c r="AR203" s="1437"/>
      <c r="AS203" s="1437"/>
      <c r="AT203" s="1562"/>
      <c r="AU203" s="1108"/>
      <c r="AV203" s="1108"/>
      <c r="AW203" s="1689"/>
      <c r="AX203" s="1108"/>
      <c r="AY203" s="1108"/>
      <c r="AZ203" s="1700"/>
      <c r="BA203" s="1108"/>
      <c r="BB203" s="1108"/>
      <c r="BC203" s="1108"/>
      <c r="BD203" s="1108"/>
      <c r="BE203" s="1108"/>
      <c r="BF203" s="1108"/>
      <c r="BG203" s="1108"/>
      <c r="BH203" s="1108"/>
      <c r="BI203" s="1700"/>
      <c r="BJ203" s="1700"/>
      <c r="BK203" s="1700"/>
      <c r="BL203" s="1700"/>
      <c r="BM203" s="1700"/>
      <c r="BN203" s="1700"/>
      <c r="BO203" s="1108"/>
      <c r="BP203" s="1700"/>
      <c r="BQ203" s="1700"/>
      <c r="BR203" s="1700"/>
      <c r="BS203" s="1700"/>
      <c r="BT203" s="1108"/>
      <c r="BU203" s="1108"/>
      <c r="BV203" s="1108"/>
      <c r="BW203" s="1108"/>
      <c r="BX203" s="1108"/>
      <c r="BY203" s="1108"/>
      <c r="BZ203" s="1108"/>
      <c r="CA203" s="1108"/>
      <c r="CB203" s="1108"/>
      <c r="CC203" s="1108"/>
      <c r="CD203" s="1108"/>
      <c r="CE203" s="1108"/>
      <c r="CF203" s="1108"/>
      <c r="CG203" s="1108"/>
      <c r="CH203" s="1108"/>
      <c r="CI203" s="1108"/>
      <c r="CJ203" s="1108"/>
      <c r="CK203" s="1108"/>
      <c r="CL203" s="1108"/>
      <c r="CM203" s="1108"/>
      <c r="CN203" s="1108"/>
      <c r="CO203" s="1108"/>
      <c r="CP203" s="1108"/>
      <c r="CQ203" s="1108"/>
      <c r="CR203" s="1108"/>
      <c r="CS203" s="1108"/>
      <c r="CT203" s="1470"/>
      <c r="CU203" s="1470"/>
      <c r="CV203" s="1470"/>
      <c r="CW203" s="1108"/>
      <c r="CX203" s="1108"/>
      <c r="CY203" s="1470"/>
      <c r="CZ203" s="1470"/>
      <c r="DA203" s="1470"/>
      <c r="DB203" s="1108"/>
      <c r="DC203" s="2862"/>
      <c r="DD203" s="1108"/>
      <c r="DE203" s="1108"/>
      <c r="DF203" s="1108"/>
      <c r="DG203" s="1108"/>
      <c r="DH203" s="1108"/>
      <c r="DI203" s="1108"/>
      <c r="DJ203" s="1108"/>
      <c r="DK203" s="1108"/>
      <c r="DL203" s="1108"/>
      <c r="DM203" s="1108"/>
      <c r="DN203" s="1108"/>
      <c r="DO203" s="1108"/>
      <c r="DP203" s="1108"/>
      <c r="DQ203" s="1108"/>
      <c r="DR203" s="1108"/>
    </row>
    <row r="204" spans="1:122">
      <c r="A204" s="1686" t="s">
        <v>1316</v>
      </c>
      <c r="B204" s="1437">
        <v>10.8</v>
      </c>
      <c r="C204" s="1437">
        <v>93.2</v>
      </c>
      <c r="D204" s="1437">
        <v>101.2</v>
      </c>
      <c r="E204" s="1437">
        <v>110.9</v>
      </c>
      <c r="F204" s="1357">
        <f>I204-(B204-D204)</f>
        <v>90.4</v>
      </c>
      <c r="G204" s="1357">
        <f>J204-(C204-E204)</f>
        <v>17.700000000000003</v>
      </c>
      <c r="H204" s="1722"/>
      <c r="I204" s="1437">
        <v>0</v>
      </c>
      <c r="J204" s="1437">
        <v>0</v>
      </c>
      <c r="K204" s="1437">
        <v>0</v>
      </c>
      <c r="L204" s="1437">
        <v>0</v>
      </c>
      <c r="M204" s="1437">
        <v>0</v>
      </c>
      <c r="N204" s="1357">
        <v>0</v>
      </c>
      <c r="O204" s="1369"/>
      <c r="P204" s="1357"/>
      <c r="Q204" s="1357"/>
      <c r="R204" s="1437">
        <v>0</v>
      </c>
      <c r="S204" s="1437">
        <v>0</v>
      </c>
      <c r="T204" s="1437">
        <v>0</v>
      </c>
      <c r="U204" s="1437">
        <v>0</v>
      </c>
      <c r="V204" s="1437">
        <v>0</v>
      </c>
      <c r="W204" s="1437">
        <v>0</v>
      </c>
      <c r="X204" s="1357"/>
      <c r="Y204" s="2806"/>
      <c r="Z204" s="2878">
        <v>0</v>
      </c>
      <c r="AA204" s="2878">
        <v>0</v>
      </c>
      <c r="AB204" s="2806"/>
      <c r="AC204" s="2806">
        <f>AA204-AC259-AC282</f>
        <v>85.05</v>
      </c>
      <c r="AD204" s="2806">
        <f t="shared" ref="AD204:AN204" si="331">AC204-AD259-AD282</f>
        <v>174.35249999999999</v>
      </c>
      <c r="AE204" s="2806">
        <f t="shared" si="331"/>
        <v>268.12012499999997</v>
      </c>
      <c r="AF204" s="2806">
        <f t="shared" si="331"/>
        <v>366.57613125</v>
      </c>
      <c r="AG204" s="2806">
        <f t="shared" si="331"/>
        <v>469.95493781250002</v>
      </c>
      <c r="AH204" s="2806">
        <f t="shared" si="331"/>
        <v>578.50268470312506</v>
      </c>
      <c r="AI204" s="2806">
        <f t="shared" si="331"/>
        <v>692.4778189382813</v>
      </c>
      <c r="AJ204" s="2806">
        <f t="shared" si="331"/>
        <v>812.15170988519537</v>
      </c>
      <c r="AK204" s="2806">
        <f t="shared" si="331"/>
        <v>937.80929537945519</v>
      </c>
      <c r="AL204" s="2806">
        <f t="shared" si="331"/>
        <v>1069.7497601484279</v>
      </c>
      <c r="AM204" s="2806">
        <f t="shared" si="331"/>
        <v>1208.2872481558493</v>
      </c>
      <c r="AN204" s="2806">
        <f t="shared" si="331"/>
        <v>1353.7516105636419</v>
      </c>
      <c r="AO204" s="90"/>
      <c r="AP204" s="1357"/>
      <c r="AQ204" s="1357"/>
      <c r="AR204" s="1357"/>
      <c r="AS204" s="1357"/>
      <c r="AT204" s="1562"/>
      <c r="AU204" s="1108"/>
      <c r="AV204" s="1357"/>
      <c r="AW204" s="1689"/>
      <c r="AX204" s="1108"/>
      <c r="AY204" s="1108"/>
      <c r="AZ204" s="1700"/>
      <c r="BA204" s="1108"/>
      <c r="BB204" s="1108"/>
      <c r="BC204" s="1108"/>
      <c r="BD204" s="1108"/>
      <c r="BE204" s="1108"/>
      <c r="BF204" s="1108"/>
      <c r="BG204" s="1108"/>
      <c r="BH204" s="1108"/>
      <c r="BI204" s="1700"/>
      <c r="BJ204" s="1700"/>
      <c r="BK204" s="1700"/>
      <c r="BL204" s="1700"/>
      <c r="BM204" s="1700"/>
      <c r="BN204" s="1700"/>
      <c r="BO204" s="1108"/>
      <c r="BP204" s="1700"/>
      <c r="BQ204" s="1700"/>
      <c r="BR204" s="1700"/>
      <c r="BS204" s="1700"/>
      <c r="BT204" s="1108"/>
      <c r="BU204" s="1108"/>
      <c r="BV204" s="1108"/>
      <c r="BW204" s="1108"/>
      <c r="BX204" s="1108"/>
      <c r="BY204" s="1108"/>
      <c r="BZ204" s="1108"/>
      <c r="CA204" s="1108"/>
      <c r="CB204" s="1108"/>
      <c r="CC204" s="1108"/>
      <c r="CD204" s="1108"/>
      <c r="CE204" s="1108"/>
      <c r="CF204" s="1108"/>
      <c r="CG204" s="1108"/>
      <c r="CH204" s="1108"/>
      <c r="CI204" s="1108"/>
      <c r="CJ204" s="1108"/>
      <c r="CK204" s="1108"/>
      <c r="CL204" s="1108"/>
      <c r="CM204" s="1108"/>
      <c r="CN204" s="1108"/>
      <c r="CO204" s="1108"/>
      <c r="CP204" s="1108"/>
      <c r="CQ204" s="1108"/>
      <c r="CR204" s="1108"/>
      <c r="CS204" s="1108"/>
      <c r="CT204" s="1470"/>
      <c r="CU204" s="1470"/>
      <c r="CV204" s="1470"/>
      <c r="CW204" s="1108"/>
      <c r="CX204" s="1108"/>
      <c r="CY204" s="1470"/>
      <c r="CZ204" s="1470"/>
      <c r="DA204" s="1470"/>
      <c r="DB204" s="1108"/>
      <c r="DC204" s="2862"/>
      <c r="DD204" s="1108"/>
      <c r="DE204" s="1108"/>
      <c r="DF204" s="1108"/>
      <c r="DG204" s="1108"/>
      <c r="DH204" s="1108"/>
      <c r="DI204" s="1108"/>
      <c r="DJ204" s="1108"/>
      <c r="DK204" s="1108"/>
      <c r="DL204" s="1108"/>
      <c r="DM204" s="1108"/>
      <c r="DN204" s="1108"/>
      <c r="DO204" s="1108"/>
      <c r="DP204" s="1108"/>
      <c r="DQ204" s="1108"/>
      <c r="DR204" s="1108"/>
    </row>
    <row r="205" spans="1:122">
      <c r="A205" s="1691" t="s">
        <v>581</v>
      </c>
      <c r="B205" s="1437">
        <f>1987.1-B203-B204</f>
        <v>1976.3</v>
      </c>
      <c r="C205" s="1437">
        <f>2008-C203-C204</f>
        <v>1914.8</v>
      </c>
      <c r="D205" s="1437">
        <f>693.2-D204</f>
        <v>592</v>
      </c>
      <c r="E205" s="1437">
        <f>691.3-E204</f>
        <v>580.4</v>
      </c>
      <c r="F205" s="1357">
        <f t="shared" si="323"/>
        <v>-121.60000000000002</v>
      </c>
      <c r="G205" s="1437">
        <f>331.2-G204-G203</f>
        <v>-121.60000000000002</v>
      </c>
      <c r="H205" s="1722"/>
      <c r="I205" s="1357">
        <f t="shared" si="324"/>
        <v>1262.6999999999998</v>
      </c>
      <c r="J205" s="1437">
        <v>1405.1</v>
      </c>
      <c r="K205" s="1437">
        <v>1575.8</v>
      </c>
      <c r="L205" s="1437">
        <v>1553.2</v>
      </c>
      <c r="M205" s="1437">
        <v>1297.4000000000001</v>
      </c>
      <c r="N205" s="1437">
        <v>1260.9000000000001</v>
      </c>
      <c r="O205" s="1369"/>
      <c r="P205" s="1357"/>
      <c r="Q205" s="1357"/>
      <c r="R205" s="1437">
        <v>1489.9</v>
      </c>
      <c r="S205" s="1437">
        <v>1468.8</v>
      </c>
      <c r="T205" s="1437">
        <f>1711-T206</f>
        <v>1643</v>
      </c>
      <c r="U205" s="1437">
        <f>1811-U206</f>
        <v>1789</v>
      </c>
      <c r="V205" s="1437">
        <f>2092-V206</f>
        <v>2053</v>
      </c>
      <c r="W205" s="1437">
        <v>2488</v>
      </c>
      <c r="X205" s="1357"/>
      <c r="Y205" s="2806"/>
      <c r="Z205" s="2878">
        <v>2633</v>
      </c>
      <c r="AA205" s="2878">
        <v>2707</v>
      </c>
      <c r="AB205" s="2806"/>
      <c r="AC205" s="2806">
        <f>AC492+AC42</f>
        <v>2523.2932146695889</v>
      </c>
      <c r="AD205" s="2806">
        <f t="shared" ref="AD205:AK205" si="332">AD492+AD42</f>
        <v>2578.1627696698233</v>
      </c>
      <c r="AE205" s="2806">
        <f t="shared" si="332"/>
        <v>2820.6379833270375</v>
      </c>
      <c r="AF205" s="2806">
        <f t="shared" si="332"/>
        <v>2804.3899961078455</v>
      </c>
      <c r="AG205" s="2806">
        <f t="shared" si="332"/>
        <v>2855.0240550393646</v>
      </c>
      <c r="AH205" s="2806">
        <f t="shared" si="332"/>
        <v>2924.5111622314062</v>
      </c>
      <c r="AI205" s="2806">
        <f t="shared" si="332"/>
        <v>2683.9122398107652</v>
      </c>
      <c r="AJ205" s="2806">
        <f t="shared" si="332"/>
        <v>2454.7653806659318</v>
      </c>
      <c r="AK205" s="2806">
        <f t="shared" si="332"/>
        <v>2439.0146010589724</v>
      </c>
      <c r="AL205" s="2806">
        <f>AL492+AL42</f>
        <v>2007.3808089389206</v>
      </c>
      <c r="AM205" s="2806">
        <f>AM492+AM42</f>
        <v>1744.8151537417668</v>
      </c>
      <c r="AN205" s="2806">
        <f>AN492+AN42</f>
        <v>1280.3844598289738</v>
      </c>
      <c r="AO205" s="90"/>
      <c r="AP205" s="1357"/>
      <c r="AQ205" s="1357"/>
      <c r="AR205" s="1357"/>
      <c r="AS205" s="1357"/>
      <c r="AT205" s="1562"/>
      <c r="AU205" s="1108"/>
      <c r="AV205" s="1108"/>
      <c r="AW205" s="1689"/>
      <c r="AX205" s="1108"/>
      <c r="AY205" s="1108"/>
      <c r="AZ205" s="1700"/>
      <c r="BA205" s="1108"/>
      <c r="BB205" s="1108"/>
      <c r="BC205" s="1108"/>
      <c r="BD205" s="1108"/>
      <c r="BE205" s="1108"/>
      <c r="BF205" s="1108"/>
      <c r="BG205" s="1108"/>
      <c r="BH205" s="1108"/>
      <c r="BI205" s="1700"/>
      <c r="BJ205" s="1700"/>
      <c r="BK205" s="1700"/>
      <c r="BL205" s="1700"/>
      <c r="BM205" s="1700"/>
      <c r="BN205" s="1700"/>
      <c r="BO205" s="1108"/>
      <c r="BP205" s="1700"/>
      <c r="BQ205" s="1700"/>
      <c r="BR205" s="1700"/>
      <c r="BS205" s="1700"/>
      <c r="BT205" s="1108"/>
      <c r="BU205" s="1108"/>
      <c r="BV205" s="1108"/>
      <c r="BW205" s="1108"/>
      <c r="BX205" s="1108"/>
      <c r="BY205" s="1108"/>
      <c r="BZ205" s="1108"/>
      <c r="CA205" s="1108"/>
      <c r="CB205" s="1108"/>
      <c r="CC205" s="1108"/>
      <c r="CD205" s="1108"/>
      <c r="CE205" s="1108"/>
      <c r="CF205" s="1108"/>
      <c r="CG205" s="1108"/>
      <c r="CH205" s="1108"/>
      <c r="CI205" s="1108"/>
      <c r="CJ205" s="1108"/>
      <c r="CK205" s="1108"/>
      <c r="CL205" s="1108"/>
      <c r="CM205" s="1108"/>
      <c r="CN205" s="1108"/>
      <c r="CO205" s="1108"/>
      <c r="CP205" s="1108"/>
      <c r="CQ205" s="1108"/>
      <c r="CR205" s="1108"/>
      <c r="CS205" s="1108"/>
      <c r="CT205" s="1470"/>
      <c r="CU205" s="1470"/>
      <c r="CV205" s="1470"/>
      <c r="CW205" s="1108"/>
      <c r="CX205" s="1108"/>
      <c r="CY205" s="1470"/>
      <c r="CZ205" s="1470"/>
      <c r="DA205" s="1470"/>
      <c r="DB205" s="1108"/>
      <c r="DC205" s="2862"/>
      <c r="DD205" s="1108"/>
      <c r="DE205" s="1108"/>
      <c r="DF205" s="1108"/>
      <c r="DG205" s="1108"/>
      <c r="DH205" s="1108"/>
      <c r="DI205" s="1108"/>
      <c r="DJ205" s="1108"/>
      <c r="DK205" s="1108"/>
      <c r="DL205" s="1108"/>
      <c r="DM205" s="1108"/>
      <c r="DN205" s="1108"/>
      <c r="DO205" s="1108"/>
      <c r="DP205" s="1108"/>
      <c r="DQ205" s="1108"/>
      <c r="DR205" s="1108"/>
    </row>
    <row r="206" spans="1:122">
      <c r="A206" s="2136" t="s">
        <v>892</v>
      </c>
      <c r="B206" s="1695">
        <v>4581.7</v>
      </c>
      <c r="C206" s="1695">
        <v>553.6</v>
      </c>
      <c r="D206" s="1695">
        <v>4236.8</v>
      </c>
      <c r="E206" s="1695">
        <v>325.7</v>
      </c>
      <c r="F206" s="1708">
        <f t="shared" si="323"/>
        <v>0</v>
      </c>
      <c r="G206" s="1695">
        <v>0</v>
      </c>
      <c r="H206" s="1723"/>
      <c r="I206" s="1439">
        <f>B206-D206+F206</f>
        <v>344.89999999999964</v>
      </c>
      <c r="J206" s="1464">
        <v>15404.8</v>
      </c>
      <c r="K206" s="1464">
        <v>122.6</v>
      </c>
      <c r="L206" s="1464">
        <v>85.6</v>
      </c>
      <c r="M206" s="1464">
        <v>98.6</v>
      </c>
      <c r="N206" s="1464">
        <v>97.2</v>
      </c>
      <c r="O206" s="1369"/>
      <c r="P206" s="1464"/>
      <c r="Q206" s="1464"/>
      <c r="R206" s="1464">
        <v>91.1</v>
      </c>
      <c r="S206" s="1464">
        <v>72.2</v>
      </c>
      <c r="T206" s="1464">
        <v>68</v>
      </c>
      <c r="U206" s="1439">
        <f>-U285</f>
        <v>22</v>
      </c>
      <c r="V206" s="1439">
        <f>U206-V285-V284</f>
        <v>39</v>
      </c>
      <c r="W206" s="1819">
        <v>39</v>
      </c>
      <c r="X206" s="1464"/>
      <c r="Y206" s="1464"/>
      <c r="Z206" s="1437">
        <v>4747</v>
      </c>
      <c r="AA206" s="1437">
        <v>4291</v>
      </c>
      <c r="AB206" s="2872"/>
      <c r="AC206" s="1437">
        <v>0</v>
      </c>
      <c r="AD206" s="1437">
        <f>AC206+AD48</f>
        <v>0</v>
      </c>
      <c r="AE206" s="1437">
        <f t="shared" ref="AE206:AN206" si="333">AD206+AE48</f>
        <v>0</v>
      </c>
      <c r="AF206" s="1437">
        <f t="shared" si="333"/>
        <v>0</v>
      </c>
      <c r="AG206" s="1437">
        <f t="shared" si="333"/>
        <v>0</v>
      </c>
      <c r="AH206" s="1437">
        <f t="shared" si="333"/>
        <v>0</v>
      </c>
      <c r="AI206" s="1437">
        <f t="shared" si="333"/>
        <v>0</v>
      </c>
      <c r="AJ206" s="1437">
        <f t="shared" si="333"/>
        <v>0</v>
      </c>
      <c r="AK206" s="1437">
        <f t="shared" si="333"/>
        <v>0</v>
      </c>
      <c r="AL206" s="1437">
        <f t="shared" si="333"/>
        <v>0</v>
      </c>
      <c r="AM206" s="1437">
        <f t="shared" si="333"/>
        <v>0</v>
      </c>
      <c r="AN206" s="1437">
        <f t="shared" si="333"/>
        <v>0</v>
      </c>
      <c r="AO206" s="90"/>
      <c r="AP206" s="1373"/>
      <c r="AQ206" s="1373"/>
      <c r="AR206" s="1373"/>
      <c r="AS206" s="1373"/>
      <c r="AT206" s="1562"/>
      <c r="AU206" s="1108"/>
      <c r="AV206" s="1108"/>
      <c r="AW206" s="1689"/>
      <c r="AX206" s="1108"/>
      <c r="AY206" s="1108"/>
      <c r="AZ206" s="1700"/>
      <c r="BA206" s="1108"/>
      <c r="BB206" s="1108"/>
      <c r="BC206" s="1108"/>
      <c r="BD206" s="1108"/>
      <c r="BE206" s="1108"/>
      <c r="BF206" s="1108"/>
      <c r="BG206" s="1108"/>
      <c r="BH206" s="1108"/>
      <c r="BI206" s="1700"/>
      <c r="BJ206" s="1700"/>
      <c r="BK206" s="1700"/>
      <c r="BL206" s="1700"/>
      <c r="BM206" s="1700"/>
      <c r="BN206" s="1700"/>
      <c r="BO206" s="1108"/>
      <c r="BP206" s="1700"/>
      <c r="BQ206" s="1700"/>
      <c r="BR206" s="1700"/>
      <c r="BS206" s="1700"/>
      <c r="BT206" s="1108"/>
      <c r="BU206" s="1108"/>
      <c r="BV206" s="1108"/>
      <c r="BW206" s="1108"/>
      <c r="BX206" s="1108"/>
      <c r="BY206" s="1108"/>
      <c r="BZ206" s="1108"/>
      <c r="CA206" s="1108"/>
      <c r="CB206" s="1108"/>
      <c r="CC206" s="1108"/>
      <c r="CD206" s="1108"/>
      <c r="CE206" s="1108"/>
      <c r="CF206" s="1108"/>
      <c r="CG206" s="1108"/>
      <c r="CH206" s="1108"/>
      <c r="CI206" s="1108"/>
      <c r="CJ206" s="1108"/>
      <c r="CK206" s="1108"/>
      <c r="CL206" s="1108"/>
      <c r="CM206" s="1108"/>
      <c r="CN206" s="1108"/>
      <c r="CO206" s="1108"/>
      <c r="CP206" s="1108"/>
      <c r="CQ206" s="1108"/>
      <c r="CR206" s="1108"/>
      <c r="CS206" s="1108"/>
      <c r="CT206" s="1470"/>
      <c r="CU206" s="1470"/>
      <c r="CV206" s="1470"/>
      <c r="CW206" s="1108"/>
      <c r="CX206" s="1108"/>
      <c r="CY206" s="1470"/>
      <c r="CZ206" s="1470"/>
      <c r="DA206" s="1470"/>
      <c r="DB206" s="1108"/>
      <c r="DC206" s="2862"/>
      <c r="DD206" s="1108"/>
      <c r="DE206" s="1108"/>
      <c r="DF206" s="1108"/>
      <c r="DG206" s="1108"/>
      <c r="DH206" s="1108"/>
      <c r="DI206" s="1108"/>
      <c r="DJ206" s="1108"/>
      <c r="DK206" s="1108"/>
      <c r="DL206" s="1108"/>
      <c r="DM206" s="1108"/>
      <c r="DN206" s="1108"/>
      <c r="DO206" s="1108"/>
      <c r="DP206" s="1108"/>
      <c r="DQ206" s="1108"/>
      <c r="DR206" s="1108"/>
    </row>
    <row r="207" spans="1:122" ht="13.5" thickBot="1">
      <c r="A207" s="2332" t="s">
        <v>793</v>
      </c>
      <c r="B207" s="1357">
        <f t="shared" ref="B207:G207" si="334">SUM(B199:B206)+B197+B193</f>
        <v>90225.499999999985</v>
      </c>
      <c r="C207" s="1357">
        <f t="shared" si="334"/>
        <v>68002.3</v>
      </c>
      <c r="D207" s="1357">
        <f t="shared" si="334"/>
        <v>22304.400000000001</v>
      </c>
      <c r="E207" s="1357">
        <f t="shared" si="334"/>
        <v>18440.8</v>
      </c>
      <c r="F207" s="1357">
        <f t="shared" si="334"/>
        <v>724.3</v>
      </c>
      <c r="G207" s="1357">
        <f t="shared" si="334"/>
        <v>619.79999999999995</v>
      </c>
      <c r="H207" s="1687"/>
      <c r="I207" s="1714">
        <f t="shared" ref="I207:N207" si="335">SUM(I199:I206)+I197+I193</f>
        <v>68938.500000000015</v>
      </c>
      <c r="J207" s="1714">
        <f t="shared" si="335"/>
        <v>68002.3</v>
      </c>
      <c r="K207" s="1714">
        <f t="shared" si="335"/>
        <v>43029.600000000006</v>
      </c>
      <c r="L207" s="1714">
        <f t="shared" si="335"/>
        <v>43508.799999999996</v>
      </c>
      <c r="M207" s="1714">
        <f t="shared" si="335"/>
        <v>40430.199999999997</v>
      </c>
      <c r="N207" s="1714">
        <f t="shared" si="335"/>
        <v>26889.3</v>
      </c>
      <c r="O207" s="1369"/>
      <c r="P207" s="1714"/>
      <c r="Q207" s="1714"/>
      <c r="R207" s="1714">
        <f t="shared" ref="R207:AH207" si="336">SUM(R199:R206)+R197+R193</f>
        <v>26962</v>
      </c>
      <c r="S207" s="1714">
        <f t="shared" si="336"/>
        <v>26142.600000000002</v>
      </c>
      <c r="T207" s="1714">
        <f t="shared" si="336"/>
        <v>26220</v>
      </c>
      <c r="U207" s="1714">
        <f t="shared" si="336"/>
        <v>26466</v>
      </c>
      <c r="V207" s="1714">
        <f t="shared" si="336"/>
        <v>26387</v>
      </c>
      <c r="W207" s="1714">
        <f t="shared" si="336"/>
        <v>24072</v>
      </c>
      <c r="X207" s="1714"/>
      <c r="Y207" s="1714"/>
      <c r="Z207" s="1714">
        <f t="shared" si="336"/>
        <v>23765</v>
      </c>
      <c r="AA207" s="2880">
        <f t="shared" ca="1" si="336"/>
        <v>24238</v>
      </c>
      <c r="AB207" s="2880"/>
      <c r="AC207" s="2880">
        <f ca="1">SUM(AC199:AC206)+AC197+AC193</f>
        <v>20189.948930468385</v>
      </c>
      <c r="AD207" s="2880">
        <f t="shared" ca="1" si="336"/>
        <v>21604.208667059553</v>
      </c>
      <c r="AE207" s="2880">
        <f t="shared" ca="1" si="336"/>
        <v>22417.993626441952</v>
      </c>
      <c r="AF207" s="2880">
        <f t="shared" ca="1" si="336"/>
        <v>23231.722602996229</v>
      </c>
      <c r="AG207" s="2880">
        <f t="shared" ca="1" si="336"/>
        <v>24203.677165111592</v>
      </c>
      <c r="AH207" s="2880">
        <f t="shared" ca="1" si="336"/>
        <v>25133.077569106477</v>
      </c>
      <c r="AI207" s="2880">
        <f t="shared" ref="AI207:AN207" ca="1" si="337">SUM(AI199:AI206)+AI197+AI193</f>
        <v>25432.832740779071</v>
      </c>
      <c r="AJ207" s="2880">
        <f t="shared" ca="1" si="337"/>
        <v>26154.065346481038</v>
      </c>
      <c r="AK207" s="2880">
        <f t="shared" ca="1" si="337"/>
        <v>27020.500011509856</v>
      </c>
      <c r="AL207" s="2880">
        <f t="shared" ca="1" si="337"/>
        <v>27475.017168007806</v>
      </c>
      <c r="AM207" s="2880">
        <f t="shared" ca="1" si="337"/>
        <v>28121.069253427413</v>
      </c>
      <c r="AN207" s="2880">
        <f t="shared" ca="1" si="337"/>
        <v>29063.482200992017</v>
      </c>
      <c r="AO207" s="90"/>
      <c r="AP207" s="1715"/>
      <c r="AQ207" s="1715"/>
      <c r="AR207" s="1715"/>
      <c r="AS207" s="1715"/>
      <c r="AT207" s="1562"/>
      <c r="AU207" s="1357"/>
      <c r="AV207" s="1108"/>
      <c r="AW207" s="1689"/>
      <c r="AX207" s="1108"/>
      <c r="AY207" s="1108"/>
      <c r="AZ207" s="1700"/>
      <c r="BA207" s="1108"/>
      <c r="BB207" s="1108"/>
      <c r="BC207" s="1108"/>
      <c r="BD207" s="1108"/>
      <c r="BE207" s="1108"/>
      <c r="BF207" s="1108"/>
      <c r="BG207" s="1108"/>
      <c r="BH207" s="1108"/>
      <c r="BI207" s="1700"/>
      <c r="BJ207" s="1700"/>
      <c r="BK207" s="1700"/>
      <c r="BL207" s="1700"/>
      <c r="BM207" s="1700"/>
      <c r="BN207" s="1700"/>
      <c r="BO207" s="1108"/>
      <c r="BP207" s="1700"/>
      <c r="BQ207" s="1700"/>
      <c r="BR207" s="1700"/>
      <c r="BS207" s="1700"/>
      <c r="BT207" s="1108"/>
      <c r="BU207" s="1108"/>
      <c r="BV207" s="1108"/>
      <c r="BW207" s="1108"/>
      <c r="BX207" s="1108"/>
      <c r="BY207" s="1108"/>
      <c r="BZ207" s="1108"/>
      <c r="CA207" s="1108"/>
      <c r="CB207" s="1108"/>
      <c r="CC207" s="1108"/>
      <c r="CD207" s="1108"/>
      <c r="CE207" s="1108"/>
      <c r="CF207" s="1108"/>
      <c r="CG207" s="1108"/>
      <c r="CH207" s="1108"/>
      <c r="CI207" s="1108"/>
      <c r="CJ207" s="1108"/>
      <c r="CK207" s="1108"/>
      <c r="CL207" s="1108"/>
      <c r="CM207" s="1108"/>
      <c r="CN207" s="1108"/>
      <c r="CO207" s="1108"/>
      <c r="CP207" s="1108"/>
      <c r="CQ207" s="1108"/>
      <c r="CR207" s="1108"/>
      <c r="CS207" s="1108"/>
      <c r="CT207" s="1470"/>
      <c r="CU207" s="1470"/>
      <c r="CV207" s="1470"/>
      <c r="CW207" s="1108"/>
      <c r="CX207" s="1108"/>
      <c r="CY207" s="1470"/>
      <c r="CZ207" s="1470"/>
      <c r="DA207" s="1470"/>
      <c r="DB207" s="1108"/>
      <c r="DC207" s="2862"/>
      <c r="DD207" s="1108"/>
      <c r="DE207" s="1108"/>
      <c r="DF207" s="1108"/>
      <c r="DG207" s="1108"/>
      <c r="DH207" s="1108"/>
      <c r="DI207" s="1108"/>
      <c r="DJ207" s="1108"/>
      <c r="DK207" s="1108"/>
      <c r="DL207" s="1108"/>
      <c r="DM207" s="1108"/>
      <c r="DN207" s="1108"/>
      <c r="DO207" s="1108"/>
      <c r="DP207" s="1108"/>
      <c r="DQ207" s="1108"/>
      <c r="DR207" s="1108"/>
    </row>
    <row r="208" spans="1:122" ht="13.5" thickTop="1">
      <c r="A208" s="1709"/>
      <c r="B208" s="1687"/>
      <c r="C208" s="1687"/>
      <c r="D208" s="1687"/>
      <c r="E208" s="1687"/>
      <c r="F208" s="1687"/>
      <c r="G208" s="1687"/>
      <c r="H208" s="1687"/>
      <c r="I208" s="1357"/>
      <c r="J208" s="1689"/>
      <c r="K208" s="1357"/>
      <c r="L208" s="1687"/>
      <c r="M208" s="1687"/>
      <c r="N208" s="1687"/>
      <c r="O208" s="1369"/>
      <c r="P208" s="1687"/>
      <c r="Q208" s="1687"/>
      <c r="R208" s="1687"/>
      <c r="S208" s="1687"/>
      <c r="T208" s="1687"/>
      <c r="U208" s="1687"/>
      <c r="V208" s="1687"/>
      <c r="W208" s="1687"/>
      <c r="X208" s="2882"/>
      <c r="Y208" s="2882"/>
      <c r="Z208" s="2882"/>
      <c r="AA208" s="2882"/>
      <c r="AB208" s="2882"/>
      <c r="AC208" s="2882"/>
      <c r="AD208" s="2882"/>
      <c r="AE208" s="2882"/>
      <c r="AF208" s="2882"/>
      <c r="AG208" s="2882"/>
      <c r="AH208" s="2882"/>
      <c r="AI208" s="2882"/>
      <c r="AJ208" s="2882"/>
      <c r="AK208" s="2882"/>
      <c r="AL208" s="2882"/>
      <c r="AM208" s="2882"/>
      <c r="AN208" s="1108"/>
      <c r="AO208" s="90"/>
      <c r="AP208" s="1687"/>
      <c r="AQ208" s="1687"/>
      <c r="AR208" s="1687"/>
      <c r="AS208" s="1687"/>
      <c r="AT208" s="1562"/>
      <c r="AU208" s="1108"/>
      <c r="AV208" s="1108"/>
      <c r="AW208" s="1689"/>
      <c r="AX208" s="1108"/>
      <c r="AY208" s="1108"/>
      <c r="AZ208" s="1700"/>
      <c r="BA208" s="1108"/>
      <c r="BB208" s="1108"/>
      <c r="BC208" s="1108"/>
      <c r="BD208" s="1108"/>
      <c r="BE208" s="1108"/>
      <c r="BF208" s="1108"/>
      <c r="BG208" s="1108"/>
      <c r="BH208" s="1108"/>
      <c r="BI208" s="1700"/>
      <c r="BJ208" s="1700"/>
      <c r="BK208" s="1700"/>
      <c r="BL208" s="1700"/>
      <c r="BM208" s="1700"/>
      <c r="BN208" s="1700"/>
      <c r="BO208" s="1108"/>
      <c r="BP208" s="1700"/>
      <c r="BQ208" s="1700"/>
      <c r="BR208" s="1700"/>
      <c r="BS208" s="1700"/>
      <c r="BT208" s="1108"/>
      <c r="BU208" s="1108"/>
      <c r="BV208" s="1108"/>
      <c r="BW208" s="1108"/>
      <c r="BX208" s="1108"/>
      <c r="BY208" s="1108"/>
      <c r="BZ208" s="1108"/>
      <c r="CA208" s="1108"/>
      <c r="CB208" s="1108"/>
      <c r="CC208" s="1108"/>
      <c r="CD208" s="1108"/>
      <c r="CE208" s="1108"/>
      <c r="CF208" s="1108"/>
      <c r="CG208" s="1108"/>
      <c r="CH208" s="1108"/>
      <c r="CI208" s="1108"/>
      <c r="CJ208" s="1108"/>
      <c r="CK208" s="1108"/>
      <c r="CL208" s="1108"/>
      <c r="CM208" s="1108"/>
      <c r="CN208" s="1108"/>
      <c r="CO208" s="1108"/>
      <c r="CP208" s="1108"/>
      <c r="CQ208" s="1108"/>
      <c r="CR208" s="1108"/>
      <c r="CS208" s="1108"/>
      <c r="CT208" s="1470"/>
      <c r="CU208" s="1470"/>
      <c r="CV208" s="1470"/>
      <c r="CW208" s="1108"/>
      <c r="CX208" s="1108"/>
      <c r="CY208" s="1470"/>
      <c r="CZ208" s="1470"/>
      <c r="DA208" s="1470"/>
      <c r="DB208" s="1108"/>
      <c r="DC208" s="2862"/>
      <c r="DD208" s="1108"/>
      <c r="DE208" s="1108"/>
      <c r="DF208" s="1108"/>
      <c r="DG208" s="1108"/>
      <c r="DH208" s="1108"/>
      <c r="DI208" s="1108"/>
      <c r="DJ208" s="1108"/>
      <c r="DK208" s="1108"/>
      <c r="DL208" s="1108"/>
      <c r="DM208" s="1108"/>
      <c r="DN208" s="1108"/>
      <c r="DO208" s="1108"/>
      <c r="DP208" s="1108"/>
      <c r="DQ208" s="1108"/>
      <c r="DR208" s="1108"/>
    </row>
    <row r="209" spans="1:122">
      <c r="A209" s="1728" t="s">
        <v>406</v>
      </c>
      <c r="B209" s="1687"/>
      <c r="C209" s="1687"/>
      <c r="D209" s="1687"/>
      <c r="E209" s="1687"/>
      <c r="F209" s="1687"/>
      <c r="G209" s="1687"/>
      <c r="H209" s="1687"/>
      <c r="I209" s="1357"/>
      <c r="J209" s="1689"/>
      <c r="K209" s="1687"/>
      <c r="L209" s="1687"/>
      <c r="M209" s="1687"/>
      <c r="N209" s="1687"/>
      <c r="O209" s="1369"/>
      <c r="P209" s="1687"/>
      <c r="Q209" s="1687"/>
      <c r="R209" s="1687"/>
      <c r="S209" s="1687"/>
      <c r="T209" s="1687"/>
      <c r="U209" s="1687"/>
      <c r="V209" s="1687"/>
      <c r="W209" s="1687"/>
      <c r="X209" s="2882"/>
      <c r="Y209" s="2882"/>
      <c r="Z209" s="2882"/>
      <c r="AA209" s="2882"/>
      <c r="AB209" s="2882"/>
      <c r="AC209" s="2882"/>
      <c r="AD209" s="2882"/>
      <c r="AE209" s="2882"/>
      <c r="AF209" s="2882"/>
      <c r="AG209" s="2882"/>
      <c r="AH209" s="2882"/>
      <c r="AI209" s="2882"/>
      <c r="AJ209" s="2882"/>
      <c r="AK209" s="2882"/>
      <c r="AL209" s="2882"/>
      <c r="AM209" s="2882"/>
      <c r="AN209" s="1108"/>
      <c r="AO209" s="90"/>
      <c r="AP209" s="1687"/>
      <c r="AQ209" s="1687"/>
      <c r="AR209" s="1687"/>
      <c r="AS209" s="1687"/>
      <c r="AT209" s="1562"/>
      <c r="AU209" s="1108"/>
      <c r="AV209" s="1108"/>
      <c r="AW209" s="1689"/>
      <c r="AX209" s="1108"/>
      <c r="AY209" s="1108"/>
      <c r="AZ209" s="1700"/>
      <c r="BA209" s="1108"/>
      <c r="BB209" s="1108"/>
      <c r="BC209" s="1108"/>
      <c r="BD209" s="1108"/>
      <c r="BE209" s="1108"/>
      <c r="BF209" s="1108"/>
      <c r="BG209" s="1108"/>
      <c r="BH209" s="1108"/>
      <c r="BI209" s="1700"/>
      <c r="BJ209" s="1700"/>
      <c r="BK209" s="1700"/>
      <c r="BL209" s="1700"/>
      <c r="BM209" s="1700"/>
      <c r="BN209" s="1700"/>
      <c r="BO209" s="1108"/>
      <c r="BP209" s="1700"/>
      <c r="BQ209" s="1700"/>
      <c r="BR209" s="1700"/>
      <c r="BS209" s="1700"/>
      <c r="BT209" s="1108"/>
      <c r="BU209" s="1108"/>
      <c r="BV209" s="1108"/>
      <c r="BW209" s="1108"/>
      <c r="BX209" s="1108"/>
      <c r="BY209" s="1108"/>
      <c r="BZ209" s="1108"/>
      <c r="CA209" s="1108"/>
      <c r="CB209" s="1108"/>
      <c r="CC209" s="1108"/>
      <c r="CD209" s="1108"/>
      <c r="CE209" s="1108"/>
      <c r="CF209" s="1108"/>
      <c r="CG209" s="1108"/>
      <c r="CH209" s="1108"/>
      <c r="CI209" s="1108"/>
      <c r="CJ209" s="1108"/>
      <c r="CK209" s="1108"/>
      <c r="CL209" s="1108"/>
      <c r="CM209" s="1108"/>
      <c r="CN209" s="1108"/>
      <c r="CO209" s="1108"/>
      <c r="CP209" s="1108"/>
      <c r="CQ209" s="1108"/>
      <c r="CR209" s="1108"/>
      <c r="CS209" s="1108"/>
      <c r="CT209" s="1470"/>
      <c r="CU209" s="1470"/>
      <c r="CV209" s="1470"/>
      <c r="CW209" s="1108"/>
      <c r="CX209" s="1108"/>
      <c r="CY209" s="1470"/>
      <c r="CZ209" s="1470"/>
      <c r="DA209" s="1470"/>
      <c r="DB209" s="1108"/>
      <c r="DC209" s="2862"/>
      <c r="DD209" s="1108"/>
      <c r="DE209" s="1108"/>
      <c r="DF209" s="1108"/>
      <c r="DG209" s="1108"/>
      <c r="DH209" s="1108"/>
      <c r="DI209" s="1108"/>
      <c r="DJ209" s="1108"/>
      <c r="DK209" s="1108"/>
      <c r="DL209" s="1108"/>
      <c r="DM209" s="1108"/>
      <c r="DN209" s="1108"/>
      <c r="DO209" s="1108"/>
      <c r="DP209" s="1108"/>
      <c r="DQ209" s="1108"/>
      <c r="DR209" s="1108"/>
    </row>
    <row r="210" spans="1:122">
      <c r="A210" s="1709" t="s">
        <v>407</v>
      </c>
      <c r="B210" s="1437">
        <v>495.2</v>
      </c>
      <c r="C210" s="1437">
        <v>573.6</v>
      </c>
      <c r="D210" s="1437">
        <v>172.7</v>
      </c>
      <c r="E210" s="1437">
        <v>196.2</v>
      </c>
      <c r="F210" s="1357">
        <f t="shared" ref="F210:F218" si="338">G210</f>
        <v>305.8</v>
      </c>
      <c r="G210" s="1437">
        <v>305.8</v>
      </c>
      <c r="H210" s="1722"/>
      <c r="I210" s="1654">
        <f t="shared" ref="I210:I217" si="339">B210-D210+F210</f>
        <v>628.29999999999995</v>
      </c>
      <c r="J210" s="1692">
        <v>390.6</v>
      </c>
      <c r="K210" s="1692">
        <v>596.4</v>
      </c>
      <c r="L210" s="1692">
        <v>502.3</v>
      </c>
      <c r="M210" s="1692">
        <v>352.3</v>
      </c>
      <c r="N210" s="1692">
        <v>462.8</v>
      </c>
      <c r="O210" s="1369"/>
      <c r="P210" s="1654"/>
      <c r="Q210" s="1654"/>
      <c r="R210" s="1692">
        <v>436.4</v>
      </c>
      <c r="S210" s="1692">
        <v>438.4</v>
      </c>
      <c r="T210" s="1692">
        <v>324</v>
      </c>
      <c r="U210" s="1692">
        <v>386</v>
      </c>
      <c r="V210" s="1692">
        <v>371</v>
      </c>
      <c r="W210" s="1692">
        <v>302</v>
      </c>
      <c r="X210" s="1654"/>
      <c r="Y210" s="1654"/>
      <c r="Z210" s="1692">
        <v>159</v>
      </c>
      <c r="AA210" s="1692">
        <v>148</v>
      </c>
      <c r="AB210" s="2801"/>
      <c r="AC210" s="2801">
        <f t="shared" ref="AC210:AM210" si="340">AC498</f>
        <v>147.53674067795632</v>
      </c>
      <c r="AD210" s="2801">
        <f t="shared" si="340"/>
        <v>157.69718402828391</v>
      </c>
      <c r="AE210" s="2801">
        <f t="shared" si="340"/>
        <v>171.99951140755815</v>
      </c>
      <c r="AF210" s="2801">
        <f t="shared" si="340"/>
        <v>170.90748910782688</v>
      </c>
      <c r="AG210" s="2801">
        <f t="shared" si="340"/>
        <v>177.63951461391409</v>
      </c>
      <c r="AH210" s="2801">
        <f t="shared" si="340"/>
        <v>190.879816859324</v>
      </c>
      <c r="AI210" s="2801">
        <f t="shared" si="340"/>
        <v>190.06734337467984</v>
      </c>
      <c r="AJ210" s="2801">
        <f t="shared" si="340"/>
        <v>195.67078830450598</v>
      </c>
      <c r="AK210" s="2801">
        <f t="shared" si="340"/>
        <v>211.21350130972203</v>
      </c>
      <c r="AL210" s="2801">
        <f t="shared" si="340"/>
        <v>206.62626686881254</v>
      </c>
      <c r="AM210" s="2801">
        <f t="shared" si="340"/>
        <v>212.0940493269845</v>
      </c>
      <c r="AN210" s="2801">
        <f t="shared" ref="AN210" si="341">AN498</f>
        <v>228.96833443059444</v>
      </c>
      <c r="AO210" s="90"/>
      <c r="AP210" s="1654"/>
      <c r="AQ210" s="1654"/>
      <c r="AR210" s="1654"/>
      <c r="AS210" s="1654"/>
      <c r="AT210" s="1562"/>
      <c r="AU210" s="1108"/>
      <c r="AV210" s="1688"/>
      <c r="AW210" s="1689"/>
      <c r="AX210" s="1108"/>
      <c r="AY210" s="1108"/>
      <c r="AZ210" s="1700"/>
      <c r="BA210" s="1108"/>
      <c r="BB210" s="1108"/>
      <c r="BC210" s="1108"/>
      <c r="BD210" s="1108"/>
      <c r="BE210" s="1108"/>
      <c r="BF210" s="1108"/>
      <c r="BG210" s="1108"/>
      <c r="BH210" s="1108"/>
      <c r="BI210" s="1700"/>
      <c r="BJ210" s="1700"/>
      <c r="BK210" s="1700"/>
      <c r="BL210" s="1700"/>
      <c r="BM210" s="1700"/>
      <c r="BN210" s="1700"/>
      <c r="BO210" s="1108"/>
      <c r="BP210" s="1700"/>
      <c r="BQ210" s="1700"/>
      <c r="BR210" s="1700"/>
      <c r="BS210" s="1700"/>
      <c r="BT210" s="1108"/>
      <c r="BU210" s="1108"/>
      <c r="BV210" s="1108"/>
      <c r="BW210" s="1108"/>
      <c r="BX210" s="1108"/>
      <c r="BY210" s="1108"/>
      <c r="BZ210" s="1108"/>
      <c r="CA210" s="1108"/>
      <c r="CB210" s="1108"/>
      <c r="CC210" s="1108"/>
      <c r="CD210" s="1108"/>
      <c r="CE210" s="1108"/>
      <c r="CF210" s="1108"/>
      <c r="CG210" s="1108"/>
      <c r="CH210" s="1108"/>
      <c r="CI210" s="1108"/>
      <c r="CJ210" s="1108"/>
      <c r="CK210" s="1108"/>
      <c r="CL210" s="1108"/>
      <c r="CM210" s="1108"/>
      <c r="CN210" s="1108"/>
      <c r="CO210" s="1108"/>
      <c r="CP210" s="1108"/>
      <c r="CQ210" s="1108"/>
      <c r="CR210" s="1108"/>
      <c r="CS210" s="1108"/>
      <c r="CT210" s="1470"/>
      <c r="CU210" s="1470"/>
      <c r="CV210" s="1470"/>
      <c r="CW210" s="1108"/>
      <c r="CX210" s="1108"/>
      <c r="CY210" s="1470"/>
      <c r="CZ210" s="1470"/>
      <c r="DA210" s="1470"/>
      <c r="DB210" s="1108"/>
      <c r="DC210" s="2862"/>
      <c r="DD210" s="1108"/>
      <c r="DE210" s="1108"/>
      <c r="DF210" s="1108"/>
      <c r="DG210" s="1108"/>
      <c r="DH210" s="1108"/>
      <c r="DI210" s="1108"/>
      <c r="DJ210" s="1108"/>
      <c r="DK210" s="1108"/>
      <c r="DL210" s="1108"/>
      <c r="DM210" s="1108"/>
      <c r="DN210" s="1108"/>
      <c r="DO210" s="1108"/>
      <c r="DP210" s="1108"/>
      <c r="DQ210" s="1108"/>
      <c r="DR210" s="1108"/>
    </row>
    <row r="211" spans="1:122">
      <c r="A211" s="1709" t="s">
        <v>893</v>
      </c>
      <c r="B211" s="1437">
        <v>1472.4</v>
      </c>
      <c r="C211" s="1437">
        <v>1404.4</v>
      </c>
      <c r="D211" s="1437">
        <v>585</v>
      </c>
      <c r="E211" s="1437">
        <v>656.6</v>
      </c>
      <c r="F211" s="1357">
        <f t="shared" si="338"/>
        <v>0</v>
      </c>
      <c r="G211" s="1437">
        <v>0</v>
      </c>
      <c r="H211" s="1722"/>
      <c r="I211" s="1357">
        <f t="shared" si="339"/>
        <v>887.40000000000009</v>
      </c>
      <c r="J211" s="1437">
        <v>747.8</v>
      </c>
      <c r="K211" s="1437">
        <v>723.8</v>
      </c>
      <c r="L211" s="1437">
        <v>765.7</v>
      </c>
      <c r="M211" s="1437">
        <v>755.2</v>
      </c>
      <c r="N211" s="1437">
        <v>791.7</v>
      </c>
      <c r="O211" s="1369"/>
      <c r="P211" s="1357"/>
      <c r="Q211" s="1357"/>
      <c r="R211" s="1437">
        <v>681.5</v>
      </c>
      <c r="S211" s="1437">
        <v>613.5</v>
      </c>
      <c r="T211" s="1437">
        <v>634</v>
      </c>
      <c r="U211" s="1437">
        <v>636</v>
      </c>
      <c r="V211" s="1437">
        <v>668</v>
      </c>
      <c r="W211" s="1437">
        <v>605</v>
      </c>
      <c r="X211" s="1357"/>
      <c r="Y211" s="1357"/>
      <c r="Z211" s="1437">
        <v>561</v>
      </c>
      <c r="AA211" s="1437">
        <v>632</v>
      </c>
      <c r="AB211" s="2806"/>
      <c r="AC211" s="2806">
        <f>AC500</f>
        <v>595.62028987473388</v>
      </c>
      <c r="AD211" s="2806">
        <f t="shared" ref="AD211:AH211" si="342">AD500</f>
        <v>633.68298903314121</v>
      </c>
      <c r="AE211" s="2806">
        <f t="shared" si="342"/>
        <v>679.76959799518443</v>
      </c>
      <c r="AF211" s="2806">
        <f t="shared" si="342"/>
        <v>697.45737483934545</v>
      </c>
      <c r="AG211" s="2806">
        <f t="shared" si="342"/>
        <v>723.01334050268724</v>
      </c>
      <c r="AH211" s="2806">
        <f t="shared" si="342"/>
        <v>770.17815031539567</v>
      </c>
      <c r="AI211" s="2806">
        <f t="shared" ref="AI211:AN211" si="343">AI500</f>
        <v>765.67978580520901</v>
      </c>
      <c r="AJ211" s="2806">
        <f t="shared" si="343"/>
        <v>788.870212217573</v>
      </c>
      <c r="AK211" s="2806">
        <f t="shared" si="343"/>
        <v>831.14936147417166</v>
      </c>
      <c r="AL211" s="2806">
        <f t="shared" si="343"/>
        <v>823.92836506634364</v>
      </c>
      <c r="AM211" s="2806">
        <f t="shared" si="343"/>
        <v>840.79209962311631</v>
      </c>
      <c r="AN211" s="2806">
        <f t="shared" si="343"/>
        <v>895.37344019442332</v>
      </c>
      <c r="AO211" s="90"/>
      <c r="AP211" s="1357"/>
      <c r="AQ211" s="1357"/>
      <c r="AR211" s="1357"/>
      <c r="AS211" s="1357"/>
      <c r="AT211" s="1562"/>
      <c r="AU211" s="1108"/>
      <c r="AV211" s="1108"/>
      <c r="AW211" s="1689"/>
      <c r="AX211" s="1108"/>
      <c r="AY211" s="1108"/>
      <c r="AZ211" s="1700"/>
      <c r="BA211" s="1108"/>
      <c r="BB211" s="1729"/>
      <c r="BC211" s="1729"/>
      <c r="BD211" s="1108"/>
      <c r="BE211" s="1108"/>
      <c r="BF211" s="1108"/>
      <c r="BG211" s="1108"/>
      <c r="BH211" s="1108"/>
      <c r="BI211" s="1700"/>
      <c r="BJ211" s="1700"/>
      <c r="BK211" s="1700"/>
      <c r="BL211" s="1700"/>
      <c r="BM211" s="1700"/>
      <c r="BN211" s="1700"/>
      <c r="BO211" s="1108"/>
      <c r="BP211" s="1700"/>
      <c r="BQ211" s="1700"/>
      <c r="BR211" s="1700"/>
      <c r="BS211" s="1700"/>
      <c r="BT211" s="1108"/>
      <c r="BU211" s="1108"/>
      <c r="BV211" s="1108"/>
      <c r="BW211" s="1108"/>
      <c r="BX211" s="1108"/>
      <c r="BY211" s="1108"/>
      <c r="BZ211" s="1108"/>
      <c r="CA211" s="1108"/>
      <c r="CB211" s="1108"/>
      <c r="CC211" s="1108"/>
      <c r="CD211" s="1108"/>
      <c r="CE211" s="1108"/>
      <c r="CF211" s="1108"/>
      <c r="CG211" s="1108"/>
      <c r="CH211" s="1108"/>
      <c r="CI211" s="1108"/>
      <c r="CJ211" s="1108"/>
      <c r="CK211" s="1108"/>
      <c r="CL211" s="1108"/>
      <c r="CM211" s="1108"/>
      <c r="CN211" s="1108"/>
      <c r="CO211" s="1108"/>
      <c r="CP211" s="1108"/>
      <c r="CQ211" s="1108"/>
      <c r="CR211" s="1108"/>
      <c r="CS211" s="1108"/>
      <c r="CT211" s="1470"/>
      <c r="CU211" s="1470"/>
      <c r="CV211" s="1470"/>
      <c r="CW211" s="1108"/>
      <c r="CX211" s="1108"/>
      <c r="CY211" s="1470"/>
      <c r="CZ211" s="1470"/>
      <c r="DA211" s="1470"/>
      <c r="DB211" s="1108"/>
      <c r="DC211" s="2862"/>
      <c r="DD211" s="1108"/>
      <c r="DE211" s="1108"/>
      <c r="DF211" s="1108"/>
      <c r="DG211" s="1108"/>
      <c r="DH211" s="1108"/>
      <c r="DI211" s="1108"/>
      <c r="DJ211" s="1108"/>
      <c r="DK211" s="1108"/>
      <c r="DL211" s="1108"/>
      <c r="DM211" s="1108"/>
      <c r="DN211" s="1108"/>
      <c r="DO211" s="1108"/>
      <c r="DP211" s="1108"/>
      <c r="DQ211" s="1108"/>
      <c r="DR211" s="1108"/>
    </row>
    <row r="212" spans="1:122">
      <c r="A212" s="1709" t="s">
        <v>894</v>
      </c>
      <c r="B212" s="1437">
        <v>544.6</v>
      </c>
      <c r="C212" s="1437">
        <v>663.5</v>
      </c>
      <c r="D212" s="1437">
        <v>257.10000000000002</v>
      </c>
      <c r="E212" s="1437">
        <v>296.89999999999998</v>
      </c>
      <c r="F212" s="1357">
        <f t="shared" si="338"/>
        <v>0</v>
      </c>
      <c r="G212" s="1437">
        <v>0</v>
      </c>
      <c r="H212" s="1722"/>
      <c r="I212" s="1357">
        <f t="shared" si="339"/>
        <v>287.5</v>
      </c>
      <c r="J212" s="1437">
        <v>366.6</v>
      </c>
      <c r="K212" s="1437">
        <v>373.2</v>
      </c>
      <c r="L212" s="1437">
        <v>375.3</v>
      </c>
      <c r="M212" s="1437">
        <v>401.5</v>
      </c>
      <c r="N212" s="1437">
        <v>370.7</v>
      </c>
      <c r="O212" s="1369"/>
      <c r="P212" s="1357"/>
      <c r="Q212" s="1357"/>
      <c r="R212" s="1437">
        <v>320.7</v>
      </c>
      <c r="S212" s="1437">
        <v>407.5</v>
      </c>
      <c r="T212" s="1437">
        <v>403</v>
      </c>
      <c r="U212" s="1437">
        <v>374</v>
      </c>
      <c r="V212" s="1437">
        <v>389</v>
      </c>
      <c r="W212" s="1437">
        <v>333</v>
      </c>
      <c r="X212" s="1357"/>
      <c r="Y212" s="1357"/>
      <c r="Z212" s="1437">
        <v>306</v>
      </c>
      <c r="AA212" s="1437">
        <v>369</v>
      </c>
      <c r="AB212" s="2806"/>
      <c r="AC212" s="2806">
        <f>AC502</f>
        <v>309.53201068294538</v>
      </c>
      <c r="AD212" s="2806">
        <f>AD502</f>
        <v>321.91329111026323</v>
      </c>
      <c r="AE212" s="2806">
        <f>AE502</f>
        <v>334.78982275467376</v>
      </c>
      <c r="AF212" s="2806">
        <f>AF502</f>
        <v>348.18141566486076</v>
      </c>
      <c r="AG212" s="2806">
        <f t="shared" ref="AG212:AL212" si="344">AG502</f>
        <v>362.10867229145521</v>
      </c>
      <c r="AH212" s="2806">
        <f t="shared" si="344"/>
        <v>376.59301918311343</v>
      </c>
      <c r="AI212" s="2806">
        <f t="shared" si="344"/>
        <v>391.65673995043795</v>
      </c>
      <c r="AJ212" s="2806">
        <f t="shared" si="344"/>
        <v>407.3230095484555</v>
      </c>
      <c r="AK212" s="2806">
        <f t="shared" si="344"/>
        <v>423.61592993039375</v>
      </c>
      <c r="AL212" s="2806">
        <f t="shared" si="344"/>
        <v>440.56056712760949</v>
      </c>
      <c r="AM212" s="2806">
        <f>AM502</f>
        <v>458.18298981271391</v>
      </c>
      <c r="AN212" s="2806">
        <f>AN502</f>
        <v>476.51030940522247</v>
      </c>
      <c r="AO212" s="90"/>
      <c r="AP212" s="1357"/>
      <c r="AQ212" s="1357"/>
      <c r="AR212" s="1357"/>
      <c r="AS212" s="1357"/>
      <c r="AT212" s="1562"/>
      <c r="AU212" s="1108"/>
      <c r="AV212" s="1108"/>
      <c r="AW212" s="1689"/>
      <c r="AX212" s="1108"/>
      <c r="AY212" s="1108"/>
      <c r="AZ212" s="1700"/>
      <c r="BA212" s="1108"/>
      <c r="BB212" s="1108"/>
      <c r="BC212" s="1108"/>
      <c r="BD212" s="1108"/>
      <c r="BE212" s="1108"/>
      <c r="BF212" s="1108"/>
      <c r="BG212" s="1108"/>
      <c r="BH212" s="1108"/>
      <c r="BI212" s="1700"/>
      <c r="BJ212" s="1700"/>
      <c r="BK212" s="1700"/>
      <c r="BL212" s="1700"/>
      <c r="BM212" s="1700"/>
      <c r="BN212" s="1700"/>
      <c r="BO212" s="1108"/>
      <c r="BP212" s="1700"/>
      <c r="BQ212" s="1700"/>
      <c r="BR212" s="1700"/>
      <c r="BS212" s="1700"/>
      <c r="BT212" s="1108"/>
      <c r="BU212" s="1108"/>
      <c r="BV212" s="1108"/>
      <c r="BW212" s="1108"/>
      <c r="BX212" s="1108"/>
      <c r="BY212" s="1108"/>
      <c r="BZ212" s="1108"/>
      <c r="CA212" s="1108"/>
      <c r="CB212" s="1108"/>
      <c r="CC212" s="1108"/>
      <c r="CD212" s="1108"/>
      <c r="CE212" s="1108"/>
      <c r="CF212" s="1108"/>
      <c r="CG212" s="1108"/>
      <c r="CH212" s="1108"/>
      <c r="CI212" s="1108"/>
      <c r="CJ212" s="1108"/>
      <c r="CK212" s="1108"/>
      <c r="CL212" s="1108"/>
      <c r="CM212" s="1108"/>
      <c r="CN212" s="1108"/>
      <c r="CO212" s="1108"/>
      <c r="CP212" s="1108"/>
      <c r="CQ212" s="1108"/>
      <c r="CR212" s="1108"/>
      <c r="CS212" s="1108"/>
      <c r="CT212" s="1470"/>
      <c r="CU212" s="1470"/>
      <c r="CV212" s="1470"/>
      <c r="CW212" s="1108"/>
      <c r="CX212" s="1108"/>
      <c r="CY212" s="1470"/>
      <c r="CZ212" s="1470"/>
      <c r="DA212" s="1470"/>
      <c r="DB212" s="1108"/>
      <c r="DC212" s="2862"/>
      <c r="DD212" s="1108"/>
      <c r="DE212" s="1108"/>
      <c r="DF212" s="1108"/>
      <c r="DG212" s="1108"/>
      <c r="DH212" s="1108"/>
      <c r="DI212" s="1108"/>
      <c r="DJ212" s="1108"/>
      <c r="DK212" s="1108"/>
      <c r="DL212" s="1108"/>
      <c r="DM212" s="1108"/>
      <c r="DN212" s="1108"/>
      <c r="DO212" s="1108"/>
      <c r="DP212" s="1108"/>
      <c r="DQ212" s="1108"/>
      <c r="DR212" s="1108"/>
    </row>
    <row r="213" spans="1:122">
      <c r="A213" s="1709" t="s">
        <v>895</v>
      </c>
      <c r="B213" s="1437">
        <v>1162.2</v>
      </c>
      <c r="C213" s="1437">
        <v>1296.5999999999999</v>
      </c>
      <c r="D213" s="1437">
        <v>562.29999999999995</v>
      </c>
      <c r="E213" s="1437">
        <v>626.4</v>
      </c>
      <c r="F213" s="1357">
        <f t="shared" si="338"/>
        <v>0</v>
      </c>
      <c r="G213" s="1437">
        <v>0</v>
      </c>
      <c r="H213" s="1722"/>
      <c r="I213" s="1357">
        <f t="shared" si="339"/>
        <v>599.90000000000009</v>
      </c>
      <c r="J213" s="1437">
        <v>680</v>
      </c>
      <c r="K213" s="1437">
        <v>867.9</v>
      </c>
      <c r="L213" s="1437">
        <v>767.5</v>
      </c>
      <c r="M213" s="1437">
        <v>612.5</v>
      </c>
      <c r="N213" s="1437">
        <v>962.3</v>
      </c>
      <c r="O213" s="1369"/>
      <c r="P213" s="1357"/>
      <c r="Q213" s="1357"/>
      <c r="R213" s="1437">
        <v>955</v>
      </c>
      <c r="S213" s="1437">
        <v>943.2</v>
      </c>
      <c r="T213" s="1437">
        <v>938</v>
      </c>
      <c r="U213" s="1437">
        <v>953</v>
      </c>
      <c r="V213" s="1437">
        <v>1008</v>
      </c>
      <c r="W213" s="1437">
        <v>999</v>
      </c>
      <c r="X213" s="1357"/>
      <c r="Y213" s="1357"/>
      <c r="Z213" s="1437">
        <v>1013</v>
      </c>
      <c r="AA213" s="1437">
        <v>1024</v>
      </c>
      <c r="AB213" s="2806"/>
      <c r="AC213" s="2806">
        <f>AC504</f>
        <v>965.05565954387259</v>
      </c>
      <c r="AD213" s="2806">
        <f t="shared" ref="AD213:AH213" si="345">AD504</f>
        <v>1026.7268683068617</v>
      </c>
      <c r="AE213" s="2806">
        <f t="shared" si="345"/>
        <v>1101.3988423213113</v>
      </c>
      <c r="AF213" s="2806">
        <f t="shared" si="345"/>
        <v>1130.0575187270406</v>
      </c>
      <c r="AG213" s="2806">
        <f t="shared" si="345"/>
        <v>1171.4646529663794</v>
      </c>
      <c r="AH213" s="2806">
        <f t="shared" si="345"/>
        <v>1247.8835853211474</v>
      </c>
      <c r="AI213" s="2806">
        <f t="shared" ref="AI213:AN213" si="346">AI504</f>
        <v>1240.5950959881866</v>
      </c>
      <c r="AJ213" s="2806">
        <f t="shared" si="346"/>
        <v>1278.1694577702447</v>
      </c>
      <c r="AK213" s="2806">
        <f t="shared" si="346"/>
        <v>1346.6723831480249</v>
      </c>
      <c r="AL213" s="2806">
        <f t="shared" si="346"/>
        <v>1334.9725408669869</v>
      </c>
      <c r="AM213" s="2806">
        <f t="shared" si="346"/>
        <v>1362.2960601488467</v>
      </c>
      <c r="AN213" s="2806">
        <f t="shared" si="346"/>
        <v>1450.731649935268</v>
      </c>
      <c r="AO213" s="90"/>
      <c r="AP213" s="1357"/>
      <c r="AQ213" s="1357"/>
      <c r="AR213" s="1357"/>
      <c r="AS213" s="1357"/>
      <c r="AT213" s="1562"/>
      <c r="AU213" s="1108"/>
      <c r="AV213" s="1108"/>
      <c r="AW213" s="1689"/>
      <c r="AX213" s="1108"/>
      <c r="AY213" s="1108"/>
      <c r="AZ213" s="1700"/>
      <c r="BA213" s="1108"/>
      <c r="BB213" s="1729"/>
      <c r="BC213" s="1729"/>
      <c r="BD213" s="1108"/>
      <c r="BE213" s="1108"/>
      <c r="BF213" s="1108"/>
      <c r="BG213" s="1108"/>
      <c r="BH213" s="1108"/>
      <c r="BI213" s="1700"/>
      <c r="BJ213" s="1700"/>
      <c r="BK213" s="1700"/>
      <c r="BL213" s="1700"/>
      <c r="BM213" s="1700"/>
      <c r="BN213" s="1700"/>
      <c r="BO213" s="1108"/>
      <c r="BP213" s="1700"/>
      <c r="BQ213" s="1700"/>
      <c r="BR213" s="1700"/>
      <c r="BS213" s="1700"/>
      <c r="BT213" s="1108"/>
      <c r="BU213" s="1108"/>
      <c r="BV213" s="1108"/>
      <c r="BW213" s="1108"/>
      <c r="BX213" s="1108"/>
      <c r="BY213" s="1108"/>
      <c r="BZ213" s="1108"/>
      <c r="CA213" s="1108"/>
      <c r="CB213" s="1108"/>
      <c r="CC213" s="1108"/>
      <c r="CD213" s="1108"/>
      <c r="CE213" s="1108"/>
      <c r="CF213" s="1108"/>
      <c r="CG213" s="1108"/>
      <c r="CH213" s="1108"/>
      <c r="CI213" s="1108"/>
      <c r="CJ213" s="1108"/>
      <c r="CK213" s="1108"/>
      <c r="CL213" s="1108"/>
      <c r="CM213" s="1108"/>
      <c r="CN213" s="1108"/>
      <c r="CO213" s="1108"/>
      <c r="CP213" s="1108"/>
      <c r="CQ213" s="1108"/>
      <c r="CR213" s="1108"/>
      <c r="CS213" s="1108"/>
      <c r="CT213" s="1470"/>
      <c r="CU213" s="1470"/>
      <c r="CV213" s="1470"/>
      <c r="CW213" s="1108"/>
      <c r="CX213" s="1108"/>
      <c r="CY213" s="1470"/>
      <c r="CZ213" s="1470"/>
      <c r="DA213" s="1470"/>
      <c r="DB213" s="1108"/>
      <c r="DC213" s="2862"/>
      <c r="DD213" s="1108"/>
      <c r="DE213" s="1108"/>
      <c r="DF213" s="1108"/>
      <c r="DG213" s="1108"/>
      <c r="DH213" s="1108"/>
      <c r="DI213" s="1108"/>
      <c r="DJ213" s="1108"/>
      <c r="DK213" s="1108"/>
      <c r="DL213" s="1108"/>
      <c r="DM213" s="1108"/>
      <c r="DN213" s="1108"/>
      <c r="DO213" s="1108"/>
      <c r="DP213" s="1108"/>
      <c r="DQ213" s="1108"/>
      <c r="DR213" s="1108"/>
    </row>
    <row r="214" spans="1:122">
      <c r="A214" s="2129" t="s">
        <v>896</v>
      </c>
      <c r="B214" s="1437">
        <v>858.7</v>
      </c>
      <c r="C214" s="1437">
        <v>849.6</v>
      </c>
      <c r="D214" s="1437">
        <v>218.5</v>
      </c>
      <c r="E214" s="1437">
        <v>295.39999999999998</v>
      </c>
      <c r="F214" s="1357">
        <f t="shared" si="338"/>
        <v>0</v>
      </c>
      <c r="G214" s="1437">
        <v>0</v>
      </c>
      <c r="H214" s="1722"/>
      <c r="I214" s="1357">
        <f t="shared" si="339"/>
        <v>640.20000000000005</v>
      </c>
      <c r="J214" s="1437">
        <v>731.5</v>
      </c>
      <c r="K214" s="1437">
        <v>862.4</v>
      </c>
      <c r="L214" s="1437">
        <v>906.9</v>
      </c>
      <c r="M214" s="1437">
        <v>1009.7</v>
      </c>
      <c r="N214" s="1437">
        <v>840.1</v>
      </c>
      <c r="O214" s="1369"/>
      <c r="P214" s="1357"/>
      <c r="Q214" s="1357"/>
      <c r="R214" s="1437">
        <v>729.2</v>
      </c>
      <c r="S214" s="1437">
        <v>601.1</v>
      </c>
      <c r="T214" s="1437">
        <v>577</v>
      </c>
      <c r="U214" s="1437">
        <v>455</v>
      </c>
      <c r="V214" s="1437">
        <v>398</v>
      </c>
      <c r="W214" s="1437">
        <v>404</v>
      </c>
      <c r="X214" s="1357"/>
      <c r="Y214" s="1357"/>
      <c r="Z214" s="1437">
        <v>372</v>
      </c>
      <c r="AA214" s="1437">
        <v>290</v>
      </c>
      <c r="AB214" s="2806"/>
      <c r="AC214" s="2806">
        <f>AC506</f>
        <v>298.02047111139916</v>
      </c>
      <c r="AD214" s="2806">
        <f>AD506</f>
        <v>318.58629897326358</v>
      </c>
      <c r="AE214" s="2806">
        <f>AE506</f>
        <v>344.4524145065368</v>
      </c>
      <c r="AF214" s="2806">
        <f>AF506</f>
        <v>357.73092185894001</v>
      </c>
      <c r="AG214" s="2806">
        <f t="shared" ref="AG214:AL214" si="347">AG506</f>
        <v>374.29983216800719</v>
      </c>
      <c r="AH214" s="2806">
        <f t="shared" si="347"/>
        <v>400.99371483156096</v>
      </c>
      <c r="AI214" s="2806">
        <f t="shared" si="347"/>
        <v>398.88074397690417</v>
      </c>
      <c r="AJ214" s="2806">
        <f t="shared" si="347"/>
        <v>412.01788962539297</v>
      </c>
      <c r="AK214" s="2806">
        <f t="shared" si="347"/>
        <v>435.73778435104282</v>
      </c>
      <c r="AL214" s="2806">
        <f t="shared" si="347"/>
        <v>431.70373580739931</v>
      </c>
      <c r="AM214" s="2806">
        <f>AM506</f>
        <v>441.08671816475226</v>
      </c>
      <c r="AN214" s="2806">
        <f>AN506</f>
        <v>471.33224796765006</v>
      </c>
      <c r="AO214" s="90"/>
      <c r="AP214" s="1357"/>
      <c r="AQ214" s="1357"/>
      <c r="AR214" s="1357"/>
      <c r="AS214" s="1357"/>
      <c r="AT214" s="1562"/>
      <c r="AU214" s="1108"/>
      <c r="AV214" s="1108"/>
      <c r="AW214" s="1689"/>
      <c r="AX214" s="1108"/>
      <c r="AY214" s="1108"/>
      <c r="AZ214" s="1700"/>
      <c r="BA214" s="1108"/>
      <c r="BB214" s="1108"/>
      <c r="BC214" s="1108"/>
      <c r="BD214" s="1108"/>
      <c r="BE214" s="1108"/>
      <c r="BF214" s="1108"/>
      <c r="BG214" s="1108"/>
      <c r="BH214" s="1108"/>
      <c r="BI214" s="1700"/>
      <c r="BJ214" s="1700"/>
      <c r="BK214" s="1700"/>
      <c r="BL214" s="1700"/>
      <c r="BM214" s="1700"/>
      <c r="BN214" s="1700"/>
      <c r="BO214" s="1108"/>
      <c r="BP214" s="1700"/>
      <c r="BQ214" s="1700"/>
      <c r="BR214" s="1700"/>
      <c r="BS214" s="1700"/>
      <c r="BT214" s="1108"/>
      <c r="BU214" s="1108"/>
      <c r="BV214" s="1108"/>
      <c r="BW214" s="1108"/>
      <c r="BX214" s="1108"/>
      <c r="BY214" s="1108"/>
      <c r="BZ214" s="1108"/>
      <c r="CA214" s="1108"/>
      <c r="CB214" s="1108"/>
      <c r="CC214" s="1108"/>
      <c r="CD214" s="1108"/>
      <c r="CE214" s="1108"/>
      <c r="CF214" s="1108"/>
      <c r="CG214" s="1108"/>
      <c r="CH214" s="1108"/>
      <c r="CI214" s="1108"/>
      <c r="CJ214" s="1108"/>
      <c r="CK214" s="1108"/>
      <c r="CL214" s="1108"/>
      <c r="CM214" s="1108"/>
      <c r="CN214" s="1108"/>
      <c r="CO214" s="1108"/>
      <c r="CP214" s="1108"/>
      <c r="CQ214" s="1108"/>
      <c r="CR214" s="1108"/>
      <c r="CS214" s="1108"/>
      <c r="CT214" s="1470"/>
      <c r="CU214" s="1470"/>
      <c r="CV214" s="1470"/>
      <c r="CW214" s="1108"/>
      <c r="CX214" s="1108"/>
      <c r="CY214" s="1470"/>
      <c r="CZ214" s="1470"/>
      <c r="DA214" s="1470"/>
      <c r="DB214" s="1108"/>
      <c r="DC214" s="2862"/>
      <c r="DD214" s="1108"/>
      <c r="DE214" s="1108"/>
      <c r="DF214" s="1108"/>
      <c r="DG214" s="1108"/>
      <c r="DH214" s="1108"/>
      <c r="DI214" s="1108"/>
      <c r="DJ214" s="1108"/>
      <c r="DK214" s="1108"/>
      <c r="DL214" s="1108"/>
      <c r="DM214" s="1108"/>
      <c r="DN214" s="1108"/>
      <c r="DO214" s="1108"/>
      <c r="DP214" s="1108"/>
      <c r="DQ214" s="1108"/>
      <c r="DR214" s="1108"/>
    </row>
    <row r="215" spans="1:122">
      <c r="A215" s="2129" t="s">
        <v>1774</v>
      </c>
      <c r="B215" s="1437">
        <v>558.5</v>
      </c>
      <c r="C215" s="1437">
        <v>565.29999999999995</v>
      </c>
      <c r="D215" s="1437">
        <v>278.7</v>
      </c>
      <c r="E215" s="1437">
        <v>272.60000000000002</v>
      </c>
      <c r="F215" s="1357">
        <f t="shared" si="338"/>
        <v>0</v>
      </c>
      <c r="G215" s="1437">
        <v>0</v>
      </c>
      <c r="H215" s="1722"/>
      <c r="I215" s="1357">
        <f t="shared" si="339"/>
        <v>279.8</v>
      </c>
      <c r="J215" s="1437">
        <v>294.89999999999998</v>
      </c>
      <c r="K215" s="1437">
        <v>292.39999999999998</v>
      </c>
      <c r="L215" s="1437">
        <v>268.39999999999998</v>
      </c>
      <c r="M215" s="1437">
        <v>378.8</v>
      </c>
      <c r="N215" s="1437">
        <v>392</v>
      </c>
      <c r="O215" s="1369"/>
      <c r="P215" s="1357"/>
      <c r="Q215" s="1357"/>
      <c r="R215" s="1437">
        <v>461.5</v>
      </c>
      <c r="S215" s="1437">
        <v>291.5</v>
      </c>
      <c r="T215" s="1437">
        <v>253</v>
      </c>
      <c r="U215" s="1437">
        <v>292</v>
      </c>
      <c r="V215" s="1437">
        <v>232</v>
      </c>
      <c r="W215" s="1437">
        <v>206</v>
      </c>
      <c r="X215" s="1357"/>
      <c r="Y215" s="1357"/>
      <c r="Z215" s="1437">
        <v>294</v>
      </c>
      <c r="AA215" s="1437">
        <v>152</v>
      </c>
      <c r="AB215" s="2806"/>
      <c r="AC215" s="2806">
        <f>AC508</f>
        <v>143.25044946354356</v>
      </c>
      <c r="AD215" s="2806">
        <f t="shared" ref="AD215:AH215" si="348">AD508</f>
        <v>152.40476951429977</v>
      </c>
      <c r="AE215" s="2806">
        <f t="shared" si="348"/>
        <v>163.48889065706965</v>
      </c>
      <c r="AF215" s="2806">
        <f t="shared" si="348"/>
        <v>167.74291293604506</v>
      </c>
      <c r="AG215" s="2806">
        <f t="shared" si="348"/>
        <v>173.88928442469691</v>
      </c>
      <c r="AH215" s="2806">
        <f t="shared" si="348"/>
        <v>185.23271969610781</v>
      </c>
      <c r="AI215" s="2806">
        <f t="shared" ref="AI215:AN215" si="349">AI508</f>
        <v>184.15083456074646</v>
      </c>
      <c r="AJ215" s="2806">
        <f t="shared" si="349"/>
        <v>189.72827888777067</v>
      </c>
      <c r="AK215" s="2806">
        <f t="shared" si="349"/>
        <v>199.89668187353493</v>
      </c>
      <c r="AL215" s="2806">
        <f t="shared" si="349"/>
        <v>198.15998653494339</v>
      </c>
      <c r="AM215" s="2806">
        <f t="shared" si="349"/>
        <v>202.21582142834441</v>
      </c>
      <c r="AN215" s="2806">
        <f t="shared" si="349"/>
        <v>215.34297928726633</v>
      </c>
      <c r="AO215" s="90"/>
      <c r="AP215" s="1357"/>
      <c r="AQ215" s="1357"/>
      <c r="AR215" s="1357"/>
      <c r="AS215" s="1357"/>
      <c r="AT215" s="1562"/>
      <c r="AU215" s="1108"/>
      <c r="AV215" s="1108"/>
      <c r="AW215" s="1689"/>
      <c r="AX215" s="1108"/>
      <c r="AY215" s="1108"/>
      <c r="AZ215" s="1700"/>
      <c r="BA215" s="1108"/>
      <c r="BB215" s="1729"/>
      <c r="BC215" s="1729"/>
      <c r="BD215" s="1108"/>
      <c r="BE215" s="1108"/>
      <c r="BF215" s="1108"/>
      <c r="BG215" s="1108"/>
      <c r="BH215" s="1108"/>
      <c r="BI215" s="1700"/>
      <c r="BJ215" s="1700"/>
      <c r="BK215" s="1700"/>
      <c r="BL215" s="1700"/>
      <c r="BM215" s="1700"/>
      <c r="BN215" s="1700"/>
      <c r="BO215" s="1108"/>
      <c r="BP215" s="1700"/>
      <c r="BQ215" s="1700"/>
      <c r="BR215" s="1700"/>
      <c r="BS215" s="1700"/>
      <c r="BT215" s="1108"/>
      <c r="BU215" s="1108"/>
      <c r="BV215" s="1108"/>
      <c r="BW215" s="1108"/>
      <c r="BX215" s="1108"/>
      <c r="BY215" s="1108"/>
      <c r="BZ215" s="1108"/>
      <c r="CA215" s="1108"/>
      <c r="CB215" s="1108"/>
      <c r="CC215" s="1108"/>
      <c r="CD215" s="1108"/>
      <c r="CE215" s="1108"/>
      <c r="CF215" s="1108"/>
      <c r="CG215" s="1108"/>
      <c r="CH215" s="1108"/>
      <c r="CI215" s="1108"/>
      <c r="CJ215" s="1108"/>
      <c r="CK215" s="1108"/>
      <c r="CL215" s="1108"/>
      <c r="CM215" s="1108"/>
      <c r="CN215" s="1108"/>
      <c r="CO215" s="1108"/>
      <c r="CP215" s="1108"/>
      <c r="CQ215" s="1108"/>
      <c r="CR215" s="1108"/>
      <c r="CS215" s="1108"/>
      <c r="CT215" s="1470"/>
      <c r="CU215" s="1470"/>
      <c r="CV215" s="1470"/>
      <c r="CW215" s="1108"/>
      <c r="CX215" s="1108"/>
      <c r="CY215" s="1470"/>
      <c r="CZ215" s="1470"/>
      <c r="DA215" s="1470"/>
      <c r="DB215" s="1108"/>
      <c r="DC215" s="2862"/>
      <c r="DD215" s="1108"/>
      <c r="DE215" s="1108"/>
      <c r="DF215" s="1108"/>
      <c r="DG215" s="1108"/>
      <c r="DH215" s="1108"/>
      <c r="DI215" s="1108"/>
      <c r="DJ215" s="1108"/>
      <c r="DK215" s="1108"/>
      <c r="DL215" s="1108"/>
      <c r="DM215" s="1108"/>
      <c r="DN215" s="1108"/>
      <c r="DO215" s="1108"/>
      <c r="DP215" s="1108"/>
      <c r="DQ215" s="1108"/>
      <c r="DR215" s="1108"/>
    </row>
    <row r="216" spans="1:122">
      <c r="A216" s="1709" t="s">
        <v>101</v>
      </c>
      <c r="B216" s="1437">
        <v>262.60000000000002</v>
      </c>
      <c r="C216" s="1437">
        <v>172.9</v>
      </c>
      <c r="D216" s="1437">
        <v>0</v>
      </c>
      <c r="E216" s="1437">
        <v>0</v>
      </c>
      <c r="F216" s="1357">
        <f>G216</f>
        <v>0</v>
      </c>
      <c r="G216" s="1437">
        <v>0</v>
      </c>
      <c r="H216" s="1722"/>
      <c r="I216" s="1357">
        <f>B216-D216+F216</f>
        <v>262.60000000000002</v>
      </c>
      <c r="J216" s="1437">
        <v>172.9</v>
      </c>
      <c r="K216" s="1437">
        <v>84.2</v>
      </c>
      <c r="L216" s="1437">
        <v>3.3</v>
      </c>
      <c r="M216" s="1437">
        <v>39.6</v>
      </c>
      <c r="N216" s="1437">
        <v>42.9</v>
      </c>
      <c r="O216" s="1369"/>
      <c r="P216" s="1357"/>
      <c r="Q216" s="1357"/>
      <c r="R216" s="1437">
        <v>4</v>
      </c>
      <c r="S216" s="1437">
        <v>0</v>
      </c>
      <c r="T216" s="1437">
        <f t="shared" ref="T216:AF216" si="350">S216</f>
        <v>0</v>
      </c>
      <c r="U216" s="1357">
        <f t="shared" si="350"/>
        <v>0</v>
      </c>
      <c r="V216" s="1357">
        <f t="shared" si="350"/>
        <v>0</v>
      </c>
      <c r="W216" s="1357">
        <f t="shared" si="350"/>
        <v>0</v>
      </c>
      <c r="X216" s="1357"/>
      <c r="Y216" s="1357"/>
      <c r="Z216" s="1437">
        <v>0</v>
      </c>
      <c r="AA216" s="1437">
        <v>0</v>
      </c>
      <c r="AB216" s="2806"/>
      <c r="AC216" s="2806">
        <f>AA216</f>
        <v>0</v>
      </c>
      <c r="AD216" s="2806">
        <f>AC216</f>
        <v>0</v>
      </c>
      <c r="AE216" s="2806">
        <f t="shared" si="350"/>
        <v>0</v>
      </c>
      <c r="AF216" s="2806">
        <f t="shared" si="350"/>
        <v>0</v>
      </c>
      <c r="AG216" s="2806">
        <f t="shared" ref="AG216:AN216" si="351">AF216</f>
        <v>0</v>
      </c>
      <c r="AH216" s="2806">
        <f t="shared" si="351"/>
        <v>0</v>
      </c>
      <c r="AI216" s="2806">
        <f t="shared" si="351"/>
        <v>0</v>
      </c>
      <c r="AJ216" s="2806">
        <f t="shared" si="351"/>
        <v>0</v>
      </c>
      <c r="AK216" s="2806">
        <f t="shared" si="351"/>
        <v>0</v>
      </c>
      <c r="AL216" s="2806">
        <f t="shared" si="351"/>
        <v>0</v>
      </c>
      <c r="AM216" s="2806">
        <f t="shared" si="351"/>
        <v>0</v>
      </c>
      <c r="AN216" s="2806">
        <f t="shared" si="351"/>
        <v>0</v>
      </c>
      <c r="AO216" s="90"/>
      <c r="AP216" s="1357"/>
      <c r="AQ216" s="1357"/>
      <c r="AR216" s="1357"/>
      <c r="AS216" s="1357"/>
      <c r="AT216" s="1562"/>
      <c r="AU216" s="1108"/>
      <c r="AV216" s="1108"/>
      <c r="AW216" s="1689"/>
      <c r="AX216" s="1108"/>
      <c r="AY216" s="1108"/>
      <c r="AZ216" s="1700"/>
      <c r="BA216" s="1108"/>
      <c r="BB216" s="1108"/>
      <c r="BC216" s="1108"/>
      <c r="BD216" s="1108"/>
      <c r="BE216" s="1108"/>
      <c r="BF216" s="1108"/>
      <c r="BG216" s="1108"/>
      <c r="BH216" s="1108"/>
      <c r="BI216" s="1700"/>
      <c r="BJ216" s="1700"/>
      <c r="BK216" s="1700"/>
      <c r="BL216" s="1700"/>
      <c r="BM216" s="1700"/>
      <c r="BN216" s="1700"/>
      <c r="BO216" s="1108"/>
      <c r="BP216" s="1700"/>
      <c r="BQ216" s="1700"/>
      <c r="BR216" s="1700"/>
      <c r="BS216" s="1700"/>
      <c r="BT216" s="1108"/>
      <c r="BU216" s="1108"/>
      <c r="BV216" s="1108"/>
      <c r="BW216" s="1108"/>
      <c r="BX216" s="1108"/>
      <c r="BY216" s="1108"/>
      <c r="BZ216" s="1108"/>
      <c r="CA216" s="1108"/>
      <c r="CB216" s="1108"/>
      <c r="CC216" s="1108"/>
      <c r="CD216" s="1108"/>
      <c r="CE216" s="1108"/>
      <c r="CF216" s="1108"/>
      <c r="CG216" s="1108"/>
      <c r="CH216" s="1108"/>
      <c r="CI216" s="1108"/>
      <c r="CJ216" s="1108"/>
      <c r="CK216" s="1108"/>
      <c r="CL216" s="1108"/>
      <c r="CM216" s="1108"/>
      <c r="CN216" s="1108"/>
      <c r="CO216" s="1108"/>
      <c r="CP216" s="1108"/>
      <c r="CQ216" s="1108"/>
      <c r="CR216" s="1108"/>
      <c r="CS216" s="1108"/>
      <c r="CT216" s="1470"/>
      <c r="CU216" s="1470"/>
      <c r="CV216" s="1470"/>
      <c r="CW216" s="1108"/>
      <c r="CX216" s="1108"/>
      <c r="CY216" s="1470"/>
      <c r="CZ216" s="1470"/>
      <c r="DA216" s="1470"/>
      <c r="DB216" s="1108"/>
      <c r="DC216" s="2862"/>
      <c r="DD216" s="1108"/>
      <c r="DE216" s="1108"/>
      <c r="DF216" s="1108"/>
      <c r="DG216" s="1108"/>
      <c r="DH216" s="1108"/>
      <c r="DI216" s="1108"/>
      <c r="DJ216" s="1108"/>
      <c r="DK216" s="1108"/>
      <c r="DL216" s="1108"/>
      <c r="DM216" s="1108"/>
      <c r="DN216" s="1108"/>
      <c r="DO216" s="1108"/>
      <c r="DP216" s="1108"/>
      <c r="DQ216" s="1108"/>
      <c r="DR216" s="1108"/>
    </row>
    <row r="217" spans="1:122">
      <c r="A217" s="1709" t="s">
        <v>797</v>
      </c>
      <c r="B217" s="1437">
        <f>822.8</f>
        <v>822.8</v>
      </c>
      <c r="C217" s="1437">
        <f>1123.2</f>
        <v>1123.2</v>
      </c>
      <c r="D217" s="1437">
        <f>311-D216</f>
        <v>311</v>
      </c>
      <c r="E217" s="1437">
        <f>325.2-E216</f>
        <v>325.2</v>
      </c>
      <c r="F217" s="1357">
        <f t="shared" si="338"/>
        <v>0</v>
      </c>
      <c r="G217" s="1437">
        <v>0</v>
      </c>
      <c r="H217" s="1722"/>
      <c r="I217" s="1357">
        <f t="shared" si="339"/>
        <v>511.79999999999995</v>
      </c>
      <c r="J217" s="1437">
        <v>798</v>
      </c>
      <c r="K217" s="1437">
        <v>740.7</v>
      </c>
      <c r="L217" s="1437">
        <f>776.4</f>
        <v>776.4</v>
      </c>
      <c r="M217" s="1437">
        <v>818.8</v>
      </c>
      <c r="N217" s="1437">
        <v>899.8</v>
      </c>
      <c r="O217" s="1369"/>
      <c r="P217" s="1357"/>
      <c r="Q217" s="1357"/>
      <c r="R217" s="1437">
        <f>(4746.5-R221-R211-R212-R215-R216-R210-R213-R214-R218)</f>
        <v>702.48999999999967</v>
      </c>
      <c r="S217" s="1437">
        <v>685.7</v>
      </c>
      <c r="T217" s="1437">
        <f>2074-T215-T212-T211-T218</f>
        <v>748</v>
      </c>
      <c r="U217" s="1437">
        <f>2129-U215-U212-U211</f>
        <v>827</v>
      </c>
      <c r="V217" s="1437">
        <f>1934-V215-V212-V211</f>
        <v>645</v>
      </c>
      <c r="W217" s="1437">
        <f>1666-W215-W212-W211</f>
        <v>522</v>
      </c>
      <c r="X217" s="1357"/>
      <c r="Y217" s="1357"/>
      <c r="Z217" s="1437">
        <f>222+490</f>
        <v>712</v>
      </c>
      <c r="AA217" s="1437">
        <f>450+23+465</f>
        <v>938</v>
      </c>
      <c r="AB217" s="2806"/>
      <c r="AC217" s="2806">
        <f>AC510</f>
        <v>884.00606313686751</v>
      </c>
      <c r="AD217" s="2806">
        <f t="shared" ref="AD217:AH217" si="352">AD510</f>
        <v>940.49785397640244</v>
      </c>
      <c r="AE217" s="2806">
        <f t="shared" si="352"/>
        <v>1008.8985489232325</v>
      </c>
      <c r="AF217" s="2806">
        <f t="shared" si="352"/>
        <v>1035.1503443026993</v>
      </c>
      <c r="AG217" s="2806">
        <f t="shared" si="352"/>
        <v>1073.079926252406</v>
      </c>
      <c r="AH217" s="2806">
        <f t="shared" si="352"/>
        <v>1143.0808623351916</v>
      </c>
      <c r="AI217" s="2806">
        <f t="shared" ref="AI217:AN217" si="353">AI510</f>
        <v>1136.4044922235537</v>
      </c>
      <c r="AJ217" s="2806">
        <f t="shared" si="353"/>
        <v>1170.8231947153217</v>
      </c>
      <c r="AK217" s="2806">
        <f t="shared" si="353"/>
        <v>1233.5729447195772</v>
      </c>
      <c r="AL217" s="2806">
        <f t="shared" si="353"/>
        <v>1222.8557063801111</v>
      </c>
      <c r="AM217" s="2806">
        <f t="shared" si="353"/>
        <v>1247.8844769722832</v>
      </c>
      <c r="AN217" s="2806">
        <f t="shared" si="353"/>
        <v>1328.8928590227356</v>
      </c>
      <c r="AO217" s="90"/>
      <c r="AP217" s="1357"/>
      <c r="AQ217" s="1357"/>
      <c r="AR217" s="1357"/>
      <c r="AS217" s="1357"/>
      <c r="AT217" s="1562"/>
      <c r="AU217" s="1108"/>
      <c r="AV217" s="1108"/>
      <c r="AW217" s="1689"/>
      <c r="AX217" s="1108"/>
      <c r="AY217" s="1108"/>
      <c r="AZ217" s="1700"/>
      <c r="BA217" s="1108"/>
      <c r="BB217" s="1729"/>
      <c r="BC217" s="1729"/>
      <c r="BD217" s="1108"/>
      <c r="BE217" s="1108"/>
      <c r="BF217" s="1108"/>
      <c r="BG217" s="1108"/>
      <c r="BH217" s="1108"/>
      <c r="BI217" s="1700"/>
      <c r="BJ217" s="1700"/>
      <c r="BK217" s="1700"/>
      <c r="BL217" s="1700"/>
      <c r="BM217" s="1700"/>
      <c r="BN217" s="1700"/>
      <c r="BO217" s="1108"/>
      <c r="BP217" s="1700"/>
      <c r="BQ217" s="1700"/>
      <c r="BR217" s="1700"/>
      <c r="BS217" s="1700"/>
      <c r="BT217" s="1108"/>
      <c r="BU217" s="1108"/>
      <c r="BV217" s="1108"/>
      <c r="BW217" s="1108"/>
      <c r="BX217" s="1108"/>
      <c r="BY217" s="1108"/>
      <c r="BZ217" s="1108"/>
      <c r="CA217" s="1108"/>
      <c r="CB217" s="1108"/>
      <c r="CC217" s="1108"/>
      <c r="CD217" s="1108"/>
      <c r="CE217" s="1108"/>
      <c r="CF217" s="1108"/>
      <c r="CG217" s="1108"/>
      <c r="CH217" s="1108"/>
      <c r="CI217" s="1108"/>
      <c r="CJ217" s="1108"/>
      <c r="CK217" s="1108"/>
      <c r="CL217" s="1108"/>
      <c r="CM217" s="1108"/>
      <c r="CN217" s="1108"/>
      <c r="CO217" s="1108"/>
      <c r="CP217" s="1108"/>
      <c r="CQ217" s="1108"/>
      <c r="CR217" s="1108"/>
      <c r="CS217" s="1108"/>
      <c r="CT217" s="1470"/>
      <c r="CU217" s="1470"/>
      <c r="CV217" s="1470"/>
      <c r="CW217" s="1108"/>
      <c r="CX217" s="1108"/>
      <c r="CY217" s="1470"/>
      <c r="CZ217" s="1470"/>
      <c r="DA217" s="1470"/>
      <c r="DB217" s="1108"/>
      <c r="DC217" s="2862"/>
      <c r="DD217" s="1108"/>
      <c r="DE217" s="1108"/>
      <c r="DF217" s="1108"/>
      <c r="DG217" s="1108"/>
      <c r="DH217" s="1108"/>
      <c r="DI217" s="1108"/>
      <c r="DJ217" s="1108"/>
      <c r="DK217" s="1108"/>
      <c r="DL217" s="1108"/>
      <c r="DM217" s="1108"/>
      <c r="DN217" s="1108"/>
      <c r="DO217" s="1108"/>
      <c r="DP217" s="1108"/>
      <c r="DQ217" s="1108"/>
      <c r="DR217" s="1108"/>
    </row>
    <row r="218" spans="1:122">
      <c r="A218" s="2129" t="s">
        <v>898</v>
      </c>
      <c r="B218" s="1695">
        <v>1367.6</v>
      </c>
      <c r="C218" s="1695">
        <v>164.9</v>
      </c>
      <c r="D218" s="1695">
        <v>1342.1</v>
      </c>
      <c r="E218" s="1695">
        <v>62.9</v>
      </c>
      <c r="F218" s="1357">
        <f t="shared" si="338"/>
        <v>0</v>
      </c>
      <c r="G218" s="1695">
        <v>0</v>
      </c>
      <c r="H218" s="1722"/>
      <c r="I218" s="1725">
        <f>B218-D218+F218+293.1</f>
        <v>318.60000000000002</v>
      </c>
      <c r="J218" s="1464">
        <v>2685.1</v>
      </c>
      <c r="K218" s="1464">
        <v>90.5</v>
      </c>
      <c r="L218" s="1464">
        <v>18.7</v>
      </c>
      <c r="M218" s="1464">
        <v>17.100000000000001</v>
      </c>
      <c r="N218" s="1464">
        <v>17.3</v>
      </c>
      <c r="O218" s="1369"/>
      <c r="P218" s="1464"/>
      <c r="Q218" s="1464"/>
      <c r="R218" s="1464">
        <f>+N218*0.7</f>
        <v>12.11</v>
      </c>
      <c r="S218" s="1464">
        <v>17.3</v>
      </c>
      <c r="T218" s="1464">
        <f>12+24</f>
        <v>36</v>
      </c>
      <c r="U218" s="1464">
        <v>0</v>
      </c>
      <c r="V218" s="1464">
        <v>0</v>
      </c>
      <c r="W218" s="1464">
        <v>26</v>
      </c>
      <c r="X218" s="1464"/>
      <c r="Y218" s="1464"/>
      <c r="Z218" s="1464">
        <f>143</f>
        <v>143</v>
      </c>
      <c r="AA218" s="2883">
        <v>155</v>
      </c>
      <c r="AB218" s="2883"/>
      <c r="AC218" s="2883">
        <v>0</v>
      </c>
      <c r="AD218" s="2883">
        <f>AC218</f>
        <v>0</v>
      </c>
      <c r="AE218" s="2883">
        <f t="shared" ref="AE218:AN218" si="354">AD218</f>
        <v>0</v>
      </c>
      <c r="AF218" s="2883">
        <f t="shared" si="354"/>
        <v>0</v>
      </c>
      <c r="AG218" s="2883">
        <f t="shared" si="354"/>
        <v>0</v>
      </c>
      <c r="AH218" s="2883">
        <f t="shared" si="354"/>
        <v>0</v>
      </c>
      <c r="AI218" s="2883">
        <f t="shared" si="354"/>
        <v>0</v>
      </c>
      <c r="AJ218" s="2883">
        <f t="shared" si="354"/>
        <v>0</v>
      </c>
      <c r="AK218" s="2883">
        <f t="shared" si="354"/>
        <v>0</v>
      </c>
      <c r="AL218" s="2883">
        <f t="shared" si="354"/>
        <v>0</v>
      </c>
      <c r="AM218" s="2883">
        <f t="shared" si="354"/>
        <v>0</v>
      </c>
      <c r="AN218" s="2883">
        <f t="shared" si="354"/>
        <v>0</v>
      </c>
      <c r="AO218" s="90"/>
      <c r="AP218" s="1726"/>
      <c r="AQ218" s="1726"/>
      <c r="AR218" s="1726"/>
      <c r="AS218" s="1726"/>
      <c r="AT218" s="1562"/>
      <c r="AU218" s="1108"/>
      <c r="AV218" s="1716"/>
      <c r="AW218" s="1689"/>
      <c r="AX218" s="1108"/>
      <c r="AY218" s="1108"/>
      <c r="AZ218" s="1700"/>
      <c r="BA218" s="1108"/>
      <c r="BB218" s="1108"/>
      <c r="BC218" s="1108"/>
      <c r="BD218" s="1108"/>
      <c r="BE218" s="1108"/>
      <c r="BF218" s="1108"/>
      <c r="BG218" s="1108"/>
      <c r="BH218" s="1108"/>
      <c r="BI218" s="1700"/>
      <c r="BJ218" s="1700"/>
      <c r="BK218" s="1700"/>
      <c r="BL218" s="1700"/>
      <c r="BM218" s="1700"/>
      <c r="BN218" s="1700"/>
      <c r="BO218" s="1108"/>
      <c r="BP218" s="1700"/>
      <c r="BQ218" s="1700"/>
      <c r="BR218" s="1700"/>
      <c r="BS218" s="1700"/>
      <c r="BT218" s="1108"/>
      <c r="BU218" s="1108"/>
      <c r="BV218" s="1108"/>
      <c r="BW218" s="1108"/>
      <c r="BX218" s="1108"/>
      <c r="BY218" s="1108"/>
      <c r="BZ218" s="1108"/>
      <c r="CA218" s="1108"/>
      <c r="CB218" s="1108"/>
      <c r="CC218" s="1108"/>
      <c r="CD218" s="1108"/>
      <c r="CE218" s="1108"/>
      <c r="CF218" s="1108"/>
      <c r="CG218" s="1108"/>
      <c r="CH218" s="1108"/>
      <c r="CI218" s="1108"/>
      <c r="CJ218" s="1108"/>
      <c r="CK218" s="1108"/>
      <c r="CL218" s="1108"/>
      <c r="CM218" s="1108"/>
      <c r="CN218" s="1108"/>
      <c r="CO218" s="1108"/>
      <c r="CP218" s="1108"/>
      <c r="CQ218" s="1108"/>
      <c r="CR218" s="1108"/>
      <c r="CS218" s="1108"/>
      <c r="CT218" s="1470"/>
      <c r="CU218" s="1470"/>
      <c r="CV218" s="1470"/>
      <c r="CW218" s="1108"/>
      <c r="CX218" s="1108"/>
      <c r="CY218" s="1470"/>
      <c r="CZ218" s="1470"/>
      <c r="DA218" s="1470"/>
      <c r="DB218" s="1108"/>
      <c r="DC218" s="2862"/>
      <c r="DD218" s="1108"/>
      <c r="DE218" s="1108"/>
      <c r="DF218" s="1108"/>
      <c r="DG218" s="1108"/>
      <c r="DH218" s="1108"/>
      <c r="DI218" s="1108"/>
      <c r="DJ218" s="1108"/>
      <c r="DK218" s="1108"/>
      <c r="DL218" s="1108"/>
      <c r="DM218" s="1108"/>
      <c r="DN218" s="1108"/>
      <c r="DO218" s="1108"/>
      <c r="DP218" s="1108"/>
      <c r="DQ218" s="1108"/>
      <c r="DR218" s="1108"/>
    </row>
    <row r="219" spans="1:122">
      <c r="A219" s="2333" t="s">
        <v>939</v>
      </c>
      <c r="B219" s="1357">
        <f t="shared" ref="B219:G219" si="355">SUM(B210:B218)</f>
        <v>7544.6</v>
      </c>
      <c r="C219" s="1357">
        <f t="shared" si="355"/>
        <v>6813.9999999999991</v>
      </c>
      <c r="D219" s="1357">
        <f t="shared" si="355"/>
        <v>3727.3999999999996</v>
      </c>
      <c r="E219" s="1357">
        <f t="shared" si="355"/>
        <v>2732.2</v>
      </c>
      <c r="F219" s="1357">
        <f t="shared" si="355"/>
        <v>305.8</v>
      </c>
      <c r="G219" s="1357">
        <f t="shared" si="355"/>
        <v>305.8</v>
      </c>
      <c r="H219" s="1687"/>
      <c r="I219" s="1654">
        <f t="shared" ref="I219:N219" si="356">SUM(I210:I218)</f>
        <v>4416.1000000000004</v>
      </c>
      <c r="J219" s="1654">
        <f t="shared" si="356"/>
        <v>6867.4</v>
      </c>
      <c r="K219" s="1654">
        <f t="shared" si="356"/>
        <v>4631.5</v>
      </c>
      <c r="L219" s="1654">
        <f t="shared" si="356"/>
        <v>4384.5</v>
      </c>
      <c r="M219" s="1654">
        <f t="shared" si="356"/>
        <v>4385.5</v>
      </c>
      <c r="N219" s="1654">
        <f t="shared" si="356"/>
        <v>4779.6000000000004</v>
      </c>
      <c r="O219" s="1369"/>
      <c r="P219" s="1654"/>
      <c r="Q219" s="1654"/>
      <c r="R219" s="1654">
        <f t="shared" ref="R219:AH219" si="357">SUM(R210:R218)</f>
        <v>4302.8999999999996</v>
      </c>
      <c r="S219" s="1654">
        <f t="shared" si="357"/>
        <v>3998.2000000000007</v>
      </c>
      <c r="T219" s="1654">
        <f t="shared" si="357"/>
        <v>3913</v>
      </c>
      <c r="U219" s="1654">
        <f t="shared" si="357"/>
        <v>3923</v>
      </c>
      <c r="V219" s="1654">
        <f t="shared" si="357"/>
        <v>3711</v>
      </c>
      <c r="W219" s="1654">
        <f>SUM(W210:W218)</f>
        <v>3397</v>
      </c>
      <c r="X219" s="1654"/>
      <c r="Y219" s="1654"/>
      <c r="Z219" s="1654">
        <f t="shared" si="357"/>
        <v>3560</v>
      </c>
      <c r="AA219" s="2801">
        <f t="shared" si="357"/>
        <v>3708</v>
      </c>
      <c r="AB219" s="2801"/>
      <c r="AC219" s="2801">
        <f>SUM(AC210:AC218)</f>
        <v>3343.0216844913184</v>
      </c>
      <c r="AD219" s="2801">
        <f t="shared" si="357"/>
        <v>3551.5092549425158</v>
      </c>
      <c r="AE219" s="2801">
        <f t="shared" si="357"/>
        <v>3804.7976285655668</v>
      </c>
      <c r="AF219" s="2801">
        <f t="shared" si="357"/>
        <v>3907.227977436758</v>
      </c>
      <c r="AG219" s="2801">
        <f t="shared" si="357"/>
        <v>4055.495223219546</v>
      </c>
      <c r="AH219" s="2801">
        <f t="shared" si="357"/>
        <v>4314.841868541841</v>
      </c>
      <c r="AI219" s="2801">
        <f t="shared" ref="AI219:AN219" si="358">SUM(AI210:AI218)</f>
        <v>4307.4350358797174</v>
      </c>
      <c r="AJ219" s="2801">
        <f t="shared" si="358"/>
        <v>4442.6028310692636</v>
      </c>
      <c r="AK219" s="2801">
        <f t="shared" si="358"/>
        <v>4681.8585868064674</v>
      </c>
      <c r="AL219" s="2801">
        <f t="shared" si="358"/>
        <v>4658.8071686522062</v>
      </c>
      <c r="AM219" s="2801">
        <f t="shared" si="358"/>
        <v>4764.5522154770415</v>
      </c>
      <c r="AN219" s="2801">
        <f t="shared" si="358"/>
        <v>5067.1518202431598</v>
      </c>
      <c r="AO219" s="90"/>
      <c r="AP219" s="1654"/>
      <c r="AQ219" s="1654"/>
      <c r="AR219" s="1654"/>
      <c r="AS219" s="1654"/>
      <c r="AT219" s="1562"/>
      <c r="AU219" s="1108"/>
      <c r="AV219" s="1108"/>
      <c r="AW219" s="1689"/>
      <c r="AX219" s="1108"/>
      <c r="AY219" s="1108"/>
      <c r="AZ219" s="1700"/>
      <c r="BA219" s="1108"/>
      <c r="BB219" s="1108"/>
      <c r="BC219" s="1110"/>
      <c r="BD219" s="1108"/>
      <c r="BE219" s="1108"/>
      <c r="BF219" s="1108"/>
      <c r="BG219" s="1108"/>
      <c r="BH219" s="1108"/>
      <c r="BI219" s="1700"/>
      <c r="BJ219" s="1700"/>
      <c r="BK219" s="1700"/>
      <c r="BL219" s="1700"/>
      <c r="BM219" s="1700"/>
      <c r="BN219" s="1700"/>
      <c r="BO219" s="1108"/>
      <c r="BP219" s="1700"/>
      <c r="BQ219" s="1700"/>
      <c r="BR219" s="1700"/>
      <c r="BS219" s="1700"/>
      <c r="BT219" s="1108"/>
      <c r="BU219" s="1108"/>
      <c r="BV219" s="1108"/>
      <c r="BW219" s="1108"/>
      <c r="BX219" s="1108"/>
      <c r="BY219" s="1108"/>
      <c r="BZ219" s="1108"/>
      <c r="CA219" s="1108"/>
      <c r="CB219" s="1108"/>
      <c r="CC219" s="1108"/>
      <c r="CD219" s="1108"/>
      <c r="CE219" s="1108"/>
      <c r="CF219" s="1108"/>
      <c r="CG219" s="1108"/>
      <c r="CH219" s="1108"/>
      <c r="CI219" s="1108"/>
      <c r="CJ219" s="1108"/>
      <c r="CK219" s="1108"/>
      <c r="CL219" s="1108"/>
      <c r="CM219" s="1108"/>
      <c r="CN219" s="1108"/>
      <c r="CO219" s="1108"/>
      <c r="CP219" s="1108"/>
      <c r="CQ219" s="1108"/>
      <c r="CR219" s="1108"/>
      <c r="CS219" s="1108"/>
      <c r="CT219" s="1470"/>
      <c r="CU219" s="1470"/>
      <c r="CV219" s="1470"/>
      <c r="CW219" s="1108"/>
      <c r="CX219" s="1108"/>
      <c r="CY219" s="1470"/>
      <c r="CZ219" s="1470"/>
      <c r="DA219" s="1470"/>
      <c r="DB219" s="1108"/>
      <c r="DC219" s="2862"/>
      <c r="DD219" s="1108"/>
      <c r="DE219" s="1108"/>
      <c r="DF219" s="1108"/>
      <c r="DG219" s="1108"/>
      <c r="DH219" s="1108"/>
      <c r="DI219" s="1108"/>
      <c r="DJ219" s="1108"/>
      <c r="DK219" s="1108"/>
      <c r="DL219" s="1108"/>
      <c r="DM219" s="1108"/>
      <c r="DN219" s="1108"/>
      <c r="DO219" s="1108"/>
      <c r="DP219" s="1108"/>
      <c r="DQ219" s="1108"/>
      <c r="DR219" s="1108"/>
    </row>
    <row r="220" spans="1:122">
      <c r="A220" s="1686"/>
      <c r="B220" s="1357"/>
      <c r="C220" s="1357"/>
      <c r="D220" s="1357"/>
      <c r="E220" s="1357"/>
      <c r="F220" s="1357"/>
      <c r="G220" s="1357"/>
      <c r="H220" s="1687"/>
      <c r="I220" s="1357"/>
      <c r="J220" s="1689"/>
      <c r="K220" s="1357"/>
      <c r="L220" s="1357"/>
      <c r="M220" s="1687"/>
      <c r="N220" s="1687"/>
      <c r="O220" s="1369"/>
      <c r="P220" s="1687"/>
      <c r="Q220" s="1687"/>
      <c r="R220" s="1687"/>
      <c r="S220" s="1687"/>
      <c r="T220" s="1687"/>
      <c r="U220" s="1687"/>
      <c r="V220" s="1687"/>
      <c r="W220" s="1687"/>
      <c r="X220" s="1687"/>
      <c r="Y220" s="1687"/>
      <c r="Z220" s="1687"/>
      <c r="AA220" s="2882"/>
      <c r="AB220" s="2882"/>
      <c r="AC220" s="2882"/>
      <c r="AD220" s="2882"/>
      <c r="AE220" s="2882"/>
      <c r="AF220" s="2882"/>
      <c r="AG220" s="2882"/>
      <c r="AH220" s="2882"/>
      <c r="AI220" s="2882"/>
      <c r="AJ220" s="2882"/>
      <c r="AK220" s="2882"/>
      <c r="AL220" s="2882"/>
      <c r="AM220" s="2882"/>
      <c r="AN220" s="2882"/>
      <c r="AO220" s="90"/>
      <c r="AP220" s="1687"/>
      <c r="AQ220" s="1687"/>
      <c r="AR220" s="1687"/>
      <c r="AS220" s="1687"/>
      <c r="AT220" s="1562"/>
      <c r="AU220" s="1108"/>
      <c r="AV220" s="1108"/>
      <c r="AW220" s="1689"/>
      <c r="AX220" s="1108"/>
      <c r="AY220" s="1108"/>
      <c r="AZ220" s="1700"/>
      <c r="BA220" s="1108"/>
      <c r="BB220" s="1108"/>
      <c r="BC220" s="1108"/>
      <c r="BD220" s="1108"/>
      <c r="BE220" s="1108"/>
      <c r="BF220" s="1108"/>
      <c r="BG220" s="1108"/>
      <c r="BH220" s="1108"/>
      <c r="BI220" s="1700"/>
      <c r="BJ220" s="1700"/>
      <c r="BK220" s="1700"/>
      <c r="BL220" s="1700"/>
      <c r="BM220" s="1700"/>
      <c r="BN220" s="1700"/>
      <c r="BO220" s="1108"/>
      <c r="BP220" s="1700"/>
      <c r="BQ220" s="1700"/>
      <c r="BR220" s="1700"/>
      <c r="BS220" s="1700"/>
      <c r="BT220" s="1108"/>
      <c r="BU220" s="1108"/>
      <c r="BV220" s="1108"/>
      <c r="BW220" s="1108"/>
      <c r="BX220" s="1108"/>
      <c r="BY220" s="1108"/>
      <c r="BZ220" s="1108"/>
      <c r="CA220" s="1108"/>
      <c r="CB220" s="1108"/>
      <c r="CC220" s="1108"/>
      <c r="CD220" s="1108"/>
      <c r="CE220" s="1108"/>
      <c r="CF220" s="1108"/>
      <c r="CG220" s="1108"/>
      <c r="CH220" s="1108"/>
      <c r="CI220" s="1108"/>
      <c r="CJ220" s="1108"/>
      <c r="CK220" s="1108"/>
      <c r="CL220" s="1108"/>
      <c r="CM220" s="1108"/>
      <c r="CN220" s="1108"/>
      <c r="CO220" s="1108"/>
      <c r="CP220" s="1108"/>
      <c r="CQ220" s="1108"/>
      <c r="CR220" s="1108"/>
      <c r="CS220" s="1108"/>
      <c r="CT220" s="1470"/>
      <c r="CU220" s="1470"/>
      <c r="CV220" s="1470"/>
      <c r="CW220" s="1108"/>
      <c r="CX220" s="1108"/>
      <c r="CY220" s="1470"/>
      <c r="CZ220" s="1470"/>
      <c r="DA220" s="1470"/>
      <c r="DB220" s="1108"/>
      <c r="DC220" s="2862"/>
      <c r="DD220" s="1108"/>
      <c r="DE220" s="1108"/>
      <c r="DF220" s="1108"/>
      <c r="DG220" s="1108"/>
      <c r="DH220" s="1108"/>
      <c r="DI220" s="1108"/>
      <c r="DJ220" s="1108"/>
      <c r="DK220" s="1108"/>
      <c r="DL220" s="1108"/>
      <c r="DM220" s="1108"/>
      <c r="DN220" s="1108"/>
      <c r="DO220" s="1108"/>
      <c r="DP220" s="1108"/>
      <c r="DQ220" s="1108"/>
      <c r="DR220" s="1108"/>
    </row>
    <row r="221" spans="1:122">
      <c r="A221" s="1709" t="s">
        <v>1036</v>
      </c>
      <c r="B221" s="1437">
        <v>50.1</v>
      </c>
      <c r="C221" s="1437">
        <v>65.5</v>
      </c>
      <c r="D221" s="1437">
        <v>38.799999999999997</v>
      </c>
      <c r="E221" s="1437">
        <v>53.4</v>
      </c>
      <c r="F221" s="1357">
        <f>G221</f>
        <v>0</v>
      </c>
      <c r="G221" s="1437">
        <v>0</v>
      </c>
      <c r="H221" s="1722"/>
      <c r="I221" s="1654">
        <f>B221-D221+F221</f>
        <v>11.300000000000004</v>
      </c>
      <c r="J221" s="1692">
        <v>12.1</v>
      </c>
      <c r="K221" s="1692">
        <v>747.1</v>
      </c>
      <c r="L221" s="1692">
        <v>15</v>
      </c>
      <c r="M221" s="1692">
        <v>19.100000000000001</v>
      </c>
      <c r="N221" s="1692">
        <v>21.3</v>
      </c>
      <c r="O221" s="1369"/>
      <c r="P221" s="1654"/>
      <c r="Q221" s="1654"/>
      <c r="R221" s="1692">
        <v>443.6</v>
      </c>
      <c r="S221" s="1692">
        <v>27.3</v>
      </c>
      <c r="T221" s="1692">
        <v>24</v>
      </c>
      <c r="U221" s="1692">
        <v>18</v>
      </c>
      <c r="V221" s="1692">
        <f>21+475</f>
        <v>496</v>
      </c>
      <c r="W221" s="1692">
        <f>616+20</f>
        <v>636</v>
      </c>
      <c r="X221" s="1654"/>
      <c r="Y221" s="1654"/>
      <c r="Z221" s="1692">
        <f>222</f>
        <v>222</v>
      </c>
      <c r="AA221" s="1692">
        <v>23</v>
      </c>
      <c r="AB221" s="1654"/>
      <c r="AC221" s="1654">
        <f>AC365</f>
        <v>0</v>
      </c>
      <c r="AD221" s="1654">
        <f>AD365</f>
        <v>0</v>
      </c>
      <c r="AE221" s="1654">
        <f t="shared" ref="AE221:AJ221" si="359">AE365</f>
        <v>0</v>
      </c>
      <c r="AF221" s="1654">
        <f t="shared" si="359"/>
        <v>0</v>
      </c>
      <c r="AG221" s="1654">
        <f t="shared" si="359"/>
        <v>0</v>
      </c>
      <c r="AH221" s="1654">
        <f t="shared" si="359"/>
        <v>0</v>
      </c>
      <c r="AI221" s="1654">
        <f t="shared" si="359"/>
        <v>0</v>
      </c>
      <c r="AJ221" s="1654">
        <f t="shared" si="359"/>
        <v>0</v>
      </c>
      <c r="AK221" s="1654">
        <f t="shared" ref="AK221:AM222" si="360">AK365</f>
        <v>0</v>
      </c>
      <c r="AL221" s="1654">
        <f t="shared" si="360"/>
        <v>0</v>
      </c>
      <c r="AM221" s="1654">
        <f t="shared" si="360"/>
        <v>0</v>
      </c>
      <c r="AN221" s="1654">
        <f t="shared" ref="AN221" si="361">AN365</f>
        <v>0</v>
      </c>
      <c r="AO221" s="90"/>
      <c r="AP221" s="1654"/>
      <c r="AQ221" s="1654"/>
      <c r="AR221" s="1654"/>
      <c r="AS221" s="1654"/>
      <c r="AT221" s="1562"/>
      <c r="AU221" s="1108"/>
      <c r="AV221" s="1108"/>
      <c r="AW221" s="1689"/>
      <c r="AX221" s="1108"/>
      <c r="AY221" s="1108"/>
      <c r="AZ221" s="1700"/>
      <c r="BA221" s="1108"/>
      <c r="BB221" s="1108"/>
      <c r="BC221" s="1108"/>
      <c r="BD221" s="1108"/>
      <c r="BE221" s="1108"/>
      <c r="BF221" s="1108"/>
      <c r="BG221" s="1108"/>
      <c r="BH221" s="1108"/>
      <c r="BI221" s="1700"/>
      <c r="BJ221" s="1700"/>
      <c r="BK221" s="1700"/>
      <c r="BL221" s="1700"/>
      <c r="BM221" s="1700"/>
      <c r="BN221" s="1700"/>
      <c r="BO221" s="1108"/>
      <c r="BP221" s="1700"/>
      <c r="BQ221" s="1700"/>
      <c r="BR221" s="1700"/>
      <c r="BS221" s="1700"/>
      <c r="BT221" s="1108"/>
      <c r="BU221" s="1108"/>
      <c r="BV221" s="1108"/>
      <c r="BW221" s="1108"/>
      <c r="BX221" s="1108"/>
      <c r="BY221" s="1108"/>
      <c r="BZ221" s="1108"/>
      <c r="CA221" s="1108"/>
      <c r="CB221" s="1108"/>
      <c r="CC221" s="1108"/>
      <c r="CD221" s="1108"/>
      <c r="CE221" s="1108"/>
      <c r="CF221" s="1108"/>
      <c r="CG221" s="1108"/>
      <c r="CH221" s="1108"/>
      <c r="CI221" s="1108"/>
      <c r="CJ221" s="1108"/>
      <c r="CK221" s="1108"/>
      <c r="CL221" s="1108"/>
      <c r="CM221" s="1108"/>
      <c r="CN221" s="1108"/>
      <c r="CO221" s="1108"/>
      <c r="CP221" s="1108"/>
      <c r="CQ221" s="1108"/>
      <c r="CR221" s="1108"/>
      <c r="CS221" s="1108"/>
      <c r="CT221" s="1470"/>
      <c r="CU221" s="1470"/>
      <c r="CV221" s="1470"/>
      <c r="CW221" s="1108"/>
      <c r="CX221" s="1108"/>
      <c r="CY221" s="1470"/>
      <c r="CZ221" s="1470"/>
      <c r="DA221" s="1470"/>
      <c r="DB221" s="1108"/>
      <c r="DC221" s="2862"/>
      <c r="DD221" s="1108"/>
      <c r="DE221" s="1108"/>
      <c r="DF221" s="1108"/>
      <c r="DG221" s="1108"/>
      <c r="DH221" s="1108"/>
      <c r="DI221" s="1108"/>
      <c r="DJ221" s="1108"/>
      <c r="DK221" s="1108"/>
      <c r="DL221" s="1108"/>
      <c r="DM221" s="1108"/>
      <c r="DN221" s="1108"/>
      <c r="DO221" s="1108"/>
      <c r="DP221" s="1108"/>
      <c r="DQ221" s="1108"/>
      <c r="DR221" s="1108"/>
    </row>
    <row r="222" spans="1:122">
      <c r="A222" s="1686" t="s">
        <v>938</v>
      </c>
      <c r="B222" s="1437">
        <v>9603.2999999999993</v>
      </c>
      <c r="C222" s="1437">
        <v>9643.2000000000007</v>
      </c>
      <c r="D222" s="1437">
        <v>163.4</v>
      </c>
      <c r="E222" s="1437">
        <v>291.7</v>
      </c>
      <c r="F222" s="1357">
        <f>G222</f>
        <v>0</v>
      </c>
      <c r="G222" s="1437">
        <v>0</v>
      </c>
      <c r="H222" s="1687"/>
      <c r="I222" s="1357">
        <f>B222-D222+F222</f>
        <v>9439.9</v>
      </c>
      <c r="J222" s="1437">
        <v>9351.5</v>
      </c>
      <c r="K222" s="1437">
        <f>7153.2+153.2</f>
        <v>7306.4</v>
      </c>
      <c r="L222" s="1437">
        <v>7027.3</v>
      </c>
      <c r="M222" s="1437">
        <v>7068.6</v>
      </c>
      <c r="N222" s="1437">
        <v>6974.8</v>
      </c>
      <c r="O222" s="1369"/>
      <c r="P222" s="1357"/>
      <c r="Q222" s="1357"/>
      <c r="R222" s="1437">
        <v>6553.3</v>
      </c>
      <c r="S222" s="1437">
        <v>5973.5</v>
      </c>
      <c r="T222" s="1437">
        <v>5958</v>
      </c>
      <c r="U222" s="1437">
        <v>5904</v>
      </c>
      <c r="V222" s="1437">
        <v>5940</v>
      </c>
      <c r="W222" s="1437">
        <v>6510</v>
      </c>
      <c r="X222" s="1357"/>
      <c r="Y222" s="1357"/>
      <c r="Z222" s="1437">
        <v>8226</v>
      </c>
      <c r="AA222" s="2878">
        <v>8902</v>
      </c>
      <c r="AB222" s="2806"/>
      <c r="AC222" s="2806">
        <f ca="1">AC366</f>
        <v>9601.0107645591652</v>
      </c>
      <c r="AD222" s="2806">
        <f t="shared" ref="AD222:AH222" ca="1" si="362">AD366</f>
        <v>9522</v>
      </c>
      <c r="AE222" s="2806">
        <f t="shared" ca="1" si="362"/>
        <v>9233.5691986310521</v>
      </c>
      <c r="AF222" s="1357">
        <f t="shared" ca="1" si="362"/>
        <v>8916</v>
      </c>
      <c r="AG222" s="1357">
        <f t="shared" ca="1" si="362"/>
        <v>8617</v>
      </c>
      <c r="AH222" s="1357">
        <f t="shared" ca="1" si="362"/>
        <v>7922</v>
      </c>
      <c r="AI222" s="1357">
        <f ca="1">AI366</f>
        <v>7150.6719278870387</v>
      </c>
      <c r="AJ222" s="1357">
        <f ca="1">AJ366</f>
        <v>6514.8656410451131</v>
      </c>
      <c r="AK222" s="1357">
        <f t="shared" ca="1" si="360"/>
        <v>5883.2411196881858</v>
      </c>
      <c r="AL222" s="1357">
        <f t="shared" ca="1" si="360"/>
        <v>5268.1943192934841</v>
      </c>
      <c r="AM222" s="1357">
        <f t="shared" ca="1" si="360"/>
        <v>4703.8569032453443</v>
      </c>
      <c r="AN222" s="1357">
        <f t="shared" ref="AN222" ca="1" si="363">AN366</f>
        <v>4007.1006057928471</v>
      </c>
      <c r="AO222" s="90"/>
      <c r="AP222" s="1357"/>
      <c r="AQ222" s="1357"/>
      <c r="AR222" s="1357"/>
      <c r="AS222" s="1357"/>
      <c r="AT222" s="1562"/>
      <c r="AU222" s="1108"/>
      <c r="AV222" s="1108"/>
      <c r="AW222" s="1689"/>
      <c r="AX222" s="1108"/>
      <c r="AY222" s="1108"/>
      <c r="AZ222" s="1700"/>
      <c r="BA222" s="1108"/>
      <c r="BB222" s="1108"/>
      <c r="BC222" s="1108"/>
      <c r="BD222" s="1108"/>
      <c r="BE222" s="1108"/>
      <c r="BF222" s="1108"/>
      <c r="BG222" s="1108"/>
      <c r="BH222" s="1108"/>
      <c r="BI222" s="1700"/>
      <c r="BJ222" s="1700"/>
      <c r="BK222" s="1700"/>
      <c r="BL222" s="1700"/>
      <c r="BM222" s="1700"/>
      <c r="BN222" s="1700"/>
      <c r="BO222" s="1108"/>
      <c r="BP222" s="1700"/>
      <c r="BQ222" s="1700"/>
      <c r="BR222" s="1700"/>
      <c r="BS222" s="1700"/>
      <c r="BT222" s="1108"/>
      <c r="BU222" s="1108"/>
      <c r="BV222" s="1108"/>
      <c r="BW222" s="1108"/>
      <c r="BX222" s="1108"/>
      <c r="BY222" s="1108"/>
      <c r="BZ222" s="1108"/>
      <c r="CA222" s="1108"/>
      <c r="CB222" s="1108"/>
      <c r="CC222" s="1108"/>
      <c r="CD222" s="1108"/>
      <c r="CE222" s="1108"/>
      <c r="CF222" s="1108"/>
      <c r="CG222" s="1108"/>
      <c r="CH222" s="1108"/>
      <c r="CI222" s="1108"/>
      <c r="CJ222" s="1108"/>
      <c r="CK222" s="1108"/>
      <c r="CL222" s="1108"/>
      <c r="CM222" s="1108"/>
      <c r="CN222" s="1108"/>
      <c r="CO222" s="1108"/>
      <c r="CP222" s="1108"/>
      <c r="CQ222" s="1108"/>
      <c r="CR222" s="1108"/>
      <c r="CS222" s="1108"/>
      <c r="CT222" s="1470"/>
      <c r="CU222" s="1470"/>
      <c r="CV222" s="1470"/>
      <c r="CW222" s="1108"/>
      <c r="CX222" s="1108"/>
      <c r="CY222" s="1470"/>
      <c r="CZ222" s="1470"/>
      <c r="DA222" s="1470"/>
      <c r="DB222" s="1108"/>
      <c r="DC222" s="2862"/>
      <c r="DD222" s="1108"/>
      <c r="DE222" s="1108"/>
      <c r="DF222" s="1108"/>
      <c r="DG222" s="1108"/>
      <c r="DH222" s="1108"/>
      <c r="DI222" s="1108"/>
      <c r="DJ222" s="1108"/>
      <c r="DK222" s="1108"/>
      <c r="DL222" s="1108"/>
      <c r="DM222" s="1108"/>
      <c r="DN222" s="1108"/>
      <c r="DO222" s="1108"/>
      <c r="DP222" s="1108"/>
      <c r="DQ222" s="1108"/>
      <c r="DR222" s="1108"/>
    </row>
    <row r="223" spans="1:122">
      <c r="A223" s="1686" t="s">
        <v>946</v>
      </c>
      <c r="B223" s="1437">
        <v>2132.5</v>
      </c>
      <c r="C223" s="1437">
        <v>2243.5</v>
      </c>
      <c r="D223" s="1437">
        <f>6.3+128.5</f>
        <v>134.80000000000001</v>
      </c>
      <c r="E223" s="1437">
        <f>6.8+135.4</f>
        <v>142.20000000000002</v>
      </c>
      <c r="F223" s="1357">
        <f>G223</f>
        <v>0</v>
      </c>
      <c r="G223" s="1437">
        <v>0</v>
      </c>
      <c r="H223" s="1687"/>
      <c r="I223" s="1357">
        <f>B223-D223+F223</f>
        <v>1997.7</v>
      </c>
      <c r="J223" s="1437">
        <v>2045.5</v>
      </c>
      <c r="K223" s="1437">
        <v>2401.1</v>
      </c>
      <c r="L223" s="1437">
        <v>1993.3</v>
      </c>
      <c r="M223" s="1437">
        <v>1695.9</v>
      </c>
      <c r="N223" s="1437">
        <v>2273.6999999999998</v>
      </c>
      <c r="O223" s="1369"/>
      <c r="P223" s="1357"/>
      <c r="Q223" s="1357"/>
      <c r="R223" s="1437">
        <v>2117.4</v>
      </c>
      <c r="S223" s="1437">
        <v>1985.6</v>
      </c>
      <c r="T223" s="1437">
        <v>1839</v>
      </c>
      <c r="U223" s="1437">
        <v>1860</v>
      </c>
      <c r="V223" s="1437">
        <v>1330</v>
      </c>
      <c r="W223" s="1437">
        <v>1560</v>
      </c>
      <c r="X223" s="1357"/>
      <c r="Y223" s="1357"/>
      <c r="Z223" s="1437">
        <v>1575</v>
      </c>
      <c r="AA223" s="2878">
        <v>1769</v>
      </c>
      <c r="AB223" s="2806"/>
      <c r="AC223" s="2806">
        <f>AA223-500</f>
        <v>1269</v>
      </c>
      <c r="AD223" s="2806">
        <f>AC223</f>
        <v>1269</v>
      </c>
      <c r="AE223" s="2806">
        <f>AD223</f>
        <v>1269</v>
      </c>
      <c r="AF223" s="1357">
        <f t="shared" ref="AF223:AN223" si="364">AE223</f>
        <v>1269</v>
      </c>
      <c r="AG223" s="1357">
        <f t="shared" si="364"/>
        <v>1269</v>
      </c>
      <c r="AH223" s="1357">
        <f t="shared" si="364"/>
        <v>1269</v>
      </c>
      <c r="AI223" s="1357">
        <f t="shared" si="364"/>
        <v>1269</v>
      </c>
      <c r="AJ223" s="1357">
        <f t="shared" si="364"/>
        <v>1269</v>
      </c>
      <c r="AK223" s="1357">
        <f t="shared" si="364"/>
        <v>1269</v>
      </c>
      <c r="AL223" s="1357">
        <f t="shared" si="364"/>
        <v>1269</v>
      </c>
      <c r="AM223" s="1357">
        <f t="shared" si="364"/>
        <v>1269</v>
      </c>
      <c r="AN223" s="1357">
        <f t="shared" si="364"/>
        <v>1269</v>
      </c>
      <c r="AO223" s="90"/>
      <c r="AP223" s="1357"/>
      <c r="AQ223" s="1357"/>
      <c r="AR223" s="1357"/>
      <c r="AS223" s="1357"/>
      <c r="AT223" s="1562"/>
      <c r="AU223" s="1108"/>
      <c r="AV223" s="1108"/>
      <c r="AW223" s="1689"/>
      <c r="AX223" s="1108"/>
      <c r="AY223" s="1108"/>
      <c r="AZ223" s="1700"/>
      <c r="BA223" s="1108"/>
      <c r="BB223" s="1108"/>
      <c r="BC223" s="1108"/>
      <c r="BD223" s="1108"/>
      <c r="BE223" s="1108"/>
      <c r="BF223" s="1108"/>
      <c r="BG223" s="1108"/>
      <c r="BH223" s="1108"/>
      <c r="BI223" s="1700"/>
      <c r="BJ223" s="1700"/>
      <c r="BK223" s="1700"/>
      <c r="BL223" s="1700"/>
      <c r="BM223" s="1700"/>
      <c r="BN223" s="1700"/>
      <c r="BO223" s="1108"/>
      <c r="BP223" s="1700"/>
      <c r="BQ223" s="1700"/>
      <c r="BR223" s="1700"/>
      <c r="BS223" s="1700"/>
      <c r="BT223" s="1108"/>
      <c r="BU223" s="1108"/>
      <c r="BV223" s="1108"/>
      <c r="BW223" s="1108"/>
      <c r="BX223" s="1108"/>
      <c r="BY223" s="1108"/>
      <c r="BZ223" s="1108"/>
      <c r="CA223" s="1108"/>
      <c r="CB223" s="1108"/>
      <c r="CC223" s="1108"/>
      <c r="CD223" s="1108"/>
      <c r="CE223" s="1108"/>
      <c r="CF223" s="1108"/>
      <c r="CG223" s="1108"/>
      <c r="CH223" s="1108"/>
      <c r="CI223" s="1108"/>
      <c r="CJ223" s="1108"/>
      <c r="CK223" s="1108"/>
      <c r="CL223" s="1108"/>
      <c r="CM223" s="1108"/>
      <c r="CN223" s="1108"/>
      <c r="CO223" s="1108"/>
      <c r="CP223" s="1108"/>
      <c r="CQ223" s="1108"/>
      <c r="CR223" s="1108"/>
      <c r="CS223" s="1108"/>
      <c r="CT223" s="1470"/>
      <c r="CU223" s="1470"/>
      <c r="CV223" s="1470"/>
      <c r="CW223" s="1108"/>
      <c r="CX223" s="1108"/>
      <c r="CY223" s="1470"/>
      <c r="CZ223" s="1470"/>
      <c r="DA223" s="1470"/>
      <c r="DB223" s="1108"/>
      <c r="DC223" s="2862"/>
      <c r="DD223" s="1108"/>
      <c r="DE223" s="1108"/>
      <c r="DF223" s="1108"/>
      <c r="DG223" s="1108"/>
      <c r="DH223" s="1108"/>
      <c r="DI223" s="1108"/>
      <c r="DJ223" s="1108"/>
      <c r="DK223" s="1108"/>
      <c r="DL223" s="1108"/>
      <c r="DM223" s="1108"/>
      <c r="DN223" s="1108"/>
      <c r="DO223" s="1108"/>
      <c r="DP223" s="1108"/>
      <c r="DQ223" s="1108"/>
      <c r="DR223" s="1108"/>
    </row>
    <row r="224" spans="1:122">
      <c r="A224" s="1686"/>
      <c r="B224" s="1437"/>
      <c r="C224" s="1437"/>
      <c r="D224" s="1437"/>
      <c r="E224" s="1437"/>
      <c r="F224" s="1357"/>
      <c r="G224" s="1437"/>
      <c r="H224" s="1687"/>
      <c r="I224" s="1437"/>
      <c r="J224" s="1720"/>
      <c r="K224" s="1357"/>
      <c r="L224" s="1687"/>
      <c r="M224" s="1687"/>
      <c r="N224" s="1687"/>
      <c r="O224" s="1369"/>
      <c r="P224" s="1687"/>
      <c r="Q224" s="1687"/>
      <c r="R224" s="1135"/>
      <c r="S224" s="1687"/>
      <c r="T224" s="1687"/>
      <c r="U224" s="1687"/>
      <c r="V224" s="1687"/>
      <c r="W224" s="1687"/>
      <c r="X224" s="1687"/>
      <c r="Y224" s="1687"/>
      <c r="Z224" s="2882"/>
      <c r="AA224" s="2882"/>
      <c r="AB224" s="2882"/>
      <c r="AC224" s="2882"/>
      <c r="AD224" s="2882"/>
      <c r="AE224" s="2882"/>
      <c r="AF224" s="2882"/>
      <c r="AG224" s="2882"/>
      <c r="AH224" s="2882"/>
      <c r="AI224" s="2882"/>
      <c r="AJ224" s="2882"/>
      <c r="AK224" s="2882"/>
      <c r="AL224" s="2882"/>
      <c r="AM224" s="2882"/>
      <c r="AN224" s="1108"/>
      <c r="AO224" s="90"/>
      <c r="AP224" s="1687"/>
      <c r="AQ224" s="1687"/>
      <c r="AR224" s="1687"/>
      <c r="AS224" s="1687"/>
      <c r="AT224" s="1562"/>
      <c r="AU224" s="1108"/>
      <c r="AV224" s="1108"/>
      <c r="AW224" s="1689"/>
      <c r="AX224" s="1108"/>
      <c r="AY224" s="1108"/>
      <c r="AZ224" s="1700"/>
      <c r="BA224" s="1108"/>
      <c r="BB224" s="1108"/>
      <c r="BC224" s="1108"/>
      <c r="BD224" s="1108"/>
      <c r="BE224" s="1108"/>
      <c r="BF224" s="1108"/>
      <c r="BG224" s="1108"/>
      <c r="BH224" s="1108"/>
      <c r="BI224" s="1700"/>
      <c r="BJ224" s="1700"/>
      <c r="BK224" s="1700"/>
      <c r="BL224" s="1700"/>
      <c r="BM224" s="1700"/>
      <c r="BN224" s="1700"/>
      <c r="BO224" s="1108"/>
      <c r="BP224" s="1700"/>
      <c r="BQ224" s="1700"/>
      <c r="BR224" s="1700"/>
      <c r="BS224" s="1700"/>
      <c r="BT224" s="1108"/>
      <c r="BU224" s="1108"/>
      <c r="BV224" s="1108"/>
      <c r="BW224" s="1108"/>
      <c r="BX224" s="1108"/>
      <c r="BY224" s="1108"/>
      <c r="BZ224" s="1108"/>
      <c r="CA224" s="1108"/>
      <c r="CB224" s="1108"/>
      <c r="CC224" s="1108"/>
      <c r="CD224" s="1108"/>
      <c r="CE224" s="1108"/>
      <c r="CF224" s="1108"/>
      <c r="CG224" s="1108"/>
      <c r="CH224" s="1108"/>
      <c r="CI224" s="1108"/>
      <c r="CJ224" s="1108"/>
      <c r="CK224" s="1108"/>
      <c r="CL224" s="1108"/>
      <c r="CM224" s="1108"/>
      <c r="CN224" s="1108"/>
      <c r="CO224" s="1108"/>
      <c r="CP224" s="1108"/>
      <c r="CQ224" s="1108"/>
      <c r="CR224" s="1108"/>
      <c r="CS224" s="1108"/>
      <c r="CT224" s="1470"/>
      <c r="CU224" s="1470"/>
      <c r="CV224" s="1470"/>
      <c r="CW224" s="1108"/>
      <c r="CX224" s="1108"/>
      <c r="CY224" s="1470"/>
      <c r="CZ224" s="1470"/>
      <c r="DA224" s="1470"/>
      <c r="DB224" s="1108"/>
      <c r="DC224" s="2862"/>
      <c r="DD224" s="1108"/>
      <c r="DE224" s="1108"/>
      <c r="DF224" s="1108"/>
      <c r="DG224" s="1108"/>
      <c r="DH224" s="1108"/>
      <c r="DI224" s="1108"/>
      <c r="DJ224" s="1108"/>
      <c r="DK224" s="1108"/>
      <c r="DL224" s="1108"/>
      <c r="DM224" s="1108"/>
      <c r="DN224" s="1108"/>
      <c r="DO224" s="1108"/>
      <c r="DP224" s="1108"/>
      <c r="DQ224" s="1108"/>
      <c r="DR224" s="1108"/>
    </row>
    <row r="225" spans="1:122">
      <c r="A225" s="1709" t="s">
        <v>895</v>
      </c>
      <c r="B225" s="1437">
        <v>1172.2</v>
      </c>
      <c r="C225" s="1437">
        <v>1296.5999999999999</v>
      </c>
      <c r="D225" s="1437">
        <v>464.4</v>
      </c>
      <c r="E225" s="1437">
        <v>405.1</v>
      </c>
      <c r="F225" s="1357">
        <f>G225</f>
        <v>0</v>
      </c>
      <c r="G225" s="1437">
        <v>0</v>
      </c>
      <c r="H225" s="1722"/>
      <c r="I225" s="1357">
        <f>B225-D225+F225</f>
        <v>707.80000000000007</v>
      </c>
      <c r="J225" s="1437">
        <v>0</v>
      </c>
      <c r="K225" s="1437">
        <v>0</v>
      </c>
      <c r="L225" s="1437">
        <v>0</v>
      </c>
      <c r="M225" s="1437">
        <v>0</v>
      </c>
      <c r="N225" s="1437">
        <v>0</v>
      </c>
      <c r="O225" s="1369"/>
      <c r="P225" s="1357"/>
      <c r="Q225" s="1357"/>
      <c r="R225" s="1357">
        <f>R513</f>
        <v>0</v>
      </c>
      <c r="S225" s="1357">
        <f>S513</f>
        <v>0</v>
      </c>
      <c r="T225" s="1357">
        <f>T513</f>
        <v>0</v>
      </c>
      <c r="U225" s="1357">
        <f>U513</f>
        <v>0</v>
      </c>
      <c r="V225" s="1357">
        <f>V513</f>
        <v>0</v>
      </c>
      <c r="W225" s="1357">
        <f t="shared" ref="W225" si="365">W513</f>
        <v>0</v>
      </c>
      <c r="X225" s="1357"/>
      <c r="Y225" s="1357"/>
      <c r="Z225" s="2806">
        <v>1318</v>
      </c>
      <c r="AA225" s="2806">
        <v>1322</v>
      </c>
      <c r="AB225" s="2806"/>
      <c r="AC225" s="2806">
        <f>AA225</f>
        <v>1322</v>
      </c>
      <c r="AD225" s="2806">
        <f>AC225</f>
        <v>1322</v>
      </c>
      <c r="AE225" s="2806">
        <f t="shared" ref="AE225:AN225" si="366">AD225</f>
        <v>1322</v>
      </c>
      <c r="AF225" s="2806">
        <f t="shared" si="366"/>
        <v>1322</v>
      </c>
      <c r="AG225" s="2806">
        <f t="shared" si="366"/>
        <v>1322</v>
      </c>
      <c r="AH225" s="2806">
        <f t="shared" si="366"/>
        <v>1322</v>
      </c>
      <c r="AI225" s="2806">
        <f t="shared" si="366"/>
        <v>1322</v>
      </c>
      <c r="AJ225" s="2806">
        <f t="shared" si="366"/>
        <v>1322</v>
      </c>
      <c r="AK225" s="2806">
        <f t="shared" si="366"/>
        <v>1322</v>
      </c>
      <c r="AL225" s="2806">
        <f t="shared" si="366"/>
        <v>1322</v>
      </c>
      <c r="AM225" s="2806">
        <f t="shared" si="366"/>
        <v>1322</v>
      </c>
      <c r="AN225" s="2806">
        <f t="shared" si="366"/>
        <v>1322</v>
      </c>
      <c r="AO225" s="90"/>
      <c r="AP225" s="1357"/>
      <c r="AQ225" s="1357"/>
      <c r="AR225" s="1357"/>
      <c r="AS225" s="1357"/>
      <c r="AT225" s="1562"/>
      <c r="AU225" s="1108"/>
      <c r="AV225" s="1108"/>
      <c r="AW225" s="1689"/>
      <c r="AX225" s="1108"/>
      <c r="AY225" s="1108"/>
      <c r="AZ225" s="1700"/>
      <c r="BA225" s="1108"/>
      <c r="BB225" s="1108"/>
      <c r="BC225" s="1108"/>
      <c r="BD225" s="1108"/>
      <c r="BE225" s="1108"/>
      <c r="BF225" s="1108"/>
      <c r="BG225" s="1108"/>
      <c r="BH225" s="1108"/>
      <c r="BI225" s="1700"/>
      <c r="BJ225" s="1700"/>
      <c r="BK225" s="1700"/>
      <c r="BL225" s="1700"/>
      <c r="BM225" s="1700"/>
      <c r="BN225" s="1700"/>
      <c r="BO225" s="1108"/>
      <c r="BP225" s="1700"/>
      <c r="BQ225" s="1700"/>
      <c r="BR225" s="1700"/>
      <c r="BS225" s="1700"/>
      <c r="BT225" s="1108"/>
      <c r="BU225" s="1108"/>
      <c r="BV225" s="1108"/>
      <c r="BW225" s="1108"/>
      <c r="BX225" s="1108"/>
      <c r="BY225" s="1108"/>
      <c r="BZ225" s="1108"/>
      <c r="CA225" s="1108"/>
      <c r="CB225" s="1108"/>
      <c r="CC225" s="1108"/>
      <c r="CD225" s="1108"/>
      <c r="CE225" s="1108"/>
      <c r="CF225" s="1108"/>
      <c r="CG225" s="1108"/>
      <c r="CH225" s="1108"/>
      <c r="CI225" s="1108"/>
      <c r="CJ225" s="1108"/>
      <c r="CK225" s="1108"/>
      <c r="CL225" s="1108"/>
      <c r="CM225" s="1108"/>
      <c r="CN225" s="1108"/>
      <c r="CO225" s="1108"/>
      <c r="CP225" s="1108"/>
      <c r="CQ225" s="1108"/>
      <c r="CR225" s="1108"/>
      <c r="CS225" s="1108"/>
      <c r="CT225" s="1470"/>
      <c r="CU225" s="1470"/>
      <c r="CV225" s="1470"/>
      <c r="CW225" s="1108"/>
      <c r="CX225" s="1108"/>
      <c r="CY225" s="1470"/>
      <c r="CZ225" s="1470"/>
      <c r="DA225" s="1470"/>
      <c r="DB225" s="1108"/>
      <c r="DC225" s="2862"/>
      <c r="DD225" s="1108"/>
      <c r="DE225" s="1108"/>
      <c r="DF225" s="1108"/>
      <c r="DG225" s="1108"/>
      <c r="DH225" s="1108"/>
      <c r="DI225" s="1108"/>
      <c r="DJ225" s="1108"/>
      <c r="DK225" s="1108"/>
      <c r="DL225" s="1108"/>
      <c r="DM225" s="1108"/>
      <c r="DN225" s="1108"/>
      <c r="DO225" s="1108"/>
      <c r="DP225" s="1108"/>
      <c r="DQ225" s="1108"/>
      <c r="DR225" s="1108"/>
    </row>
    <row r="226" spans="1:122">
      <c r="A226" s="1686" t="s">
        <v>896</v>
      </c>
      <c r="B226" s="1437">
        <v>858.7</v>
      </c>
      <c r="C226" s="1437">
        <v>849.6</v>
      </c>
      <c r="D226" s="1437">
        <v>347.6</v>
      </c>
      <c r="E226" s="1437">
        <v>530.79999999999995</v>
      </c>
      <c r="F226" s="1357">
        <f>G226</f>
        <v>0</v>
      </c>
      <c r="G226" s="1437">
        <v>0</v>
      </c>
      <c r="H226" s="1722"/>
      <c r="I226" s="1357">
        <f>B226-D226+F226</f>
        <v>511.1</v>
      </c>
      <c r="J226" s="1437">
        <v>0</v>
      </c>
      <c r="K226" s="1437">
        <v>0</v>
      </c>
      <c r="L226" s="1437">
        <v>0</v>
      </c>
      <c r="M226" s="1437">
        <v>0</v>
      </c>
      <c r="N226" s="1437">
        <v>0</v>
      </c>
      <c r="O226" s="1369"/>
      <c r="P226" s="1357"/>
      <c r="Q226" s="1357"/>
      <c r="R226" s="1357">
        <f>R515</f>
        <v>0</v>
      </c>
      <c r="S226" s="2806">
        <f t="shared" ref="S226:W226" si="367">S515</f>
        <v>0</v>
      </c>
      <c r="T226" s="2806">
        <f t="shared" si="367"/>
        <v>0</v>
      </c>
      <c r="U226" s="2806">
        <f t="shared" si="367"/>
        <v>0</v>
      </c>
      <c r="V226" s="2806">
        <f t="shared" si="367"/>
        <v>0</v>
      </c>
      <c r="W226" s="2806">
        <f t="shared" si="367"/>
        <v>0</v>
      </c>
      <c r="X226" s="1357"/>
      <c r="Y226" s="1357"/>
      <c r="Z226" s="2806">
        <f>Z515</f>
        <v>0</v>
      </c>
      <c r="AA226" s="2806">
        <f t="shared" ref="AA226:AH226" si="368">AA515</f>
        <v>0</v>
      </c>
      <c r="AB226" s="2806"/>
      <c r="AC226" s="2806">
        <f>AC515</f>
        <v>0</v>
      </c>
      <c r="AD226" s="2806">
        <f t="shared" si="368"/>
        <v>0</v>
      </c>
      <c r="AE226" s="2806">
        <f t="shared" si="368"/>
        <v>0</v>
      </c>
      <c r="AF226" s="2806">
        <f t="shared" si="368"/>
        <v>0</v>
      </c>
      <c r="AG226" s="2806">
        <f t="shared" si="368"/>
        <v>0</v>
      </c>
      <c r="AH226" s="2806">
        <f t="shared" si="368"/>
        <v>0</v>
      </c>
      <c r="AI226" s="2806">
        <f t="shared" ref="AI226:AN226" si="369">AI515</f>
        <v>0</v>
      </c>
      <c r="AJ226" s="2806">
        <f t="shared" si="369"/>
        <v>0</v>
      </c>
      <c r="AK226" s="2806">
        <f t="shared" si="369"/>
        <v>0</v>
      </c>
      <c r="AL226" s="2806">
        <f t="shared" si="369"/>
        <v>0</v>
      </c>
      <c r="AM226" s="2806">
        <f t="shared" si="369"/>
        <v>0</v>
      </c>
      <c r="AN226" s="2806">
        <f t="shared" si="369"/>
        <v>0</v>
      </c>
      <c r="AO226" s="90"/>
      <c r="AP226" s="1357"/>
      <c r="AQ226" s="1357"/>
      <c r="AR226" s="1357"/>
      <c r="AS226" s="1357"/>
      <c r="AT226" s="1562"/>
      <c r="AU226" s="1108"/>
      <c r="AV226" s="1108"/>
      <c r="AW226" s="1689"/>
      <c r="AX226" s="1108"/>
      <c r="AY226" s="1108"/>
      <c r="AZ226" s="1700"/>
      <c r="BA226" s="1108"/>
      <c r="BB226" s="1108"/>
      <c r="BC226" s="1108"/>
      <c r="BD226" s="1108"/>
      <c r="BE226" s="1108"/>
      <c r="BF226" s="1108"/>
      <c r="BG226" s="1108"/>
      <c r="BH226" s="1108"/>
      <c r="BI226" s="1700"/>
      <c r="BJ226" s="1700"/>
      <c r="BK226" s="1700"/>
      <c r="BL226" s="1700"/>
      <c r="BM226" s="1700"/>
      <c r="BN226" s="1700"/>
      <c r="BO226" s="1108"/>
      <c r="BP226" s="1700"/>
      <c r="BQ226" s="1700"/>
      <c r="BR226" s="1700"/>
      <c r="BS226" s="1700"/>
      <c r="BT226" s="1108"/>
      <c r="BU226" s="1108"/>
      <c r="BV226" s="1108"/>
      <c r="BW226" s="1108"/>
      <c r="BX226" s="1108"/>
      <c r="BY226" s="1108"/>
      <c r="BZ226" s="1108"/>
      <c r="CA226" s="1108"/>
      <c r="CB226" s="1108"/>
      <c r="CC226" s="1108"/>
      <c r="CD226" s="1108"/>
      <c r="CE226" s="1108"/>
      <c r="CF226" s="1108"/>
      <c r="CG226" s="1108"/>
      <c r="CH226" s="1108"/>
      <c r="CI226" s="1108"/>
      <c r="CJ226" s="1108"/>
      <c r="CK226" s="1108"/>
      <c r="CL226" s="1108"/>
      <c r="CM226" s="1108"/>
      <c r="CN226" s="1108"/>
      <c r="CO226" s="1108"/>
      <c r="CP226" s="1108"/>
      <c r="CQ226" s="1108"/>
      <c r="CR226" s="1108"/>
      <c r="CS226" s="1108"/>
      <c r="CT226" s="1470"/>
      <c r="CU226" s="1470"/>
      <c r="CV226" s="1470"/>
      <c r="CW226" s="1108"/>
      <c r="CX226" s="1108"/>
      <c r="CY226" s="1470"/>
      <c r="CZ226" s="1470"/>
      <c r="DA226" s="1470"/>
      <c r="DB226" s="1108"/>
      <c r="DC226" s="2862"/>
      <c r="DD226" s="1108"/>
      <c r="DE226" s="1108"/>
      <c r="DF226" s="1108"/>
      <c r="DG226" s="1108"/>
      <c r="DH226" s="1108"/>
      <c r="DI226" s="1108"/>
      <c r="DJ226" s="1108"/>
      <c r="DK226" s="1108"/>
      <c r="DL226" s="1108"/>
      <c r="DM226" s="1108"/>
      <c r="DN226" s="1108"/>
      <c r="DO226" s="1108"/>
      <c r="DP226" s="1108"/>
      <c r="DQ226" s="1108"/>
      <c r="DR226" s="1108"/>
    </row>
    <row r="227" spans="1:122">
      <c r="A227" s="1686" t="s">
        <v>1458</v>
      </c>
      <c r="B227" s="1437">
        <v>416.4</v>
      </c>
      <c r="C227" s="1437">
        <v>1382.1</v>
      </c>
      <c r="D227" s="1437">
        <v>0</v>
      </c>
      <c r="E227" s="1437">
        <v>0</v>
      </c>
      <c r="F227" s="1357">
        <f>316.8-F230-F231</f>
        <v>318.60000000000002</v>
      </c>
      <c r="G227" s="1437">
        <f>316.8-G230-G231</f>
        <v>305.39999999999998</v>
      </c>
      <c r="H227" s="1722"/>
      <c r="I227" s="1357">
        <f>B227-D227+F227</f>
        <v>735</v>
      </c>
      <c r="J227" s="1437">
        <v>1791.8</v>
      </c>
      <c r="K227" s="1437">
        <v>2115.1</v>
      </c>
      <c r="L227" s="1437">
        <v>2310.6999999999998</v>
      </c>
      <c r="M227" s="1437">
        <v>1947.2</v>
      </c>
      <c r="N227" s="1437">
        <v>345.1</v>
      </c>
      <c r="O227" s="1369"/>
      <c r="P227" s="1357"/>
      <c r="Q227" s="1357"/>
      <c r="R227" s="1437">
        <v>631.9</v>
      </c>
      <c r="S227" s="2878">
        <v>714.6</v>
      </c>
      <c r="T227" s="2878">
        <v>1025</v>
      </c>
      <c r="U227" s="2806">
        <f>T227-U38+(U203+U189-T203-T189)</f>
        <v>1176</v>
      </c>
      <c r="V227" s="2806">
        <f>U227-V38+(V203+V189-U203-U189)</f>
        <v>1729</v>
      </c>
      <c r="W227" s="2806">
        <f>V227-W38+(W203+W189-V203-V189)</f>
        <v>2123.2598425196852</v>
      </c>
      <c r="X227" s="1357"/>
      <c r="Y227" s="1357"/>
      <c r="Z227" s="1437">
        <v>495</v>
      </c>
      <c r="AA227" s="1437">
        <v>590</v>
      </c>
      <c r="AB227" s="1357"/>
      <c r="AC227" s="1357">
        <f ca="1">AA227-AC38+(AC203+AC189-AA203-AA189)</f>
        <v>758.42310162776153</v>
      </c>
      <c r="AD227" s="1357">
        <f t="shared" ref="AD227:AN227" ca="1" si="370">AC227-AD38+(AD203+AD189-AC203-AC189)</f>
        <v>981.24655918695726</v>
      </c>
      <c r="AE227" s="1357">
        <f t="shared" ca="1" si="370"/>
        <v>1211.1516294446797</v>
      </c>
      <c r="AF227" s="1357">
        <f t="shared" ca="1" si="370"/>
        <v>1462.0239799626775</v>
      </c>
      <c r="AG227" s="1357">
        <f t="shared" ca="1" si="370"/>
        <v>1706.4863781826043</v>
      </c>
      <c r="AH227" s="1357">
        <f t="shared" ca="1" si="370"/>
        <v>1953.0966057737182</v>
      </c>
      <c r="AI227" s="1357">
        <f t="shared" ca="1" si="370"/>
        <v>2172.1740949652803</v>
      </c>
      <c r="AJ227" s="1357">
        <f t="shared" ca="1" si="370"/>
        <v>2381.9006623969935</v>
      </c>
      <c r="AK227" s="1357">
        <f t="shared" ca="1" si="370"/>
        <v>2575.4759798733962</v>
      </c>
      <c r="AL227" s="1357">
        <f t="shared" ca="1" si="370"/>
        <v>2750.0810289711112</v>
      </c>
      <c r="AM227" s="1357">
        <f t="shared" ca="1" si="370"/>
        <v>2906.0326711424814</v>
      </c>
      <c r="AN227" s="1357">
        <f t="shared" ca="1" si="370"/>
        <v>3053.3350470771097</v>
      </c>
      <c r="AO227" s="90"/>
      <c r="AP227" s="1357"/>
      <c r="AQ227" s="1357"/>
      <c r="AR227" s="1357"/>
      <c r="AS227" s="1357"/>
      <c r="AT227" s="1562"/>
      <c r="AU227" s="1108"/>
      <c r="AV227" s="1108"/>
      <c r="AW227" s="1689"/>
      <c r="AX227" s="1108"/>
      <c r="AY227" s="1108"/>
      <c r="AZ227" s="1700"/>
      <c r="BA227" s="1108"/>
      <c r="BB227" s="1108"/>
      <c r="BC227" s="1108"/>
      <c r="BD227" s="1108"/>
      <c r="BE227" s="1108"/>
      <c r="BF227" s="1108"/>
      <c r="BG227" s="1108"/>
      <c r="BH227" s="1108"/>
      <c r="BI227" s="1700"/>
      <c r="BJ227" s="1700"/>
      <c r="BK227" s="1700"/>
      <c r="BL227" s="1700"/>
      <c r="BM227" s="1700"/>
      <c r="BN227" s="1700"/>
      <c r="BO227" s="1108"/>
      <c r="BP227" s="1700"/>
      <c r="BQ227" s="1700"/>
      <c r="BR227" s="1700"/>
      <c r="BS227" s="1700"/>
      <c r="BT227" s="1108"/>
      <c r="BU227" s="1108"/>
      <c r="BV227" s="1108"/>
      <c r="BW227" s="1108"/>
      <c r="BX227" s="1108"/>
      <c r="BY227" s="1108"/>
      <c r="BZ227" s="1108"/>
      <c r="CA227" s="1108"/>
      <c r="CB227" s="1108"/>
      <c r="CC227" s="1108"/>
      <c r="CD227" s="1108"/>
      <c r="CE227" s="1108"/>
      <c r="CF227" s="1108"/>
      <c r="CG227" s="1108"/>
      <c r="CH227" s="1108"/>
      <c r="CI227" s="1108"/>
      <c r="CJ227" s="1108"/>
      <c r="CK227" s="1108"/>
      <c r="CL227" s="1108"/>
      <c r="CM227" s="1108"/>
      <c r="CN227" s="1108"/>
      <c r="CO227" s="1108"/>
      <c r="CP227" s="1108"/>
      <c r="CQ227" s="1108"/>
      <c r="CR227" s="1108"/>
      <c r="CS227" s="1108"/>
      <c r="CT227" s="1470"/>
      <c r="CU227" s="1470"/>
      <c r="CV227" s="1470"/>
      <c r="CW227" s="1108"/>
      <c r="CX227" s="1108"/>
      <c r="CY227" s="1470"/>
      <c r="CZ227" s="1470"/>
      <c r="DA227" s="1470"/>
      <c r="DB227" s="1108"/>
      <c r="DC227" s="2862"/>
      <c r="DD227" s="1108"/>
      <c r="DE227" s="1108"/>
      <c r="DF227" s="1108"/>
      <c r="DG227" s="1108"/>
      <c r="DH227" s="1108"/>
      <c r="DI227" s="1108"/>
      <c r="DJ227" s="1108"/>
      <c r="DK227" s="1108"/>
      <c r="DL227" s="1108"/>
      <c r="DM227" s="1108"/>
      <c r="DN227" s="1108"/>
      <c r="DO227" s="1108"/>
      <c r="DP227" s="1108"/>
      <c r="DQ227" s="1108"/>
      <c r="DR227" s="1108"/>
    </row>
    <row r="228" spans="1:122">
      <c r="A228" s="1686" t="s">
        <v>789</v>
      </c>
      <c r="B228" s="1437">
        <f>5682.8+221-B225-B226-B227</f>
        <v>3456.5000000000005</v>
      </c>
      <c r="C228" s="1437">
        <f>5211.2+1356.7-C225-C226-C227</f>
        <v>3039.599999999999</v>
      </c>
      <c r="D228" s="1437">
        <f>750.5-D223</f>
        <v>615.70000000000005</v>
      </c>
      <c r="E228" s="1437">
        <f>904.5-E223</f>
        <v>762.3</v>
      </c>
      <c r="F228" s="1357">
        <f>G228</f>
        <v>0</v>
      </c>
      <c r="G228" s="1437">
        <v>0</v>
      </c>
      <c r="H228" s="1722"/>
      <c r="I228" s="1357">
        <f>B228-D228+F228</f>
        <v>2840.8</v>
      </c>
      <c r="J228" s="1437">
        <v>3896.9</v>
      </c>
      <c r="K228" s="1437">
        <v>3751.7</v>
      </c>
      <c r="L228" s="1437">
        <f>3595.6</f>
        <v>3595.6</v>
      </c>
      <c r="M228" s="1437">
        <v>3534.2</v>
      </c>
      <c r="N228" s="1437">
        <v>3617.3</v>
      </c>
      <c r="O228" s="1369"/>
      <c r="P228" s="1357"/>
      <c r="Q228" s="1357"/>
      <c r="R228" s="1437">
        <f>6642.8-R223-R227-R229</f>
        <v>3636.5999999999995</v>
      </c>
      <c r="S228" s="2878">
        <f>6323-S223-S227-S229</f>
        <v>3420.3999999999996</v>
      </c>
      <c r="T228" s="2878">
        <f>6417-T227-T229-T223</f>
        <v>3370</v>
      </c>
      <c r="U228" s="2878">
        <f>6408-U227-U229-U223</f>
        <v>3189</v>
      </c>
      <c r="V228" s="2878">
        <f>6274-V227-V229-V223</f>
        <v>3032</v>
      </c>
      <c r="W228" s="2878">
        <f>6441-W227-W229-W223</f>
        <v>2757.7401574803152</v>
      </c>
      <c r="X228" s="1357"/>
      <c r="Y228" s="1357"/>
      <c r="Z228" s="1437">
        <f>1889</f>
        <v>1889</v>
      </c>
      <c r="AA228" s="1437">
        <f>1807</f>
        <v>1807</v>
      </c>
      <c r="AB228" s="1357"/>
      <c r="AC228" s="1357">
        <f>AC517+AC252</f>
        <v>1668.9242824803341</v>
      </c>
      <c r="AD228" s="1357">
        <f>AD517+AD252</f>
        <v>1740.0642101266517</v>
      </c>
      <c r="AE228" s="1357">
        <f>AE517+AE252</f>
        <v>1829.283590838045</v>
      </c>
      <c r="AF228" s="1357">
        <f t="shared" ref="AF228:AK228" si="371">AF517+AF252</f>
        <v>1839.3443722227184</v>
      </c>
      <c r="AG228" s="1357">
        <f t="shared" si="371"/>
        <v>1868.6061048789607</v>
      </c>
      <c r="AH228" s="1357">
        <f t="shared" si="371"/>
        <v>1950.6920863627101</v>
      </c>
      <c r="AI228" s="1357">
        <f t="shared" si="371"/>
        <v>1900.5127427745649</v>
      </c>
      <c r="AJ228" s="1357">
        <f t="shared" si="371"/>
        <v>1918.9127885299351</v>
      </c>
      <c r="AK228" s="1357">
        <f t="shared" si="371"/>
        <v>1981.3209472561127</v>
      </c>
      <c r="AL228" s="1357">
        <f>AL517+AL252</f>
        <v>1924.8251545691101</v>
      </c>
      <c r="AM228" s="1357">
        <f>AM517+AM252</f>
        <v>1924.9370390683093</v>
      </c>
      <c r="AN228" s="1357">
        <f>AN517+AN252</f>
        <v>2008.8994052261139</v>
      </c>
      <c r="AO228" s="90"/>
      <c r="AP228" s="1357"/>
      <c r="AQ228" s="1357"/>
      <c r="AR228" s="1357"/>
      <c r="AS228" s="1357"/>
      <c r="AT228" s="1562"/>
      <c r="AU228" s="1108"/>
      <c r="AV228" s="1108"/>
      <c r="AW228" s="1689"/>
      <c r="AX228" s="1108"/>
      <c r="AY228" s="1108"/>
      <c r="AZ228" s="1700"/>
      <c r="BA228" s="1108"/>
      <c r="BB228" s="1108"/>
      <c r="BC228" s="1108"/>
      <c r="BD228" s="1108"/>
      <c r="BE228" s="1108"/>
      <c r="BF228" s="1108"/>
      <c r="BG228" s="1108"/>
      <c r="BH228" s="1108"/>
      <c r="BI228" s="1700"/>
      <c r="BJ228" s="1700"/>
      <c r="BK228" s="1700"/>
      <c r="BL228" s="1700"/>
      <c r="BM228" s="1700"/>
      <c r="BN228" s="1700"/>
      <c r="BO228" s="1108"/>
      <c r="BP228" s="1700"/>
      <c r="BQ228" s="1700"/>
      <c r="BR228" s="1700"/>
      <c r="BS228" s="1700"/>
      <c r="BT228" s="1108"/>
      <c r="BU228" s="1108"/>
      <c r="BV228" s="1108"/>
      <c r="BW228" s="1108"/>
      <c r="BX228" s="1108"/>
      <c r="BY228" s="1108"/>
      <c r="BZ228" s="1108"/>
      <c r="CA228" s="1108"/>
      <c r="CB228" s="1108"/>
      <c r="CC228" s="1108"/>
      <c r="CD228" s="1108"/>
      <c r="CE228" s="1108"/>
      <c r="CF228" s="1108"/>
      <c r="CG228" s="1108"/>
      <c r="CH228" s="1108"/>
      <c r="CI228" s="1108"/>
      <c r="CJ228" s="1108"/>
      <c r="CK228" s="1108"/>
      <c r="CL228" s="1108"/>
      <c r="CM228" s="1108"/>
      <c r="CN228" s="1108"/>
      <c r="CO228" s="1108"/>
      <c r="CP228" s="1108"/>
      <c r="CQ228" s="1108"/>
      <c r="CR228" s="1108"/>
      <c r="CS228" s="1108"/>
      <c r="CT228" s="1470"/>
      <c r="CU228" s="1470"/>
      <c r="CV228" s="1470"/>
      <c r="CW228" s="1108"/>
      <c r="CX228" s="1108"/>
      <c r="CY228" s="1470"/>
      <c r="CZ228" s="1470"/>
      <c r="DA228" s="1470"/>
      <c r="DB228" s="1108"/>
      <c r="DC228" s="2862"/>
      <c r="DD228" s="1108"/>
      <c r="DE228" s="1108"/>
      <c r="DF228" s="1108"/>
      <c r="DG228" s="1108"/>
      <c r="DH228" s="1108"/>
      <c r="DI228" s="1108"/>
      <c r="DJ228" s="1108"/>
      <c r="DK228" s="1108"/>
      <c r="DL228" s="1108"/>
      <c r="DM228" s="1108"/>
      <c r="DN228" s="1108"/>
      <c r="DO228" s="1108"/>
      <c r="DP228" s="1108"/>
      <c r="DQ228" s="1108"/>
      <c r="DR228" s="1108"/>
    </row>
    <row r="229" spans="1:122">
      <c r="A229" s="1686" t="s">
        <v>899</v>
      </c>
      <c r="B229" s="1437">
        <v>1159.2</v>
      </c>
      <c r="C229" s="1437">
        <v>633</v>
      </c>
      <c r="D229" s="1437">
        <v>371.4</v>
      </c>
      <c r="E229" s="1437">
        <v>46.5</v>
      </c>
      <c r="F229" s="1357">
        <f>G229</f>
        <v>0</v>
      </c>
      <c r="G229" s="1437">
        <v>0</v>
      </c>
      <c r="H229" s="1722"/>
      <c r="I229" s="1357">
        <f>B229-D229+F229</f>
        <v>787.80000000000007</v>
      </c>
      <c r="J229" s="1437">
        <v>2001.9</v>
      </c>
      <c r="K229" s="1437">
        <f>491.2-153.2</f>
        <v>338</v>
      </c>
      <c r="L229" s="1437">
        <v>658.9</v>
      </c>
      <c r="M229" s="1437">
        <v>305.8</v>
      </c>
      <c r="N229" s="1437">
        <v>280.2</v>
      </c>
      <c r="O229" s="1369"/>
      <c r="P229" s="1437"/>
      <c r="Q229" s="1437"/>
      <c r="R229" s="1437">
        <v>256.89999999999998</v>
      </c>
      <c r="S229" s="1437">
        <v>202.4</v>
      </c>
      <c r="T229" s="1437">
        <v>183</v>
      </c>
      <c r="U229" s="1357">
        <f>T229</f>
        <v>183</v>
      </c>
      <c r="V229" s="1357">
        <f>U229+V297</f>
        <v>183</v>
      </c>
      <c r="W229" s="1357">
        <v>0</v>
      </c>
      <c r="X229" s="1357"/>
      <c r="Y229" s="1357"/>
      <c r="Z229" s="1437">
        <v>1139</v>
      </c>
      <c r="AA229" s="1437">
        <v>2451</v>
      </c>
      <c r="AB229" s="1357"/>
      <c r="AC229" s="1437">
        <v>0</v>
      </c>
      <c r="AD229" s="1437">
        <f>AC229</f>
        <v>0</v>
      </c>
      <c r="AE229" s="1437">
        <f t="shared" ref="AE229:AH229" si="372">AD229</f>
        <v>0</v>
      </c>
      <c r="AF229" s="1437">
        <f t="shared" si="372"/>
        <v>0</v>
      </c>
      <c r="AG229" s="1437">
        <f t="shared" si="372"/>
        <v>0</v>
      </c>
      <c r="AH229" s="1437">
        <f t="shared" si="372"/>
        <v>0</v>
      </c>
      <c r="AI229" s="1437">
        <f t="shared" ref="AI229:AN229" si="373">AH229</f>
        <v>0</v>
      </c>
      <c r="AJ229" s="1437">
        <f t="shared" si="373"/>
        <v>0</v>
      </c>
      <c r="AK229" s="1437">
        <f t="shared" si="373"/>
        <v>0</v>
      </c>
      <c r="AL229" s="1437">
        <f t="shared" si="373"/>
        <v>0</v>
      </c>
      <c r="AM229" s="1437">
        <f t="shared" si="373"/>
        <v>0</v>
      </c>
      <c r="AN229" s="1437">
        <f t="shared" si="373"/>
        <v>0</v>
      </c>
      <c r="AO229" s="90"/>
      <c r="AP229" s="1357"/>
      <c r="AQ229" s="1357"/>
      <c r="AR229" s="1357"/>
      <c r="AS229" s="1357"/>
      <c r="AT229" s="1562"/>
      <c r="AU229" s="1108"/>
      <c r="AV229" s="1108"/>
      <c r="AW229" s="1689"/>
      <c r="AX229" s="1108"/>
      <c r="AY229" s="1108"/>
      <c r="AZ229" s="1700"/>
      <c r="BA229" s="1108"/>
      <c r="BB229" s="1108"/>
      <c r="BC229" s="1108"/>
      <c r="BD229" s="1108"/>
      <c r="BE229" s="1108"/>
      <c r="BF229" s="1108"/>
      <c r="BG229" s="1108"/>
      <c r="BH229" s="1108"/>
      <c r="BI229" s="1700"/>
      <c r="BJ229" s="1700"/>
      <c r="BK229" s="1700"/>
      <c r="BL229" s="1700"/>
      <c r="BM229" s="1700"/>
      <c r="BN229" s="1700"/>
      <c r="BO229" s="1108"/>
      <c r="BP229" s="1700"/>
      <c r="BQ229" s="1700"/>
      <c r="BR229" s="1700"/>
      <c r="BS229" s="1700"/>
      <c r="BT229" s="1108"/>
      <c r="BU229" s="1108"/>
      <c r="BV229" s="1108"/>
      <c r="BW229" s="1108"/>
      <c r="BX229" s="1108"/>
      <c r="BY229" s="1108"/>
      <c r="BZ229" s="1108"/>
      <c r="CA229" s="1108"/>
      <c r="CB229" s="1108"/>
      <c r="CC229" s="1108"/>
      <c r="CD229" s="1108"/>
      <c r="CE229" s="1108"/>
      <c r="CF229" s="1108"/>
      <c r="CG229" s="1108"/>
      <c r="CH229" s="1108"/>
      <c r="CI229" s="1108"/>
      <c r="CJ229" s="1108"/>
      <c r="CK229" s="1108"/>
      <c r="CL229" s="1108"/>
      <c r="CM229" s="1108"/>
      <c r="CN229" s="1108"/>
      <c r="CO229" s="1108"/>
      <c r="CP229" s="1108"/>
      <c r="CQ229" s="1108"/>
      <c r="CR229" s="1108"/>
      <c r="CS229" s="1108"/>
      <c r="CT229" s="1470"/>
      <c r="CU229" s="1470"/>
      <c r="CV229" s="1470"/>
      <c r="CW229" s="1108"/>
      <c r="CX229" s="1108"/>
      <c r="CY229" s="1470"/>
      <c r="CZ229" s="1470"/>
      <c r="DA229" s="1470"/>
      <c r="DB229" s="1108"/>
      <c r="DC229" s="2862"/>
      <c r="DD229" s="1108"/>
      <c r="DE229" s="1108"/>
      <c r="DF229" s="1108"/>
      <c r="DG229" s="1108"/>
      <c r="DH229" s="1108"/>
      <c r="DI229" s="1108"/>
      <c r="DJ229" s="1108"/>
      <c r="DK229" s="1108"/>
      <c r="DL229" s="1108"/>
      <c r="DM229" s="1108"/>
      <c r="DN229" s="1108"/>
      <c r="DO229" s="1108"/>
      <c r="DP229" s="1108"/>
      <c r="DQ229" s="1108"/>
      <c r="DR229" s="1108"/>
    </row>
    <row r="230" spans="1:122">
      <c r="A230" s="1686" t="s">
        <v>788</v>
      </c>
      <c r="B230" s="1437">
        <v>12.4</v>
      </c>
      <c r="C230" s="1437">
        <v>10.9</v>
      </c>
      <c r="D230" s="1437">
        <v>10.6</v>
      </c>
      <c r="E230" s="1437">
        <v>11.3</v>
      </c>
      <c r="F230" s="1357">
        <f t="shared" ref="F230:G232" si="374">I230-(B230-D230)</f>
        <v>-1.8000000000000007</v>
      </c>
      <c r="G230" s="1357">
        <f t="shared" si="374"/>
        <v>11.3</v>
      </c>
      <c r="H230" s="1722"/>
      <c r="I230" s="1437">
        <v>0</v>
      </c>
      <c r="J230" s="1437">
        <v>10.9</v>
      </c>
      <c r="K230" s="1635">
        <v>1.7</v>
      </c>
      <c r="L230" s="1635">
        <v>1</v>
      </c>
      <c r="M230" s="1635">
        <v>1.5</v>
      </c>
      <c r="N230" s="1635">
        <v>0</v>
      </c>
      <c r="O230" s="1369"/>
      <c r="P230" s="1105"/>
      <c r="Q230" s="1105"/>
      <c r="R230" s="1105">
        <f>N230-R43</f>
        <v>0</v>
      </c>
      <c r="S230" s="1105">
        <f>R230-S43</f>
        <v>0</v>
      </c>
      <c r="T230" s="1105">
        <f>S230-T43</f>
        <v>0</v>
      </c>
      <c r="U230" s="1105">
        <f>T230-U43</f>
        <v>0</v>
      </c>
      <c r="V230" s="1437">
        <v>0</v>
      </c>
      <c r="W230" s="1105">
        <f>V230-W43</f>
        <v>0</v>
      </c>
      <c r="X230" s="1105"/>
      <c r="Y230" s="1105"/>
      <c r="Z230" s="1105">
        <f>W230-Z43</f>
        <v>0</v>
      </c>
      <c r="AA230" s="1105">
        <f>Z230-AA43</f>
        <v>0</v>
      </c>
      <c r="AB230" s="1105"/>
      <c r="AC230" s="1105">
        <f>AA230-AC43</f>
        <v>0</v>
      </c>
      <c r="AD230" s="1105">
        <f>AC230-AD43</f>
        <v>0</v>
      </c>
      <c r="AE230" s="1105">
        <f t="shared" ref="AE230:AN230" si="375">AD230-AE43</f>
        <v>0</v>
      </c>
      <c r="AF230" s="1105">
        <f t="shared" si="375"/>
        <v>0</v>
      </c>
      <c r="AG230" s="1105">
        <f t="shared" si="375"/>
        <v>0</v>
      </c>
      <c r="AH230" s="1105">
        <f t="shared" si="375"/>
        <v>0</v>
      </c>
      <c r="AI230" s="1105">
        <f t="shared" si="375"/>
        <v>0</v>
      </c>
      <c r="AJ230" s="1105">
        <f t="shared" si="375"/>
        <v>0</v>
      </c>
      <c r="AK230" s="1105">
        <f t="shared" si="375"/>
        <v>0</v>
      </c>
      <c r="AL230" s="1105">
        <f t="shared" si="375"/>
        <v>0</v>
      </c>
      <c r="AM230" s="1105">
        <f t="shared" si="375"/>
        <v>0</v>
      </c>
      <c r="AN230" s="1105">
        <f t="shared" si="375"/>
        <v>0</v>
      </c>
      <c r="AO230" s="90"/>
      <c r="AP230" s="1105"/>
      <c r="AQ230" s="1105"/>
      <c r="AR230" s="1105"/>
      <c r="AS230" s="1105"/>
      <c r="AT230" s="1562"/>
      <c r="AU230" s="1357"/>
      <c r="AV230" s="1108"/>
      <c r="AW230" s="1689"/>
      <c r="AX230" s="1108"/>
      <c r="AY230" s="1108"/>
      <c r="AZ230" s="1700"/>
      <c r="BA230" s="1108"/>
      <c r="BB230" s="1108"/>
      <c r="BC230" s="1108"/>
      <c r="BD230" s="1108"/>
      <c r="BE230" s="1108"/>
      <c r="BF230" s="1108"/>
      <c r="BG230" s="1108"/>
      <c r="BH230" s="1108"/>
      <c r="BI230" s="1700"/>
      <c r="BJ230" s="1700"/>
      <c r="BK230" s="1700"/>
      <c r="BL230" s="1700"/>
      <c r="BM230" s="1700"/>
      <c r="BN230" s="1700"/>
      <c r="BO230" s="1108"/>
      <c r="BP230" s="1700"/>
      <c r="BQ230" s="1700"/>
      <c r="BR230" s="1700"/>
      <c r="BS230" s="1700"/>
      <c r="BT230" s="1108"/>
      <c r="BU230" s="1108"/>
      <c r="BV230" s="1108"/>
      <c r="BW230" s="1108"/>
      <c r="BX230" s="1108"/>
      <c r="BY230" s="1108"/>
      <c r="BZ230" s="1108"/>
      <c r="CA230" s="1108"/>
      <c r="CB230" s="1108"/>
      <c r="CC230" s="1108"/>
      <c r="CD230" s="1108"/>
      <c r="CE230" s="1108"/>
      <c r="CF230" s="1108"/>
      <c r="CG230" s="1108"/>
      <c r="CH230" s="1108"/>
      <c r="CI230" s="1108"/>
      <c r="CJ230" s="1108"/>
      <c r="CK230" s="1108"/>
      <c r="CL230" s="1108"/>
      <c r="CM230" s="1108"/>
      <c r="CN230" s="1108"/>
      <c r="CO230" s="1108"/>
      <c r="CP230" s="1108"/>
      <c r="CQ230" s="1108"/>
      <c r="CR230" s="1108"/>
      <c r="CS230" s="1108"/>
      <c r="CT230" s="1470"/>
      <c r="CU230" s="1470"/>
      <c r="CV230" s="1470"/>
      <c r="CW230" s="1108"/>
      <c r="CX230" s="1108"/>
      <c r="CY230" s="1470"/>
      <c r="CZ230" s="1470"/>
      <c r="DA230" s="1470"/>
      <c r="DB230" s="1108"/>
      <c r="DC230" s="2862"/>
      <c r="DD230" s="1108"/>
      <c r="DE230" s="1108"/>
      <c r="DF230" s="1108"/>
      <c r="DG230" s="1108"/>
      <c r="DH230" s="1108"/>
      <c r="DI230" s="1108"/>
      <c r="DJ230" s="1108"/>
      <c r="DK230" s="1108"/>
      <c r="DL230" s="1108"/>
      <c r="DM230" s="1108"/>
      <c r="DN230" s="1108"/>
      <c r="DO230" s="1108"/>
      <c r="DP230" s="1108"/>
      <c r="DQ230" s="1108"/>
      <c r="DR230" s="1108"/>
    </row>
    <row r="231" spans="1:122">
      <c r="A231" s="1686" t="s">
        <v>900</v>
      </c>
      <c r="B231" s="1437">
        <v>614.6</v>
      </c>
      <c r="C231" s="1437">
        <v>0</v>
      </c>
      <c r="D231" s="1437">
        <v>614.6</v>
      </c>
      <c r="E231" s="1437">
        <v>0.1</v>
      </c>
      <c r="F231" s="1357">
        <f t="shared" si="374"/>
        <v>0</v>
      </c>
      <c r="G231" s="1357">
        <f t="shared" si="374"/>
        <v>0.1</v>
      </c>
      <c r="H231" s="1722"/>
      <c r="I231" s="1437">
        <v>0</v>
      </c>
      <c r="J231" s="1437">
        <v>0</v>
      </c>
      <c r="K231" s="1437">
        <v>0</v>
      </c>
      <c r="L231" s="1437">
        <v>0</v>
      </c>
      <c r="M231" s="1437">
        <v>0</v>
      </c>
      <c r="N231" s="1437">
        <v>0</v>
      </c>
      <c r="O231" s="1369"/>
      <c r="P231" s="1437"/>
      <c r="Q231" s="1437"/>
      <c r="R231" s="1437">
        <v>0</v>
      </c>
      <c r="S231" s="1437">
        <v>0</v>
      </c>
      <c r="T231" s="1437">
        <v>0</v>
      </c>
      <c r="U231" s="1437">
        <v>0</v>
      </c>
      <c r="V231" s="1437">
        <v>0</v>
      </c>
      <c r="W231" s="1437">
        <v>118</v>
      </c>
      <c r="X231" s="1437"/>
      <c r="Y231" s="1437"/>
      <c r="Z231" s="1437">
        <v>0</v>
      </c>
      <c r="AA231" s="1437">
        <v>0</v>
      </c>
      <c r="AB231" s="1437"/>
      <c r="AC231" s="1437">
        <v>0</v>
      </c>
      <c r="AD231" s="1437">
        <v>0</v>
      </c>
      <c r="AE231" s="1437">
        <v>0</v>
      </c>
      <c r="AF231" s="1437">
        <v>0</v>
      </c>
      <c r="AG231" s="1437">
        <v>0</v>
      </c>
      <c r="AH231" s="1437">
        <v>0</v>
      </c>
      <c r="AI231" s="1437">
        <v>0</v>
      </c>
      <c r="AJ231" s="1437">
        <v>0</v>
      </c>
      <c r="AK231" s="1437">
        <v>0</v>
      </c>
      <c r="AL231" s="1437">
        <v>0</v>
      </c>
      <c r="AM231" s="1437">
        <v>0</v>
      </c>
      <c r="AN231" s="1437">
        <v>0</v>
      </c>
      <c r="AO231" s="90"/>
      <c r="AP231" s="1437"/>
      <c r="AQ231" s="1437"/>
      <c r="AR231" s="1437"/>
      <c r="AS231" s="1437"/>
      <c r="AT231" s="1562"/>
      <c r="AU231" s="1108"/>
      <c r="AV231" s="1108"/>
      <c r="AW231" s="1689"/>
      <c r="AX231" s="1108"/>
      <c r="AY231" s="1108"/>
      <c r="AZ231" s="1700"/>
      <c r="BA231" s="1108"/>
      <c r="BB231" s="1108"/>
      <c r="BC231" s="1108"/>
      <c r="BD231" s="1108"/>
      <c r="BE231" s="1108"/>
      <c r="BF231" s="1108"/>
      <c r="BG231" s="1108"/>
      <c r="BH231" s="1108"/>
      <c r="BI231" s="1700"/>
      <c r="BJ231" s="1700"/>
      <c r="BK231" s="1700"/>
      <c r="BL231" s="1700"/>
      <c r="BM231" s="1700"/>
      <c r="BN231" s="1700"/>
      <c r="BO231" s="1108"/>
      <c r="BP231" s="1700"/>
      <c r="BQ231" s="1700"/>
      <c r="BR231" s="1700"/>
      <c r="BS231" s="1700"/>
      <c r="BT231" s="1108"/>
      <c r="BU231" s="1108"/>
      <c r="BV231" s="1108"/>
      <c r="BW231" s="1108"/>
      <c r="BX231" s="1108"/>
      <c r="BY231" s="1108"/>
      <c r="BZ231" s="1108"/>
      <c r="CA231" s="1108"/>
      <c r="CB231" s="1108"/>
      <c r="CC231" s="1108"/>
      <c r="CD231" s="1108"/>
      <c r="CE231" s="1108"/>
      <c r="CF231" s="1108"/>
      <c r="CG231" s="1108"/>
      <c r="CH231" s="1108"/>
      <c r="CI231" s="1108"/>
      <c r="CJ231" s="1108"/>
      <c r="CK231" s="1108"/>
      <c r="CL231" s="1108"/>
      <c r="CM231" s="1108"/>
      <c r="CN231" s="1108"/>
      <c r="CO231" s="1108"/>
      <c r="CP231" s="1108"/>
      <c r="CQ231" s="1108"/>
      <c r="CR231" s="1108"/>
      <c r="CS231" s="1108"/>
      <c r="CT231" s="1470"/>
      <c r="CU231" s="1470"/>
      <c r="CV231" s="1470"/>
      <c r="CW231" s="1108"/>
      <c r="CX231" s="1108"/>
      <c r="CY231" s="1470"/>
      <c r="CZ231" s="1470"/>
      <c r="DA231" s="1470"/>
      <c r="DB231" s="1108"/>
      <c r="DC231" s="2862"/>
      <c r="DD231" s="1108"/>
      <c r="DE231" s="1108"/>
      <c r="DF231" s="1108"/>
      <c r="DG231" s="1108"/>
      <c r="DH231" s="1108"/>
      <c r="DI231" s="1108"/>
      <c r="DJ231" s="1108"/>
      <c r="DK231" s="1108"/>
      <c r="DL231" s="1108"/>
      <c r="DM231" s="1108"/>
      <c r="DN231" s="1108"/>
      <c r="DO231" s="1108"/>
      <c r="DP231" s="1108"/>
      <c r="DQ231" s="1108"/>
      <c r="DR231" s="1108"/>
    </row>
    <row r="232" spans="1:122">
      <c r="A232" s="1709" t="s">
        <v>792</v>
      </c>
      <c r="B232" s="1437">
        <f>1.3+17.3</f>
        <v>18.600000000000001</v>
      </c>
      <c r="C232" s="1437">
        <f>1.3+17.4</f>
        <v>18.7</v>
      </c>
      <c r="D232" s="1437">
        <v>0</v>
      </c>
      <c r="E232" s="1437">
        <v>0</v>
      </c>
      <c r="F232" s="1357">
        <f t="shared" si="374"/>
        <v>-17.8</v>
      </c>
      <c r="G232" s="1357">
        <f t="shared" si="374"/>
        <v>0</v>
      </c>
      <c r="H232" s="1720"/>
      <c r="I232" s="1437">
        <f>0.7+0.1</f>
        <v>0.79999999999999993</v>
      </c>
      <c r="J232" s="1437">
        <f>1.3+17.4</f>
        <v>18.7</v>
      </c>
      <c r="K232" s="1437">
        <f>0.7+0.1</f>
        <v>0.79999999999999993</v>
      </c>
      <c r="L232" s="1437">
        <v>0.8</v>
      </c>
      <c r="M232" s="1437">
        <v>0.8</v>
      </c>
      <c r="N232" s="1437">
        <v>0.8</v>
      </c>
      <c r="O232" s="1369"/>
      <c r="P232" s="1357"/>
      <c r="Q232" s="1357"/>
      <c r="R232" s="1437">
        <v>0.8</v>
      </c>
      <c r="S232" s="1437">
        <v>0.8</v>
      </c>
      <c r="T232" s="1437">
        <v>1</v>
      </c>
      <c r="U232" s="1357">
        <f t="shared" ref="U232:AF232" si="376">T232</f>
        <v>1</v>
      </c>
      <c r="V232" s="1357">
        <f t="shared" si="376"/>
        <v>1</v>
      </c>
      <c r="W232" s="1357">
        <f>V232</f>
        <v>1</v>
      </c>
      <c r="X232" s="1357"/>
      <c r="Y232" s="1357"/>
      <c r="Z232" s="1357">
        <v>1</v>
      </c>
      <c r="AA232" s="1357">
        <v>1</v>
      </c>
      <c r="AB232" s="1357"/>
      <c r="AC232" s="1357">
        <f>AA232</f>
        <v>1</v>
      </c>
      <c r="AD232" s="1357">
        <f t="shared" si="376"/>
        <v>1</v>
      </c>
      <c r="AE232" s="1357">
        <f t="shared" si="376"/>
        <v>1</v>
      </c>
      <c r="AF232" s="1357">
        <f t="shared" si="376"/>
        <v>1</v>
      </c>
      <c r="AG232" s="1357">
        <f t="shared" ref="AG232:AN232" si="377">AF232</f>
        <v>1</v>
      </c>
      <c r="AH232" s="1357">
        <f t="shared" si="377"/>
        <v>1</v>
      </c>
      <c r="AI232" s="1357">
        <f t="shared" si="377"/>
        <v>1</v>
      </c>
      <c r="AJ232" s="1357">
        <f t="shared" si="377"/>
        <v>1</v>
      </c>
      <c r="AK232" s="1357">
        <f t="shared" si="377"/>
        <v>1</v>
      </c>
      <c r="AL232" s="1357">
        <f t="shared" si="377"/>
        <v>1</v>
      </c>
      <c r="AM232" s="1357">
        <f t="shared" si="377"/>
        <v>1</v>
      </c>
      <c r="AN232" s="1357">
        <f t="shared" si="377"/>
        <v>1</v>
      </c>
      <c r="AO232" s="90"/>
      <c r="AP232" s="1357"/>
      <c r="AQ232" s="1357"/>
      <c r="AR232" s="1357"/>
      <c r="AS232" s="1357"/>
      <c r="AT232" s="1562"/>
      <c r="AU232" s="1108"/>
      <c r="AV232" s="1108"/>
      <c r="AW232" s="1689"/>
      <c r="AX232" s="1108"/>
      <c r="AY232" s="1108"/>
      <c r="AZ232" s="1700"/>
      <c r="BA232" s="1108"/>
      <c r="BB232" s="1108"/>
      <c r="BC232" s="1108"/>
      <c r="BD232" s="1108"/>
      <c r="BE232" s="1108"/>
      <c r="BF232" s="1108"/>
      <c r="BG232" s="1108"/>
      <c r="BH232" s="1108"/>
      <c r="BI232" s="1700"/>
      <c r="BJ232" s="1700"/>
      <c r="BK232" s="1700"/>
      <c r="BL232" s="1700"/>
      <c r="BM232" s="1700"/>
      <c r="BN232" s="1700"/>
      <c r="BO232" s="1108"/>
      <c r="BP232" s="1700"/>
      <c r="BQ232" s="1700"/>
      <c r="BR232" s="1700"/>
      <c r="BS232" s="1700"/>
      <c r="BT232" s="1108"/>
      <c r="BU232" s="1108"/>
      <c r="BV232" s="1108"/>
      <c r="BW232" s="1108"/>
      <c r="BX232" s="1108"/>
      <c r="BY232" s="1108"/>
      <c r="BZ232" s="1108"/>
      <c r="CA232" s="1108"/>
      <c r="CB232" s="1108"/>
      <c r="CC232" s="1108"/>
      <c r="CD232" s="1108"/>
      <c r="CE232" s="1108"/>
      <c r="CF232" s="1108"/>
      <c r="CG232" s="1108"/>
      <c r="CH232" s="1108"/>
      <c r="CI232" s="1108"/>
      <c r="CJ232" s="1108"/>
      <c r="CK232" s="1108"/>
      <c r="CL232" s="1108"/>
      <c r="CM232" s="1108"/>
      <c r="CN232" s="1108"/>
      <c r="CO232" s="1108"/>
      <c r="CP232" s="1108"/>
      <c r="CQ232" s="1108"/>
      <c r="CR232" s="1108"/>
      <c r="CS232" s="1108"/>
      <c r="CT232" s="1470"/>
      <c r="CU232" s="1470"/>
      <c r="CV232" s="1470"/>
      <c r="CW232" s="1108"/>
      <c r="CX232" s="1108"/>
      <c r="CY232" s="1470"/>
      <c r="CZ232" s="1470"/>
      <c r="DA232" s="1470"/>
      <c r="DB232" s="1108"/>
      <c r="DC232" s="2862"/>
      <c r="DD232" s="1108"/>
      <c r="DE232" s="1108"/>
      <c r="DF232" s="1108"/>
      <c r="DG232" s="1108"/>
      <c r="DH232" s="1108"/>
      <c r="DI232" s="1108"/>
      <c r="DJ232" s="1108"/>
      <c r="DK232" s="1108"/>
      <c r="DL232" s="1108"/>
      <c r="DM232" s="1108"/>
      <c r="DN232" s="1108"/>
      <c r="DO232" s="1108"/>
      <c r="DP232" s="1108"/>
      <c r="DQ232" s="1108"/>
      <c r="DR232" s="1108"/>
    </row>
    <row r="233" spans="1:122">
      <c r="A233" s="1709" t="s">
        <v>523</v>
      </c>
      <c r="B233" s="1437">
        <v>3141.9</v>
      </c>
      <c r="C233" s="1655">
        <v>-14747.3</v>
      </c>
      <c r="D233" s="1437">
        <v>0</v>
      </c>
      <c r="E233" s="1437">
        <v>0</v>
      </c>
      <c r="F233" s="1357">
        <f>G233</f>
        <v>-2.8</v>
      </c>
      <c r="G233" s="1437">
        <v>-2.8</v>
      </c>
      <c r="H233" s="1722"/>
      <c r="I233" s="1357">
        <f>B233-D233+F233</f>
        <v>3139.1</v>
      </c>
      <c r="J233" s="1357">
        <v>-14747.3</v>
      </c>
      <c r="K233" s="1357">
        <v>-21836.400000000001</v>
      </c>
      <c r="L233" s="1437">
        <v>-20175.900000000001</v>
      </c>
      <c r="M233" s="1437">
        <v>-18924.8</v>
      </c>
      <c r="N233" s="1357">
        <v>-30598.2</v>
      </c>
      <c r="O233" s="1369"/>
      <c r="P233" s="1357"/>
      <c r="Q233" s="1357"/>
      <c r="R233" s="1357">
        <v>-30371.7</v>
      </c>
      <c r="S233" s="1357">
        <v>-29647.5</v>
      </c>
      <c r="T233" s="1655">
        <v>-28343</v>
      </c>
      <c r="U233" s="1357">
        <f>T233+U52+U295+U256</f>
        <v>-26892</v>
      </c>
      <c r="V233" s="1357">
        <f>U233+V52+V295+V256+V281</f>
        <v>-24861</v>
      </c>
      <c r="W233" s="1357">
        <f>V233+W52+W295+W256+W281</f>
        <v>-22040</v>
      </c>
      <c r="X233" s="1357"/>
      <c r="Y233" s="1357"/>
      <c r="Z233" s="1357">
        <f>-20518</f>
        <v>-20518</v>
      </c>
      <c r="AA233" s="1357">
        <v>-19257</v>
      </c>
      <c r="AB233" s="1357"/>
      <c r="AC233" s="1655">
        <f ca="1">AA233+(AC52-AC48)+AC295+AC256</f>
        <v>-17667.796980496125</v>
      </c>
      <c r="AD233" s="1357">
        <f t="shared" ref="AD233:AN233" ca="1" si="378">AC233+AD52+AD295+AD256</f>
        <v>-15841.741403400893</v>
      </c>
      <c r="AE233" s="1357">
        <f t="shared" ca="1" si="378"/>
        <v>-13891.4043983594</v>
      </c>
      <c r="AF233" s="1357">
        <f t="shared" ca="1" si="378"/>
        <v>-11674.524100580378</v>
      </c>
      <c r="AG233" s="1357">
        <f t="shared" ca="1" si="378"/>
        <v>-9364.4419637133014</v>
      </c>
      <c r="AH233" s="1357">
        <f t="shared" ca="1" si="378"/>
        <v>-6856.5974498678588</v>
      </c>
      <c r="AI233" s="1357">
        <f t="shared" ca="1" si="378"/>
        <v>-4467.2665819861759</v>
      </c>
      <c r="AJ233" s="1357">
        <f t="shared" ca="1" si="378"/>
        <v>-1988.0006446946713</v>
      </c>
      <c r="AK233" s="1357">
        <f t="shared" ca="1" si="378"/>
        <v>503.25198508754414</v>
      </c>
      <c r="AL233" s="1357">
        <f t="shared" ca="1" si="378"/>
        <v>2965.7739811915717</v>
      </c>
      <c r="AM233" s="1357">
        <f t="shared" ca="1" si="378"/>
        <v>5398.1070240447807</v>
      </c>
      <c r="AN233" s="1357">
        <f t="shared" ca="1" si="378"/>
        <v>7978.4638419191642</v>
      </c>
      <c r="AO233" s="90"/>
      <c r="AP233" s="1357"/>
      <c r="AQ233" s="1357"/>
      <c r="AR233" s="1357"/>
      <c r="AS233" s="1357"/>
      <c r="AT233" s="1562"/>
      <c r="AU233" s="1108"/>
      <c r="AV233" s="1108"/>
      <c r="AW233" s="1689"/>
      <c r="AX233" s="1108"/>
      <c r="AY233" s="1108"/>
      <c r="AZ233" s="1700"/>
      <c r="BA233" s="1108"/>
      <c r="BB233" s="1108"/>
      <c r="BC233" s="1108"/>
      <c r="BD233" s="1108"/>
      <c r="BE233" s="1108"/>
      <c r="BF233" s="1108"/>
      <c r="BG233" s="1108"/>
      <c r="BH233" s="1108"/>
      <c r="BI233" s="1700"/>
      <c r="BJ233" s="1700"/>
      <c r="BK233" s="1700"/>
      <c r="BL233" s="1700"/>
      <c r="BM233" s="1700"/>
      <c r="BN233" s="1700"/>
      <c r="BO233" s="1108"/>
      <c r="BP233" s="1700"/>
      <c r="BQ233" s="1700"/>
      <c r="BR233" s="1700"/>
      <c r="BS233" s="1700"/>
      <c r="BT233" s="1108"/>
      <c r="BU233" s="1108"/>
      <c r="BV233" s="1108"/>
      <c r="BW233" s="1108"/>
      <c r="BX233" s="1108"/>
      <c r="BY233" s="1108"/>
      <c r="BZ233" s="1108"/>
      <c r="CA233" s="1108"/>
      <c r="CB233" s="1108"/>
      <c r="CC233" s="1108"/>
      <c r="CD233" s="1108"/>
      <c r="CE233" s="1108"/>
      <c r="CF233" s="1108"/>
      <c r="CG233" s="1108"/>
      <c r="CH233" s="1108"/>
      <c r="CI233" s="1108"/>
      <c r="CJ233" s="1108"/>
      <c r="CK233" s="1108"/>
      <c r="CL233" s="1108"/>
      <c r="CM233" s="1108"/>
      <c r="CN233" s="1108"/>
      <c r="CO233" s="1108"/>
      <c r="CP233" s="1108"/>
      <c r="CQ233" s="1108"/>
      <c r="CR233" s="1108"/>
      <c r="CS233" s="1108"/>
      <c r="CT233" s="1470"/>
      <c r="CU233" s="1470"/>
      <c r="CV233" s="1470"/>
      <c r="CW233" s="1108"/>
      <c r="CX233" s="1108"/>
      <c r="CY233" s="1470"/>
      <c r="CZ233" s="1470"/>
      <c r="DA233" s="1470"/>
      <c r="DB233" s="1108"/>
      <c r="DC233" s="2862"/>
      <c r="DD233" s="1108"/>
      <c r="DE233" s="1108"/>
      <c r="DF233" s="1108"/>
      <c r="DG233" s="1108"/>
      <c r="DH233" s="1108"/>
      <c r="DI233" s="1108"/>
      <c r="DJ233" s="1108"/>
      <c r="DK233" s="1108"/>
      <c r="DL233" s="1108"/>
      <c r="DM233" s="1108"/>
      <c r="DN233" s="1108"/>
      <c r="DO233" s="1108"/>
      <c r="DP233" s="1108"/>
      <c r="DQ233" s="1108"/>
      <c r="DR233" s="1108"/>
    </row>
    <row r="234" spans="1:122">
      <c r="A234" s="1709" t="s">
        <v>1034</v>
      </c>
      <c r="B234" s="1437">
        <v>65840.3</v>
      </c>
      <c r="C234" s="1437">
        <v>66027.7</v>
      </c>
      <c r="D234" s="1693">
        <f>D237-D232-D236-D233-D235</f>
        <v>15844.2</v>
      </c>
      <c r="E234" s="1693">
        <f>E237-E232-E236-E233-E235</f>
        <v>13465.2</v>
      </c>
      <c r="F234" s="1693">
        <f>F237-F236-F235-F233-F232</f>
        <v>3596.4999999999991</v>
      </c>
      <c r="G234" s="1693">
        <f>G237-G236-G235-G233-G232</f>
        <v>-6.8389738316909643E-14</v>
      </c>
      <c r="H234" s="1722"/>
      <c r="I234" s="1357">
        <f>B234-D234+F234</f>
        <v>53592.600000000006</v>
      </c>
      <c r="J234" s="1437">
        <v>66027.7</v>
      </c>
      <c r="K234" s="1437">
        <v>44304.4</v>
      </c>
      <c r="L234" s="1437">
        <v>44259.3</v>
      </c>
      <c r="M234" s="1437">
        <v>44089.599999999999</v>
      </c>
      <c r="N234" s="1437">
        <v>43495</v>
      </c>
      <c r="O234" s="1369"/>
      <c r="P234" s="1357"/>
      <c r="Q234" s="1357"/>
      <c r="R234" s="1437">
        <v>43479.199999999997</v>
      </c>
      <c r="S234" s="1437">
        <v>43442.5</v>
      </c>
      <c r="T234" s="1655">
        <v>43395</v>
      </c>
      <c r="U234" s="1655">
        <f>10213-U233-U235-U236-U232</f>
        <v>42249</v>
      </c>
      <c r="V234" s="1655">
        <f>9966-V233-V235-V236-V232</f>
        <v>39971</v>
      </c>
      <c r="W234" s="1655">
        <f>6970-W233-W235-W236-W232</f>
        <v>34154</v>
      </c>
      <c r="X234" s="1357"/>
      <c r="Y234" s="1357"/>
      <c r="Z234" s="1655">
        <v>44055</v>
      </c>
      <c r="AA234" s="1655">
        <v>43913</v>
      </c>
      <c r="AB234" s="1357"/>
      <c r="AC234" s="1655">
        <f>AA234+AC293+AC289+AC294-(AA192+AA206-AA218-AA229)</f>
        <v>40862.316077805932</v>
      </c>
      <c r="AD234" s="1357">
        <f>AC234+AD293+AD289+AD294</f>
        <v>40027.080046204319</v>
      </c>
      <c r="AE234" s="1357">
        <f>AD234+AE293+AE289+AE294</f>
        <v>38606.545977322014</v>
      </c>
      <c r="AF234" s="1357">
        <f t="shared" ref="AF234:AN234" si="379">AE234+AF293+AF289+AF294</f>
        <v>37157.600373954454</v>
      </c>
      <c r="AG234" s="1357">
        <f t="shared" si="379"/>
        <v>35696.481422543788</v>
      </c>
      <c r="AH234" s="1357">
        <f t="shared" si="379"/>
        <v>34224.994458296067</v>
      </c>
      <c r="AI234" s="1357">
        <f t="shared" si="379"/>
        <v>32745.255521258652</v>
      </c>
      <c r="AJ234" s="1357">
        <f t="shared" si="379"/>
        <v>31259.73406813441</v>
      </c>
      <c r="AK234" s="1357">
        <f t="shared" si="379"/>
        <v>29771.301392798152</v>
      </c>
      <c r="AL234" s="1357">
        <f t="shared" si="379"/>
        <v>28283.285515330324</v>
      </c>
      <c r="AM234" s="1357">
        <f t="shared" si="379"/>
        <v>26799.533400449462</v>
      </c>
      <c r="AN234" s="1357">
        <f t="shared" si="379"/>
        <v>25324.48148073363</v>
      </c>
      <c r="AO234" s="90"/>
      <c r="AP234" s="1357"/>
      <c r="AQ234" s="1357"/>
      <c r="AR234" s="1357"/>
      <c r="AS234" s="1357"/>
      <c r="AT234" s="1562"/>
      <c r="AU234" s="1108"/>
      <c r="AV234" s="1108"/>
      <c r="AW234" s="1689"/>
      <c r="AX234" s="1108"/>
      <c r="AY234" s="1108"/>
      <c r="AZ234" s="1700"/>
      <c r="BA234" s="1108"/>
      <c r="BB234" s="1108"/>
      <c r="BC234" s="1108"/>
      <c r="BD234" s="1108"/>
      <c r="BE234" s="1108"/>
      <c r="BF234" s="1108"/>
      <c r="BG234" s="1108"/>
      <c r="BH234" s="1108"/>
      <c r="BI234" s="1700"/>
      <c r="BJ234" s="1700"/>
      <c r="BK234" s="1700"/>
      <c r="BL234" s="1700"/>
      <c r="BM234" s="1700"/>
      <c r="BN234" s="1700"/>
      <c r="BO234" s="1108"/>
      <c r="BP234" s="1700"/>
      <c r="BQ234" s="1700"/>
      <c r="BR234" s="1700"/>
      <c r="BS234" s="1700"/>
      <c r="BT234" s="1108"/>
      <c r="BU234" s="1108"/>
      <c r="BV234" s="1108"/>
      <c r="BW234" s="1108"/>
      <c r="BX234" s="1108"/>
      <c r="BY234" s="1108"/>
      <c r="BZ234" s="1108"/>
      <c r="CA234" s="1108"/>
      <c r="CB234" s="1108"/>
      <c r="CC234" s="1108"/>
      <c r="CD234" s="1108"/>
      <c r="CE234" s="1108"/>
      <c r="CF234" s="1108"/>
      <c r="CG234" s="1108"/>
      <c r="CH234" s="1108"/>
      <c r="CI234" s="1108"/>
      <c r="CJ234" s="1108"/>
      <c r="CK234" s="1108"/>
      <c r="CL234" s="1108"/>
      <c r="CM234" s="1108"/>
      <c r="CN234" s="1108"/>
      <c r="CO234" s="1108"/>
      <c r="CP234" s="1108"/>
      <c r="CQ234" s="1108"/>
      <c r="CR234" s="1108"/>
      <c r="CS234" s="1108"/>
      <c r="CT234" s="1470"/>
      <c r="CU234" s="1470"/>
      <c r="CV234" s="1470"/>
      <c r="CW234" s="1108"/>
      <c r="CX234" s="1108"/>
      <c r="CY234" s="1470"/>
      <c r="CZ234" s="1470"/>
      <c r="DA234" s="1470"/>
      <c r="DB234" s="1108"/>
      <c r="DC234" s="2862"/>
      <c r="DD234" s="1108"/>
      <c r="DE234" s="1108"/>
      <c r="DF234" s="1108"/>
      <c r="DG234" s="1108"/>
      <c r="DH234" s="1108"/>
      <c r="DI234" s="1108"/>
      <c r="DJ234" s="1108"/>
      <c r="DK234" s="1108"/>
      <c r="DL234" s="1108"/>
      <c r="DM234" s="1108"/>
      <c r="DN234" s="1108"/>
      <c r="DO234" s="1108"/>
      <c r="DP234" s="1108"/>
      <c r="DQ234" s="1108"/>
      <c r="DR234" s="1108"/>
    </row>
    <row r="235" spans="1:122">
      <c r="A235" s="1709" t="s">
        <v>408</v>
      </c>
      <c r="B235" s="1655">
        <f>-303-48.2</f>
        <v>-351.2</v>
      </c>
      <c r="C235" s="1655">
        <f>-346.7-9.3</f>
        <v>-356</v>
      </c>
      <c r="D235" s="1437">
        <v>-28.5</v>
      </c>
      <c r="E235" s="1437">
        <v>0</v>
      </c>
      <c r="F235" s="1357">
        <f>G235</f>
        <v>0</v>
      </c>
      <c r="G235" s="1437">
        <v>0</v>
      </c>
      <c r="H235" s="1722"/>
      <c r="I235" s="1357">
        <f>B235-D235+F235</f>
        <v>-322.7</v>
      </c>
      <c r="J235" s="1357">
        <v>-356</v>
      </c>
      <c r="K235" s="1357">
        <v>-397.5</v>
      </c>
      <c r="L235" s="1357">
        <v>-246.3</v>
      </c>
      <c r="M235" s="1437">
        <v>10.1</v>
      </c>
      <c r="N235" s="1357">
        <v>-606.9</v>
      </c>
      <c r="O235" s="1369"/>
      <c r="P235" s="1357"/>
      <c r="Q235" s="1357"/>
      <c r="R235" s="1357">
        <v>-395.5</v>
      </c>
      <c r="S235" s="1357">
        <v>-286</v>
      </c>
      <c r="T235" s="1655">
        <v>-439</v>
      </c>
      <c r="U235" s="1357">
        <f t="shared" ref="U235:W236" si="380">T235</f>
        <v>-439</v>
      </c>
      <c r="V235" s="1357">
        <f t="shared" si="380"/>
        <v>-439</v>
      </c>
      <c r="W235" s="1357">
        <f t="shared" si="380"/>
        <v>-439</v>
      </c>
      <c r="X235" s="1357"/>
      <c r="Y235" s="1357"/>
      <c r="Z235" s="1357">
        <v>-770</v>
      </c>
      <c r="AA235" s="1357">
        <v>-767</v>
      </c>
      <c r="AB235" s="1357"/>
      <c r="AC235" s="1357">
        <f>AA235</f>
        <v>-767</v>
      </c>
      <c r="AD235" s="1357">
        <f>AC235</f>
        <v>-767</v>
      </c>
      <c r="AE235" s="1357">
        <f t="shared" ref="AE235:AH236" si="381">AD235</f>
        <v>-767</v>
      </c>
      <c r="AF235" s="1357">
        <f t="shared" si="381"/>
        <v>-767</v>
      </c>
      <c r="AG235" s="1357">
        <f t="shared" si="381"/>
        <v>-767</v>
      </c>
      <c r="AH235" s="1357">
        <f t="shared" si="381"/>
        <v>-767</v>
      </c>
      <c r="AI235" s="1357">
        <f t="shared" ref="AI235:AN236" si="382">AH235</f>
        <v>-767</v>
      </c>
      <c r="AJ235" s="1357">
        <f t="shared" si="382"/>
        <v>-767</v>
      </c>
      <c r="AK235" s="1357">
        <f t="shared" si="382"/>
        <v>-767</v>
      </c>
      <c r="AL235" s="1357">
        <f t="shared" si="382"/>
        <v>-767</v>
      </c>
      <c r="AM235" s="1357">
        <f t="shared" si="382"/>
        <v>-767</v>
      </c>
      <c r="AN235" s="1357">
        <f t="shared" si="382"/>
        <v>-767</v>
      </c>
      <c r="AO235" s="90"/>
      <c r="AP235" s="1357"/>
      <c r="AQ235" s="1357"/>
      <c r="AR235" s="1357"/>
      <c r="AS235" s="1357"/>
      <c r="AT235" s="1562"/>
      <c r="AU235" s="1108"/>
      <c r="AV235" s="1108"/>
      <c r="AW235" s="1689"/>
      <c r="AX235" s="1108"/>
      <c r="AY235" s="1108"/>
      <c r="AZ235" s="1700"/>
      <c r="BA235" s="1108"/>
      <c r="BB235" s="1108"/>
      <c r="BC235" s="1108"/>
      <c r="BD235" s="1108"/>
      <c r="BE235" s="1108"/>
      <c r="BF235" s="1108"/>
      <c r="BG235" s="1108"/>
      <c r="BH235" s="1108"/>
      <c r="BI235" s="1700"/>
      <c r="BJ235" s="1700"/>
      <c r="BK235" s="1700"/>
      <c r="BL235" s="1700"/>
      <c r="BM235" s="1700"/>
      <c r="BN235" s="1700"/>
      <c r="BO235" s="1108"/>
      <c r="BP235" s="1700"/>
      <c r="BQ235" s="1700"/>
      <c r="BR235" s="1700"/>
      <c r="BS235" s="1700"/>
      <c r="BT235" s="1108"/>
      <c r="BU235" s="1108"/>
      <c r="BV235" s="1108"/>
      <c r="BW235" s="1108"/>
      <c r="BX235" s="1108"/>
      <c r="BY235" s="1108"/>
      <c r="BZ235" s="1108"/>
      <c r="CA235" s="1108"/>
      <c r="CB235" s="1108"/>
      <c r="CC235" s="1108"/>
      <c r="CD235" s="1108"/>
      <c r="CE235" s="1108"/>
      <c r="CF235" s="1108"/>
      <c r="CG235" s="1108"/>
      <c r="CH235" s="1108"/>
      <c r="CI235" s="1108"/>
      <c r="CJ235" s="1108"/>
      <c r="CK235" s="1108"/>
      <c r="CL235" s="1108"/>
      <c r="CM235" s="1108"/>
      <c r="CN235" s="1108"/>
      <c r="CO235" s="1108"/>
      <c r="CP235" s="1108"/>
      <c r="CQ235" s="1108"/>
      <c r="CR235" s="1108"/>
      <c r="CS235" s="1108"/>
      <c r="CT235" s="1470"/>
      <c r="CU235" s="1470"/>
      <c r="CV235" s="1470"/>
      <c r="CW235" s="1108"/>
      <c r="CX235" s="1108"/>
      <c r="CY235" s="1470"/>
      <c r="CZ235" s="1470"/>
      <c r="DA235" s="1470"/>
      <c r="DB235" s="1108"/>
      <c r="DC235" s="2862"/>
      <c r="DD235" s="1108"/>
      <c r="DE235" s="1108"/>
      <c r="DF235" s="1108"/>
      <c r="DG235" s="1108"/>
      <c r="DH235" s="1108"/>
      <c r="DI235" s="1108"/>
      <c r="DJ235" s="1108"/>
      <c r="DK235" s="1108"/>
      <c r="DL235" s="1108"/>
      <c r="DM235" s="1108"/>
      <c r="DN235" s="1108"/>
      <c r="DO235" s="1108"/>
      <c r="DP235" s="1108"/>
      <c r="DQ235" s="1108"/>
      <c r="DR235" s="1108"/>
    </row>
    <row r="236" spans="1:122">
      <c r="A236" s="2129" t="s">
        <v>1033</v>
      </c>
      <c r="B236" s="1694">
        <v>-5444.6</v>
      </c>
      <c r="C236" s="1694">
        <v>-8918.7999999999993</v>
      </c>
      <c r="D236" s="1730"/>
      <c r="E236" s="1730"/>
      <c r="F236" s="1708">
        <f>I236-(B236-D236)</f>
        <v>-3474.1999999999989</v>
      </c>
      <c r="G236" s="1708">
        <f>J236-(C236-E236)</f>
        <v>0</v>
      </c>
      <c r="H236" s="1723"/>
      <c r="I236" s="1439">
        <f>J236</f>
        <v>-8918.7999999999993</v>
      </c>
      <c r="J236" s="1439">
        <v>-8918.7999999999993</v>
      </c>
      <c r="K236" s="1464">
        <v>-334.3</v>
      </c>
      <c r="L236" s="1439">
        <v>-315.39999999999998</v>
      </c>
      <c r="M236" s="1464">
        <v>-3703.3</v>
      </c>
      <c r="N236" s="1439">
        <v>-3693.4</v>
      </c>
      <c r="O236" s="1369"/>
      <c r="P236" s="1439"/>
      <c r="Q236" s="1439"/>
      <c r="R236" s="1439">
        <f>N236</f>
        <v>-3693.4</v>
      </c>
      <c r="S236" s="1439">
        <v>-3689.2</v>
      </c>
      <c r="T236" s="1685">
        <v>-4706</v>
      </c>
      <c r="U236" s="1439">
        <f t="shared" si="380"/>
        <v>-4706</v>
      </c>
      <c r="V236" s="1439">
        <f t="shared" si="380"/>
        <v>-4706</v>
      </c>
      <c r="W236" s="1439">
        <f>V236</f>
        <v>-4706</v>
      </c>
      <c r="X236" s="1439"/>
      <c r="Y236" s="1439"/>
      <c r="Z236" s="1439">
        <v>-17205</v>
      </c>
      <c r="AA236" s="1439">
        <v>-20201</v>
      </c>
      <c r="AB236" s="1439"/>
      <c r="AC236" s="1439">
        <f>AA236</f>
        <v>-20201</v>
      </c>
      <c r="AD236" s="1439">
        <f>AC236</f>
        <v>-20201</v>
      </c>
      <c r="AE236" s="1439">
        <f t="shared" si="381"/>
        <v>-20201</v>
      </c>
      <c r="AF236" s="1439">
        <f t="shared" si="381"/>
        <v>-20201</v>
      </c>
      <c r="AG236" s="1439">
        <f t="shared" si="381"/>
        <v>-20201</v>
      </c>
      <c r="AH236" s="1439">
        <f t="shared" si="381"/>
        <v>-20201</v>
      </c>
      <c r="AI236" s="1439">
        <f t="shared" si="382"/>
        <v>-20201</v>
      </c>
      <c r="AJ236" s="1439">
        <f t="shared" si="382"/>
        <v>-20201</v>
      </c>
      <c r="AK236" s="1439">
        <f t="shared" si="382"/>
        <v>-20201</v>
      </c>
      <c r="AL236" s="1439">
        <f t="shared" si="382"/>
        <v>-20201</v>
      </c>
      <c r="AM236" s="1439">
        <f t="shared" si="382"/>
        <v>-20201</v>
      </c>
      <c r="AN236" s="1439">
        <f t="shared" si="382"/>
        <v>-20201</v>
      </c>
      <c r="AO236" s="90"/>
      <c r="AP236" s="1373"/>
      <c r="AQ236" s="1373"/>
      <c r="AR236" s="1373"/>
      <c r="AS236" s="1373"/>
      <c r="AT236" s="1562"/>
      <c r="AU236" s="1357"/>
      <c r="AV236" s="1357"/>
      <c r="AW236" s="1357"/>
      <c r="AX236" s="1108"/>
      <c r="AY236" s="1108"/>
      <c r="AZ236" s="1700"/>
      <c r="BA236" s="1108"/>
      <c r="BB236" s="1108"/>
      <c r="BC236" s="1108"/>
      <c r="BD236" s="1108"/>
      <c r="BE236" s="1108"/>
      <c r="BF236" s="1108"/>
      <c r="BG236" s="1108"/>
      <c r="BH236" s="1108"/>
      <c r="BI236" s="1700"/>
      <c r="BJ236" s="1700"/>
      <c r="BK236" s="1700"/>
      <c r="BL236" s="1700"/>
      <c r="BM236" s="1700"/>
      <c r="BN236" s="1700"/>
      <c r="BO236" s="1108"/>
      <c r="BP236" s="1700"/>
      <c r="BQ236" s="1700"/>
      <c r="BR236" s="1700"/>
      <c r="BS236" s="1700"/>
      <c r="BT236" s="1108"/>
      <c r="BU236" s="1108"/>
      <c r="BV236" s="1108"/>
      <c r="BW236" s="1108"/>
      <c r="BX236" s="1108"/>
      <c r="BY236" s="1108"/>
      <c r="BZ236" s="1108"/>
      <c r="CA236" s="1108"/>
      <c r="CB236" s="1108"/>
      <c r="CC236" s="1108"/>
      <c r="CD236" s="1108"/>
      <c r="CE236" s="1108"/>
      <c r="CF236" s="1108"/>
      <c r="CG236" s="1108"/>
      <c r="CH236" s="1108"/>
      <c r="CI236" s="1108"/>
      <c r="CJ236" s="1108"/>
      <c r="CK236" s="1108"/>
      <c r="CL236" s="1108"/>
      <c r="CM236" s="1108"/>
      <c r="CN236" s="1108"/>
      <c r="CO236" s="1108"/>
      <c r="CP236" s="1108"/>
      <c r="CQ236" s="1108"/>
      <c r="CR236" s="1108"/>
      <c r="CS236" s="1108"/>
      <c r="CT236" s="1470"/>
      <c r="CU236" s="1470"/>
      <c r="CV236" s="1470"/>
      <c r="CW236" s="1108"/>
      <c r="CX236" s="1108"/>
      <c r="CY236" s="1470"/>
      <c r="CZ236" s="1470"/>
      <c r="DA236" s="1470"/>
      <c r="DB236" s="1108"/>
      <c r="DC236" s="2862"/>
      <c r="DD236" s="1108"/>
      <c r="DE236" s="1108"/>
      <c r="DF236" s="1108"/>
      <c r="DG236" s="1108"/>
      <c r="DH236" s="1108"/>
      <c r="DI236" s="1108"/>
      <c r="DJ236" s="1108"/>
      <c r="DK236" s="1108"/>
      <c r="DL236" s="1108"/>
      <c r="DM236" s="1108"/>
      <c r="DN236" s="1108"/>
      <c r="DO236" s="1108"/>
      <c r="DP236" s="1108"/>
      <c r="DQ236" s="1108"/>
      <c r="DR236" s="1108"/>
    </row>
    <row r="237" spans="1:122">
      <c r="A237" s="2335" t="s">
        <v>790</v>
      </c>
      <c r="B237" s="1689">
        <f>SUM(B232:B236)</f>
        <v>63205.000000000007</v>
      </c>
      <c r="C237" s="1689">
        <f>SUM(C232:C236)</f>
        <v>42024.3</v>
      </c>
      <c r="D237" s="1437">
        <v>15815.7</v>
      </c>
      <c r="E237" s="1437">
        <v>13465.2</v>
      </c>
      <c r="F237" s="1693">
        <f>F239-SUM(F225:F231)-F223-F222-F221-F219</f>
        <v>101.69999999999993</v>
      </c>
      <c r="G237" s="1693">
        <f>G239-SUM(G225:G231)-G223-G222-G221-G219</f>
        <v>-2.8000000000000682</v>
      </c>
      <c r="H237" s="1687"/>
      <c r="I237" s="1654">
        <f>SUM(I232:I236)</f>
        <v>47491.000000000015</v>
      </c>
      <c r="J237" s="1654">
        <f>SUM(J232:J236)</f>
        <v>42024.3</v>
      </c>
      <c r="K237" s="1654">
        <f>SUM(K232:K236)</f>
        <v>21737</v>
      </c>
      <c r="L237" s="1654">
        <f>SUM(L232:L236)</f>
        <v>23522.5</v>
      </c>
      <c r="M237" s="1654">
        <f>SUM(M232:M236)</f>
        <v>21472.399999999998</v>
      </c>
      <c r="N237" s="1654">
        <v>8597.2999999999993</v>
      </c>
      <c r="O237" s="1369"/>
      <c r="P237" s="1654"/>
      <c r="Q237" s="1654"/>
      <c r="R237" s="1654">
        <f t="shared" ref="R237:AH237" si="383">SUM(R232:R236)</f>
        <v>9019.399999999996</v>
      </c>
      <c r="S237" s="1654">
        <f t="shared" si="383"/>
        <v>9820.5999999999985</v>
      </c>
      <c r="T237" s="1654">
        <f t="shared" si="383"/>
        <v>9908</v>
      </c>
      <c r="U237" s="1654">
        <f t="shared" si="383"/>
        <v>10213</v>
      </c>
      <c r="V237" s="1654">
        <f t="shared" si="383"/>
        <v>9966</v>
      </c>
      <c r="W237" s="1654">
        <f>SUM(W232:W236)</f>
        <v>6970</v>
      </c>
      <c r="X237" s="1654"/>
      <c r="Y237" s="1654"/>
      <c r="Z237" s="1654">
        <f t="shared" si="383"/>
        <v>5563</v>
      </c>
      <c r="AA237" s="1654">
        <f t="shared" si="383"/>
        <v>3689</v>
      </c>
      <c r="AB237" s="1654"/>
      <c r="AC237" s="1654">
        <f ca="1">SUM(AC232:AC236)</f>
        <v>2227.519097309807</v>
      </c>
      <c r="AD237" s="1654">
        <f t="shared" ca="1" si="383"/>
        <v>3218.3386428034282</v>
      </c>
      <c r="AE237" s="1654">
        <f t="shared" ca="1" si="383"/>
        <v>3748.1415789626117</v>
      </c>
      <c r="AF237" s="1654">
        <f t="shared" ca="1" si="383"/>
        <v>4516.0762733740776</v>
      </c>
      <c r="AG237" s="1654">
        <f t="shared" ca="1" si="383"/>
        <v>5365.0394588304844</v>
      </c>
      <c r="AH237" s="1654">
        <f t="shared" ca="1" si="383"/>
        <v>6401.3970084282082</v>
      </c>
      <c r="AI237" s="1654">
        <f t="shared" ref="AI237:AN237" ca="1" si="384">SUM(AI232:AI236)</f>
        <v>7310.9889392724763</v>
      </c>
      <c r="AJ237" s="1654">
        <f t="shared" ca="1" si="384"/>
        <v>8304.7334234397385</v>
      </c>
      <c r="AK237" s="1654">
        <f t="shared" ca="1" si="384"/>
        <v>9307.5533778856952</v>
      </c>
      <c r="AL237" s="1654">
        <f t="shared" ca="1" si="384"/>
        <v>10282.059496521895</v>
      </c>
      <c r="AM237" s="1654">
        <f t="shared" ca="1" si="384"/>
        <v>11230.640424494242</v>
      </c>
      <c r="AN237" s="1654">
        <f t="shared" ca="1" si="384"/>
        <v>12335.945322652791</v>
      </c>
      <c r="AO237" s="90"/>
      <c r="AP237" s="1654"/>
      <c r="AQ237" s="1654"/>
      <c r="AR237" s="1654"/>
      <c r="AS237" s="1654"/>
      <c r="AT237" s="1562"/>
      <c r="AU237" s="1357"/>
      <c r="AV237" s="1357"/>
      <c r="AW237" s="1357"/>
      <c r="AX237" s="1108"/>
      <c r="AY237" s="1108"/>
      <c r="AZ237" s="1700"/>
      <c r="BA237" s="1108"/>
      <c r="BB237" s="1108"/>
      <c r="BC237" s="1108"/>
      <c r="BD237" s="1108"/>
      <c r="BE237" s="1108"/>
      <c r="BF237" s="1108"/>
      <c r="BG237" s="1108"/>
      <c r="BH237" s="1108"/>
      <c r="BI237" s="1700"/>
      <c r="BJ237" s="1700"/>
      <c r="BK237" s="1700"/>
      <c r="BL237" s="1700"/>
      <c r="BM237" s="1700"/>
      <c r="BN237" s="1700"/>
      <c r="BO237" s="1108"/>
      <c r="BP237" s="1700"/>
      <c r="BQ237" s="1700"/>
      <c r="BR237" s="1700"/>
      <c r="BS237" s="1700"/>
      <c r="BT237" s="1108"/>
      <c r="BU237" s="1108"/>
      <c r="BV237" s="1108"/>
      <c r="BW237" s="1108"/>
      <c r="BX237" s="1108"/>
      <c r="BY237" s="1108"/>
      <c r="BZ237" s="1108"/>
      <c r="CA237" s="1108"/>
      <c r="CB237" s="1108"/>
      <c r="CC237" s="1108"/>
      <c r="CD237" s="1108"/>
      <c r="CE237" s="1108"/>
      <c r="CF237" s="1108"/>
      <c r="CG237" s="1108"/>
      <c r="CH237" s="1108"/>
      <c r="CI237" s="1108"/>
      <c r="CJ237" s="1108"/>
      <c r="CK237" s="1108"/>
      <c r="CL237" s="1108"/>
      <c r="CM237" s="1108"/>
      <c r="CN237" s="1108"/>
      <c r="CO237" s="1108"/>
      <c r="CP237" s="1108"/>
      <c r="CQ237" s="1108"/>
      <c r="CR237" s="1108"/>
      <c r="CS237" s="1108"/>
      <c r="CT237" s="1470"/>
      <c r="CU237" s="1470"/>
      <c r="CV237" s="1470"/>
      <c r="CW237" s="1108"/>
      <c r="CX237" s="1108"/>
      <c r="CY237" s="1470"/>
      <c r="CZ237" s="1470"/>
      <c r="DA237" s="1470"/>
      <c r="DB237" s="1108"/>
      <c r="DC237" s="2862"/>
      <c r="DD237" s="1108"/>
      <c r="DE237" s="1108"/>
      <c r="DF237" s="1108"/>
      <c r="DG237" s="1108"/>
      <c r="DH237" s="1108"/>
      <c r="DI237" s="1108"/>
      <c r="DJ237" s="1108"/>
      <c r="DK237" s="1108"/>
      <c r="DL237" s="1108"/>
      <c r="DM237" s="1108"/>
      <c r="DN237" s="1108"/>
      <c r="DO237" s="1108"/>
      <c r="DP237" s="1108"/>
      <c r="DQ237" s="1108"/>
      <c r="DR237" s="1108"/>
    </row>
    <row r="238" spans="1:122">
      <c r="A238" s="1731"/>
      <c r="B238" s="1437"/>
      <c r="C238" s="1437"/>
      <c r="D238" s="1437"/>
      <c r="E238" s="1437"/>
      <c r="F238" s="1437"/>
      <c r="G238" s="1437"/>
      <c r="H238" s="1687"/>
      <c r="I238" s="1437"/>
      <c r="J238" s="1689"/>
      <c r="K238" s="1689"/>
      <c r="L238" s="1357"/>
      <c r="M238" s="1687"/>
      <c r="N238" s="1687"/>
      <c r="O238" s="1369"/>
      <c r="P238" s="1687"/>
      <c r="Q238" s="1687"/>
      <c r="R238" s="1687"/>
      <c r="S238" s="1687"/>
      <c r="T238" s="1687"/>
      <c r="U238" s="1687"/>
      <c r="V238" s="1687"/>
      <c r="W238" s="1687"/>
      <c r="X238" s="1687"/>
      <c r="Y238" s="1687"/>
      <c r="Z238" s="1687"/>
      <c r="AA238" s="1687"/>
      <c r="AB238" s="1687"/>
      <c r="AC238" s="1687"/>
      <c r="AD238" s="1687"/>
      <c r="AE238" s="1687"/>
      <c r="AF238" s="1687"/>
      <c r="AG238" s="1687"/>
      <c r="AH238" s="1687"/>
      <c r="AI238" s="1687"/>
      <c r="AJ238" s="1687"/>
      <c r="AK238" s="1687"/>
      <c r="AL238" s="1687"/>
      <c r="AM238" s="1687"/>
      <c r="AN238" s="1687"/>
      <c r="AO238" s="90"/>
      <c r="AP238" s="1687"/>
      <c r="AQ238" s="1687"/>
      <c r="AR238" s="1687"/>
      <c r="AS238" s="1687"/>
      <c r="AT238" s="1562"/>
      <c r="AU238" s="1108"/>
      <c r="AV238" s="1108"/>
      <c r="AW238" s="1689"/>
      <c r="AX238" s="1108"/>
      <c r="AY238" s="1108"/>
      <c r="AZ238" s="1700"/>
      <c r="BA238" s="1108"/>
      <c r="BB238" s="1108"/>
      <c r="BC238" s="1108"/>
      <c r="BD238" s="1108"/>
      <c r="BE238" s="1108"/>
      <c r="BF238" s="1108"/>
      <c r="BG238" s="1108"/>
      <c r="BH238" s="1108"/>
      <c r="BI238" s="1700"/>
      <c r="BJ238" s="1700"/>
      <c r="BK238" s="1700"/>
      <c r="BL238" s="1700"/>
      <c r="BM238" s="1700"/>
      <c r="BN238" s="1700"/>
      <c r="BO238" s="1108"/>
      <c r="BP238" s="1700"/>
      <c r="BQ238" s="1700"/>
      <c r="BR238" s="1700"/>
      <c r="BS238" s="1700"/>
      <c r="BT238" s="1108"/>
      <c r="BU238" s="1108"/>
      <c r="BV238" s="1108"/>
      <c r="BW238" s="1108"/>
      <c r="BX238" s="1108"/>
      <c r="BY238" s="1108"/>
      <c r="BZ238" s="1108"/>
      <c r="CA238" s="1108"/>
      <c r="CB238" s="1108"/>
      <c r="CC238" s="1108"/>
      <c r="CD238" s="1108"/>
      <c r="CE238" s="1108"/>
      <c r="CF238" s="1108"/>
      <c r="CG238" s="1108"/>
      <c r="CH238" s="1108"/>
      <c r="CI238" s="1108"/>
      <c r="CJ238" s="1108"/>
      <c r="CK238" s="1108"/>
      <c r="CL238" s="1108"/>
      <c r="CM238" s="1108"/>
      <c r="CN238" s="1108"/>
      <c r="CO238" s="1108"/>
      <c r="CP238" s="1108"/>
      <c r="CQ238" s="1108"/>
      <c r="CR238" s="1108"/>
      <c r="CS238" s="1108"/>
      <c r="CT238" s="1470"/>
      <c r="CU238" s="1470"/>
      <c r="CV238" s="1470"/>
      <c r="CW238" s="1108"/>
      <c r="CX238" s="1108"/>
      <c r="CY238" s="1470"/>
      <c r="CZ238" s="1470"/>
      <c r="DA238" s="1470"/>
      <c r="DB238" s="1108"/>
      <c r="DC238" s="2862"/>
      <c r="DD238" s="1108"/>
      <c r="DE238" s="1108"/>
      <c r="DF238" s="1108"/>
      <c r="DG238" s="1108"/>
      <c r="DH238" s="1108"/>
      <c r="DI238" s="1108"/>
      <c r="DJ238" s="1108"/>
      <c r="DK238" s="1108"/>
      <c r="DL238" s="1108"/>
      <c r="DM238" s="1108"/>
      <c r="DN238" s="1108"/>
      <c r="DO238" s="1108"/>
      <c r="DP238" s="1108"/>
      <c r="DQ238" s="1108"/>
      <c r="DR238" s="1108"/>
    </row>
    <row r="239" spans="1:122" ht="13.5" thickBot="1">
      <c r="A239" s="2332" t="s">
        <v>791</v>
      </c>
      <c r="B239" s="1357">
        <f>B237+SUM(B222:B231)+B221+B219</f>
        <v>90225.500000000029</v>
      </c>
      <c r="C239" s="1357">
        <f>C237+SUM(C222:C231)+C221+C219</f>
        <v>68002.3</v>
      </c>
      <c r="D239" s="1357">
        <f>D237+SUM(D222:D231)+D221+D219</f>
        <v>22304.400000000001</v>
      </c>
      <c r="E239" s="1357">
        <f>E237+SUM(E222:E231)+E221+E219</f>
        <v>18440.8</v>
      </c>
      <c r="F239" s="1693">
        <f>F207</f>
        <v>724.3</v>
      </c>
      <c r="G239" s="1693">
        <f>G207</f>
        <v>619.79999999999995</v>
      </c>
      <c r="H239" s="1687"/>
      <c r="I239" s="1714">
        <f t="shared" ref="I239:N239" si="385">I237+SUM(I222:I231)+I221+I219</f>
        <v>68938.500000000015</v>
      </c>
      <c r="J239" s="1714">
        <f t="shared" si="385"/>
        <v>68002.3</v>
      </c>
      <c r="K239" s="1714">
        <f t="shared" si="385"/>
        <v>43029.599999999999</v>
      </c>
      <c r="L239" s="1714">
        <f t="shared" si="385"/>
        <v>43508.800000000003</v>
      </c>
      <c r="M239" s="1714">
        <f t="shared" si="385"/>
        <v>40430.199999999997</v>
      </c>
      <c r="N239" s="1714">
        <f t="shared" si="385"/>
        <v>26889.300000000003</v>
      </c>
      <c r="O239" s="1369"/>
      <c r="P239" s="1714"/>
      <c r="Q239" s="1714"/>
      <c r="R239" s="1714">
        <f t="shared" ref="R239:AH239" si="386">R237+SUM(R222:R231)+R221+R219</f>
        <v>26961.999999999993</v>
      </c>
      <c r="S239" s="1714">
        <f t="shared" si="386"/>
        <v>26142.6</v>
      </c>
      <c r="T239" s="1714">
        <f t="shared" si="386"/>
        <v>26220</v>
      </c>
      <c r="U239" s="1714">
        <f t="shared" si="386"/>
        <v>26466</v>
      </c>
      <c r="V239" s="1714">
        <f t="shared" si="386"/>
        <v>26387</v>
      </c>
      <c r="W239" s="1714">
        <f>W237+SUM(W222:W231)+W221+W219</f>
        <v>24072</v>
      </c>
      <c r="X239" s="1714"/>
      <c r="Y239" s="1714"/>
      <c r="Z239" s="1714">
        <f>Z237+SUM(Z222:Z231)+Z219</f>
        <v>23765</v>
      </c>
      <c r="AA239" s="1714">
        <f>AA237+SUM(AA222:AA231)+AA219</f>
        <v>24238</v>
      </c>
      <c r="AB239" s="1714"/>
      <c r="AC239" s="1714">
        <f ca="1">AC237+SUM(AC222:AC231)+AC221+AC219</f>
        <v>20189.898930468386</v>
      </c>
      <c r="AD239" s="1714">
        <f t="shared" ca="1" si="386"/>
        <v>21604.158667059553</v>
      </c>
      <c r="AE239" s="1714">
        <f ca="1">AE237+SUM(AE222:AE231)+AE221+AE219</f>
        <v>22417.943626441956</v>
      </c>
      <c r="AF239" s="1714">
        <f t="shared" ca="1" si="386"/>
        <v>23231.67260299623</v>
      </c>
      <c r="AG239" s="1714">
        <f t="shared" ca="1" si="386"/>
        <v>24203.627165111597</v>
      </c>
      <c r="AH239" s="1714">
        <f t="shared" ca="1" si="386"/>
        <v>25133.027569106478</v>
      </c>
      <c r="AI239" s="1714">
        <f t="shared" ref="AI239:AN239" ca="1" si="387">AI237+SUM(AI222:AI231)+AI221+AI219</f>
        <v>25432.782740779076</v>
      </c>
      <c r="AJ239" s="1714">
        <f t="shared" ca="1" si="387"/>
        <v>26154.015346481043</v>
      </c>
      <c r="AK239" s="1714">
        <f t="shared" ca="1" si="387"/>
        <v>27020.450011509856</v>
      </c>
      <c r="AL239" s="1714">
        <f t="shared" ca="1" si="387"/>
        <v>27474.967168007806</v>
      </c>
      <c r="AM239" s="1714">
        <f t="shared" ca="1" si="387"/>
        <v>28121.019253427417</v>
      </c>
      <c r="AN239" s="1714">
        <f t="shared" ca="1" si="387"/>
        <v>29063.432200992022</v>
      </c>
      <c r="AO239" s="90"/>
      <c r="AP239" s="1715"/>
      <c r="AQ239" s="1715"/>
      <c r="AR239" s="1715"/>
      <c r="AS239" s="1715"/>
      <c r="AT239" s="1562"/>
      <c r="AU239" s="1108"/>
      <c r="AV239" s="1108"/>
      <c r="AW239" s="1689"/>
      <c r="AX239" s="1108"/>
      <c r="AY239" s="1108"/>
      <c r="AZ239" s="1700"/>
      <c r="BA239" s="1108"/>
      <c r="BB239" s="1108"/>
      <c r="BC239" s="1108"/>
      <c r="BD239" s="1108"/>
      <c r="BE239" s="1108"/>
      <c r="BF239" s="1108"/>
      <c r="BG239" s="1108"/>
      <c r="BH239" s="1108"/>
      <c r="BI239" s="1700"/>
      <c r="BJ239" s="1700"/>
      <c r="BK239" s="1700"/>
      <c r="BL239" s="1700"/>
      <c r="BM239" s="1700"/>
      <c r="BN239" s="1700"/>
      <c r="BO239" s="1108"/>
      <c r="BP239" s="1700"/>
      <c r="BQ239" s="1700"/>
      <c r="BR239" s="1700"/>
      <c r="BS239" s="1700"/>
      <c r="BT239" s="1108"/>
      <c r="BU239" s="1108"/>
      <c r="BV239" s="1108"/>
      <c r="BW239" s="1108"/>
      <c r="BX239" s="1108"/>
      <c r="BY239" s="1108"/>
      <c r="BZ239" s="1108"/>
      <c r="CA239" s="1108"/>
      <c r="CB239" s="1108"/>
      <c r="CC239" s="1108"/>
      <c r="CD239" s="1108"/>
      <c r="CE239" s="1108"/>
      <c r="CF239" s="1108"/>
      <c r="CG239" s="1108"/>
      <c r="CH239" s="1108"/>
      <c r="CI239" s="1108"/>
      <c r="CJ239" s="1108"/>
      <c r="CK239" s="1108"/>
      <c r="CL239" s="1108"/>
      <c r="CM239" s="1108"/>
      <c r="CN239" s="1108"/>
      <c r="CO239" s="1108"/>
      <c r="CP239" s="1108"/>
      <c r="CQ239" s="1108"/>
      <c r="CR239" s="1108"/>
      <c r="CS239" s="1108"/>
      <c r="CT239" s="1470"/>
      <c r="CU239" s="1470"/>
      <c r="CV239" s="1470"/>
      <c r="CW239" s="1108"/>
      <c r="CX239" s="1108"/>
      <c r="CY239" s="1470"/>
      <c r="CZ239" s="1470"/>
      <c r="DA239" s="1470"/>
      <c r="DB239" s="1108"/>
      <c r="DC239" s="2862"/>
      <c r="DD239" s="1108"/>
      <c r="DE239" s="1108"/>
      <c r="DF239" s="1108"/>
      <c r="DG239" s="1108"/>
      <c r="DH239" s="1108"/>
      <c r="DI239" s="1108"/>
      <c r="DJ239" s="1108"/>
      <c r="DK239" s="1108"/>
      <c r="DL239" s="1108"/>
      <c r="DM239" s="1108"/>
      <c r="DN239" s="1108"/>
      <c r="DO239" s="1108"/>
      <c r="DP239" s="1108"/>
      <c r="DQ239" s="1108"/>
      <c r="DR239" s="1108"/>
    </row>
    <row r="240" spans="1:122" ht="13.5" thickTop="1">
      <c r="A240" s="1732" t="s">
        <v>410</v>
      </c>
      <c r="B240" s="1733">
        <f t="shared" ref="B240:G240" si="388">B207-B239</f>
        <v>0</v>
      </c>
      <c r="C240" s="1733">
        <f t="shared" si="388"/>
        <v>0</v>
      </c>
      <c r="D240" s="1734">
        <f t="shared" si="388"/>
        <v>0</v>
      </c>
      <c r="E240" s="1734">
        <f t="shared" si="388"/>
        <v>0</v>
      </c>
      <c r="F240" s="1734">
        <f t="shared" si="388"/>
        <v>0</v>
      </c>
      <c r="G240" s="1734">
        <f t="shared" si="388"/>
        <v>0</v>
      </c>
      <c r="H240" s="1733"/>
      <c r="I240" s="1735">
        <f t="shared" ref="I240:N240" si="389">I207-I239</f>
        <v>0</v>
      </c>
      <c r="J240" s="1562">
        <f t="shared" si="389"/>
        <v>0</v>
      </c>
      <c r="K240" s="1562">
        <f t="shared" si="389"/>
        <v>0</v>
      </c>
      <c r="L240" s="1735">
        <f t="shared" si="389"/>
        <v>0</v>
      </c>
      <c r="M240" s="1562">
        <f t="shared" si="389"/>
        <v>0</v>
      </c>
      <c r="N240" s="1562">
        <f t="shared" si="389"/>
        <v>0</v>
      </c>
      <c r="O240" s="1369"/>
      <c r="P240" s="1736"/>
      <c r="Q240" s="1736"/>
      <c r="R240" s="1562">
        <f t="shared" ref="R240:AJ240" si="390">IF(ABS(R207-R239)&lt;0.1,0,R239-R207)</f>
        <v>0</v>
      </c>
      <c r="S240" s="1562">
        <f t="shared" si="390"/>
        <v>0</v>
      </c>
      <c r="T240" s="1562">
        <f t="shared" si="390"/>
        <v>0</v>
      </c>
      <c r="U240" s="1562">
        <f t="shared" si="390"/>
        <v>0</v>
      </c>
      <c r="V240" s="1562">
        <f t="shared" si="390"/>
        <v>0</v>
      </c>
      <c r="W240" s="1562">
        <f t="shared" si="390"/>
        <v>0</v>
      </c>
      <c r="X240" s="1562"/>
      <c r="Y240" s="1562"/>
      <c r="Z240" s="1735">
        <f t="shared" si="390"/>
        <v>0</v>
      </c>
      <c r="AA240" s="2470">
        <f ca="1">IF(ABS(AA207-AA239)&lt;0.1,0,AA239-AA207)</f>
        <v>0</v>
      </c>
      <c r="AB240" s="2470"/>
      <c r="AC240" s="2470">
        <f ca="1">IF(ABS(AC207-AC239)&lt;0.1,0,AC239-AC207)</f>
        <v>0</v>
      </c>
      <c r="AD240" s="1735">
        <f t="shared" ca="1" si="390"/>
        <v>0</v>
      </c>
      <c r="AE240" s="1735">
        <f t="shared" ca="1" si="390"/>
        <v>0</v>
      </c>
      <c r="AF240" s="1735">
        <f t="shared" ca="1" si="390"/>
        <v>0</v>
      </c>
      <c r="AG240" s="1735">
        <f t="shared" ca="1" si="390"/>
        <v>0</v>
      </c>
      <c r="AH240" s="1735">
        <f t="shared" ca="1" si="390"/>
        <v>0</v>
      </c>
      <c r="AI240" s="1735">
        <f t="shared" ca="1" si="390"/>
        <v>0</v>
      </c>
      <c r="AJ240" s="1735">
        <f t="shared" ca="1" si="390"/>
        <v>0</v>
      </c>
      <c r="AK240" s="1735">
        <f ca="1">IF(ABS(AK207-AK239)&lt;0.1,0,AK239-AK207)</f>
        <v>0</v>
      </c>
      <c r="AL240" s="1735">
        <f ca="1">IF(ABS(AL207-AL239)&lt;0.1,0,AL239-AL207)</f>
        <v>0</v>
      </c>
      <c r="AM240" s="2470">
        <f ca="1">IF(ABS(AM207-AM239)&lt;0.1,0,AM239-AM207)</f>
        <v>0</v>
      </c>
      <c r="AN240" s="2470">
        <f ca="1">IF(ABS(AN207-AN239)&lt;0.1,0,AN239-AN207)</f>
        <v>0</v>
      </c>
      <c r="AO240" s="90"/>
      <c r="AP240" s="1562"/>
      <c r="AQ240" s="1562"/>
      <c r="AR240" s="1562"/>
      <c r="AS240" s="1562"/>
      <c r="AT240" s="1562"/>
      <c r="AU240" s="1108"/>
      <c r="AV240" s="1108"/>
      <c r="AW240" s="1108"/>
      <c r="AX240" s="1108"/>
      <c r="AY240" s="1108"/>
      <c r="AZ240" s="1700"/>
      <c r="BA240" s="1108"/>
      <c r="BB240" s="1108"/>
      <c r="BC240" s="1108"/>
      <c r="BD240" s="1108"/>
      <c r="BE240" s="1108"/>
      <c r="BF240" s="1108"/>
      <c r="BG240" s="1108"/>
      <c r="BH240" s="1108"/>
      <c r="BI240" s="1700"/>
      <c r="BJ240" s="1700"/>
      <c r="BK240" s="1700"/>
      <c r="BL240" s="1700"/>
      <c r="BM240" s="1700"/>
      <c r="BN240" s="1700"/>
      <c r="BO240" s="1108"/>
      <c r="BP240" s="1700"/>
      <c r="BQ240" s="1700"/>
      <c r="BR240" s="1700"/>
      <c r="BS240" s="1700"/>
      <c r="BT240" s="1108"/>
      <c r="BU240" s="1108"/>
      <c r="BV240" s="1108"/>
      <c r="BW240" s="1108"/>
      <c r="BX240" s="1108"/>
      <c r="BY240" s="1108"/>
      <c r="BZ240" s="1108"/>
      <c r="CA240" s="1108"/>
      <c r="CB240" s="1108"/>
      <c r="CC240" s="1108"/>
      <c r="CD240" s="1108"/>
      <c r="CE240" s="1108"/>
      <c r="CF240" s="1108"/>
      <c r="CG240" s="1108"/>
      <c r="CH240" s="1108"/>
      <c r="CI240" s="1108"/>
      <c r="CJ240" s="1108"/>
      <c r="CK240" s="1108"/>
      <c r="CL240" s="1108"/>
      <c r="CM240" s="1108"/>
      <c r="CN240" s="1108"/>
      <c r="CO240" s="1108"/>
      <c r="CP240" s="1108"/>
      <c r="CQ240" s="1108"/>
      <c r="CR240" s="1108"/>
      <c r="CS240" s="1108"/>
      <c r="CT240" s="1470"/>
      <c r="CU240" s="1470"/>
      <c r="CV240" s="1470"/>
      <c r="CW240" s="1108"/>
      <c r="CX240" s="1108"/>
      <c r="CY240" s="1470"/>
      <c r="CZ240" s="1470"/>
      <c r="DA240" s="1470"/>
      <c r="DB240" s="1108"/>
      <c r="DC240" s="2862"/>
      <c r="DD240" s="1108"/>
      <c r="DE240" s="1108"/>
      <c r="DF240" s="1108"/>
      <c r="DG240" s="1108"/>
      <c r="DH240" s="1108"/>
      <c r="DI240" s="1108"/>
      <c r="DJ240" s="1108"/>
      <c r="DK240" s="1108"/>
      <c r="DL240" s="1108"/>
      <c r="DM240" s="1108"/>
      <c r="DN240" s="1108"/>
      <c r="DO240" s="1108"/>
      <c r="DP240" s="1108"/>
      <c r="DQ240" s="1108"/>
      <c r="DR240" s="1108"/>
    </row>
    <row r="241" spans="1:122">
      <c r="A241" s="175"/>
      <c r="B241" s="176"/>
      <c r="C241" s="176"/>
      <c r="D241" s="176"/>
      <c r="E241" s="176"/>
      <c r="F241" s="176"/>
      <c r="G241" s="176"/>
      <c r="H241" s="176"/>
      <c r="I241" s="176"/>
      <c r="J241" s="177"/>
      <c r="K241" s="177"/>
      <c r="L241" s="176"/>
      <c r="M241" s="176"/>
      <c r="N241" s="176"/>
      <c r="O241" s="919"/>
      <c r="P241" s="176"/>
      <c r="Q241" s="176"/>
      <c r="R241" s="176"/>
      <c r="S241" s="176"/>
      <c r="T241" s="176"/>
      <c r="U241" s="176"/>
      <c r="V241" s="1326"/>
      <c r="W241" s="176"/>
      <c r="X241" s="176"/>
      <c r="Y241" s="176"/>
      <c r="Z241" s="1817"/>
      <c r="AA241" s="176"/>
      <c r="AB241" s="176"/>
      <c r="AC241" s="176"/>
      <c r="AD241" s="176"/>
      <c r="AE241" s="176"/>
      <c r="AF241" s="176"/>
      <c r="AG241" s="176"/>
      <c r="AH241" s="176"/>
      <c r="AI241" s="176"/>
      <c r="AJ241" s="176"/>
      <c r="AK241" s="176"/>
      <c r="AL241" s="176"/>
      <c r="AM241" s="176"/>
      <c r="AN241" s="176"/>
      <c r="AO241" s="90"/>
      <c r="AP241" s="1562"/>
      <c r="AQ241" s="1562"/>
      <c r="AR241" s="1562"/>
      <c r="AS241" s="1562"/>
      <c r="AU241" s="11"/>
      <c r="AV241" s="6"/>
      <c r="AW241" s="6"/>
      <c r="AX241" s="6"/>
      <c r="AY241" s="6"/>
      <c r="AZ241" s="90"/>
      <c r="BA241" s="6"/>
      <c r="BB241" s="6"/>
      <c r="BC241" s="6"/>
      <c r="BD241" s="6"/>
      <c r="BE241" s="6"/>
      <c r="BF241" s="6"/>
      <c r="BG241" s="6"/>
      <c r="BH241" s="11"/>
      <c r="BI241" s="90"/>
      <c r="BJ241" s="90"/>
      <c r="BK241" s="90"/>
      <c r="BL241" s="90"/>
      <c r="BM241" s="90"/>
      <c r="BN241" s="90"/>
      <c r="BO241" s="6"/>
      <c r="BP241" s="90"/>
      <c r="BQ241" s="90"/>
      <c r="BR241" s="90"/>
      <c r="BS241" s="90"/>
      <c r="BT241" s="6"/>
      <c r="BU241" s="6"/>
      <c r="BV241" s="6"/>
      <c r="BW241" s="6"/>
      <c r="BX241" s="6"/>
      <c r="BY241" s="6"/>
      <c r="BZ241" s="6"/>
      <c r="CA241" s="6"/>
      <c r="CB241" s="6"/>
      <c r="CC241" s="6"/>
      <c r="CD241" s="6"/>
      <c r="CE241" s="6"/>
      <c r="CF241" s="6"/>
      <c r="CG241" s="6"/>
      <c r="CH241" s="6"/>
      <c r="CI241" s="6"/>
      <c r="CJ241" s="6"/>
      <c r="CK241" s="6"/>
      <c r="CL241" s="6"/>
      <c r="CM241" s="6"/>
      <c r="CN241" s="6"/>
      <c r="CO241" s="11"/>
      <c r="CP241" s="11"/>
      <c r="CQ241" s="11"/>
      <c r="CR241" s="11"/>
      <c r="CS241" s="11"/>
      <c r="CT241" s="906"/>
      <c r="CU241" s="906"/>
      <c r="CV241" s="906"/>
      <c r="CW241" s="11"/>
      <c r="CX241" s="11"/>
      <c r="CY241" s="906"/>
      <c r="CZ241" s="906"/>
      <c r="DA241" s="906"/>
      <c r="DB241" s="11"/>
      <c r="DC241" s="2862"/>
      <c r="DD241" s="11"/>
      <c r="DE241" s="11"/>
      <c r="DF241" s="11"/>
      <c r="DG241" s="11"/>
      <c r="DH241" s="11"/>
      <c r="DI241" s="11"/>
      <c r="DJ241" s="11"/>
      <c r="DK241" s="11"/>
      <c r="DL241" s="11"/>
      <c r="DM241" s="11"/>
      <c r="DN241" s="11"/>
      <c r="DO241" s="11"/>
      <c r="DP241" s="11"/>
      <c r="DQ241" s="11"/>
      <c r="DR241" s="11"/>
    </row>
    <row r="242" spans="1:122" ht="15">
      <c r="A242" s="1697" t="str">
        <f>A1</f>
        <v>CBS</v>
      </c>
      <c r="B242" s="1108"/>
      <c r="C242" s="1108"/>
      <c r="D242" s="1108"/>
      <c r="E242" s="1108"/>
      <c r="F242" s="1108"/>
      <c r="G242" s="1108"/>
      <c r="H242" s="1108"/>
      <c r="I242" s="1437"/>
      <c r="J242" s="1689" t="s">
        <v>337</v>
      </c>
      <c r="K242" s="1689"/>
      <c r="L242" s="1698"/>
      <c r="M242" s="1699"/>
      <c r="N242" s="1699"/>
      <c r="O242" s="1369"/>
      <c r="P242" s="1699"/>
      <c r="Q242" s="1699"/>
      <c r="R242" s="1699"/>
      <c r="S242" s="1699"/>
      <c r="T242" s="1699"/>
      <c r="U242" s="1699"/>
      <c r="V242" s="1699"/>
      <c r="W242" s="1699"/>
      <c r="X242" s="1699"/>
      <c r="Y242" s="1699"/>
      <c r="Z242" s="1699"/>
      <c r="AA242" s="1699"/>
      <c r="AB242" s="1699"/>
      <c r="AC242" s="1699"/>
      <c r="AD242" s="1699"/>
      <c r="AE242" s="1699"/>
      <c r="AF242" s="1699"/>
      <c r="AG242" s="1699"/>
      <c r="AH242" s="1699"/>
      <c r="AI242" s="1699"/>
      <c r="AJ242" s="1699"/>
      <c r="AK242" s="1699"/>
      <c r="AL242" s="1699"/>
      <c r="AM242" s="1699"/>
      <c r="AN242" s="1108"/>
      <c r="AO242" s="1699"/>
      <c r="AP242" s="1699"/>
      <c r="AQ242" s="1699"/>
      <c r="AR242" s="1699"/>
      <c r="AS242" s="1699"/>
      <c r="AT242" s="1699"/>
      <c r="AU242" s="1108"/>
      <c r="AV242" s="1108"/>
      <c r="AW242" s="1108"/>
      <c r="AX242" s="1108"/>
      <c r="AY242" s="1108"/>
      <c r="AZ242" s="1700"/>
      <c r="BA242" s="1108"/>
      <c r="BB242" s="1108"/>
      <c r="BC242" s="1108"/>
      <c r="BD242" s="1108"/>
      <c r="BE242" s="1108"/>
      <c r="BF242" s="1108"/>
      <c r="BG242" s="1108"/>
      <c r="BH242" s="1108"/>
      <c r="BI242" s="1700"/>
      <c r="BJ242" s="1700"/>
      <c r="BK242" s="1700"/>
      <c r="BL242" s="1700"/>
      <c r="BM242" s="1700"/>
      <c r="BN242" s="1700"/>
      <c r="BO242" s="1108"/>
      <c r="BP242" s="1700"/>
      <c r="BQ242" s="1700"/>
      <c r="BR242" s="1700"/>
      <c r="BS242" s="1700"/>
      <c r="BT242" s="1108"/>
      <c r="BU242" s="1108"/>
      <c r="BV242" s="1108"/>
      <c r="BW242" s="1108"/>
      <c r="BX242" s="1108"/>
      <c r="BY242" s="1108"/>
      <c r="BZ242" s="1108"/>
      <c r="CA242" s="1108"/>
      <c r="CB242" s="1108"/>
      <c r="CC242" s="1108"/>
      <c r="CD242" s="1108"/>
      <c r="CE242" s="1108"/>
      <c r="CF242" s="1108"/>
      <c r="CG242" s="1108"/>
      <c r="CH242" s="1108"/>
      <c r="CI242" s="1108"/>
      <c r="CJ242" s="1108"/>
      <c r="CK242" s="1108"/>
      <c r="CL242" s="1108"/>
      <c r="CM242" s="1108"/>
      <c r="CN242" s="1108"/>
      <c r="CO242" s="1108"/>
      <c r="CP242" s="1108"/>
      <c r="CQ242" s="1108"/>
      <c r="CR242" s="1108"/>
      <c r="CS242" s="1108"/>
      <c r="CT242" s="1470"/>
      <c r="CU242" s="1470"/>
      <c r="CV242" s="1470"/>
      <c r="CW242" s="1108"/>
      <c r="CX242" s="1108"/>
      <c r="CY242" s="1470"/>
      <c r="CZ242" s="1470"/>
      <c r="DA242" s="1470"/>
      <c r="DB242" s="1108"/>
      <c r="DC242" s="2862"/>
      <c r="DD242" s="1108"/>
      <c r="DE242" s="1108"/>
      <c r="DF242" s="1108"/>
      <c r="DG242" s="1108"/>
      <c r="DH242" s="1108"/>
      <c r="DI242" s="1108"/>
      <c r="DJ242" s="1108"/>
      <c r="DK242" s="1108"/>
      <c r="DL242" s="1108"/>
      <c r="DM242" s="1108"/>
      <c r="DN242" s="1108"/>
      <c r="DO242" s="1108"/>
      <c r="DP242" s="1108"/>
      <c r="DQ242" s="1108"/>
      <c r="DR242" s="1108"/>
    </row>
    <row r="243" spans="1:122">
      <c r="A243" s="1701" t="s">
        <v>411</v>
      </c>
      <c r="B243" s="1108"/>
      <c r="C243" s="1108"/>
      <c r="D243" s="1108"/>
      <c r="E243" s="1108"/>
      <c r="F243" s="1108"/>
      <c r="G243" s="1108"/>
      <c r="H243" s="1108"/>
      <c r="I243" s="1437"/>
      <c r="J243" s="1689"/>
      <c r="K243" s="1689"/>
      <c r="L243" s="1108"/>
      <c r="M243" s="1357"/>
      <c r="N243" s="1661"/>
      <c r="O243" s="1369"/>
      <c r="P243" s="1661"/>
      <c r="Q243" s="1661"/>
      <c r="R243" s="1108"/>
      <c r="S243" s="1108"/>
      <c r="T243" s="1108"/>
      <c r="U243" s="1108"/>
      <c r="V243" s="1108"/>
      <c r="W243" s="1108"/>
      <c r="X243" s="1108"/>
      <c r="Y243" s="1108"/>
      <c r="Z243" s="1108"/>
      <c r="AA243" s="1108"/>
      <c r="AB243" s="1108"/>
      <c r="AC243" s="1108"/>
      <c r="AD243" s="1108"/>
      <c r="AE243" s="1108"/>
      <c r="AF243" s="1108"/>
      <c r="AG243" s="1108"/>
      <c r="AH243" s="1108"/>
      <c r="AI243" s="1108"/>
      <c r="AJ243" s="1108"/>
      <c r="AK243" s="1108"/>
      <c r="AL243" s="1108"/>
      <c r="AM243" s="1108"/>
      <c r="AN243" s="1108"/>
      <c r="AO243" s="90"/>
      <c r="AP243" s="1108"/>
      <c r="AQ243" s="1108"/>
      <c r="AR243" s="1108"/>
      <c r="AS243" s="1108"/>
      <c r="AU243" s="1562"/>
      <c r="AV243" s="1108"/>
      <c r="AW243" s="1108"/>
      <c r="AX243" s="1108"/>
      <c r="AY243" s="1108"/>
      <c r="AZ243" s="1700"/>
      <c r="BA243" s="1108"/>
      <c r="BB243" s="1108"/>
      <c r="BC243" s="1108"/>
      <c r="BD243" s="1108"/>
      <c r="BE243" s="1108"/>
      <c r="BF243" s="1108"/>
      <c r="BG243" s="1108"/>
      <c r="BH243" s="1108"/>
      <c r="BI243" s="1700"/>
      <c r="BJ243" s="1700"/>
      <c r="BK243" s="1700"/>
      <c r="BL243" s="1700"/>
      <c r="BM243" s="1700"/>
      <c r="BN243" s="1700"/>
      <c r="BO243" s="1108"/>
      <c r="BP243" s="1700"/>
      <c r="BQ243" s="1700"/>
      <c r="BR243" s="1700"/>
      <c r="BS243" s="1700"/>
      <c r="BT243" s="1108"/>
      <c r="BU243" s="1108"/>
      <c r="BV243" s="1108"/>
      <c r="BW243" s="1108"/>
      <c r="BX243" s="1108"/>
      <c r="BY243" s="1108"/>
      <c r="BZ243" s="1108"/>
      <c r="CA243" s="1108"/>
      <c r="CB243" s="1108"/>
      <c r="CC243" s="1108"/>
      <c r="CD243" s="1108"/>
      <c r="CE243" s="1108"/>
      <c r="CF243" s="1108"/>
      <c r="CG243" s="1108"/>
      <c r="CH243" s="1108"/>
      <c r="CI243" s="1108"/>
      <c r="CJ243" s="1108"/>
      <c r="CK243" s="1108"/>
      <c r="CL243" s="1108"/>
      <c r="CM243" s="1108"/>
      <c r="CN243" s="1108"/>
      <c r="CO243" s="1108"/>
      <c r="CP243" s="1108"/>
      <c r="CQ243" s="1108"/>
      <c r="CR243" s="1108"/>
      <c r="CS243" s="1108"/>
      <c r="CT243" s="1470"/>
      <c r="CU243" s="1470"/>
      <c r="CV243" s="1470"/>
      <c r="CW243" s="1108"/>
      <c r="CX243" s="1108"/>
      <c r="CY243" s="1470"/>
      <c r="CZ243" s="1470"/>
      <c r="DA243" s="1470"/>
      <c r="DB243" s="1108"/>
      <c r="DC243" s="2862"/>
      <c r="DD243" s="1108"/>
      <c r="DE243" s="1108"/>
      <c r="DF243" s="1108"/>
      <c r="DG243" s="1108"/>
      <c r="DH243" s="1108"/>
      <c r="DI243" s="1108"/>
      <c r="DJ243" s="1108"/>
      <c r="DK243" s="1108"/>
      <c r="DL243" s="1108"/>
      <c r="DM243" s="1108"/>
      <c r="DN243" s="1108"/>
      <c r="DO243" s="1108"/>
      <c r="DP243" s="1108"/>
      <c r="DQ243" s="1108"/>
      <c r="DR243" s="1108"/>
    </row>
    <row r="244" spans="1:122">
      <c r="A244" s="1702"/>
      <c r="B244" s="1580" t="s">
        <v>1032</v>
      </c>
      <c r="C244" s="1580"/>
      <c r="D244" s="1580" t="s">
        <v>478</v>
      </c>
      <c r="E244" s="1580"/>
      <c r="F244" s="1580" t="s">
        <v>1035</v>
      </c>
      <c r="G244" s="1580"/>
      <c r="H244" s="1703"/>
      <c r="I244" s="1704"/>
      <c r="J244" s="1704"/>
      <c r="K244" s="1704"/>
      <c r="L244" s="1108"/>
      <c r="M244" s="1108"/>
      <c r="N244" s="1108"/>
      <c r="O244" s="1369"/>
      <c r="P244" s="1108"/>
      <c r="Q244" s="1108"/>
      <c r="R244" s="1108"/>
      <c r="S244" s="1108"/>
      <c r="T244" s="1108"/>
      <c r="U244" s="1108"/>
      <c r="V244" s="1108"/>
      <c r="W244" s="1108"/>
      <c r="X244" s="1108"/>
      <c r="Y244" s="2862"/>
      <c r="Z244" s="2862"/>
      <c r="AA244" s="2862"/>
      <c r="AB244" s="2862"/>
      <c r="AC244" s="2862"/>
      <c r="AD244" s="2862"/>
      <c r="AE244" s="2862"/>
      <c r="AF244" s="1108"/>
      <c r="AG244" s="1108"/>
      <c r="AH244" s="1108"/>
      <c r="AI244" s="1108"/>
      <c r="AJ244" s="1108"/>
      <c r="AK244" s="1108"/>
      <c r="AL244" s="1108"/>
      <c r="AM244" s="1108"/>
      <c r="AN244" s="1108"/>
      <c r="AO244" s="90"/>
      <c r="AP244" s="1108"/>
      <c r="AQ244" s="1108"/>
      <c r="AR244" s="1108"/>
      <c r="AS244" s="1108"/>
      <c r="AU244" s="1108"/>
      <c r="AV244" s="1108"/>
      <c r="AW244" s="1108"/>
      <c r="AX244" s="1108"/>
      <c r="AY244" s="1108"/>
      <c r="AZ244" s="1700"/>
      <c r="BA244" s="1108"/>
      <c r="BB244" s="1108"/>
      <c r="BC244" s="1108"/>
      <c r="BD244" s="1108"/>
      <c r="BE244" s="1108"/>
      <c r="BF244" s="1108"/>
      <c r="BG244" s="1108"/>
      <c r="BH244" s="1108"/>
      <c r="BI244" s="1700"/>
      <c r="BJ244" s="1700"/>
      <c r="BK244" s="1700"/>
      <c r="BL244" s="1700"/>
      <c r="BM244" s="1700"/>
      <c r="BN244" s="1700"/>
      <c r="BO244" s="1108"/>
      <c r="BP244" s="1700"/>
      <c r="BQ244" s="1700"/>
      <c r="BR244" s="1700"/>
      <c r="BS244" s="1700"/>
      <c r="BT244" s="1108"/>
      <c r="BU244" s="1108"/>
      <c r="BV244" s="1108"/>
      <c r="BW244" s="1108"/>
      <c r="BX244" s="1108"/>
      <c r="BY244" s="1108"/>
      <c r="BZ244" s="1108"/>
      <c r="CA244" s="1108"/>
      <c r="CB244" s="1108"/>
      <c r="CC244" s="1108"/>
      <c r="CD244" s="1108"/>
      <c r="CE244" s="1108"/>
      <c r="CF244" s="1108"/>
      <c r="CG244" s="1108"/>
      <c r="CH244" s="1108"/>
      <c r="CI244" s="1108"/>
      <c r="CJ244" s="1108"/>
      <c r="CK244" s="1108"/>
      <c r="CL244" s="1108"/>
      <c r="CM244" s="1108"/>
      <c r="CN244" s="1108"/>
      <c r="CO244" s="1108"/>
      <c r="CP244" s="1108"/>
      <c r="CQ244" s="1108"/>
      <c r="CR244" s="1108"/>
      <c r="CS244" s="1108"/>
      <c r="CT244" s="1470"/>
      <c r="CU244" s="1470"/>
      <c r="CV244" s="1470"/>
      <c r="CW244" s="1108"/>
      <c r="CX244" s="1108"/>
      <c r="CY244" s="1470"/>
      <c r="CZ244" s="1470"/>
      <c r="DA244" s="1470"/>
      <c r="DB244" s="1108"/>
      <c r="DC244" s="2862"/>
      <c r="DD244" s="1108"/>
      <c r="DE244" s="1108"/>
      <c r="DF244" s="1108"/>
      <c r="DG244" s="1108"/>
      <c r="DH244" s="1108"/>
      <c r="DI244" s="1108"/>
      <c r="DJ244" s="1108"/>
      <c r="DK244" s="1108"/>
      <c r="DL244" s="1108"/>
      <c r="DM244" s="1108"/>
      <c r="DN244" s="1108"/>
      <c r="DO244" s="1108"/>
      <c r="DP244" s="1108"/>
      <c r="DQ244" s="1108"/>
      <c r="DR244" s="1108"/>
    </row>
    <row r="245" spans="1:122">
      <c r="A245" s="1705" t="s">
        <v>479</v>
      </c>
      <c r="B245" s="1706">
        <v>2003</v>
      </c>
      <c r="C245" s="1706">
        <v>2004</v>
      </c>
      <c r="D245" s="1706">
        <v>2003</v>
      </c>
      <c r="E245" s="1706">
        <v>2004</v>
      </c>
      <c r="F245" s="1706">
        <v>2003</v>
      </c>
      <c r="G245" s="1706">
        <v>2004</v>
      </c>
      <c r="H245" s="1706">
        <f t="shared" ref="H245:Z245" si="391">H4</f>
        <v>2002</v>
      </c>
      <c r="I245" s="1706">
        <f t="shared" si="391"/>
        <v>2003</v>
      </c>
      <c r="J245" s="1706">
        <f t="shared" si="391"/>
        <v>2004</v>
      </c>
      <c r="K245" s="1706">
        <v>2005</v>
      </c>
      <c r="L245" s="1706">
        <f t="shared" si="391"/>
        <v>2006</v>
      </c>
      <c r="M245" s="1706">
        <f t="shared" si="391"/>
        <v>2007</v>
      </c>
      <c r="N245" s="1706">
        <f t="shared" si="391"/>
        <v>2008</v>
      </c>
      <c r="O245" s="1369"/>
      <c r="P245" s="1706"/>
      <c r="Q245" s="1706"/>
      <c r="R245" s="1706">
        <f t="shared" si="391"/>
        <v>2009</v>
      </c>
      <c r="S245" s="1706">
        <f t="shared" si="391"/>
        <v>2010</v>
      </c>
      <c r="T245" s="1706">
        <f t="shared" si="391"/>
        <v>2011</v>
      </c>
      <c r="U245" s="1706">
        <f t="shared" si="391"/>
        <v>2012</v>
      </c>
      <c r="V245" s="1706">
        <f t="shared" si="391"/>
        <v>2013</v>
      </c>
      <c r="W245" s="1706">
        <f t="shared" si="391"/>
        <v>2014</v>
      </c>
      <c r="X245" s="1706"/>
      <c r="Y245" s="3071"/>
      <c r="Z245" s="3071">
        <f t="shared" si="391"/>
        <v>2015</v>
      </c>
      <c r="AA245" s="3071">
        <f t="shared" ref="AA245:AH245" si="392">AA4</f>
        <v>2016</v>
      </c>
      <c r="AB245" s="3071"/>
      <c r="AC245" s="3071" t="str">
        <f t="shared" si="392"/>
        <v>2017E</v>
      </c>
      <c r="AD245" s="3071" t="str">
        <f t="shared" si="392"/>
        <v>2018E</v>
      </c>
      <c r="AE245" s="3071" t="str">
        <f t="shared" si="392"/>
        <v>2019E</v>
      </c>
      <c r="AF245" s="3071" t="str">
        <f t="shared" si="392"/>
        <v>2020E</v>
      </c>
      <c r="AG245" s="1706" t="str">
        <f t="shared" si="392"/>
        <v>2021E</v>
      </c>
      <c r="AH245" s="1706" t="str">
        <f t="shared" si="392"/>
        <v>2022E</v>
      </c>
      <c r="AI245" s="1706" t="str">
        <f t="shared" ref="AI245:AN245" si="393">AI4</f>
        <v>2023E</v>
      </c>
      <c r="AJ245" s="1706" t="str">
        <f t="shared" si="393"/>
        <v>2024E</v>
      </c>
      <c r="AK245" s="1706" t="str">
        <f t="shared" si="393"/>
        <v>2025E</v>
      </c>
      <c r="AL245" s="1706" t="str">
        <f t="shared" si="393"/>
        <v>2026E</v>
      </c>
      <c r="AM245" s="1706" t="str">
        <f t="shared" si="393"/>
        <v>2027E</v>
      </c>
      <c r="AN245" s="1706" t="str">
        <f t="shared" si="393"/>
        <v>2028E</v>
      </c>
      <c r="AO245" s="90"/>
      <c r="AP245" s="1108"/>
      <c r="AQ245" s="1534"/>
      <c r="AR245" s="1534"/>
      <c r="AS245" s="1534"/>
      <c r="AT245" s="1534"/>
      <c r="AU245" s="1108"/>
      <c r="AV245" s="1108"/>
      <c r="AW245" s="1108"/>
      <c r="AX245" s="1108"/>
      <c r="AY245" s="1108"/>
      <c r="AZ245" s="1700"/>
      <c r="BA245" s="1108"/>
      <c r="BB245" s="1108"/>
      <c r="BC245" s="1108"/>
      <c r="BD245" s="1108"/>
      <c r="BE245" s="1108"/>
      <c r="BF245" s="1108"/>
      <c r="BG245" s="1108"/>
      <c r="BH245" s="1108"/>
      <c r="BI245" s="1700"/>
      <c r="BJ245" s="1700"/>
      <c r="BK245" s="1700"/>
      <c r="BL245" s="1700"/>
      <c r="BM245" s="1700"/>
      <c r="BN245" s="1700"/>
      <c r="BO245" s="1108"/>
      <c r="BP245" s="1700"/>
      <c r="BQ245" s="1700"/>
      <c r="BR245" s="1700"/>
      <c r="BS245" s="1700"/>
      <c r="BT245" s="1108"/>
      <c r="BU245" s="1108"/>
      <c r="BV245" s="1108"/>
      <c r="BW245" s="1108"/>
      <c r="BX245" s="1108"/>
      <c r="BY245" s="1108"/>
      <c r="BZ245" s="1108"/>
      <c r="CA245" s="1108"/>
      <c r="CB245" s="1108"/>
      <c r="CC245" s="1108"/>
      <c r="CD245" s="1108"/>
      <c r="CE245" s="1108"/>
      <c r="CF245" s="1108"/>
      <c r="CG245" s="1108"/>
      <c r="CH245" s="1108"/>
      <c r="CI245" s="1108"/>
      <c r="CJ245" s="1108"/>
      <c r="CK245" s="1108"/>
      <c r="CL245" s="1108"/>
      <c r="CM245" s="1108"/>
      <c r="CN245" s="1108"/>
      <c r="CO245" s="1108"/>
      <c r="CP245" s="1108"/>
      <c r="CQ245" s="1108"/>
      <c r="CR245" s="1108"/>
      <c r="CS245" s="1108"/>
      <c r="CT245" s="1470"/>
      <c r="CU245" s="1470"/>
      <c r="CV245" s="1470"/>
      <c r="CW245" s="1108"/>
      <c r="CX245" s="1108"/>
      <c r="CY245" s="1470"/>
      <c r="CZ245" s="1470"/>
      <c r="DA245" s="1470"/>
      <c r="DB245" s="1108"/>
      <c r="DC245" s="2862"/>
      <c r="DD245" s="1108"/>
      <c r="DE245" s="1108"/>
      <c r="DF245" s="1108"/>
      <c r="DG245" s="1108"/>
      <c r="DH245" s="1108"/>
      <c r="DI245" s="1108"/>
      <c r="DJ245" s="1108"/>
      <c r="DK245" s="1108"/>
      <c r="DL245" s="1108"/>
      <c r="DM245" s="1108"/>
      <c r="DN245" s="1108"/>
      <c r="DO245" s="1108"/>
      <c r="DP245" s="1108"/>
      <c r="DQ245" s="1108"/>
      <c r="DR245" s="1108"/>
    </row>
    <row r="246" spans="1:122">
      <c r="A246" s="1686" t="s">
        <v>525</v>
      </c>
      <c r="B246" s="1437">
        <v>1416.9</v>
      </c>
      <c r="C246" s="1437">
        <v>-17462.2</v>
      </c>
      <c r="D246" s="1655">
        <v>338.5</v>
      </c>
      <c r="E246" s="1655">
        <v>293.7</v>
      </c>
      <c r="F246" s="1357">
        <f t="shared" ref="F246:G248" si="394">I246-(B246-D246)</f>
        <v>338.50000000000045</v>
      </c>
      <c r="G246" s="1357">
        <f t="shared" si="394"/>
        <v>293.70000000000437</v>
      </c>
      <c r="H246" s="1357"/>
      <c r="I246" s="1654">
        <f t="shared" ref="I246:N246" si="395">I52</f>
        <v>1416.9000000000005</v>
      </c>
      <c r="J246" s="1654">
        <f t="shared" si="395"/>
        <v>-17462.199999999997</v>
      </c>
      <c r="K246" s="1654">
        <f t="shared" si="395"/>
        <v>-7089.0999999999995</v>
      </c>
      <c r="L246" s="1654">
        <f t="shared" si="395"/>
        <v>1660.5</v>
      </c>
      <c r="M246" s="1654">
        <f t="shared" si="395"/>
        <v>1250.3999999999999</v>
      </c>
      <c r="N246" s="1654">
        <f t="shared" si="395"/>
        <v>-11673.400000000003</v>
      </c>
      <c r="O246" s="1369"/>
      <c r="P246" s="1654"/>
      <c r="Q246" s="1654"/>
      <c r="R246" s="1654">
        <f t="shared" ref="R246:AH246" si="396">R52</f>
        <v>226.50000000000034</v>
      </c>
      <c r="S246" s="1654">
        <f t="shared" si="396"/>
        <v>724.20000000000016</v>
      </c>
      <c r="T246" s="1654">
        <f t="shared" si="396"/>
        <v>1305.0000000000005</v>
      </c>
      <c r="U246" s="1654">
        <f t="shared" si="396"/>
        <v>1573.9999999999995</v>
      </c>
      <c r="V246" s="1654">
        <f t="shared" si="396"/>
        <v>1879</v>
      </c>
      <c r="W246" s="1654">
        <v>2959</v>
      </c>
      <c r="X246" s="1654"/>
      <c r="Y246" s="2801"/>
      <c r="Z246" s="2801">
        <f t="shared" si="396"/>
        <v>1413</v>
      </c>
      <c r="AA246" s="2801">
        <v>1261</v>
      </c>
      <c r="AB246" s="2801"/>
      <c r="AC246" s="2801">
        <f ca="1">AC52</f>
        <v>850.48145379200957</v>
      </c>
      <c r="AD246" s="2801">
        <f t="shared" ca="1" si="396"/>
        <v>1940.8189642968675</v>
      </c>
      <c r="AE246" s="2801">
        <f t="shared" ca="1" si="396"/>
        <v>2070.3245421209913</v>
      </c>
      <c r="AF246" s="2801">
        <f t="shared" ca="1" si="396"/>
        <v>2338.663237250717</v>
      </c>
      <c r="AG246" s="1654">
        <f t="shared" ca="1" si="396"/>
        <v>2433.8925616399433</v>
      </c>
      <c r="AH246" s="1654">
        <f t="shared" ca="1" si="396"/>
        <v>2634.0568392057412</v>
      </c>
      <c r="AI246" s="1654">
        <f t="shared" ref="AI246:AN246" ca="1" si="397">AI52</f>
        <v>2518.3795912014566</v>
      </c>
      <c r="AJ246" s="1654">
        <f t="shared" ca="1" si="397"/>
        <v>2611.6538272837283</v>
      </c>
      <c r="AK246" s="1654">
        <f t="shared" ca="1" si="397"/>
        <v>2627.5599441698942</v>
      </c>
      <c r="AL246" s="1654">
        <f t="shared" ca="1" si="397"/>
        <v>2603.4168520751291</v>
      </c>
      <c r="AM246" s="1654">
        <f t="shared" ca="1" si="397"/>
        <v>2578.5830793826849</v>
      </c>
      <c r="AN246" s="1654">
        <f t="shared" ca="1" si="397"/>
        <v>2732.8423054189966</v>
      </c>
      <c r="AO246" s="90"/>
      <c r="AP246" s="1108"/>
      <c r="AQ246" s="1654"/>
      <c r="AR246" s="1654"/>
      <c r="AS246" s="1654"/>
      <c r="AT246" s="1688"/>
      <c r="AU246" s="1108"/>
      <c r="AV246" s="1108"/>
      <c r="AW246" s="1689"/>
      <c r="AX246" s="1689"/>
      <c r="AY246" s="1689"/>
      <c r="AZ246" s="1689"/>
      <c r="BA246" s="1689"/>
      <c r="BB246" s="1689"/>
      <c r="BC246" s="1689"/>
      <c r="BD246" s="1689"/>
      <c r="BE246" s="1689"/>
      <c r="BF246" s="1689"/>
      <c r="BG246" s="1689"/>
      <c r="BH246" s="1689"/>
      <c r="BI246" s="1689"/>
      <c r="BJ246" s="1689"/>
      <c r="BK246" s="1689"/>
      <c r="BL246" s="1689"/>
      <c r="BM246" s="1689"/>
      <c r="BN246" s="1689"/>
      <c r="BO246" s="1689"/>
      <c r="BP246" s="1689"/>
      <c r="BQ246" s="1689"/>
      <c r="BR246" s="1689"/>
      <c r="BS246" s="1689"/>
      <c r="BT246" s="1689"/>
      <c r="BU246" s="1689"/>
      <c r="BV246" s="1689"/>
      <c r="BW246" s="1689"/>
      <c r="BX246" s="1689"/>
      <c r="BY246" s="1689"/>
      <c r="BZ246" s="1689"/>
      <c r="CA246" s="1689"/>
      <c r="CB246" s="1689"/>
      <c r="CC246" s="1689"/>
      <c r="CD246" s="1689"/>
      <c r="CE246" s="1689"/>
      <c r="CF246" s="1689"/>
      <c r="CG246" s="1689"/>
      <c r="CH246" s="1689"/>
      <c r="CI246" s="1689"/>
      <c r="CJ246" s="1689"/>
      <c r="CK246" s="1689"/>
      <c r="CL246" s="1689"/>
      <c r="CM246" s="1689"/>
      <c r="CN246" s="1689"/>
      <c r="CO246" s="1689"/>
      <c r="CP246" s="1689"/>
      <c r="CQ246" s="1689"/>
      <c r="CR246" s="1689"/>
      <c r="CS246" s="1689"/>
      <c r="CT246" s="1601"/>
      <c r="CU246" s="1601"/>
      <c r="CV246" s="1601"/>
      <c r="CW246" s="1689"/>
      <c r="CX246" s="1689"/>
      <c r="CY246" s="1601"/>
      <c r="CZ246" s="1601"/>
      <c r="DA246" s="1601"/>
      <c r="DB246" s="1689"/>
      <c r="DC246" s="2925"/>
      <c r="DD246" s="1689"/>
      <c r="DE246" s="1689"/>
      <c r="DF246" s="1689"/>
      <c r="DG246" s="1689"/>
      <c r="DH246" s="1689"/>
      <c r="DI246" s="1689"/>
      <c r="DJ246" s="1689"/>
      <c r="DK246" s="1689"/>
      <c r="DL246" s="1689"/>
      <c r="DM246" s="1689"/>
      <c r="DN246" s="1689"/>
      <c r="DO246" s="1689"/>
      <c r="DP246" s="1689"/>
      <c r="DQ246" s="1689"/>
      <c r="DR246" s="1689"/>
    </row>
    <row r="247" spans="1:122">
      <c r="A247" s="1686" t="s">
        <v>901</v>
      </c>
      <c r="B247" s="1437">
        <v>-802.8</v>
      </c>
      <c r="C247" s="1437">
        <v>-1099.2</v>
      </c>
      <c r="D247" s="1655">
        <v>-802.8</v>
      </c>
      <c r="E247" s="1655">
        <v>-1099.2</v>
      </c>
      <c r="F247" s="1357">
        <f t="shared" si="394"/>
        <v>318.5</v>
      </c>
      <c r="G247" s="1357">
        <f t="shared" si="394"/>
        <v>242.1</v>
      </c>
      <c r="H247" s="1357"/>
      <c r="I247" s="1357">
        <f>I48</f>
        <v>318.5</v>
      </c>
      <c r="J247" s="1357">
        <f>J48</f>
        <v>242.1</v>
      </c>
      <c r="K247" s="1357">
        <f t="shared" ref="K247:S247" si="398">K48</f>
        <v>1232.7</v>
      </c>
      <c r="L247" s="1357">
        <f t="shared" si="398"/>
        <v>277.60000000000002</v>
      </c>
      <c r="M247" s="1357">
        <f t="shared" si="398"/>
        <v>16.2</v>
      </c>
      <c r="N247" s="1357">
        <f t="shared" si="398"/>
        <v>0</v>
      </c>
      <c r="O247" s="1369"/>
      <c r="P247" s="1357"/>
      <c r="Q247" s="1357"/>
      <c r="R247" s="1357">
        <f t="shared" si="398"/>
        <v>0</v>
      </c>
      <c r="S247" s="1357">
        <f t="shared" si="398"/>
        <v>0</v>
      </c>
      <c r="T247" s="1357">
        <f t="shared" ref="T247:AH247" si="399">T48</f>
        <v>-86</v>
      </c>
      <c r="U247" s="1357">
        <f t="shared" si="399"/>
        <v>-60</v>
      </c>
      <c r="V247" s="1357">
        <f t="shared" si="399"/>
        <v>6</v>
      </c>
      <c r="W247" s="1357">
        <f>1605</f>
        <v>1605</v>
      </c>
      <c r="X247" s="1357"/>
      <c r="Y247" s="2806"/>
      <c r="Z247" s="2806">
        <f t="shared" si="399"/>
        <v>10</v>
      </c>
      <c r="AA247" s="2806">
        <v>-291</v>
      </c>
      <c r="AB247" s="2806"/>
      <c r="AC247" s="2806">
        <f>AC48</f>
        <v>-855.10937558397552</v>
      </c>
      <c r="AD247" s="2806">
        <f t="shared" si="399"/>
        <v>0</v>
      </c>
      <c r="AE247" s="2806">
        <f t="shared" si="399"/>
        <v>0</v>
      </c>
      <c r="AF247" s="2806">
        <f t="shared" si="399"/>
        <v>0</v>
      </c>
      <c r="AG247" s="1357">
        <f t="shared" si="399"/>
        <v>0</v>
      </c>
      <c r="AH247" s="1357">
        <f t="shared" si="399"/>
        <v>0</v>
      </c>
      <c r="AI247" s="1357">
        <f t="shared" ref="AI247:AN247" si="400">AI48</f>
        <v>0</v>
      </c>
      <c r="AJ247" s="1357">
        <f t="shared" si="400"/>
        <v>0</v>
      </c>
      <c r="AK247" s="1357">
        <f t="shared" si="400"/>
        <v>0</v>
      </c>
      <c r="AL247" s="1357">
        <f t="shared" si="400"/>
        <v>0</v>
      </c>
      <c r="AM247" s="1357">
        <f t="shared" si="400"/>
        <v>0</v>
      </c>
      <c r="AN247" s="1357">
        <f t="shared" si="400"/>
        <v>0</v>
      </c>
      <c r="AO247" s="90"/>
      <c r="AP247" s="1108"/>
      <c r="AQ247" s="1357"/>
      <c r="AR247" s="1357"/>
      <c r="AS247" s="1357"/>
      <c r="AT247" s="1688"/>
      <c r="AU247" s="1108"/>
      <c r="AV247" s="1108"/>
      <c r="AW247" s="1689"/>
      <c r="AX247" s="1689"/>
      <c r="AY247" s="1689"/>
      <c r="AZ247" s="1689"/>
      <c r="BA247" s="1689"/>
      <c r="BB247" s="1689"/>
      <c r="BC247" s="1689"/>
      <c r="BD247" s="1689"/>
      <c r="BE247" s="1689"/>
      <c r="BF247" s="1689"/>
      <c r="BG247" s="1689"/>
      <c r="BH247" s="1689"/>
      <c r="BI247" s="1689"/>
      <c r="BJ247" s="1689"/>
      <c r="BK247" s="1689"/>
      <c r="BL247" s="1689"/>
      <c r="BM247" s="1689"/>
      <c r="BN247" s="1689"/>
      <c r="BO247" s="1689"/>
      <c r="BP247" s="1689"/>
      <c r="BQ247" s="1689"/>
      <c r="BR247" s="1689"/>
      <c r="BS247" s="1689"/>
      <c r="BT247" s="1689"/>
      <c r="BU247" s="1689"/>
      <c r="BV247" s="1689"/>
      <c r="BW247" s="1689"/>
      <c r="BX247" s="1689"/>
      <c r="BY247" s="1689"/>
      <c r="BZ247" s="1689"/>
      <c r="CA247" s="1689"/>
      <c r="CB247" s="1689"/>
      <c r="CC247" s="1689"/>
      <c r="CD247" s="1689"/>
      <c r="CE247" s="1689"/>
      <c r="CF247" s="1689"/>
      <c r="CG247" s="1689"/>
      <c r="CH247" s="1689"/>
      <c r="CI247" s="1689"/>
      <c r="CJ247" s="1689"/>
      <c r="CK247" s="1689"/>
      <c r="CL247" s="1689"/>
      <c r="CM247" s="1689"/>
      <c r="CN247" s="1689"/>
      <c r="CO247" s="1689"/>
      <c r="CP247" s="1689"/>
      <c r="CQ247" s="1689"/>
      <c r="CR247" s="1689"/>
      <c r="CS247" s="1689"/>
      <c r="CT247" s="1601"/>
      <c r="CU247" s="1601"/>
      <c r="CV247" s="1601"/>
      <c r="CW247" s="1689"/>
      <c r="CX247" s="1689"/>
      <c r="CY247" s="1601"/>
      <c r="CZ247" s="1601"/>
      <c r="DA247" s="1601"/>
      <c r="DB247" s="1689"/>
      <c r="DC247" s="2925"/>
      <c r="DD247" s="1689"/>
      <c r="DE247" s="1689"/>
      <c r="DF247" s="1689"/>
      <c r="DG247" s="1689"/>
      <c r="DH247" s="1689"/>
      <c r="DI247" s="1689"/>
      <c r="DJ247" s="1689"/>
      <c r="DK247" s="1689"/>
      <c r="DL247" s="1689"/>
      <c r="DM247" s="1689"/>
      <c r="DN247" s="1689"/>
      <c r="DO247" s="1689"/>
      <c r="DP247" s="1689"/>
      <c r="DQ247" s="1689"/>
      <c r="DR247" s="1689"/>
    </row>
    <row r="248" spans="1:122">
      <c r="A248" s="2136" t="s">
        <v>911</v>
      </c>
      <c r="B248" s="1694">
        <v>-18.5</v>
      </c>
      <c r="C248" s="1695">
        <v>-1312.4</v>
      </c>
      <c r="D248" s="1694">
        <v>-6.1</v>
      </c>
      <c r="E248" s="1694">
        <v>0</v>
      </c>
      <c r="F248" s="1708">
        <f t="shared" si="394"/>
        <v>-6.1</v>
      </c>
      <c r="G248" s="1708">
        <f t="shared" si="394"/>
        <v>0</v>
      </c>
      <c r="H248" s="1708"/>
      <c r="I248" s="1439">
        <f>I51</f>
        <v>-18.5</v>
      </c>
      <c r="J248" s="1439">
        <f>J51</f>
        <v>-1312.4</v>
      </c>
      <c r="K248" s="1439">
        <f>K51</f>
        <v>0</v>
      </c>
      <c r="L248" s="1439">
        <f t="shared" ref="L248:Z248" si="401">L51</f>
        <v>0</v>
      </c>
      <c r="M248" s="1439">
        <f t="shared" si="401"/>
        <v>0</v>
      </c>
      <c r="N248" s="1439">
        <f t="shared" si="401"/>
        <v>0</v>
      </c>
      <c r="O248" s="1369"/>
      <c r="P248" s="1439"/>
      <c r="Q248" s="1439"/>
      <c r="R248" s="1439">
        <f t="shared" si="401"/>
        <v>0</v>
      </c>
      <c r="S248" s="1439">
        <f t="shared" si="401"/>
        <v>0</v>
      </c>
      <c r="T248" s="1439">
        <f t="shared" si="401"/>
        <v>0</v>
      </c>
      <c r="U248" s="1439">
        <f t="shared" si="401"/>
        <v>0</v>
      </c>
      <c r="V248" s="1439">
        <f t="shared" si="401"/>
        <v>0</v>
      </c>
      <c r="W248" s="1439">
        <f t="shared" si="401"/>
        <v>0</v>
      </c>
      <c r="X248" s="1439"/>
      <c r="Y248" s="2872"/>
      <c r="Z248" s="2872">
        <f t="shared" si="401"/>
        <v>0</v>
      </c>
      <c r="AA248" s="2872">
        <v>0</v>
      </c>
      <c r="AB248" s="2872"/>
      <c r="AC248" s="2872">
        <f>AC51</f>
        <v>0</v>
      </c>
      <c r="AD248" s="2872">
        <f t="shared" ref="AD248:AH248" si="402">AD51</f>
        <v>0</v>
      </c>
      <c r="AE248" s="2872">
        <f t="shared" si="402"/>
        <v>0</v>
      </c>
      <c r="AF248" s="2872">
        <f t="shared" si="402"/>
        <v>0</v>
      </c>
      <c r="AG248" s="1439">
        <f t="shared" si="402"/>
        <v>0</v>
      </c>
      <c r="AH248" s="1439">
        <f t="shared" si="402"/>
        <v>0</v>
      </c>
      <c r="AI248" s="1439">
        <f t="shared" ref="AI248:AN248" si="403">AI51</f>
        <v>0</v>
      </c>
      <c r="AJ248" s="1439">
        <f t="shared" si="403"/>
        <v>0</v>
      </c>
      <c r="AK248" s="1439">
        <f t="shared" si="403"/>
        <v>0</v>
      </c>
      <c r="AL248" s="1439">
        <f t="shared" si="403"/>
        <v>0</v>
      </c>
      <c r="AM248" s="1439">
        <f t="shared" si="403"/>
        <v>0</v>
      </c>
      <c r="AN248" s="1439">
        <f t="shared" si="403"/>
        <v>0</v>
      </c>
      <c r="AO248" s="90"/>
      <c r="AP248" s="1108"/>
      <c r="AQ248" s="1373"/>
      <c r="AR248" s="1373"/>
      <c r="AS248" s="1373"/>
      <c r="AT248" s="1688"/>
      <c r="AU248" s="1108"/>
      <c r="AV248" s="1108"/>
      <c r="AW248" s="1689"/>
      <c r="AX248" s="1689"/>
      <c r="AY248" s="1689"/>
      <c r="AZ248" s="1689"/>
      <c r="BA248" s="1689"/>
      <c r="BB248" s="1689"/>
      <c r="BC248" s="1689"/>
      <c r="BD248" s="1689"/>
      <c r="BE248" s="1689"/>
      <c r="BF248" s="1689"/>
      <c r="BG248" s="1689"/>
      <c r="BH248" s="1689"/>
      <c r="BI248" s="1689"/>
      <c r="BJ248" s="1689"/>
      <c r="BK248" s="1689"/>
      <c r="BL248" s="1689"/>
      <c r="BM248" s="1689"/>
      <c r="BN248" s="1689"/>
      <c r="BO248" s="1689"/>
      <c r="BP248" s="1689"/>
      <c r="BQ248" s="1689"/>
      <c r="BR248" s="1689"/>
      <c r="BS248" s="1689"/>
      <c r="BT248" s="1689"/>
      <c r="BU248" s="1689"/>
      <c r="BV248" s="1689"/>
      <c r="BW248" s="1689"/>
      <c r="BX248" s="1689"/>
      <c r="BY248" s="1689"/>
      <c r="BZ248" s="1689"/>
      <c r="CA248" s="1689"/>
      <c r="CB248" s="1689"/>
      <c r="CC248" s="1689"/>
      <c r="CD248" s="1689"/>
      <c r="CE248" s="1689"/>
      <c r="CF248" s="1689"/>
      <c r="CG248" s="1689"/>
      <c r="CH248" s="1689"/>
      <c r="CI248" s="1689"/>
      <c r="CJ248" s="1689"/>
      <c r="CK248" s="1689"/>
      <c r="CL248" s="1689"/>
      <c r="CM248" s="1689"/>
      <c r="CN248" s="1689"/>
      <c r="CO248" s="1689"/>
      <c r="CP248" s="1689"/>
      <c r="CQ248" s="1689"/>
      <c r="CR248" s="1689"/>
      <c r="CS248" s="1689"/>
      <c r="CT248" s="1601"/>
      <c r="CU248" s="1601"/>
      <c r="CV248" s="1601"/>
      <c r="CW248" s="1689"/>
      <c r="CX248" s="1689"/>
      <c r="CY248" s="1601"/>
      <c r="CZ248" s="1601"/>
      <c r="DA248" s="1601"/>
      <c r="DB248" s="1689"/>
      <c r="DC248" s="2925"/>
      <c r="DD248" s="1689"/>
      <c r="DE248" s="1689"/>
      <c r="DF248" s="1689"/>
      <c r="DG248" s="1689"/>
      <c r="DH248" s="1689"/>
      <c r="DI248" s="1689"/>
      <c r="DJ248" s="1689"/>
      <c r="DK248" s="1689"/>
      <c r="DL248" s="1689"/>
      <c r="DM248" s="1689"/>
      <c r="DN248" s="1689"/>
      <c r="DO248" s="1689"/>
      <c r="DP248" s="1689"/>
      <c r="DQ248" s="1689"/>
      <c r="DR248" s="1689"/>
    </row>
    <row r="249" spans="1:122">
      <c r="A249" s="2333" t="s">
        <v>912</v>
      </c>
      <c r="B249" s="1357">
        <f t="shared" ref="B249:G249" si="404">B246-B247-B248</f>
        <v>2238.1999999999998</v>
      </c>
      <c r="C249" s="1357">
        <f t="shared" si="404"/>
        <v>-15050.6</v>
      </c>
      <c r="D249" s="1357">
        <f t="shared" si="404"/>
        <v>1147.3999999999999</v>
      </c>
      <c r="E249" s="1357">
        <f t="shared" si="404"/>
        <v>1392.9</v>
      </c>
      <c r="F249" s="1357">
        <f t="shared" si="404"/>
        <v>26.100000000000456</v>
      </c>
      <c r="G249" s="1357">
        <f t="shared" si="404"/>
        <v>51.600000000004371</v>
      </c>
      <c r="H249" s="1357"/>
      <c r="I249" s="1654">
        <f t="shared" ref="I249:N249" si="405">I246-I247-I248</f>
        <v>1116.9000000000005</v>
      </c>
      <c r="J249" s="1654">
        <f t="shared" si="405"/>
        <v>-16391.899999999994</v>
      </c>
      <c r="K249" s="1654">
        <f t="shared" si="405"/>
        <v>-8321.7999999999993</v>
      </c>
      <c r="L249" s="1654">
        <f t="shared" si="405"/>
        <v>1382.9</v>
      </c>
      <c r="M249" s="1654">
        <f t="shared" si="405"/>
        <v>1234.1999999999998</v>
      </c>
      <c r="N249" s="1654">
        <f t="shared" si="405"/>
        <v>-11673.400000000003</v>
      </c>
      <c r="O249" s="1369"/>
      <c r="P249" s="1654"/>
      <c r="Q249" s="1654"/>
      <c r="R249" s="1654">
        <f t="shared" ref="R249:AH249" si="406">R246-R247-R248</f>
        <v>226.50000000000034</v>
      </c>
      <c r="S249" s="1654">
        <f t="shared" si="406"/>
        <v>724.20000000000016</v>
      </c>
      <c r="T249" s="1654">
        <f t="shared" si="406"/>
        <v>1391.0000000000005</v>
      </c>
      <c r="U249" s="1654">
        <f t="shared" si="406"/>
        <v>1633.9999999999995</v>
      </c>
      <c r="V249" s="1654">
        <f t="shared" si="406"/>
        <v>1873</v>
      </c>
      <c r="W249" s="1654">
        <f t="shared" si="406"/>
        <v>1354</v>
      </c>
      <c r="X249" s="1654"/>
      <c r="Y249" s="2801"/>
      <c r="Z249" s="2801">
        <f t="shared" si="406"/>
        <v>1403</v>
      </c>
      <c r="AA249" s="2801">
        <f t="shared" si="406"/>
        <v>1552</v>
      </c>
      <c r="AB249" s="2801"/>
      <c r="AC249" s="2801">
        <f ca="1">AC246-AC247-AC248</f>
        <v>1705.5908293759851</v>
      </c>
      <c r="AD249" s="2801">
        <f t="shared" ca="1" si="406"/>
        <v>1940.8189642968675</v>
      </c>
      <c r="AE249" s="2801">
        <f t="shared" ca="1" si="406"/>
        <v>2070.3245421209913</v>
      </c>
      <c r="AF249" s="2801">
        <f t="shared" ca="1" si="406"/>
        <v>2338.663237250717</v>
      </c>
      <c r="AG249" s="1654">
        <f t="shared" ca="1" si="406"/>
        <v>2433.8925616399433</v>
      </c>
      <c r="AH249" s="1654">
        <f t="shared" ca="1" si="406"/>
        <v>2634.0568392057412</v>
      </c>
      <c r="AI249" s="1654">
        <f t="shared" ref="AI249:AN249" ca="1" si="407">AI246-AI247-AI248</f>
        <v>2518.3795912014566</v>
      </c>
      <c r="AJ249" s="1654">
        <f t="shared" ca="1" si="407"/>
        <v>2611.6538272837283</v>
      </c>
      <c r="AK249" s="1654">
        <f t="shared" ca="1" si="407"/>
        <v>2627.5599441698942</v>
      </c>
      <c r="AL249" s="1654">
        <f t="shared" ca="1" si="407"/>
        <v>2603.4168520751291</v>
      </c>
      <c r="AM249" s="1654">
        <f t="shared" ca="1" si="407"/>
        <v>2578.5830793826849</v>
      </c>
      <c r="AN249" s="1654">
        <f t="shared" ca="1" si="407"/>
        <v>2732.8423054189966</v>
      </c>
      <c r="AO249" s="90"/>
      <c r="AP249" s="1108"/>
      <c r="AQ249" s="1654"/>
      <c r="AR249" s="1654"/>
      <c r="AS249" s="1654"/>
      <c r="AT249" s="1688"/>
      <c r="AU249" s="1108"/>
      <c r="AV249" s="1108"/>
      <c r="AW249" s="1689"/>
      <c r="AX249" s="1689"/>
      <c r="AY249" s="1689"/>
      <c r="AZ249" s="1689"/>
      <c r="BA249" s="1689"/>
      <c r="BB249" s="1689"/>
      <c r="BC249" s="1689"/>
      <c r="BD249" s="1689"/>
      <c r="BE249" s="1689"/>
      <c r="BF249" s="1689"/>
      <c r="BG249" s="1689"/>
      <c r="BH249" s="1689"/>
      <c r="BI249" s="1689"/>
      <c r="BJ249" s="1689"/>
      <c r="BK249" s="1689"/>
      <c r="BL249" s="1689"/>
      <c r="BM249" s="1689"/>
      <c r="BN249" s="1689"/>
      <c r="BO249" s="1689"/>
      <c r="BP249" s="1689"/>
      <c r="BQ249" s="1689"/>
      <c r="BR249" s="1689"/>
      <c r="BS249" s="1689"/>
      <c r="BT249" s="1689"/>
      <c r="BU249" s="1689"/>
      <c r="BV249" s="1689"/>
      <c r="BW249" s="1689"/>
      <c r="BX249" s="1689"/>
      <c r="BY249" s="1689"/>
      <c r="BZ249" s="1689"/>
      <c r="CA249" s="1689"/>
      <c r="CB249" s="1689"/>
      <c r="CC249" s="1689"/>
      <c r="CD249" s="1689"/>
      <c r="CE249" s="1689"/>
      <c r="CF249" s="1689"/>
      <c r="CG249" s="1689"/>
      <c r="CH249" s="1689"/>
      <c r="CI249" s="1689"/>
      <c r="CJ249" s="1689"/>
      <c r="CK249" s="1689"/>
      <c r="CL249" s="1689"/>
      <c r="CM249" s="1689"/>
      <c r="CN249" s="1689"/>
      <c r="CO249" s="1689"/>
      <c r="CP249" s="1689"/>
      <c r="CQ249" s="1689"/>
      <c r="CR249" s="1689"/>
      <c r="CS249" s="1689"/>
      <c r="CT249" s="1601"/>
      <c r="CU249" s="1601"/>
      <c r="CV249" s="1601"/>
      <c r="CW249" s="1689"/>
      <c r="CX249" s="1689"/>
      <c r="CY249" s="1601"/>
      <c r="CZ249" s="1601"/>
      <c r="DA249" s="1601"/>
      <c r="DB249" s="1689"/>
      <c r="DC249" s="2925"/>
      <c r="DD249" s="1689"/>
      <c r="DE249" s="1689"/>
      <c r="DF249" s="1689"/>
      <c r="DG249" s="1689"/>
      <c r="DH249" s="1689"/>
      <c r="DI249" s="1689"/>
      <c r="DJ249" s="1689"/>
      <c r="DK249" s="1689"/>
      <c r="DL249" s="1689"/>
      <c r="DM249" s="1689"/>
      <c r="DN249" s="1689"/>
      <c r="DO249" s="1689"/>
      <c r="DP249" s="1689"/>
      <c r="DQ249" s="1689"/>
      <c r="DR249" s="1689"/>
    </row>
    <row r="250" spans="1:122">
      <c r="A250" s="1709" t="s">
        <v>692</v>
      </c>
      <c r="B250" s="1437">
        <f>699.6-B251</f>
        <v>559.6</v>
      </c>
      <c r="C250" s="1437">
        <f>760.2-C251</f>
        <v>615.5</v>
      </c>
      <c r="D250" s="1655">
        <v>142.69999999999999</v>
      </c>
      <c r="E250" s="1655">
        <v>190.9</v>
      </c>
      <c r="F250" s="1357">
        <f>I250-(B250-D250)</f>
        <v>-2.9749999999999659</v>
      </c>
      <c r="G250" s="1357">
        <f>J250-(C250-E250)</f>
        <v>-2.4999999999920419E-2</v>
      </c>
      <c r="H250" s="1357"/>
      <c r="I250" s="1357">
        <f>I20</f>
        <v>413.92500000000007</v>
      </c>
      <c r="J250" s="1357">
        <f>J20</f>
        <v>424.5750000000001</v>
      </c>
      <c r="K250" s="1357">
        <f t="shared" ref="K250:V250" si="408">K20</f>
        <v>402.84450000000004</v>
      </c>
      <c r="L250" s="1357">
        <f t="shared" si="408"/>
        <v>352.2</v>
      </c>
      <c r="M250" s="1357">
        <f t="shared" si="408"/>
        <v>374.20000000000005</v>
      </c>
      <c r="N250" s="1357">
        <f t="shared" si="408"/>
        <v>423.99999999999994</v>
      </c>
      <c r="O250" s="1369"/>
      <c r="P250" s="1357"/>
      <c r="Q250" s="1357"/>
      <c r="R250" s="1357">
        <f t="shared" si="408"/>
        <v>452.3</v>
      </c>
      <c r="S250" s="1357">
        <f t="shared" si="408"/>
        <v>432.30000000000007</v>
      </c>
      <c r="T250" s="1357">
        <f t="shared" si="408"/>
        <v>373.99999999999994</v>
      </c>
      <c r="U250" s="1357">
        <f t="shared" si="408"/>
        <v>369</v>
      </c>
      <c r="V250" s="1357">
        <f t="shared" si="408"/>
        <v>356.99999999999977</v>
      </c>
      <c r="W250" s="1357">
        <f t="shared" ref="W250:AH250" si="409">W20</f>
        <v>248.99999999999977</v>
      </c>
      <c r="X250" s="1357"/>
      <c r="Y250" s="2806"/>
      <c r="Z250" s="2806">
        <f t="shared" si="409"/>
        <v>240</v>
      </c>
      <c r="AA250" s="2878">
        <f ca="1">225-AA251</f>
        <v>205</v>
      </c>
      <c r="AB250" s="2806"/>
      <c r="AC250" s="2806">
        <f t="shared" ca="1" si="409"/>
        <v>202.61333088960856</v>
      </c>
      <c r="AD250" s="2806">
        <f t="shared" ca="1" si="409"/>
        <v>200.2799201907556</v>
      </c>
      <c r="AE250" s="2806">
        <f t="shared" ca="1" si="409"/>
        <v>197.09204101470471</v>
      </c>
      <c r="AF250" s="2806">
        <f t="shared" ca="1" si="409"/>
        <v>199.26967908155288</v>
      </c>
      <c r="AG250" s="1357">
        <f t="shared" ca="1" si="409"/>
        <v>205.6519198250887</v>
      </c>
      <c r="AH250" s="1357">
        <f t="shared" ca="1" si="409"/>
        <v>216.20605608560521</v>
      </c>
      <c r="AI250" s="1357">
        <f t="shared" ref="AI250:AN250" ca="1" si="410">AI20</f>
        <v>214.55746161639954</v>
      </c>
      <c r="AJ250" s="1357">
        <f t="shared" ca="1" si="410"/>
        <v>219.23919870478289</v>
      </c>
      <c r="AK250" s="1357">
        <f t="shared" ca="1" si="410"/>
        <v>228.31369725081188</v>
      </c>
      <c r="AL250" s="1357">
        <f t="shared" ca="1" si="410"/>
        <v>225.83619732191275</v>
      </c>
      <c r="AM250" s="1357">
        <f t="shared" ca="1" si="410"/>
        <v>228.93144758459334</v>
      </c>
      <c r="AN250" s="1357">
        <f t="shared" ca="1" si="410"/>
        <v>240.69388998690007</v>
      </c>
      <c r="AO250" s="90"/>
      <c r="AP250" s="1108"/>
      <c r="AQ250" s="1357"/>
      <c r="AR250" s="1357"/>
      <c r="AS250" s="1357"/>
      <c r="AT250" s="1688"/>
      <c r="AU250" s="1108"/>
      <c r="AV250" s="1108"/>
      <c r="AW250" s="1689"/>
      <c r="AX250" s="1689"/>
      <c r="AY250" s="1689"/>
      <c r="AZ250" s="1689"/>
      <c r="BA250" s="1689"/>
      <c r="BB250" s="1689"/>
      <c r="BC250" s="1689"/>
      <c r="BD250" s="1689"/>
      <c r="BE250" s="1689"/>
      <c r="BF250" s="1689"/>
      <c r="BG250" s="1689"/>
      <c r="BH250" s="1689"/>
      <c r="BI250" s="1689"/>
      <c r="BJ250" s="1689"/>
      <c r="BK250" s="1689"/>
      <c r="BL250" s="1689"/>
      <c r="BM250" s="1689"/>
      <c r="BN250" s="1689"/>
      <c r="BO250" s="1689"/>
      <c r="BP250" s="1689"/>
      <c r="BQ250" s="1689"/>
      <c r="BR250" s="1689"/>
      <c r="BS250" s="1689"/>
      <c r="BT250" s="1689"/>
      <c r="BU250" s="1689"/>
      <c r="BV250" s="1689"/>
      <c r="BW250" s="1689"/>
      <c r="BX250" s="1689"/>
      <c r="BY250" s="1689"/>
      <c r="BZ250" s="1689"/>
      <c r="CA250" s="1689"/>
      <c r="CB250" s="1689"/>
      <c r="CC250" s="1689"/>
      <c r="CD250" s="1689"/>
      <c r="CE250" s="1689"/>
      <c r="CF250" s="1689"/>
      <c r="CG250" s="1689"/>
      <c r="CH250" s="1689"/>
      <c r="CI250" s="1689"/>
      <c r="CJ250" s="1689"/>
      <c r="CK250" s="1689"/>
      <c r="CL250" s="1689"/>
      <c r="CM250" s="1689"/>
      <c r="CN250" s="1689"/>
      <c r="CO250" s="1689"/>
      <c r="CP250" s="1689"/>
      <c r="CQ250" s="1689"/>
      <c r="CR250" s="1689"/>
      <c r="CS250" s="1689"/>
      <c r="CT250" s="1601"/>
      <c r="CU250" s="1601"/>
      <c r="CV250" s="1601"/>
      <c r="CW250" s="1689"/>
      <c r="CX250" s="1689"/>
      <c r="CY250" s="1601"/>
      <c r="CZ250" s="1601"/>
      <c r="DA250" s="1601"/>
      <c r="DB250" s="1689"/>
      <c r="DC250" s="2925"/>
      <c r="DD250" s="1689"/>
      <c r="DE250" s="1689"/>
      <c r="DF250" s="1689"/>
      <c r="DG250" s="1689"/>
      <c r="DH250" s="1689"/>
      <c r="DI250" s="1689"/>
      <c r="DJ250" s="1689"/>
      <c r="DK250" s="1689"/>
      <c r="DL250" s="1689"/>
      <c r="DM250" s="1689"/>
      <c r="DN250" s="1689"/>
      <c r="DO250" s="1689"/>
      <c r="DP250" s="1689"/>
      <c r="DQ250" s="1689"/>
      <c r="DR250" s="1689"/>
    </row>
    <row r="251" spans="1:122">
      <c r="A251" s="1709" t="s">
        <v>733</v>
      </c>
      <c r="B251" s="1437">
        <v>140</v>
      </c>
      <c r="C251" s="1437">
        <v>144.69999999999999</v>
      </c>
      <c r="D251" s="1655">
        <v>55.200000000000216</v>
      </c>
      <c r="E251" s="1655">
        <v>60.699999999999818</v>
      </c>
      <c r="F251" s="1357">
        <f>I251-(B251-D251)</f>
        <v>2.9750000000001364</v>
      </c>
      <c r="G251" s="1357">
        <f>J251-(C251-E251)</f>
        <v>2.4999999999806732E-2</v>
      </c>
      <c r="H251" s="1357"/>
      <c r="I251" s="1357">
        <f>+I22</f>
        <v>87.77499999999992</v>
      </c>
      <c r="J251" s="1357">
        <f>+J22</f>
        <v>84.024999999999977</v>
      </c>
      <c r="K251" s="1357">
        <f t="shared" ref="K251:AA251" si="411">+K22</f>
        <v>95.855499999999893</v>
      </c>
      <c r="L251" s="1357">
        <f t="shared" si="411"/>
        <v>87.300000000000011</v>
      </c>
      <c r="M251" s="1357">
        <f t="shared" si="411"/>
        <v>81.5</v>
      </c>
      <c r="N251" s="1357">
        <f t="shared" si="411"/>
        <v>105.5</v>
      </c>
      <c r="O251" s="1369"/>
      <c r="P251" s="1357"/>
      <c r="Q251" s="1357"/>
      <c r="R251" s="1357">
        <f t="shared" si="411"/>
        <v>130</v>
      </c>
      <c r="S251" s="1357">
        <f t="shared" si="411"/>
        <v>130</v>
      </c>
      <c r="T251" s="1357">
        <f t="shared" si="411"/>
        <v>121</v>
      </c>
      <c r="U251" s="1357">
        <f t="shared" si="411"/>
        <v>106</v>
      </c>
      <c r="V251" s="1357">
        <f t="shared" si="411"/>
        <v>100</v>
      </c>
      <c r="W251" s="1357">
        <f t="shared" si="411"/>
        <v>32.000000000000007</v>
      </c>
      <c r="X251" s="1357"/>
      <c r="Y251" s="2806"/>
      <c r="Z251" s="2806">
        <f t="shared" si="411"/>
        <v>24</v>
      </c>
      <c r="AA251" s="2806">
        <f t="shared" ca="1" si="411"/>
        <v>20</v>
      </c>
      <c r="AB251" s="2806"/>
      <c r="AC251" s="2806">
        <f>+AC22</f>
        <v>19</v>
      </c>
      <c r="AD251" s="2806">
        <f t="shared" ref="AD251:AH251" si="412">+AD22</f>
        <v>18</v>
      </c>
      <c r="AE251" s="1357">
        <f t="shared" ca="1" si="412"/>
        <v>18</v>
      </c>
      <c r="AF251" s="1357">
        <f t="shared" ca="1" si="412"/>
        <v>14.999999999999995</v>
      </c>
      <c r="AG251" s="1357">
        <f t="shared" ca="1" si="412"/>
        <v>13.000000000000007</v>
      </c>
      <c r="AH251" s="1357">
        <f t="shared" ca="1" si="412"/>
        <v>12.948460392448006</v>
      </c>
      <c r="AI251" s="1357">
        <f t="shared" ref="AI251:AN251" ca="1" si="413">+AI22</f>
        <v>10.907228706406393</v>
      </c>
      <c r="AJ251" s="1357">
        <f t="shared" ca="1" si="413"/>
        <v>10.874243357573114</v>
      </c>
      <c r="AK251" s="1357">
        <f t="shared" ca="1" si="413"/>
        <v>10.847855078506491</v>
      </c>
      <c r="AL251" s="1357">
        <f t="shared" ca="1" si="413"/>
        <v>10.826744455253198</v>
      </c>
      <c r="AM251" s="1357">
        <f t="shared" ca="1" si="413"/>
        <v>10.809855956650559</v>
      </c>
      <c r="AN251" s="1357">
        <f t="shared" ca="1" si="413"/>
        <v>10.796345157768435</v>
      </c>
      <c r="AO251" s="90"/>
      <c r="AP251" s="1108"/>
      <c r="AQ251" s="1357"/>
      <c r="AR251" s="1357"/>
      <c r="AS251" s="1357"/>
      <c r="AT251" s="1688"/>
      <c r="AU251" s="1108"/>
      <c r="AV251" s="1108"/>
      <c r="AW251" s="1689"/>
      <c r="AX251" s="1689"/>
      <c r="AY251" s="1689"/>
      <c r="AZ251" s="1689"/>
      <c r="BA251" s="1689"/>
      <c r="BB251" s="1689"/>
      <c r="BC251" s="1689"/>
      <c r="BD251" s="1689"/>
      <c r="BE251" s="1689"/>
      <c r="BF251" s="1689"/>
      <c r="BG251" s="1689"/>
      <c r="BH251" s="1689"/>
      <c r="BI251" s="1689"/>
      <c r="BJ251" s="1689"/>
      <c r="BK251" s="1689"/>
      <c r="BL251" s="1689"/>
      <c r="BM251" s="1689"/>
      <c r="BN251" s="1689"/>
      <c r="BO251" s="1689"/>
      <c r="BP251" s="1689"/>
      <c r="BQ251" s="1689"/>
      <c r="BR251" s="1689"/>
      <c r="BS251" s="1689"/>
      <c r="BT251" s="1689"/>
      <c r="BU251" s="1689"/>
      <c r="BV251" s="1689"/>
      <c r="BW251" s="1689"/>
      <c r="BX251" s="1689"/>
      <c r="BY251" s="1689"/>
      <c r="BZ251" s="1689"/>
      <c r="CA251" s="1689"/>
      <c r="CB251" s="1689"/>
      <c r="CC251" s="1689"/>
      <c r="CD251" s="1689"/>
      <c r="CE251" s="1689"/>
      <c r="CF251" s="1689"/>
      <c r="CG251" s="1689"/>
      <c r="CH251" s="1689"/>
      <c r="CI251" s="1689"/>
      <c r="CJ251" s="1689"/>
      <c r="CK251" s="1689"/>
      <c r="CL251" s="1689"/>
      <c r="CM251" s="1689"/>
      <c r="CN251" s="1689"/>
      <c r="CO251" s="1689"/>
      <c r="CP251" s="1689"/>
      <c r="CQ251" s="1689"/>
      <c r="CR251" s="1689"/>
      <c r="CS251" s="1689"/>
      <c r="CT251" s="1601"/>
      <c r="CU251" s="1601"/>
      <c r="CV251" s="1601"/>
      <c r="CW251" s="1689"/>
      <c r="CX251" s="1689"/>
      <c r="CY251" s="1601"/>
      <c r="CZ251" s="1601"/>
      <c r="DA251" s="1601"/>
      <c r="DB251" s="1689"/>
      <c r="DC251" s="2925"/>
      <c r="DD251" s="1689"/>
      <c r="DE251" s="1689"/>
      <c r="DF251" s="1689"/>
      <c r="DG251" s="1689"/>
      <c r="DH251" s="1689"/>
      <c r="DI251" s="1689"/>
      <c r="DJ251" s="1689"/>
      <c r="DK251" s="1689"/>
      <c r="DL251" s="1689"/>
      <c r="DM251" s="1689"/>
      <c r="DN251" s="1689"/>
      <c r="DO251" s="1689"/>
      <c r="DP251" s="1689"/>
      <c r="DQ251" s="1689"/>
      <c r="DR251" s="1689"/>
    </row>
    <row r="252" spans="1:122">
      <c r="A252" s="1709" t="s">
        <v>902</v>
      </c>
      <c r="B252" s="1437"/>
      <c r="C252" s="1437"/>
      <c r="D252" s="1655"/>
      <c r="E252" s="1655"/>
      <c r="F252" s="1357"/>
      <c r="G252" s="1357"/>
      <c r="H252" s="1357"/>
      <c r="I252" s="1357"/>
      <c r="J252" s="1357"/>
      <c r="K252" s="1357"/>
      <c r="L252" s="1357"/>
      <c r="M252" s="1357"/>
      <c r="N252" s="1357">
        <v>0</v>
      </c>
      <c r="O252" s="1369"/>
      <c r="P252" s="1357"/>
      <c r="Q252" s="1357"/>
      <c r="R252" s="1357">
        <v>0</v>
      </c>
      <c r="S252" s="1357">
        <v>0</v>
      </c>
      <c r="T252" s="1357">
        <v>0</v>
      </c>
      <c r="U252" s="1357">
        <v>0</v>
      </c>
      <c r="V252" s="1357">
        <v>0</v>
      </c>
      <c r="W252" s="1357">
        <v>0</v>
      </c>
      <c r="X252" s="1357"/>
      <c r="Y252" s="2806"/>
      <c r="Z252" s="2806">
        <v>0</v>
      </c>
      <c r="AA252" s="2878">
        <v>0</v>
      </c>
      <c r="AB252" s="2806"/>
      <c r="AC252" s="2806">
        <v>0</v>
      </c>
      <c r="AD252" s="2806">
        <v>0</v>
      </c>
      <c r="AE252" s="1357">
        <v>0</v>
      </c>
      <c r="AF252" s="1357">
        <v>0</v>
      </c>
      <c r="AG252" s="1357">
        <v>0</v>
      </c>
      <c r="AH252" s="1357">
        <v>0</v>
      </c>
      <c r="AI252" s="1357">
        <v>0</v>
      </c>
      <c r="AJ252" s="1357">
        <v>0</v>
      </c>
      <c r="AK252" s="1357">
        <v>0</v>
      </c>
      <c r="AL252" s="1357">
        <v>0</v>
      </c>
      <c r="AM252" s="1357">
        <v>0</v>
      </c>
      <c r="AN252" s="1357">
        <v>0</v>
      </c>
      <c r="AO252" s="90"/>
      <c r="AP252" s="1108"/>
      <c r="AQ252" s="1357"/>
      <c r="AR252" s="1357"/>
      <c r="AS252" s="1357"/>
      <c r="AT252" s="1688"/>
      <c r="AU252" s="1108"/>
      <c r="AV252" s="1108"/>
      <c r="AW252" s="1689"/>
      <c r="AX252" s="1689"/>
      <c r="AY252" s="1689"/>
      <c r="AZ252" s="1689"/>
      <c r="BA252" s="1689"/>
      <c r="BB252" s="1689"/>
      <c r="BC252" s="1689"/>
      <c r="BD252" s="1689"/>
      <c r="BE252" s="1689"/>
      <c r="BF252" s="1689"/>
      <c r="BG252" s="1689"/>
      <c r="BH252" s="1689"/>
      <c r="BI252" s="1689"/>
      <c r="BJ252" s="1689"/>
      <c r="BK252" s="1689"/>
      <c r="BL252" s="1689"/>
      <c r="BM252" s="1689"/>
      <c r="BN252" s="1689"/>
      <c r="BO252" s="1689"/>
      <c r="BP252" s="1689"/>
      <c r="BQ252" s="1689"/>
      <c r="BR252" s="1689"/>
      <c r="BS252" s="1689"/>
      <c r="BT252" s="1689"/>
      <c r="BU252" s="1689"/>
      <c r="BV252" s="1689"/>
      <c r="BW252" s="1689"/>
      <c r="BX252" s="1689"/>
      <c r="BY252" s="1689"/>
      <c r="BZ252" s="1689"/>
      <c r="CA252" s="1689"/>
      <c r="CB252" s="1689"/>
      <c r="CC252" s="1689"/>
      <c r="CD252" s="1689"/>
      <c r="CE252" s="1689"/>
      <c r="CF252" s="1689"/>
      <c r="CG252" s="1689"/>
      <c r="CH252" s="1689"/>
      <c r="CI252" s="1689"/>
      <c r="CJ252" s="1689"/>
      <c r="CK252" s="1689"/>
      <c r="CL252" s="1689"/>
      <c r="CM252" s="1689"/>
      <c r="CN252" s="1689"/>
      <c r="CO252" s="1689"/>
      <c r="CP252" s="1689"/>
      <c r="CQ252" s="1689"/>
      <c r="CR252" s="1689"/>
      <c r="CS252" s="1689"/>
      <c r="CT252" s="1601"/>
      <c r="CU252" s="1601"/>
      <c r="CV252" s="1601"/>
      <c r="CW252" s="1689"/>
      <c r="CX252" s="1689"/>
      <c r="CY252" s="1601"/>
      <c r="CZ252" s="1601"/>
      <c r="DA252" s="1601"/>
      <c r="DB252" s="1689"/>
      <c r="DC252" s="2925"/>
      <c r="DD252" s="1689"/>
      <c r="DE252" s="1689"/>
      <c r="DF252" s="1689"/>
      <c r="DG252" s="1689"/>
      <c r="DH252" s="1689"/>
      <c r="DI252" s="1689"/>
      <c r="DJ252" s="1689"/>
      <c r="DK252" s="1689"/>
      <c r="DL252" s="1689"/>
      <c r="DM252" s="1689"/>
      <c r="DN252" s="1689"/>
      <c r="DO252" s="1689"/>
      <c r="DP252" s="1689"/>
      <c r="DQ252" s="1689"/>
      <c r="DR252" s="1689"/>
    </row>
    <row r="253" spans="1:122">
      <c r="A253" s="1709" t="s">
        <v>1047</v>
      </c>
      <c r="B253" s="1437">
        <v>0</v>
      </c>
      <c r="C253" s="1437">
        <v>17997.099999999999</v>
      </c>
      <c r="D253" s="1655"/>
      <c r="E253" s="1655"/>
      <c r="F253" s="1437">
        <v>0</v>
      </c>
      <c r="G253" s="1437">
        <v>0</v>
      </c>
      <c r="H253" s="1357"/>
      <c r="I253" s="1437">
        <v>0</v>
      </c>
      <c r="J253" s="1437">
        <v>17997.099999999999</v>
      </c>
      <c r="K253" s="1437">
        <f>6437.4+3047</f>
        <v>9484.4</v>
      </c>
      <c r="L253" s="1437">
        <v>65.2</v>
      </c>
      <c r="M253" s="1437">
        <v>0</v>
      </c>
      <c r="N253" s="1437">
        <v>14181.4</v>
      </c>
      <c r="O253" s="1369"/>
      <c r="P253" s="1437"/>
      <c r="Q253" s="1437"/>
      <c r="R253" s="1437">
        <v>210</v>
      </c>
      <c r="S253" s="1437">
        <v>0</v>
      </c>
      <c r="T253" s="1437">
        <v>0</v>
      </c>
      <c r="U253" s="1437">
        <v>11</v>
      </c>
      <c r="V253" s="1437">
        <v>0</v>
      </c>
      <c r="W253" s="1437">
        <v>52</v>
      </c>
      <c r="X253" s="1437"/>
      <c r="Y253" s="2878"/>
      <c r="Z253" s="2878">
        <v>484</v>
      </c>
      <c r="AA253" s="2878">
        <v>0</v>
      </c>
      <c r="AB253" s="2878"/>
      <c r="AC253" s="2878">
        <f>AA253</f>
        <v>0</v>
      </c>
      <c r="AD253" s="2878">
        <f t="shared" ref="AD253:AN253" si="414">AC253</f>
        <v>0</v>
      </c>
      <c r="AE253" s="1437">
        <f t="shared" si="414"/>
        <v>0</v>
      </c>
      <c r="AF253" s="1437">
        <f t="shared" si="414"/>
        <v>0</v>
      </c>
      <c r="AG253" s="1437">
        <f t="shared" si="414"/>
        <v>0</v>
      </c>
      <c r="AH253" s="1437">
        <f t="shared" si="414"/>
        <v>0</v>
      </c>
      <c r="AI253" s="1437">
        <f t="shared" si="414"/>
        <v>0</v>
      </c>
      <c r="AJ253" s="1437">
        <f t="shared" si="414"/>
        <v>0</v>
      </c>
      <c r="AK253" s="1437">
        <f t="shared" si="414"/>
        <v>0</v>
      </c>
      <c r="AL253" s="1437">
        <f t="shared" si="414"/>
        <v>0</v>
      </c>
      <c r="AM253" s="1437">
        <f t="shared" si="414"/>
        <v>0</v>
      </c>
      <c r="AN253" s="1437">
        <f t="shared" si="414"/>
        <v>0</v>
      </c>
      <c r="AO253" s="90"/>
      <c r="AP253" s="1108"/>
      <c r="AQ253" s="1437"/>
      <c r="AR253" s="1437"/>
      <c r="AS253" s="1437"/>
      <c r="AT253" s="1688"/>
      <c r="AU253" s="1108"/>
      <c r="AV253" s="1108"/>
      <c r="AW253" s="1689"/>
      <c r="AX253" s="1689"/>
      <c r="AY253" s="1689"/>
      <c r="AZ253" s="1689"/>
      <c r="BA253" s="1689"/>
      <c r="BB253" s="1689"/>
      <c r="BC253" s="1689"/>
      <c r="BD253" s="1689"/>
      <c r="BE253" s="1689"/>
      <c r="BF253" s="1689"/>
      <c r="BG253" s="1689"/>
      <c r="BH253" s="1689"/>
      <c r="BI253" s="1689"/>
      <c r="BJ253" s="1689"/>
      <c r="BK253" s="1689"/>
      <c r="BL253" s="1689"/>
      <c r="BM253" s="1689"/>
      <c r="BN253" s="1689"/>
      <c r="BO253" s="1689"/>
      <c r="BP253" s="1689"/>
      <c r="BQ253" s="1689"/>
      <c r="BR253" s="1689"/>
      <c r="BS253" s="1689"/>
      <c r="BT253" s="1689"/>
      <c r="BU253" s="1689"/>
      <c r="BV253" s="1689"/>
      <c r="BW253" s="1689"/>
      <c r="BX253" s="1689"/>
      <c r="BY253" s="1689"/>
      <c r="BZ253" s="1689"/>
      <c r="CA253" s="1689"/>
      <c r="CB253" s="1689"/>
      <c r="CC253" s="1689"/>
      <c r="CD253" s="1689"/>
      <c r="CE253" s="1689"/>
      <c r="CF253" s="1689"/>
      <c r="CG253" s="1689"/>
      <c r="CH253" s="1689"/>
      <c r="CI253" s="1689"/>
      <c r="CJ253" s="1689"/>
      <c r="CK253" s="1689"/>
      <c r="CL253" s="1689"/>
      <c r="CM253" s="1689"/>
      <c r="CN253" s="1689"/>
      <c r="CO253" s="1689"/>
      <c r="CP253" s="1689"/>
      <c r="CQ253" s="1689"/>
      <c r="CR253" s="1689"/>
      <c r="CS253" s="1689"/>
      <c r="CT253" s="1601"/>
      <c r="CU253" s="1601"/>
      <c r="CV253" s="1601"/>
      <c r="CW253" s="1689"/>
      <c r="CX253" s="1689"/>
      <c r="CY253" s="1601"/>
      <c r="CZ253" s="1601"/>
      <c r="DA253" s="1601"/>
      <c r="DB253" s="1689"/>
      <c r="DC253" s="2925"/>
      <c r="DD253" s="1689"/>
      <c r="DE253" s="1689"/>
      <c r="DF253" s="1689"/>
      <c r="DG253" s="1689"/>
      <c r="DH253" s="1689"/>
      <c r="DI253" s="1689"/>
      <c r="DJ253" s="1689"/>
      <c r="DK253" s="1689"/>
      <c r="DL253" s="1689"/>
      <c r="DM253" s="1689"/>
      <c r="DN253" s="1689"/>
      <c r="DO253" s="1689"/>
      <c r="DP253" s="1689"/>
      <c r="DQ253" s="1689"/>
      <c r="DR253" s="1689"/>
    </row>
    <row r="254" spans="1:122">
      <c r="A254" s="2129" t="s">
        <v>1530</v>
      </c>
      <c r="B254" s="1437"/>
      <c r="C254" s="1437"/>
      <c r="D254" s="1655"/>
      <c r="E254" s="1655"/>
      <c r="F254" s="1437"/>
      <c r="G254" s="1437"/>
      <c r="H254" s="1357"/>
      <c r="I254" s="1437">
        <v>0</v>
      </c>
      <c r="J254" s="1437">
        <v>0</v>
      </c>
      <c r="K254" s="1437">
        <v>0</v>
      </c>
      <c r="L254" s="1437">
        <v>0</v>
      </c>
      <c r="M254" s="1437">
        <v>0</v>
      </c>
      <c r="N254" s="1437">
        <v>0</v>
      </c>
      <c r="O254" s="1369"/>
      <c r="P254" s="1437"/>
      <c r="Q254" s="1437"/>
      <c r="R254" s="1437">
        <v>0</v>
      </c>
      <c r="S254" s="1437">
        <v>0</v>
      </c>
      <c r="T254" s="1437">
        <v>0</v>
      </c>
      <c r="U254" s="1437">
        <v>453</v>
      </c>
      <c r="V254" s="1437">
        <v>433</v>
      </c>
      <c r="W254" s="1437">
        <v>692</v>
      </c>
      <c r="X254" s="1437"/>
      <c r="Y254" s="2878"/>
      <c r="Z254" s="2878">
        <v>215</v>
      </c>
      <c r="AA254" s="2878">
        <v>144</v>
      </c>
      <c r="AB254" s="2878"/>
      <c r="AC254" s="2878">
        <f ca="1">(AC227-AA227)+(AC216-AA216)-(AC203-AA203)-(AC189-AA189)</f>
        <v>198.42310162776153</v>
      </c>
      <c r="AD254" s="2878">
        <f t="shared" ref="AD254:AN254" ca="1" si="415">(AD227-AC227)+(AD216-AC216)-(AD203-AC203)-(AD189-AC189)</f>
        <v>222.82345755919573</v>
      </c>
      <c r="AE254" s="1437">
        <f t="shared" ca="1" si="415"/>
        <v>229.9050702577224</v>
      </c>
      <c r="AF254" s="1437">
        <f t="shared" ca="1" si="415"/>
        <v>250.8723505179978</v>
      </c>
      <c r="AG254" s="1437">
        <f t="shared" ca="1" si="415"/>
        <v>244.46239821992685</v>
      </c>
      <c r="AH254" s="1437">
        <f t="shared" ca="1" si="415"/>
        <v>246.61022759111393</v>
      </c>
      <c r="AI254" s="1437">
        <f t="shared" ca="1" si="415"/>
        <v>219.07748919156211</v>
      </c>
      <c r="AJ254" s="1437">
        <f t="shared" ca="1" si="415"/>
        <v>209.72656743171319</v>
      </c>
      <c r="AK254" s="1437">
        <f t="shared" ca="1" si="415"/>
        <v>193.57531747640269</v>
      </c>
      <c r="AL254" s="1437">
        <f t="shared" ca="1" si="415"/>
        <v>174.60504909771498</v>
      </c>
      <c r="AM254" s="1437">
        <f t="shared" ca="1" si="415"/>
        <v>155.95164217137017</v>
      </c>
      <c r="AN254" s="1437">
        <f t="shared" ca="1" si="415"/>
        <v>147.30237593462834</v>
      </c>
      <c r="AO254" s="90"/>
      <c r="AP254" s="1108"/>
      <c r="AQ254" s="1437"/>
      <c r="AR254" s="1437"/>
      <c r="AS254" s="1437"/>
      <c r="AT254" s="1688"/>
      <c r="AU254" s="1108"/>
      <c r="AV254" s="1108"/>
      <c r="AW254" s="1689"/>
      <c r="AX254" s="1689"/>
      <c r="AY254" s="1689"/>
      <c r="AZ254" s="1689"/>
      <c r="BA254" s="1689"/>
      <c r="BB254" s="1689"/>
      <c r="BC254" s="1689"/>
      <c r="BD254" s="1689"/>
      <c r="BE254" s="1689"/>
      <c r="BF254" s="1689"/>
      <c r="BG254" s="1689"/>
      <c r="BH254" s="1689"/>
      <c r="BI254" s="1689"/>
      <c r="BJ254" s="1689"/>
      <c r="BK254" s="1689"/>
      <c r="BL254" s="1689"/>
      <c r="BM254" s="1689"/>
      <c r="BN254" s="1689"/>
      <c r="BO254" s="1689"/>
      <c r="BP254" s="1689"/>
      <c r="BQ254" s="1689"/>
      <c r="BR254" s="1689"/>
      <c r="BS254" s="1689"/>
      <c r="BT254" s="1689"/>
      <c r="BU254" s="1689"/>
      <c r="BV254" s="1689"/>
      <c r="BW254" s="1689"/>
      <c r="BX254" s="1689"/>
      <c r="BY254" s="1689"/>
      <c r="BZ254" s="1689"/>
      <c r="CA254" s="1689"/>
      <c r="CB254" s="1689"/>
      <c r="CC254" s="1689"/>
      <c r="CD254" s="1689"/>
      <c r="CE254" s="1689"/>
      <c r="CF254" s="1689"/>
      <c r="CG254" s="1689"/>
      <c r="CH254" s="1689"/>
      <c r="CI254" s="1689"/>
      <c r="CJ254" s="1689"/>
      <c r="CK254" s="1689"/>
      <c r="CL254" s="1689"/>
      <c r="CM254" s="1689"/>
      <c r="CN254" s="1689"/>
      <c r="CO254" s="1689"/>
      <c r="CP254" s="1689"/>
      <c r="CQ254" s="1689"/>
      <c r="CR254" s="1689"/>
      <c r="CS254" s="1689"/>
      <c r="CT254" s="1601"/>
      <c r="CU254" s="1601"/>
      <c r="CV254" s="1601"/>
      <c r="CW254" s="1689"/>
      <c r="CX254" s="1689"/>
      <c r="CY254" s="1601"/>
      <c r="CZ254" s="1601"/>
      <c r="DA254" s="1601"/>
      <c r="DB254" s="1689"/>
      <c r="DC254" s="2925"/>
      <c r="DD254" s="1689"/>
      <c r="DE254" s="1689"/>
      <c r="DF254" s="1689"/>
      <c r="DG254" s="1689"/>
      <c r="DH254" s="1689"/>
      <c r="DI254" s="1689"/>
      <c r="DJ254" s="1689"/>
      <c r="DK254" s="1689"/>
      <c r="DL254" s="1689"/>
      <c r="DM254" s="1689"/>
      <c r="DN254" s="1689"/>
      <c r="DO254" s="1689"/>
      <c r="DP254" s="1689"/>
      <c r="DQ254" s="1689"/>
      <c r="DR254" s="1689"/>
    </row>
    <row r="255" spans="1:122">
      <c r="A255" s="1709" t="s">
        <v>1048</v>
      </c>
      <c r="B255" s="1437">
        <v>-5.4</v>
      </c>
      <c r="C255" s="1437">
        <v>-48.8</v>
      </c>
      <c r="D255" s="1655"/>
      <c r="E255" s="1655"/>
      <c r="F255" s="1437">
        <v>0</v>
      </c>
      <c r="G255" s="1437">
        <v>0</v>
      </c>
      <c r="H255" s="1357"/>
      <c r="I255" s="1357">
        <v>-2.7</v>
      </c>
      <c r="J255" s="1357">
        <v>-45.3</v>
      </c>
      <c r="K255" s="1437">
        <v>-44</v>
      </c>
      <c r="L255" s="1437">
        <v>-28.5</v>
      </c>
      <c r="M255" s="1437">
        <v>11.9</v>
      </c>
      <c r="N255" s="1437">
        <f>-133.3-8.4+71.1</f>
        <v>-70.600000000000023</v>
      </c>
      <c r="O255" s="1369"/>
      <c r="P255" s="1437"/>
      <c r="Q255" s="1437"/>
      <c r="R255" s="1437">
        <f>-21.4+29.8+7.7+-150</f>
        <v>-133.9</v>
      </c>
      <c r="S255" s="1437">
        <f>81.4-18.4</f>
        <v>63.000000000000007</v>
      </c>
      <c r="T255" s="1437">
        <v>0</v>
      </c>
      <c r="U255" s="1437">
        <v>0</v>
      </c>
      <c r="V255" s="1437">
        <v>0</v>
      </c>
      <c r="W255" s="1437">
        <v>-12</v>
      </c>
      <c r="X255" s="1437"/>
      <c r="Y255" s="2878"/>
      <c r="Z255" s="2878">
        <v>-139</v>
      </c>
      <c r="AA255" s="2878">
        <v>-18</v>
      </c>
      <c r="AB255" s="2878"/>
      <c r="AC255" s="2878">
        <f>AA255</f>
        <v>-18</v>
      </c>
      <c r="AD255" s="2878">
        <f t="shared" ref="AD255:AN255" si="416">AC255</f>
        <v>-18</v>
      </c>
      <c r="AE255" s="1437">
        <f t="shared" si="416"/>
        <v>-18</v>
      </c>
      <c r="AF255" s="1437">
        <f t="shared" si="416"/>
        <v>-18</v>
      </c>
      <c r="AG255" s="1437">
        <f t="shared" si="416"/>
        <v>-18</v>
      </c>
      <c r="AH255" s="1437">
        <f t="shared" si="416"/>
        <v>-18</v>
      </c>
      <c r="AI255" s="1437">
        <f t="shared" si="416"/>
        <v>-18</v>
      </c>
      <c r="AJ255" s="1437">
        <f t="shared" si="416"/>
        <v>-18</v>
      </c>
      <c r="AK255" s="1437">
        <f t="shared" si="416"/>
        <v>-18</v>
      </c>
      <c r="AL255" s="1437">
        <f t="shared" si="416"/>
        <v>-18</v>
      </c>
      <c r="AM255" s="1437">
        <f t="shared" si="416"/>
        <v>-18</v>
      </c>
      <c r="AN255" s="1437">
        <f t="shared" si="416"/>
        <v>-18</v>
      </c>
      <c r="AO255" s="90"/>
      <c r="AP255" s="1108"/>
      <c r="AQ255" s="1437"/>
      <c r="AR255" s="1437"/>
      <c r="AS255" s="1437"/>
      <c r="AT255" s="1688"/>
      <c r="AU255" s="1108"/>
      <c r="AV255" s="1108"/>
      <c r="AW255" s="1689"/>
      <c r="AX255" s="1689"/>
      <c r="AY255" s="1689"/>
      <c r="AZ255" s="1689"/>
      <c r="BA255" s="1689"/>
      <c r="BB255" s="1689"/>
      <c r="BC255" s="1689"/>
      <c r="BD255" s="1689"/>
      <c r="BE255" s="1689"/>
      <c r="BF255" s="1689"/>
      <c r="BG255" s="1689"/>
      <c r="BH255" s="1689"/>
      <c r="BI255" s="1689"/>
      <c r="BJ255" s="1689"/>
      <c r="BK255" s="1689"/>
      <c r="BL255" s="1689"/>
      <c r="BM255" s="1689"/>
      <c r="BN255" s="1689"/>
      <c r="BO255" s="1689"/>
      <c r="BP255" s="1689"/>
      <c r="BQ255" s="1689"/>
      <c r="BR255" s="1689"/>
      <c r="BS255" s="1689"/>
      <c r="BT255" s="1689"/>
      <c r="BU255" s="1689"/>
      <c r="BV255" s="1689"/>
      <c r="BW255" s="1689"/>
      <c r="BX255" s="1689"/>
      <c r="BY255" s="1689"/>
      <c r="BZ255" s="1689"/>
      <c r="CA255" s="1689"/>
      <c r="CB255" s="1689"/>
      <c r="CC255" s="1689"/>
      <c r="CD255" s="1689"/>
      <c r="CE255" s="1689"/>
      <c r="CF255" s="1689"/>
      <c r="CG255" s="1689"/>
      <c r="CH255" s="1689"/>
      <c r="CI255" s="1689"/>
      <c r="CJ255" s="1689"/>
      <c r="CK255" s="1689"/>
      <c r="CL255" s="1689"/>
      <c r="CM255" s="1689"/>
      <c r="CN255" s="1689"/>
      <c r="CO255" s="1689"/>
      <c r="CP255" s="1689"/>
      <c r="CQ255" s="1689"/>
      <c r="CR255" s="1689"/>
      <c r="CS255" s="1689"/>
      <c r="CT255" s="1601"/>
      <c r="CU255" s="1601"/>
      <c r="CV255" s="1601"/>
      <c r="CW255" s="1689"/>
      <c r="CX255" s="1689"/>
      <c r="CY255" s="1601"/>
      <c r="CZ255" s="1601"/>
      <c r="DA255" s="1601"/>
      <c r="DB255" s="1689"/>
      <c r="DC255" s="2925"/>
      <c r="DD255" s="1689"/>
      <c r="DE255" s="1689"/>
      <c r="DF255" s="1689"/>
      <c r="DG255" s="1689"/>
      <c r="DH255" s="1689"/>
      <c r="DI255" s="1689"/>
      <c r="DJ255" s="1689"/>
      <c r="DK255" s="1689"/>
      <c r="DL255" s="1689"/>
      <c r="DM255" s="1689"/>
      <c r="DN255" s="1689"/>
      <c r="DO255" s="1689"/>
      <c r="DP255" s="1689"/>
      <c r="DQ255" s="1689"/>
      <c r="DR255" s="1689"/>
    </row>
    <row r="256" spans="1:122">
      <c r="A256" s="1709" t="s">
        <v>68</v>
      </c>
      <c r="B256" s="1437"/>
      <c r="C256" s="1437"/>
      <c r="D256" s="1655"/>
      <c r="E256" s="1655"/>
      <c r="F256" s="1437"/>
      <c r="G256" s="1437"/>
      <c r="H256" s="1357"/>
      <c r="I256" s="1357">
        <v>0</v>
      </c>
      <c r="J256" s="1357">
        <v>0</v>
      </c>
      <c r="K256" s="1437">
        <v>0</v>
      </c>
      <c r="L256" s="1437">
        <v>64.3</v>
      </c>
      <c r="M256" s="1437">
        <v>106.6</v>
      </c>
      <c r="N256" s="1437">
        <f>+N12</f>
        <v>137.9</v>
      </c>
      <c r="O256" s="1369"/>
      <c r="P256" s="1437"/>
      <c r="Q256" s="1437"/>
      <c r="R256" s="1437">
        <v>135.6</v>
      </c>
      <c r="S256" s="1437">
        <v>135.69999999999999</v>
      </c>
      <c r="T256" s="1437">
        <v>139</v>
      </c>
      <c r="U256" s="1437">
        <v>153</v>
      </c>
      <c r="V256" s="1437">
        <v>229</v>
      </c>
      <c r="W256" s="1437">
        <v>154</v>
      </c>
      <c r="X256" s="1437"/>
      <c r="Y256" s="2878"/>
      <c r="Z256" s="2878">
        <v>174</v>
      </c>
      <c r="AA256" s="2878">
        <v>165</v>
      </c>
      <c r="AB256" s="2878"/>
      <c r="AC256" s="2878">
        <f>+AC12</f>
        <v>173.1</v>
      </c>
      <c r="AD256" s="2878">
        <f t="shared" ref="AD256:AJ256" si="417">+AD12</f>
        <v>178.29300000000001</v>
      </c>
      <c r="AE256" s="1437">
        <f t="shared" si="417"/>
        <v>183.64179000000001</v>
      </c>
      <c r="AF256" s="1437">
        <f t="shared" si="417"/>
        <v>189.15104370000003</v>
      </c>
      <c r="AG256" s="1437">
        <f t="shared" si="417"/>
        <v>194.82557501100004</v>
      </c>
      <c r="AH256" s="1437">
        <f t="shared" si="417"/>
        <v>200.67034226133003</v>
      </c>
      <c r="AI256" s="1437">
        <f t="shared" si="417"/>
        <v>206.69045252916993</v>
      </c>
      <c r="AJ256" s="1437">
        <f t="shared" si="417"/>
        <v>212.89116610504504</v>
      </c>
      <c r="AK256" s="1437">
        <f>+AK12</f>
        <v>219.27790108819642</v>
      </c>
      <c r="AL256" s="1437">
        <f>+AL12</f>
        <v>225.85623812084231</v>
      </c>
      <c r="AM256" s="1437">
        <f>+AM12</f>
        <v>232.63192526446758</v>
      </c>
      <c r="AN256" s="1437">
        <f>+AN12</f>
        <v>239.61088302240162</v>
      </c>
      <c r="AO256" s="90"/>
      <c r="AP256" s="1108"/>
      <c r="AQ256" s="1437"/>
      <c r="AR256" s="1437"/>
      <c r="AS256" s="1437"/>
      <c r="AT256" s="1688"/>
      <c r="AU256" s="1108"/>
      <c r="AV256" s="1108"/>
      <c r="AW256" s="1689"/>
      <c r="AX256" s="1689"/>
      <c r="AY256" s="1689"/>
      <c r="AZ256" s="1689"/>
      <c r="BA256" s="1689"/>
      <c r="BB256" s="1689"/>
      <c r="BC256" s="1689"/>
      <c r="BD256" s="1689"/>
      <c r="BE256" s="1689"/>
      <c r="BF256" s="1689"/>
      <c r="BG256" s="1689"/>
      <c r="BH256" s="1689"/>
      <c r="BI256" s="1689"/>
      <c r="BJ256" s="1689"/>
      <c r="BK256" s="1689"/>
      <c r="BL256" s="1689"/>
      <c r="BM256" s="1689"/>
      <c r="BN256" s="1689"/>
      <c r="BO256" s="1689"/>
      <c r="BP256" s="1689"/>
      <c r="BQ256" s="1689"/>
      <c r="BR256" s="1689"/>
      <c r="BS256" s="1689"/>
      <c r="BT256" s="1689"/>
      <c r="BU256" s="1689"/>
      <c r="BV256" s="1689"/>
      <c r="BW256" s="1689"/>
      <c r="BX256" s="1689"/>
      <c r="BY256" s="1689"/>
      <c r="BZ256" s="1689"/>
      <c r="CA256" s="1689"/>
      <c r="CB256" s="1689"/>
      <c r="CC256" s="1689"/>
      <c r="CD256" s="1689"/>
      <c r="CE256" s="1689"/>
      <c r="CF256" s="1689"/>
      <c r="CG256" s="1689"/>
      <c r="CH256" s="1689"/>
      <c r="CI256" s="1689"/>
      <c r="CJ256" s="1689"/>
      <c r="CK256" s="1689"/>
      <c r="CL256" s="1689"/>
      <c r="CM256" s="1689"/>
      <c r="CN256" s="1689"/>
      <c r="CO256" s="1689"/>
      <c r="CP256" s="1689"/>
      <c r="CQ256" s="1689"/>
      <c r="CR256" s="1689"/>
      <c r="CS256" s="1689"/>
      <c r="CT256" s="1601"/>
      <c r="CU256" s="1601"/>
      <c r="CV256" s="1601"/>
      <c r="CW256" s="1689"/>
      <c r="CX256" s="1689"/>
      <c r="CY256" s="1601"/>
      <c r="CZ256" s="1601"/>
      <c r="DA256" s="1601"/>
      <c r="DB256" s="1689"/>
      <c r="DC256" s="2925"/>
      <c r="DD256" s="1689"/>
      <c r="DE256" s="1689"/>
      <c r="DF256" s="1689"/>
      <c r="DG256" s="1689"/>
      <c r="DH256" s="1689"/>
      <c r="DI256" s="1689"/>
      <c r="DJ256" s="1689"/>
      <c r="DK256" s="1689"/>
      <c r="DL256" s="1689"/>
      <c r="DM256" s="1689"/>
      <c r="DN256" s="1689"/>
      <c r="DO256" s="1689"/>
      <c r="DP256" s="1689"/>
      <c r="DQ256" s="1689"/>
      <c r="DR256" s="1689"/>
    </row>
    <row r="257" spans="1:122">
      <c r="A257" s="1709" t="s">
        <v>1049</v>
      </c>
      <c r="B257" s="1437">
        <v>10</v>
      </c>
      <c r="C257" s="1437">
        <v>9.8000000000000007</v>
      </c>
      <c r="D257" s="1655"/>
      <c r="E257" s="1655"/>
      <c r="F257" s="1437">
        <v>0</v>
      </c>
      <c r="G257" s="1437">
        <v>0</v>
      </c>
      <c r="H257" s="1357"/>
      <c r="I257" s="1437">
        <v>10</v>
      </c>
      <c r="J257" s="1437">
        <v>9.8000000000000007</v>
      </c>
      <c r="K257" s="1437">
        <v>8.4</v>
      </c>
      <c r="L257" s="1437">
        <v>5.4</v>
      </c>
      <c r="M257" s="1437">
        <v>5</v>
      </c>
      <c r="N257" s="1437">
        <v>0</v>
      </c>
      <c r="O257" s="1369"/>
      <c r="P257" s="1437"/>
      <c r="Q257" s="1437"/>
      <c r="R257" s="1437">
        <v>0</v>
      </c>
      <c r="S257" s="1437">
        <v>0</v>
      </c>
      <c r="T257" s="1437">
        <v>0</v>
      </c>
      <c r="U257" s="1437">
        <v>0</v>
      </c>
      <c r="V257" s="1437">
        <v>0</v>
      </c>
      <c r="W257" s="1437">
        <v>9</v>
      </c>
      <c r="X257" s="1437"/>
      <c r="Y257" s="2878"/>
      <c r="Z257" s="2878">
        <v>0</v>
      </c>
      <c r="AA257" s="2878">
        <v>0</v>
      </c>
      <c r="AB257" s="2878"/>
      <c r="AC257" s="2878">
        <f>AA257</f>
        <v>0</v>
      </c>
      <c r="AD257" s="2878">
        <f t="shared" ref="AD257:AN257" si="418">AC257</f>
        <v>0</v>
      </c>
      <c r="AE257" s="1437">
        <f t="shared" si="418"/>
        <v>0</v>
      </c>
      <c r="AF257" s="1437">
        <f t="shared" si="418"/>
        <v>0</v>
      </c>
      <c r="AG257" s="1437">
        <f t="shared" si="418"/>
        <v>0</v>
      </c>
      <c r="AH257" s="1437">
        <f t="shared" si="418"/>
        <v>0</v>
      </c>
      <c r="AI257" s="1437">
        <f t="shared" si="418"/>
        <v>0</v>
      </c>
      <c r="AJ257" s="1437">
        <f t="shared" si="418"/>
        <v>0</v>
      </c>
      <c r="AK257" s="1437">
        <f t="shared" si="418"/>
        <v>0</v>
      </c>
      <c r="AL257" s="1437">
        <f t="shared" si="418"/>
        <v>0</v>
      </c>
      <c r="AM257" s="1437">
        <f t="shared" si="418"/>
        <v>0</v>
      </c>
      <c r="AN257" s="1437">
        <f t="shared" si="418"/>
        <v>0</v>
      </c>
      <c r="AO257" s="90"/>
      <c r="AP257" s="1108"/>
      <c r="AQ257" s="1437"/>
      <c r="AR257" s="1437"/>
      <c r="AS257" s="1437"/>
      <c r="AT257" s="1688"/>
      <c r="AU257" s="1108"/>
      <c r="AV257" s="1108"/>
      <c r="AW257" s="1689"/>
      <c r="AX257" s="1689"/>
      <c r="AY257" s="1689"/>
      <c r="AZ257" s="1689"/>
      <c r="BA257" s="1689"/>
      <c r="BB257" s="1689"/>
      <c r="BC257" s="1689"/>
      <c r="BD257" s="1689"/>
      <c r="BE257" s="1689"/>
      <c r="BF257" s="1689"/>
      <c r="BG257" s="1689"/>
      <c r="BH257" s="1689"/>
      <c r="BI257" s="1689"/>
      <c r="BJ257" s="1689"/>
      <c r="BK257" s="1689"/>
      <c r="BL257" s="1689"/>
      <c r="BM257" s="1689"/>
      <c r="BN257" s="1689"/>
      <c r="BO257" s="1689"/>
      <c r="BP257" s="1689"/>
      <c r="BQ257" s="1689"/>
      <c r="BR257" s="1689"/>
      <c r="BS257" s="1689"/>
      <c r="BT257" s="1689"/>
      <c r="BU257" s="1689"/>
      <c r="BV257" s="1689"/>
      <c r="BW257" s="1689"/>
      <c r="BX257" s="1689"/>
      <c r="BY257" s="1689"/>
      <c r="BZ257" s="1689"/>
      <c r="CA257" s="1689"/>
      <c r="CB257" s="1689"/>
      <c r="CC257" s="1689"/>
      <c r="CD257" s="1689"/>
      <c r="CE257" s="1689"/>
      <c r="CF257" s="1689"/>
      <c r="CG257" s="1689"/>
      <c r="CH257" s="1689"/>
      <c r="CI257" s="1689"/>
      <c r="CJ257" s="1689"/>
      <c r="CK257" s="1689"/>
      <c r="CL257" s="1689"/>
      <c r="CM257" s="1689"/>
      <c r="CN257" s="1689"/>
      <c r="CO257" s="1689"/>
      <c r="CP257" s="1689"/>
      <c r="CQ257" s="1689"/>
      <c r="CR257" s="1689"/>
      <c r="CS257" s="1689"/>
      <c r="CT257" s="1601"/>
      <c r="CU257" s="1601"/>
      <c r="CV257" s="1601"/>
      <c r="CW257" s="1689"/>
      <c r="CX257" s="1689"/>
      <c r="CY257" s="1601"/>
      <c r="CZ257" s="1601"/>
      <c r="DA257" s="1601"/>
      <c r="DB257" s="1689"/>
      <c r="DC257" s="2925"/>
      <c r="DD257" s="1689"/>
      <c r="DE257" s="1689"/>
      <c r="DF257" s="1689"/>
      <c r="DG257" s="1689"/>
      <c r="DH257" s="1689"/>
      <c r="DI257" s="1689"/>
      <c r="DJ257" s="1689"/>
      <c r="DK257" s="1689"/>
      <c r="DL257" s="1689"/>
      <c r="DM257" s="1689"/>
      <c r="DN257" s="1689"/>
      <c r="DO257" s="1689"/>
      <c r="DP257" s="1689"/>
      <c r="DQ257" s="1689"/>
      <c r="DR257" s="1689"/>
    </row>
    <row r="258" spans="1:122">
      <c r="A258" s="1686" t="s">
        <v>412</v>
      </c>
      <c r="B258" s="1357">
        <v>-0.1</v>
      </c>
      <c r="C258" s="1437">
        <v>20.8</v>
      </c>
      <c r="D258" s="1655">
        <v>18.2</v>
      </c>
      <c r="E258" s="1655">
        <v>40</v>
      </c>
      <c r="F258" s="1437">
        <v>0</v>
      </c>
      <c r="G258" s="1437">
        <v>0</v>
      </c>
      <c r="H258" s="1357"/>
      <c r="I258" s="1357">
        <v>-18.3</v>
      </c>
      <c r="J258" s="1357">
        <f>-J42</f>
        <v>-19.2</v>
      </c>
      <c r="K258" s="1357">
        <f>-K42</f>
        <v>1.5</v>
      </c>
      <c r="L258" s="1357">
        <f>-L42</f>
        <v>97</v>
      </c>
      <c r="M258" s="1357">
        <f>-M42</f>
        <v>80.599999999999994</v>
      </c>
      <c r="N258" s="1437">
        <v>23.4</v>
      </c>
      <c r="O258" s="1369"/>
      <c r="P258" s="1357"/>
      <c r="Q258" s="1357"/>
      <c r="R258" s="1437">
        <v>36</v>
      </c>
      <c r="S258" s="1437">
        <v>35.1</v>
      </c>
      <c r="T258" s="1437">
        <v>50</v>
      </c>
      <c r="U258" s="1437">
        <f>52-28</f>
        <v>24</v>
      </c>
      <c r="V258" s="1437">
        <v>59</v>
      </c>
      <c r="W258" s="1437">
        <v>57</v>
      </c>
      <c r="X258" s="1357"/>
      <c r="Y258" s="1357"/>
      <c r="Z258" s="1437">
        <v>36</v>
      </c>
      <c r="AA258" s="1437">
        <v>53</v>
      </c>
      <c r="AB258" s="1357"/>
      <c r="AC258" s="1357">
        <f>-AC42</f>
        <v>55</v>
      </c>
      <c r="AD258" s="1357">
        <f t="shared" ref="AD258:AH258" si="419">-AD42</f>
        <v>49.5</v>
      </c>
      <c r="AE258" s="1357">
        <f t="shared" si="419"/>
        <v>44.550000000000004</v>
      </c>
      <c r="AF258" s="1357">
        <f t="shared" si="419"/>
        <v>40.095000000000006</v>
      </c>
      <c r="AG258" s="1357">
        <f t="shared" si="419"/>
        <v>36.085500000000003</v>
      </c>
      <c r="AH258" s="1357">
        <f t="shared" si="419"/>
        <v>32.476950000000002</v>
      </c>
      <c r="AI258" s="1357">
        <f t="shared" ref="AI258:AN258" si="420">-AI42</f>
        <v>29.229255000000002</v>
      </c>
      <c r="AJ258" s="1357">
        <f t="shared" si="420"/>
        <v>26.306329500000004</v>
      </c>
      <c r="AK258" s="1357">
        <f t="shared" si="420"/>
        <v>23.675696550000005</v>
      </c>
      <c r="AL258" s="1357">
        <f t="shared" si="420"/>
        <v>21.308126895000004</v>
      </c>
      <c r="AM258" s="1357">
        <f t="shared" si="420"/>
        <v>19.177314205500004</v>
      </c>
      <c r="AN258" s="1357">
        <f t="shared" si="420"/>
        <v>17.259582784950005</v>
      </c>
      <c r="AO258" s="90"/>
      <c r="AP258" s="1108"/>
      <c r="AQ258" s="1357"/>
      <c r="AR258" s="1357"/>
      <c r="AS258" s="1357"/>
      <c r="AT258" s="1688"/>
      <c r="AU258" s="1108"/>
      <c r="AV258" s="1108"/>
      <c r="AW258" s="1689"/>
      <c r="AX258" s="1689"/>
      <c r="AY258" s="1689"/>
      <c r="AZ258" s="1689"/>
      <c r="BA258" s="1689"/>
      <c r="BB258" s="1689"/>
      <c r="BC258" s="1689"/>
      <c r="BD258" s="1689"/>
      <c r="BE258" s="1689"/>
      <c r="BF258" s="1689"/>
      <c r="BG258" s="1689"/>
      <c r="BH258" s="1689"/>
      <c r="BI258" s="1689"/>
      <c r="BJ258" s="1689"/>
      <c r="BK258" s="1689"/>
      <c r="BL258" s="1689"/>
      <c r="BM258" s="1689"/>
      <c r="BN258" s="1689"/>
      <c r="BO258" s="1689"/>
      <c r="BP258" s="1689"/>
      <c r="BQ258" s="1689"/>
      <c r="BR258" s="1689"/>
      <c r="BS258" s="1689"/>
      <c r="BT258" s="1689"/>
      <c r="BU258" s="1689"/>
      <c r="BV258" s="1689"/>
      <c r="BW258" s="1689"/>
      <c r="BX258" s="1689"/>
      <c r="BY258" s="1689"/>
      <c r="BZ258" s="1689"/>
      <c r="CA258" s="1689"/>
      <c r="CB258" s="1689"/>
      <c r="CC258" s="1689"/>
      <c r="CD258" s="1689"/>
      <c r="CE258" s="1689"/>
      <c r="CF258" s="1689"/>
      <c r="CG258" s="1689"/>
      <c r="CH258" s="1689"/>
      <c r="CI258" s="1689"/>
      <c r="CJ258" s="1689"/>
      <c r="CK258" s="1689"/>
      <c r="CL258" s="1689"/>
      <c r="CM258" s="1689"/>
      <c r="CN258" s="1689"/>
      <c r="CO258" s="1689"/>
      <c r="CP258" s="1689"/>
      <c r="CQ258" s="1689"/>
      <c r="CR258" s="1689"/>
      <c r="CS258" s="1689"/>
      <c r="CT258" s="1601"/>
      <c r="CU258" s="1601"/>
      <c r="CV258" s="1601"/>
      <c r="CW258" s="1689"/>
      <c r="CX258" s="1689"/>
      <c r="CY258" s="1601"/>
      <c r="CZ258" s="1601"/>
      <c r="DA258" s="1601"/>
      <c r="DB258" s="1689"/>
      <c r="DC258" s="2925"/>
      <c r="DD258" s="1689"/>
      <c r="DE258" s="1689"/>
      <c r="DF258" s="1689"/>
      <c r="DG258" s="1689"/>
      <c r="DH258" s="1689"/>
      <c r="DI258" s="1689"/>
      <c r="DJ258" s="1689"/>
      <c r="DK258" s="1689"/>
      <c r="DL258" s="1689"/>
      <c r="DM258" s="1689"/>
      <c r="DN258" s="1689"/>
      <c r="DO258" s="1689"/>
      <c r="DP258" s="1689"/>
      <c r="DQ258" s="1689"/>
      <c r="DR258" s="1689"/>
    </row>
    <row r="259" spans="1:122">
      <c r="A259" s="1686" t="s">
        <v>913</v>
      </c>
      <c r="B259" s="1437">
        <v>37.700000000000003</v>
      </c>
      <c r="C259" s="1437">
        <v>28.9</v>
      </c>
      <c r="D259" s="1655">
        <v>36</v>
      </c>
      <c r="E259" s="1655">
        <v>16.3</v>
      </c>
      <c r="F259" s="1437">
        <v>0</v>
      </c>
      <c r="G259" s="1437">
        <v>0</v>
      </c>
      <c r="H259" s="1437"/>
      <c r="I259" s="1437">
        <v>1.7</v>
      </c>
      <c r="J259" s="1437">
        <v>12.6</v>
      </c>
      <c r="K259" s="1437">
        <v>9.5</v>
      </c>
      <c r="L259" s="1437">
        <v>8.9</v>
      </c>
      <c r="M259" s="1437">
        <v>7.7</v>
      </c>
      <c r="N259" s="1357">
        <v>0</v>
      </c>
      <c r="O259" s="1369"/>
      <c r="P259" s="1357"/>
      <c r="Q259" s="1357"/>
      <c r="R259" s="1357">
        <f>N259</f>
        <v>0</v>
      </c>
      <c r="S259" s="1357">
        <f>R259</f>
        <v>0</v>
      </c>
      <c r="T259" s="1357">
        <f>S259</f>
        <v>0</v>
      </c>
      <c r="U259" s="1357">
        <f>T259</f>
        <v>0</v>
      </c>
      <c r="V259" s="1357">
        <f>U259</f>
        <v>0</v>
      </c>
      <c r="W259" s="1357">
        <f>V259</f>
        <v>0</v>
      </c>
      <c r="X259" s="1357"/>
      <c r="Y259" s="1357"/>
      <c r="Z259" s="1357">
        <v>0</v>
      </c>
      <c r="AA259" s="1357">
        <v>0</v>
      </c>
      <c r="AB259" s="1357"/>
      <c r="AC259" s="1357">
        <f>AA259</f>
        <v>0</v>
      </c>
      <c r="AD259" s="1357">
        <f t="shared" ref="AD259:AH259" si="421">AC259</f>
        <v>0</v>
      </c>
      <c r="AE259" s="1357">
        <f t="shared" si="421"/>
        <v>0</v>
      </c>
      <c r="AF259" s="1357">
        <f t="shared" si="421"/>
        <v>0</v>
      </c>
      <c r="AG259" s="1357">
        <f t="shared" si="421"/>
        <v>0</v>
      </c>
      <c r="AH259" s="1357">
        <f t="shared" si="421"/>
        <v>0</v>
      </c>
      <c r="AI259" s="1357">
        <f t="shared" ref="AI259:AN259" si="422">AH259</f>
        <v>0</v>
      </c>
      <c r="AJ259" s="1357">
        <f t="shared" si="422"/>
        <v>0</v>
      </c>
      <c r="AK259" s="1357">
        <f t="shared" si="422"/>
        <v>0</v>
      </c>
      <c r="AL259" s="1357">
        <f t="shared" si="422"/>
        <v>0</v>
      </c>
      <c r="AM259" s="1357">
        <f t="shared" si="422"/>
        <v>0</v>
      </c>
      <c r="AN259" s="1357">
        <f t="shared" si="422"/>
        <v>0</v>
      </c>
      <c r="AO259" s="90"/>
      <c r="AP259" s="1108"/>
      <c r="AQ259" s="1357"/>
      <c r="AR259" s="1357"/>
      <c r="AS259" s="1357"/>
      <c r="AT259" s="1688"/>
      <c r="AU259" s="1108"/>
      <c r="AV259" s="1108"/>
      <c r="AW259" s="1689"/>
      <c r="AX259" s="1689"/>
      <c r="AY259" s="1689"/>
      <c r="AZ259" s="1689"/>
      <c r="BA259" s="1689"/>
      <c r="BB259" s="1689"/>
      <c r="BC259" s="1689"/>
      <c r="BD259" s="1689"/>
      <c r="BE259" s="1689"/>
      <c r="BF259" s="1689"/>
      <c r="BG259" s="1689"/>
      <c r="BH259" s="1689"/>
      <c r="BI259" s="1689"/>
      <c r="BJ259" s="1689"/>
      <c r="BK259" s="1689"/>
      <c r="BL259" s="1689"/>
      <c r="BM259" s="1689"/>
      <c r="BN259" s="1689"/>
      <c r="BO259" s="1689"/>
      <c r="BP259" s="1689"/>
      <c r="BQ259" s="1689"/>
      <c r="BR259" s="1689"/>
      <c r="BS259" s="1689"/>
      <c r="BT259" s="1689"/>
      <c r="BU259" s="1689"/>
      <c r="BV259" s="1689"/>
      <c r="BW259" s="1689"/>
      <c r="BX259" s="1689"/>
      <c r="BY259" s="1689"/>
      <c r="BZ259" s="1689"/>
      <c r="CA259" s="1689"/>
      <c r="CB259" s="1689"/>
      <c r="CC259" s="1689"/>
      <c r="CD259" s="1689"/>
      <c r="CE259" s="1689"/>
      <c r="CF259" s="1689"/>
      <c r="CG259" s="1689"/>
      <c r="CH259" s="1689"/>
      <c r="CI259" s="1689"/>
      <c r="CJ259" s="1689"/>
      <c r="CK259" s="1689"/>
      <c r="CL259" s="1689"/>
      <c r="CM259" s="1689"/>
      <c r="CN259" s="1689"/>
      <c r="CO259" s="1689"/>
      <c r="CP259" s="1689"/>
      <c r="CQ259" s="1689"/>
      <c r="CR259" s="1689"/>
      <c r="CS259" s="1689"/>
      <c r="CT259" s="1601"/>
      <c r="CU259" s="1601"/>
      <c r="CV259" s="1601"/>
      <c r="CW259" s="1689"/>
      <c r="CX259" s="1689"/>
      <c r="CY259" s="1601"/>
      <c r="CZ259" s="1601"/>
      <c r="DA259" s="1601"/>
      <c r="DB259" s="1689"/>
      <c r="DC259" s="2925"/>
      <c r="DD259" s="1689"/>
      <c r="DE259" s="1689"/>
      <c r="DF259" s="1689"/>
      <c r="DG259" s="1689"/>
      <c r="DH259" s="1689"/>
      <c r="DI259" s="1689"/>
      <c r="DJ259" s="1689"/>
      <c r="DK259" s="1689"/>
      <c r="DL259" s="1689"/>
      <c r="DM259" s="1689"/>
      <c r="DN259" s="1689"/>
      <c r="DO259" s="1689"/>
      <c r="DP259" s="1689"/>
      <c r="DQ259" s="1689"/>
      <c r="DR259" s="1689"/>
    </row>
    <row r="260" spans="1:122">
      <c r="A260" s="2136" t="s">
        <v>788</v>
      </c>
      <c r="B260" s="1695">
        <v>3.7</v>
      </c>
      <c r="C260" s="1695">
        <v>3.7</v>
      </c>
      <c r="D260" s="1694">
        <v>3</v>
      </c>
      <c r="E260" s="1694">
        <v>3.1</v>
      </c>
      <c r="F260" s="1695">
        <v>0</v>
      </c>
      <c r="G260" s="1695">
        <v>0</v>
      </c>
      <c r="H260" s="1708"/>
      <c r="I260" s="1464">
        <v>0.7</v>
      </c>
      <c r="J260" s="1439">
        <f t="shared" ref="J260:W260" si="423">-J43</f>
        <v>0.6</v>
      </c>
      <c r="K260" s="1439">
        <f t="shared" si="423"/>
        <v>0.5</v>
      </c>
      <c r="L260" s="1439">
        <f t="shared" si="423"/>
        <v>0.6</v>
      </c>
      <c r="M260" s="1439">
        <f t="shared" si="423"/>
        <v>0.1</v>
      </c>
      <c r="N260" s="1439">
        <v>0</v>
      </c>
      <c r="O260" s="1369"/>
      <c r="P260" s="1439"/>
      <c r="Q260" s="1439"/>
      <c r="R260" s="1439">
        <f t="shared" si="423"/>
        <v>0</v>
      </c>
      <c r="S260" s="1439">
        <f t="shared" si="423"/>
        <v>0</v>
      </c>
      <c r="T260" s="1439">
        <f t="shared" si="423"/>
        <v>0</v>
      </c>
      <c r="U260" s="1439">
        <f t="shared" si="423"/>
        <v>0</v>
      </c>
      <c r="V260" s="1439">
        <f t="shared" si="423"/>
        <v>0</v>
      </c>
      <c r="W260" s="1439">
        <f t="shared" si="423"/>
        <v>0</v>
      </c>
      <c r="X260" s="1439"/>
      <c r="Y260" s="1439"/>
      <c r="Z260" s="1439">
        <v>0</v>
      </c>
      <c r="AA260" s="1439">
        <v>0</v>
      </c>
      <c r="AB260" s="1439"/>
      <c r="AC260" s="1439">
        <f>-AC43</f>
        <v>0</v>
      </c>
      <c r="AD260" s="1439">
        <f t="shared" ref="AD260:AH260" si="424">-AD43</f>
        <v>0</v>
      </c>
      <c r="AE260" s="1439">
        <f t="shared" si="424"/>
        <v>0</v>
      </c>
      <c r="AF260" s="1439">
        <f t="shared" si="424"/>
        <v>0</v>
      </c>
      <c r="AG260" s="1439">
        <f t="shared" si="424"/>
        <v>0</v>
      </c>
      <c r="AH260" s="1439">
        <f t="shared" si="424"/>
        <v>0</v>
      </c>
      <c r="AI260" s="1439">
        <f t="shared" ref="AI260:AN260" si="425">-AI43</f>
        <v>0</v>
      </c>
      <c r="AJ260" s="1439">
        <f t="shared" si="425"/>
        <v>0</v>
      </c>
      <c r="AK260" s="1439">
        <f t="shared" si="425"/>
        <v>0</v>
      </c>
      <c r="AL260" s="1439">
        <f t="shared" si="425"/>
        <v>0</v>
      </c>
      <c r="AM260" s="1439">
        <f t="shared" si="425"/>
        <v>0</v>
      </c>
      <c r="AN260" s="1439">
        <f t="shared" si="425"/>
        <v>0</v>
      </c>
      <c r="AO260" s="90"/>
      <c r="AP260" s="1108"/>
      <c r="AQ260" s="1373"/>
      <c r="AR260" s="1373"/>
      <c r="AS260" s="1373"/>
      <c r="AT260" s="1688"/>
      <c r="AU260" s="1108"/>
      <c r="AV260" s="1108"/>
      <c r="AW260" s="1689"/>
      <c r="AX260" s="1689"/>
      <c r="AY260" s="1689"/>
      <c r="AZ260" s="1689"/>
      <c r="BA260" s="1689"/>
      <c r="BB260" s="1689"/>
      <c r="BC260" s="1689"/>
      <c r="BD260" s="1689"/>
      <c r="BE260" s="1689"/>
      <c r="BF260" s="1689"/>
      <c r="BG260" s="1689"/>
      <c r="BH260" s="1689"/>
      <c r="BI260" s="1689"/>
      <c r="BJ260" s="1689"/>
      <c r="BK260" s="1689"/>
      <c r="BL260" s="1689"/>
      <c r="BM260" s="1689"/>
      <c r="BN260" s="1689"/>
      <c r="BO260" s="1689"/>
      <c r="BP260" s="1689"/>
      <c r="BQ260" s="1689"/>
      <c r="BR260" s="1689"/>
      <c r="BS260" s="1689"/>
      <c r="BT260" s="1689"/>
      <c r="BU260" s="1689"/>
      <c r="BV260" s="1689"/>
      <c r="BW260" s="1689"/>
      <c r="BX260" s="1689"/>
      <c r="BY260" s="1689"/>
      <c r="BZ260" s="1689"/>
      <c r="CA260" s="1689"/>
      <c r="CB260" s="1689"/>
      <c r="CC260" s="1689"/>
      <c r="CD260" s="1689"/>
      <c r="CE260" s="1689"/>
      <c r="CF260" s="1689"/>
      <c r="CG260" s="1689"/>
      <c r="CH260" s="1689"/>
      <c r="CI260" s="1689"/>
      <c r="CJ260" s="1689"/>
      <c r="CK260" s="1689"/>
      <c r="CL260" s="1689"/>
      <c r="CM260" s="1689"/>
      <c r="CN260" s="1689"/>
      <c r="CO260" s="1689"/>
      <c r="CP260" s="1689"/>
      <c r="CQ260" s="1689"/>
      <c r="CR260" s="1689"/>
      <c r="CS260" s="1689"/>
      <c r="CT260" s="1601"/>
      <c r="CU260" s="1601"/>
      <c r="CV260" s="1601"/>
      <c r="CW260" s="1689"/>
      <c r="CX260" s="1689"/>
      <c r="CY260" s="1601"/>
      <c r="CZ260" s="1601"/>
      <c r="DA260" s="1601"/>
      <c r="DB260" s="1689"/>
      <c r="DC260" s="2925"/>
      <c r="DD260" s="1689"/>
      <c r="DE260" s="1689"/>
      <c r="DF260" s="1689"/>
      <c r="DG260" s="1689"/>
      <c r="DH260" s="1689"/>
      <c r="DI260" s="1689"/>
      <c r="DJ260" s="1689"/>
      <c r="DK260" s="1689"/>
      <c r="DL260" s="1689"/>
      <c r="DM260" s="1689"/>
      <c r="DN260" s="1689"/>
      <c r="DO260" s="1689"/>
      <c r="DP260" s="1689"/>
      <c r="DQ260" s="1689"/>
      <c r="DR260" s="1689"/>
    </row>
    <row r="261" spans="1:122">
      <c r="A261" s="2333" t="s">
        <v>413</v>
      </c>
      <c r="B261" s="1357">
        <f t="shared" ref="B261:G261" si="426">SUM(B249:B260)</f>
        <v>2983.6999999999994</v>
      </c>
      <c r="C261" s="1357">
        <f t="shared" si="426"/>
        <v>3721.099999999999</v>
      </c>
      <c r="D261" s="1357">
        <f t="shared" si="426"/>
        <v>1402.5000000000002</v>
      </c>
      <c r="E261" s="1357">
        <f t="shared" si="426"/>
        <v>1703.8999999999999</v>
      </c>
      <c r="F261" s="1357">
        <f t="shared" si="426"/>
        <v>26.100000000000627</v>
      </c>
      <c r="G261" s="1357">
        <f t="shared" si="426"/>
        <v>51.600000000004258</v>
      </c>
      <c r="H261" s="1357"/>
      <c r="I261" s="1654">
        <f t="shared" ref="I261:N261" si="427">SUM(I249:I260)</f>
        <v>1610.0000000000007</v>
      </c>
      <c r="J261" s="1654">
        <f t="shared" si="427"/>
        <v>2072.3000000000047</v>
      </c>
      <c r="K261" s="1654">
        <f t="shared" si="427"/>
        <v>1637.2000000000003</v>
      </c>
      <c r="L261" s="1654">
        <f t="shared" si="427"/>
        <v>2035.3000000000002</v>
      </c>
      <c r="M261" s="1654">
        <f t="shared" si="427"/>
        <v>1901.7999999999997</v>
      </c>
      <c r="N261" s="1654">
        <f t="shared" si="427"/>
        <v>3128.1999999999966</v>
      </c>
      <c r="O261" s="1369"/>
      <c r="P261" s="1654"/>
      <c r="Q261" s="1654"/>
      <c r="R261" s="1654">
        <f t="shared" ref="R261:AH261" si="428">SUM(R249:R260)</f>
        <v>1056.5000000000005</v>
      </c>
      <c r="S261" s="1654">
        <f>SUM(S249:S260)</f>
        <v>1520.3000000000002</v>
      </c>
      <c r="T261" s="1654">
        <f t="shared" si="428"/>
        <v>2075.0000000000005</v>
      </c>
      <c r="U261" s="1654">
        <f t="shared" si="428"/>
        <v>2749.9999999999995</v>
      </c>
      <c r="V261" s="1654">
        <f t="shared" si="428"/>
        <v>3051</v>
      </c>
      <c r="W261" s="1654">
        <f>SUM(W249:W260)</f>
        <v>2587</v>
      </c>
      <c r="X261" s="1654"/>
      <c r="Y261" s="1654"/>
      <c r="Z261" s="1654">
        <f>SUM(Z249:Z260)</f>
        <v>2437</v>
      </c>
      <c r="AA261" s="1654">
        <f t="shared" ca="1" si="428"/>
        <v>2121</v>
      </c>
      <c r="AB261" s="1654"/>
      <c r="AC261" s="1654">
        <f ca="1">SUM(AC249:AC260)</f>
        <v>2335.7272618933553</v>
      </c>
      <c r="AD261" s="1654">
        <f t="shared" ca="1" si="428"/>
        <v>2591.7153420468189</v>
      </c>
      <c r="AE261" s="1654">
        <f t="shared" ca="1" si="428"/>
        <v>2725.5134433934186</v>
      </c>
      <c r="AF261" s="1654">
        <f t="shared" ca="1" si="428"/>
        <v>3015.0513105502678</v>
      </c>
      <c r="AG261" s="1654">
        <f t="shared" ca="1" si="428"/>
        <v>3109.917954695959</v>
      </c>
      <c r="AH261" s="1654">
        <f t="shared" ca="1" si="428"/>
        <v>3324.9688755362386</v>
      </c>
      <c r="AI261" s="1654">
        <f t="shared" ref="AI261:AN261" ca="1" si="429">SUM(AI249:AI260)</f>
        <v>3180.8414782449945</v>
      </c>
      <c r="AJ261" s="1654">
        <f t="shared" ca="1" si="429"/>
        <v>3272.6913323828426</v>
      </c>
      <c r="AK261" s="1654">
        <f t="shared" ca="1" si="429"/>
        <v>3285.2504116138116</v>
      </c>
      <c r="AL261" s="1654">
        <f t="shared" ca="1" si="429"/>
        <v>3243.8492079658517</v>
      </c>
      <c r="AM261" s="1654">
        <f t="shared" ca="1" si="429"/>
        <v>3208.0852645652667</v>
      </c>
      <c r="AN261" s="1654">
        <f t="shared" ca="1" si="429"/>
        <v>3370.5053823056451</v>
      </c>
      <c r="AO261" s="90"/>
      <c r="AP261" s="1108"/>
      <c r="AQ261" s="1654"/>
      <c r="AR261" s="1654"/>
      <c r="AS261" s="1654"/>
      <c r="AT261" s="1688"/>
      <c r="AU261" s="1108"/>
      <c r="AV261" s="1108"/>
      <c r="AW261" s="1689"/>
      <c r="AX261" s="1689"/>
      <c r="AY261" s="1689"/>
      <c r="AZ261" s="1689"/>
      <c r="BA261" s="1689"/>
      <c r="BB261" s="1689"/>
      <c r="BC261" s="1689"/>
      <c r="BD261" s="1689"/>
      <c r="BE261" s="1689"/>
      <c r="BF261" s="1689"/>
      <c r="BG261" s="1689"/>
      <c r="BH261" s="1689"/>
      <c r="BI261" s="1689"/>
      <c r="BJ261" s="1689"/>
      <c r="BK261" s="1689"/>
      <c r="BL261" s="1689"/>
      <c r="BM261" s="1689"/>
      <c r="BN261" s="1689"/>
      <c r="BO261" s="1689"/>
      <c r="BP261" s="1689"/>
      <c r="BQ261" s="1689"/>
      <c r="BR261" s="1689"/>
      <c r="BS261" s="1689"/>
      <c r="BT261" s="1689"/>
      <c r="BU261" s="1689"/>
      <c r="BV261" s="1689"/>
      <c r="BW261" s="1689"/>
      <c r="BX261" s="1689"/>
      <c r="BY261" s="1689"/>
      <c r="BZ261" s="1689"/>
      <c r="CA261" s="1689"/>
      <c r="CB261" s="1689"/>
      <c r="CC261" s="1689"/>
      <c r="CD261" s="1689"/>
      <c r="CE261" s="1689"/>
      <c r="CF261" s="1689"/>
      <c r="CG261" s="1689"/>
      <c r="CH261" s="1689"/>
      <c r="CI261" s="1689"/>
      <c r="CJ261" s="1689"/>
      <c r="CK261" s="1689"/>
      <c r="CL261" s="1689"/>
      <c r="CM261" s="1689"/>
      <c r="CN261" s="1689"/>
      <c r="CO261" s="1689"/>
      <c r="CP261" s="1689"/>
      <c r="CQ261" s="1689"/>
      <c r="CR261" s="1689"/>
      <c r="CS261" s="1689"/>
      <c r="CT261" s="1601"/>
      <c r="CU261" s="1601"/>
      <c r="CV261" s="1601"/>
      <c r="CW261" s="1689"/>
      <c r="CX261" s="1689"/>
      <c r="CY261" s="1601"/>
      <c r="CZ261" s="1601"/>
      <c r="DA261" s="1601"/>
      <c r="DB261" s="1689"/>
      <c r="DC261" s="2925"/>
      <c r="DD261" s="1689"/>
      <c r="DE261" s="1689"/>
      <c r="DF261" s="1689"/>
      <c r="DG261" s="1689"/>
      <c r="DH261" s="1689"/>
      <c r="DI261" s="1689"/>
      <c r="DJ261" s="1689"/>
      <c r="DK261" s="1689"/>
      <c r="DL261" s="1689"/>
      <c r="DM261" s="1689"/>
      <c r="DN261" s="1689"/>
      <c r="DO261" s="1689"/>
      <c r="DP261" s="1689"/>
      <c r="DQ261" s="1689"/>
      <c r="DR261" s="1689"/>
    </row>
    <row r="262" spans="1:122" ht="5.0999999999999996" customHeight="1">
      <c r="A262" s="1686"/>
      <c r="B262" s="1357"/>
      <c r="C262" s="1357"/>
      <c r="D262" s="1357"/>
      <c r="E262" s="1357"/>
      <c r="F262" s="1357"/>
      <c r="G262" s="1357"/>
      <c r="H262" s="1357"/>
      <c r="I262" s="1357"/>
      <c r="J262" s="1357"/>
      <c r="K262" s="1357"/>
      <c r="L262" s="1687"/>
      <c r="M262" s="1687"/>
      <c r="N262" s="1687"/>
      <c r="O262" s="1369"/>
      <c r="P262" s="1687"/>
      <c r="Q262" s="1687"/>
      <c r="R262" s="1687"/>
      <c r="S262" s="1687"/>
      <c r="T262" s="1687"/>
      <c r="U262" s="1687"/>
      <c r="V262" s="1687"/>
      <c r="W262" s="1687"/>
      <c r="X262" s="1687"/>
      <c r="Y262" s="1687"/>
      <c r="Z262" s="1687"/>
      <c r="AA262" s="1687"/>
      <c r="AB262" s="1683"/>
      <c r="AC262" s="1687"/>
      <c r="AD262" s="1687"/>
      <c r="AE262" s="1687"/>
      <c r="AF262" s="1687"/>
      <c r="AG262" s="1687"/>
      <c r="AH262" s="1687"/>
      <c r="AI262" s="1687"/>
      <c r="AJ262" s="1687"/>
      <c r="AK262" s="1687"/>
      <c r="AL262" s="1687"/>
      <c r="AM262" s="1687"/>
      <c r="AN262" s="1108"/>
      <c r="AO262" s="90"/>
      <c r="AP262" s="1108"/>
      <c r="AQ262" s="1687"/>
      <c r="AR262" s="1687"/>
      <c r="AS262" s="1687"/>
      <c r="AT262" s="1688"/>
      <c r="AU262" s="1108"/>
      <c r="AV262" s="1108"/>
      <c r="AW262" s="1689"/>
      <c r="AX262" s="1689"/>
      <c r="AY262" s="1689"/>
      <c r="AZ262" s="1689"/>
      <c r="BA262" s="1689"/>
      <c r="BB262" s="1689"/>
      <c r="BC262" s="1689"/>
      <c r="BD262" s="1689"/>
      <c r="BE262" s="1689"/>
      <c r="BF262" s="1689"/>
      <c r="BG262" s="1689"/>
      <c r="BH262" s="1689"/>
      <c r="BI262" s="1689"/>
      <c r="BJ262" s="1689"/>
      <c r="BK262" s="1689"/>
      <c r="BL262" s="1689"/>
      <c r="BM262" s="1689"/>
      <c r="BN262" s="1689"/>
      <c r="BO262" s="1689"/>
      <c r="BP262" s="1689"/>
      <c r="BQ262" s="1689"/>
      <c r="BR262" s="1689"/>
      <c r="BS262" s="1689"/>
      <c r="BT262" s="1689"/>
      <c r="BU262" s="1689"/>
      <c r="BV262" s="1689"/>
      <c r="BW262" s="1689"/>
      <c r="BX262" s="1689"/>
      <c r="BY262" s="1689"/>
      <c r="BZ262" s="1689"/>
      <c r="CA262" s="1689"/>
      <c r="CB262" s="1689"/>
      <c r="CC262" s="1689"/>
      <c r="CD262" s="1689"/>
      <c r="CE262" s="1689"/>
      <c r="CF262" s="1689"/>
      <c r="CG262" s="1689"/>
      <c r="CH262" s="1689"/>
      <c r="CI262" s="1689"/>
      <c r="CJ262" s="1689"/>
      <c r="CK262" s="1689"/>
      <c r="CL262" s="1689"/>
      <c r="CM262" s="1689"/>
      <c r="CN262" s="1689"/>
      <c r="CO262" s="1689"/>
      <c r="CP262" s="1689"/>
      <c r="CQ262" s="1689"/>
      <c r="CR262" s="1689"/>
      <c r="CS262" s="1689"/>
      <c r="CT262" s="1601"/>
      <c r="CU262" s="1601"/>
      <c r="CV262" s="1601"/>
      <c r="CW262" s="1689"/>
      <c r="CX262" s="1689"/>
      <c r="CY262" s="1601"/>
      <c r="CZ262" s="1601"/>
      <c r="DA262" s="1601"/>
      <c r="DB262" s="1689"/>
      <c r="DC262" s="2925"/>
      <c r="DD262" s="1689"/>
      <c r="DE262" s="1689"/>
      <c r="DF262" s="1689"/>
      <c r="DG262" s="1689"/>
      <c r="DH262" s="1689"/>
      <c r="DI262" s="1689"/>
      <c r="DJ262" s="1689"/>
      <c r="DK262" s="1689"/>
      <c r="DL262" s="1689"/>
      <c r="DM262" s="1689"/>
      <c r="DN262" s="1689"/>
      <c r="DO262" s="1689"/>
      <c r="DP262" s="1689"/>
      <c r="DQ262" s="1689"/>
      <c r="DR262" s="1689"/>
    </row>
    <row r="263" spans="1:122">
      <c r="A263" s="1686" t="s">
        <v>428</v>
      </c>
      <c r="B263" s="1357"/>
      <c r="C263" s="1357"/>
      <c r="D263" s="1357"/>
      <c r="E263" s="1357"/>
      <c r="F263" s="1357"/>
      <c r="G263" s="1357"/>
      <c r="H263" s="1357"/>
      <c r="I263" s="2047"/>
      <c r="J263" s="1105"/>
      <c r="K263" s="1105"/>
      <c r="L263" s="1105"/>
      <c r="M263" s="1105"/>
      <c r="N263" s="1687"/>
      <c r="O263" s="1369"/>
      <c r="P263" s="1687"/>
      <c r="Q263" s="1687"/>
      <c r="R263" s="1687"/>
      <c r="S263" s="1687"/>
      <c r="T263" s="1687"/>
      <c r="U263" s="1687"/>
      <c r="V263" s="1687"/>
      <c r="W263" s="1687"/>
      <c r="X263" s="1687"/>
      <c r="Y263" s="1687"/>
      <c r="Z263" s="2882"/>
      <c r="AA263" s="2882"/>
      <c r="AB263" s="2882"/>
      <c r="AC263" s="2882"/>
      <c r="AG263" s="1687"/>
      <c r="AH263" s="1687"/>
      <c r="AI263" s="1687"/>
      <c r="AJ263" s="1687"/>
      <c r="AK263" s="1687"/>
      <c r="AL263" s="1687"/>
      <c r="AM263" s="1687"/>
      <c r="AN263" s="1687"/>
      <c r="AO263" s="1687"/>
      <c r="AP263" s="1687"/>
      <c r="AQ263" s="1687"/>
      <c r="AR263" s="1687"/>
      <c r="AS263" s="1687"/>
      <c r="AT263" s="1688"/>
      <c r="AU263" s="1108"/>
      <c r="AV263" s="1108"/>
      <c r="AW263" s="1689"/>
      <c r="AX263" s="1689"/>
      <c r="AY263" s="1689"/>
      <c r="AZ263" s="1689"/>
      <c r="BA263" s="1689"/>
      <c r="BB263" s="1689"/>
      <c r="BC263" s="1689"/>
      <c r="BD263" s="1689"/>
      <c r="BE263" s="1689"/>
      <c r="BF263" s="1689"/>
      <c r="BG263" s="1689"/>
      <c r="BH263" s="1689"/>
      <c r="BI263" s="1689"/>
      <c r="BJ263" s="1689"/>
      <c r="BK263" s="1689"/>
      <c r="BL263" s="1689"/>
      <c r="BM263" s="1689"/>
      <c r="BN263" s="1689"/>
      <c r="BO263" s="1689"/>
      <c r="BP263" s="1689"/>
      <c r="BQ263" s="1689"/>
      <c r="BR263" s="1689"/>
      <c r="BS263" s="1689"/>
      <c r="BT263" s="1689"/>
      <c r="BU263" s="1689"/>
      <c r="BV263" s="1689"/>
      <c r="BW263" s="1689"/>
      <c r="BX263" s="1689"/>
      <c r="BY263" s="1689"/>
      <c r="BZ263" s="1689"/>
      <c r="CA263" s="1689"/>
      <c r="CB263" s="1689"/>
      <c r="CC263" s="1689"/>
      <c r="CD263" s="1689"/>
      <c r="CE263" s="1689"/>
      <c r="CF263" s="1689"/>
      <c r="CG263" s="1689"/>
      <c r="CH263" s="1689"/>
      <c r="CI263" s="1689"/>
      <c r="CJ263" s="1689"/>
      <c r="CK263" s="1689"/>
      <c r="CL263" s="1689"/>
      <c r="CM263" s="1689"/>
      <c r="CN263" s="1689"/>
      <c r="CO263" s="1689"/>
      <c r="CP263" s="1689"/>
      <c r="CQ263" s="1689"/>
      <c r="CR263" s="1689"/>
      <c r="CS263" s="1689"/>
      <c r="CT263" s="1601"/>
      <c r="CU263" s="1601"/>
      <c r="CV263" s="1601"/>
      <c r="CW263" s="1689"/>
      <c r="CX263" s="1689"/>
      <c r="CY263" s="1601"/>
      <c r="CZ263" s="1601"/>
      <c r="DA263" s="1601"/>
      <c r="DB263" s="1689"/>
      <c r="DC263" s="2925"/>
      <c r="DD263" s="1689"/>
      <c r="DE263" s="1689"/>
      <c r="DF263" s="1689"/>
      <c r="DG263" s="1689"/>
      <c r="DH263" s="1689"/>
      <c r="DI263" s="1689"/>
      <c r="DJ263" s="1689"/>
      <c r="DK263" s="1689"/>
      <c r="DL263" s="1689"/>
      <c r="DM263" s="1689"/>
      <c r="DN263" s="1689"/>
      <c r="DO263" s="1689"/>
      <c r="DP263" s="1689"/>
      <c r="DQ263" s="1689"/>
      <c r="DR263" s="1689"/>
    </row>
    <row r="264" spans="1:122">
      <c r="A264" s="1691" t="s">
        <v>429</v>
      </c>
      <c r="B264" s="1655">
        <v>-438.4</v>
      </c>
      <c r="C264" s="1655">
        <v>-206.2</v>
      </c>
      <c r="D264" s="1655">
        <v>-533.70000000000005</v>
      </c>
      <c r="E264" s="1655">
        <v>-76.3</v>
      </c>
      <c r="F264" s="1437">
        <v>0</v>
      </c>
      <c r="G264" s="1437">
        <v>0</v>
      </c>
      <c r="H264" s="1655"/>
      <c r="I264" s="1654">
        <v>95.3</v>
      </c>
      <c r="J264" s="1654">
        <v>-129.9</v>
      </c>
      <c r="K264" s="1654">
        <v>41.3</v>
      </c>
      <c r="L264" s="1654">
        <v>-215</v>
      </c>
      <c r="M264" s="1692">
        <v>282.89999999999998</v>
      </c>
      <c r="N264" s="1654">
        <v>-126.8</v>
      </c>
      <c r="O264" s="1369"/>
      <c r="P264" s="1654"/>
      <c r="Q264" s="1654"/>
      <c r="R264" s="1654">
        <f>-(R187-N187)</f>
        <v>-150.29999999999973</v>
      </c>
      <c r="S264" s="1654">
        <f>-(S187-R187)</f>
        <v>-347.90000000000009</v>
      </c>
      <c r="T264" s="1654">
        <f>-(T187-S187)</f>
        <v>162.09999999999991</v>
      </c>
      <c r="U264" s="1654">
        <v>-237</v>
      </c>
      <c r="V264" s="1654">
        <f>+-777</f>
        <v>-777</v>
      </c>
      <c r="W264" s="1654">
        <v>-600</v>
      </c>
      <c r="X264" s="1654"/>
      <c r="Y264" s="1654"/>
      <c r="Z264" s="1654">
        <v>-377</v>
      </c>
      <c r="AA264" s="1654">
        <v>36</v>
      </c>
      <c r="AB264" s="1683"/>
      <c r="AC264" s="1654">
        <f>-(AC187-AA187)</f>
        <v>-583.89656394723443</v>
      </c>
      <c r="AD264" s="1654">
        <f>-(AD187-AC187)</f>
        <v>-602.48793895149993</v>
      </c>
      <c r="AE264" s="1654">
        <f t="shared" ref="AE264:AN264" si="430">-(AE187-AD187)</f>
        <v>-327.30476334924242</v>
      </c>
      <c r="AF264" s="1654">
        <f t="shared" si="430"/>
        <v>-212.93560674937453</v>
      </c>
      <c r="AG264" s="1654">
        <f t="shared" si="430"/>
        <v>-225.84090749462757</v>
      </c>
      <c r="AH264" s="1654">
        <f t="shared" si="430"/>
        <v>-203.30044668592018</v>
      </c>
      <c r="AI264" s="1654">
        <f t="shared" si="430"/>
        <v>-194.62863760527216</v>
      </c>
      <c r="AJ264" s="1654">
        <f t="shared" si="430"/>
        <v>-189.51640196621702</v>
      </c>
      <c r="AK264" s="1654">
        <f t="shared" si="430"/>
        <v>-181.30359688891986</v>
      </c>
      <c r="AL264" s="1654">
        <f t="shared" si="430"/>
        <v>-153.86906317918874</v>
      </c>
      <c r="AM264" s="1654">
        <f t="shared" si="430"/>
        <v>-145.81359383751624</v>
      </c>
      <c r="AN264" s="1654">
        <f t="shared" si="430"/>
        <v>-146.28579387435002</v>
      </c>
      <c r="AO264" s="90"/>
      <c r="AP264" s="1108"/>
      <c r="AQ264" s="1687"/>
      <c r="AR264" s="1687"/>
      <c r="AS264" s="1654"/>
      <c r="AT264" s="1688"/>
      <c r="AU264" s="1108"/>
      <c r="AV264" s="1108"/>
      <c r="AW264" s="1689"/>
      <c r="AX264" s="1689"/>
      <c r="AY264" s="1689"/>
      <c r="AZ264" s="1689"/>
      <c r="BA264" s="1689"/>
      <c r="BB264" s="1689"/>
      <c r="BC264" s="1689"/>
      <c r="BD264" s="1689"/>
      <c r="BE264" s="1689"/>
      <c r="BF264" s="1689"/>
      <c r="BG264" s="1689"/>
      <c r="BH264" s="1689"/>
      <c r="BI264" s="1689"/>
      <c r="BJ264" s="1689"/>
      <c r="BK264" s="1689"/>
      <c r="BL264" s="1689"/>
      <c r="BM264" s="1689"/>
      <c r="BN264" s="1689"/>
      <c r="BO264" s="1689"/>
      <c r="BP264" s="1689"/>
      <c r="BQ264" s="1689"/>
      <c r="BR264" s="1689"/>
      <c r="BS264" s="1689"/>
      <c r="BT264" s="1689"/>
      <c r="BU264" s="1689"/>
      <c r="BV264" s="1689"/>
      <c r="BW264" s="1689"/>
      <c r="BX264" s="1689"/>
      <c r="BY264" s="1689"/>
      <c r="BZ264" s="1689"/>
      <c r="CA264" s="1689"/>
      <c r="CB264" s="1689"/>
      <c r="CC264" s="1689"/>
      <c r="CD264" s="1689"/>
      <c r="CE264" s="1689"/>
      <c r="CF264" s="1689"/>
      <c r="CG264" s="1689"/>
      <c r="CH264" s="1689"/>
      <c r="CI264" s="1689"/>
      <c r="CJ264" s="1689"/>
      <c r="CK264" s="1689"/>
      <c r="CL264" s="1689"/>
      <c r="CM264" s="1689"/>
      <c r="CN264" s="1689"/>
      <c r="CO264" s="1689"/>
      <c r="CP264" s="1689"/>
      <c r="CQ264" s="1689"/>
      <c r="CR264" s="1689"/>
      <c r="CS264" s="1689"/>
      <c r="CT264" s="1601"/>
      <c r="CU264" s="1601"/>
      <c r="CV264" s="1601"/>
      <c r="CW264" s="1689"/>
      <c r="CX264" s="1689"/>
      <c r="CY264" s="1601"/>
      <c r="CZ264" s="1601"/>
      <c r="DA264" s="1601"/>
      <c r="DB264" s="1689"/>
      <c r="DC264" s="2925"/>
      <c r="DD264" s="1689"/>
      <c r="DE264" s="1689"/>
      <c r="DF264" s="1689"/>
      <c r="DG264" s="1689"/>
      <c r="DH264" s="1689"/>
      <c r="DI264" s="1689"/>
      <c r="DJ264" s="1689"/>
      <c r="DK264" s="1689"/>
      <c r="DL264" s="1689"/>
      <c r="DM264" s="1689"/>
      <c r="DN264" s="1689"/>
      <c r="DO264" s="1689"/>
      <c r="DP264" s="1689"/>
      <c r="DQ264" s="1689"/>
      <c r="DR264" s="1689"/>
    </row>
    <row r="265" spans="1:122">
      <c r="A265" s="1691" t="s">
        <v>928</v>
      </c>
      <c r="B265" s="1655"/>
      <c r="C265" s="1655"/>
      <c r="D265" s="1655"/>
      <c r="E265" s="1655">
        <v>-20.199999999999818</v>
      </c>
      <c r="F265" s="1437">
        <v>0</v>
      </c>
      <c r="G265" s="1437">
        <v>0</v>
      </c>
      <c r="H265" s="1655"/>
      <c r="I265" s="1357">
        <f>B265-D265+F265</f>
        <v>0</v>
      </c>
      <c r="J265" s="1357">
        <f>-(J537-I537)</f>
        <v>0</v>
      </c>
      <c r="K265" s="1357">
        <f>-(K537-J537)</f>
        <v>0</v>
      </c>
      <c r="L265" s="1683">
        <f t="shared" ref="L265:AF265" si="431">-(L537-K537)</f>
        <v>0</v>
      </c>
      <c r="M265" s="1683">
        <f t="shared" si="431"/>
        <v>0</v>
      </c>
      <c r="N265" s="1683">
        <f t="shared" si="431"/>
        <v>0</v>
      </c>
      <c r="O265" s="1369"/>
      <c r="P265" s="1683"/>
      <c r="Q265" s="1683"/>
      <c r="R265" s="1683">
        <f>-(R537-N537)</f>
        <v>0</v>
      </c>
      <c r="S265" s="1683">
        <f t="shared" si="431"/>
        <v>0</v>
      </c>
      <c r="T265" s="1683">
        <f t="shared" si="431"/>
        <v>0</v>
      </c>
      <c r="U265" s="1683">
        <f t="shared" si="431"/>
        <v>0</v>
      </c>
      <c r="V265" s="1683">
        <f t="shared" si="431"/>
        <v>0</v>
      </c>
      <c r="W265" s="1683">
        <f t="shared" si="431"/>
        <v>0</v>
      </c>
      <c r="X265" s="1683"/>
      <c r="Y265" s="1683"/>
      <c r="Z265" s="1683">
        <f>-(Z537-W537)</f>
        <v>0</v>
      </c>
      <c r="AA265" s="1683">
        <v>0</v>
      </c>
      <c r="AB265" s="1683"/>
      <c r="AC265" s="1683">
        <f>-(AC537-AA537)</f>
        <v>0</v>
      </c>
      <c r="AD265" s="1683">
        <f>-(AD537-AC537)</f>
        <v>0</v>
      </c>
      <c r="AE265" s="1683">
        <f t="shared" si="431"/>
        <v>0</v>
      </c>
      <c r="AF265" s="1683">
        <f t="shared" si="431"/>
        <v>0</v>
      </c>
      <c r="AG265" s="1683">
        <f t="shared" ref="AG265:AN265" si="432">-(AG537-AF537)</f>
        <v>0</v>
      </c>
      <c r="AH265" s="1683">
        <f t="shared" si="432"/>
        <v>0</v>
      </c>
      <c r="AI265" s="1683">
        <f t="shared" si="432"/>
        <v>0</v>
      </c>
      <c r="AJ265" s="1683">
        <f t="shared" si="432"/>
        <v>0</v>
      </c>
      <c r="AK265" s="1683">
        <f t="shared" si="432"/>
        <v>0</v>
      </c>
      <c r="AL265" s="1683">
        <f t="shared" si="432"/>
        <v>0</v>
      </c>
      <c r="AM265" s="1683">
        <f t="shared" si="432"/>
        <v>0</v>
      </c>
      <c r="AN265" s="1683">
        <f t="shared" si="432"/>
        <v>0</v>
      </c>
      <c r="AO265" s="90"/>
      <c r="AP265" s="1108"/>
      <c r="AQ265" s="1687"/>
      <c r="AR265" s="1687"/>
      <c r="AS265" s="1683"/>
      <c r="AT265" s="1688"/>
      <c r="AU265" s="1108"/>
      <c r="AV265" s="1108"/>
      <c r="AW265" s="1689"/>
      <c r="AX265" s="1689"/>
      <c r="AY265" s="1689"/>
      <c r="AZ265" s="1689"/>
      <c r="BA265" s="1689"/>
      <c r="BB265" s="1689"/>
      <c r="BC265" s="1689"/>
      <c r="BD265" s="1689"/>
      <c r="BE265" s="1689"/>
      <c r="BF265" s="1689"/>
      <c r="BG265" s="1689"/>
      <c r="BH265" s="1689"/>
      <c r="BI265" s="1689"/>
      <c r="BJ265" s="1689"/>
      <c r="BK265" s="1689"/>
      <c r="BL265" s="1689"/>
      <c r="BM265" s="1689"/>
      <c r="BN265" s="1689"/>
      <c r="BO265" s="1689"/>
      <c r="BP265" s="1689"/>
      <c r="BQ265" s="1689"/>
      <c r="BR265" s="1689"/>
      <c r="BS265" s="1689"/>
      <c r="BT265" s="1689"/>
      <c r="BU265" s="1689"/>
      <c r="BV265" s="1689"/>
      <c r="BW265" s="1689"/>
      <c r="BX265" s="1689"/>
      <c r="BY265" s="1689"/>
      <c r="BZ265" s="1689"/>
      <c r="CA265" s="1689"/>
      <c r="CB265" s="1689"/>
      <c r="CC265" s="1689"/>
      <c r="CD265" s="1689"/>
      <c r="CE265" s="1689"/>
      <c r="CF265" s="1689"/>
      <c r="CG265" s="1689"/>
      <c r="CH265" s="1689"/>
      <c r="CI265" s="1689"/>
      <c r="CJ265" s="1689"/>
      <c r="CK265" s="1689"/>
      <c r="CL265" s="1689"/>
      <c r="CM265" s="1689"/>
      <c r="CN265" s="1689"/>
      <c r="CO265" s="1689"/>
      <c r="CP265" s="1689"/>
      <c r="CQ265" s="1689"/>
      <c r="CR265" s="1689"/>
      <c r="CS265" s="1689"/>
      <c r="CT265" s="1601"/>
      <c r="CU265" s="1601"/>
      <c r="CV265" s="1601"/>
      <c r="CW265" s="1689"/>
      <c r="CX265" s="1689"/>
      <c r="CY265" s="1601"/>
      <c r="CZ265" s="1601"/>
      <c r="DA265" s="1601"/>
      <c r="DB265" s="1689"/>
      <c r="DC265" s="2925"/>
      <c r="DD265" s="1689"/>
      <c r="DE265" s="1689"/>
      <c r="DF265" s="1689"/>
      <c r="DG265" s="1689"/>
      <c r="DH265" s="1689"/>
      <c r="DI265" s="1689"/>
      <c r="DJ265" s="1689"/>
      <c r="DK265" s="1689"/>
      <c r="DL265" s="1689"/>
      <c r="DM265" s="1689"/>
      <c r="DN265" s="1689"/>
      <c r="DO265" s="1689"/>
      <c r="DP265" s="1689"/>
      <c r="DQ265" s="1689"/>
      <c r="DR265" s="1689"/>
    </row>
    <row r="266" spans="1:122">
      <c r="A266" s="1691" t="s">
        <v>933</v>
      </c>
      <c r="B266" s="1655"/>
      <c r="C266" s="1655"/>
      <c r="D266" s="1655"/>
      <c r="E266" s="1655">
        <v>-368.6</v>
      </c>
      <c r="F266" s="1437">
        <v>0</v>
      </c>
      <c r="G266" s="1437">
        <v>0</v>
      </c>
      <c r="H266" s="1655"/>
      <c r="I266" s="1357">
        <f>B266-D266+F266</f>
        <v>0</v>
      </c>
      <c r="J266" s="1357">
        <f>95.4-J267-J265</f>
        <v>275.39999999999998</v>
      </c>
      <c r="K266" s="1357">
        <f>-71.1-K267-K265</f>
        <v>48.900000000000006</v>
      </c>
      <c r="L266" s="1683">
        <f>-(L545-K545)</f>
        <v>33.400000000000091</v>
      </c>
      <c r="M266" s="1683">
        <f>-(M545-L545)</f>
        <v>345.20000000000005</v>
      </c>
      <c r="N266" s="1683">
        <f>-(N545-M545)</f>
        <v>-239.90000000000009</v>
      </c>
      <c r="O266" s="1369"/>
      <c r="P266" s="1683"/>
      <c r="Q266" s="1683"/>
      <c r="R266" s="1683">
        <f>-(R545-N545)</f>
        <v>178.20000000000005</v>
      </c>
      <c r="S266" s="1683">
        <f>-(S545-R545)</f>
        <v>-114.30361140304944</v>
      </c>
      <c r="T266" s="1683">
        <f>-(T545-S545)</f>
        <v>74.793588908501079</v>
      </c>
      <c r="U266" s="1437">
        <f>+-414</f>
        <v>-414</v>
      </c>
      <c r="V266" s="1437">
        <v>48</v>
      </c>
      <c r="W266" s="1437">
        <v>-213</v>
      </c>
      <c r="X266" s="1683"/>
      <c r="Y266" s="1683"/>
      <c r="Z266" s="1437">
        <v>-497</v>
      </c>
      <c r="AA266" s="1683">
        <v>-804</v>
      </c>
      <c r="AB266" s="1683"/>
      <c r="AC266" s="1683">
        <f>-(AC545-AA545)</f>
        <v>-285.24086921689513</v>
      </c>
      <c r="AD266" s="1683">
        <f>-(AD545-AC545)</f>
        <v>-351.77393262625264</v>
      </c>
      <c r="AE266" s="1683">
        <f>-(AE545-AD545)</f>
        <v>-253.94830662160075</v>
      </c>
      <c r="AF266" s="1683">
        <f t="shared" ref="AF266:AN266" si="433">-(AF545-AE545)</f>
        <v>-361.47195779628328</v>
      </c>
      <c r="AG266" s="1683">
        <f t="shared" si="433"/>
        <v>-320.02820796073001</v>
      </c>
      <c r="AH266" s="1683">
        <f t="shared" si="433"/>
        <v>-463.97729800835896</v>
      </c>
      <c r="AI266" s="1683">
        <f t="shared" si="433"/>
        <v>-458.9673959919246</v>
      </c>
      <c r="AJ266" s="1683">
        <f t="shared" si="433"/>
        <v>-563.21370911593476</v>
      </c>
      <c r="AK266" s="1683">
        <f t="shared" si="433"/>
        <v>-443.0015601461273</v>
      </c>
      <c r="AL266" s="1683">
        <f t="shared" si="433"/>
        <v>-603.54153429770849</v>
      </c>
      <c r="AM266" s="1683">
        <f t="shared" si="433"/>
        <v>-559.21346430088852</v>
      </c>
      <c r="AN266" s="1683">
        <f t="shared" si="433"/>
        <v>-944.59276807048627</v>
      </c>
      <c r="AO266" s="90"/>
      <c r="AP266" s="1108"/>
      <c r="AQ266" s="1687"/>
      <c r="AR266" s="1687"/>
      <c r="AS266" s="1683"/>
      <c r="AT266" s="1688"/>
      <c r="AU266" s="1108"/>
      <c r="AV266" s="1108"/>
      <c r="AW266" s="1689"/>
      <c r="AX266" s="1689"/>
      <c r="AY266" s="1689"/>
      <c r="AZ266" s="1689"/>
      <c r="BA266" s="1689"/>
      <c r="BB266" s="1689"/>
      <c r="BC266" s="1689"/>
      <c r="BD266" s="1689"/>
      <c r="BE266" s="1689"/>
      <c r="BF266" s="1689"/>
      <c r="BG266" s="1689"/>
      <c r="BH266" s="1689"/>
      <c r="BI266" s="1689"/>
      <c r="BJ266" s="1689"/>
      <c r="BK266" s="1689"/>
      <c r="BL266" s="1689"/>
      <c r="BM266" s="1689"/>
      <c r="BN266" s="1689"/>
      <c r="BO266" s="1689"/>
      <c r="BP266" s="1689"/>
      <c r="BQ266" s="1689"/>
      <c r="BR266" s="1689"/>
      <c r="BS266" s="1689"/>
      <c r="BT266" s="1689"/>
      <c r="BU266" s="1689"/>
      <c r="BV266" s="1689"/>
      <c r="BW266" s="1689"/>
      <c r="BX266" s="1689"/>
      <c r="BY266" s="1689"/>
      <c r="BZ266" s="1689"/>
      <c r="CA266" s="1689"/>
      <c r="CB266" s="1689"/>
      <c r="CC266" s="1689"/>
      <c r="CD266" s="1689"/>
      <c r="CE266" s="1689"/>
      <c r="CF266" s="1689"/>
      <c r="CG266" s="1689"/>
      <c r="CH266" s="1689"/>
      <c r="CI266" s="1689"/>
      <c r="CJ266" s="1689"/>
      <c r="CK266" s="1689"/>
      <c r="CL266" s="1689"/>
      <c r="CM266" s="1689"/>
      <c r="CN266" s="1689"/>
      <c r="CO266" s="1689"/>
      <c r="CP266" s="1689"/>
      <c r="CQ266" s="1689"/>
      <c r="CR266" s="1689"/>
      <c r="CS266" s="1689"/>
      <c r="CT266" s="1601"/>
      <c r="CU266" s="1601"/>
      <c r="CV266" s="1601"/>
      <c r="CW266" s="1689"/>
      <c r="CX266" s="1689"/>
      <c r="CY266" s="1601"/>
      <c r="CZ266" s="1601"/>
      <c r="DA266" s="1601"/>
      <c r="DB266" s="1689"/>
      <c r="DC266" s="2925"/>
      <c r="DD266" s="1689"/>
      <c r="DE266" s="1689"/>
      <c r="DF266" s="1689"/>
      <c r="DG266" s="1689"/>
      <c r="DH266" s="1689"/>
      <c r="DI266" s="1689"/>
      <c r="DJ266" s="1689"/>
      <c r="DK266" s="1689"/>
      <c r="DL266" s="1689"/>
      <c r="DM266" s="1689"/>
      <c r="DN266" s="1689"/>
      <c r="DO266" s="1689"/>
      <c r="DP266" s="1689"/>
      <c r="DQ266" s="1689"/>
      <c r="DR266" s="1689"/>
    </row>
    <row r="267" spans="1:122">
      <c r="A267" s="1691" t="s">
        <v>934</v>
      </c>
      <c r="B267" s="1655">
        <f>-25.8-B265-B266</f>
        <v>-25.8</v>
      </c>
      <c r="C267" s="1655">
        <f>-22.2-C265-C266</f>
        <v>-22.2</v>
      </c>
      <c r="D267" s="1655">
        <v>223.3</v>
      </c>
      <c r="E267" s="1655">
        <v>271.2</v>
      </c>
      <c r="F267" s="1437">
        <v>0</v>
      </c>
      <c r="G267" s="1437">
        <v>0</v>
      </c>
      <c r="H267" s="1655"/>
      <c r="I267" s="1357">
        <v>-249.1</v>
      </c>
      <c r="J267" s="1357">
        <v>-180</v>
      </c>
      <c r="K267" s="1357">
        <v>-120</v>
      </c>
      <c r="L267" s="1357">
        <v>118.4</v>
      </c>
      <c r="M267" s="1357">
        <f>-75-M266</f>
        <v>-420.20000000000005</v>
      </c>
      <c r="N267" s="1357">
        <f>243.9-N266</f>
        <v>483.80000000000007</v>
      </c>
      <c r="O267" s="1369"/>
      <c r="P267" s="1357"/>
      <c r="Q267" s="1357"/>
      <c r="R267" s="1357">
        <f>-(R188-N188)-(R199-N199)-(R266)-R265</f>
        <v>-122.00000000000023</v>
      </c>
      <c r="S267" s="1357">
        <f>-(S188-R188)-(S199-R199)-(S266)-S265</f>
        <v>512.70361140304942</v>
      </c>
      <c r="T267" s="1357">
        <f>-(T188-S188)-(T199-S199)-(T266)-T265</f>
        <v>-154.99358890850101</v>
      </c>
      <c r="U267" s="1357">
        <f t="shared" ref="U267:AF267" si="434">-(U188-T188)-(U199-T199)-(U266)-U265</f>
        <v>204</v>
      </c>
      <c r="V267" s="1357">
        <f t="shared" si="434"/>
        <v>-76</v>
      </c>
      <c r="W267" s="1357">
        <f t="shared" si="434"/>
        <v>-57</v>
      </c>
      <c r="X267" s="1357"/>
      <c r="Y267" s="1357"/>
      <c r="Z267" s="1357">
        <f>-(Z188-W188)-(Z199-W199)-(Z266)-Z265</f>
        <v>9</v>
      </c>
      <c r="AA267" s="1357">
        <f t="shared" si="434"/>
        <v>165</v>
      </c>
      <c r="AB267" s="1357"/>
      <c r="AC267" s="1357">
        <f>-(AC188-AA188)-(AC199-AA199)-(AC266)-AC265</f>
        <v>513.91530594564733</v>
      </c>
      <c r="AD267" s="1357">
        <f>-(AD188-AC188)-(AD199-AC199)-(AD266)-AD265</f>
        <v>-61.777887086872397</v>
      </c>
      <c r="AE267" s="1357">
        <f t="shared" si="434"/>
        <v>-77.707769315877385</v>
      </c>
      <c r="AF267" s="1357">
        <f t="shared" si="434"/>
        <v>-39.951198576303796</v>
      </c>
      <c r="AG267" s="1357">
        <f t="shared" ref="AG267:AN267" si="435">-(AG188-AF188)-(AG199-AF199)-(AG266)-AG265</f>
        <v>-49.823782627543324</v>
      </c>
      <c r="AH267" s="1357">
        <f t="shared" si="435"/>
        <v>-80.198002603183113</v>
      </c>
      <c r="AI267" s="1357">
        <f t="shared" si="435"/>
        <v>6.2111289182303153</v>
      </c>
      <c r="AJ267" s="1357">
        <f t="shared" si="435"/>
        <v>-39.537032336573247</v>
      </c>
      <c r="AK267" s="1357">
        <f>-(AK188-AJ188)-(AK199-AJ199)-(AK266)-AK265</f>
        <v>-71.28459005303921</v>
      </c>
      <c r="AL267" s="1357">
        <f t="shared" si="435"/>
        <v>11.9659847766452</v>
      </c>
      <c r="AM267" s="1357">
        <f t="shared" si="435"/>
        <v>-28.283643947958353</v>
      </c>
      <c r="AN267" s="1357">
        <f t="shared" si="435"/>
        <v>-90.867566557530154</v>
      </c>
      <c r="AO267" s="90"/>
      <c r="AP267" s="1108"/>
      <c r="AQ267" s="1687"/>
      <c r="AR267" s="1687"/>
      <c r="AS267" s="1357"/>
      <c r="AT267" s="1688"/>
      <c r="AU267" s="1108"/>
      <c r="AV267" s="1108"/>
      <c r="AW267" s="1689"/>
      <c r="AX267" s="1689"/>
      <c r="AY267" s="1689"/>
      <c r="AZ267" s="1689"/>
      <c r="BA267" s="1689"/>
      <c r="BB267" s="1689"/>
      <c r="BC267" s="1689"/>
      <c r="BD267" s="1689"/>
      <c r="BE267" s="1689"/>
      <c r="BF267" s="1689"/>
      <c r="BG267" s="1689"/>
      <c r="BH267" s="1689"/>
      <c r="BI267" s="1689"/>
      <c r="BJ267" s="1689"/>
      <c r="BK267" s="1689"/>
      <c r="BL267" s="1689"/>
      <c r="BM267" s="1689"/>
      <c r="BN267" s="1689"/>
      <c r="BO267" s="1689"/>
      <c r="BP267" s="1689"/>
      <c r="BQ267" s="1689"/>
      <c r="BR267" s="1689"/>
      <c r="BS267" s="1689"/>
      <c r="BT267" s="1689"/>
      <c r="BU267" s="1689"/>
      <c r="BV267" s="1689"/>
      <c r="BW267" s="1689"/>
      <c r="BX267" s="1689"/>
      <c r="BY267" s="1689"/>
      <c r="BZ267" s="1689"/>
      <c r="CA267" s="1689"/>
      <c r="CB267" s="1689"/>
      <c r="CC267" s="1689"/>
      <c r="CD267" s="1689"/>
      <c r="CE267" s="1689"/>
      <c r="CF267" s="1689"/>
      <c r="CG267" s="1689"/>
      <c r="CH267" s="1689"/>
      <c r="CI267" s="1689"/>
      <c r="CJ267" s="1689"/>
      <c r="CK267" s="1689"/>
      <c r="CL267" s="1689"/>
      <c r="CM267" s="1689"/>
      <c r="CN267" s="1689"/>
      <c r="CO267" s="1689"/>
      <c r="CP267" s="1689"/>
      <c r="CQ267" s="1689"/>
      <c r="CR267" s="1689"/>
      <c r="CS267" s="1689"/>
      <c r="CT267" s="1601"/>
      <c r="CU267" s="1601"/>
      <c r="CV267" s="1601"/>
      <c r="CW267" s="1689"/>
      <c r="CX267" s="1689"/>
      <c r="CY267" s="1601"/>
      <c r="CZ267" s="1601"/>
      <c r="DA267" s="1601"/>
      <c r="DB267" s="1689"/>
      <c r="DC267" s="2925"/>
      <c r="DD267" s="1689"/>
      <c r="DE267" s="1689"/>
      <c r="DF267" s="1689"/>
      <c r="DG267" s="1689"/>
      <c r="DH267" s="1689"/>
      <c r="DI267" s="1689"/>
      <c r="DJ267" s="1689"/>
      <c r="DK267" s="1689"/>
      <c r="DL267" s="1689"/>
      <c r="DM267" s="1689"/>
      <c r="DN267" s="1689"/>
      <c r="DO267" s="1689"/>
      <c r="DP267" s="1689"/>
      <c r="DQ267" s="1689"/>
      <c r="DR267" s="1689"/>
    </row>
    <row r="268" spans="1:122">
      <c r="A268" s="1691" t="s">
        <v>919</v>
      </c>
      <c r="B268" s="1655">
        <v>148.6</v>
      </c>
      <c r="C268" s="1655">
        <v>-202.6</v>
      </c>
      <c r="D268" s="1655">
        <v>6</v>
      </c>
      <c r="E268" s="1655">
        <v>-13</v>
      </c>
      <c r="F268" s="1437">
        <v>0</v>
      </c>
      <c r="G268" s="1437">
        <v>0</v>
      </c>
      <c r="H268" s="1655"/>
      <c r="I268" s="1437">
        <v>142.6</v>
      </c>
      <c r="J268" s="1357">
        <v>-189.6</v>
      </c>
      <c r="K268" s="1437">
        <v>-191.9</v>
      </c>
      <c r="L268" s="1437">
        <v>136.4</v>
      </c>
      <c r="M268" s="1437">
        <v>-19.399999999999999</v>
      </c>
      <c r="N268" s="1437">
        <v>67.5</v>
      </c>
      <c r="O268" s="1369"/>
      <c r="P268" s="1357"/>
      <c r="Q268" s="1357"/>
      <c r="R268" s="1357">
        <f>-(SUM(R190:R191)-SUM(N190:N191))-((R205)-(N205))</f>
        <v>-190.10000000000002</v>
      </c>
      <c r="S268" s="1357">
        <f>-(SUM(S190:S191)-SUM(R190:R191))-((S205)-(R205))-S258</f>
        <v>42.700000000000067</v>
      </c>
      <c r="T268" s="1357">
        <f>-(SUM(T190:T191)-SUM(S190:S191))-((T205)-(S205))-T258</f>
        <v>-390.5</v>
      </c>
      <c r="U268" s="1437">
        <v>28</v>
      </c>
      <c r="V268" s="1437">
        <f>+-19</f>
        <v>-19</v>
      </c>
      <c r="W268" s="1437">
        <v>34</v>
      </c>
      <c r="X268" s="1357"/>
      <c r="Y268" s="1357"/>
      <c r="Z268" s="2878">
        <v>16</v>
      </c>
      <c r="AA268" s="2806">
        <v>-85</v>
      </c>
      <c r="AB268" s="2806"/>
      <c r="AC268" s="2806">
        <f>-(SUM(AC190:AC191)-SUM(AA190:AA191))-((AC205)-(AA205))-AC258</f>
        <v>-131.17062888106523</v>
      </c>
      <c r="AD268" s="2806">
        <f t="shared" ref="AD268:AN268" si="436">-(SUM(AD190:AD191)-SUM(AC190:AC191))-((AD205)-(AC205))-AD258</f>
        <v>-145.83561354066956</v>
      </c>
      <c r="AE268" s="2806">
        <f t="shared" si="436"/>
        <v>-337.23263634148071</v>
      </c>
      <c r="AF268" s="1357">
        <f t="shared" si="436"/>
        <v>-43.116334355132814</v>
      </c>
      <c r="AG268" s="1357">
        <f t="shared" si="436"/>
        <v>-114.56059994238532</v>
      </c>
      <c r="AH268" s="1357">
        <f t="shared" si="436"/>
        <v>-153.34608757835156</v>
      </c>
      <c r="AI268" s="1357">
        <f t="shared" si="436"/>
        <v>216.27025120055973</v>
      </c>
      <c r="AJ268" s="1357">
        <f t="shared" si="436"/>
        <v>177.57654152904746</v>
      </c>
      <c r="AK268" s="1357">
        <f t="shared" si="436"/>
        <v>-53.984437599149381</v>
      </c>
      <c r="AL268" s="1357">
        <f t="shared" si="436"/>
        <v>418.19232382751022</v>
      </c>
      <c r="AM268" s="1357">
        <f t="shared" si="436"/>
        <v>225.0167430807619</v>
      </c>
      <c r="AN268" s="1357">
        <f t="shared" si="436"/>
        <v>387.70940417095926</v>
      </c>
      <c r="AO268" s="90"/>
      <c r="AP268" s="1108"/>
      <c r="AQ268" s="1687"/>
      <c r="AR268" s="1687"/>
      <c r="AS268" s="1357"/>
      <c r="AT268" s="1688"/>
      <c r="AU268" s="1108"/>
      <c r="AV268" s="1108"/>
      <c r="AW268" s="1689"/>
      <c r="AX268" s="1689"/>
      <c r="AY268" s="1689"/>
      <c r="AZ268" s="1689"/>
      <c r="BA268" s="1689"/>
      <c r="BB268" s="1689"/>
      <c r="BC268" s="1689"/>
      <c r="BD268" s="1689"/>
      <c r="BE268" s="1689"/>
      <c r="BF268" s="1689"/>
      <c r="BG268" s="1689"/>
      <c r="BH268" s="1689"/>
      <c r="BI268" s="1689"/>
      <c r="BJ268" s="1689"/>
      <c r="BK268" s="1689"/>
      <c r="BL268" s="1689"/>
      <c r="BM268" s="1689"/>
      <c r="BN268" s="1689"/>
      <c r="BO268" s="1689"/>
      <c r="BP268" s="1689"/>
      <c r="BQ268" s="1689"/>
      <c r="BR268" s="1689"/>
      <c r="BS268" s="1689"/>
      <c r="BT268" s="1689"/>
      <c r="BU268" s="1689"/>
      <c r="BV268" s="1689"/>
      <c r="BW268" s="1689"/>
      <c r="BX268" s="1689"/>
      <c r="BY268" s="1689"/>
      <c r="BZ268" s="1689"/>
      <c r="CA268" s="1689"/>
      <c r="CB268" s="1689"/>
      <c r="CC268" s="1689"/>
      <c r="CD268" s="1689"/>
      <c r="CE268" s="1689"/>
      <c r="CF268" s="1689"/>
      <c r="CG268" s="1689"/>
      <c r="CH268" s="1689"/>
      <c r="CI268" s="1689"/>
      <c r="CJ268" s="1689"/>
      <c r="CK268" s="1689"/>
      <c r="CL268" s="1689"/>
      <c r="CM268" s="1689"/>
      <c r="CN268" s="1689"/>
      <c r="CO268" s="1689"/>
      <c r="CP268" s="1689"/>
      <c r="CQ268" s="1689"/>
      <c r="CR268" s="1689"/>
      <c r="CS268" s="1689"/>
      <c r="CT268" s="1601"/>
      <c r="CU268" s="1601"/>
      <c r="CV268" s="1601"/>
      <c r="CW268" s="1689"/>
      <c r="CX268" s="1689"/>
      <c r="CY268" s="1601"/>
      <c r="CZ268" s="1601"/>
      <c r="DA268" s="1601"/>
      <c r="DB268" s="1689"/>
      <c r="DC268" s="2925"/>
      <c r="DD268" s="1689"/>
      <c r="DE268" s="1689"/>
      <c r="DF268" s="1689"/>
      <c r="DG268" s="1689"/>
      <c r="DH268" s="1689"/>
      <c r="DI268" s="1689"/>
      <c r="DJ268" s="1689"/>
      <c r="DK268" s="1689"/>
      <c r="DL268" s="1689"/>
      <c r="DM268" s="1689"/>
      <c r="DN268" s="1689"/>
      <c r="DO268" s="1689"/>
      <c r="DP268" s="1689"/>
      <c r="DQ268" s="1689"/>
      <c r="DR268" s="1689"/>
    </row>
    <row r="269" spans="1:122">
      <c r="A269" s="1691" t="s">
        <v>936</v>
      </c>
      <c r="B269" s="1655">
        <v>-415.1</v>
      </c>
      <c r="C269" s="1655">
        <v>-49.1</v>
      </c>
      <c r="D269" s="1655">
        <v>65.5</v>
      </c>
      <c r="E269" s="1655">
        <v>221.1</v>
      </c>
      <c r="F269" s="1437">
        <v>0</v>
      </c>
      <c r="G269" s="1437">
        <v>0</v>
      </c>
      <c r="H269" s="1655"/>
      <c r="I269" s="1437">
        <v>-480.6</v>
      </c>
      <c r="J269" s="1357">
        <v>-270.2</v>
      </c>
      <c r="K269" s="1437">
        <v>163.6</v>
      </c>
      <c r="L269" s="1437">
        <v>-176.6</v>
      </c>
      <c r="M269" s="1357">
        <v>-278.89999999999998</v>
      </c>
      <c r="N269" s="1357">
        <v>-142.4</v>
      </c>
      <c r="O269" s="1369"/>
      <c r="P269" s="1357"/>
      <c r="Q269" s="1357"/>
      <c r="R269" s="1357">
        <f>(SUM(R210:R214)-SUM(N210:N214))+(SUM(R225:R226)-SUM(N225:N226))</f>
        <v>-304.79999999999973</v>
      </c>
      <c r="S269" s="1357">
        <f>(SUM(S210:S214)-SUM(R210:R214))+(SUM(S225:S226)-SUM(R225:R226))</f>
        <v>-119.09999999999991</v>
      </c>
      <c r="T269" s="1357">
        <f>(SUM(T210:T214)-SUM(S210:S214))+(SUM(T225:T226)-SUM(S225:S226))</f>
        <v>-127.70000000000027</v>
      </c>
      <c r="U269" s="1357">
        <f>+-25</f>
        <v>-25</v>
      </c>
      <c r="V269" s="1357">
        <v>-135</v>
      </c>
      <c r="W269" s="1357">
        <v>-152</v>
      </c>
      <c r="X269" s="1357"/>
      <c r="Y269" s="1357"/>
      <c r="Z269" s="2806">
        <v>-212</v>
      </c>
      <c r="AA269" s="2806">
        <v>23</v>
      </c>
      <c r="AB269" s="2806"/>
      <c r="AC269" s="2806">
        <f>(SUM(AC210:AC214)-SUM(AA210:AA214))+(SUM(AC225:AC226)-SUM(AA225:AA226))</f>
        <v>-147.23482810909263</v>
      </c>
      <c r="AD269" s="2806">
        <f t="shared" ref="AD269:AN269" si="437">(SUM(AD210:AD214)-SUM(AC210:AC214))+(SUM(AD225:AD226)-SUM(AC225:AC226))</f>
        <v>142.84145956090606</v>
      </c>
      <c r="AE269" s="2806">
        <f t="shared" si="437"/>
        <v>173.80355753345111</v>
      </c>
      <c r="AF269" s="1357">
        <f t="shared" si="437"/>
        <v>71.924531212749116</v>
      </c>
      <c r="AG269" s="1357">
        <f t="shared" si="437"/>
        <v>104.19129234442926</v>
      </c>
      <c r="AH269" s="1357">
        <f t="shared" si="437"/>
        <v>178.00227396809896</v>
      </c>
      <c r="AI269" s="1357">
        <f t="shared" si="437"/>
        <v>0.35142258487576328</v>
      </c>
      <c r="AJ269" s="1357">
        <f t="shared" si="437"/>
        <v>95.171648370754156</v>
      </c>
      <c r="AK269" s="1357">
        <f t="shared" si="437"/>
        <v>166.33760274718315</v>
      </c>
      <c r="AL269" s="1357">
        <f t="shared" si="437"/>
        <v>-10.597484476203135</v>
      </c>
      <c r="AM269" s="1357">
        <f t="shared" si="437"/>
        <v>76.660441339261979</v>
      </c>
      <c r="AN269" s="1357">
        <f t="shared" si="437"/>
        <v>208.46406485674424</v>
      </c>
      <c r="AO269" s="90"/>
      <c r="AP269" s="1108"/>
      <c r="AQ269" s="1687"/>
      <c r="AR269" s="1687"/>
      <c r="AS269" s="1357"/>
      <c r="AT269" s="1688"/>
      <c r="AU269" s="1108"/>
      <c r="AV269" s="1108"/>
      <c r="AW269" s="1689"/>
      <c r="AX269" s="1689"/>
      <c r="AY269" s="1689"/>
      <c r="AZ269" s="1689"/>
      <c r="BA269" s="1689"/>
      <c r="BB269" s="1689"/>
      <c r="BC269" s="1689"/>
      <c r="BD269" s="1689"/>
      <c r="BE269" s="1689"/>
      <c r="BF269" s="1689"/>
      <c r="BG269" s="1689"/>
      <c r="BH269" s="1689"/>
      <c r="BI269" s="1689"/>
      <c r="BJ269" s="1689"/>
      <c r="BK269" s="1689"/>
      <c r="BL269" s="1689"/>
      <c r="BM269" s="1689"/>
      <c r="BN269" s="1689"/>
      <c r="BO269" s="1689"/>
      <c r="BP269" s="1689"/>
      <c r="BQ269" s="1689"/>
      <c r="BR269" s="1689"/>
      <c r="BS269" s="1689"/>
      <c r="BT269" s="1689"/>
      <c r="BU269" s="1689"/>
      <c r="BV269" s="1689"/>
      <c r="BW269" s="1689"/>
      <c r="BX269" s="1689"/>
      <c r="BY269" s="1689"/>
      <c r="BZ269" s="1689"/>
      <c r="CA269" s="1689"/>
      <c r="CB269" s="1689"/>
      <c r="CC269" s="1689"/>
      <c r="CD269" s="1689"/>
      <c r="CE269" s="1689"/>
      <c r="CF269" s="1689"/>
      <c r="CG269" s="1689"/>
      <c r="CH269" s="1689"/>
      <c r="CI269" s="1689"/>
      <c r="CJ269" s="1689"/>
      <c r="CK269" s="1689"/>
      <c r="CL269" s="1689"/>
      <c r="CM269" s="1689"/>
      <c r="CN269" s="1689"/>
      <c r="CO269" s="1689"/>
      <c r="CP269" s="1689"/>
      <c r="CQ269" s="1689"/>
      <c r="CR269" s="1689"/>
      <c r="CS269" s="1689"/>
      <c r="CT269" s="1601"/>
      <c r="CU269" s="1601"/>
      <c r="CV269" s="1601"/>
      <c r="CW269" s="1689"/>
      <c r="CX269" s="1689"/>
      <c r="CY269" s="1601"/>
      <c r="CZ269" s="1601"/>
      <c r="DA269" s="1601"/>
      <c r="DB269" s="1689"/>
      <c r="DC269" s="2925"/>
      <c r="DD269" s="1689"/>
      <c r="DE269" s="1689"/>
      <c r="DF269" s="1689"/>
      <c r="DG269" s="1689"/>
      <c r="DH269" s="1689"/>
      <c r="DI269" s="1689"/>
      <c r="DJ269" s="1689"/>
      <c r="DK269" s="1689"/>
      <c r="DL269" s="1689"/>
      <c r="DM269" s="1689"/>
      <c r="DN269" s="1689"/>
      <c r="DO269" s="1689"/>
      <c r="DP269" s="1689"/>
      <c r="DQ269" s="1689"/>
      <c r="DR269" s="1689"/>
    </row>
    <row r="270" spans="1:122">
      <c r="A270" s="1691" t="s">
        <v>924</v>
      </c>
      <c r="B270" s="1655">
        <v>726.1</v>
      </c>
      <c r="C270" s="1655">
        <v>218.9</v>
      </c>
      <c r="D270" s="1655">
        <v>74.400000000000006</v>
      </c>
      <c r="E270" s="1655">
        <v>44.1</v>
      </c>
      <c r="F270" s="1437">
        <v>0</v>
      </c>
      <c r="G270" s="1437">
        <v>0</v>
      </c>
      <c r="H270" s="1655"/>
      <c r="I270" s="1437">
        <v>651.70000000000005</v>
      </c>
      <c r="J270" s="1437">
        <v>174.8</v>
      </c>
      <c r="K270" s="1437">
        <v>286.60000000000002</v>
      </c>
      <c r="L270" s="1437">
        <v>68.599999999999994</v>
      </c>
      <c r="M270" s="1437">
        <v>277.10000000000002</v>
      </c>
      <c r="N270" s="1465">
        <f>-1221.7+55.6</f>
        <v>-1166.1000000000001</v>
      </c>
      <c r="O270" s="2130"/>
      <c r="P270" s="1465"/>
      <c r="Q270" s="1465"/>
      <c r="R270" s="1437">
        <v>217</v>
      </c>
      <c r="S270" s="1437">
        <v>276</v>
      </c>
      <c r="T270" s="1437">
        <v>452</v>
      </c>
      <c r="U270" s="1357">
        <v>-75</v>
      </c>
      <c r="V270" s="1437">
        <v>9</v>
      </c>
      <c r="W270" s="1357">
        <v>-390</v>
      </c>
      <c r="X270" s="1357"/>
      <c r="Y270" s="1357"/>
      <c r="Z270" s="2806">
        <v>25</v>
      </c>
      <c r="AA270" s="2878">
        <v>94</v>
      </c>
      <c r="AB270" s="2878"/>
      <c r="AC270" s="2878">
        <v>0</v>
      </c>
      <c r="AD270" s="2878">
        <f t="shared" ref="AD270:AN270" si="438">AC270</f>
        <v>0</v>
      </c>
      <c r="AE270" s="2878">
        <f t="shared" si="438"/>
        <v>0</v>
      </c>
      <c r="AF270" s="1437">
        <f t="shared" si="438"/>
        <v>0</v>
      </c>
      <c r="AG270" s="1437">
        <f t="shared" si="438"/>
        <v>0</v>
      </c>
      <c r="AH270" s="1437">
        <f t="shared" si="438"/>
        <v>0</v>
      </c>
      <c r="AI270" s="1437">
        <f t="shared" si="438"/>
        <v>0</v>
      </c>
      <c r="AJ270" s="1437">
        <f t="shared" si="438"/>
        <v>0</v>
      </c>
      <c r="AK270" s="1437">
        <f t="shared" si="438"/>
        <v>0</v>
      </c>
      <c r="AL270" s="1437">
        <f t="shared" si="438"/>
        <v>0</v>
      </c>
      <c r="AM270" s="1437">
        <f t="shared" si="438"/>
        <v>0</v>
      </c>
      <c r="AN270" s="1437">
        <f t="shared" si="438"/>
        <v>0</v>
      </c>
      <c r="AO270" s="90"/>
      <c r="AP270" s="1108"/>
      <c r="AQ270" s="1687"/>
      <c r="AR270" s="1687"/>
      <c r="AS270" s="1357"/>
      <c r="AT270" s="1688"/>
      <c r="AU270" s="1108"/>
      <c r="AV270" s="1108"/>
      <c r="AW270" s="1689"/>
      <c r="AX270" s="1689"/>
      <c r="AY270" s="1689"/>
      <c r="AZ270" s="1689"/>
      <c r="BA270" s="1689"/>
      <c r="BB270" s="1689"/>
      <c r="BC270" s="1689"/>
      <c r="BD270" s="1689"/>
      <c r="BE270" s="1689"/>
      <c r="BF270" s="1689"/>
      <c r="BG270" s="1689"/>
      <c r="BH270" s="1689"/>
      <c r="BI270" s="1689"/>
      <c r="BJ270" s="1689"/>
      <c r="BK270" s="1689"/>
      <c r="BL270" s="1689"/>
      <c r="BM270" s="1689"/>
      <c r="BN270" s="1689"/>
      <c r="BO270" s="1689"/>
      <c r="BP270" s="1689"/>
      <c r="BQ270" s="1689"/>
      <c r="BR270" s="1689"/>
      <c r="BS270" s="1689"/>
      <c r="BT270" s="1689"/>
      <c r="BU270" s="1689"/>
      <c r="BV270" s="1689"/>
      <c r="BW270" s="1689"/>
      <c r="BX270" s="1689"/>
      <c r="BY270" s="1689"/>
      <c r="BZ270" s="1689"/>
      <c r="CA270" s="1689"/>
      <c r="CB270" s="1689"/>
      <c r="CC270" s="1689"/>
      <c r="CD270" s="1689"/>
      <c r="CE270" s="1689"/>
      <c r="CF270" s="1689"/>
      <c r="CG270" s="1689"/>
      <c r="CH270" s="1689"/>
      <c r="CI270" s="1689"/>
      <c r="CJ270" s="1689"/>
      <c r="CK270" s="1689"/>
      <c r="CL270" s="1689"/>
      <c r="CM270" s="1689"/>
      <c r="CN270" s="1689"/>
      <c r="CO270" s="1689"/>
      <c r="CP270" s="1689"/>
      <c r="CQ270" s="1689"/>
      <c r="CR270" s="1689"/>
      <c r="CS270" s="1689"/>
      <c r="CT270" s="1601"/>
      <c r="CU270" s="1601"/>
      <c r="CV270" s="1601"/>
      <c r="CW270" s="1689"/>
      <c r="CX270" s="1689"/>
      <c r="CY270" s="1601"/>
      <c r="CZ270" s="1601"/>
      <c r="DA270" s="1601"/>
      <c r="DB270" s="1689"/>
      <c r="DC270" s="2925"/>
      <c r="DD270" s="1689"/>
      <c r="DE270" s="1689"/>
      <c r="DF270" s="1689"/>
      <c r="DG270" s="1689"/>
      <c r="DH270" s="1689"/>
      <c r="DI270" s="1689"/>
      <c r="DJ270" s="1689"/>
      <c r="DK270" s="1689"/>
      <c r="DL270" s="1689"/>
      <c r="DM270" s="1689"/>
      <c r="DN270" s="1689"/>
      <c r="DO270" s="1689"/>
      <c r="DP270" s="1689"/>
      <c r="DQ270" s="1689"/>
      <c r="DR270" s="1689"/>
    </row>
    <row r="271" spans="1:122">
      <c r="A271" s="1691" t="s">
        <v>925</v>
      </c>
      <c r="B271" s="1655">
        <v>-104.6</v>
      </c>
      <c r="C271" s="1655">
        <v>-74.900000000000006</v>
      </c>
      <c r="D271" s="1655">
        <v>46.7</v>
      </c>
      <c r="E271" s="1655">
        <v>-33.200000000000003</v>
      </c>
      <c r="F271" s="1437">
        <v>0</v>
      </c>
      <c r="G271" s="1437">
        <v>0</v>
      </c>
      <c r="H271" s="1655"/>
      <c r="I271" s="1437">
        <v>-151.30000000000001</v>
      </c>
      <c r="J271" s="1357">
        <v>-41.7</v>
      </c>
      <c r="K271" s="1437">
        <v>-6.8</v>
      </c>
      <c r="L271" s="1655">
        <v>-4</v>
      </c>
      <c r="M271" s="1655">
        <v>99.3</v>
      </c>
      <c r="N271" s="1683">
        <v>49.2</v>
      </c>
      <c r="O271" s="1369"/>
      <c r="P271" s="1683"/>
      <c r="Q271" s="1683"/>
      <c r="R271" s="1683">
        <f>R215-N215</f>
        <v>69.5</v>
      </c>
      <c r="S271" s="1683">
        <f t="shared" ref="S271:AH271" si="439">S215-R215</f>
        <v>-170</v>
      </c>
      <c r="T271" s="1683">
        <f t="shared" si="439"/>
        <v>-38.5</v>
      </c>
      <c r="U271" s="1683">
        <f t="shared" si="439"/>
        <v>39</v>
      </c>
      <c r="V271" s="1683">
        <f t="shared" si="439"/>
        <v>-60</v>
      </c>
      <c r="W271" s="1683">
        <f t="shared" si="439"/>
        <v>-26</v>
      </c>
      <c r="X271" s="1683"/>
      <c r="Y271" s="1683"/>
      <c r="Z271" s="2887">
        <f>Z215-W215</f>
        <v>88</v>
      </c>
      <c r="AA271" s="2887">
        <f>AA215-Z215</f>
        <v>-142</v>
      </c>
      <c r="AB271" s="2887"/>
      <c r="AC271" s="2887">
        <f>AC215-AA215</f>
        <v>-8.7495505364564394</v>
      </c>
      <c r="AD271" s="2887">
        <f t="shared" si="439"/>
        <v>9.1543200507562119</v>
      </c>
      <c r="AE271" s="2887">
        <f>AE215-AD215</f>
        <v>11.084121142769874</v>
      </c>
      <c r="AF271" s="1683">
        <f t="shared" si="439"/>
        <v>4.2540222789754125</v>
      </c>
      <c r="AG271" s="1683">
        <f t="shared" si="439"/>
        <v>6.1463714886518517</v>
      </c>
      <c r="AH271" s="1683">
        <f t="shared" si="439"/>
        <v>11.343435271410897</v>
      </c>
      <c r="AI271" s="1683">
        <f t="shared" ref="AI271:AN271" si="440">AI215-AH215</f>
        <v>-1.0818851353613468</v>
      </c>
      <c r="AJ271" s="1683">
        <f t="shared" si="440"/>
        <v>5.5774443270242102</v>
      </c>
      <c r="AK271" s="1683">
        <f t="shared" si="440"/>
        <v>10.16840298576426</v>
      </c>
      <c r="AL271" s="1683">
        <f t="shared" si="440"/>
        <v>-1.7366953385915451</v>
      </c>
      <c r="AM271" s="1683">
        <f t="shared" si="440"/>
        <v>4.0558348934010269</v>
      </c>
      <c r="AN271" s="1683">
        <f t="shared" si="440"/>
        <v>13.127157858921919</v>
      </c>
      <c r="AO271" s="90"/>
      <c r="AP271" s="1108"/>
      <c r="AQ271" s="1687"/>
      <c r="AR271" s="1687"/>
      <c r="AS271" s="1683"/>
      <c r="AT271" s="1688"/>
      <c r="AU271" s="1655"/>
      <c r="AV271" s="1108"/>
      <c r="AW271" s="1689"/>
      <c r="AX271" s="1689"/>
      <c r="AY271" s="1689"/>
      <c r="AZ271" s="1689"/>
      <c r="BA271" s="1689"/>
      <c r="BB271" s="1689"/>
      <c r="BC271" s="1689"/>
      <c r="BD271" s="1689"/>
      <c r="BE271" s="1689"/>
      <c r="BF271" s="1689"/>
      <c r="BG271" s="1689"/>
      <c r="BH271" s="1689"/>
      <c r="BI271" s="1689"/>
      <c r="BJ271" s="1689"/>
      <c r="BK271" s="1689"/>
      <c r="BL271" s="1689"/>
      <c r="BM271" s="1689"/>
      <c r="BN271" s="1689"/>
      <c r="BO271" s="1689"/>
      <c r="BP271" s="1689"/>
      <c r="BQ271" s="1689"/>
      <c r="BR271" s="1689"/>
      <c r="BS271" s="1689"/>
      <c r="BT271" s="1689"/>
      <c r="BU271" s="1689"/>
      <c r="BV271" s="1689"/>
      <c r="BW271" s="1689"/>
      <c r="BX271" s="1689"/>
      <c r="BY271" s="1689"/>
      <c r="BZ271" s="1689"/>
      <c r="CA271" s="1689"/>
      <c r="CB271" s="1689"/>
      <c r="CC271" s="1689"/>
      <c r="CD271" s="1689"/>
      <c r="CE271" s="1689"/>
      <c r="CF271" s="1689"/>
      <c r="CG271" s="1689"/>
      <c r="CH271" s="1689"/>
      <c r="CI271" s="1689"/>
      <c r="CJ271" s="1689"/>
      <c r="CK271" s="1689"/>
      <c r="CL271" s="1689"/>
      <c r="CM271" s="1689"/>
      <c r="CN271" s="1689"/>
      <c r="CO271" s="1689"/>
      <c r="CP271" s="1689"/>
      <c r="CQ271" s="1689"/>
      <c r="CR271" s="1689"/>
      <c r="CS271" s="1689"/>
      <c r="CT271" s="1601"/>
      <c r="CU271" s="1601"/>
      <c r="CV271" s="1601"/>
      <c r="CW271" s="1689"/>
      <c r="CX271" s="1689"/>
      <c r="CY271" s="1601"/>
      <c r="CZ271" s="1601"/>
      <c r="DA271" s="1601"/>
      <c r="DB271" s="1689"/>
      <c r="DC271" s="2925"/>
      <c r="DD271" s="1689"/>
      <c r="DE271" s="1689"/>
      <c r="DF271" s="1689"/>
      <c r="DG271" s="1689"/>
      <c r="DH271" s="1689"/>
      <c r="DI271" s="1689"/>
      <c r="DJ271" s="1689"/>
      <c r="DK271" s="1689"/>
      <c r="DL271" s="1689"/>
      <c r="DM271" s="1689"/>
      <c r="DN271" s="1689"/>
      <c r="DO271" s="1689"/>
      <c r="DP271" s="1689"/>
      <c r="DQ271" s="1689"/>
      <c r="DR271" s="1689"/>
    </row>
    <row r="272" spans="1:122">
      <c r="A272" s="1691" t="s">
        <v>84</v>
      </c>
      <c r="B272" s="1437">
        <v>0</v>
      </c>
      <c r="C272" s="1437">
        <v>0</v>
      </c>
      <c r="D272" s="1437">
        <v>0</v>
      </c>
      <c r="E272" s="1437">
        <v>0</v>
      </c>
      <c r="F272" s="1437">
        <v>0</v>
      </c>
      <c r="G272" s="1437">
        <v>0</v>
      </c>
      <c r="H272" s="1655"/>
      <c r="I272" s="1437">
        <v>0</v>
      </c>
      <c r="J272" s="1437">
        <v>0</v>
      </c>
      <c r="K272" s="1437">
        <v>0</v>
      </c>
      <c r="L272" s="1357">
        <v>0</v>
      </c>
      <c r="M272" s="1357">
        <v>0</v>
      </c>
      <c r="N272" s="1357">
        <v>-120</v>
      </c>
      <c r="O272" s="1369"/>
      <c r="P272" s="1357"/>
      <c r="Q272" s="1357"/>
      <c r="R272" s="1357">
        <f>+(R223-N223)</f>
        <v>-156.29999999999973</v>
      </c>
      <c r="S272" s="1357">
        <v>-167</v>
      </c>
      <c r="T272" s="1357">
        <v>-380</v>
      </c>
      <c r="U272" s="1357">
        <f>+-190</f>
        <v>-190</v>
      </c>
      <c r="V272" s="1357">
        <v>-188</v>
      </c>
      <c r="W272" s="1357">
        <f>+-34</f>
        <v>-34</v>
      </c>
      <c r="X272" s="1357"/>
      <c r="Y272" s="1357"/>
      <c r="Z272" s="2806">
        <v>-46</v>
      </c>
      <c r="AA272" s="2806">
        <v>205</v>
      </c>
      <c r="AB272" s="2806"/>
      <c r="AC272" s="2806">
        <f>+(AC223-AA223)</f>
        <v>-500</v>
      </c>
      <c r="AD272" s="2806">
        <f t="shared" ref="AD272:AN272" si="441">+(AD223-AC223)</f>
        <v>0</v>
      </c>
      <c r="AE272" s="2806">
        <f t="shared" si="441"/>
        <v>0</v>
      </c>
      <c r="AF272" s="1357">
        <f t="shared" si="441"/>
        <v>0</v>
      </c>
      <c r="AG272" s="1357">
        <f t="shared" si="441"/>
        <v>0</v>
      </c>
      <c r="AH272" s="1357">
        <f t="shared" si="441"/>
        <v>0</v>
      </c>
      <c r="AI272" s="1357">
        <f t="shared" si="441"/>
        <v>0</v>
      </c>
      <c r="AJ272" s="1357">
        <f t="shared" si="441"/>
        <v>0</v>
      </c>
      <c r="AK272" s="1357">
        <f t="shared" si="441"/>
        <v>0</v>
      </c>
      <c r="AL272" s="1357">
        <f t="shared" si="441"/>
        <v>0</v>
      </c>
      <c r="AM272" s="1357">
        <f t="shared" si="441"/>
        <v>0</v>
      </c>
      <c r="AN272" s="1357">
        <f t="shared" si="441"/>
        <v>0</v>
      </c>
      <c r="AO272" s="90"/>
      <c r="AP272" s="1108"/>
      <c r="AQ272" s="1687"/>
      <c r="AR272" s="1687"/>
      <c r="AS272" s="1357"/>
      <c r="AT272" s="1688"/>
      <c r="AU272" s="1655"/>
      <c r="AV272" s="1108"/>
      <c r="AW272" s="1689"/>
      <c r="AX272" s="1689"/>
      <c r="AY272" s="1689"/>
      <c r="AZ272" s="1689"/>
      <c r="BA272" s="1689"/>
      <c r="BB272" s="1689"/>
      <c r="BC272" s="1689"/>
      <c r="BD272" s="1689"/>
      <c r="BE272" s="1689"/>
      <c r="BF272" s="1689"/>
      <c r="BG272" s="1689"/>
      <c r="BH272" s="1689"/>
      <c r="BI272" s="1689"/>
      <c r="BJ272" s="1689"/>
      <c r="BK272" s="1689"/>
      <c r="BL272" s="1689"/>
      <c r="BM272" s="1689"/>
      <c r="BN272" s="1689"/>
      <c r="BO272" s="1689"/>
      <c r="BP272" s="1689"/>
      <c r="BQ272" s="1689"/>
      <c r="BR272" s="1689"/>
      <c r="BS272" s="1689"/>
      <c r="BT272" s="1689"/>
      <c r="BU272" s="1689"/>
      <c r="BV272" s="1689"/>
      <c r="BW272" s="1689"/>
      <c r="BX272" s="1689"/>
      <c r="BY272" s="1689"/>
      <c r="BZ272" s="1689"/>
      <c r="CA272" s="1689"/>
      <c r="CB272" s="1689"/>
      <c r="CC272" s="1689"/>
      <c r="CD272" s="1689"/>
      <c r="CE272" s="1689"/>
      <c r="CF272" s="1689"/>
      <c r="CG272" s="1689"/>
      <c r="CH272" s="1689"/>
      <c r="CI272" s="1689"/>
      <c r="CJ272" s="1689"/>
      <c r="CK272" s="1689"/>
      <c r="CL272" s="1689"/>
      <c r="CM272" s="1689"/>
      <c r="CN272" s="1689"/>
      <c r="CO272" s="1689"/>
      <c r="CP272" s="1689"/>
      <c r="CQ272" s="1689"/>
      <c r="CR272" s="1689"/>
      <c r="CS272" s="1689"/>
      <c r="CT272" s="1601"/>
      <c r="CU272" s="1601"/>
      <c r="CV272" s="1601"/>
      <c r="CW272" s="1689"/>
      <c r="CX272" s="1689"/>
      <c r="CY272" s="1601"/>
      <c r="CZ272" s="1601"/>
      <c r="DA272" s="1601"/>
      <c r="DB272" s="1689"/>
      <c r="DC272" s="2925"/>
      <c r="DD272" s="1689"/>
      <c r="DE272" s="1689"/>
      <c r="DF272" s="1689"/>
      <c r="DG272" s="1689"/>
      <c r="DH272" s="1689"/>
      <c r="DI272" s="1689"/>
      <c r="DJ272" s="1689"/>
      <c r="DK272" s="1689"/>
      <c r="DL272" s="1689"/>
      <c r="DM272" s="1689"/>
      <c r="DN272" s="1689"/>
      <c r="DO272" s="1689"/>
      <c r="DP272" s="1689"/>
      <c r="DQ272" s="1689"/>
      <c r="DR272" s="1689"/>
    </row>
    <row r="273" spans="1:122">
      <c r="A273" s="1691" t="s">
        <v>926</v>
      </c>
      <c r="B273" s="1655">
        <v>-14.7</v>
      </c>
      <c r="C273" s="1655">
        <v>-10.6</v>
      </c>
      <c r="D273" s="1655">
        <v>-11.3</v>
      </c>
      <c r="E273" s="1655">
        <v>-5.3</v>
      </c>
      <c r="F273" s="1437">
        <v>0</v>
      </c>
      <c r="G273" s="1437">
        <v>0</v>
      </c>
      <c r="H273" s="1655"/>
      <c r="I273" s="1437">
        <v>-32.200000000000003</v>
      </c>
      <c r="J273" s="1357">
        <v>-60.4</v>
      </c>
      <c r="K273" s="1437">
        <f>18.9+31.8</f>
        <v>50.7</v>
      </c>
      <c r="L273" s="1437">
        <v>6</v>
      </c>
      <c r="M273" s="1357">
        <v>-4</v>
      </c>
      <c r="N273" s="1357">
        <f>N275-N264-N265-N266-N267-N268-N269-N254-N271-N272-N274</f>
        <v>-955.2</v>
      </c>
      <c r="O273" s="1369"/>
      <c r="P273" s="1357"/>
      <c r="Q273" s="1357"/>
      <c r="R273" s="1693">
        <f t="shared" ref="R273:W273" si="442">R275-R264-R265-R266-R267-R268-R269-R270-R271-R272-R274</f>
        <v>357.18999999999937</v>
      </c>
      <c r="S273" s="1693">
        <f t="shared" si="442"/>
        <v>335.80999999999989</v>
      </c>
      <c r="T273" s="2131">
        <f t="shared" si="442"/>
        <v>159.8000000000003</v>
      </c>
      <c r="U273" s="2131">
        <f t="shared" si="442"/>
        <v>-574.99999999999955</v>
      </c>
      <c r="V273" s="2131">
        <f t="shared" si="442"/>
        <v>-74</v>
      </c>
      <c r="W273" s="2131">
        <f t="shared" si="442"/>
        <v>61</v>
      </c>
      <c r="X273" s="1357"/>
      <c r="Y273" s="1357"/>
      <c r="Z273" s="3072">
        <f>Z275-Z264-Z265-Z266-Z267-Z268-Z269-Z270-Z271-Z272-Z274</f>
        <v>-24</v>
      </c>
      <c r="AA273" s="3072">
        <f ca="1">AA275-AA264-AA265-AA266-AA267-AA268-AA269-AA270-AA271-AA272-AA274</f>
        <v>72</v>
      </c>
      <c r="AB273" s="2806"/>
      <c r="AC273" s="2806">
        <f>(AC217-AA217)+(AC228-AA228)</f>
        <v>-192.06965438279838</v>
      </c>
      <c r="AD273" s="2806">
        <f t="shared" ref="AD273:AN273" si="443">(AD217-AC217)+(AD228-AC228)</f>
        <v>127.6317184858525</v>
      </c>
      <c r="AE273" s="2806">
        <f t="shared" si="443"/>
        <v>157.62007565822341</v>
      </c>
      <c r="AF273" s="1357">
        <f t="shared" si="443"/>
        <v>36.312576764140204</v>
      </c>
      <c r="AG273" s="1357">
        <f t="shared" si="443"/>
        <v>67.191314605948946</v>
      </c>
      <c r="AH273" s="1357">
        <f t="shared" si="443"/>
        <v>152.08691756653502</v>
      </c>
      <c r="AI273" s="1357">
        <f t="shared" si="443"/>
        <v>-56.855713699783109</v>
      </c>
      <c r="AJ273" s="1357">
        <f t="shared" si="443"/>
        <v>52.818748247138274</v>
      </c>
      <c r="AK273" s="1357">
        <f t="shared" si="443"/>
        <v>125.15790873043306</v>
      </c>
      <c r="AL273" s="1357">
        <f t="shared" si="443"/>
        <v>-67.213031026468798</v>
      </c>
      <c r="AM273" s="1357">
        <f t="shared" si="443"/>
        <v>25.1406550913714</v>
      </c>
      <c r="AN273" s="1357">
        <f t="shared" si="443"/>
        <v>164.97074820825696</v>
      </c>
      <c r="AO273" s="90"/>
      <c r="AP273" s="1108"/>
      <c r="AQ273" s="1687"/>
      <c r="AR273" s="1687"/>
      <c r="AS273" s="1357"/>
      <c r="AT273" s="1688"/>
      <c r="AU273" s="1357"/>
      <c r="AV273" s="1108"/>
      <c r="AW273" s="1689"/>
      <c r="AX273" s="1689"/>
      <c r="AY273" s="1689"/>
      <c r="AZ273" s="1689"/>
      <c r="BA273" s="1689"/>
      <c r="BB273" s="1689"/>
      <c r="BC273" s="1689"/>
      <c r="BD273" s="1689"/>
      <c r="BE273" s="1689"/>
      <c r="BF273" s="1689"/>
      <c r="BG273" s="1689"/>
      <c r="BH273" s="1689"/>
      <c r="BI273" s="1689"/>
      <c r="BJ273" s="1689"/>
      <c r="BK273" s="1689"/>
      <c r="BL273" s="1689"/>
      <c r="BM273" s="1689"/>
      <c r="BN273" s="1689"/>
      <c r="BO273" s="1689"/>
      <c r="BP273" s="1689"/>
      <c r="BQ273" s="1689"/>
      <c r="BR273" s="1689"/>
      <c r="BS273" s="1689"/>
      <c r="BT273" s="1689"/>
      <c r="BU273" s="1689"/>
      <c r="BV273" s="1689"/>
      <c r="BW273" s="1689"/>
      <c r="BX273" s="1689"/>
      <c r="BY273" s="1689"/>
      <c r="BZ273" s="1689"/>
      <c r="CA273" s="1689"/>
      <c r="CB273" s="1689"/>
      <c r="CC273" s="1689"/>
      <c r="CD273" s="1689"/>
      <c r="CE273" s="1689"/>
      <c r="CF273" s="1689"/>
      <c r="CG273" s="1689"/>
      <c r="CH273" s="1689"/>
      <c r="CI273" s="1689"/>
      <c r="CJ273" s="1689"/>
      <c r="CK273" s="1689"/>
      <c r="CL273" s="1689"/>
      <c r="CM273" s="1689"/>
      <c r="CN273" s="1689"/>
      <c r="CO273" s="1689"/>
      <c r="CP273" s="1689"/>
      <c r="CQ273" s="1689"/>
      <c r="CR273" s="1689"/>
      <c r="CS273" s="1689"/>
      <c r="CT273" s="1601"/>
      <c r="CU273" s="1601"/>
      <c r="CV273" s="1601"/>
      <c r="CW273" s="1689"/>
      <c r="CX273" s="1689"/>
      <c r="CY273" s="1601"/>
      <c r="CZ273" s="1601"/>
      <c r="DA273" s="1601"/>
      <c r="DB273" s="1689"/>
      <c r="DC273" s="2925"/>
      <c r="DD273" s="1689"/>
      <c r="DE273" s="1689"/>
      <c r="DF273" s="1689"/>
      <c r="DG273" s="1689"/>
      <c r="DH273" s="1689"/>
      <c r="DI273" s="1689"/>
      <c r="DJ273" s="1689"/>
      <c r="DK273" s="1689"/>
      <c r="DL273" s="1689"/>
      <c r="DM273" s="1689"/>
      <c r="DN273" s="1689"/>
      <c r="DO273" s="1689"/>
      <c r="DP273" s="1689"/>
      <c r="DQ273" s="1689"/>
      <c r="DR273" s="1689"/>
    </row>
    <row r="274" spans="1:122">
      <c r="A274" s="2340" t="s">
        <v>927</v>
      </c>
      <c r="B274" s="1694">
        <v>637.6</v>
      </c>
      <c r="C274" s="1694">
        <v>266.2</v>
      </c>
      <c r="D274" s="1694">
        <v>637.6</v>
      </c>
      <c r="E274" s="1694">
        <v>266.2</v>
      </c>
      <c r="F274" s="1695">
        <v>0</v>
      </c>
      <c r="G274" s="1695">
        <v>0</v>
      </c>
      <c r="H274" s="1694"/>
      <c r="I274" s="1726">
        <v>1911</v>
      </c>
      <c r="J274" s="1726">
        <v>1989.9</v>
      </c>
      <c r="K274" s="1726">
        <v>1627.4</v>
      </c>
      <c r="L274" s="1373">
        <v>-114.1</v>
      </c>
      <c r="M274" s="1726">
        <v>4.8</v>
      </c>
      <c r="N274" s="1373">
        <v>0</v>
      </c>
      <c r="O274" s="1369"/>
      <c r="P274" s="1373"/>
      <c r="Q274" s="1373"/>
      <c r="R274" s="1373">
        <f>-(R192-N192)-(R206-N206)+(R218-N218)+(R229-N229)+(R231-N231)</f>
        <v>-15.490000000000006</v>
      </c>
      <c r="S274" s="1373">
        <f>-(S192-R192)-(S206-R206)+(S218-R218)+(S229-R229)+(S231-R231)</f>
        <v>-34.109999999999978</v>
      </c>
      <c r="T274" s="1373">
        <v>-83</v>
      </c>
      <c r="U274" s="1726">
        <v>310</v>
      </c>
      <c r="V274" s="1726">
        <v>94</v>
      </c>
      <c r="W274" s="1726">
        <v>65</v>
      </c>
      <c r="X274" s="1373"/>
      <c r="Y274" s="1373"/>
      <c r="Z274" s="2884">
        <v>-25</v>
      </c>
      <c r="AA274" s="2879">
        <v>0</v>
      </c>
      <c r="AB274" s="2879"/>
      <c r="AC274" s="2878">
        <v>0</v>
      </c>
      <c r="AD274" s="2879">
        <f>-(AD192-AC192)+(AD218-AC218)+(AD231-AC231)</f>
        <v>0</v>
      </c>
      <c r="AE274" s="2879">
        <f t="shared" ref="AE274:AL274" si="444">-(AE192-AD192)+(AE218-AD218)+(AE231-AD231)</f>
        <v>0</v>
      </c>
      <c r="AF274" s="1373">
        <f t="shared" si="444"/>
        <v>0</v>
      </c>
      <c r="AG274" s="1373">
        <f t="shared" si="444"/>
        <v>0</v>
      </c>
      <c r="AH274" s="1373">
        <f t="shared" si="444"/>
        <v>0</v>
      </c>
      <c r="AI274" s="1373">
        <f t="shared" si="444"/>
        <v>0</v>
      </c>
      <c r="AJ274" s="1373">
        <f t="shared" si="444"/>
        <v>0</v>
      </c>
      <c r="AK274" s="1373">
        <f t="shared" si="444"/>
        <v>0</v>
      </c>
      <c r="AL274" s="1373">
        <f t="shared" si="444"/>
        <v>0</v>
      </c>
      <c r="AM274" s="1373">
        <f>-(AM192-AL192)+(AM218-AL218)+(AM231-AL231)</f>
        <v>0</v>
      </c>
      <c r="AN274" s="1373">
        <f>-(AN192-AM192)+(AN218-AM218)+(AN231-AM231)</f>
        <v>0</v>
      </c>
      <c r="AO274" s="90"/>
      <c r="AP274" s="1108"/>
      <c r="AQ274" s="1687"/>
      <c r="AR274" s="1687"/>
      <c r="AS274" s="1373"/>
      <c r="AT274" s="1688"/>
      <c r="AU274" s="1108"/>
      <c r="AV274" s="1108"/>
      <c r="AW274" s="1689"/>
      <c r="AX274" s="1689"/>
      <c r="AY274" s="1689"/>
      <c r="AZ274" s="1689"/>
      <c r="BA274" s="1689"/>
      <c r="BB274" s="1689"/>
      <c r="BC274" s="1689"/>
      <c r="BD274" s="1689"/>
      <c r="BE274" s="1689"/>
      <c r="BF274" s="1689"/>
      <c r="BG274" s="1689"/>
      <c r="BH274" s="1689"/>
      <c r="BI274" s="1689"/>
      <c r="BJ274" s="1689"/>
      <c r="BK274" s="1689"/>
      <c r="BL274" s="1689"/>
      <c r="BM274" s="1689"/>
      <c r="BN274" s="1689"/>
      <c r="BO274" s="1689"/>
      <c r="BP274" s="1689"/>
      <c r="BQ274" s="1689"/>
      <c r="BR274" s="1689"/>
      <c r="BS274" s="1689"/>
      <c r="BT274" s="1689"/>
      <c r="BU274" s="1689"/>
      <c r="BV274" s="1689"/>
      <c r="BW274" s="1689"/>
      <c r="BX274" s="1689"/>
      <c r="BY274" s="1689"/>
      <c r="BZ274" s="1689"/>
      <c r="CA274" s="1689"/>
      <c r="CB274" s="1689"/>
      <c r="CC274" s="1689"/>
      <c r="CD274" s="1689"/>
      <c r="CE274" s="1689"/>
      <c r="CF274" s="1689"/>
      <c r="CG274" s="1689"/>
      <c r="CH274" s="1689"/>
      <c r="CI274" s="1689"/>
      <c r="CJ274" s="1689"/>
      <c r="CK274" s="1689"/>
      <c r="CL274" s="1689"/>
      <c r="CM274" s="1689"/>
      <c r="CN274" s="1689"/>
      <c r="CO274" s="1689"/>
      <c r="CP274" s="1689"/>
      <c r="CQ274" s="1689"/>
      <c r="CR274" s="1689"/>
      <c r="CS274" s="1689"/>
      <c r="CT274" s="1601"/>
      <c r="CU274" s="1601"/>
      <c r="CV274" s="1601"/>
      <c r="CW274" s="1689"/>
      <c r="CX274" s="1689"/>
      <c r="CY274" s="1601"/>
      <c r="CZ274" s="1601"/>
      <c r="DA274" s="1601"/>
      <c r="DB274" s="1689"/>
      <c r="DC274" s="2925"/>
      <c r="DD274" s="1689"/>
      <c r="DE274" s="1689"/>
      <c r="DF274" s="1689"/>
      <c r="DG274" s="1689"/>
      <c r="DH274" s="1689"/>
      <c r="DI274" s="1689"/>
      <c r="DJ274" s="1689"/>
      <c r="DK274" s="1689"/>
      <c r="DL274" s="1689"/>
      <c r="DM274" s="1689"/>
      <c r="DN274" s="1689"/>
      <c r="DO274" s="1689"/>
      <c r="DP274" s="1689"/>
      <c r="DQ274" s="1689"/>
      <c r="DR274" s="1689"/>
    </row>
    <row r="275" spans="1:122">
      <c r="A275" s="2333" t="s">
        <v>732</v>
      </c>
      <c r="B275" s="2336">
        <f t="shared" ref="B275:G275" si="445">SUM(B264:B274)</f>
        <v>513.70000000000005</v>
      </c>
      <c r="C275" s="2336">
        <f t="shared" si="445"/>
        <v>-80.500000000000057</v>
      </c>
      <c r="D275" s="2336">
        <f t="shared" si="445"/>
        <v>508.5</v>
      </c>
      <c r="E275" s="2336">
        <f t="shared" si="445"/>
        <v>286.00000000000011</v>
      </c>
      <c r="F275" s="2336">
        <f t="shared" si="445"/>
        <v>0</v>
      </c>
      <c r="G275" s="2336">
        <f t="shared" si="445"/>
        <v>0</v>
      </c>
      <c r="H275" s="2336"/>
      <c r="I275" s="2119">
        <f>SUM(I264:I274)</f>
        <v>1887.3999999999999</v>
      </c>
      <c r="J275" s="2119">
        <f>SUM(J264:J274)</f>
        <v>1568.3000000000002</v>
      </c>
      <c r="K275" s="2119">
        <f>SUM(K264:K274)</f>
        <v>1899.8000000000002</v>
      </c>
      <c r="L275" s="2119">
        <f>SUM(L264:L274)</f>
        <v>-146.89999999999989</v>
      </c>
      <c r="M275" s="2119">
        <f>SUM(M264:M274)</f>
        <v>286.8</v>
      </c>
      <c r="N275" s="2119">
        <f>237.9-1221.7</f>
        <v>-983.80000000000007</v>
      </c>
      <c r="O275" s="2337"/>
      <c r="P275" s="2119"/>
      <c r="Q275" s="2119"/>
      <c r="R275" s="2119">
        <f>-333.5+216.4</f>
        <v>-117.1</v>
      </c>
      <c r="S275" s="2119">
        <v>214.8</v>
      </c>
      <c r="T275" s="2338">
        <f>-243-83</f>
        <v>-326</v>
      </c>
      <c r="U275" s="2339">
        <f>+U277-U261</f>
        <v>-934.99999999999955</v>
      </c>
      <c r="V275" s="2339">
        <f>+V277-V261</f>
        <v>-1178</v>
      </c>
      <c r="W275" s="2339">
        <f>+W277-W261</f>
        <v>-1312</v>
      </c>
      <c r="X275" s="2119"/>
      <c r="Y275" s="2119"/>
      <c r="Z275" s="3073">
        <f>+Z277-Z261</f>
        <v>-1043</v>
      </c>
      <c r="AA275" s="3073">
        <f ca="1">+AA277-AA261</f>
        <v>-436</v>
      </c>
      <c r="AB275" s="2857"/>
      <c r="AC275" s="2857">
        <f>SUM(AC264:AC274)</f>
        <v>-1334.446789127895</v>
      </c>
      <c r="AD275" s="2857">
        <f t="shared" ref="AD275:AH275" si="446">SUM(AD264:AD274)</f>
        <v>-882.24787410777969</v>
      </c>
      <c r="AE275" s="2857">
        <f t="shared" si="446"/>
        <v>-653.68572129375684</v>
      </c>
      <c r="AF275" s="2119">
        <f t="shared" si="446"/>
        <v>-544.9839672212297</v>
      </c>
      <c r="AG275" s="2119">
        <f t="shared" si="446"/>
        <v>-532.72451958625618</v>
      </c>
      <c r="AH275" s="2119">
        <f t="shared" si="446"/>
        <v>-559.38920806976898</v>
      </c>
      <c r="AI275" s="2119">
        <f t="shared" ref="AI275:AN275" si="447">SUM(AI264:AI274)</f>
        <v>-488.70082972867539</v>
      </c>
      <c r="AJ275" s="2857">
        <f t="shared" si="447"/>
        <v>-461.1227609447609</v>
      </c>
      <c r="AK275" s="2857">
        <f t="shared" si="447"/>
        <v>-447.91027022385526</v>
      </c>
      <c r="AL275" s="2857">
        <f t="shared" si="447"/>
        <v>-406.79949971400526</v>
      </c>
      <c r="AM275" s="2857">
        <f t="shared" si="447"/>
        <v>-402.4370276815668</v>
      </c>
      <c r="AN275" s="2857">
        <f t="shared" si="447"/>
        <v>-407.47475340748406</v>
      </c>
      <c r="AO275" s="3228"/>
      <c r="AP275" s="1108"/>
      <c r="AQ275" s="1687"/>
      <c r="AR275" s="1687"/>
      <c r="AS275" s="1654"/>
      <c r="AT275" s="1688"/>
      <c r="AU275" s="1108"/>
      <c r="AV275" s="1108"/>
      <c r="AW275" s="1689"/>
      <c r="AX275" s="1689"/>
      <c r="AY275" s="1689"/>
      <c r="AZ275" s="1689"/>
      <c r="BA275" s="1689"/>
      <c r="BB275" s="1689"/>
      <c r="BC275" s="1689"/>
      <c r="BD275" s="1689"/>
      <c r="BE275" s="1689"/>
      <c r="BF275" s="1689"/>
      <c r="BG275" s="1689"/>
      <c r="BH275" s="1689"/>
      <c r="BI275" s="1689"/>
      <c r="BJ275" s="1689"/>
      <c r="BK275" s="1689"/>
      <c r="BL275" s="1689"/>
      <c r="BM275" s="1689"/>
      <c r="BN275" s="1689"/>
      <c r="BO275" s="1689"/>
      <c r="BP275" s="1689"/>
      <c r="BQ275" s="1689"/>
      <c r="BR275" s="1689"/>
      <c r="BS275" s="1689"/>
      <c r="BT275" s="1689"/>
      <c r="BU275" s="1689"/>
      <c r="BV275" s="1689"/>
      <c r="BW275" s="1689"/>
      <c r="BX275" s="1689"/>
      <c r="BY275" s="1689"/>
      <c r="BZ275" s="1689"/>
      <c r="CA275" s="1689"/>
      <c r="CB275" s="1689"/>
      <c r="CC275" s="1689"/>
      <c r="CD275" s="1689"/>
      <c r="CE275" s="1689"/>
      <c r="CF275" s="1689"/>
      <c r="CG275" s="1689"/>
      <c r="CH275" s="1689"/>
      <c r="CI275" s="1689"/>
      <c r="CJ275" s="1689"/>
      <c r="CK275" s="1689"/>
      <c r="CL275" s="1689"/>
      <c r="CM275" s="1689"/>
      <c r="CN275" s="1689"/>
      <c r="CO275" s="1689"/>
      <c r="CP275" s="1689"/>
      <c r="CQ275" s="1689"/>
      <c r="CR275" s="1689"/>
      <c r="CS275" s="1689"/>
      <c r="CT275" s="1601"/>
      <c r="CU275" s="1601"/>
      <c r="CV275" s="1601"/>
      <c r="CW275" s="1689"/>
      <c r="CX275" s="1689"/>
      <c r="CY275" s="1601"/>
      <c r="CZ275" s="1601"/>
      <c r="DA275" s="1601"/>
      <c r="DB275" s="1689"/>
      <c r="DC275" s="2925"/>
      <c r="DD275" s="1689"/>
      <c r="DE275" s="1689"/>
      <c r="DF275" s="1689"/>
      <c r="DG275" s="1689"/>
      <c r="DH275" s="1689"/>
      <c r="DI275" s="1689"/>
      <c r="DJ275" s="1689"/>
      <c r="DK275" s="1689"/>
      <c r="DL275" s="1689"/>
      <c r="DM275" s="1689"/>
      <c r="DN275" s="1689"/>
      <c r="DO275" s="1689"/>
      <c r="DP275" s="1689"/>
      <c r="DQ275" s="1689"/>
      <c r="DR275" s="1689"/>
    </row>
    <row r="276" spans="1:122" ht="5.0999999999999996" customHeight="1">
      <c r="A276" s="2132"/>
      <c r="B276" s="1357"/>
      <c r="C276" s="1357"/>
      <c r="D276" s="1357"/>
      <c r="E276" s="1357"/>
      <c r="F276" s="1357"/>
      <c r="G276" s="1357"/>
      <c r="H276" s="1357"/>
      <c r="I276" s="1373"/>
      <c r="J276" s="1373"/>
      <c r="K276" s="1373"/>
      <c r="L276" s="2134"/>
      <c r="M276" s="2134"/>
      <c r="N276" s="2134"/>
      <c r="O276" s="1369"/>
      <c r="P276" s="2134"/>
      <c r="Q276" s="2134"/>
      <c r="R276" s="2134"/>
      <c r="S276" s="2134"/>
      <c r="T276" s="2134"/>
      <c r="U276" s="2134"/>
      <c r="V276" s="2134"/>
      <c r="W276" s="2134"/>
      <c r="X276" s="2134"/>
      <c r="Y276" s="2134"/>
      <c r="Z276" s="3074"/>
      <c r="AA276" s="3074"/>
      <c r="AB276" s="3074"/>
      <c r="AC276" s="3074"/>
      <c r="AD276" s="3074"/>
      <c r="AE276" s="3074"/>
      <c r="AF276" s="2134"/>
      <c r="AG276" s="2134"/>
      <c r="AH276" s="2134"/>
      <c r="AI276" s="2134"/>
      <c r="AJ276" s="3074"/>
      <c r="AK276" s="3074"/>
      <c r="AL276" s="3074"/>
      <c r="AM276" s="3074"/>
      <c r="AN276" s="3074"/>
      <c r="AO276" s="3228"/>
      <c r="AP276" s="1108"/>
      <c r="AQ276" s="1687"/>
      <c r="AR276" s="1687"/>
      <c r="AS276" s="2134"/>
      <c r="AT276" s="1688"/>
      <c r="AU276" s="1108"/>
      <c r="AV276" s="1108"/>
      <c r="AW276" s="1689"/>
      <c r="AX276" s="1689"/>
      <c r="AY276" s="1689"/>
      <c r="AZ276" s="1689"/>
      <c r="BA276" s="1689"/>
      <c r="BB276" s="1689"/>
      <c r="BC276" s="1689"/>
      <c r="BD276" s="1689"/>
      <c r="BE276" s="1689"/>
      <c r="BF276" s="1689"/>
      <c r="BG276" s="1689"/>
      <c r="BH276" s="1689"/>
      <c r="BI276" s="1689"/>
      <c r="BJ276" s="1689"/>
      <c r="BK276" s="1689"/>
      <c r="BL276" s="1689"/>
      <c r="BM276" s="1689"/>
      <c r="BN276" s="1689"/>
      <c r="BO276" s="1689"/>
      <c r="BP276" s="1689"/>
      <c r="BQ276" s="1689"/>
      <c r="BR276" s="1689"/>
      <c r="BS276" s="1689"/>
      <c r="BT276" s="1689"/>
      <c r="BU276" s="1689"/>
      <c r="BV276" s="1689"/>
      <c r="BW276" s="1689"/>
      <c r="BX276" s="1689"/>
      <c r="BY276" s="1689"/>
      <c r="BZ276" s="1689"/>
      <c r="CA276" s="1689"/>
      <c r="CB276" s="1689"/>
      <c r="CC276" s="1689"/>
      <c r="CD276" s="1689"/>
      <c r="CE276" s="1689"/>
      <c r="CF276" s="1689"/>
      <c r="CG276" s="1689"/>
      <c r="CH276" s="1689"/>
      <c r="CI276" s="1689"/>
      <c r="CJ276" s="1689"/>
      <c r="CK276" s="1689"/>
      <c r="CL276" s="1689"/>
      <c r="CM276" s="1689"/>
      <c r="CN276" s="1689"/>
      <c r="CO276" s="1689"/>
      <c r="CP276" s="1689"/>
      <c r="CQ276" s="1689"/>
      <c r="CR276" s="1689"/>
      <c r="CS276" s="1689"/>
      <c r="CT276" s="1601"/>
      <c r="CU276" s="1601"/>
      <c r="CV276" s="1601"/>
      <c r="CW276" s="1689"/>
      <c r="CX276" s="1689"/>
      <c r="CY276" s="1601"/>
      <c r="CZ276" s="1601"/>
      <c r="DA276" s="1601"/>
      <c r="DB276" s="1689"/>
      <c r="DC276" s="2925"/>
      <c r="DD276" s="1689"/>
      <c r="DE276" s="1689"/>
      <c r="DF276" s="1689"/>
      <c r="DG276" s="1689"/>
      <c r="DH276" s="1689"/>
      <c r="DI276" s="1689"/>
      <c r="DJ276" s="1689"/>
      <c r="DK276" s="1689"/>
      <c r="DL276" s="1689"/>
      <c r="DM276" s="1689"/>
      <c r="DN276" s="1689"/>
      <c r="DO276" s="1689"/>
      <c r="DP276" s="1689"/>
      <c r="DQ276" s="1689"/>
      <c r="DR276" s="1689"/>
    </row>
    <row r="277" spans="1:122">
      <c r="A277" s="2335" t="s">
        <v>69</v>
      </c>
      <c r="B277" s="2336">
        <f t="shared" ref="B277:G277" si="448">B275+B261</f>
        <v>3497.3999999999996</v>
      </c>
      <c r="C277" s="2336">
        <f t="shared" si="448"/>
        <v>3640.599999999999</v>
      </c>
      <c r="D277" s="2336">
        <f t="shared" si="448"/>
        <v>1911.0000000000002</v>
      </c>
      <c r="E277" s="2336">
        <f t="shared" si="448"/>
        <v>1989.9</v>
      </c>
      <c r="F277" s="2336">
        <f t="shared" si="448"/>
        <v>26.100000000000627</v>
      </c>
      <c r="G277" s="2336">
        <f t="shared" si="448"/>
        <v>51.600000000004258</v>
      </c>
      <c r="H277" s="2336"/>
      <c r="I277" s="2119">
        <f t="shared" ref="I277:N277" si="449">I275+I261</f>
        <v>3497.4000000000005</v>
      </c>
      <c r="J277" s="2119">
        <f t="shared" si="449"/>
        <v>3640.6000000000049</v>
      </c>
      <c r="K277" s="2119">
        <f t="shared" si="449"/>
        <v>3537.0000000000005</v>
      </c>
      <c r="L277" s="2119">
        <f t="shared" si="449"/>
        <v>1888.4000000000003</v>
      </c>
      <c r="M277" s="2119">
        <f t="shared" si="449"/>
        <v>2188.6</v>
      </c>
      <c r="N277" s="2119">
        <f t="shared" si="449"/>
        <v>2144.3999999999965</v>
      </c>
      <c r="O277" s="2337"/>
      <c r="P277" s="2119"/>
      <c r="Q277" s="2119"/>
      <c r="R277" s="2119">
        <f t="shared" ref="R277:AH277" si="450">R275+R261</f>
        <v>939.40000000000043</v>
      </c>
      <c r="S277" s="2119">
        <f t="shared" si="450"/>
        <v>1735.1000000000001</v>
      </c>
      <c r="T277" s="2119">
        <f t="shared" si="450"/>
        <v>1749.0000000000005</v>
      </c>
      <c r="U277" s="2338">
        <v>1815</v>
      </c>
      <c r="V277" s="2338">
        <v>1873</v>
      </c>
      <c r="W277" s="2338">
        <v>1275</v>
      </c>
      <c r="X277" s="2119"/>
      <c r="Y277" s="2119"/>
      <c r="Z277" s="3075">
        <v>1394</v>
      </c>
      <c r="AA277" s="3075">
        <v>1685</v>
      </c>
      <c r="AB277" s="2857"/>
      <c r="AC277" s="2857">
        <f ca="1">AC275+AC261</f>
        <v>1001.2804727654602</v>
      </c>
      <c r="AD277" s="2857">
        <f t="shared" ca="1" si="450"/>
        <v>1709.4674679390391</v>
      </c>
      <c r="AE277" s="2857">
        <f t="shared" ca="1" si="450"/>
        <v>2071.8277220996615</v>
      </c>
      <c r="AF277" s="2119">
        <f t="shared" ca="1" si="450"/>
        <v>2470.0673433290381</v>
      </c>
      <c r="AG277" s="2119">
        <f t="shared" ca="1" si="450"/>
        <v>2577.1934351097029</v>
      </c>
      <c r="AH277" s="2119">
        <f t="shared" ca="1" si="450"/>
        <v>2765.5796674664698</v>
      </c>
      <c r="AI277" s="2119">
        <f t="shared" ref="AI277:AN277" ca="1" si="451">AI275+AI261</f>
        <v>2692.1406485163193</v>
      </c>
      <c r="AJ277" s="2119">
        <f t="shared" ca="1" si="451"/>
        <v>2811.5685714380816</v>
      </c>
      <c r="AK277" s="2119">
        <f t="shared" ca="1" si="451"/>
        <v>2837.3401413899564</v>
      </c>
      <c r="AL277" s="2119">
        <f t="shared" ca="1" si="451"/>
        <v>2837.0497082518464</v>
      </c>
      <c r="AM277" s="2119">
        <f t="shared" ca="1" si="451"/>
        <v>2805.6482368837001</v>
      </c>
      <c r="AN277" s="2119">
        <f t="shared" ca="1" si="451"/>
        <v>2963.030628898161</v>
      </c>
      <c r="AO277" s="90"/>
      <c r="AP277" s="1108"/>
      <c r="AQ277" s="1687"/>
      <c r="AR277" s="1687"/>
      <c r="AS277" s="1654"/>
      <c r="AT277" s="1688"/>
      <c r="AU277" s="1108"/>
      <c r="AV277" s="1108"/>
      <c r="AW277" s="1689"/>
      <c r="AX277" s="1689"/>
      <c r="AY277" s="1689"/>
      <c r="AZ277" s="1689"/>
      <c r="BA277" s="1689"/>
      <c r="BB277" s="1689"/>
      <c r="BC277" s="1689"/>
      <c r="BD277" s="1689"/>
      <c r="BE277" s="1689"/>
      <c r="BF277" s="1689"/>
      <c r="BG277" s="1689"/>
      <c r="BH277" s="1689"/>
      <c r="BI277" s="1689"/>
      <c r="BJ277" s="1689"/>
      <c r="BK277" s="1689"/>
      <c r="BL277" s="1689"/>
      <c r="BM277" s="1689"/>
      <c r="BN277" s="1689"/>
      <c r="BO277" s="1689"/>
      <c r="BP277" s="1689"/>
      <c r="BQ277" s="1689"/>
      <c r="BR277" s="1689"/>
      <c r="BS277" s="1689"/>
      <c r="BT277" s="1689"/>
      <c r="BU277" s="1689"/>
      <c r="BV277" s="1689"/>
      <c r="BW277" s="1689"/>
      <c r="BX277" s="1689"/>
      <c r="BY277" s="1689"/>
      <c r="BZ277" s="1689"/>
      <c r="CA277" s="1689"/>
      <c r="CB277" s="1689"/>
      <c r="CC277" s="1689"/>
      <c r="CD277" s="1689"/>
      <c r="CE277" s="1689"/>
      <c r="CF277" s="1689"/>
      <c r="CG277" s="1689"/>
      <c r="CH277" s="1689"/>
      <c r="CI277" s="1689"/>
      <c r="CJ277" s="1689"/>
      <c r="CK277" s="1689"/>
      <c r="CL277" s="1689"/>
      <c r="CM277" s="1689"/>
      <c r="CN277" s="1689"/>
      <c r="CO277" s="1689"/>
      <c r="CP277" s="1689"/>
      <c r="CQ277" s="1689"/>
      <c r="CR277" s="1689"/>
      <c r="CS277" s="1689"/>
      <c r="CT277" s="1601"/>
      <c r="CU277" s="1601"/>
      <c r="CV277" s="1601"/>
      <c r="CW277" s="1689"/>
      <c r="CX277" s="1689"/>
      <c r="CY277" s="1601"/>
      <c r="CZ277" s="1601"/>
      <c r="DA277" s="1601"/>
      <c r="DB277" s="1689"/>
      <c r="DC277" s="2925"/>
      <c r="DD277" s="1689"/>
      <c r="DE277" s="1689"/>
      <c r="DF277" s="1689"/>
      <c r="DG277" s="1689"/>
      <c r="DH277" s="1689"/>
      <c r="DI277" s="1689"/>
      <c r="DJ277" s="1689"/>
      <c r="DK277" s="1689"/>
      <c r="DL277" s="1689"/>
      <c r="DM277" s="1689"/>
      <c r="DN277" s="1689"/>
      <c r="DO277" s="1689"/>
      <c r="DP277" s="1689"/>
      <c r="DQ277" s="1689"/>
      <c r="DR277" s="1689"/>
    </row>
    <row r="278" spans="1:122" ht="5.0999999999999996" customHeight="1">
      <c r="A278" s="1686"/>
      <c r="B278" s="1357"/>
      <c r="C278" s="1357"/>
      <c r="D278" s="1357"/>
      <c r="E278" s="1357"/>
      <c r="F278" s="1357"/>
      <c r="G278" s="1357"/>
      <c r="H278" s="1357"/>
      <c r="I278" s="1357"/>
      <c r="J278" s="1357"/>
      <c r="K278" s="1357"/>
      <c r="L278" s="1687"/>
      <c r="M278" s="1687"/>
      <c r="N278" s="1687"/>
      <c r="O278" s="1369"/>
      <c r="P278" s="1687"/>
      <c r="Q278" s="1687"/>
      <c r="R278" s="1687"/>
      <c r="S278" s="2135"/>
      <c r="T278" s="2135"/>
      <c r="U278" s="1687"/>
      <c r="V278" s="1687"/>
      <c r="W278" s="1687"/>
      <c r="X278" s="1687"/>
      <c r="Y278" s="1687"/>
      <c r="Z278" s="2882"/>
      <c r="AA278" s="2882"/>
      <c r="AB278" s="2882"/>
      <c r="AC278" s="2882"/>
      <c r="AD278" s="2882"/>
      <c r="AE278" s="2882"/>
      <c r="AF278" s="2882"/>
      <c r="AG278" s="1687"/>
      <c r="AH278" s="1687"/>
      <c r="AI278" s="1687"/>
      <c r="AJ278" s="1687"/>
      <c r="AK278" s="1687"/>
      <c r="AL278" s="1687"/>
      <c r="AM278" s="1687"/>
      <c r="AN278" s="1108"/>
      <c r="AO278" s="90"/>
      <c r="AP278" s="1108"/>
      <c r="AQ278" s="1687"/>
      <c r="AR278" s="1687"/>
      <c r="AS278" s="1687"/>
      <c r="AT278" s="1688"/>
      <c r="AU278" s="1108"/>
      <c r="AV278" s="1108"/>
      <c r="AW278" s="1689"/>
      <c r="AX278" s="1689"/>
      <c r="AY278" s="1689"/>
      <c r="AZ278" s="1689"/>
      <c r="BA278" s="1689"/>
      <c r="BB278" s="1689"/>
      <c r="BC278" s="1689"/>
      <c r="BD278" s="1689"/>
      <c r="BE278" s="1689"/>
      <c r="BF278" s="1689"/>
      <c r="BG278" s="1689"/>
      <c r="BH278" s="1689"/>
      <c r="BI278" s="1689"/>
      <c r="BJ278" s="1689"/>
      <c r="BK278" s="1689"/>
      <c r="BL278" s="1689"/>
      <c r="BM278" s="1689"/>
      <c r="BN278" s="1689"/>
      <c r="BO278" s="1689"/>
      <c r="BP278" s="1689"/>
      <c r="BQ278" s="1689"/>
      <c r="BR278" s="1689"/>
      <c r="BS278" s="1689"/>
      <c r="BT278" s="1689"/>
      <c r="BU278" s="1689"/>
      <c r="BV278" s="1689"/>
      <c r="BW278" s="1689"/>
      <c r="BX278" s="1689"/>
      <c r="BY278" s="1689"/>
      <c r="BZ278" s="1689"/>
      <c r="CA278" s="1689"/>
      <c r="CB278" s="1689"/>
      <c r="CC278" s="1689"/>
      <c r="CD278" s="1689"/>
      <c r="CE278" s="1689"/>
      <c r="CF278" s="1689"/>
      <c r="CG278" s="1689"/>
      <c r="CH278" s="1689"/>
      <c r="CI278" s="1689"/>
      <c r="CJ278" s="1689"/>
      <c r="CK278" s="1689"/>
      <c r="CL278" s="1689"/>
      <c r="CM278" s="1689"/>
      <c r="CN278" s="1689"/>
      <c r="CO278" s="1689"/>
      <c r="CP278" s="1689"/>
      <c r="CQ278" s="1689"/>
      <c r="CR278" s="1689"/>
      <c r="CS278" s="1689"/>
      <c r="CT278" s="1601"/>
      <c r="CU278" s="1601"/>
      <c r="CV278" s="1601"/>
      <c r="CW278" s="1689"/>
      <c r="CX278" s="1689"/>
      <c r="CY278" s="1601"/>
      <c r="CZ278" s="1601"/>
      <c r="DA278" s="1601"/>
      <c r="DB278" s="1689"/>
      <c r="DC278" s="2925"/>
      <c r="DD278" s="1689"/>
      <c r="DE278" s="1689"/>
      <c r="DF278" s="1689"/>
      <c r="DG278" s="1689"/>
      <c r="DH278" s="1689"/>
      <c r="DI278" s="1689"/>
      <c r="DJ278" s="1689"/>
      <c r="DK278" s="1689"/>
      <c r="DL278" s="1689"/>
      <c r="DM278" s="1689"/>
      <c r="DN278" s="1689"/>
      <c r="DO278" s="1689"/>
      <c r="DP278" s="1689"/>
      <c r="DQ278" s="1689"/>
      <c r="DR278" s="1689"/>
    </row>
    <row r="279" spans="1:122">
      <c r="A279" s="1686" t="s">
        <v>686</v>
      </c>
      <c r="B279" s="1655">
        <v>-348.4</v>
      </c>
      <c r="C279" s="1655">
        <v>-402.7</v>
      </c>
      <c r="D279" s="1357">
        <v>-114.3</v>
      </c>
      <c r="E279" s="1357">
        <v>-140.5</v>
      </c>
      <c r="F279" s="1357">
        <f>I279-(B279-D279)</f>
        <v>0</v>
      </c>
      <c r="G279" s="1357">
        <f>J279-(C279-E279)</f>
        <v>0</v>
      </c>
      <c r="H279" s="1357"/>
      <c r="I279" s="1654">
        <v>-234.1</v>
      </c>
      <c r="J279" s="1654">
        <v>-262.2</v>
      </c>
      <c r="K279" s="1654">
        <v>-375.6</v>
      </c>
      <c r="L279" s="1654">
        <v>-394.1</v>
      </c>
      <c r="M279" s="1654">
        <v>-469.1</v>
      </c>
      <c r="N279" s="1654">
        <v>-474.1</v>
      </c>
      <c r="O279" s="1369"/>
      <c r="P279" s="1654"/>
      <c r="Q279" s="1654"/>
      <c r="R279" s="1654">
        <v>-261.60000000000002</v>
      </c>
      <c r="S279" s="1654">
        <v>-284.3</v>
      </c>
      <c r="T279" s="2121">
        <v>-245</v>
      </c>
      <c r="U279" s="2121">
        <v>-254</v>
      </c>
      <c r="V279" s="2121">
        <v>-270</v>
      </c>
      <c r="W279" s="1654">
        <v>-206</v>
      </c>
      <c r="X279" s="1654"/>
      <c r="Y279" s="1654"/>
      <c r="Z279" s="2801">
        <v>-193</v>
      </c>
      <c r="AA279" s="2801">
        <v>-196</v>
      </c>
      <c r="AB279" s="2801"/>
      <c r="AC279" s="2801">
        <f>-'Segment Detail'!AN221</f>
        <v>-180.06950525844732</v>
      </c>
      <c r="AD279" s="2801">
        <f>-'Segment Detail'!AO221</f>
        <v>-184.00572813616898</v>
      </c>
      <c r="AE279" s="2801">
        <f>-'Segment Detail'!AP221</f>
        <v>-194.37195620936308</v>
      </c>
      <c r="AF279" s="2801">
        <f>-'Segment Detail'!AQ221</f>
        <v>-199.31737350942876</v>
      </c>
      <c r="AG279" s="1654">
        <f>-'Segment Detail'!AR221</f>
        <v>-207.02558013073693</v>
      </c>
      <c r="AH279" s="1654">
        <f>-'Segment Detail'!AS221</f>
        <v>-218.95389144146759</v>
      </c>
      <c r="AI279" s="1654">
        <f>-'Segment Detail'!AT221</f>
        <v>-218.94700216810344</v>
      </c>
      <c r="AJ279" s="1654">
        <f>-'Segment Detail'!AU221</f>
        <v>-225.28788442773111</v>
      </c>
      <c r="AK279" s="1654">
        <f>-'Segment Detail'!AV221</f>
        <v>-236.04014372663985</v>
      </c>
      <c r="AL279" s="1654">
        <f>-'Segment Detail'!AW221</f>
        <v>-235.29547152840053</v>
      </c>
      <c r="AM279" s="1654">
        <f>-'Segment Detail'!AX221</f>
        <v>-240.1392561533286</v>
      </c>
      <c r="AN279" s="1654">
        <f>-'Segment Detail'!AY221</f>
        <v>-253.66167875502467</v>
      </c>
      <c r="AO279" s="90"/>
      <c r="AP279" s="1108"/>
      <c r="AQ279" s="1687"/>
      <c r="AR279" s="1687"/>
      <c r="AS279" s="1654"/>
      <c r="AT279" s="1688"/>
      <c r="AU279" s="1108"/>
      <c r="AV279" s="1108"/>
      <c r="AW279" s="1689"/>
      <c r="AX279" s="1689"/>
      <c r="AY279" s="1689"/>
      <c r="AZ279" s="1689"/>
      <c r="BA279" s="1689"/>
      <c r="BB279" s="1689"/>
      <c r="BC279" s="1689"/>
      <c r="BD279" s="1689"/>
      <c r="BE279" s="1689"/>
      <c r="BF279" s="1689"/>
      <c r="BG279" s="1689"/>
      <c r="BH279" s="1689"/>
      <c r="BI279" s="1689"/>
      <c r="BJ279" s="1689"/>
      <c r="BK279" s="1689"/>
      <c r="BL279" s="1689"/>
      <c r="BM279" s="1689"/>
      <c r="BN279" s="1689"/>
      <c r="BO279" s="1689"/>
      <c r="BP279" s="1689"/>
      <c r="BQ279" s="1689"/>
      <c r="BR279" s="1689"/>
      <c r="BS279" s="1689"/>
      <c r="BT279" s="1689"/>
      <c r="BU279" s="1689"/>
      <c r="BV279" s="1689"/>
      <c r="BW279" s="1689"/>
      <c r="BX279" s="1689"/>
      <c r="BY279" s="1689"/>
      <c r="BZ279" s="1689"/>
      <c r="CA279" s="1689"/>
      <c r="CB279" s="1689"/>
      <c r="CC279" s="1689"/>
      <c r="CD279" s="1689"/>
      <c r="CE279" s="1689"/>
      <c r="CF279" s="1689"/>
      <c r="CG279" s="1689"/>
      <c r="CH279" s="1689"/>
      <c r="CI279" s="1689"/>
      <c r="CJ279" s="1689"/>
      <c r="CK279" s="1689"/>
      <c r="CL279" s="1689"/>
      <c r="CM279" s="1689"/>
      <c r="CN279" s="1689"/>
      <c r="CO279" s="1689"/>
      <c r="CP279" s="1689"/>
      <c r="CQ279" s="1689"/>
      <c r="CR279" s="1689"/>
      <c r="CS279" s="1689"/>
      <c r="CT279" s="1601"/>
      <c r="CU279" s="1601"/>
      <c r="CV279" s="1601"/>
      <c r="CW279" s="1689"/>
      <c r="CX279" s="1689"/>
      <c r="CY279" s="1601"/>
      <c r="CZ279" s="1601"/>
      <c r="DA279" s="1601"/>
      <c r="DB279" s="1689"/>
      <c r="DC279" s="2925"/>
      <c r="DD279" s="1689"/>
      <c r="DE279" s="1689"/>
      <c r="DF279" s="1689"/>
      <c r="DG279" s="1689"/>
      <c r="DH279" s="1689"/>
      <c r="DI279" s="1689"/>
      <c r="DJ279" s="1689"/>
      <c r="DK279" s="1689"/>
      <c r="DL279" s="1689"/>
      <c r="DM279" s="1689"/>
      <c r="DN279" s="1689"/>
      <c r="DO279" s="1689"/>
      <c r="DP279" s="1689"/>
      <c r="DQ279" s="1689"/>
      <c r="DR279" s="1689"/>
    </row>
    <row r="280" spans="1:122">
      <c r="A280" s="1686" t="s">
        <v>519</v>
      </c>
      <c r="B280" s="1655">
        <v>-1341.6</v>
      </c>
      <c r="C280" s="1655">
        <v>-427.7</v>
      </c>
      <c r="D280" s="1655">
        <v>-1284</v>
      </c>
      <c r="E280" s="1655">
        <v>-363.7</v>
      </c>
      <c r="F280" s="1437">
        <v>0</v>
      </c>
      <c r="G280" s="1437">
        <v>0</v>
      </c>
      <c r="H280" s="1655"/>
      <c r="I280" s="1437">
        <f>-57.6+10.4</f>
        <v>-47.2</v>
      </c>
      <c r="J280" s="1357">
        <f>-64+17.1</f>
        <v>-46.9</v>
      </c>
      <c r="K280" s="1437">
        <f>-462.9+279.6</f>
        <v>-183.29999999999995</v>
      </c>
      <c r="L280" s="1437">
        <v>-97.9</v>
      </c>
      <c r="M280" s="1437">
        <v>-410</v>
      </c>
      <c r="N280" s="1437">
        <v>-2035.3</v>
      </c>
      <c r="O280" s="1369"/>
      <c r="P280" s="1437"/>
      <c r="Q280" s="1437"/>
      <c r="R280" s="1437">
        <v>-26.1</v>
      </c>
      <c r="S280" s="1437">
        <v>-11.3</v>
      </c>
      <c r="T280" s="1655">
        <v>-75</v>
      </c>
      <c r="U280" s="1655">
        <v>-146</v>
      </c>
      <c r="V280" s="1655">
        <v>-32</v>
      </c>
      <c r="W280" s="1437">
        <v>-27</v>
      </c>
      <c r="X280" s="1437"/>
      <c r="Y280" s="1437"/>
      <c r="Z280" s="2878">
        <f>-15</f>
        <v>-15</v>
      </c>
      <c r="AA280" s="2878">
        <v>-92</v>
      </c>
      <c r="AB280" s="2878"/>
      <c r="AC280" s="2878">
        <v>-160</v>
      </c>
      <c r="AD280" s="2878">
        <v>0</v>
      </c>
      <c r="AE280" s="2878">
        <v>0</v>
      </c>
      <c r="AF280" s="2878">
        <v>0</v>
      </c>
      <c r="AG280" s="1437">
        <v>0</v>
      </c>
      <c r="AH280" s="1437">
        <v>0</v>
      </c>
      <c r="AI280" s="1437">
        <v>0</v>
      </c>
      <c r="AJ280" s="1437">
        <v>0</v>
      </c>
      <c r="AK280" s="1437">
        <v>0</v>
      </c>
      <c r="AL280" s="1437">
        <v>0</v>
      </c>
      <c r="AM280" s="1437">
        <v>0</v>
      </c>
      <c r="AN280" s="1437">
        <v>0</v>
      </c>
      <c r="AO280" s="90"/>
      <c r="AP280" s="1108"/>
      <c r="AQ280" s="1437"/>
      <c r="AR280" s="1437"/>
      <c r="AS280" s="1437"/>
      <c r="AT280" s="1688"/>
      <c r="AU280" s="1108"/>
      <c r="AV280" s="1108"/>
      <c r="AW280" s="1689"/>
      <c r="AX280" s="1689"/>
      <c r="AY280" s="1689"/>
      <c r="AZ280" s="1689"/>
      <c r="BA280" s="1689"/>
      <c r="BB280" s="1689"/>
      <c r="BC280" s="1689"/>
      <c r="BD280" s="1689"/>
      <c r="BE280" s="1689"/>
      <c r="BF280" s="1689"/>
      <c r="BG280" s="1689"/>
      <c r="BH280" s="1689"/>
      <c r="BI280" s="1689"/>
      <c r="BJ280" s="1689"/>
      <c r="BK280" s="1689"/>
      <c r="BL280" s="1689"/>
      <c r="BM280" s="1689"/>
      <c r="BN280" s="1689"/>
      <c r="BO280" s="1689"/>
      <c r="BP280" s="1689"/>
      <c r="BQ280" s="1689"/>
      <c r="BR280" s="1689"/>
      <c r="BS280" s="1689"/>
      <c r="BT280" s="1689"/>
      <c r="BU280" s="1689"/>
      <c r="BV280" s="1689"/>
      <c r="BW280" s="1689"/>
      <c r="BX280" s="1689"/>
      <c r="BY280" s="1689"/>
      <c r="BZ280" s="1689"/>
      <c r="CA280" s="1689"/>
      <c r="CB280" s="1689"/>
      <c r="CC280" s="1689"/>
      <c r="CD280" s="1689"/>
      <c r="CE280" s="1689"/>
      <c r="CF280" s="1689"/>
      <c r="CG280" s="1689"/>
      <c r="CH280" s="1689"/>
      <c r="CI280" s="1689"/>
      <c r="CJ280" s="1689"/>
      <c r="CK280" s="1689"/>
      <c r="CL280" s="1689"/>
      <c r="CM280" s="1689"/>
      <c r="CN280" s="1689"/>
      <c r="CO280" s="1689"/>
      <c r="CP280" s="1689"/>
      <c r="CQ280" s="1689"/>
      <c r="CR280" s="1689"/>
      <c r="CS280" s="1689"/>
      <c r="CT280" s="1601"/>
      <c r="CU280" s="1601"/>
      <c r="CV280" s="1601"/>
      <c r="CW280" s="1689"/>
      <c r="CX280" s="1689"/>
      <c r="CY280" s="1601"/>
      <c r="CZ280" s="1601"/>
      <c r="DA280" s="1601"/>
      <c r="DB280" s="1689"/>
      <c r="DC280" s="2925"/>
      <c r="DD280" s="1689"/>
      <c r="DE280" s="1689"/>
      <c r="DF280" s="1689"/>
      <c r="DG280" s="1689"/>
      <c r="DH280" s="1689"/>
      <c r="DI280" s="1689"/>
      <c r="DJ280" s="1689"/>
      <c r="DK280" s="1689"/>
      <c r="DL280" s="1689"/>
      <c r="DM280" s="1689"/>
      <c r="DN280" s="1689"/>
      <c r="DO280" s="1689"/>
      <c r="DP280" s="1689"/>
      <c r="DQ280" s="1689"/>
      <c r="DR280" s="1689"/>
    </row>
    <row r="281" spans="1:122">
      <c r="A281" s="1686" t="s">
        <v>1292</v>
      </c>
      <c r="B281" s="1655"/>
      <c r="C281" s="1655"/>
      <c r="D281" s="1655"/>
      <c r="E281" s="1655"/>
      <c r="F281" s="1437"/>
      <c r="G281" s="1437"/>
      <c r="H281" s="1655"/>
      <c r="I281" s="1655">
        <v>0</v>
      </c>
      <c r="J281" s="1655">
        <v>0</v>
      </c>
      <c r="K281" s="1655">
        <v>0</v>
      </c>
      <c r="L281" s="1655">
        <f>1242.1+142.5</f>
        <v>1384.6</v>
      </c>
      <c r="M281" s="1655">
        <v>562.20000000000005</v>
      </c>
      <c r="N281" s="1655">
        <f>198.2+212.7</f>
        <v>410.9</v>
      </c>
      <c r="O281" s="1369"/>
      <c r="P281" s="1655"/>
      <c r="Q281" s="1655"/>
      <c r="R281" s="1655">
        <f>128.8-34.2</f>
        <v>94.600000000000009</v>
      </c>
      <c r="S281" s="1655">
        <v>18.3</v>
      </c>
      <c r="T281" s="1655">
        <v>0</v>
      </c>
      <c r="U281" s="1655">
        <f>13+49</f>
        <v>62</v>
      </c>
      <c r="V281" s="1655">
        <f>193+30</f>
        <v>223</v>
      </c>
      <c r="W281" s="1655">
        <v>0</v>
      </c>
      <c r="X281" s="1655"/>
      <c r="Y281" s="1655"/>
      <c r="Z281" s="2844">
        <v>0</v>
      </c>
      <c r="AA281" s="2844">
        <v>0</v>
      </c>
      <c r="AB281" s="2844"/>
      <c r="AC281" s="2844">
        <v>0</v>
      </c>
      <c r="AD281" s="2844">
        <v>0</v>
      </c>
      <c r="AE281" s="2844">
        <v>0</v>
      </c>
      <c r="AF281" s="2844">
        <v>0</v>
      </c>
      <c r="AG281" s="1655">
        <v>0</v>
      </c>
      <c r="AH281" s="1655">
        <v>0</v>
      </c>
      <c r="AI281" s="1655">
        <v>0</v>
      </c>
      <c r="AJ281" s="1655">
        <v>0</v>
      </c>
      <c r="AK281" s="1655">
        <v>0</v>
      </c>
      <c r="AL281" s="1655">
        <v>0</v>
      </c>
      <c r="AM281" s="1655">
        <v>0</v>
      </c>
      <c r="AN281" s="1655">
        <v>0</v>
      </c>
      <c r="AO281" s="90"/>
      <c r="AP281" s="1108"/>
      <c r="AQ281" s="1655"/>
      <c r="AR281" s="1655"/>
      <c r="AS281" s="1655"/>
      <c r="AT281" s="1688"/>
      <c r="AU281" s="1108"/>
      <c r="AV281" s="1108"/>
      <c r="AW281" s="1689"/>
      <c r="AX281" s="1689"/>
      <c r="AY281" s="1689"/>
      <c r="AZ281" s="1689"/>
      <c r="BA281" s="1689"/>
      <c r="BB281" s="1689"/>
      <c r="BC281" s="1689"/>
      <c r="BD281" s="1689"/>
      <c r="BE281" s="1689"/>
      <c r="BF281" s="1689"/>
      <c r="BG281" s="1689"/>
      <c r="BH281" s="1689"/>
      <c r="BI281" s="1689"/>
      <c r="BJ281" s="1689"/>
      <c r="BK281" s="1689"/>
      <c r="BL281" s="1689"/>
      <c r="BM281" s="1689"/>
      <c r="BN281" s="1689"/>
      <c r="BO281" s="1689"/>
      <c r="BP281" s="1689"/>
      <c r="BQ281" s="1689"/>
      <c r="BR281" s="1689"/>
      <c r="BS281" s="1689"/>
      <c r="BT281" s="1689"/>
      <c r="BU281" s="1689"/>
      <c r="BV281" s="1689"/>
      <c r="BW281" s="1689"/>
      <c r="BX281" s="1689"/>
      <c r="BY281" s="1689"/>
      <c r="BZ281" s="1689"/>
      <c r="CA281" s="1689"/>
      <c r="CB281" s="1689"/>
      <c r="CC281" s="1689"/>
      <c r="CD281" s="1689"/>
      <c r="CE281" s="1689"/>
      <c r="CF281" s="1689"/>
      <c r="CG281" s="1689"/>
      <c r="CH281" s="1689"/>
      <c r="CI281" s="1689"/>
      <c r="CJ281" s="1689"/>
      <c r="CK281" s="1689"/>
      <c r="CL281" s="1689"/>
      <c r="CM281" s="1689"/>
      <c r="CN281" s="1689"/>
      <c r="CO281" s="1689"/>
      <c r="CP281" s="1689"/>
      <c r="CQ281" s="1689"/>
      <c r="CR281" s="1689"/>
      <c r="CS281" s="1689"/>
      <c r="CT281" s="1601"/>
      <c r="CU281" s="1601"/>
      <c r="CV281" s="1601"/>
      <c r="CW281" s="1689"/>
      <c r="CX281" s="1689"/>
      <c r="CY281" s="1601"/>
      <c r="CZ281" s="1601"/>
      <c r="DA281" s="1601"/>
      <c r="DB281" s="1689"/>
      <c r="DC281" s="2925"/>
      <c r="DD281" s="1689"/>
      <c r="DE281" s="1689"/>
      <c r="DF281" s="1689"/>
      <c r="DG281" s="1689"/>
      <c r="DH281" s="1689"/>
      <c r="DI281" s="1689"/>
      <c r="DJ281" s="1689"/>
      <c r="DK281" s="1689"/>
      <c r="DL281" s="1689"/>
      <c r="DM281" s="1689"/>
      <c r="DN281" s="1689"/>
      <c r="DO281" s="1689"/>
      <c r="DP281" s="1689"/>
      <c r="DQ281" s="1689"/>
      <c r="DR281" s="1689"/>
    </row>
    <row r="282" spans="1:122">
      <c r="A282" s="2136" t="s">
        <v>1597</v>
      </c>
      <c r="B282" s="1655">
        <v>-40</v>
      </c>
      <c r="C282" s="1655">
        <v>-77.7</v>
      </c>
      <c r="D282" s="1655">
        <v>-23.2</v>
      </c>
      <c r="E282" s="1655">
        <v>-74.3</v>
      </c>
      <c r="F282" s="1437">
        <v>0</v>
      </c>
      <c r="G282" s="1437">
        <v>0</v>
      </c>
      <c r="H282" s="1655"/>
      <c r="I282" s="1437">
        <v>-16.8</v>
      </c>
      <c r="J282" s="1357">
        <v>-3.4</v>
      </c>
      <c r="K282" s="1437">
        <v>-29.5</v>
      </c>
      <c r="L282" s="1655">
        <v>-110</v>
      </c>
      <c r="M282" s="1655">
        <v>-42.3</v>
      </c>
      <c r="N282" s="1655">
        <v>-40.200000000000003</v>
      </c>
      <c r="O282" s="1369"/>
      <c r="P282" s="1655"/>
      <c r="Q282" s="1655"/>
      <c r="R282" s="1655">
        <v>-55.6</v>
      </c>
      <c r="S282" s="1655">
        <v>-89.9</v>
      </c>
      <c r="T282" s="1655">
        <v>-79</v>
      </c>
      <c r="U282" s="1655">
        <v>-91</v>
      </c>
      <c r="V282" s="1655">
        <v>-176</v>
      </c>
      <c r="W282" s="1655">
        <v>-98</v>
      </c>
      <c r="X282" s="1655"/>
      <c r="Y282" s="1655"/>
      <c r="Z282" s="2844">
        <v>-98</v>
      </c>
      <c r="AA282" s="2844">
        <v>-81</v>
      </c>
      <c r="AB282" s="2844"/>
      <c r="AC282" s="2844">
        <f>+AA282*1.05</f>
        <v>-85.05</v>
      </c>
      <c r="AD282" s="2844">
        <f t="shared" ref="AD282:AJ282" si="452">+AC282*1.05</f>
        <v>-89.302499999999995</v>
      </c>
      <c r="AE282" s="2844">
        <f t="shared" si="452"/>
        <v>-93.767624999999995</v>
      </c>
      <c r="AF282" s="2844">
        <f t="shared" si="452"/>
        <v>-98.456006250000002</v>
      </c>
      <c r="AG282" s="1655">
        <f t="shared" si="452"/>
        <v>-103.3788065625</v>
      </c>
      <c r="AH282" s="1655">
        <f t="shared" si="452"/>
        <v>-108.54774689062501</v>
      </c>
      <c r="AI282" s="1655">
        <f t="shared" si="452"/>
        <v>-113.97513423515626</v>
      </c>
      <c r="AJ282" s="1655">
        <f t="shared" si="452"/>
        <v>-119.67389094691409</v>
      </c>
      <c r="AK282" s="1655">
        <f>+AJ282*1.05</f>
        <v>-125.65758549425979</v>
      </c>
      <c r="AL282" s="1655">
        <f>+AK282*1.05</f>
        <v>-131.94046476897279</v>
      </c>
      <c r="AM282" s="1655">
        <f>+AL282*1.05</f>
        <v>-138.53748800742144</v>
      </c>
      <c r="AN282" s="1655">
        <f>+AM282*1.05</f>
        <v>-145.46436240779252</v>
      </c>
      <c r="AO282" s="90"/>
      <c r="AP282" s="1108"/>
      <c r="AQ282" s="1655"/>
      <c r="AR282" s="1655"/>
      <c r="AS282" s="1655"/>
      <c r="AT282" s="1688"/>
      <c r="AU282" s="1108"/>
      <c r="AV282" s="1108"/>
      <c r="AW282" s="1689"/>
      <c r="AX282" s="1689"/>
      <c r="AY282" s="1689"/>
      <c r="AZ282" s="1689"/>
      <c r="BA282" s="1689"/>
      <c r="BB282" s="1689"/>
      <c r="BC282" s="1689"/>
      <c r="BD282" s="1689"/>
      <c r="BE282" s="1689"/>
      <c r="BF282" s="1689"/>
      <c r="BG282" s="1689"/>
      <c r="BH282" s="1689"/>
      <c r="BI282" s="1689"/>
      <c r="BJ282" s="1689"/>
      <c r="BK282" s="1689"/>
      <c r="BL282" s="1689"/>
      <c r="BM282" s="1689"/>
      <c r="BN282" s="1689"/>
      <c r="BO282" s="1689"/>
      <c r="BP282" s="1689"/>
      <c r="BQ282" s="1689"/>
      <c r="BR282" s="1689"/>
      <c r="BS282" s="1689"/>
      <c r="BT282" s="1689"/>
      <c r="BU282" s="1689"/>
      <c r="BV282" s="1689"/>
      <c r="BW282" s="1689"/>
      <c r="BX282" s="1689"/>
      <c r="BY282" s="1689"/>
      <c r="BZ282" s="1689"/>
      <c r="CA282" s="1689"/>
      <c r="CB282" s="1689"/>
      <c r="CC282" s="1689"/>
      <c r="CD282" s="1689"/>
      <c r="CE282" s="1689"/>
      <c r="CF282" s="1689"/>
      <c r="CG282" s="1689"/>
      <c r="CH282" s="1689"/>
      <c r="CI282" s="1689"/>
      <c r="CJ282" s="1689"/>
      <c r="CK282" s="1689"/>
      <c r="CL282" s="1689"/>
      <c r="CM282" s="1689"/>
      <c r="CN282" s="1689"/>
      <c r="CO282" s="1689"/>
      <c r="CP282" s="1689"/>
      <c r="CQ282" s="1689"/>
      <c r="CR282" s="1689"/>
      <c r="CS282" s="1689"/>
      <c r="CT282" s="1601"/>
      <c r="CU282" s="1601"/>
      <c r="CV282" s="1601"/>
      <c r="CW282" s="1689"/>
      <c r="CX282" s="1689"/>
      <c r="CY282" s="1601"/>
      <c r="CZ282" s="1601"/>
      <c r="DA282" s="1601"/>
      <c r="DB282" s="1689"/>
      <c r="DC282" s="2925"/>
      <c r="DD282" s="1689"/>
      <c r="DE282" s="1689"/>
      <c r="DF282" s="1689"/>
      <c r="DG282" s="1689"/>
      <c r="DH282" s="1689"/>
      <c r="DI282" s="1689"/>
      <c r="DJ282" s="1689"/>
      <c r="DK282" s="1689"/>
      <c r="DL282" s="1689"/>
      <c r="DM282" s="1689"/>
      <c r="DN282" s="1689"/>
      <c r="DO282" s="1689"/>
      <c r="DP282" s="1689"/>
      <c r="DQ282" s="1689"/>
      <c r="DR282" s="1689"/>
    </row>
    <row r="283" spans="1:122">
      <c r="A283" s="2136" t="s">
        <v>857</v>
      </c>
      <c r="B283" s="1655">
        <v>0</v>
      </c>
      <c r="C283" s="1655">
        <v>738.1</v>
      </c>
      <c r="D283" s="1655">
        <v>0</v>
      </c>
      <c r="E283" s="1655">
        <v>738.1</v>
      </c>
      <c r="F283" s="1437">
        <v>0</v>
      </c>
      <c r="G283" s="1437">
        <v>0</v>
      </c>
      <c r="H283" s="1655"/>
      <c r="I283" s="1437">
        <v>0</v>
      </c>
      <c r="J283" s="1437">
        <v>0</v>
      </c>
      <c r="K283" s="1437">
        <v>0</v>
      </c>
      <c r="L283" s="1655">
        <v>0</v>
      </c>
      <c r="M283" s="1655">
        <v>0</v>
      </c>
      <c r="N283" s="1655">
        <v>0</v>
      </c>
      <c r="O283" s="1369"/>
      <c r="P283" s="1655"/>
      <c r="Q283" s="1655"/>
      <c r="R283" s="1655">
        <v>0</v>
      </c>
      <c r="S283" s="1655">
        <v>0</v>
      </c>
      <c r="T283" s="1655">
        <v>0</v>
      </c>
      <c r="U283" s="1655">
        <v>0</v>
      </c>
      <c r="V283" s="1655">
        <v>0</v>
      </c>
      <c r="W283" s="1437">
        <v>0</v>
      </c>
      <c r="X283" s="1655"/>
      <c r="Y283" s="2844"/>
      <c r="Z283" s="2844">
        <v>0</v>
      </c>
      <c r="AA283" s="2844">
        <v>0</v>
      </c>
      <c r="AB283" s="2844"/>
      <c r="AC283" s="2844">
        <v>0</v>
      </c>
      <c r="AD283" s="2844">
        <v>0</v>
      </c>
      <c r="AE283" s="2844">
        <v>0</v>
      </c>
      <c r="AF283" s="2844">
        <v>0</v>
      </c>
      <c r="AG283" s="1655">
        <v>0</v>
      </c>
      <c r="AH283" s="1655">
        <v>0</v>
      </c>
      <c r="AI283" s="1655">
        <v>0</v>
      </c>
      <c r="AJ283" s="1655">
        <v>0</v>
      </c>
      <c r="AK283" s="1655">
        <v>0</v>
      </c>
      <c r="AL283" s="1655">
        <v>0</v>
      </c>
      <c r="AM283" s="1655">
        <v>0</v>
      </c>
      <c r="AN283" s="1655">
        <v>0</v>
      </c>
      <c r="AO283" s="90"/>
      <c r="AP283" s="1108"/>
      <c r="AQ283" s="1655"/>
      <c r="AR283" s="1655"/>
      <c r="AS283" s="1655"/>
      <c r="AT283" s="1688"/>
      <c r="AU283" s="1108"/>
      <c r="AV283" s="1108"/>
      <c r="AW283" s="1689"/>
      <c r="AX283" s="1689"/>
      <c r="AY283" s="1689"/>
      <c r="AZ283" s="1689"/>
      <c r="BA283" s="1689"/>
      <c r="BB283" s="1689"/>
      <c r="BC283" s="1689"/>
      <c r="BD283" s="1689"/>
      <c r="BE283" s="1689"/>
      <c r="BF283" s="1689"/>
      <c r="BG283" s="1689"/>
      <c r="BH283" s="1689"/>
      <c r="BI283" s="1689"/>
      <c r="BJ283" s="1689"/>
      <c r="BK283" s="1689"/>
      <c r="BL283" s="1689"/>
      <c r="BM283" s="1689"/>
      <c r="BN283" s="1689"/>
      <c r="BO283" s="1689"/>
      <c r="BP283" s="1689"/>
      <c r="BQ283" s="1689"/>
      <c r="BR283" s="1689"/>
      <c r="BS283" s="1689"/>
      <c r="BT283" s="1689"/>
      <c r="BU283" s="1689"/>
      <c r="BV283" s="1689"/>
      <c r="BW283" s="1689"/>
      <c r="BX283" s="1689"/>
      <c r="BY283" s="1689"/>
      <c r="BZ283" s="1689"/>
      <c r="CA283" s="1689"/>
      <c r="CB283" s="1689"/>
      <c r="CC283" s="1689"/>
      <c r="CD283" s="1689"/>
      <c r="CE283" s="1689"/>
      <c r="CF283" s="1689"/>
      <c r="CG283" s="1689"/>
      <c r="CH283" s="1689"/>
      <c r="CI283" s="1689"/>
      <c r="CJ283" s="1689"/>
      <c r="CK283" s="1689"/>
      <c r="CL283" s="1689"/>
      <c r="CM283" s="1689"/>
      <c r="CN283" s="1689"/>
      <c r="CO283" s="1689"/>
      <c r="CP283" s="1689"/>
      <c r="CQ283" s="1689"/>
      <c r="CR283" s="1689"/>
      <c r="CS283" s="1689"/>
      <c r="CT283" s="1601"/>
      <c r="CU283" s="1601"/>
      <c r="CV283" s="1601"/>
      <c r="CW283" s="1689"/>
      <c r="CX283" s="1689"/>
      <c r="CY283" s="1601"/>
      <c r="CZ283" s="1601"/>
      <c r="DA283" s="1601"/>
      <c r="DB283" s="1689"/>
      <c r="DC283" s="2925"/>
      <c r="DD283" s="1689"/>
      <c r="DE283" s="1689"/>
      <c r="DF283" s="1689"/>
      <c r="DG283" s="1689"/>
      <c r="DH283" s="1689"/>
      <c r="DI283" s="1689"/>
      <c r="DJ283" s="1689"/>
      <c r="DK283" s="1689"/>
      <c r="DL283" s="1689"/>
      <c r="DM283" s="1689"/>
      <c r="DN283" s="1689"/>
      <c r="DO283" s="1689"/>
      <c r="DP283" s="1689"/>
      <c r="DQ283" s="1689"/>
      <c r="DR283" s="1689"/>
    </row>
    <row r="284" spans="1:122">
      <c r="A284" s="1686" t="s">
        <v>526</v>
      </c>
      <c r="B284" s="1655">
        <f>46.2+9.7</f>
        <v>55.900000000000006</v>
      </c>
      <c r="C284" s="1655">
        <f>65.5+4.1</f>
        <v>69.599999999999994</v>
      </c>
      <c r="D284" s="1655">
        <v>15.2</v>
      </c>
      <c r="E284" s="1655">
        <v>-14.9</v>
      </c>
      <c r="F284" s="1437">
        <v>0</v>
      </c>
      <c r="G284" s="1437">
        <v>0</v>
      </c>
      <c r="H284" s="1655"/>
      <c r="I284" s="1437">
        <f>32.2-1.9</f>
        <v>30.300000000000004</v>
      </c>
      <c r="J284" s="1437">
        <f>70.2-2.8</f>
        <v>67.400000000000006</v>
      </c>
      <c r="K284" s="1437">
        <f>123.4-2.1</f>
        <v>121.30000000000001</v>
      </c>
      <c r="L284" s="1437">
        <v>1.3</v>
      </c>
      <c r="M284" s="1437">
        <f>49+2.6</f>
        <v>51.6</v>
      </c>
      <c r="N284" s="1437">
        <f>-7.7+-7.7</f>
        <v>-15.4</v>
      </c>
      <c r="O284" s="1369"/>
      <c r="P284" s="1437"/>
      <c r="Q284" s="1437"/>
      <c r="R284" s="1437">
        <v>-0.5</v>
      </c>
      <c r="S284" s="1437">
        <v>-0.3</v>
      </c>
      <c r="T284" s="1437">
        <f>12+18</f>
        <v>30</v>
      </c>
      <c r="U284" s="1437">
        <v>0</v>
      </c>
      <c r="V284" s="1437">
        <f>V297</f>
        <v>0</v>
      </c>
      <c r="W284" s="1437">
        <f>12+7-4</f>
        <v>15</v>
      </c>
      <c r="X284" s="1437"/>
      <c r="Y284" s="2878"/>
      <c r="Z284" s="2878">
        <f>81+385-3</f>
        <v>463</v>
      </c>
      <c r="AA284" s="2878">
        <f>20+15</f>
        <v>35</v>
      </c>
      <c r="AB284" s="2878"/>
      <c r="AC284" s="2878">
        <v>0</v>
      </c>
      <c r="AD284" s="2878">
        <v>0</v>
      </c>
      <c r="AE284" s="2878">
        <v>0</v>
      </c>
      <c r="AF284" s="2878">
        <v>0</v>
      </c>
      <c r="AG284" s="1437">
        <v>0</v>
      </c>
      <c r="AH284" s="1437">
        <v>0</v>
      </c>
      <c r="AI284" s="1437">
        <v>0</v>
      </c>
      <c r="AJ284" s="1437">
        <v>0</v>
      </c>
      <c r="AK284" s="1437">
        <v>0</v>
      </c>
      <c r="AL284" s="1437">
        <v>0</v>
      </c>
      <c r="AM284" s="1437">
        <v>0</v>
      </c>
      <c r="AN284" s="1437">
        <v>0</v>
      </c>
      <c r="AO284" s="90"/>
      <c r="AP284" s="1108"/>
      <c r="AQ284" s="1437"/>
      <c r="AR284" s="1437"/>
      <c r="AS284" s="1437"/>
      <c r="AT284" s="1688"/>
      <c r="AU284" s="1108"/>
      <c r="AV284" s="1108"/>
      <c r="AW284" s="1689"/>
      <c r="AX284" s="1689"/>
      <c r="AY284" s="1689"/>
      <c r="AZ284" s="1689"/>
      <c r="BA284" s="1689"/>
      <c r="BB284" s="1689"/>
      <c r="BC284" s="1689"/>
      <c r="BD284" s="1689"/>
      <c r="BE284" s="1689"/>
      <c r="BF284" s="1689"/>
      <c r="BG284" s="1689"/>
      <c r="BH284" s="1689"/>
      <c r="BI284" s="1689"/>
      <c r="BJ284" s="1689"/>
      <c r="BK284" s="1689"/>
      <c r="BL284" s="1689"/>
      <c r="BM284" s="1689"/>
      <c r="BN284" s="1689"/>
      <c r="BO284" s="1689"/>
      <c r="BP284" s="1689"/>
      <c r="BQ284" s="1689"/>
      <c r="BR284" s="1689"/>
      <c r="BS284" s="1689"/>
      <c r="BT284" s="1689"/>
      <c r="BU284" s="1689"/>
      <c r="BV284" s="1689"/>
      <c r="BW284" s="1689"/>
      <c r="BX284" s="1689"/>
      <c r="BY284" s="1689"/>
      <c r="BZ284" s="1689"/>
      <c r="CA284" s="1689"/>
      <c r="CB284" s="1689"/>
      <c r="CC284" s="1689"/>
      <c r="CD284" s="1689"/>
      <c r="CE284" s="1689"/>
      <c r="CF284" s="1689"/>
      <c r="CG284" s="1689"/>
      <c r="CH284" s="1689"/>
      <c r="CI284" s="1689"/>
      <c r="CJ284" s="1689"/>
      <c r="CK284" s="1689"/>
      <c r="CL284" s="1689"/>
      <c r="CM284" s="1689"/>
      <c r="CN284" s="1689"/>
      <c r="CO284" s="1689"/>
      <c r="CP284" s="1689"/>
      <c r="CQ284" s="1689"/>
      <c r="CR284" s="1689"/>
      <c r="CS284" s="1689"/>
      <c r="CT284" s="1601"/>
      <c r="CU284" s="1601"/>
      <c r="CV284" s="1601"/>
      <c r="CW284" s="1689"/>
      <c r="CX284" s="1689"/>
      <c r="CY284" s="1601"/>
      <c r="CZ284" s="1601"/>
      <c r="DA284" s="1601"/>
      <c r="DB284" s="1689"/>
      <c r="DC284" s="2925"/>
      <c r="DD284" s="1689"/>
      <c r="DE284" s="1689"/>
      <c r="DF284" s="1689"/>
      <c r="DG284" s="1689"/>
      <c r="DH284" s="1689"/>
      <c r="DI284" s="1689"/>
      <c r="DJ284" s="1689"/>
      <c r="DK284" s="1689"/>
      <c r="DL284" s="1689"/>
      <c r="DM284" s="1689"/>
      <c r="DN284" s="1689"/>
      <c r="DO284" s="1689"/>
      <c r="DP284" s="1689"/>
      <c r="DQ284" s="1689"/>
      <c r="DR284" s="1689"/>
    </row>
    <row r="285" spans="1:122">
      <c r="A285" s="2136" t="s">
        <v>937</v>
      </c>
      <c r="B285" s="1694">
        <v>-188.3</v>
      </c>
      <c r="C285" s="1694">
        <v>-433.3</v>
      </c>
      <c r="D285" s="1694">
        <v>-188.3</v>
      </c>
      <c r="E285" s="1694">
        <v>-433.3</v>
      </c>
      <c r="F285" s="1695">
        <v>0</v>
      </c>
      <c r="G285" s="1695">
        <v>0</v>
      </c>
      <c r="H285" s="1694"/>
      <c r="I285" s="1726">
        <v>-1594.6</v>
      </c>
      <c r="J285" s="1373">
        <v>-288.60000000000002</v>
      </c>
      <c r="K285" s="1726">
        <v>-165.1</v>
      </c>
      <c r="L285" s="2137">
        <v>-34.5</v>
      </c>
      <c r="M285" s="2137">
        <v>0</v>
      </c>
      <c r="N285" s="2137">
        <v>0</v>
      </c>
      <c r="O285" s="1369"/>
      <c r="P285" s="2137"/>
      <c r="Q285" s="2137"/>
      <c r="R285" s="2137">
        <v>0</v>
      </c>
      <c r="S285" s="2137">
        <v>0</v>
      </c>
      <c r="T285" s="2137">
        <v>-20</v>
      </c>
      <c r="U285" s="2137">
        <v>-22</v>
      </c>
      <c r="V285" s="2137">
        <v>-17</v>
      </c>
      <c r="W285" s="2137">
        <v>-285</v>
      </c>
      <c r="X285" s="2137"/>
      <c r="Y285" s="2885"/>
      <c r="Z285" s="2885">
        <v>-3</v>
      </c>
      <c r="AA285" s="2885">
        <v>-6</v>
      </c>
      <c r="AB285" s="2885"/>
      <c r="AC285" s="2885">
        <v>0</v>
      </c>
      <c r="AD285" s="2885">
        <v>0</v>
      </c>
      <c r="AE285" s="2885">
        <v>0</v>
      </c>
      <c r="AF285" s="2885">
        <v>0</v>
      </c>
      <c r="AG285" s="2137">
        <v>0</v>
      </c>
      <c r="AH285" s="2137">
        <v>0</v>
      </c>
      <c r="AI285" s="2137">
        <v>0</v>
      </c>
      <c r="AJ285" s="2137">
        <v>0</v>
      </c>
      <c r="AK285" s="2137">
        <v>0</v>
      </c>
      <c r="AL285" s="2137">
        <v>0</v>
      </c>
      <c r="AM285" s="2137">
        <v>0</v>
      </c>
      <c r="AN285" s="2137">
        <v>0</v>
      </c>
      <c r="AO285" s="90"/>
      <c r="AP285" s="1108"/>
      <c r="AQ285" s="2137"/>
      <c r="AR285" s="2137"/>
      <c r="AS285" s="2137"/>
      <c r="AT285" s="1688"/>
      <c r="AU285" s="1108"/>
      <c r="AV285" s="1108"/>
      <c r="AW285" s="1689"/>
      <c r="AX285" s="1689"/>
      <c r="AY285" s="1689"/>
      <c r="AZ285" s="1689"/>
      <c r="BA285" s="1689"/>
      <c r="BB285" s="1689"/>
      <c r="BC285" s="1689"/>
      <c r="BD285" s="1689"/>
      <c r="BE285" s="1689"/>
      <c r="BF285" s="1689"/>
      <c r="BG285" s="1689"/>
      <c r="BH285" s="1689"/>
      <c r="BI285" s="1689"/>
      <c r="BJ285" s="1689"/>
      <c r="BK285" s="1689"/>
      <c r="BL285" s="1689"/>
      <c r="BM285" s="1689"/>
      <c r="BN285" s="1689"/>
      <c r="BO285" s="1689"/>
      <c r="BP285" s="1689"/>
      <c r="BQ285" s="1689"/>
      <c r="BR285" s="1689"/>
      <c r="BS285" s="1689"/>
      <c r="BT285" s="1689"/>
      <c r="BU285" s="1689"/>
      <c r="BV285" s="1689"/>
      <c r="BW285" s="1689"/>
      <c r="BX285" s="1689"/>
      <c r="BY285" s="1689"/>
      <c r="BZ285" s="1689"/>
      <c r="CA285" s="1689"/>
      <c r="CB285" s="1689"/>
      <c r="CC285" s="1689"/>
      <c r="CD285" s="1689"/>
      <c r="CE285" s="1689"/>
      <c r="CF285" s="1689"/>
      <c r="CG285" s="1689"/>
      <c r="CH285" s="1689"/>
      <c r="CI285" s="1689"/>
      <c r="CJ285" s="1689"/>
      <c r="CK285" s="1689"/>
      <c r="CL285" s="1689"/>
      <c r="CM285" s="1689"/>
      <c r="CN285" s="1689"/>
      <c r="CO285" s="1689"/>
      <c r="CP285" s="1689"/>
      <c r="CQ285" s="1689"/>
      <c r="CR285" s="1689"/>
      <c r="CS285" s="1689"/>
      <c r="CT285" s="1601"/>
      <c r="CU285" s="1601"/>
      <c r="CV285" s="1601"/>
      <c r="CW285" s="1689"/>
      <c r="CX285" s="1689"/>
      <c r="CY285" s="1601"/>
      <c r="CZ285" s="1601"/>
      <c r="DA285" s="1601"/>
      <c r="DB285" s="1689"/>
      <c r="DC285" s="2925"/>
      <c r="DD285" s="1689"/>
      <c r="DE285" s="1689"/>
      <c r="DF285" s="1689"/>
      <c r="DG285" s="1689"/>
      <c r="DH285" s="1689"/>
      <c r="DI285" s="1689"/>
      <c r="DJ285" s="1689"/>
      <c r="DK285" s="1689"/>
      <c r="DL285" s="1689"/>
      <c r="DM285" s="1689"/>
      <c r="DN285" s="1689"/>
      <c r="DO285" s="1689"/>
      <c r="DP285" s="1689"/>
      <c r="DQ285" s="1689"/>
      <c r="DR285" s="1689"/>
    </row>
    <row r="286" spans="1:122">
      <c r="A286" s="2335" t="s">
        <v>70</v>
      </c>
      <c r="B286" s="2336">
        <f t="shared" ref="B286:G286" si="453">SUM(B279:B285)</f>
        <v>-1862.3999999999999</v>
      </c>
      <c r="C286" s="2336">
        <f t="shared" si="453"/>
        <v>-533.70000000000005</v>
      </c>
      <c r="D286" s="2336">
        <f t="shared" si="453"/>
        <v>-1594.6</v>
      </c>
      <c r="E286" s="2336">
        <f t="shared" si="453"/>
        <v>-288.60000000000002</v>
      </c>
      <c r="F286" s="2336">
        <f t="shared" si="453"/>
        <v>0</v>
      </c>
      <c r="G286" s="2336">
        <f t="shared" si="453"/>
        <v>0</v>
      </c>
      <c r="H286" s="2336"/>
      <c r="I286" s="2119">
        <f>SUM(I279:I285)</f>
        <v>-1862.3999999999999</v>
      </c>
      <c r="J286" s="2119">
        <f>SUM(J279:J285)</f>
        <v>-533.69999999999993</v>
      </c>
      <c r="K286" s="2119">
        <f>SUM(K279:K285)</f>
        <v>-632.19999999999993</v>
      </c>
      <c r="L286" s="2119">
        <f t="shared" ref="L286:AF286" si="454">SUM(L279:L285)</f>
        <v>749.39999999999986</v>
      </c>
      <c r="M286" s="2119">
        <f t="shared" si="454"/>
        <v>-307.59999999999997</v>
      </c>
      <c r="N286" s="2119">
        <f t="shared" si="454"/>
        <v>-2154.1</v>
      </c>
      <c r="O286" s="2337"/>
      <c r="P286" s="2119"/>
      <c r="Q286" s="2119"/>
      <c r="R286" s="2119">
        <f t="shared" si="454"/>
        <v>-249.20000000000002</v>
      </c>
      <c r="S286" s="2119">
        <f t="shared" si="454"/>
        <v>-367.50000000000006</v>
      </c>
      <c r="T286" s="2119">
        <f t="shared" si="454"/>
        <v>-389</v>
      </c>
      <c r="U286" s="2119">
        <f t="shared" si="454"/>
        <v>-451</v>
      </c>
      <c r="V286" s="2119">
        <f t="shared" si="454"/>
        <v>-272</v>
      </c>
      <c r="W286" s="2119">
        <f t="shared" si="454"/>
        <v>-601</v>
      </c>
      <c r="X286" s="2119"/>
      <c r="Y286" s="2857"/>
      <c r="Z286" s="2857">
        <f>SUM(Z279:Z285)</f>
        <v>154</v>
      </c>
      <c r="AA286" s="2857">
        <f>SUM(AA279:AA285)</f>
        <v>-340</v>
      </c>
      <c r="AB286" s="2857"/>
      <c r="AC286" s="2857">
        <f>SUM(AC279:AC285)</f>
        <v>-425.1195052584473</v>
      </c>
      <c r="AD286" s="2857">
        <f>SUM(AD279:AD285)</f>
        <v>-273.30822813616896</v>
      </c>
      <c r="AE286" s="2857">
        <f t="shared" si="454"/>
        <v>-288.13958120936309</v>
      </c>
      <c r="AF286" s="2857">
        <f t="shared" si="454"/>
        <v>-297.77337975942874</v>
      </c>
      <c r="AG286" s="2119">
        <f t="shared" ref="AG286:AL286" si="455">SUM(AG279:AG285)</f>
        <v>-310.40438669323692</v>
      </c>
      <c r="AH286" s="2119">
        <f t="shared" si="455"/>
        <v>-327.50163833209263</v>
      </c>
      <c r="AI286" s="2119">
        <f t="shared" si="455"/>
        <v>-332.92213640325969</v>
      </c>
      <c r="AJ286" s="2119">
        <f t="shared" si="455"/>
        <v>-344.96177537464519</v>
      </c>
      <c r="AK286" s="2119">
        <f t="shared" si="455"/>
        <v>-361.69772922089965</v>
      </c>
      <c r="AL286" s="2119">
        <f t="shared" si="455"/>
        <v>-367.23593629737331</v>
      </c>
      <c r="AM286" s="2119">
        <f>SUM(AM279:AM285)</f>
        <v>-378.67674416075005</v>
      </c>
      <c r="AN286" s="2119">
        <f>SUM(AN279:AN285)</f>
        <v>-399.12604116281716</v>
      </c>
      <c r="AO286" s="90"/>
      <c r="AP286" s="1108"/>
      <c r="AQ286" s="1654"/>
      <c r="AR286" s="1654"/>
      <c r="AS286" s="1654"/>
      <c r="AT286" s="1688"/>
      <c r="AU286" s="1108"/>
      <c r="AV286" s="1108"/>
      <c r="AW286" s="1689"/>
      <c r="AX286" s="1689"/>
      <c r="AY286" s="1689"/>
      <c r="AZ286" s="1689"/>
      <c r="BA286" s="1689"/>
      <c r="BB286" s="1689"/>
      <c r="BC286" s="1689"/>
      <c r="BD286" s="1689"/>
      <c r="BE286" s="1689"/>
      <c r="BF286" s="1689"/>
      <c r="BG286" s="1689"/>
      <c r="BH286" s="1689"/>
      <c r="BI286" s="1689"/>
      <c r="BJ286" s="1689"/>
      <c r="BK286" s="1689"/>
      <c r="BL286" s="1689"/>
      <c r="BM286" s="1689"/>
      <c r="BN286" s="1689"/>
      <c r="BO286" s="1689"/>
      <c r="BP286" s="1689"/>
      <c r="BQ286" s="1689"/>
      <c r="BR286" s="1689"/>
      <c r="BS286" s="1689"/>
      <c r="BT286" s="1689"/>
      <c r="BU286" s="1689"/>
      <c r="BV286" s="1689"/>
      <c r="BW286" s="1689"/>
      <c r="BX286" s="1689"/>
      <c r="BY286" s="1689"/>
      <c r="BZ286" s="1689"/>
      <c r="CA286" s="1689"/>
      <c r="CB286" s="1689"/>
      <c r="CC286" s="1689"/>
      <c r="CD286" s="1689"/>
      <c r="CE286" s="1689"/>
      <c r="CF286" s="1689"/>
      <c r="CG286" s="1689"/>
      <c r="CH286" s="1689"/>
      <c r="CI286" s="1689"/>
      <c r="CJ286" s="1689"/>
      <c r="CK286" s="1689"/>
      <c r="CL286" s="1689"/>
      <c r="CM286" s="1689"/>
      <c r="CN286" s="1689"/>
      <c r="CO286" s="1689"/>
      <c r="CP286" s="1689"/>
      <c r="CQ286" s="1689"/>
      <c r="CR286" s="1689"/>
      <c r="CS286" s="1689"/>
      <c r="CT286" s="1601"/>
      <c r="CU286" s="1601"/>
      <c r="CV286" s="1601"/>
      <c r="CW286" s="1689"/>
      <c r="CX286" s="1689"/>
      <c r="CY286" s="1601"/>
      <c r="CZ286" s="1601"/>
      <c r="DA286" s="1601"/>
      <c r="DB286" s="1689"/>
      <c r="DC286" s="2925"/>
      <c r="DD286" s="1689"/>
      <c r="DE286" s="1689"/>
      <c r="DF286" s="1689"/>
      <c r="DG286" s="1689"/>
      <c r="DH286" s="1689"/>
      <c r="DI286" s="1689"/>
      <c r="DJ286" s="1689"/>
      <c r="DK286" s="1689"/>
      <c r="DL286" s="1689"/>
      <c r="DM286" s="1689"/>
      <c r="DN286" s="1689"/>
      <c r="DO286" s="1689"/>
      <c r="DP286" s="1689"/>
      <c r="DQ286" s="1689"/>
      <c r="DR286" s="1689"/>
    </row>
    <row r="287" spans="1:122" ht="5.0999999999999996" customHeight="1">
      <c r="A287" s="1696"/>
      <c r="B287" s="1687"/>
      <c r="C287" s="1687"/>
      <c r="D287" s="1687"/>
      <c r="E287" s="1687"/>
      <c r="F287" s="1687"/>
      <c r="G287" s="1687"/>
      <c r="H287" s="1687"/>
      <c r="I287" s="1687"/>
      <c r="J287" s="1357"/>
      <c r="K287" s="1357"/>
      <c r="L287" s="1687"/>
      <c r="M287" s="1687"/>
      <c r="N287" s="1687"/>
      <c r="O287" s="1369"/>
      <c r="P287" s="1687"/>
      <c r="Q287" s="1687"/>
      <c r="R287" s="1687"/>
      <c r="S287" s="1687"/>
      <c r="T287" s="1687"/>
      <c r="U287" s="1687"/>
      <c r="V287" s="1687"/>
      <c r="W287" s="1687"/>
      <c r="X287" s="1687"/>
      <c r="Y287" s="2882"/>
      <c r="Z287" s="2882"/>
      <c r="AA287" s="2882"/>
      <c r="AB287" s="2882"/>
      <c r="AC287" s="2882"/>
      <c r="AD287" s="2882"/>
      <c r="AE287" s="2882"/>
      <c r="AF287" s="2882"/>
      <c r="AG287" s="1687"/>
      <c r="AH287" s="1687"/>
      <c r="AI287" s="1687"/>
      <c r="AJ287" s="1687"/>
      <c r="AK287" s="1687"/>
      <c r="AL287" s="1687"/>
      <c r="AM287" s="1687"/>
      <c r="AN287" s="1687"/>
      <c r="AO287" s="90"/>
      <c r="AP287" s="1108"/>
      <c r="AQ287" s="1687"/>
      <c r="AR287" s="1687"/>
      <c r="AS287" s="1687"/>
      <c r="AT287" s="1688"/>
      <c r="AU287" s="1108"/>
      <c r="AV287" s="1108"/>
      <c r="AW287" s="1689"/>
      <c r="AX287" s="1689"/>
      <c r="AY287" s="1689"/>
      <c r="AZ287" s="1689"/>
      <c r="BA287" s="1689"/>
      <c r="BB287" s="1689"/>
      <c r="BC287" s="1689"/>
      <c r="BD287" s="1689"/>
      <c r="BE287" s="1689"/>
      <c r="BF287" s="1689"/>
      <c r="BG287" s="1689"/>
      <c r="BH287" s="1689"/>
      <c r="BI287" s="1689"/>
      <c r="BJ287" s="1689"/>
      <c r="BK287" s="1689"/>
      <c r="BL287" s="1689"/>
      <c r="BM287" s="1689"/>
      <c r="BN287" s="1689"/>
      <c r="BO287" s="1689"/>
      <c r="BP287" s="1689"/>
      <c r="BQ287" s="1689"/>
      <c r="BR287" s="1689"/>
      <c r="BS287" s="1689"/>
      <c r="BT287" s="1689"/>
      <c r="BU287" s="1689"/>
      <c r="BV287" s="1689"/>
      <c r="BW287" s="1689"/>
      <c r="BX287" s="1689"/>
      <c r="BY287" s="1689"/>
      <c r="BZ287" s="1689"/>
      <c r="CA287" s="1689"/>
      <c r="CB287" s="1689"/>
      <c r="CC287" s="1689"/>
      <c r="CD287" s="1689"/>
      <c r="CE287" s="1689"/>
      <c r="CF287" s="1689"/>
      <c r="CG287" s="1689"/>
      <c r="CH287" s="1689"/>
      <c r="CI287" s="1689"/>
      <c r="CJ287" s="1689"/>
      <c r="CK287" s="1689"/>
      <c r="CL287" s="1689"/>
      <c r="CM287" s="1689"/>
      <c r="CN287" s="1689"/>
      <c r="CO287" s="1689"/>
      <c r="CP287" s="1689"/>
      <c r="CQ287" s="1689"/>
      <c r="CR287" s="1689"/>
      <c r="CS287" s="1689"/>
      <c r="CT287" s="1601"/>
      <c r="CU287" s="1601"/>
      <c r="CV287" s="1601"/>
      <c r="CW287" s="1689"/>
      <c r="CX287" s="1689"/>
      <c r="CY287" s="1601"/>
      <c r="CZ287" s="1601"/>
      <c r="DA287" s="1601"/>
      <c r="DB287" s="1689"/>
      <c r="DC287" s="2925"/>
      <c r="DD287" s="1689"/>
      <c r="DE287" s="1689"/>
      <c r="DF287" s="1689"/>
      <c r="DG287" s="1689"/>
      <c r="DH287" s="1689"/>
      <c r="DI287" s="1689"/>
      <c r="DJ287" s="1689"/>
      <c r="DK287" s="1689"/>
      <c r="DL287" s="1689"/>
      <c r="DM287" s="1689"/>
      <c r="DN287" s="1689"/>
      <c r="DO287" s="1689"/>
      <c r="DP287" s="1689"/>
      <c r="DQ287" s="1689"/>
      <c r="DR287" s="1689"/>
    </row>
    <row r="288" spans="1:122" ht="13.5" customHeight="1">
      <c r="A288" s="1686" t="s">
        <v>96</v>
      </c>
      <c r="B288" s="1687"/>
      <c r="C288" s="1687"/>
      <c r="D288" s="1687"/>
      <c r="E288" s="1687"/>
      <c r="F288" s="1687"/>
      <c r="G288" s="1687"/>
      <c r="H288" s="1687"/>
      <c r="I288" s="1626">
        <v>0</v>
      </c>
      <c r="J288" s="1626">
        <v>0</v>
      </c>
      <c r="K288" s="1626">
        <v>0</v>
      </c>
      <c r="L288" s="1626">
        <v>0</v>
      </c>
      <c r="M288" s="2085">
        <f>+IF(M277+M286+SUM(M289:M297)+L186&gt;L319,-MIN(L319,(M277+M286+SUM(M289:M297)+L186)),-(M277+M286+SUM(M289:M297)+L186))</f>
        <v>0</v>
      </c>
      <c r="N288" s="2085">
        <f>+IF(N277+N286+SUM(N289:N297)+M186&gt;M319,-MIN(M319,(N277+N286+SUM(N289:N297)+M186)),-(N277+N286+SUM(N289:N297)+M186))</f>
        <v>0</v>
      </c>
      <c r="O288" s="1369"/>
      <c r="P288" s="2085"/>
      <c r="Q288" s="2085"/>
      <c r="R288" s="2085">
        <f>+IF(R277+R286+SUM(R289:R297)+N186&gt;N319,-MIN(N319,(R277+R286+SUM(R289:R297)+N186)),-(R277+R286+SUM(R289:R297)+N186))</f>
        <v>0</v>
      </c>
      <c r="S288" s="2085">
        <f>+IF(S277+S286+SUM(S289:S297)+R186&gt;R319,-MIN(R319,(S277+S286+SUM(S289:S297)+R186)),-(S277+S286+SUM(S289:S297)+R186))</f>
        <v>0</v>
      </c>
      <c r="T288" s="2085">
        <v>0</v>
      </c>
      <c r="U288" s="2085">
        <v>0</v>
      </c>
      <c r="V288" s="2085">
        <v>0</v>
      </c>
      <c r="W288" s="2085">
        <v>0</v>
      </c>
      <c r="X288" s="2085"/>
      <c r="Y288" s="2886"/>
      <c r="Z288" s="2878">
        <v>0</v>
      </c>
      <c r="AA288" s="2878">
        <v>0</v>
      </c>
      <c r="AB288" s="2886"/>
      <c r="AC288" s="2886">
        <f ca="1">+IF(AC277+AC286+SUM(AC289:AC297)+AA186&gt;500, MAX(-AA319,500-(AC277+AC286+SUM(AC289:AC297)+AA186)), (500-(AC277+AC286+SUM(AC289:AC297)+AA186)))</f>
        <v>79.010764559165409</v>
      </c>
      <c r="AD288" s="2886">
        <f ca="1">+IF(AD277+AD286+SUM(AD289:AD297)+AC186&gt;500, MAX(-AC319,500-(AD277+AD286+SUM(AD289:AD297)+AC186)), (500-(AD277+AD286+SUM(AD289:AD297)+AC186)))</f>
        <v>-79.010764559165409</v>
      </c>
      <c r="AE288" s="2886">
        <f ca="1">+IF(AE277+AE286+SUM(AE289:AE297)+AD186&gt;500, MAX(-AD319,500-(AE277+AE286+SUM(AE289:AE297)+AD186)), (500-(AE277+AE286+SUM(AE289:AE297)+AD186)))</f>
        <v>317.56919863105111</v>
      </c>
      <c r="AF288" s="2886">
        <f ca="1">+IF(AF277+AF286+SUM(AF289:AF297)+AE186&gt;500, MAX(-AE319,500-(AF277+AF286+SUM(AF289:AF297)+AE186)), (500-(AF277+AF286+SUM(AF289:AF297)+AE186)))</f>
        <v>-317.56919863105111</v>
      </c>
      <c r="AG288" s="2085">
        <f t="shared" ref="AG288:AN288" ca="1" si="456">+IF(AG277+AG286+SUM(AG289:AG297)+AF186&gt;500, MAX(-AF319,500-(AG277+AG286+SUM(AG289:AG297)+AF186)), (500-(AG277+AG286+SUM(AG289:AG297)+AF186)))</f>
        <v>0</v>
      </c>
      <c r="AH288" s="2085">
        <f t="shared" ca="1" si="456"/>
        <v>0</v>
      </c>
      <c r="AI288" s="2085">
        <f t="shared" ca="1" si="456"/>
        <v>261.67192788703903</v>
      </c>
      <c r="AJ288" s="2085">
        <f t="shared" ca="1" si="456"/>
        <v>-39.80628684192618</v>
      </c>
      <c r="AK288" s="2085">
        <f t="shared" ca="1" si="456"/>
        <v>-44.624521356926948</v>
      </c>
      <c r="AL288" s="2085">
        <f t="shared" ca="1" si="456"/>
        <v>167.95319960529821</v>
      </c>
      <c r="AM288" s="2085">
        <f t="shared" ca="1" si="456"/>
        <v>118.66258395186003</v>
      </c>
      <c r="AN288" s="2085">
        <f t="shared" ca="1" si="456"/>
        <v>303.24370254750318</v>
      </c>
      <c r="AO288" s="90"/>
      <c r="AP288" s="1108"/>
      <c r="AQ288" s="2085"/>
      <c r="AR288" s="2085"/>
      <c r="AS288" s="2085"/>
      <c r="AT288" s="1688"/>
      <c r="AU288" s="1108"/>
      <c r="AV288" s="1108"/>
      <c r="AW288" s="1689"/>
      <c r="AX288" s="1689"/>
      <c r="AY288" s="1689"/>
      <c r="AZ288" s="1689"/>
      <c r="BA288" s="1689"/>
      <c r="BB288" s="1689"/>
      <c r="BC288" s="1689"/>
      <c r="BD288" s="1689"/>
      <c r="BE288" s="1689"/>
      <c r="BF288" s="1689"/>
      <c r="BG288" s="1689"/>
      <c r="BH288" s="1689"/>
      <c r="BI288" s="1689"/>
      <c r="BJ288" s="1689"/>
      <c r="BK288" s="1689"/>
      <c r="BL288" s="1689"/>
      <c r="BM288" s="1689"/>
      <c r="BN288" s="1689"/>
      <c r="BO288" s="1689"/>
      <c r="BP288" s="1689"/>
      <c r="BQ288" s="1689"/>
      <c r="BR288" s="1689"/>
      <c r="BS288" s="1689"/>
      <c r="BT288" s="1689"/>
      <c r="BU288" s="1689"/>
      <c r="BV288" s="1689"/>
      <c r="BW288" s="1689"/>
      <c r="BX288" s="1689"/>
      <c r="BY288" s="1689"/>
      <c r="BZ288" s="1689"/>
      <c r="CA288" s="1689"/>
      <c r="CB288" s="1689"/>
      <c r="CC288" s="1689"/>
      <c r="CD288" s="1689"/>
      <c r="CE288" s="1689"/>
      <c r="CF288" s="1689"/>
      <c r="CG288" s="1689"/>
      <c r="CH288" s="1689"/>
      <c r="CI288" s="1689"/>
      <c r="CJ288" s="1689"/>
      <c r="CK288" s="1689"/>
      <c r="CL288" s="1689"/>
      <c r="CM288" s="1689"/>
      <c r="CN288" s="1689"/>
      <c r="CO288" s="1689"/>
      <c r="CP288" s="1689"/>
      <c r="CQ288" s="1689"/>
      <c r="CR288" s="1689"/>
      <c r="CS288" s="1689"/>
      <c r="CT288" s="1601"/>
      <c r="CU288" s="1601"/>
      <c r="CV288" s="1601"/>
      <c r="CW288" s="1689"/>
      <c r="CX288" s="1689"/>
      <c r="CY288" s="1601"/>
      <c r="CZ288" s="1601"/>
      <c r="DA288" s="1601"/>
      <c r="DB288" s="1689"/>
      <c r="DC288" s="2925"/>
      <c r="DD288" s="1689"/>
      <c r="DE288" s="1689"/>
      <c r="DF288" s="1689"/>
      <c r="DG288" s="1689"/>
      <c r="DH288" s="1689"/>
      <c r="DI288" s="1689"/>
      <c r="DJ288" s="1689"/>
      <c r="DK288" s="1689"/>
      <c r="DL288" s="1689"/>
      <c r="DM288" s="1689"/>
      <c r="DN288" s="1689"/>
      <c r="DO288" s="1689"/>
      <c r="DP288" s="1689"/>
      <c r="DQ288" s="1689"/>
      <c r="DR288" s="1689"/>
    </row>
    <row r="289" spans="1:122">
      <c r="A289" s="1686" t="s">
        <v>102</v>
      </c>
      <c r="B289" s="1655"/>
      <c r="C289" s="1655"/>
      <c r="D289" s="1655">
        <v>189.1</v>
      </c>
      <c r="E289" s="1655">
        <v>-1734</v>
      </c>
      <c r="F289" s="1437">
        <v>0</v>
      </c>
      <c r="G289" s="1437">
        <v>0</v>
      </c>
      <c r="H289" s="1655"/>
      <c r="I289" s="1635">
        <v>0</v>
      </c>
      <c r="J289" s="1635">
        <v>0</v>
      </c>
      <c r="K289" s="1635">
        <v>5400</v>
      </c>
      <c r="L289" s="1635">
        <v>65.599999999999994</v>
      </c>
      <c r="M289" s="1635">
        <v>172.5</v>
      </c>
      <c r="N289" s="1105">
        <v>0</v>
      </c>
      <c r="O289" s="1369"/>
      <c r="P289" s="1105"/>
      <c r="Q289" s="1105"/>
      <c r="R289" s="1105">
        <v>0</v>
      </c>
      <c r="S289" s="1105">
        <v>0</v>
      </c>
      <c r="T289" s="1105">
        <v>0</v>
      </c>
      <c r="U289" s="1105">
        <v>0</v>
      </c>
      <c r="V289" s="1105">
        <v>0</v>
      </c>
      <c r="W289" s="1105">
        <v>0</v>
      </c>
      <c r="X289" s="1105"/>
      <c r="Y289" s="2804"/>
      <c r="Z289" s="2878">
        <v>0</v>
      </c>
      <c r="AA289" s="2878">
        <v>0</v>
      </c>
      <c r="AB289" s="2804"/>
      <c r="AC289" s="2804">
        <v>0</v>
      </c>
      <c r="AD289" s="2804">
        <v>0</v>
      </c>
      <c r="AE289" s="2804">
        <v>0</v>
      </c>
      <c r="AF289" s="2804">
        <v>0</v>
      </c>
      <c r="AG289" s="1105">
        <v>0</v>
      </c>
      <c r="AH289" s="1105">
        <v>0</v>
      </c>
      <c r="AI289" s="1105">
        <v>0</v>
      </c>
      <c r="AJ289" s="1105">
        <v>0</v>
      </c>
      <c r="AK289" s="1105">
        <v>0</v>
      </c>
      <c r="AL289" s="1105">
        <v>0</v>
      </c>
      <c r="AM289" s="1105">
        <v>0</v>
      </c>
      <c r="AN289" s="1105">
        <v>0</v>
      </c>
      <c r="AO289" s="90"/>
      <c r="AP289" s="1108"/>
      <c r="AQ289" s="1105"/>
      <c r="AR289" s="1105"/>
      <c r="AS289" s="1105"/>
      <c r="AT289" s="1688"/>
      <c r="AU289" s="1108"/>
      <c r="AV289" s="1108"/>
      <c r="AW289" s="1689"/>
      <c r="AX289" s="1689"/>
      <c r="AY289" s="1689"/>
      <c r="AZ289" s="1689"/>
      <c r="BA289" s="1689"/>
      <c r="BB289" s="1689"/>
      <c r="BC289" s="1689"/>
      <c r="BD289" s="1689"/>
      <c r="BE289" s="1689"/>
      <c r="BF289" s="1689"/>
      <c r="BG289" s="1689"/>
      <c r="BH289" s="1689"/>
      <c r="BI289" s="1689"/>
      <c r="BJ289" s="1689"/>
      <c r="BK289" s="1689"/>
      <c r="BL289" s="1689"/>
      <c r="BM289" s="1689"/>
      <c r="BN289" s="1689"/>
      <c r="BO289" s="1689"/>
      <c r="BP289" s="1689"/>
      <c r="BQ289" s="1689"/>
      <c r="BR289" s="1689"/>
      <c r="BS289" s="1689"/>
      <c r="BT289" s="1689"/>
      <c r="BU289" s="1689"/>
      <c r="BV289" s="1689"/>
      <c r="BW289" s="1689"/>
      <c r="BX289" s="1689"/>
      <c r="BY289" s="1689"/>
      <c r="BZ289" s="1689"/>
      <c r="CA289" s="1689"/>
      <c r="CB289" s="1689"/>
      <c r="CC289" s="1689"/>
      <c r="CD289" s="1689"/>
      <c r="CE289" s="1689"/>
      <c r="CF289" s="1689"/>
      <c r="CG289" s="1689"/>
      <c r="CH289" s="1689"/>
      <c r="CI289" s="1689"/>
      <c r="CJ289" s="1689"/>
      <c r="CK289" s="1689"/>
      <c r="CL289" s="1689"/>
      <c r="CM289" s="1689"/>
      <c r="CN289" s="1689"/>
      <c r="CO289" s="1689"/>
      <c r="CP289" s="1689"/>
      <c r="CQ289" s="1689"/>
      <c r="CR289" s="1689"/>
      <c r="CS289" s="1689"/>
      <c r="CT289" s="1601"/>
      <c r="CU289" s="1601"/>
      <c r="CV289" s="1601"/>
      <c r="CW289" s="1689"/>
      <c r="CX289" s="1689"/>
      <c r="CY289" s="1601"/>
      <c r="CZ289" s="1601"/>
      <c r="DA289" s="1601"/>
      <c r="DB289" s="1689"/>
      <c r="DC289" s="2925"/>
      <c r="DD289" s="1689"/>
      <c r="DE289" s="1689"/>
      <c r="DF289" s="1689"/>
      <c r="DG289" s="1689"/>
      <c r="DH289" s="1689"/>
      <c r="DI289" s="1689"/>
      <c r="DJ289" s="1689"/>
      <c r="DK289" s="1689"/>
      <c r="DL289" s="1689"/>
      <c r="DM289" s="1689"/>
      <c r="DN289" s="1689"/>
      <c r="DO289" s="1689"/>
      <c r="DP289" s="1689"/>
      <c r="DQ289" s="1689"/>
      <c r="DR289" s="1689"/>
    </row>
    <row r="290" spans="1:122">
      <c r="A290" s="1686" t="s">
        <v>940</v>
      </c>
      <c r="B290" s="1655">
        <v>-52.3</v>
      </c>
      <c r="C290" s="1655">
        <v>-64.900000000000006</v>
      </c>
      <c r="D290" s="1655">
        <v>-41.5</v>
      </c>
      <c r="E290" s="1655">
        <v>-52.1</v>
      </c>
      <c r="F290" s="1437">
        <v>0</v>
      </c>
      <c r="G290" s="1437">
        <v>0</v>
      </c>
      <c r="H290" s="1655"/>
      <c r="I290" s="1357">
        <v>-10.8</v>
      </c>
      <c r="J290" s="1357">
        <v>-12.8</v>
      </c>
      <c r="K290" s="1437">
        <v>-13.5</v>
      </c>
      <c r="L290" s="1437">
        <v>-14.7</v>
      </c>
      <c r="M290" s="1437">
        <v>-16.8</v>
      </c>
      <c r="N290" s="1437">
        <v>0</v>
      </c>
      <c r="O290" s="1369"/>
      <c r="P290" s="1437"/>
      <c r="Q290" s="1437"/>
      <c r="R290" s="1437">
        <v>0</v>
      </c>
      <c r="S290" s="1437">
        <v>0</v>
      </c>
      <c r="T290" s="1437">
        <v>0</v>
      </c>
      <c r="U290" s="1437">
        <v>0</v>
      </c>
      <c r="V290" s="1437">
        <v>0</v>
      </c>
      <c r="W290" s="1437">
        <v>0</v>
      </c>
      <c r="X290" s="1437"/>
      <c r="Y290" s="1437"/>
      <c r="Z290" s="2878">
        <v>0</v>
      </c>
      <c r="AA290" s="2878">
        <v>0</v>
      </c>
      <c r="AB290" s="2878"/>
      <c r="AC290" s="2878">
        <v>0</v>
      </c>
      <c r="AD290" s="2878">
        <v>0</v>
      </c>
      <c r="AE290" s="2878">
        <v>0</v>
      </c>
      <c r="AF290" s="2878">
        <v>0</v>
      </c>
      <c r="AG290" s="1437">
        <v>0</v>
      </c>
      <c r="AH290" s="1437">
        <v>0</v>
      </c>
      <c r="AI290" s="1437">
        <v>0</v>
      </c>
      <c r="AJ290" s="1437">
        <v>0</v>
      </c>
      <c r="AK290" s="1437">
        <v>0</v>
      </c>
      <c r="AL290" s="1437">
        <v>0</v>
      </c>
      <c r="AM290" s="1437">
        <v>0</v>
      </c>
      <c r="AN290" s="1437">
        <v>0</v>
      </c>
      <c r="AO290" s="90"/>
      <c r="AP290" s="1108"/>
      <c r="AQ290" s="1437"/>
      <c r="AR290" s="1437"/>
      <c r="AS290" s="1437"/>
      <c r="AT290" s="1688"/>
      <c r="AU290" s="1108"/>
      <c r="AV290" s="1108"/>
      <c r="AW290" s="1689"/>
      <c r="AX290" s="1689"/>
      <c r="AY290" s="1689"/>
      <c r="AZ290" s="1689"/>
      <c r="BA290" s="1689"/>
      <c r="BB290" s="1689"/>
      <c r="BC290" s="1689"/>
      <c r="BD290" s="1689"/>
      <c r="BE290" s="1689"/>
      <c r="BF290" s="1689"/>
      <c r="BG290" s="1689"/>
      <c r="BH290" s="1689"/>
      <c r="BI290" s="1689"/>
      <c r="BJ290" s="1689"/>
      <c r="BK290" s="1689"/>
      <c r="BL290" s="1689"/>
      <c r="BM290" s="1689"/>
      <c r="BN290" s="1689"/>
      <c r="BO290" s="1689"/>
      <c r="BP290" s="1689"/>
      <c r="BQ290" s="1689"/>
      <c r="BR290" s="1689"/>
      <c r="BS290" s="1689"/>
      <c r="BT290" s="1689"/>
      <c r="BU290" s="1689"/>
      <c r="BV290" s="1689"/>
      <c r="BW290" s="1689"/>
      <c r="BX290" s="1689"/>
      <c r="BY290" s="1689"/>
      <c r="BZ290" s="1689"/>
      <c r="CA290" s="1689"/>
      <c r="CB290" s="1689"/>
      <c r="CC290" s="1689"/>
      <c r="CD290" s="1689"/>
      <c r="CE290" s="1689"/>
      <c r="CF290" s="1689"/>
      <c r="CG290" s="1689"/>
      <c r="CH290" s="1689"/>
      <c r="CI290" s="1689"/>
      <c r="CJ290" s="1689"/>
      <c r="CK290" s="1689"/>
      <c r="CL290" s="1689"/>
      <c r="CM290" s="1689"/>
      <c r="CN290" s="1689"/>
      <c r="CO290" s="1689"/>
      <c r="CP290" s="1689"/>
      <c r="CQ290" s="1689"/>
      <c r="CR290" s="1689"/>
      <c r="CS290" s="1689"/>
      <c r="CT290" s="1601"/>
      <c r="CU290" s="1601"/>
      <c r="CV290" s="1601"/>
      <c r="CW290" s="1689"/>
      <c r="CX290" s="1689"/>
      <c r="CY290" s="1601"/>
      <c r="CZ290" s="1601"/>
      <c r="DA290" s="1601"/>
      <c r="DB290" s="1689"/>
      <c r="DC290" s="2925"/>
      <c r="DD290" s="1689"/>
      <c r="DE290" s="1689"/>
      <c r="DF290" s="1689"/>
      <c r="DG290" s="1689"/>
      <c r="DH290" s="1689"/>
      <c r="DI290" s="1689"/>
      <c r="DJ290" s="1689"/>
      <c r="DK290" s="1689"/>
      <c r="DL290" s="1689"/>
      <c r="DM290" s="1689"/>
      <c r="DN290" s="1689"/>
      <c r="DO290" s="1689"/>
      <c r="DP290" s="1689"/>
      <c r="DQ290" s="1689"/>
      <c r="DR290" s="1689"/>
    </row>
    <row r="291" spans="1:122">
      <c r="A291" s="1686" t="s">
        <v>1008</v>
      </c>
      <c r="B291" s="1655"/>
      <c r="C291" s="1655"/>
      <c r="D291" s="1655">
        <v>0</v>
      </c>
      <c r="E291" s="1655">
        <v>0</v>
      </c>
      <c r="F291" s="1437">
        <v>0</v>
      </c>
      <c r="G291" s="1437">
        <v>0</v>
      </c>
      <c r="H291" s="1655"/>
      <c r="I291" s="1357">
        <v>-162.1</v>
      </c>
      <c r="J291" s="1357">
        <f>(-(80.3+26.1))-J292</f>
        <v>-18.000000000000369</v>
      </c>
      <c r="K291" s="1357">
        <f>(-(1440.3+1.6))-K292</f>
        <v>603.2000000000005</v>
      </c>
      <c r="L291" s="1357">
        <f>(-(832.05+4.8))-L292</f>
        <v>-557.75000000000045</v>
      </c>
      <c r="M291" s="1357">
        <f>(-(660-1.7-678))-M292</f>
        <v>-21.600000000000136</v>
      </c>
      <c r="N291" s="1683">
        <v>0</v>
      </c>
      <c r="O291" s="1369"/>
      <c r="P291" s="1683"/>
      <c r="Q291" s="1683"/>
      <c r="R291" s="1683">
        <v>0</v>
      </c>
      <c r="S291" s="1683">
        <v>0</v>
      </c>
      <c r="T291" s="1683">
        <v>0</v>
      </c>
      <c r="U291" s="1683">
        <v>0</v>
      </c>
      <c r="V291" s="1437">
        <v>475</v>
      </c>
      <c r="W291" s="1437">
        <v>141</v>
      </c>
      <c r="X291" s="1683"/>
      <c r="Y291" s="1683"/>
      <c r="Z291" s="2878">
        <v>-616</v>
      </c>
      <c r="AA291" s="2878">
        <v>450</v>
      </c>
      <c r="AB291" s="2887"/>
      <c r="AC291" s="2887">
        <v>0</v>
      </c>
      <c r="AD291" s="2887">
        <v>0</v>
      </c>
      <c r="AE291" s="2887">
        <v>0</v>
      </c>
      <c r="AF291" s="2887">
        <v>0</v>
      </c>
      <c r="AG291" s="1683">
        <v>0</v>
      </c>
      <c r="AH291" s="1683">
        <v>0</v>
      </c>
      <c r="AI291" s="1683">
        <v>0</v>
      </c>
      <c r="AJ291" s="1683">
        <v>0</v>
      </c>
      <c r="AK291" s="1683">
        <v>0</v>
      </c>
      <c r="AL291" s="1683">
        <v>0</v>
      </c>
      <c r="AM291" s="1683">
        <v>0</v>
      </c>
      <c r="AN291" s="1683">
        <v>0</v>
      </c>
      <c r="AO291" s="90"/>
      <c r="AP291" s="1108"/>
      <c r="AQ291" s="1683"/>
      <c r="AR291" s="1683"/>
      <c r="AS291" s="1683"/>
      <c r="AT291" s="1688"/>
      <c r="AU291" s="1108"/>
      <c r="AV291" s="1108"/>
      <c r="AW291" s="1689"/>
      <c r="AX291" s="1689"/>
      <c r="AY291" s="1689"/>
      <c r="AZ291" s="1689"/>
      <c r="BA291" s="1689"/>
      <c r="BB291" s="1689"/>
      <c r="BC291" s="1689"/>
      <c r="BD291" s="1689"/>
      <c r="BE291" s="1689"/>
      <c r="BF291" s="1689"/>
      <c r="BG291" s="1689"/>
      <c r="BH291" s="1689"/>
      <c r="BI291" s="1689"/>
      <c r="BJ291" s="1689"/>
      <c r="BK291" s="1689"/>
      <c r="BL291" s="1689"/>
      <c r="BM291" s="1689"/>
      <c r="BN291" s="1689"/>
      <c r="BO291" s="1689"/>
      <c r="BP291" s="1689"/>
      <c r="BQ291" s="1689"/>
      <c r="BR291" s="1689"/>
      <c r="BS291" s="1689"/>
      <c r="BT291" s="1689"/>
      <c r="BU291" s="1689"/>
      <c r="BV291" s="1689"/>
      <c r="BW291" s="1689"/>
      <c r="BX291" s="1689"/>
      <c r="BY291" s="1689"/>
      <c r="BZ291" s="1689"/>
      <c r="CA291" s="1689"/>
      <c r="CB291" s="1689"/>
      <c r="CC291" s="1689"/>
      <c r="CD291" s="1689"/>
      <c r="CE291" s="1689"/>
      <c r="CF291" s="1689"/>
      <c r="CG291" s="1689"/>
      <c r="CH291" s="1689"/>
      <c r="CI291" s="1689"/>
      <c r="CJ291" s="1689"/>
      <c r="CK291" s="1689"/>
      <c r="CL291" s="1689"/>
      <c r="CM291" s="1689"/>
      <c r="CN291" s="1689"/>
      <c r="CO291" s="1689"/>
      <c r="CP291" s="1689"/>
      <c r="CQ291" s="1689"/>
      <c r="CR291" s="1689"/>
      <c r="CS291" s="1689"/>
      <c r="CT291" s="1601"/>
      <c r="CU291" s="1601"/>
      <c r="CV291" s="1601"/>
      <c r="CW291" s="1689"/>
      <c r="CX291" s="1689"/>
      <c r="CY291" s="1601"/>
      <c r="CZ291" s="1601"/>
      <c r="DA291" s="1601"/>
      <c r="DB291" s="1689"/>
      <c r="DC291" s="2925"/>
      <c r="DD291" s="1689"/>
      <c r="DE291" s="1689"/>
      <c r="DF291" s="1689"/>
      <c r="DG291" s="1689"/>
      <c r="DH291" s="1689"/>
      <c r="DI291" s="1689"/>
      <c r="DJ291" s="1689"/>
      <c r="DK291" s="1689"/>
      <c r="DL291" s="1689"/>
      <c r="DM291" s="1689"/>
      <c r="DN291" s="1689"/>
      <c r="DO291" s="1689"/>
      <c r="DP291" s="1689"/>
      <c r="DQ291" s="1689"/>
      <c r="DR291" s="1689"/>
    </row>
    <row r="292" spans="1:122">
      <c r="A292" s="1686" t="s">
        <v>795</v>
      </c>
      <c r="B292" s="1655">
        <f>736.5-162.1-765.4</f>
        <v>-191</v>
      </c>
      <c r="C292" s="1655">
        <f>-26.1-80.3</f>
        <v>-106.4</v>
      </c>
      <c r="D292" s="1655">
        <v>0</v>
      </c>
      <c r="E292" s="1655">
        <v>0</v>
      </c>
      <c r="F292" s="1437">
        <v>0</v>
      </c>
      <c r="G292" s="1437">
        <v>0</v>
      </c>
      <c r="H292" s="1655"/>
      <c r="I292" s="1357">
        <f>-765.4+736.5</f>
        <v>-28.899999999999977</v>
      </c>
      <c r="J292" s="1357">
        <f>J222-I222</f>
        <v>-88.399999999999636</v>
      </c>
      <c r="K292" s="1357">
        <f>K222-J222</f>
        <v>-2045.1000000000004</v>
      </c>
      <c r="L292" s="2138">
        <f>L222-K222</f>
        <v>-279.09999999999945</v>
      </c>
      <c r="M292" s="1683">
        <f>M222-L222</f>
        <v>41.300000000000182</v>
      </c>
      <c r="N292" s="1683">
        <f>-5.3+-17.2+-183.2</f>
        <v>-205.7</v>
      </c>
      <c r="O292" s="1369"/>
      <c r="P292" s="1683"/>
      <c r="Q292" s="1683"/>
      <c r="R292" s="1683">
        <f>-1.5+974.4-1007.5-15.6</f>
        <v>-50.200000000000024</v>
      </c>
      <c r="S292" s="1683">
        <f>1094.2-2125.5-16.4</f>
        <v>-1047.7</v>
      </c>
      <c r="T292" s="1683">
        <f t="shared" ref="T292:AH292" si="457">T368+T369</f>
        <v>-18</v>
      </c>
      <c r="U292" s="1683">
        <f t="shared" si="457"/>
        <v>-59.999999999999091</v>
      </c>
      <c r="V292" s="1683">
        <f>V368+V369</f>
        <v>513.99999999999898</v>
      </c>
      <c r="W292" s="1437">
        <f>1728-1152-17</f>
        <v>559</v>
      </c>
      <c r="X292" s="1683"/>
      <c r="Y292" s="1683"/>
      <c r="Z292" s="2878">
        <f>1959-17</f>
        <v>1942</v>
      </c>
      <c r="AA292" s="2878">
        <f>684-199+1452-110-18</f>
        <v>1809</v>
      </c>
      <c r="AB292" s="2887"/>
      <c r="AC292" s="2887">
        <f>AC368+AC369</f>
        <v>597</v>
      </c>
      <c r="AD292" s="2887">
        <f t="shared" si="457"/>
        <v>0</v>
      </c>
      <c r="AE292" s="2887">
        <f t="shared" si="457"/>
        <v>-606</v>
      </c>
      <c r="AF292" s="2887">
        <f>AF368+AF369</f>
        <v>0</v>
      </c>
      <c r="AG292" s="1683">
        <f t="shared" si="457"/>
        <v>-299</v>
      </c>
      <c r="AH292" s="1683">
        <f t="shared" si="457"/>
        <v>-695</v>
      </c>
      <c r="AI292" s="1683">
        <f t="shared" ref="AI292:AN292" si="458">AI368+AI369</f>
        <v>-1033</v>
      </c>
      <c r="AJ292" s="1683">
        <f t="shared" si="458"/>
        <v>-596</v>
      </c>
      <c r="AK292" s="1683">
        <f t="shared" si="458"/>
        <v>-587</v>
      </c>
      <c r="AL292" s="1683">
        <f t="shared" si="458"/>
        <v>-783</v>
      </c>
      <c r="AM292" s="1683">
        <f t="shared" si="458"/>
        <v>-683</v>
      </c>
      <c r="AN292" s="1683">
        <f t="shared" si="458"/>
        <v>-1000</v>
      </c>
      <c r="AO292" s="90"/>
      <c r="AP292" s="1108"/>
      <c r="AQ292" s="1683"/>
      <c r="AR292" s="1683"/>
      <c r="AS292" s="1683"/>
      <c r="AT292" s="1688"/>
      <c r="AU292" s="1108"/>
      <c r="AV292" s="1108"/>
      <c r="AW292" s="1689"/>
      <c r="AX292" s="1689"/>
      <c r="AY292" s="1689"/>
      <c r="AZ292" s="1689"/>
      <c r="BA292" s="1689"/>
      <c r="BB292" s="1689"/>
      <c r="BC292" s="1689"/>
      <c r="BD292" s="1689"/>
      <c r="BE292" s="1689"/>
      <c r="BF292" s="1689"/>
      <c r="BG292" s="1689"/>
      <c r="BH292" s="1689"/>
      <c r="BI292" s="1689"/>
      <c r="BJ292" s="1689"/>
      <c r="BK292" s="1689"/>
      <c r="BL292" s="1689"/>
      <c r="BM292" s="1689"/>
      <c r="BN292" s="1689"/>
      <c r="BO292" s="1689"/>
      <c r="BP292" s="1689"/>
      <c r="BQ292" s="1689"/>
      <c r="BR292" s="1689"/>
      <c r="BS292" s="1689"/>
      <c r="BT292" s="1689"/>
      <c r="BU292" s="1689"/>
      <c r="BV292" s="1689"/>
      <c r="BW292" s="1689"/>
      <c r="BX292" s="1689"/>
      <c r="BY292" s="1689"/>
      <c r="BZ292" s="1689"/>
      <c r="CA292" s="1689"/>
      <c r="CB292" s="1689"/>
      <c r="CC292" s="1689"/>
      <c r="CD292" s="1689"/>
      <c r="CE292" s="1689"/>
      <c r="CF292" s="1689"/>
      <c r="CG292" s="1689"/>
      <c r="CH292" s="1689"/>
      <c r="CI292" s="1689"/>
      <c r="CJ292" s="1689"/>
      <c r="CK292" s="1689"/>
      <c r="CL292" s="1689"/>
      <c r="CM292" s="1689"/>
      <c r="CN292" s="1689"/>
      <c r="CO292" s="1689"/>
      <c r="CP292" s="1689"/>
      <c r="CQ292" s="1689"/>
      <c r="CR292" s="1689"/>
      <c r="CS292" s="1689"/>
      <c r="CT292" s="1601"/>
      <c r="CU292" s="1601"/>
      <c r="CV292" s="1601"/>
      <c r="CW292" s="1689"/>
      <c r="CX292" s="1689"/>
      <c r="CY292" s="1601"/>
      <c r="CZ292" s="1601"/>
      <c r="DA292" s="1601"/>
      <c r="DB292" s="1689"/>
      <c r="DC292" s="2925"/>
      <c r="DD292" s="1689"/>
      <c r="DE292" s="1689"/>
      <c r="DF292" s="1689"/>
      <c r="DG292" s="1689"/>
      <c r="DH292" s="1689"/>
      <c r="DI292" s="1689"/>
      <c r="DJ292" s="1689"/>
      <c r="DK292" s="1689"/>
      <c r="DL292" s="1689"/>
      <c r="DM292" s="1689"/>
      <c r="DN292" s="1689"/>
      <c r="DO292" s="1689"/>
      <c r="DP292" s="1689"/>
      <c r="DQ292" s="1689"/>
      <c r="DR292" s="1689"/>
    </row>
    <row r="293" spans="1:122">
      <c r="A293" s="1686" t="s">
        <v>82</v>
      </c>
      <c r="B293" s="1655">
        <f>-945.1</f>
        <v>-945.1</v>
      </c>
      <c r="C293" s="1655">
        <f>-2503.3</f>
        <v>-2503.3000000000002</v>
      </c>
      <c r="D293" s="1655">
        <v>0</v>
      </c>
      <c r="E293" s="1655">
        <v>0</v>
      </c>
      <c r="F293" s="1437">
        <v>0</v>
      </c>
      <c r="G293" s="1437">
        <v>0</v>
      </c>
      <c r="H293" s="1655"/>
      <c r="I293" s="1357">
        <v>-945.1</v>
      </c>
      <c r="J293" s="1437">
        <v>-2503.3000000000002</v>
      </c>
      <c r="K293" s="1437">
        <v>-5562.6</v>
      </c>
      <c r="L293" s="1437">
        <v>-6.2</v>
      </c>
      <c r="M293" s="1437">
        <v>-3351.3</v>
      </c>
      <c r="N293" s="1437">
        <v>-46.4</v>
      </c>
      <c r="O293" s="1369"/>
      <c r="P293" s="1437"/>
      <c r="Q293" s="1437"/>
      <c r="R293" s="1437">
        <v>-18.7</v>
      </c>
      <c r="S293" s="1437">
        <v>-37.1</v>
      </c>
      <c r="T293" s="1437">
        <v>-1012</v>
      </c>
      <c r="U293" s="1437">
        <v>-1137</v>
      </c>
      <c r="V293" s="1437">
        <v>-2185</v>
      </c>
      <c r="W293" s="1437">
        <v>-3595</v>
      </c>
      <c r="X293" s="1437"/>
      <c r="Y293" s="1437"/>
      <c r="Z293" s="2878">
        <v>-2813</v>
      </c>
      <c r="AA293" s="2878">
        <v>-2997</v>
      </c>
      <c r="AB293" s="2878"/>
      <c r="AC293" s="2878">
        <f>-AC163</f>
        <v>-1111</v>
      </c>
      <c r="AD293" s="2878">
        <f t="shared" ref="AD293:AK293" si="459">-AD163</f>
        <v>-900</v>
      </c>
      <c r="AE293" s="2878">
        <f t="shared" si="459"/>
        <v>-1500</v>
      </c>
      <c r="AF293" s="2878">
        <f t="shared" si="459"/>
        <v>-1545</v>
      </c>
      <c r="AG293" s="1437">
        <f t="shared" si="459"/>
        <v>-1575.9</v>
      </c>
      <c r="AH293" s="1437">
        <f t="shared" si="459"/>
        <v>-1607.4180000000001</v>
      </c>
      <c r="AI293" s="1437">
        <f t="shared" si="459"/>
        <v>-1639.5663600000003</v>
      </c>
      <c r="AJ293" s="1437">
        <f t="shared" si="459"/>
        <v>-1672.3576872000003</v>
      </c>
      <c r="AK293" s="1437">
        <f t="shared" si="459"/>
        <v>-1705.8048409440003</v>
      </c>
      <c r="AL293" s="1437">
        <f>-AL163</f>
        <v>-1739.9209377628804</v>
      </c>
      <c r="AM293" s="1437">
        <f>-AM163</f>
        <v>-1774.7193565181381</v>
      </c>
      <c r="AN293" s="1437">
        <f>-AN163</f>
        <v>-1810.2137436485009</v>
      </c>
      <c r="AO293" s="90"/>
      <c r="AP293" s="1108"/>
      <c r="AQ293" s="1437"/>
      <c r="AR293" s="1437"/>
      <c r="AS293" s="1437"/>
      <c r="AT293" s="1688"/>
      <c r="AU293" s="1108"/>
      <c r="AV293" s="1108"/>
      <c r="AW293" s="1689"/>
      <c r="AX293" s="1689"/>
      <c r="AY293" s="1689"/>
      <c r="AZ293" s="1689"/>
      <c r="BA293" s="1689"/>
      <c r="BB293" s="1689"/>
      <c r="BC293" s="1689"/>
      <c r="BD293" s="1689"/>
      <c r="BE293" s="1689"/>
      <c r="BF293" s="1689"/>
      <c r="BG293" s="1689"/>
      <c r="BH293" s="1689"/>
      <c r="BI293" s="1689"/>
      <c r="BJ293" s="1689"/>
      <c r="BK293" s="1689"/>
      <c r="BL293" s="1689"/>
      <c r="BM293" s="1689"/>
      <c r="BN293" s="1689"/>
      <c r="BO293" s="1689"/>
      <c r="BP293" s="1689"/>
      <c r="BQ293" s="1689"/>
      <c r="BR293" s="1689"/>
      <c r="BS293" s="1689"/>
      <c r="BT293" s="1689"/>
      <c r="BU293" s="1689"/>
      <c r="BV293" s="1689"/>
      <c r="BW293" s="1689"/>
      <c r="BX293" s="1689"/>
      <c r="BY293" s="1689"/>
      <c r="BZ293" s="1689"/>
      <c r="CA293" s="1689"/>
      <c r="CB293" s="1689"/>
      <c r="CC293" s="1689"/>
      <c r="CD293" s="1689"/>
      <c r="CE293" s="1689"/>
      <c r="CF293" s="1689"/>
      <c r="CG293" s="1689"/>
      <c r="CH293" s="1689"/>
      <c r="CI293" s="1689"/>
      <c r="CJ293" s="1689"/>
      <c r="CK293" s="1689"/>
      <c r="CL293" s="1689"/>
      <c r="CM293" s="1689"/>
      <c r="CN293" s="1689"/>
      <c r="CO293" s="1689"/>
      <c r="CP293" s="1689"/>
      <c r="CQ293" s="1689"/>
      <c r="CR293" s="1689"/>
      <c r="CS293" s="1689"/>
      <c r="CT293" s="1601"/>
      <c r="CU293" s="1601"/>
      <c r="CV293" s="1601"/>
      <c r="CW293" s="1689"/>
      <c r="CX293" s="1689"/>
      <c r="CY293" s="1601"/>
      <c r="CZ293" s="1601"/>
      <c r="DA293" s="1601"/>
      <c r="DB293" s="1689"/>
      <c r="DC293" s="2925"/>
      <c r="DD293" s="1689"/>
      <c r="DE293" s="1689"/>
      <c r="DF293" s="1689"/>
      <c r="DG293" s="1689"/>
      <c r="DH293" s="1689"/>
      <c r="DI293" s="1689"/>
      <c r="DJ293" s="1689"/>
      <c r="DK293" s="1689"/>
      <c r="DL293" s="1689"/>
      <c r="DM293" s="1689"/>
      <c r="DN293" s="1689"/>
      <c r="DO293" s="1689"/>
      <c r="DP293" s="1689"/>
      <c r="DQ293" s="1689"/>
      <c r="DR293" s="1689"/>
    </row>
    <row r="294" spans="1:122">
      <c r="A294" s="1691" t="s">
        <v>83</v>
      </c>
      <c r="B294" s="1655">
        <v>245.2</v>
      </c>
      <c r="C294" s="1655">
        <v>119.6</v>
      </c>
      <c r="D294" s="1655">
        <v>0</v>
      </c>
      <c r="E294" s="1655">
        <v>0</v>
      </c>
      <c r="F294" s="1437">
        <v>0</v>
      </c>
      <c r="G294" s="1437">
        <v>0</v>
      </c>
      <c r="H294" s="1655"/>
      <c r="I294" s="1437">
        <v>245.2</v>
      </c>
      <c r="J294" s="1437">
        <v>119.6</v>
      </c>
      <c r="K294" s="1437">
        <v>317.5</v>
      </c>
      <c r="L294" s="1437">
        <v>91.1</v>
      </c>
      <c r="M294" s="1437">
        <v>201.7</v>
      </c>
      <c r="N294" s="1437">
        <v>31.2</v>
      </c>
      <c r="O294" s="1369"/>
      <c r="P294" s="1357"/>
      <c r="Q294" s="1357"/>
      <c r="R294" s="1357">
        <v>0</v>
      </c>
      <c r="S294" s="1357">
        <v>6.8</v>
      </c>
      <c r="T294" s="1357">
        <f>T632+T175</f>
        <v>72</v>
      </c>
      <c r="U294" s="1357">
        <f>U632+U175</f>
        <v>168</v>
      </c>
      <c r="V294" s="1357">
        <f>V632+V175</f>
        <v>146</v>
      </c>
      <c r="W294" s="1357">
        <f>-146+283+243</f>
        <v>380</v>
      </c>
      <c r="X294" s="1357"/>
      <c r="Y294" s="1357"/>
      <c r="Z294" s="2806">
        <f>-96+142+88</f>
        <v>134</v>
      </c>
      <c r="AA294" s="2806">
        <f>-58+21+17</f>
        <v>-20</v>
      </c>
      <c r="AB294" s="2806"/>
      <c r="AC294" s="2887">
        <f>AC632+AC175</f>
        <v>50.316077805932011</v>
      </c>
      <c r="AD294" s="2806">
        <f t="shared" ref="AD294:AK294" si="460">AD632+AD175</f>
        <v>64.763968398387746</v>
      </c>
      <c r="AE294" s="2806">
        <f t="shared" si="460"/>
        <v>79.465931117695064</v>
      </c>
      <c r="AF294" s="2806">
        <f t="shared" si="460"/>
        <v>96.054396632441183</v>
      </c>
      <c r="AG294" s="1357">
        <f t="shared" si="460"/>
        <v>114.78104858933229</v>
      </c>
      <c r="AH294" s="1357">
        <f t="shared" si="460"/>
        <v>135.93103575227622</v>
      </c>
      <c r="AI294" s="1357">
        <f t="shared" si="460"/>
        <v>159.82742296258522</v>
      </c>
      <c r="AJ294" s="1357">
        <f t="shared" si="460"/>
        <v>186.83623407575877</v>
      </c>
      <c r="AK294" s="1357">
        <f t="shared" si="460"/>
        <v>217.37216560774499</v>
      </c>
      <c r="AL294" s="1357">
        <f>AL632+AL175</f>
        <v>251.90506029505306</v>
      </c>
      <c r="AM294" s="1357">
        <f>AM632+AM175</f>
        <v>290.96724163727237</v>
      </c>
      <c r="AN294" s="1357">
        <f>AN632+AN175</f>
        <v>335.16182393266951</v>
      </c>
      <c r="AO294" s="90"/>
      <c r="AP294" s="1108"/>
      <c r="AQ294" s="1357"/>
      <c r="AR294" s="1357"/>
      <c r="AS294" s="1357"/>
      <c r="AT294" s="1688"/>
      <c r="AU294" s="1108"/>
      <c r="AV294" s="1108"/>
      <c r="AW294" s="1689"/>
      <c r="AX294" s="1689"/>
      <c r="AY294" s="1689"/>
      <c r="AZ294" s="1689"/>
      <c r="BA294" s="1689"/>
      <c r="BB294" s="1689"/>
      <c r="BC294" s="1689"/>
      <c r="BD294" s="1689"/>
      <c r="BE294" s="1689"/>
      <c r="BF294" s="1689"/>
      <c r="BG294" s="1689"/>
      <c r="BH294" s="1689"/>
      <c r="BI294" s="1689"/>
      <c r="BJ294" s="1689"/>
      <c r="BK294" s="1689"/>
      <c r="BL294" s="1689"/>
      <c r="BM294" s="1689"/>
      <c r="BN294" s="1689"/>
      <c r="BO294" s="1689"/>
      <c r="BP294" s="1689"/>
      <c r="BQ294" s="1689"/>
      <c r="BR294" s="1689"/>
      <c r="BS294" s="1689"/>
      <c r="BT294" s="1689"/>
      <c r="BU294" s="1689"/>
      <c r="BV294" s="1689"/>
      <c r="BW294" s="1689"/>
      <c r="BX294" s="1689"/>
      <c r="BY294" s="1689"/>
      <c r="BZ294" s="1689"/>
      <c r="CA294" s="1689"/>
      <c r="CB294" s="1689"/>
      <c r="CC294" s="1689"/>
      <c r="CD294" s="1689"/>
      <c r="CE294" s="1689"/>
      <c r="CF294" s="1689"/>
      <c r="CG294" s="1689"/>
      <c r="CH294" s="1689"/>
      <c r="CI294" s="1689"/>
      <c r="CJ294" s="1689"/>
      <c r="CK294" s="1689"/>
      <c r="CL294" s="1689"/>
      <c r="CM294" s="1689"/>
      <c r="CN294" s="1689"/>
      <c r="CO294" s="1689"/>
      <c r="CP294" s="1689"/>
      <c r="CQ294" s="1689"/>
      <c r="CR294" s="1689"/>
      <c r="CS294" s="1689"/>
      <c r="CT294" s="1601"/>
      <c r="CU294" s="1601"/>
      <c r="CV294" s="1601"/>
      <c r="CW294" s="1689"/>
      <c r="CX294" s="1689"/>
      <c r="CY294" s="1601"/>
      <c r="CZ294" s="1601"/>
      <c r="DA294" s="1601"/>
      <c r="DB294" s="1689"/>
      <c r="DC294" s="2925"/>
      <c r="DD294" s="1689"/>
      <c r="DE294" s="1689"/>
      <c r="DF294" s="1689"/>
      <c r="DG294" s="1689"/>
      <c r="DH294" s="1689"/>
      <c r="DI294" s="1689"/>
      <c r="DJ294" s="1689"/>
      <c r="DK294" s="1689"/>
      <c r="DL294" s="1689"/>
      <c r="DM294" s="1689"/>
      <c r="DN294" s="1689"/>
      <c r="DO294" s="1689"/>
      <c r="DP294" s="1689"/>
      <c r="DQ294" s="1689"/>
      <c r="DR294" s="1689"/>
    </row>
    <row r="295" spans="1:122">
      <c r="A295" s="1686" t="s">
        <v>941</v>
      </c>
      <c r="B295" s="1655">
        <v>-104.6</v>
      </c>
      <c r="C295" s="1655">
        <v>-415.2</v>
      </c>
      <c r="D295" s="1655">
        <v>0</v>
      </c>
      <c r="E295" s="1655">
        <v>0</v>
      </c>
      <c r="F295" s="1437">
        <v>0</v>
      </c>
      <c r="G295" s="1437">
        <v>0</v>
      </c>
      <c r="H295" s="1655"/>
      <c r="I295" s="1357">
        <v>-104.6</v>
      </c>
      <c r="J295" s="1357">
        <v>-415.2</v>
      </c>
      <c r="K295" s="1437">
        <v>-451.3</v>
      </c>
      <c r="L295" s="1437">
        <v>-519.1</v>
      </c>
      <c r="M295" s="1437">
        <v>-640.29999999999995</v>
      </c>
      <c r="N295" s="1437">
        <v>-705.4</v>
      </c>
      <c r="O295" s="1369"/>
      <c r="P295" s="1437"/>
      <c r="Q295" s="1437"/>
      <c r="R295" s="1437">
        <v>-297.3</v>
      </c>
      <c r="S295" s="1437">
        <v>-141.69999999999999</v>
      </c>
      <c r="T295" s="1437">
        <v>-206</v>
      </c>
      <c r="U295" s="1437">
        <v>-276</v>
      </c>
      <c r="V295" s="1437">
        <v>-300</v>
      </c>
      <c r="W295" s="1437">
        <v>-292</v>
      </c>
      <c r="X295" s="1437"/>
      <c r="Y295" s="1437"/>
      <c r="Z295" s="2878">
        <v>-300</v>
      </c>
      <c r="AA295" s="2878">
        <v>-288</v>
      </c>
      <c r="AB295" s="2878"/>
      <c r="AC295" s="2878">
        <f>-AC156</f>
        <v>-289.48780987211035</v>
      </c>
      <c r="AD295" s="2878">
        <f>-AD156</f>
        <v>-293.05638720163483</v>
      </c>
      <c r="AE295" s="2878">
        <f>-AE156</f>
        <v>-303.62932707949994</v>
      </c>
      <c r="AF295" s="2878">
        <f>-AF156</f>
        <v>-310.93398317169579</v>
      </c>
      <c r="AG295" s="1437">
        <f t="shared" ref="AG295:AL295" si="461">-AG156</f>
        <v>-318.63599978386674</v>
      </c>
      <c r="AH295" s="1437">
        <f t="shared" si="461"/>
        <v>-326.88266762162863</v>
      </c>
      <c r="AI295" s="1437">
        <f t="shared" si="461"/>
        <v>-335.739175848944</v>
      </c>
      <c r="AJ295" s="1437">
        <f t="shared" si="461"/>
        <v>-345.27905609726878</v>
      </c>
      <c r="AK295" s="1437">
        <f t="shared" si="461"/>
        <v>-355.58521547587509</v>
      </c>
      <c r="AL295" s="1437">
        <f t="shared" si="461"/>
        <v>-366.75109409194386</v>
      </c>
      <c r="AM295" s="1437">
        <f>-AM156</f>
        <v>-378.8819617939447</v>
      </c>
      <c r="AN295" s="1437">
        <f>-AN156</f>
        <v>-392.09637056701547</v>
      </c>
      <c r="AO295" s="90"/>
      <c r="AP295" s="1108"/>
      <c r="AQ295" s="1437"/>
      <c r="AR295" s="1437"/>
      <c r="AS295" s="1437"/>
      <c r="AT295" s="1688"/>
      <c r="AU295" s="1437"/>
      <c r="AV295" s="1108"/>
      <c r="AW295" s="1689"/>
      <c r="AX295" s="1689"/>
      <c r="AY295" s="1689"/>
      <c r="AZ295" s="1689"/>
      <c r="BA295" s="1689"/>
      <c r="BB295" s="1689"/>
      <c r="BC295" s="1689"/>
      <c r="BD295" s="1689"/>
      <c r="BE295" s="1689"/>
      <c r="BF295" s="1689"/>
      <c r="BG295" s="1689"/>
      <c r="BH295" s="1689"/>
      <c r="BI295" s="1689"/>
      <c r="BJ295" s="1689"/>
      <c r="BK295" s="1689"/>
      <c r="BL295" s="1689"/>
      <c r="BM295" s="1689"/>
      <c r="BN295" s="1689"/>
      <c r="BO295" s="1689"/>
      <c r="BP295" s="1689"/>
      <c r="BQ295" s="1689"/>
      <c r="BR295" s="1689"/>
      <c r="BS295" s="1689"/>
      <c r="BT295" s="1689"/>
      <c r="BU295" s="1689"/>
      <c r="BV295" s="1689"/>
      <c r="BW295" s="1689"/>
      <c r="BX295" s="1689"/>
      <c r="BY295" s="1689"/>
      <c r="BZ295" s="1689"/>
      <c r="CA295" s="1689"/>
      <c r="CB295" s="1689"/>
      <c r="CC295" s="1689"/>
      <c r="CD295" s="1689"/>
      <c r="CE295" s="1689"/>
      <c r="CF295" s="1689"/>
      <c r="CG295" s="1689"/>
      <c r="CH295" s="1689"/>
      <c r="CI295" s="1689"/>
      <c r="CJ295" s="1689"/>
      <c r="CK295" s="1689"/>
      <c r="CL295" s="1689"/>
      <c r="CM295" s="1689"/>
      <c r="CN295" s="1689"/>
      <c r="CO295" s="1689"/>
      <c r="CP295" s="1689"/>
      <c r="CQ295" s="1689"/>
      <c r="CR295" s="1689"/>
      <c r="CS295" s="1689"/>
      <c r="CT295" s="1601"/>
      <c r="CU295" s="1601"/>
      <c r="CV295" s="1601"/>
      <c r="CW295" s="1689"/>
      <c r="CX295" s="1689"/>
      <c r="CY295" s="1601"/>
      <c r="CZ295" s="1601"/>
      <c r="DA295" s="1601"/>
      <c r="DB295" s="1689"/>
      <c r="DC295" s="2925"/>
      <c r="DD295" s="1689"/>
      <c r="DE295" s="1689"/>
      <c r="DF295" s="1689"/>
      <c r="DG295" s="1689"/>
      <c r="DH295" s="1689"/>
      <c r="DI295" s="1689"/>
      <c r="DJ295" s="1689"/>
      <c r="DK295" s="1689"/>
      <c r="DL295" s="1689"/>
      <c r="DM295" s="1689"/>
      <c r="DN295" s="1689"/>
      <c r="DO295" s="1689"/>
      <c r="DP295" s="1689"/>
      <c r="DQ295" s="1689"/>
      <c r="DR295" s="1689"/>
    </row>
    <row r="296" spans="1:122">
      <c r="A296" s="1357" t="s">
        <v>526</v>
      </c>
      <c r="B296" s="1655">
        <v>-6</v>
      </c>
      <c r="C296" s="1655">
        <v>-8.8000000000000007</v>
      </c>
      <c r="D296" s="1655">
        <v>-6</v>
      </c>
      <c r="E296" s="1655">
        <v>-7.9</v>
      </c>
      <c r="F296" s="1437">
        <v>0</v>
      </c>
      <c r="G296" s="1437">
        <v>0</v>
      </c>
      <c r="H296" s="1655"/>
      <c r="I296" s="1437">
        <v>0</v>
      </c>
      <c r="J296" s="1437">
        <v>-0.9</v>
      </c>
      <c r="K296" s="1683">
        <v>0</v>
      </c>
      <c r="L296" s="1683">
        <v>1.6</v>
      </c>
      <c r="M296" s="1655">
        <f>8.9+0.3</f>
        <v>9.2000000000000011</v>
      </c>
      <c r="N296" s="1655">
        <f>6.5</f>
        <v>6.5</v>
      </c>
      <c r="O296" s="1369"/>
      <c r="P296" s="1655"/>
      <c r="Q296" s="1655"/>
      <c r="R296" s="1655">
        <v>-26.8</v>
      </c>
      <c r="S296" s="1655">
        <f>-400+15.8-0.4</f>
        <v>-384.59999999999997</v>
      </c>
      <c r="T296" s="1655">
        <f>-1180-SUM(T288:T295)</f>
        <v>-16</v>
      </c>
      <c r="U296" s="1655">
        <f>-1316-SUM(U288:U295)</f>
        <v>-11.000000000000909</v>
      </c>
      <c r="V296" s="1655">
        <f>-1912-SUM(V288:V295)</f>
        <v>-561.99999999999909</v>
      </c>
      <c r="W296" s="1655">
        <v>-3</v>
      </c>
      <c r="X296" s="1655"/>
      <c r="Y296" s="1655"/>
      <c r="Z296" s="2844">
        <v>0</v>
      </c>
      <c r="AA296" s="2844">
        <v>0</v>
      </c>
      <c r="AB296" s="2844"/>
      <c r="AC296" s="2844">
        <v>0</v>
      </c>
      <c r="AD296" s="2844">
        <v>0</v>
      </c>
      <c r="AE296" s="2844">
        <v>0</v>
      </c>
      <c r="AF296" s="2844">
        <v>0</v>
      </c>
      <c r="AG296" s="1655">
        <v>0</v>
      </c>
      <c r="AH296" s="1655">
        <v>0</v>
      </c>
      <c r="AI296" s="1655">
        <v>0</v>
      </c>
      <c r="AJ296" s="1655">
        <v>0</v>
      </c>
      <c r="AK296" s="1655">
        <v>0</v>
      </c>
      <c r="AL296" s="1655">
        <v>0</v>
      </c>
      <c r="AM296" s="1655">
        <v>0</v>
      </c>
      <c r="AN296" s="1655">
        <v>0</v>
      </c>
      <c r="AO296" s="90"/>
      <c r="AP296" s="1108"/>
      <c r="AQ296" s="1655"/>
      <c r="AR296" s="1655"/>
      <c r="AS296" s="1655"/>
      <c r="AT296" s="1688"/>
      <c r="AU296" s="1108"/>
      <c r="AV296" s="1108"/>
      <c r="AW296" s="1689"/>
      <c r="AX296" s="1689"/>
      <c r="AY296" s="1689"/>
      <c r="AZ296" s="1689"/>
      <c r="BA296" s="1689"/>
      <c r="BB296" s="1689"/>
      <c r="BC296" s="1689"/>
      <c r="BD296" s="1689"/>
      <c r="BE296" s="1689"/>
      <c r="BF296" s="1689"/>
      <c r="BG296" s="1689"/>
      <c r="BH296" s="1689"/>
      <c r="BI296" s="1689"/>
      <c r="BJ296" s="1689"/>
      <c r="BK296" s="1689"/>
      <c r="BL296" s="1689"/>
      <c r="BM296" s="1689"/>
      <c r="BN296" s="1689"/>
      <c r="BO296" s="1689"/>
      <c r="BP296" s="1689"/>
      <c r="BQ296" s="1689"/>
      <c r="BR296" s="1689"/>
      <c r="BS296" s="1689"/>
      <c r="BT296" s="1689"/>
      <c r="BU296" s="1689"/>
      <c r="BV296" s="1689"/>
      <c r="BW296" s="1689"/>
      <c r="BX296" s="1689"/>
      <c r="BY296" s="1689"/>
      <c r="BZ296" s="1689"/>
      <c r="CA296" s="1689"/>
      <c r="CB296" s="1689"/>
      <c r="CC296" s="1689"/>
      <c r="CD296" s="1689"/>
      <c r="CE296" s="1689"/>
      <c r="CF296" s="1689"/>
      <c r="CG296" s="1689"/>
      <c r="CH296" s="1689"/>
      <c r="CI296" s="1689"/>
      <c r="CJ296" s="1689"/>
      <c r="CK296" s="1689"/>
      <c r="CL296" s="1689"/>
      <c r="CM296" s="1689"/>
      <c r="CN296" s="1689"/>
      <c r="CO296" s="1689"/>
      <c r="CP296" s="1689"/>
      <c r="CQ296" s="1689"/>
      <c r="CR296" s="1689"/>
      <c r="CS296" s="1689"/>
      <c r="CT296" s="1601"/>
      <c r="CU296" s="1601"/>
      <c r="CV296" s="1601"/>
      <c r="CW296" s="1689"/>
      <c r="CX296" s="1689"/>
      <c r="CY296" s="1601"/>
      <c r="CZ296" s="1601"/>
      <c r="DA296" s="1601"/>
      <c r="DB296" s="1689"/>
      <c r="DC296" s="2925"/>
      <c r="DD296" s="1689"/>
      <c r="DE296" s="1689"/>
      <c r="DF296" s="1689"/>
      <c r="DG296" s="1689"/>
      <c r="DH296" s="1689"/>
      <c r="DI296" s="1689"/>
      <c r="DJ296" s="1689"/>
      <c r="DK296" s="1689"/>
      <c r="DL296" s="1689"/>
      <c r="DM296" s="1689"/>
      <c r="DN296" s="1689"/>
      <c r="DO296" s="1689"/>
      <c r="DP296" s="1689"/>
      <c r="DQ296" s="1689"/>
      <c r="DR296" s="1689"/>
    </row>
    <row r="297" spans="1:122">
      <c r="A297" s="2136" t="s">
        <v>942</v>
      </c>
      <c r="B297" s="1694">
        <v>-361.9</v>
      </c>
      <c r="C297" s="1694">
        <v>-50.4</v>
      </c>
      <c r="D297" s="1694">
        <v>-361.9</v>
      </c>
      <c r="E297" s="1694">
        <v>-50.4</v>
      </c>
      <c r="F297" s="1695">
        <v>0</v>
      </c>
      <c r="G297" s="1695">
        <v>0</v>
      </c>
      <c r="H297" s="1694"/>
      <c r="I297" s="1373">
        <v>-409.4</v>
      </c>
      <c r="J297" s="1726">
        <v>-110.4</v>
      </c>
      <c r="K297" s="1726">
        <v>-425.9</v>
      </c>
      <c r="L297" s="2137">
        <v>0</v>
      </c>
      <c r="M297" s="2137">
        <v>0</v>
      </c>
      <c r="N297" s="2137">
        <v>0</v>
      </c>
      <c r="O297" s="1369"/>
      <c r="P297" s="2137"/>
      <c r="Q297" s="2137"/>
      <c r="R297" s="2137">
        <v>0</v>
      </c>
      <c r="S297" s="2137">
        <v>0</v>
      </c>
      <c r="T297" s="2137">
        <v>0</v>
      </c>
      <c r="U297" s="2137">
        <v>0</v>
      </c>
      <c r="V297" s="2137">
        <v>0</v>
      </c>
      <c r="W297" s="2137">
        <v>2167</v>
      </c>
      <c r="X297" s="2137"/>
      <c r="Y297" s="2137"/>
      <c r="Z297" s="2885">
        <v>0</v>
      </c>
      <c r="AA297" s="2885">
        <v>0</v>
      </c>
      <c r="AB297" s="2885"/>
      <c r="AC297" s="2885">
        <v>0</v>
      </c>
      <c r="AD297" s="2885">
        <v>0</v>
      </c>
      <c r="AE297" s="2885">
        <v>0</v>
      </c>
      <c r="AF297" s="2885">
        <v>0</v>
      </c>
      <c r="AG297" s="2137">
        <v>0</v>
      </c>
      <c r="AH297" s="2137">
        <v>0</v>
      </c>
      <c r="AI297" s="2137">
        <v>0</v>
      </c>
      <c r="AJ297" s="2137">
        <v>0</v>
      </c>
      <c r="AK297" s="2137">
        <v>0</v>
      </c>
      <c r="AL297" s="2137">
        <v>0</v>
      </c>
      <c r="AM297" s="2137">
        <v>0</v>
      </c>
      <c r="AN297" s="2137">
        <v>0</v>
      </c>
      <c r="AO297" s="90"/>
      <c r="AP297" s="1108"/>
      <c r="AQ297" s="2137"/>
      <c r="AR297" s="2137"/>
      <c r="AS297" s="2137"/>
      <c r="AT297" s="1688"/>
      <c r="AU297" s="1108"/>
      <c r="AV297" s="1108"/>
      <c r="AW297" s="1689"/>
      <c r="AX297" s="1689"/>
      <c r="AY297" s="1689"/>
      <c r="AZ297" s="1689"/>
      <c r="BA297" s="1689"/>
      <c r="BB297" s="1689"/>
      <c r="BC297" s="1689"/>
      <c r="BD297" s="1689"/>
      <c r="BE297" s="1689"/>
      <c r="BF297" s="1689"/>
      <c r="BG297" s="1689"/>
      <c r="BH297" s="1689"/>
      <c r="BI297" s="1689"/>
      <c r="BJ297" s="1689"/>
      <c r="BK297" s="1689"/>
      <c r="BL297" s="1689"/>
      <c r="BM297" s="1689"/>
      <c r="BN297" s="1689"/>
      <c r="BO297" s="1689"/>
      <c r="BP297" s="1689"/>
      <c r="BQ297" s="1689"/>
      <c r="BR297" s="1689"/>
      <c r="BS297" s="1689"/>
      <c r="BT297" s="1689"/>
      <c r="BU297" s="1689"/>
      <c r="BV297" s="1689"/>
      <c r="BW297" s="1689"/>
      <c r="BX297" s="1689"/>
      <c r="BY297" s="1689"/>
      <c r="BZ297" s="1689"/>
      <c r="CA297" s="1689"/>
      <c r="CB297" s="1689"/>
      <c r="CC297" s="1689"/>
      <c r="CD297" s="1689"/>
      <c r="CE297" s="1689"/>
      <c r="CF297" s="1689"/>
      <c r="CG297" s="1689"/>
      <c r="CH297" s="1689"/>
      <c r="CI297" s="1689"/>
      <c r="CJ297" s="1689"/>
      <c r="CK297" s="1689"/>
      <c r="CL297" s="1689"/>
      <c r="CM297" s="1689"/>
      <c r="CN297" s="1689"/>
      <c r="CO297" s="1689"/>
      <c r="CP297" s="1689"/>
      <c r="CQ297" s="1689"/>
      <c r="CR297" s="1689"/>
      <c r="CS297" s="1689"/>
      <c r="CT297" s="1601"/>
      <c r="CU297" s="1601"/>
      <c r="CV297" s="1601"/>
      <c r="CW297" s="1689"/>
      <c r="CX297" s="1689"/>
      <c r="CY297" s="1601"/>
      <c r="CZ297" s="1601"/>
      <c r="DA297" s="1601"/>
      <c r="DB297" s="1689"/>
      <c r="DC297" s="2925"/>
      <c r="DD297" s="1689"/>
      <c r="DE297" s="1689"/>
      <c r="DF297" s="1689"/>
      <c r="DG297" s="1689"/>
      <c r="DH297" s="1689"/>
      <c r="DI297" s="1689"/>
      <c r="DJ297" s="1689"/>
      <c r="DK297" s="1689"/>
      <c r="DL297" s="1689"/>
      <c r="DM297" s="1689"/>
      <c r="DN297" s="1689"/>
      <c r="DO297" s="1689"/>
      <c r="DP297" s="1689"/>
      <c r="DQ297" s="1689"/>
      <c r="DR297" s="1689"/>
    </row>
    <row r="298" spans="1:122">
      <c r="A298" s="2335" t="s">
        <v>71</v>
      </c>
      <c r="B298" s="2336">
        <f t="shared" ref="B298:G298" si="462">SUM(B289:B297)</f>
        <v>-1415.6999999999998</v>
      </c>
      <c r="C298" s="2336">
        <f t="shared" si="462"/>
        <v>-3029.4000000000005</v>
      </c>
      <c r="D298" s="2336">
        <f t="shared" si="462"/>
        <v>-220.29999999999998</v>
      </c>
      <c r="E298" s="2336">
        <f t="shared" si="462"/>
        <v>-1844.4</v>
      </c>
      <c r="F298" s="2336">
        <f t="shared" si="462"/>
        <v>0</v>
      </c>
      <c r="G298" s="2336">
        <f t="shared" si="462"/>
        <v>0</v>
      </c>
      <c r="H298" s="2336"/>
      <c r="I298" s="2119">
        <f t="shared" ref="I298:N298" si="463">SUM(I289:I297)</f>
        <v>-1415.7</v>
      </c>
      <c r="J298" s="2119">
        <f t="shared" si="463"/>
        <v>-3029.4</v>
      </c>
      <c r="K298" s="2119">
        <f t="shared" si="463"/>
        <v>-2177.6999999999998</v>
      </c>
      <c r="L298" s="2119">
        <f t="shared" si="463"/>
        <v>-1218.5500000000002</v>
      </c>
      <c r="M298" s="2119">
        <f t="shared" si="463"/>
        <v>-3605.3</v>
      </c>
      <c r="N298" s="2119">
        <f t="shared" si="463"/>
        <v>-919.8</v>
      </c>
      <c r="O298" s="2337"/>
      <c r="P298" s="2119"/>
      <c r="Q298" s="2119"/>
      <c r="R298" s="2119">
        <f t="shared" ref="R298:AH298" si="464">SUM(R288:R297)</f>
        <v>-393.00000000000006</v>
      </c>
      <c r="S298" s="2119">
        <f t="shared" si="464"/>
        <v>-1604.3</v>
      </c>
      <c r="T298" s="2119">
        <f t="shared" si="464"/>
        <v>-1180</v>
      </c>
      <c r="U298" s="2119">
        <f t="shared" si="464"/>
        <v>-1316</v>
      </c>
      <c r="V298" s="2119">
        <f t="shared" si="464"/>
        <v>-1912</v>
      </c>
      <c r="W298" s="2119">
        <f t="shared" si="464"/>
        <v>-643</v>
      </c>
      <c r="X298" s="2119"/>
      <c r="Y298" s="2119"/>
      <c r="Z298" s="2857">
        <f>SUM(Z288:Z297)</f>
        <v>-1653</v>
      </c>
      <c r="AA298" s="2857">
        <f>SUM(AA288:AA297)</f>
        <v>-1046</v>
      </c>
      <c r="AB298" s="2857"/>
      <c r="AC298" s="2857">
        <f ca="1">SUM(AC288:AC297)</f>
        <v>-674.16096750701286</v>
      </c>
      <c r="AD298" s="2857">
        <f t="shared" ca="1" si="464"/>
        <v>-1207.3031833624125</v>
      </c>
      <c r="AE298" s="2857">
        <f t="shared" ca="1" si="464"/>
        <v>-2012.5941973307536</v>
      </c>
      <c r="AF298" s="2857">
        <f t="shared" ca="1" si="464"/>
        <v>-2077.4487851703057</v>
      </c>
      <c r="AG298" s="2119">
        <f t="shared" ca="1" si="464"/>
        <v>-2078.7549511945344</v>
      </c>
      <c r="AH298" s="2119">
        <f t="shared" ca="1" si="464"/>
        <v>-2493.3696318693524</v>
      </c>
      <c r="AI298" s="2119">
        <f t="shared" ref="AI298:AN298" ca="1" si="465">SUM(AI288:AI297)</f>
        <v>-2586.8061849993196</v>
      </c>
      <c r="AJ298" s="2119">
        <f t="shared" ca="1" si="465"/>
        <v>-2466.6067960634364</v>
      </c>
      <c r="AK298" s="2119">
        <f t="shared" ca="1" si="465"/>
        <v>-2475.642412169057</v>
      </c>
      <c r="AL298" s="2119">
        <f t="shared" ca="1" si="465"/>
        <v>-2469.8137719544729</v>
      </c>
      <c r="AM298" s="2119">
        <f t="shared" ca="1" si="465"/>
        <v>-2426.9714927229506</v>
      </c>
      <c r="AN298" s="2119">
        <f t="shared" ca="1" si="465"/>
        <v>-2563.9045877353437</v>
      </c>
      <c r="AO298" s="90"/>
      <c r="AP298" s="1108"/>
      <c r="AQ298" s="1654"/>
      <c r="AR298" s="1654"/>
      <c r="AS298" s="1654"/>
      <c r="AT298" s="1688"/>
      <c r="AU298" s="1108"/>
      <c r="AV298" s="1108"/>
      <c r="AW298" s="1689"/>
      <c r="AX298" s="1689"/>
      <c r="AY298" s="1689"/>
      <c r="AZ298" s="1689"/>
      <c r="BA298" s="1689"/>
      <c r="BB298" s="1689"/>
      <c r="BC298" s="1689"/>
      <c r="BD298" s="1689"/>
      <c r="BE298" s="1689"/>
      <c r="BF298" s="1689"/>
      <c r="BG298" s="1689"/>
      <c r="BH298" s="1689"/>
      <c r="BI298" s="1689"/>
      <c r="BJ298" s="1689"/>
      <c r="BK298" s="1689"/>
      <c r="BL298" s="1689"/>
      <c r="BM298" s="1689"/>
      <c r="BN298" s="1689"/>
      <c r="BO298" s="1689"/>
      <c r="BP298" s="1689"/>
      <c r="BQ298" s="1689"/>
      <c r="BR298" s="1689"/>
      <c r="BS298" s="1689"/>
      <c r="BT298" s="1689"/>
      <c r="BU298" s="1689"/>
      <c r="BV298" s="1689"/>
      <c r="BW298" s="1689"/>
      <c r="BX298" s="1689"/>
      <c r="BY298" s="1689"/>
      <c r="BZ298" s="1689"/>
      <c r="CA298" s="1689"/>
      <c r="CB298" s="1689"/>
      <c r="CC298" s="1689"/>
      <c r="CD298" s="1689"/>
      <c r="CE298" s="1689"/>
      <c r="CF298" s="1689"/>
      <c r="CG298" s="1689"/>
      <c r="CH298" s="1689"/>
      <c r="CI298" s="1689"/>
      <c r="CJ298" s="1689"/>
      <c r="CK298" s="1689"/>
      <c r="CL298" s="1689"/>
      <c r="CM298" s="1689"/>
      <c r="CN298" s="1689"/>
      <c r="CO298" s="1689"/>
      <c r="CP298" s="1689"/>
      <c r="CQ298" s="1689"/>
      <c r="CR298" s="1689"/>
      <c r="CS298" s="1689"/>
      <c r="CT298" s="1601"/>
      <c r="CU298" s="1601"/>
      <c r="CV298" s="1601"/>
      <c r="CW298" s="1689"/>
      <c r="CX298" s="1689"/>
      <c r="CY298" s="1601"/>
      <c r="CZ298" s="1601"/>
      <c r="DA298" s="1601"/>
      <c r="DB298" s="1689"/>
      <c r="DC298" s="2925"/>
      <c r="DD298" s="1689"/>
      <c r="DE298" s="1689"/>
      <c r="DF298" s="1689"/>
      <c r="DG298" s="1689"/>
      <c r="DH298" s="1689"/>
      <c r="DI298" s="1689"/>
      <c r="DJ298" s="1689"/>
      <c r="DK298" s="1689"/>
      <c r="DL298" s="1689"/>
      <c r="DM298" s="1689"/>
      <c r="DN298" s="1689"/>
      <c r="DO298" s="1689"/>
      <c r="DP298" s="1689"/>
      <c r="DQ298" s="1689"/>
      <c r="DR298" s="1689"/>
    </row>
    <row r="299" spans="1:122" ht="5.0999999999999996" customHeight="1">
      <c r="A299" s="1709"/>
      <c r="B299" s="1687"/>
      <c r="C299" s="1687"/>
      <c r="D299" s="1687"/>
      <c r="E299" s="1687"/>
      <c r="F299" s="1687"/>
      <c r="G299" s="1687"/>
      <c r="H299" s="1687"/>
      <c r="I299" s="1687"/>
      <c r="J299" s="1357"/>
      <c r="K299" s="1357"/>
      <c r="L299" s="1687"/>
      <c r="M299" s="1687"/>
      <c r="N299" s="1687"/>
      <c r="O299" s="1369"/>
      <c r="P299" s="1687"/>
      <c r="Q299" s="1687"/>
      <c r="R299" s="1687"/>
      <c r="S299" s="1687"/>
      <c r="T299" s="1687"/>
      <c r="U299" s="1687"/>
      <c r="V299" s="1687"/>
      <c r="W299" s="1687"/>
      <c r="X299" s="1687"/>
      <c r="Y299" s="1687"/>
      <c r="Z299" s="2882"/>
      <c r="AA299" s="2882"/>
      <c r="AB299" s="2882"/>
      <c r="AC299" s="2882"/>
      <c r="AD299" s="2882"/>
      <c r="AE299" s="2882"/>
      <c r="AF299" s="2882"/>
      <c r="AG299" s="1687"/>
      <c r="AH299" s="1687"/>
      <c r="AI299" s="1687"/>
      <c r="AJ299" s="1687"/>
      <c r="AK299" s="1687"/>
      <c r="AL299" s="1687"/>
      <c r="AM299" s="1687"/>
      <c r="AN299" s="1687"/>
      <c r="AO299" s="90"/>
      <c r="AP299" s="1108"/>
      <c r="AQ299" s="1687"/>
      <c r="AR299" s="1687"/>
      <c r="AS299" s="1687"/>
      <c r="AT299" s="1688"/>
      <c r="AU299" s="1108"/>
      <c r="AV299" s="1108"/>
      <c r="AW299" s="1689"/>
      <c r="AX299" s="1689"/>
      <c r="AY299" s="1689"/>
      <c r="AZ299" s="1689"/>
      <c r="BA299" s="1689"/>
      <c r="BB299" s="1689"/>
      <c r="BC299" s="1689"/>
      <c r="BD299" s="1689"/>
      <c r="BE299" s="1689"/>
      <c r="BF299" s="1689"/>
      <c r="BG299" s="1689"/>
      <c r="BH299" s="1689"/>
      <c r="BI299" s="1689"/>
      <c r="BJ299" s="1689"/>
      <c r="BK299" s="1689"/>
      <c r="BL299" s="1689"/>
      <c r="BM299" s="1689"/>
      <c r="BN299" s="1689"/>
      <c r="BO299" s="1689"/>
      <c r="BP299" s="1689"/>
      <c r="BQ299" s="1689"/>
      <c r="BR299" s="1689"/>
      <c r="BS299" s="1689"/>
      <c r="BT299" s="1689"/>
      <c r="BU299" s="1689"/>
      <c r="BV299" s="1689"/>
      <c r="BW299" s="1689"/>
      <c r="BX299" s="1689"/>
      <c r="BY299" s="1689"/>
      <c r="BZ299" s="1689"/>
      <c r="CA299" s="1689"/>
      <c r="CB299" s="1689"/>
      <c r="CC299" s="1689"/>
      <c r="CD299" s="1689"/>
      <c r="CE299" s="1689"/>
      <c r="CF299" s="1689"/>
      <c r="CG299" s="1689"/>
      <c r="CH299" s="1689"/>
      <c r="CI299" s="1689"/>
      <c r="CJ299" s="1689"/>
      <c r="CK299" s="1689"/>
      <c r="CL299" s="1689"/>
      <c r="CM299" s="1689"/>
      <c r="CN299" s="1689"/>
      <c r="CO299" s="1689"/>
      <c r="CP299" s="1689"/>
      <c r="CQ299" s="1689"/>
      <c r="CR299" s="1689"/>
      <c r="CS299" s="1689"/>
      <c r="CT299" s="1601"/>
      <c r="CU299" s="1601"/>
      <c r="CV299" s="1601"/>
      <c r="CW299" s="1689"/>
      <c r="CX299" s="1689"/>
      <c r="CY299" s="1601"/>
      <c r="CZ299" s="1601"/>
      <c r="DA299" s="1601"/>
      <c r="DB299" s="1689"/>
      <c r="DC299" s="2925"/>
      <c r="DD299" s="1689"/>
      <c r="DE299" s="1689"/>
      <c r="DF299" s="1689"/>
      <c r="DG299" s="1689"/>
      <c r="DH299" s="1689"/>
      <c r="DI299" s="1689"/>
      <c r="DJ299" s="1689"/>
      <c r="DK299" s="1689"/>
      <c r="DL299" s="1689"/>
      <c r="DM299" s="1689"/>
      <c r="DN299" s="1689"/>
      <c r="DO299" s="1689"/>
      <c r="DP299" s="1689"/>
      <c r="DQ299" s="1689"/>
      <c r="DR299" s="1689"/>
    </row>
    <row r="300" spans="1:122">
      <c r="A300" s="1711" t="s">
        <v>527</v>
      </c>
      <c r="B300" s="1379">
        <v>631.4</v>
      </c>
      <c r="C300" s="1379">
        <f>B303</f>
        <v>850.69999999999993</v>
      </c>
      <c r="D300" s="1379">
        <v>197</v>
      </c>
      <c r="E300" s="1379">
        <f>D303</f>
        <v>293.10000000000036</v>
      </c>
      <c r="F300" s="1437">
        <v>0</v>
      </c>
      <c r="G300" s="1105">
        <f>F303</f>
        <v>26.100000000000627</v>
      </c>
      <c r="H300" s="1379"/>
      <c r="I300" s="1654">
        <v>631.4</v>
      </c>
      <c r="J300" s="1654">
        <f>I303</f>
        <v>850.70000000000061</v>
      </c>
      <c r="K300" s="1654">
        <f>J303</f>
        <v>928.20000000000562</v>
      </c>
      <c r="L300" s="1654">
        <f>K303</f>
        <v>1505.3</v>
      </c>
      <c r="M300" s="1654">
        <f>L303</f>
        <v>3074.55</v>
      </c>
      <c r="N300" s="1654">
        <f>M303</f>
        <v>1350.25</v>
      </c>
      <c r="O300" s="1369"/>
      <c r="P300" s="1654"/>
      <c r="Q300" s="1654"/>
      <c r="R300" s="1654">
        <f>N303</f>
        <v>417.44999999999658</v>
      </c>
      <c r="S300" s="1654">
        <f t="shared" ref="S300:AH300" si="466">R303</f>
        <v>716.74999999999693</v>
      </c>
      <c r="T300" s="1654">
        <f t="shared" si="466"/>
        <v>480.04999999999711</v>
      </c>
      <c r="U300" s="1654">
        <f t="shared" si="466"/>
        <v>660.04999999999757</v>
      </c>
      <c r="V300" s="1654">
        <f t="shared" si="466"/>
        <v>708.04999999999757</v>
      </c>
      <c r="W300" s="1654">
        <f t="shared" si="466"/>
        <v>397.04999999999757</v>
      </c>
      <c r="X300" s="1654"/>
      <c r="Y300" s="1654"/>
      <c r="Z300" s="2801">
        <f>W303</f>
        <v>428.04999999999757</v>
      </c>
      <c r="AA300" s="2801">
        <f>Z303</f>
        <v>317.04999999999757</v>
      </c>
      <c r="AB300" s="2801"/>
      <c r="AC300" s="2801">
        <f>AA303</f>
        <v>598.04999999999757</v>
      </c>
      <c r="AD300" s="2801">
        <f t="shared" ca="1" si="466"/>
        <v>500.04999999999757</v>
      </c>
      <c r="AE300" s="2801">
        <f t="shared" ca="1" si="466"/>
        <v>728.90605644045525</v>
      </c>
      <c r="AF300" s="2801">
        <f t="shared" ca="1" si="466"/>
        <v>500.00000000000011</v>
      </c>
      <c r="AG300" s="1654">
        <f t="shared" ca="1" si="466"/>
        <v>594.84517839930379</v>
      </c>
      <c r="AH300" s="1654">
        <f t="shared" ca="1" si="466"/>
        <v>782.87927562123525</v>
      </c>
      <c r="AI300" s="1654">
        <f t="shared" ref="AI300:AN300" ca="1" si="467">AH303</f>
        <v>727.58767288626007</v>
      </c>
      <c r="AJ300" s="1654">
        <f t="shared" ca="1" si="467"/>
        <v>500.00000000000011</v>
      </c>
      <c r="AK300" s="1654">
        <f t="shared" ca="1" si="467"/>
        <v>500.00000000000011</v>
      </c>
      <c r="AL300" s="1654">
        <f t="shared" ca="1" si="467"/>
        <v>500.00000000000011</v>
      </c>
      <c r="AM300" s="1654">
        <f t="shared" ca="1" si="467"/>
        <v>500.00000000000011</v>
      </c>
      <c r="AN300" s="1654">
        <f t="shared" ca="1" si="467"/>
        <v>500.00000000000011</v>
      </c>
      <c r="AO300" s="90"/>
      <c r="AP300" s="1108"/>
      <c r="AQ300" s="1654"/>
      <c r="AR300" s="1654"/>
      <c r="AS300" s="1654"/>
      <c r="AT300" s="1688"/>
      <c r="AU300" s="1108"/>
      <c r="AV300" s="1108"/>
      <c r="AW300" s="1689"/>
      <c r="AX300" s="1689"/>
      <c r="AY300" s="1689"/>
      <c r="AZ300" s="1689"/>
      <c r="BA300" s="1689"/>
      <c r="BB300" s="1689"/>
      <c r="BC300" s="1689"/>
      <c r="BD300" s="1689"/>
      <c r="BE300" s="1689"/>
      <c r="BF300" s="1689"/>
      <c r="BG300" s="1689"/>
      <c r="BH300" s="1689"/>
      <c r="BI300" s="1689"/>
      <c r="BJ300" s="1689"/>
      <c r="BK300" s="1689"/>
      <c r="BL300" s="1689"/>
      <c r="BM300" s="1689"/>
      <c r="BN300" s="1689"/>
      <c r="BO300" s="1689"/>
      <c r="BP300" s="1689"/>
      <c r="BQ300" s="1689"/>
      <c r="BR300" s="1689"/>
      <c r="BS300" s="1689"/>
      <c r="BT300" s="1689"/>
      <c r="BU300" s="1689"/>
      <c r="BV300" s="1689"/>
      <c r="BW300" s="1689"/>
      <c r="BX300" s="1689"/>
      <c r="BY300" s="1689"/>
      <c r="BZ300" s="1689"/>
      <c r="CA300" s="1689"/>
      <c r="CB300" s="1689"/>
      <c r="CC300" s="1689"/>
      <c r="CD300" s="1689"/>
      <c r="CE300" s="1689"/>
      <c r="CF300" s="1689"/>
      <c r="CG300" s="1689"/>
      <c r="CH300" s="1689"/>
      <c r="CI300" s="1689"/>
      <c r="CJ300" s="1689"/>
      <c r="CK300" s="1689"/>
      <c r="CL300" s="1689"/>
      <c r="CM300" s="1689"/>
      <c r="CN300" s="1689"/>
      <c r="CO300" s="1689"/>
      <c r="CP300" s="1689"/>
      <c r="CQ300" s="1689"/>
      <c r="CR300" s="1689"/>
      <c r="CS300" s="1689"/>
      <c r="CT300" s="1601"/>
      <c r="CU300" s="1601"/>
      <c r="CV300" s="1601"/>
      <c r="CW300" s="1689"/>
      <c r="CX300" s="1689"/>
      <c r="CY300" s="1601"/>
      <c r="CZ300" s="1601"/>
      <c r="DA300" s="1601"/>
      <c r="DB300" s="1689"/>
      <c r="DC300" s="2925"/>
      <c r="DD300" s="1689"/>
      <c r="DE300" s="1689"/>
      <c r="DF300" s="1689"/>
      <c r="DG300" s="1689"/>
      <c r="DH300" s="1689"/>
      <c r="DI300" s="1689"/>
      <c r="DJ300" s="1689"/>
      <c r="DK300" s="1689"/>
      <c r="DL300" s="1689"/>
      <c r="DM300" s="1689"/>
      <c r="DN300" s="1689"/>
      <c r="DO300" s="1689"/>
      <c r="DP300" s="1689"/>
      <c r="DQ300" s="1689"/>
      <c r="DR300" s="1689"/>
    </row>
    <row r="301" spans="1:122">
      <c r="A301" s="1711" t="s">
        <v>831</v>
      </c>
      <c r="B301" s="1655">
        <v>0</v>
      </c>
      <c r="C301" s="1655">
        <v>0</v>
      </c>
      <c r="D301" s="1655">
        <v>0</v>
      </c>
      <c r="E301" s="1655">
        <v>0</v>
      </c>
      <c r="F301" s="1437">
        <v>0</v>
      </c>
      <c r="G301" s="1437">
        <v>0</v>
      </c>
      <c r="H301" s="1655"/>
      <c r="I301" s="1655">
        <v>0</v>
      </c>
      <c r="J301" s="1437">
        <v>0</v>
      </c>
      <c r="K301" s="1437">
        <v>0</v>
      </c>
      <c r="L301" s="1655">
        <v>150</v>
      </c>
      <c r="M301" s="1655">
        <v>0</v>
      </c>
      <c r="N301" s="1655">
        <v>-3.3</v>
      </c>
      <c r="O301" s="1369"/>
      <c r="P301" s="1655"/>
      <c r="Q301" s="1655"/>
      <c r="R301" s="1655">
        <v>2.1</v>
      </c>
      <c r="S301" s="1655">
        <v>0</v>
      </c>
      <c r="T301" s="1655">
        <v>0</v>
      </c>
      <c r="U301" s="1655">
        <v>0</v>
      </c>
      <c r="V301" s="1655">
        <v>0</v>
      </c>
      <c r="W301" s="1655">
        <v>0</v>
      </c>
      <c r="X301" s="1655"/>
      <c r="Y301" s="1655"/>
      <c r="Z301" s="1655">
        <v>-6</v>
      </c>
      <c r="AA301" s="1655">
        <v>-18</v>
      </c>
      <c r="AB301" s="1655"/>
      <c r="AC301" s="1655">
        <v>0</v>
      </c>
      <c r="AD301" s="1655">
        <v>0</v>
      </c>
      <c r="AE301" s="1655">
        <v>0</v>
      </c>
      <c r="AF301" s="1655">
        <v>0</v>
      </c>
      <c r="AG301" s="1655">
        <v>0</v>
      </c>
      <c r="AH301" s="1655">
        <v>0</v>
      </c>
      <c r="AI301" s="1655">
        <v>0</v>
      </c>
      <c r="AJ301" s="1655">
        <v>0</v>
      </c>
      <c r="AK301" s="1655">
        <v>0</v>
      </c>
      <c r="AL301" s="1655">
        <v>0</v>
      </c>
      <c r="AM301" s="1655">
        <v>0</v>
      </c>
      <c r="AN301" s="1655">
        <v>0</v>
      </c>
      <c r="AO301" s="90"/>
      <c r="AP301" s="1108"/>
      <c r="AQ301" s="1655"/>
      <c r="AR301" s="1655"/>
      <c r="AS301" s="1655"/>
      <c r="AT301" s="1688"/>
      <c r="AU301" s="1108"/>
      <c r="AV301" s="1108"/>
      <c r="AW301" s="1689"/>
      <c r="AX301" s="1689"/>
      <c r="AY301" s="1689"/>
      <c r="AZ301" s="1689"/>
      <c r="BA301" s="1689"/>
      <c r="BB301" s="1689"/>
      <c r="BC301" s="1689"/>
      <c r="BD301" s="1689"/>
      <c r="BE301" s="1689"/>
      <c r="BF301" s="1689"/>
      <c r="BG301" s="1689"/>
      <c r="BH301" s="1689"/>
      <c r="BI301" s="1689"/>
      <c r="BJ301" s="1689"/>
      <c r="BK301" s="1689"/>
      <c r="BL301" s="1689"/>
      <c r="BM301" s="1689"/>
      <c r="BN301" s="1689"/>
      <c r="BO301" s="1689"/>
      <c r="BP301" s="1689"/>
      <c r="BQ301" s="1689"/>
      <c r="BR301" s="1689"/>
      <c r="BS301" s="1689"/>
      <c r="BT301" s="1689"/>
      <c r="BU301" s="1689"/>
      <c r="BV301" s="1689"/>
      <c r="BW301" s="1689"/>
      <c r="BX301" s="1689"/>
      <c r="BY301" s="1689"/>
      <c r="BZ301" s="1689"/>
      <c r="CA301" s="1689"/>
      <c r="CB301" s="1689"/>
      <c r="CC301" s="1689"/>
      <c r="CD301" s="1689"/>
      <c r="CE301" s="1689"/>
      <c r="CF301" s="1689"/>
      <c r="CG301" s="1689"/>
      <c r="CH301" s="1689"/>
      <c r="CI301" s="1689"/>
      <c r="CJ301" s="1689"/>
      <c r="CK301" s="1689"/>
      <c r="CL301" s="1689"/>
      <c r="CM301" s="1689"/>
      <c r="CN301" s="1689"/>
      <c r="CO301" s="1689"/>
      <c r="CP301" s="1689"/>
      <c r="CQ301" s="1689"/>
      <c r="CR301" s="1689"/>
      <c r="CS301" s="1689"/>
      <c r="CT301" s="1601"/>
      <c r="CU301" s="1601"/>
      <c r="CV301" s="1601"/>
      <c r="CW301" s="1689"/>
      <c r="CX301" s="1689"/>
      <c r="CY301" s="1601"/>
      <c r="CZ301" s="1601"/>
      <c r="DA301" s="1601"/>
      <c r="DB301" s="1689"/>
      <c r="DC301" s="2925"/>
      <c r="DD301" s="1689"/>
      <c r="DE301" s="1689"/>
      <c r="DF301" s="1689"/>
      <c r="DG301" s="1689"/>
      <c r="DH301" s="1689"/>
      <c r="DI301" s="1689"/>
      <c r="DJ301" s="1689"/>
      <c r="DK301" s="1689"/>
      <c r="DL301" s="1689"/>
      <c r="DM301" s="1689"/>
      <c r="DN301" s="1689"/>
      <c r="DO301" s="1689"/>
      <c r="DP301" s="1689"/>
      <c r="DQ301" s="1689"/>
      <c r="DR301" s="1689"/>
    </row>
    <row r="302" spans="1:122">
      <c r="A302" s="1711" t="s">
        <v>528</v>
      </c>
      <c r="B302" s="1105">
        <f t="shared" ref="B302:G302" si="468">B277+B286+B298+B301</f>
        <v>219.29999999999995</v>
      </c>
      <c r="C302" s="1105">
        <f t="shared" si="468"/>
        <v>77.499999999998181</v>
      </c>
      <c r="D302" s="1105">
        <f t="shared" si="468"/>
        <v>96.100000000000335</v>
      </c>
      <c r="E302" s="1105">
        <f t="shared" si="468"/>
        <v>-143.09999999999991</v>
      </c>
      <c r="F302" s="1105">
        <f t="shared" si="468"/>
        <v>26.100000000000627</v>
      </c>
      <c r="G302" s="1105">
        <f t="shared" si="468"/>
        <v>51.600000000004258</v>
      </c>
      <c r="H302" s="1366"/>
      <c r="I302" s="1798">
        <f>I277+I286+I298+I301</f>
        <v>219.30000000000064</v>
      </c>
      <c r="J302" s="1798">
        <f>J277+J286+J298+J301</f>
        <v>77.500000000005002</v>
      </c>
      <c r="K302" s="1798">
        <f>K277+K286+K298+K301</f>
        <v>727.10000000000082</v>
      </c>
      <c r="L302" s="1798">
        <f>L277+L286+L298+L301</f>
        <v>1569.25</v>
      </c>
      <c r="M302" s="1713">
        <f>IF(L186&gt;(M277+M286),MAX(M277+M286+SUM(M289:M297),-L186),(M277+M286+M298))</f>
        <v>-1724.3000000000002</v>
      </c>
      <c r="N302" s="1713">
        <f>IF(M186&gt;(N277+N286),MAX(N277+N286+SUM(N289:N297),-M186),(N277+N286+N298))</f>
        <v>-929.50000000000341</v>
      </c>
      <c r="O302" s="1369"/>
      <c r="P302" s="1713"/>
      <c r="Q302" s="1713"/>
      <c r="R302" s="1713">
        <f>R277+R286+R298</f>
        <v>297.20000000000033</v>
      </c>
      <c r="S302" s="1713">
        <f>IF(R186&gt;(S277+S286),MAX(S277+S286+SUM(S289:S297),-R186),(S277+S286+S298))</f>
        <v>-236.69999999999982</v>
      </c>
      <c r="T302" s="1713">
        <f>IF(S186&gt;(T277+T286),MAX(T277+T286+SUM(T289:T297),-S186),(T277+T286+T298))</f>
        <v>180.00000000000045</v>
      </c>
      <c r="U302" s="1713">
        <f>IF(T186&gt;(U277+U286),MAX(U277+U286+SUM(U289:U297),-T186),(U277+U286+U298))</f>
        <v>48</v>
      </c>
      <c r="V302" s="1713">
        <f>IF(U186&gt;(V277+V286),MAX(V277+V286+SUM(V289:V297),-U186),(V277+V286+V298))</f>
        <v>-311</v>
      </c>
      <c r="W302" s="1713">
        <f>IF(V186&gt;(W277+W286),MAX(W277+W286+SUM(W289:W297),-V186),(W277+W286+W298))</f>
        <v>31</v>
      </c>
      <c r="X302" s="1713"/>
      <c r="Y302" s="1713"/>
      <c r="Z302" s="1713">
        <f>+Z277+Z286+Z298</f>
        <v>-105</v>
      </c>
      <c r="AA302" s="1713">
        <f>+AA277+AA286+AA298</f>
        <v>299</v>
      </c>
      <c r="AB302" s="1713"/>
      <c r="AC302" s="1713">
        <f t="shared" ref="AC302:AM302" ca="1" si="469">+AC277+AC286+AC298</f>
        <v>-98</v>
      </c>
      <c r="AD302" s="1713">
        <f t="shared" ca="1" si="469"/>
        <v>228.85605644045768</v>
      </c>
      <c r="AE302" s="1713">
        <f t="shared" ca="1" si="469"/>
        <v>-228.90605644045513</v>
      </c>
      <c r="AF302" s="1713">
        <f t="shared" ca="1" si="469"/>
        <v>94.845178399303677</v>
      </c>
      <c r="AG302" s="1713">
        <f t="shared" ca="1" si="469"/>
        <v>188.03409722193146</v>
      </c>
      <c r="AH302" s="1713">
        <f t="shared" ca="1" si="469"/>
        <v>-55.291602734975186</v>
      </c>
      <c r="AI302" s="1713">
        <f t="shared" ca="1" si="469"/>
        <v>-227.58767288625995</v>
      </c>
      <c r="AJ302" s="1713">
        <f t="shared" ca="1" si="469"/>
        <v>0</v>
      </c>
      <c r="AK302" s="1713">
        <f t="shared" ca="1" si="469"/>
        <v>0</v>
      </c>
      <c r="AL302" s="1713">
        <f t="shared" ca="1" si="469"/>
        <v>0</v>
      </c>
      <c r="AM302" s="1713">
        <f t="shared" ca="1" si="469"/>
        <v>0</v>
      </c>
      <c r="AN302" s="1713">
        <f t="shared" ref="AN302" ca="1" si="470">+AN277+AN286+AN298</f>
        <v>0</v>
      </c>
      <c r="AO302" s="90"/>
      <c r="AP302" s="1108"/>
      <c r="AQ302" s="1713"/>
      <c r="AR302" s="1713"/>
      <c r="AS302" s="1713"/>
      <c r="AT302" s="1688"/>
      <c r="AU302" s="1108"/>
      <c r="AV302" s="1108"/>
      <c r="AW302" s="1689"/>
      <c r="AX302" s="1689"/>
      <c r="AY302" s="1689"/>
      <c r="AZ302" s="1689"/>
      <c r="BA302" s="1689"/>
      <c r="BB302" s="1689"/>
      <c r="BC302" s="1689"/>
      <c r="BD302" s="1689"/>
      <c r="BE302" s="1689"/>
      <c r="BF302" s="1689"/>
      <c r="BG302" s="1689"/>
      <c r="BH302" s="1689"/>
      <c r="BI302" s="1689"/>
      <c r="BJ302" s="1689"/>
      <c r="BK302" s="1689"/>
      <c r="BL302" s="1689"/>
      <c r="BM302" s="1689"/>
      <c r="BN302" s="1689"/>
      <c r="BO302" s="1689"/>
      <c r="BP302" s="1689"/>
      <c r="BQ302" s="1689"/>
      <c r="BR302" s="1689"/>
      <c r="BS302" s="1689"/>
      <c r="BT302" s="1689"/>
      <c r="BU302" s="1689"/>
      <c r="BV302" s="1689"/>
      <c r="BW302" s="1689"/>
      <c r="BX302" s="1689"/>
      <c r="BY302" s="1689"/>
      <c r="BZ302" s="1689"/>
      <c r="CA302" s="1689"/>
      <c r="CB302" s="1689"/>
      <c r="CC302" s="1689"/>
      <c r="CD302" s="1689"/>
      <c r="CE302" s="1689"/>
      <c r="CF302" s="1689"/>
      <c r="CG302" s="1689"/>
      <c r="CH302" s="1689"/>
      <c r="CI302" s="1689"/>
      <c r="CJ302" s="1689"/>
      <c r="CK302" s="1689"/>
      <c r="CL302" s="1689"/>
      <c r="CM302" s="1689"/>
      <c r="CN302" s="1689"/>
      <c r="CO302" s="1689"/>
      <c r="CP302" s="1689"/>
      <c r="CQ302" s="1689"/>
      <c r="CR302" s="1689"/>
      <c r="CS302" s="1689"/>
      <c r="CT302" s="1601"/>
      <c r="CU302" s="1601"/>
      <c r="CV302" s="1601"/>
      <c r="CW302" s="1689"/>
      <c r="CX302" s="1689"/>
      <c r="CY302" s="1601"/>
      <c r="CZ302" s="1601"/>
      <c r="DA302" s="1601"/>
      <c r="DB302" s="1689"/>
      <c r="DC302" s="2925"/>
      <c r="DD302" s="1689"/>
      <c r="DE302" s="1689"/>
      <c r="DF302" s="1689"/>
      <c r="DG302" s="1689"/>
      <c r="DH302" s="1689"/>
      <c r="DI302" s="1689"/>
      <c r="DJ302" s="1689"/>
      <c r="DK302" s="1689"/>
      <c r="DL302" s="1689"/>
      <c r="DM302" s="1689"/>
      <c r="DN302" s="1689"/>
      <c r="DO302" s="1689"/>
      <c r="DP302" s="1689"/>
      <c r="DQ302" s="1689"/>
      <c r="DR302" s="1689"/>
    </row>
    <row r="303" spans="1:122" ht="13.5" thickBot="1">
      <c r="A303" s="2341" t="s">
        <v>578</v>
      </c>
      <c r="B303" s="2342">
        <f t="shared" ref="B303:G303" si="471">B300+B302</f>
        <v>850.69999999999993</v>
      </c>
      <c r="C303" s="2342">
        <f t="shared" si="471"/>
        <v>928.19999999999811</v>
      </c>
      <c r="D303" s="2342">
        <f t="shared" si="471"/>
        <v>293.10000000000036</v>
      </c>
      <c r="E303" s="2342">
        <f t="shared" si="471"/>
        <v>150.00000000000045</v>
      </c>
      <c r="F303" s="2342">
        <f t="shared" si="471"/>
        <v>26.100000000000627</v>
      </c>
      <c r="G303" s="2342">
        <f t="shared" si="471"/>
        <v>77.700000000004877</v>
      </c>
      <c r="H303" s="2342"/>
      <c r="I303" s="1714">
        <f>I300+I302</f>
        <v>850.70000000000061</v>
      </c>
      <c r="J303" s="1714">
        <f>J300+J302</f>
        <v>928.20000000000562</v>
      </c>
      <c r="K303" s="1714">
        <f>K186</f>
        <v>1505.3</v>
      </c>
      <c r="L303" s="1714">
        <f>L300+L302</f>
        <v>3074.55</v>
      </c>
      <c r="M303" s="1714">
        <f>M300+M302</f>
        <v>1350.25</v>
      </c>
      <c r="N303" s="1714">
        <f>N300+N302+N301</f>
        <v>417.44999999999658</v>
      </c>
      <c r="O303" s="2343"/>
      <c r="P303" s="1714"/>
      <c r="Q303" s="1714"/>
      <c r="R303" s="1714">
        <f>R300+R302+R301</f>
        <v>716.74999999999693</v>
      </c>
      <c r="S303" s="1714">
        <f t="shared" ref="S303:AH303" si="472">S300+S302</f>
        <v>480.04999999999711</v>
      </c>
      <c r="T303" s="1714">
        <f t="shared" si="472"/>
        <v>660.04999999999757</v>
      </c>
      <c r="U303" s="1714">
        <f t="shared" si="472"/>
        <v>708.04999999999757</v>
      </c>
      <c r="V303" s="1714">
        <f t="shared" si="472"/>
        <v>397.04999999999757</v>
      </c>
      <c r="W303" s="1714">
        <f t="shared" si="472"/>
        <v>428.04999999999757</v>
      </c>
      <c r="X303" s="1714"/>
      <c r="Y303" s="1714"/>
      <c r="Z303" s="1714">
        <f>Z300+Z301+Z302</f>
        <v>317.04999999999757</v>
      </c>
      <c r="AA303" s="1714">
        <f>AA300+AA301+AA302</f>
        <v>598.04999999999757</v>
      </c>
      <c r="AB303" s="1714"/>
      <c r="AC303" s="1714">
        <f ca="1">AC300+AC301+AC302</f>
        <v>500.04999999999757</v>
      </c>
      <c r="AD303" s="1714">
        <f ca="1">AD300+AD302</f>
        <v>728.90605644045525</v>
      </c>
      <c r="AE303" s="1714">
        <f t="shared" ca="1" si="472"/>
        <v>500.00000000000011</v>
      </c>
      <c r="AF303" s="1714">
        <f t="shared" ca="1" si="472"/>
        <v>594.84517839930379</v>
      </c>
      <c r="AG303" s="1714">
        <f t="shared" ca="1" si="472"/>
        <v>782.87927562123525</v>
      </c>
      <c r="AH303" s="1714">
        <f t="shared" ca="1" si="472"/>
        <v>727.58767288626007</v>
      </c>
      <c r="AI303" s="1714">
        <f t="shared" ref="AI303:AN303" ca="1" si="473">AI300+AI302</f>
        <v>500.00000000000011</v>
      </c>
      <c r="AJ303" s="1714">
        <f t="shared" ca="1" si="473"/>
        <v>500.00000000000011</v>
      </c>
      <c r="AK303" s="1714">
        <f t="shared" ca="1" si="473"/>
        <v>500.00000000000011</v>
      </c>
      <c r="AL303" s="1714">
        <f t="shared" ca="1" si="473"/>
        <v>500.00000000000011</v>
      </c>
      <c r="AM303" s="1714">
        <f t="shared" ca="1" si="473"/>
        <v>500.00000000000011</v>
      </c>
      <c r="AN303" s="1714">
        <f t="shared" ca="1" si="473"/>
        <v>500.00000000000011</v>
      </c>
      <c r="AO303" s="90"/>
      <c r="AP303" s="1108"/>
      <c r="AQ303" s="1715"/>
      <c r="AR303" s="1715"/>
      <c r="AS303" s="1715"/>
      <c r="AT303" s="1716"/>
      <c r="AU303" s="1108"/>
      <c r="AV303" s="1108"/>
      <c r="AW303" s="1689"/>
      <c r="AX303" s="1689"/>
      <c r="AY303" s="1689"/>
      <c r="AZ303" s="1689"/>
      <c r="BA303" s="1689"/>
      <c r="BB303" s="1689"/>
      <c r="BC303" s="1689"/>
      <c r="BD303" s="1689"/>
      <c r="BE303" s="1689"/>
      <c r="BF303" s="1689"/>
      <c r="BG303" s="1689"/>
      <c r="BH303" s="1689"/>
      <c r="BI303" s="1689"/>
      <c r="BJ303" s="1689"/>
      <c r="BK303" s="1689"/>
      <c r="BL303" s="1689"/>
      <c r="BM303" s="1689"/>
      <c r="BN303" s="1689"/>
      <c r="BO303" s="1689"/>
      <c r="BP303" s="1689"/>
      <c r="BQ303" s="1689"/>
      <c r="BR303" s="1689"/>
      <c r="BS303" s="1689"/>
      <c r="BT303" s="1689"/>
      <c r="BU303" s="1689"/>
      <c r="BV303" s="1689"/>
      <c r="BW303" s="1689"/>
      <c r="BX303" s="1689"/>
      <c r="BY303" s="1689"/>
      <c r="BZ303" s="1689"/>
      <c r="CA303" s="1689"/>
      <c r="CB303" s="1689"/>
      <c r="CC303" s="1689"/>
      <c r="CD303" s="1689"/>
      <c r="CE303" s="1689"/>
      <c r="CF303" s="1689"/>
      <c r="CG303" s="1689"/>
      <c r="CH303" s="1689"/>
      <c r="CI303" s="1689"/>
      <c r="CJ303" s="1689"/>
      <c r="CK303" s="1689"/>
      <c r="CL303" s="1689"/>
      <c r="CM303" s="1689"/>
      <c r="CN303" s="1689"/>
      <c r="CO303" s="1689"/>
      <c r="CP303" s="1689"/>
      <c r="CQ303" s="1689"/>
      <c r="CR303" s="1689"/>
      <c r="CS303" s="1689"/>
      <c r="CT303" s="1601"/>
      <c r="CU303" s="1601"/>
      <c r="CV303" s="1601"/>
      <c r="CW303" s="1689"/>
      <c r="CX303" s="1689"/>
      <c r="CY303" s="1601"/>
      <c r="CZ303" s="1601"/>
      <c r="DA303" s="1601"/>
      <c r="DB303" s="1689"/>
      <c r="DC303" s="2925"/>
      <c r="DD303" s="1689"/>
      <c r="DE303" s="1689"/>
      <c r="DF303" s="1689"/>
      <c r="DG303" s="1689"/>
      <c r="DH303" s="1689"/>
      <c r="DI303" s="1689"/>
      <c r="DJ303" s="1689"/>
      <c r="DK303" s="1689"/>
      <c r="DL303" s="1689"/>
      <c r="DM303" s="1689"/>
      <c r="DN303" s="1689"/>
      <c r="DO303" s="1689"/>
      <c r="DP303" s="1689"/>
      <c r="DQ303" s="1689"/>
      <c r="DR303" s="1689"/>
    </row>
    <row r="304" spans="1:122" ht="13.5" thickTop="1">
      <c r="A304" s="1691"/>
      <c r="B304" s="1687"/>
      <c r="C304" s="1687"/>
      <c r="D304" s="1687"/>
      <c r="E304" s="1687"/>
      <c r="F304" s="1687"/>
      <c r="G304" s="1687"/>
      <c r="H304" s="1687"/>
      <c r="I304" s="1687"/>
      <c r="J304" s="1688"/>
      <c r="K304" s="1689"/>
      <c r="L304" s="1689"/>
      <c r="M304" s="1687"/>
      <c r="N304" s="1687"/>
      <c r="O304" s="1369"/>
      <c r="P304" s="1687"/>
      <c r="Q304" s="1687"/>
      <c r="R304" s="1562">
        <f t="shared" ref="R304:AH304" si="474">IF(ABS(R186-R303)&lt;0.1,0,R303-R186)</f>
        <v>0</v>
      </c>
      <c r="S304" s="1562">
        <f t="shared" si="474"/>
        <v>0</v>
      </c>
      <c r="T304" s="1562">
        <f t="shared" si="474"/>
        <v>0</v>
      </c>
      <c r="U304" s="1562">
        <f t="shared" si="474"/>
        <v>0</v>
      </c>
      <c r="V304" s="1562">
        <f t="shared" si="474"/>
        <v>0</v>
      </c>
      <c r="W304" s="1562">
        <f t="shared" si="474"/>
        <v>0</v>
      </c>
      <c r="X304" s="1562"/>
      <c r="Y304" s="1562"/>
      <c r="Z304" s="1562">
        <f>IF(ABS(Z186-Z303)&lt;0.1,0,Z303-Z186)</f>
        <v>0</v>
      </c>
      <c r="AA304" s="1562">
        <f>IF(ABS(AA186-AA303)&lt;0.1,0,AA303-AA186)</f>
        <v>0</v>
      </c>
      <c r="AB304" s="1562"/>
      <c r="AC304" s="1562">
        <f t="shared" ca="1" si="474"/>
        <v>0</v>
      </c>
      <c r="AD304" s="1562">
        <f t="shared" ca="1" si="474"/>
        <v>0</v>
      </c>
      <c r="AE304" s="1562">
        <f t="shared" ca="1" si="474"/>
        <v>0</v>
      </c>
      <c r="AF304" s="1562">
        <f t="shared" ca="1" si="474"/>
        <v>0</v>
      </c>
      <c r="AG304" s="1562">
        <f t="shared" ca="1" si="474"/>
        <v>0</v>
      </c>
      <c r="AH304" s="1562">
        <f t="shared" ca="1" si="474"/>
        <v>0</v>
      </c>
      <c r="AI304" s="1562">
        <f t="shared" ref="AI304:AN304" ca="1" si="475">IF(ABS(AI186-AI303)&lt;0.1,0,AI303-AI186)</f>
        <v>0</v>
      </c>
      <c r="AJ304" s="1562">
        <f t="shared" ca="1" si="475"/>
        <v>0</v>
      </c>
      <c r="AK304" s="1562">
        <f t="shared" ca="1" si="475"/>
        <v>0</v>
      </c>
      <c r="AL304" s="1562">
        <f t="shared" ca="1" si="475"/>
        <v>0</v>
      </c>
      <c r="AM304" s="1562">
        <f t="shared" ca="1" si="475"/>
        <v>0</v>
      </c>
      <c r="AN304" s="1562">
        <f t="shared" ca="1" si="475"/>
        <v>0</v>
      </c>
      <c r="AO304" s="90"/>
      <c r="AP304" s="1108"/>
      <c r="AQ304" s="1562"/>
      <c r="AR304" s="1562"/>
      <c r="AS304" s="1562"/>
      <c r="AT304" s="1688"/>
      <c r="AU304" s="1108"/>
      <c r="AV304" s="1108"/>
      <c r="AW304" s="1689"/>
      <c r="AX304" s="1689"/>
      <c r="AY304" s="1689"/>
      <c r="AZ304" s="1689"/>
      <c r="BA304" s="1689"/>
      <c r="BB304" s="1689"/>
      <c r="BC304" s="1689"/>
      <c r="BD304" s="1689"/>
      <c r="BE304" s="1689"/>
      <c r="BF304" s="1689"/>
      <c r="BG304" s="1689"/>
      <c r="BH304" s="1689"/>
      <c r="BI304" s="1689"/>
      <c r="BJ304" s="1689"/>
      <c r="BK304" s="1689"/>
      <c r="BL304" s="1689"/>
      <c r="BM304" s="1689"/>
      <c r="BN304" s="1689"/>
      <c r="BO304" s="1689"/>
      <c r="BP304" s="1689"/>
      <c r="BQ304" s="1689"/>
      <c r="BR304" s="1689"/>
      <c r="BS304" s="1689"/>
      <c r="BT304" s="1689"/>
      <c r="BU304" s="1689"/>
      <c r="BV304" s="1689"/>
      <c r="BW304" s="1689"/>
      <c r="BX304" s="1689"/>
      <c r="BY304" s="1689"/>
      <c r="BZ304" s="1689"/>
      <c r="CA304" s="1689"/>
      <c r="CB304" s="1689"/>
      <c r="CC304" s="1689"/>
      <c r="CD304" s="1689"/>
      <c r="CE304" s="1689"/>
      <c r="CF304" s="1689"/>
      <c r="CG304" s="1689"/>
      <c r="CH304" s="1689"/>
      <c r="CI304" s="1689"/>
      <c r="CJ304" s="1689"/>
      <c r="CK304" s="1689"/>
      <c r="CL304" s="1689"/>
      <c r="CM304" s="1689"/>
      <c r="CN304" s="1689"/>
      <c r="CO304" s="1689"/>
      <c r="CP304" s="1689"/>
      <c r="CQ304" s="1689"/>
      <c r="CR304" s="1689"/>
      <c r="CS304" s="1689"/>
      <c r="CT304" s="1601"/>
      <c r="CU304" s="1601"/>
      <c r="CV304" s="1601"/>
      <c r="CW304" s="1689"/>
      <c r="CX304" s="1689"/>
      <c r="CY304" s="1601"/>
      <c r="CZ304" s="1601"/>
      <c r="DA304" s="1601"/>
      <c r="DB304" s="1689"/>
      <c r="DC304" s="2925"/>
      <c r="DD304" s="1689"/>
      <c r="DE304" s="1689"/>
      <c r="DF304" s="1689"/>
      <c r="DG304" s="1689"/>
      <c r="DH304" s="1689"/>
      <c r="DI304" s="1689"/>
      <c r="DJ304" s="1689"/>
      <c r="DK304" s="1689"/>
      <c r="DL304" s="1689"/>
      <c r="DM304" s="1689"/>
      <c r="DN304" s="1689"/>
      <c r="DO304" s="1689"/>
      <c r="DP304" s="1689"/>
      <c r="DQ304" s="1689"/>
      <c r="DR304" s="1689"/>
    </row>
    <row r="305" spans="1:122">
      <c r="A305" s="2139" t="s">
        <v>430</v>
      </c>
      <c r="B305" s="1687"/>
      <c r="C305" s="1687"/>
      <c r="D305" s="1687"/>
      <c r="E305" s="1687"/>
      <c r="F305" s="1687"/>
      <c r="G305" s="1687"/>
      <c r="H305" s="1687"/>
      <c r="I305" s="1687"/>
      <c r="J305" s="1687"/>
      <c r="K305" s="1689"/>
      <c r="L305" s="1687"/>
      <c r="M305" s="1687"/>
      <c r="N305" s="1687"/>
      <c r="O305" s="1369"/>
      <c r="P305" s="1687"/>
      <c r="Q305" s="1687"/>
      <c r="R305" s="1687"/>
      <c r="S305" s="1687"/>
      <c r="T305" s="1687"/>
      <c r="U305" s="1687"/>
      <c r="V305" s="1687"/>
      <c r="W305" s="1687"/>
      <c r="X305" s="1687"/>
      <c r="Y305" s="1687"/>
      <c r="Z305" s="1687"/>
      <c r="AA305" s="1687"/>
      <c r="AB305" s="1687"/>
      <c r="AC305" s="1687"/>
      <c r="AD305" s="1687"/>
      <c r="AE305" s="1687"/>
      <c r="AF305" s="1687"/>
      <c r="AG305" s="1687"/>
      <c r="AH305" s="1687"/>
      <c r="AI305" s="1687"/>
      <c r="AJ305" s="1687"/>
      <c r="AK305" s="1687"/>
      <c r="AL305" s="1687"/>
      <c r="AM305" s="1687"/>
      <c r="AN305" s="1687"/>
      <c r="AO305" s="1687"/>
      <c r="AP305" s="1687"/>
      <c r="AQ305" s="1687"/>
      <c r="AR305" s="1687"/>
      <c r="AS305" s="1687"/>
      <c r="AT305" s="1688"/>
      <c r="AU305" s="1108"/>
      <c r="AV305" s="1108"/>
      <c r="AW305" s="1689"/>
      <c r="AX305" s="1689"/>
      <c r="AY305" s="1689"/>
      <c r="AZ305" s="1689"/>
      <c r="BA305" s="1689"/>
      <c r="BB305" s="1689"/>
      <c r="BC305" s="1689"/>
      <c r="BD305" s="1689"/>
      <c r="BE305" s="1689"/>
      <c r="BF305" s="1689"/>
      <c r="BG305" s="1689"/>
      <c r="BH305" s="1689"/>
      <c r="BI305" s="1689"/>
      <c r="BJ305" s="1689"/>
      <c r="BK305" s="1689"/>
      <c r="BL305" s="1689"/>
      <c r="BM305" s="1689"/>
      <c r="BN305" s="1689"/>
      <c r="BO305" s="1689"/>
      <c r="BP305" s="1689"/>
      <c r="BQ305" s="1689"/>
      <c r="BR305" s="1689"/>
      <c r="BS305" s="1689"/>
      <c r="BT305" s="1689"/>
      <c r="BU305" s="1689"/>
      <c r="BV305" s="1689"/>
      <c r="BW305" s="1689"/>
      <c r="BX305" s="1689"/>
      <c r="BY305" s="1689"/>
      <c r="BZ305" s="1689"/>
      <c r="CA305" s="1689"/>
      <c r="CB305" s="1689"/>
      <c r="CC305" s="1689"/>
      <c r="CD305" s="1689"/>
      <c r="CE305" s="1689"/>
      <c r="CF305" s="1689"/>
      <c r="CG305" s="1689"/>
      <c r="CH305" s="1689"/>
      <c r="CI305" s="1689"/>
      <c r="CJ305" s="1689"/>
      <c r="CK305" s="1689"/>
      <c r="CL305" s="1689"/>
      <c r="CM305" s="1689"/>
      <c r="CN305" s="1689"/>
      <c r="CO305" s="1689"/>
      <c r="CP305" s="1689"/>
      <c r="CQ305" s="1689"/>
      <c r="CR305" s="1689"/>
      <c r="CS305" s="1689"/>
      <c r="CT305" s="1601"/>
      <c r="CU305" s="1601"/>
      <c r="CV305" s="1601"/>
      <c r="CW305" s="1689"/>
      <c r="CX305" s="1689"/>
      <c r="CY305" s="1601"/>
      <c r="CZ305" s="1601"/>
      <c r="DA305" s="1601"/>
      <c r="DB305" s="1689"/>
      <c r="DC305" s="2925"/>
      <c r="DD305" s="1689"/>
      <c r="DE305" s="1689"/>
      <c r="DF305" s="1689"/>
      <c r="DG305" s="1689"/>
      <c r="DH305" s="1689"/>
      <c r="DI305" s="1689"/>
      <c r="DJ305" s="1689"/>
      <c r="DK305" s="1689"/>
      <c r="DL305" s="1689"/>
      <c r="DM305" s="1689"/>
      <c r="DN305" s="1689"/>
      <c r="DO305" s="1689"/>
      <c r="DP305" s="1689"/>
      <c r="DQ305" s="1689"/>
      <c r="DR305" s="1689"/>
    </row>
    <row r="306" spans="1:122">
      <c r="A306" s="1711" t="s">
        <v>463</v>
      </c>
      <c r="B306" s="1687"/>
      <c r="C306" s="1687"/>
      <c r="D306" s="1687"/>
      <c r="E306" s="1687"/>
      <c r="F306" s="1687"/>
      <c r="G306" s="1687"/>
      <c r="H306" s="1687"/>
      <c r="I306" s="1654">
        <f>I156</f>
        <v>104.6</v>
      </c>
      <c r="J306" s="1654">
        <f t="shared" ref="J306:V306" si="476">J156</f>
        <v>415.2</v>
      </c>
      <c r="K306" s="1654">
        <f t="shared" si="476"/>
        <v>451.3</v>
      </c>
      <c r="L306" s="1654">
        <f t="shared" si="476"/>
        <v>519.1</v>
      </c>
      <c r="M306" s="1654">
        <f t="shared" si="476"/>
        <v>640.29999999999995</v>
      </c>
      <c r="N306" s="1654">
        <f t="shared" si="476"/>
        <v>705.4</v>
      </c>
      <c r="O306" s="1369"/>
      <c r="P306" s="1654"/>
      <c r="Q306" s="1654"/>
      <c r="R306" s="1654">
        <f t="shared" si="476"/>
        <v>297.3</v>
      </c>
      <c r="S306" s="1654">
        <f t="shared" si="476"/>
        <v>135.74</v>
      </c>
      <c r="T306" s="1654">
        <f t="shared" si="476"/>
        <v>199.2</v>
      </c>
      <c r="U306" s="1654">
        <f t="shared" si="476"/>
        <v>282.48</v>
      </c>
      <c r="V306" s="1654">
        <f t="shared" si="476"/>
        <v>294.70799999999997</v>
      </c>
      <c r="W306" s="1654">
        <f t="shared" ref="W306:AF306" si="477">W156</f>
        <v>297</v>
      </c>
      <c r="X306" s="1654"/>
      <c r="Y306" s="1654"/>
      <c r="Z306" s="1654">
        <f t="shared" si="477"/>
        <v>290.39999999999998</v>
      </c>
      <c r="AA306" s="1654">
        <f t="shared" si="477"/>
        <v>293.03999999999996</v>
      </c>
      <c r="AB306" s="1654"/>
      <c r="AC306" s="1654">
        <f>AC156</f>
        <v>289.48780987211035</v>
      </c>
      <c r="AD306" s="1654">
        <f t="shared" si="477"/>
        <v>293.05638720163483</v>
      </c>
      <c r="AE306" s="1654">
        <f t="shared" si="477"/>
        <v>303.62932707949994</v>
      </c>
      <c r="AF306" s="1654">
        <f t="shared" si="477"/>
        <v>310.93398317169579</v>
      </c>
      <c r="AG306" s="1654">
        <f t="shared" ref="AG306:AL306" si="478">AG156</f>
        <v>318.63599978386674</v>
      </c>
      <c r="AH306" s="1654">
        <f t="shared" si="478"/>
        <v>326.88266762162863</v>
      </c>
      <c r="AI306" s="1654">
        <f t="shared" si="478"/>
        <v>335.739175848944</v>
      </c>
      <c r="AJ306" s="1654">
        <f t="shared" si="478"/>
        <v>345.27905609726878</v>
      </c>
      <c r="AK306" s="1654">
        <f t="shared" si="478"/>
        <v>355.58521547587509</v>
      </c>
      <c r="AL306" s="1654">
        <f t="shared" si="478"/>
        <v>366.75109409194386</v>
      </c>
      <c r="AM306" s="1654">
        <f>AM156</f>
        <v>378.8819617939447</v>
      </c>
      <c r="AN306" s="1654">
        <f>AN156</f>
        <v>392.09637056701547</v>
      </c>
      <c r="AO306" s="1654"/>
      <c r="AP306" s="1654"/>
      <c r="AQ306" s="1654"/>
      <c r="AR306" s="1654"/>
      <c r="AS306" s="1654"/>
      <c r="AT306" s="1688"/>
      <c r="AU306" s="1108"/>
      <c r="AV306" s="1108"/>
      <c r="AW306" s="1689"/>
      <c r="AX306" s="1689"/>
      <c r="AY306" s="1689"/>
      <c r="AZ306" s="1689"/>
      <c r="BA306" s="1689"/>
      <c r="BB306" s="1689"/>
      <c r="BC306" s="1689"/>
      <c r="BD306" s="1689"/>
      <c r="BE306" s="1689"/>
      <c r="BF306" s="1689"/>
      <c r="BG306" s="1689"/>
      <c r="BH306" s="1689"/>
      <c r="BI306" s="1689"/>
      <c r="BJ306" s="1689"/>
      <c r="BK306" s="1689"/>
      <c r="BL306" s="1689"/>
      <c r="BM306" s="1689"/>
      <c r="BN306" s="1689"/>
      <c r="BO306" s="1689"/>
      <c r="BP306" s="1689"/>
      <c r="BQ306" s="1689"/>
      <c r="BR306" s="1689"/>
      <c r="BS306" s="1689"/>
      <c r="BT306" s="1689"/>
      <c r="BU306" s="1689"/>
      <c r="BV306" s="1689"/>
      <c r="BW306" s="1689"/>
      <c r="BX306" s="1689"/>
      <c r="BY306" s="1689"/>
      <c r="BZ306" s="1689"/>
      <c r="CA306" s="1689"/>
      <c r="CB306" s="1689"/>
      <c r="CC306" s="1689"/>
      <c r="CD306" s="1689"/>
      <c r="CE306" s="1689"/>
      <c r="CF306" s="1689"/>
      <c r="CG306" s="1689"/>
      <c r="CH306" s="1689"/>
      <c r="CI306" s="1689"/>
      <c r="CJ306" s="1689"/>
      <c r="CK306" s="1689"/>
      <c r="CL306" s="1689"/>
      <c r="CM306" s="1689"/>
      <c r="CN306" s="1689"/>
      <c r="CO306" s="1689"/>
      <c r="CP306" s="1689"/>
      <c r="CQ306" s="1689"/>
      <c r="CR306" s="1689"/>
      <c r="CS306" s="1689"/>
      <c r="CT306" s="1601"/>
      <c r="CU306" s="1601"/>
      <c r="CV306" s="1601"/>
      <c r="CW306" s="1689"/>
      <c r="CX306" s="1689"/>
      <c r="CY306" s="1601"/>
      <c r="CZ306" s="1601"/>
      <c r="DA306" s="1601"/>
      <c r="DB306" s="1689"/>
      <c r="DC306" s="2925"/>
      <c r="DD306" s="1689"/>
      <c r="DE306" s="1689"/>
      <c r="DF306" s="1689"/>
      <c r="DG306" s="1689"/>
      <c r="DH306" s="1689"/>
      <c r="DI306" s="1689"/>
      <c r="DJ306" s="1689"/>
      <c r="DK306" s="1689"/>
      <c r="DL306" s="1689"/>
      <c r="DM306" s="1689"/>
      <c r="DN306" s="1689"/>
      <c r="DO306" s="1689"/>
      <c r="DP306" s="1689"/>
      <c r="DQ306" s="1689"/>
      <c r="DR306" s="1689"/>
    </row>
    <row r="307" spans="1:122">
      <c r="A307" s="2140" t="s">
        <v>431</v>
      </c>
      <c r="B307" s="2141"/>
      <c r="C307" s="2141"/>
      <c r="D307" s="2141"/>
      <c r="E307" s="2141"/>
      <c r="F307" s="2141"/>
      <c r="G307" s="2141"/>
      <c r="H307" s="2141"/>
      <c r="I307" s="1439">
        <f>-((I234-H234)+(I236-H236)+(I232-H232))</f>
        <v>-44674.600000000006</v>
      </c>
      <c r="J307" s="1439">
        <f>-((J234-I234)+(J236-I236)+(J232-I232))</f>
        <v>-12452.999999999991</v>
      </c>
      <c r="K307" s="1439">
        <f>-((K234-J234)+(K236-J236)+(K232-J232))-K306</f>
        <v>12705.399999999996</v>
      </c>
      <c r="L307" s="1439">
        <f>-((L234-K234)+(L236-K236)+(L232-K232))-L306</f>
        <v>-492.90000000000151</v>
      </c>
      <c r="M307" s="1439">
        <f>-((M234-L234)+(M236-L236))</f>
        <v>3557.6000000000045</v>
      </c>
      <c r="N307" s="1439">
        <f>-((N234-M234)+(N236-M236))</f>
        <v>584.69999999999845</v>
      </c>
      <c r="O307" s="1369"/>
      <c r="P307" s="1439"/>
      <c r="Q307" s="1439"/>
      <c r="R307" s="1439">
        <f>-((R234-N234)+(R236-N236))</f>
        <v>15.80000000000291</v>
      </c>
      <c r="S307" s="1439">
        <f t="shared" ref="S307:AF307" si="479">-((S234-R234)+(S236-R236))</f>
        <v>32.499999999996817</v>
      </c>
      <c r="T307" s="1439">
        <f t="shared" si="479"/>
        <v>1064.3000000000002</v>
      </c>
      <c r="U307" s="1439">
        <f>-((U234-T234)+(U236-T236))</f>
        <v>1146</v>
      </c>
      <c r="V307" s="1439">
        <f t="shared" si="479"/>
        <v>2278</v>
      </c>
      <c r="W307" s="1439">
        <f t="shared" si="479"/>
        <v>5817</v>
      </c>
      <c r="X307" s="1439"/>
      <c r="Y307" s="1439"/>
      <c r="Z307" s="1439">
        <f>-((Z234-W234)+(Z236-W236))</f>
        <v>2598</v>
      </c>
      <c r="AA307" s="1439">
        <f t="shared" si="479"/>
        <v>3138</v>
      </c>
      <c r="AB307" s="1439"/>
      <c r="AC307" s="1439">
        <f>-((AC234-AA234)+(AC236-AA236))</f>
        <v>3050.6839221940681</v>
      </c>
      <c r="AD307" s="1439">
        <f t="shared" si="479"/>
        <v>835.23603160161292</v>
      </c>
      <c r="AE307" s="1439">
        <f t="shared" si="479"/>
        <v>1420.5340688823053</v>
      </c>
      <c r="AF307" s="1439">
        <f t="shared" si="479"/>
        <v>1448.9456033675597</v>
      </c>
      <c r="AG307" s="1439">
        <f t="shared" ref="AG307:AN307" si="480">-((AG234-AF234)+(AG236-AF236))</f>
        <v>1461.1189514106663</v>
      </c>
      <c r="AH307" s="1439">
        <f t="shared" si="480"/>
        <v>1471.4869642477206</v>
      </c>
      <c r="AI307" s="1439">
        <f t="shared" si="480"/>
        <v>1479.7389370374149</v>
      </c>
      <c r="AJ307" s="1439">
        <f t="shared" si="480"/>
        <v>1485.5214531242418</v>
      </c>
      <c r="AK307" s="1439">
        <f t="shared" si="480"/>
        <v>1488.4326753362584</v>
      </c>
      <c r="AL307" s="1439">
        <f t="shared" si="480"/>
        <v>1488.0158774678275</v>
      </c>
      <c r="AM307" s="1439">
        <f t="shared" si="480"/>
        <v>1483.7521148808628</v>
      </c>
      <c r="AN307" s="1439">
        <f t="shared" si="480"/>
        <v>1475.0519197158319</v>
      </c>
      <c r="AO307" s="1373"/>
      <c r="AP307" s="1373"/>
      <c r="AQ307" s="1373"/>
      <c r="AR307" s="1373"/>
      <c r="AS307" s="1373"/>
      <c r="AT307" s="1688"/>
      <c r="AU307" s="1108"/>
      <c r="AV307" s="1108"/>
      <c r="AW307" s="1689"/>
      <c r="AX307" s="1689"/>
      <c r="AY307" s="1689"/>
      <c r="AZ307" s="1689"/>
      <c r="BA307" s="1689"/>
      <c r="BB307" s="1689"/>
      <c r="BC307" s="1689"/>
      <c r="BD307" s="1689"/>
      <c r="BE307" s="1689"/>
      <c r="BF307" s="1689"/>
      <c r="BG307" s="1689"/>
      <c r="BH307" s="1689"/>
      <c r="BI307" s="1689"/>
      <c r="BJ307" s="1689"/>
      <c r="BK307" s="1689"/>
      <c r="BL307" s="1689"/>
      <c r="BM307" s="1689"/>
      <c r="BN307" s="1689"/>
      <c r="BO307" s="1689"/>
      <c r="BP307" s="1689"/>
      <c r="BQ307" s="1689"/>
      <c r="BR307" s="1689"/>
      <c r="BS307" s="1689"/>
      <c r="BT307" s="1689"/>
      <c r="BU307" s="1689"/>
      <c r="BV307" s="1689"/>
      <c r="BW307" s="1689"/>
      <c r="BX307" s="1689"/>
      <c r="BY307" s="1689"/>
      <c r="BZ307" s="1689"/>
      <c r="CA307" s="1689"/>
      <c r="CB307" s="1689"/>
      <c r="CC307" s="1689"/>
      <c r="CD307" s="1689"/>
      <c r="CE307" s="1689"/>
      <c r="CF307" s="1689"/>
      <c r="CG307" s="1689"/>
      <c r="CH307" s="1689"/>
      <c r="CI307" s="1689"/>
      <c r="CJ307" s="1689"/>
      <c r="CK307" s="1689"/>
      <c r="CL307" s="1689"/>
      <c r="CM307" s="1689"/>
      <c r="CN307" s="1689"/>
      <c r="CO307" s="1689"/>
      <c r="CP307" s="1689"/>
      <c r="CQ307" s="1689"/>
      <c r="CR307" s="1689"/>
      <c r="CS307" s="1689"/>
      <c r="CT307" s="1601"/>
      <c r="CU307" s="1601"/>
      <c r="CV307" s="1601"/>
      <c r="CW307" s="1689"/>
      <c r="CX307" s="1689"/>
      <c r="CY307" s="1601"/>
      <c r="CZ307" s="1601"/>
      <c r="DA307" s="1601"/>
      <c r="DB307" s="1689"/>
      <c r="DC307" s="2925"/>
      <c r="DD307" s="1689"/>
      <c r="DE307" s="1689"/>
      <c r="DF307" s="1689"/>
      <c r="DG307" s="1689"/>
      <c r="DH307" s="1689"/>
      <c r="DI307" s="1689"/>
      <c r="DJ307" s="1689"/>
      <c r="DK307" s="1689"/>
      <c r="DL307" s="1689"/>
      <c r="DM307" s="1689"/>
      <c r="DN307" s="1689"/>
      <c r="DO307" s="1689"/>
      <c r="DP307" s="1689"/>
      <c r="DQ307" s="1689"/>
      <c r="DR307" s="1689"/>
    </row>
    <row r="308" spans="1:122">
      <c r="A308" s="1711" t="s">
        <v>432</v>
      </c>
      <c r="B308" s="1687"/>
      <c r="C308" s="1687"/>
      <c r="D308" s="1687"/>
      <c r="E308" s="1687"/>
      <c r="F308" s="1687"/>
      <c r="G308" s="1687"/>
      <c r="H308" s="1687"/>
      <c r="I308" s="1654">
        <f t="shared" ref="I308:N308" si="481">I306+I307</f>
        <v>-44570.000000000007</v>
      </c>
      <c r="J308" s="1654">
        <f t="shared" si="481"/>
        <v>-12037.79999999999</v>
      </c>
      <c r="K308" s="1654">
        <f t="shared" si="481"/>
        <v>13156.699999999995</v>
      </c>
      <c r="L308" s="1654">
        <f t="shared" si="481"/>
        <v>26.199999999998511</v>
      </c>
      <c r="M308" s="1654">
        <f t="shared" si="481"/>
        <v>4197.9000000000042</v>
      </c>
      <c r="N308" s="1654">
        <f t="shared" si="481"/>
        <v>1290.0999999999985</v>
      </c>
      <c r="O308" s="1369"/>
      <c r="P308" s="1654"/>
      <c r="Q308" s="1654"/>
      <c r="R308" s="1654">
        <f t="shared" ref="R308:AF308" si="482">R306+R307</f>
        <v>313.10000000000292</v>
      </c>
      <c r="S308" s="1654">
        <f t="shared" si="482"/>
        <v>168.23999999999683</v>
      </c>
      <c r="T308" s="1654">
        <f t="shared" si="482"/>
        <v>1263.5000000000002</v>
      </c>
      <c r="U308" s="1654">
        <f t="shared" si="482"/>
        <v>1428.48</v>
      </c>
      <c r="V308" s="1654">
        <f t="shared" si="482"/>
        <v>2572.7080000000001</v>
      </c>
      <c r="W308" s="1654">
        <f t="shared" si="482"/>
        <v>6114</v>
      </c>
      <c r="X308" s="1654"/>
      <c r="Y308" s="1654"/>
      <c r="Z308" s="1654">
        <f t="shared" si="482"/>
        <v>2888.4</v>
      </c>
      <c r="AA308" s="1654">
        <f t="shared" si="482"/>
        <v>3431.04</v>
      </c>
      <c r="AB308" s="1654"/>
      <c r="AC308" s="1654">
        <f>AC306+AC307</f>
        <v>3340.1717320661783</v>
      </c>
      <c r="AD308" s="1654">
        <f t="shared" si="482"/>
        <v>1128.2924188032478</v>
      </c>
      <c r="AE308" s="1654">
        <f t="shared" si="482"/>
        <v>1724.1633959618052</v>
      </c>
      <c r="AF308" s="1654">
        <f t="shared" si="482"/>
        <v>1759.8795865392553</v>
      </c>
      <c r="AG308" s="1654">
        <f t="shared" ref="AG308:AL308" si="483">AG306+AG307</f>
        <v>1779.7549511945331</v>
      </c>
      <c r="AH308" s="1654">
        <f t="shared" si="483"/>
        <v>1798.3696318693492</v>
      </c>
      <c r="AI308" s="1654">
        <f t="shared" si="483"/>
        <v>1815.4781128863588</v>
      </c>
      <c r="AJ308" s="1654">
        <f t="shared" si="483"/>
        <v>1830.8005092215105</v>
      </c>
      <c r="AK308" s="1654">
        <f t="shared" si="483"/>
        <v>1844.0178908121334</v>
      </c>
      <c r="AL308" s="1654">
        <f t="shared" si="483"/>
        <v>1854.7669715597713</v>
      </c>
      <c r="AM308" s="1654">
        <f>AM306+AM307</f>
        <v>1862.6340766748076</v>
      </c>
      <c r="AN308" s="1654">
        <f>AN306+AN307</f>
        <v>1867.1482902828475</v>
      </c>
      <c r="AO308" s="1654"/>
      <c r="AP308" s="1654"/>
      <c r="AQ308" s="1654"/>
      <c r="AR308" s="1654"/>
      <c r="AS308" s="1654"/>
      <c r="AT308" s="1688"/>
      <c r="AU308" s="1108"/>
      <c r="AV308" s="1108"/>
      <c r="AW308" s="1689"/>
      <c r="AX308" s="1689"/>
      <c r="AY308" s="1689"/>
      <c r="AZ308" s="1689"/>
      <c r="BA308" s="1689"/>
      <c r="BB308" s="1689"/>
      <c r="BC308" s="1689"/>
      <c r="BD308" s="1689"/>
      <c r="BE308" s="1689"/>
      <c r="BF308" s="1689"/>
      <c r="BG308" s="1689"/>
      <c r="BH308" s="1689"/>
      <c r="BI308" s="1689"/>
      <c r="BJ308" s="1689"/>
      <c r="BK308" s="1689"/>
      <c r="BL308" s="1689"/>
      <c r="BM308" s="1689"/>
      <c r="BN308" s="1689"/>
      <c r="BO308" s="1689"/>
      <c r="BP308" s="1689"/>
      <c r="BQ308" s="1689"/>
      <c r="BR308" s="1689"/>
      <c r="BS308" s="1689"/>
      <c r="BT308" s="1689"/>
      <c r="BU308" s="1689"/>
      <c r="BV308" s="1689"/>
      <c r="BW308" s="1689"/>
      <c r="BX308" s="1689"/>
      <c r="BY308" s="1689"/>
      <c r="BZ308" s="1689"/>
      <c r="CA308" s="1689"/>
      <c r="CB308" s="1689"/>
      <c r="CC308" s="1689"/>
      <c r="CD308" s="1689"/>
      <c r="CE308" s="1689"/>
      <c r="CF308" s="1689"/>
      <c r="CG308" s="1689"/>
      <c r="CH308" s="1689"/>
      <c r="CI308" s="1689"/>
      <c r="CJ308" s="1689"/>
      <c r="CK308" s="1689"/>
      <c r="CL308" s="1689"/>
      <c r="CM308" s="1689"/>
      <c r="CN308" s="1689"/>
      <c r="CO308" s="1689"/>
      <c r="CP308" s="1689"/>
      <c r="CQ308" s="1689"/>
      <c r="CR308" s="1689"/>
      <c r="CS308" s="1689"/>
      <c r="CT308" s="1601"/>
      <c r="CU308" s="1601"/>
      <c r="CV308" s="1601"/>
      <c r="CW308" s="1689"/>
      <c r="CX308" s="1689"/>
      <c r="CY308" s="1601"/>
      <c r="CZ308" s="1601"/>
      <c r="DA308" s="1601"/>
      <c r="DB308" s="1689"/>
      <c r="DC308" s="2925"/>
      <c r="DD308" s="1689"/>
      <c r="DE308" s="1689"/>
      <c r="DF308" s="1689"/>
      <c r="DG308" s="1689"/>
      <c r="DH308" s="1689"/>
      <c r="DI308" s="1689"/>
      <c r="DJ308" s="1689"/>
      <c r="DK308" s="1689"/>
      <c r="DL308" s="1689"/>
      <c r="DM308" s="1689"/>
      <c r="DN308" s="1689"/>
      <c r="DO308" s="1689"/>
      <c r="DP308" s="1689"/>
      <c r="DQ308" s="1689"/>
      <c r="DR308" s="1689"/>
    </row>
    <row r="309" spans="1:122">
      <c r="A309" s="1711" t="s">
        <v>773</v>
      </c>
      <c r="B309" s="1687"/>
      <c r="C309" s="1687"/>
      <c r="D309" s="1687"/>
      <c r="E309" s="1687"/>
      <c r="F309" s="1687"/>
      <c r="G309" s="1687"/>
      <c r="H309" s="1687"/>
      <c r="I309" s="1687"/>
      <c r="J309" s="1687"/>
      <c r="K309" s="1687"/>
      <c r="L309" s="1687"/>
      <c r="M309" s="1135">
        <f>M308/'Free Cash Flow'!G16</f>
        <v>2.1971631948079162</v>
      </c>
      <c r="N309" s="1135">
        <f>N308/'Free Cash Flow'!H16</f>
        <v>4.3139221882262406</v>
      </c>
      <c r="O309" s="1369"/>
      <c r="P309" s="1687"/>
      <c r="Q309" s="1687"/>
      <c r="R309" s="1135">
        <f>R308/'Free Cash Flow'!I16</f>
        <v>0.31211994337779658</v>
      </c>
      <c r="S309" s="1135">
        <f>S308/'Free Cash Flow'!J16</f>
        <v>0.13582968004456347</v>
      </c>
      <c r="T309" s="1135">
        <f>T308/'Free Cash Flow'!K16</f>
        <v>0.89167254763585024</v>
      </c>
      <c r="U309" s="1135">
        <f>U308/'Free Cash Flow'!L16</f>
        <v>1.4787577639751552</v>
      </c>
      <c r="V309" s="1135">
        <f>V308/'Free Cash Flow'!M16</f>
        <v>2.5050710808179164</v>
      </c>
      <c r="W309" s="1135">
        <f>W308/'Free Cash Flow'!N16</f>
        <v>6.2134146341463401</v>
      </c>
      <c r="X309" s="1135"/>
      <c r="Y309" s="1135"/>
      <c r="Z309" s="1135">
        <f>Z308/'Free Cash Flow'!Q16</f>
        <v>3.0024948024948026</v>
      </c>
      <c r="AA309" s="1135">
        <f ca="1">AA308/'Free Cash Flow'!R16</f>
        <v>2.5075202806402102</v>
      </c>
      <c r="AB309" s="1135"/>
      <c r="AC309" s="1135">
        <f ca="1">AC308/'Free Cash Flow'!T16</f>
        <v>3.4660307038510503</v>
      </c>
      <c r="AD309" s="1135">
        <f ca="1">AD308/'Free Cash Flow'!U16</f>
        <v>0.98769823479917984</v>
      </c>
      <c r="AE309" s="1135">
        <f ca="1">AE308/'Free Cash Flow'!V16</f>
        <v>1.1634746166977239</v>
      </c>
      <c r="AF309" s="1135">
        <f ca="1">AF308/'Free Cash Flow'!W16</f>
        <v>0.95194152005228605</v>
      </c>
      <c r="AG309" s="1135">
        <f ca="1">AG308/'Free Cash Flow'!X16</f>
        <v>0.91321941791414574</v>
      </c>
      <c r="AH309" s="1135">
        <f ca="1">AH308/'Free Cash Flow'!Y16</f>
        <v>0.84935117175351427</v>
      </c>
      <c r="AI309" s="1135">
        <f ca="1">AI308/'Free Cash Flow'!Z16</f>
        <v>0.87898495153753031</v>
      </c>
      <c r="AJ309" s="1135">
        <f ca="1">AJ308/'Free Cash Flow'!AA16</f>
        <v>0.83917660439095443</v>
      </c>
      <c r="AK309" s="1135">
        <f ca="1">AK308/'Free Cash Flow'!AB16</f>
        <v>0.83574093346832146</v>
      </c>
      <c r="AL309" s="1135">
        <f ca="1">AL308/'Free Cash Flow'!AC16</f>
        <v>0.83574679583132949</v>
      </c>
      <c r="AM309" s="1135">
        <f ca="1">AM308/'Free Cash Flow'!AD16</f>
        <v>0.84860928093179988</v>
      </c>
      <c r="AN309" s="1135">
        <f ca="1">AN308/'Free Cash Flow'!AE16</f>
        <v>0.79777126194455128</v>
      </c>
      <c r="AO309" s="1135"/>
      <c r="AP309" s="1135"/>
      <c r="AQ309" s="1135"/>
      <c r="AR309" s="1135"/>
      <c r="AS309" s="1135"/>
      <c r="AT309" s="1687"/>
      <c r="AU309" s="1108"/>
      <c r="AV309" s="1108"/>
      <c r="AW309" s="1689"/>
      <c r="AX309" s="1689"/>
      <c r="AY309" s="1689"/>
      <c r="AZ309" s="1689"/>
      <c r="BA309" s="1689"/>
      <c r="BB309" s="1689"/>
      <c r="BC309" s="1689"/>
      <c r="BD309" s="1689"/>
      <c r="BE309" s="1689"/>
      <c r="BF309" s="1689"/>
      <c r="BG309" s="1689"/>
      <c r="BH309" s="1689"/>
      <c r="BI309" s="1689"/>
      <c r="BJ309" s="1689"/>
      <c r="BK309" s="1689"/>
      <c r="BL309" s="1689"/>
      <c r="BM309" s="1689"/>
      <c r="BN309" s="1689"/>
      <c r="BO309" s="1689"/>
      <c r="BP309" s="1689"/>
      <c r="BQ309" s="1689"/>
      <c r="BR309" s="1689"/>
      <c r="BS309" s="1689"/>
      <c r="BT309" s="1689"/>
      <c r="BU309" s="1689"/>
      <c r="BV309" s="1689"/>
      <c r="BW309" s="1689"/>
      <c r="BX309" s="1689"/>
      <c r="BY309" s="1689"/>
      <c r="BZ309" s="1689"/>
      <c r="CA309" s="1689"/>
      <c r="CB309" s="1689"/>
      <c r="CC309" s="1689"/>
      <c r="CD309" s="1689"/>
      <c r="CE309" s="1689"/>
      <c r="CF309" s="1689"/>
      <c r="CG309" s="1689"/>
      <c r="CH309" s="1689"/>
      <c r="CI309" s="1689"/>
      <c r="CJ309" s="1689"/>
      <c r="CK309" s="1689"/>
      <c r="CL309" s="1689"/>
      <c r="CM309" s="1689"/>
      <c r="CN309" s="1689"/>
      <c r="CO309" s="1689"/>
      <c r="CP309" s="1689"/>
      <c r="CQ309" s="1689"/>
      <c r="CR309" s="1689"/>
      <c r="CS309" s="1689"/>
      <c r="CT309" s="1601"/>
      <c r="CU309" s="1601"/>
      <c r="CV309" s="1601"/>
      <c r="CW309" s="1689"/>
      <c r="CX309" s="1689"/>
      <c r="CY309" s="1601"/>
      <c r="CZ309" s="1601"/>
      <c r="DA309" s="1601"/>
      <c r="DB309" s="1689"/>
      <c r="DC309" s="2925"/>
      <c r="DD309" s="1689"/>
      <c r="DE309" s="1689"/>
      <c r="DF309" s="1689"/>
      <c r="DG309" s="1689"/>
      <c r="DH309" s="1689"/>
      <c r="DI309" s="1689"/>
      <c r="DJ309" s="1689"/>
      <c r="DK309" s="1689"/>
      <c r="DL309" s="1689"/>
      <c r="DM309" s="1689"/>
      <c r="DN309" s="1689"/>
      <c r="DO309" s="1689"/>
      <c r="DP309" s="1689"/>
      <c r="DQ309" s="1689"/>
      <c r="DR309" s="1689"/>
    </row>
    <row r="310" spans="1:122">
      <c r="A310" s="1711" t="s">
        <v>774</v>
      </c>
      <c r="B310" s="1687"/>
      <c r="C310" s="1687"/>
      <c r="D310" s="1687"/>
      <c r="E310" s="1687"/>
      <c r="F310" s="1687"/>
      <c r="G310" s="1687"/>
      <c r="H310" s="1687"/>
      <c r="I310" s="1687"/>
      <c r="J310" s="1687"/>
      <c r="K310" s="1687"/>
      <c r="L310" s="1687"/>
      <c r="M310" s="1135">
        <f>M306/'Free Cash Flow'!G16</f>
        <v>0.33513032555218253</v>
      </c>
      <c r="N310" s="1135">
        <f>N306/'Free Cash Flow'!H16</f>
        <v>2.3587634381635478</v>
      </c>
      <c r="O310" s="1369"/>
      <c r="P310" s="1687"/>
      <c r="Q310" s="1687"/>
      <c r="R310" s="1135">
        <f>R306/'Free Cash Flow'!I16</f>
        <v>0.29636940008373702</v>
      </c>
      <c r="S310" s="1135">
        <f>S306/'Free Cash Flow'!J16</f>
        <v>0.1095905894510782</v>
      </c>
      <c r="T310" s="1135">
        <f>T306/'Free Cash Flow'!K16</f>
        <v>0.14057868736767815</v>
      </c>
      <c r="U310" s="1135">
        <f>U306/'Free Cash Flow'!L16</f>
        <v>0.2924223602484472</v>
      </c>
      <c r="V310" s="1135">
        <f>V306/'Free Cash Flow'!M16</f>
        <v>0.28696007789678674</v>
      </c>
      <c r="W310" s="1135">
        <f>W306/'Free Cash Flow'!N16</f>
        <v>0.30182926829268286</v>
      </c>
      <c r="X310" s="1135"/>
      <c r="Y310" s="1135"/>
      <c r="Z310" s="1135">
        <f>Z306/'Free Cash Flow'!Q16</f>
        <v>0.30187110187110183</v>
      </c>
      <c r="AA310" s="1135">
        <f ca="1">AA306/'Free Cash Flow'!R16</f>
        <v>0.21416356062267042</v>
      </c>
      <c r="AB310" s="1135"/>
      <c r="AC310" s="1135">
        <f ca="1">AC306/'Free Cash Flow'!T16</f>
        <v>0.30039582329698311</v>
      </c>
      <c r="AD310" s="1135">
        <f ca="1">AD306/'Free Cash Flow'!U16</f>
        <v>0.25653923709129728</v>
      </c>
      <c r="AE310" s="1135">
        <f ca="1">AE306/'Free Cash Flow'!V16</f>
        <v>0.20489068250108866</v>
      </c>
      <c r="AF310" s="1135">
        <f ca="1">AF306/'Free Cash Flow'!W16</f>
        <v>0.16818819357887571</v>
      </c>
      <c r="AG310" s="1135">
        <f ca="1">AG306/'Free Cash Flow'!X16</f>
        <v>0.1634969926920625</v>
      </c>
      <c r="AH310" s="1135">
        <f ca="1">AH306/'Free Cash Flow'!Y16</f>
        <v>0.15438326573706018</v>
      </c>
      <c r="AI310" s="1135">
        <f ca="1">AI306/'Free Cash Flow'!Z16</f>
        <v>0.16255204682344029</v>
      </c>
      <c r="AJ310" s="1135">
        <f ca="1">AJ306/'Free Cash Flow'!AA16</f>
        <v>0.15826416062459303</v>
      </c>
      <c r="AK310" s="1135">
        <f ca="1">AK306/'Free Cash Flow'!AB16</f>
        <v>0.16115739515871008</v>
      </c>
      <c r="AL310" s="1135">
        <f ca="1">AL306/'Free Cash Flow'!AC16</f>
        <v>0.16525582806621536</v>
      </c>
      <c r="AM310" s="1135">
        <f ca="1">AM306/'Free Cash Flow'!AD16</f>
        <v>0.17261723769704385</v>
      </c>
      <c r="AN310" s="1135">
        <f ca="1">AN306/'Free Cash Flow'!AE16</f>
        <v>0.16752992677605746</v>
      </c>
      <c r="AO310" s="1135"/>
      <c r="AP310" s="1135"/>
      <c r="AQ310" s="1135"/>
      <c r="AR310" s="1135"/>
      <c r="AS310" s="1135"/>
      <c r="AT310" s="1687"/>
      <c r="AU310" s="1108"/>
      <c r="AV310" s="1108"/>
      <c r="AW310" s="1689"/>
      <c r="AX310" s="1689"/>
      <c r="AY310" s="1689"/>
      <c r="AZ310" s="1689"/>
      <c r="BA310" s="1689"/>
      <c r="BB310" s="1689"/>
      <c r="BC310" s="1689"/>
      <c r="BD310" s="1689"/>
      <c r="BE310" s="1689"/>
      <c r="BF310" s="1689"/>
      <c r="BG310" s="1689"/>
      <c r="BH310" s="1689"/>
      <c r="BI310" s="1689"/>
      <c r="BJ310" s="1689"/>
      <c r="BK310" s="1689"/>
      <c r="BL310" s="1689"/>
      <c r="BM310" s="1689"/>
      <c r="BN310" s="1689"/>
      <c r="BO310" s="1689"/>
      <c r="BP310" s="1689"/>
      <c r="BQ310" s="1689"/>
      <c r="BR310" s="1689"/>
      <c r="BS310" s="1689"/>
      <c r="BT310" s="1689"/>
      <c r="BU310" s="1689"/>
      <c r="BV310" s="1689"/>
      <c r="BW310" s="1689"/>
      <c r="BX310" s="1689"/>
      <c r="BY310" s="1689"/>
      <c r="BZ310" s="1689"/>
      <c r="CA310" s="1689"/>
      <c r="CB310" s="1689"/>
      <c r="CC310" s="1689"/>
      <c r="CD310" s="1689"/>
      <c r="CE310" s="1689"/>
      <c r="CF310" s="1689"/>
      <c r="CG310" s="1689"/>
      <c r="CH310" s="1689"/>
      <c r="CI310" s="1689"/>
      <c r="CJ310" s="1689"/>
      <c r="CK310" s="1689"/>
      <c r="CL310" s="1689"/>
      <c r="CM310" s="1689"/>
      <c r="CN310" s="1689"/>
      <c r="CO310" s="1689"/>
      <c r="CP310" s="1689"/>
      <c r="CQ310" s="1689"/>
      <c r="CR310" s="1689"/>
      <c r="CS310" s="1689"/>
      <c r="CT310" s="1601"/>
      <c r="CU310" s="1601"/>
      <c r="CV310" s="1601"/>
      <c r="CW310" s="1689"/>
      <c r="CX310" s="1689"/>
      <c r="CY310" s="1601"/>
      <c r="CZ310" s="1601"/>
      <c r="DA310" s="1601"/>
      <c r="DB310" s="1689"/>
      <c r="DC310" s="2925"/>
      <c r="DD310" s="1689"/>
      <c r="DE310" s="1689"/>
      <c r="DF310" s="1689"/>
      <c r="DG310" s="1689"/>
      <c r="DH310" s="1689"/>
      <c r="DI310" s="1689"/>
      <c r="DJ310" s="1689"/>
      <c r="DK310" s="1689"/>
      <c r="DL310" s="1689"/>
      <c r="DM310" s="1689"/>
      <c r="DN310" s="1689"/>
      <c r="DO310" s="1689"/>
      <c r="DP310" s="1689"/>
      <c r="DQ310" s="1689"/>
      <c r="DR310" s="1689"/>
    </row>
    <row r="311" spans="1:122">
      <c r="A311" s="2142" t="s">
        <v>128</v>
      </c>
      <c r="B311" s="2143"/>
      <c r="C311" s="2143"/>
      <c r="D311" s="1717"/>
      <c r="E311" s="1717"/>
      <c r="F311" s="2143"/>
      <c r="G311" s="2143"/>
      <c r="H311" s="2143"/>
      <c r="I311" s="2143"/>
      <c r="J311" s="2143">
        <f>(141.9*0.4)</f>
        <v>56.760000000000005</v>
      </c>
      <c r="K311" s="2143"/>
      <c r="L311" s="2143"/>
      <c r="M311" s="2143"/>
      <c r="N311" s="2143">
        <v>5.4</v>
      </c>
      <c r="O311" s="1369"/>
      <c r="P311" s="2143"/>
      <c r="Q311" s="2143"/>
      <c r="R311" s="1718"/>
      <c r="S311" s="1718"/>
      <c r="T311" s="1477"/>
      <c r="U311" s="1719"/>
      <c r="V311" s="1719"/>
      <c r="W311" s="1719"/>
      <c r="X311" s="1719"/>
      <c r="Y311" s="1719"/>
      <c r="Z311" s="1719"/>
      <c r="AA311" s="1719"/>
      <c r="AB311" s="1719"/>
      <c r="AC311" s="1719"/>
      <c r="AD311" s="1719"/>
      <c r="AE311" s="1719"/>
      <c r="AF311" s="1719"/>
      <c r="AG311" s="1719"/>
      <c r="AH311" s="1719"/>
      <c r="AI311" s="1719"/>
      <c r="AJ311" s="1719"/>
      <c r="AK311" s="1719"/>
      <c r="AL311" s="1719"/>
      <c r="AM311" s="1719"/>
      <c r="AN311" s="1719"/>
      <c r="AO311" s="1719"/>
      <c r="AP311" s="1719"/>
      <c r="AQ311" s="1719"/>
      <c r="AR311" s="1719"/>
      <c r="AS311" s="1719"/>
      <c r="AT311" s="1719"/>
      <c r="AU311" s="1719"/>
      <c r="AV311" s="1719"/>
      <c r="AW311" s="1719"/>
      <c r="AX311" s="1719"/>
      <c r="AY311" s="1719"/>
      <c r="AZ311" s="1719"/>
      <c r="BA311" s="1108"/>
      <c r="BB311" s="1108"/>
      <c r="BC311" s="1108"/>
      <c r="BD311" s="1108"/>
      <c r="BE311" s="1108"/>
      <c r="BF311" s="1108"/>
      <c r="BG311" s="1108"/>
      <c r="BH311" s="1108"/>
      <c r="BI311" s="1108"/>
      <c r="BJ311" s="1108"/>
      <c r="BK311" s="1108"/>
      <c r="BL311" s="1108"/>
      <c r="BM311" s="1108"/>
      <c r="BN311" s="1108"/>
      <c r="BO311" s="1477"/>
      <c r="BP311" s="1108"/>
      <c r="BQ311" s="1108"/>
      <c r="BR311" s="1108"/>
      <c r="BS311" s="1108"/>
      <c r="BT311" s="1477"/>
      <c r="BU311" s="1477"/>
      <c r="BV311" s="1477"/>
      <c r="BW311" s="1477"/>
      <c r="BX311" s="1477"/>
      <c r="BY311" s="1477"/>
      <c r="BZ311" s="1477"/>
      <c r="CA311" s="1477"/>
      <c r="CB311" s="1477"/>
      <c r="CC311" s="1477"/>
      <c r="CD311" s="1477"/>
      <c r="CE311" s="1477"/>
      <c r="CF311" s="1477"/>
      <c r="CG311" s="1477"/>
      <c r="CH311" s="1477"/>
      <c r="CI311" s="1477"/>
      <c r="CJ311" s="1477"/>
      <c r="CK311" s="1477"/>
      <c r="CL311" s="1477"/>
      <c r="CM311" s="1477"/>
      <c r="CN311" s="1477"/>
      <c r="CO311" s="1477"/>
      <c r="CP311" s="1477"/>
      <c r="CQ311" s="1477"/>
      <c r="CR311" s="1477"/>
      <c r="CS311" s="1477"/>
      <c r="CT311" s="1477"/>
      <c r="CU311" s="1477"/>
      <c r="CV311" s="1477"/>
      <c r="CW311" s="1477"/>
      <c r="CX311" s="1477"/>
      <c r="CY311" s="1477"/>
      <c r="CZ311" s="1477"/>
      <c r="DA311" s="1477"/>
      <c r="DB311" s="1477"/>
      <c r="DC311" s="2937"/>
      <c r="DD311" s="1477"/>
      <c r="DE311" s="1477"/>
      <c r="DF311" s="1477"/>
      <c r="DG311" s="1477"/>
      <c r="DH311" s="1477"/>
      <c r="DI311" s="1477"/>
      <c r="DJ311" s="1477"/>
      <c r="DK311" s="1477"/>
      <c r="DL311" s="1477"/>
      <c r="DM311" s="1477"/>
      <c r="DN311" s="1477"/>
      <c r="DO311" s="1477"/>
      <c r="DP311" s="1477"/>
      <c r="DQ311" s="1477"/>
      <c r="DR311" s="1477"/>
    </row>
    <row r="312" spans="1:122">
      <c r="A312" s="1711"/>
      <c r="B312" s="1687"/>
      <c r="C312" s="1687"/>
      <c r="D312" s="1687"/>
      <c r="E312" s="1687"/>
      <c r="F312" s="1687"/>
      <c r="G312" s="1687"/>
      <c r="H312" s="1687"/>
      <c r="I312" s="1720"/>
      <c r="J312" s="1689"/>
      <c r="K312" s="1689"/>
      <c r="L312" s="1687"/>
      <c r="M312" s="1687"/>
      <c r="N312" s="1687"/>
      <c r="O312" s="1369"/>
      <c r="P312" s="1687"/>
      <c r="Q312" s="1687"/>
      <c r="R312" s="1687"/>
      <c r="S312" s="1687"/>
      <c r="T312" s="1687"/>
      <c r="U312" s="1687"/>
      <c r="V312" s="1687"/>
      <c r="W312" s="1687"/>
      <c r="X312" s="1687"/>
      <c r="Y312" s="1687"/>
      <c r="Z312" s="1687"/>
      <c r="AA312" s="1687"/>
      <c r="AB312" s="1687"/>
      <c r="AC312" s="1687"/>
      <c r="AD312" s="1687"/>
      <c r="AE312" s="1687"/>
      <c r="AF312" s="1687"/>
      <c r="AG312" s="1687"/>
      <c r="AH312" s="1687"/>
      <c r="AI312" s="1687"/>
      <c r="AJ312" s="1687"/>
      <c r="AK312" s="1687"/>
      <c r="AL312" s="1687"/>
      <c r="AM312" s="1687"/>
      <c r="AN312" s="1687"/>
      <c r="AO312" s="1687"/>
      <c r="AP312" s="1687"/>
      <c r="AQ312" s="1687"/>
      <c r="AR312" s="1687"/>
      <c r="AS312" s="1687"/>
      <c r="AT312" s="1687"/>
      <c r="AU312" s="1108"/>
      <c r="AV312" s="1108"/>
      <c r="AW312" s="1689"/>
      <c r="AX312" s="1689"/>
      <c r="AY312" s="1689"/>
      <c r="AZ312" s="1689"/>
      <c r="BA312" s="1689"/>
      <c r="BB312" s="1689"/>
      <c r="BC312" s="1689"/>
      <c r="BD312" s="1689"/>
      <c r="BE312" s="1689"/>
      <c r="BF312" s="1689"/>
      <c r="BG312" s="1689"/>
      <c r="BH312" s="1689"/>
      <c r="BI312" s="1689"/>
      <c r="BJ312" s="1689"/>
      <c r="BK312" s="1689"/>
      <c r="BL312" s="1689"/>
      <c r="BM312" s="1689"/>
      <c r="BN312" s="1689"/>
      <c r="BO312" s="1689"/>
      <c r="BP312" s="1689"/>
      <c r="BQ312" s="1689"/>
      <c r="BR312" s="1689"/>
      <c r="BS312" s="1689"/>
      <c r="BT312" s="1689"/>
      <c r="BU312" s="1689"/>
      <c r="BV312" s="1689"/>
      <c r="BW312" s="1689"/>
      <c r="BX312" s="1689"/>
      <c r="BY312" s="1689"/>
      <c r="BZ312" s="1689"/>
      <c r="CA312" s="1689"/>
      <c r="CB312" s="1689"/>
      <c r="CC312" s="1689"/>
      <c r="CD312" s="1689"/>
      <c r="CE312" s="1689"/>
      <c r="CF312" s="1689"/>
      <c r="CG312" s="1689"/>
      <c r="CH312" s="1689"/>
      <c r="CI312" s="1689"/>
      <c r="CJ312" s="1689"/>
      <c r="CK312" s="1689"/>
      <c r="CL312" s="1689"/>
      <c r="CM312" s="1689"/>
      <c r="CN312" s="1689"/>
      <c r="CO312" s="1689"/>
      <c r="CP312" s="1689"/>
      <c r="CQ312" s="1689"/>
      <c r="CR312" s="1689"/>
      <c r="CS312" s="1689"/>
      <c r="CT312" s="1601"/>
      <c r="CU312" s="1601"/>
      <c r="CV312" s="1601"/>
      <c r="CW312" s="1689"/>
      <c r="CX312" s="1689"/>
      <c r="CY312" s="1601"/>
      <c r="CZ312" s="1601"/>
      <c r="DA312" s="1601"/>
      <c r="DB312" s="1689"/>
      <c r="DC312" s="2925"/>
      <c r="DD312" s="1689"/>
      <c r="DE312" s="1689"/>
      <c r="DF312" s="1689"/>
      <c r="DG312" s="1689"/>
      <c r="DH312" s="1689"/>
      <c r="DI312" s="1689"/>
      <c r="DJ312" s="1689"/>
      <c r="DK312" s="1689"/>
      <c r="DL312" s="1689"/>
      <c r="DM312" s="1689"/>
      <c r="DN312" s="1689"/>
      <c r="DO312" s="1689"/>
      <c r="DP312" s="1689"/>
      <c r="DQ312" s="1689"/>
      <c r="DR312" s="1689"/>
    </row>
    <row r="313" spans="1:122">
      <c r="A313" s="187"/>
      <c r="B313" s="176"/>
      <c r="C313" s="176"/>
      <c r="D313" s="176"/>
      <c r="E313" s="176"/>
      <c r="F313" s="176"/>
      <c r="G313" s="176"/>
      <c r="H313" s="176"/>
      <c r="I313" s="177"/>
      <c r="J313" s="177"/>
      <c r="K313" s="177"/>
      <c r="L313" s="176"/>
      <c r="M313" s="176"/>
      <c r="N313" s="176"/>
      <c r="O313" s="919"/>
      <c r="P313" s="176"/>
      <c r="Q313" s="176"/>
      <c r="R313" s="176"/>
      <c r="S313" s="176"/>
      <c r="T313" s="176"/>
      <c r="U313" s="176"/>
      <c r="V313" s="176"/>
      <c r="W313" s="176"/>
      <c r="X313" s="176"/>
      <c r="Y313" s="176"/>
      <c r="Z313" s="176"/>
      <c r="AA313" s="176"/>
      <c r="AB313" s="176"/>
      <c r="AC313" s="176"/>
      <c r="AD313" s="176"/>
      <c r="AE313" s="176"/>
      <c r="AF313" s="176"/>
      <c r="AG313" s="176"/>
      <c r="AH313" s="176"/>
      <c r="AI313" s="176"/>
      <c r="AJ313" s="176"/>
      <c r="AK313" s="176"/>
      <c r="AL313" s="176"/>
      <c r="AM313" s="176"/>
      <c r="AN313" s="176"/>
      <c r="AO313" s="1687"/>
      <c r="AP313" s="1687"/>
      <c r="AQ313" s="1687"/>
      <c r="AR313" s="1687"/>
      <c r="AS313" s="1687"/>
      <c r="AT313" s="1687"/>
      <c r="AU313" s="11"/>
      <c r="AV313" s="6"/>
      <c r="AW313" s="89"/>
      <c r="AX313" s="89"/>
      <c r="AY313" s="89"/>
      <c r="AZ313" s="89"/>
      <c r="BA313" s="89"/>
      <c r="BB313" s="89"/>
      <c r="BC313" s="89"/>
      <c r="BD313" s="89"/>
      <c r="BE313" s="89"/>
      <c r="BF313" s="89"/>
      <c r="BG313" s="89"/>
      <c r="BH313" s="98"/>
      <c r="BI313" s="89"/>
      <c r="BJ313" s="89"/>
      <c r="BK313" s="89"/>
      <c r="BL313" s="89"/>
      <c r="BM313" s="89"/>
      <c r="BN313" s="89"/>
      <c r="BO313" s="89"/>
      <c r="BP313" s="89"/>
      <c r="BQ313" s="89"/>
      <c r="BR313" s="89"/>
      <c r="BS313" s="89"/>
      <c r="BT313" s="89"/>
      <c r="BU313" s="89"/>
      <c r="BV313" s="89"/>
      <c r="BW313" s="89"/>
      <c r="BX313" s="89"/>
      <c r="BY313" s="89"/>
      <c r="BZ313" s="89"/>
      <c r="CA313" s="89"/>
      <c r="CB313" s="89"/>
      <c r="CC313" s="89"/>
      <c r="CD313" s="89"/>
      <c r="CE313" s="89"/>
      <c r="CF313" s="89"/>
      <c r="CG313" s="89"/>
      <c r="CH313" s="89"/>
      <c r="CI313" s="89"/>
      <c r="CJ313" s="89"/>
      <c r="CK313" s="89"/>
      <c r="CL313" s="89"/>
      <c r="CM313" s="89"/>
      <c r="CN313" s="89"/>
      <c r="CO313" s="98"/>
      <c r="CP313" s="98"/>
      <c r="CQ313" s="98"/>
      <c r="CR313" s="98"/>
      <c r="CS313" s="98"/>
      <c r="CT313" s="1247"/>
      <c r="CU313" s="1247"/>
      <c r="CV313" s="1247"/>
      <c r="CW313" s="98"/>
      <c r="CX313" s="98"/>
      <c r="CY313" s="1247"/>
      <c r="CZ313" s="1247"/>
      <c r="DA313" s="1247"/>
      <c r="DB313" s="98"/>
      <c r="DC313" s="2925"/>
      <c r="DD313" s="98"/>
      <c r="DE313" s="98"/>
      <c r="DF313" s="98"/>
      <c r="DG313" s="98"/>
      <c r="DH313" s="98"/>
      <c r="DI313" s="98"/>
      <c r="DJ313" s="98"/>
      <c r="DK313" s="98"/>
      <c r="DL313" s="98"/>
      <c r="DM313" s="98"/>
      <c r="DN313" s="98"/>
      <c r="DO313" s="98"/>
      <c r="DP313" s="98"/>
      <c r="DQ313" s="98"/>
      <c r="DR313" s="98"/>
    </row>
    <row r="314" spans="1:122" ht="15">
      <c r="A314" s="1697" t="str">
        <f>A1</f>
        <v>CBS</v>
      </c>
      <c r="B314" s="1108"/>
      <c r="C314" s="1108"/>
      <c r="D314" s="1108"/>
      <c r="E314" s="1108"/>
      <c r="F314" s="1108"/>
      <c r="G314" s="1108"/>
      <c r="H314" s="1108"/>
      <c r="I314" s="1108"/>
      <c r="J314" s="1689"/>
      <c r="K314" s="1689"/>
      <c r="L314" s="1108"/>
      <c r="M314" s="1108"/>
      <c r="N314" s="1108"/>
      <c r="O314" s="1369"/>
      <c r="P314" s="1108"/>
      <c r="Q314" s="1108"/>
      <c r="R314" s="1108"/>
      <c r="S314" s="1108"/>
      <c r="T314" s="1108"/>
      <c r="U314" s="1108"/>
      <c r="V314" s="1108"/>
      <c r="W314" s="1108"/>
      <c r="X314" s="1108"/>
      <c r="Y314" s="1108"/>
      <c r="Z314" s="1108"/>
      <c r="AA314" s="1108"/>
      <c r="AB314" s="1108"/>
      <c r="AC314" s="1108"/>
      <c r="AD314" s="1108"/>
      <c r="AE314" s="1108"/>
      <c r="AF314" s="1108"/>
      <c r="AG314" s="1108"/>
      <c r="AH314" s="1108"/>
      <c r="AI314" s="1108"/>
      <c r="AJ314" s="1108"/>
      <c r="AK314" s="1108"/>
      <c r="AL314" s="1108"/>
      <c r="AM314" s="1687"/>
      <c r="AN314" s="1687"/>
      <c r="AO314" s="1687"/>
      <c r="AP314" s="1687"/>
      <c r="AQ314" s="1687"/>
      <c r="AR314" s="1687"/>
      <c r="AS314" s="1687"/>
      <c r="AT314" s="1687"/>
      <c r="AU314" s="1108"/>
      <c r="AV314" s="1108"/>
      <c r="AW314" s="1689"/>
      <c r="AX314" s="1689"/>
      <c r="AY314" s="1689"/>
      <c r="AZ314" s="1689"/>
      <c r="BA314" s="1689"/>
      <c r="BB314" s="1689"/>
      <c r="BC314" s="1689"/>
      <c r="BD314" s="1689"/>
      <c r="BE314" s="1689"/>
      <c r="BF314" s="1689"/>
      <c r="BG314" s="1689"/>
      <c r="BH314" s="1689"/>
      <c r="BI314" s="1689"/>
      <c r="BJ314" s="1689"/>
      <c r="BK314" s="1689"/>
      <c r="BL314" s="1689"/>
      <c r="BM314" s="1689"/>
      <c r="BN314" s="1689"/>
      <c r="BO314" s="1689"/>
      <c r="BP314" s="1689"/>
      <c r="BQ314" s="1689"/>
      <c r="BR314" s="1689"/>
      <c r="BS314" s="1689"/>
      <c r="BT314" s="1689"/>
      <c r="BU314" s="1689"/>
      <c r="BV314" s="1689"/>
      <c r="BW314" s="1689"/>
      <c r="BX314" s="1689"/>
      <c r="BY314" s="1689"/>
      <c r="BZ314" s="1689"/>
      <c r="CA314" s="1689"/>
      <c r="CB314" s="1689"/>
      <c r="CC314" s="1689"/>
      <c r="CD314" s="1689"/>
      <c r="CE314" s="1689"/>
      <c r="CF314" s="1689"/>
      <c r="CG314" s="1689"/>
      <c r="CH314" s="1689"/>
      <c r="CI314" s="1689"/>
      <c r="CJ314" s="1689"/>
      <c r="CK314" s="1689"/>
      <c r="CL314" s="1689"/>
      <c r="CM314" s="1689"/>
      <c r="CN314" s="1689"/>
      <c r="CO314" s="1689"/>
      <c r="CP314" s="1689"/>
      <c r="CQ314" s="1689"/>
      <c r="CR314" s="1689"/>
      <c r="CS314" s="1689"/>
      <c r="CT314" s="1601"/>
      <c r="CU314" s="1601"/>
      <c r="CV314" s="1601"/>
      <c r="CW314" s="1689"/>
      <c r="CX314" s="1689"/>
      <c r="CY314" s="1601"/>
      <c r="CZ314" s="1601"/>
      <c r="DA314" s="1601"/>
      <c r="DB314" s="1689"/>
      <c r="DC314" s="2925"/>
      <c r="DD314" s="1689"/>
      <c r="DE314" s="1689"/>
      <c r="DF314" s="1689"/>
      <c r="DG314" s="1689"/>
      <c r="DH314" s="1689"/>
      <c r="DI314" s="1689"/>
      <c r="DJ314" s="1689"/>
      <c r="DK314" s="1689"/>
      <c r="DL314" s="1689"/>
      <c r="DM314" s="1689"/>
      <c r="DN314" s="1689"/>
      <c r="DO314" s="1689"/>
      <c r="DP314" s="1689"/>
      <c r="DQ314" s="1689"/>
      <c r="DR314" s="1689"/>
    </row>
    <row r="315" spans="1:122">
      <c r="A315" s="188" t="s">
        <v>433</v>
      </c>
      <c r="B315" s="39"/>
      <c r="C315" s="39"/>
      <c r="D315" s="39"/>
      <c r="E315" s="39"/>
      <c r="F315" s="39"/>
      <c r="G315" s="39"/>
      <c r="H315" s="39"/>
      <c r="I315" s="39"/>
      <c r="J315" s="140"/>
      <c r="K315" s="140"/>
      <c r="L315" s="95"/>
      <c r="M315" s="95"/>
      <c r="N315" s="95"/>
      <c r="O315" s="919"/>
      <c r="P315" s="95"/>
      <c r="Q315" s="95"/>
      <c r="R315" s="95"/>
      <c r="S315" s="95"/>
      <c r="T315" s="95"/>
      <c r="U315" s="95"/>
      <c r="V315" s="95"/>
      <c r="W315" s="95"/>
      <c r="X315" s="95"/>
      <c r="Y315" s="95"/>
      <c r="Z315" s="95"/>
      <c r="AA315" s="95"/>
      <c r="AB315" s="95"/>
      <c r="AC315" s="95"/>
      <c r="AD315" s="95"/>
      <c r="AE315" s="95"/>
      <c r="AF315" s="95"/>
      <c r="AG315" s="95"/>
      <c r="AH315" s="95"/>
      <c r="AI315" s="95"/>
      <c r="AJ315" s="95"/>
      <c r="AK315" s="95"/>
      <c r="AL315" s="95"/>
      <c r="AM315" s="95"/>
      <c r="AN315" s="95"/>
      <c r="AO315" s="95"/>
      <c r="AP315" s="95"/>
      <c r="AQ315" s="95"/>
      <c r="AR315" s="95"/>
      <c r="AS315" s="95"/>
      <c r="AT315" s="1687"/>
      <c r="AU315" s="95"/>
      <c r="AV315" s="39"/>
      <c r="AW315" s="89"/>
      <c r="AX315" s="89"/>
      <c r="AY315" s="89"/>
      <c r="AZ315" s="89"/>
      <c r="BA315" s="89"/>
      <c r="BB315" s="89"/>
      <c r="BC315" s="89"/>
      <c r="BD315" s="89"/>
      <c r="BE315" s="89"/>
      <c r="BF315" s="89"/>
      <c r="BG315" s="89"/>
      <c r="BH315" s="98"/>
      <c r="BI315" s="89"/>
      <c r="BJ315" s="89"/>
      <c r="BK315" s="89"/>
      <c r="BL315" s="89"/>
      <c r="BM315" s="89"/>
      <c r="BN315" s="89"/>
      <c r="BO315" s="89"/>
      <c r="BP315" s="89"/>
      <c r="BQ315" s="89"/>
      <c r="BR315" s="89"/>
      <c r="BS315" s="89"/>
      <c r="BT315" s="89"/>
      <c r="BU315" s="89"/>
      <c r="BV315" s="89"/>
      <c r="BW315" s="89"/>
      <c r="BX315" s="89"/>
      <c r="BY315" s="89"/>
      <c r="BZ315" s="89"/>
      <c r="CA315" s="89"/>
      <c r="CB315" s="89"/>
      <c r="CC315" s="89"/>
      <c r="CD315" s="89"/>
      <c r="CE315" s="89"/>
      <c r="CF315" s="89"/>
      <c r="CG315" s="89"/>
      <c r="CH315" s="89"/>
      <c r="CI315" s="89"/>
      <c r="CJ315" s="89"/>
      <c r="CK315" s="89"/>
      <c r="CL315" s="89"/>
      <c r="CM315" s="89"/>
      <c r="CN315" s="89"/>
      <c r="CO315" s="98"/>
      <c r="CP315" s="98"/>
      <c r="CQ315" s="98"/>
      <c r="CR315" s="98"/>
      <c r="CS315" s="98"/>
      <c r="CT315" s="1247"/>
      <c r="CU315" s="1247"/>
      <c r="CV315" s="1247"/>
      <c r="CW315" s="98"/>
      <c r="CX315" s="98"/>
      <c r="CY315" s="1247"/>
      <c r="CZ315" s="1247"/>
      <c r="DA315" s="1247"/>
      <c r="DB315" s="98"/>
      <c r="DC315" s="2925"/>
      <c r="DD315" s="98"/>
      <c r="DE315" s="98"/>
      <c r="DF315" s="98"/>
      <c r="DG315" s="98"/>
      <c r="DH315" s="98"/>
      <c r="DI315" s="98"/>
      <c r="DJ315" s="98"/>
      <c r="DK315" s="98"/>
      <c r="DL315" s="98"/>
      <c r="DM315" s="98"/>
      <c r="DN315" s="98"/>
      <c r="DO315" s="98"/>
      <c r="DP315" s="98"/>
      <c r="DQ315" s="98"/>
      <c r="DR315" s="98"/>
    </row>
    <row r="316" spans="1:122">
      <c r="A316" s="12" t="s">
        <v>479</v>
      </c>
      <c r="B316" s="18" t="s">
        <v>1032</v>
      </c>
      <c r="C316" s="18"/>
      <c r="D316" s="18" t="s">
        <v>478</v>
      </c>
      <c r="E316" s="18"/>
      <c r="F316" s="18" t="s">
        <v>1035</v>
      </c>
      <c r="G316" s="18"/>
      <c r="H316" s="96"/>
      <c r="I316" s="96"/>
      <c r="J316" s="97"/>
      <c r="K316" s="97"/>
      <c r="L316" s="11"/>
      <c r="M316" s="11"/>
      <c r="N316" s="11"/>
      <c r="O316" s="919"/>
      <c r="P316" s="11"/>
      <c r="Q316" s="11"/>
      <c r="R316" s="749"/>
      <c r="S316" s="749"/>
      <c r="T316" s="11"/>
      <c r="U316" s="11"/>
      <c r="V316" s="11"/>
      <c r="W316" s="11"/>
      <c r="X316" s="11"/>
      <c r="Y316" s="11"/>
      <c r="Z316" s="11"/>
      <c r="AA316" s="11"/>
      <c r="AB316" s="11"/>
      <c r="AC316" s="11"/>
      <c r="AD316" s="11"/>
      <c r="AE316" s="11"/>
      <c r="AF316" s="11"/>
      <c r="AG316" s="11"/>
      <c r="AH316" s="11"/>
      <c r="AI316" s="11"/>
      <c r="AJ316" s="11"/>
      <c r="AK316" s="11"/>
      <c r="AL316" s="1108"/>
      <c r="AM316" s="11"/>
      <c r="AN316" s="11"/>
      <c r="AO316" s="11"/>
      <c r="AP316" s="11"/>
      <c r="AQ316" s="11"/>
      <c r="AR316" s="11"/>
      <c r="AS316" s="11"/>
      <c r="AT316" s="11"/>
      <c r="AU316" s="95"/>
      <c r="AV316" s="39"/>
      <c r="AW316" s="89"/>
      <c r="AX316" s="89"/>
      <c r="AY316" s="89"/>
      <c r="AZ316" s="89"/>
      <c r="BA316" s="89"/>
      <c r="BB316" s="89"/>
      <c r="BC316" s="89"/>
      <c r="BD316" s="89"/>
      <c r="BE316" s="89"/>
      <c r="BF316" s="89"/>
      <c r="BG316" s="89"/>
      <c r="BH316" s="98"/>
      <c r="BI316" s="89"/>
      <c r="BJ316" s="89"/>
      <c r="BK316" s="89"/>
      <c r="BL316" s="89"/>
      <c r="BM316" s="89"/>
      <c r="BN316" s="89"/>
      <c r="BO316" s="89"/>
      <c r="BP316" s="89"/>
      <c r="BQ316" s="89"/>
      <c r="BR316" s="89"/>
      <c r="BS316" s="89"/>
      <c r="BT316" s="89"/>
      <c r="BU316" s="89"/>
      <c r="BV316" s="89"/>
      <c r="BW316" s="89"/>
      <c r="BX316" s="89"/>
      <c r="BY316" s="89"/>
      <c r="BZ316" s="89"/>
      <c r="CA316" s="89"/>
      <c r="CB316" s="89"/>
      <c r="CC316" s="89"/>
      <c r="CD316" s="89"/>
      <c r="CE316" s="89"/>
      <c r="CF316" s="89"/>
      <c r="CG316" s="89"/>
      <c r="CH316" s="89"/>
      <c r="CI316" s="89"/>
      <c r="CJ316" s="89"/>
      <c r="CK316" s="89"/>
      <c r="CL316" s="89"/>
      <c r="CM316" s="89"/>
      <c r="CN316" s="89"/>
      <c r="CO316" s="98"/>
      <c r="CP316" s="98"/>
      <c r="CQ316" s="98"/>
      <c r="CR316" s="98"/>
      <c r="CS316" s="98"/>
      <c r="CT316" s="1247"/>
      <c r="CU316" s="1247"/>
      <c r="CV316" s="1247"/>
      <c r="CW316" s="98"/>
      <c r="CX316" s="98"/>
      <c r="CY316" s="1247"/>
      <c r="CZ316" s="1247"/>
      <c r="DA316" s="1247"/>
      <c r="DB316" s="98"/>
      <c r="DC316" s="2925"/>
      <c r="DD316" s="98"/>
      <c r="DE316" s="98"/>
      <c r="DF316" s="98"/>
      <c r="DG316" s="98"/>
      <c r="DH316" s="98"/>
      <c r="DI316" s="98"/>
      <c r="DJ316" s="98"/>
      <c r="DK316" s="98"/>
      <c r="DL316" s="98"/>
      <c r="DM316" s="98"/>
      <c r="DN316" s="98"/>
      <c r="DO316" s="98"/>
      <c r="DP316" s="98"/>
      <c r="DQ316" s="98"/>
      <c r="DR316" s="98"/>
    </row>
    <row r="317" spans="1:122">
      <c r="A317" s="26"/>
      <c r="B317" s="99">
        <v>2003</v>
      </c>
      <c r="C317" s="99">
        <v>2004</v>
      </c>
      <c r="D317" s="100">
        <v>2003</v>
      </c>
      <c r="E317" s="100">
        <v>2004</v>
      </c>
      <c r="F317" s="101">
        <v>2003</v>
      </c>
      <c r="G317" s="101">
        <v>2004</v>
      </c>
      <c r="H317" s="102">
        <f t="shared" ref="H317:Z317" si="484">H4</f>
        <v>2002</v>
      </c>
      <c r="I317" s="102">
        <f t="shared" si="484"/>
        <v>2003</v>
      </c>
      <c r="J317" s="102">
        <f t="shared" si="484"/>
        <v>2004</v>
      </c>
      <c r="K317" s="102">
        <f t="shared" si="484"/>
        <v>2005</v>
      </c>
      <c r="L317" s="102">
        <f t="shared" si="484"/>
        <v>2006</v>
      </c>
      <c r="M317" s="102">
        <f t="shared" si="484"/>
        <v>2007</v>
      </c>
      <c r="N317" s="102">
        <f t="shared" si="484"/>
        <v>2008</v>
      </c>
      <c r="O317" s="919"/>
      <c r="P317" s="102"/>
      <c r="Q317" s="102"/>
      <c r="R317" s="102">
        <f t="shared" si="484"/>
        <v>2009</v>
      </c>
      <c r="S317" s="102">
        <f t="shared" si="484"/>
        <v>2010</v>
      </c>
      <c r="T317" s="102">
        <f t="shared" si="484"/>
        <v>2011</v>
      </c>
      <c r="U317" s="102">
        <f t="shared" si="484"/>
        <v>2012</v>
      </c>
      <c r="V317" s="102">
        <f t="shared" si="484"/>
        <v>2013</v>
      </c>
      <c r="W317" s="102">
        <f t="shared" si="484"/>
        <v>2014</v>
      </c>
      <c r="X317" s="102"/>
      <c r="Y317" s="102"/>
      <c r="Z317" s="102">
        <f t="shared" si="484"/>
        <v>2015</v>
      </c>
      <c r="AA317" s="138">
        <f t="shared" ref="AA317:AH317" si="485">AA4</f>
        <v>2016</v>
      </c>
      <c r="AB317" s="138"/>
      <c r="AC317" s="138" t="str">
        <f t="shared" si="485"/>
        <v>2017E</v>
      </c>
      <c r="AD317" s="138" t="str">
        <f t="shared" si="485"/>
        <v>2018E</v>
      </c>
      <c r="AE317" s="138" t="str">
        <f t="shared" si="485"/>
        <v>2019E</v>
      </c>
      <c r="AF317" s="138" t="str">
        <f t="shared" si="485"/>
        <v>2020E</v>
      </c>
      <c r="AG317" s="138" t="str">
        <f t="shared" si="485"/>
        <v>2021E</v>
      </c>
      <c r="AH317" s="138" t="str">
        <f t="shared" si="485"/>
        <v>2022E</v>
      </c>
      <c r="AI317" s="138" t="str">
        <f t="shared" ref="AI317:AN317" si="486">AI4</f>
        <v>2023E</v>
      </c>
      <c r="AJ317" s="138" t="str">
        <f t="shared" si="486"/>
        <v>2024E</v>
      </c>
      <c r="AK317" s="138" t="str">
        <f t="shared" si="486"/>
        <v>2025E</v>
      </c>
      <c r="AL317" s="1706" t="str">
        <f t="shared" si="486"/>
        <v>2026E</v>
      </c>
      <c r="AM317" s="1706" t="str">
        <f t="shared" si="486"/>
        <v>2027E</v>
      </c>
      <c r="AN317" s="1706" t="str">
        <f t="shared" si="486"/>
        <v>2028E</v>
      </c>
      <c r="AO317" s="164"/>
      <c r="AP317" s="164"/>
      <c r="AQ317" s="164"/>
      <c r="AR317" s="164"/>
      <c r="AS317" s="164"/>
      <c r="AT317" s="164"/>
      <c r="AU317" s="95"/>
      <c r="AV317" s="39"/>
      <c r="AW317" s="89"/>
      <c r="AX317" s="89"/>
      <c r="AY317" s="89"/>
      <c r="AZ317" s="89"/>
      <c r="BA317" s="89"/>
      <c r="BB317" s="89"/>
      <c r="BC317" s="89"/>
      <c r="BD317" s="89"/>
      <c r="BE317" s="89"/>
      <c r="BF317" s="89"/>
      <c r="BG317" s="89"/>
      <c r="BH317" s="98"/>
      <c r="BI317" s="89"/>
      <c r="BJ317" s="89"/>
      <c r="BK317" s="89"/>
      <c r="BL317" s="89"/>
      <c r="BM317" s="89"/>
      <c r="BN317" s="89"/>
      <c r="BO317" s="89"/>
      <c r="BP317" s="89"/>
      <c r="BQ317" s="89"/>
      <c r="BR317" s="89"/>
      <c r="BS317" s="89"/>
      <c r="BT317" s="89"/>
      <c r="BU317" s="89"/>
      <c r="BV317" s="89"/>
      <c r="BW317" s="89"/>
      <c r="BX317" s="89"/>
      <c r="BY317" s="89"/>
      <c r="BZ317" s="89"/>
      <c r="CA317" s="89"/>
      <c r="CB317" s="89"/>
      <c r="CC317" s="89"/>
      <c r="CD317" s="89"/>
      <c r="CE317" s="89"/>
      <c r="CF317" s="89"/>
      <c r="CG317" s="89"/>
      <c r="CH317" s="89"/>
      <c r="CI317" s="89"/>
      <c r="CJ317" s="89"/>
      <c r="CK317" s="89"/>
      <c r="CL317" s="89"/>
      <c r="CM317" s="89"/>
      <c r="CN317" s="89"/>
      <c r="CO317" s="98"/>
      <c r="CP317" s="98"/>
      <c r="CQ317" s="98"/>
      <c r="CR317" s="98"/>
      <c r="CS317" s="98"/>
      <c r="CT317" s="1247"/>
      <c r="CU317" s="1247"/>
      <c r="CV317" s="1247"/>
      <c r="CW317" s="98"/>
      <c r="CX317" s="98"/>
      <c r="CY317" s="1247"/>
      <c r="CZ317" s="1247"/>
      <c r="DA317" s="1247"/>
      <c r="DB317" s="98"/>
      <c r="DC317" s="2925"/>
      <c r="DD317" s="98"/>
      <c r="DE317" s="98"/>
      <c r="DF317" s="98"/>
      <c r="DG317" s="98"/>
      <c r="DH317" s="98"/>
      <c r="DI317" s="98"/>
      <c r="DJ317" s="98"/>
      <c r="DK317" s="98"/>
      <c r="DL317" s="98"/>
      <c r="DM317" s="98"/>
      <c r="DN317" s="98"/>
      <c r="DO317" s="98"/>
      <c r="DP317" s="98"/>
      <c r="DQ317" s="98"/>
      <c r="DR317" s="98"/>
    </row>
    <row r="318" spans="1:122">
      <c r="A318" s="189"/>
      <c r="B318" s="164"/>
      <c r="C318" s="164"/>
      <c r="D318" s="164"/>
      <c r="E318" s="164"/>
      <c r="F318" s="164"/>
      <c r="G318" s="164"/>
      <c r="H318" s="164"/>
      <c r="I318" s="86"/>
      <c r="J318" s="86"/>
      <c r="K318" s="86"/>
      <c r="L318" s="86"/>
      <c r="M318" s="86"/>
      <c r="N318" s="86"/>
      <c r="O318" s="919"/>
      <c r="P318" s="86"/>
      <c r="Q318" s="86"/>
      <c r="R318" s="86"/>
      <c r="S318" s="86"/>
      <c r="T318" s="1088"/>
      <c r="U318" s="86"/>
      <c r="V318" s="86"/>
      <c r="W318" s="86"/>
      <c r="X318" s="86"/>
      <c r="Y318" s="86"/>
      <c r="Z318" s="86"/>
      <c r="AA318" s="86"/>
      <c r="AB318" s="86"/>
      <c r="AC318" s="86"/>
      <c r="AD318" s="86"/>
      <c r="AE318" s="86"/>
      <c r="AF318" s="86"/>
      <c r="AG318" s="86"/>
      <c r="AH318" s="86"/>
      <c r="AI318" s="86"/>
      <c r="AJ318" s="86"/>
      <c r="AK318" s="86"/>
      <c r="AL318" s="1534"/>
      <c r="AM318" s="86"/>
      <c r="AN318" s="86"/>
      <c r="AO318" s="86"/>
      <c r="AP318" s="86"/>
      <c r="AQ318" s="86"/>
      <c r="AR318" s="86"/>
      <c r="AS318" s="86"/>
      <c r="AT318" s="86"/>
      <c r="AU318" s="95"/>
      <c r="AV318" s="39"/>
      <c r="AW318" s="89"/>
      <c r="AX318" s="89"/>
      <c r="AY318" s="89"/>
      <c r="AZ318" s="89"/>
      <c r="BA318" s="89"/>
      <c r="BB318" s="89"/>
      <c r="BC318" s="89"/>
      <c r="BD318" s="89"/>
      <c r="BE318" s="89"/>
      <c r="BF318" s="89"/>
      <c r="BG318" s="89"/>
      <c r="BH318" s="98"/>
      <c r="BI318" s="89"/>
      <c r="BJ318" s="89"/>
      <c r="BK318" s="89"/>
      <c r="BL318" s="89"/>
      <c r="BM318" s="89"/>
      <c r="BN318" s="89"/>
      <c r="BO318" s="89"/>
      <c r="BP318" s="89"/>
      <c r="BQ318" s="89"/>
      <c r="BR318" s="89"/>
      <c r="BS318" s="89"/>
      <c r="BT318" s="89"/>
      <c r="BU318" s="89"/>
      <c r="BV318" s="89"/>
      <c r="BW318" s="89"/>
      <c r="BX318" s="89"/>
      <c r="BY318" s="89"/>
      <c r="BZ318" s="89"/>
      <c r="CA318" s="89"/>
      <c r="CB318" s="89"/>
      <c r="CC318" s="89"/>
      <c r="CD318" s="89"/>
      <c r="CE318" s="89"/>
      <c r="CF318" s="89"/>
      <c r="CG318" s="89"/>
      <c r="CH318" s="89"/>
      <c r="CI318" s="89"/>
      <c r="CJ318" s="89"/>
      <c r="CK318" s="89"/>
      <c r="CL318" s="89"/>
      <c r="CM318" s="89"/>
      <c r="CN318" s="89"/>
      <c r="CO318" s="98"/>
      <c r="CP318" s="98"/>
      <c r="CQ318" s="98"/>
      <c r="CR318" s="98"/>
      <c r="CS318" s="98"/>
      <c r="CT318" s="1247"/>
      <c r="CU318" s="1247"/>
      <c r="CV318" s="1247"/>
      <c r="CW318" s="98"/>
      <c r="CX318" s="98"/>
      <c r="CY318" s="1247"/>
      <c r="CZ318" s="1247"/>
      <c r="DA318" s="1247"/>
      <c r="DB318" s="98"/>
      <c r="DC318" s="2925"/>
      <c r="DD318" s="98"/>
      <c r="DE318" s="98"/>
      <c r="DF318" s="98"/>
      <c r="DG318" s="98"/>
      <c r="DH318" s="98"/>
      <c r="DI318" s="98"/>
      <c r="DJ318" s="98"/>
      <c r="DK318" s="98"/>
      <c r="DL318" s="98"/>
      <c r="DM318" s="98"/>
      <c r="DN318" s="98"/>
      <c r="DO318" s="98"/>
      <c r="DP318" s="98"/>
      <c r="DQ318" s="98"/>
      <c r="DR318" s="98"/>
    </row>
    <row r="319" spans="1:122">
      <c r="A319" s="190" t="s">
        <v>97</v>
      </c>
      <c r="B319" s="164"/>
      <c r="C319" s="164"/>
      <c r="D319" s="164"/>
      <c r="E319" s="164"/>
      <c r="F319" s="164"/>
      <c r="G319" s="164"/>
      <c r="H319" s="164"/>
      <c r="I319" s="164"/>
      <c r="J319" s="192">
        <v>0</v>
      </c>
      <c r="K319" s="192">
        <v>0</v>
      </c>
      <c r="L319" s="192">
        <v>0</v>
      </c>
      <c r="M319" s="192">
        <v>0</v>
      </c>
      <c r="N319" s="1085">
        <f>+M319+N288</f>
        <v>0</v>
      </c>
      <c r="O319" s="919"/>
      <c r="P319" s="1085"/>
      <c r="Q319" s="1085"/>
      <c r="R319" s="1085">
        <f>+N319+R288</f>
        <v>0</v>
      </c>
      <c r="S319" s="1535">
        <v>0</v>
      </c>
      <c r="T319" s="1535">
        <v>0</v>
      </c>
      <c r="U319" s="1535">
        <v>0</v>
      </c>
      <c r="V319" s="1535">
        <v>0</v>
      </c>
      <c r="W319" s="1535">
        <v>0</v>
      </c>
      <c r="X319" s="1526"/>
      <c r="Y319" s="1526"/>
      <c r="Z319" s="1535">
        <v>0</v>
      </c>
      <c r="AA319" s="1535">
        <v>0</v>
      </c>
      <c r="AB319" s="1682"/>
      <c r="AC319" s="1682">
        <f ca="1">AA319+AC288</f>
        <v>79.010764559165409</v>
      </c>
      <c r="AD319" s="1682">
        <f ca="1">AC319+AD288</f>
        <v>0</v>
      </c>
      <c r="AE319" s="1682">
        <f t="shared" ref="AE319:AN319" ca="1" si="487">AD319+AE288</f>
        <v>317.56919863105111</v>
      </c>
      <c r="AF319" s="1682">
        <f ca="1">AE319+AF288</f>
        <v>0</v>
      </c>
      <c r="AG319" s="1682">
        <f t="shared" ca="1" si="487"/>
        <v>0</v>
      </c>
      <c r="AH319" s="1682">
        <f t="shared" ca="1" si="487"/>
        <v>0</v>
      </c>
      <c r="AI319" s="1682">
        <f t="shared" ca="1" si="487"/>
        <v>261.67192788703903</v>
      </c>
      <c r="AJ319" s="1682">
        <f t="shared" ca="1" si="487"/>
        <v>221.86564104511285</v>
      </c>
      <c r="AK319" s="1682">
        <f t="shared" ca="1" si="487"/>
        <v>177.2411196881859</v>
      </c>
      <c r="AL319" s="1682">
        <f t="shared" ca="1" si="487"/>
        <v>345.19431929348411</v>
      </c>
      <c r="AM319" s="1682">
        <f t="shared" ca="1" si="487"/>
        <v>463.85690324534414</v>
      </c>
      <c r="AN319" s="1682">
        <f t="shared" ca="1" si="487"/>
        <v>767.10060579284732</v>
      </c>
      <c r="AO319" s="86"/>
      <c r="AP319" s="86"/>
      <c r="AQ319" s="86"/>
      <c r="AR319" s="86"/>
      <c r="AS319" s="86"/>
      <c r="AT319" s="1682"/>
      <c r="AU319" s="95"/>
      <c r="AV319" s="39"/>
      <c r="AW319" s="98"/>
      <c r="AX319" s="98"/>
      <c r="AY319" s="98"/>
      <c r="AZ319" s="98"/>
      <c r="BA319" s="98"/>
      <c r="BB319" s="98"/>
      <c r="BC319" s="98"/>
      <c r="BD319" s="98"/>
      <c r="BE319" s="98"/>
      <c r="BF319" s="98"/>
      <c r="BG319" s="98"/>
      <c r="BH319" s="98"/>
      <c r="BI319" s="98"/>
      <c r="BJ319" s="98"/>
      <c r="BK319" s="98"/>
      <c r="BL319" s="98"/>
      <c r="BM319" s="98"/>
      <c r="BN319" s="98"/>
      <c r="BO319" s="98"/>
      <c r="BP319" s="98"/>
      <c r="BQ319" s="98"/>
      <c r="BR319" s="98"/>
      <c r="BS319" s="98"/>
      <c r="BT319" s="98"/>
      <c r="BU319" s="98"/>
      <c r="BV319" s="98"/>
      <c r="BW319" s="98"/>
      <c r="BX319" s="98"/>
      <c r="BY319" s="98"/>
      <c r="BZ319" s="98"/>
      <c r="CA319" s="98"/>
      <c r="CB319" s="98"/>
      <c r="CC319" s="98"/>
      <c r="CD319" s="98"/>
      <c r="CE319" s="98"/>
      <c r="CF319" s="98"/>
      <c r="CG319" s="98"/>
      <c r="CH319" s="98"/>
      <c r="CI319" s="98"/>
      <c r="CJ319" s="98"/>
      <c r="CK319" s="98"/>
      <c r="CL319" s="98"/>
      <c r="CM319" s="98"/>
      <c r="CN319" s="98"/>
      <c r="CO319" s="98"/>
      <c r="CP319" s="98"/>
      <c r="CQ319" s="98"/>
      <c r="CR319" s="98"/>
      <c r="CS319" s="98"/>
      <c r="CT319" s="98"/>
      <c r="CU319" s="98"/>
      <c r="CV319" s="98"/>
      <c r="CW319" s="98"/>
      <c r="CX319" s="98"/>
      <c r="CY319" s="1247"/>
      <c r="CZ319" s="1247"/>
      <c r="DA319" s="1247"/>
      <c r="DB319" s="98"/>
      <c r="DC319" s="2925"/>
      <c r="DD319" s="98"/>
      <c r="DE319" s="98"/>
      <c r="DF319" s="98"/>
      <c r="DG319" s="98"/>
      <c r="DH319" s="98"/>
      <c r="DI319" s="98"/>
      <c r="DJ319" s="98"/>
      <c r="DK319" s="98"/>
      <c r="DL319" s="98"/>
      <c r="DM319" s="98"/>
      <c r="DN319" s="98"/>
      <c r="DO319" s="98"/>
      <c r="DP319" s="98"/>
      <c r="DQ319" s="98"/>
      <c r="DR319" s="98"/>
    </row>
    <row r="320" spans="1:122" ht="12.75" customHeight="1">
      <c r="A320" s="3053" t="s">
        <v>1772</v>
      </c>
      <c r="B320" s="190"/>
      <c r="C320" s="191"/>
      <c r="D320" s="191"/>
      <c r="E320" s="11"/>
      <c r="F320" s="191"/>
      <c r="G320" s="191"/>
      <c r="H320" s="11"/>
      <c r="I320" s="86"/>
      <c r="J320" s="844">
        <v>5.9</v>
      </c>
      <c r="K320" s="844">
        <v>7.2</v>
      </c>
      <c r="L320" s="844">
        <v>3.1</v>
      </c>
      <c r="M320" s="844">
        <v>5.3</v>
      </c>
      <c r="N320" s="842">
        <f>N362-SUM(N321:N361)</f>
        <v>4.3000000000010914</v>
      </c>
      <c r="O320" s="919"/>
      <c r="P320" s="842"/>
      <c r="Q320" s="842"/>
      <c r="R320" s="844">
        <v>2</v>
      </c>
      <c r="S320" s="842">
        <v>0</v>
      </c>
      <c r="T320" s="842">
        <f>S320</f>
        <v>0</v>
      </c>
      <c r="U320" s="842">
        <f>T320</f>
        <v>0</v>
      </c>
      <c r="V320" s="1535">
        <v>475</v>
      </c>
      <c r="W320" s="1535">
        <v>616</v>
      </c>
      <c r="X320" s="842"/>
      <c r="Y320" s="842"/>
      <c r="Z320" s="1535">
        <v>0</v>
      </c>
      <c r="AA320" s="1535">
        <v>450</v>
      </c>
      <c r="AB320" s="842"/>
      <c r="AC320" s="842">
        <f>AA320</f>
        <v>450</v>
      </c>
      <c r="AD320" s="842">
        <f>AC320</f>
        <v>450</v>
      </c>
      <c r="AE320" s="842">
        <f>AD320</f>
        <v>450</v>
      </c>
      <c r="AF320" s="842">
        <f t="shared" ref="AF320:AH324" si="488">AE320</f>
        <v>450</v>
      </c>
      <c r="AG320" s="842">
        <f t="shared" si="488"/>
        <v>450</v>
      </c>
      <c r="AH320" s="842">
        <f t="shared" si="488"/>
        <v>450</v>
      </c>
      <c r="AI320" s="842">
        <f t="shared" ref="AI320:AN324" si="489">AH320</f>
        <v>450</v>
      </c>
      <c r="AJ320" s="842">
        <f t="shared" si="489"/>
        <v>450</v>
      </c>
      <c r="AK320" s="842">
        <f t="shared" si="489"/>
        <v>450</v>
      </c>
      <c r="AL320" s="1559">
        <f t="shared" si="489"/>
        <v>450</v>
      </c>
      <c r="AM320" s="1559">
        <f t="shared" si="489"/>
        <v>450</v>
      </c>
      <c r="AN320" s="1559">
        <f t="shared" si="489"/>
        <v>450</v>
      </c>
      <c r="AO320" s="86"/>
      <c r="AP320" s="86"/>
      <c r="AQ320" s="86"/>
      <c r="AR320" s="86"/>
      <c r="AS320" s="86"/>
      <c r="AT320" s="164"/>
      <c r="AU320" s="95"/>
      <c r="AV320" s="39"/>
      <c r="AW320" s="89"/>
      <c r="AX320" s="89"/>
      <c r="AY320" s="89"/>
      <c r="AZ320" s="89"/>
      <c r="BA320" s="89"/>
      <c r="BB320" s="89"/>
      <c r="BC320" s="89"/>
      <c r="BD320" s="89"/>
      <c r="BE320" s="89"/>
      <c r="BF320" s="89"/>
      <c r="BG320" s="89"/>
      <c r="BH320" s="98"/>
      <c r="BI320" s="89"/>
      <c r="BJ320" s="89"/>
      <c r="BK320" s="89"/>
      <c r="BL320" s="89"/>
      <c r="BM320" s="89"/>
      <c r="BN320" s="89"/>
      <c r="BO320" s="89"/>
      <c r="BP320" s="89"/>
      <c r="BQ320" s="89"/>
      <c r="BR320" s="89"/>
      <c r="BS320" s="89"/>
      <c r="BT320" s="89"/>
      <c r="BU320" s="89"/>
      <c r="BV320" s="89"/>
      <c r="BW320" s="89"/>
      <c r="BX320" s="89"/>
      <c r="BY320" s="89"/>
      <c r="BZ320" s="89"/>
      <c r="CA320" s="89"/>
      <c r="CB320" s="89"/>
      <c r="CC320" s="89"/>
      <c r="CD320" s="89"/>
      <c r="CE320" s="89"/>
      <c r="CF320" s="89"/>
      <c r="CG320" s="89"/>
      <c r="CH320" s="89"/>
      <c r="CI320" s="89"/>
      <c r="CJ320" s="89"/>
      <c r="CK320" s="89"/>
      <c r="CL320" s="89"/>
      <c r="CM320" s="89"/>
      <c r="CN320" s="89"/>
      <c r="CO320" s="98"/>
      <c r="CP320" s="98"/>
      <c r="CQ320" s="98"/>
      <c r="CR320" s="98"/>
      <c r="CS320" s="98"/>
      <c r="CT320" s="98"/>
      <c r="CU320" s="98"/>
      <c r="CV320" s="98"/>
      <c r="CW320" s="98"/>
      <c r="CX320" s="98"/>
      <c r="CY320" s="1247"/>
      <c r="CZ320" s="1247"/>
      <c r="DA320" s="1247"/>
      <c r="DB320" s="98"/>
      <c r="DC320" s="2925"/>
      <c r="DD320" s="98"/>
      <c r="DE320" s="98"/>
      <c r="DF320" s="98"/>
      <c r="DG320" s="98"/>
      <c r="DH320" s="98"/>
      <c r="DI320" s="98"/>
      <c r="DJ320" s="98"/>
      <c r="DK320" s="98"/>
      <c r="DL320" s="98"/>
      <c r="DM320" s="98"/>
      <c r="DN320" s="98"/>
      <c r="DO320" s="98"/>
      <c r="DP320" s="98"/>
      <c r="DQ320" s="98"/>
      <c r="DR320" s="98"/>
    </row>
    <row r="321" spans="1:122" ht="12.75" customHeight="1">
      <c r="A321" s="190" t="s">
        <v>147</v>
      </c>
      <c r="B321" s="190"/>
      <c r="C321" s="191"/>
      <c r="D321" s="191"/>
      <c r="E321" s="11"/>
      <c r="F321" s="191"/>
      <c r="G321" s="191"/>
      <c r="H321" s="11"/>
      <c r="I321" s="86"/>
      <c r="J321" s="192">
        <v>500</v>
      </c>
      <c r="K321" s="192">
        <v>0</v>
      </c>
      <c r="L321" s="192">
        <f t="shared" ref="L321:M323" si="490">K321</f>
        <v>0</v>
      </c>
      <c r="M321" s="192">
        <f t="shared" si="490"/>
        <v>0</v>
      </c>
      <c r="N321" s="192">
        <f t="shared" ref="N321:U324" si="491">M321</f>
        <v>0</v>
      </c>
      <c r="O321" s="919"/>
      <c r="P321" s="192"/>
      <c r="Q321" s="192"/>
      <c r="R321" s="192">
        <f>N321</f>
        <v>0</v>
      </c>
      <c r="S321" s="192">
        <f t="shared" si="491"/>
        <v>0</v>
      </c>
      <c r="T321" s="192">
        <f t="shared" si="491"/>
        <v>0</v>
      </c>
      <c r="U321" s="192">
        <f t="shared" si="491"/>
        <v>0</v>
      </c>
      <c r="V321" s="1535">
        <v>0</v>
      </c>
      <c r="W321" s="1535">
        <v>0</v>
      </c>
      <c r="X321" s="192"/>
      <c r="Y321" s="192"/>
      <c r="Z321" s="1535">
        <f>W321</f>
        <v>0</v>
      </c>
      <c r="AA321" s="1535">
        <f>Z321</f>
        <v>0</v>
      </c>
      <c r="AB321" s="192"/>
      <c r="AC321" s="192">
        <f>AA321</f>
        <v>0</v>
      </c>
      <c r="AD321" s="192">
        <f t="shared" ref="AD321:AE324" si="492">AC321</f>
        <v>0</v>
      </c>
      <c r="AE321" s="192">
        <f t="shared" si="492"/>
        <v>0</v>
      </c>
      <c r="AF321" s="192">
        <f t="shared" si="488"/>
        <v>0</v>
      </c>
      <c r="AG321" s="192">
        <f t="shared" si="488"/>
        <v>0</v>
      </c>
      <c r="AH321" s="192">
        <f t="shared" si="488"/>
        <v>0</v>
      </c>
      <c r="AI321" s="192">
        <f t="shared" si="489"/>
        <v>0</v>
      </c>
      <c r="AJ321" s="192">
        <f t="shared" si="489"/>
        <v>0</v>
      </c>
      <c r="AK321" s="192">
        <f t="shared" si="489"/>
        <v>0</v>
      </c>
      <c r="AL321" s="1368">
        <f t="shared" si="489"/>
        <v>0</v>
      </c>
      <c r="AM321" s="1368">
        <f t="shared" si="489"/>
        <v>0</v>
      </c>
      <c r="AN321" s="1368">
        <f t="shared" si="489"/>
        <v>0</v>
      </c>
      <c r="AO321" s="192"/>
      <c r="AP321" s="192"/>
      <c r="AQ321" s="192"/>
      <c r="AR321" s="192"/>
      <c r="AS321" s="192"/>
      <c r="AT321" s="164"/>
      <c r="AU321" s="95"/>
      <c r="AV321" s="39"/>
      <c r="AW321" s="89"/>
      <c r="AX321" s="89"/>
      <c r="AY321" s="89"/>
      <c r="AZ321" s="89"/>
      <c r="BA321" s="89"/>
      <c r="BB321" s="89"/>
      <c r="BC321" s="89"/>
      <c r="BD321" s="89"/>
      <c r="BE321" s="89"/>
      <c r="BF321" s="89"/>
      <c r="BG321" s="89"/>
      <c r="BH321" s="98"/>
      <c r="BI321" s="89"/>
      <c r="BJ321" s="89"/>
      <c r="BK321" s="89"/>
      <c r="BL321" s="89"/>
      <c r="BM321" s="89"/>
      <c r="BN321" s="89"/>
      <c r="BO321" s="89"/>
      <c r="BP321" s="89"/>
      <c r="BQ321" s="89"/>
      <c r="BR321" s="89"/>
      <c r="BS321" s="89"/>
      <c r="BT321" s="89"/>
      <c r="BU321" s="89"/>
      <c r="BV321" s="89"/>
      <c r="BW321" s="89"/>
      <c r="BX321" s="89"/>
      <c r="BY321" s="89"/>
      <c r="BZ321" s="89"/>
      <c r="CA321" s="89"/>
      <c r="CB321" s="89"/>
      <c r="CC321" s="89"/>
      <c r="CD321" s="89"/>
      <c r="CE321" s="89"/>
      <c r="CF321" s="89"/>
      <c r="CG321" s="89"/>
      <c r="CH321" s="89"/>
      <c r="CI321" s="89"/>
      <c r="CJ321" s="89"/>
      <c r="CK321" s="89"/>
      <c r="CL321" s="89"/>
      <c r="CM321" s="89"/>
      <c r="CN321" s="89"/>
      <c r="CO321" s="98"/>
      <c r="CP321" s="98"/>
      <c r="CQ321" s="98"/>
      <c r="CR321" s="98"/>
      <c r="CS321" s="98"/>
      <c r="CT321" s="98"/>
      <c r="CU321" s="98"/>
      <c r="CV321" s="98"/>
      <c r="CW321" s="98"/>
      <c r="CX321" s="98"/>
      <c r="CY321" s="1247"/>
      <c r="CZ321" s="1247"/>
      <c r="DA321" s="1247"/>
      <c r="DB321" s="98"/>
      <c r="DC321" s="2925"/>
      <c r="DD321" s="98"/>
      <c r="DE321" s="98"/>
      <c r="DF321" s="98"/>
      <c r="DG321" s="98"/>
      <c r="DH321" s="98"/>
      <c r="DI321" s="98"/>
      <c r="DJ321" s="98"/>
      <c r="DK321" s="98"/>
      <c r="DL321" s="98"/>
      <c r="DM321" s="98"/>
      <c r="DN321" s="98"/>
      <c r="DO321" s="98"/>
      <c r="DP321" s="98"/>
      <c r="DQ321" s="98"/>
      <c r="DR321" s="98"/>
    </row>
    <row r="322" spans="1:122" ht="12.75" customHeight="1">
      <c r="A322" s="190" t="s">
        <v>148</v>
      </c>
      <c r="B322" s="190"/>
      <c r="C322" s="191"/>
      <c r="D322" s="191"/>
      <c r="E322" s="11"/>
      <c r="F322" s="191"/>
      <c r="G322" s="191"/>
      <c r="H322" s="11"/>
      <c r="I322" s="86"/>
      <c r="J322" s="192">
        <v>952.5</v>
      </c>
      <c r="K322" s="192">
        <v>0</v>
      </c>
      <c r="L322" s="192">
        <f t="shared" si="490"/>
        <v>0</v>
      </c>
      <c r="M322" s="192">
        <f t="shared" si="490"/>
        <v>0</v>
      </c>
      <c r="N322" s="192">
        <f t="shared" si="491"/>
        <v>0</v>
      </c>
      <c r="O322" s="919"/>
      <c r="P322" s="192"/>
      <c r="Q322" s="192"/>
      <c r="R322" s="192">
        <f>N322</f>
        <v>0</v>
      </c>
      <c r="S322" s="192">
        <f t="shared" si="491"/>
        <v>0</v>
      </c>
      <c r="T322" s="192">
        <f t="shared" si="491"/>
        <v>0</v>
      </c>
      <c r="U322" s="192">
        <f t="shared" si="491"/>
        <v>0</v>
      </c>
      <c r="V322" s="1535">
        <v>0</v>
      </c>
      <c r="W322" s="1535">
        <v>0</v>
      </c>
      <c r="X322" s="192"/>
      <c r="Y322" s="192"/>
      <c r="Z322" s="1535">
        <f>W322</f>
        <v>0</v>
      </c>
      <c r="AA322" s="1535">
        <f>Z322</f>
        <v>0</v>
      </c>
      <c r="AB322" s="192"/>
      <c r="AC322" s="192">
        <f>AA322</f>
        <v>0</v>
      </c>
      <c r="AD322" s="192">
        <f t="shared" si="492"/>
        <v>0</v>
      </c>
      <c r="AE322" s="192">
        <f t="shared" si="492"/>
        <v>0</v>
      </c>
      <c r="AF322" s="192">
        <f t="shared" si="488"/>
        <v>0</v>
      </c>
      <c r="AG322" s="192">
        <f t="shared" si="488"/>
        <v>0</v>
      </c>
      <c r="AH322" s="192">
        <f t="shared" si="488"/>
        <v>0</v>
      </c>
      <c r="AI322" s="192">
        <f t="shared" si="489"/>
        <v>0</v>
      </c>
      <c r="AJ322" s="192">
        <f t="shared" si="489"/>
        <v>0</v>
      </c>
      <c r="AK322" s="192">
        <f t="shared" si="489"/>
        <v>0</v>
      </c>
      <c r="AL322" s="1368">
        <f t="shared" si="489"/>
        <v>0</v>
      </c>
      <c r="AM322" s="1368">
        <f t="shared" si="489"/>
        <v>0</v>
      </c>
      <c r="AN322" s="1368">
        <f t="shared" si="489"/>
        <v>0</v>
      </c>
      <c r="AO322" s="192"/>
      <c r="AP322" s="192"/>
      <c r="AQ322" s="192"/>
      <c r="AR322" s="192"/>
      <c r="AS322" s="192"/>
      <c r="AT322" s="164"/>
      <c r="AU322" s="95"/>
      <c r="AV322" s="39"/>
      <c r="AW322" s="89"/>
      <c r="AX322" s="89"/>
      <c r="AY322" s="89"/>
      <c r="AZ322" s="89"/>
      <c r="BA322" s="89"/>
      <c r="BB322" s="89"/>
      <c r="BC322" s="89"/>
      <c r="BD322" s="89"/>
      <c r="BE322" s="89"/>
      <c r="BF322" s="89"/>
      <c r="BG322" s="89"/>
      <c r="BH322" s="98"/>
      <c r="BI322" s="89"/>
      <c r="BJ322" s="89"/>
      <c r="BK322" s="89"/>
      <c r="BL322" s="89"/>
      <c r="BM322" s="89"/>
      <c r="BN322" s="89"/>
      <c r="BO322" s="89"/>
      <c r="BP322" s="89"/>
      <c r="BQ322" s="89"/>
      <c r="BR322" s="89"/>
      <c r="BS322" s="89"/>
      <c r="BT322" s="89"/>
      <c r="BU322" s="89"/>
      <c r="BV322" s="89"/>
      <c r="BW322" s="89"/>
      <c r="BX322" s="89"/>
      <c r="BY322" s="89"/>
      <c r="BZ322" s="89"/>
      <c r="CA322" s="89"/>
      <c r="CB322" s="89"/>
      <c r="CC322" s="89"/>
      <c r="CD322" s="89"/>
      <c r="CE322" s="89"/>
      <c r="CF322" s="89"/>
      <c r="CG322" s="89"/>
      <c r="CH322" s="89"/>
      <c r="CI322" s="89"/>
      <c r="CJ322" s="89"/>
      <c r="CK322" s="89"/>
      <c r="CL322" s="89"/>
      <c r="CM322" s="89"/>
      <c r="CN322" s="89"/>
      <c r="CO322" s="98"/>
      <c r="CP322" s="98"/>
      <c r="CQ322" s="98"/>
      <c r="CR322" s="98"/>
      <c r="CS322" s="98"/>
      <c r="CT322" s="98"/>
      <c r="CU322" s="98"/>
      <c r="CV322" s="98"/>
      <c r="CW322" s="98"/>
      <c r="CX322" s="98"/>
      <c r="CY322" s="1247"/>
      <c r="CZ322" s="1247"/>
      <c r="DA322" s="1247"/>
      <c r="DB322" s="98"/>
      <c r="DC322" s="2925"/>
      <c r="DD322" s="98"/>
      <c r="DE322" s="98"/>
      <c r="DF322" s="98"/>
      <c r="DG322" s="98"/>
      <c r="DH322" s="98"/>
      <c r="DI322" s="98"/>
      <c r="DJ322" s="98"/>
      <c r="DK322" s="98"/>
      <c r="DL322" s="98"/>
      <c r="DM322" s="98"/>
      <c r="DN322" s="98"/>
      <c r="DO322" s="98"/>
      <c r="DP322" s="98"/>
      <c r="DQ322" s="98"/>
      <c r="DR322" s="98"/>
    </row>
    <row r="323" spans="1:122" ht="12.75" customHeight="1">
      <c r="A323" s="190" t="s">
        <v>149</v>
      </c>
      <c r="B323" s="190"/>
      <c r="C323" s="191"/>
      <c r="D323" s="191"/>
      <c r="E323" s="11"/>
      <c r="F323" s="191"/>
      <c r="G323" s="191"/>
      <c r="H323" s="11"/>
      <c r="I323" s="86"/>
      <c r="J323" s="192">
        <v>800.6</v>
      </c>
      <c r="K323" s="192">
        <v>799.7</v>
      </c>
      <c r="L323" s="194">
        <v>0</v>
      </c>
      <c r="M323" s="192">
        <f t="shared" si="490"/>
        <v>0</v>
      </c>
      <c r="N323" s="192">
        <f t="shared" si="491"/>
        <v>0</v>
      </c>
      <c r="O323" s="919"/>
      <c r="P323" s="192"/>
      <c r="Q323" s="192"/>
      <c r="R323" s="192">
        <f>N323</f>
        <v>0</v>
      </c>
      <c r="S323" s="192">
        <f t="shared" si="491"/>
        <v>0</v>
      </c>
      <c r="T323" s="192">
        <f t="shared" si="491"/>
        <v>0</v>
      </c>
      <c r="U323" s="192">
        <f t="shared" si="491"/>
        <v>0</v>
      </c>
      <c r="V323" s="1535">
        <v>0</v>
      </c>
      <c r="W323" s="1535">
        <v>0</v>
      </c>
      <c r="X323" s="192"/>
      <c r="Y323" s="192"/>
      <c r="Z323" s="1535">
        <f>W323</f>
        <v>0</v>
      </c>
      <c r="AA323" s="1535">
        <f>Z323</f>
        <v>0</v>
      </c>
      <c r="AB323" s="192"/>
      <c r="AC323" s="192">
        <f>AA323</f>
        <v>0</v>
      </c>
      <c r="AD323" s="192">
        <f t="shared" si="492"/>
        <v>0</v>
      </c>
      <c r="AE323" s="192">
        <f t="shared" si="492"/>
        <v>0</v>
      </c>
      <c r="AF323" s="192">
        <f t="shared" si="488"/>
        <v>0</v>
      </c>
      <c r="AG323" s="192">
        <f t="shared" si="488"/>
        <v>0</v>
      </c>
      <c r="AH323" s="192">
        <f t="shared" si="488"/>
        <v>0</v>
      </c>
      <c r="AI323" s="192">
        <f t="shared" si="489"/>
        <v>0</v>
      </c>
      <c r="AJ323" s="192">
        <f t="shared" si="489"/>
        <v>0</v>
      </c>
      <c r="AK323" s="192">
        <f t="shared" si="489"/>
        <v>0</v>
      </c>
      <c r="AL323" s="1368">
        <f t="shared" si="489"/>
        <v>0</v>
      </c>
      <c r="AM323" s="1368">
        <f t="shared" si="489"/>
        <v>0</v>
      </c>
      <c r="AN323" s="1368">
        <f t="shared" si="489"/>
        <v>0</v>
      </c>
      <c r="AO323" s="192"/>
      <c r="AP323" s="192"/>
      <c r="AQ323" s="192"/>
      <c r="AR323" s="192"/>
      <c r="AS323" s="192"/>
      <c r="AT323" s="164"/>
      <c r="AU323" s="95"/>
      <c r="AV323" s="39"/>
      <c r="AW323" s="89"/>
      <c r="AX323" s="89"/>
      <c r="AY323" s="89"/>
      <c r="AZ323" s="89"/>
      <c r="BA323" s="89"/>
      <c r="BB323" s="89"/>
      <c r="BC323" s="89"/>
      <c r="BD323" s="89"/>
      <c r="BE323" s="89"/>
      <c r="BF323" s="89"/>
      <c r="BG323" s="89"/>
      <c r="BH323" s="98"/>
      <c r="BI323" s="89"/>
      <c r="BJ323" s="89"/>
      <c r="BK323" s="89"/>
      <c r="BL323" s="89"/>
      <c r="BM323" s="89"/>
      <c r="BN323" s="89"/>
      <c r="BO323" s="89"/>
      <c r="BP323" s="89"/>
      <c r="BQ323" s="89"/>
      <c r="BR323" s="89"/>
      <c r="BS323" s="89"/>
      <c r="BT323" s="89"/>
      <c r="BU323" s="89"/>
      <c r="BV323" s="89"/>
      <c r="BW323" s="89"/>
      <c r="BX323" s="89"/>
      <c r="BY323" s="89"/>
      <c r="BZ323" s="89"/>
      <c r="CA323" s="89"/>
      <c r="CB323" s="89"/>
      <c r="CC323" s="89"/>
      <c r="CD323" s="89"/>
      <c r="CE323" s="89"/>
      <c r="CF323" s="89"/>
      <c r="CG323" s="89"/>
      <c r="CH323" s="89"/>
      <c r="CI323" s="89"/>
      <c r="CJ323" s="89"/>
      <c r="CK323" s="89"/>
      <c r="CL323" s="89"/>
      <c r="CM323" s="89"/>
      <c r="CN323" s="89"/>
      <c r="CO323" s="98"/>
      <c r="CP323" s="98"/>
      <c r="CQ323" s="98"/>
      <c r="CR323" s="98"/>
      <c r="CS323" s="98"/>
      <c r="CT323" s="98"/>
      <c r="CU323" s="98"/>
      <c r="CV323" s="98"/>
      <c r="CW323" s="98"/>
      <c r="CX323" s="98"/>
      <c r="CY323" s="1247"/>
      <c r="CZ323" s="1247"/>
      <c r="DA323" s="1247"/>
      <c r="DB323" s="98"/>
      <c r="DC323" s="2925"/>
      <c r="DD323" s="98"/>
      <c r="DE323" s="98"/>
      <c r="DF323" s="98"/>
      <c r="DG323" s="98"/>
      <c r="DH323" s="98"/>
      <c r="DI323" s="98"/>
      <c r="DJ323" s="98"/>
      <c r="DK323" s="98"/>
      <c r="DL323" s="98"/>
      <c r="DM323" s="98"/>
      <c r="DN323" s="98"/>
      <c r="DO323" s="98"/>
      <c r="DP323" s="98"/>
      <c r="DQ323" s="98"/>
      <c r="DR323" s="98"/>
    </row>
    <row r="324" spans="1:122" ht="12.75" customHeight="1">
      <c r="A324" s="190" t="s">
        <v>150</v>
      </c>
      <c r="B324" s="190"/>
      <c r="C324" s="191"/>
      <c r="D324" s="191"/>
      <c r="E324" s="11"/>
      <c r="F324" s="191"/>
      <c r="G324" s="191"/>
      <c r="H324" s="11"/>
      <c r="I324" s="86"/>
      <c r="J324" s="192">
        <v>725</v>
      </c>
      <c r="K324" s="192">
        <v>703</v>
      </c>
      <c r="L324" s="192">
        <v>699.4</v>
      </c>
      <c r="M324" s="193">
        <v>0</v>
      </c>
      <c r="N324" s="192">
        <f t="shared" si="491"/>
        <v>0</v>
      </c>
      <c r="O324" s="919"/>
      <c r="P324" s="192"/>
      <c r="Q324" s="192"/>
      <c r="R324" s="192">
        <f>N324</f>
        <v>0</v>
      </c>
      <c r="S324" s="192">
        <f t="shared" si="491"/>
        <v>0</v>
      </c>
      <c r="T324" s="192">
        <f t="shared" si="491"/>
        <v>0</v>
      </c>
      <c r="U324" s="192">
        <f t="shared" si="491"/>
        <v>0</v>
      </c>
      <c r="V324" s="1535">
        <v>0</v>
      </c>
      <c r="W324" s="1535">
        <v>0</v>
      </c>
      <c r="X324" s="192"/>
      <c r="Y324" s="192"/>
      <c r="Z324" s="1535">
        <f>W324</f>
        <v>0</v>
      </c>
      <c r="AA324" s="1535">
        <f>Z324</f>
        <v>0</v>
      </c>
      <c r="AB324" s="192"/>
      <c r="AC324" s="192">
        <f>AA324</f>
        <v>0</v>
      </c>
      <c r="AD324" s="192">
        <f t="shared" si="492"/>
        <v>0</v>
      </c>
      <c r="AE324" s="192">
        <f t="shared" si="492"/>
        <v>0</v>
      </c>
      <c r="AF324" s="192">
        <f t="shared" si="488"/>
        <v>0</v>
      </c>
      <c r="AG324" s="192">
        <f t="shared" si="488"/>
        <v>0</v>
      </c>
      <c r="AH324" s="192">
        <f t="shared" si="488"/>
        <v>0</v>
      </c>
      <c r="AI324" s="192">
        <f t="shared" si="489"/>
        <v>0</v>
      </c>
      <c r="AJ324" s="192">
        <f t="shared" si="489"/>
        <v>0</v>
      </c>
      <c r="AK324" s="192">
        <f t="shared" si="489"/>
        <v>0</v>
      </c>
      <c r="AL324" s="1368">
        <f t="shared" si="489"/>
        <v>0</v>
      </c>
      <c r="AM324" s="1368">
        <f t="shared" si="489"/>
        <v>0</v>
      </c>
      <c r="AN324" s="1368">
        <f t="shared" si="489"/>
        <v>0</v>
      </c>
      <c r="AO324" s="192"/>
      <c r="AP324" s="192"/>
      <c r="AQ324" s="192"/>
      <c r="AR324" s="192"/>
      <c r="AS324" s="192"/>
      <c r="AT324" s="164"/>
      <c r="AU324" s="95"/>
      <c r="AV324" s="39"/>
      <c r="AW324" s="89"/>
      <c r="AX324" s="89"/>
      <c r="AY324" s="89"/>
      <c r="AZ324" s="89"/>
      <c r="BA324" s="89"/>
      <c r="BB324" s="89"/>
      <c r="BC324" s="89"/>
      <c r="BD324" s="89"/>
      <c r="BE324" s="89"/>
      <c r="BF324" s="89"/>
      <c r="BG324" s="89"/>
      <c r="BH324" s="98"/>
      <c r="BI324" s="89"/>
      <c r="BJ324" s="89"/>
      <c r="BK324" s="89"/>
      <c r="BL324" s="89"/>
      <c r="BM324" s="89"/>
      <c r="BN324" s="89"/>
      <c r="BO324" s="89"/>
      <c r="BP324" s="89"/>
      <c r="BQ324" s="89"/>
      <c r="BR324" s="89"/>
      <c r="BS324" s="89"/>
      <c r="BT324" s="89"/>
      <c r="BU324" s="89"/>
      <c r="BV324" s="89"/>
      <c r="BW324" s="89"/>
      <c r="BX324" s="89"/>
      <c r="BY324" s="89"/>
      <c r="BZ324" s="89"/>
      <c r="CA324" s="89"/>
      <c r="CB324" s="89"/>
      <c r="CC324" s="89"/>
      <c r="CD324" s="89"/>
      <c r="CE324" s="89"/>
      <c r="CF324" s="89"/>
      <c r="CG324" s="89"/>
      <c r="CH324" s="89"/>
      <c r="CI324" s="89"/>
      <c r="CJ324" s="89"/>
      <c r="CK324" s="89"/>
      <c r="CL324" s="89"/>
      <c r="CM324" s="89"/>
      <c r="CN324" s="89"/>
      <c r="CO324" s="98"/>
      <c r="CP324" s="98"/>
      <c r="CQ324" s="98"/>
      <c r="CR324" s="98"/>
      <c r="CS324" s="98"/>
      <c r="CT324" s="98"/>
      <c r="CU324" s="98"/>
      <c r="CV324" s="98"/>
      <c r="CW324" s="98"/>
      <c r="CX324" s="98"/>
      <c r="CY324" s="1247"/>
      <c r="CZ324" s="1247"/>
      <c r="DA324" s="1247"/>
      <c r="DB324" s="98"/>
      <c r="DC324" s="2925"/>
      <c r="DD324" s="98"/>
      <c r="DE324" s="98"/>
      <c r="DF324" s="98"/>
      <c r="DG324" s="98"/>
      <c r="DH324" s="98"/>
      <c r="DI324" s="98"/>
      <c r="DJ324" s="98"/>
      <c r="DK324" s="98"/>
      <c r="DL324" s="98"/>
      <c r="DM324" s="98"/>
      <c r="DN324" s="98"/>
      <c r="DO324" s="98"/>
      <c r="DP324" s="98"/>
      <c r="DQ324" s="98"/>
      <c r="DR324" s="98"/>
    </row>
    <row r="325" spans="1:122" ht="12.75" customHeight="1">
      <c r="A325" s="190" t="s">
        <v>151</v>
      </c>
      <c r="B325" s="190"/>
      <c r="C325" s="191"/>
      <c r="D325" s="191"/>
      <c r="E325" s="11"/>
      <c r="F325" s="191"/>
      <c r="G325" s="191"/>
      <c r="H325" s="11"/>
      <c r="I325" s="86"/>
      <c r="J325" s="192">
        <v>1666.9</v>
      </c>
      <c r="K325" s="192">
        <v>1650.8</v>
      </c>
      <c r="L325" s="192">
        <v>1595.6</v>
      </c>
      <c r="M325" s="192">
        <v>1592.6</v>
      </c>
      <c r="N325" s="194">
        <v>1397.8</v>
      </c>
      <c r="O325" s="919"/>
      <c r="P325" s="192"/>
      <c r="Q325" s="192"/>
      <c r="R325" s="194">
        <v>416.2</v>
      </c>
      <c r="S325" s="194">
        <v>0</v>
      </c>
      <c r="T325" s="194">
        <v>0</v>
      </c>
      <c r="U325" s="194">
        <v>0</v>
      </c>
      <c r="V325" s="1535">
        <v>0</v>
      </c>
      <c r="W325" s="1535">
        <v>0</v>
      </c>
      <c r="X325" s="194"/>
      <c r="Y325" s="194"/>
      <c r="Z325" s="1535">
        <v>0</v>
      </c>
      <c r="AA325" s="1535">
        <v>0</v>
      </c>
      <c r="AB325" s="194"/>
      <c r="AC325" s="194">
        <v>0</v>
      </c>
      <c r="AD325" s="194">
        <v>0</v>
      </c>
      <c r="AE325" s="194">
        <v>0</v>
      </c>
      <c r="AF325" s="194">
        <v>0</v>
      </c>
      <c r="AG325" s="194">
        <v>0</v>
      </c>
      <c r="AH325" s="194">
        <v>0</v>
      </c>
      <c r="AI325" s="194">
        <v>0</v>
      </c>
      <c r="AJ325" s="194">
        <v>0</v>
      </c>
      <c r="AK325" s="194">
        <v>0</v>
      </c>
      <c r="AL325" s="1535">
        <v>0</v>
      </c>
      <c r="AM325" s="1535">
        <v>0</v>
      </c>
      <c r="AN325" s="1535">
        <v>0</v>
      </c>
      <c r="AO325" s="194"/>
      <c r="AP325" s="194"/>
      <c r="AQ325" s="194"/>
      <c r="AR325" s="194"/>
      <c r="AS325" s="194"/>
      <c r="AT325" s="164"/>
      <c r="AU325" s="95"/>
      <c r="AV325" s="39"/>
      <c r="AW325" s="89"/>
      <c r="AX325" s="89"/>
      <c r="AY325" s="89"/>
      <c r="AZ325" s="89"/>
      <c r="BA325" s="89"/>
      <c r="BB325" s="89"/>
      <c r="BC325" s="89"/>
      <c r="BD325" s="89"/>
      <c r="BE325" s="89"/>
      <c r="BF325" s="89"/>
      <c r="BG325" s="89"/>
      <c r="BH325" s="98"/>
      <c r="BI325" s="89"/>
      <c r="BJ325" s="89"/>
      <c r="BK325" s="89"/>
      <c r="BL325" s="89"/>
      <c r="BM325" s="89"/>
      <c r="BN325" s="89"/>
      <c r="BO325" s="89"/>
      <c r="BP325" s="89"/>
      <c r="BQ325" s="89"/>
      <c r="BR325" s="89"/>
      <c r="BS325" s="89"/>
      <c r="BT325" s="89"/>
      <c r="BU325" s="89"/>
      <c r="BV325" s="89"/>
      <c r="BW325" s="89"/>
      <c r="BX325" s="89"/>
      <c r="BY325" s="89"/>
      <c r="BZ325" s="89"/>
      <c r="CA325" s="89"/>
      <c r="CB325" s="89"/>
      <c r="CC325" s="89"/>
      <c r="CD325" s="89"/>
      <c r="CE325" s="89"/>
      <c r="CF325" s="89"/>
      <c r="CG325" s="89"/>
      <c r="CH325" s="89"/>
      <c r="CI325" s="89"/>
      <c r="CJ325" s="89"/>
      <c r="CK325" s="89"/>
      <c r="CL325" s="89"/>
      <c r="CM325" s="89"/>
      <c r="CN325" s="89"/>
      <c r="CO325" s="98"/>
      <c r="CP325" s="98"/>
      <c r="CQ325" s="98"/>
      <c r="CR325" s="98"/>
      <c r="CS325" s="98"/>
      <c r="CT325" s="98"/>
      <c r="CU325" s="98"/>
      <c r="CV325" s="98"/>
      <c r="CW325" s="98"/>
      <c r="CX325" s="98"/>
      <c r="CY325" s="1247"/>
      <c r="CZ325" s="1247"/>
      <c r="DA325" s="1247"/>
      <c r="DB325" s="98"/>
      <c r="DC325" s="2925"/>
      <c r="DD325" s="98"/>
      <c r="DE325" s="98"/>
      <c r="DF325" s="98"/>
      <c r="DG325" s="98"/>
      <c r="DH325" s="98"/>
      <c r="DI325" s="98"/>
      <c r="DJ325" s="98"/>
      <c r="DK325" s="98"/>
      <c r="DL325" s="98"/>
      <c r="DM325" s="98"/>
      <c r="DN325" s="98"/>
      <c r="DO325" s="98"/>
      <c r="DP325" s="98"/>
      <c r="DQ325" s="98"/>
      <c r="DR325" s="98"/>
    </row>
    <row r="326" spans="1:122" ht="12.75" customHeight="1">
      <c r="A326" s="190" t="s">
        <v>152</v>
      </c>
      <c r="B326" s="190"/>
      <c r="C326" s="191"/>
      <c r="D326" s="191"/>
      <c r="E326" s="11"/>
      <c r="F326" s="191"/>
      <c r="G326" s="191"/>
      <c r="H326" s="11"/>
      <c r="I326" s="920"/>
      <c r="J326" s="192">
        <v>995.5</v>
      </c>
      <c r="K326" s="192">
        <v>996.2</v>
      </c>
      <c r="L326" s="192">
        <v>947.1</v>
      </c>
      <c r="M326" s="192">
        <v>947.7</v>
      </c>
      <c r="N326" s="194">
        <v>948.4</v>
      </c>
      <c r="O326" s="919"/>
      <c r="P326" s="192"/>
      <c r="Q326" s="192"/>
      <c r="R326" s="194">
        <v>949.1</v>
      </c>
      <c r="S326" s="192">
        <v>0</v>
      </c>
      <c r="T326" s="194">
        <v>0</v>
      </c>
      <c r="U326" s="194">
        <v>0</v>
      </c>
      <c r="V326" s="1535">
        <v>0</v>
      </c>
      <c r="W326" s="1535">
        <v>0</v>
      </c>
      <c r="X326" s="194"/>
      <c r="Y326" s="194"/>
      <c r="Z326" s="1535">
        <v>0</v>
      </c>
      <c r="AA326" s="1535">
        <v>0</v>
      </c>
      <c r="AB326" s="2922"/>
      <c r="AC326" s="2922">
        <v>0</v>
      </c>
      <c r="AD326" s="194">
        <v>0</v>
      </c>
      <c r="AE326" s="194">
        <v>0</v>
      </c>
      <c r="AF326" s="194">
        <v>0</v>
      </c>
      <c r="AG326" s="194">
        <v>0</v>
      </c>
      <c r="AH326" s="194">
        <v>0</v>
      </c>
      <c r="AI326" s="194">
        <v>0</v>
      </c>
      <c r="AJ326" s="194">
        <v>0</v>
      </c>
      <c r="AK326" s="194">
        <v>0</v>
      </c>
      <c r="AL326" s="1535">
        <v>0</v>
      </c>
      <c r="AM326" s="1535">
        <v>0</v>
      </c>
      <c r="AN326" s="1535">
        <v>0</v>
      </c>
      <c r="AO326" s="194"/>
      <c r="AP326" s="194"/>
      <c r="AQ326" s="194"/>
      <c r="AR326" s="194"/>
      <c r="AS326" s="194"/>
      <c r="AT326" s="164"/>
      <c r="AU326" s="95"/>
      <c r="AV326" s="39"/>
      <c r="AW326" s="89"/>
      <c r="AX326" s="89"/>
      <c r="AY326" s="89"/>
      <c r="AZ326" s="89"/>
      <c r="BA326" s="89"/>
      <c r="BB326" s="89"/>
      <c r="BC326" s="89"/>
      <c r="BD326" s="89"/>
      <c r="BE326" s="89"/>
      <c r="BF326" s="89"/>
      <c r="BG326" s="89"/>
      <c r="BH326" s="98"/>
      <c r="BI326" s="89"/>
      <c r="BJ326" s="89"/>
      <c r="BK326" s="89"/>
      <c r="BL326" s="89"/>
      <c r="BM326" s="89"/>
      <c r="BN326" s="89"/>
      <c r="BO326" s="89"/>
      <c r="BP326" s="89"/>
      <c r="BQ326" s="89"/>
      <c r="BR326" s="89"/>
      <c r="BS326" s="89"/>
      <c r="BT326" s="89"/>
      <c r="BU326" s="89"/>
      <c r="BV326" s="89"/>
      <c r="BW326" s="89"/>
      <c r="BX326" s="89"/>
      <c r="BY326" s="89"/>
      <c r="BZ326" s="89"/>
      <c r="CA326" s="89"/>
      <c r="CB326" s="89"/>
      <c r="CC326" s="89"/>
      <c r="CD326" s="89"/>
      <c r="CE326" s="89"/>
      <c r="CF326" s="89"/>
      <c r="CG326" s="89"/>
      <c r="CH326" s="89"/>
      <c r="CI326" s="89"/>
      <c r="CJ326" s="89"/>
      <c r="CK326" s="89"/>
      <c r="CL326" s="89"/>
      <c r="CM326" s="89"/>
      <c r="CN326" s="89"/>
      <c r="CO326" s="98"/>
      <c r="CP326" s="98"/>
      <c r="CQ326" s="98"/>
      <c r="CR326" s="98"/>
      <c r="CS326" s="98"/>
      <c r="CT326" s="98"/>
      <c r="CU326" s="98"/>
      <c r="CV326" s="98"/>
      <c r="CW326" s="98"/>
      <c r="CX326" s="98"/>
      <c r="CY326" s="1247"/>
      <c r="CZ326" s="1247"/>
      <c r="DA326" s="1247"/>
      <c r="DB326" s="98"/>
      <c r="DC326" s="2925"/>
      <c r="DD326" s="98"/>
      <c r="DE326" s="98"/>
      <c r="DF326" s="98"/>
      <c r="DG326" s="98"/>
      <c r="DH326" s="98"/>
      <c r="DI326" s="98"/>
      <c r="DJ326" s="98"/>
      <c r="DK326" s="98"/>
      <c r="DL326" s="98"/>
      <c r="DM326" s="98"/>
      <c r="DN326" s="98"/>
      <c r="DO326" s="98"/>
      <c r="DP326" s="98"/>
      <c r="DQ326" s="98"/>
      <c r="DR326" s="98"/>
    </row>
    <row r="327" spans="1:122" ht="12.75" customHeight="1">
      <c r="A327" s="190" t="s">
        <v>153</v>
      </c>
      <c r="B327" s="190"/>
      <c r="C327" s="191"/>
      <c r="D327" s="191"/>
      <c r="E327" s="11"/>
      <c r="F327" s="191"/>
      <c r="G327" s="191"/>
      <c r="H327" s="11"/>
      <c r="I327" s="164"/>
      <c r="J327" s="192">
        <v>248.7</v>
      </c>
      <c r="K327" s="192">
        <v>248.9</v>
      </c>
      <c r="L327" s="192">
        <v>249</v>
      </c>
      <c r="M327" s="192">
        <v>249.1</v>
      </c>
      <c r="N327" s="194">
        <v>249.2</v>
      </c>
      <c r="O327" s="919"/>
      <c r="P327" s="192"/>
      <c r="Q327" s="192"/>
      <c r="R327" s="194">
        <v>252.3</v>
      </c>
      <c r="S327" s="192">
        <f>R327-42.6-55.1</f>
        <v>154.60000000000002</v>
      </c>
      <c r="T327" s="192">
        <f t="shared" ref="T327:T342" si="493">S327</f>
        <v>154.60000000000002</v>
      </c>
      <c r="U327" s="194">
        <v>0</v>
      </c>
      <c r="V327" s="1535">
        <v>0</v>
      </c>
      <c r="W327" s="1535">
        <v>0</v>
      </c>
      <c r="X327" s="194"/>
      <c r="Y327" s="194"/>
      <c r="Z327" s="1535">
        <v>0</v>
      </c>
      <c r="AA327" s="1535">
        <v>0</v>
      </c>
      <c r="AB327" s="2922"/>
      <c r="AC327" s="2922">
        <v>0</v>
      </c>
      <c r="AD327" s="194">
        <v>0</v>
      </c>
      <c r="AE327" s="194">
        <v>0</v>
      </c>
      <c r="AF327" s="194">
        <v>0</v>
      </c>
      <c r="AG327" s="194">
        <v>0</v>
      </c>
      <c r="AH327" s="194">
        <v>0</v>
      </c>
      <c r="AI327" s="194">
        <v>0</v>
      </c>
      <c r="AJ327" s="194">
        <v>0</v>
      </c>
      <c r="AK327" s="194">
        <v>0</v>
      </c>
      <c r="AL327" s="1535">
        <v>0</v>
      </c>
      <c r="AM327" s="1535">
        <v>0</v>
      </c>
      <c r="AN327" s="1535">
        <v>0</v>
      </c>
      <c r="AO327" s="194"/>
      <c r="AP327" s="194"/>
      <c r="AQ327" s="194"/>
      <c r="AR327" s="194"/>
      <c r="AS327" s="194"/>
      <c r="AT327" s="164"/>
      <c r="AU327" s="95"/>
      <c r="AV327" s="39"/>
      <c r="AW327" s="98"/>
      <c r="AX327" s="98"/>
      <c r="AY327" s="98"/>
      <c r="AZ327" s="98"/>
      <c r="BA327" s="98"/>
      <c r="BB327" s="98"/>
      <c r="BC327" s="98"/>
      <c r="BD327" s="98"/>
      <c r="BE327" s="98"/>
      <c r="BF327" s="98"/>
      <c r="BG327" s="98"/>
      <c r="BH327" s="98"/>
      <c r="BI327" s="98"/>
      <c r="BJ327" s="98"/>
      <c r="BK327" s="98"/>
      <c r="BL327" s="98"/>
      <c r="BM327" s="98"/>
      <c r="BN327" s="98"/>
      <c r="BO327" s="98"/>
      <c r="BP327" s="98"/>
      <c r="BQ327" s="98"/>
      <c r="BR327" s="98"/>
      <c r="BS327" s="98"/>
      <c r="BT327" s="98"/>
      <c r="BU327" s="98"/>
      <c r="BV327" s="98"/>
      <c r="BW327" s="98"/>
      <c r="BX327" s="98"/>
      <c r="BY327" s="98"/>
      <c r="BZ327" s="98"/>
      <c r="CA327" s="98"/>
      <c r="CB327" s="98"/>
      <c r="CC327" s="98"/>
      <c r="CD327" s="98"/>
      <c r="CE327" s="98"/>
      <c r="CF327" s="98"/>
      <c r="CG327" s="98"/>
      <c r="CH327" s="98"/>
      <c r="CI327" s="98"/>
      <c r="CJ327" s="98"/>
      <c r="CK327" s="98"/>
      <c r="CL327" s="98"/>
      <c r="CM327" s="98"/>
      <c r="CN327" s="98"/>
      <c r="CO327" s="98"/>
      <c r="CP327" s="98"/>
      <c r="CQ327" s="98"/>
      <c r="CR327" s="98"/>
      <c r="CS327" s="98"/>
      <c r="CT327" s="98"/>
      <c r="CU327" s="98"/>
      <c r="CV327" s="98"/>
      <c r="CW327" s="98"/>
      <c r="CX327" s="98"/>
      <c r="CY327" s="1247"/>
      <c r="CZ327" s="1247"/>
      <c r="DA327" s="1247"/>
      <c r="DB327" s="98"/>
      <c r="DC327" s="2925"/>
      <c r="DD327" s="98"/>
      <c r="DE327" s="98"/>
      <c r="DF327" s="98"/>
      <c r="DG327" s="98"/>
      <c r="DH327" s="98"/>
      <c r="DI327" s="98"/>
      <c r="DJ327" s="98"/>
      <c r="DK327" s="98"/>
      <c r="DL327" s="98"/>
      <c r="DM327" s="98"/>
      <c r="DN327" s="98"/>
      <c r="DO327" s="98"/>
      <c r="DP327" s="98"/>
      <c r="DQ327" s="98"/>
      <c r="DR327" s="98"/>
    </row>
    <row r="328" spans="1:122" ht="12.75" customHeight="1">
      <c r="A328" s="190" t="s">
        <v>154</v>
      </c>
      <c r="B328" s="190"/>
      <c r="C328" s="191"/>
      <c r="D328" s="191"/>
      <c r="E328" s="11"/>
      <c r="F328" s="191"/>
      <c r="G328" s="191"/>
      <c r="H328" s="11"/>
      <c r="I328" s="164"/>
      <c r="J328" s="192">
        <v>599.29999999999995</v>
      </c>
      <c r="K328" s="192">
        <v>599.4</v>
      </c>
      <c r="L328" s="192">
        <v>599.4</v>
      </c>
      <c r="M328" s="192">
        <v>599.6</v>
      </c>
      <c r="N328" s="194">
        <v>590.20000000000005</v>
      </c>
      <c r="O328" s="919"/>
      <c r="P328" s="192"/>
      <c r="Q328" s="192"/>
      <c r="R328" s="194">
        <v>593.9</v>
      </c>
      <c r="S328" s="192">
        <f>R328-57.4-194.9</f>
        <v>341.6</v>
      </c>
      <c r="T328" s="192">
        <f t="shared" si="493"/>
        <v>341.6</v>
      </c>
      <c r="U328" s="194">
        <v>0</v>
      </c>
      <c r="V328" s="1535">
        <v>0</v>
      </c>
      <c r="W328" s="1535">
        <v>0</v>
      </c>
      <c r="X328" s="194"/>
      <c r="Y328" s="194"/>
      <c r="Z328" s="1535">
        <v>0</v>
      </c>
      <c r="AA328" s="1535">
        <v>0</v>
      </c>
      <c r="AB328" s="2922"/>
      <c r="AC328" s="2922">
        <v>0</v>
      </c>
      <c r="AD328" s="194">
        <v>0</v>
      </c>
      <c r="AE328" s="194">
        <v>0</v>
      </c>
      <c r="AF328" s="194">
        <v>0</v>
      </c>
      <c r="AG328" s="194">
        <v>0</v>
      </c>
      <c r="AH328" s="194">
        <v>0</v>
      </c>
      <c r="AI328" s="194">
        <v>0</v>
      </c>
      <c r="AJ328" s="194">
        <v>0</v>
      </c>
      <c r="AK328" s="194">
        <v>0</v>
      </c>
      <c r="AL328" s="1535">
        <v>0</v>
      </c>
      <c r="AM328" s="1535">
        <v>0</v>
      </c>
      <c r="AN328" s="1535">
        <v>0</v>
      </c>
      <c r="AO328" s="194"/>
      <c r="AP328" s="194"/>
      <c r="AQ328" s="194"/>
      <c r="AR328" s="194"/>
      <c r="AS328" s="194"/>
      <c r="AT328" s="164"/>
      <c r="AU328" s="95"/>
      <c r="AV328" s="39"/>
      <c r="AW328" s="98"/>
      <c r="AX328" s="98"/>
      <c r="AY328" s="98"/>
      <c r="AZ328" s="98"/>
      <c r="BA328" s="98"/>
      <c r="BB328" s="98"/>
      <c r="BC328" s="98"/>
      <c r="BD328" s="98"/>
      <c r="BE328" s="98"/>
      <c r="BF328" s="98"/>
      <c r="BG328" s="98"/>
      <c r="BH328" s="98"/>
      <c r="BI328" s="98"/>
      <c r="BJ328" s="98"/>
      <c r="BK328" s="98"/>
      <c r="BL328" s="98"/>
      <c r="BM328" s="98"/>
      <c r="BN328" s="98"/>
      <c r="BO328" s="98"/>
      <c r="BP328" s="98"/>
      <c r="BQ328" s="98"/>
      <c r="BR328" s="98"/>
      <c r="BS328" s="98"/>
      <c r="BT328" s="98"/>
      <c r="BU328" s="98"/>
      <c r="BV328" s="98"/>
      <c r="BW328" s="98"/>
      <c r="BX328" s="98"/>
      <c r="BY328" s="98"/>
      <c r="BZ328" s="98"/>
      <c r="CA328" s="98"/>
      <c r="CB328" s="98"/>
      <c r="CC328" s="98"/>
      <c r="CD328" s="98"/>
      <c r="CE328" s="98"/>
      <c r="CF328" s="98"/>
      <c r="CG328" s="98"/>
      <c r="CH328" s="98"/>
      <c r="CI328" s="98"/>
      <c r="CJ328" s="98"/>
      <c r="CK328" s="98"/>
      <c r="CL328" s="98"/>
      <c r="CM328" s="98"/>
      <c r="CN328" s="98"/>
      <c r="CO328" s="98"/>
      <c r="CP328" s="98"/>
      <c r="CQ328" s="98"/>
      <c r="CR328" s="98"/>
      <c r="CS328" s="98"/>
      <c r="CT328" s="98"/>
      <c r="CU328" s="98"/>
      <c r="CV328" s="98"/>
      <c r="CW328" s="98"/>
      <c r="CX328" s="98"/>
      <c r="CY328" s="1247"/>
      <c r="CZ328" s="1247"/>
      <c r="DA328" s="1247"/>
      <c r="DB328" s="98"/>
      <c r="DC328" s="2925"/>
      <c r="DD328" s="98"/>
      <c r="DE328" s="98"/>
      <c r="DF328" s="98"/>
      <c r="DG328" s="98"/>
      <c r="DH328" s="98"/>
      <c r="DI328" s="98"/>
      <c r="DJ328" s="98"/>
      <c r="DK328" s="98"/>
      <c r="DL328" s="98"/>
      <c r="DM328" s="98"/>
      <c r="DN328" s="98"/>
      <c r="DO328" s="98"/>
      <c r="DP328" s="98"/>
      <c r="DQ328" s="98"/>
      <c r="DR328" s="98"/>
    </row>
    <row r="329" spans="1:122" ht="12.75" customHeight="1">
      <c r="A329" s="190" t="s">
        <v>155</v>
      </c>
      <c r="B329" s="190"/>
      <c r="C329" s="191"/>
      <c r="D329" s="191"/>
      <c r="E329" s="11"/>
      <c r="F329" s="191"/>
      <c r="G329" s="191"/>
      <c r="H329" s="11"/>
      <c r="I329" s="86"/>
      <c r="J329" s="192">
        <v>101.8</v>
      </c>
      <c r="K329" s="192">
        <v>98.6</v>
      </c>
      <c r="L329" s="192">
        <v>98.6</v>
      </c>
      <c r="M329" s="192">
        <v>98.6</v>
      </c>
      <c r="N329" s="194">
        <v>98.6</v>
      </c>
      <c r="O329" s="919"/>
      <c r="P329" s="192"/>
      <c r="Q329" s="192"/>
      <c r="R329" s="194">
        <v>101.6</v>
      </c>
      <c r="S329" s="192">
        <f t="shared" ref="S329:S334" si="494">R329</f>
        <v>101.6</v>
      </c>
      <c r="T329" s="192">
        <f t="shared" si="493"/>
        <v>101.6</v>
      </c>
      <c r="U329" s="192">
        <f>T329</f>
        <v>101.6</v>
      </c>
      <c r="V329" s="1535">
        <v>99</v>
      </c>
      <c r="W329" s="1535">
        <v>0</v>
      </c>
      <c r="X329" s="194"/>
      <c r="Y329" s="194"/>
      <c r="Z329" s="1535">
        <v>0</v>
      </c>
      <c r="AA329" s="1535">
        <v>0</v>
      </c>
      <c r="AB329" s="2922"/>
      <c r="AC329" s="2922">
        <v>0</v>
      </c>
      <c r="AD329" s="194">
        <v>0</v>
      </c>
      <c r="AE329" s="194">
        <v>0</v>
      </c>
      <c r="AF329" s="194">
        <v>0</v>
      </c>
      <c r="AG329" s="194">
        <v>0</v>
      </c>
      <c r="AH329" s="194">
        <v>0</v>
      </c>
      <c r="AI329" s="194">
        <v>0</v>
      </c>
      <c r="AJ329" s="194">
        <v>0</v>
      </c>
      <c r="AK329" s="194">
        <v>0</v>
      </c>
      <c r="AL329" s="1535">
        <v>0</v>
      </c>
      <c r="AM329" s="1535">
        <v>0</v>
      </c>
      <c r="AN329" s="1535">
        <v>0</v>
      </c>
      <c r="AO329" s="194"/>
      <c r="AP329" s="194"/>
      <c r="AQ329" s="194"/>
      <c r="AR329" s="194"/>
      <c r="AS329" s="194"/>
      <c r="AT329" s="164"/>
      <c r="AU329" s="95"/>
      <c r="AV329" s="39"/>
      <c r="AW329" s="89"/>
      <c r="AX329" s="89"/>
      <c r="AY329" s="89"/>
      <c r="AZ329" s="89"/>
      <c r="BA329" s="89"/>
      <c r="BB329" s="89"/>
      <c r="BC329" s="89"/>
      <c r="BD329" s="89"/>
      <c r="BE329" s="89"/>
      <c r="BF329" s="89"/>
      <c r="BG329" s="89"/>
      <c r="BH329" s="98"/>
      <c r="BI329" s="89"/>
      <c r="BJ329" s="89"/>
      <c r="BK329" s="89"/>
      <c r="BL329" s="89"/>
      <c r="BM329" s="89"/>
      <c r="BN329" s="89"/>
      <c r="BO329" s="89"/>
      <c r="BP329" s="89"/>
      <c r="BQ329" s="89"/>
      <c r="BR329" s="89"/>
      <c r="BS329" s="89"/>
      <c r="BT329" s="89"/>
      <c r="BU329" s="89"/>
      <c r="BV329" s="89"/>
      <c r="BW329" s="89"/>
      <c r="BX329" s="89"/>
      <c r="BY329" s="89"/>
      <c r="BZ329" s="89"/>
      <c r="CA329" s="89"/>
      <c r="CB329" s="89"/>
      <c r="CC329" s="89"/>
      <c r="CD329" s="89"/>
      <c r="CE329" s="89"/>
      <c r="CF329" s="89"/>
      <c r="CG329" s="89"/>
      <c r="CH329" s="89"/>
      <c r="CI329" s="89"/>
      <c r="CJ329" s="89"/>
      <c r="CK329" s="89"/>
      <c r="CL329" s="89"/>
      <c r="CM329" s="89"/>
      <c r="CN329" s="89"/>
      <c r="CO329" s="98"/>
      <c r="CP329" s="98"/>
      <c r="CQ329" s="98"/>
      <c r="CR329" s="98"/>
      <c r="CS329" s="98"/>
      <c r="CT329" s="98"/>
      <c r="CU329" s="98"/>
      <c r="CV329" s="98"/>
      <c r="CW329" s="98"/>
      <c r="CX329" s="98"/>
      <c r="CY329" s="1247"/>
      <c r="CZ329" s="1247"/>
      <c r="DA329" s="1247"/>
      <c r="DB329" s="98"/>
      <c r="DC329" s="2925"/>
      <c r="DD329" s="98"/>
      <c r="DE329" s="98"/>
      <c r="DF329" s="98"/>
      <c r="DG329" s="98"/>
      <c r="DH329" s="98"/>
      <c r="DI329" s="98"/>
      <c r="DJ329" s="98"/>
      <c r="DK329" s="98"/>
      <c r="DL329" s="98"/>
      <c r="DM329" s="98"/>
      <c r="DN329" s="98"/>
      <c r="DO329" s="98"/>
      <c r="DP329" s="98"/>
      <c r="DQ329" s="98"/>
      <c r="DR329" s="98"/>
    </row>
    <row r="330" spans="1:122" ht="12.75" customHeight="1">
      <c r="A330" s="190" t="s">
        <v>156</v>
      </c>
      <c r="B330" s="190"/>
      <c r="C330" s="191"/>
      <c r="D330" s="191"/>
      <c r="E330" s="11"/>
      <c r="F330" s="191"/>
      <c r="G330" s="191"/>
      <c r="H330" s="11"/>
      <c r="I330" s="86"/>
      <c r="J330" s="192">
        <v>199.2</v>
      </c>
      <c r="K330" s="192">
        <v>199.3</v>
      </c>
      <c r="L330" s="192">
        <v>199.4</v>
      </c>
      <c r="M330" s="192">
        <v>199.4</v>
      </c>
      <c r="N330" s="194">
        <v>199.5</v>
      </c>
      <c r="O330" s="919"/>
      <c r="P330" s="192"/>
      <c r="Q330" s="192"/>
      <c r="R330" s="194">
        <v>199.6</v>
      </c>
      <c r="S330" s="192">
        <f t="shared" si="494"/>
        <v>199.6</v>
      </c>
      <c r="T330" s="192">
        <f t="shared" si="493"/>
        <v>199.6</v>
      </c>
      <c r="U330" s="192">
        <f>T330</f>
        <v>199.6</v>
      </c>
      <c r="V330" s="1535">
        <v>200</v>
      </c>
      <c r="W330" s="1535">
        <v>200</v>
      </c>
      <c r="X330" s="192"/>
      <c r="Y330" s="192"/>
      <c r="Z330" s="1535">
        <v>200</v>
      </c>
      <c r="AA330" s="1535">
        <v>0</v>
      </c>
      <c r="AB330" s="2922"/>
      <c r="AC330" s="2923">
        <f>AA330</f>
        <v>0</v>
      </c>
      <c r="AD330" s="2923">
        <f t="shared" ref="AD330:AN330" si="495">AC330</f>
        <v>0</v>
      </c>
      <c r="AE330" s="2923">
        <f t="shared" si="495"/>
        <v>0</v>
      </c>
      <c r="AF330" s="2923">
        <f t="shared" si="495"/>
        <v>0</v>
      </c>
      <c r="AG330" s="2923">
        <f t="shared" si="495"/>
        <v>0</v>
      </c>
      <c r="AH330" s="2923">
        <f t="shared" si="495"/>
        <v>0</v>
      </c>
      <c r="AI330" s="2923">
        <f t="shared" si="495"/>
        <v>0</v>
      </c>
      <c r="AJ330" s="192">
        <f t="shared" si="495"/>
        <v>0</v>
      </c>
      <c r="AK330" s="192">
        <f t="shared" si="495"/>
        <v>0</v>
      </c>
      <c r="AL330" s="1368">
        <f t="shared" si="495"/>
        <v>0</v>
      </c>
      <c r="AM330" s="1368">
        <f t="shared" si="495"/>
        <v>0</v>
      </c>
      <c r="AN330" s="1368">
        <f t="shared" si="495"/>
        <v>0</v>
      </c>
      <c r="AO330" s="192"/>
      <c r="AP330" s="192"/>
      <c r="AQ330" s="192"/>
      <c r="AR330" s="192"/>
      <c r="AS330" s="192"/>
      <c r="AT330" s="164"/>
      <c r="AU330" s="95"/>
      <c r="AV330" s="39"/>
      <c r="AW330" s="89"/>
      <c r="AX330" s="89"/>
      <c r="AY330" s="89"/>
      <c r="AZ330" s="89"/>
      <c r="BA330" s="89"/>
      <c r="BB330" s="89"/>
      <c r="BC330" s="89"/>
      <c r="BD330" s="89"/>
      <c r="BE330" s="89"/>
      <c r="BF330" s="89"/>
      <c r="BG330" s="89"/>
      <c r="BH330" s="98"/>
      <c r="BI330" s="89"/>
      <c r="BJ330" s="89"/>
      <c r="BK330" s="89"/>
      <c r="BL330" s="89"/>
      <c r="BM330" s="89"/>
      <c r="BN330" s="89"/>
      <c r="BO330" s="89"/>
      <c r="BP330" s="89"/>
      <c r="BQ330" s="89"/>
      <c r="BR330" s="89"/>
      <c r="BS330" s="89"/>
      <c r="BT330" s="89"/>
      <c r="BU330" s="89"/>
      <c r="BV330" s="89"/>
      <c r="BW330" s="89"/>
      <c r="BX330" s="89"/>
      <c r="BY330" s="89"/>
      <c r="BZ330" s="89"/>
      <c r="CA330" s="89"/>
      <c r="CB330" s="89"/>
      <c r="CC330" s="89"/>
      <c r="CD330" s="89"/>
      <c r="CE330" s="89"/>
      <c r="CF330" s="89"/>
      <c r="CG330" s="89"/>
      <c r="CH330" s="89"/>
      <c r="CI330" s="89"/>
      <c r="CJ330" s="89"/>
      <c r="CK330" s="89"/>
      <c r="CL330" s="89"/>
      <c r="CM330" s="89"/>
      <c r="CN330" s="89"/>
      <c r="CO330" s="98"/>
      <c r="CP330" s="98"/>
      <c r="CQ330" s="98"/>
      <c r="CR330" s="98"/>
      <c r="CS330" s="98"/>
      <c r="CT330" s="98"/>
      <c r="CU330" s="98"/>
      <c r="CV330" s="98"/>
      <c r="CW330" s="98"/>
      <c r="CX330" s="98"/>
      <c r="CY330" s="1247"/>
      <c r="CZ330" s="1247"/>
      <c r="DA330" s="1247"/>
      <c r="DB330" s="98"/>
      <c r="DC330" s="2925"/>
      <c r="DD330" s="98"/>
      <c r="DE330" s="98"/>
      <c r="DF330" s="98"/>
      <c r="DG330" s="98"/>
      <c r="DH330" s="98"/>
      <c r="DI330" s="98"/>
      <c r="DJ330" s="98"/>
      <c r="DK330" s="98"/>
      <c r="DL330" s="98"/>
      <c r="DM330" s="98"/>
      <c r="DN330" s="98"/>
      <c r="DO330" s="98"/>
      <c r="DP330" s="98"/>
      <c r="DQ330" s="98"/>
      <c r="DR330" s="98"/>
    </row>
    <row r="331" spans="1:122" ht="12.75" customHeight="1">
      <c r="A331" s="190" t="s">
        <v>1289</v>
      </c>
      <c r="B331" s="190"/>
      <c r="C331" s="191"/>
      <c r="D331" s="191"/>
      <c r="E331" s="11"/>
      <c r="F331" s="191"/>
      <c r="G331" s="191"/>
      <c r="H331" s="11"/>
      <c r="I331" s="86"/>
      <c r="J331" s="192">
        <v>0</v>
      </c>
      <c r="K331" s="192">
        <v>0</v>
      </c>
      <c r="L331" s="192">
        <v>0</v>
      </c>
      <c r="M331" s="192">
        <v>0</v>
      </c>
      <c r="N331" s="192">
        <v>0</v>
      </c>
      <c r="O331" s="919"/>
      <c r="P331" s="192"/>
      <c r="Q331" s="192"/>
      <c r="R331" s="194">
        <v>395.8</v>
      </c>
      <c r="S331" s="192">
        <f t="shared" si="494"/>
        <v>395.8</v>
      </c>
      <c r="T331" s="192">
        <f t="shared" si="493"/>
        <v>395.8</v>
      </c>
      <c r="U331" s="194">
        <v>0</v>
      </c>
      <c r="V331" s="1535">
        <v>0</v>
      </c>
      <c r="W331" s="1535">
        <v>0</v>
      </c>
      <c r="X331" s="194"/>
      <c r="Y331" s="194"/>
      <c r="Z331" s="1535">
        <v>0</v>
      </c>
      <c r="AA331" s="1535">
        <v>0</v>
      </c>
      <c r="AB331" s="2922"/>
      <c r="AC331" s="2922">
        <v>0</v>
      </c>
      <c r="AD331" s="2922">
        <v>0</v>
      </c>
      <c r="AE331" s="2922">
        <v>0</v>
      </c>
      <c r="AF331" s="2922">
        <v>0</v>
      </c>
      <c r="AG331" s="2922">
        <v>0</v>
      </c>
      <c r="AH331" s="2922">
        <v>0</v>
      </c>
      <c r="AI331" s="2922">
        <v>0</v>
      </c>
      <c r="AJ331" s="194">
        <v>0</v>
      </c>
      <c r="AK331" s="194">
        <v>0</v>
      </c>
      <c r="AL331" s="1535">
        <v>0</v>
      </c>
      <c r="AM331" s="1535">
        <v>0</v>
      </c>
      <c r="AN331" s="1535">
        <v>0</v>
      </c>
      <c r="AO331" s="192"/>
      <c r="AP331" s="192"/>
      <c r="AQ331" s="192"/>
      <c r="AR331" s="192"/>
      <c r="AS331" s="192"/>
      <c r="AT331" s="164"/>
      <c r="AU331" s="95"/>
      <c r="AV331" s="39"/>
      <c r="AW331" s="89"/>
      <c r="AX331" s="89"/>
      <c r="AY331" s="89"/>
      <c r="AZ331" s="89"/>
      <c r="BA331" s="89"/>
      <c r="BB331" s="89"/>
      <c r="BC331" s="89"/>
      <c r="BD331" s="89"/>
      <c r="BE331" s="89"/>
      <c r="BF331" s="89"/>
      <c r="BG331" s="89"/>
      <c r="BH331" s="98"/>
      <c r="BI331" s="89"/>
      <c r="BJ331" s="89"/>
      <c r="BK331" s="89"/>
      <c r="BL331" s="89"/>
      <c r="BM331" s="89"/>
      <c r="BN331" s="89"/>
      <c r="BO331" s="89"/>
      <c r="BP331" s="89"/>
      <c r="BQ331" s="89"/>
      <c r="BR331" s="89"/>
      <c r="BS331" s="89"/>
      <c r="BT331" s="89"/>
      <c r="BU331" s="89"/>
      <c r="BV331" s="89"/>
      <c r="BW331" s="89"/>
      <c r="BX331" s="89"/>
      <c r="BY331" s="89"/>
      <c r="BZ331" s="89"/>
      <c r="CA331" s="89"/>
      <c r="CB331" s="89"/>
      <c r="CC331" s="89"/>
      <c r="CD331" s="89"/>
      <c r="CE331" s="89"/>
      <c r="CF331" s="89"/>
      <c r="CG331" s="89"/>
      <c r="CH331" s="89"/>
      <c r="CI331" s="89"/>
      <c r="CJ331" s="89"/>
      <c r="CK331" s="89"/>
      <c r="CL331" s="89"/>
      <c r="CM331" s="89"/>
      <c r="CN331" s="89"/>
      <c r="CO331" s="98"/>
      <c r="CP331" s="98"/>
      <c r="CQ331" s="98"/>
      <c r="CR331" s="98"/>
      <c r="CS331" s="98"/>
      <c r="CT331" s="98"/>
      <c r="CU331" s="98"/>
      <c r="CV331" s="98"/>
      <c r="CW331" s="98"/>
      <c r="CX331" s="98"/>
      <c r="CY331" s="1247"/>
      <c r="CZ331" s="1247"/>
      <c r="DA331" s="1247"/>
      <c r="DB331" s="98"/>
      <c r="DC331" s="2925"/>
      <c r="DD331" s="98"/>
      <c r="DE331" s="98"/>
      <c r="DF331" s="98"/>
      <c r="DG331" s="98"/>
      <c r="DH331" s="98"/>
      <c r="DI331" s="98"/>
      <c r="DJ331" s="98"/>
      <c r="DK331" s="98"/>
      <c r="DL331" s="98"/>
      <c r="DM331" s="98"/>
      <c r="DN331" s="98"/>
      <c r="DO331" s="98"/>
      <c r="DP331" s="98"/>
      <c r="DQ331" s="98"/>
      <c r="DR331" s="98"/>
    </row>
    <row r="332" spans="1:122" ht="12.75" customHeight="1">
      <c r="A332" s="2990" t="s">
        <v>157</v>
      </c>
      <c r="B332" s="2990"/>
      <c r="C332" s="3226"/>
      <c r="D332" s="3226"/>
      <c r="E332" s="2862"/>
      <c r="F332" s="3226"/>
      <c r="G332" s="3226"/>
      <c r="H332" s="2862"/>
      <c r="I332" s="3227"/>
      <c r="J332" s="2923">
        <v>288.60000000000002</v>
      </c>
      <c r="K332" s="2923">
        <v>286.7</v>
      </c>
      <c r="L332" s="2923">
        <v>281.3</v>
      </c>
      <c r="M332" s="2923">
        <v>294.7</v>
      </c>
      <c r="N332" s="2922">
        <v>337</v>
      </c>
      <c r="O332" s="3182"/>
      <c r="P332" s="2923"/>
      <c r="Q332" s="2923"/>
      <c r="R332" s="2922">
        <v>333.1</v>
      </c>
      <c r="S332" s="2923">
        <f t="shared" si="494"/>
        <v>333.1</v>
      </c>
      <c r="T332" s="2923">
        <f t="shared" si="493"/>
        <v>333.1</v>
      </c>
      <c r="U332" s="2923">
        <f>T332</f>
        <v>333.1</v>
      </c>
      <c r="V332" s="2922">
        <v>317</v>
      </c>
      <c r="W332" s="2922">
        <v>313</v>
      </c>
      <c r="X332" s="2923"/>
      <c r="Y332" s="2923"/>
      <c r="Z332" s="2922">
        <v>309</v>
      </c>
      <c r="AA332" s="2922">
        <v>305</v>
      </c>
      <c r="AB332" s="2922"/>
      <c r="AC332" s="2922">
        <v>0</v>
      </c>
      <c r="AD332" s="2922">
        <v>0</v>
      </c>
      <c r="AE332" s="2922">
        <v>0</v>
      </c>
      <c r="AF332" s="2922">
        <v>0</v>
      </c>
      <c r="AG332" s="2922">
        <v>0</v>
      </c>
      <c r="AH332" s="2922">
        <v>0</v>
      </c>
      <c r="AI332" s="2922">
        <v>0</v>
      </c>
      <c r="AJ332" s="194">
        <v>0</v>
      </c>
      <c r="AK332" s="194">
        <v>0</v>
      </c>
      <c r="AL332" s="194">
        <v>0</v>
      </c>
      <c r="AM332" s="194">
        <v>0</v>
      </c>
      <c r="AN332" s="194">
        <v>0</v>
      </c>
      <c r="AO332" s="192"/>
      <c r="AP332" s="192"/>
      <c r="AQ332" s="192"/>
      <c r="AR332" s="192"/>
      <c r="AS332" s="192"/>
      <c r="AT332" s="164"/>
      <c r="AU332" s="95"/>
      <c r="AV332" s="39"/>
      <c r="AW332" s="89"/>
      <c r="AX332" s="89"/>
      <c r="AY332" s="89"/>
      <c r="AZ332" s="89"/>
      <c r="BA332" s="89"/>
      <c r="BB332" s="89"/>
      <c r="BC332" s="89"/>
      <c r="BD332" s="89"/>
      <c r="BE332" s="89"/>
      <c r="BF332" s="89"/>
      <c r="BG332" s="89"/>
      <c r="BH332" s="98"/>
      <c r="BI332" s="89"/>
      <c r="BJ332" s="89"/>
      <c r="BK332" s="89"/>
      <c r="BL332" s="89"/>
      <c r="BM332" s="89"/>
      <c r="BN332" s="89"/>
      <c r="BO332" s="89"/>
      <c r="BP332" s="89"/>
      <c r="BQ332" s="89"/>
      <c r="BR332" s="89"/>
      <c r="BS332" s="89"/>
      <c r="BT332" s="89"/>
      <c r="BU332" s="89"/>
      <c r="BV332" s="89"/>
      <c r="BW332" s="89"/>
      <c r="BX332" s="89"/>
      <c r="BY332" s="89"/>
      <c r="BZ332" s="89"/>
      <c r="CA332" s="89"/>
      <c r="CB332" s="89"/>
      <c r="CC332" s="89"/>
      <c r="CD332" s="89"/>
      <c r="CE332" s="89"/>
      <c r="CF332" s="89"/>
      <c r="CG332" s="89"/>
      <c r="CH332" s="89"/>
      <c r="CI332" s="89"/>
      <c r="CJ332" s="89"/>
      <c r="CK332" s="89"/>
      <c r="CL332" s="89"/>
      <c r="CM332" s="89"/>
      <c r="CN332" s="89"/>
      <c r="CO332" s="98"/>
      <c r="CP332" s="98"/>
      <c r="CQ332" s="98"/>
      <c r="CR332" s="98"/>
      <c r="CS332" s="98"/>
      <c r="CT332" s="98"/>
      <c r="CU332" s="98"/>
      <c r="CV332" s="98"/>
      <c r="CW332" s="98"/>
      <c r="CX332" s="98"/>
      <c r="CY332" s="1247"/>
      <c r="CZ332" s="1247"/>
      <c r="DA332" s="1247"/>
      <c r="DB332" s="98"/>
      <c r="DC332" s="2925"/>
      <c r="DD332" s="98"/>
      <c r="DE332" s="98"/>
      <c r="DF332" s="98"/>
      <c r="DG332" s="98"/>
      <c r="DH332" s="98"/>
      <c r="DI332" s="98"/>
      <c r="DJ332" s="98"/>
      <c r="DK332" s="98"/>
      <c r="DL332" s="98"/>
      <c r="DM332" s="98"/>
      <c r="DN332" s="98"/>
      <c r="DO332" s="98"/>
      <c r="DP332" s="98"/>
      <c r="DQ332" s="98"/>
      <c r="DR332" s="98"/>
    </row>
    <row r="333" spans="1:122" ht="12.75" customHeight="1">
      <c r="A333" s="2990" t="s">
        <v>1290</v>
      </c>
      <c r="B333" s="2990"/>
      <c r="C333" s="3226"/>
      <c r="D333" s="3226"/>
      <c r="E333" s="2862"/>
      <c r="F333" s="3226"/>
      <c r="G333" s="3226"/>
      <c r="H333" s="2862"/>
      <c r="I333" s="3227"/>
      <c r="J333" s="2923">
        <v>0</v>
      </c>
      <c r="K333" s="2923">
        <v>0</v>
      </c>
      <c r="L333" s="2923">
        <v>0</v>
      </c>
      <c r="M333" s="2923">
        <v>0</v>
      </c>
      <c r="N333" s="2923">
        <v>0</v>
      </c>
      <c r="O333" s="3182"/>
      <c r="P333" s="2923"/>
      <c r="Q333" s="2923"/>
      <c r="R333" s="2922">
        <f>586.3-R334</f>
        <v>336.29999999999995</v>
      </c>
      <c r="S333" s="2923">
        <f t="shared" si="494"/>
        <v>336.29999999999995</v>
      </c>
      <c r="T333" s="2923">
        <f t="shared" si="493"/>
        <v>336.29999999999995</v>
      </c>
      <c r="U333" s="2923">
        <f>T333</f>
        <v>336.29999999999995</v>
      </c>
      <c r="V333" s="2922">
        <f>592-V334</f>
        <v>342</v>
      </c>
      <c r="W333" s="2922">
        <v>0</v>
      </c>
      <c r="X333" s="2923"/>
      <c r="Y333" s="2923"/>
      <c r="Z333" s="2922">
        <f>W333</f>
        <v>0</v>
      </c>
      <c r="AA333" s="2922">
        <f t="shared" ref="AA333:AD334" si="496">Z333</f>
        <v>0</v>
      </c>
      <c r="AB333" s="2922"/>
      <c r="AC333" s="2923">
        <f t="shared" ref="AC333:AC344" si="497">AA333</f>
        <v>0</v>
      </c>
      <c r="AD333" s="2923">
        <f t="shared" si="496"/>
        <v>0</v>
      </c>
      <c r="AE333" s="2923">
        <v>0</v>
      </c>
      <c r="AF333" s="2923">
        <v>0</v>
      </c>
      <c r="AG333" s="2923">
        <v>0</v>
      </c>
      <c r="AH333" s="2923">
        <v>0</v>
      </c>
      <c r="AI333" s="2923">
        <v>0</v>
      </c>
      <c r="AJ333" s="192">
        <v>0</v>
      </c>
      <c r="AK333" s="192">
        <v>0</v>
      </c>
      <c r="AL333" s="1368">
        <v>0</v>
      </c>
      <c r="AM333" s="1368">
        <v>0</v>
      </c>
      <c r="AN333" s="1368">
        <v>0</v>
      </c>
      <c r="AO333" s="192"/>
      <c r="AP333" s="192"/>
      <c r="AQ333" s="192"/>
      <c r="AR333" s="192"/>
      <c r="AS333" s="192"/>
      <c r="AT333" s="164"/>
      <c r="AU333" s="95"/>
      <c r="AV333" s="39"/>
      <c r="AW333" s="89"/>
      <c r="AX333" s="89"/>
      <c r="AY333" s="89"/>
      <c r="AZ333" s="89"/>
      <c r="BA333" s="89"/>
      <c r="BB333" s="89"/>
      <c r="BC333" s="89"/>
      <c r="BD333" s="89"/>
      <c r="BE333" s="89"/>
      <c r="BF333" s="89"/>
      <c r="BG333" s="89"/>
      <c r="BH333" s="98"/>
      <c r="BI333" s="89"/>
      <c r="BJ333" s="89"/>
      <c r="BK333" s="89"/>
      <c r="BL333" s="89"/>
      <c r="BM333" s="89"/>
      <c r="BN333" s="89"/>
      <c r="BO333" s="89"/>
      <c r="BP333" s="89"/>
      <c r="BQ333" s="89"/>
      <c r="BR333" s="89"/>
      <c r="BS333" s="89"/>
      <c r="BT333" s="89"/>
      <c r="BU333" s="89"/>
      <c r="BV333" s="89"/>
      <c r="BW333" s="89"/>
      <c r="BX333" s="89"/>
      <c r="BY333" s="89"/>
      <c r="BZ333" s="89"/>
      <c r="CA333" s="89"/>
      <c r="CB333" s="89"/>
      <c r="CC333" s="89"/>
      <c r="CD333" s="89"/>
      <c r="CE333" s="89"/>
      <c r="CF333" s="89"/>
      <c r="CG333" s="89"/>
      <c r="CH333" s="89"/>
      <c r="CI333" s="89"/>
      <c r="CJ333" s="89"/>
      <c r="CK333" s="89"/>
      <c r="CL333" s="89"/>
      <c r="CM333" s="89"/>
      <c r="CN333" s="89"/>
      <c r="CO333" s="98"/>
      <c r="CP333" s="98"/>
      <c r="CQ333" s="98"/>
      <c r="CR333" s="98"/>
      <c r="CS333" s="98"/>
      <c r="CT333" s="98"/>
      <c r="CU333" s="98"/>
      <c r="CV333" s="98"/>
      <c r="CW333" s="98"/>
      <c r="CX333" s="98"/>
      <c r="CY333" s="1247"/>
      <c r="CZ333" s="1247"/>
      <c r="DA333" s="1247"/>
      <c r="DB333" s="98"/>
      <c r="DC333" s="2925"/>
      <c r="DD333" s="98"/>
      <c r="DE333" s="98"/>
      <c r="DF333" s="98"/>
      <c r="DG333" s="98"/>
      <c r="DH333" s="98"/>
      <c r="DI333" s="98"/>
      <c r="DJ333" s="98"/>
      <c r="DK333" s="98"/>
      <c r="DL333" s="98"/>
      <c r="DM333" s="98"/>
      <c r="DN333" s="98"/>
      <c r="DO333" s="98"/>
      <c r="DP333" s="98"/>
      <c r="DQ333" s="98"/>
      <c r="DR333" s="98"/>
    </row>
    <row r="334" spans="1:122" ht="12.75" customHeight="1">
      <c r="A334" s="2990" t="s">
        <v>472</v>
      </c>
      <c r="B334" s="2990"/>
      <c r="C334" s="3226"/>
      <c r="D334" s="3226"/>
      <c r="E334" s="2862"/>
      <c r="F334" s="3226"/>
      <c r="G334" s="3226"/>
      <c r="H334" s="2862"/>
      <c r="I334" s="3227"/>
      <c r="J334" s="2923"/>
      <c r="K334" s="2923"/>
      <c r="L334" s="2923"/>
      <c r="M334" s="2923">
        <v>0</v>
      </c>
      <c r="N334" s="2923">
        <v>0</v>
      </c>
      <c r="O334" s="3182"/>
      <c r="P334" s="2923"/>
      <c r="Q334" s="2923"/>
      <c r="R334" s="2923">
        <v>250</v>
      </c>
      <c r="S334" s="2923">
        <f t="shared" si="494"/>
        <v>250</v>
      </c>
      <c r="T334" s="2923">
        <f t="shared" si="493"/>
        <v>250</v>
      </c>
      <c r="U334" s="2923">
        <f>T334</f>
        <v>250</v>
      </c>
      <c r="V334" s="2922">
        <f>U334</f>
        <v>250</v>
      </c>
      <c r="W334" s="2922">
        <v>0</v>
      </c>
      <c r="X334" s="2923"/>
      <c r="Y334" s="2923"/>
      <c r="Z334" s="2922">
        <f>W334</f>
        <v>0</v>
      </c>
      <c r="AA334" s="2922">
        <f t="shared" si="496"/>
        <v>0</v>
      </c>
      <c r="AB334" s="2922"/>
      <c r="AC334" s="2923">
        <f t="shared" si="497"/>
        <v>0</v>
      </c>
      <c r="AD334" s="2923">
        <f t="shared" si="496"/>
        <v>0</v>
      </c>
      <c r="AE334" s="2923">
        <v>0</v>
      </c>
      <c r="AF334" s="2923">
        <v>0</v>
      </c>
      <c r="AG334" s="2923">
        <v>0</v>
      </c>
      <c r="AH334" s="2923">
        <v>0</v>
      </c>
      <c r="AI334" s="2923">
        <v>0</v>
      </c>
      <c r="AJ334" s="192">
        <v>0</v>
      </c>
      <c r="AK334" s="192">
        <v>0</v>
      </c>
      <c r="AL334" s="1368">
        <v>0</v>
      </c>
      <c r="AM334" s="1368">
        <v>0</v>
      </c>
      <c r="AN334" s="1368">
        <v>0</v>
      </c>
      <c r="AO334" s="192"/>
      <c r="AP334" s="192"/>
      <c r="AQ334" s="192"/>
      <c r="AR334" s="192"/>
      <c r="AS334" s="192"/>
      <c r="AT334" s="164"/>
      <c r="AU334" s="95"/>
      <c r="AV334" s="39"/>
      <c r="AW334" s="89"/>
      <c r="AX334" s="89"/>
      <c r="AY334" s="89"/>
      <c r="AZ334" s="89"/>
      <c r="BA334" s="89"/>
      <c r="BB334" s="89"/>
      <c r="BC334" s="89"/>
      <c r="BD334" s="89"/>
      <c r="BE334" s="89"/>
      <c r="BF334" s="89"/>
      <c r="BG334" s="89"/>
      <c r="BH334" s="98"/>
      <c r="BI334" s="89"/>
      <c r="BJ334" s="89"/>
      <c r="BK334" s="89"/>
      <c r="BL334" s="89"/>
      <c r="BM334" s="89"/>
      <c r="BN334" s="89"/>
      <c r="BO334" s="89"/>
      <c r="BP334" s="89"/>
      <c r="BQ334" s="89"/>
      <c r="BR334" s="89"/>
      <c r="BS334" s="89"/>
      <c r="BT334" s="89"/>
      <c r="BU334" s="89"/>
      <c r="BV334" s="89"/>
      <c r="BW334" s="89"/>
      <c r="BX334" s="89"/>
      <c r="BY334" s="89"/>
      <c r="BZ334" s="89"/>
      <c r="CA334" s="89"/>
      <c r="CB334" s="89"/>
      <c r="CC334" s="89"/>
      <c r="CD334" s="89"/>
      <c r="CE334" s="89"/>
      <c r="CF334" s="89"/>
      <c r="CG334" s="89"/>
      <c r="CH334" s="89"/>
      <c r="CI334" s="89"/>
      <c r="CJ334" s="89"/>
      <c r="CK334" s="89"/>
      <c r="CL334" s="89"/>
      <c r="CM334" s="89"/>
      <c r="CN334" s="89"/>
      <c r="CO334" s="98"/>
      <c r="CP334" s="98"/>
      <c r="CQ334" s="98"/>
      <c r="CR334" s="98"/>
      <c r="CS334" s="98"/>
      <c r="CT334" s="98"/>
      <c r="CU334" s="98"/>
      <c r="CV334" s="98"/>
      <c r="CW334" s="98"/>
      <c r="CX334" s="98"/>
      <c r="CY334" s="1247"/>
      <c r="CZ334" s="1247"/>
      <c r="DA334" s="1247"/>
      <c r="DB334" s="98"/>
      <c r="DC334" s="2925"/>
      <c r="DD334" s="98"/>
      <c r="DE334" s="98"/>
      <c r="DF334" s="98"/>
      <c r="DG334" s="98"/>
      <c r="DH334" s="98"/>
      <c r="DI334" s="98"/>
      <c r="DJ334" s="98"/>
      <c r="DK334" s="98"/>
      <c r="DL334" s="98"/>
      <c r="DM334" s="98"/>
      <c r="DN334" s="98"/>
      <c r="DO334" s="98"/>
      <c r="DP334" s="98"/>
      <c r="DQ334" s="98"/>
      <c r="DR334" s="98"/>
    </row>
    <row r="335" spans="1:122" ht="12.75" customHeight="1">
      <c r="A335" s="2990" t="s">
        <v>336</v>
      </c>
      <c r="B335" s="2990"/>
      <c r="C335" s="3226"/>
      <c r="D335" s="3226"/>
      <c r="E335" s="2862"/>
      <c r="F335" s="3226"/>
      <c r="G335" s="3226"/>
      <c r="H335" s="2862"/>
      <c r="I335" s="3227"/>
      <c r="J335" s="2923"/>
      <c r="K335" s="2923"/>
      <c r="L335" s="2923"/>
      <c r="M335" s="2923">
        <v>0</v>
      </c>
      <c r="N335" s="2923">
        <v>0</v>
      </c>
      <c r="O335" s="3182"/>
      <c r="P335" s="2923"/>
      <c r="Q335" s="2923"/>
      <c r="R335" s="2923">
        <v>0</v>
      </c>
      <c r="S335" s="2923">
        <v>500</v>
      </c>
      <c r="T335" s="2923">
        <f t="shared" si="493"/>
        <v>500</v>
      </c>
      <c r="U335" s="2923">
        <f>T335</f>
        <v>500</v>
      </c>
      <c r="V335" s="2922">
        <v>500</v>
      </c>
      <c r="W335" s="2922">
        <v>500</v>
      </c>
      <c r="X335" s="2923"/>
      <c r="Y335" s="2923"/>
      <c r="Z335" s="2922">
        <v>498</v>
      </c>
      <c r="AA335" s="2922">
        <v>499</v>
      </c>
      <c r="AB335" s="2922"/>
      <c r="AC335" s="2922">
        <v>0</v>
      </c>
      <c r="AD335" s="2922">
        <v>0</v>
      </c>
      <c r="AE335" s="2922">
        <v>0</v>
      </c>
      <c r="AF335" s="2922">
        <v>0</v>
      </c>
      <c r="AG335" s="2922">
        <v>0</v>
      </c>
      <c r="AH335" s="2922">
        <v>0</v>
      </c>
      <c r="AI335" s="2922">
        <v>0</v>
      </c>
      <c r="AJ335" s="194">
        <v>0</v>
      </c>
      <c r="AK335" s="194">
        <v>0</v>
      </c>
      <c r="AL335" s="194">
        <v>0</v>
      </c>
      <c r="AM335" s="194">
        <v>0</v>
      </c>
      <c r="AN335" s="194">
        <v>0</v>
      </c>
      <c r="AO335" s="192"/>
      <c r="AP335" s="192"/>
      <c r="AQ335" s="192"/>
      <c r="AR335" s="192"/>
      <c r="AS335" s="192"/>
      <c r="AT335" s="164"/>
      <c r="AU335" s="95"/>
      <c r="AV335" s="39"/>
      <c r="AW335" s="89"/>
      <c r="AX335" s="89"/>
      <c r="AY335" s="89"/>
      <c r="AZ335" s="89"/>
      <c r="BA335" s="89"/>
      <c r="BB335" s="89"/>
      <c r="BC335" s="89"/>
      <c r="BD335" s="89"/>
      <c r="BE335" s="89"/>
      <c r="BF335" s="89"/>
      <c r="BG335" s="89"/>
      <c r="BH335" s="98"/>
      <c r="BI335" s="89"/>
      <c r="BJ335" s="89"/>
      <c r="BK335" s="89"/>
      <c r="BL335" s="89"/>
      <c r="BM335" s="89"/>
      <c r="BN335" s="89"/>
      <c r="BO335" s="89"/>
      <c r="BP335" s="89"/>
      <c r="BQ335" s="89"/>
      <c r="BR335" s="89"/>
      <c r="BS335" s="89"/>
      <c r="BT335" s="89"/>
      <c r="BU335" s="89"/>
      <c r="BV335" s="89"/>
      <c r="BW335" s="89"/>
      <c r="BX335" s="89"/>
      <c r="BY335" s="89"/>
      <c r="BZ335" s="89"/>
      <c r="CA335" s="89"/>
      <c r="CB335" s="89"/>
      <c r="CC335" s="89"/>
      <c r="CD335" s="89"/>
      <c r="CE335" s="89"/>
      <c r="CF335" s="89"/>
      <c r="CG335" s="89"/>
      <c r="CH335" s="89"/>
      <c r="CI335" s="89"/>
      <c r="CJ335" s="89"/>
      <c r="CK335" s="89"/>
      <c r="CL335" s="89"/>
      <c r="CM335" s="89"/>
      <c r="CN335" s="89"/>
      <c r="CO335" s="98"/>
      <c r="CP335" s="98"/>
      <c r="CQ335" s="98"/>
      <c r="CR335" s="98"/>
      <c r="CS335" s="98"/>
      <c r="CT335" s="98"/>
      <c r="CU335" s="98"/>
      <c r="CV335" s="98"/>
      <c r="CW335" s="98"/>
      <c r="CX335" s="98"/>
      <c r="CY335" s="1247"/>
      <c r="CZ335" s="1247"/>
      <c r="DA335" s="1247"/>
      <c r="DB335" s="98"/>
      <c r="DC335" s="2925"/>
      <c r="DD335" s="98"/>
      <c r="DE335" s="98"/>
      <c r="DF335" s="98"/>
      <c r="DG335" s="98"/>
      <c r="DH335" s="98"/>
      <c r="DI335" s="98"/>
      <c r="DJ335" s="98"/>
      <c r="DK335" s="98"/>
      <c r="DL335" s="98"/>
      <c r="DM335" s="98"/>
      <c r="DN335" s="98"/>
      <c r="DO335" s="98"/>
      <c r="DP335" s="98"/>
      <c r="DQ335" s="98"/>
      <c r="DR335" s="98"/>
    </row>
    <row r="336" spans="1:122" ht="12.75" customHeight="1">
      <c r="A336" s="2990" t="s">
        <v>284</v>
      </c>
      <c r="B336" s="2990"/>
      <c r="C336" s="3226"/>
      <c r="D336" s="3226"/>
      <c r="E336" s="2862"/>
      <c r="F336" s="3226"/>
      <c r="G336" s="3226"/>
      <c r="H336" s="2862"/>
      <c r="I336" s="3227"/>
      <c r="J336" s="2923"/>
      <c r="K336" s="2923"/>
      <c r="L336" s="2923"/>
      <c r="M336" s="2923">
        <v>0</v>
      </c>
      <c r="N336" s="2923">
        <v>0</v>
      </c>
      <c r="O336" s="3182"/>
      <c r="P336" s="2923"/>
      <c r="Q336" s="2923"/>
      <c r="R336" s="2923">
        <v>0</v>
      </c>
      <c r="S336" s="2923">
        <v>300</v>
      </c>
      <c r="T336" s="2923">
        <f t="shared" si="493"/>
        <v>300</v>
      </c>
      <c r="U336" s="2923">
        <f>T336</f>
        <v>300</v>
      </c>
      <c r="V336" s="2922">
        <v>300</v>
      </c>
      <c r="W336" s="2922">
        <v>300</v>
      </c>
      <c r="X336" s="2923"/>
      <c r="Y336" s="2923"/>
      <c r="Z336" s="2922">
        <v>299</v>
      </c>
      <c r="AA336" s="2922">
        <v>299</v>
      </c>
      <c r="AB336" s="2922"/>
      <c r="AC336" s="2923">
        <f t="shared" si="497"/>
        <v>299</v>
      </c>
      <c r="AD336" s="2923">
        <f t="shared" ref="AD336:AE336" si="498">AC336</f>
        <v>299</v>
      </c>
      <c r="AE336" s="2923">
        <f t="shared" si="498"/>
        <v>299</v>
      </c>
      <c r="AF336" s="2923">
        <f t="shared" ref="AF336:AN336" si="499">AE336</f>
        <v>299</v>
      </c>
      <c r="AG336" s="2922">
        <v>0</v>
      </c>
      <c r="AH336" s="2922">
        <f t="shared" si="499"/>
        <v>0</v>
      </c>
      <c r="AI336" s="2922">
        <f t="shared" si="499"/>
        <v>0</v>
      </c>
      <c r="AJ336" s="194">
        <f t="shared" si="499"/>
        <v>0</v>
      </c>
      <c r="AK336" s="194">
        <f t="shared" si="499"/>
        <v>0</v>
      </c>
      <c r="AL336" s="194">
        <f t="shared" si="499"/>
        <v>0</v>
      </c>
      <c r="AM336" s="194">
        <f t="shared" si="499"/>
        <v>0</v>
      </c>
      <c r="AN336" s="194">
        <f t="shared" si="499"/>
        <v>0</v>
      </c>
      <c r="AO336" s="192"/>
      <c r="AP336" s="192"/>
      <c r="AQ336" s="192"/>
      <c r="AR336" s="192"/>
      <c r="AS336" s="192"/>
      <c r="AT336" s="164"/>
      <c r="AU336" s="95"/>
      <c r="AV336" s="39"/>
      <c r="AW336" s="89"/>
      <c r="AX336" s="89"/>
      <c r="AY336" s="89"/>
      <c r="AZ336" s="89"/>
      <c r="BA336" s="89"/>
      <c r="BB336" s="89"/>
      <c r="BC336" s="89"/>
      <c r="BD336" s="89"/>
      <c r="BE336" s="89"/>
      <c r="BF336" s="89"/>
      <c r="BG336" s="89"/>
      <c r="BH336" s="98"/>
      <c r="BI336" s="89"/>
      <c r="BJ336" s="89"/>
      <c r="BK336" s="89"/>
      <c r="BL336" s="89"/>
      <c r="BM336" s="89"/>
      <c r="BN336" s="89"/>
      <c r="BO336" s="89"/>
      <c r="BP336" s="89"/>
      <c r="BQ336" s="89"/>
      <c r="BR336" s="89"/>
      <c r="BS336" s="89"/>
      <c r="BT336" s="89"/>
      <c r="BU336" s="89"/>
      <c r="BV336" s="89"/>
      <c r="BW336" s="89"/>
      <c r="BX336" s="89"/>
      <c r="BY336" s="89"/>
      <c r="BZ336" s="89"/>
      <c r="CA336" s="89"/>
      <c r="CB336" s="89"/>
      <c r="CC336" s="89"/>
      <c r="CD336" s="89"/>
      <c r="CE336" s="89"/>
      <c r="CF336" s="89"/>
      <c r="CG336" s="89"/>
      <c r="CH336" s="89"/>
      <c r="CI336" s="89"/>
      <c r="CJ336" s="89"/>
      <c r="CK336" s="89"/>
      <c r="CL336" s="89"/>
      <c r="CM336" s="89"/>
      <c r="CN336" s="89"/>
      <c r="CO336" s="98"/>
      <c r="CP336" s="98"/>
      <c r="CQ336" s="98"/>
      <c r="CR336" s="98"/>
      <c r="CS336" s="98"/>
      <c r="CT336" s="98"/>
      <c r="CU336" s="98"/>
      <c r="CV336" s="98"/>
      <c r="CW336" s="98"/>
      <c r="CX336" s="98"/>
      <c r="CY336" s="1247"/>
      <c r="CZ336" s="1247"/>
      <c r="DA336" s="1247"/>
      <c r="DB336" s="98"/>
      <c r="DC336" s="2925"/>
      <c r="DD336" s="98"/>
      <c r="DE336" s="98"/>
      <c r="DF336" s="98"/>
      <c r="DG336" s="98"/>
      <c r="DH336" s="98"/>
      <c r="DI336" s="98"/>
      <c r="DJ336" s="98"/>
      <c r="DK336" s="98"/>
      <c r="DL336" s="98"/>
      <c r="DM336" s="98"/>
      <c r="DN336" s="98"/>
      <c r="DO336" s="98"/>
      <c r="DP336" s="98"/>
      <c r="DQ336" s="98"/>
      <c r="DR336" s="98"/>
    </row>
    <row r="337" spans="1:122" ht="12.75" customHeight="1">
      <c r="A337" s="2990" t="s">
        <v>158</v>
      </c>
      <c r="B337" s="2990"/>
      <c r="C337" s="3226"/>
      <c r="D337" s="3226"/>
      <c r="E337" s="2862"/>
      <c r="F337" s="3226"/>
      <c r="G337" s="3226"/>
      <c r="H337" s="2862"/>
      <c r="I337" s="3227"/>
      <c r="J337" s="2923">
        <v>229</v>
      </c>
      <c r="K337" s="2923">
        <v>224.1</v>
      </c>
      <c r="L337" s="2923">
        <v>224.1</v>
      </c>
      <c r="M337" s="2923">
        <v>224.1</v>
      </c>
      <c r="N337" s="2922">
        <v>224.1</v>
      </c>
      <c r="O337" s="3182"/>
      <c r="P337" s="2923"/>
      <c r="Q337" s="2923"/>
      <c r="R337" s="2922">
        <v>224.1</v>
      </c>
      <c r="S337" s="2923">
        <f>R337</f>
        <v>224.1</v>
      </c>
      <c r="T337" s="2923">
        <f t="shared" si="493"/>
        <v>224.1</v>
      </c>
      <c r="U337" s="2923">
        <f t="shared" ref="U337:U342" si="500">T337</f>
        <v>224.1</v>
      </c>
      <c r="V337" s="2922">
        <v>224</v>
      </c>
      <c r="W337" s="2922">
        <v>187</v>
      </c>
      <c r="X337" s="2923"/>
      <c r="Y337" s="2923"/>
      <c r="Z337" s="2922">
        <v>186</v>
      </c>
      <c r="AA337" s="2922">
        <v>187</v>
      </c>
      <c r="AB337" s="2922"/>
      <c r="AC337" s="2923">
        <f t="shared" si="497"/>
        <v>187</v>
      </c>
      <c r="AD337" s="2923">
        <f t="shared" ref="AD337:AE343" si="501">AC337</f>
        <v>187</v>
      </c>
      <c r="AE337" s="2923">
        <f t="shared" si="501"/>
        <v>187</v>
      </c>
      <c r="AF337" s="2923">
        <f t="shared" ref="AF337:AH343" si="502">AE337</f>
        <v>187</v>
      </c>
      <c r="AG337" s="2923">
        <f t="shared" si="502"/>
        <v>187</v>
      </c>
      <c r="AH337" s="2923">
        <f t="shared" si="502"/>
        <v>187</v>
      </c>
      <c r="AI337" s="2922">
        <v>0</v>
      </c>
      <c r="AJ337" s="194">
        <f t="shared" ref="AJ337:AN346" si="503">AI337</f>
        <v>0</v>
      </c>
      <c r="AK337" s="194">
        <f t="shared" si="503"/>
        <v>0</v>
      </c>
      <c r="AL337" s="194">
        <f t="shared" si="503"/>
        <v>0</v>
      </c>
      <c r="AM337" s="194">
        <f t="shared" si="503"/>
        <v>0</v>
      </c>
      <c r="AN337" s="194">
        <f t="shared" si="503"/>
        <v>0</v>
      </c>
      <c r="AO337" s="192"/>
      <c r="AP337" s="192"/>
      <c r="AQ337" s="192"/>
      <c r="AR337" s="192"/>
      <c r="AS337" s="192"/>
      <c r="AT337" s="164"/>
      <c r="AU337" s="95"/>
      <c r="AV337" s="39"/>
      <c r="AW337" s="89"/>
      <c r="AX337" s="89"/>
      <c r="AY337" s="89"/>
      <c r="AZ337" s="89"/>
      <c r="BA337" s="89"/>
      <c r="BB337" s="89"/>
      <c r="BC337" s="89"/>
      <c r="BD337" s="89"/>
      <c r="BE337" s="89"/>
      <c r="BF337" s="89"/>
      <c r="BG337" s="89"/>
      <c r="BH337" s="98"/>
      <c r="BI337" s="89"/>
      <c r="BJ337" s="89"/>
      <c r="BK337" s="89"/>
      <c r="BL337" s="89"/>
      <c r="BM337" s="89"/>
      <c r="BN337" s="89"/>
      <c r="BO337" s="89"/>
      <c r="BP337" s="89"/>
      <c r="BQ337" s="89"/>
      <c r="BR337" s="89"/>
      <c r="BS337" s="89"/>
      <c r="BT337" s="89"/>
      <c r="BU337" s="89"/>
      <c r="BV337" s="89"/>
      <c r="BW337" s="89"/>
      <c r="BX337" s="89"/>
      <c r="BY337" s="89"/>
      <c r="BZ337" s="89"/>
      <c r="CA337" s="89"/>
      <c r="CB337" s="89"/>
      <c r="CC337" s="89"/>
      <c r="CD337" s="89"/>
      <c r="CE337" s="89"/>
      <c r="CF337" s="89"/>
      <c r="CG337" s="89"/>
      <c r="CH337" s="89"/>
      <c r="CI337" s="89"/>
      <c r="CJ337" s="89"/>
      <c r="CK337" s="89"/>
      <c r="CL337" s="89"/>
      <c r="CM337" s="89"/>
      <c r="CN337" s="89"/>
      <c r="CO337" s="98"/>
      <c r="CP337" s="98"/>
      <c r="CQ337" s="98"/>
      <c r="CR337" s="98"/>
      <c r="CS337" s="98"/>
      <c r="CT337" s="98"/>
      <c r="CU337" s="98"/>
      <c r="CV337" s="98"/>
      <c r="CW337" s="98"/>
      <c r="CX337" s="98"/>
      <c r="CY337" s="1247"/>
      <c r="CZ337" s="1247"/>
      <c r="DA337" s="1247"/>
      <c r="DB337" s="98"/>
      <c r="DC337" s="2925"/>
      <c r="DD337" s="98"/>
      <c r="DE337" s="98"/>
      <c r="DF337" s="98"/>
      <c r="DG337" s="98"/>
      <c r="DH337" s="98"/>
      <c r="DI337" s="98"/>
      <c r="DJ337" s="98"/>
      <c r="DK337" s="98"/>
      <c r="DL337" s="98"/>
      <c r="DM337" s="98"/>
      <c r="DN337" s="98"/>
      <c r="DO337" s="98"/>
      <c r="DP337" s="98"/>
      <c r="DQ337" s="98"/>
      <c r="DR337" s="98"/>
    </row>
    <row r="338" spans="1:122" ht="12.75" customHeight="1">
      <c r="A338" s="2990" t="s">
        <v>159</v>
      </c>
      <c r="B338" s="2990"/>
      <c r="C338" s="3226"/>
      <c r="D338" s="3226"/>
      <c r="E338" s="2862"/>
      <c r="F338" s="3226"/>
      <c r="G338" s="3226"/>
      <c r="H338" s="2862"/>
      <c r="I338" s="3227"/>
      <c r="J338" s="2923">
        <v>52.2</v>
      </c>
      <c r="K338" s="2923">
        <v>52.2</v>
      </c>
      <c r="L338" s="2923">
        <v>52.2</v>
      </c>
      <c r="M338" s="2923">
        <v>52.2</v>
      </c>
      <c r="N338" s="2922">
        <v>52.2</v>
      </c>
      <c r="O338" s="3182"/>
      <c r="P338" s="2923"/>
      <c r="Q338" s="2923"/>
      <c r="R338" s="2922">
        <v>52.2</v>
      </c>
      <c r="S338" s="2923">
        <f>R338</f>
        <v>52.2</v>
      </c>
      <c r="T338" s="2923">
        <f t="shared" si="493"/>
        <v>52.2</v>
      </c>
      <c r="U338" s="2923">
        <f t="shared" si="500"/>
        <v>52.2</v>
      </c>
      <c r="V338" s="2922">
        <v>52</v>
      </c>
      <c r="W338" s="2922">
        <v>46</v>
      </c>
      <c r="X338" s="2923"/>
      <c r="Y338" s="2923"/>
      <c r="Z338" s="2922">
        <v>46</v>
      </c>
      <c r="AA338" s="2922">
        <f t="shared" ref="AA338:AA343" si="504">Z338</f>
        <v>46</v>
      </c>
      <c r="AB338" s="2922"/>
      <c r="AC338" s="2923">
        <f t="shared" si="497"/>
        <v>46</v>
      </c>
      <c r="AD338" s="2923">
        <f t="shared" si="501"/>
        <v>46</v>
      </c>
      <c r="AE338" s="2923">
        <f t="shared" si="501"/>
        <v>46</v>
      </c>
      <c r="AF338" s="2923">
        <f t="shared" si="502"/>
        <v>46</v>
      </c>
      <c r="AG338" s="2923">
        <f t="shared" si="502"/>
        <v>46</v>
      </c>
      <c r="AH338" s="2923">
        <f t="shared" si="502"/>
        <v>46</v>
      </c>
      <c r="AI338" s="2922">
        <v>0</v>
      </c>
      <c r="AJ338" s="194">
        <f t="shared" si="503"/>
        <v>0</v>
      </c>
      <c r="AK338" s="194">
        <f t="shared" si="503"/>
        <v>0</v>
      </c>
      <c r="AL338" s="194">
        <f t="shared" si="503"/>
        <v>0</v>
      </c>
      <c r="AM338" s="194">
        <f t="shared" si="503"/>
        <v>0</v>
      </c>
      <c r="AN338" s="194">
        <f t="shared" si="503"/>
        <v>0</v>
      </c>
      <c r="AO338" s="192"/>
      <c r="AP338" s="192"/>
      <c r="AQ338" s="192"/>
      <c r="AR338" s="192"/>
      <c r="AS338" s="192"/>
      <c r="AT338" s="164"/>
      <c r="AU338" s="95"/>
      <c r="AV338" s="39"/>
      <c r="AW338" s="89"/>
      <c r="AX338" s="89"/>
      <c r="AY338" s="89"/>
      <c r="AZ338" s="89"/>
      <c r="BA338" s="89"/>
      <c r="BB338" s="89"/>
      <c r="BC338" s="89"/>
      <c r="BD338" s="89"/>
      <c r="BE338" s="89"/>
      <c r="BF338" s="89"/>
      <c r="BG338" s="89"/>
      <c r="BH338" s="98"/>
      <c r="BI338" s="89"/>
      <c r="BJ338" s="89"/>
      <c r="BK338" s="89"/>
      <c r="BL338" s="89"/>
      <c r="BM338" s="89"/>
      <c r="BN338" s="89"/>
      <c r="BO338" s="89"/>
      <c r="BP338" s="89"/>
      <c r="BQ338" s="89"/>
      <c r="BR338" s="89"/>
      <c r="BS338" s="89"/>
      <c r="BT338" s="89"/>
      <c r="BU338" s="89"/>
      <c r="BV338" s="89"/>
      <c r="BW338" s="89"/>
      <c r="BX338" s="89"/>
      <c r="BY338" s="89"/>
      <c r="BZ338" s="89"/>
      <c r="CA338" s="89"/>
      <c r="CB338" s="89"/>
      <c r="CC338" s="89"/>
      <c r="CD338" s="89"/>
      <c r="CE338" s="89"/>
      <c r="CF338" s="89"/>
      <c r="CG338" s="89"/>
      <c r="CH338" s="89"/>
      <c r="CI338" s="89"/>
      <c r="CJ338" s="89"/>
      <c r="CK338" s="89"/>
      <c r="CL338" s="89"/>
      <c r="CM338" s="89"/>
      <c r="CN338" s="89"/>
      <c r="CO338" s="98"/>
      <c r="CP338" s="98"/>
      <c r="CQ338" s="98"/>
      <c r="CR338" s="98"/>
      <c r="CS338" s="98"/>
      <c r="CT338" s="98"/>
      <c r="CU338" s="98"/>
      <c r="CV338" s="98"/>
      <c r="CW338" s="98"/>
      <c r="CX338" s="98"/>
      <c r="CY338" s="1247"/>
      <c r="CZ338" s="1247"/>
      <c r="DA338" s="1247"/>
      <c r="DB338" s="98"/>
      <c r="DC338" s="2925"/>
      <c r="DD338" s="98"/>
      <c r="DE338" s="98"/>
      <c r="DF338" s="98"/>
      <c r="DG338" s="98"/>
      <c r="DH338" s="98"/>
      <c r="DI338" s="98"/>
      <c r="DJ338" s="98"/>
      <c r="DK338" s="98"/>
      <c r="DL338" s="98"/>
      <c r="DM338" s="98"/>
      <c r="DN338" s="98"/>
      <c r="DO338" s="98"/>
      <c r="DP338" s="98"/>
      <c r="DQ338" s="98"/>
      <c r="DR338" s="98"/>
    </row>
    <row r="339" spans="1:122" ht="12.75" customHeight="1">
      <c r="A339" s="2990" t="s">
        <v>160</v>
      </c>
      <c r="B339" s="2990"/>
      <c r="C339" s="3226"/>
      <c r="D339" s="3226"/>
      <c r="E339" s="2862"/>
      <c r="F339" s="3226"/>
      <c r="G339" s="3226"/>
      <c r="H339" s="2862"/>
      <c r="I339" s="3227"/>
      <c r="J339" s="2923">
        <v>1280.5</v>
      </c>
      <c r="K339" s="2923">
        <v>1279.3</v>
      </c>
      <c r="L339" s="2923">
        <v>1278.2</v>
      </c>
      <c r="M339" s="2923">
        <v>1276.9000000000001</v>
      </c>
      <c r="N339" s="2922">
        <v>1275.7</v>
      </c>
      <c r="O339" s="3182"/>
      <c r="P339" s="2923"/>
      <c r="Q339" s="2923"/>
      <c r="R339" s="2922">
        <v>1274.5999999999999</v>
      </c>
      <c r="S339" s="2923">
        <f>R339</f>
        <v>1274.5999999999999</v>
      </c>
      <c r="T339" s="2923">
        <f t="shared" si="493"/>
        <v>1274.5999999999999</v>
      </c>
      <c r="U339" s="2923">
        <f t="shared" si="500"/>
        <v>1274.5999999999999</v>
      </c>
      <c r="V339" s="2922">
        <v>1270</v>
      </c>
      <c r="W339" s="2922">
        <v>839</v>
      </c>
      <c r="X339" s="2923"/>
      <c r="Y339" s="2923"/>
      <c r="Z339" s="2922">
        <v>833</v>
      </c>
      <c r="AA339" s="2922">
        <v>833</v>
      </c>
      <c r="AB339" s="2922"/>
      <c r="AC339" s="2923">
        <f>AA339</f>
        <v>833</v>
      </c>
      <c r="AD339" s="2923">
        <f t="shared" si="501"/>
        <v>833</v>
      </c>
      <c r="AE339" s="2923">
        <f t="shared" si="501"/>
        <v>833</v>
      </c>
      <c r="AF339" s="2923">
        <f t="shared" si="502"/>
        <v>833</v>
      </c>
      <c r="AG339" s="2923">
        <f t="shared" si="502"/>
        <v>833</v>
      </c>
      <c r="AH339" s="2923">
        <f t="shared" si="502"/>
        <v>833</v>
      </c>
      <c r="AI339" s="2923">
        <f t="shared" ref="AI339:AI346" si="505">AH339</f>
        <v>833</v>
      </c>
      <c r="AJ339" s="192">
        <f t="shared" si="503"/>
        <v>833</v>
      </c>
      <c r="AK339" s="192">
        <f t="shared" si="503"/>
        <v>833</v>
      </c>
      <c r="AL339" s="1368">
        <f t="shared" si="503"/>
        <v>833</v>
      </c>
      <c r="AM339" s="1368">
        <f t="shared" si="503"/>
        <v>833</v>
      </c>
      <c r="AN339" s="1368">
        <f t="shared" si="503"/>
        <v>833</v>
      </c>
      <c r="AO339" s="192"/>
      <c r="AP339" s="192"/>
      <c r="AQ339" s="192"/>
      <c r="AR339" s="192"/>
      <c r="AS339" s="192"/>
      <c r="AT339" s="164"/>
      <c r="AU339" s="95"/>
      <c r="AV339" s="39"/>
      <c r="AW339" s="89"/>
      <c r="AX339" s="89"/>
      <c r="AY339" s="89"/>
      <c r="AZ339" s="89"/>
      <c r="BA339" s="89"/>
      <c r="BB339" s="89"/>
      <c r="BC339" s="89"/>
      <c r="BD339" s="89"/>
      <c r="BE339" s="89"/>
      <c r="BF339" s="89"/>
      <c r="BG339" s="89"/>
      <c r="BH339" s="98"/>
      <c r="BI339" s="89"/>
      <c r="BJ339" s="89"/>
      <c r="BK339" s="89"/>
      <c r="BL339" s="89"/>
      <c r="BM339" s="89"/>
      <c r="BN339" s="89"/>
      <c r="BO339" s="89"/>
      <c r="BP339" s="89"/>
      <c r="BQ339" s="89"/>
      <c r="BR339" s="89"/>
      <c r="BS339" s="89"/>
      <c r="BT339" s="89"/>
      <c r="BU339" s="89"/>
      <c r="BV339" s="89"/>
      <c r="BW339" s="89"/>
      <c r="BX339" s="89"/>
      <c r="BY339" s="89"/>
      <c r="BZ339" s="89"/>
      <c r="CA339" s="89"/>
      <c r="CB339" s="89"/>
      <c r="CC339" s="89"/>
      <c r="CD339" s="89"/>
      <c r="CE339" s="89"/>
      <c r="CF339" s="89"/>
      <c r="CG339" s="89"/>
      <c r="CH339" s="89"/>
      <c r="CI339" s="89"/>
      <c r="CJ339" s="89"/>
      <c r="CK339" s="89"/>
      <c r="CL339" s="89"/>
      <c r="CM339" s="89"/>
      <c r="CN339" s="89"/>
      <c r="CO339" s="98"/>
      <c r="CP339" s="98"/>
      <c r="CQ339" s="98"/>
      <c r="CR339" s="98"/>
      <c r="CS339" s="98"/>
      <c r="CT339" s="98"/>
      <c r="CU339" s="98"/>
      <c r="CV339" s="98"/>
      <c r="CW339" s="98"/>
      <c r="CX339" s="98"/>
      <c r="CY339" s="1247"/>
      <c r="CZ339" s="1247"/>
      <c r="DA339" s="1247"/>
      <c r="DB339" s="98"/>
      <c r="DC339" s="2925"/>
      <c r="DD339" s="98"/>
      <c r="DE339" s="98"/>
      <c r="DF339" s="98"/>
      <c r="DG339" s="98"/>
      <c r="DH339" s="98"/>
      <c r="DI339" s="98"/>
      <c r="DJ339" s="98"/>
      <c r="DK339" s="98"/>
      <c r="DL339" s="98"/>
      <c r="DM339" s="98"/>
      <c r="DN339" s="98"/>
      <c r="DO339" s="98"/>
      <c r="DP339" s="98"/>
      <c r="DQ339" s="98"/>
      <c r="DR339" s="98"/>
    </row>
    <row r="340" spans="1:122" ht="12.75" customHeight="1">
      <c r="A340" s="2990" t="s">
        <v>161</v>
      </c>
      <c r="B340" s="2990"/>
      <c r="C340" s="3226"/>
      <c r="D340" s="3226"/>
      <c r="E340" s="2862"/>
      <c r="F340" s="3226"/>
      <c r="G340" s="3226"/>
      <c r="H340" s="2862"/>
      <c r="I340" s="3227"/>
      <c r="J340" s="2923">
        <v>446.6</v>
      </c>
      <c r="K340" s="2923">
        <v>446.7</v>
      </c>
      <c r="L340" s="2923">
        <v>446.8</v>
      </c>
      <c r="M340" s="2923">
        <v>447</v>
      </c>
      <c r="N340" s="2922">
        <v>447.1</v>
      </c>
      <c r="O340" s="3182"/>
      <c r="P340" s="2923"/>
      <c r="Q340" s="2923"/>
      <c r="R340" s="2922">
        <v>447.2</v>
      </c>
      <c r="S340" s="2923">
        <f>R340</f>
        <v>447.2</v>
      </c>
      <c r="T340" s="2923">
        <f t="shared" si="493"/>
        <v>447.2</v>
      </c>
      <c r="U340" s="2923">
        <f t="shared" si="500"/>
        <v>447.2</v>
      </c>
      <c r="V340" s="2922">
        <v>428</v>
      </c>
      <c r="W340" s="2922">
        <v>428</v>
      </c>
      <c r="X340" s="2923"/>
      <c r="Y340" s="2923"/>
      <c r="Z340" s="2922">
        <v>425</v>
      </c>
      <c r="AA340" s="2922">
        <v>425</v>
      </c>
      <c r="AB340" s="2922"/>
      <c r="AC340" s="2923">
        <f>AA340</f>
        <v>425</v>
      </c>
      <c r="AD340" s="2923">
        <f t="shared" si="501"/>
        <v>425</v>
      </c>
      <c r="AE340" s="2923">
        <f t="shared" si="501"/>
        <v>425</v>
      </c>
      <c r="AF340" s="2923">
        <f t="shared" si="502"/>
        <v>425</v>
      </c>
      <c r="AG340" s="2923">
        <f t="shared" si="502"/>
        <v>425</v>
      </c>
      <c r="AH340" s="2923">
        <f t="shared" si="502"/>
        <v>425</v>
      </c>
      <c r="AI340" s="2923">
        <f t="shared" si="505"/>
        <v>425</v>
      </c>
      <c r="AJ340" s="192">
        <f t="shared" si="503"/>
        <v>425</v>
      </c>
      <c r="AK340" s="192">
        <f t="shared" si="503"/>
        <v>425</v>
      </c>
      <c r="AL340" s="1368">
        <f t="shared" si="503"/>
        <v>425</v>
      </c>
      <c r="AM340" s="1368">
        <f t="shared" si="503"/>
        <v>425</v>
      </c>
      <c r="AN340" s="1368">
        <f t="shared" si="503"/>
        <v>425</v>
      </c>
      <c r="AO340" s="192"/>
      <c r="AP340" s="192"/>
      <c r="AQ340" s="192"/>
      <c r="AR340" s="192"/>
      <c r="AS340" s="192"/>
      <c r="AT340" s="164"/>
      <c r="AU340" s="95"/>
      <c r="AV340" s="39"/>
      <c r="AW340" s="89"/>
      <c r="AX340" s="89"/>
      <c r="AY340" s="89"/>
      <c r="AZ340" s="89"/>
      <c r="BA340" s="89"/>
      <c r="BB340" s="89"/>
      <c r="BC340" s="89"/>
      <c r="BD340" s="89"/>
      <c r="BE340" s="89"/>
      <c r="BF340" s="89"/>
      <c r="BG340" s="89"/>
      <c r="BH340" s="98"/>
      <c r="BI340" s="89"/>
      <c r="BJ340" s="89"/>
      <c r="BK340" s="89"/>
      <c r="BL340" s="89"/>
      <c r="BM340" s="89"/>
      <c r="BN340" s="89"/>
      <c r="BO340" s="89"/>
      <c r="BP340" s="89"/>
      <c r="BQ340" s="89"/>
      <c r="BR340" s="89"/>
      <c r="BS340" s="89"/>
      <c r="BT340" s="89"/>
      <c r="BU340" s="89"/>
      <c r="BV340" s="89"/>
      <c r="BW340" s="89"/>
      <c r="BX340" s="89"/>
      <c r="BY340" s="89"/>
      <c r="BZ340" s="89"/>
      <c r="CA340" s="89"/>
      <c r="CB340" s="89"/>
      <c r="CC340" s="89"/>
      <c r="CD340" s="89"/>
      <c r="CE340" s="89"/>
      <c r="CF340" s="89"/>
      <c r="CG340" s="89"/>
      <c r="CH340" s="89"/>
      <c r="CI340" s="89"/>
      <c r="CJ340" s="89"/>
      <c r="CK340" s="89"/>
      <c r="CL340" s="89"/>
      <c r="CM340" s="89"/>
      <c r="CN340" s="89"/>
      <c r="CO340" s="98"/>
      <c r="CP340" s="98"/>
      <c r="CQ340" s="98"/>
      <c r="CR340" s="98"/>
      <c r="CS340" s="98"/>
      <c r="CT340" s="98"/>
      <c r="CU340" s="98"/>
      <c r="CV340" s="98"/>
      <c r="CW340" s="98"/>
      <c r="CX340" s="98"/>
      <c r="CY340" s="1247"/>
      <c r="CZ340" s="1247"/>
      <c r="DA340" s="1247"/>
      <c r="DB340" s="98"/>
      <c r="DC340" s="2925"/>
      <c r="DD340" s="98"/>
      <c r="DE340" s="98"/>
      <c r="DF340" s="98"/>
      <c r="DG340" s="98"/>
      <c r="DH340" s="98"/>
      <c r="DI340" s="98"/>
      <c r="DJ340" s="98"/>
      <c r="DK340" s="98"/>
      <c r="DL340" s="98"/>
      <c r="DM340" s="98"/>
      <c r="DN340" s="98"/>
      <c r="DO340" s="98"/>
      <c r="DP340" s="98"/>
      <c r="DQ340" s="98"/>
      <c r="DR340" s="98"/>
    </row>
    <row r="341" spans="1:122" ht="12.75" customHeight="1">
      <c r="A341" s="2990" t="s">
        <v>288</v>
      </c>
      <c r="B341" s="2990"/>
      <c r="C341" s="3226"/>
      <c r="D341" s="3226"/>
      <c r="E341" s="2862"/>
      <c r="F341" s="3226"/>
      <c r="G341" s="3226"/>
      <c r="H341" s="2862"/>
      <c r="I341" s="3227"/>
      <c r="J341" s="2923"/>
      <c r="K341" s="2923"/>
      <c r="L341" s="2923"/>
      <c r="M341" s="2923">
        <v>0</v>
      </c>
      <c r="N341" s="2923">
        <v>0</v>
      </c>
      <c r="O341" s="3182"/>
      <c r="P341" s="2923"/>
      <c r="Q341" s="2923"/>
      <c r="R341" s="2923">
        <v>0</v>
      </c>
      <c r="S341" s="2923">
        <v>300</v>
      </c>
      <c r="T341" s="2923">
        <f t="shared" si="493"/>
        <v>300</v>
      </c>
      <c r="U341" s="2923">
        <f t="shared" si="500"/>
        <v>300</v>
      </c>
      <c r="V341" s="2922">
        <v>299</v>
      </c>
      <c r="W341" s="2922">
        <v>299</v>
      </c>
      <c r="X341" s="2923"/>
      <c r="Y341" s="2923"/>
      <c r="Z341" s="2922">
        <v>297</v>
      </c>
      <c r="AA341" s="2922">
        <v>297</v>
      </c>
      <c r="AB341" s="2923"/>
      <c r="AC341" s="2923">
        <f>AA341</f>
        <v>297</v>
      </c>
      <c r="AD341" s="2923">
        <f t="shared" si="501"/>
        <v>297</v>
      </c>
      <c r="AE341" s="2923">
        <f t="shared" si="501"/>
        <v>297</v>
      </c>
      <c r="AF341" s="2923">
        <f t="shared" si="502"/>
        <v>297</v>
      </c>
      <c r="AG341" s="2923">
        <f t="shared" si="502"/>
        <v>297</v>
      </c>
      <c r="AH341" s="2923">
        <f t="shared" si="502"/>
        <v>297</v>
      </c>
      <c r="AI341" s="2923">
        <f t="shared" si="505"/>
        <v>297</v>
      </c>
      <c r="AJ341" s="192">
        <f t="shared" si="503"/>
        <v>297</v>
      </c>
      <c r="AK341" s="192">
        <f t="shared" si="503"/>
        <v>297</v>
      </c>
      <c r="AL341" s="1368">
        <f t="shared" si="503"/>
        <v>297</v>
      </c>
      <c r="AM341" s="1368">
        <f t="shared" si="503"/>
        <v>297</v>
      </c>
      <c r="AN341" s="1368">
        <f t="shared" si="503"/>
        <v>297</v>
      </c>
      <c r="AO341" s="192"/>
      <c r="AP341" s="192"/>
      <c r="AQ341" s="192"/>
      <c r="AR341" s="192"/>
      <c r="AS341" s="192"/>
      <c r="AT341" s="164"/>
      <c r="AU341" s="95"/>
      <c r="AV341" s="39"/>
      <c r="AW341" s="89"/>
      <c r="AX341" s="89"/>
      <c r="AY341" s="89"/>
      <c r="AZ341" s="89"/>
      <c r="BA341" s="89"/>
      <c r="BB341" s="89"/>
      <c r="BC341" s="89"/>
      <c r="BD341" s="89"/>
      <c r="BE341" s="89"/>
      <c r="BF341" s="89"/>
      <c r="BG341" s="89"/>
      <c r="BH341" s="98"/>
      <c r="BI341" s="89"/>
      <c r="BJ341" s="89"/>
      <c r="BK341" s="89"/>
      <c r="BL341" s="89"/>
      <c r="BM341" s="89"/>
      <c r="BN341" s="89"/>
      <c r="BO341" s="89"/>
      <c r="BP341" s="89"/>
      <c r="BQ341" s="89"/>
      <c r="BR341" s="89"/>
      <c r="BS341" s="89"/>
      <c r="BT341" s="89"/>
      <c r="BU341" s="89"/>
      <c r="BV341" s="89"/>
      <c r="BW341" s="89"/>
      <c r="BX341" s="89"/>
      <c r="BY341" s="89"/>
      <c r="BZ341" s="89"/>
      <c r="CA341" s="89"/>
      <c r="CB341" s="89"/>
      <c r="CC341" s="89"/>
      <c r="CD341" s="89"/>
      <c r="CE341" s="89"/>
      <c r="CF341" s="89"/>
      <c r="CG341" s="89"/>
      <c r="CH341" s="89"/>
      <c r="CI341" s="89"/>
      <c r="CJ341" s="89"/>
      <c r="CK341" s="89"/>
      <c r="CL341" s="89"/>
      <c r="CM341" s="89"/>
      <c r="CN341" s="89"/>
      <c r="CO341" s="98"/>
      <c r="CP341" s="98"/>
      <c r="CQ341" s="98"/>
      <c r="CR341" s="98"/>
      <c r="CS341" s="98"/>
      <c r="CT341" s="98"/>
      <c r="CU341" s="98"/>
      <c r="CV341" s="98"/>
      <c r="CW341" s="98"/>
      <c r="CX341" s="98"/>
      <c r="CY341" s="1247"/>
      <c r="CZ341" s="1247"/>
      <c r="DA341" s="1247"/>
      <c r="DB341" s="98"/>
      <c r="DC341" s="2925"/>
      <c r="DD341" s="98"/>
      <c r="DE341" s="98"/>
      <c r="DF341" s="98"/>
      <c r="DG341" s="98"/>
      <c r="DH341" s="98"/>
      <c r="DI341" s="98"/>
      <c r="DJ341" s="98"/>
      <c r="DK341" s="98"/>
      <c r="DL341" s="98"/>
      <c r="DM341" s="98"/>
      <c r="DN341" s="98"/>
      <c r="DO341" s="98"/>
      <c r="DP341" s="98"/>
      <c r="DQ341" s="98"/>
      <c r="DR341" s="98"/>
    </row>
    <row r="342" spans="1:122" ht="12.75" customHeight="1">
      <c r="A342" s="2990" t="s">
        <v>162</v>
      </c>
      <c r="B342" s="2990"/>
      <c r="C342" s="3226"/>
      <c r="D342" s="3226"/>
      <c r="E342" s="2862"/>
      <c r="F342" s="3226"/>
      <c r="G342" s="3226"/>
      <c r="H342" s="2862"/>
      <c r="I342" s="3227"/>
      <c r="J342" s="2923">
        <v>335</v>
      </c>
      <c r="K342" s="2923">
        <v>335</v>
      </c>
      <c r="L342" s="2923">
        <v>335</v>
      </c>
      <c r="M342" s="2923">
        <v>335</v>
      </c>
      <c r="N342" s="2922">
        <v>335</v>
      </c>
      <c r="O342" s="3182"/>
      <c r="P342" s="2923"/>
      <c r="Q342" s="2923"/>
      <c r="R342" s="2922">
        <v>335</v>
      </c>
      <c r="S342" s="2923">
        <v>0</v>
      </c>
      <c r="T342" s="2923">
        <f t="shared" si="493"/>
        <v>0</v>
      </c>
      <c r="U342" s="2923">
        <f t="shared" si="500"/>
        <v>0</v>
      </c>
      <c r="V342" s="2922">
        <v>0</v>
      </c>
      <c r="W342" s="2922">
        <v>0</v>
      </c>
      <c r="X342" s="2922">
        <v>0</v>
      </c>
      <c r="Y342" s="2922">
        <v>0</v>
      </c>
      <c r="Z342" s="2922">
        <v>0</v>
      </c>
      <c r="AA342" s="2922">
        <f t="shared" si="504"/>
        <v>0</v>
      </c>
      <c r="AB342" s="2923"/>
      <c r="AC342" s="2923">
        <f t="shared" si="497"/>
        <v>0</v>
      </c>
      <c r="AD342" s="2923">
        <f t="shared" si="501"/>
        <v>0</v>
      </c>
      <c r="AE342" s="2923">
        <f t="shared" si="501"/>
        <v>0</v>
      </c>
      <c r="AF342" s="2923">
        <f t="shared" si="502"/>
        <v>0</v>
      </c>
      <c r="AG342" s="2923">
        <f t="shared" si="502"/>
        <v>0</v>
      </c>
      <c r="AH342" s="2923">
        <f t="shared" si="502"/>
        <v>0</v>
      </c>
      <c r="AI342" s="2923">
        <f t="shared" si="505"/>
        <v>0</v>
      </c>
      <c r="AJ342" s="192">
        <f t="shared" si="503"/>
        <v>0</v>
      </c>
      <c r="AK342" s="192">
        <f t="shared" si="503"/>
        <v>0</v>
      </c>
      <c r="AL342" s="1368">
        <f t="shared" si="503"/>
        <v>0</v>
      </c>
      <c r="AM342" s="1368">
        <f t="shared" si="503"/>
        <v>0</v>
      </c>
      <c r="AN342" s="1368">
        <f t="shared" si="503"/>
        <v>0</v>
      </c>
      <c r="AO342" s="192"/>
      <c r="AP342" s="192"/>
      <c r="AQ342" s="192"/>
      <c r="AR342" s="192"/>
      <c r="AS342" s="192"/>
      <c r="AT342" s="164"/>
      <c r="AU342" s="95"/>
      <c r="AV342" s="39"/>
      <c r="AW342" s="98"/>
      <c r="AX342" s="98"/>
      <c r="AY342" s="98"/>
      <c r="AZ342" s="98"/>
      <c r="BA342" s="98"/>
      <c r="BB342" s="98"/>
      <c r="BC342" s="98"/>
      <c r="BD342" s="98"/>
      <c r="BE342" s="98"/>
      <c r="BF342" s="98"/>
      <c r="BG342" s="98"/>
      <c r="BH342" s="98"/>
      <c r="BI342" s="98"/>
      <c r="BJ342" s="98"/>
      <c r="BK342" s="98"/>
      <c r="BL342" s="98"/>
      <c r="BM342" s="98"/>
      <c r="BN342" s="98"/>
      <c r="BO342" s="98"/>
      <c r="BP342" s="98"/>
      <c r="BQ342" s="98"/>
      <c r="BR342" s="98"/>
      <c r="BS342" s="98"/>
      <c r="BT342" s="98"/>
      <c r="BU342" s="98"/>
      <c r="BV342" s="98"/>
      <c r="BW342" s="98"/>
      <c r="BX342" s="98"/>
      <c r="BY342" s="98"/>
      <c r="BZ342" s="98"/>
      <c r="CA342" s="98"/>
      <c r="CB342" s="98"/>
      <c r="CC342" s="98"/>
      <c r="CD342" s="98"/>
      <c r="CE342" s="98"/>
      <c r="CF342" s="98"/>
      <c r="CG342" s="98"/>
      <c r="CH342" s="98"/>
      <c r="CI342" s="98"/>
      <c r="CJ342" s="98"/>
      <c r="CK342" s="98"/>
      <c r="CL342" s="98"/>
      <c r="CM342" s="98"/>
      <c r="CN342" s="98"/>
      <c r="CO342" s="98"/>
      <c r="CP342" s="98"/>
      <c r="CQ342" s="98"/>
      <c r="CR342" s="98"/>
      <c r="CS342" s="98"/>
      <c r="CT342" s="98"/>
      <c r="CU342" s="98"/>
      <c r="CV342" s="98"/>
      <c r="CW342" s="98"/>
      <c r="CX342" s="98"/>
      <c r="CY342" s="1247"/>
      <c r="CZ342" s="1247"/>
      <c r="DA342" s="1247"/>
      <c r="DB342" s="98"/>
      <c r="DC342" s="2925"/>
      <c r="DD342" s="98"/>
      <c r="DE342" s="98"/>
      <c r="DF342" s="98"/>
      <c r="DG342" s="98"/>
      <c r="DH342" s="98"/>
      <c r="DI342" s="98"/>
      <c r="DJ342" s="98"/>
      <c r="DK342" s="98"/>
      <c r="DL342" s="98"/>
      <c r="DM342" s="98"/>
      <c r="DN342" s="98"/>
      <c r="DO342" s="98"/>
      <c r="DP342" s="98"/>
      <c r="DQ342" s="98"/>
      <c r="DR342" s="98"/>
    </row>
    <row r="343" spans="1:122" ht="12.75" customHeight="1">
      <c r="A343" s="2990" t="s">
        <v>119</v>
      </c>
      <c r="B343" s="2990"/>
      <c r="C343" s="3226"/>
      <c r="D343" s="3226"/>
      <c r="E343" s="2862"/>
      <c r="F343" s="3226"/>
      <c r="G343" s="3226"/>
      <c r="H343" s="2862"/>
      <c r="I343" s="3227"/>
      <c r="J343" s="2923">
        <v>0</v>
      </c>
      <c r="K343" s="2923">
        <v>0</v>
      </c>
      <c r="L343" s="2923">
        <v>0</v>
      </c>
      <c r="M343" s="2923">
        <v>698.8</v>
      </c>
      <c r="N343" s="2922">
        <v>749.5</v>
      </c>
      <c r="O343" s="3182"/>
      <c r="P343" s="2923"/>
      <c r="Q343" s="2923"/>
      <c r="R343" s="2922">
        <v>748.5</v>
      </c>
      <c r="S343" s="2922">
        <v>747.5</v>
      </c>
      <c r="T343" s="2922">
        <v>747</v>
      </c>
      <c r="U343" s="2922">
        <v>0</v>
      </c>
      <c r="V343" s="2922">
        <v>0</v>
      </c>
      <c r="W343" s="2922">
        <v>0</v>
      </c>
      <c r="X343" s="2922">
        <v>0</v>
      </c>
      <c r="Y343" s="2922">
        <v>0</v>
      </c>
      <c r="Z343" s="2922">
        <v>0</v>
      </c>
      <c r="AA343" s="2922">
        <f t="shared" si="504"/>
        <v>0</v>
      </c>
      <c r="AB343" s="2923"/>
      <c r="AC343" s="2923">
        <f t="shared" si="497"/>
        <v>0</v>
      </c>
      <c r="AD343" s="2923">
        <f t="shared" si="501"/>
        <v>0</v>
      </c>
      <c r="AE343" s="2923">
        <f t="shared" si="501"/>
        <v>0</v>
      </c>
      <c r="AF343" s="2923">
        <f t="shared" si="502"/>
        <v>0</v>
      </c>
      <c r="AG343" s="2923">
        <f t="shared" si="502"/>
        <v>0</v>
      </c>
      <c r="AH343" s="2923">
        <f t="shared" si="502"/>
        <v>0</v>
      </c>
      <c r="AI343" s="2923">
        <f t="shared" si="505"/>
        <v>0</v>
      </c>
      <c r="AJ343" s="192">
        <f t="shared" si="503"/>
        <v>0</v>
      </c>
      <c r="AK343" s="192">
        <f t="shared" si="503"/>
        <v>0</v>
      </c>
      <c r="AL343" s="1368">
        <f t="shared" si="503"/>
        <v>0</v>
      </c>
      <c r="AM343" s="1368">
        <f t="shared" si="503"/>
        <v>0</v>
      </c>
      <c r="AN343" s="1368">
        <f t="shared" si="503"/>
        <v>0</v>
      </c>
      <c r="AO343" s="192"/>
      <c r="AP343" s="192"/>
      <c r="AQ343" s="192"/>
      <c r="AR343" s="192"/>
      <c r="AS343" s="192"/>
      <c r="AT343" s="164"/>
      <c r="AU343" s="95"/>
      <c r="AV343" s="39"/>
      <c r="AW343" s="89"/>
      <c r="AX343" s="89"/>
      <c r="AY343" s="89"/>
      <c r="AZ343" s="89"/>
      <c r="BA343" s="89"/>
      <c r="BB343" s="89"/>
      <c r="BC343" s="89"/>
      <c r="BD343" s="89"/>
      <c r="BE343" s="89"/>
      <c r="BF343" s="89"/>
      <c r="BG343" s="89"/>
      <c r="BH343" s="98"/>
      <c r="BI343" s="89"/>
      <c r="BJ343" s="89"/>
      <c r="BK343" s="89"/>
      <c r="BL343" s="89"/>
      <c r="BM343" s="89"/>
      <c r="BN343" s="89"/>
      <c r="BO343" s="89"/>
      <c r="BP343" s="89"/>
      <c r="BQ343" s="89"/>
      <c r="BR343" s="89"/>
      <c r="BS343" s="89"/>
      <c r="BT343" s="89"/>
      <c r="BU343" s="89"/>
      <c r="BV343" s="89"/>
      <c r="BW343" s="89"/>
      <c r="BX343" s="89"/>
      <c r="BY343" s="89"/>
      <c r="BZ343" s="89"/>
      <c r="CA343" s="89"/>
      <c r="CB343" s="89"/>
      <c r="CC343" s="89"/>
      <c r="CD343" s="89"/>
      <c r="CE343" s="89"/>
      <c r="CF343" s="89"/>
      <c r="CG343" s="89"/>
      <c r="CH343" s="89"/>
      <c r="CI343" s="89"/>
      <c r="CJ343" s="89"/>
      <c r="CK343" s="89"/>
      <c r="CL343" s="89"/>
      <c r="CM343" s="89"/>
      <c r="CN343" s="89"/>
      <c r="CO343" s="98"/>
      <c r="CP343" s="98"/>
      <c r="CQ343" s="98"/>
      <c r="CR343" s="98"/>
      <c r="CS343" s="98"/>
      <c r="CT343" s="98"/>
      <c r="CU343" s="98"/>
      <c r="CV343" s="98"/>
      <c r="CW343" s="98"/>
      <c r="CX343" s="98"/>
      <c r="CY343" s="1247"/>
      <c r="CZ343" s="1247"/>
      <c r="DA343" s="1247"/>
      <c r="DB343" s="98"/>
      <c r="DC343" s="2925"/>
      <c r="DD343" s="98"/>
      <c r="DE343" s="98"/>
      <c r="DF343" s="98"/>
      <c r="DG343" s="98"/>
      <c r="DH343" s="98"/>
      <c r="DI343" s="98"/>
      <c r="DJ343" s="98"/>
      <c r="DK343" s="98"/>
      <c r="DL343" s="98"/>
      <c r="DM343" s="98"/>
      <c r="DN343" s="98"/>
      <c r="DO343" s="98"/>
      <c r="DP343" s="98"/>
      <c r="DQ343" s="98"/>
      <c r="DR343" s="98"/>
    </row>
    <row r="344" spans="1:122" ht="12.75" customHeight="1">
      <c r="A344" s="2990" t="s">
        <v>786</v>
      </c>
      <c r="B344" s="2990"/>
      <c r="C344" s="3226"/>
      <c r="D344" s="3226"/>
      <c r="E344" s="2862"/>
      <c r="F344" s="3226"/>
      <c r="G344" s="3226"/>
      <c r="H344" s="2862"/>
      <c r="I344" s="3227"/>
      <c r="J344" s="2923"/>
      <c r="K344" s="2923"/>
      <c r="L344" s="2923"/>
      <c r="M344" s="2923"/>
      <c r="N344" s="2922"/>
      <c r="O344" s="3182"/>
      <c r="P344" s="2923"/>
      <c r="Q344" s="2923"/>
      <c r="R344" s="2922">
        <v>0</v>
      </c>
      <c r="S344" s="2922">
        <v>0</v>
      </c>
      <c r="T344" s="2922">
        <v>0</v>
      </c>
      <c r="U344" s="2922">
        <v>700</v>
      </c>
      <c r="V344" s="2922">
        <v>695</v>
      </c>
      <c r="W344" s="2922">
        <v>695</v>
      </c>
      <c r="X344" s="2923"/>
      <c r="Y344" s="2923"/>
      <c r="Z344" s="2922">
        <v>694</v>
      </c>
      <c r="AA344" s="2922">
        <v>695</v>
      </c>
      <c r="AB344" s="2923"/>
      <c r="AC344" s="2923">
        <f t="shared" si="497"/>
        <v>695</v>
      </c>
      <c r="AD344" s="2923">
        <f t="shared" ref="AD344:AG345" si="506">AC344</f>
        <v>695</v>
      </c>
      <c r="AE344" s="2923">
        <f t="shared" si="506"/>
        <v>695</v>
      </c>
      <c r="AF344" s="2923">
        <f t="shared" si="506"/>
        <v>695</v>
      </c>
      <c r="AG344" s="2923">
        <f t="shared" si="506"/>
        <v>695</v>
      </c>
      <c r="AH344" s="2922">
        <v>0</v>
      </c>
      <c r="AI344" s="2922">
        <f t="shared" si="505"/>
        <v>0</v>
      </c>
      <c r="AJ344" s="194">
        <f t="shared" si="503"/>
        <v>0</v>
      </c>
      <c r="AK344" s="194">
        <f t="shared" si="503"/>
        <v>0</v>
      </c>
      <c r="AL344" s="194">
        <f t="shared" si="503"/>
        <v>0</v>
      </c>
      <c r="AM344" s="194">
        <f t="shared" si="503"/>
        <v>0</v>
      </c>
      <c r="AN344" s="194">
        <f t="shared" si="503"/>
        <v>0</v>
      </c>
      <c r="AO344" s="192"/>
      <c r="AP344" s="192"/>
      <c r="AQ344" s="192"/>
      <c r="AR344" s="192"/>
      <c r="AS344" s="192"/>
      <c r="AT344" s="164"/>
      <c r="AU344" s="95"/>
      <c r="AV344" s="39"/>
      <c r="AW344" s="89"/>
      <c r="AX344" s="89"/>
      <c r="AY344" s="89"/>
      <c r="AZ344" s="89"/>
      <c r="BA344" s="89"/>
      <c r="BB344" s="89"/>
      <c r="BC344" s="89"/>
      <c r="BD344" s="89"/>
      <c r="BE344" s="89"/>
      <c r="BF344" s="89"/>
      <c r="BG344" s="89"/>
      <c r="BH344" s="98"/>
      <c r="BI344" s="89"/>
      <c r="BJ344" s="89"/>
      <c r="BK344" s="89"/>
      <c r="BL344" s="89"/>
      <c r="BM344" s="89"/>
      <c r="BN344" s="89"/>
      <c r="BO344" s="89"/>
      <c r="BP344" s="89"/>
      <c r="BQ344" s="89"/>
      <c r="BR344" s="89"/>
      <c r="BS344" s="89"/>
      <c r="BT344" s="89"/>
      <c r="BU344" s="89"/>
      <c r="BV344" s="89"/>
      <c r="BW344" s="89"/>
      <c r="BX344" s="89"/>
      <c r="BY344" s="89"/>
      <c r="BZ344" s="89"/>
      <c r="CA344" s="89"/>
      <c r="CB344" s="89"/>
      <c r="CC344" s="89"/>
      <c r="CD344" s="89"/>
      <c r="CE344" s="89"/>
      <c r="CF344" s="89"/>
      <c r="CG344" s="89"/>
      <c r="CH344" s="89"/>
      <c r="CI344" s="89"/>
      <c r="CJ344" s="89"/>
      <c r="CK344" s="89"/>
      <c r="CL344" s="89"/>
      <c r="CM344" s="89"/>
      <c r="CN344" s="89"/>
      <c r="CO344" s="98"/>
      <c r="CP344" s="98"/>
      <c r="CQ344" s="98"/>
      <c r="CR344" s="98"/>
      <c r="CS344" s="98"/>
      <c r="CT344" s="98"/>
      <c r="CU344" s="98"/>
      <c r="CV344" s="98"/>
      <c r="CW344" s="98"/>
      <c r="CX344" s="98"/>
      <c r="CY344" s="1247"/>
      <c r="CZ344" s="1247"/>
      <c r="DA344" s="1247"/>
      <c r="DB344" s="98"/>
      <c r="DC344" s="2925"/>
      <c r="DD344" s="98"/>
      <c r="DE344" s="98"/>
      <c r="DF344" s="98"/>
      <c r="DG344" s="98"/>
      <c r="DH344" s="98"/>
      <c r="DI344" s="98"/>
      <c r="DJ344" s="98"/>
      <c r="DK344" s="98"/>
      <c r="DL344" s="98"/>
      <c r="DM344" s="98"/>
      <c r="DN344" s="98"/>
      <c r="DO344" s="98"/>
      <c r="DP344" s="98"/>
      <c r="DQ344" s="98"/>
      <c r="DR344" s="98"/>
    </row>
    <row r="345" spans="1:122" ht="12.75" customHeight="1">
      <c r="A345" s="2990" t="s">
        <v>1474</v>
      </c>
      <c r="B345" s="2990"/>
      <c r="C345" s="3226"/>
      <c r="D345" s="3226"/>
      <c r="E345" s="2862"/>
      <c r="F345" s="3226"/>
      <c r="G345" s="3226"/>
      <c r="H345" s="2862"/>
      <c r="I345" s="3227"/>
      <c r="J345" s="2923"/>
      <c r="K345" s="2923"/>
      <c r="L345" s="2923"/>
      <c r="M345" s="2923"/>
      <c r="N345" s="2922"/>
      <c r="O345" s="3182"/>
      <c r="P345" s="2923"/>
      <c r="Q345" s="2923"/>
      <c r="R345" s="2922">
        <v>0</v>
      </c>
      <c r="S345" s="2922">
        <v>0</v>
      </c>
      <c r="T345" s="2922">
        <v>0</v>
      </c>
      <c r="U345" s="2922">
        <v>400</v>
      </c>
      <c r="V345" s="2922">
        <v>397</v>
      </c>
      <c r="W345" s="2922">
        <v>398</v>
      </c>
      <c r="X345" s="2923"/>
      <c r="Y345" s="2923"/>
      <c r="Z345" s="2922">
        <v>398</v>
      </c>
      <c r="AA345" s="2922">
        <v>399</v>
      </c>
      <c r="AB345" s="2923"/>
      <c r="AC345" s="2922">
        <v>0</v>
      </c>
      <c r="AD345" s="2922">
        <f t="shared" si="506"/>
        <v>0</v>
      </c>
      <c r="AE345" s="2922">
        <f t="shared" si="506"/>
        <v>0</v>
      </c>
      <c r="AF345" s="2922">
        <f t="shared" si="506"/>
        <v>0</v>
      </c>
      <c r="AG345" s="2922">
        <f t="shared" si="506"/>
        <v>0</v>
      </c>
      <c r="AH345" s="2922">
        <f>AG345</f>
        <v>0</v>
      </c>
      <c r="AI345" s="2922">
        <f t="shared" si="505"/>
        <v>0</v>
      </c>
      <c r="AJ345" s="1535">
        <f t="shared" si="503"/>
        <v>0</v>
      </c>
      <c r="AK345" s="1535">
        <f t="shared" si="503"/>
        <v>0</v>
      </c>
      <c r="AL345" s="1535">
        <f t="shared" si="503"/>
        <v>0</v>
      </c>
      <c r="AM345" s="1535">
        <f t="shared" si="503"/>
        <v>0</v>
      </c>
      <c r="AN345" s="1535">
        <f t="shared" si="503"/>
        <v>0</v>
      </c>
      <c r="AO345" s="1368"/>
      <c r="AP345" s="1368"/>
      <c r="AQ345" s="1368"/>
      <c r="AR345" s="1368"/>
      <c r="AS345" s="1368"/>
      <c r="AT345" s="1534"/>
      <c r="AU345" s="95"/>
      <c r="AV345" s="39"/>
      <c r="AW345" s="89"/>
      <c r="AX345" s="89"/>
      <c r="AY345" s="89"/>
      <c r="AZ345" s="89"/>
      <c r="BA345" s="89"/>
      <c r="BB345" s="89"/>
      <c r="BC345" s="89"/>
      <c r="BD345" s="89"/>
      <c r="BE345" s="89"/>
      <c r="BF345" s="89"/>
      <c r="BG345" s="89"/>
      <c r="BH345" s="98"/>
      <c r="BI345" s="89"/>
      <c r="BJ345" s="89"/>
      <c r="BK345" s="89"/>
      <c r="BL345" s="89"/>
      <c r="BM345" s="89"/>
      <c r="BN345" s="89"/>
      <c r="BO345" s="89"/>
      <c r="BP345" s="89"/>
      <c r="BQ345" s="89"/>
      <c r="BR345" s="89"/>
      <c r="BS345" s="89"/>
      <c r="BT345" s="89"/>
      <c r="BU345" s="89"/>
      <c r="BV345" s="89"/>
      <c r="BW345" s="89"/>
      <c r="BX345" s="89"/>
      <c r="BY345" s="89"/>
      <c r="BZ345" s="89"/>
      <c r="CA345" s="89"/>
      <c r="CB345" s="89"/>
      <c r="CC345" s="89"/>
      <c r="CD345" s="89"/>
      <c r="CE345" s="89"/>
      <c r="CF345" s="89"/>
      <c r="CG345" s="89"/>
      <c r="CH345" s="89"/>
      <c r="CI345" s="89"/>
      <c r="CJ345" s="89"/>
      <c r="CK345" s="89"/>
      <c r="CL345" s="89"/>
      <c r="CM345" s="89"/>
      <c r="CN345" s="89"/>
      <c r="CO345" s="98"/>
      <c r="CP345" s="98"/>
      <c r="CQ345" s="98"/>
      <c r="CR345" s="98"/>
      <c r="CS345" s="98"/>
      <c r="CT345" s="98"/>
      <c r="CU345" s="98"/>
      <c r="CV345" s="98"/>
      <c r="CW345" s="98"/>
      <c r="CX345" s="98"/>
      <c r="CY345" s="1247"/>
      <c r="CZ345" s="1247"/>
      <c r="DA345" s="1247"/>
      <c r="DB345" s="98"/>
      <c r="DC345" s="2925"/>
      <c r="DD345" s="98"/>
      <c r="DE345" s="98"/>
      <c r="DF345" s="98"/>
      <c r="DG345" s="98"/>
      <c r="DH345" s="98"/>
      <c r="DI345" s="98"/>
      <c r="DJ345" s="98"/>
      <c r="DK345" s="98"/>
      <c r="DL345" s="98"/>
      <c r="DM345" s="98"/>
      <c r="DN345" s="98"/>
      <c r="DO345" s="98"/>
      <c r="DP345" s="98"/>
      <c r="DQ345" s="98"/>
      <c r="DR345" s="98"/>
    </row>
    <row r="346" spans="1:122" ht="12.75" customHeight="1">
      <c r="A346" s="2990" t="s">
        <v>1475</v>
      </c>
      <c r="B346" s="2990"/>
      <c r="C346" s="3226"/>
      <c r="D346" s="3226"/>
      <c r="E346" s="2862"/>
      <c r="F346" s="3226"/>
      <c r="G346" s="3226"/>
      <c r="H346" s="2862"/>
      <c r="I346" s="3227"/>
      <c r="J346" s="2923"/>
      <c r="K346" s="2923"/>
      <c r="L346" s="2923"/>
      <c r="M346" s="2923"/>
      <c r="N346" s="2922"/>
      <c r="O346" s="3182"/>
      <c r="P346" s="2923"/>
      <c r="Q346" s="2923"/>
      <c r="R346" s="2922">
        <v>0</v>
      </c>
      <c r="S346" s="2922">
        <v>0</v>
      </c>
      <c r="T346" s="2922">
        <v>0</v>
      </c>
      <c r="U346" s="2922">
        <v>500</v>
      </c>
      <c r="V346" s="2922">
        <v>488</v>
      </c>
      <c r="W346" s="2922">
        <v>488</v>
      </c>
      <c r="X346" s="2923"/>
      <c r="Y346" s="2923"/>
      <c r="Z346" s="2922">
        <v>484</v>
      </c>
      <c r="AA346" s="2922">
        <v>485</v>
      </c>
      <c r="AB346" s="2923"/>
      <c r="AC346" s="2923">
        <f>AA346</f>
        <v>485</v>
      </c>
      <c r="AD346" s="2923">
        <f>AC346</f>
        <v>485</v>
      </c>
      <c r="AE346" s="2923">
        <f>AD346</f>
        <v>485</v>
      </c>
      <c r="AF346" s="2923">
        <f>AE346</f>
        <v>485</v>
      </c>
      <c r="AG346" s="2923">
        <f>AF346</f>
        <v>485</v>
      </c>
      <c r="AH346" s="2923">
        <f>AG346</f>
        <v>485</v>
      </c>
      <c r="AI346" s="2923">
        <f t="shared" si="505"/>
        <v>485</v>
      </c>
      <c r="AJ346" s="1368">
        <f t="shared" si="503"/>
        <v>485</v>
      </c>
      <c r="AK346" s="1368">
        <f t="shared" si="503"/>
        <v>485</v>
      </c>
      <c r="AL346" s="1368">
        <f t="shared" si="503"/>
        <v>485</v>
      </c>
      <c r="AM346" s="1368">
        <f t="shared" si="503"/>
        <v>485</v>
      </c>
      <c r="AN346" s="1368">
        <f t="shared" si="503"/>
        <v>485</v>
      </c>
      <c r="AO346" s="1368"/>
      <c r="AP346" s="1368"/>
      <c r="AQ346" s="1368"/>
      <c r="AR346" s="1368"/>
      <c r="AS346" s="1368"/>
      <c r="AT346" s="1534"/>
      <c r="AU346" s="95"/>
      <c r="AV346" s="39"/>
      <c r="AW346" s="89"/>
      <c r="AX346" s="89"/>
      <c r="AY346" s="89"/>
      <c r="AZ346" s="89"/>
      <c r="BA346" s="89"/>
      <c r="BB346" s="89"/>
      <c r="BC346" s="89"/>
      <c r="BD346" s="89"/>
      <c r="BE346" s="89"/>
      <c r="BF346" s="89"/>
      <c r="BG346" s="89"/>
      <c r="BH346" s="98"/>
      <c r="BI346" s="89"/>
      <c r="BJ346" s="89"/>
      <c r="BK346" s="89"/>
      <c r="BL346" s="89"/>
      <c r="BM346" s="89"/>
      <c r="BN346" s="89"/>
      <c r="BO346" s="89"/>
      <c r="BP346" s="89"/>
      <c r="BQ346" s="89"/>
      <c r="BR346" s="89"/>
      <c r="BS346" s="89"/>
      <c r="BT346" s="89"/>
      <c r="BU346" s="89"/>
      <c r="BV346" s="89"/>
      <c r="BW346" s="89"/>
      <c r="BX346" s="89"/>
      <c r="BY346" s="89"/>
      <c r="BZ346" s="89"/>
      <c r="CA346" s="89"/>
      <c r="CB346" s="89"/>
      <c r="CC346" s="89"/>
      <c r="CD346" s="89"/>
      <c r="CE346" s="89"/>
      <c r="CF346" s="89"/>
      <c r="CG346" s="89"/>
      <c r="CH346" s="89"/>
      <c r="CI346" s="89"/>
      <c r="CJ346" s="89"/>
      <c r="CK346" s="89"/>
      <c r="CL346" s="89"/>
      <c r="CM346" s="89"/>
      <c r="CN346" s="89"/>
      <c r="CO346" s="98"/>
      <c r="CP346" s="98"/>
      <c r="CQ346" s="98"/>
      <c r="CR346" s="98"/>
      <c r="CS346" s="98"/>
      <c r="CT346" s="98"/>
      <c r="CU346" s="98"/>
      <c r="CV346" s="98"/>
      <c r="CW346" s="98"/>
      <c r="CX346" s="98"/>
      <c r="CY346" s="1247"/>
      <c r="CZ346" s="1247"/>
      <c r="DA346" s="1247"/>
      <c r="DB346" s="98"/>
      <c r="DC346" s="2925"/>
      <c r="DD346" s="98"/>
      <c r="DE346" s="98"/>
      <c r="DF346" s="98"/>
      <c r="DG346" s="98"/>
      <c r="DH346" s="98"/>
      <c r="DI346" s="98"/>
      <c r="DJ346" s="98"/>
      <c r="DK346" s="98"/>
      <c r="DL346" s="98"/>
      <c r="DM346" s="98"/>
      <c r="DN346" s="98"/>
      <c r="DO346" s="98"/>
      <c r="DP346" s="98"/>
      <c r="DQ346" s="98"/>
      <c r="DR346" s="98"/>
    </row>
    <row r="347" spans="1:122" ht="12.75" customHeight="1">
      <c r="A347" s="3539" t="s">
        <v>841</v>
      </c>
      <c r="B347" s="2990"/>
      <c r="C347" s="3226"/>
      <c r="D347" s="3226"/>
      <c r="E347" s="2862"/>
      <c r="F347" s="3226"/>
      <c r="G347" s="3226"/>
      <c r="H347" s="2862"/>
      <c r="I347" s="3227"/>
      <c r="J347" s="2923"/>
      <c r="K347" s="2923"/>
      <c r="L347" s="2923"/>
      <c r="M347" s="2923"/>
      <c r="N347" s="2922"/>
      <c r="O347" s="3182"/>
      <c r="P347" s="2923"/>
      <c r="Q347" s="2923"/>
      <c r="R347" s="2922"/>
      <c r="S347" s="2922"/>
      <c r="T347" s="2922"/>
      <c r="U347" s="2922"/>
      <c r="V347" s="2922"/>
      <c r="W347" s="2922">
        <v>0</v>
      </c>
      <c r="X347" s="3224"/>
      <c r="Y347" s="3224"/>
      <c r="Z347" s="2922">
        <v>0</v>
      </c>
      <c r="AA347" s="2922">
        <v>0</v>
      </c>
      <c r="AB347" s="2922"/>
      <c r="AC347" s="2922">
        <v>0</v>
      </c>
      <c r="AD347" s="2922">
        <v>0</v>
      </c>
      <c r="AE347" s="2922">
        <v>0</v>
      </c>
      <c r="AF347" s="2922">
        <v>0</v>
      </c>
      <c r="AG347" s="2922">
        <v>0</v>
      </c>
      <c r="AH347" s="2922">
        <v>0</v>
      </c>
      <c r="AI347" s="2922">
        <v>0</v>
      </c>
      <c r="AJ347" s="2922">
        <v>0</v>
      </c>
      <c r="AK347" s="2922">
        <v>0</v>
      </c>
      <c r="AL347" s="2922">
        <v>0</v>
      </c>
      <c r="AM347" s="2922">
        <v>0</v>
      </c>
      <c r="AN347" s="2922">
        <v>0</v>
      </c>
      <c r="AO347" s="1535"/>
      <c r="AP347" s="1535"/>
      <c r="AQ347" s="1535"/>
      <c r="AR347" s="1535"/>
      <c r="AS347" s="1535"/>
      <c r="AT347" s="1534"/>
      <c r="AU347" s="95"/>
      <c r="AV347" s="39"/>
      <c r="AW347" s="89"/>
      <c r="AX347" s="89"/>
      <c r="AY347" s="89"/>
      <c r="AZ347" s="89"/>
      <c r="BA347" s="89"/>
      <c r="BB347" s="89"/>
      <c r="BC347" s="89"/>
      <c r="BD347" s="89"/>
      <c r="BE347" s="89"/>
      <c r="BF347" s="89"/>
      <c r="BG347" s="89"/>
      <c r="BH347" s="98"/>
      <c r="BI347" s="89"/>
      <c r="BJ347" s="89"/>
      <c r="BK347" s="89"/>
      <c r="BL347" s="89"/>
      <c r="BM347" s="89"/>
      <c r="BN347" s="89"/>
      <c r="BO347" s="89"/>
      <c r="BP347" s="89"/>
      <c r="BQ347" s="89"/>
      <c r="BR347" s="89"/>
      <c r="BS347" s="89"/>
      <c r="BT347" s="89"/>
      <c r="BU347" s="89"/>
      <c r="BV347" s="89"/>
      <c r="BW347" s="89"/>
      <c r="BX347" s="89"/>
      <c r="BY347" s="89"/>
      <c r="BZ347" s="89"/>
      <c r="CA347" s="89"/>
      <c r="CB347" s="89"/>
      <c r="CC347" s="89"/>
      <c r="CD347" s="89"/>
      <c r="CE347" s="89"/>
      <c r="CF347" s="89"/>
      <c r="CG347" s="89"/>
      <c r="CH347" s="89"/>
      <c r="CI347" s="89"/>
      <c r="CJ347" s="89"/>
      <c r="CK347" s="89"/>
      <c r="CL347" s="89"/>
      <c r="CM347" s="89"/>
      <c r="CN347" s="89"/>
      <c r="CO347" s="98"/>
      <c r="CP347" s="98"/>
      <c r="CQ347" s="98"/>
      <c r="CR347" s="98"/>
      <c r="CS347" s="98"/>
      <c r="CT347" s="98"/>
      <c r="CU347" s="98"/>
      <c r="CV347" s="98"/>
      <c r="CW347" s="98"/>
      <c r="CX347" s="98"/>
      <c r="CY347" s="1247"/>
      <c r="CZ347" s="1247"/>
      <c r="DA347" s="1247"/>
      <c r="DB347" s="98"/>
      <c r="DC347" s="2925"/>
      <c r="DD347" s="98"/>
      <c r="DE347" s="98"/>
      <c r="DF347" s="98"/>
      <c r="DG347" s="98"/>
      <c r="DH347" s="98"/>
      <c r="DI347" s="98"/>
      <c r="DJ347" s="98"/>
      <c r="DK347" s="98"/>
      <c r="DL347" s="98"/>
      <c r="DM347" s="98"/>
      <c r="DN347" s="98"/>
      <c r="DO347" s="98"/>
      <c r="DP347" s="98"/>
      <c r="DQ347" s="98"/>
      <c r="DR347" s="98"/>
    </row>
    <row r="348" spans="1:122" ht="12.75" customHeight="1">
      <c r="A348" s="3217" t="s">
        <v>285</v>
      </c>
      <c r="B348" s="3218"/>
      <c r="C348" s="3219"/>
      <c r="D348" s="3219"/>
      <c r="E348" s="2937"/>
      <c r="F348" s="3219"/>
      <c r="G348" s="3219"/>
      <c r="H348" s="2937"/>
      <c r="I348" s="3220"/>
      <c r="J348" s="3221"/>
      <c r="K348" s="3221"/>
      <c r="L348" s="3221"/>
      <c r="M348" s="3221"/>
      <c r="N348" s="3222"/>
      <c r="O348" s="3223"/>
      <c r="P348" s="3221"/>
      <c r="Q348" s="3221"/>
      <c r="R348" s="3222"/>
      <c r="S348" s="3222"/>
      <c r="T348" s="3222"/>
      <c r="U348" s="3222"/>
      <c r="V348" s="2922"/>
      <c r="W348" s="2922">
        <v>598</v>
      </c>
      <c r="X348" s="3222"/>
      <c r="Y348" s="3222"/>
      <c r="Z348" s="2922">
        <v>609</v>
      </c>
      <c r="AA348" s="2922">
        <v>606</v>
      </c>
      <c r="AB348" s="2923"/>
      <c r="AC348" s="2923">
        <f t="shared" ref="AC348:AC354" si="507">+AA348</f>
        <v>606</v>
      </c>
      <c r="AD348" s="2923">
        <f t="shared" ref="AD348:AN349" si="508">+AC348</f>
        <v>606</v>
      </c>
      <c r="AE348" s="2922">
        <v>0</v>
      </c>
      <c r="AF348" s="2922">
        <f t="shared" si="508"/>
        <v>0</v>
      </c>
      <c r="AG348" s="2922">
        <f t="shared" si="508"/>
        <v>0</v>
      </c>
      <c r="AH348" s="2922">
        <f t="shared" si="508"/>
        <v>0</v>
      </c>
      <c r="AI348" s="2922">
        <f t="shared" si="508"/>
        <v>0</v>
      </c>
      <c r="AJ348" s="2922">
        <f t="shared" si="508"/>
        <v>0</v>
      </c>
      <c r="AK348" s="2922">
        <f t="shared" si="508"/>
        <v>0</v>
      </c>
      <c r="AL348" s="2922">
        <f t="shared" si="508"/>
        <v>0</v>
      </c>
      <c r="AM348" s="2922">
        <f t="shared" si="508"/>
        <v>0</v>
      </c>
      <c r="AN348" s="2922">
        <f t="shared" si="508"/>
        <v>0</v>
      </c>
      <c r="AO348" s="1535"/>
      <c r="AP348" s="1535"/>
      <c r="AQ348" s="1535"/>
      <c r="AR348" s="1535"/>
      <c r="AS348" s="1535"/>
      <c r="AT348" s="1534"/>
      <c r="AU348" s="95"/>
      <c r="AV348" s="39"/>
      <c r="AW348" s="89"/>
      <c r="AX348" s="89"/>
      <c r="AY348" s="89"/>
      <c r="AZ348" s="89"/>
      <c r="BA348" s="89"/>
      <c r="BB348" s="89"/>
      <c r="BC348" s="89"/>
      <c r="BD348" s="89"/>
      <c r="BE348" s="89"/>
      <c r="BF348" s="89"/>
      <c r="BG348" s="89"/>
      <c r="BH348" s="98"/>
      <c r="BI348" s="89"/>
      <c r="BJ348" s="89"/>
      <c r="BK348" s="89"/>
      <c r="BL348" s="89"/>
      <c r="BM348" s="89"/>
      <c r="BN348" s="89"/>
      <c r="BO348" s="89"/>
      <c r="BP348" s="89"/>
      <c r="BQ348" s="89"/>
      <c r="BR348" s="89"/>
      <c r="BS348" s="89"/>
      <c r="BT348" s="89"/>
      <c r="BU348" s="89"/>
      <c r="BV348" s="89"/>
      <c r="BW348" s="89"/>
      <c r="BX348" s="89"/>
      <c r="BY348" s="89"/>
      <c r="BZ348" s="89"/>
      <c r="CA348" s="89"/>
      <c r="CB348" s="89"/>
      <c r="CC348" s="89"/>
      <c r="CD348" s="89"/>
      <c r="CE348" s="89"/>
      <c r="CF348" s="89"/>
      <c r="CG348" s="89"/>
      <c r="CH348" s="89"/>
      <c r="CI348" s="89"/>
      <c r="CJ348" s="89"/>
      <c r="CK348" s="89"/>
      <c r="CL348" s="89"/>
      <c r="CM348" s="89"/>
      <c r="CN348" s="89"/>
      <c r="CO348" s="98"/>
      <c r="CP348" s="98"/>
      <c r="CQ348" s="98"/>
      <c r="CR348" s="98"/>
      <c r="CS348" s="98"/>
      <c r="CT348" s="98"/>
      <c r="CU348" s="98"/>
      <c r="CV348" s="98"/>
      <c r="CW348" s="98"/>
      <c r="CX348" s="98"/>
      <c r="CY348" s="1247"/>
      <c r="CZ348" s="1247"/>
      <c r="DA348" s="1247"/>
      <c r="DB348" s="98"/>
      <c r="DC348" s="2925"/>
      <c r="DD348" s="98"/>
      <c r="DE348" s="98"/>
      <c r="DF348" s="98"/>
      <c r="DG348" s="98"/>
      <c r="DH348" s="98"/>
      <c r="DI348" s="98"/>
      <c r="DJ348" s="98"/>
      <c r="DK348" s="98"/>
      <c r="DL348" s="98"/>
      <c r="DM348" s="98"/>
      <c r="DN348" s="98"/>
      <c r="DO348" s="98"/>
      <c r="DP348" s="98"/>
      <c r="DQ348" s="98"/>
      <c r="DR348" s="98"/>
    </row>
    <row r="349" spans="1:122" ht="12.75" customHeight="1">
      <c r="A349" s="3217" t="s">
        <v>286</v>
      </c>
      <c r="B349" s="3218"/>
      <c r="C349" s="3219"/>
      <c r="D349" s="3219"/>
      <c r="E349" s="2937"/>
      <c r="F349" s="3219"/>
      <c r="G349" s="3219"/>
      <c r="H349" s="2937"/>
      <c r="I349" s="3220"/>
      <c r="J349" s="3221"/>
      <c r="K349" s="3221"/>
      <c r="L349" s="3221"/>
      <c r="M349" s="3221"/>
      <c r="N349" s="3222"/>
      <c r="O349" s="3223"/>
      <c r="P349" s="3221"/>
      <c r="Q349" s="3221"/>
      <c r="R349" s="3222"/>
      <c r="S349" s="3222"/>
      <c r="T349" s="3222"/>
      <c r="U349" s="3222"/>
      <c r="V349" s="2922"/>
      <c r="W349" s="2922">
        <v>599</v>
      </c>
      <c r="X349" s="3540"/>
      <c r="Y349" s="3540"/>
      <c r="Z349" s="2922">
        <v>596</v>
      </c>
      <c r="AA349" s="2922">
        <v>596</v>
      </c>
      <c r="AB349" s="2923"/>
      <c r="AC349" s="2923">
        <f t="shared" si="507"/>
        <v>596</v>
      </c>
      <c r="AD349" s="2923">
        <f t="shared" ref="AD349:AI349" si="509">+AC349</f>
        <v>596</v>
      </c>
      <c r="AE349" s="2923">
        <f t="shared" si="509"/>
        <v>596</v>
      </c>
      <c r="AF349" s="2923">
        <f t="shared" si="509"/>
        <v>596</v>
      </c>
      <c r="AG349" s="2923">
        <f t="shared" si="509"/>
        <v>596</v>
      </c>
      <c r="AH349" s="2923">
        <f t="shared" si="509"/>
        <v>596</v>
      </c>
      <c r="AI349" s="2923">
        <f t="shared" si="509"/>
        <v>596</v>
      </c>
      <c r="AJ349" s="2922">
        <v>0</v>
      </c>
      <c r="AK349" s="2922">
        <v>0</v>
      </c>
      <c r="AL349" s="2922">
        <f t="shared" si="508"/>
        <v>0</v>
      </c>
      <c r="AM349" s="2922">
        <f t="shared" si="508"/>
        <v>0</v>
      </c>
      <c r="AN349" s="2922">
        <f t="shared" si="508"/>
        <v>0</v>
      </c>
      <c r="AO349" s="1535"/>
      <c r="AP349" s="1535"/>
      <c r="AQ349" s="1535"/>
      <c r="AR349" s="1535"/>
      <c r="AS349" s="1535"/>
      <c r="AT349" s="1534"/>
      <c r="AU349" s="95"/>
      <c r="AV349" s="39"/>
      <c r="AW349" s="89"/>
      <c r="AX349" s="89"/>
      <c r="AY349" s="89"/>
      <c r="AZ349" s="89"/>
      <c r="BA349" s="89"/>
      <c r="BB349" s="89"/>
      <c r="BC349" s="89"/>
      <c r="BD349" s="89"/>
      <c r="BE349" s="89"/>
      <c r="BF349" s="89"/>
      <c r="BG349" s="89"/>
      <c r="BH349" s="98"/>
      <c r="BI349" s="89"/>
      <c r="BJ349" s="89"/>
      <c r="BK349" s="89"/>
      <c r="BL349" s="89"/>
      <c r="BM349" s="89"/>
      <c r="BN349" s="89"/>
      <c r="BO349" s="89"/>
      <c r="BP349" s="89"/>
      <c r="BQ349" s="89"/>
      <c r="BR349" s="89"/>
      <c r="BS349" s="89"/>
      <c r="BT349" s="89"/>
      <c r="BU349" s="89"/>
      <c r="BV349" s="89"/>
      <c r="BW349" s="89"/>
      <c r="BX349" s="89"/>
      <c r="BY349" s="89"/>
      <c r="BZ349" s="89"/>
      <c r="CA349" s="89"/>
      <c r="CB349" s="89"/>
      <c r="CC349" s="89"/>
      <c r="CD349" s="89"/>
      <c r="CE349" s="89"/>
      <c r="CF349" s="89"/>
      <c r="CG349" s="89"/>
      <c r="CH349" s="89"/>
      <c r="CI349" s="89"/>
      <c r="CJ349" s="89"/>
      <c r="CK349" s="89"/>
      <c r="CL349" s="89"/>
      <c r="CM349" s="89"/>
      <c r="CN349" s="89"/>
      <c r="CO349" s="98"/>
      <c r="CP349" s="98"/>
      <c r="CQ349" s="98"/>
      <c r="CR349" s="98"/>
      <c r="CS349" s="98"/>
      <c r="CT349" s="98"/>
      <c r="CU349" s="98"/>
      <c r="CV349" s="98"/>
      <c r="CW349" s="98"/>
      <c r="CX349" s="98"/>
      <c r="CY349" s="1247"/>
      <c r="CZ349" s="1247"/>
      <c r="DA349" s="1247"/>
      <c r="DB349" s="98"/>
      <c r="DC349" s="2925"/>
      <c r="DD349" s="98"/>
      <c r="DE349" s="98"/>
      <c r="DF349" s="98"/>
      <c r="DG349" s="98"/>
      <c r="DH349" s="98"/>
      <c r="DI349" s="98"/>
      <c r="DJ349" s="98"/>
      <c r="DK349" s="98"/>
      <c r="DL349" s="98"/>
      <c r="DM349" s="98"/>
      <c r="DN349" s="98"/>
      <c r="DO349" s="98"/>
      <c r="DP349" s="98"/>
      <c r="DQ349" s="98"/>
      <c r="DR349" s="98"/>
    </row>
    <row r="350" spans="1:122" ht="12.75" customHeight="1">
      <c r="A350" s="3217" t="s">
        <v>287</v>
      </c>
      <c r="B350" s="3218"/>
      <c r="C350" s="3219"/>
      <c r="D350" s="3219"/>
      <c r="E350" s="2937"/>
      <c r="F350" s="3219"/>
      <c r="G350" s="3219"/>
      <c r="H350" s="2937"/>
      <c r="I350" s="3220"/>
      <c r="J350" s="3221"/>
      <c r="K350" s="3221"/>
      <c r="L350" s="3221"/>
      <c r="M350" s="3221"/>
      <c r="N350" s="3222"/>
      <c r="O350" s="3223"/>
      <c r="P350" s="3221"/>
      <c r="Q350" s="3221"/>
      <c r="R350" s="3222"/>
      <c r="S350" s="3222"/>
      <c r="T350" s="3222"/>
      <c r="U350" s="3222"/>
      <c r="V350" s="2922"/>
      <c r="W350" s="2922">
        <v>543</v>
      </c>
      <c r="X350" s="3540"/>
      <c r="Y350" s="3540"/>
      <c r="Z350" s="2922">
        <v>538</v>
      </c>
      <c r="AA350" s="2922">
        <v>538</v>
      </c>
      <c r="AB350" s="2923"/>
      <c r="AC350" s="2923">
        <f t="shared" si="507"/>
        <v>538</v>
      </c>
      <c r="AD350" s="2923">
        <f t="shared" ref="AD350:AN355" si="510">+AC350</f>
        <v>538</v>
      </c>
      <c r="AE350" s="2923">
        <f t="shared" si="510"/>
        <v>538</v>
      </c>
      <c r="AF350" s="2923">
        <f t="shared" si="510"/>
        <v>538</v>
      </c>
      <c r="AG350" s="2923">
        <f t="shared" si="510"/>
        <v>538</v>
      </c>
      <c r="AH350" s="2923">
        <f t="shared" si="510"/>
        <v>538</v>
      </c>
      <c r="AI350" s="2923">
        <f t="shared" si="510"/>
        <v>538</v>
      </c>
      <c r="AJ350" s="1368">
        <f t="shared" si="510"/>
        <v>538</v>
      </c>
      <c r="AK350" s="1368">
        <f t="shared" si="510"/>
        <v>538</v>
      </c>
      <c r="AL350" s="1368">
        <f t="shared" si="510"/>
        <v>538</v>
      </c>
      <c r="AM350" s="1368">
        <f t="shared" si="510"/>
        <v>538</v>
      </c>
      <c r="AN350" s="1368">
        <f t="shared" si="510"/>
        <v>538</v>
      </c>
      <c r="AO350" s="1535"/>
      <c r="AP350" s="1535"/>
      <c r="AQ350" s="1535"/>
      <c r="AR350" s="1535"/>
      <c r="AS350" s="1535"/>
      <c r="AT350" s="1534"/>
      <c r="AU350" s="95"/>
      <c r="AV350" s="39"/>
      <c r="AW350" s="89"/>
      <c r="AX350" s="89"/>
      <c r="AY350" s="89"/>
      <c r="AZ350" s="89"/>
      <c r="BA350" s="89"/>
      <c r="BB350" s="89"/>
      <c r="BC350" s="89"/>
      <c r="BD350" s="89"/>
      <c r="BE350" s="89"/>
      <c r="BF350" s="89"/>
      <c r="BG350" s="89"/>
      <c r="BH350" s="98"/>
      <c r="BI350" s="89"/>
      <c r="BJ350" s="89"/>
      <c r="BK350" s="89"/>
      <c r="BL350" s="89"/>
      <c r="BM350" s="89"/>
      <c r="BN350" s="89"/>
      <c r="BO350" s="89"/>
      <c r="BP350" s="89"/>
      <c r="BQ350" s="89"/>
      <c r="BR350" s="89"/>
      <c r="BS350" s="89"/>
      <c r="BT350" s="89"/>
      <c r="BU350" s="89"/>
      <c r="BV350" s="89"/>
      <c r="BW350" s="89"/>
      <c r="BX350" s="89"/>
      <c r="BY350" s="89"/>
      <c r="BZ350" s="89"/>
      <c r="CA350" s="89"/>
      <c r="CB350" s="89"/>
      <c r="CC350" s="89"/>
      <c r="CD350" s="89"/>
      <c r="CE350" s="89"/>
      <c r="CF350" s="89"/>
      <c r="CG350" s="89"/>
      <c r="CH350" s="89"/>
      <c r="CI350" s="89"/>
      <c r="CJ350" s="89"/>
      <c r="CK350" s="89"/>
      <c r="CL350" s="89"/>
      <c r="CM350" s="89"/>
      <c r="CN350" s="89"/>
      <c r="CO350" s="98"/>
      <c r="CP350" s="98"/>
      <c r="CQ350" s="98"/>
      <c r="CR350" s="98"/>
      <c r="CS350" s="98"/>
      <c r="CT350" s="98"/>
      <c r="CU350" s="98"/>
      <c r="CV350" s="98"/>
      <c r="CW350" s="98"/>
      <c r="CX350" s="98"/>
      <c r="CY350" s="1247"/>
      <c r="CZ350" s="1247"/>
      <c r="DA350" s="1247"/>
      <c r="DB350" s="98"/>
      <c r="DC350" s="2925"/>
      <c r="DD350" s="98"/>
      <c r="DE350" s="98"/>
      <c r="DF350" s="98"/>
      <c r="DG350" s="98"/>
      <c r="DH350" s="98"/>
      <c r="DI350" s="98"/>
      <c r="DJ350" s="98"/>
      <c r="DK350" s="98"/>
      <c r="DL350" s="98"/>
      <c r="DM350" s="98"/>
      <c r="DN350" s="98"/>
      <c r="DO350" s="98"/>
      <c r="DP350" s="98"/>
      <c r="DQ350" s="98"/>
      <c r="DR350" s="98"/>
    </row>
    <row r="351" spans="1:122" ht="12.75" customHeight="1">
      <c r="A351" s="3217" t="s">
        <v>1525</v>
      </c>
      <c r="B351" s="3218"/>
      <c r="C351" s="3219"/>
      <c r="D351" s="3219"/>
      <c r="E351" s="2937"/>
      <c r="F351" s="3219"/>
      <c r="G351" s="3219"/>
      <c r="H351" s="2937"/>
      <c r="I351" s="3220"/>
      <c r="J351" s="3221"/>
      <c r="K351" s="3221"/>
      <c r="L351" s="3221"/>
      <c r="M351" s="3221"/>
      <c r="N351" s="3222"/>
      <c r="O351" s="3223"/>
      <c r="P351" s="3221"/>
      <c r="Q351" s="3221"/>
      <c r="R351" s="3222"/>
      <c r="S351" s="3222"/>
      <c r="T351" s="3222"/>
      <c r="U351" s="3222"/>
      <c r="V351" s="3222"/>
      <c r="W351" s="3540"/>
      <c r="X351" s="3540"/>
      <c r="Y351" s="3540"/>
      <c r="Z351" s="2922">
        <v>585</v>
      </c>
      <c r="AA351" s="2922">
        <v>587</v>
      </c>
      <c r="AB351" s="2923"/>
      <c r="AC351" s="2923">
        <f t="shared" si="507"/>
        <v>587</v>
      </c>
      <c r="AD351" s="2923">
        <f t="shared" si="510"/>
        <v>587</v>
      </c>
      <c r="AE351" s="2923">
        <f t="shared" si="510"/>
        <v>587</v>
      </c>
      <c r="AF351" s="2923">
        <f t="shared" si="510"/>
        <v>587</v>
      </c>
      <c r="AG351" s="2923">
        <f t="shared" si="510"/>
        <v>587</v>
      </c>
      <c r="AH351" s="2923">
        <f t="shared" si="510"/>
        <v>587</v>
      </c>
      <c r="AI351" s="2923">
        <f t="shared" si="510"/>
        <v>587</v>
      </c>
      <c r="AJ351" s="1368">
        <f t="shared" si="510"/>
        <v>587</v>
      </c>
      <c r="AK351" s="1535">
        <v>0</v>
      </c>
      <c r="AL351" s="1535">
        <f t="shared" si="510"/>
        <v>0</v>
      </c>
      <c r="AM351" s="1535">
        <f t="shared" si="510"/>
        <v>0</v>
      </c>
      <c r="AN351" s="1535">
        <f t="shared" si="510"/>
        <v>0</v>
      </c>
      <c r="AO351" s="1535"/>
      <c r="AP351" s="1535"/>
      <c r="AQ351" s="1535"/>
      <c r="AR351" s="1535"/>
      <c r="AS351" s="1535"/>
      <c r="AT351" s="1534"/>
      <c r="AU351" s="95"/>
      <c r="AV351" s="39"/>
      <c r="AW351" s="89"/>
      <c r="AX351" s="89"/>
      <c r="AY351" s="89"/>
      <c r="AZ351" s="89"/>
      <c r="BA351" s="89"/>
      <c r="BB351" s="89"/>
      <c r="BC351" s="89"/>
      <c r="BD351" s="89"/>
      <c r="BE351" s="89"/>
      <c r="BF351" s="89"/>
      <c r="BG351" s="89"/>
      <c r="BH351" s="98"/>
      <c r="BI351" s="89"/>
      <c r="BJ351" s="89"/>
      <c r="BK351" s="89"/>
      <c r="BL351" s="89"/>
      <c r="BM351" s="89"/>
      <c r="BN351" s="89"/>
      <c r="BO351" s="89"/>
      <c r="BP351" s="89"/>
      <c r="BQ351" s="89"/>
      <c r="BR351" s="89"/>
      <c r="BS351" s="89"/>
      <c r="BT351" s="89"/>
      <c r="BU351" s="89"/>
      <c r="BV351" s="89"/>
      <c r="BW351" s="89"/>
      <c r="BX351" s="89"/>
      <c r="BY351" s="89"/>
      <c r="BZ351" s="89"/>
      <c r="CA351" s="89"/>
      <c r="CB351" s="89"/>
      <c r="CC351" s="89"/>
      <c r="CD351" s="89"/>
      <c r="CE351" s="89"/>
      <c r="CF351" s="89"/>
      <c r="CG351" s="89"/>
      <c r="CH351" s="89"/>
      <c r="CI351" s="89"/>
      <c r="CJ351" s="89"/>
      <c r="CK351" s="89"/>
      <c r="CL351" s="89"/>
      <c r="CM351" s="89"/>
      <c r="CN351" s="89"/>
      <c r="CO351" s="98"/>
      <c r="CP351" s="98"/>
      <c r="CQ351" s="98"/>
      <c r="CR351" s="98"/>
      <c r="CS351" s="98"/>
      <c r="CT351" s="98"/>
      <c r="CU351" s="98"/>
      <c r="CV351" s="98"/>
      <c r="CW351" s="98"/>
      <c r="CX351" s="98"/>
      <c r="CY351" s="1247"/>
      <c r="CZ351" s="1247"/>
      <c r="DA351" s="1247"/>
      <c r="DB351" s="98"/>
      <c r="DC351" s="2925"/>
      <c r="DD351" s="98"/>
      <c r="DE351" s="98"/>
      <c r="DF351" s="98"/>
      <c r="DG351" s="98"/>
      <c r="DH351" s="98"/>
      <c r="DI351" s="98"/>
      <c r="DJ351" s="98"/>
      <c r="DK351" s="98"/>
      <c r="DL351" s="98"/>
      <c r="DM351" s="98"/>
      <c r="DN351" s="98"/>
      <c r="DO351" s="98"/>
      <c r="DP351" s="98"/>
      <c r="DQ351" s="98"/>
      <c r="DR351" s="98"/>
    </row>
    <row r="352" spans="1:122" ht="12.75" customHeight="1">
      <c r="A352" s="3217" t="s">
        <v>1526</v>
      </c>
      <c r="B352" s="3218"/>
      <c r="C352" s="3219"/>
      <c r="D352" s="3219"/>
      <c r="E352" s="2937"/>
      <c r="F352" s="3219"/>
      <c r="G352" s="3219"/>
      <c r="H352" s="2937"/>
      <c r="I352" s="3220"/>
      <c r="J352" s="3221"/>
      <c r="K352" s="3221"/>
      <c r="L352" s="3221"/>
      <c r="M352" s="3221"/>
      <c r="N352" s="3222"/>
      <c r="O352" s="3223"/>
      <c r="P352" s="3221"/>
      <c r="Q352" s="3221"/>
      <c r="R352" s="3222"/>
      <c r="S352" s="3222"/>
      <c r="T352" s="3222"/>
      <c r="U352" s="3222"/>
      <c r="V352" s="3222"/>
      <c r="W352" s="3540"/>
      <c r="X352" s="3540"/>
      <c r="Y352" s="3540"/>
      <c r="Z352" s="2922">
        <v>587</v>
      </c>
      <c r="AA352" s="2922">
        <v>587</v>
      </c>
      <c r="AB352" s="2923"/>
      <c r="AC352" s="2923">
        <f t="shared" si="507"/>
        <v>587</v>
      </c>
      <c r="AD352" s="2923">
        <f t="shared" si="510"/>
        <v>587</v>
      </c>
      <c r="AE352" s="2923">
        <f t="shared" si="510"/>
        <v>587</v>
      </c>
      <c r="AF352" s="2923">
        <f t="shared" si="510"/>
        <v>587</v>
      </c>
      <c r="AG352" s="2923">
        <f t="shared" si="510"/>
        <v>587</v>
      </c>
      <c r="AH352" s="2923">
        <f t="shared" si="510"/>
        <v>587</v>
      </c>
      <c r="AI352" s="2923">
        <f t="shared" si="510"/>
        <v>587</v>
      </c>
      <c r="AJ352" s="1368">
        <f t="shared" si="510"/>
        <v>587</v>
      </c>
      <c r="AK352" s="1368">
        <f t="shared" si="510"/>
        <v>587</v>
      </c>
      <c r="AL352" s="1368">
        <f t="shared" si="510"/>
        <v>587</v>
      </c>
      <c r="AM352" s="1368">
        <f t="shared" si="510"/>
        <v>587</v>
      </c>
      <c r="AN352" s="1368">
        <f t="shared" si="510"/>
        <v>587</v>
      </c>
      <c r="AO352" s="1535"/>
      <c r="AP352" s="1535"/>
      <c r="AQ352" s="1535"/>
      <c r="AR352" s="1535"/>
      <c r="AS352" s="1535"/>
      <c r="AT352" s="1534"/>
      <c r="AU352" s="95"/>
      <c r="AV352" s="39"/>
      <c r="AW352" s="89"/>
      <c r="AX352" s="89"/>
      <c r="AY352" s="89"/>
      <c r="AZ352" s="89"/>
      <c r="BA352" s="89"/>
      <c r="BB352" s="89"/>
      <c r="BC352" s="89"/>
      <c r="BD352" s="89"/>
      <c r="BE352" s="89"/>
      <c r="BF352" s="89"/>
      <c r="BG352" s="89"/>
      <c r="BH352" s="98"/>
      <c r="BI352" s="89"/>
      <c r="BJ352" s="89"/>
      <c r="BK352" s="89"/>
      <c r="BL352" s="89"/>
      <c r="BM352" s="89"/>
      <c r="BN352" s="89"/>
      <c r="BO352" s="89"/>
      <c r="BP352" s="89"/>
      <c r="BQ352" s="89"/>
      <c r="BR352" s="89"/>
      <c r="BS352" s="89"/>
      <c r="BT352" s="89"/>
      <c r="BU352" s="89"/>
      <c r="BV352" s="89"/>
      <c r="BW352" s="89"/>
      <c r="BX352" s="89"/>
      <c r="BY352" s="89"/>
      <c r="BZ352" s="89"/>
      <c r="CA352" s="89"/>
      <c r="CB352" s="89"/>
      <c r="CC352" s="89"/>
      <c r="CD352" s="89"/>
      <c r="CE352" s="89"/>
      <c r="CF352" s="89"/>
      <c r="CG352" s="89"/>
      <c r="CH352" s="89"/>
      <c r="CI352" s="89"/>
      <c r="CJ352" s="89"/>
      <c r="CK352" s="89"/>
      <c r="CL352" s="89"/>
      <c r="CM352" s="89"/>
      <c r="CN352" s="89"/>
      <c r="CO352" s="98"/>
      <c r="CP352" s="98"/>
      <c r="CQ352" s="98"/>
      <c r="CR352" s="98"/>
      <c r="CS352" s="98"/>
      <c r="CT352" s="98"/>
      <c r="CU352" s="98"/>
      <c r="CV352" s="98"/>
      <c r="CW352" s="98"/>
      <c r="CX352" s="98"/>
      <c r="CY352" s="1247"/>
      <c r="CZ352" s="1247"/>
      <c r="DA352" s="1247"/>
      <c r="DB352" s="98"/>
      <c r="DC352" s="2925"/>
      <c r="DD352" s="98"/>
      <c r="DE352" s="98"/>
      <c r="DF352" s="98"/>
      <c r="DG352" s="98"/>
      <c r="DH352" s="98"/>
      <c r="DI352" s="98"/>
      <c r="DJ352" s="98"/>
      <c r="DK352" s="98"/>
      <c r="DL352" s="98"/>
      <c r="DM352" s="98"/>
      <c r="DN352" s="98"/>
      <c r="DO352" s="98"/>
      <c r="DP352" s="98"/>
      <c r="DQ352" s="98"/>
      <c r="DR352" s="98"/>
    </row>
    <row r="353" spans="1:122" ht="12.75" customHeight="1">
      <c r="A353" s="3217" t="s">
        <v>1550</v>
      </c>
      <c r="B353" s="3218"/>
      <c r="C353" s="3219"/>
      <c r="D353" s="3219"/>
      <c r="E353" s="2937"/>
      <c r="F353" s="3219"/>
      <c r="G353" s="3219"/>
      <c r="H353" s="2937"/>
      <c r="I353" s="3220"/>
      <c r="J353" s="3221"/>
      <c r="K353" s="3221"/>
      <c r="L353" s="3221"/>
      <c r="M353" s="3221"/>
      <c r="N353" s="3222"/>
      <c r="O353" s="3223"/>
      <c r="P353" s="3221"/>
      <c r="Q353" s="3221"/>
      <c r="R353" s="3222"/>
      <c r="S353" s="3222"/>
      <c r="T353" s="3222"/>
      <c r="U353" s="3222"/>
      <c r="V353" s="3222"/>
      <c r="W353" s="3224"/>
      <c r="X353" s="3224"/>
      <c r="Y353" s="3224"/>
      <c r="Z353" s="2922">
        <v>781</v>
      </c>
      <c r="AA353" s="2922">
        <v>783</v>
      </c>
      <c r="AB353" s="2923"/>
      <c r="AC353" s="2923">
        <f t="shared" si="507"/>
        <v>783</v>
      </c>
      <c r="AD353" s="2923">
        <f t="shared" si="510"/>
        <v>783</v>
      </c>
      <c r="AE353" s="2923">
        <f t="shared" si="510"/>
        <v>783</v>
      </c>
      <c r="AF353" s="2923">
        <f t="shared" si="510"/>
        <v>783</v>
      </c>
      <c r="AG353" s="2923">
        <f t="shared" si="510"/>
        <v>783</v>
      </c>
      <c r="AH353" s="2923">
        <f t="shared" si="510"/>
        <v>783</v>
      </c>
      <c r="AI353" s="2923">
        <f t="shared" si="510"/>
        <v>783</v>
      </c>
      <c r="AJ353" s="1368">
        <f t="shared" si="510"/>
        <v>783</v>
      </c>
      <c r="AK353" s="1368">
        <f t="shared" si="510"/>
        <v>783</v>
      </c>
      <c r="AL353" s="1535">
        <v>0</v>
      </c>
      <c r="AM353" s="1535">
        <f t="shared" si="510"/>
        <v>0</v>
      </c>
      <c r="AN353" s="1535">
        <f t="shared" si="510"/>
        <v>0</v>
      </c>
      <c r="AO353" s="1535"/>
      <c r="AP353" s="1535"/>
      <c r="AQ353" s="1535"/>
      <c r="AR353" s="1535"/>
      <c r="AS353" s="1535"/>
      <c r="AT353" s="1534"/>
      <c r="AU353" s="95"/>
      <c r="AV353" s="39"/>
      <c r="AW353" s="89"/>
      <c r="AX353" s="89"/>
      <c r="AY353" s="89"/>
      <c r="AZ353" s="89"/>
      <c r="BA353" s="89"/>
      <c r="BB353" s="89"/>
      <c r="BC353" s="89"/>
      <c r="BD353" s="89"/>
      <c r="BE353" s="89"/>
      <c r="BF353" s="89"/>
      <c r="BG353" s="89"/>
      <c r="BH353" s="98"/>
      <c r="BI353" s="89"/>
      <c r="BJ353" s="89"/>
      <c r="BK353" s="89"/>
      <c r="BL353" s="89"/>
      <c r="BM353" s="89"/>
      <c r="BN353" s="89"/>
      <c r="BO353" s="89"/>
      <c r="BP353" s="89"/>
      <c r="BQ353" s="89"/>
      <c r="BR353" s="89"/>
      <c r="BS353" s="89"/>
      <c r="BT353" s="89"/>
      <c r="BU353" s="89"/>
      <c r="BV353" s="89"/>
      <c r="BW353" s="89"/>
      <c r="BX353" s="89"/>
      <c r="BY353" s="89"/>
      <c r="BZ353" s="89"/>
      <c r="CA353" s="89"/>
      <c r="CB353" s="89"/>
      <c r="CC353" s="89"/>
      <c r="CD353" s="89"/>
      <c r="CE353" s="89"/>
      <c r="CF353" s="89"/>
      <c r="CG353" s="89"/>
      <c r="CH353" s="89"/>
      <c r="CI353" s="89"/>
      <c r="CJ353" s="89"/>
      <c r="CK353" s="89"/>
      <c r="CL353" s="89"/>
      <c r="CM353" s="89"/>
      <c r="CN353" s="89"/>
      <c r="CO353" s="98"/>
      <c r="CP353" s="98"/>
      <c r="CQ353" s="98"/>
      <c r="CR353" s="98"/>
      <c r="CS353" s="98"/>
      <c r="CT353" s="98"/>
      <c r="CU353" s="98"/>
      <c r="CV353" s="98"/>
      <c r="CW353" s="98"/>
      <c r="CX353" s="98"/>
      <c r="CY353" s="1247"/>
      <c r="CZ353" s="1247"/>
      <c r="DA353" s="1247"/>
      <c r="DB353" s="98"/>
      <c r="DC353" s="2925"/>
      <c r="DD353" s="98"/>
      <c r="DE353" s="98"/>
      <c r="DF353" s="98"/>
      <c r="DG353" s="98"/>
      <c r="DH353" s="98"/>
      <c r="DI353" s="98"/>
      <c r="DJ353" s="98"/>
      <c r="DK353" s="98"/>
      <c r="DL353" s="98"/>
      <c r="DM353" s="98"/>
      <c r="DN353" s="98"/>
      <c r="DO353" s="98"/>
      <c r="DP353" s="98"/>
      <c r="DQ353" s="98"/>
      <c r="DR353" s="98"/>
    </row>
    <row r="354" spans="1:122" ht="12.75" customHeight="1">
      <c r="A354" s="3217" t="s">
        <v>1631</v>
      </c>
      <c r="B354" s="3218"/>
      <c r="C354" s="3219"/>
      <c r="D354" s="3219"/>
      <c r="E354" s="2937"/>
      <c r="F354" s="3219"/>
      <c r="G354" s="3219"/>
      <c r="H354" s="2937"/>
      <c r="I354" s="3220"/>
      <c r="J354" s="3221"/>
      <c r="K354" s="3221"/>
      <c r="L354" s="3221"/>
      <c r="M354" s="3221"/>
      <c r="N354" s="3222"/>
      <c r="O354" s="3223"/>
      <c r="P354" s="3221"/>
      <c r="Q354" s="3221"/>
      <c r="R354" s="3222"/>
      <c r="S354" s="3222"/>
      <c r="T354" s="3222"/>
      <c r="U354" s="3222"/>
      <c r="V354" s="3222"/>
      <c r="W354" s="3224"/>
      <c r="X354" s="3224"/>
      <c r="Y354" s="3224"/>
      <c r="Z354" s="2922"/>
      <c r="AA354" s="2922">
        <v>683</v>
      </c>
      <c r="AB354" s="2922"/>
      <c r="AC354" s="3054">
        <f t="shared" si="507"/>
        <v>683</v>
      </c>
      <c r="AD354" s="3054">
        <f t="shared" si="510"/>
        <v>683</v>
      </c>
      <c r="AE354" s="3054">
        <f t="shared" si="510"/>
        <v>683</v>
      </c>
      <c r="AF354" s="3054">
        <f t="shared" si="510"/>
        <v>683</v>
      </c>
      <c r="AG354" s="3054">
        <f t="shared" si="510"/>
        <v>683</v>
      </c>
      <c r="AH354" s="3054">
        <f t="shared" si="510"/>
        <v>683</v>
      </c>
      <c r="AI354" s="3054">
        <f t="shared" si="510"/>
        <v>683</v>
      </c>
      <c r="AJ354" s="2484">
        <f t="shared" si="510"/>
        <v>683</v>
      </c>
      <c r="AK354" s="2484">
        <f t="shared" si="510"/>
        <v>683</v>
      </c>
      <c r="AL354" s="2484">
        <f t="shared" si="510"/>
        <v>683</v>
      </c>
      <c r="AM354" s="1535">
        <v>0</v>
      </c>
      <c r="AN354" s="1535">
        <v>0</v>
      </c>
      <c r="AO354" s="1535"/>
      <c r="AP354" s="1535"/>
      <c r="AQ354" s="1535"/>
      <c r="AR354" s="1535"/>
      <c r="AS354" s="1535"/>
      <c r="AT354" s="1534"/>
      <c r="AU354" s="95"/>
      <c r="AV354" s="39"/>
      <c r="AW354" s="89"/>
      <c r="AX354" s="89"/>
      <c r="AY354" s="89"/>
      <c r="AZ354" s="89"/>
      <c r="BA354" s="89"/>
      <c r="BB354" s="89"/>
      <c r="BC354" s="89"/>
      <c r="BD354" s="89"/>
      <c r="BE354" s="89"/>
      <c r="BF354" s="89"/>
      <c r="BG354" s="89"/>
      <c r="BH354" s="98"/>
      <c r="BI354" s="89"/>
      <c r="BJ354" s="89"/>
      <c r="BK354" s="89"/>
      <c r="BL354" s="89"/>
      <c r="BM354" s="89"/>
      <c r="BN354" s="89"/>
      <c r="BO354" s="89"/>
      <c r="BP354" s="89"/>
      <c r="BQ354" s="89"/>
      <c r="BR354" s="89"/>
      <c r="BS354" s="89"/>
      <c r="BT354" s="89"/>
      <c r="BU354" s="89"/>
      <c r="BV354" s="89"/>
      <c r="BW354" s="89"/>
      <c r="BX354" s="89"/>
      <c r="BY354" s="89"/>
      <c r="BZ354" s="89"/>
      <c r="CA354" s="89"/>
      <c r="CB354" s="89"/>
      <c r="CC354" s="89"/>
      <c r="CD354" s="89"/>
      <c r="CE354" s="89"/>
      <c r="CF354" s="89"/>
      <c r="CG354" s="89"/>
      <c r="CH354" s="89"/>
      <c r="CI354" s="89"/>
      <c r="CJ354" s="89"/>
      <c r="CK354" s="89"/>
      <c r="CL354" s="89"/>
      <c r="CM354" s="89"/>
      <c r="CN354" s="89"/>
      <c r="CO354" s="98"/>
      <c r="CP354" s="98"/>
      <c r="CQ354" s="98"/>
      <c r="CR354" s="98"/>
      <c r="CS354" s="98"/>
      <c r="CT354" s="98"/>
      <c r="CU354" s="98"/>
      <c r="CV354" s="98"/>
      <c r="CW354" s="98"/>
      <c r="CX354" s="98"/>
      <c r="CY354" s="1247"/>
      <c r="CZ354" s="1247"/>
      <c r="DA354" s="1247"/>
      <c r="DB354" s="98"/>
      <c r="DC354" s="2925"/>
      <c r="DD354" s="98"/>
      <c r="DE354" s="98"/>
      <c r="DF354" s="98"/>
      <c r="DG354" s="98"/>
      <c r="DH354" s="98"/>
      <c r="DI354" s="98"/>
      <c r="DJ354" s="98"/>
      <c r="DK354" s="98"/>
      <c r="DL354" s="98"/>
      <c r="DM354" s="98"/>
      <c r="DN354" s="98"/>
      <c r="DO354" s="98"/>
      <c r="DP354" s="98"/>
      <c r="DQ354" s="98"/>
      <c r="DR354" s="98"/>
    </row>
    <row r="355" spans="1:122" ht="12.75" customHeight="1">
      <c r="A355" s="3217" t="s">
        <v>1787</v>
      </c>
      <c r="B355" s="3218"/>
      <c r="C355" s="3219"/>
      <c r="D355" s="3219"/>
      <c r="E355" s="2937"/>
      <c r="F355" s="3219"/>
      <c r="G355" s="3219"/>
      <c r="H355" s="2937"/>
      <c r="I355" s="3220"/>
      <c r="J355" s="3221"/>
      <c r="K355" s="3221"/>
      <c r="L355" s="3221"/>
      <c r="M355" s="3221"/>
      <c r="N355" s="3222"/>
      <c r="O355" s="3223"/>
      <c r="P355" s="3221"/>
      <c r="Q355" s="3221"/>
      <c r="R355" s="3222"/>
      <c r="S355" s="3222"/>
      <c r="T355" s="3222"/>
      <c r="U355" s="3222"/>
      <c r="V355" s="3222"/>
      <c r="W355" s="3224"/>
      <c r="X355" s="3224"/>
      <c r="Y355" s="3224"/>
      <c r="Z355" s="2922"/>
      <c r="AA355" s="2922">
        <v>0</v>
      </c>
      <c r="AB355" s="2922"/>
      <c r="AC355" s="2922">
        <v>400</v>
      </c>
      <c r="AD355" s="2922">
        <f t="shared" si="510"/>
        <v>400</v>
      </c>
      <c r="AE355" s="2922">
        <f t="shared" si="510"/>
        <v>400</v>
      </c>
      <c r="AF355" s="2922">
        <f t="shared" si="510"/>
        <v>400</v>
      </c>
      <c r="AG355" s="2922">
        <f t="shared" si="510"/>
        <v>400</v>
      </c>
      <c r="AH355" s="2922">
        <f t="shared" si="510"/>
        <v>400</v>
      </c>
      <c r="AI355" s="2922">
        <v>0</v>
      </c>
      <c r="AJ355" s="1535">
        <f t="shared" ref="AJ355:AN355" si="511">+AI355</f>
        <v>0</v>
      </c>
      <c r="AK355" s="1535">
        <f t="shared" si="511"/>
        <v>0</v>
      </c>
      <c r="AL355" s="1535">
        <f t="shared" si="511"/>
        <v>0</v>
      </c>
      <c r="AM355" s="1535">
        <f t="shared" si="511"/>
        <v>0</v>
      </c>
      <c r="AN355" s="1535">
        <f t="shared" si="511"/>
        <v>0</v>
      </c>
      <c r="AO355" s="1535"/>
      <c r="AP355" s="1535"/>
      <c r="AQ355" s="1535"/>
      <c r="AR355" s="1535"/>
      <c r="AS355" s="1535"/>
      <c r="AT355" s="1534"/>
      <c r="AU355" s="1690"/>
      <c r="AV355" s="1110"/>
      <c r="AW355" s="1689"/>
      <c r="AX355" s="1689"/>
      <c r="AY355" s="1689"/>
      <c r="AZ355" s="1689"/>
      <c r="BA355" s="1689"/>
      <c r="BB355" s="1689"/>
      <c r="BC355" s="1689"/>
      <c r="BD355" s="1689"/>
      <c r="BE355" s="1689"/>
      <c r="BF355" s="1689"/>
      <c r="BG355" s="1689"/>
      <c r="BH355" s="1689"/>
      <c r="BI355" s="1689"/>
      <c r="BJ355" s="1689"/>
      <c r="BK355" s="1689"/>
      <c r="BL355" s="1689"/>
      <c r="BM355" s="1689"/>
      <c r="BN355" s="1689"/>
      <c r="BO355" s="1689"/>
      <c r="BP355" s="1689"/>
      <c r="BQ355" s="1689"/>
      <c r="BR355" s="1689"/>
      <c r="BS355" s="1689"/>
      <c r="BT355" s="1689"/>
      <c r="BU355" s="1689"/>
      <c r="BV355" s="1689"/>
      <c r="BW355" s="1689"/>
      <c r="BX355" s="1689"/>
      <c r="BY355" s="1689"/>
      <c r="BZ355" s="1689"/>
      <c r="CA355" s="1689"/>
      <c r="CB355" s="1689"/>
      <c r="CC355" s="1689"/>
      <c r="CD355" s="1689"/>
      <c r="CE355" s="1689"/>
      <c r="CF355" s="1689"/>
      <c r="CG355" s="1689"/>
      <c r="CH355" s="1689"/>
      <c r="CI355" s="1689"/>
      <c r="CJ355" s="1689"/>
      <c r="CK355" s="1689"/>
      <c r="CL355" s="1689"/>
      <c r="CM355" s="1689"/>
      <c r="CN355" s="1689"/>
      <c r="CO355" s="1689"/>
      <c r="CP355" s="1689"/>
      <c r="CQ355" s="1689"/>
      <c r="CR355" s="1689"/>
      <c r="CS355" s="1689"/>
      <c r="CT355" s="1689"/>
      <c r="CU355" s="1689"/>
      <c r="CV355" s="1689"/>
      <c r="CW355" s="1689"/>
      <c r="CX355" s="1689"/>
      <c r="CY355" s="1601"/>
      <c r="CZ355" s="1601"/>
      <c r="DA355" s="1601"/>
      <c r="DB355" s="1689"/>
      <c r="DC355" s="2925"/>
      <c r="DD355" s="1689"/>
      <c r="DE355" s="1689"/>
      <c r="DF355" s="1689"/>
      <c r="DG355" s="1689"/>
      <c r="DH355" s="1689"/>
      <c r="DI355" s="1689"/>
      <c r="DJ355" s="1689"/>
      <c r="DK355" s="1689"/>
      <c r="DL355" s="1689"/>
      <c r="DM355" s="1689"/>
      <c r="DN355" s="1689"/>
      <c r="DO355" s="1689"/>
      <c r="DP355" s="1689"/>
      <c r="DQ355" s="1689"/>
      <c r="DR355" s="1689"/>
    </row>
    <row r="356" spans="1:122" ht="12.75" customHeight="1">
      <c r="A356" s="3225" t="s">
        <v>1788</v>
      </c>
      <c r="B356" s="2990"/>
      <c r="C356" s="3226"/>
      <c r="D356" s="3226"/>
      <c r="E356" s="2862"/>
      <c r="F356" s="3226"/>
      <c r="G356" s="3226"/>
      <c r="H356" s="2862"/>
      <c r="I356" s="3227"/>
      <c r="J356" s="2923"/>
      <c r="K356" s="2923"/>
      <c r="L356" s="2923"/>
      <c r="M356" s="2923"/>
      <c r="N356" s="2922"/>
      <c r="O356" s="3182"/>
      <c r="P356" s="2923"/>
      <c r="Q356" s="2923"/>
      <c r="R356" s="2922">
        <v>0</v>
      </c>
      <c r="S356" s="2922">
        <v>0</v>
      </c>
      <c r="T356" s="2922">
        <v>0</v>
      </c>
      <c r="U356" s="2922">
        <v>0</v>
      </c>
      <c r="V356" s="2922">
        <v>0</v>
      </c>
      <c r="W356" s="2922">
        <v>0</v>
      </c>
      <c r="X356" s="2922"/>
      <c r="Y356" s="2922"/>
      <c r="Z356" s="2922"/>
      <c r="AA356" s="2922">
        <v>0</v>
      </c>
      <c r="AB356" s="2922"/>
      <c r="AC356" s="2922">
        <v>500</v>
      </c>
      <c r="AD356" s="2922">
        <f t="shared" ref="AD356:AM359" si="512">AC356</f>
        <v>500</v>
      </c>
      <c r="AE356" s="2922">
        <f t="shared" si="512"/>
        <v>500</v>
      </c>
      <c r="AF356" s="2922">
        <f t="shared" si="512"/>
        <v>500</v>
      </c>
      <c r="AG356" s="2922">
        <f t="shared" si="512"/>
        <v>500</v>
      </c>
      <c r="AH356" s="2922">
        <f t="shared" si="512"/>
        <v>500</v>
      </c>
      <c r="AI356" s="2922">
        <f t="shared" si="512"/>
        <v>500</v>
      </c>
      <c r="AJ356" s="1535">
        <f t="shared" si="512"/>
        <v>500</v>
      </c>
      <c r="AK356" s="1535">
        <f t="shared" si="512"/>
        <v>500</v>
      </c>
      <c r="AL356" s="1535">
        <f t="shared" si="512"/>
        <v>500</v>
      </c>
      <c r="AM356" s="1535">
        <f t="shared" si="512"/>
        <v>500</v>
      </c>
      <c r="AN356" s="1535">
        <v>0</v>
      </c>
      <c r="AO356" s="1535"/>
      <c r="AP356" s="1535"/>
      <c r="AQ356" s="1535"/>
      <c r="AR356" s="1535"/>
      <c r="AS356" s="1535"/>
      <c r="AT356" s="1534"/>
      <c r="AU356" s="1690"/>
      <c r="AV356" s="1110"/>
      <c r="AW356" s="1689"/>
      <c r="AX356" s="1689"/>
      <c r="AY356" s="1689"/>
      <c r="AZ356" s="1689"/>
      <c r="BA356" s="1689"/>
      <c r="BB356" s="1689"/>
      <c r="BC356" s="1689"/>
      <c r="BD356" s="1689"/>
      <c r="BE356" s="1689"/>
      <c r="BF356" s="1689"/>
      <c r="BG356" s="1689"/>
      <c r="BH356" s="1689"/>
      <c r="BI356" s="1689"/>
      <c r="BJ356" s="1689"/>
      <c r="BK356" s="1689"/>
      <c r="BL356" s="1689"/>
      <c r="BM356" s="1689"/>
      <c r="BN356" s="1689"/>
      <c r="BO356" s="1689"/>
      <c r="BP356" s="1689"/>
      <c r="BQ356" s="1689"/>
      <c r="BR356" s="1689"/>
      <c r="BS356" s="1689"/>
      <c r="BT356" s="1689"/>
      <c r="BU356" s="1689"/>
      <c r="BV356" s="1689"/>
      <c r="BW356" s="1689"/>
      <c r="BX356" s="1689"/>
      <c r="BY356" s="1689"/>
      <c r="BZ356" s="1689"/>
      <c r="CA356" s="1689"/>
      <c r="CB356" s="1689"/>
      <c r="CC356" s="1689"/>
      <c r="CD356" s="1689"/>
      <c r="CE356" s="1689"/>
      <c r="CF356" s="1689"/>
      <c r="CG356" s="1689"/>
      <c r="CH356" s="1689"/>
      <c r="CI356" s="1689"/>
      <c r="CJ356" s="1689"/>
      <c r="CK356" s="1689"/>
      <c r="CL356" s="1689"/>
      <c r="CM356" s="1689"/>
      <c r="CN356" s="1689"/>
      <c r="CO356" s="1689"/>
      <c r="CP356" s="1689"/>
      <c r="CQ356" s="1689"/>
      <c r="CR356" s="1689"/>
      <c r="CS356" s="1689"/>
      <c r="CT356" s="1689"/>
      <c r="CU356" s="1689"/>
      <c r="CV356" s="1689"/>
      <c r="CW356" s="1689"/>
      <c r="CX356" s="1689"/>
      <c r="CY356" s="1601"/>
      <c r="CZ356" s="1601"/>
      <c r="DA356" s="1601"/>
      <c r="DB356" s="1689"/>
      <c r="DC356" s="2925"/>
      <c r="DD356" s="1689"/>
      <c r="DE356" s="1689"/>
      <c r="DF356" s="1689"/>
      <c r="DG356" s="1689"/>
      <c r="DH356" s="1689"/>
      <c r="DI356" s="1689"/>
      <c r="DJ356" s="1689"/>
      <c r="DK356" s="1689"/>
      <c r="DL356" s="1689"/>
      <c r="DM356" s="1689"/>
      <c r="DN356" s="1689"/>
      <c r="DO356" s="1689"/>
      <c r="DP356" s="1689"/>
      <c r="DQ356" s="1689"/>
      <c r="DR356" s="1689"/>
    </row>
    <row r="357" spans="1:122" ht="12.75" customHeight="1">
      <c r="A357" s="3225" t="s">
        <v>1811</v>
      </c>
      <c r="B357" s="2990"/>
      <c r="C357" s="3226"/>
      <c r="D357" s="3226"/>
      <c r="E357" s="2862"/>
      <c r="F357" s="3226"/>
      <c r="G357" s="3226"/>
      <c r="H357" s="2862"/>
      <c r="I357" s="3227"/>
      <c r="J357" s="2923"/>
      <c r="K357" s="2923"/>
      <c r="L357" s="2923"/>
      <c r="M357" s="2923"/>
      <c r="N357" s="2922"/>
      <c r="O357" s="3182"/>
      <c r="P357" s="2923"/>
      <c r="Q357" s="2923"/>
      <c r="R357" s="2922"/>
      <c r="S357" s="2922"/>
      <c r="T357" s="2922"/>
      <c r="U357" s="2922"/>
      <c r="V357" s="2922"/>
      <c r="W357" s="2922"/>
      <c r="X357" s="2922"/>
      <c r="Y357" s="2922"/>
      <c r="Z357" s="2922"/>
      <c r="AA357" s="2922">
        <v>0</v>
      </c>
      <c r="AB357" s="2922"/>
      <c r="AC357" s="2922">
        <v>400</v>
      </c>
      <c r="AD357" s="2922">
        <f>AC357</f>
        <v>400</v>
      </c>
      <c r="AE357" s="2922">
        <f t="shared" si="512"/>
        <v>400</v>
      </c>
      <c r="AF357" s="2922">
        <f t="shared" si="512"/>
        <v>400</v>
      </c>
      <c r="AG357" s="2922">
        <f t="shared" si="512"/>
        <v>400</v>
      </c>
      <c r="AH357" s="2922">
        <f t="shared" si="512"/>
        <v>400</v>
      </c>
      <c r="AI357" s="2922">
        <v>0</v>
      </c>
      <c r="AJ357" s="1535">
        <f t="shared" si="512"/>
        <v>0</v>
      </c>
      <c r="AK357" s="1535">
        <f t="shared" si="512"/>
        <v>0</v>
      </c>
      <c r="AL357" s="1535">
        <f t="shared" ref="AL357:AL359" si="513">AK357</f>
        <v>0</v>
      </c>
      <c r="AM357" s="1535">
        <f t="shared" ref="AM357:AM359" si="514">AL357</f>
        <v>0</v>
      </c>
      <c r="AN357" s="1535">
        <f t="shared" ref="AN357:AN359" si="515">AM357</f>
        <v>0</v>
      </c>
      <c r="AO357" s="1535"/>
      <c r="AP357" s="1535"/>
      <c r="AQ357" s="1535"/>
      <c r="AR357" s="1535"/>
      <c r="AS357" s="1535"/>
      <c r="AT357" s="1534"/>
      <c r="AU357" s="1690"/>
      <c r="AV357" s="1110"/>
      <c r="AW357" s="1689"/>
      <c r="AX357" s="1689"/>
      <c r="AY357" s="1689"/>
      <c r="AZ357" s="1689"/>
      <c r="BA357" s="1689"/>
      <c r="BB357" s="1689"/>
      <c r="BC357" s="1689"/>
      <c r="BD357" s="1689"/>
      <c r="BE357" s="1689"/>
      <c r="BF357" s="1689"/>
      <c r="BG357" s="1689"/>
      <c r="BH357" s="1689"/>
      <c r="BI357" s="1689"/>
      <c r="BJ357" s="1689"/>
      <c r="BK357" s="1689"/>
      <c r="BL357" s="1689"/>
      <c r="BM357" s="1689"/>
      <c r="BN357" s="1689"/>
      <c r="BO357" s="1689"/>
      <c r="BP357" s="1689"/>
      <c r="BQ357" s="1689"/>
      <c r="BR357" s="1689"/>
      <c r="BS357" s="1689"/>
      <c r="BT357" s="1689"/>
      <c r="BU357" s="1689"/>
      <c r="BV357" s="1689"/>
      <c r="BW357" s="1689"/>
      <c r="BX357" s="1689"/>
      <c r="BY357" s="1689"/>
      <c r="BZ357" s="1689"/>
      <c r="CA357" s="1689"/>
      <c r="CB357" s="1689"/>
      <c r="CC357" s="1689"/>
      <c r="CD357" s="1689"/>
      <c r="CE357" s="1689"/>
      <c r="CF357" s="1689"/>
      <c r="CG357" s="1689"/>
      <c r="CH357" s="1689"/>
      <c r="CI357" s="1689"/>
      <c r="CJ357" s="1689"/>
      <c r="CK357" s="1689"/>
      <c r="CL357" s="1689"/>
      <c r="CM357" s="1689"/>
      <c r="CN357" s="1689"/>
      <c r="CO357" s="1689"/>
      <c r="CP357" s="1689"/>
      <c r="CQ357" s="1689"/>
      <c r="CR357" s="1689"/>
      <c r="CS357" s="1689"/>
      <c r="CT357" s="1689"/>
      <c r="CU357" s="1689"/>
      <c r="CV357" s="1689"/>
      <c r="CW357" s="1689"/>
      <c r="CX357" s="1689"/>
      <c r="CY357" s="1601"/>
      <c r="CZ357" s="1601"/>
      <c r="DA357" s="1601"/>
      <c r="DB357" s="1689"/>
      <c r="DC357" s="2925"/>
      <c r="DD357" s="1689"/>
      <c r="DE357" s="1689"/>
      <c r="DF357" s="1689"/>
      <c r="DG357" s="1689"/>
      <c r="DH357" s="1689"/>
      <c r="DI357" s="1689"/>
      <c r="DJ357" s="1689"/>
      <c r="DK357" s="1689"/>
      <c r="DL357" s="1689"/>
      <c r="DM357" s="1689"/>
      <c r="DN357" s="1689"/>
      <c r="DO357" s="1689"/>
      <c r="DP357" s="1689"/>
      <c r="DQ357" s="1689"/>
      <c r="DR357" s="1689"/>
    </row>
    <row r="358" spans="1:122" ht="12.75" customHeight="1">
      <c r="A358" s="3225" t="s">
        <v>1812</v>
      </c>
      <c r="B358" s="2990"/>
      <c r="C358" s="3226"/>
      <c r="D358" s="3226"/>
      <c r="E358" s="2862"/>
      <c r="F358" s="3226"/>
      <c r="G358" s="3226"/>
      <c r="H358" s="2862"/>
      <c r="I358" s="3227"/>
      <c r="J358" s="2923"/>
      <c r="K358" s="2923"/>
      <c r="L358" s="2923"/>
      <c r="M358" s="2923"/>
      <c r="N358" s="2922"/>
      <c r="O358" s="3182"/>
      <c r="P358" s="2923"/>
      <c r="Q358" s="2923"/>
      <c r="R358" s="2922"/>
      <c r="S358" s="2922"/>
      <c r="T358" s="2922"/>
      <c r="U358" s="2922"/>
      <c r="V358" s="2922"/>
      <c r="W358" s="2922"/>
      <c r="X358" s="2922"/>
      <c r="Y358" s="2922"/>
      <c r="Z358" s="2922"/>
      <c r="AA358" s="2922">
        <v>0</v>
      </c>
      <c r="AB358" s="2922"/>
      <c r="AC358" s="2922">
        <v>500</v>
      </c>
      <c r="AD358" s="2922">
        <f>AC358</f>
        <v>500</v>
      </c>
      <c r="AE358" s="2922">
        <f t="shared" si="512"/>
        <v>500</v>
      </c>
      <c r="AF358" s="2922">
        <f t="shared" si="512"/>
        <v>500</v>
      </c>
      <c r="AG358" s="2922">
        <f t="shared" si="512"/>
        <v>500</v>
      </c>
      <c r="AH358" s="2922">
        <f t="shared" si="512"/>
        <v>500</v>
      </c>
      <c r="AI358" s="2922">
        <f t="shared" si="512"/>
        <v>500</v>
      </c>
      <c r="AJ358" s="2922">
        <f t="shared" si="512"/>
        <v>500</v>
      </c>
      <c r="AK358" s="2922">
        <f t="shared" si="512"/>
        <v>500</v>
      </c>
      <c r="AL358" s="2922">
        <f t="shared" si="513"/>
        <v>500</v>
      </c>
      <c r="AM358" s="2922">
        <f t="shared" si="514"/>
        <v>500</v>
      </c>
      <c r="AN358" s="2922">
        <v>0</v>
      </c>
      <c r="AO358" s="1535"/>
      <c r="AP358" s="1535"/>
      <c r="AQ358" s="1535"/>
      <c r="AR358" s="1535"/>
      <c r="AS358" s="1535"/>
      <c r="AT358" s="1534"/>
      <c r="AU358" s="1690"/>
      <c r="AV358" s="1110"/>
      <c r="AW358" s="1689"/>
      <c r="AX358" s="1689"/>
      <c r="AY358" s="1689"/>
      <c r="AZ358" s="1689"/>
      <c r="BA358" s="1689"/>
      <c r="BB358" s="1689"/>
      <c r="BC358" s="1689"/>
      <c r="BD358" s="1689"/>
      <c r="BE358" s="1689"/>
      <c r="BF358" s="1689"/>
      <c r="BG358" s="1689"/>
      <c r="BH358" s="1689"/>
      <c r="BI358" s="1689"/>
      <c r="BJ358" s="1689"/>
      <c r="BK358" s="1689"/>
      <c r="BL358" s="1689"/>
      <c r="BM358" s="1689"/>
      <c r="BN358" s="1689"/>
      <c r="BO358" s="1689"/>
      <c r="BP358" s="1689"/>
      <c r="BQ358" s="1689"/>
      <c r="BR358" s="1689"/>
      <c r="BS358" s="1689"/>
      <c r="BT358" s="1689"/>
      <c r="BU358" s="1689"/>
      <c r="BV358" s="1689"/>
      <c r="BW358" s="1689"/>
      <c r="BX358" s="1689"/>
      <c r="BY358" s="1689"/>
      <c r="BZ358" s="1689"/>
      <c r="CA358" s="1689"/>
      <c r="CB358" s="1689"/>
      <c r="CC358" s="1689"/>
      <c r="CD358" s="1689"/>
      <c r="CE358" s="1689"/>
      <c r="CF358" s="1689"/>
      <c r="CG358" s="1689"/>
      <c r="CH358" s="1689"/>
      <c r="CI358" s="1689"/>
      <c r="CJ358" s="1689"/>
      <c r="CK358" s="1689"/>
      <c r="CL358" s="1689"/>
      <c r="CM358" s="1689"/>
      <c r="CN358" s="1689"/>
      <c r="CO358" s="1689"/>
      <c r="CP358" s="1689"/>
      <c r="CQ358" s="1689"/>
      <c r="CR358" s="1689"/>
      <c r="CS358" s="1689"/>
      <c r="CT358" s="1689"/>
      <c r="CU358" s="1689"/>
      <c r="CV358" s="1689"/>
      <c r="CW358" s="1689"/>
      <c r="CX358" s="1689"/>
      <c r="CY358" s="1601"/>
      <c r="CZ358" s="1601"/>
      <c r="DA358" s="1601"/>
      <c r="DB358" s="1689"/>
      <c r="DC358" s="2925"/>
      <c r="DD358" s="1689"/>
      <c r="DE358" s="1689"/>
      <c r="DF358" s="1689"/>
      <c r="DG358" s="1689"/>
      <c r="DH358" s="1689"/>
      <c r="DI358" s="1689"/>
      <c r="DJ358" s="1689"/>
      <c r="DK358" s="1689"/>
      <c r="DL358" s="1689"/>
      <c r="DM358" s="1689"/>
      <c r="DN358" s="1689"/>
      <c r="DO358" s="1689"/>
      <c r="DP358" s="1689"/>
      <c r="DQ358" s="1689"/>
      <c r="DR358" s="1689"/>
    </row>
    <row r="359" spans="1:122" ht="12.75" customHeight="1">
      <c r="A359" s="3225" t="s">
        <v>163</v>
      </c>
      <c r="B359" s="2990"/>
      <c r="C359" s="3226"/>
      <c r="D359" s="3226"/>
      <c r="E359" s="2862"/>
      <c r="F359" s="3226"/>
      <c r="G359" s="3226"/>
      <c r="H359" s="2862"/>
      <c r="I359" s="3227"/>
      <c r="J359" s="2923"/>
      <c r="K359" s="2923"/>
      <c r="L359" s="2923"/>
      <c r="M359" s="2923"/>
      <c r="N359" s="2922"/>
      <c r="O359" s="3182"/>
      <c r="P359" s="2923"/>
      <c r="Q359" s="2923"/>
      <c r="R359" s="2922"/>
      <c r="S359" s="2922"/>
      <c r="T359" s="2922"/>
      <c r="U359" s="2922"/>
      <c r="V359" s="2922"/>
      <c r="W359" s="2922"/>
      <c r="X359" s="2922"/>
      <c r="Y359" s="2922"/>
      <c r="Z359" s="2922"/>
      <c r="AA359" s="2922">
        <v>0</v>
      </c>
      <c r="AB359" s="2922"/>
      <c r="AC359" s="2922">
        <v>0</v>
      </c>
      <c r="AD359" s="2922">
        <f>AC359</f>
        <v>0</v>
      </c>
      <c r="AE359" s="2922">
        <f t="shared" si="512"/>
        <v>0</v>
      </c>
      <c r="AF359" s="2922">
        <f t="shared" si="512"/>
        <v>0</v>
      </c>
      <c r="AG359" s="2922">
        <f t="shared" si="512"/>
        <v>0</v>
      </c>
      <c r="AH359" s="2922">
        <f t="shared" si="512"/>
        <v>0</v>
      </c>
      <c r="AI359" s="2922">
        <f t="shared" si="512"/>
        <v>0</v>
      </c>
      <c r="AJ359" s="2922">
        <f t="shared" si="512"/>
        <v>0</v>
      </c>
      <c r="AK359" s="2922">
        <f t="shared" si="512"/>
        <v>0</v>
      </c>
      <c r="AL359" s="2922">
        <f t="shared" si="513"/>
        <v>0</v>
      </c>
      <c r="AM359" s="2922">
        <f t="shared" si="514"/>
        <v>0</v>
      </c>
      <c r="AN359" s="2922">
        <f t="shared" si="515"/>
        <v>0</v>
      </c>
      <c r="AO359" s="1535"/>
      <c r="AP359" s="1535"/>
      <c r="AQ359" s="1535"/>
      <c r="AR359" s="1535"/>
      <c r="AS359" s="1535"/>
      <c r="AT359" s="1534"/>
      <c r="AU359" s="1690"/>
      <c r="AV359" s="1110"/>
      <c r="AW359" s="1689"/>
      <c r="AX359" s="1689"/>
      <c r="AY359" s="1689"/>
      <c r="AZ359" s="1689"/>
      <c r="BA359" s="1689"/>
      <c r="BB359" s="1689"/>
      <c r="BC359" s="1689"/>
      <c r="BD359" s="1689"/>
      <c r="BE359" s="1689"/>
      <c r="BF359" s="1689"/>
      <c r="BG359" s="1689"/>
      <c r="BH359" s="1689"/>
      <c r="BI359" s="1689"/>
      <c r="BJ359" s="1689"/>
      <c r="BK359" s="1689"/>
      <c r="BL359" s="1689"/>
      <c r="BM359" s="1689"/>
      <c r="BN359" s="1689"/>
      <c r="BO359" s="1689"/>
      <c r="BP359" s="1689"/>
      <c r="BQ359" s="1689"/>
      <c r="BR359" s="1689"/>
      <c r="BS359" s="1689"/>
      <c r="BT359" s="1689"/>
      <c r="BU359" s="1689"/>
      <c r="BV359" s="1689"/>
      <c r="BW359" s="1689"/>
      <c r="BX359" s="1689"/>
      <c r="BY359" s="1689"/>
      <c r="BZ359" s="1689"/>
      <c r="CA359" s="1689"/>
      <c r="CB359" s="1689"/>
      <c r="CC359" s="1689"/>
      <c r="CD359" s="1689"/>
      <c r="CE359" s="1689"/>
      <c r="CF359" s="1689"/>
      <c r="CG359" s="1689"/>
      <c r="CH359" s="1689"/>
      <c r="CI359" s="1689"/>
      <c r="CJ359" s="1689"/>
      <c r="CK359" s="1689"/>
      <c r="CL359" s="1689"/>
      <c r="CM359" s="1689"/>
      <c r="CN359" s="1689"/>
      <c r="CO359" s="1689"/>
      <c r="CP359" s="1689"/>
      <c r="CQ359" s="1689"/>
      <c r="CR359" s="1689"/>
      <c r="CS359" s="1689"/>
      <c r="CT359" s="1689"/>
      <c r="CU359" s="1689"/>
      <c r="CV359" s="1689"/>
      <c r="CW359" s="1689"/>
      <c r="CX359" s="1689"/>
      <c r="CY359" s="1601"/>
      <c r="CZ359" s="1601"/>
      <c r="DA359" s="1601"/>
      <c r="DB359" s="1689"/>
      <c r="DC359" s="2925"/>
      <c r="DD359" s="1689"/>
      <c r="DE359" s="1689"/>
      <c r="DF359" s="1689"/>
      <c r="DG359" s="1689"/>
      <c r="DH359" s="1689"/>
      <c r="DI359" s="1689"/>
      <c r="DJ359" s="1689"/>
      <c r="DK359" s="1689"/>
      <c r="DL359" s="1689"/>
      <c r="DM359" s="1689"/>
      <c r="DN359" s="1689"/>
      <c r="DO359" s="1689"/>
      <c r="DP359" s="1689"/>
      <c r="DQ359" s="1689"/>
      <c r="DR359" s="1689"/>
    </row>
    <row r="360" spans="1:122" ht="12.75" customHeight="1">
      <c r="A360" s="2990" t="s">
        <v>163</v>
      </c>
      <c r="B360" s="2990"/>
      <c r="C360" s="3226"/>
      <c r="D360" s="3226"/>
      <c r="E360" s="2862"/>
      <c r="F360" s="3226"/>
      <c r="G360" s="3226"/>
      <c r="H360" s="2862"/>
      <c r="I360" s="3227"/>
      <c r="J360" s="2923">
        <f>J362-J361-SUM(J320:J342)</f>
        <v>17.899999999999636</v>
      </c>
      <c r="K360" s="2923">
        <f>K362-K361-SUM(K320:K342)</f>
        <v>1.0000000000009095</v>
      </c>
      <c r="L360" s="2923">
        <v>0.8</v>
      </c>
      <c r="M360" s="2923">
        <v>0.8</v>
      </c>
      <c r="N360" s="2922">
        <v>0.2</v>
      </c>
      <c r="O360" s="3182"/>
      <c r="P360" s="2923"/>
      <c r="Q360" s="2923"/>
      <c r="R360" s="2922">
        <v>0.7</v>
      </c>
      <c r="S360" s="2923">
        <f>R360</f>
        <v>0.7</v>
      </c>
      <c r="T360" s="2923">
        <f>S360</f>
        <v>0.7</v>
      </c>
      <c r="U360" s="2923">
        <f>T360</f>
        <v>0.7</v>
      </c>
      <c r="V360" s="2923">
        <f>U360</f>
        <v>0.7</v>
      </c>
      <c r="W360" s="2923">
        <v>0</v>
      </c>
      <c r="X360" s="2923"/>
      <c r="Y360" s="2923"/>
      <c r="Z360" s="2923">
        <f>W360</f>
        <v>0</v>
      </c>
      <c r="AA360" s="2923">
        <f>Z360</f>
        <v>0</v>
      </c>
      <c r="AB360" s="2922"/>
      <c r="AC360" s="2923">
        <f>AA360</f>
        <v>0</v>
      </c>
      <c r="AD360" s="2923">
        <f>AC360</f>
        <v>0</v>
      </c>
      <c r="AE360" s="2923">
        <f>AD360</f>
        <v>0</v>
      </c>
      <c r="AF360" s="2923">
        <f t="shared" ref="AF360:AN360" si="516">AE360</f>
        <v>0</v>
      </c>
      <c r="AG360" s="2923">
        <f t="shared" si="516"/>
        <v>0</v>
      </c>
      <c r="AH360" s="2923">
        <f t="shared" si="516"/>
        <v>0</v>
      </c>
      <c r="AI360" s="2923">
        <f t="shared" si="516"/>
        <v>0</v>
      </c>
      <c r="AJ360" s="1368">
        <f t="shared" si="516"/>
        <v>0</v>
      </c>
      <c r="AK360" s="1368">
        <f t="shared" si="516"/>
        <v>0</v>
      </c>
      <c r="AL360" s="1368">
        <f t="shared" si="516"/>
        <v>0</v>
      </c>
      <c r="AM360" s="1368">
        <f t="shared" si="516"/>
        <v>0</v>
      </c>
      <c r="AN360" s="1368">
        <f t="shared" si="516"/>
        <v>0</v>
      </c>
      <c r="AO360" s="1368"/>
      <c r="AP360" s="1368"/>
      <c r="AQ360" s="1368"/>
      <c r="AR360" s="1368"/>
      <c r="AS360" s="1368"/>
      <c r="AT360" s="1534"/>
      <c r="AU360" s="1690"/>
      <c r="AV360" s="1110"/>
      <c r="AW360" s="1689"/>
      <c r="AX360" s="1689"/>
      <c r="AY360" s="1689"/>
      <c r="AZ360" s="1689"/>
      <c r="BA360" s="1689"/>
      <c r="BB360" s="1689"/>
      <c r="BC360" s="1689"/>
      <c r="BD360" s="1689"/>
      <c r="BE360" s="1689"/>
      <c r="BF360" s="1689"/>
      <c r="BG360" s="1689"/>
      <c r="BH360" s="1689"/>
      <c r="BI360" s="1689"/>
      <c r="BJ360" s="1689"/>
      <c r="BK360" s="1689"/>
      <c r="BL360" s="1689"/>
      <c r="BM360" s="1689"/>
      <c r="BN360" s="1689"/>
      <c r="BO360" s="1689"/>
      <c r="BP360" s="1689"/>
      <c r="BQ360" s="1689"/>
      <c r="BR360" s="1689"/>
      <c r="BS360" s="1689"/>
      <c r="BT360" s="1689"/>
      <c r="BU360" s="1689"/>
      <c r="BV360" s="1689"/>
      <c r="BW360" s="1689"/>
      <c r="BX360" s="1689"/>
      <c r="BY360" s="1689"/>
      <c r="BZ360" s="1689"/>
      <c r="CA360" s="1689"/>
      <c r="CB360" s="1689"/>
      <c r="CC360" s="1689"/>
      <c r="CD360" s="1689"/>
      <c r="CE360" s="1689"/>
      <c r="CF360" s="1689"/>
      <c r="CG360" s="1689"/>
      <c r="CH360" s="1689"/>
      <c r="CI360" s="1689"/>
      <c r="CJ360" s="1689"/>
      <c r="CK360" s="1689"/>
      <c r="CL360" s="1689"/>
      <c r="CM360" s="1689"/>
      <c r="CN360" s="1689"/>
      <c r="CO360" s="1689"/>
      <c r="CP360" s="1689"/>
      <c r="CQ360" s="1689"/>
      <c r="CR360" s="1689"/>
      <c r="CS360" s="1689"/>
      <c r="CT360" s="1689"/>
      <c r="CU360" s="1689"/>
      <c r="CV360" s="1689"/>
      <c r="CW360" s="1689"/>
      <c r="CX360" s="1689"/>
      <c r="CY360" s="1601"/>
      <c r="CZ360" s="1601"/>
      <c r="DA360" s="1601"/>
      <c r="DB360" s="1689"/>
      <c r="DC360" s="2925"/>
      <c r="DD360" s="1689"/>
      <c r="DE360" s="1689"/>
      <c r="DF360" s="1689"/>
      <c r="DG360" s="1689"/>
      <c r="DH360" s="1689"/>
      <c r="DI360" s="1689"/>
      <c r="DJ360" s="1689"/>
      <c r="DK360" s="1689"/>
      <c r="DL360" s="1689"/>
      <c r="DM360" s="1689"/>
      <c r="DN360" s="1689"/>
      <c r="DO360" s="1689"/>
      <c r="DP360" s="1689"/>
      <c r="DQ360" s="1689"/>
      <c r="DR360" s="1689"/>
    </row>
    <row r="361" spans="1:122">
      <c r="A361" s="195" t="s">
        <v>164</v>
      </c>
      <c r="B361" s="164"/>
      <c r="C361" s="164"/>
      <c r="D361" s="164"/>
      <c r="E361" s="11"/>
      <c r="F361" s="164"/>
      <c r="G361" s="164"/>
      <c r="H361" s="11"/>
      <c r="I361" s="86"/>
      <c r="J361" s="843">
        <v>471.8</v>
      </c>
      <c r="K361" s="843">
        <v>125.4</v>
      </c>
      <c r="L361" s="843">
        <v>115.2</v>
      </c>
      <c r="M361" s="843">
        <v>108.9</v>
      </c>
      <c r="N361" s="1082">
        <v>120.8</v>
      </c>
      <c r="O361" s="919"/>
      <c r="P361" s="843"/>
      <c r="Q361" s="843"/>
      <c r="R361" s="1115">
        <f t="shared" ref="R361:W361" si="517">R362-SUM(R319:R360)</f>
        <v>105.20000000000073</v>
      </c>
      <c r="S361" s="1115">
        <f t="shared" si="517"/>
        <v>41.100000000000364</v>
      </c>
      <c r="T361" s="1115">
        <f t="shared" si="517"/>
        <v>23.600000000000364</v>
      </c>
      <c r="U361" s="1115">
        <f t="shared" si="517"/>
        <v>2.6000000000012733</v>
      </c>
      <c r="V361" s="2312">
        <f t="shared" si="517"/>
        <v>99.300000000000182</v>
      </c>
      <c r="W361" s="2312">
        <f t="shared" si="517"/>
        <v>97</v>
      </c>
      <c r="X361" s="2239"/>
      <c r="Y361" s="2239"/>
      <c r="Z361" s="2312">
        <f>Z362-SUM(Z319:Z360)</f>
        <v>83</v>
      </c>
      <c r="AA361" s="2312">
        <f>AA362-SUM(AA319:AA360)</f>
        <v>75</v>
      </c>
      <c r="AB361" s="3234"/>
      <c r="AC361" s="3235">
        <f>AA361</f>
        <v>75</v>
      </c>
      <c r="AD361" s="3235">
        <f>AC361</f>
        <v>75</v>
      </c>
      <c r="AE361" s="3235">
        <f>AD361</f>
        <v>75</v>
      </c>
      <c r="AF361" s="3235">
        <f t="shared" ref="AF361:AN361" si="518">AE361</f>
        <v>75</v>
      </c>
      <c r="AG361" s="3235">
        <f t="shared" si="518"/>
        <v>75</v>
      </c>
      <c r="AH361" s="3235">
        <f t="shared" si="518"/>
        <v>75</v>
      </c>
      <c r="AI361" s="3235">
        <f t="shared" si="518"/>
        <v>75</v>
      </c>
      <c r="AJ361" s="2239">
        <f t="shared" si="518"/>
        <v>75</v>
      </c>
      <c r="AK361" s="2239">
        <f t="shared" si="518"/>
        <v>75</v>
      </c>
      <c r="AL361" s="2239">
        <f t="shared" si="518"/>
        <v>75</v>
      </c>
      <c r="AM361" s="2239">
        <f t="shared" si="518"/>
        <v>75</v>
      </c>
      <c r="AN361" s="2239">
        <f t="shared" si="518"/>
        <v>75</v>
      </c>
      <c r="AO361" s="2432"/>
      <c r="AP361" s="2432"/>
      <c r="AQ361" s="2432"/>
      <c r="AR361" s="2432"/>
      <c r="AS361" s="2432"/>
      <c r="AT361" s="1534"/>
      <c r="AU361" s="95"/>
      <c r="AV361" s="39"/>
      <c r="AW361" s="89"/>
      <c r="AX361" s="89"/>
      <c r="AY361" s="89"/>
      <c r="AZ361" s="89"/>
      <c r="BA361" s="89"/>
      <c r="BB361" s="89"/>
      <c r="BC361" s="89"/>
      <c r="BD361" s="89"/>
      <c r="BE361" s="89"/>
      <c r="BF361" s="89"/>
      <c r="BG361" s="89"/>
      <c r="BH361" s="98"/>
      <c r="BI361" s="89"/>
      <c r="BJ361" s="89"/>
      <c r="BK361" s="89"/>
      <c r="BL361" s="89"/>
      <c r="BM361" s="89"/>
      <c r="BN361" s="89"/>
      <c r="BO361" s="89"/>
      <c r="BP361" s="89"/>
      <c r="BQ361" s="89"/>
      <c r="BR361" s="89"/>
      <c r="BS361" s="89"/>
      <c r="BT361" s="89"/>
      <c r="BU361" s="89"/>
      <c r="BV361" s="89"/>
      <c r="BW361" s="89"/>
      <c r="BX361" s="89"/>
      <c r="BY361" s="89"/>
      <c r="BZ361" s="89"/>
      <c r="CA361" s="89"/>
      <c r="CB361" s="89"/>
      <c r="CC361" s="89"/>
      <c r="CD361" s="89"/>
      <c r="CE361" s="89"/>
      <c r="CF361" s="89"/>
      <c r="CG361" s="89"/>
      <c r="CH361" s="89"/>
      <c r="CI361" s="89"/>
      <c r="CJ361" s="89"/>
      <c r="CK361" s="89"/>
      <c r="CL361" s="89"/>
      <c r="CM361" s="89"/>
      <c r="CN361" s="89"/>
      <c r="CO361" s="98"/>
      <c r="CP361" s="98"/>
      <c r="CQ361" s="98"/>
      <c r="CR361" s="98"/>
      <c r="CS361" s="98"/>
      <c r="CT361" s="98"/>
      <c r="CU361" s="98"/>
      <c r="CV361" s="98"/>
      <c r="CW361" s="98"/>
      <c r="CX361" s="98"/>
      <c r="CY361" s="1247"/>
      <c r="CZ361" s="1247"/>
      <c r="DA361" s="1247"/>
      <c r="DB361" s="98"/>
      <c r="DC361" s="2925"/>
      <c r="DD361" s="98"/>
      <c r="DE361" s="98"/>
      <c r="DF361" s="98"/>
      <c r="DG361" s="98"/>
      <c r="DH361" s="98"/>
      <c r="DI361" s="98"/>
      <c r="DJ361" s="98"/>
      <c r="DK361" s="98"/>
      <c r="DL361" s="98"/>
      <c r="DM361" s="98"/>
      <c r="DN361" s="98"/>
      <c r="DO361" s="98"/>
      <c r="DP361" s="98"/>
      <c r="DQ361" s="98"/>
      <c r="DR361" s="98"/>
    </row>
    <row r="362" spans="1:122">
      <c r="A362" s="190" t="s">
        <v>943</v>
      </c>
      <c r="B362" s="1078"/>
      <c r="C362" s="49"/>
      <c r="D362" s="49"/>
      <c r="E362" s="49"/>
      <c r="F362" s="49"/>
      <c r="G362" s="49"/>
      <c r="H362" s="49">
        <f>H222+H221</f>
        <v>0</v>
      </c>
      <c r="I362" s="49">
        <f>I222+I221</f>
        <v>9451.1999999999989</v>
      </c>
      <c r="J362" s="844">
        <v>9917</v>
      </c>
      <c r="K362" s="844">
        <v>8053.5</v>
      </c>
      <c r="L362" s="844">
        <v>7125.3</v>
      </c>
      <c r="M362" s="844">
        <v>7130.7</v>
      </c>
      <c r="N362" s="844">
        <v>7029.6</v>
      </c>
      <c r="O362" s="919"/>
      <c r="P362" s="842"/>
      <c r="Q362" s="842"/>
      <c r="R362" s="844">
        <v>7017.4</v>
      </c>
      <c r="S362" s="844">
        <v>6000</v>
      </c>
      <c r="T362" s="844">
        <v>5982</v>
      </c>
      <c r="U362" s="844">
        <f>5904+18</f>
        <v>5922</v>
      </c>
      <c r="V362" s="2433">
        <f>5940+21+475</f>
        <v>6436</v>
      </c>
      <c r="W362" s="2433">
        <f>6510+20+616</f>
        <v>7146</v>
      </c>
      <c r="X362" s="1559"/>
      <c r="Y362" s="1559"/>
      <c r="Z362" s="2433">
        <f>8226+222</f>
        <v>8448</v>
      </c>
      <c r="AA362" s="2433">
        <v>9375</v>
      </c>
      <c r="AB362" s="1559"/>
      <c r="AC362" s="1559">
        <f ca="1">SUM(AC319:AC361)</f>
        <v>10051.010764559165</v>
      </c>
      <c r="AD362" s="1559">
        <f t="shared" ref="AD362:AK362" ca="1" si="519">SUM(AD319:AD361)</f>
        <v>9972</v>
      </c>
      <c r="AE362" s="1559">
        <f t="shared" ca="1" si="519"/>
        <v>9683.5691986310521</v>
      </c>
      <c r="AF362" s="1559">
        <f t="shared" ca="1" si="519"/>
        <v>9366</v>
      </c>
      <c r="AG362" s="1559">
        <f t="shared" ca="1" si="519"/>
        <v>9067</v>
      </c>
      <c r="AH362" s="1559">
        <f t="shared" ca="1" si="519"/>
        <v>8372</v>
      </c>
      <c r="AI362" s="1559">
        <f t="shared" ca="1" si="519"/>
        <v>7600.6719278870387</v>
      </c>
      <c r="AJ362" s="1559">
        <f t="shared" ca="1" si="519"/>
        <v>6964.8656410451131</v>
      </c>
      <c r="AK362" s="1559">
        <f t="shared" ca="1" si="519"/>
        <v>6333.2411196881858</v>
      </c>
      <c r="AL362" s="1559">
        <f ca="1">SUM(AL319:AL361)</f>
        <v>5718.1943192934841</v>
      </c>
      <c r="AM362" s="1559">
        <f ca="1">SUM(AM319:AM361)</f>
        <v>5153.8569032453443</v>
      </c>
      <c r="AN362" s="1559">
        <f ca="1">SUM(AN319:AN361)</f>
        <v>4457.1006057928471</v>
      </c>
      <c r="AO362" s="1559"/>
      <c r="AP362" s="1559"/>
      <c r="AQ362" s="1559"/>
      <c r="AR362" s="1559"/>
      <c r="AS362" s="1559"/>
      <c r="AT362" s="1366"/>
      <c r="AU362" s="95"/>
      <c r="AV362" s="39"/>
      <c r="AW362" s="98"/>
      <c r="AX362" s="98"/>
      <c r="AY362" s="98"/>
      <c r="AZ362" s="98"/>
      <c r="BA362" s="98"/>
      <c r="BB362" s="98"/>
      <c r="BC362" s="98"/>
      <c r="BD362" s="98"/>
      <c r="BE362" s="98"/>
      <c r="BF362" s="98"/>
      <c r="BG362" s="98"/>
      <c r="BH362" s="98"/>
      <c r="BI362" s="98"/>
      <c r="BJ362" s="98"/>
      <c r="BK362" s="98"/>
      <c r="BL362" s="98"/>
      <c r="BM362" s="98"/>
      <c r="BN362" s="98"/>
      <c r="BO362" s="98"/>
      <c r="BP362" s="98"/>
      <c r="BQ362" s="98"/>
      <c r="BR362" s="98"/>
      <c r="BS362" s="98"/>
      <c r="BT362" s="98"/>
      <c r="BU362" s="98"/>
      <c r="BV362" s="98"/>
      <c r="BW362" s="98"/>
      <c r="BX362" s="98"/>
      <c r="BY362" s="98"/>
      <c r="BZ362" s="98"/>
      <c r="CA362" s="98"/>
      <c r="CB362" s="98"/>
      <c r="CC362" s="98"/>
      <c r="CD362" s="98"/>
      <c r="CE362" s="98"/>
      <c r="CF362" s="98"/>
      <c r="CG362" s="98"/>
      <c r="CH362" s="98"/>
      <c r="CI362" s="98"/>
      <c r="CJ362" s="98"/>
      <c r="CK362" s="98"/>
      <c r="CL362" s="98"/>
      <c r="CM362" s="98"/>
      <c r="CN362" s="98"/>
      <c r="CO362" s="98"/>
      <c r="CP362" s="98"/>
      <c r="CQ362" s="98"/>
      <c r="CR362" s="98"/>
      <c r="CS362" s="98"/>
      <c r="CT362" s="98"/>
      <c r="CU362" s="98"/>
      <c r="CV362" s="98"/>
      <c r="CW362" s="98"/>
      <c r="CX362" s="98"/>
      <c r="CY362" s="1247"/>
      <c r="CZ362" s="1247"/>
      <c r="DA362" s="1247"/>
      <c r="DB362" s="98"/>
      <c r="DC362" s="2925"/>
      <c r="DD362" s="98"/>
      <c r="DE362" s="98"/>
      <c r="DF362" s="98"/>
      <c r="DG362" s="98"/>
      <c r="DH362" s="98"/>
      <c r="DI362" s="98"/>
      <c r="DJ362" s="98"/>
      <c r="DK362" s="98"/>
      <c r="DL362" s="98"/>
      <c r="DM362" s="98"/>
      <c r="DN362" s="98"/>
      <c r="DO362" s="98"/>
      <c r="DP362" s="98"/>
      <c r="DQ362" s="98"/>
      <c r="DR362" s="98"/>
    </row>
    <row r="363" spans="1:122">
      <c r="A363" s="6" t="s">
        <v>959</v>
      </c>
      <c r="B363" s="48"/>
      <c r="C363" s="48"/>
      <c r="D363" s="48"/>
      <c r="E363" s="48"/>
      <c r="F363" s="48"/>
      <c r="G363" s="48"/>
      <c r="H363" s="48"/>
      <c r="I363" s="196">
        <f t="shared" ref="I363:N363" si="520">I362/I13</f>
        <v>3.1368071689346153</v>
      </c>
      <c r="J363" s="196">
        <f t="shared" si="520"/>
        <v>2.9837229593525292</v>
      </c>
      <c r="K363" s="196">
        <f t="shared" si="520"/>
        <v>2.5063799327772931</v>
      </c>
      <c r="L363" s="196">
        <f t="shared" si="520"/>
        <v>2.2902831795827843</v>
      </c>
      <c r="M363" s="196">
        <f t="shared" si="520"/>
        <v>2.3170430544272946</v>
      </c>
      <c r="N363" s="196">
        <f t="shared" si="520"/>
        <v>2.6134285076957395</v>
      </c>
      <c r="O363" s="919"/>
      <c r="P363" s="196"/>
      <c r="Q363" s="196"/>
      <c r="R363" s="196">
        <f t="shared" ref="R363:W363" si="521">R362/R13</f>
        <v>3.9565854758682897</v>
      </c>
      <c r="S363" s="196">
        <f t="shared" si="521"/>
        <v>2.5327142254115658</v>
      </c>
      <c r="T363" s="196">
        <f t="shared" si="521"/>
        <v>1.8948368704466263</v>
      </c>
      <c r="U363" s="196">
        <f t="shared" si="521"/>
        <v>1.6978211009174313</v>
      </c>
      <c r="V363" s="2240">
        <f t="shared" si="521"/>
        <v>1.7226980728051391</v>
      </c>
      <c r="W363" s="2240">
        <f t="shared" si="521"/>
        <v>2.1953917050691243</v>
      </c>
      <c r="X363" s="2240"/>
      <c r="Y363" s="2240"/>
      <c r="Z363" s="2240">
        <f t="shared" ref="Z363:AK363" si="522">Z362/Z13</f>
        <v>2.7190215642098488</v>
      </c>
      <c r="AA363" s="2240">
        <f t="shared" si="522"/>
        <v>2.7482191539882157</v>
      </c>
      <c r="AB363" s="2240"/>
      <c r="AC363" s="2240">
        <f t="shared" ca="1" si="522"/>
        <v>3.3134723339006222</v>
      </c>
      <c r="AD363" s="2240">
        <f t="shared" ca="1" si="522"/>
        <v>3.0639741096522837</v>
      </c>
      <c r="AE363" s="2240">
        <f t="shared" ca="1" si="522"/>
        <v>2.816685804469234</v>
      </c>
      <c r="AF363" s="2240">
        <f t="shared" ca="1" si="522"/>
        <v>2.4729516068405695</v>
      </c>
      <c r="AG363" s="2240">
        <f t="shared" ca="1" si="522"/>
        <v>2.3269155745439454</v>
      </c>
      <c r="AH363" s="2240">
        <f t="shared" ca="1" si="522"/>
        <v>2.0183552654229153</v>
      </c>
      <c r="AI363" s="2240">
        <f t="shared" ca="1" si="522"/>
        <v>1.917340845867225</v>
      </c>
      <c r="AJ363" s="2240">
        <f t="shared" ca="1" si="522"/>
        <v>1.7131560109070687</v>
      </c>
      <c r="AK363" s="2240">
        <f t="shared" ca="1" si="522"/>
        <v>1.5564221700434773</v>
      </c>
      <c r="AL363" s="2240">
        <f ca="1">AL362/AL13</f>
        <v>1.426467053109483</v>
      </c>
      <c r="AM363" s="2240">
        <f ca="1">AM362/AM13</f>
        <v>1.3022661051880755</v>
      </c>
      <c r="AN363" s="2240">
        <f ca="1">AN362/AN13</f>
        <v>1.0728591709988053</v>
      </c>
      <c r="AO363" s="2240"/>
      <c r="AP363" s="2240"/>
      <c r="AQ363" s="2240"/>
      <c r="AR363" s="2240"/>
      <c r="AS363" s="2240"/>
      <c r="AT363" s="2240"/>
      <c r="AU363" s="95"/>
      <c r="AV363" s="4"/>
      <c r="AW363" s="89"/>
      <c r="AX363" s="89"/>
      <c r="AY363" s="89"/>
      <c r="AZ363" s="89"/>
      <c r="BA363" s="89"/>
      <c r="BB363" s="89"/>
      <c r="BC363" s="89"/>
      <c r="BD363" s="89"/>
      <c r="BE363" s="89"/>
      <c r="BF363" s="89"/>
      <c r="BG363" s="89"/>
      <c r="BH363" s="98"/>
      <c r="BI363" s="89"/>
      <c r="BJ363" s="89"/>
      <c r="BK363" s="89"/>
      <c r="BL363" s="89"/>
      <c r="BM363" s="89"/>
      <c r="BN363" s="89"/>
      <c r="BO363" s="89"/>
      <c r="BP363" s="89"/>
      <c r="BQ363" s="89"/>
      <c r="BR363" s="89"/>
      <c r="BS363" s="89"/>
      <c r="BT363" s="89"/>
      <c r="BU363" s="89"/>
      <c r="BV363" s="89"/>
      <c r="BW363" s="89"/>
      <c r="BX363" s="89"/>
      <c r="BY363" s="89"/>
      <c r="BZ363" s="89"/>
      <c r="CA363" s="89"/>
      <c r="CB363" s="89"/>
      <c r="CC363" s="89"/>
      <c r="CD363" s="89"/>
      <c r="CE363" s="89"/>
      <c r="CF363" s="89"/>
      <c r="CG363" s="89"/>
      <c r="CH363" s="89"/>
      <c r="CI363" s="89"/>
      <c r="CJ363" s="89"/>
      <c r="CK363" s="89"/>
      <c r="CL363" s="89"/>
      <c r="CM363" s="89"/>
      <c r="CN363" s="89"/>
      <c r="CO363" s="98"/>
      <c r="CP363" s="98"/>
      <c r="CQ363" s="98"/>
      <c r="CR363" s="98"/>
      <c r="CS363" s="98"/>
      <c r="CT363" s="1247"/>
      <c r="CU363" s="1247"/>
      <c r="CV363" s="1247"/>
      <c r="CW363" s="98"/>
      <c r="CX363" s="98"/>
      <c r="CY363" s="1247"/>
      <c r="CZ363" s="1247"/>
      <c r="DA363" s="1247"/>
      <c r="DB363" s="98"/>
      <c r="DC363" s="2925"/>
      <c r="DD363" s="98"/>
      <c r="DE363" s="98"/>
      <c r="DF363" s="98"/>
      <c r="DG363" s="98"/>
      <c r="DH363" s="98"/>
      <c r="DI363" s="98"/>
      <c r="DJ363" s="98"/>
      <c r="DK363" s="98"/>
      <c r="DL363" s="98"/>
      <c r="DM363" s="98"/>
      <c r="DN363" s="98"/>
      <c r="DO363" s="98"/>
      <c r="DP363" s="98"/>
      <c r="DQ363" s="98"/>
      <c r="DR363" s="98"/>
    </row>
    <row r="364" spans="1:122">
      <c r="A364" s="862" t="s">
        <v>1771</v>
      </c>
      <c r="B364" s="48"/>
      <c r="C364" s="48"/>
      <c r="D364" s="48"/>
      <c r="E364" s="48"/>
      <c r="F364" s="48"/>
      <c r="G364" s="48"/>
      <c r="H364" s="48"/>
      <c r="I364" s="196"/>
      <c r="J364" s="196"/>
      <c r="K364" s="196"/>
      <c r="L364" s="196"/>
      <c r="M364" s="192">
        <v>43</v>
      </c>
      <c r="N364" s="192">
        <v>33.5</v>
      </c>
      <c r="O364" s="192"/>
      <c r="P364" s="192"/>
      <c r="Q364" s="192"/>
      <c r="R364" s="192">
        <v>20.5</v>
      </c>
      <c r="S364" s="192">
        <f>R364</f>
        <v>20.5</v>
      </c>
      <c r="T364" s="192">
        <f t="shared" ref="T364:AE364" si="523">S364</f>
        <v>20.5</v>
      </c>
      <c r="U364" s="192">
        <f t="shared" si="523"/>
        <v>20.5</v>
      </c>
      <c r="V364" s="1368">
        <v>0</v>
      </c>
      <c r="W364" s="1368">
        <f t="shared" si="523"/>
        <v>0</v>
      </c>
      <c r="X364" s="1368"/>
      <c r="Y364" s="1368"/>
      <c r="Z364" s="1368">
        <f>Z320</f>
        <v>0</v>
      </c>
      <c r="AA364" s="1368">
        <f>AA320</f>
        <v>450</v>
      </c>
      <c r="AB364" s="1368"/>
      <c r="AC364" s="2923">
        <f>AA364</f>
        <v>450</v>
      </c>
      <c r="AD364" s="2923">
        <f t="shared" si="523"/>
        <v>450</v>
      </c>
      <c r="AE364" s="2923">
        <f t="shared" si="523"/>
        <v>450</v>
      </c>
      <c r="AF364" s="2923">
        <f t="shared" ref="AF364:AN364" si="524">AE364</f>
        <v>450</v>
      </c>
      <c r="AG364" s="2923">
        <f t="shared" si="524"/>
        <v>450</v>
      </c>
      <c r="AH364" s="1368">
        <f t="shared" si="524"/>
        <v>450</v>
      </c>
      <c r="AI364" s="1368">
        <f t="shared" si="524"/>
        <v>450</v>
      </c>
      <c r="AJ364" s="1368">
        <f t="shared" si="524"/>
        <v>450</v>
      </c>
      <c r="AK364" s="1368">
        <f t="shared" si="524"/>
        <v>450</v>
      </c>
      <c r="AL364" s="1368">
        <f t="shared" si="524"/>
        <v>450</v>
      </c>
      <c r="AM364" s="1368">
        <f t="shared" si="524"/>
        <v>450</v>
      </c>
      <c r="AN364" s="1368">
        <f t="shared" si="524"/>
        <v>450</v>
      </c>
      <c r="AO364" s="2240"/>
      <c r="AP364" s="2240"/>
      <c r="AQ364" s="2240"/>
      <c r="AR364" s="2240"/>
      <c r="AS364" s="2240"/>
      <c r="AT364" s="2240"/>
      <c r="AU364" s="95"/>
      <c r="AV364" s="4"/>
      <c r="AW364" s="89"/>
      <c r="AX364" s="89"/>
      <c r="AY364" s="89"/>
      <c r="AZ364" s="89"/>
      <c r="BA364" s="89"/>
      <c r="BB364" s="89"/>
      <c r="BC364" s="89"/>
      <c r="BD364" s="89"/>
      <c r="BE364" s="89"/>
      <c r="BF364" s="89"/>
      <c r="BG364" s="89"/>
      <c r="BH364" s="98"/>
      <c r="BI364" s="89"/>
      <c r="BJ364" s="89"/>
      <c r="BK364" s="89"/>
      <c r="BL364" s="89"/>
      <c r="BM364" s="89"/>
      <c r="BN364" s="89"/>
      <c r="BO364" s="89"/>
      <c r="BP364" s="89"/>
      <c r="BQ364" s="89"/>
      <c r="BR364" s="89"/>
      <c r="BS364" s="89"/>
      <c r="BT364" s="89"/>
      <c r="BU364" s="89"/>
      <c r="BV364" s="89"/>
      <c r="BW364" s="89"/>
      <c r="BX364" s="89"/>
      <c r="BY364" s="89"/>
      <c r="BZ364" s="89"/>
      <c r="CA364" s="89"/>
      <c r="CB364" s="89"/>
      <c r="CC364" s="89"/>
      <c r="CD364" s="89"/>
      <c r="CE364" s="89"/>
      <c r="CF364" s="89"/>
      <c r="CG364" s="89"/>
      <c r="CH364" s="89"/>
      <c r="CI364" s="89"/>
      <c r="CJ364" s="89"/>
      <c r="CK364" s="89"/>
      <c r="CL364" s="89"/>
      <c r="CM364" s="89"/>
      <c r="CN364" s="89"/>
      <c r="CO364" s="98"/>
      <c r="CP364" s="98"/>
      <c r="CQ364" s="98"/>
      <c r="CR364" s="98"/>
      <c r="CS364" s="98"/>
      <c r="CT364" s="1247"/>
      <c r="CU364" s="1247"/>
      <c r="CV364" s="1247"/>
      <c r="CW364" s="98"/>
      <c r="CX364" s="98"/>
      <c r="CY364" s="1247"/>
      <c r="CZ364" s="1247"/>
      <c r="DA364" s="1247"/>
      <c r="DB364" s="98"/>
      <c r="DC364" s="2925"/>
      <c r="DD364" s="98"/>
      <c r="DE364" s="98"/>
      <c r="DF364" s="98"/>
      <c r="DG364" s="98"/>
      <c r="DH364" s="98"/>
      <c r="DI364" s="98"/>
      <c r="DJ364" s="98"/>
      <c r="DK364" s="98"/>
      <c r="DL364" s="98"/>
      <c r="DM364" s="98"/>
      <c r="DN364" s="98"/>
      <c r="DO364" s="98"/>
      <c r="DP364" s="98"/>
      <c r="DQ364" s="98"/>
      <c r="DR364" s="98"/>
    </row>
    <row r="365" spans="1:122">
      <c r="A365" s="6" t="s">
        <v>434</v>
      </c>
      <c r="B365" s="48"/>
      <c r="C365" s="48"/>
      <c r="D365" s="48"/>
      <c r="E365" s="48"/>
      <c r="F365" s="48"/>
      <c r="G365" s="48"/>
      <c r="H365" s="48">
        <f t="shared" ref="H365:N365" si="525">H221</f>
        <v>0</v>
      </c>
      <c r="I365" s="843">
        <f t="shared" si="525"/>
        <v>11.300000000000004</v>
      </c>
      <c r="J365" s="843">
        <f t="shared" si="525"/>
        <v>12.1</v>
      </c>
      <c r="K365" s="843">
        <f t="shared" si="525"/>
        <v>747.1</v>
      </c>
      <c r="L365" s="843">
        <f t="shared" si="525"/>
        <v>15</v>
      </c>
      <c r="M365" s="843">
        <f t="shared" si="525"/>
        <v>19.100000000000001</v>
      </c>
      <c r="N365" s="843">
        <f t="shared" si="525"/>
        <v>21.3</v>
      </c>
      <c r="O365" s="919"/>
      <c r="P365" s="843"/>
      <c r="Q365" s="843"/>
      <c r="R365" s="843">
        <f>R221</f>
        <v>443.6</v>
      </c>
      <c r="S365" s="843">
        <f>S221</f>
        <v>27.3</v>
      </c>
      <c r="T365" s="843">
        <f>T221</f>
        <v>24</v>
      </c>
      <c r="U365" s="843">
        <f>U221</f>
        <v>18</v>
      </c>
      <c r="V365" s="2239">
        <f>V329</f>
        <v>99</v>
      </c>
      <c r="W365" s="2434">
        <v>20</v>
      </c>
      <c r="X365" s="2239"/>
      <c r="Y365" s="2239"/>
      <c r="Z365" s="2434">
        <f>222</f>
        <v>222</v>
      </c>
      <c r="AA365" s="2434">
        <v>23</v>
      </c>
      <c r="AB365" s="2239"/>
      <c r="AC365" s="2239">
        <f>AC332</f>
        <v>0</v>
      </c>
      <c r="AD365" s="2239">
        <v>0</v>
      </c>
      <c r="AE365" s="2239">
        <v>0</v>
      </c>
      <c r="AF365" s="2239">
        <v>0</v>
      </c>
      <c r="AG365" s="2239">
        <v>0</v>
      </c>
      <c r="AH365" s="2239">
        <v>0</v>
      </c>
      <c r="AI365" s="2239">
        <v>0</v>
      </c>
      <c r="AJ365" s="2239">
        <v>0</v>
      </c>
      <c r="AK365" s="2239">
        <v>0</v>
      </c>
      <c r="AL365" s="2239">
        <v>0</v>
      </c>
      <c r="AM365" s="2239">
        <v>0</v>
      </c>
      <c r="AN365" s="2239">
        <v>0</v>
      </c>
      <c r="AO365" s="2240"/>
      <c r="AP365" s="2240"/>
      <c r="AQ365" s="2240"/>
      <c r="AR365" s="2240"/>
      <c r="AS365" s="2240"/>
      <c r="AT365" s="1366"/>
      <c r="AU365" s="95"/>
      <c r="AV365" s="4"/>
      <c r="AW365" s="89"/>
      <c r="AX365" s="89"/>
      <c r="AY365" s="89"/>
      <c r="AZ365" s="89"/>
      <c r="BA365" s="89"/>
      <c r="BB365" s="89"/>
      <c r="BC365" s="89"/>
      <c r="BD365" s="89"/>
      <c r="BE365" s="89"/>
      <c r="BF365" s="89"/>
      <c r="BG365" s="89"/>
      <c r="BH365" s="98"/>
      <c r="BI365" s="89"/>
      <c r="BJ365" s="89"/>
      <c r="BK365" s="89"/>
      <c r="BL365" s="89"/>
      <c r="BM365" s="89"/>
      <c r="BN365" s="89"/>
      <c r="BO365" s="89"/>
      <c r="BP365" s="89"/>
      <c r="BQ365" s="89"/>
      <c r="BR365" s="89"/>
      <c r="BS365" s="89"/>
      <c r="BT365" s="89"/>
      <c r="BU365" s="89"/>
      <c r="BV365" s="89"/>
      <c r="BW365" s="89"/>
      <c r="BX365" s="89"/>
      <c r="BY365" s="89"/>
      <c r="BZ365" s="89"/>
      <c r="CA365" s="89"/>
      <c r="CB365" s="89"/>
      <c r="CC365" s="89"/>
      <c r="CD365" s="89"/>
      <c r="CE365" s="89"/>
      <c r="CF365" s="89"/>
      <c r="CG365" s="89"/>
      <c r="CH365" s="89"/>
      <c r="CI365" s="89"/>
      <c r="CJ365" s="89"/>
      <c r="CK365" s="89"/>
      <c r="CL365" s="89"/>
      <c r="CM365" s="89"/>
      <c r="CN365" s="89"/>
      <c r="CO365" s="98"/>
      <c r="CP365" s="98"/>
      <c r="CQ365" s="98"/>
      <c r="CR365" s="98"/>
      <c r="CS365" s="98"/>
      <c r="CT365" s="1247"/>
      <c r="CU365" s="1247"/>
      <c r="CV365" s="1247"/>
      <c r="CW365" s="98"/>
      <c r="CX365" s="98"/>
      <c r="CY365" s="1247"/>
      <c r="CZ365" s="1247"/>
      <c r="DA365" s="1247"/>
      <c r="DB365" s="98"/>
      <c r="DC365" s="2925"/>
      <c r="DD365" s="98"/>
      <c r="DE365" s="98"/>
      <c r="DF365" s="98"/>
      <c r="DG365" s="98"/>
      <c r="DH365" s="98"/>
      <c r="DI365" s="98"/>
      <c r="DJ365" s="98"/>
      <c r="DK365" s="98"/>
      <c r="DL365" s="98"/>
      <c r="DM365" s="98"/>
      <c r="DN365" s="98"/>
      <c r="DO365" s="98"/>
      <c r="DP365" s="98"/>
      <c r="DQ365" s="98"/>
      <c r="DR365" s="98"/>
    </row>
    <row r="366" spans="1:122">
      <c r="A366" s="11" t="s">
        <v>409</v>
      </c>
      <c r="B366" s="49"/>
      <c r="C366" s="49"/>
      <c r="D366" s="49"/>
      <c r="E366" s="49"/>
      <c r="F366" s="49"/>
      <c r="G366" s="49"/>
      <c r="H366" s="49"/>
      <c r="I366" s="842">
        <f>I362-I365</f>
        <v>9439.9</v>
      </c>
      <c r="J366" s="842">
        <f>J362-J365</f>
        <v>9904.9</v>
      </c>
      <c r="K366" s="842">
        <f>K362-K365</f>
        <v>7306.4</v>
      </c>
      <c r="L366" s="842">
        <f>L362-L365</f>
        <v>7110.3</v>
      </c>
      <c r="M366" s="842">
        <f>M362-M365-M364</f>
        <v>7068.5999999999995</v>
      </c>
      <c r="N366" s="842">
        <f>N362-N365-N364</f>
        <v>6974.8</v>
      </c>
      <c r="O366" s="919"/>
      <c r="P366" s="842"/>
      <c r="Q366" s="842"/>
      <c r="R366" s="842">
        <f>R362-R365-R364</f>
        <v>6553.2999999999993</v>
      </c>
      <c r="S366" s="842">
        <f>S362-S365-S364</f>
        <v>5952.2</v>
      </c>
      <c r="T366" s="842">
        <f>+T222</f>
        <v>5958</v>
      </c>
      <c r="U366" s="842">
        <f>+U222</f>
        <v>5904</v>
      </c>
      <c r="V366" s="1559">
        <f t="shared" ref="V366:AH366" si="526">V362-V365-V364</f>
        <v>6337</v>
      </c>
      <c r="W366" s="1559">
        <f t="shared" si="526"/>
        <v>7126</v>
      </c>
      <c r="X366" s="1559"/>
      <c r="Y366" s="1559"/>
      <c r="Z366" s="1559">
        <f>Z362-Z365-Z364</f>
        <v>8226</v>
      </c>
      <c r="AA366" s="1559">
        <f>AA362-AA365-AA364</f>
        <v>8902</v>
      </c>
      <c r="AB366" s="1559"/>
      <c r="AC366" s="1559">
        <f t="shared" ca="1" si="526"/>
        <v>9601.0107645591652</v>
      </c>
      <c r="AD366" s="1559">
        <f t="shared" ca="1" si="526"/>
        <v>9522</v>
      </c>
      <c r="AE366" s="1559">
        <f t="shared" ca="1" si="526"/>
        <v>9233.5691986310521</v>
      </c>
      <c r="AF366" s="1559">
        <f t="shared" ca="1" si="526"/>
        <v>8916</v>
      </c>
      <c r="AG366" s="1559">
        <f t="shared" ca="1" si="526"/>
        <v>8617</v>
      </c>
      <c r="AH366" s="1559">
        <f t="shared" ca="1" si="526"/>
        <v>7922</v>
      </c>
      <c r="AI366" s="1559">
        <f t="shared" ref="AI366:AN366" ca="1" si="527">AI362-AI365-AI364</f>
        <v>7150.6719278870387</v>
      </c>
      <c r="AJ366" s="1559">
        <f t="shared" ca="1" si="527"/>
        <v>6514.8656410451131</v>
      </c>
      <c r="AK366" s="1559">
        <f t="shared" ca="1" si="527"/>
        <v>5883.2411196881858</v>
      </c>
      <c r="AL366" s="1559">
        <f t="shared" ca="1" si="527"/>
        <v>5268.1943192934841</v>
      </c>
      <c r="AM366" s="1559">
        <f t="shared" ca="1" si="527"/>
        <v>4703.8569032453443</v>
      </c>
      <c r="AN366" s="1559">
        <f t="shared" ca="1" si="527"/>
        <v>4007.1006057928471</v>
      </c>
      <c r="AO366" s="2240"/>
      <c r="AP366" s="2240"/>
      <c r="AQ366" s="2240"/>
      <c r="AR366" s="2240"/>
      <c r="AS366" s="2240"/>
      <c r="AT366" s="1366"/>
      <c r="AU366" s="95"/>
      <c r="AV366" s="95"/>
      <c r="AW366" s="98"/>
      <c r="AX366" s="98"/>
      <c r="AY366" s="98"/>
      <c r="AZ366" s="98"/>
      <c r="BA366" s="98"/>
      <c r="BB366" s="98"/>
      <c r="BC366" s="98"/>
      <c r="BD366" s="98"/>
      <c r="BE366" s="98"/>
      <c r="BF366" s="98"/>
      <c r="BG366" s="98"/>
      <c r="BH366" s="98"/>
      <c r="BI366" s="98"/>
      <c r="BJ366" s="98"/>
      <c r="BK366" s="98"/>
      <c r="BL366" s="98"/>
      <c r="BM366" s="98"/>
      <c r="BN366" s="98"/>
      <c r="BO366" s="98"/>
      <c r="BP366" s="98"/>
      <c r="BQ366" s="98"/>
      <c r="BR366" s="98"/>
      <c r="BS366" s="98"/>
      <c r="BT366" s="98"/>
      <c r="BU366" s="98"/>
      <c r="BV366" s="98"/>
      <c r="BW366" s="98"/>
      <c r="BX366" s="98"/>
      <c r="BY366" s="98"/>
      <c r="BZ366" s="98"/>
      <c r="CA366" s="98"/>
      <c r="CB366" s="98"/>
      <c r="CC366" s="98"/>
      <c r="CD366" s="98"/>
      <c r="CE366" s="98"/>
      <c r="CF366" s="98"/>
      <c r="CG366" s="98"/>
      <c r="CH366" s="98"/>
      <c r="CI366" s="98"/>
      <c r="CJ366" s="98"/>
      <c r="CK366" s="98"/>
      <c r="CL366" s="98"/>
      <c r="CM366" s="98"/>
      <c r="CN366" s="98"/>
      <c r="CO366" s="98"/>
      <c r="CP366" s="98"/>
      <c r="CQ366" s="98"/>
      <c r="CR366" s="98"/>
      <c r="CS366" s="98"/>
      <c r="CT366" s="1247"/>
      <c r="CU366" s="1247"/>
      <c r="CV366" s="1247"/>
      <c r="CW366" s="98"/>
      <c r="CX366" s="98"/>
      <c r="CY366" s="1247"/>
      <c r="CZ366" s="1247"/>
      <c r="DA366" s="1247"/>
      <c r="DB366" s="98"/>
      <c r="DC366" s="2925"/>
      <c r="DD366" s="98"/>
      <c r="DE366" s="98"/>
      <c r="DF366" s="98"/>
      <c r="DG366" s="98"/>
      <c r="DH366" s="98"/>
      <c r="DI366" s="98"/>
      <c r="DJ366" s="98"/>
      <c r="DK366" s="98"/>
      <c r="DL366" s="98"/>
      <c r="DM366" s="98"/>
      <c r="DN366" s="98"/>
      <c r="DO366" s="98"/>
      <c r="DP366" s="98"/>
      <c r="DQ366" s="98"/>
      <c r="DR366" s="98"/>
    </row>
    <row r="367" spans="1:122">
      <c r="A367" s="11"/>
      <c r="B367" s="49"/>
      <c r="C367" s="49"/>
      <c r="D367" s="49"/>
      <c r="E367" s="49"/>
      <c r="F367" s="49"/>
      <c r="G367" s="49"/>
      <c r="H367" s="49"/>
      <c r="I367" s="842"/>
      <c r="J367" s="842"/>
      <c r="K367" s="842"/>
      <c r="L367" s="842"/>
      <c r="M367" s="842"/>
      <c r="N367" s="842"/>
      <c r="O367" s="919"/>
      <c r="P367" s="842"/>
      <c r="Q367" s="842"/>
      <c r="R367" s="842"/>
      <c r="S367" s="842"/>
      <c r="T367" s="842"/>
      <c r="U367" s="842"/>
      <c r="V367" s="842"/>
      <c r="W367" s="842"/>
      <c r="X367" s="842"/>
      <c r="Y367" s="842"/>
      <c r="Z367" s="842"/>
      <c r="AA367" s="842"/>
      <c r="AB367" s="842"/>
      <c r="AC367" s="842"/>
      <c r="AD367" s="842"/>
      <c r="AE367" s="842"/>
      <c r="AF367" s="842"/>
      <c r="AG367" s="842"/>
      <c r="AH367" s="842"/>
      <c r="AI367" s="842"/>
      <c r="AJ367" s="842"/>
      <c r="AK367" s="842"/>
      <c r="AL367" s="1559"/>
      <c r="AM367" s="842"/>
      <c r="AN367" s="2240"/>
      <c r="AO367" s="2240"/>
      <c r="AP367" s="2240"/>
      <c r="AQ367" s="2240"/>
      <c r="AR367" s="2240"/>
      <c r="AS367" s="2240"/>
      <c r="AT367" s="49"/>
      <c r="AU367" s="95"/>
      <c r="AV367" s="95"/>
      <c r="AW367" s="98"/>
      <c r="AX367" s="98"/>
      <c r="AY367" s="98"/>
      <c r="AZ367" s="98"/>
      <c r="BA367" s="98"/>
      <c r="BB367" s="98"/>
      <c r="BC367" s="98"/>
      <c r="BD367" s="98"/>
      <c r="BE367" s="98"/>
      <c r="BF367" s="98"/>
      <c r="BG367" s="98"/>
      <c r="BH367" s="98"/>
      <c r="BI367" s="98"/>
      <c r="BJ367" s="98"/>
      <c r="BK367" s="98"/>
      <c r="BL367" s="98"/>
      <c r="BM367" s="98"/>
      <c r="BN367" s="98"/>
      <c r="BO367" s="98"/>
      <c r="BP367" s="98"/>
      <c r="BQ367" s="98"/>
      <c r="BR367" s="98"/>
      <c r="BS367" s="98"/>
      <c r="BT367" s="98"/>
      <c r="BU367" s="98"/>
      <c r="BV367" s="98"/>
      <c r="BW367" s="98"/>
      <c r="BX367" s="98"/>
      <c r="BY367" s="98"/>
      <c r="BZ367" s="98"/>
      <c r="CA367" s="98"/>
      <c r="CB367" s="98"/>
      <c r="CC367" s="98"/>
      <c r="CD367" s="98"/>
      <c r="CE367" s="98"/>
      <c r="CF367" s="98"/>
      <c r="CG367" s="98"/>
      <c r="CH367" s="98"/>
      <c r="CI367" s="98"/>
      <c r="CJ367" s="98"/>
      <c r="CK367" s="98"/>
      <c r="CL367" s="98"/>
      <c r="CM367" s="98"/>
      <c r="CN367" s="98"/>
      <c r="CO367" s="98"/>
      <c r="CP367" s="98"/>
      <c r="CQ367" s="98"/>
      <c r="CR367" s="98"/>
      <c r="CS367" s="98"/>
      <c r="CT367" s="1247"/>
      <c r="CU367" s="1247"/>
      <c r="CV367" s="1247"/>
      <c r="CW367" s="98"/>
      <c r="CX367" s="98"/>
      <c r="CY367" s="1247"/>
      <c r="CZ367" s="1247"/>
      <c r="DA367" s="1247"/>
      <c r="DB367" s="98"/>
      <c r="DC367" s="2925"/>
      <c r="DD367" s="98"/>
      <c r="DE367" s="98"/>
      <c r="DF367" s="98"/>
      <c r="DG367" s="98"/>
      <c r="DH367" s="98"/>
      <c r="DI367" s="98"/>
      <c r="DJ367" s="98"/>
      <c r="DK367" s="98"/>
      <c r="DL367" s="98"/>
      <c r="DM367" s="98"/>
      <c r="DN367" s="98"/>
      <c r="DO367" s="98"/>
      <c r="DP367" s="98"/>
      <c r="DQ367" s="98"/>
      <c r="DR367" s="98"/>
    </row>
    <row r="368" spans="1:122">
      <c r="A368" s="11" t="s">
        <v>1317</v>
      </c>
      <c r="B368" s="49"/>
      <c r="C368" s="49"/>
      <c r="D368" s="49"/>
      <c r="E368" s="49"/>
      <c r="F368" s="49"/>
      <c r="G368" s="49"/>
      <c r="H368" s="49"/>
      <c r="I368" s="842"/>
      <c r="J368" s="842"/>
      <c r="K368" s="842"/>
      <c r="L368" s="842"/>
      <c r="M368" s="842"/>
      <c r="N368" s="922">
        <f>MIN(N320-M320,0)+MIN(N321-M321,0)+MIN(N322-M322,0)+MIN(N323-M323,0)+MIN(N324-M324,0)+MIN(N325-M325,0)+MIN(N326-M326,0)+MIN(N327-M327,0)+MIN(N328-M328,0)+MIN(N329-M329,0)+MIN(N330-M330,0)+MIN(N332-M332,0)+MIN(N337-M337,0)+MIN(N338-M338,0)+MIN(N339-M339,0)+MIN(N340-M340,0)+MIN(N342-M342,0)+MIN(N343-M343,0)+MIN(N360-M360,0)+MIN(N361-M361,0)</f>
        <v>-206.99999999999889</v>
      </c>
      <c r="O368" s="919"/>
      <c r="P368" s="842"/>
      <c r="Q368" s="842"/>
      <c r="R368" s="922">
        <f>MIN(R320-N320,0)+MIN(R321-N321,0)+MIN(R322-N322,0)+MIN(R323-N323,0)+MIN(R324-N324,0)+MIN(R325-N325,0)+MIN(R326-N326,0)+MIN(R327-N327,0)+MIN(R328-N328,0)+MIN(R329-N329,0)+MIN(R330-N330,0)+MIN(R332-N332,0)+MIN(R337-N337,0)+MIN(R338-N338,0)+MIN(R339-N339,0)+MIN(R340-N340,0)+MIN(R342-N342,0)+MIN(R343-N343,0)+MIN(R360-N360,0)+MIN(R361-N361,0)+MIN(R331-N331,0)+MIN(R333-N333,0)+MIN(R334-N334,0)</f>
        <v>-1005.5000000000003</v>
      </c>
      <c r="S368" s="922">
        <f>MIN(S320-R320,0)+MIN(S321-R321,0)+MIN(S322-R322,0)+MIN(S323-R323,0)+MIN(S324-R324,0)+MIN(S325-R325,0)+MIN(S326-R326,0)+MIN(S327-R327,0)+MIN(S328-R328,0)+MIN(S329-R329,0)+MIN(S330-R330,0)+MIN(S332-R332,0)+MIN(S337-R337,0)+MIN(S338-R338,0)+MIN(S339-R339,0)+MIN(S340-R340,0)+MIN(S342-R342,0)+MIN(S343-R343,0)+MIN(S360-R360,0)+MIN(S361-R361,0)+MIN(S331-R331,0)+MIN(S333-R333,0)+MIN(S334-R334,0)+MIN(S335-R335,0)+MIN(S336-R336,0)+MIN(S341-R341,0)</f>
        <v>-2117.4000000000005</v>
      </c>
      <c r="T368" s="922">
        <f>MIN(T320-S320,0)+MIN(T321-S321,0)+MIN(T322-S322,0)+MIN(T323-S323,0)+MIN(T324-S324,0)+MIN(T325-S325,0)+MIN(T326-S326,0)+MIN(T327-S327,0)+MIN(T328-S328,0)+MIN(T329-S329,0)+MIN(T330-S330,0)+MIN(T332-S332,0)+MIN(T337-S337,0)+MIN(T338-S338,0)+MIN(T339-S339,0)+MIN(T340-S340,0)+MIN(T342-S342,0)+MIN(T343-S343,0)+MIN(T360-S360,0)+MIN(T361-S361,0)+MIN(T331-S331,0)+MIN(T333-S333,0)+MIN(T334-S334,0)+MIN(T335-S335,0)+MIN(T336-S336,0)+MIN(T341-S341,0)</f>
        <v>-18</v>
      </c>
      <c r="U368" s="922">
        <f>MIN(U320-T320,0)+MIN(U321-T321,0)+MIN(U322-T322,0)+MIN(U323-T323,0)+MIN(U324-T324,0)+MIN(U325-T325,0)+MIN(U326-T326,0)+MIN(U327-T327,0)+MIN(U328-T328,0)+MIN(U329-T329,0)+MIN(U330-T330,0)+MIN(U331-T331,0)+MIN(U332-T332,0)+MIN(U333-T333,0)+MIN(U334-T334,0)+MIN(U335-T335,0)+MIN(U336-T336,0)+MIN(U337-T337,0)+MIN(U338-T338,0)+MIN(U339-T339,0)+MIN(U340-T340,0)+MIN(U341-T341,0)+MIN(U342-T342,0)+MIN(U343-T343,0)+MIN(U344-T344,0)+MIN(U345-T345,0)+MIN(U346-T346,0)+MIN(U347-T347,0)+MIN(U348-T348,0)+MIN(U349-T349,0)+MIN(U356-T356,0)+MIN(U360-T360,0)+MIN(U361-T361,0)</f>
        <v>-1659.9999999999991</v>
      </c>
      <c r="V368" s="922">
        <f>MIN(V320-U320,0)+MIN(V321-U321,0)+MIN(V322-U322,0)+MIN(V323-U323,0)+MIN(V324-U324,0)+MIN(V325-U325,0)+MIN(V326-U326,0)+MIN(V327-U327,0)+MIN(V328-U328,0)+MIN(V329-U329,0)+MIN(V330-U330,0)+MIN(V331-U331,0)+MIN(V332-U332,0)+MIN(V333-U333,0)+MIN(V334-U334,0)+MIN(V335-U335,0)+MIN(V336-U336,0)+MIN(V337-U337,0)+MIN(V338-U338,0)+MIN(V339-U339,0)+MIN(V340-U340,0)+MIN(V341-U341,0)+MIN(V342-U342,0)+MIN(V343-U343,0)+MIN(V344-U344,0)+MIN(V345-U345,0)+MIN(V346-U346,0)+MIN(V347-U347,0)+MIN(V348-U348,0)+MIN(V349-U349,0)+MIN(V356-U356,0)+MIN(V360-U360,0)+MIN(V361-U361,0)</f>
        <v>-63.799999999999912</v>
      </c>
      <c r="W368" s="922">
        <f>MIN(W320-V320,0)+MIN(W321-V321,0)+MIN(W322-V322,0)+MIN(W323-V323,0)+MIN(W324-V324,0)+MIN(W325-V325,0)+MIN(W326-V326,0)+MIN(W327-V327,0)+MIN(W328-V328,0)+MIN(W329-V329,0)+MIN(W330-V330,0)+MIN(W331-V331,0)+MIN(W332-V332,0)+MIN(W333-V333,0)+MIN(W334-V334,0)+MIN(W335-V335,0)+MIN(W336-V336,0)+MIN(W337-V337,0)+MIN(W338-V338,0)+MIN(W339-V339,0)+MIN(W340-V340,0)+MIN(W341-V341,0)+MIN(W342-V342,0)+MIN(W343-V343,0)+MIN(W344-V344,0)+MIN(W345-V345,0)+MIN(W346-V346,0)+MIN(W347-V347,0)+MIN(W348-V348,0)+MIN(W349-V349,0)+MIN(W356-V356,0)+MIN(W360-V360,0)+MIN(W361-V361,0)</f>
        <v>-1172.0000000000002</v>
      </c>
      <c r="X368" s="922"/>
      <c r="Y368" s="922"/>
      <c r="Z368" s="922">
        <f>MIN(Z320-W320,0)+MIN(Z321-W321,0)+MIN(Z322-W322,0)+MIN(Z323-W323,0)+MIN(Z324-W324,0)+MIN(Z325-W325,0)+MIN(Z326-W326,0)+MIN(Z327-W327,0)+MIN(Z328-W328,0)+MIN(Z329-W329,0)+MIN(Z330-W330,0)+MIN(Z331-W331,0)+MIN(Z332-W332,0)+MIN(Z333-W333,0)+MIN(Z334-W334,0)+MIN(Z335-W335,0)+MIN(Z336-W336,0)+MIN(Z337-W337,0)+MIN(Z338-W338,0)+MIN(Z339-W339,0)+MIN(Z340-W340,0)+MIN(Z341-W341,0)+MIN(Z342-W342,0)+MIN(Z343-W343,0)+MIN(Z344-W344,0)+MIN(Z345-W345,0)+MIN(Z346-W346,0)+MIN(Z347-W347,0)+MIN(Z348-W348,0)+MIN(Z349-W349,0)+MIN(Z356-W356,0)+MIN(Z360-W360,0)+MIN(Z361-W361,0)+MIN(Z350-W350,0)+MIN(Z351-W351,0)+MIN(Z352-W352,0)+MIN(Z353-W353,0)+MIN(Z354-W354,0)</f>
        <v>-662</v>
      </c>
      <c r="AA368" s="922">
        <f>MIN(AA320-Z320,0)+MIN(AA321-Z321,0)+MIN(AA322-Z322,0)+MIN(AA323-Z323,0)+MIN(AA324-Z324,0)+MIN(AA325-Z325,0)+MIN(AA326-Z326,0)+MIN(AA327-Z327,0)+MIN(AA328-Z328,0)+MIN(AA329-Z329,0)+MIN(AA330-Z330,0)+MIN(AA331-Z331,0)+MIN(AA332-Z332,0)+MIN(AA333-Z333,0)+MIN(AA334-Z334,0)+MIN(AA335-Z335,0)+MIN(AA336-Z336,0)+MIN(AA337-Z337,0)+MIN(AA338-Z338,0)+MIN(AA339-Z339,0)+MIN(AA340-Z340,0)+MIN(AA341-Z341,0)+MIN(AA342-Z342,0)+MIN(AA343-Z343,0)+MIN(AA344-Z344,0)+MIN(AA345-Z345,0)+MIN(AA346-Z346,0)+MIN(AA347-Z347,0)+MIN(AA348-Z348,0)+MIN(AA349-Z349,0)+MIN(AA356-Z356,0)+MIN(AA360-Z360,0)+MIN(AA361-Z361,0)+MIN(AA350-Z350,0)+MIN(AA351-Z351,0)+MIN(AA352-Z352,0)+MIN(AA353-Z353,0)+MIN(AA354-Z354,0)+MIN(AA355-Z355,0)</f>
        <v>-215</v>
      </c>
      <c r="AB368" s="922"/>
      <c r="AC368" s="922">
        <f>MIN(AC320-AA320,0)+MIN(AC321-AA321,0)+MIN(AC322-AA322,0)+MIN(AC323-AA323,0)+MIN(AC324-AA324,0)+MIN(AC325-AA325,0)+MIN(AC326-AA326,0)+MIN(AC327-AA327,0)+MIN(AC328-AA328,0)+MIN(AC329-AA329,0)+MIN(AC330-AA330,0)+MIN(AC331-AA331,0)+MIN(AC332-AA332,0)+MIN(AC333-AA333,0)+MIN(AC334-AA334,0)+MIN(AC335-AA335,0)+MIN(AC336-AA336,0)+MIN(AC337-AA337,0)+MIN(AC338-AA338,0)+MIN(AC339-AA339,0)+MIN(AC340-AA340,0)+MIN(AC341-AA341,0)+MIN(AC342-AA342,0)+MIN(AC343-AA343,0)+MIN(AC344-AA344,0)+MIN(AC345-AA345,0)+MIN(AC346-AA346,0)+MIN(AC347-AA347,0)+MIN(AC348-AA348,0)+MIN(AC349-AA349,0)+MIN(AC360-AA360,0)+MIN(AC361-AA361,0)+MIN(AC350-AA350,0)+MIN(AC351-AA351,0)+MIN(AC352-AA352,0)+MIN(AC353-AA353,0)+MIN(AC354-AA354,0)+MIN(AC355-AA355,0)+MIN(AC356-AA356,0)+MIN(AC357-AA357,0)+MIN(AC358-AA358,0)</f>
        <v>-1203</v>
      </c>
      <c r="AD368" s="3415">
        <f>MIN(AD320-AC320,0)+MIN(AD321-AC321,0)+MIN(AD322-AC322,0)+MIN(AD323-AC323,0)+MIN(AD324-AC324,0)+MIN(AD325-AC325,0)+MIN(AD326-AC326,0)+MIN(AD327-AC327,0)+MIN(AD328-AC328,0)+MIN(AD329-AC329,0)+MIN(AD330-AC330,0)+MIN(AD331-AC331,0)+MIN(AD332-AC332,0)+MIN(AD333-AC333,0)+MIN(AD334-AC334,0)+MIN(AD335-AC335,0)+MIN(AD336-AC336,0)+MIN(AD337-AC337,0)+MIN(AD338-AC338,0)+MIN(AD339-AC339,0)+MIN(AD340-AC340,0)+MIN(AD341-AC341,0)+MIN(AD342-AC342,0)+MIN(AD343-AC343,0)+MIN(AD344-AC344,0)+MIN(AD345-AC345,0)+MIN(AD346-AC346,0)+MIN(AD347-AC347,0)+MIN(AD348-AC348,0)+MIN(AD349-AC349,0)+MIN(AD360-AC360,0)+MIN(AD361-AC361,0)+MIN(AD350-AC350,0)+MIN(AD351-AC351,0)+MIN(AD352-AC352,0)+MIN(AD353-AC353,0)+MIN(AD354-AC354,0)+MIN(AD355-AC355,0)+MIN(AD356-AC356,0)+MIN(AD357-AC357,0)+MIN(AD358-AC358,0)+MIN(AD359-AC359,0)</f>
        <v>0</v>
      </c>
      <c r="AE368" s="3415">
        <f t="shared" ref="AE368:AN368" si="528">MIN(AE320-AD320,0)+MIN(AE321-AD321,0)+MIN(AE322-AD322,0)+MIN(AE323-AD323,0)+MIN(AE324-AD324,0)+MIN(AE325-AD325,0)+MIN(AE326-AD326,0)+MIN(AE327-AD327,0)+MIN(AE328-AD328,0)+MIN(AE329-AD329,0)+MIN(AE330-AD330,0)+MIN(AE331-AD331,0)+MIN(AE332-AD332,0)+MIN(AE333-AD333,0)+MIN(AE334-AD334,0)+MIN(AE335-AD335,0)+MIN(AE336-AD336,0)+MIN(AE337-AD337,0)+MIN(AE338-AD338,0)+MIN(AE339-AD339,0)+MIN(AE340-AD340,0)+MIN(AE341-AD341,0)+MIN(AE342-AD342,0)+MIN(AE343-AD343,0)+MIN(AE344-AD344,0)+MIN(AE345-AD345,0)+MIN(AE346-AD346,0)+MIN(AE347-AD347,0)+MIN(AE348-AD348,0)+MIN(AE349-AD349,0)+MIN(AE360-AD360,0)+MIN(AE361-AD361,0)+MIN(AE350-AD350,0)+MIN(AE351-AD351,0)+MIN(AE352-AD352,0)+MIN(AE353-AD353,0)+MIN(AE354-AD354,0)+MIN(AE355-AD355,0)+MIN(AE356-AD356,0)+MIN(AE357-AD357,0)+MIN(AE358-AD358,0)+MIN(AE359-AD359,0)</f>
        <v>-606</v>
      </c>
      <c r="AF368" s="3415">
        <f t="shared" si="528"/>
        <v>0</v>
      </c>
      <c r="AG368" s="3415">
        <f t="shared" si="528"/>
        <v>-299</v>
      </c>
      <c r="AH368" s="3415">
        <f t="shared" si="528"/>
        <v>-695</v>
      </c>
      <c r="AI368" s="3415">
        <f t="shared" si="528"/>
        <v>-1033</v>
      </c>
      <c r="AJ368" s="3415">
        <f t="shared" si="528"/>
        <v>-596</v>
      </c>
      <c r="AK368" s="3415">
        <f t="shared" si="528"/>
        <v>-587</v>
      </c>
      <c r="AL368" s="3415">
        <f t="shared" si="528"/>
        <v>-783</v>
      </c>
      <c r="AM368" s="3415">
        <f t="shared" si="528"/>
        <v>-683</v>
      </c>
      <c r="AN368" s="3415">
        <f t="shared" si="528"/>
        <v>-1000</v>
      </c>
      <c r="AO368" s="2240"/>
      <c r="AP368" s="2240"/>
      <c r="AQ368" s="2240"/>
      <c r="AR368" s="2240"/>
      <c r="AS368" s="2240"/>
      <c r="AT368" s="49"/>
      <c r="AU368" s="95"/>
      <c r="AV368" s="95"/>
      <c r="AW368" s="98"/>
      <c r="AX368" s="98"/>
      <c r="AY368" s="98"/>
      <c r="AZ368" s="98"/>
      <c r="BA368" s="98"/>
      <c r="BB368" s="98"/>
      <c r="BC368" s="98"/>
      <c r="BD368" s="98"/>
      <c r="BE368" s="98"/>
      <c r="BF368" s="98"/>
      <c r="BG368" s="98"/>
      <c r="BH368" s="98"/>
      <c r="BI368" s="98"/>
      <c r="BJ368" s="98"/>
      <c r="BK368" s="98"/>
      <c r="BL368" s="98"/>
      <c r="BM368" s="98"/>
      <c r="BN368" s="98"/>
      <c r="BO368" s="98"/>
      <c r="BP368" s="98"/>
      <c r="BQ368" s="98"/>
      <c r="BR368" s="98"/>
      <c r="BS368" s="98"/>
      <c r="BT368" s="98"/>
      <c r="BU368" s="98"/>
      <c r="BV368" s="98"/>
      <c r="BW368" s="98"/>
      <c r="BX368" s="98"/>
      <c r="BY368" s="98"/>
      <c r="BZ368" s="98"/>
      <c r="CA368" s="98"/>
      <c r="CB368" s="98"/>
      <c r="CC368" s="98"/>
      <c r="CD368" s="98"/>
      <c r="CE368" s="98"/>
      <c r="CF368" s="98"/>
      <c r="CG368" s="98"/>
      <c r="CH368" s="98"/>
      <c r="CI368" s="98"/>
      <c r="CJ368" s="98"/>
      <c r="CK368" s="98"/>
      <c r="CL368" s="98"/>
      <c r="CM368" s="98"/>
      <c r="CN368" s="98"/>
      <c r="CO368" s="98"/>
      <c r="CP368" s="98"/>
      <c r="CQ368" s="98"/>
      <c r="CR368" s="98"/>
      <c r="CS368" s="98"/>
      <c r="CT368" s="1247"/>
      <c r="CU368" s="1247"/>
      <c r="CV368" s="1247"/>
      <c r="CW368" s="98"/>
      <c r="CX368" s="98"/>
      <c r="CY368" s="1247"/>
      <c r="CZ368" s="1247"/>
      <c r="DA368" s="1247"/>
      <c r="DB368" s="98"/>
      <c r="DC368" s="2925"/>
      <c r="DD368" s="98"/>
      <c r="DE368" s="98"/>
      <c r="DF368" s="98"/>
      <c r="DG368" s="98"/>
      <c r="DH368" s="98"/>
      <c r="DI368" s="98"/>
      <c r="DJ368" s="98"/>
      <c r="DK368" s="98"/>
      <c r="DL368" s="98"/>
      <c r="DM368" s="98"/>
      <c r="DN368" s="98"/>
      <c r="DO368" s="98"/>
      <c r="DP368" s="98"/>
      <c r="DQ368" s="98"/>
      <c r="DR368" s="98"/>
    </row>
    <row r="369" spans="1:122">
      <c r="A369" s="11" t="s">
        <v>1318</v>
      </c>
      <c r="B369" s="49"/>
      <c r="C369" s="49"/>
      <c r="D369" s="49"/>
      <c r="E369" s="49"/>
      <c r="F369" s="49"/>
      <c r="G369" s="49"/>
      <c r="H369" s="49"/>
      <c r="I369" s="842"/>
      <c r="J369" s="842"/>
      <c r="K369" s="842"/>
      <c r="L369" s="842"/>
      <c r="M369" s="842"/>
      <c r="N369" s="922">
        <f>MAX(N320-M320,0)+MAX(N321-M321,0)+MAX(N322-M322,0)+MAX(N323-M323,0)+MAX(N324-M324,0)+MAX(N325-M325,0)+MAX(N326-M326,0)+MAX(N327-M327,0)+MAX(N328-M328,0)+MAX(N329-M329,0)+MAX(N330-M330,0)+MAX(N332-M332,0)+MAX(N337-M337,0)+MAX(N338-M338,0)+MAX(N339-M339,0)+MAX(N340-M340,0)+MAX(N342-M342,0)+MAX(N343-M343,0)+MAX(N360-M360,0)+MAX(N361-M361,0)</f>
        <v>105.89999999999999</v>
      </c>
      <c r="O369" s="919"/>
      <c r="P369" s="842"/>
      <c r="Q369" s="842"/>
      <c r="R369" s="922">
        <f>MAX(R320-N320,0)+MAX(R321-N321,0)+MAX(R322-N322,0)+MAX(R323-N323,0)+MAX(R324-N324,0)+MAX(R325-N325,0)+MAX(R326-N326,0)+MAX(R327-N327,0)+MAX(R328-N328,0)+MAX(R329-N329,0)+MAX(R330-N330,0)+MAX(R332-N332,0)+MAX(R337-N337,0)+MAX(R338-N338,0)+MAX(R339-N339,0)+MAX(R340-N340,0)+MAX(R342-N342,0)+MAX(R343-N343,0)+MAX(R360-N360,0)+MAX(R361-N361,0)+MAX(R331-N331,0)+MAX(R333-N333,0)+MAX(R334-N334,0)</f>
        <v>993.3</v>
      </c>
      <c r="S369" s="922">
        <f>MAX(S320-R320,0)+MAX(S321-R321,0)+MAX(S322-R322,0)+MAX(S323-R323,0)+MAX(S324-R324,0)+MAX(S325-R325,0)+MAX(S326-R326,0)+MAX(S327-R327,0)+MAX(S328-R328,0)+MAX(S329-R329,0)+MAX(S330-R330,0)+MAX(S332-R332,0)+MAX(S337-R337,0)+MAX(S338-R338,0)+MAX(S339-R339,0)+MAX(S340-R340,0)+MAX(S342-R342,0)+MAX(S343-R343,0)+MAX(S360-R360,0)+MAX(S361-R361,0)+MAX(S331-R331,0)+MAX(S333-R333,0)+MAX(S334-R334,0)+MAX(S335-R335,0)+MAX(S336-R336,0)+MAX(S341-R341,0)</f>
        <v>1100</v>
      </c>
      <c r="T369" s="922">
        <f>MAX(T320-S320,0)+MAX(T321-S321,0)+MAX(T322-S322,0)+MAX(T323-S323,0)+MAX(T324-S324,0)+MAX(T325-S325,0)+MAX(T326-S326,0)+MAX(T327-S327,0)+MAX(T328-S328,0)+MAX(T329-S329,0)+MAX(T330-S330,0)+MAX(T332-S332,0)+MAX(T337-S337,0)+MAX(T338-S338,0)+MAX(T339-S339,0)+MAX(T340-S340,0)+MAX(T342-S342,0)+MAX(T343-S343,0)+MAX(T360-S360,0)+MAX(T361-S361,0)+MAX(T331-S331,0)+MAX(T333-S333,0)+MAX(T334-S334,0)+MAX(T335-S335,0)+MAX(T336-S336,0)+MAX(T341-S341,0)</f>
        <v>0</v>
      </c>
      <c r="U369" s="922">
        <f>MAX(U320-T320,0)+MAX(U321-T321,0)+MAX(U322-T322,0)+MAX(U323-T323,0)+MAX(U324-T324,0)+MAX(U325-T325,0)+MAX(U326-T326,0)+MAX(U327-T327,0)+MAX(U328-T328,0)+MAX(U329-T329,0)+MAX(U330-T330,0)+MAX(U331-T331,0)+MAX(U332-T332,0)+MAX(U333-T333,0)+MAX(U334-T334,0)+MAX(U335-T335,0)+MAX(U336-T336,0)+MAX(U337-T337,0)+MAX(U338-T338,0)+MAX(U339-T339,0)+MAX(U340-T340,0)+MAX(U341-T341,0)+MAX(U342-T342,0)+MAX(U343-T343,0)+MAX(U344-T344,0)+MAX(U345-T345,0)+MAX(U346-T346,0)+MAX(U347-T347,0)+MAX(U348-T348,0)+MAX(U349-T349,0)+MAX(U356-T356,0)+MAX(U360-T360,0)+MAX(U361-T361,0)</f>
        <v>1600</v>
      </c>
      <c r="V369" s="922">
        <f>MAX(V320-U320,0)+MAX(V321-U321,0)+MAX(V322-U322,0)+MAX(V323-U323,0)+MAX(V324-U324,0)+MAX(V325-U325,0)+MAX(V326-U326,0)+MAX(V327-U327,0)+MAX(V328-U328,0)+MAX(V329-U329,0)+MAX(V330-U330,0)+MAX(V331-U331,0)+MAX(V332-U332,0)+MAX(V333-U333,0)+MAX(V334-U334,0)+MAX(V335-U335,0)+MAX(V336-U336,0)+MAX(V337-U337,0)+MAX(V338-U338,0)+MAX(V339-U339,0)+MAX(V340-U340,0)+MAX(V341-U341,0)+MAX(V342-U342,0)+MAX(V343-U343,0)+MAX(V344-U344,0)+MAX(V345-U345,0)+MAX(V346-U346,0)+MAX(V347-U347,0)+MAX(V348-U348,0)+MAX(V349-U349,0)+MAX(V356-U356,0)+MAX(V360-U360,0)+MAX(V361-U361,0)</f>
        <v>577.79999999999893</v>
      </c>
      <c r="W369" s="922">
        <f>MAX(W320-V320,0)+MAX(W321-V321,0)+MAX(W322-V322,0)+MAX(W323-V323,0)+MAX(W324-V324,0)+MAX(W325-V325,0)+MAX(W326-V326,0)+MAX(W327-V327,0)+MAX(W328-V328,0)+MAX(W329-V329,0)+MAX(W330-V330,0)+MAX(W331-V331,0)+MAX(W332-V332,0)+MAX(W333-V333,0)+MAX(W334-V334,0)+MAX(W335-V335,0)+MAX(W336-V336,0)+MAX(W337-V337,0)+MAX(W338-V338,0)+MAX(W339-V339,0)+MAX(W340-V340,0)+MAX(W341-V341,0)+MAX(W342-V342,0)+MAX(W343-V343,0)+MAX(W344-V344,0)+MAX(W345-V345,0)+MAX(W346-V346,0)+MAX(W347-V347,0)+MAX(W348-V348,0)+MAX(W349-V349,0)+MAX(W356-V356,0)+MAX(W360-V360,0)+MAX(W361-V361,0)+MAX(W350-V350,0)+MAX(W351-V351,0)+MAX(W352-V352,0)+MAX(W353-V353,0)+MAX(W354-V354,0)</f>
        <v>1882</v>
      </c>
      <c r="X369" s="922"/>
      <c r="Y369" s="922"/>
      <c r="Z369" s="922">
        <f>MAX(Z320-W320,0)+MAX(Z321-W321,0)+MAX(Z322-W322,0)+MAX(Z323-W323,0)+MAX(Z324-W324,0)+MAX(Z325-W325,0)+MAX(Z326-W326,0)+MAX(Z327-W327,0)+MAX(Z328-W328,0)+MAX(Z329-W329,0)+MAX(Z330-W330,0)+MAX(Z331-W331,0)+MAX(Z332-W332,0)+MAX(Z333-W333,0)+MAX(Z334-W334,0)+MAX(Z335-W335,0)+MAX(Z336-W336,0)+MAX(Z337-W337,0)+MAX(Z338-W338,0)+MAX(Z339-W339,0)+MAX(Z340-W340,0)+MAX(Z341-W341,0)+MAX(Z342-W342,0)+MAX(Z343-W343,0)+MAX(Z344-W344,0)+MAX(Z345-W345,0)+MAX(Z346-W346,0)+MAX(Z347-W347,0)+MAX(Z348-W348,0)+MAX(Z349-W349,0)+MAX(Z356-W356,0)+MAX(Z360-W360,0)+MAX(Z361-W361,0)+MAX(Z350-W350,0)+MAX(Z351-W351,0)+MAX(Z352-W352,0)+MAX(Z353-W353,0)+MAX(Z354-W354,0)</f>
        <v>1964</v>
      </c>
      <c r="AA369" s="922">
        <f>MAX(AA320-Z320,0)+MAX(AA321-Z321,0)+MAX(AA322-Z322,0)+MAX(AA323-Z323,0)+MAX(AA324-Z324,0)+MAX(AA325-Z325,0)+MAX(AA326-Z326,0)+MAX(AA327-Z327,0)+MAX(AA328-Z328,0)+MAX(AA329-Z329,0)+MAX(AA330-Z330,0)+MAX(AA331-Z331,0)+MAX(AA332-Z332,0)+MAX(AA333-Z333,0)+MAX(AA334-Z334,0)+MAX(AA335-Z335,0)+MAX(AA336-Z336,0)+MAX(AA337-Z337,0)+MAX(AA338-Z338,0)+MAX(AA339-Z339,0)+MAX(AA340-Z340,0)+MAX(AA341-Z341,0)+MAX(AA342-Z342,0)+MAX(AA343-Z343,0)+MAX(AA344-Z344,0)+MAX(AA345-Z345,0)+MAX(AA346-Z346,0)+MAX(AA347-Z347,0)+MAX(AA348-Z348,0)+MAX(AA349-Z349,0)+MAX(AA356-Z356,0)+MAX(AA360-Z360,0)+MAX(AA361-Z361,0)+MAX(AA350-Z350,0)+MAX(AA351-Z351,0)+MAX(AA352-Z352,0)+MAX(AA353-Z353,0)+MAX(AA354-Z354,0)+MAX(AA355-Z355,0)</f>
        <v>1142</v>
      </c>
      <c r="AB369" s="922"/>
      <c r="AC369" s="922">
        <f>MAX(AC320-AA320,0)+MAX(AC321-AA321,0)+MAX(AC322-AA322,0)+MAX(AC323-AA323,0)+MAX(AC324-AA324,0)+MAX(AC325-AA325,0)+MAX(AC326-AA326,0)+MAX(AC327-AA327,0)+MAX(AC328-AA328,0)+MAX(AC329-AA329,0)+MAX(AC330-AA330,0)+MAX(AC331-AA331,0)+MAX(AC332-AA332,0)+MAX(AC333-AA333,0)+MAX(AC334-AA334,0)+MAX(AC335-AA335,0)+MAX(AC336-AA336,0)+MAX(AC337-AA337,0)+MAX(AC338-AA338,0)+MAX(AC339-AA339,0)+MAX(AC340-AA340,0)+MAX(AC341-AA341,0)+MAX(AC342-AA342,0)+MAX(AC343-AA343,0)+MAX(AC344-AA344,0)+MAX(AC345-AA345,0)+MAX(AC346-AA346,0)+MAX(AC347-AA347,0)+MAX(AC348-AA348,0)+MAX(AC349-AA349,0)+MAX(AC360-AA360,0)+MAX(AC361-AA361,0)+MAX(AC350-AA350,0)+MAX(AC351-AA351,0)+MAX(AC352-AA352,0)+MAX(AC353-AA353,0)+MAX(AC354-AA354,0)+MAX(AC355-AA355,0)+MAX(AC356-AA356,0)+MAX(AC357-AA357,0)+MAX(AC358-AA358,0)</f>
        <v>1800</v>
      </c>
      <c r="AD369" s="3415">
        <f>MAX(AD320-AC320,0)+MAX(AD321-AC321,0)+MAX(AD322-AC322,0)+MAX(AD323-AC323,0)+MAX(AD324-AC324,0)+MAX(AD325-AC325,0)+MAX(AD326-AC326,0)+MAX(AD327-AC327,0)+MAX(AD328-AC328,0)+MAX(AD329-AC329,0)+MAX(AD330-AC330,0)+MAX(AD331-AC331,0)+MAX(AD332-AC332,0)+MAX(AD333-AC333,0)+MAX(AD334-AC334,0)+MAX(AD335-AC335,0)+MAX(AD336-AC336,0)+MAX(AD337-AC337,0)+MAX(AD338-AC338,0)+MAX(AD339-AC339,0)+MAX(AD340-AC340,0)+MAX(AD341-AC341,0)+MAX(AD342-AC342,0)+MAX(AD343-AC343,0)+MAX(AD344-AC344,0)+MAX(AD345-AC345,0)+MAX(AD346-AC346,0)+MAX(AD347-AC347,0)+MAX(AD348-AC348,0)+MAX(AD349-AC349,0)+MAX(AD360-AC360,0)+MAX(AD361-AC361,0)+MAX(AD350-AC350,0)+MAX(AD351-AC351,0)+MAX(AD352-AC352,0)+MAX(AD353-AC353,0)+MAX(AD354-AC354,0)+MAX(AD355-AC355,0)+MAX(AD356-AC356,0)+MAX(AD357-AC357,0)+MAX(AD358-AC358,0)+MAX(AD359-AC359,0)</f>
        <v>0</v>
      </c>
      <c r="AE369" s="3415">
        <f t="shared" ref="AE369:AG369" si="529">MAX(AE320-AD320,0)+MAX(AE321-AD321,0)+MAX(AE322-AD322,0)+MAX(AE323-AD323,0)+MAX(AE324-AD324,0)+MAX(AE325-AD325,0)+MAX(AE326-AD326,0)+MAX(AE327-AD327,0)+MAX(AE328-AD328,0)+MAX(AE329-AD329,0)+MAX(AE330-AD330,0)+MAX(AE331-AD331,0)+MAX(AE332-AD332,0)+MAX(AE333-AD333,0)+MAX(AE334-AD334,0)+MAX(AE335-AD335,0)+MAX(AE336-AD336,0)+MAX(AE337-AD337,0)+MAX(AE338-AD338,0)+MAX(AE339-AD339,0)+MAX(AE340-AD340,0)+MAX(AE341-AD341,0)+MAX(AE342-AD342,0)+MAX(AE343-AD343,0)+MAX(AE344-AD344,0)+MAX(AE345-AD345,0)+MAX(AE346-AD346,0)+MAX(AE347-AD347,0)+MAX(AE348-AD348,0)+MAX(AE349-AD349,0)+MAX(AE360-AD360,0)+MAX(AE361-AD361,0)+MAX(AE350-AD350,0)+MAX(AE351-AD351,0)+MAX(AE352-AD352,0)+MAX(AE353-AD353,0)+MAX(AE354-AD354,0)+MAX(AE355-AD355,0)+MAX(AE356-AD356,0)+MAX(AE357-AD357,0)+MAX(AE358-AD358,0)+MAX(AE359-AD359,0)</f>
        <v>0</v>
      </c>
      <c r="AF369" s="3415">
        <f t="shared" si="529"/>
        <v>0</v>
      </c>
      <c r="AG369" s="3415">
        <f t="shared" si="529"/>
        <v>0</v>
      </c>
      <c r="AH369" s="3415">
        <f>MAX(AH320-AG320,0)+MAX(AH321-AG321,0)+MAX(AH322-AG322,0)+MAX(AH323-AG323,0)+MAX(AH324-AG324,0)+MAX(AH325-AG325,0)+MAX(AH326-AG326,0)+MAX(AH327-AG327,0)+MAX(AH328-AG328,0)+MAX(AH329-AG329,0)+MAX(AH330-AG330,0)+MAX(AH331-AG331,0)+MAX(AH332-AG332,0)+MAX(AH333-AG333,0)+MAX(AH334-AG334,0)+MAX(AH335-AG335,0)+MAX(AH336-AG336,0)+MAX(AH337-AG337,0)+MAX(AH338-AG338,0)+MAX(AH339-AG339,0)+MAX(AH340-AG340,0)+MAX(AH341-AG341,0)+MAX(AH342-AG342,0)+MAX(AH343-AG343,0)+MAX(AH344-AG344,0)+MAX(AH345-AG345,0)+MAX(AH346-AG346,0)+MAX(AH347-AG347,0)+MAX(AH348-AG348,0)+MAX(AH349-AG349,0)+MAX(AH360-AG360,0)+MAX(AH361-AG361,0)+MAX(AH350-AG350,0)+MAX(AH351-AG351,0)+MAX(AH352-AG352,0)+MAX(AH353-AG353,0)+MAX(AH354-AG354,0)+MAX(AH355-AG355,0)+MAX(AH356-AG356,0)+MAX(AH357-AG357,0)+MAX(AH358-AG358,0)+MAX(AH359-AG359,0)</f>
        <v>0</v>
      </c>
      <c r="AI369" s="3415">
        <f t="shared" ref="AI369:AN369" si="530">MAX(AI320-AH320,0)+MAX(AI321-AH321,0)+MAX(AI322-AH322,0)+MAX(AI323-AH323,0)+MAX(AI324-AH324,0)+MAX(AI325-AH325,0)+MAX(AI326-AH326,0)+MAX(AI327-AH327,0)+MAX(AI328-AH328,0)+MAX(AI329-AH329,0)+MAX(AI330-AH330,0)+MAX(AI331-AH331,0)+MAX(AI332-AH332,0)+MAX(AI333-AH333,0)+MAX(AI334-AH334,0)+MAX(AI335-AH335,0)+MAX(AI336-AH336,0)+MAX(AI337-AH337,0)+MAX(AI338-AH338,0)+MAX(AI339-AH339,0)+MAX(AI340-AH340,0)+MAX(AI341-AH341,0)+MAX(AI342-AH342,0)+MAX(AI343-AH343,0)+MAX(AI344-AH344,0)+MAX(AI345-AH345,0)+MAX(AI346-AH346,0)+MAX(AI347-AH347,0)+MAX(AI348-AH348,0)+MAX(AI349-AH349,0)+MAX(AI360-AH360,0)+MAX(AI361-AH361,0)+MAX(AI350-AH350,0)+MAX(AI351-AH351,0)+MAX(AI352-AH352,0)+MAX(AI353-AH353,0)+MAX(AI354-AH354,0)+MAX(AI355-AH355,0)+MAX(AI356-AH356,0)+MAX(AI357-AH357,0)+MAX(AI358-AH358,0)+MAX(AI359-AH359,0)</f>
        <v>0</v>
      </c>
      <c r="AJ369" s="3415">
        <f t="shared" si="530"/>
        <v>0</v>
      </c>
      <c r="AK369" s="3415">
        <f t="shared" si="530"/>
        <v>0</v>
      </c>
      <c r="AL369" s="3415">
        <f t="shared" si="530"/>
        <v>0</v>
      </c>
      <c r="AM369" s="3415">
        <f t="shared" si="530"/>
        <v>0</v>
      </c>
      <c r="AN369" s="3415">
        <f t="shared" si="530"/>
        <v>0</v>
      </c>
      <c r="AO369" s="2240"/>
      <c r="AP369" s="2240"/>
      <c r="AQ369" s="2240"/>
      <c r="AR369" s="2240"/>
      <c r="AS369" s="2240"/>
      <c r="AT369" s="49"/>
      <c r="AU369" s="95"/>
      <c r="AV369" s="95"/>
      <c r="AW369" s="98"/>
      <c r="AX369" s="98"/>
      <c r="AY369" s="98"/>
      <c r="AZ369" s="98"/>
      <c r="BA369" s="98"/>
      <c r="BB369" s="98"/>
      <c r="BC369" s="98"/>
      <c r="BD369" s="98"/>
      <c r="BE369" s="98"/>
      <c r="BF369" s="98"/>
      <c r="BG369" s="98"/>
      <c r="BH369" s="98"/>
      <c r="BI369" s="98"/>
      <c r="BJ369" s="98"/>
      <c r="BK369" s="98"/>
      <c r="BL369" s="98"/>
      <c r="BM369" s="98"/>
      <c r="BN369" s="98"/>
      <c r="BO369" s="98"/>
      <c r="BP369" s="98"/>
      <c r="BQ369" s="98"/>
      <c r="BR369" s="98"/>
      <c r="BS369" s="98"/>
      <c r="BT369" s="98"/>
      <c r="BU369" s="98"/>
      <c r="BV369" s="98"/>
      <c r="BW369" s="98"/>
      <c r="BX369" s="98"/>
      <c r="BY369" s="98"/>
      <c r="BZ369" s="98"/>
      <c r="CA369" s="98"/>
      <c r="CB369" s="98"/>
      <c r="CC369" s="98"/>
      <c r="CD369" s="98"/>
      <c r="CE369" s="98"/>
      <c r="CF369" s="98"/>
      <c r="CG369" s="98"/>
      <c r="CH369" s="98"/>
      <c r="CI369" s="98"/>
      <c r="CJ369" s="98"/>
      <c r="CK369" s="98"/>
      <c r="CL369" s="98"/>
      <c r="CM369" s="98"/>
      <c r="CN369" s="98"/>
      <c r="CO369" s="98"/>
      <c r="CP369" s="98"/>
      <c r="CQ369" s="98"/>
      <c r="CR369" s="98"/>
      <c r="CS369" s="98"/>
      <c r="CT369" s="1247"/>
      <c r="CU369" s="1247"/>
      <c r="CV369" s="1247"/>
      <c r="CW369" s="98"/>
      <c r="CX369" s="98"/>
      <c r="CY369" s="1247"/>
      <c r="CZ369" s="1247"/>
      <c r="DA369" s="1247"/>
      <c r="DB369" s="98"/>
      <c r="DC369" s="2925"/>
      <c r="DD369" s="98"/>
      <c r="DE369" s="98"/>
      <c r="DF369" s="98"/>
      <c r="DG369" s="98"/>
      <c r="DH369" s="98"/>
      <c r="DI369" s="98"/>
      <c r="DJ369" s="98"/>
      <c r="DK369" s="98"/>
      <c r="DL369" s="98"/>
      <c r="DM369" s="98"/>
      <c r="DN369" s="98"/>
      <c r="DO369" s="98"/>
      <c r="DP369" s="98"/>
      <c r="DQ369" s="98"/>
      <c r="DR369" s="98"/>
    </row>
    <row r="370" spans="1:122">
      <c r="A370" s="11" t="s">
        <v>794</v>
      </c>
      <c r="B370" s="49"/>
      <c r="C370" s="49"/>
      <c r="D370" s="49"/>
      <c r="E370" s="49"/>
      <c r="F370" s="49"/>
      <c r="G370" s="49"/>
      <c r="H370" s="49"/>
      <c r="I370" s="842"/>
      <c r="J370" s="842"/>
      <c r="K370" s="842"/>
      <c r="L370" s="842"/>
      <c r="M370" s="842"/>
      <c r="N370" s="1177">
        <f>(N362-N186)/N13</f>
        <v>2.4574689567997621</v>
      </c>
      <c r="O370" s="919"/>
      <c r="P370" s="842"/>
      <c r="Q370" s="842"/>
      <c r="R370" s="1177">
        <f t="shared" ref="R370:W370" si="531">(R362-R186)/R13</f>
        <v>3.5524921064501571</v>
      </c>
      <c r="S370" s="1177">
        <f t="shared" si="531"/>
        <v>2.3300970873786402</v>
      </c>
      <c r="T370" s="1177">
        <f t="shared" si="531"/>
        <v>1.6857776369971489</v>
      </c>
      <c r="U370" s="2084">
        <f t="shared" si="531"/>
        <v>1.4948394495412847</v>
      </c>
      <c r="V370" s="2084">
        <f t="shared" si="531"/>
        <v>1.6164346895074946</v>
      </c>
      <c r="W370" s="2083">
        <f t="shared" si="531"/>
        <v>2.0639016897081413</v>
      </c>
      <c r="X370" s="2083"/>
      <c r="Y370" s="2083"/>
      <c r="Z370" s="2083">
        <f t="shared" ref="Z370:AK370" si="532">(Z362-Z186)/Z13</f>
        <v>2.6169938847763117</v>
      </c>
      <c r="AA370" s="2083">
        <f t="shared" si="532"/>
        <v>2.5729194148858205</v>
      </c>
      <c r="AB370" s="2083"/>
      <c r="AC370" s="2083">
        <f t="shared" ca="1" si="532"/>
        <v>3.1486230586009283</v>
      </c>
      <c r="AD370" s="2084">
        <f ca="1">(AD362-AD186)/AD13</f>
        <v>2.8400120874599146</v>
      </c>
      <c r="AE370" s="2084">
        <f t="shared" ca="1" si="532"/>
        <v>2.6712494603541206</v>
      </c>
      <c r="AF370" s="2084">
        <f t="shared" ca="1" si="532"/>
        <v>2.3158916730647925</v>
      </c>
      <c r="AG370" s="2084">
        <f t="shared" ca="1" si="532"/>
        <v>2.126000831031126</v>
      </c>
      <c r="AH370" s="2084">
        <f t="shared" ca="1" si="532"/>
        <v>1.8429455173786262</v>
      </c>
      <c r="AI370" s="2084">
        <f t="shared" ca="1" si="532"/>
        <v>1.7912111520678873</v>
      </c>
      <c r="AJ370" s="2084">
        <f t="shared" ca="1" si="532"/>
        <v>1.5901704359369533</v>
      </c>
      <c r="AK370" s="2084">
        <f t="shared" ca="1" si="532"/>
        <v>1.4335449464679355</v>
      </c>
      <c r="AL370" s="2083">
        <f ca="1">(AL362-AL186)/AL13</f>
        <v>1.3017365023920555</v>
      </c>
      <c r="AM370" s="2083">
        <f ca="1">(AM362-AM186)/AM13</f>
        <v>1.1759271196830601</v>
      </c>
      <c r="AN370" s="2083">
        <f ca="1">(AN362-AN186)/AN13</f>
        <v>0.95250523848891078</v>
      </c>
      <c r="AO370" s="2240"/>
      <c r="AP370" s="2240"/>
      <c r="AQ370" s="2240"/>
      <c r="AR370" s="2240"/>
      <c r="AS370" s="2240"/>
      <c r="AT370" s="49"/>
      <c r="AU370" s="95"/>
      <c r="AV370" s="95"/>
      <c r="AW370" s="98"/>
      <c r="AX370" s="98"/>
      <c r="AY370" s="98"/>
      <c r="AZ370" s="98"/>
      <c r="BA370" s="98"/>
      <c r="BB370" s="98"/>
      <c r="BC370" s="98"/>
      <c r="BD370" s="98"/>
      <c r="BE370" s="98"/>
      <c r="BF370" s="98"/>
      <c r="BG370" s="98"/>
      <c r="BH370" s="98"/>
      <c r="BI370" s="98"/>
      <c r="BJ370" s="98"/>
      <c r="BK370" s="98"/>
      <c r="BL370" s="98"/>
      <c r="BM370" s="98"/>
      <c r="BN370" s="98"/>
      <c r="BO370" s="98"/>
      <c r="BP370" s="98"/>
      <c r="BQ370" s="98"/>
      <c r="BR370" s="98"/>
      <c r="BS370" s="98"/>
      <c r="BT370" s="98"/>
      <c r="BU370" s="98"/>
      <c r="BV370" s="98"/>
      <c r="BW370" s="98"/>
      <c r="BX370" s="98"/>
      <c r="BY370" s="98"/>
      <c r="BZ370" s="98"/>
      <c r="CA370" s="98"/>
      <c r="CB370" s="98"/>
      <c r="CC370" s="98"/>
      <c r="CD370" s="98"/>
      <c r="CE370" s="98"/>
      <c r="CF370" s="98"/>
      <c r="CG370" s="98"/>
      <c r="CH370" s="98"/>
      <c r="CI370" s="98"/>
      <c r="CJ370" s="98"/>
      <c r="CK370" s="98"/>
      <c r="CL370" s="98"/>
      <c r="CM370" s="98"/>
      <c r="CN370" s="98"/>
      <c r="CO370" s="98"/>
      <c r="CP370" s="98"/>
      <c r="CQ370" s="98"/>
      <c r="CR370" s="98"/>
      <c r="CS370" s="98"/>
      <c r="CT370" s="1247"/>
      <c r="CU370" s="1247"/>
      <c r="CV370" s="1247"/>
      <c r="CW370" s="98"/>
      <c r="CX370" s="98"/>
      <c r="CY370" s="1247"/>
      <c r="CZ370" s="1247"/>
      <c r="DA370" s="1247"/>
      <c r="DB370" s="98"/>
      <c r="DC370" s="2925"/>
      <c r="DD370" s="98"/>
      <c r="DE370" s="98"/>
      <c r="DF370" s="98"/>
      <c r="DG370" s="98"/>
      <c r="DH370" s="98"/>
      <c r="DI370" s="98"/>
      <c r="DJ370" s="98"/>
      <c r="DK370" s="98"/>
      <c r="DL370" s="98"/>
      <c r="DM370" s="98"/>
      <c r="DN370" s="98"/>
      <c r="DO370" s="98"/>
      <c r="DP370" s="98"/>
      <c r="DQ370" s="98"/>
      <c r="DR370" s="98"/>
    </row>
    <row r="371" spans="1:122">
      <c r="A371" s="11" t="s">
        <v>1507</v>
      </c>
      <c r="B371" s="49"/>
      <c r="C371" s="49"/>
      <c r="D371" s="49"/>
      <c r="E371" s="49"/>
      <c r="F371" s="49"/>
      <c r="G371" s="49"/>
      <c r="H371" s="49"/>
      <c r="I371" s="842"/>
      <c r="J371" s="842"/>
      <c r="K371" s="842"/>
      <c r="L371" s="842"/>
      <c r="M371" s="842"/>
      <c r="N371" s="1177">
        <f>N362/N13</f>
        <v>2.6134285076957395</v>
      </c>
      <c r="O371" s="919"/>
      <c r="P371" s="842"/>
      <c r="Q371" s="842"/>
      <c r="R371" s="1177">
        <f t="shared" ref="R371:W371" si="533">R362/R13</f>
        <v>3.9565854758682897</v>
      </c>
      <c r="S371" s="1177">
        <f t="shared" si="533"/>
        <v>2.5327142254115658</v>
      </c>
      <c r="T371" s="1177">
        <f t="shared" si="533"/>
        <v>1.8948368704466263</v>
      </c>
      <c r="U371" s="2084">
        <f t="shared" si="533"/>
        <v>1.6978211009174313</v>
      </c>
      <c r="V371" s="2084">
        <f t="shared" si="533"/>
        <v>1.7226980728051391</v>
      </c>
      <c r="W371" s="2083">
        <f t="shared" si="533"/>
        <v>2.1953917050691243</v>
      </c>
      <c r="X371" s="2083"/>
      <c r="Y371" s="2083"/>
      <c r="Z371" s="2083">
        <f t="shared" ref="Z371:AK371" si="534">Z362/Z13</f>
        <v>2.7190215642098488</v>
      </c>
      <c r="AA371" s="2083">
        <f t="shared" si="534"/>
        <v>2.7482191539882157</v>
      </c>
      <c r="AB371" s="2083"/>
      <c r="AC371" s="2083">
        <f ca="1">AC362/AC13</f>
        <v>3.3134723339006222</v>
      </c>
      <c r="AD371" s="2084">
        <f t="shared" ca="1" si="534"/>
        <v>3.0639741096522837</v>
      </c>
      <c r="AE371" s="2084">
        <f t="shared" ca="1" si="534"/>
        <v>2.816685804469234</v>
      </c>
      <c r="AF371" s="2084">
        <f t="shared" ca="1" si="534"/>
        <v>2.4729516068405695</v>
      </c>
      <c r="AG371" s="2084">
        <f t="shared" ca="1" si="534"/>
        <v>2.3269155745439454</v>
      </c>
      <c r="AH371" s="2084">
        <f t="shared" ca="1" si="534"/>
        <v>2.0183552654229153</v>
      </c>
      <c r="AI371" s="2084">
        <f t="shared" ca="1" si="534"/>
        <v>1.917340845867225</v>
      </c>
      <c r="AJ371" s="2084">
        <f t="shared" ca="1" si="534"/>
        <v>1.7131560109070687</v>
      </c>
      <c r="AK371" s="2084">
        <f t="shared" ca="1" si="534"/>
        <v>1.5564221700434773</v>
      </c>
      <c r="AL371" s="2083">
        <f ca="1">AL362/AL13</f>
        <v>1.426467053109483</v>
      </c>
      <c r="AM371" s="2083">
        <f ca="1">AM362/AM13</f>
        <v>1.3022661051880755</v>
      </c>
      <c r="AN371" s="2083">
        <f ca="1">AN362/AN13</f>
        <v>1.0728591709988053</v>
      </c>
      <c r="AO371" s="2240"/>
      <c r="AP371" s="2240"/>
      <c r="AQ371" s="2240"/>
      <c r="AR371" s="2240"/>
      <c r="AS371" s="2240"/>
      <c r="AT371" s="49"/>
      <c r="AU371" s="95"/>
      <c r="AV371" s="95"/>
      <c r="AW371" s="98"/>
      <c r="AX371" s="98"/>
      <c r="AY371" s="98"/>
      <c r="AZ371" s="98"/>
      <c r="BA371" s="98"/>
      <c r="BB371" s="98"/>
      <c r="BC371" s="98"/>
      <c r="BD371" s="98"/>
      <c r="BE371" s="98"/>
      <c r="BF371" s="98"/>
      <c r="BG371" s="98"/>
      <c r="BH371" s="98"/>
      <c r="BI371" s="98"/>
      <c r="BJ371" s="98"/>
      <c r="BK371" s="98"/>
      <c r="BL371" s="98"/>
      <c r="BM371" s="98"/>
      <c r="BN371" s="98"/>
      <c r="BO371" s="98"/>
      <c r="BP371" s="98"/>
      <c r="BQ371" s="98"/>
      <c r="BR371" s="98"/>
      <c r="BS371" s="98"/>
      <c r="BT371" s="98"/>
      <c r="BU371" s="98"/>
      <c r="BV371" s="98"/>
      <c r="BW371" s="98"/>
      <c r="BX371" s="98"/>
      <c r="BY371" s="98"/>
      <c r="BZ371" s="98"/>
      <c r="CA371" s="98"/>
      <c r="CB371" s="98"/>
      <c r="CC371" s="98"/>
      <c r="CD371" s="98"/>
      <c r="CE371" s="98"/>
      <c r="CF371" s="98"/>
      <c r="CG371" s="98"/>
      <c r="CH371" s="98"/>
      <c r="CI371" s="98"/>
      <c r="CJ371" s="98"/>
      <c r="CK371" s="98"/>
      <c r="CL371" s="98"/>
      <c r="CM371" s="98"/>
      <c r="CN371" s="98"/>
      <c r="CO371" s="98"/>
      <c r="CP371" s="98"/>
      <c r="CQ371" s="98"/>
      <c r="CR371" s="98"/>
      <c r="CS371" s="98"/>
      <c r="CT371" s="1247"/>
      <c r="CU371" s="1247"/>
      <c r="CV371" s="1247"/>
      <c r="CW371" s="98"/>
      <c r="CX371" s="98"/>
      <c r="CY371" s="1247"/>
      <c r="CZ371" s="1247"/>
      <c r="DA371" s="1247"/>
      <c r="DB371" s="98"/>
      <c r="DC371" s="2925"/>
      <c r="DD371" s="98"/>
      <c r="DE371" s="98"/>
      <c r="DF371" s="98"/>
      <c r="DG371" s="98"/>
      <c r="DH371" s="2925"/>
      <c r="DI371" s="2925"/>
      <c r="DJ371" s="2925"/>
      <c r="DK371" s="2925"/>
      <c r="DL371" s="2925"/>
      <c r="DM371" s="2925"/>
      <c r="DN371" s="2925"/>
      <c r="DO371" s="2925"/>
      <c r="DP371" s="2925"/>
      <c r="DQ371" s="2925"/>
      <c r="DR371" s="2925"/>
    </row>
    <row r="372" spans="1:122">
      <c r="A372" s="11"/>
      <c r="B372" s="49"/>
      <c r="C372" s="49"/>
      <c r="D372" s="49"/>
      <c r="E372" s="49"/>
      <c r="F372" s="49"/>
      <c r="G372" s="49"/>
      <c r="H372" s="49"/>
      <c r="I372" s="842"/>
      <c r="J372" s="842"/>
      <c r="K372" s="842"/>
      <c r="L372" s="842"/>
      <c r="M372" s="842"/>
      <c r="N372" s="842"/>
      <c r="O372" s="919"/>
      <c r="P372" s="842"/>
      <c r="Q372" s="842"/>
      <c r="R372" s="842"/>
      <c r="S372" s="842"/>
      <c r="T372" s="842"/>
      <c r="V372" s="1177"/>
      <c r="W372" s="1992"/>
      <c r="X372" s="1992"/>
      <c r="Y372" s="1992"/>
      <c r="Z372" s="1992"/>
      <c r="AA372" s="1992"/>
      <c r="AB372" s="1992"/>
      <c r="AC372" s="1992"/>
      <c r="AD372" s="1177"/>
      <c r="AE372" s="1177"/>
      <c r="AF372" s="1177"/>
      <c r="AG372" s="1177"/>
      <c r="AH372" s="1177"/>
      <c r="AI372" s="1177"/>
      <c r="AJ372" s="1177"/>
      <c r="AK372" s="1177"/>
      <c r="AL372" s="1992"/>
      <c r="AM372" s="842"/>
      <c r="AN372" s="2240"/>
      <c r="AO372" s="2240"/>
      <c r="AP372" s="2240"/>
      <c r="AQ372" s="2240"/>
      <c r="AR372" s="2240"/>
      <c r="AS372" s="2240"/>
      <c r="AT372" s="49"/>
      <c r="AU372" s="95"/>
      <c r="AV372" s="95"/>
      <c r="AW372" s="98"/>
      <c r="AX372" s="98"/>
      <c r="AY372" s="98"/>
      <c r="AZ372" s="98"/>
      <c r="BA372" s="98"/>
      <c r="BB372" s="98"/>
      <c r="BC372" s="98"/>
      <c r="BD372" s="98"/>
      <c r="BE372" s="98"/>
      <c r="BF372" s="98"/>
      <c r="BG372" s="98"/>
      <c r="BH372" s="98"/>
      <c r="BI372" s="98"/>
      <c r="BJ372" s="98"/>
      <c r="BK372" s="98"/>
      <c r="BL372" s="98"/>
      <c r="BM372" s="98"/>
      <c r="BN372" s="98"/>
      <c r="BO372" s="98"/>
      <c r="BP372" s="98"/>
      <c r="BQ372" s="98"/>
      <c r="BR372" s="98"/>
      <c r="BS372" s="98"/>
      <c r="BT372" s="98"/>
      <c r="BU372" s="98"/>
      <c r="BV372" s="98"/>
      <c r="BW372" s="98"/>
      <c r="BX372" s="98"/>
      <c r="BY372" s="98"/>
      <c r="BZ372" s="98"/>
      <c r="CA372" s="98"/>
      <c r="CB372" s="98"/>
      <c r="CC372" s="98"/>
      <c r="CD372" s="98"/>
      <c r="CE372" s="98"/>
      <c r="CF372" s="98"/>
      <c r="CG372" s="98"/>
      <c r="CH372" s="98"/>
      <c r="CI372" s="98"/>
      <c r="CJ372" s="98"/>
      <c r="CK372" s="98"/>
      <c r="CL372" s="98"/>
      <c r="CM372" s="98"/>
      <c r="CN372" s="98"/>
      <c r="CO372" s="98"/>
      <c r="CP372" s="98"/>
      <c r="CQ372" s="98"/>
      <c r="CR372" s="98"/>
      <c r="CS372" s="98"/>
      <c r="CT372" s="1247"/>
      <c r="CU372" s="1247"/>
      <c r="CV372" s="1247"/>
      <c r="CW372" s="98"/>
      <c r="CX372" s="98"/>
      <c r="CY372" s="1247"/>
      <c r="CZ372" s="1247"/>
      <c r="DA372" s="1247"/>
      <c r="DB372" s="98"/>
      <c r="DC372" s="2925"/>
      <c r="DD372" s="98"/>
      <c r="DE372" s="98"/>
      <c r="DF372" s="98"/>
      <c r="DG372" s="98"/>
      <c r="DH372" s="2925"/>
      <c r="DI372" s="2925"/>
      <c r="DJ372" s="2925"/>
      <c r="DK372" s="2925"/>
      <c r="DL372" s="2925"/>
      <c r="DM372" s="2925"/>
      <c r="DN372" s="2925"/>
      <c r="DO372" s="2925"/>
      <c r="DP372" s="2925"/>
      <c r="DQ372" s="2925"/>
      <c r="DR372" s="2925"/>
    </row>
    <row r="373" spans="1:122">
      <c r="A373" s="9" t="s">
        <v>435</v>
      </c>
      <c r="B373" s="49"/>
      <c r="C373" s="49"/>
      <c r="D373" s="49"/>
      <c r="E373" s="49"/>
      <c r="F373" s="49"/>
      <c r="G373" s="49"/>
      <c r="H373" s="49"/>
      <c r="I373" s="49"/>
      <c r="J373" s="199"/>
      <c r="K373" s="199"/>
      <c r="L373" s="49"/>
      <c r="M373" s="49"/>
      <c r="N373" s="49"/>
      <c r="O373" s="919"/>
      <c r="P373" s="49"/>
      <c r="Q373" s="49"/>
      <c r="R373" s="49"/>
      <c r="S373" s="49"/>
      <c r="T373" s="49"/>
      <c r="U373" s="49"/>
      <c r="V373" s="49"/>
      <c r="W373" s="1366"/>
      <c r="X373" s="1366"/>
      <c r="Y373" s="1366"/>
      <c r="Z373" s="1366"/>
      <c r="AA373" s="1992"/>
      <c r="AB373" s="1992"/>
      <c r="AC373" s="1993"/>
      <c r="AD373" s="49"/>
      <c r="AE373" s="49"/>
      <c r="AF373" s="49"/>
      <c r="AG373" s="49"/>
      <c r="AH373" s="49"/>
      <c r="AI373" s="49"/>
      <c r="AJ373" s="49"/>
      <c r="AK373" s="49"/>
      <c r="AL373" s="1366"/>
      <c r="AM373" s="49"/>
      <c r="AN373" s="2240"/>
      <c r="AO373" s="2240"/>
      <c r="AP373" s="2240"/>
      <c r="AQ373" s="2240"/>
      <c r="AR373" s="2240"/>
      <c r="AS373" s="2240"/>
      <c r="AT373" s="49"/>
      <c r="AU373" s="95"/>
      <c r="AV373" s="95"/>
      <c r="AW373" s="98"/>
      <c r="AX373" s="98"/>
      <c r="AY373" s="98"/>
      <c r="AZ373" s="98"/>
      <c r="BA373" s="98"/>
      <c r="BB373" s="98"/>
      <c r="BC373" s="98"/>
      <c r="BD373" s="98"/>
      <c r="BE373" s="98"/>
      <c r="BF373" s="98"/>
      <c r="BG373" s="98"/>
      <c r="BH373" s="98"/>
      <c r="BI373" s="98"/>
      <c r="BJ373" s="98"/>
      <c r="BK373" s="98"/>
      <c r="BL373" s="98"/>
      <c r="BM373" s="98"/>
      <c r="BN373" s="98"/>
      <c r="BO373" s="98"/>
      <c r="BP373" s="98"/>
      <c r="BQ373" s="98"/>
      <c r="BR373" s="98"/>
      <c r="BS373" s="98"/>
      <c r="BT373" s="98"/>
      <c r="BU373" s="98"/>
      <c r="BV373" s="98"/>
      <c r="BW373" s="98"/>
      <c r="BX373" s="98"/>
      <c r="BY373" s="98"/>
      <c r="BZ373" s="98"/>
      <c r="CA373" s="98"/>
      <c r="CB373" s="98"/>
      <c r="CC373" s="98"/>
      <c r="CD373" s="98"/>
      <c r="CE373" s="98"/>
      <c r="CF373" s="98"/>
      <c r="CG373" s="98"/>
      <c r="CH373" s="98"/>
      <c r="CI373" s="98"/>
      <c r="CJ373" s="98"/>
      <c r="CK373" s="98"/>
      <c r="CL373" s="98"/>
      <c r="CM373" s="98"/>
      <c r="CN373" s="98"/>
      <c r="CO373" s="98"/>
      <c r="CP373" s="98"/>
      <c r="CQ373" s="98"/>
      <c r="CR373" s="98"/>
      <c r="CS373" s="98"/>
      <c r="CT373" s="1247"/>
      <c r="CU373" s="1247"/>
      <c r="CV373" s="1247"/>
      <c r="CW373" s="98"/>
      <c r="CX373" s="98"/>
      <c r="CY373" s="1247"/>
      <c r="CZ373" s="1247"/>
      <c r="DA373" s="1247"/>
      <c r="DB373" s="98"/>
      <c r="DC373" s="2925"/>
      <c r="DD373" s="98"/>
      <c r="DE373" s="98"/>
      <c r="DF373" s="98"/>
      <c r="DG373" s="98"/>
      <c r="DH373" s="2925"/>
      <c r="DI373" s="2925"/>
      <c r="DJ373" s="2925"/>
      <c r="DK373" s="2925"/>
      <c r="DL373" s="2925"/>
      <c r="DM373" s="2925"/>
      <c r="DN373" s="2925"/>
      <c r="DO373" s="2925"/>
      <c r="DP373" s="2925"/>
      <c r="DQ373" s="2925"/>
      <c r="DR373" s="2925"/>
    </row>
    <row r="374" spans="1:122">
      <c r="A374" s="906" t="str">
        <f>+A319</f>
        <v>Revolver</v>
      </c>
      <c r="B374" s="49"/>
      <c r="C374" s="49"/>
      <c r="D374" s="49"/>
      <c r="E374" s="49"/>
      <c r="F374" s="49"/>
      <c r="G374" s="49"/>
      <c r="H374" s="49"/>
      <c r="I374" s="49"/>
      <c r="J374" s="199"/>
      <c r="K374" s="199"/>
      <c r="L374" s="49"/>
      <c r="M374" s="49"/>
      <c r="N374" s="49"/>
      <c r="O374" s="919"/>
      <c r="P374" s="49"/>
      <c r="Q374" s="49"/>
      <c r="R374" s="49"/>
      <c r="S374" s="49"/>
      <c r="T374" s="842">
        <f t="shared" ref="T374:W381" si="535">AVERAGE(S319:T319)*T421</f>
        <v>0</v>
      </c>
      <c r="U374" s="842">
        <f t="shared" si="535"/>
        <v>0</v>
      </c>
      <c r="V374" s="842">
        <f t="shared" si="535"/>
        <v>0</v>
      </c>
      <c r="W374" s="842">
        <f t="shared" si="535"/>
        <v>0</v>
      </c>
      <c r="X374" s="842"/>
      <c r="Y374" s="842"/>
      <c r="Z374" s="842">
        <f t="shared" ref="Z374:Z401" si="536">AVERAGE(W319:Z319)*Z421</f>
        <v>0</v>
      </c>
      <c r="AA374" s="842">
        <f>AVERAGE(Z319:AA319)*AA421</f>
        <v>0</v>
      </c>
      <c r="AB374" s="842"/>
      <c r="AC374" s="842">
        <f t="shared" ref="AC374:AC389" ca="1" si="537">AVERAGE(AA319, AC319)*AC421</f>
        <v>1.5012045266241429</v>
      </c>
      <c r="AD374" s="842">
        <f t="shared" ref="AD374:AN374" ca="1" si="538">AVERAGE(AC319:AD319)*AD421</f>
        <v>1.5604626000435171</v>
      </c>
      <c r="AE374" s="842">
        <f t="shared" ca="1" si="538"/>
        <v>6.510168571936549</v>
      </c>
      <c r="AF374" s="842">
        <f t="shared" ca="1" si="538"/>
        <v>6.7483454709098378</v>
      </c>
      <c r="AG374" s="842">
        <f t="shared" ca="1" si="538"/>
        <v>0</v>
      </c>
      <c r="AH374" s="842">
        <f t="shared" ca="1" si="538"/>
        <v>0</v>
      </c>
      <c r="AI374" s="842">
        <f t="shared" ca="1" si="538"/>
        <v>6.1492903053454189</v>
      </c>
      <c r="AJ374" s="842">
        <f t="shared" ca="1" si="538"/>
        <v>11.725786046604687</v>
      </c>
      <c r="AK374" s="842">
        <f t="shared" ca="1" si="538"/>
        <v>9.9776690183324721</v>
      </c>
      <c r="AL374" s="1559">
        <f t="shared" ca="1" si="538"/>
        <v>13.060885974541755</v>
      </c>
      <c r="AM374" s="1559">
        <f t="shared" ca="1" si="538"/>
        <v>20.226280563470713</v>
      </c>
      <c r="AN374" s="1559">
        <f t="shared" ca="1" si="538"/>
        <v>30.773937725954795</v>
      </c>
      <c r="AO374" s="2240"/>
      <c r="AP374" s="2240"/>
      <c r="AQ374" s="2240"/>
      <c r="AR374" s="2240"/>
      <c r="AS374" s="2240"/>
      <c r="AT374" s="49"/>
      <c r="AU374" s="95"/>
      <c r="AV374" s="95"/>
      <c r="AW374" s="98"/>
      <c r="AX374" s="98"/>
      <c r="AY374" s="98"/>
      <c r="AZ374" s="98"/>
      <c r="BA374" s="98"/>
      <c r="BB374" s="98"/>
      <c r="BC374" s="98"/>
      <c r="BD374" s="98"/>
      <c r="BE374" s="98"/>
      <c r="BF374" s="98"/>
      <c r="BG374" s="98"/>
      <c r="BH374" s="98"/>
      <c r="BI374" s="98"/>
      <c r="BJ374" s="98"/>
      <c r="BK374" s="98"/>
      <c r="BL374" s="98"/>
      <c r="BM374" s="98"/>
      <c r="BN374" s="98"/>
      <c r="BO374" s="98"/>
      <c r="BP374" s="98"/>
      <c r="BQ374" s="98"/>
      <c r="BR374" s="98"/>
      <c r="BS374" s="98"/>
      <c r="BT374" s="98"/>
      <c r="BU374" s="98"/>
      <c r="BV374" s="98"/>
      <c r="BW374" s="98"/>
      <c r="BX374" s="98"/>
      <c r="BY374" s="98"/>
      <c r="BZ374" s="98"/>
      <c r="CA374" s="98"/>
      <c r="CB374" s="98"/>
      <c r="CC374" s="98"/>
      <c r="CD374" s="98"/>
      <c r="CE374" s="98"/>
      <c r="CF374" s="98"/>
      <c r="CG374" s="98"/>
      <c r="CH374" s="98"/>
      <c r="CI374" s="98"/>
      <c r="CJ374" s="98"/>
      <c r="CK374" s="98"/>
      <c r="CL374" s="98"/>
      <c r="CM374" s="98"/>
      <c r="CN374" s="98"/>
      <c r="CO374" s="98"/>
      <c r="CP374" s="98"/>
      <c r="CQ374" s="98"/>
      <c r="CR374" s="98"/>
      <c r="CS374" s="98"/>
      <c r="CT374" s="49">
        <v>0</v>
      </c>
      <c r="CU374" s="49">
        <f>+CT374</f>
        <v>0</v>
      </c>
      <c r="CV374" s="49">
        <f>+CU374</f>
        <v>0</v>
      </c>
      <c r="CW374" s="1540">
        <f>+W374-SUM(CT374:CV374)</f>
        <v>0</v>
      </c>
      <c r="CX374" s="53">
        <f t="shared" ref="CX374:CX418" si="539">+W374-SUM(CT374:CW374)</f>
        <v>0</v>
      </c>
      <c r="CY374" s="1558">
        <v>0</v>
      </c>
      <c r="CZ374" s="1558">
        <v>0</v>
      </c>
      <c r="DA374" s="1558">
        <v>0</v>
      </c>
      <c r="DB374" s="1558">
        <v>0</v>
      </c>
      <c r="DC374" s="2926">
        <f t="shared" ref="DC374:DC418" si="540">+$Z374-SUM(CY374:DB374)</f>
        <v>0</v>
      </c>
      <c r="DD374" s="1558">
        <f>AA374/4</f>
        <v>0</v>
      </c>
      <c r="DE374" s="1558">
        <f>AA374/4</f>
        <v>0</v>
      </c>
      <c r="DF374" s="1558">
        <f>AA374/4</f>
        <v>0</v>
      </c>
      <c r="DG374" s="1558">
        <f t="shared" ref="DG374:DG408" si="541">AA374/4</f>
        <v>0</v>
      </c>
      <c r="DH374" s="2926">
        <f>AA374-SUM(DD374:DG374)</f>
        <v>0</v>
      </c>
      <c r="DI374" s="2927">
        <f ca="1">$AC374/4</f>
        <v>0.37530113165603574</v>
      </c>
      <c r="DJ374" s="2927">
        <f ca="1">$AC374/4</f>
        <v>0.37530113165603574</v>
      </c>
      <c r="DK374" s="2927">
        <f t="shared" ref="DK374:DL389" ca="1" si="542">$AC374/4</f>
        <v>0.37530113165603574</v>
      </c>
      <c r="DL374" s="2927">
        <f t="shared" ca="1" si="542"/>
        <v>0.37530113165603574</v>
      </c>
      <c r="DM374" s="2926">
        <f ca="1">AC374-SUM(DI374:DL374)</f>
        <v>0</v>
      </c>
      <c r="DN374" s="2927">
        <f ca="1">$AD374/4</f>
        <v>0.39011565001087928</v>
      </c>
      <c r="DO374" s="2927">
        <f t="shared" ref="DO374:DQ374" ca="1" si="543">$AD374/4</f>
        <v>0.39011565001087928</v>
      </c>
      <c r="DP374" s="2927">
        <f t="shared" ca="1" si="543"/>
        <v>0.39011565001087928</v>
      </c>
      <c r="DQ374" s="2927">
        <f t="shared" ca="1" si="543"/>
        <v>0.39011565001087928</v>
      </c>
      <c r="DR374" s="2926">
        <f t="shared" ref="DR374:DR417" ca="1" si="544">AD374-SUM(DN374:DQ374)</f>
        <v>0</v>
      </c>
    </row>
    <row r="375" spans="1:122">
      <c r="A375" s="190" t="s">
        <v>146</v>
      </c>
      <c r="B375" s="49"/>
      <c r="C375" s="49"/>
      <c r="D375" s="49"/>
      <c r="E375" s="49"/>
      <c r="F375" s="49"/>
      <c r="G375" s="49"/>
      <c r="H375" s="49"/>
      <c r="I375" s="49"/>
      <c r="J375" s="199"/>
      <c r="K375" s="842">
        <f t="shared" ref="K375:N385" si="545">AVERAGE(J320:K320)*K422</f>
        <v>0.39300000000000002</v>
      </c>
      <c r="L375" s="842">
        <f t="shared" si="545"/>
        <v>0.309</v>
      </c>
      <c r="M375" s="842">
        <f t="shared" si="545"/>
        <v>0.28560000000000002</v>
      </c>
      <c r="N375" s="842">
        <f t="shared" si="545"/>
        <v>0.28800000000003273</v>
      </c>
      <c r="O375" s="919"/>
      <c r="P375" s="842"/>
      <c r="Q375" s="842"/>
      <c r="R375" s="842">
        <f>AVERAGE(N320:R320)*R422</f>
        <v>0.17797500000003083</v>
      </c>
      <c r="S375" s="842">
        <f t="shared" ref="S375:S380" si="546">AVERAGE(R320:S320)*S422</f>
        <v>5.6500000000000002E-2</v>
      </c>
      <c r="T375" s="842">
        <f t="shared" si="535"/>
        <v>0</v>
      </c>
      <c r="U375" s="842">
        <f t="shared" si="535"/>
        <v>0</v>
      </c>
      <c r="V375" s="842">
        <f t="shared" si="535"/>
        <v>1.1875</v>
      </c>
      <c r="W375" s="842">
        <f t="shared" si="535"/>
        <v>2.7275</v>
      </c>
      <c r="X375" s="842"/>
      <c r="Y375" s="842"/>
      <c r="Z375" s="842">
        <f t="shared" si="536"/>
        <v>1.54</v>
      </c>
      <c r="AA375" s="842">
        <f>AVERAGE(Z320:AA320)*AA422</f>
        <v>2.2050000000000001</v>
      </c>
      <c r="AB375" s="842"/>
      <c r="AC375" s="842">
        <f t="shared" si="537"/>
        <v>4.41</v>
      </c>
      <c r="AD375" s="842">
        <f t="shared" ref="AD375:AN375" si="547">AVERAGE(AC320:AD320)*AD422</f>
        <v>4.41</v>
      </c>
      <c r="AE375" s="842">
        <f t="shared" si="547"/>
        <v>4.41</v>
      </c>
      <c r="AF375" s="842">
        <f t="shared" si="547"/>
        <v>4.41</v>
      </c>
      <c r="AG375" s="842">
        <f t="shared" si="547"/>
        <v>4.41</v>
      </c>
      <c r="AH375" s="842">
        <f t="shared" si="547"/>
        <v>4.41</v>
      </c>
      <c r="AI375" s="842">
        <f t="shared" si="547"/>
        <v>4.41</v>
      </c>
      <c r="AJ375" s="842">
        <f t="shared" si="547"/>
        <v>4.41</v>
      </c>
      <c r="AK375" s="842">
        <f t="shared" si="547"/>
        <v>4.41</v>
      </c>
      <c r="AL375" s="1559">
        <f t="shared" si="547"/>
        <v>4.41</v>
      </c>
      <c r="AM375" s="1559">
        <f t="shared" si="547"/>
        <v>4.41</v>
      </c>
      <c r="AN375" s="1559">
        <f t="shared" si="547"/>
        <v>4.41</v>
      </c>
      <c r="AO375" s="2240"/>
      <c r="AP375" s="2240"/>
      <c r="AQ375" s="2240"/>
      <c r="AR375" s="2240"/>
      <c r="AS375" s="842"/>
      <c r="AT375" s="49"/>
      <c r="AU375" s="95"/>
      <c r="AV375" s="95"/>
      <c r="AW375" s="98"/>
      <c r="AX375" s="98"/>
      <c r="AY375" s="98"/>
      <c r="AZ375" s="98"/>
      <c r="BA375" s="98"/>
      <c r="BB375" s="98"/>
      <c r="BC375" s="98"/>
      <c r="BD375" s="98"/>
      <c r="BE375" s="98"/>
      <c r="BF375" s="98"/>
      <c r="BG375" s="98"/>
      <c r="BH375" s="98"/>
      <c r="BI375" s="98"/>
      <c r="BJ375" s="98"/>
      <c r="BK375" s="98"/>
      <c r="BL375" s="98"/>
      <c r="BM375" s="98"/>
      <c r="BN375" s="98"/>
      <c r="BO375" s="98"/>
      <c r="BP375" s="98"/>
      <c r="BQ375" s="98"/>
      <c r="BR375" s="98"/>
      <c r="BS375" s="98"/>
      <c r="BT375" s="98"/>
      <c r="BU375" s="98"/>
      <c r="BV375" s="98"/>
      <c r="BW375" s="98"/>
      <c r="BX375" s="98"/>
      <c r="BY375" s="98"/>
      <c r="BZ375" s="98"/>
      <c r="CA375" s="98"/>
      <c r="CB375" s="98"/>
      <c r="CC375" s="98"/>
      <c r="CD375" s="98"/>
      <c r="CE375" s="98"/>
      <c r="CF375" s="98"/>
      <c r="CG375" s="98"/>
      <c r="CH375" s="98"/>
      <c r="CI375" s="98"/>
      <c r="CJ375" s="98"/>
      <c r="CK375" s="98"/>
      <c r="CL375" s="98"/>
      <c r="CM375" s="98"/>
      <c r="CN375" s="98"/>
      <c r="CO375" s="98"/>
      <c r="CP375" s="98"/>
      <c r="CQ375" s="98"/>
      <c r="CR375" s="98"/>
      <c r="CS375" s="98"/>
      <c r="CT375" s="49">
        <f>+W375/4</f>
        <v>0.68187500000000001</v>
      </c>
      <c r="CU375" s="49">
        <f>+CT375</f>
        <v>0.68187500000000001</v>
      </c>
      <c r="CV375" s="49">
        <f>+CU375</f>
        <v>0.68187500000000001</v>
      </c>
      <c r="CW375" s="1540">
        <f>+W375-SUM(CT375:CV375)</f>
        <v>0.68187499999999979</v>
      </c>
      <c r="CX375" s="53">
        <f t="shared" si="539"/>
        <v>0</v>
      </c>
      <c r="CY375" s="1558">
        <f t="shared" ref="CY375:DB394" si="548">$Z375/4</f>
        <v>0.38500000000000001</v>
      </c>
      <c r="CZ375" s="1558">
        <f t="shared" si="548"/>
        <v>0.38500000000000001</v>
      </c>
      <c r="DA375" s="1558">
        <f t="shared" si="548"/>
        <v>0.38500000000000001</v>
      </c>
      <c r="DB375" s="1558">
        <f t="shared" si="548"/>
        <v>0.38500000000000001</v>
      </c>
      <c r="DC375" s="2926">
        <f t="shared" si="540"/>
        <v>0</v>
      </c>
      <c r="DD375" s="1558">
        <f t="shared" ref="DD375:DD416" si="549">AA375/4</f>
        <v>0.55125000000000002</v>
      </c>
      <c r="DE375" s="1558">
        <f t="shared" ref="DE375:DE416" si="550">AA375/4</f>
        <v>0.55125000000000002</v>
      </c>
      <c r="DF375" s="1558">
        <f t="shared" ref="DF375:DF408" si="551">AA375/4</f>
        <v>0.55125000000000002</v>
      </c>
      <c r="DG375" s="1558">
        <f t="shared" si="541"/>
        <v>0.55125000000000002</v>
      </c>
      <c r="DH375" s="2926">
        <f t="shared" ref="DH375:DH418" si="552">AA375-SUM(DD375:DG375)</f>
        <v>0</v>
      </c>
      <c r="DI375" s="2927">
        <f t="shared" ref="DI375:DJ389" si="553">$AC375/4</f>
        <v>1.1025</v>
      </c>
      <c r="DJ375" s="2927">
        <f t="shared" si="553"/>
        <v>1.1025</v>
      </c>
      <c r="DK375" s="2927">
        <f t="shared" si="542"/>
        <v>1.1025</v>
      </c>
      <c r="DL375" s="2927">
        <f t="shared" si="542"/>
        <v>1.1025</v>
      </c>
      <c r="DM375" s="2926">
        <f t="shared" ref="DM375:DM418" si="554">AC375-SUM(DI375:DL375)</f>
        <v>0</v>
      </c>
      <c r="DN375" s="2927">
        <f t="shared" ref="DN375:DQ416" si="555">$AD375/4</f>
        <v>1.1025</v>
      </c>
      <c r="DO375" s="2927">
        <f t="shared" si="555"/>
        <v>1.1025</v>
      </c>
      <c r="DP375" s="2927">
        <f t="shared" si="555"/>
        <v>1.1025</v>
      </c>
      <c r="DQ375" s="2927">
        <f t="shared" si="555"/>
        <v>1.1025</v>
      </c>
      <c r="DR375" s="2926">
        <f t="shared" si="544"/>
        <v>0</v>
      </c>
    </row>
    <row r="376" spans="1:122" hidden="1" outlineLevel="1">
      <c r="A376" s="190" t="s">
        <v>147</v>
      </c>
      <c r="B376" s="49"/>
      <c r="C376" s="49"/>
      <c r="D376" s="49"/>
      <c r="E376" s="49"/>
      <c r="F376" s="49"/>
      <c r="G376" s="49"/>
      <c r="H376" s="49"/>
      <c r="I376" s="49"/>
      <c r="J376" s="199"/>
      <c r="K376" s="192">
        <f t="shared" si="545"/>
        <v>17.875</v>
      </c>
      <c r="L376" s="192">
        <f t="shared" si="545"/>
        <v>0</v>
      </c>
      <c r="M376" s="192">
        <f t="shared" si="545"/>
        <v>0</v>
      </c>
      <c r="N376" s="192">
        <f t="shared" si="545"/>
        <v>0</v>
      </c>
      <c r="O376" s="919"/>
      <c r="P376" s="192"/>
      <c r="Q376" s="192"/>
      <c r="R376" s="192">
        <f>AVERAGE(N321:R321)*R423</f>
        <v>0</v>
      </c>
      <c r="S376" s="192">
        <f t="shared" si="546"/>
        <v>0</v>
      </c>
      <c r="T376" s="192">
        <f t="shared" si="535"/>
        <v>0</v>
      </c>
      <c r="U376" s="192">
        <f t="shared" si="535"/>
        <v>0</v>
      </c>
      <c r="V376" s="192">
        <f t="shared" si="535"/>
        <v>0</v>
      </c>
      <c r="W376" s="192">
        <f t="shared" si="535"/>
        <v>0</v>
      </c>
      <c r="X376" s="192"/>
      <c r="Y376" s="192"/>
      <c r="Z376" s="192">
        <f t="shared" si="536"/>
        <v>0</v>
      </c>
      <c r="AA376" s="192">
        <f t="shared" ref="AA376:AN376" si="556">AVERAGE(Z321:AA321)*AA423</f>
        <v>0</v>
      </c>
      <c r="AB376" s="192"/>
      <c r="AC376" s="192">
        <f t="shared" si="537"/>
        <v>0</v>
      </c>
      <c r="AD376" s="192">
        <f t="shared" si="556"/>
        <v>0</v>
      </c>
      <c r="AE376" s="192">
        <f t="shared" si="556"/>
        <v>0</v>
      </c>
      <c r="AF376" s="192">
        <f t="shared" si="556"/>
        <v>0</v>
      </c>
      <c r="AG376" s="192">
        <f t="shared" si="556"/>
        <v>0</v>
      </c>
      <c r="AH376" s="192">
        <f t="shared" si="556"/>
        <v>0</v>
      </c>
      <c r="AI376" s="192">
        <f t="shared" si="556"/>
        <v>0</v>
      </c>
      <c r="AJ376" s="192">
        <f t="shared" si="556"/>
        <v>0</v>
      </c>
      <c r="AK376" s="192">
        <f t="shared" si="556"/>
        <v>0</v>
      </c>
      <c r="AL376" s="1368">
        <f t="shared" si="556"/>
        <v>0</v>
      </c>
      <c r="AM376" s="1368">
        <f t="shared" si="556"/>
        <v>0</v>
      </c>
      <c r="AN376" s="1368">
        <f t="shared" si="556"/>
        <v>0</v>
      </c>
      <c r="AO376" s="2240"/>
      <c r="AP376" s="2240"/>
      <c r="AQ376" s="2240"/>
      <c r="AR376" s="2240"/>
      <c r="AS376" s="192"/>
      <c r="AT376" s="49"/>
      <c r="AU376" s="95"/>
      <c r="AV376" s="95"/>
      <c r="AW376" s="98"/>
      <c r="AX376" s="98"/>
      <c r="AY376" s="98"/>
      <c r="AZ376" s="98"/>
      <c r="BA376" s="98"/>
      <c r="BB376" s="98"/>
      <c r="BC376" s="98"/>
      <c r="BD376" s="98"/>
      <c r="BE376" s="98"/>
      <c r="BF376" s="98"/>
      <c r="BG376" s="98"/>
      <c r="BH376" s="98"/>
      <c r="BI376" s="98"/>
      <c r="BJ376" s="98"/>
      <c r="BK376" s="98"/>
      <c r="BL376" s="98"/>
      <c r="BM376" s="98"/>
      <c r="BN376" s="98"/>
      <c r="BO376" s="98"/>
      <c r="BP376" s="98"/>
      <c r="BQ376" s="98"/>
      <c r="BR376" s="98"/>
      <c r="BS376" s="98"/>
      <c r="BT376" s="98"/>
      <c r="BU376" s="98"/>
      <c r="BV376" s="98"/>
      <c r="BW376" s="98"/>
      <c r="BX376" s="98"/>
      <c r="BY376" s="98"/>
      <c r="BZ376" s="98"/>
      <c r="CA376" s="98"/>
      <c r="CB376" s="98"/>
      <c r="CC376" s="98"/>
      <c r="CD376" s="98"/>
      <c r="CE376" s="98"/>
      <c r="CF376" s="98"/>
      <c r="CG376" s="98"/>
      <c r="CH376" s="98"/>
      <c r="CI376" s="98"/>
      <c r="CJ376" s="98"/>
      <c r="CK376" s="98"/>
      <c r="CL376" s="98"/>
      <c r="CM376" s="98"/>
      <c r="CN376" s="98"/>
      <c r="CO376" s="98"/>
      <c r="CP376" s="98"/>
      <c r="CQ376" s="98"/>
      <c r="CR376" s="98"/>
      <c r="CS376" s="98"/>
      <c r="CT376" s="49">
        <v>0</v>
      </c>
      <c r="CU376" s="49">
        <v>0</v>
      </c>
      <c r="CV376" s="49">
        <v>0</v>
      </c>
      <c r="CW376" s="1540">
        <f t="shared" ref="CW376:CW416" si="557">+W376-SUM(CT376:CV376)</f>
        <v>0</v>
      </c>
      <c r="CX376" s="53">
        <f t="shared" si="539"/>
        <v>0</v>
      </c>
      <c r="CY376" s="1558">
        <f t="shared" si="548"/>
        <v>0</v>
      </c>
      <c r="CZ376" s="1558">
        <f t="shared" si="548"/>
        <v>0</v>
      </c>
      <c r="DA376" s="1558">
        <f t="shared" si="548"/>
        <v>0</v>
      </c>
      <c r="DB376" s="1558">
        <f t="shared" si="548"/>
        <v>0</v>
      </c>
      <c r="DC376" s="2926">
        <f t="shared" si="540"/>
        <v>0</v>
      </c>
      <c r="DD376" s="1558">
        <f t="shared" si="549"/>
        <v>0</v>
      </c>
      <c r="DE376" s="1558">
        <f t="shared" si="550"/>
        <v>0</v>
      </c>
      <c r="DF376" s="1558">
        <f t="shared" si="551"/>
        <v>0</v>
      </c>
      <c r="DG376" s="1558">
        <f t="shared" si="541"/>
        <v>0</v>
      </c>
      <c r="DH376" s="2926">
        <f t="shared" si="552"/>
        <v>0</v>
      </c>
      <c r="DI376" s="2927">
        <f t="shared" si="553"/>
        <v>0</v>
      </c>
      <c r="DJ376" s="2927">
        <f t="shared" si="553"/>
        <v>0</v>
      </c>
      <c r="DK376" s="2927">
        <f t="shared" si="542"/>
        <v>0</v>
      </c>
      <c r="DL376" s="2927">
        <f t="shared" si="542"/>
        <v>0</v>
      </c>
      <c r="DM376" s="2926">
        <f t="shared" si="554"/>
        <v>0</v>
      </c>
      <c r="DN376" s="2927">
        <f t="shared" si="555"/>
        <v>0</v>
      </c>
      <c r="DO376" s="2927">
        <f t="shared" si="555"/>
        <v>0</v>
      </c>
      <c r="DP376" s="2927">
        <f t="shared" si="555"/>
        <v>0</v>
      </c>
      <c r="DQ376" s="2927">
        <f t="shared" si="555"/>
        <v>0</v>
      </c>
      <c r="DR376" s="2926">
        <f t="shared" si="544"/>
        <v>0</v>
      </c>
    </row>
    <row r="377" spans="1:122" hidden="1" outlineLevel="1">
      <c r="A377" s="190" t="s">
        <v>148</v>
      </c>
      <c r="B377" s="49"/>
      <c r="C377" s="49"/>
      <c r="D377" s="49"/>
      <c r="E377" s="49"/>
      <c r="F377" s="49"/>
      <c r="G377" s="49"/>
      <c r="H377" s="49"/>
      <c r="I377" s="49"/>
      <c r="J377" s="199"/>
      <c r="K377" s="192">
        <f t="shared" si="545"/>
        <v>36.909374999999997</v>
      </c>
      <c r="L377" s="192">
        <f t="shared" si="545"/>
        <v>0</v>
      </c>
      <c r="M377" s="192">
        <f t="shared" si="545"/>
        <v>0</v>
      </c>
      <c r="N377" s="192">
        <f t="shared" si="545"/>
        <v>0</v>
      </c>
      <c r="O377" s="919"/>
      <c r="P377" s="192"/>
      <c r="Q377" s="192"/>
      <c r="R377" s="192">
        <f>AVERAGE(N322:R322)*R424</f>
        <v>0</v>
      </c>
      <c r="S377" s="192">
        <f t="shared" si="546"/>
        <v>0</v>
      </c>
      <c r="T377" s="192">
        <f t="shared" si="535"/>
        <v>0</v>
      </c>
      <c r="U377" s="192">
        <f t="shared" si="535"/>
        <v>0</v>
      </c>
      <c r="V377" s="192">
        <f t="shared" si="535"/>
        <v>0</v>
      </c>
      <c r="W377" s="192">
        <f t="shared" si="535"/>
        <v>0</v>
      </c>
      <c r="X377" s="192"/>
      <c r="Y377" s="192"/>
      <c r="Z377" s="192">
        <f t="shared" si="536"/>
        <v>0</v>
      </c>
      <c r="AA377" s="192">
        <f t="shared" ref="AA377:AN377" si="558">AVERAGE(Z322:AA322)*AA424</f>
        <v>0</v>
      </c>
      <c r="AB377" s="192"/>
      <c r="AC377" s="192">
        <f t="shared" si="537"/>
        <v>0</v>
      </c>
      <c r="AD377" s="192">
        <f t="shared" si="558"/>
        <v>0</v>
      </c>
      <c r="AE377" s="192">
        <f t="shared" si="558"/>
        <v>0</v>
      </c>
      <c r="AF377" s="192">
        <f t="shared" si="558"/>
        <v>0</v>
      </c>
      <c r="AG377" s="192">
        <f t="shared" si="558"/>
        <v>0</v>
      </c>
      <c r="AH377" s="192">
        <f t="shared" si="558"/>
        <v>0</v>
      </c>
      <c r="AI377" s="192">
        <f t="shared" si="558"/>
        <v>0</v>
      </c>
      <c r="AJ377" s="192">
        <f t="shared" si="558"/>
        <v>0</v>
      </c>
      <c r="AK377" s="192">
        <f t="shared" si="558"/>
        <v>0</v>
      </c>
      <c r="AL377" s="1368">
        <f t="shared" si="558"/>
        <v>0</v>
      </c>
      <c r="AM377" s="1368">
        <f t="shared" si="558"/>
        <v>0</v>
      </c>
      <c r="AN377" s="1368">
        <f t="shared" si="558"/>
        <v>0</v>
      </c>
      <c r="AO377" s="2240"/>
      <c r="AP377" s="2240"/>
      <c r="AQ377" s="2240"/>
      <c r="AR377" s="2240"/>
      <c r="AS377" s="192"/>
      <c r="AT377" s="49"/>
      <c r="AU377" s="95"/>
      <c r="AV377" s="95"/>
      <c r="AW377" s="98"/>
      <c r="AX377" s="98"/>
      <c r="AY377" s="98"/>
      <c r="AZ377" s="98"/>
      <c r="BA377" s="98"/>
      <c r="BB377" s="98"/>
      <c r="BC377" s="98"/>
      <c r="BD377" s="98"/>
      <c r="BE377" s="98"/>
      <c r="BF377" s="98"/>
      <c r="BG377" s="98"/>
      <c r="BH377" s="98"/>
      <c r="BI377" s="98"/>
      <c r="BJ377" s="98"/>
      <c r="BK377" s="98"/>
      <c r="BL377" s="98"/>
      <c r="BM377" s="98"/>
      <c r="BN377" s="98"/>
      <c r="BO377" s="98"/>
      <c r="BP377" s="98"/>
      <c r="BQ377" s="98"/>
      <c r="BR377" s="98"/>
      <c r="BS377" s="98"/>
      <c r="BT377" s="98"/>
      <c r="BU377" s="98"/>
      <c r="BV377" s="98"/>
      <c r="BW377" s="98"/>
      <c r="BX377" s="98"/>
      <c r="BY377" s="98"/>
      <c r="BZ377" s="98"/>
      <c r="CA377" s="98"/>
      <c r="CB377" s="98"/>
      <c r="CC377" s="98"/>
      <c r="CD377" s="98"/>
      <c r="CE377" s="98"/>
      <c r="CF377" s="98"/>
      <c r="CG377" s="98"/>
      <c r="CH377" s="98"/>
      <c r="CI377" s="98"/>
      <c r="CJ377" s="98"/>
      <c r="CK377" s="98"/>
      <c r="CL377" s="98"/>
      <c r="CM377" s="98"/>
      <c r="CN377" s="98"/>
      <c r="CO377" s="98"/>
      <c r="CP377" s="98"/>
      <c r="CQ377" s="98"/>
      <c r="CR377" s="98"/>
      <c r="CS377" s="98"/>
      <c r="CT377" s="49">
        <v>0</v>
      </c>
      <c r="CU377" s="49">
        <v>0</v>
      </c>
      <c r="CV377" s="49">
        <v>0</v>
      </c>
      <c r="CW377" s="1540">
        <f t="shared" si="557"/>
        <v>0</v>
      </c>
      <c r="CX377" s="53">
        <f t="shared" si="539"/>
        <v>0</v>
      </c>
      <c r="CY377" s="1558">
        <f t="shared" si="548"/>
        <v>0</v>
      </c>
      <c r="CZ377" s="1558">
        <f t="shared" si="548"/>
        <v>0</v>
      </c>
      <c r="DA377" s="1558">
        <f t="shared" si="548"/>
        <v>0</v>
      </c>
      <c r="DB377" s="1558">
        <f t="shared" si="548"/>
        <v>0</v>
      </c>
      <c r="DC377" s="2926">
        <f t="shared" si="540"/>
        <v>0</v>
      </c>
      <c r="DD377" s="1558">
        <f t="shared" si="549"/>
        <v>0</v>
      </c>
      <c r="DE377" s="1558">
        <f t="shared" si="550"/>
        <v>0</v>
      </c>
      <c r="DF377" s="1558">
        <f t="shared" si="551"/>
        <v>0</v>
      </c>
      <c r="DG377" s="1558">
        <f t="shared" si="541"/>
        <v>0</v>
      </c>
      <c r="DH377" s="2926">
        <f t="shared" si="552"/>
        <v>0</v>
      </c>
      <c r="DI377" s="2927">
        <f t="shared" si="553"/>
        <v>0</v>
      </c>
      <c r="DJ377" s="2927">
        <f t="shared" si="553"/>
        <v>0</v>
      </c>
      <c r="DK377" s="2927">
        <f t="shared" si="542"/>
        <v>0</v>
      </c>
      <c r="DL377" s="2927">
        <f t="shared" si="542"/>
        <v>0</v>
      </c>
      <c r="DM377" s="2926">
        <f t="shared" si="554"/>
        <v>0</v>
      </c>
      <c r="DN377" s="2927">
        <f t="shared" si="555"/>
        <v>0</v>
      </c>
      <c r="DO377" s="2927">
        <f t="shared" si="555"/>
        <v>0</v>
      </c>
      <c r="DP377" s="2927">
        <f t="shared" si="555"/>
        <v>0</v>
      </c>
      <c r="DQ377" s="2927">
        <f t="shared" si="555"/>
        <v>0</v>
      </c>
      <c r="DR377" s="2926">
        <f t="shared" si="544"/>
        <v>0</v>
      </c>
    </row>
    <row r="378" spans="1:122" hidden="1" outlineLevel="1">
      <c r="A378" s="190" t="s">
        <v>149</v>
      </c>
      <c r="B378" s="49"/>
      <c r="C378" s="49"/>
      <c r="D378" s="49"/>
      <c r="E378" s="49"/>
      <c r="F378" s="49"/>
      <c r="G378" s="49"/>
      <c r="H378" s="49"/>
      <c r="I378" s="49"/>
      <c r="J378" s="199"/>
      <c r="K378" s="192">
        <f t="shared" si="545"/>
        <v>51.209600000000009</v>
      </c>
      <c r="L378" s="192">
        <f t="shared" si="545"/>
        <v>25.590400000000002</v>
      </c>
      <c r="M378" s="192">
        <f t="shared" si="545"/>
        <v>0</v>
      </c>
      <c r="N378" s="192">
        <f t="shared" si="545"/>
        <v>0</v>
      </c>
      <c r="O378" s="919"/>
      <c r="P378" s="192"/>
      <c r="Q378" s="192"/>
      <c r="R378" s="192">
        <f>AVERAGE(N323:R323)*R425</f>
        <v>0</v>
      </c>
      <c r="S378" s="192">
        <f t="shared" si="546"/>
        <v>0</v>
      </c>
      <c r="T378" s="192">
        <f t="shared" si="535"/>
        <v>0</v>
      </c>
      <c r="U378" s="192">
        <f t="shared" si="535"/>
        <v>0</v>
      </c>
      <c r="V378" s="192">
        <f t="shared" si="535"/>
        <v>0</v>
      </c>
      <c r="W378" s="192">
        <f t="shared" si="535"/>
        <v>0</v>
      </c>
      <c r="X378" s="192"/>
      <c r="Y378" s="192"/>
      <c r="Z378" s="192">
        <f t="shared" si="536"/>
        <v>0</v>
      </c>
      <c r="AA378" s="192">
        <f t="shared" ref="AA378:AN378" si="559">AVERAGE(Z323:AA323)*AA425</f>
        <v>0</v>
      </c>
      <c r="AB378" s="192"/>
      <c r="AC378" s="192">
        <f t="shared" si="537"/>
        <v>0</v>
      </c>
      <c r="AD378" s="192">
        <f t="shared" si="559"/>
        <v>0</v>
      </c>
      <c r="AE378" s="192">
        <f t="shared" si="559"/>
        <v>0</v>
      </c>
      <c r="AF378" s="192">
        <f t="shared" si="559"/>
        <v>0</v>
      </c>
      <c r="AG378" s="192">
        <f t="shared" si="559"/>
        <v>0</v>
      </c>
      <c r="AH378" s="192">
        <f t="shared" si="559"/>
        <v>0</v>
      </c>
      <c r="AI378" s="192">
        <f t="shared" si="559"/>
        <v>0</v>
      </c>
      <c r="AJ378" s="192">
        <f t="shared" si="559"/>
        <v>0</v>
      </c>
      <c r="AK378" s="192">
        <f t="shared" si="559"/>
        <v>0</v>
      </c>
      <c r="AL378" s="1368">
        <f t="shared" si="559"/>
        <v>0</v>
      </c>
      <c r="AM378" s="1368">
        <f t="shared" si="559"/>
        <v>0</v>
      </c>
      <c r="AN378" s="1368">
        <f t="shared" si="559"/>
        <v>0</v>
      </c>
      <c r="AO378" s="2240"/>
      <c r="AP378" s="2240"/>
      <c r="AQ378" s="2240"/>
      <c r="AR378" s="2240"/>
      <c r="AS378" s="192"/>
      <c r="AT378" s="49"/>
      <c r="AU378" s="95"/>
      <c r="AV378" s="95"/>
      <c r="AW378" s="98"/>
      <c r="AX378" s="98"/>
      <c r="AY378" s="98"/>
      <c r="AZ378" s="98"/>
      <c r="BA378" s="98"/>
      <c r="BB378" s="98"/>
      <c r="BC378" s="98"/>
      <c r="BD378" s="98"/>
      <c r="BE378" s="98"/>
      <c r="BF378" s="98"/>
      <c r="BG378" s="98"/>
      <c r="BH378" s="98"/>
      <c r="BI378" s="98"/>
      <c r="BJ378" s="98"/>
      <c r="BK378" s="98"/>
      <c r="BL378" s="98"/>
      <c r="BM378" s="98"/>
      <c r="BN378" s="98"/>
      <c r="BO378" s="98"/>
      <c r="BP378" s="98"/>
      <c r="BQ378" s="98"/>
      <c r="BR378" s="98"/>
      <c r="BS378" s="98"/>
      <c r="BT378" s="98"/>
      <c r="BU378" s="98"/>
      <c r="BV378" s="98"/>
      <c r="BW378" s="98"/>
      <c r="BX378" s="98"/>
      <c r="BY378" s="98"/>
      <c r="BZ378" s="98"/>
      <c r="CA378" s="98"/>
      <c r="CB378" s="98"/>
      <c r="CC378" s="98"/>
      <c r="CD378" s="98"/>
      <c r="CE378" s="98"/>
      <c r="CF378" s="98"/>
      <c r="CG378" s="98"/>
      <c r="CH378" s="98"/>
      <c r="CI378" s="98"/>
      <c r="CJ378" s="98"/>
      <c r="CK378" s="98"/>
      <c r="CL378" s="98"/>
      <c r="CM378" s="98"/>
      <c r="CN378" s="98"/>
      <c r="CO378" s="98"/>
      <c r="CP378" s="98"/>
      <c r="CQ378" s="98"/>
      <c r="CR378" s="98"/>
      <c r="CS378" s="98"/>
      <c r="CT378" s="49">
        <v>0</v>
      </c>
      <c r="CU378" s="49">
        <v>0</v>
      </c>
      <c r="CV378" s="49">
        <v>0</v>
      </c>
      <c r="CW378" s="1540">
        <f t="shared" si="557"/>
        <v>0</v>
      </c>
      <c r="CX378" s="53">
        <f t="shared" si="539"/>
        <v>0</v>
      </c>
      <c r="CY378" s="1558">
        <f t="shared" si="548"/>
        <v>0</v>
      </c>
      <c r="CZ378" s="1558">
        <f t="shared" si="548"/>
        <v>0</v>
      </c>
      <c r="DA378" s="1558">
        <f t="shared" si="548"/>
        <v>0</v>
      </c>
      <c r="DB378" s="1558">
        <f t="shared" si="548"/>
        <v>0</v>
      </c>
      <c r="DC378" s="2926">
        <f t="shared" si="540"/>
        <v>0</v>
      </c>
      <c r="DD378" s="1558">
        <f t="shared" si="549"/>
        <v>0</v>
      </c>
      <c r="DE378" s="1558">
        <f t="shared" si="550"/>
        <v>0</v>
      </c>
      <c r="DF378" s="1558">
        <f t="shared" si="551"/>
        <v>0</v>
      </c>
      <c r="DG378" s="1558">
        <f t="shared" si="541"/>
        <v>0</v>
      </c>
      <c r="DH378" s="2926">
        <f t="shared" si="552"/>
        <v>0</v>
      </c>
      <c r="DI378" s="2927">
        <f t="shared" si="553"/>
        <v>0</v>
      </c>
      <c r="DJ378" s="2927">
        <f t="shared" si="553"/>
        <v>0</v>
      </c>
      <c r="DK378" s="2927">
        <f t="shared" si="542"/>
        <v>0</v>
      </c>
      <c r="DL378" s="2927">
        <f t="shared" si="542"/>
        <v>0</v>
      </c>
      <c r="DM378" s="2926">
        <f t="shared" si="554"/>
        <v>0</v>
      </c>
      <c r="DN378" s="2927">
        <f t="shared" si="555"/>
        <v>0</v>
      </c>
      <c r="DO378" s="2927">
        <f t="shared" si="555"/>
        <v>0</v>
      </c>
      <c r="DP378" s="2927">
        <f t="shared" si="555"/>
        <v>0</v>
      </c>
      <c r="DQ378" s="2927">
        <f t="shared" si="555"/>
        <v>0</v>
      </c>
      <c r="DR378" s="2926">
        <f t="shared" si="544"/>
        <v>0</v>
      </c>
    </row>
    <row r="379" spans="1:122" hidden="1" outlineLevel="1">
      <c r="A379" s="190" t="s">
        <v>150</v>
      </c>
      <c r="B379" s="48"/>
      <c r="C379" s="48"/>
      <c r="D379" s="48"/>
      <c r="E379" s="48"/>
      <c r="F379" s="48"/>
      <c r="G379" s="48"/>
      <c r="H379" s="48"/>
      <c r="I379" s="48"/>
      <c r="J379" s="197"/>
      <c r="K379" s="192">
        <f t="shared" si="545"/>
        <v>40.162500000000001</v>
      </c>
      <c r="L379" s="192">
        <f t="shared" si="545"/>
        <v>39.442500000000003</v>
      </c>
      <c r="M379" s="192">
        <f t="shared" si="545"/>
        <v>19.670625000000001</v>
      </c>
      <c r="N379" s="192">
        <f t="shared" si="545"/>
        <v>0</v>
      </c>
      <c r="O379" s="919"/>
      <c r="P379" s="192"/>
      <c r="Q379" s="192"/>
      <c r="R379" s="192">
        <f>AVERAGE(N324:R324)*R426</f>
        <v>0</v>
      </c>
      <c r="S379" s="192">
        <f t="shared" si="546"/>
        <v>0</v>
      </c>
      <c r="T379" s="192">
        <f t="shared" si="535"/>
        <v>0</v>
      </c>
      <c r="U379" s="192">
        <f t="shared" si="535"/>
        <v>0</v>
      </c>
      <c r="V379" s="192">
        <f t="shared" si="535"/>
        <v>0</v>
      </c>
      <c r="W379" s="192">
        <f t="shared" si="535"/>
        <v>0</v>
      </c>
      <c r="X379" s="192"/>
      <c r="Y379" s="192"/>
      <c r="Z379" s="192">
        <f t="shared" si="536"/>
        <v>0</v>
      </c>
      <c r="AA379" s="192">
        <f t="shared" ref="AA379:AN379" si="560">AVERAGE(Z324:AA324)*AA426</f>
        <v>0</v>
      </c>
      <c r="AB379" s="192"/>
      <c r="AC379" s="192">
        <f t="shared" si="537"/>
        <v>0</v>
      </c>
      <c r="AD379" s="192">
        <f t="shared" si="560"/>
        <v>0</v>
      </c>
      <c r="AE379" s="192">
        <f t="shared" si="560"/>
        <v>0</v>
      </c>
      <c r="AF379" s="192">
        <f t="shared" si="560"/>
        <v>0</v>
      </c>
      <c r="AG379" s="192">
        <f t="shared" si="560"/>
        <v>0</v>
      </c>
      <c r="AH379" s="192">
        <f t="shared" si="560"/>
        <v>0</v>
      </c>
      <c r="AI379" s="192">
        <f t="shared" si="560"/>
        <v>0</v>
      </c>
      <c r="AJ379" s="192">
        <f t="shared" si="560"/>
        <v>0</v>
      </c>
      <c r="AK379" s="192">
        <f t="shared" si="560"/>
        <v>0</v>
      </c>
      <c r="AL379" s="1368">
        <f t="shared" si="560"/>
        <v>0</v>
      </c>
      <c r="AM379" s="1368">
        <f t="shared" si="560"/>
        <v>0</v>
      </c>
      <c r="AN379" s="1368">
        <f t="shared" si="560"/>
        <v>0</v>
      </c>
      <c r="AO379" s="2240"/>
      <c r="AP379" s="2240"/>
      <c r="AQ379" s="2240"/>
      <c r="AR379" s="2240"/>
      <c r="AS379" s="192"/>
      <c r="AT379" s="49"/>
      <c r="AU379" s="95"/>
      <c r="AV379" s="4"/>
      <c r="AW379" s="89"/>
      <c r="AX379" s="89"/>
      <c r="AY379" s="89"/>
      <c r="AZ379" s="89"/>
      <c r="BA379" s="89"/>
      <c r="BB379" s="89"/>
      <c r="BC379" s="89"/>
      <c r="BD379" s="89"/>
      <c r="BE379" s="89"/>
      <c r="BF379" s="89"/>
      <c r="BG379" s="89"/>
      <c r="BH379" s="98"/>
      <c r="BI379" s="89"/>
      <c r="BJ379" s="89"/>
      <c r="BK379" s="89"/>
      <c r="BL379" s="89"/>
      <c r="BM379" s="89"/>
      <c r="BN379" s="89"/>
      <c r="BO379" s="89"/>
      <c r="BP379" s="89"/>
      <c r="BQ379" s="89"/>
      <c r="BR379" s="89"/>
      <c r="BS379" s="89"/>
      <c r="BT379" s="89"/>
      <c r="BU379" s="89"/>
      <c r="BV379" s="89"/>
      <c r="BW379" s="89"/>
      <c r="BX379" s="89"/>
      <c r="BY379" s="89"/>
      <c r="BZ379" s="89"/>
      <c r="CA379" s="89"/>
      <c r="CB379" s="89"/>
      <c r="CC379" s="89"/>
      <c r="CD379" s="89"/>
      <c r="CE379" s="89"/>
      <c r="CF379" s="89"/>
      <c r="CG379" s="89"/>
      <c r="CH379" s="89"/>
      <c r="CI379" s="89"/>
      <c r="CJ379" s="89"/>
      <c r="CK379" s="89"/>
      <c r="CL379" s="89"/>
      <c r="CM379" s="89"/>
      <c r="CN379" s="89"/>
      <c r="CO379" s="98"/>
      <c r="CP379" s="98"/>
      <c r="CQ379" s="98"/>
      <c r="CR379" s="98"/>
      <c r="CS379" s="98"/>
      <c r="CT379" s="49">
        <v>0</v>
      </c>
      <c r="CU379" s="49">
        <v>0</v>
      </c>
      <c r="CV379" s="49">
        <v>0</v>
      </c>
      <c r="CW379" s="1540">
        <f t="shared" si="557"/>
        <v>0</v>
      </c>
      <c r="CX379" s="53">
        <f t="shared" si="539"/>
        <v>0</v>
      </c>
      <c r="CY379" s="1558">
        <f t="shared" si="548"/>
        <v>0</v>
      </c>
      <c r="CZ379" s="1558">
        <f t="shared" si="548"/>
        <v>0</v>
      </c>
      <c r="DA379" s="1558">
        <f t="shared" si="548"/>
        <v>0</v>
      </c>
      <c r="DB379" s="1558">
        <f t="shared" si="548"/>
        <v>0</v>
      </c>
      <c r="DC379" s="2926">
        <f t="shared" si="540"/>
        <v>0</v>
      </c>
      <c r="DD379" s="1558">
        <f t="shared" si="549"/>
        <v>0</v>
      </c>
      <c r="DE379" s="1558">
        <f t="shared" si="550"/>
        <v>0</v>
      </c>
      <c r="DF379" s="1558">
        <f t="shared" si="551"/>
        <v>0</v>
      </c>
      <c r="DG379" s="1558">
        <f t="shared" si="541"/>
        <v>0</v>
      </c>
      <c r="DH379" s="2926">
        <f t="shared" si="552"/>
        <v>0</v>
      </c>
      <c r="DI379" s="2927">
        <f t="shared" si="553"/>
        <v>0</v>
      </c>
      <c r="DJ379" s="2927">
        <f t="shared" si="553"/>
        <v>0</v>
      </c>
      <c r="DK379" s="2927">
        <f t="shared" si="542"/>
        <v>0</v>
      </c>
      <c r="DL379" s="2927">
        <f t="shared" si="542"/>
        <v>0</v>
      </c>
      <c r="DM379" s="2926">
        <f t="shared" si="554"/>
        <v>0</v>
      </c>
      <c r="DN379" s="2927">
        <f t="shared" si="555"/>
        <v>0</v>
      </c>
      <c r="DO379" s="2927">
        <f t="shared" si="555"/>
        <v>0</v>
      </c>
      <c r="DP379" s="2927">
        <f t="shared" si="555"/>
        <v>0</v>
      </c>
      <c r="DQ379" s="2927">
        <f t="shared" si="555"/>
        <v>0</v>
      </c>
      <c r="DR379" s="2926">
        <f t="shared" si="544"/>
        <v>0</v>
      </c>
    </row>
    <row r="380" spans="1:122" hidden="1" outlineLevel="1">
      <c r="A380" s="190" t="s">
        <v>151</v>
      </c>
      <c r="B380" s="48"/>
      <c r="C380" s="48"/>
      <c r="D380" s="48"/>
      <c r="E380" s="48"/>
      <c r="F380" s="48"/>
      <c r="G380" s="48"/>
      <c r="H380" s="48"/>
      <c r="I380" s="48"/>
      <c r="J380" s="197"/>
      <c r="K380" s="192">
        <f t="shared" si="545"/>
        <v>127.73145</v>
      </c>
      <c r="L380" s="192">
        <f t="shared" si="545"/>
        <v>124.98639999999999</v>
      </c>
      <c r="M380" s="192">
        <f t="shared" si="545"/>
        <v>122.74569999999999</v>
      </c>
      <c r="N380" s="192">
        <f t="shared" si="545"/>
        <v>115.13039999999998</v>
      </c>
      <c r="O380" s="919"/>
      <c r="P380" s="192"/>
      <c r="Q380" s="192"/>
      <c r="R380" s="192">
        <f>AVERAGE(N325*0.333)*R427</f>
        <v>35.840989800000003</v>
      </c>
      <c r="S380" s="192">
        <f t="shared" si="546"/>
        <v>16.023699999999998</v>
      </c>
      <c r="T380" s="192">
        <f t="shared" si="535"/>
        <v>0</v>
      </c>
      <c r="U380" s="192">
        <f t="shared" si="535"/>
        <v>0</v>
      </c>
      <c r="V380" s="192">
        <f t="shared" si="535"/>
        <v>0</v>
      </c>
      <c r="W380" s="192">
        <f t="shared" si="535"/>
        <v>0</v>
      </c>
      <c r="X380" s="192"/>
      <c r="Y380" s="192"/>
      <c r="Z380" s="192">
        <f t="shared" si="536"/>
        <v>0</v>
      </c>
      <c r="AA380" s="192">
        <f t="shared" ref="AA380:AN380" si="561">AVERAGE(Z325:AA325)*AA427</f>
        <v>0</v>
      </c>
      <c r="AB380" s="192"/>
      <c r="AC380" s="192">
        <f t="shared" si="537"/>
        <v>0</v>
      </c>
      <c r="AD380" s="192">
        <f t="shared" si="561"/>
        <v>0</v>
      </c>
      <c r="AE380" s="192">
        <f t="shared" si="561"/>
        <v>0</v>
      </c>
      <c r="AF380" s="192">
        <f t="shared" si="561"/>
        <v>0</v>
      </c>
      <c r="AG380" s="192">
        <f t="shared" si="561"/>
        <v>0</v>
      </c>
      <c r="AH380" s="192">
        <f t="shared" si="561"/>
        <v>0</v>
      </c>
      <c r="AI380" s="192">
        <f t="shared" si="561"/>
        <v>0</v>
      </c>
      <c r="AJ380" s="192">
        <f t="shared" si="561"/>
        <v>0</v>
      </c>
      <c r="AK380" s="192">
        <f t="shared" si="561"/>
        <v>0</v>
      </c>
      <c r="AL380" s="1368">
        <f t="shared" si="561"/>
        <v>0</v>
      </c>
      <c r="AM380" s="1368">
        <f t="shared" si="561"/>
        <v>0</v>
      </c>
      <c r="AN380" s="1368">
        <f t="shared" si="561"/>
        <v>0</v>
      </c>
      <c r="AO380" s="2240"/>
      <c r="AP380" s="2240"/>
      <c r="AQ380" s="2240"/>
      <c r="AR380" s="2240"/>
      <c r="AS380" s="192"/>
      <c r="AT380" s="49"/>
      <c r="AU380" s="95"/>
      <c r="AV380" s="4"/>
      <c r="AW380" s="89"/>
      <c r="AX380" s="89"/>
      <c r="AY380" s="89"/>
      <c r="AZ380" s="89"/>
      <c r="BA380" s="89"/>
      <c r="BB380" s="89"/>
      <c r="BC380" s="89"/>
      <c r="BD380" s="89"/>
      <c r="BE380" s="89"/>
      <c r="BF380" s="89"/>
      <c r="BG380" s="89"/>
      <c r="BH380" s="98"/>
      <c r="BI380" s="89"/>
      <c r="BJ380" s="89"/>
      <c r="BK380" s="89"/>
      <c r="BL380" s="89"/>
      <c r="BM380" s="89"/>
      <c r="BN380" s="89"/>
      <c r="BO380" s="89"/>
      <c r="BP380" s="89"/>
      <c r="BQ380" s="89"/>
      <c r="BR380" s="89"/>
      <c r="BS380" s="89"/>
      <c r="BT380" s="89"/>
      <c r="BU380" s="89"/>
      <c r="BV380" s="89"/>
      <c r="BW380" s="89"/>
      <c r="BX380" s="89"/>
      <c r="BY380" s="89"/>
      <c r="BZ380" s="89"/>
      <c r="CA380" s="89"/>
      <c r="CB380" s="89"/>
      <c r="CC380" s="89"/>
      <c r="CD380" s="89"/>
      <c r="CE380" s="89"/>
      <c r="CF380" s="89"/>
      <c r="CG380" s="89"/>
      <c r="CH380" s="89"/>
      <c r="CI380" s="89"/>
      <c r="CJ380" s="89"/>
      <c r="CK380" s="89"/>
      <c r="CL380" s="89"/>
      <c r="CM380" s="89"/>
      <c r="CN380" s="89"/>
      <c r="CO380" s="98"/>
      <c r="CP380" s="98"/>
      <c r="CQ380" s="98"/>
      <c r="CR380" s="98"/>
      <c r="CS380" s="98"/>
      <c r="CT380" s="49">
        <v>0</v>
      </c>
      <c r="CU380" s="49">
        <v>0</v>
      </c>
      <c r="CV380" s="49">
        <v>0</v>
      </c>
      <c r="CW380" s="1540">
        <f t="shared" si="557"/>
        <v>0</v>
      </c>
      <c r="CX380" s="53">
        <f t="shared" si="539"/>
        <v>0</v>
      </c>
      <c r="CY380" s="1558">
        <f t="shared" si="548"/>
        <v>0</v>
      </c>
      <c r="CZ380" s="1558">
        <f t="shared" si="548"/>
        <v>0</v>
      </c>
      <c r="DA380" s="1558">
        <f t="shared" si="548"/>
        <v>0</v>
      </c>
      <c r="DB380" s="1558">
        <f t="shared" si="548"/>
        <v>0</v>
      </c>
      <c r="DC380" s="2926">
        <f t="shared" si="540"/>
        <v>0</v>
      </c>
      <c r="DD380" s="1558">
        <f t="shared" si="549"/>
        <v>0</v>
      </c>
      <c r="DE380" s="1558">
        <f t="shared" si="550"/>
        <v>0</v>
      </c>
      <c r="DF380" s="1558">
        <f t="shared" si="551"/>
        <v>0</v>
      </c>
      <c r="DG380" s="1558">
        <f t="shared" si="541"/>
        <v>0</v>
      </c>
      <c r="DH380" s="2926">
        <f t="shared" si="552"/>
        <v>0</v>
      </c>
      <c r="DI380" s="2927">
        <f t="shared" si="553"/>
        <v>0</v>
      </c>
      <c r="DJ380" s="2927">
        <f t="shared" si="553"/>
        <v>0</v>
      </c>
      <c r="DK380" s="2927">
        <f t="shared" si="542"/>
        <v>0</v>
      </c>
      <c r="DL380" s="2927">
        <f t="shared" si="542"/>
        <v>0</v>
      </c>
      <c r="DM380" s="2926">
        <f t="shared" si="554"/>
        <v>0</v>
      </c>
      <c r="DN380" s="2927">
        <f t="shared" si="555"/>
        <v>0</v>
      </c>
      <c r="DO380" s="2927">
        <f t="shared" si="555"/>
        <v>0</v>
      </c>
      <c r="DP380" s="2927">
        <f t="shared" si="555"/>
        <v>0</v>
      </c>
      <c r="DQ380" s="2927">
        <f t="shared" si="555"/>
        <v>0</v>
      </c>
      <c r="DR380" s="2926">
        <f t="shared" si="544"/>
        <v>0</v>
      </c>
    </row>
    <row r="381" spans="1:122" hidden="1" outlineLevel="1">
      <c r="A381" s="190" t="s">
        <v>152</v>
      </c>
      <c r="B381" s="48"/>
      <c r="C381" s="48"/>
      <c r="D381" s="48"/>
      <c r="E381" s="48"/>
      <c r="F381" s="48"/>
      <c r="G381" s="48"/>
      <c r="H381" s="48"/>
      <c r="I381" s="48"/>
      <c r="J381" s="197"/>
      <c r="K381" s="192">
        <f t="shared" si="545"/>
        <v>65.975062500000007</v>
      </c>
      <c r="L381" s="192">
        <f t="shared" si="545"/>
        <v>64.371812500000004</v>
      </c>
      <c r="M381" s="192">
        <f t="shared" si="545"/>
        <v>62.765250000000009</v>
      </c>
      <c r="N381" s="192">
        <f t="shared" si="545"/>
        <v>62.8083125</v>
      </c>
      <c r="O381" s="919"/>
      <c r="P381" s="192"/>
      <c r="Q381" s="192"/>
      <c r="R381" s="192">
        <f>AVERAGE(N326:R326)*R428</f>
        <v>62.854687500000004</v>
      </c>
      <c r="S381" s="192">
        <f>((R326*0.33)+(550*0.67))*S428</f>
        <v>45.162823750000001</v>
      </c>
      <c r="T381" s="192">
        <f t="shared" si="535"/>
        <v>0</v>
      </c>
      <c r="U381" s="192">
        <f t="shared" si="535"/>
        <v>0</v>
      </c>
      <c r="V381" s="192">
        <f t="shared" si="535"/>
        <v>0</v>
      </c>
      <c r="W381" s="192">
        <f t="shared" si="535"/>
        <v>0</v>
      </c>
      <c r="X381" s="192"/>
      <c r="Y381" s="192"/>
      <c r="Z381" s="192">
        <f t="shared" si="536"/>
        <v>0</v>
      </c>
      <c r="AA381" s="192">
        <f t="shared" ref="AA381:AN381" si="562">AVERAGE(Z326:AA326)*AA428</f>
        <v>0</v>
      </c>
      <c r="AB381" s="192"/>
      <c r="AC381" s="192">
        <f t="shared" si="537"/>
        <v>0</v>
      </c>
      <c r="AD381" s="192">
        <f t="shared" si="562"/>
        <v>0</v>
      </c>
      <c r="AE381" s="192">
        <f t="shared" si="562"/>
        <v>0</v>
      </c>
      <c r="AF381" s="192">
        <f t="shared" si="562"/>
        <v>0</v>
      </c>
      <c r="AG381" s="192">
        <f t="shared" si="562"/>
        <v>0</v>
      </c>
      <c r="AH381" s="192">
        <f t="shared" si="562"/>
        <v>0</v>
      </c>
      <c r="AI381" s="192">
        <f t="shared" si="562"/>
        <v>0</v>
      </c>
      <c r="AJ381" s="192">
        <f t="shared" si="562"/>
        <v>0</v>
      </c>
      <c r="AK381" s="192">
        <f t="shared" si="562"/>
        <v>0</v>
      </c>
      <c r="AL381" s="1368">
        <f t="shared" si="562"/>
        <v>0</v>
      </c>
      <c r="AM381" s="1368">
        <f t="shared" si="562"/>
        <v>0</v>
      </c>
      <c r="AN381" s="1368">
        <f t="shared" si="562"/>
        <v>0</v>
      </c>
      <c r="AO381" s="2240"/>
      <c r="AP381" s="2240"/>
      <c r="AQ381" s="2240"/>
      <c r="AR381" s="2240"/>
      <c r="AS381" s="192"/>
      <c r="AT381" s="49"/>
      <c r="AU381" s="95"/>
      <c r="AV381" s="4"/>
      <c r="AW381" s="89"/>
      <c r="AX381" s="89"/>
      <c r="AY381" s="89"/>
      <c r="AZ381" s="89"/>
      <c r="BA381" s="89"/>
      <c r="BB381" s="89"/>
      <c r="BC381" s="89"/>
      <c r="BD381" s="89"/>
      <c r="BE381" s="89"/>
      <c r="BF381" s="89"/>
      <c r="BG381" s="89"/>
      <c r="BH381" s="98"/>
      <c r="BI381" s="89"/>
      <c r="BJ381" s="89"/>
      <c r="BK381" s="89"/>
      <c r="BL381" s="89"/>
      <c r="BM381" s="89"/>
      <c r="BN381" s="89"/>
      <c r="BO381" s="89"/>
      <c r="BP381" s="89"/>
      <c r="BQ381" s="89"/>
      <c r="BR381" s="89"/>
      <c r="BS381" s="89"/>
      <c r="BT381" s="89"/>
      <c r="BU381" s="89"/>
      <c r="BV381" s="89"/>
      <c r="BW381" s="89"/>
      <c r="BX381" s="89"/>
      <c r="BY381" s="89"/>
      <c r="BZ381" s="89"/>
      <c r="CA381" s="89"/>
      <c r="CB381" s="89"/>
      <c r="CC381" s="89"/>
      <c r="CD381" s="89"/>
      <c r="CE381" s="89"/>
      <c r="CF381" s="89"/>
      <c r="CG381" s="89"/>
      <c r="CH381" s="89"/>
      <c r="CI381" s="89"/>
      <c r="CJ381" s="89"/>
      <c r="CK381" s="89"/>
      <c r="CL381" s="89"/>
      <c r="CM381" s="89"/>
      <c r="CN381" s="89"/>
      <c r="CO381" s="98"/>
      <c r="CP381" s="98"/>
      <c r="CQ381" s="98"/>
      <c r="CR381" s="98"/>
      <c r="CS381" s="98"/>
      <c r="CT381" s="49">
        <v>0</v>
      </c>
      <c r="CU381" s="49">
        <v>0</v>
      </c>
      <c r="CV381" s="49">
        <v>0</v>
      </c>
      <c r="CW381" s="1540">
        <f t="shared" si="557"/>
        <v>0</v>
      </c>
      <c r="CX381" s="53">
        <f t="shared" si="539"/>
        <v>0</v>
      </c>
      <c r="CY381" s="1558">
        <f t="shared" si="548"/>
        <v>0</v>
      </c>
      <c r="CZ381" s="1558">
        <f t="shared" si="548"/>
        <v>0</v>
      </c>
      <c r="DA381" s="1558">
        <f t="shared" si="548"/>
        <v>0</v>
      </c>
      <c r="DB381" s="1558">
        <f t="shared" si="548"/>
        <v>0</v>
      </c>
      <c r="DC381" s="2926">
        <f t="shared" si="540"/>
        <v>0</v>
      </c>
      <c r="DD381" s="1558">
        <f t="shared" si="549"/>
        <v>0</v>
      </c>
      <c r="DE381" s="1558">
        <f t="shared" si="550"/>
        <v>0</v>
      </c>
      <c r="DF381" s="1558">
        <f t="shared" si="551"/>
        <v>0</v>
      </c>
      <c r="DG381" s="1558">
        <f t="shared" si="541"/>
        <v>0</v>
      </c>
      <c r="DH381" s="2926">
        <f t="shared" si="552"/>
        <v>0</v>
      </c>
      <c r="DI381" s="2927">
        <f t="shared" si="553"/>
        <v>0</v>
      </c>
      <c r="DJ381" s="2927">
        <f t="shared" si="553"/>
        <v>0</v>
      </c>
      <c r="DK381" s="2927">
        <f t="shared" si="542"/>
        <v>0</v>
      </c>
      <c r="DL381" s="2927">
        <f t="shared" si="542"/>
        <v>0</v>
      </c>
      <c r="DM381" s="2926">
        <f t="shared" si="554"/>
        <v>0</v>
      </c>
      <c r="DN381" s="2927">
        <f t="shared" si="555"/>
        <v>0</v>
      </c>
      <c r="DO381" s="2927">
        <f t="shared" si="555"/>
        <v>0</v>
      </c>
      <c r="DP381" s="2927">
        <f t="shared" si="555"/>
        <v>0</v>
      </c>
      <c r="DQ381" s="2927">
        <f t="shared" si="555"/>
        <v>0</v>
      </c>
      <c r="DR381" s="2926">
        <f t="shared" si="544"/>
        <v>0</v>
      </c>
    </row>
    <row r="382" spans="1:122" hidden="1" outlineLevel="1">
      <c r="A382" s="190" t="s">
        <v>153</v>
      </c>
      <c r="B382" s="48"/>
      <c r="C382" s="48"/>
      <c r="D382" s="48"/>
      <c r="E382" s="48"/>
      <c r="F382" s="48"/>
      <c r="G382" s="48"/>
      <c r="H382" s="48"/>
      <c r="I382" s="48"/>
      <c r="J382" s="197"/>
      <c r="K382" s="192">
        <f t="shared" si="545"/>
        <v>21.459</v>
      </c>
      <c r="L382" s="192">
        <f t="shared" si="545"/>
        <v>21.471937499999996</v>
      </c>
      <c r="M382" s="192">
        <f t="shared" si="545"/>
        <v>21.480562499999998</v>
      </c>
      <c r="N382" s="192">
        <f t="shared" si="545"/>
        <v>21.489187499999996</v>
      </c>
      <c r="O382" s="919"/>
      <c r="P382" s="192"/>
      <c r="Q382" s="192"/>
      <c r="R382" s="192">
        <f>AVERAGE(N327:R327)*R429</f>
        <v>21.627187499999998</v>
      </c>
      <c r="S382" s="192">
        <f>((R327*0.33)+(S327*0.67))*S429</f>
        <v>16.115036250000003</v>
      </c>
      <c r="T382" s="192">
        <f t="shared" ref="T382:T401" si="563">AVERAGE(S327:T327)*T429</f>
        <v>13.334250000000001</v>
      </c>
      <c r="U382" s="194">
        <f>(T327*7/12+U327*5/12)*U429</f>
        <v>7.7783125000000011</v>
      </c>
      <c r="V382" s="192">
        <f t="shared" ref="V382:W387" si="564">AVERAGE(U327:V327)*V429</f>
        <v>0</v>
      </c>
      <c r="W382" s="192">
        <f t="shared" si="564"/>
        <v>0</v>
      </c>
      <c r="X382" s="192"/>
      <c r="Y382" s="192"/>
      <c r="Z382" s="192">
        <f t="shared" si="536"/>
        <v>0</v>
      </c>
      <c r="AA382" s="192">
        <f t="shared" ref="AA382:AN382" si="565">AVERAGE(Z327:AA327)*AA429</f>
        <v>0</v>
      </c>
      <c r="AB382" s="192"/>
      <c r="AC382" s="192">
        <f t="shared" si="537"/>
        <v>0</v>
      </c>
      <c r="AD382" s="192">
        <f t="shared" si="565"/>
        <v>0</v>
      </c>
      <c r="AE382" s="192">
        <f t="shared" si="565"/>
        <v>0</v>
      </c>
      <c r="AF382" s="192">
        <f t="shared" si="565"/>
        <v>0</v>
      </c>
      <c r="AG382" s="192">
        <f t="shared" si="565"/>
        <v>0</v>
      </c>
      <c r="AH382" s="192">
        <f t="shared" si="565"/>
        <v>0</v>
      </c>
      <c r="AI382" s="192">
        <f t="shared" si="565"/>
        <v>0</v>
      </c>
      <c r="AJ382" s="192">
        <f t="shared" si="565"/>
        <v>0</v>
      </c>
      <c r="AK382" s="192">
        <f t="shared" si="565"/>
        <v>0</v>
      </c>
      <c r="AL382" s="1368">
        <f t="shared" si="565"/>
        <v>0</v>
      </c>
      <c r="AM382" s="1368">
        <f t="shared" si="565"/>
        <v>0</v>
      </c>
      <c r="AN382" s="1368">
        <f t="shared" si="565"/>
        <v>0</v>
      </c>
      <c r="AO382" s="2240"/>
      <c r="AP382" s="2240"/>
      <c r="AQ382" s="2240"/>
      <c r="AR382" s="2240"/>
      <c r="AS382" s="192"/>
      <c r="AT382" s="49"/>
      <c r="AU382" s="95"/>
      <c r="AV382" s="4"/>
      <c r="AW382" s="89"/>
      <c r="AX382" s="89"/>
      <c r="AY382" s="89"/>
      <c r="AZ382" s="89"/>
      <c r="BA382" s="89"/>
      <c r="BB382" s="89"/>
      <c r="BC382" s="89"/>
      <c r="BD382" s="89"/>
      <c r="BE382" s="89"/>
      <c r="BF382" s="89"/>
      <c r="BG382" s="89"/>
      <c r="BH382" s="98"/>
      <c r="BI382" s="89"/>
      <c r="BJ382" s="89"/>
      <c r="BK382" s="89"/>
      <c r="BL382" s="89"/>
      <c r="BM382" s="89"/>
      <c r="BN382" s="89"/>
      <c r="BO382" s="89"/>
      <c r="BP382" s="89"/>
      <c r="BQ382" s="89"/>
      <c r="BR382" s="89"/>
      <c r="BS382" s="89"/>
      <c r="BT382" s="89"/>
      <c r="BU382" s="89"/>
      <c r="BV382" s="89"/>
      <c r="BW382" s="89"/>
      <c r="BX382" s="89"/>
      <c r="BY382" s="89"/>
      <c r="BZ382" s="89"/>
      <c r="CA382" s="89"/>
      <c r="CB382" s="89"/>
      <c r="CC382" s="89"/>
      <c r="CD382" s="89"/>
      <c r="CE382" s="89"/>
      <c r="CF382" s="89"/>
      <c r="CG382" s="89"/>
      <c r="CH382" s="89"/>
      <c r="CI382" s="89"/>
      <c r="CJ382" s="89"/>
      <c r="CK382" s="89"/>
      <c r="CL382" s="89"/>
      <c r="CM382" s="89"/>
      <c r="CN382" s="89"/>
      <c r="CO382" s="98"/>
      <c r="CP382" s="98"/>
      <c r="CQ382" s="98"/>
      <c r="CR382" s="98"/>
      <c r="CS382" s="98"/>
      <c r="CT382" s="49">
        <v>0</v>
      </c>
      <c r="CU382" s="49">
        <v>0</v>
      </c>
      <c r="CV382" s="49">
        <v>0</v>
      </c>
      <c r="CW382" s="1540">
        <f t="shared" si="557"/>
        <v>0</v>
      </c>
      <c r="CX382" s="53">
        <f t="shared" si="539"/>
        <v>0</v>
      </c>
      <c r="CY382" s="1558">
        <f t="shared" si="548"/>
        <v>0</v>
      </c>
      <c r="CZ382" s="1558">
        <f t="shared" si="548"/>
        <v>0</v>
      </c>
      <c r="DA382" s="1558">
        <f t="shared" si="548"/>
        <v>0</v>
      </c>
      <c r="DB382" s="1558">
        <f t="shared" si="548"/>
        <v>0</v>
      </c>
      <c r="DC382" s="2926">
        <f t="shared" si="540"/>
        <v>0</v>
      </c>
      <c r="DD382" s="1558">
        <f t="shared" si="549"/>
        <v>0</v>
      </c>
      <c r="DE382" s="1558">
        <f t="shared" si="550"/>
        <v>0</v>
      </c>
      <c r="DF382" s="1558">
        <f t="shared" si="551"/>
        <v>0</v>
      </c>
      <c r="DG382" s="1558">
        <f t="shared" si="541"/>
        <v>0</v>
      </c>
      <c r="DH382" s="2926">
        <f t="shared" si="552"/>
        <v>0</v>
      </c>
      <c r="DI382" s="2927">
        <f t="shared" si="553"/>
        <v>0</v>
      </c>
      <c r="DJ382" s="2927">
        <f t="shared" si="553"/>
        <v>0</v>
      </c>
      <c r="DK382" s="2927">
        <f t="shared" si="542"/>
        <v>0</v>
      </c>
      <c r="DL382" s="2927">
        <f t="shared" si="542"/>
        <v>0</v>
      </c>
      <c r="DM382" s="2926">
        <f t="shared" si="554"/>
        <v>0</v>
      </c>
      <c r="DN382" s="2927">
        <f t="shared" si="555"/>
        <v>0</v>
      </c>
      <c r="DO382" s="2927">
        <f t="shared" si="555"/>
        <v>0</v>
      </c>
      <c r="DP382" s="2927">
        <f t="shared" si="555"/>
        <v>0</v>
      </c>
      <c r="DQ382" s="2927">
        <f t="shared" si="555"/>
        <v>0</v>
      </c>
      <c r="DR382" s="2926">
        <f t="shared" si="544"/>
        <v>0</v>
      </c>
    </row>
    <row r="383" spans="1:122" hidden="1" outlineLevel="1">
      <c r="A383" s="190" t="s">
        <v>154</v>
      </c>
      <c r="B383" s="48"/>
      <c r="C383" s="48"/>
      <c r="D383" s="48"/>
      <c r="E383" s="48"/>
      <c r="F383" s="48"/>
      <c r="G383" s="48"/>
      <c r="H383" s="48"/>
      <c r="I383" s="48"/>
      <c r="J383" s="197"/>
      <c r="K383" s="192">
        <f t="shared" si="545"/>
        <v>33.713437499999998</v>
      </c>
      <c r="L383" s="192">
        <f t="shared" si="545"/>
        <v>33.716250000000002</v>
      </c>
      <c r="M383" s="192">
        <f t="shared" si="545"/>
        <v>33.721875000000004</v>
      </c>
      <c r="N383" s="192">
        <f t="shared" si="545"/>
        <v>33.463125000000005</v>
      </c>
      <c r="O383" s="919"/>
      <c r="P383" s="192"/>
      <c r="Q383" s="192"/>
      <c r="R383" s="192">
        <f>AVERAGE(N328:R328)*R430</f>
        <v>33.302812500000002</v>
      </c>
      <c r="S383" s="192">
        <f>((R328*0.33)+(S328*0.67))*S430</f>
        <v>23.898318750000001</v>
      </c>
      <c r="T383" s="192">
        <f t="shared" si="563"/>
        <v>19.215000000000003</v>
      </c>
      <c r="U383" s="194">
        <f>(T328*7.5/12+U328*4.5/12)*U430</f>
        <v>12.009375</v>
      </c>
      <c r="V383" s="192">
        <f t="shared" si="564"/>
        <v>0</v>
      </c>
      <c r="W383" s="192">
        <f t="shared" si="564"/>
        <v>0</v>
      </c>
      <c r="X383" s="192"/>
      <c r="Y383" s="192"/>
      <c r="Z383" s="192">
        <f t="shared" si="536"/>
        <v>0</v>
      </c>
      <c r="AA383" s="192">
        <f t="shared" ref="AA383:AN383" si="566">AVERAGE(Z328:AA328)*AA430</f>
        <v>0</v>
      </c>
      <c r="AB383" s="192"/>
      <c r="AC383" s="192">
        <f t="shared" si="537"/>
        <v>0</v>
      </c>
      <c r="AD383" s="192">
        <f t="shared" si="566"/>
        <v>0</v>
      </c>
      <c r="AE383" s="192">
        <f t="shared" si="566"/>
        <v>0</v>
      </c>
      <c r="AF383" s="192">
        <f t="shared" si="566"/>
        <v>0</v>
      </c>
      <c r="AG383" s="192">
        <f t="shared" si="566"/>
        <v>0</v>
      </c>
      <c r="AH383" s="192">
        <f t="shared" si="566"/>
        <v>0</v>
      </c>
      <c r="AI383" s="192">
        <f t="shared" si="566"/>
        <v>0</v>
      </c>
      <c r="AJ383" s="192">
        <f t="shared" si="566"/>
        <v>0</v>
      </c>
      <c r="AK383" s="192">
        <f t="shared" si="566"/>
        <v>0</v>
      </c>
      <c r="AL383" s="1368">
        <f t="shared" si="566"/>
        <v>0</v>
      </c>
      <c r="AM383" s="1368">
        <f t="shared" si="566"/>
        <v>0</v>
      </c>
      <c r="AN383" s="1368">
        <f t="shared" si="566"/>
        <v>0</v>
      </c>
      <c r="AO383" s="2240"/>
      <c r="AP383" s="2240"/>
      <c r="AQ383" s="2240"/>
      <c r="AR383" s="2240"/>
      <c r="AS383" s="192"/>
      <c r="AT383" s="49"/>
      <c r="AU383" s="95"/>
      <c r="AV383" s="4"/>
      <c r="AW383" s="89"/>
      <c r="AX383" s="89"/>
      <c r="AY383" s="89"/>
      <c r="AZ383" s="89"/>
      <c r="BA383" s="89"/>
      <c r="BB383" s="89"/>
      <c r="BC383" s="89"/>
      <c r="BD383" s="89"/>
      <c r="BE383" s="89"/>
      <c r="BF383" s="89"/>
      <c r="BG383" s="89"/>
      <c r="BH383" s="98"/>
      <c r="BI383" s="89"/>
      <c r="BJ383" s="89"/>
      <c r="BK383" s="89"/>
      <c r="BL383" s="89"/>
      <c r="BM383" s="89"/>
      <c r="BN383" s="89"/>
      <c r="BO383" s="89"/>
      <c r="BP383" s="89"/>
      <c r="BQ383" s="89"/>
      <c r="BR383" s="89"/>
      <c r="BS383" s="89"/>
      <c r="BT383" s="89"/>
      <c r="BU383" s="89"/>
      <c r="BV383" s="89"/>
      <c r="BW383" s="89"/>
      <c r="BX383" s="89"/>
      <c r="BY383" s="89"/>
      <c r="BZ383" s="89"/>
      <c r="CA383" s="89"/>
      <c r="CB383" s="89"/>
      <c r="CC383" s="89"/>
      <c r="CD383" s="89"/>
      <c r="CE383" s="89"/>
      <c r="CF383" s="89"/>
      <c r="CG383" s="89"/>
      <c r="CH383" s="89"/>
      <c r="CI383" s="89"/>
      <c r="CJ383" s="89"/>
      <c r="CK383" s="89"/>
      <c r="CL383" s="89"/>
      <c r="CM383" s="89"/>
      <c r="CN383" s="89"/>
      <c r="CO383" s="98"/>
      <c r="CP383" s="98"/>
      <c r="CQ383" s="98"/>
      <c r="CR383" s="98"/>
      <c r="CS383" s="98"/>
      <c r="CT383" s="49">
        <v>0</v>
      </c>
      <c r="CU383" s="49">
        <v>0</v>
      </c>
      <c r="CV383" s="49">
        <v>0</v>
      </c>
      <c r="CW383" s="1540">
        <f t="shared" si="557"/>
        <v>0</v>
      </c>
      <c r="CX383" s="53">
        <f t="shared" si="539"/>
        <v>0</v>
      </c>
      <c r="CY383" s="1558">
        <f t="shared" si="548"/>
        <v>0</v>
      </c>
      <c r="CZ383" s="1558">
        <f t="shared" si="548"/>
        <v>0</v>
      </c>
      <c r="DA383" s="1558">
        <f t="shared" si="548"/>
        <v>0</v>
      </c>
      <c r="DB383" s="1558">
        <f t="shared" si="548"/>
        <v>0</v>
      </c>
      <c r="DC383" s="2926">
        <f t="shared" si="540"/>
        <v>0</v>
      </c>
      <c r="DD383" s="1558">
        <f t="shared" si="549"/>
        <v>0</v>
      </c>
      <c r="DE383" s="1558">
        <f t="shared" si="550"/>
        <v>0</v>
      </c>
      <c r="DF383" s="1558">
        <f t="shared" si="551"/>
        <v>0</v>
      </c>
      <c r="DG383" s="1558">
        <f t="shared" si="541"/>
        <v>0</v>
      </c>
      <c r="DH383" s="2926">
        <f t="shared" si="552"/>
        <v>0</v>
      </c>
      <c r="DI383" s="2927">
        <f t="shared" si="553"/>
        <v>0</v>
      </c>
      <c r="DJ383" s="2927">
        <f t="shared" si="553"/>
        <v>0</v>
      </c>
      <c r="DK383" s="2927">
        <f t="shared" si="542"/>
        <v>0</v>
      </c>
      <c r="DL383" s="2927">
        <f t="shared" si="542"/>
        <v>0</v>
      </c>
      <c r="DM383" s="2926">
        <f t="shared" si="554"/>
        <v>0</v>
      </c>
      <c r="DN383" s="2927">
        <f t="shared" si="555"/>
        <v>0</v>
      </c>
      <c r="DO383" s="2927">
        <f t="shared" si="555"/>
        <v>0</v>
      </c>
      <c r="DP383" s="2927">
        <f t="shared" si="555"/>
        <v>0</v>
      </c>
      <c r="DQ383" s="2927">
        <f t="shared" si="555"/>
        <v>0</v>
      </c>
      <c r="DR383" s="2926">
        <f t="shared" si="544"/>
        <v>0</v>
      </c>
    </row>
    <row r="384" spans="1:122" hidden="1" outlineLevel="1">
      <c r="A384" s="190" t="s">
        <v>155</v>
      </c>
      <c r="B384" s="48"/>
      <c r="C384" s="48"/>
      <c r="D384" s="48"/>
      <c r="E384" s="48"/>
      <c r="F384" s="48"/>
      <c r="G384" s="48"/>
      <c r="H384" s="48"/>
      <c r="I384" s="48"/>
      <c r="J384" s="197"/>
      <c r="K384" s="192">
        <f t="shared" si="545"/>
        <v>8.8927499999999977</v>
      </c>
      <c r="L384" s="192">
        <f t="shared" si="545"/>
        <v>8.7507499999999983</v>
      </c>
      <c r="M384" s="192">
        <f t="shared" si="545"/>
        <v>8.7507499999999983</v>
      </c>
      <c r="N384" s="192">
        <f t="shared" si="545"/>
        <v>8.7507499999999983</v>
      </c>
      <c r="O384" s="919"/>
      <c r="P384" s="192"/>
      <c r="Q384" s="192"/>
      <c r="R384" s="192">
        <f>AVERAGE(N329:R329)*R431</f>
        <v>8.8838749999999997</v>
      </c>
      <c r="S384" s="192">
        <f t="shared" ref="S384:S389" si="567">AVERAGE(R329:S329)*S431</f>
        <v>9.0169999999999995</v>
      </c>
      <c r="T384" s="192">
        <f t="shared" si="563"/>
        <v>9.0169999999999995</v>
      </c>
      <c r="U384" s="192">
        <f t="shared" ref="U384:U397" si="568">AVERAGE(T329:U329)*U431</f>
        <v>9.0169999999999995</v>
      </c>
      <c r="V384" s="192">
        <f t="shared" si="564"/>
        <v>8.9016249999999992</v>
      </c>
      <c r="W384" s="192">
        <f t="shared" si="564"/>
        <v>4.3931249999999995</v>
      </c>
      <c r="X384" s="192"/>
      <c r="Y384" s="192"/>
      <c r="Z384" s="192">
        <f t="shared" si="536"/>
        <v>0</v>
      </c>
      <c r="AA384" s="192">
        <f t="shared" ref="AA384:AN384" si="569">AVERAGE(Z329:AA329)*AA431</f>
        <v>0</v>
      </c>
      <c r="AB384" s="192"/>
      <c r="AC384" s="192">
        <f t="shared" si="537"/>
        <v>0</v>
      </c>
      <c r="AD384" s="192">
        <f t="shared" si="569"/>
        <v>0</v>
      </c>
      <c r="AE384" s="192">
        <f t="shared" si="569"/>
        <v>0</v>
      </c>
      <c r="AF384" s="192">
        <f t="shared" si="569"/>
        <v>0</v>
      </c>
      <c r="AG384" s="192">
        <f t="shared" si="569"/>
        <v>0</v>
      </c>
      <c r="AH384" s="192">
        <f t="shared" si="569"/>
        <v>0</v>
      </c>
      <c r="AI384" s="192">
        <f t="shared" si="569"/>
        <v>0</v>
      </c>
      <c r="AJ384" s="192">
        <f t="shared" si="569"/>
        <v>0</v>
      </c>
      <c r="AK384" s="192">
        <f t="shared" si="569"/>
        <v>0</v>
      </c>
      <c r="AL384" s="1368">
        <f t="shared" si="569"/>
        <v>0</v>
      </c>
      <c r="AM384" s="1368">
        <f t="shared" si="569"/>
        <v>0</v>
      </c>
      <c r="AN384" s="1368">
        <f t="shared" si="569"/>
        <v>0</v>
      </c>
      <c r="AO384" s="2240"/>
      <c r="AP384" s="2240"/>
      <c r="AQ384" s="2240"/>
      <c r="AR384" s="2240"/>
      <c r="AS384" s="192"/>
      <c r="AT384" s="49"/>
      <c r="AU384" s="95"/>
      <c r="AV384" s="4"/>
      <c r="AW384" s="89"/>
      <c r="AX384" s="89"/>
      <c r="AY384" s="89"/>
      <c r="AZ384" s="89"/>
      <c r="BA384" s="89"/>
      <c r="BB384" s="89"/>
      <c r="BC384" s="89"/>
      <c r="BD384" s="89"/>
      <c r="BE384" s="89"/>
      <c r="BF384" s="89"/>
      <c r="BG384" s="89"/>
      <c r="BH384" s="98"/>
      <c r="BI384" s="89"/>
      <c r="BJ384" s="89"/>
      <c r="BK384" s="89"/>
      <c r="BL384" s="89"/>
      <c r="BM384" s="89"/>
      <c r="BN384" s="89"/>
      <c r="BO384" s="89"/>
      <c r="BP384" s="89"/>
      <c r="BQ384" s="89"/>
      <c r="BR384" s="89"/>
      <c r="BS384" s="89"/>
      <c r="BT384" s="89"/>
      <c r="BU384" s="89"/>
      <c r="BV384" s="89"/>
      <c r="BW384" s="89"/>
      <c r="BX384" s="89"/>
      <c r="BY384" s="89"/>
      <c r="BZ384" s="89"/>
      <c r="CA384" s="89"/>
      <c r="CB384" s="89"/>
      <c r="CC384" s="89"/>
      <c r="CD384" s="89"/>
      <c r="CE384" s="89"/>
      <c r="CF384" s="89"/>
      <c r="CG384" s="89"/>
      <c r="CH384" s="89"/>
      <c r="CI384" s="89"/>
      <c r="CJ384" s="89"/>
      <c r="CK384" s="89"/>
      <c r="CL384" s="89"/>
      <c r="CM384" s="89"/>
      <c r="CN384" s="89"/>
      <c r="CO384" s="98"/>
      <c r="CP384" s="98"/>
      <c r="CQ384" s="98"/>
      <c r="CR384" s="98"/>
      <c r="CS384" s="98"/>
      <c r="CT384" s="49">
        <f>+W384/2</f>
        <v>2.1965624999999998</v>
      </c>
      <c r="CU384" s="1567">
        <f>+W384-CT384</f>
        <v>2.1965624999999998</v>
      </c>
      <c r="CV384" s="49">
        <v>0</v>
      </c>
      <c r="CW384" s="1540">
        <f t="shared" si="557"/>
        <v>0</v>
      </c>
      <c r="CX384" s="53">
        <f t="shared" si="539"/>
        <v>0</v>
      </c>
      <c r="CY384" s="1558">
        <f t="shared" si="548"/>
        <v>0</v>
      </c>
      <c r="CZ384" s="1558">
        <f t="shared" si="548"/>
        <v>0</v>
      </c>
      <c r="DA384" s="1558">
        <f t="shared" si="548"/>
        <v>0</v>
      </c>
      <c r="DB384" s="1558">
        <f t="shared" si="548"/>
        <v>0</v>
      </c>
      <c r="DC384" s="2926">
        <f t="shared" si="540"/>
        <v>0</v>
      </c>
      <c r="DD384" s="1558">
        <f t="shared" si="549"/>
        <v>0</v>
      </c>
      <c r="DE384" s="1558">
        <f t="shared" si="550"/>
        <v>0</v>
      </c>
      <c r="DF384" s="1558">
        <f t="shared" si="551"/>
        <v>0</v>
      </c>
      <c r="DG384" s="1558">
        <f t="shared" si="541"/>
        <v>0</v>
      </c>
      <c r="DH384" s="2926">
        <f t="shared" si="552"/>
        <v>0</v>
      </c>
      <c r="DI384" s="2927">
        <f t="shared" si="553"/>
        <v>0</v>
      </c>
      <c r="DJ384" s="2927">
        <f t="shared" si="553"/>
        <v>0</v>
      </c>
      <c r="DK384" s="2927">
        <f t="shared" si="542"/>
        <v>0</v>
      </c>
      <c r="DL384" s="2927">
        <f t="shared" si="542"/>
        <v>0</v>
      </c>
      <c r="DM384" s="2926">
        <f t="shared" si="554"/>
        <v>0</v>
      </c>
      <c r="DN384" s="2927">
        <f t="shared" si="555"/>
        <v>0</v>
      </c>
      <c r="DO384" s="2927">
        <f t="shared" si="555"/>
        <v>0</v>
      </c>
      <c r="DP384" s="2927">
        <f t="shared" si="555"/>
        <v>0</v>
      </c>
      <c r="DQ384" s="2927">
        <f t="shared" si="555"/>
        <v>0</v>
      </c>
      <c r="DR384" s="2926">
        <f t="shared" si="544"/>
        <v>0</v>
      </c>
    </row>
    <row r="385" spans="1:122" hidden="1" outlineLevel="1">
      <c r="A385" s="190" t="s">
        <v>156</v>
      </c>
      <c r="B385" s="48"/>
      <c r="C385" s="48"/>
      <c r="D385" s="48"/>
      <c r="E385" s="48"/>
      <c r="F385" s="48"/>
      <c r="G385" s="48"/>
      <c r="H385" s="48"/>
      <c r="I385" s="48"/>
      <c r="J385" s="197"/>
      <c r="K385" s="192">
        <f t="shared" si="545"/>
        <v>15.1928125</v>
      </c>
      <c r="L385" s="192">
        <f t="shared" si="545"/>
        <v>15.200437500000001</v>
      </c>
      <c r="M385" s="192">
        <f t="shared" si="545"/>
        <v>15.20425</v>
      </c>
      <c r="N385" s="192">
        <f t="shared" si="545"/>
        <v>15.208062499999999</v>
      </c>
      <c r="O385" s="919"/>
      <c r="P385" s="192"/>
      <c r="Q385" s="192"/>
      <c r="R385" s="192">
        <f>AVERAGE(N330:R330)*R432</f>
        <v>15.215687500000001</v>
      </c>
      <c r="S385" s="192">
        <f t="shared" si="567"/>
        <v>15.2195</v>
      </c>
      <c r="T385" s="192">
        <f t="shared" si="563"/>
        <v>15.2195</v>
      </c>
      <c r="U385" s="192">
        <f t="shared" si="568"/>
        <v>15.2195</v>
      </c>
      <c r="V385" s="192">
        <f t="shared" si="564"/>
        <v>15.23475</v>
      </c>
      <c r="W385" s="192">
        <f t="shared" si="564"/>
        <v>15.25</v>
      </c>
      <c r="X385" s="192"/>
      <c r="Y385" s="192"/>
      <c r="Z385" s="192">
        <f t="shared" si="536"/>
        <v>15.25</v>
      </c>
      <c r="AA385" s="192">
        <f>AVERAGE(Z330:AA330)*AA432</f>
        <v>7.625</v>
      </c>
      <c r="AB385" s="2923"/>
      <c r="AC385" s="2923">
        <f t="shared" si="537"/>
        <v>0</v>
      </c>
      <c r="AD385" s="2923">
        <f t="shared" ref="AD385:AN385" si="570">AVERAGE(AC330:AD330)*AD432</f>
        <v>0</v>
      </c>
      <c r="AE385" s="2923">
        <f t="shared" si="570"/>
        <v>0</v>
      </c>
      <c r="AF385" s="2923">
        <f t="shared" si="570"/>
        <v>0</v>
      </c>
      <c r="AG385" s="2923">
        <f t="shared" si="570"/>
        <v>0</v>
      </c>
      <c r="AH385" s="2923">
        <f t="shared" si="570"/>
        <v>0</v>
      </c>
      <c r="AI385" s="2923">
        <f t="shared" si="570"/>
        <v>0</v>
      </c>
      <c r="AJ385" s="2923">
        <f t="shared" si="570"/>
        <v>0</v>
      </c>
      <c r="AK385" s="2923">
        <f t="shared" si="570"/>
        <v>0</v>
      </c>
      <c r="AL385" s="1368">
        <f t="shared" si="570"/>
        <v>0</v>
      </c>
      <c r="AM385" s="1368">
        <f t="shared" si="570"/>
        <v>0</v>
      </c>
      <c r="AN385" s="1368">
        <f t="shared" si="570"/>
        <v>0</v>
      </c>
      <c r="AO385" s="2240"/>
      <c r="AP385" s="2240"/>
      <c r="AQ385" s="2240"/>
      <c r="AR385" s="2240"/>
      <c r="AS385" s="192"/>
      <c r="AT385" s="49"/>
      <c r="AU385" s="95"/>
      <c r="AV385" s="4"/>
      <c r="AW385" s="89"/>
      <c r="AX385" s="89"/>
      <c r="AY385" s="89"/>
      <c r="AZ385" s="89"/>
      <c r="BA385" s="89"/>
      <c r="BB385" s="89"/>
      <c r="BC385" s="89"/>
      <c r="BD385" s="89"/>
      <c r="BE385" s="89"/>
      <c r="BF385" s="89"/>
      <c r="BG385" s="89"/>
      <c r="BH385" s="98"/>
      <c r="BI385" s="89"/>
      <c r="BJ385" s="89"/>
      <c r="BK385" s="89"/>
      <c r="BL385" s="89"/>
      <c r="BM385" s="89"/>
      <c r="BN385" s="89"/>
      <c r="BO385" s="89"/>
      <c r="BP385" s="89"/>
      <c r="BQ385" s="89"/>
      <c r="BR385" s="89"/>
      <c r="BS385" s="89"/>
      <c r="BT385" s="89"/>
      <c r="BU385" s="89"/>
      <c r="BV385" s="89"/>
      <c r="BW385" s="89"/>
      <c r="BX385" s="89"/>
      <c r="BY385" s="89"/>
      <c r="BZ385" s="89"/>
      <c r="CA385" s="89"/>
      <c r="CB385" s="89"/>
      <c r="CC385" s="89"/>
      <c r="CD385" s="89"/>
      <c r="CE385" s="89"/>
      <c r="CF385" s="89"/>
      <c r="CG385" s="89"/>
      <c r="CH385" s="89"/>
      <c r="CI385" s="89"/>
      <c r="CJ385" s="89"/>
      <c r="CK385" s="89"/>
      <c r="CL385" s="89"/>
      <c r="CM385" s="89"/>
      <c r="CN385" s="89"/>
      <c r="CO385" s="98"/>
      <c r="CP385" s="98"/>
      <c r="CQ385" s="98"/>
      <c r="CR385" s="98"/>
      <c r="CS385" s="98"/>
      <c r="CT385" s="49">
        <f>+W385/4</f>
        <v>3.8125</v>
      </c>
      <c r="CU385" s="49">
        <f>+CT385</f>
        <v>3.8125</v>
      </c>
      <c r="CV385" s="49">
        <f>+CU385</f>
        <v>3.8125</v>
      </c>
      <c r="CW385" s="1540">
        <f t="shared" si="557"/>
        <v>3.8125</v>
      </c>
      <c r="CX385" s="53">
        <f t="shared" si="539"/>
        <v>0</v>
      </c>
      <c r="CY385" s="1558">
        <f t="shared" si="548"/>
        <v>3.8125</v>
      </c>
      <c r="CZ385" s="1558">
        <f t="shared" si="548"/>
        <v>3.8125</v>
      </c>
      <c r="DA385" s="1558">
        <f t="shared" si="548"/>
        <v>3.8125</v>
      </c>
      <c r="DB385" s="1558">
        <f t="shared" si="548"/>
        <v>3.8125</v>
      </c>
      <c r="DC385" s="2926">
        <f t="shared" si="540"/>
        <v>0</v>
      </c>
      <c r="DD385" s="1558">
        <f t="shared" si="549"/>
        <v>1.90625</v>
      </c>
      <c r="DE385" s="1558">
        <f t="shared" si="550"/>
        <v>1.90625</v>
      </c>
      <c r="DF385" s="1558">
        <f t="shared" si="551"/>
        <v>1.90625</v>
      </c>
      <c r="DG385" s="1558">
        <f t="shared" si="541"/>
        <v>1.90625</v>
      </c>
      <c r="DH385" s="2926">
        <f t="shared" si="552"/>
        <v>0</v>
      </c>
      <c r="DI385" s="2927">
        <f t="shared" si="553"/>
        <v>0</v>
      </c>
      <c r="DJ385" s="2927">
        <f t="shared" si="553"/>
        <v>0</v>
      </c>
      <c r="DK385" s="2927">
        <f t="shared" si="542"/>
        <v>0</v>
      </c>
      <c r="DL385" s="2927">
        <f t="shared" si="542"/>
        <v>0</v>
      </c>
      <c r="DM385" s="2926">
        <f t="shared" si="554"/>
        <v>0</v>
      </c>
      <c r="DN385" s="2927">
        <f t="shared" si="555"/>
        <v>0</v>
      </c>
      <c r="DO385" s="2927">
        <f t="shared" si="555"/>
        <v>0</v>
      </c>
      <c r="DP385" s="2927">
        <f t="shared" si="555"/>
        <v>0</v>
      </c>
      <c r="DQ385" s="2927">
        <f t="shared" si="555"/>
        <v>0</v>
      </c>
      <c r="DR385" s="2926">
        <f t="shared" si="544"/>
        <v>0</v>
      </c>
    </row>
    <row r="386" spans="1:122" hidden="1" outlineLevel="1">
      <c r="A386" s="190" t="str">
        <f>A331</f>
        <v>8.20% Senior Notes due 2014</v>
      </c>
      <c r="B386" s="48"/>
      <c r="C386" s="48"/>
      <c r="D386" s="48"/>
      <c r="E386" s="48"/>
      <c r="F386" s="48"/>
      <c r="G386" s="48"/>
      <c r="H386" s="48"/>
      <c r="I386" s="48"/>
      <c r="J386" s="197"/>
      <c r="K386" s="192">
        <v>0</v>
      </c>
      <c r="L386" s="192">
        <v>0</v>
      </c>
      <c r="M386" s="192">
        <v>0</v>
      </c>
      <c r="N386" s="192">
        <v>0</v>
      </c>
      <c r="O386" s="919"/>
      <c r="P386" s="192"/>
      <c r="Q386" s="192"/>
      <c r="R386" s="192">
        <f>R331*R433*0.667</f>
        <v>21.647885200000005</v>
      </c>
      <c r="S386" s="192">
        <f t="shared" si="567"/>
        <v>32.455600000000004</v>
      </c>
      <c r="T386" s="192">
        <f t="shared" si="563"/>
        <v>32.455600000000004</v>
      </c>
      <c r="U386" s="192">
        <f t="shared" si="568"/>
        <v>16.227800000000002</v>
      </c>
      <c r="V386" s="192">
        <f t="shared" si="564"/>
        <v>0</v>
      </c>
      <c r="W386" s="192">
        <f t="shared" si="564"/>
        <v>0</v>
      </c>
      <c r="X386" s="192"/>
      <c r="Y386" s="192"/>
      <c r="Z386" s="192">
        <f t="shared" si="536"/>
        <v>0</v>
      </c>
      <c r="AA386" s="192">
        <f t="shared" ref="AA386:AN386" si="571">AVERAGE(Z331:AA331)*AA433</f>
        <v>0</v>
      </c>
      <c r="AB386" s="2923"/>
      <c r="AC386" s="2923">
        <f t="shared" si="537"/>
        <v>0</v>
      </c>
      <c r="AD386" s="2923">
        <f t="shared" si="571"/>
        <v>0</v>
      </c>
      <c r="AE386" s="2923">
        <f t="shared" si="571"/>
        <v>0</v>
      </c>
      <c r="AF386" s="2923">
        <f t="shared" si="571"/>
        <v>0</v>
      </c>
      <c r="AG386" s="2923">
        <f t="shared" si="571"/>
        <v>0</v>
      </c>
      <c r="AH386" s="2923">
        <f t="shared" si="571"/>
        <v>0</v>
      </c>
      <c r="AI386" s="2923">
        <f t="shared" si="571"/>
        <v>0</v>
      </c>
      <c r="AJ386" s="2923">
        <f t="shared" si="571"/>
        <v>0</v>
      </c>
      <c r="AK386" s="2923">
        <f t="shared" si="571"/>
        <v>0</v>
      </c>
      <c r="AL386" s="1368">
        <f t="shared" si="571"/>
        <v>0</v>
      </c>
      <c r="AM386" s="1368">
        <f t="shared" si="571"/>
        <v>0</v>
      </c>
      <c r="AN386" s="1368">
        <f t="shared" si="571"/>
        <v>0</v>
      </c>
      <c r="AO386" s="2240"/>
      <c r="AP386" s="2240"/>
      <c r="AQ386" s="2240"/>
      <c r="AR386" s="2240"/>
      <c r="AS386" s="192"/>
      <c r="AT386" s="49"/>
      <c r="AU386" s="95"/>
      <c r="AV386" s="4"/>
      <c r="AW386" s="89"/>
      <c r="AX386" s="89"/>
      <c r="AY386" s="89"/>
      <c r="AZ386" s="89"/>
      <c r="BA386" s="89"/>
      <c r="BB386" s="89"/>
      <c r="BC386" s="89"/>
      <c r="BD386" s="89"/>
      <c r="BE386" s="89"/>
      <c r="BF386" s="89"/>
      <c r="BG386" s="89"/>
      <c r="BH386" s="98"/>
      <c r="BI386" s="89"/>
      <c r="BJ386" s="89"/>
      <c r="BK386" s="89"/>
      <c r="BL386" s="89"/>
      <c r="BM386" s="89"/>
      <c r="BN386" s="89"/>
      <c r="BO386" s="89"/>
      <c r="BP386" s="89"/>
      <c r="BQ386" s="89"/>
      <c r="BR386" s="89"/>
      <c r="BS386" s="89"/>
      <c r="BT386" s="89"/>
      <c r="BU386" s="89"/>
      <c r="BV386" s="89"/>
      <c r="BW386" s="89"/>
      <c r="BX386" s="89"/>
      <c r="BY386" s="89"/>
      <c r="BZ386" s="89"/>
      <c r="CA386" s="89"/>
      <c r="CB386" s="89"/>
      <c r="CC386" s="89"/>
      <c r="CD386" s="89"/>
      <c r="CE386" s="89"/>
      <c r="CF386" s="89"/>
      <c r="CG386" s="89"/>
      <c r="CH386" s="89"/>
      <c r="CI386" s="89"/>
      <c r="CJ386" s="89"/>
      <c r="CK386" s="89"/>
      <c r="CL386" s="89"/>
      <c r="CM386" s="89"/>
      <c r="CN386" s="89"/>
      <c r="CO386" s="98"/>
      <c r="CP386" s="98"/>
      <c r="CQ386" s="98"/>
      <c r="CR386" s="98"/>
      <c r="CS386" s="98"/>
      <c r="CT386" s="49">
        <v>0</v>
      </c>
      <c r="CU386" s="49">
        <v>0</v>
      </c>
      <c r="CV386" s="49">
        <v>0</v>
      </c>
      <c r="CW386" s="1540">
        <f t="shared" si="557"/>
        <v>0</v>
      </c>
      <c r="CX386" s="53">
        <f t="shared" si="539"/>
        <v>0</v>
      </c>
      <c r="CY386" s="1558">
        <f t="shared" si="548"/>
        <v>0</v>
      </c>
      <c r="CZ386" s="1558">
        <f t="shared" si="548"/>
        <v>0</v>
      </c>
      <c r="DA386" s="1558">
        <f t="shared" si="548"/>
        <v>0</v>
      </c>
      <c r="DB386" s="1558">
        <f t="shared" si="548"/>
        <v>0</v>
      </c>
      <c r="DC386" s="2926">
        <f t="shared" si="540"/>
        <v>0</v>
      </c>
      <c r="DD386" s="1558">
        <f t="shared" si="549"/>
        <v>0</v>
      </c>
      <c r="DE386" s="1558">
        <f t="shared" si="550"/>
        <v>0</v>
      </c>
      <c r="DF386" s="1558">
        <f t="shared" si="551"/>
        <v>0</v>
      </c>
      <c r="DG386" s="1558">
        <f t="shared" si="541"/>
        <v>0</v>
      </c>
      <c r="DH386" s="2926">
        <f t="shared" si="552"/>
        <v>0</v>
      </c>
      <c r="DI386" s="2927">
        <f t="shared" si="553"/>
        <v>0</v>
      </c>
      <c r="DJ386" s="2927">
        <f t="shared" si="553"/>
        <v>0</v>
      </c>
      <c r="DK386" s="2927">
        <f t="shared" si="542"/>
        <v>0</v>
      </c>
      <c r="DL386" s="2927">
        <f t="shared" si="542"/>
        <v>0</v>
      </c>
      <c r="DM386" s="2926">
        <f t="shared" si="554"/>
        <v>0</v>
      </c>
      <c r="DN386" s="2927">
        <f t="shared" si="555"/>
        <v>0</v>
      </c>
      <c r="DO386" s="2927">
        <f t="shared" si="555"/>
        <v>0</v>
      </c>
      <c r="DP386" s="2927">
        <f t="shared" si="555"/>
        <v>0</v>
      </c>
      <c r="DQ386" s="2927">
        <f t="shared" si="555"/>
        <v>0</v>
      </c>
      <c r="DR386" s="2926">
        <f t="shared" si="544"/>
        <v>0</v>
      </c>
    </row>
    <row r="387" spans="1:122" collapsed="1">
      <c r="A387" s="190" t="s">
        <v>157</v>
      </c>
      <c r="B387" s="48"/>
      <c r="C387" s="48"/>
      <c r="D387" s="48"/>
      <c r="E387" s="48"/>
      <c r="F387" s="48"/>
      <c r="G387" s="48"/>
      <c r="H387" s="48"/>
      <c r="I387" s="48"/>
      <c r="J387" s="197"/>
      <c r="K387" s="192">
        <f>AVERAGE(J332:K332)*K434</f>
        <v>13.303812499999999</v>
      </c>
      <c r="L387" s="192">
        <f>AVERAGE(K332:L332)*L434</f>
        <v>13.135</v>
      </c>
      <c r="M387" s="192">
        <f>AVERAGE(L332:M332)*M434</f>
        <v>13.32</v>
      </c>
      <c r="N387" s="192">
        <f>AVERAGE(M332:N332)*N434</f>
        <v>14.608062500000001</v>
      </c>
      <c r="O387" s="919"/>
      <c r="P387" s="192"/>
      <c r="Q387" s="192"/>
      <c r="R387" s="192">
        <f>AVERAGE(N332:R332)*R434</f>
        <v>15.496062500000001</v>
      </c>
      <c r="S387" s="192">
        <f t="shared" si="567"/>
        <v>15.405875</v>
      </c>
      <c r="T387" s="192">
        <f t="shared" si="563"/>
        <v>15.405875</v>
      </c>
      <c r="U387" s="192">
        <f t="shared" si="568"/>
        <v>15.405875</v>
      </c>
      <c r="V387" s="192">
        <f t="shared" si="564"/>
        <v>15.0335625</v>
      </c>
      <c r="W387" s="192">
        <f t="shared" si="564"/>
        <v>14.56875</v>
      </c>
      <c r="X387" s="192"/>
      <c r="Y387" s="192"/>
      <c r="Z387" s="192">
        <f t="shared" si="536"/>
        <v>14.383749999999999</v>
      </c>
      <c r="AA387" s="192">
        <f t="shared" ref="AA387:AN387" si="572">AVERAGE(Z332:AA332)*AA434</f>
        <v>14.19875</v>
      </c>
      <c r="AB387" s="2923"/>
      <c r="AC387" s="2922">
        <f t="shared" si="537"/>
        <v>7.0531249999999996</v>
      </c>
      <c r="AD387" s="2923">
        <f t="shared" si="572"/>
        <v>0</v>
      </c>
      <c r="AE387" s="2923">
        <f t="shared" si="572"/>
        <v>0</v>
      </c>
      <c r="AF387" s="2923">
        <f t="shared" si="572"/>
        <v>0</v>
      </c>
      <c r="AG387" s="2923">
        <f t="shared" si="572"/>
        <v>0</v>
      </c>
      <c r="AH387" s="2923">
        <f t="shared" si="572"/>
        <v>0</v>
      </c>
      <c r="AI387" s="2923">
        <f t="shared" si="572"/>
        <v>0</v>
      </c>
      <c r="AJ387" s="2923">
        <f t="shared" si="572"/>
        <v>0</v>
      </c>
      <c r="AK387" s="2923">
        <f t="shared" si="572"/>
        <v>0</v>
      </c>
      <c r="AL387" s="1368">
        <f t="shared" si="572"/>
        <v>0</v>
      </c>
      <c r="AM387" s="1368">
        <f t="shared" si="572"/>
        <v>0</v>
      </c>
      <c r="AN387" s="1368">
        <f t="shared" si="572"/>
        <v>0</v>
      </c>
      <c r="AO387" s="2240"/>
      <c r="AP387" s="2240"/>
      <c r="AQ387" s="2240"/>
      <c r="AR387" s="2240"/>
      <c r="AS387" s="192"/>
      <c r="AT387" s="49"/>
      <c r="AU387" s="95"/>
      <c r="AV387" s="4"/>
      <c r="AW387" s="89"/>
      <c r="AX387" s="89"/>
      <c r="AY387" s="89"/>
      <c r="AZ387" s="89"/>
      <c r="BA387" s="89"/>
      <c r="BB387" s="89"/>
      <c r="BC387" s="89"/>
      <c r="BD387" s="89"/>
      <c r="BE387" s="89"/>
      <c r="BF387" s="89"/>
      <c r="BG387" s="89"/>
      <c r="BH387" s="98"/>
      <c r="BI387" s="89"/>
      <c r="BJ387" s="89"/>
      <c r="BK387" s="89"/>
      <c r="BL387" s="89"/>
      <c r="BM387" s="89"/>
      <c r="BN387" s="89"/>
      <c r="BO387" s="89"/>
      <c r="BP387" s="89"/>
      <c r="BQ387" s="89"/>
      <c r="BR387" s="89"/>
      <c r="BS387" s="89"/>
      <c r="BT387" s="89"/>
      <c r="BU387" s="89"/>
      <c r="BV387" s="89"/>
      <c r="BW387" s="89"/>
      <c r="BX387" s="89"/>
      <c r="BY387" s="89"/>
      <c r="BZ387" s="89"/>
      <c r="CA387" s="89"/>
      <c r="CB387" s="89"/>
      <c r="CC387" s="89"/>
      <c r="CD387" s="89"/>
      <c r="CE387" s="89"/>
      <c r="CF387" s="89"/>
      <c r="CG387" s="89"/>
      <c r="CH387" s="89"/>
      <c r="CI387" s="89"/>
      <c r="CJ387" s="89"/>
      <c r="CK387" s="89"/>
      <c r="CL387" s="89"/>
      <c r="CM387" s="89"/>
      <c r="CN387" s="89"/>
      <c r="CO387" s="98"/>
      <c r="CP387" s="98"/>
      <c r="CQ387" s="98"/>
      <c r="CR387" s="98"/>
      <c r="CS387" s="98"/>
      <c r="CT387" s="49">
        <f t="shared" ref="CT387:CT396" si="573">+W387/4</f>
        <v>3.6421874999999999</v>
      </c>
      <c r="CU387" s="49">
        <f t="shared" ref="CU387:CU396" si="574">+CT387</f>
        <v>3.6421874999999999</v>
      </c>
      <c r="CV387" s="49">
        <f t="shared" ref="CV387:CV396" si="575">+CU387</f>
        <v>3.6421874999999999</v>
      </c>
      <c r="CW387" s="1540">
        <f t="shared" si="557"/>
        <v>3.6421875000000004</v>
      </c>
      <c r="CX387" s="53">
        <f t="shared" si="539"/>
        <v>0</v>
      </c>
      <c r="CY387" s="1558">
        <f t="shared" si="548"/>
        <v>3.5959374999999998</v>
      </c>
      <c r="CZ387" s="1558">
        <f t="shared" si="548"/>
        <v>3.5959374999999998</v>
      </c>
      <c r="DA387" s="1558">
        <f t="shared" si="548"/>
        <v>3.5959374999999998</v>
      </c>
      <c r="DB387" s="1558">
        <f t="shared" si="548"/>
        <v>3.5959374999999998</v>
      </c>
      <c r="DC387" s="2926">
        <f t="shared" si="540"/>
        <v>0</v>
      </c>
      <c r="DD387" s="1558">
        <f t="shared" si="549"/>
        <v>3.5496875000000001</v>
      </c>
      <c r="DE387" s="1558">
        <f t="shared" si="550"/>
        <v>3.5496875000000001</v>
      </c>
      <c r="DF387" s="1558">
        <f t="shared" si="551"/>
        <v>3.5496875000000001</v>
      </c>
      <c r="DG387" s="1558">
        <f t="shared" si="541"/>
        <v>3.5496875000000001</v>
      </c>
      <c r="DH387" s="2926">
        <f t="shared" si="552"/>
        <v>0</v>
      </c>
      <c r="DI387" s="2927">
        <f>$AC387/2</f>
        <v>3.5265624999999998</v>
      </c>
      <c r="DJ387" s="2927">
        <f>$AC387/2</f>
        <v>3.5265624999999998</v>
      </c>
      <c r="DK387" s="3160">
        <v>0</v>
      </c>
      <c r="DL387" s="3160">
        <v>0</v>
      </c>
      <c r="DM387" s="2926">
        <f t="shared" si="554"/>
        <v>0</v>
      </c>
      <c r="DN387" s="2927">
        <f t="shared" si="555"/>
        <v>0</v>
      </c>
      <c r="DO387" s="2927">
        <f t="shared" si="555"/>
        <v>0</v>
      </c>
      <c r="DP387" s="2927">
        <f t="shared" si="555"/>
        <v>0</v>
      </c>
      <c r="DQ387" s="2927">
        <f t="shared" si="555"/>
        <v>0</v>
      </c>
      <c r="DR387" s="2926">
        <f t="shared" si="544"/>
        <v>0</v>
      </c>
    </row>
    <row r="388" spans="1:122">
      <c r="A388" s="190" t="str">
        <f>A333</f>
        <v>8.875% Senior Notes due 2019</v>
      </c>
      <c r="B388" s="48"/>
      <c r="C388" s="48"/>
      <c r="D388" s="48"/>
      <c r="E388" s="48"/>
      <c r="F388" s="48"/>
      <c r="G388" s="48"/>
      <c r="H388" s="48"/>
      <c r="I388" s="48"/>
      <c r="J388" s="197"/>
      <c r="K388" s="192">
        <v>0</v>
      </c>
      <c r="L388" s="192">
        <v>0</v>
      </c>
      <c r="M388" s="192">
        <v>0</v>
      </c>
      <c r="N388" s="192">
        <v>0</v>
      </c>
      <c r="O388" s="919"/>
      <c r="P388" s="192"/>
      <c r="Q388" s="192"/>
      <c r="R388" s="192">
        <f>R333*R435*0.667</f>
        <v>19.907698874999998</v>
      </c>
      <c r="S388" s="192">
        <f t="shared" si="567"/>
        <v>29.846624999999996</v>
      </c>
      <c r="T388" s="192">
        <f t="shared" si="563"/>
        <v>29.846624999999996</v>
      </c>
      <c r="U388" s="192">
        <f t="shared" si="568"/>
        <v>29.846624999999996</v>
      </c>
      <c r="V388" s="192">
        <f t="shared" ref="V388:V393" si="576">AVERAGE(U333:V333)*V435</f>
        <v>30.099562499999998</v>
      </c>
      <c r="W388" s="1568">
        <f>+SUM(CT388:CW388)</f>
        <v>19.201874999999998</v>
      </c>
      <c r="X388" s="192"/>
      <c r="Y388" s="192"/>
      <c r="Z388" s="192">
        <f t="shared" si="536"/>
        <v>0</v>
      </c>
      <c r="AA388" s="192">
        <f t="shared" ref="AA388:AN388" si="577">AVERAGE(Z333:AA333)*AA435</f>
        <v>0</v>
      </c>
      <c r="AB388" s="2923"/>
      <c r="AC388" s="2923">
        <f t="shared" si="537"/>
        <v>0</v>
      </c>
      <c r="AD388" s="2923">
        <f t="shared" si="577"/>
        <v>0</v>
      </c>
      <c r="AE388" s="2923">
        <f t="shared" si="577"/>
        <v>0</v>
      </c>
      <c r="AF388" s="2923">
        <f t="shared" si="577"/>
        <v>0</v>
      </c>
      <c r="AG388" s="2923">
        <f t="shared" si="577"/>
        <v>0</v>
      </c>
      <c r="AH388" s="2923">
        <f t="shared" si="577"/>
        <v>0</v>
      </c>
      <c r="AI388" s="2923">
        <f t="shared" si="577"/>
        <v>0</v>
      </c>
      <c r="AJ388" s="2923">
        <f t="shared" si="577"/>
        <v>0</v>
      </c>
      <c r="AK388" s="2923">
        <f t="shared" si="577"/>
        <v>0</v>
      </c>
      <c r="AL388" s="1368">
        <f t="shared" si="577"/>
        <v>0</v>
      </c>
      <c r="AM388" s="1368">
        <f t="shared" si="577"/>
        <v>0</v>
      </c>
      <c r="AN388" s="1368">
        <f t="shared" si="577"/>
        <v>0</v>
      </c>
      <c r="AO388" s="2240"/>
      <c r="AP388" s="2240"/>
      <c r="AQ388" s="2240"/>
      <c r="AR388" s="2240"/>
      <c r="AS388" s="192"/>
      <c r="AT388" s="49"/>
      <c r="AU388" s="95"/>
      <c r="AV388" s="4"/>
      <c r="AW388" s="89"/>
      <c r="AX388" s="89"/>
      <c r="AY388" s="89"/>
      <c r="AZ388" s="89"/>
      <c r="BA388" s="89"/>
      <c r="BB388" s="89"/>
      <c r="BC388" s="89"/>
      <c r="BD388" s="89"/>
      <c r="BE388" s="89"/>
      <c r="BF388" s="89"/>
      <c r="BG388" s="89"/>
      <c r="BH388" s="98"/>
      <c r="BI388" s="89"/>
      <c r="BJ388" s="89"/>
      <c r="BK388" s="89"/>
      <c r="BL388" s="89"/>
      <c r="BM388" s="89"/>
      <c r="BN388" s="89"/>
      <c r="BO388" s="89"/>
      <c r="BP388" s="89"/>
      <c r="BQ388" s="89"/>
      <c r="BR388" s="89"/>
      <c r="BS388" s="89"/>
      <c r="BT388" s="89"/>
      <c r="BU388" s="89"/>
      <c r="BV388" s="89"/>
      <c r="BW388" s="89"/>
      <c r="BX388" s="89"/>
      <c r="BY388" s="89"/>
      <c r="BZ388" s="89"/>
      <c r="CA388" s="89"/>
      <c r="CB388" s="89"/>
      <c r="CC388" s="89"/>
      <c r="CD388" s="89"/>
      <c r="CE388" s="89"/>
      <c r="CF388" s="89"/>
      <c r="CG388" s="89"/>
      <c r="CH388" s="89"/>
      <c r="CI388" s="89"/>
      <c r="CJ388" s="89"/>
      <c r="CK388" s="89"/>
      <c r="CL388" s="89"/>
      <c r="CM388" s="89"/>
      <c r="CN388" s="89"/>
      <c r="CO388" s="98"/>
      <c r="CP388" s="98"/>
      <c r="CQ388" s="98"/>
      <c r="CR388" s="98"/>
      <c r="CS388" s="98"/>
      <c r="CT388" s="1566">
        <f>+$V333*0.0875*0.25</f>
        <v>7.4812499999999993</v>
      </c>
      <c r="CU388" s="1566">
        <f>+$V333*0.0875*0.25</f>
        <v>7.4812499999999993</v>
      </c>
      <c r="CV388" s="1566">
        <f>+$V333*0.0875*0.25*(51/90)</f>
        <v>4.2393749999999999</v>
      </c>
      <c r="CW388" s="1566">
        <v>0</v>
      </c>
      <c r="CX388" s="53">
        <f t="shared" si="539"/>
        <v>0</v>
      </c>
      <c r="CY388" s="1558">
        <f t="shared" si="548"/>
        <v>0</v>
      </c>
      <c r="CZ388" s="1558">
        <f t="shared" si="548"/>
        <v>0</v>
      </c>
      <c r="DA388" s="1558">
        <f t="shared" si="548"/>
        <v>0</v>
      </c>
      <c r="DB388" s="1558">
        <f t="shared" si="548"/>
        <v>0</v>
      </c>
      <c r="DC388" s="2926">
        <f t="shared" si="540"/>
        <v>0</v>
      </c>
      <c r="DD388" s="1558">
        <f t="shared" si="549"/>
        <v>0</v>
      </c>
      <c r="DE388" s="1558">
        <f t="shared" si="550"/>
        <v>0</v>
      </c>
      <c r="DF388" s="1558">
        <f t="shared" si="551"/>
        <v>0</v>
      </c>
      <c r="DG388" s="1558">
        <f t="shared" si="541"/>
        <v>0</v>
      </c>
      <c r="DH388" s="2926">
        <f t="shared" si="552"/>
        <v>0</v>
      </c>
      <c r="DI388" s="2927">
        <f t="shared" si="553"/>
        <v>0</v>
      </c>
      <c r="DJ388" s="2927">
        <f t="shared" si="553"/>
        <v>0</v>
      </c>
      <c r="DK388" s="2927">
        <f t="shared" si="542"/>
        <v>0</v>
      </c>
      <c r="DL388" s="2927">
        <f t="shared" si="542"/>
        <v>0</v>
      </c>
      <c r="DM388" s="2926">
        <f t="shared" si="554"/>
        <v>0</v>
      </c>
      <c r="DN388" s="2927">
        <f t="shared" si="555"/>
        <v>0</v>
      </c>
      <c r="DO388" s="2927">
        <f t="shared" si="555"/>
        <v>0</v>
      </c>
      <c r="DP388" s="2927">
        <f t="shared" si="555"/>
        <v>0</v>
      </c>
      <c r="DQ388" s="2927">
        <f t="shared" si="555"/>
        <v>0</v>
      </c>
      <c r="DR388" s="2926">
        <f t="shared" si="544"/>
        <v>0</v>
      </c>
    </row>
    <row r="389" spans="1:122">
      <c r="A389" s="190" t="str">
        <f>A334</f>
        <v>8.875% Notes due 2019 (due late May)</v>
      </c>
      <c r="B389" s="48"/>
      <c r="C389" s="48"/>
      <c r="D389" s="48"/>
      <c r="E389" s="48"/>
      <c r="F389" s="48"/>
      <c r="G389" s="48"/>
      <c r="H389" s="48"/>
      <c r="I389" s="48"/>
      <c r="J389" s="197"/>
      <c r="K389" s="192">
        <v>0</v>
      </c>
      <c r="L389" s="192">
        <v>0</v>
      </c>
      <c r="M389" s="192">
        <v>0</v>
      </c>
      <c r="N389" s="192">
        <v>0</v>
      </c>
      <c r="O389" s="919"/>
      <c r="P389" s="192"/>
      <c r="Q389" s="192"/>
      <c r="R389" s="192">
        <f>R334*R436*0.58</f>
        <v>12.868749999999999</v>
      </c>
      <c r="S389" s="192">
        <f t="shared" si="567"/>
        <v>22.1875</v>
      </c>
      <c r="T389" s="192">
        <f t="shared" si="563"/>
        <v>22.1875</v>
      </c>
      <c r="U389" s="192">
        <f t="shared" si="568"/>
        <v>22.1875</v>
      </c>
      <c r="V389" s="192">
        <f t="shared" si="576"/>
        <v>22.1875</v>
      </c>
      <c r="W389" s="1568">
        <f>+SUM(CT389:CW389)</f>
        <v>15.798611111111111</v>
      </c>
      <c r="X389" s="192"/>
      <c r="Y389" s="192"/>
      <c r="Z389" s="192">
        <f t="shared" si="536"/>
        <v>0</v>
      </c>
      <c r="AA389" s="192">
        <f t="shared" ref="AA389:AN389" si="578">AVERAGE(Z334:AA334)*AA436</f>
        <v>0</v>
      </c>
      <c r="AB389" s="2923"/>
      <c r="AC389" s="2923">
        <f t="shared" si="537"/>
        <v>0</v>
      </c>
      <c r="AD389" s="2923">
        <f t="shared" si="578"/>
        <v>0</v>
      </c>
      <c r="AE389" s="2923">
        <f t="shared" si="578"/>
        <v>0</v>
      </c>
      <c r="AF389" s="2923">
        <f t="shared" si="578"/>
        <v>0</v>
      </c>
      <c r="AG389" s="2923">
        <f t="shared" si="578"/>
        <v>0</v>
      </c>
      <c r="AH389" s="2923">
        <f t="shared" si="578"/>
        <v>0</v>
      </c>
      <c r="AI389" s="2923">
        <f t="shared" si="578"/>
        <v>0</v>
      </c>
      <c r="AJ389" s="2923">
        <f t="shared" si="578"/>
        <v>0</v>
      </c>
      <c r="AK389" s="2923">
        <f t="shared" si="578"/>
        <v>0</v>
      </c>
      <c r="AL389" s="1368">
        <f t="shared" si="578"/>
        <v>0</v>
      </c>
      <c r="AM389" s="1368">
        <f t="shared" si="578"/>
        <v>0</v>
      </c>
      <c r="AN389" s="1368">
        <f t="shared" si="578"/>
        <v>0</v>
      </c>
      <c r="AO389" s="2240"/>
      <c r="AP389" s="2240"/>
      <c r="AQ389" s="2240"/>
      <c r="AR389" s="2240"/>
      <c r="AS389" s="192"/>
      <c r="AT389" s="49"/>
      <c r="AU389" s="95"/>
      <c r="AV389" s="4"/>
      <c r="AW389" s="89"/>
      <c r="AX389" s="89"/>
      <c r="AY389" s="89"/>
      <c r="AZ389" s="89"/>
      <c r="BA389" s="89"/>
      <c r="BB389" s="89"/>
      <c r="BC389" s="89"/>
      <c r="BD389" s="89"/>
      <c r="BE389" s="89"/>
      <c r="BF389" s="89"/>
      <c r="BG389" s="89"/>
      <c r="BH389" s="98"/>
      <c r="BI389" s="89"/>
      <c r="BJ389" s="89"/>
      <c r="BK389" s="89"/>
      <c r="BL389" s="89"/>
      <c r="BM389" s="89"/>
      <c r="BN389" s="89"/>
      <c r="BO389" s="89"/>
      <c r="BP389" s="89"/>
      <c r="BQ389" s="89"/>
      <c r="BR389" s="89"/>
      <c r="BS389" s="89"/>
      <c r="BT389" s="89"/>
      <c r="BU389" s="89"/>
      <c r="BV389" s="89"/>
      <c r="BW389" s="89"/>
      <c r="BX389" s="89"/>
      <c r="BY389" s="89"/>
      <c r="BZ389" s="89"/>
      <c r="CA389" s="89"/>
      <c r="CB389" s="89"/>
      <c r="CC389" s="89"/>
      <c r="CD389" s="89"/>
      <c r="CE389" s="89"/>
      <c r="CF389" s="89"/>
      <c r="CG389" s="89"/>
      <c r="CH389" s="89"/>
      <c r="CI389" s="89"/>
      <c r="CJ389" s="89"/>
      <c r="CK389" s="89"/>
      <c r="CL389" s="89"/>
      <c r="CM389" s="89"/>
      <c r="CN389" s="89"/>
      <c r="CO389" s="98"/>
      <c r="CP389" s="98"/>
      <c r="CQ389" s="98"/>
      <c r="CR389" s="98"/>
      <c r="CS389" s="98"/>
      <c r="CT389" s="1566">
        <f>+$V334*0.0875*0.25</f>
        <v>5.46875</v>
      </c>
      <c r="CU389" s="1566">
        <f>+$V334*0.0875*0.25</f>
        <v>5.46875</v>
      </c>
      <c r="CV389" s="1566">
        <f>+$V334*0.0875*0.25*(80/90)</f>
        <v>4.8611111111111107</v>
      </c>
      <c r="CW389" s="1566">
        <v>0</v>
      </c>
      <c r="CX389" s="53">
        <f t="shared" si="539"/>
        <v>0</v>
      </c>
      <c r="CY389" s="1558">
        <f t="shared" si="548"/>
        <v>0</v>
      </c>
      <c r="CZ389" s="1558">
        <f t="shared" si="548"/>
        <v>0</v>
      </c>
      <c r="DA389" s="1558">
        <f t="shared" si="548"/>
        <v>0</v>
      </c>
      <c r="DB389" s="1558">
        <f t="shared" si="548"/>
        <v>0</v>
      </c>
      <c r="DC389" s="2926">
        <f t="shared" si="540"/>
        <v>0</v>
      </c>
      <c r="DD389" s="1558">
        <f t="shared" si="549"/>
        <v>0</v>
      </c>
      <c r="DE389" s="1558">
        <f t="shared" si="550"/>
        <v>0</v>
      </c>
      <c r="DF389" s="1558">
        <f t="shared" si="551"/>
        <v>0</v>
      </c>
      <c r="DG389" s="1558">
        <f t="shared" si="541"/>
        <v>0</v>
      </c>
      <c r="DH389" s="2926">
        <f t="shared" si="552"/>
        <v>0</v>
      </c>
      <c r="DI389" s="2927">
        <f t="shared" si="553"/>
        <v>0</v>
      </c>
      <c r="DJ389" s="2927">
        <f t="shared" si="553"/>
        <v>0</v>
      </c>
      <c r="DK389" s="2927">
        <f t="shared" si="542"/>
        <v>0</v>
      </c>
      <c r="DL389" s="2927">
        <f t="shared" si="542"/>
        <v>0</v>
      </c>
      <c r="DM389" s="2926">
        <f t="shared" si="554"/>
        <v>0</v>
      </c>
      <c r="DN389" s="2927">
        <f t="shared" si="555"/>
        <v>0</v>
      </c>
      <c r="DO389" s="2927">
        <f t="shared" si="555"/>
        <v>0</v>
      </c>
      <c r="DP389" s="2927">
        <f t="shared" si="555"/>
        <v>0</v>
      </c>
      <c r="DQ389" s="2927">
        <f t="shared" si="555"/>
        <v>0</v>
      </c>
      <c r="DR389" s="2926">
        <f t="shared" si="544"/>
        <v>0</v>
      </c>
    </row>
    <row r="390" spans="1:122">
      <c r="A390" s="190" t="s">
        <v>336</v>
      </c>
      <c r="B390" s="48"/>
      <c r="C390" s="48"/>
      <c r="D390" s="48"/>
      <c r="E390" s="48"/>
      <c r="F390" s="48"/>
      <c r="G390" s="48"/>
      <c r="H390" s="48"/>
      <c r="I390" s="48"/>
      <c r="J390" s="197"/>
      <c r="K390" s="192"/>
      <c r="L390" s="192"/>
      <c r="M390" s="192"/>
      <c r="N390" s="192"/>
      <c r="O390" s="919"/>
      <c r="P390" s="192"/>
      <c r="Q390" s="192"/>
      <c r="R390" s="192"/>
      <c r="S390" s="192">
        <f>S335*S437*(8/12)</f>
        <v>19.166666666666664</v>
      </c>
      <c r="T390" s="192">
        <f t="shared" si="563"/>
        <v>28.75</v>
      </c>
      <c r="U390" s="192">
        <f t="shared" si="568"/>
        <v>28.75</v>
      </c>
      <c r="V390" s="192">
        <f t="shared" si="576"/>
        <v>28.75</v>
      </c>
      <c r="W390" s="192">
        <f>AVERAGE(V335:W335)*W437</f>
        <v>28.75</v>
      </c>
      <c r="X390" s="192"/>
      <c r="Y390" s="192"/>
      <c r="Z390" s="192">
        <f t="shared" si="536"/>
        <v>28.692500000000003</v>
      </c>
      <c r="AA390" s="192">
        <f t="shared" ref="AA390:AN390" si="579">AVERAGE(Z335:AA335)*AA437</f>
        <v>28.66375</v>
      </c>
      <c r="AB390" s="2923"/>
      <c r="AC390" s="2922">
        <f>AVERAGE(AA335)*AC437</f>
        <v>28.692500000000003</v>
      </c>
      <c r="AD390" s="2922">
        <v>0</v>
      </c>
      <c r="AE390" s="2923">
        <f t="shared" si="579"/>
        <v>0</v>
      </c>
      <c r="AF390" s="2923">
        <f t="shared" si="579"/>
        <v>0</v>
      </c>
      <c r="AG390" s="2923">
        <f t="shared" si="579"/>
        <v>0</v>
      </c>
      <c r="AH390" s="2923">
        <f t="shared" si="579"/>
        <v>0</v>
      </c>
      <c r="AI390" s="2923">
        <f t="shared" si="579"/>
        <v>0</v>
      </c>
      <c r="AJ390" s="2923">
        <f t="shared" si="579"/>
        <v>0</v>
      </c>
      <c r="AK390" s="2923">
        <f t="shared" si="579"/>
        <v>0</v>
      </c>
      <c r="AL390" s="1368">
        <f t="shared" si="579"/>
        <v>0</v>
      </c>
      <c r="AM390" s="1368">
        <f t="shared" si="579"/>
        <v>0</v>
      </c>
      <c r="AN390" s="1368">
        <f t="shared" si="579"/>
        <v>0</v>
      </c>
      <c r="AO390" s="2240"/>
      <c r="AP390" s="2240"/>
      <c r="AQ390" s="2240"/>
      <c r="AR390" s="2240"/>
      <c r="AS390" s="192"/>
      <c r="AT390" s="49"/>
      <c r="AU390" s="95"/>
      <c r="AV390" s="4"/>
      <c r="AW390" s="89"/>
      <c r="AX390" s="89"/>
      <c r="AY390" s="89"/>
      <c r="AZ390" s="89"/>
      <c r="BA390" s="89"/>
      <c r="BB390" s="89"/>
      <c r="BC390" s="89"/>
      <c r="BD390" s="89"/>
      <c r="BE390" s="89"/>
      <c r="BF390" s="89"/>
      <c r="BG390" s="89"/>
      <c r="BH390" s="98"/>
      <c r="BI390" s="89"/>
      <c r="BJ390" s="89"/>
      <c r="BK390" s="89"/>
      <c r="BL390" s="89"/>
      <c r="BM390" s="89"/>
      <c r="BN390" s="89"/>
      <c r="BO390" s="89"/>
      <c r="BP390" s="89"/>
      <c r="BQ390" s="89"/>
      <c r="BR390" s="89"/>
      <c r="BS390" s="89"/>
      <c r="BT390" s="89"/>
      <c r="BU390" s="89"/>
      <c r="BV390" s="89"/>
      <c r="BW390" s="89"/>
      <c r="BX390" s="89"/>
      <c r="BY390" s="89"/>
      <c r="BZ390" s="89"/>
      <c r="CA390" s="89"/>
      <c r="CB390" s="89"/>
      <c r="CC390" s="89"/>
      <c r="CD390" s="89"/>
      <c r="CE390" s="89"/>
      <c r="CF390" s="89"/>
      <c r="CG390" s="89"/>
      <c r="CH390" s="89"/>
      <c r="CI390" s="89"/>
      <c r="CJ390" s="89"/>
      <c r="CK390" s="89"/>
      <c r="CL390" s="89"/>
      <c r="CM390" s="89"/>
      <c r="CN390" s="89"/>
      <c r="CO390" s="98"/>
      <c r="CP390" s="98"/>
      <c r="CQ390" s="98"/>
      <c r="CR390" s="98"/>
      <c r="CS390" s="98"/>
      <c r="CT390" s="49">
        <f t="shared" si="573"/>
        <v>7.1875</v>
      </c>
      <c r="CU390" s="49">
        <f t="shared" si="574"/>
        <v>7.1875</v>
      </c>
      <c r="CV390" s="49">
        <f t="shared" si="575"/>
        <v>7.1875</v>
      </c>
      <c r="CW390" s="1540">
        <f t="shared" si="557"/>
        <v>7.1875</v>
      </c>
      <c r="CX390" s="53">
        <f t="shared" si="539"/>
        <v>0</v>
      </c>
      <c r="CY390" s="1558">
        <f t="shared" si="548"/>
        <v>7.1731250000000006</v>
      </c>
      <c r="CZ390" s="1558">
        <f t="shared" si="548"/>
        <v>7.1731250000000006</v>
      </c>
      <c r="DA390" s="1558">
        <f t="shared" si="548"/>
        <v>7.1731250000000006</v>
      </c>
      <c r="DB390" s="1558">
        <f t="shared" si="548"/>
        <v>7.1731250000000006</v>
      </c>
      <c r="DC390" s="2926">
        <f t="shared" si="540"/>
        <v>0</v>
      </c>
      <c r="DD390" s="1558">
        <f t="shared" si="549"/>
        <v>7.1659375000000001</v>
      </c>
      <c r="DE390" s="1558">
        <f t="shared" si="550"/>
        <v>7.1659375000000001</v>
      </c>
      <c r="DF390" s="1558">
        <f t="shared" si="551"/>
        <v>7.1659375000000001</v>
      </c>
      <c r="DG390" s="1558">
        <f t="shared" si="541"/>
        <v>7.1659375000000001</v>
      </c>
      <c r="DH390" s="2926">
        <f t="shared" si="552"/>
        <v>0</v>
      </c>
      <c r="DI390" s="2928">
        <f>AVERAGE(AA335)*AC437/4</f>
        <v>7.1731250000000006</v>
      </c>
      <c r="DJ390" s="2928">
        <f>AVERAGE(AA335)*AC437/4</f>
        <v>7.1731250000000006</v>
      </c>
      <c r="DK390" s="2928">
        <f>AVERAGE(AA335)*AC437/4</f>
        <v>7.1731250000000006</v>
      </c>
      <c r="DL390" s="3360">
        <f>AC390-SUM(DI390:DK390)</f>
        <v>7.1731249999999989</v>
      </c>
      <c r="DM390" s="2926">
        <f t="shared" si="554"/>
        <v>0</v>
      </c>
      <c r="DN390" s="3160">
        <f t="shared" si="555"/>
        <v>0</v>
      </c>
      <c r="DO390" s="3160">
        <f t="shared" si="555"/>
        <v>0</v>
      </c>
      <c r="DP390" s="3160">
        <f t="shared" si="555"/>
        <v>0</v>
      </c>
      <c r="DQ390" s="3160">
        <f t="shared" si="555"/>
        <v>0</v>
      </c>
      <c r="DR390" s="2926">
        <f t="shared" si="544"/>
        <v>0</v>
      </c>
    </row>
    <row r="391" spans="1:122">
      <c r="A391" s="190" t="s">
        <v>284</v>
      </c>
      <c r="B391" s="48"/>
      <c r="C391" s="48"/>
      <c r="D391" s="48"/>
      <c r="E391" s="48"/>
      <c r="F391" s="48"/>
      <c r="G391" s="48"/>
      <c r="H391" s="48"/>
      <c r="I391" s="48"/>
      <c r="J391" s="197"/>
      <c r="K391" s="192"/>
      <c r="L391" s="192"/>
      <c r="M391" s="192"/>
      <c r="N391" s="192"/>
      <c r="O391" s="919"/>
      <c r="P391" s="192"/>
      <c r="Q391" s="192"/>
      <c r="R391" s="192"/>
      <c r="S391" s="192">
        <f>S336*S438*(3/12)</f>
        <v>3.2249999999999996</v>
      </c>
      <c r="T391" s="192">
        <f t="shared" si="563"/>
        <v>12.899999999999999</v>
      </c>
      <c r="U391" s="192">
        <f t="shared" si="568"/>
        <v>12.899999999999999</v>
      </c>
      <c r="V391" s="192">
        <f t="shared" si="576"/>
        <v>12.899999999999999</v>
      </c>
      <c r="W391" s="192">
        <f>AVERAGE(V336:W336)*W438</f>
        <v>12.899999999999999</v>
      </c>
      <c r="X391" s="192"/>
      <c r="Y391" s="192"/>
      <c r="Z391" s="192">
        <f t="shared" si="536"/>
        <v>12.878499999999999</v>
      </c>
      <c r="AA391" s="192">
        <f t="shared" ref="AA391:AN391" si="580">AVERAGE(Z336:AA336)*AA438</f>
        <v>12.856999999999999</v>
      </c>
      <c r="AB391" s="2923"/>
      <c r="AC391" s="2923">
        <f t="shared" ref="AC391:AC399" si="581">AVERAGE(AA336, AC336)*AC438</f>
        <v>12.856999999999999</v>
      </c>
      <c r="AD391" s="2923">
        <f t="shared" si="580"/>
        <v>12.856999999999999</v>
      </c>
      <c r="AE391" s="2923">
        <f t="shared" si="580"/>
        <v>12.856999999999999</v>
      </c>
      <c r="AF391" s="2923">
        <f t="shared" si="580"/>
        <v>12.856999999999999</v>
      </c>
      <c r="AG391" s="2923">
        <f t="shared" si="580"/>
        <v>6.4284999999999997</v>
      </c>
      <c r="AH391" s="2923">
        <f t="shared" si="580"/>
        <v>0</v>
      </c>
      <c r="AI391" s="2923">
        <f t="shared" si="580"/>
        <v>0</v>
      </c>
      <c r="AJ391" s="2923">
        <f t="shared" si="580"/>
        <v>0</v>
      </c>
      <c r="AK391" s="2923">
        <f t="shared" si="580"/>
        <v>0</v>
      </c>
      <c r="AL391" s="1368">
        <f t="shared" si="580"/>
        <v>0</v>
      </c>
      <c r="AM391" s="1368">
        <f t="shared" si="580"/>
        <v>0</v>
      </c>
      <c r="AN391" s="1368">
        <f t="shared" si="580"/>
        <v>0</v>
      </c>
      <c r="AO391" s="2240"/>
      <c r="AP391" s="2240"/>
      <c r="AQ391" s="2240"/>
      <c r="AR391" s="2240"/>
      <c r="AS391" s="192"/>
      <c r="AT391" s="49"/>
      <c r="AU391" s="95"/>
      <c r="AV391" s="4"/>
      <c r="AW391" s="89"/>
      <c r="AX391" s="89"/>
      <c r="AY391" s="89"/>
      <c r="AZ391" s="89"/>
      <c r="BA391" s="89"/>
      <c r="BB391" s="89"/>
      <c r="BC391" s="89"/>
      <c r="BD391" s="89"/>
      <c r="BE391" s="89"/>
      <c r="BF391" s="89"/>
      <c r="BG391" s="89"/>
      <c r="BH391" s="98"/>
      <c r="BI391" s="89"/>
      <c r="BJ391" s="89"/>
      <c r="BK391" s="89"/>
      <c r="BL391" s="89"/>
      <c r="BM391" s="89"/>
      <c r="BN391" s="89"/>
      <c r="BO391" s="89"/>
      <c r="BP391" s="89"/>
      <c r="BQ391" s="89"/>
      <c r="BR391" s="89"/>
      <c r="BS391" s="89"/>
      <c r="BT391" s="89"/>
      <c r="BU391" s="89"/>
      <c r="BV391" s="89"/>
      <c r="BW391" s="89"/>
      <c r="BX391" s="89"/>
      <c r="BY391" s="89"/>
      <c r="BZ391" s="89"/>
      <c r="CA391" s="89"/>
      <c r="CB391" s="89"/>
      <c r="CC391" s="89"/>
      <c r="CD391" s="89"/>
      <c r="CE391" s="89"/>
      <c r="CF391" s="89"/>
      <c r="CG391" s="89"/>
      <c r="CH391" s="89"/>
      <c r="CI391" s="89"/>
      <c r="CJ391" s="89"/>
      <c r="CK391" s="89"/>
      <c r="CL391" s="89"/>
      <c r="CM391" s="89"/>
      <c r="CN391" s="89"/>
      <c r="CO391" s="98"/>
      <c r="CP391" s="98"/>
      <c r="CQ391" s="98"/>
      <c r="CR391" s="98"/>
      <c r="CS391" s="98"/>
      <c r="CT391" s="49">
        <f t="shared" si="573"/>
        <v>3.2249999999999996</v>
      </c>
      <c r="CU391" s="49">
        <f t="shared" si="574"/>
        <v>3.2249999999999996</v>
      </c>
      <c r="CV391" s="49">
        <f t="shared" si="575"/>
        <v>3.2249999999999996</v>
      </c>
      <c r="CW391" s="1540">
        <f t="shared" si="557"/>
        <v>3.2249999999999996</v>
      </c>
      <c r="CX391" s="53">
        <f t="shared" si="539"/>
        <v>0</v>
      </c>
      <c r="CY391" s="1558">
        <f t="shared" si="548"/>
        <v>3.2196249999999997</v>
      </c>
      <c r="CZ391" s="1558">
        <f t="shared" si="548"/>
        <v>3.2196249999999997</v>
      </c>
      <c r="DA391" s="1558">
        <f t="shared" si="548"/>
        <v>3.2196249999999997</v>
      </c>
      <c r="DB391" s="1558">
        <f t="shared" si="548"/>
        <v>3.2196249999999997</v>
      </c>
      <c r="DC391" s="2926">
        <f t="shared" si="540"/>
        <v>0</v>
      </c>
      <c r="DD391" s="1558">
        <f t="shared" si="549"/>
        <v>3.2142499999999998</v>
      </c>
      <c r="DE391" s="1558">
        <f t="shared" si="550"/>
        <v>3.2142499999999998</v>
      </c>
      <c r="DF391" s="1558">
        <f t="shared" si="551"/>
        <v>3.2142499999999998</v>
      </c>
      <c r="DG391" s="1558">
        <f t="shared" si="541"/>
        <v>3.2142499999999998</v>
      </c>
      <c r="DH391" s="2926">
        <f t="shared" si="552"/>
        <v>0</v>
      </c>
      <c r="DI391" s="2927">
        <f t="shared" ref="DI391:DL416" si="582">$AC391/4</f>
        <v>3.2142499999999998</v>
      </c>
      <c r="DJ391" s="2927">
        <f t="shared" si="582"/>
        <v>3.2142499999999998</v>
      </c>
      <c r="DK391" s="2927">
        <f t="shared" si="582"/>
        <v>3.2142499999999998</v>
      </c>
      <c r="DL391" s="2927">
        <f t="shared" si="582"/>
        <v>3.2142499999999998</v>
      </c>
      <c r="DM391" s="2926">
        <f t="shared" si="554"/>
        <v>0</v>
      </c>
      <c r="DN391" s="2927">
        <f t="shared" si="555"/>
        <v>3.2142499999999998</v>
      </c>
      <c r="DO391" s="2927">
        <f t="shared" si="555"/>
        <v>3.2142499999999998</v>
      </c>
      <c r="DP391" s="2927">
        <f t="shared" si="555"/>
        <v>3.2142499999999998</v>
      </c>
      <c r="DQ391" s="2927">
        <f t="shared" si="555"/>
        <v>3.2142499999999998</v>
      </c>
      <c r="DR391" s="2926">
        <f t="shared" si="544"/>
        <v>0</v>
      </c>
    </row>
    <row r="392" spans="1:122">
      <c r="A392" s="190" t="s">
        <v>158</v>
      </c>
      <c r="B392" s="48"/>
      <c r="C392" s="48"/>
      <c r="D392" s="48"/>
      <c r="E392" s="48"/>
      <c r="F392" s="48"/>
      <c r="G392" s="48"/>
      <c r="H392" s="48"/>
      <c r="I392" s="48"/>
      <c r="J392" s="197"/>
      <c r="K392" s="192">
        <f t="shared" ref="K392:N395" si="583">AVERAGE(J337:K337)*K439</f>
        <v>17.840812500000002</v>
      </c>
      <c r="L392" s="192">
        <f t="shared" si="583"/>
        <v>17.647874999999999</v>
      </c>
      <c r="M392" s="192">
        <f t="shared" si="583"/>
        <v>17.647874999999999</v>
      </c>
      <c r="N392" s="192">
        <f t="shared" si="583"/>
        <v>17.647874999999999</v>
      </c>
      <c r="O392" s="919"/>
      <c r="P392" s="192"/>
      <c r="Q392" s="192"/>
      <c r="R392" s="192">
        <f>AVERAGE(N337:R337)*R439</f>
        <v>17.647874999999999</v>
      </c>
      <c r="S392" s="192">
        <f>AVERAGE(R337:S337)*S439</f>
        <v>17.647874999999999</v>
      </c>
      <c r="T392" s="192">
        <f t="shared" si="563"/>
        <v>17.647874999999999</v>
      </c>
      <c r="U392" s="192">
        <f t="shared" si="568"/>
        <v>17.647874999999999</v>
      </c>
      <c r="V392" s="192">
        <f t="shared" si="576"/>
        <v>17.6439375</v>
      </c>
      <c r="W392" s="1568">
        <f>+SUM(CT392:CW392)</f>
        <v>16.595906249999999</v>
      </c>
      <c r="X392" s="192"/>
      <c r="Y392" s="192"/>
      <c r="Z392" s="192">
        <f t="shared" si="536"/>
        <v>14.686875000000001</v>
      </c>
      <c r="AA392" s="192">
        <f t="shared" ref="AA392:AN392" si="584">AVERAGE(Z337:AA337)*AA439</f>
        <v>14.686875000000001</v>
      </c>
      <c r="AB392" s="2923"/>
      <c r="AC392" s="2923">
        <f t="shared" si="581"/>
        <v>14.72625</v>
      </c>
      <c r="AD392" s="2923">
        <f t="shared" si="584"/>
        <v>14.72625</v>
      </c>
      <c r="AE392" s="2923">
        <f t="shared" si="584"/>
        <v>14.72625</v>
      </c>
      <c r="AF392" s="2923">
        <f t="shared" si="584"/>
        <v>14.72625</v>
      </c>
      <c r="AG392" s="2923">
        <f t="shared" si="584"/>
        <v>14.72625</v>
      </c>
      <c r="AH392" s="2923">
        <f t="shared" si="584"/>
        <v>14.72625</v>
      </c>
      <c r="AI392" s="2923">
        <f t="shared" si="584"/>
        <v>7.3631250000000001</v>
      </c>
      <c r="AJ392" s="2923">
        <f t="shared" si="584"/>
        <v>0</v>
      </c>
      <c r="AK392" s="2923">
        <f t="shared" si="584"/>
        <v>0</v>
      </c>
      <c r="AL392" s="1368">
        <f t="shared" si="584"/>
        <v>0</v>
      </c>
      <c r="AM392" s="1368">
        <f t="shared" si="584"/>
        <v>0</v>
      </c>
      <c r="AN392" s="1368">
        <f t="shared" si="584"/>
        <v>0</v>
      </c>
      <c r="AO392" s="2240"/>
      <c r="AP392" s="2240"/>
      <c r="AQ392" s="2240"/>
      <c r="AR392" s="2240"/>
      <c r="AS392" s="192"/>
      <c r="AT392" s="49"/>
      <c r="AU392" s="95"/>
      <c r="AV392" s="4"/>
      <c r="AW392" s="89"/>
      <c r="AX392" s="89"/>
      <c r="AY392" s="89"/>
      <c r="AZ392" s="89"/>
      <c r="BA392" s="89"/>
      <c r="BB392" s="89"/>
      <c r="BC392" s="89"/>
      <c r="BD392" s="89"/>
      <c r="BE392" s="89"/>
      <c r="BF392" s="89"/>
      <c r="BG392" s="89"/>
      <c r="BH392" s="98"/>
      <c r="BI392" s="89"/>
      <c r="BJ392" s="89"/>
      <c r="BK392" s="89"/>
      <c r="BL392" s="89"/>
      <c r="BM392" s="89"/>
      <c r="BN392" s="89"/>
      <c r="BO392" s="89"/>
      <c r="BP392" s="89"/>
      <c r="BQ392" s="89"/>
      <c r="BR392" s="89"/>
      <c r="BS392" s="89"/>
      <c r="BT392" s="89"/>
      <c r="BU392" s="89"/>
      <c r="BV392" s="89"/>
      <c r="BW392" s="89"/>
      <c r="BX392" s="89"/>
      <c r="BY392" s="89"/>
      <c r="BZ392" s="89"/>
      <c r="CA392" s="89"/>
      <c r="CB392" s="89"/>
      <c r="CC392" s="89"/>
      <c r="CD392" s="89"/>
      <c r="CE392" s="89"/>
      <c r="CF392" s="89"/>
      <c r="CG392" s="89"/>
      <c r="CH392" s="89"/>
      <c r="CI392" s="89"/>
      <c r="CJ392" s="89"/>
      <c r="CK392" s="89"/>
      <c r="CL392" s="89"/>
      <c r="CM392" s="89"/>
      <c r="CN392" s="89"/>
      <c r="CO392" s="98"/>
      <c r="CP392" s="98"/>
      <c r="CQ392" s="98"/>
      <c r="CR392" s="98"/>
      <c r="CS392" s="98"/>
      <c r="CT392" s="1566">
        <f>224*0.07875*0.25</f>
        <v>4.41</v>
      </c>
      <c r="CU392" s="1566">
        <f>224*0.07875*0.25</f>
        <v>4.41</v>
      </c>
      <c r="CV392" s="1566">
        <f>224*0.07875*0.25*(51/90)+$W337*0.07875*0.25*(39/90)</f>
        <v>4.0943437500000002</v>
      </c>
      <c r="CW392" s="1566">
        <f>$W337*0.07875*0.25</f>
        <v>3.6815625000000001</v>
      </c>
      <c r="CX392" s="53">
        <f t="shared" si="539"/>
        <v>0</v>
      </c>
      <c r="CY392" s="1558">
        <f t="shared" si="548"/>
        <v>3.6717187500000001</v>
      </c>
      <c r="CZ392" s="1558">
        <f t="shared" si="548"/>
        <v>3.6717187500000001</v>
      </c>
      <c r="DA392" s="1558">
        <f t="shared" si="548"/>
        <v>3.6717187500000001</v>
      </c>
      <c r="DB392" s="1558">
        <f t="shared" si="548"/>
        <v>3.6717187500000001</v>
      </c>
      <c r="DC392" s="2926">
        <f t="shared" si="540"/>
        <v>0</v>
      </c>
      <c r="DD392" s="1558">
        <f t="shared" si="549"/>
        <v>3.6717187500000001</v>
      </c>
      <c r="DE392" s="1558">
        <f t="shared" si="550"/>
        <v>3.6717187500000001</v>
      </c>
      <c r="DF392" s="1558">
        <f t="shared" si="551"/>
        <v>3.6717187500000001</v>
      </c>
      <c r="DG392" s="1558">
        <f t="shared" si="541"/>
        <v>3.6717187500000001</v>
      </c>
      <c r="DH392" s="2926">
        <f t="shared" si="552"/>
        <v>0</v>
      </c>
      <c r="DI392" s="2927">
        <f t="shared" si="582"/>
        <v>3.6815625000000001</v>
      </c>
      <c r="DJ392" s="2927">
        <f t="shared" si="582"/>
        <v>3.6815625000000001</v>
      </c>
      <c r="DK392" s="2927">
        <f t="shared" si="582"/>
        <v>3.6815625000000001</v>
      </c>
      <c r="DL392" s="2927">
        <f t="shared" si="582"/>
        <v>3.6815625000000001</v>
      </c>
      <c r="DM392" s="2926">
        <f t="shared" si="554"/>
        <v>0</v>
      </c>
      <c r="DN392" s="2927">
        <f t="shared" si="555"/>
        <v>3.6815625000000001</v>
      </c>
      <c r="DO392" s="2927">
        <f t="shared" si="555"/>
        <v>3.6815625000000001</v>
      </c>
      <c r="DP392" s="2927">
        <f t="shared" si="555"/>
        <v>3.6815625000000001</v>
      </c>
      <c r="DQ392" s="2927">
        <f t="shared" si="555"/>
        <v>3.6815625000000001</v>
      </c>
      <c r="DR392" s="2926">
        <f t="shared" si="544"/>
        <v>0</v>
      </c>
    </row>
    <row r="393" spans="1:122">
      <c r="A393" s="190" t="s">
        <v>159</v>
      </c>
      <c r="B393" s="48"/>
      <c r="C393" s="48"/>
      <c r="D393" s="48"/>
      <c r="E393" s="48"/>
      <c r="F393" s="48"/>
      <c r="G393" s="48"/>
      <c r="H393" s="48"/>
      <c r="I393" s="48"/>
      <c r="J393" s="197"/>
      <c r="K393" s="192">
        <f t="shared" si="583"/>
        <v>3.7192499999999997</v>
      </c>
      <c r="L393" s="192">
        <f t="shared" si="583"/>
        <v>3.7192499999999997</v>
      </c>
      <c r="M393" s="192">
        <f t="shared" si="583"/>
        <v>3.7192499999999997</v>
      </c>
      <c r="N393" s="192">
        <f t="shared" si="583"/>
        <v>3.7192499999999997</v>
      </c>
      <c r="O393" s="919"/>
      <c r="P393" s="192"/>
      <c r="Q393" s="192"/>
      <c r="R393" s="192">
        <f>AVERAGE(N338:R338)*R440</f>
        <v>3.7192499999999997</v>
      </c>
      <c r="S393" s="192">
        <f>AVERAGE(R338:S338)*S440</f>
        <v>3.7192499999999997</v>
      </c>
      <c r="T393" s="192">
        <f t="shared" si="563"/>
        <v>3.7192499999999997</v>
      </c>
      <c r="U393" s="192">
        <f t="shared" si="568"/>
        <v>3.7192499999999997</v>
      </c>
      <c r="V393" s="192">
        <f t="shared" si="576"/>
        <v>3.7121249999999999</v>
      </c>
      <c r="W393" s="1568">
        <f>+SUM(CT393:CW393)</f>
        <v>3.5518124999999996</v>
      </c>
      <c r="X393" s="192"/>
      <c r="Y393" s="192"/>
      <c r="Z393" s="192">
        <f t="shared" si="536"/>
        <v>3.2774999999999999</v>
      </c>
      <c r="AA393" s="192">
        <f t="shared" ref="AA393:AN393" si="585">AVERAGE(Z338:AA338)*AA440</f>
        <v>3.2774999999999999</v>
      </c>
      <c r="AB393" s="2923"/>
      <c r="AC393" s="2923">
        <f t="shared" si="581"/>
        <v>3.2774999999999999</v>
      </c>
      <c r="AD393" s="2923">
        <f t="shared" si="585"/>
        <v>3.2774999999999999</v>
      </c>
      <c r="AE393" s="2923">
        <f t="shared" si="585"/>
        <v>3.2774999999999999</v>
      </c>
      <c r="AF393" s="2923">
        <f t="shared" si="585"/>
        <v>3.2774999999999999</v>
      </c>
      <c r="AG393" s="2923">
        <f t="shared" si="585"/>
        <v>3.2774999999999999</v>
      </c>
      <c r="AH393" s="2923">
        <f t="shared" si="585"/>
        <v>3.2774999999999999</v>
      </c>
      <c r="AI393" s="2923">
        <f t="shared" si="585"/>
        <v>1.6387499999999999</v>
      </c>
      <c r="AJ393" s="2923">
        <f t="shared" si="585"/>
        <v>0</v>
      </c>
      <c r="AK393" s="2923">
        <f t="shared" si="585"/>
        <v>0</v>
      </c>
      <c r="AL393" s="1368">
        <f t="shared" si="585"/>
        <v>0</v>
      </c>
      <c r="AM393" s="1368">
        <f t="shared" si="585"/>
        <v>0</v>
      </c>
      <c r="AN393" s="1368">
        <f t="shared" si="585"/>
        <v>0</v>
      </c>
      <c r="AO393" s="2240"/>
      <c r="AP393" s="2240"/>
      <c r="AQ393" s="2240"/>
      <c r="AR393" s="2240"/>
      <c r="AS393" s="192"/>
      <c r="AT393" s="49"/>
      <c r="AU393" s="95"/>
      <c r="AV393" s="4"/>
      <c r="AW393" s="89"/>
      <c r="AX393" s="89"/>
      <c r="AY393" s="89"/>
      <c r="AZ393" s="89"/>
      <c r="BA393" s="89"/>
      <c r="BB393" s="89"/>
      <c r="BC393" s="89"/>
      <c r="BD393" s="89"/>
      <c r="BE393" s="89"/>
      <c r="BF393" s="89"/>
      <c r="BG393" s="89"/>
      <c r="BH393" s="98"/>
      <c r="BI393" s="89"/>
      <c r="BJ393" s="89"/>
      <c r="BK393" s="89"/>
      <c r="BL393" s="89"/>
      <c r="BM393" s="89"/>
      <c r="BN393" s="89"/>
      <c r="BO393" s="89"/>
      <c r="BP393" s="89"/>
      <c r="BQ393" s="89"/>
      <c r="BR393" s="89"/>
      <c r="BS393" s="89"/>
      <c r="BT393" s="89"/>
      <c r="BU393" s="89"/>
      <c r="BV393" s="89"/>
      <c r="BW393" s="89"/>
      <c r="BX393" s="89"/>
      <c r="BY393" s="89"/>
      <c r="BZ393" s="89"/>
      <c r="CA393" s="89"/>
      <c r="CB393" s="89"/>
      <c r="CC393" s="89"/>
      <c r="CD393" s="89"/>
      <c r="CE393" s="89"/>
      <c r="CF393" s="89"/>
      <c r="CG393" s="89"/>
      <c r="CH393" s="89"/>
      <c r="CI393" s="89"/>
      <c r="CJ393" s="89"/>
      <c r="CK393" s="89"/>
      <c r="CL393" s="89"/>
      <c r="CM393" s="89"/>
      <c r="CN393" s="89"/>
      <c r="CO393" s="98"/>
      <c r="CP393" s="98"/>
      <c r="CQ393" s="98"/>
      <c r="CR393" s="98"/>
      <c r="CS393" s="98"/>
      <c r="CT393" s="1566">
        <f>52*0.07125*0.25</f>
        <v>0.92624999999999991</v>
      </c>
      <c r="CU393" s="1566">
        <f>52*0.07125*0.25</f>
        <v>0.92624999999999991</v>
      </c>
      <c r="CV393" s="1566">
        <f>52*0.07125*0.25*(51/90)+$W338*0.07125*0.25*(39/90)</f>
        <v>0.87993750000000004</v>
      </c>
      <c r="CW393" s="1566">
        <f>$W338*0.07125*0.25</f>
        <v>0.81937499999999996</v>
      </c>
      <c r="CX393" s="53">
        <f t="shared" si="539"/>
        <v>0</v>
      </c>
      <c r="CY393" s="1558">
        <f t="shared" si="548"/>
        <v>0.81937499999999996</v>
      </c>
      <c r="CZ393" s="1558">
        <f t="shared" si="548"/>
        <v>0.81937499999999996</v>
      </c>
      <c r="DA393" s="1558">
        <f t="shared" si="548"/>
        <v>0.81937499999999996</v>
      </c>
      <c r="DB393" s="1558">
        <f t="shared" si="548"/>
        <v>0.81937499999999996</v>
      </c>
      <c r="DC393" s="2926">
        <f t="shared" si="540"/>
        <v>0</v>
      </c>
      <c r="DD393" s="1558">
        <f t="shared" si="549"/>
        <v>0.81937499999999996</v>
      </c>
      <c r="DE393" s="1558">
        <f t="shared" si="550"/>
        <v>0.81937499999999996</v>
      </c>
      <c r="DF393" s="1558">
        <f t="shared" si="551"/>
        <v>0.81937499999999996</v>
      </c>
      <c r="DG393" s="1558">
        <f t="shared" si="541"/>
        <v>0.81937499999999996</v>
      </c>
      <c r="DH393" s="2926">
        <f t="shared" si="552"/>
        <v>0</v>
      </c>
      <c r="DI393" s="2927">
        <f t="shared" si="582"/>
        <v>0.81937499999999996</v>
      </c>
      <c r="DJ393" s="2927">
        <f t="shared" si="582"/>
        <v>0.81937499999999996</v>
      </c>
      <c r="DK393" s="2927">
        <f t="shared" si="582"/>
        <v>0.81937499999999996</v>
      </c>
      <c r="DL393" s="2927">
        <f t="shared" si="582"/>
        <v>0.81937499999999996</v>
      </c>
      <c r="DM393" s="2926">
        <f t="shared" si="554"/>
        <v>0</v>
      </c>
      <c r="DN393" s="2927">
        <f t="shared" si="555"/>
        <v>0.81937499999999996</v>
      </c>
      <c r="DO393" s="2927">
        <f t="shared" si="555"/>
        <v>0.81937499999999996</v>
      </c>
      <c r="DP393" s="2927">
        <f t="shared" si="555"/>
        <v>0.81937499999999996</v>
      </c>
      <c r="DQ393" s="2927">
        <f t="shared" si="555"/>
        <v>0.81937499999999996</v>
      </c>
      <c r="DR393" s="2926">
        <f t="shared" si="544"/>
        <v>0</v>
      </c>
    </row>
    <row r="394" spans="1:122">
      <c r="A394" s="190" t="s">
        <v>160</v>
      </c>
      <c r="B394" s="48"/>
      <c r="C394" s="48"/>
      <c r="D394" s="48"/>
      <c r="E394" s="48"/>
      <c r="F394" s="48"/>
      <c r="G394" s="48"/>
      <c r="H394" s="48"/>
      <c r="I394" s="48"/>
      <c r="J394" s="197"/>
      <c r="K394" s="192">
        <f t="shared" si="583"/>
        <v>100.79212500000001</v>
      </c>
      <c r="L394" s="192">
        <f t="shared" si="583"/>
        <v>100.70156249999999</v>
      </c>
      <c r="M394" s="192">
        <f t="shared" si="583"/>
        <v>100.60706250000001</v>
      </c>
      <c r="N394" s="192">
        <f t="shared" si="583"/>
        <v>100.50862500000001</v>
      </c>
      <c r="O394" s="919"/>
      <c r="P394" s="192"/>
      <c r="Q394" s="192"/>
      <c r="R394" s="192">
        <f>AVERAGE(N339:R339)*R441</f>
        <v>100.4180625</v>
      </c>
      <c r="S394" s="192">
        <f>AVERAGE(R339:S339)*S441</f>
        <v>100.37474999999999</v>
      </c>
      <c r="T394" s="192">
        <f t="shared" si="563"/>
        <v>100.37474999999999</v>
      </c>
      <c r="U394" s="192">
        <f t="shared" si="568"/>
        <v>100.37474999999999</v>
      </c>
      <c r="V394" s="192">
        <f t="shared" ref="V394:AN394" si="586">AVERAGE(U339:V339)*V441</f>
        <v>100.193625</v>
      </c>
      <c r="W394" s="1568">
        <f>+SUM(CT394:CW394)</f>
        <v>87.85021875000001</v>
      </c>
      <c r="X394" s="192"/>
      <c r="Y394" s="192"/>
      <c r="Z394" s="192">
        <f t="shared" si="536"/>
        <v>65.834999999999994</v>
      </c>
      <c r="AA394" s="192">
        <f t="shared" si="586"/>
        <v>65.598749999999995</v>
      </c>
      <c r="AB394" s="2923"/>
      <c r="AC394" s="2923">
        <f t="shared" si="581"/>
        <v>65.598749999999995</v>
      </c>
      <c r="AD394" s="2923">
        <f t="shared" si="586"/>
        <v>65.598749999999995</v>
      </c>
      <c r="AE394" s="2923">
        <f t="shared" si="586"/>
        <v>65.598749999999995</v>
      </c>
      <c r="AF394" s="2923">
        <f t="shared" si="586"/>
        <v>65.598749999999995</v>
      </c>
      <c r="AG394" s="2923">
        <f t="shared" si="586"/>
        <v>65.598749999999995</v>
      </c>
      <c r="AH394" s="2923">
        <f t="shared" si="586"/>
        <v>65.598749999999995</v>
      </c>
      <c r="AI394" s="2923">
        <f t="shared" si="586"/>
        <v>65.598749999999995</v>
      </c>
      <c r="AJ394" s="2923">
        <f t="shared" si="586"/>
        <v>65.598749999999995</v>
      </c>
      <c r="AK394" s="2923">
        <f t="shared" si="586"/>
        <v>65.598749999999995</v>
      </c>
      <c r="AL394" s="1368">
        <f t="shared" si="586"/>
        <v>65.598749999999995</v>
      </c>
      <c r="AM394" s="1368">
        <f t="shared" si="586"/>
        <v>65.598749999999995</v>
      </c>
      <c r="AN394" s="1368">
        <f t="shared" si="586"/>
        <v>65.598749999999995</v>
      </c>
      <c r="AO394" s="2240"/>
      <c r="AP394" s="2240"/>
      <c r="AQ394" s="2240"/>
      <c r="AR394" s="2240"/>
      <c r="AS394" s="192"/>
      <c r="AT394" s="49"/>
      <c r="AU394" s="95"/>
      <c r="AV394" s="4"/>
      <c r="AW394" s="89"/>
      <c r="AX394" s="89"/>
      <c r="AY394" s="89"/>
      <c r="AZ394" s="89"/>
      <c r="BA394" s="89"/>
      <c r="BB394" s="89"/>
      <c r="BC394" s="89"/>
      <c r="BD394" s="89"/>
      <c r="BE394" s="89"/>
      <c r="BF394" s="89"/>
      <c r="BG394" s="89"/>
      <c r="BH394" s="98"/>
      <c r="BI394" s="89"/>
      <c r="BJ394" s="89"/>
      <c r="BK394" s="89"/>
      <c r="BL394" s="89"/>
      <c r="BM394" s="89"/>
      <c r="BN394" s="89"/>
      <c r="BO394" s="89"/>
      <c r="BP394" s="89"/>
      <c r="BQ394" s="89"/>
      <c r="BR394" s="89"/>
      <c r="BS394" s="89"/>
      <c r="BT394" s="89"/>
      <c r="BU394" s="89"/>
      <c r="BV394" s="89"/>
      <c r="BW394" s="89"/>
      <c r="BX394" s="89"/>
      <c r="BY394" s="89"/>
      <c r="BZ394" s="89"/>
      <c r="CA394" s="89"/>
      <c r="CB394" s="89"/>
      <c r="CC394" s="89"/>
      <c r="CD394" s="89"/>
      <c r="CE394" s="89"/>
      <c r="CF394" s="89"/>
      <c r="CG394" s="89"/>
      <c r="CH394" s="89"/>
      <c r="CI394" s="89"/>
      <c r="CJ394" s="89"/>
      <c r="CK394" s="89"/>
      <c r="CL394" s="89"/>
      <c r="CM394" s="89"/>
      <c r="CN394" s="89"/>
      <c r="CO394" s="98"/>
      <c r="CP394" s="98"/>
      <c r="CQ394" s="98"/>
      <c r="CR394" s="98"/>
      <c r="CS394" s="98"/>
      <c r="CT394" s="1566">
        <f>1270*0.07875*0.25</f>
        <v>25.003125000000001</v>
      </c>
      <c r="CU394" s="1566">
        <f>1270*0.07875*0.25</f>
        <v>25.003125000000001</v>
      </c>
      <c r="CV394" s="1566">
        <f>1270*0.07875*0.25*(51/90)+$W339*0.07875*0.25*(39/90)</f>
        <v>21.32615625</v>
      </c>
      <c r="CW394" s="1566">
        <f>$W339*0.07875*0.25</f>
        <v>16.517812500000002</v>
      </c>
      <c r="CX394" s="53">
        <f t="shared" si="539"/>
        <v>0</v>
      </c>
      <c r="CY394" s="1558">
        <f t="shared" si="548"/>
        <v>16.458749999999998</v>
      </c>
      <c r="CZ394" s="1558">
        <f t="shared" si="548"/>
        <v>16.458749999999998</v>
      </c>
      <c r="DA394" s="1558">
        <f t="shared" si="548"/>
        <v>16.458749999999998</v>
      </c>
      <c r="DB394" s="1558">
        <f t="shared" si="548"/>
        <v>16.458749999999998</v>
      </c>
      <c r="DC394" s="2926">
        <f t="shared" si="540"/>
        <v>0</v>
      </c>
      <c r="DD394" s="1558">
        <f t="shared" si="549"/>
        <v>16.399687499999999</v>
      </c>
      <c r="DE394" s="1558">
        <f t="shared" si="550"/>
        <v>16.399687499999999</v>
      </c>
      <c r="DF394" s="1558">
        <f t="shared" si="551"/>
        <v>16.399687499999999</v>
      </c>
      <c r="DG394" s="1558">
        <f t="shared" si="541"/>
        <v>16.399687499999999</v>
      </c>
      <c r="DH394" s="2926">
        <f t="shared" si="552"/>
        <v>0</v>
      </c>
      <c r="DI394" s="2927">
        <f t="shared" si="582"/>
        <v>16.399687499999999</v>
      </c>
      <c r="DJ394" s="2927">
        <f t="shared" si="582"/>
        <v>16.399687499999999</v>
      </c>
      <c r="DK394" s="2927">
        <f t="shared" si="582"/>
        <v>16.399687499999999</v>
      </c>
      <c r="DL394" s="2927">
        <f t="shared" si="582"/>
        <v>16.399687499999999</v>
      </c>
      <c r="DM394" s="2926">
        <f t="shared" si="554"/>
        <v>0</v>
      </c>
      <c r="DN394" s="2927">
        <f t="shared" si="555"/>
        <v>16.399687499999999</v>
      </c>
      <c r="DO394" s="2927">
        <f t="shared" si="555"/>
        <v>16.399687499999999</v>
      </c>
      <c r="DP394" s="2927">
        <f t="shared" si="555"/>
        <v>16.399687499999999</v>
      </c>
      <c r="DQ394" s="2927">
        <f t="shared" si="555"/>
        <v>16.399687499999999</v>
      </c>
      <c r="DR394" s="2926">
        <f t="shared" si="544"/>
        <v>0</v>
      </c>
    </row>
    <row r="395" spans="1:122">
      <c r="A395" s="190" t="s">
        <v>161</v>
      </c>
      <c r="B395" s="48"/>
      <c r="C395" s="48"/>
      <c r="D395" s="48"/>
      <c r="E395" s="48"/>
      <c r="F395" s="48"/>
      <c r="G395" s="48"/>
      <c r="H395" s="48"/>
      <c r="I395" s="48"/>
      <c r="J395" s="197"/>
      <c r="K395" s="192">
        <f t="shared" si="583"/>
        <v>24.565749999999998</v>
      </c>
      <c r="L395" s="192">
        <f t="shared" si="583"/>
        <v>24.571249999999999</v>
      </c>
      <c r="M395" s="192">
        <f t="shared" si="583"/>
        <v>24.579499999999999</v>
      </c>
      <c r="N395" s="192">
        <f t="shared" si="583"/>
        <v>24.58775</v>
      </c>
      <c r="O395" s="919"/>
      <c r="P395" s="192"/>
      <c r="Q395" s="192"/>
      <c r="R395" s="192">
        <f>AVERAGE(N340:R340)*R442</f>
        <v>24.593249999999998</v>
      </c>
      <c r="S395" s="192">
        <f>AVERAGE(R340:S340)*S442</f>
        <v>24.596</v>
      </c>
      <c r="T395" s="192">
        <f t="shared" si="563"/>
        <v>24.596</v>
      </c>
      <c r="U395" s="192">
        <f t="shared" si="568"/>
        <v>24.596</v>
      </c>
      <c r="V395" s="192">
        <f t="shared" ref="V395:AN395" si="587">AVERAGE(U340:V340)*V442</f>
        <v>24.068000000000001</v>
      </c>
      <c r="W395" s="192">
        <f t="shared" si="587"/>
        <v>23.54</v>
      </c>
      <c r="X395" s="192"/>
      <c r="Y395" s="192"/>
      <c r="Z395" s="192">
        <f t="shared" si="536"/>
        <v>23.4575</v>
      </c>
      <c r="AA395" s="192">
        <f t="shared" si="587"/>
        <v>23.375</v>
      </c>
      <c r="AB395" s="2923"/>
      <c r="AC395" s="2923">
        <f t="shared" si="581"/>
        <v>23.375</v>
      </c>
      <c r="AD395" s="2923">
        <f t="shared" si="587"/>
        <v>23.375</v>
      </c>
      <c r="AE395" s="2923">
        <f t="shared" si="587"/>
        <v>23.375</v>
      </c>
      <c r="AF395" s="2923">
        <f t="shared" si="587"/>
        <v>23.375</v>
      </c>
      <c r="AG395" s="2923">
        <f t="shared" si="587"/>
        <v>23.375</v>
      </c>
      <c r="AH395" s="2923">
        <f t="shared" si="587"/>
        <v>23.375</v>
      </c>
      <c r="AI395" s="2923">
        <f t="shared" si="587"/>
        <v>23.375</v>
      </c>
      <c r="AJ395" s="2923">
        <f t="shared" si="587"/>
        <v>23.375</v>
      </c>
      <c r="AK395" s="2923">
        <f t="shared" si="587"/>
        <v>23.375</v>
      </c>
      <c r="AL395" s="1368">
        <f t="shared" si="587"/>
        <v>23.375</v>
      </c>
      <c r="AM395" s="1368">
        <f t="shared" si="587"/>
        <v>23.375</v>
      </c>
      <c r="AN395" s="1368">
        <f t="shared" si="587"/>
        <v>23.375</v>
      </c>
      <c r="AO395" s="2240"/>
      <c r="AP395" s="2240"/>
      <c r="AQ395" s="2240"/>
      <c r="AR395" s="2240"/>
      <c r="AS395" s="192"/>
      <c r="AT395" s="49"/>
      <c r="AU395" s="95"/>
      <c r="AV395" s="4"/>
      <c r="AW395" s="89"/>
      <c r="AX395" s="89"/>
      <c r="AY395" s="89"/>
      <c r="AZ395" s="89"/>
      <c r="BA395" s="89"/>
      <c r="BB395" s="89"/>
      <c r="BC395" s="89"/>
      <c r="BD395" s="89"/>
      <c r="BE395" s="89"/>
      <c r="BF395" s="89"/>
      <c r="BG395" s="89"/>
      <c r="BH395" s="98"/>
      <c r="BI395" s="89"/>
      <c r="BJ395" s="89"/>
      <c r="BK395" s="89"/>
      <c r="BL395" s="89"/>
      <c r="BM395" s="89"/>
      <c r="BN395" s="89"/>
      <c r="BO395" s="89"/>
      <c r="BP395" s="89"/>
      <c r="BQ395" s="89"/>
      <c r="BR395" s="89"/>
      <c r="BS395" s="89"/>
      <c r="BT395" s="89"/>
      <c r="BU395" s="89"/>
      <c r="BV395" s="89"/>
      <c r="BW395" s="89"/>
      <c r="BX395" s="89"/>
      <c r="BY395" s="89"/>
      <c r="BZ395" s="89"/>
      <c r="CA395" s="89"/>
      <c r="CB395" s="89"/>
      <c r="CC395" s="89"/>
      <c r="CD395" s="89"/>
      <c r="CE395" s="89"/>
      <c r="CF395" s="89"/>
      <c r="CG395" s="89"/>
      <c r="CH395" s="89"/>
      <c r="CI395" s="89"/>
      <c r="CJ395" s="89"/>
      <c r="CK395" s="89"/>
      <c r="CL395" s="89"/>
      <c r="CM395" s="89"/>
      <c r="CN395" s="89"/>
      <c r="CO395" s="98"/>
      <c r="CP395" s="98"/>
      <c r="CQ395" s="98"/>
      <c r="CR395" s="98"/>
      <c r="CS395" s="98"/>
      <c r="CT395" s="49">
        <f t="shared" si="573"/>
        <v>5.8849999999999998</v>
      </c>
      <c r="CU395" s="49">
        <f t="shared" si="574"/>
        <v>5.8849999999999998</v>
      </c>
      <c r="CV395" s="49">
        <f t="shared" si="575"/>
        <v>5.8849999999999998</v>
      </c>
      <c r="CW395" s="1540">
        <f t="shared" si="557"/>
        <v>5.884999999999998</v>
      </c>
      <c r="CX395" s="53">
        <f t="shared" si="539"/>
        <v>0</v>
      </c>
      <c r="CY395" s="1558">
        <f t="shared" ref="CY395:DB416" si="588">$Z395/4</f>
        <v>5.8643749999999999</v>
      </c>
      <c r="CZ395" s="1558">
        <f t="shared" si="588"/>
        <v>5.8643749999999999</v>
      </c>
      <c r="DA395" s="1558">
        <f t="shared" si="588"/>
        <v>5.8643749999999999</v>
      </c>
      <c r="DB395" s="1558">
        <f t="shared" si="588"/>
        <v>5.8643749999999999</v>
      </c>
      <c r="DC395" s="2926">
        <f t="shared" si="540"/>
        <v>0</v>
      </c>
      <c r="DD395" s="1558">
        <f t="shared" si="549"/>
        <v>5.84375</v>
      </c>
      <c r="DE395" s="1558">
        <f t="shared" si="550"/>
        <v>5.84375</v>
      </c>
      <c r="DF395" s="1558">
        <f t="shared" si="551"/>
        <v>5.84375</v>
      </c>
      <c r="DG395" s="1558">
        <f t="shared" si="541"/>
        <v>5.84375</v>
      </c>
      <c r="DH395" s="2926">
        <f t="shared" si="552"/>
        <v>0</v>
      </c>
      <c r="DI395" s="2927">
        <f t="shared" si="582"/>
        <v>5.84375</v>
      </c>
      <c r="DJ395" s="2927">
        <f t="shared" si="582"/>
        <v>5.84375</v>
      </c>
      <c r="DK395" s="2927">
        <f t="shared" si="582"/>
        <v>5.84375</v>
      </c>
      <c r="DL395" s="2927">
        <f t="shared" si="582"/>
        <v>5.84375</v>
      </c>
      <c r="DM395" s="2926">
        <f t="shared" si="554"/>
        <v>0</v>
      </c>
      <c r="DN395" s="2927">
        <f t="shared" si="555"/>
        <v>5.84375</v>
      </c>
      <c r="DO395" s="2927">
        <f t="shared" si="555"/>
        <v>5.84375</v>
      </c>
      <c r="DP395" s="2927">
        <f t="shared" si="555"/>
        <v>5.84375</v>
      </c>
      <c r="DQ395" s="2927">
        <f t="shared" si="555"/>
        <v>5.84375</v>
      </c>
      <c r="DR395" s="2926">
        <f t="shared" si="544"/>
        <v>0</v>
      </c>
    </row>
    <row r="396" spans="1:122">
      <c r="A396" s="190" t="s">
        <v>288</v>
      </c>
      <c r="B396" s="48"/>
      <c r="C396" s="48"/>
      <c r="D396" s="48"/>
      <c r="E396" s="48"/>
      <c r="F396" s="48"/>
      <c r="G396" s="48"/>
      <c r="H396" s="48"/>
      <c r="I396" s="48"/>
      <c r="J396" s="197"/>
      <c r="K396" s="192"/>
      <c r="L396" s="192"/>
      <c r="M396" s="192"/>
      <c r="N396" s="192"/>
      <c r="O396" s="919"/>
      <c r="P396" s="192"/>
      <c r="Q396" s="192"/>
      <c r="R396" s="192"/>
      <c r="S396" s="192">
        <f>S341*S443*(3/12)</f>
        <v>4.4249999999999998</v>
      </c>
      <c r="T396" s="192">
        <f t="shared" si="563"/>
        <v>17.7</v>
      </c>
      <c r="U396" s="192">
        <f t="shared" si="568"/>
        <v>17.7</v>
      </c>
      <c r="V396" s="192">
        <f t="shared" ref="V396:AN396" si="589">AVERAGE(U341:V341)*V443</f>
        <v>17.670500000000001</v>
      </c>
      <c r="W396" s="192">
        <f t="shared" si="589"/>
        <v>17.640999999999998</v>
      </c>
      <c r="X396" s="192"/>
      <c r="Y396" s="192"/>
      <c r="Z396" s="192">
        <f t="shared" si="536"/>
        <v>17.582000000000001</v>
      </c>
      <c r="AA396" s="192">
        <f t="shared" si="589"/>
        <v>17.523</v>
      </c>
      <c r="AB396" s="2923"/>
      <c r="AC396" s="2923">
        <f t="shared" si="581"/>
        <v>17.523</v>
      </c>
      <c r="AD396" s="2923">
        <f t="shared" si="589"/>
        <v>17.523</v>
      </c>
      <c r="AE396" s="2923">
        <f t="shared" si="589"/>
        <v>17.523</v>
      </c>
      <c r="AF396" s="2923">
        <f t="shared" si="589"/>
        <v>17.523</v>
      </c>
      <c r="AG396" s="2923">
        <f t="shared" si="589"/>
        <v>17.523</v>
      </c>
      <c r="AH396" s="2923">
        <f t="shared" si="589"/>
        <v>17.523</v>
      </c>
      <c r="AI396" s="2923">
        <f t="shared" si="589"/>
        <v>17.523</v>
      </c>
      <c r="AJ396" s="2923">
        <f t="shared" si="589"/>
        <v>17.523</v>
      </c>
      <c r="AK396" s="2923">
        <f t="shared" si="589"/>
        <v>17.523</v>
      </c>
      <c r="AL396" s="1368">
        <f t="shared" si="589"/>
        <v>17.523</v>
      </c>
      <c r="AM396" s="1368">
        <f t="shared" si="589"/>
        <v>17.523</v>
      </c>
      <c r="AN396" s="1368">
        <f t="shared" si="589"/>
        <v>17.523</v>
      </c>
      <c r="AO396" s="2240"/>
      <c r="AP396" s="2240"/>
      <c r="AQ396" s="2240"/>
      <c r="AR396" s="2240"/>
      <c r="AS396" s="192"/>
      <c r="AT396" s="49"/>
      <c r="AU396" s="95"/>
      <c r="AV396" s="4"/>
      <c r="AW396" s="89"/>
      <c r="AX396" s="89"/>
      <c r="AY396" s="89"/>
      <c r="AZ396" s="89"/>
      <c r="BA396" s="89"/>
      <c r="BB396" s="89"/>
      <c r="BC396" s="89"/>
      <c r="BD396" s="89"/>
      <c r="BE396" s="89"/>
      <c r="BF396" s="89"/>
      <c r="BG396" s="89"/>
      <c r="BH396" s="98"/>
      <c r="BI396" s="89"/>
      <c r="BJ396" s="89"/>
      <c r="BK396" s="89"/>
      <c r="BL396" s="89"/>
      <c r="BM396" s="89"/>
      <c r="BN396" s="89"/>
      <c r="BO396" s="89"/>
      <c r="BP396" s="89"/>
      <c r="BQ396" s="89"/>
      <c r="BR396" s="89"/>
      <c r="BS396" s="89"/>
      <c r="BT396" s="89"/>
      <c r="BU396" s="89"/>
      <c r="BV396" s="89"/>
      <c r="BW396" s="89"/>
      <c r="BX396" s="89"/>
      <c r="BY396" s="89"/>
      <c r="BZ396" s="89"/>
      <c r="CA396" s="89"/>
      <c r="CB396" s="89"/>
      <c r="CC396" s="89"/>
      <c r="CD396" s="89"/>
      <c r="CE396" s="89"/>
      <c r="CF396" s="89"/>
      <c r="CG396" s="89"/>
      <c r="CH396" s="89"/>
      <c r="CI396" s="89"/>
      <c r="CJ396" s="89"/>
      <c r="CK396" s="89"/>
      <c r="CL396" s="89"/>
      <c r="CM396" s="89"/>
      <c r="CN396" s="89"/>
      <c r="CO396" s="98"/>
      <c r="CP396" s="98"/>
      <c r="CQ396" s="98"/>
      <c r="CR396" s="98"/>
      <c r="CS396" s="98"/>
      <c r="CT396" s="49">
        <f t="shared" si="573"/>
        <v>4.4102499999999996</v>
      </c>
      <c r="CU396" s="49">
        <f t="shared" si="574"/>
        <v>4.4102499999999996</v>
      </c>
      <c r="CV396" s="49">
        <f t="shared" si="575"/>
        <v>4.4102499999999996</v>
      </c>
      <c r="CW396" s="1540">
        <f t="shared" si="557"/>
        <v>4.4102499999999996</v>
      </c>
      <c r="CX396" s="53">
        <f t="shared" si="539"/>
        <v>0</v>
      </c>
      <c r="CY396" s="1558">
        <f t="shared" si="588"/>
        <v>4.3955000000000002</v>
      </c>
      <c r="CZ396" s="1558">
        <f t="shared" si="588"/>
        <v>4.3955000000000002</v>
      </c>
      <c r="DA396" s="1558">
        <f t="shared" si="588"/>
        <v>4.3955000000000002</v>
      </c>
      <c r="DB396" s="1558">
        <f t="shared" si="588"/>
        <v>4.3955000000000002</v>
      </c>
      <c r="DC396" s="2926">
        <f t="shared" si="540"/>
        <v>0</v>
      </c>
      <c r="DD396" s="1558">
        <f t="shared" si="549"/>
        <v>4.3807499999999999</v>
      </c>
      <c r="DE396" s="1558">
        <f t="shared" si="550"/>
        <v>4.3807499999999999</v>
      </c>
      <c r="DF396" s="1558">
        <f t="shared" si="551"/>
        <v>4.3807499999999999</v>
      </c>
      <c r="DG396" s="1558">
        <f t="shared" si="541"/>
        <v>4.3807499999999999</v>
      </c>
      <c r="DH396" s="2926">
        <f t="shared" si="552"/>
        <v>0</v>
      </c>
      <c r="DI396" s="2927">
        <f t="shared" si="582"/>
        <v>4.3807499999999999</v>
      </c>
      <c r="DJ396" s="2927">
        <f t="shared" si="582"/>
        <v>4.3807499999999999</v>
      </c>
      <c r="DK396" s="2927">
        <f t="shared" si="582"/>
        <v>4.3807499999999999</v>
      </c>
      <c r="DL396" s="2927">
        <f t="shared" si="582"/>
        <v>4.3807499999999999</v>
      </c>
      <c r="DM396" s="2926">
        <f t="shared" si="554"/>
        <v>0</v>
      </c>
      <c r="DN396" s="2927">
        <f t="shared" si="555"/>
        <v>4.3807499999999999</v>
      </c>
      <c r="DO396" s="2927">
        <f t="shared" si="555"/>
        <v>4.3807499999999999</v>
      </c>
      <c r="DP396" s="2927">
        <f t="shared" si="555"/>
        <v>4.3807499999999999</v>
      </c>
      <c r="DQ396" s="2927">
        <f t="shared" si="555"/>
        <v>4.3807499999999999</v>
      </c>
      <c r="DR396" s="2926">
        <f t="shared" si="544"/>
        <v>0</v>
      </c>
    </row>
    <row r="397" spans="1:122">
      <c r="A397" s="190" t="s">
        <v>162</v>
      </c>
      <c r="B397" s="48"/>
      <c r="C397" s="48"/>
      <c r="D397" s="48"/>
      <c r="E397" s="48"/>
      <c r="F397" s="48"/>
      <c r="G397" s="48"/>
      <c r="H397" s="48"/>
      <c r="I397" s="48"/>
      <c r="J397" s="197"/>
      <c r="K397" s="192">
        <f t="shared" ref="K397:N398" si="590">AVERAGE(J342:K342)*K444</f>
        <v>24.287499999999998</v>
      </c>
      <c r="L397" s="192">
        <f t="shared" si="590"/>
        <v>24.287499999999998</v>
      </c>
      <c r="M397" s="192">
        <f t="shared" si="590"/>
        <v>24.287499999999998</v>
      </c>
      <c r="N397" s="192">
        <f t="shared" si="590"/>
        <v>24.287499999999998</v>
      </c>
      <c r="O397" s="919"/>
      <c r="P397" s="192"/>
      <c r="Q397" s="192"/>
      <c r="R397" s="192">
        <f>AVERAGE(N342:R342)*R444</f>
        <v>24.287499999999998</v>
      </c>
      <c r="S397" s="192">
        <f>AVERAGE(R342:S342)*S444</f>
        <v>12.143749999999999</v>
      </c>
      <c r="T397" s="192">
        <f t="shared" si="563"/>
        <v>0</v>
      </c>
      <c r="U397" s="192">
        <f t="shared" si="568"/>
        <v>0</v>
      </c>
      <c r="V397" s="192">
        <f t="shared" ref="V397:AN397" si="591">AVERAGE(U342:V342)*V444</f>
        <v>0</v>
      </c>
      <c r="W397" s="192">
        <f t="shared" si="591"/>
        <v>0</v>
      </c>
      <c r="X397" s="192"/>
      <c r="Y397" s="192"/>
      <c r="Z397" s="192">
        <f t="shared" si="536"/>
        <v>0</v>
      </c>
      <c r="AA397" s="192">
        <f t="shared" si="591"/>
        <v>0</v>
      </c>
      <c r="AB397" s="2923"/>
      <c r="AC397" s="2923">
        <f t="shared" si="581"/>
        <v>0</v>
      </c>
      <c r="AD397" s="2923">
        <f t="shared" si="591"/>
        <v>0</v>
      </c>
      <c r="AE397" s="2923">
        <f t="shared" si="591"/>
        <v>0</v>
      </c>
      <c r="AF397" s="2923">
        <f t="shared" si="591"/>
        <v>0</v>
      </c>
      <c r="AG397" s="2923">
        <f t="shared" si="591"/>
        <v>0</v>
      </c>
      <c r="AH397" s="2923">
        <f t="shared" si="591"/>
        <v>0</v>
      </c>
      <c r="AI397" s="2923">
        <f t="shared" si="591"/>
        <v>0</v>
      </c>
      <c r="AJ397" s="2923">
        <f t="shared" si="591"/>
        <v>0</v>
      </c>
      <c r="AK397" s="2923">
        <f t="shared" si="591"/>
        <v>0</v>
      </c>
      <c r="AL397" s="1368">
        <f t="shared" si="591"/>
        <v>0</v>
      </c>
      <c r="AM397" s="1368">
        <f t="shared" si="591"/>
        <v>0</v>
      </c>
      <c r="AN397" s="1368">
        <f t="shared" si="591"/>
        <v>0</v>
      </c>
      <c r="AO397" s="2240"/>
      <c r="AP397" s="2240"/>
      <c r="AQ397" s="2240"/>
      <c r="AR397" s="2240"/>
      <c r="AS397" s="192"/>
      <c r="AT397" s="49"/>
      <c r="AU397" s="95"/>
      <c r="AV397" s="4"/>
      <c r="AW397" s="89"/>
      <c r="AX397" s="89"/>
      <c r="AY397" s="89"/>
      <c r="AZ397" s="89"/>
      <c r="BA397" s="89"/>
      <c r="BB397" s="89"/>
      <c r="BC397" s="89"/>
      <c r="BD397" s="89"/>
      <c r="BE397" s="89"/>
      <c r="BF397" s="89"/>
      <c r="BG397" s="89"/>
      <c r="BH397" s="98"/>
      <c r="BI397" s="89"/>
      <c r="BJ397" s="89"/>
      <c r="BK397" s="89"/>
      <c r="BL397" s="89"/>
      <c r="BM397" s="89"/>
      <c r="BN397" s="89"/>
      <c r="BO397" s="89"/>
      <c r="BP397" s="89"/>
      <c r="BQ397" s="89"/>
      <c r="BR397" s="89"/>
      <c r="BS397" s="89"/>
      <c r="BT397" s="89"/>
      <c r="BU397" s="89"/>
      <c r="BV397" s="89"/>
      <c r="BW397" s="89"/>
      <c r="BX397" s="89"/>
      <c r="BY397" s="89"/>
      <c r="BZ397" s="89"/>
      <c r="CA397" s="89"/>
      <c r="CB397" s="89"/>
      <c r="CC397" s="89"/>
      <c r="CD397" s="89"/>
      <c r="CE397" s="89"/>
      <c r="CF397" s="89"/>
      <c r="CG397" s="89"/>
      <c r="CH397" s="89"/>
      <c r="CI397" s="89"/>
      <c r="CJ397" s="89"/>
      <c r="CK397" s="89"/>
      <c r="CL397" s="89"/>
      <c r="CM397" s="89"/>
      <c r="CN397" s="89"/>
      <c r="CO397" s="98"/>
      <c r="CP397" s="98"/>
      <c r="CQ397" s="98"/>
      <c r="CR397" s="98"/>
      <c r="CS397" s="98"/>
      <c r="CT397" s="49">
        <v>0</v>
      </c>
      <c r="CU397" s="49">
        <v>0</v>
      </c>
      <c r="CV397" s="49">
        <v>0</v>
      </c>
      <c r="CW397" s="1540">
        <f t="shared" si="557"/>
        <v>0</v>
      </c>
      <c r="CX397" s="53">
        <f t="shared" si="539"/>
        <v>0</v>
      </c>
      <c r="CY397" s="1558">
        <f t="shared" si="588"/>
        <v>0</v>
      </c>
      <c r="CZ397" s="1558">
        <f t="shared" si="588"/>
        <v>0</v>
      </c>
      <c r="DA397" s="1558">
        <f t="shared" si="588"/>
        <v>0</v>
      </c>
      <c r="DB397" s="1558">
        <f t="shared" si="588"/>
        <v>0</v>
      </c>
      <c r="DC397" s="2926">
        <f t="shared" si="540"/>
        <v>0</v>
      </c>
      <c r="DD397" s="1558">
        <f t="shared" si="549"/>
        <v>0</v>
      </c>
      <c r="DE397" s="1558">
        <f t="shared" si="550"/>
        <v>0</v>
      </c>
      <c r="DF397" s="1558">
        <f t="shared" si="551"/>
        <v>0</v>
      </c>
      <c r="DG397" s="1558">
        <f t="shared" si="541"/>
        <v>0</v>
      </c>
      <c r="DH397" s="2926">
        <f t="shared" si="552"/>
        <v>0</v>
      </c>
      <c r="DI397" s="2927">
        <f t="shared" si="582"/>
        <v>0</v>
      </c>
      <c r="DJ397" s="2927">
        <f t="shared" si="582"/>
        <v>0</v>
      </c>
      <c r="DK397" s="2927">
        <f t="shared" si="582"/>
        <v>0</v>
      </c>
      <c r="DL397" s="2927">
        <f t="shared" si="582"/>
        <v>0</v>
      </c>
      <c r="DM397" s="2926">
        <f t="shared" si="554"/>
        <v>0</v>
      </c>
      <c r="DN397" s="2927">
        <f t="shared" si="555"/>
        <v>0</v>
      </c>
      <c r="DO397" s="2927">
        <f t="shared" si="555"/>
        <v>0</v>
      </c>
      <c r="DP397" s="2927">
        <f t="shared" si="555"/>
        <v>0</v>
      </c>
      <c r="DQ397" s="2927">
        <f t="shared" si="555"/>
        <v>0</v>
      </c>
      <c r="DR397" s="2926">
        <f t="shared" si="544"/>
        <v>0</v>
      </c>
    </row>
    <row r="398" spans="1:122">
      <c r="A398" s="190" t="s">
        <v>119</v>
      </c>
      <c r="B398" s="48"/>
      <c r="C398" s="48"/>
      <c r="D398" s="48"/>
      <c r="E398" s="48"/>
      <c r="F398" s="48"/>
      <c r="G398" s="48"/>
      <c r="H398" s="48"/>
      <c r="I398" s="48"/>
      <c r="J398" s="197"/>
      <c r="K398" s="192">
        <f t="shared" si="590"/>
        <v>0</v>
      </c>
      <c r="L398" s="192">
        <f t="shared" si="590"/>
        <v>0</v>
      </c>
      <c r="M398" s="192">
        <f t="shared" si="590"/>
        <v>23.584499999999998</v>
      </c>
      <c r="N398" s="192">
        <f t="shared" si="590"/>
        <v>48.880125</v>
      </c>
      <c r="O398" s="919"/>
      <c r="P398" s="192"/>
      <c r="Q398" s="192"/>
      <c r="R398" s="192">
        <f>AVERAGE(N343:R343)*R445</f>
        <v>50.557500000000005</v>
      </c>
      <c r="S398" s="192">
        <f>AVERAGE(R343:S343)*S445</f>
        <v>50.49</v>
      </c>
      <c r="T398" s="192">
        <f t="shared" si="563"/>
        <v>50.439375000000005</v>
      </c>
      <c r="U398" s="194">
        <f>(T343*2/12+U343*10/12)*U445</f>
        <v>8.4037500000000005</v>
      </c>
      <c r="V398" s="192">
        <f t="shared" ref="V398:AN398" si="592">AVERAGE(U343:V343)*V445</f>
        <v>0</v>
      </c>
      <c r="W398" s="192">
        <f t="shared" si="592"/>
        <v>0</v>
      </c>
      <c r="X398" s="192"/>
      <c r="Y398" s="192"/>
      <c r="Z398" s="192">
        <f t="shared" si="536"/>
        <v>0</v>
      </c>
      <c r="AA398" s="192">
        <f t="shared" si="592"/>
        <v>0</v>
      </c>
      <c r="AB398" s="2923"/>
      <c r="AC398" s="2923">
        <f t="shared" si="581"/>
        <v>0</v>
      </c>
      <c r="AD398" s="2923">
        <f t="shared" si="592"/>
        <v>0</v>
      </c>
      <c r="AE398" s="2923">
        <f t="shared" si="592"/>
        <v>0</v>
      </c>
      <c r="AF398" s="2923">
        <f t="shared" si="592"/>
        <v>0</v>
      </c>
      <c r="AG398" s="2923">
        <f t="shared" si="592"/>
        <v>0</v>
      </c>
      <c r="AH398" s="2923">
        <f t="shared" si="592"/>
        <v>0</v>
      </c>
      <c r="AI398" s="2923">
        <f t="shared" si="592"/>
        <v>0</v>
      </c>
      <c r="AJ398" s="2923">
        <f t="shared" si="592"/>
        <v>0</v>
      </c>
      <c r="AK398" s="2923">
        <f t="shared" si="592"/>
        <v>0</v>
      </c>
      <c r="AL398" s="1368">
        <f t="shared" si="592"/>
        <v>0</v>
      </c>
      <c r="AM398" s="1368">
        <f t="shared" si="592"/>
        <v>0</v>
      </c>
      <c r="AN398" s="1368">
        <f t="shared" si="592"/>
        <v>0</v>
      </c>
      <c r="AO398" s="2240"/>
      <c r="AP398" s="2240"/>
      <c r="AQ398" s="2240"/>
      <c r="AR398" s="2240"/>
      <c r="AS398" s="192"/>
      <c r="AT398" s="49"/>
      <c r="AU398" s="95"/>
      <c r="AV398" s="4"/>
      <c r="AW398" s="89"/>
      <c r="AX398" s="89"/>
      <c r="AY398" s="89"/>
      <c r="AZ398" s="89"/>
      <c r="BA398" s="89"/>
      <c r="BB398" s="89"/>
      <c r="BC398" s="89"/>
      <c r="BD398" s="89"/>
      <c r="BE398" s="89"/>
      <c r="BF398" s="89"/>
      <c r="BG398" s="89"/>
      <c r="BH398" s="98"/>
      <c r="BI398" s="89"/>
      <c r="BJ398" s="89"/>
      <c r="BK398" s="89"/>
      <c r="BL398" s="89"/>
      <c r="BM398" s="89"/>
      <c r="BN398" s="89"/>
      <c r="BO398" s="89"/>
      <c r="BP398" s="89"/>
      <c r="BQ398" s="89"/>
      <c r="BR398" s="89"/>
      <c r="BS398" s="89"/>
      <c r="BT398" s="89"/>
      <c r="BU398" s="89"/>
      <c r="BV398" s="89"/>
      <c r="BW398" s="89"/>
      <c r="BX398" s="89"/>
      <c r="BY398" s="89"/>
      <c r="BZ398" s="89"/>
      <c r="CA398" s="89"/>
      <c r="CB398" s="89"/>
      <c r="CC398" s="89"/>
      <c r="CD398" s="89"/>
      <c r="CE398" s="89"/>
      <c r="CF398" s="89"/>
      <c r="CG398" s="89"/>
      <c r="CH398" s="89"/>
      <c r="CI398" s="89"/>
      <c r="CJ398" s="89"/>
      <c r="CK398" s="89"/>
      <c r="CL398" s="89"/>
      <c r="CM398" s="89"/>
      <c r="CN398" s="89"/>
      <c r="CO398" s="98"/>
      <c r="CP398" s="98"/>
      <c r="CQ398" s="98"/>
      <c r="CR398" s="98"/>
      <c r="CS398" s="98"/>
      <c r="CT398" s="49">
        <v>0</v>
      </c>
      <c r="CU398" s="49">
        <v>0</v>
      </c>
      <c r="CV398" s="49">
        <v>0</v>
      </c>
      <c r="CW398" s="1540">
        <f t="shared" si="557"/>
        <v>0</v>
      </c>
      <c r="CX398" s="53">
        <f t="shared" si="539"/>
        <v>0</v>
      </c>
      <c r="CY398" s="1558">
        <f t="shared" si="588"/>
        <v>0</v>
      </c>
      <c r="CZ398" s="1558">
        <f t="shared" si="588"/>
        <v>0</v>
      </c>
      <c r="DA398" s="1558">
        <f t="shared" si="588"/>
        <v>0</v>
      </c>
      <c r="DB398" s="1558">
        <f t="shared" si="588"/>
        <v>0</v>
      </c>
      <c r="DC398" s="2926">
        <f t="shared" si="540"/>
        <v>0</v>
      </c>
      <c r="DD398" s="1558">
        <f t="shared" si="549"/>
        <v>0</v>
      </c>
      <c r="DE398" s="1558">
        <f t="shared" si="550"/>
        <v>0</v>
      </c>
      <c r="DF398" s="1558">
        <f t="shared" si="551"/>
        <v>0</v>
      </c>
      <c r="DG398" s="1558">
        <f t="shared" si="541"/>
        <v>0</v>
      </c>
      <c r="DH398" s="2926">
        <f t="shared" si="552"/>
        <v>0</v>
      </c>
      <c r="DI398" s="2927">
        <f t="shared" si="582"/>
        <v>0</v>
      </c>
      <c r="DJ398" s="2927">
        <f t="shared" si="582"/>
        <v>0</v>
      </c>
      <c r="DK398" s="2927">
        <f t="shared" si="582"/>
        <v>0</v>
      </c>
      <c r="DL398" s="2927">
        <f t="shared" si="582"/>
        <v>0</v>
      </c>
      <c r="DM398" s="2926">
        <f t="shared" si="554"/>
        <v>0</v>
      </c>
      <c r="DN398" s="2927">
        <f t="shared" si="555"/>
        <v>0</v>
      </c>
      <c r="DO398" s="2927">
        <f t="shared" si="555"/>
        <v>0</v>
      </c>
      <c r="DP398" s="2927">
        <f t="shared" si="555"/>
        <v>0</v>
      </c>
      <c r="DQ398" s="2927">
        <f t="shared" si="555"/>
        <v>0</v>
      </c>
      <c r="DR398" s="2926">
        <f t="shared" si="544"/>
        <v>0</v>
      </c>
    </row>
    <row r="399" spans="1:122">
      <c r="A399" s="190" t="str">
        <f t="shared" ref="A399:A411" si="593">A344</f>
        <v>3.375% Senior Notes due 2022</v>
      </c>
      <c r="B399" s="48"/>
      <c r="C399" s="48"/>
      <c r="D399" s="48"/>
      <c r="E399" s="48"/>
      <c r="F399" s="48"/>
      <c r="G399" s="48"/>
      <c r="H399" s="48"/>
      <c r="I399" s="48"/>
      <c r="J399" s="197"/>
      <c r="K399" s="192"/>
      <c r="L399" s="192"/>
      <c r="M399" s="192"/>
      <c r="N399" s="192"/>
      <c r="O399" s="919"/>
      <c r="P399" s="192"/>
      <c r="Q399" s="192"/>
      <c r="R399" s="192">
        <f>AVERAGE(N344:R344)*R446</f>
        <v>0</v>
      </c>
      <c r="S399" s="192">
        <f>AVERAGE(R344:S344)*S446</f>
        <v>0</v>
      </c>
      <c r="T399" s="192">
        <f t="shared" si="563"/>
        <v>0</v>
      </c>
      <c r="U399" s="194">
        <f>(T344*2/12+U344*10/12)*U446</f>
        <v>19.687500000000004</v>
      </c>
      <c r="V399" s="192">
        <f t="shared" ref="V399:AN399" si="594">AVERAGE(U344:V344)*V446</f>
        <v>23.540625000000002</v>
      </c>
      <c r="W399" s="192">
        <f t="shared" si="594"/>
        <v>23.456250000000001</v>
      </c>
      <c r="X399" s="192"/>
      <c r="Y399" s="192"/>
      <c r="Z399" s="192">
        <f t="shared" si="536"/>
        <v>23.439375000000002</v>
      </c>
      <c r="AA399" s="192">
        <f t="shared" si="594"/>
        <v>23.439375000000002</v>
      </c>
      <c r="AB399" s="2923"/>
      <c r="AC399" s="2923">
        <f t="shared" si="581"/>
        <v>23.456250000000001</v>
      </c>
      <c r="AD399" s="2923">
        <f t="shared" si="594"/>
        <v>23.456250000000001</v>
      </c>
      <c r="AE399" s="2923">
        <f t="shared" si="594"/>
        <v>23.456250000000001</v>
      </c>
      <c r="AF399" s="2923">
        <f t="shared" si="594"/>
        <v>23.456250000000001</v>
      </c>
      <c r="AG399" s="2923">
        <f t="shared" si="594"/>
        <v>23.456250000000001</v>
      </c>
      <c r="AH399" s="2923">
        <f t="shared" si="594"/>
        <v>11.728125</v>
      </c>
      <c r="AI399" s="2923">
        <f t="shared" si="594"/>
        <v>0</v>
      </c>
      <c r="AJ399" s="2923">
        <f t="shared" si="594"/>
        <v>0</v>
      </c>
      <c r="AK399" s="2923">
        <f t="shared" si="594"/>
        <v>0</v>
      </c>
      <c r="AL399" s="1368">
        <f t="shared" si="594"/>
        <v>0</v>
      </c>
      <c r="AM399" s="1368">
        <f t="shared" si="594"/>
        <v>0</v>
      </c>
      <c r="AN399" s="1368">
        <f t="shared" si="594"/>
        <v>0</v>
      </c>
      <c r="AO399" s="2240"/>
      <c r="AP399" s="2240"/>
      <c r="AQ399" s="2240"/>
      <c r="AR399" s="2240"/>
      <c r="AS399" s="192"/>
      <c r="AT399" s="49"/>
      <c r="AU399" s="95"/>
      <c r="AV399" s="4"/>
      <c r="AW399" s="89"/>
      <c r="AX399" s="89"/>
      <c r="AY399" s="89"/>
      <c r="AZ399" s="89"/>
      <c r="BA399" s="89"/>
      <c r="BB399" s="89"/>
      <c r="BC399" s="89"/>
      <c r="BD399" s="89"/>
      <c r="BE399" s="89"/>
      <c r="BF399" s="89"/>
      <c r="BG399" s="89"/>
      <c r="BH399" s="98"/>
      <c r="BI399" s="89"/>
      <c r="BJ399" s="89"/>
      <c r="BK399" s="89"/>
      <c r="BL399" s="89"/>
      <c r="BM399" s="89"/>
      <c r="BN399" s="89"/>
      <c r="BO399" s="89"/>
      <c r="BP399" s="89"/>
      <c r="BQ399" s="89"/>
      <c r="BR399" s="89"/>
      <c r="BS399" s="89"/>
      <c r="BT399" s="89"/>
      <c r="BU399" s="89"/>
      <c r="BV399" s="89"/>
      <c r="BW399" s="89"/>
      <c r="BX399" s="89"/>
      <c r="BY399" s="89"/>
      <c r="BZ399" s="89"/>
      <c r="CA399" s="89"/>
      <c r="CB399" s="89"/>
      <c r="CC399" s="89"/>
      <c r="CD399" s="89"/>
      <c r="CE399" s="89"/>
      <c r="CF399" s="89"/>
      <c r="CG399" s="89"/>
      <c r="CH399" s="89"/>
      <c r="CI399" s="89"/>
      <c r="CJ399" s="89"/>
      <c r="CK399" s="89"/>
      <c r="CL399" s="89"/>
      <c r="CM399" s="89"/>
      <c r="CN399" s="89"/>
      <c r="CO399" s="98"/>
      <c r="CP399" s="98"/>
      <c r="CQ399" s="98"/>
      <c r="CR399" s="98"/>
      <c r="CS399" s="98"/>
      <c r="CT399" s="49">
        <f>+W399/4</f>
        <v>5.8640625000000002</v>
      </c>
      <c r="CU399" s="49">
        <f t="shared" ref="CU399:CV401" si="595">+CT399</f>
        <v>5.8640625000000002</v>
      </c>
      <c r="CV399" s="49">
        <f t="shared" si="595"/>
        <v>5.8640625000000002</v>
      </c>
      <c r="CW399" s="1540">
        <f t="shared" si="557"/>
        <v>5.8640624999999993</v>
      </c>
      <c r="CX399" s="53">
        <f t="shared" si="539"/>
        <v>0</v>
      </c>
      <c r="CY399" s="1558">
        <f t="shared" si="588"/>
        <v>5.8598437500000005</v>
      </c>
      <c r="CZ399" s="1558">
        <f t="shared" si="588"/>
        <v>5.8598437500000005</v>
      </c>
      <c r="DA399" s="1558">
        <f t="shared" si="588"/>
        <v>5.8598437500000005</v>
      </c>
      <c r="DB399" s="1558">
        <f t="shared" si="588"/>
        <v>5.8598437500000005</v>
      </c>
      <c r="DC399" s="2926">
        <f t="shared" si="540"/>
        <v>0</v>
      </c>
      <c r="DD399" s="1558">
        <f t="shared" si="549"/>
        <v>5.8598437500000005</v>
      </c>
      <c r="DE399" s="1558">
        <f t="shared" si="550"/>
        <v>5.8598437500000005</v>
      </c>
      <c r="DF399" s="1558">
        <f t="shared" si="551"/>
        <v>5.8598437500000005</v>
      </c>
      <c r="DG399" s="1558">
        <f t="shared" si="541"/>
        <v>5.8598437500000005</v>
      </c>
      <c r="DH399" s="2926">
        <f t="shared" si="552"/>
        <v>0</v>
      </c>
      <c r="DI399" s="2927">
        <f t="shared" si="582"/>
        <v>5.8640625000000002</v>
      </c>
      <c r="DJ399" s="2927">
        <f t="shared" si="582"/>
        <v>5.8640625000000002</v>
      </c>
      <c r="DK399" s="2927">
        <f t="shared" si="582"/>
        <v>5.8640625000000002</v>
      </c>
      <c r="DL399" s="2927">
        <f t="shared" si="582"/>
        <v>5.8640625000000002</v>
      </c>
      <c r="DM399" s="2926">
        <f t="shared" si="554"/>
        <v>0</v>
      </c>
      <c r="DN399" s="2927">
        <f t="shared" si="555"/>
        <v>5.8640625000000002</v>
      </c>
      <c r="DO399" s="2927">
        <f t="shared" si="555"/>
        <v>5.8640625000000002</v>
      </c>
      <c r="DP399" s="2927">
        <f t="shared" si="555"/>
        <v>5.8640625000000002</v>
      </c>
      <c r="DQ399" s="2927">
        <f t="shared" si="555"/>
        <v>5.8640625000000002</v>
      </c>
      <c r="DR399" s="2926">
        <f t="shared" si="544"/>
        <v>0</v>
      </c>
    </row>
    <row r="400" spans="1:122">
      <c r="A400" s="190" t="str">
        <f t="shared" si="593"/>
        <v>1.95% Senior Notes due 2017</v>
      </c>
      <c r="B400" s="48"/>
      <c r="C400" s="48"/>
      <c r="D400" s="48"/>
      <c r="E400" s="48"/>
      <c r="F400" s="48"/>
      <c r="G400" s="48"/>
      <c r="H400" s="48"/>
      <c r="I400" s="48"/>
      <c r="J400" s="197"/>
      <c r="K400" s="192"/>
      <c r="L400" s="192"/>
      <c r="M400" s="192"/>
      <c r="N400" s="192"/>
      <c r="O400" s="919"/>
      <c r="P400" s="192"/>
      <c r="Q400" s="192"/>
      <c r="R400" s="192">
        <f>AVERAGE(N345:R345)*R447</f>
        <v>0</v>
      </c>
      <c r="S400" s="192">
        <f>AVERAGE(R345:S345)*S447</f>
        <v>0</v>
      </c>
      <c r="T400" s="192">
        <f t="shared" si="563"/>
        <v>0</v>
      </c>
      <c r="U400" s="192">
        <f>AVERAGE(T345:U345)*U447</f>
        <v>3.9</v>
      </c>
      <c r="V400" s="192">
        <f t="shared" ref="V400:AN400" si="596">AVERAGE(U345:V345)*V447</f>
        <v>7.7707499999999996</v>
      </c>
      <c r="W400" s="192">
        <f t="shared" si="596"/>
        <v>7.7512499999999998</v>
      </c>
      <c r="X400" s="192"/>
      <c r="Y400" s="192"/>
      <c r="Z400" s="192">
        <f t="shared" si="536"/>
        <v>7.7610000000000001</v>
      </c>
      <c r="AA400" s="192">
        <f t="shared" si="596"/>
        <v>7.7707499999999996</v>
      </c>
      <c r="AB400" s="2923"/>
      <c r="AC400" s="2922">
        <f>AVERAGE(AA345,AC345)*AC447</f>
        <v>3.89025</v>
      </c>
      <c r="AD400" s="2923">
        <f t="shared" si="596"/>
        <v>0</v>
      </c>
      <c r="AE400" s="2923">
        <f t="shared" si="596"/>
        <v>0</v>
      </c>
      <c r="AF400" s="2923">
        <f t="shared" si="596"/>
        <v>0</v>
      </c>
      <c r="AG400" s="2923">
        <f t="shared" si="596"/>
        <v>0</v>
      </c>
      <c r="AH400" s="2923">
        <f t="shared" si="596"/>
        <v>0</v>
      </c>
      <c r="AI400" s="2923">
        <f t="shared" si="596"/>
        <v>0</v>
      </c>
      <c r="AJ400" s="2923">
        <f t="shared" si="596"/>
        <v>0</v>
      </c>
      <c r="AK400" s="2923">
        <f t="shared" si="596"/>
        <v>0</v>
      </c>
      <c r="AL400" s="1368">
        <f t="shared" si="596"/>
        <v>0</v>
      </c>
      <c r="AM400" s="1368">
        <f t="shared" si="596"/>
        <v>0</v>
      </c>
      <c r="AN400" s="1368">
        <f t="shared" si="596"/>
        <v>0</v>
      </c>
      <c r="AO400" s="2240"/>
      <c r="AP400" s="2240"/>
      <c r="AQ400" s="2240"/>
      <c r="AR400" s="2240"/>
      <c r="AS400" s="192"/>
      <c r="AT400" s="49"/>
      <c r="AU400" s="95"/>
      <c r="AV400" s="4"/>
      <c r="AW400" s="89"/>
      <c r="AX400" s="89"/>
      <c r="AY400" s="89"/>
      <c r="AZ400" s="89"/>
      <c r="BA400" s="89"/>
      <c r="BB400" s="89"/>
      <c r="BC400" s="89"/>
      <c r="BD400" s="89"/>
      <c r="BE400" s="89"/>
      <c r="BF400" s="89"/>
      <c r="BG400" s="89"/>
      <c r="BH400" s="98"/>
      <c r="BI400" s="89"/>
      <c r="BJ400" s="89"/>
      <c r="BK400" s="89"/>
      <c r="BL400" s="89"/>
      <c r="BM400" s="89"/>
      <c r="BN400" s="89"/>
      <c r="BO400" s="89"/>
      <c r="BP400" s="89"/>
      <c r="BQ400" s="89"/>
      <c r="BR400" s="89"/>
      <c r="BS400" s="89"/>
      <c r="BT400" s="89"/>
      <c r="BU400" s="89"/>
      <c r="BV400" s="89"/>
      <c r="BW400" s="89"/>
      <c r="BX400" s="89"/>
      <c r="BY400" s="89"/>
      <c r="BZ400" s="89"/>
      <c r="CA400" s="89"/>
      <c r="CB400" s="89"/>
      <c r="CC400" s="89"/>
      <c r="CD400" s="89"/>
      <c r="CE400" s="89"/>
      <c r="CF400" s="89"/>
      <c r="CG400" s="89"/>
      <c r="CH400" s="89"/>
      <c r="CI400" s="89"/>
      <c r="CJ400" s="89"/>
      <c r="CK400" s="89"/>
      <c r="CL400" s="89"/>
      <c r="CM400" s="89"/>
      <c r="CN400" s="89"/>
      <c r="CO400" s="98"/>
      <c r="CP400" s="98"/>
      <c r="CQ400" s="98"/>
      <c r="CR400" s="98"/>
      <c r="CS400" s="98"/>
      <c r="CT400" s="49">
        <f>+W400/4</f>
        <v>1.9378124999999999</v>
      </c>
      <c r="CU400" s="49">
        <f t="shared" si="595"/>
        <v>1.9378124999999999</v>
      </c>
      <c r="CV400" s="49">
        <f t="shared" si="595"/>
        <v>1.9378124999999999</v>
      </c>
      <c r="CW400" s="1540">
        <f t="shared" si="557"/>
        <v>1.9378124999999997</v>
      </c>
      <c r="CX400" s="53">
        <f t="shared" si="539"/>
        <v>0</v>
      </c>
      <c r="CY400" s="1558">
        <f t="shared" si="588"/>
        <v>1.94025</v>
      </c>
      <c r="CZ400" s="1558">
        <f t="shared" si="588"/>
        <v>1.94025</v>
      </c>
      <c r="DA400" s="1558">
        <f t="shared" si="588"/>
        <v>1.94025</v>
      </c>
      <c r="DB400" s="1558">
        <f t="shared" si="588"/>
        <v>1.94025</v>
      </c>
      <c r="DC400" s="2926">
        <f t="shared" si="540"/>
        <v>0</v>
      </c>
      <c r="DD400" s="1558">
        <f t="shared" si="549"/>
        <v>1.9426874999999999</v>
      </c>
      <c r="DE400" s="1558">
        <f t="shared" si="550"/>
        <v>1.9426874999999999</v>
      </c>
      <c r="DF400" s="1558">
        <f t="shared" si="551"/>
        <v>1.9426874999999999</v>
      </c>
      <c r="DG400" s="1558">
        <f t="shared" si="541"/>
        <v>1.9426874999999999</v>
      </c>
      <c r="DH400" s="2926">
        <f t="shared" si="552"/>
        <v>0</v>
      </c>
      <c r="DI400" s="2927">
        <f>$AC400/2</f>
        <v>1.945125</v>
      </c>
      <c r="DJ400" s="2927">
        <f>$AC400/2</f>
        <v>1.945125</v>
      </c>
      <c r="DK400" s="3160">
        <v>0</v>
      </c>
      <c r="DL400" s="3160">
        <v>0</v>
      </c>
      <c r="DM400" s="2926">
        <f t="shared" si="554"/>
        <v>0</v>
      </c>
      <c r="DN400" s="2927">
        <f t="shared" si="555"/>
        <v>0</v>
      </c>
      <c r="DO400" s="2927">
        <f t="shared" si="555"/>
        <v>0</v>
      </c>
      <c r="DP400" s="2927">
        <f t="shared" si="555"/>
        <v>0</v>
      </c>
      <c r="DQ400" s="2927">
        <f t="shared" si="555"/>
        <v>0</v>
      </c>
      <c r="DR400" s="2926">
        <f t="shared" si="544"/>
        <v>0</v>
      </c>
    </row>
    <row r="401" spans="1:122">
      <c r="A401" s="190" t="str">
        <f t="shared" si="593"/>
        <v>4.85% Senior Notes due 2042</v>
      </c>
      <c r="B401" s="48"/>
      <c r="C401" s="48"/>
      <c r="D401" s="48"/>
      <c r="E401" s="48"/>
      <c r="F401" s="48"/>
      <c r="G401" s="48"/>
      <c r="H401" s="48"/>
      <c r="I401" s="48"/>
      <c r="J401" s="197"/>
      <c r="K401" s="192"/>
      <c r="L401" s="192"/>
      <c r="M401" s="192"/>
      <c r="N401" s="192"/>
      <c r="O401" s="919"/>
      <c r="P401" s="192"/>
      <c r="Q401" s="192"/>
      <c r="R401" s="192">
        <f>AVERAGE(N346:R346)*R448</f>
        <v>0</v>
      </c>
      <c r="S401" s="192">
        <f>AVERAGE(R346:S346)*S448</f>
        <v>0</v>
      </c>
      <c r="T401" s="192">
        <f t="shared" si="563"/>
        <v>0</v>
      </c>
      <c r="U401" s="192">
        <f>AVERAGE(T346:U346)*U448</f>
        <v>12.125</v>
      </c>
      <c r="V401" s="192">
        <f>AVERAGE(U346:V346)*V448</f>
        <v>23.959</v>
      </c>
      <c r="W401" s="192">
        <f>AVERAGE(V346:W346)*W448</f>
        <v>23.667999999999999</v>
      </c>
      <c r="X401" s="192"/>
      <c r="Y401" s="192"/>
      <c r="Z401" s="192">
        <f t="shared" si="536"/>
        <v>23.571000000000002</v>
      </c>
      <c r="AA401" s="192">
        <f t="shared" ref="AA401:AN401" si="597">AVERAGE(Z346:AA346)*AA448</f>
        <v>23.498250000000002</v>
      </c>
      <c r="AB401" s="2923"/>
      <c r="AC401" s="2923">
        <f>AVERAGE(AA346, AC346)*AC448</f>
        <v>23.522500000000001</v>
      </c>
      <c r="AD401" s="2923">
        <f t="shared" si="597"/>
        <v>23.522500000000001</v>
      </c>
      <c r="AE401" s="2923">
        <f t="shared" si="597"/>
        <v>23.522500000000001</v>
      </c>
      <c r="AF401" s="2923">
        <f t="shared" si="597"/>
        <v>23.522500000000001</v>
      </c>
      <c r="AG401" s="2923">
        <f t="shared" si="597"/>
        <v>23.522500000000001</v>
      </c>
      <c r="AH401" s="2923">
        <f t="shared" si="597"/>
        <v>23.522500000000001</v>
      </c>
      <c r="AI401" s="2923">
        <f t="shared" si="597"/>
        <v>23.522500000000001</v>
      </c>
      <c r="AJ401" s="2923">
        <f t="shared" si="597"/>
        <v>23.522500000000001</v>
      </c>
      <c r="AK401" s="2923">
        <f t="shared" si="597"/>
        <v>23.522500000000001</v>
      </c>
      <c r="AL401" s="1368">
        <f t="shared" si="597"/>
        <v>23.522500000000001</v>
      </c>
      <c r="AM401" s="1368">
        <f t="shared" si="597"/>
        <v>23.522500000000001</v>
      </c>
      <c r="AN401" s="1368">
        <f t="shared" si="597"/>
        <v>23.522500000000001</v>
      </c>
      <c r="AO401" s="2240"/>
      <c r="AP401" s="2240"/>
      <c r="AQ401" s="2240"/>
      <c r="AR401" s="2240"/>
      <c r="AS401" s="192"/>
      <c r="AT401" s="49"/>
      <c r="AU401" s="95"/>
      <c r="AV401" s="4"/>
      <c r="AW401" s="89"/>
      <c r="AX401" s="89"/>
      <c r="AY401" s="89"/>
      <c r="AZ401" s="89"/>
      <c r="BA401" s="89"/>
      <c r="BB401" s="89"/>
      <c r="BC401" s="89"/>
      <c r="BD401" s="89"/>
      <c r="BE401" s="89"/>
      <c r="BF401" s="89"/>
      <c r="BG401" s="89"/>
      <c r="BH401" s="98"/>
      <c r="BI401" s="89"/>
      <c r="BJ401" s="89"/>
      <c r="BK401" s="89"/>
      <c r="BL401" s="89"/>
      <c r="BM401" s="89"/>
      <c r="BN401" s="89"/>
      <c r="BO401" s="89"/>
      <c r="BP401" s="89"/>
      <c r="BQ401" s="89"/>
      <c r="BR401" s="89"/>
      <c r="BS401" s="89"/>
      <c r="BT401" s="89"/>
      <c r="BU401" s="89"/>
      <c r="BV401" s="89"/>
      <c r="BW401" s="89"/>
      <c r="BX401" s="89"/>
      <c r="BY401" s="89"/>
      <c r="BZ401" s="89"/>
      <c r="CA401" s="89"/>
      <c r="CB401" s="89"/>
      <c r="CC401" s="89"/>
      <c r="CD401" s="89"/>
      <c r="CE401" s="89"/>
      <c r="CF401" s="89"/>
      <c r="CG401" s="89"/>
      <c r="CH401" s="89"/>
      <c r="CI401" s="89"/>
      <c r="CJ401" s="89"/>
      <c r="CK401" s="89"/>
      <c r="CL401" s="89"/>
      <c r="CM401" s="89"/>
      <c r="CN401" s="89"/>
      <c r="CO401" s="98"/>
      <c r="CP401" s="98"/>
      <c r="CQ401" s="98"/>
      <c r="CR401" s="98"/>
      <c r="CS401" s="98"/>
      <c r="CT401" s="49">
        <f>+W401/4</f>
        <v>5.9169999999999998</v>
      </c>
      <c r="CU401" s="49">
        <f t="shared" si="595"/>
        <v>5.9169999999999998</v>
      </c>
      <c r="CV401" s="49">
        <f t="shared" si="595"/>
        <v>5.9169999999999998</v>
      </c>
      <c r="CW401" s="1540">
        <f t="shared" si="557"/>
        <v>5.9170000000000016</v>
      </c>
      <c r="CX401" s="53">
        <f t="shared" si="539"/>
        <v>0</v>
      </c>
      <c r="CY401" s="1558">
        <f t="shared" si="588"/>
        <v>5.8927500000000004</v>
      </c>
      <c r="CZ401" s="1558">
        <f t="shared" si="588"/>
        <v>5.8927500000000004</v>
      </c>
      <c r="DA401" s="1558">
        <f t="shared" si="588"/>
        <v>5.8927500000000004</v>
      </c>
      <c r="DB401" s="1558">
        <f t="shared" si="588"/>
        <v>5.8927500000000004</v>
      </c>
      <c r="DC401" s="2926">
        <f t="shared" si="540"/>
        <v>0</v>
      </c>
      <c r="DD401" s="1558">
        <f t="shared" si="549"/>
        <v>5.8745625000000006</v>
      </c>
      <c r="DE401" s="1558">
        <f t="shared" si="550"/>
        <v>5.8745625000000006</v>
      </c>
      <c r="DF401" s="1558">
        <f t="shared" si="551"/>
        <v>5.8745625000000006</v>
      </c>
      <c r="DG401" s="1558">
        <f t="shared" si="541"/>
        <v>5.8745625000000006</v>
      </c>
      <c r="DH401" s="2926">
        <f t="shared" si="552"/>
        <v>0</v>
      </c>
      <c r="DI401" s="2927">
        <f t="shared" si="582"/>
        <v>5.8806250000000002</v>
      </c>
      <c r="DJ401" s="2927">
        <f t="shared" si="582"/>
        <v>5.8806250000000002</v>
      </c>
      <c r="DK401" s="2927">
        <f t="shared" si="582"/>
        <v>5.8806250000000002</v>
      </c>
      <c r="DL401" s="2927">
        <f t="shared" si="582"/>
        <v>5.8806250000000002</v>
      </c>
      <c r="DM401" s="2926">
        <f t="shared" si="554"/>
        <v>0</v>
      </c>
      <c r="DN401" s="2927">
        <f t="shared" si="555"/>
        <v>5.8806250000000002</v>
      </c>
      <c r="DO401" s="2927">
        <f t="shared" si="555"/>
        <v>5.8806250000000002</v>
      </c>
      <c r="DP401" s="2927">
        <f t="shared" si="555"/>
        <v>5.8806250000000002</v>
      </c>
      <c r="DQ401" s="2927">
        <f t="shared" si="555"/>
        <v>5.8806250000000002</v>
      </c>
      <c r="DR401" s="2926">
        <f t="shared" si="544"/>
        <v>0</v>
      </c>
    </row>
    <row r="402" spans="1:122">
      <c r="A402" s="190" t="str">
        <f t="shared" si="593"/>
        <v>$1.6bn issued for CBSO (3 pieces, avg rate 4.23%</v>
      </c>
      <c r="B402" s="48"/>
      <c r="C402" s="48"/>
      <c r="D402" s="48"/>
      <c r="E402" s="48"/>
      <c r="F402" s="48"/>
      <c r="G402" s="48"/>
      <c r="H402" s="48"/>
      <c r="I402" s="48"/>
      <c r="J402" s="197"/>
      <c r="K402" s="192"/>
      <c r="L402" s="192"/>
      <c r="M402" s="192"/>
      <c r="N402" s="192"/>
      <c r="O402" s="919"/>
      <c r="P402" s="192"/>
      <c r="Q402" s="192"/>
      <c r="R402" s="192"/>
      <c r="S402" s="192"/>
      <c r="T402" s="192"/>
      <c r="U402" s="192"/>
      <c r="V402" s="192"/>
      <c r="W402" s="192">
        <f>+SUM(CT402:CW402)</f>
        <v>11.280000000000001</v>
      </c>
      <c r="X402" s="192"/>
      <c r="Y402" s="192"/>
      <c r="Z402" s="194">
        <v>0</v>
      </c>
      <c r="AA402" s="194">
        <v>0</v>
      </c>
      <c r="AB402" s="2922"/>
      <c r="AC402" s="2922">
        <v>0</v>
      </c>
      <c r="AD402" s="2922">
        <v>0</v>
      </c>
      <c r="AE402" s="2922">
        <v>0</v>
      </c>
      <c r="AF402" s="2922">
        <v>0</v>
      </c>
      <c r="AG402" s="2922">
        <v>0</v>
      </c>
      <c r="AH402" s="2922">
        <v>0</v>
      </c>
      <c r="AI402" s="2922">
        <v>0</v>
      </c>
      <c r="AJ402" s="2922">
        <v>0</v>
      </c>
      <c r="AK402" s="2922">
        <v>0</v>
      </c>
      <c r="AL402" s="1535">
        <v>0</v>
      </c>
      <c r="AM402" s="1535">
        <v>0</v>
      </c>
      <c r="AN402" s="1535">
        <v>0</v>
      </c>
      <c r="AO402" s="2240"/>
      <c r="AP402" s="2240"/>
      <c r="AQ402" s="2240"/>
      <c r="AR402" s="2240"/>
      <c r="AS402" s="192"/>
      <c r="AT402" s="49"/>
      <c r="AU402" s="95"/>
      <c r="AV402" s="4"/>
      <c r="AW402" s="89"/>
      <c r="AX402" s="89"/>
      <c r="AY402" s="89"/>
      <c r="AZ402" s="89"/>
      <c r="BA402" s="89"/>
      <c r="BB402" s="89"/>
      <c r="BC402" s="89"/>
      <c r="BD402" s="89"/>
      <c r="BE402" s="89"/>
      <c r="BF402" s="89"/>
      <c r="BG402" s="89"/>
      <c r="BH402" s="98"/>
      <c r="BI402" s="89"/>
      <c r="BJ402" s="89"/>
      <c r="BK402" s="89"/>
      <c r="BL402" s="89"/>
      <c r="BM402" s="89"/>
      <c r="BN402" s="89"/>
      <c r="BO402" s="89"/>
      <c r="BP402" s="89"/>
      <c r="BQ402" s="89"/>
      <c r="BR402" s="89"/>
      <c r="BS402" s="89"/>
      <c r="BT402" s="89"/>
      <c r="BU402" s="89"/>
      <c r="BV402" s="89"/>
      <c r="BW402" s="89"/>
      <c r="BX402" s="89"/>
      <c r="BY402" s="89"/>
      <c r="BZ402" s="89"/>
      <c r="CA402" s="89"/>
      <c r="CB402" s="89"/>
      <c r="CC402" s="89"/>
      <c r="CD402" s="89"/>
      <c r="CE402" s="89"/>
      <c r="CF402" s="89"/>
      <c r="CG402" s="89"/>
      <c r="CH402" s="89"/>
      <c r="CI402" s="89"/>
      <c r="CJ402" s="89"/>
      <c r="CK402" s="89"/>
      <c r="CL402" s="89"/>
      <c r="CM402" s="89"/>
      <c r="CN402" s="89"/>
      <c r="CO402" s="98"/>
      <c r="CP402" s="98"/>
      <c r="CQ402" s="98"/>
      <c r="CR402" s="98"/>
      <c r="CS402" s="98"/>
      <c r="CT402" s="49">
        <f>1600*4.23%*(2/12)</f>
        <v>11.280000000000001</v>
      </c>
      <c r="CU402" s="49">
        <v>0</v>
      </c>
      <c r="CV402" s="49">
        <v>0</v>
      </c>
      <c r="CW402" s="49">
        <v>0</v>
      </c>
      <c r="CX402" s="53">
        <f t="shared" si="539"/>
        <v>0</v>
      </c>
      <c r="CY402" s="1558">
        <f t="shared" si="588"/>
        <v>0</v>
      </c>
      <c r="CZ402" s="1558">
        <f t="shared" si="588"/>
        <v>0</v>
      </c>
      <c r="DA402" s="1558">
        <f t="shared" si="588"/>
        <v>0</v>
      </c>
      <c r="DB402" s="1558">
        <f t="shared" si="588"/>
        <v>0</v>
      </c>
      <c r="DC402" s="2926">
        <f t="shared" si="540"/>
        <v>0</v>
      </c>
      <c r="DD402" s="1558">
        <f t="shared" si="549"/>
        <v>0</v>
      </c>
      <c r="DE402" s="1558">
        <f t="shared" si="550"/>
        <v>0</v>
      </c>
      <c r="DF402" s="1558">
        <f t="shared" si="551"/>
        <v>0</v>
      </c>
      <c r="DG402" s="1558">
        <f t="shared" si="541"/>
        <v>0</v>
      </c>
      <c r="DH402" s="2926">
        <f t="shared" si="552"/>
        <v>0</v>
      </c>
      <c r="DI402" s="2927">
        <f t="shared" si="582"/>
        <v>0</v>
      </c>
      <c r="DJ402" s="2927">
        <f t="shared" si="582"/>
        <v>0</v>
      </c>
      <c r="DK402" s="2927">
        <f t="shared" si="582"/>
        <v>0</v>
      </c>
      <c r="DL402" s="2927">
        <f t="shared" si="582"/>
        <v>0</v>
      </c>
      <c r="DM402" s="2926">
        <f t="shared" si="554"/>
        <v>0</v>
      </c>
      <c r="DN402" s="2927">
        <f t="shared" si="555"/>
        <v>0</v>
      </c>
      <c r="DO402" s="2927">
        <f t="shared" si="555"/>
        <v>0</v>
      </c>
      <c r="DP402" s="2927">
        <f t="shared" si="555"/>
        <v>0</v>
      </c>
      <c r="DQ402" s="2927">
        <f t="shared" si="555"/>
        <v>0</v>
      </c>
      <c r="DR402" s="2926">
        <f t="shared" si="544"/>
        <v>0</v>
      </c>
    </row>
    <row r="403" spans="1:122">
      <c r="A403" s="1536" t="str">
        <f t="shared" si="593"/>
        <v>2.3% Senior Notes due 2019</v>
      </c>
      <c r="B403" s="1562"/>
      <c r="C403" s="1562"/>
      <c r="D403" s="1562"/>
      <c r="E403" s="1562"/>
      <c r="F403" s="1562"/>
      <c r="G403" s="1562"/>
      <c r="H403" s="1562"/>
      <c r="I403" s="1562"/>
      <c r="J403" s="1563"/>
      <c r="K403" s="1537"/>
      <c r="L403" s="1537"/>
      <c r="M403" s="1537"/>
      <c r="N403" s="1537"/>
      <c r="O403" s="1539"/>
      <c r="P403" s="1537"/>
      <c r="Q403" s="1537"/>
      <c r="R403" s="1537"/>
      <c r="S403" s="1537"/>
      <c r="T403" s="1537"/>
      <c r="U403" s="1537"/>
      <c r="V403" s="1537"/>
      <c r="W403" s="1568">
        <f>+SUM(CT403:CW403)</f>
        <v>5.1577500000000001</v>
      </c>
      <c r="X403" s="1538"/>
      <c r="Y403" s="1538"/>
      <c r="Z403" s="192">
        <f>AVERAGE(W348:Z348)*Z450</f>
        <v>13.8805</v>
      </c>
      <c r="AA403" s="192">
        <f t="shared" ref="AA403:AN403" si="598">AVERAGE(Z348:AA348)*AA450</f>
        <v>13.9725</v>
      </c>
      <c r="AB403" s="2923"/>
      <c r="AC403" s="2923">
        <f t="shared" ref="AC403:AC409" si="599">AVERAGE(AA348, AC348)*AC450</f>
        <v>13.938000000000001</v>
      </c>
      <c r="AD403" s="2923">
        <f t="shared" si="598"/>
        <v>13.938000000000001</v>
      </c>
      <c r="AE403" s="2923">
        <f t="shared" si="598"/>
        <v>6.9690000000000003</v>
      </c>
      <c r="AF403" s="2923">
        <f t="shared" si="598"/>
        <v>0</v>
      </c>
      <c r="AG403" s="2923">
        <f t="shared" si="598"/>
        <v>0</v>
      </c>
      <c r="AH403" s="2923">
        <f t="shared" si="598"/>
        <v>0</v>
      </c>
      <c r="AI403" s="2923">
        <f t="shared" si="598"/>
        <v>0</v>
      </c>
      <c r="AJ403" s="2923">
        <f t="shared" si="598"/>
        <v>0</v>
      </c>
      <c r="AK403" s="2923">
        <f t="shared" si="598"/>
        <v>0</v>
      </c>
      <c r="AL403" s="1368">
        <f t="shared" si="598"/>
        <v>0</v>
      </c>
      <c r="AM403" s="1368">
        <f t="shared" si="598"/>
        <v>0</v>
      </c>
      <c r="AN403" s="1368">
        <f t="shared" si="598"/>
        <v>0</v>
      </c>
      <c r="AO403" s="2240"/>
      <c r="AP403" s="2240"/>
      <c r="AQ403" s="2240"/>
      <c r="AR403" s="2240"/>
      <c r="AS403" s="192"/>
      <c r="AT403" s="49"/>
      <c r="AU403" s="95"/>
      <c r="AV403" s="4"/>
      <c r="AW403" s="89"/>
      <c r="AX403" s="89"/>
      <c r="AY403" s="89"/>
      <c r="AZ403" s="89"/>
      <c r="BA403" s="89"/>
      <c r="BB403" s="89"/>
      <c r="BC403" s="89"/>
      <c r="BD403" s="89"/>
      <c r="BE403" s="89"/>
      <c r="BF403" s="89"/>
      <c r="BG403" s="89"/>
      <c r="BH403" s="98"/>
      <c r="BI403" s="89"/>
      <c r="BJ403" s="89"/>
      <c r="BK403" s="89"/>
      <c r="BL403" s="89"/>
      <c r="BM403" s="89"/>
      <c r="BN403" s="89"/>
      <c r="BO403" s="89"/>
      <c r="BP403" s="89"/>
      <c r="BQ403" s="89"/>
      <c r="BR403" s="89"/>
      <c r="BS403" s="89"/>
      <c r="BT403" s="89"/>
      <c r="BU403" s="89"/>
      <c r="BV403" s="89"/>
      <c r="BW403" s="89"/>
      <c r="BX403" s="89"/>
      <c r="BY403" s="89"/>
      <c r="BZ403" s="89"/>
      <c r="CA403" s="89"/>
      <c r="CB403" s="89"/>
      <c r="CC403" s="89"/>
      <c r="CD403" s="89"/>
      <c r="CE403" s="89"/>
      <c r="CF403" s="89"/>
      <c r="CG403" s="89"/>
      <c r="CH403" s="89"/>
      <c r="CI403" s="89"/>
      <c r="CJ403" s="89"/>
      <c r="CK403" s="89"/>
      <c r="CL403" s="89"/>
      <c r="CM403" s="89"/>
      <c r="CN403" s="89"/>
      <c r="CO403" s="98"/>
      <c r="CP403" s="98"/>
      <c r="CQ403" s="98"/>
      <c r="CR403" s="98"/>
      <c r="CS403" s="98"/>
      <c r="CT403" s="49">
        <v>0</v>
      </c>
      <c r="CU403" s="49">
        <v>0</v>
      </c>
      <c r="CV403" s="49">
        <f>+CW403/2</f>
        <v>1.7192499999999999</v>
      </c>
      <c r="CW403" s="1566">
        <f>$W348*0.023*0.25</f>
        <v>3.4384999999999999</v>
      </c>
      <c r="CX403" s="53">
        <f t="shared" si="539"/>
        <v>0</v>
      </c>
      <c r="CY403" s="1558">
        <f t="shared" si="588"/>
        <v>3.4701249999999999</v>
      </c>
      <c r="CZ403" s="1558">
        <f t="shared" si="588"/>
        <v>3.4701249999999999</v>
      </c>
      <c r="DA403" s="1558">
        <f t="shared" si="588"/>
        <v>3.4701249999999999</v>
      </c>
      <c r="DB403" s="1558">
        <f t="shared" si="588"/>
        <v>3.4701249999999999</v>
      </c>
      <c r="DC403" s="2926">
        <f t="shared" si="540"/>
        <v>0</v>
      </c>
      <c r="DD403" s="1558">
        <f t="shared" si="549"/>
        <v>3.493125</v>
      </c>
      <c r="DE403" s="1558">
        <f t="shared" si="550"/>
        <v>3.493125</v>
      </c>
      <c r="DF403" s="1558">
        <f t="shared" si="551"/>
        <v>3.493125</v>
      </c>
      <c r="DG403" s="1558">
        <f t="shared" si="541"/>
        <v>3.493125</v>
      </c>
      <c r="DH403" s="2926">
        <f t="shared" si="552"/>
        <v>0</v>
      </c>
      <c r="DI403" s="2927">
        <f t="shared" si="582"/>
        <v>3.4845000000000002</v>
      </c>
      <c r="DJ403" s="2927">
        <f t="shared" si="582"/>
        <v>3.4845000000000002</v>
      </c>
      <c r="DK403" s="2927">
        <f t="shared" si="582"/>
        <v>3.4845000000000002</v>
      </c>
      <c r="DL403" s="2927">
        <f t="shared" si="582"/>
        <v>3.4845000000000002</v>
      </c>
      <c r="DM403" s="2926">
        <f t="shared" si="554"/>
        <v>0</v>
      </c>
      <c r="DN403" s="2927">
        <f t="shared" si="555"/>
        <v>3.4845000000000002</v>
      </c>
      <c r="DO403" s="2927">
        <f t="shared" si="555"/>
        <v>3.4845000000000002</v>
      </c>
      <c r="DP403" s="2927">
        <f t="shared" si="555"/>
        <v>3.4845000000000002</v>
      </c>
      <c r="DQ403" s="2927">
        <f t="shared" si="555"/>
        <v>3.4845000000000002</v>
      </c>
      <c r="DR403" s="2926">
        <f t="shared" si="544"/>
        <v>0</v>
      </c>
    </row>
    <row r="404" spans="1:122">
      <c r="A404" s="1536" t="str">
        <f t="shared" si="593"/>
        <v>3.7% Senior Notes due 2024</v>
      </c>
      <c r="B404" s="1562"/>
      <c r="C404" s="1562"/>
      <c r="D404" s="1562"/>
      <c r="E404" s="1562"/>
      <c r="F404" s="1562"/>
      <c r="G404" s="1562"/>
      <c r="H404" s="1562"/>
      <c r="I404" s="1562"/>
      <c r="J404" s="1563"/>
      <c r="K404" s="1537"/>
      <c r="L404" s="1537"/>
      <c r="M404" s="1537"/>
      <c r="N404" s="1537"/>
      <c r="O404" s="1539"/>
      <c r="P404" s="1537"/>
      <c r="Q404" s="1537"/>
      <c r="R404" s="1537"/>
      <c r="S404" s="1537"/>
      <c r="T404" s="1537"/>
      <c r="U404" s="1537"/>
      <c r="V404" s="1537"/>
      <c r="W404" s="1568">
        <f>+SUM(CT404:CW404)</f>
        <v>8.3111250000000005</v>
      </c>
      <c r="X404" s="1537"/>
      <c r="Y404" s="1537"/>
      <c r="Z404" s="192">
        <f>AVERAGE(W349:Z349)*Z451</f>
        <v>22.107499999999998</v>
      </c>
      <c r="AA404" s="192">
        <f t="shared" ref="AA404:AN404" si="600">AVERAGE(Z349:AA349)*AA451</f>
        <v>22.052</v>
      </c>
      <c r="AB404" s="2923"/>
      <c r="AC404" s="2923">
        <f t="shared" si="599"/>
        <v>22.052</v>
      </c>
      <c r="AD404" s="2923">
        <f t="shared" si="600"/>
        <v>22.052</v>
      </c>
      <c r="AE404" s="2923">
        <f t="shared" si="600"/>
        <v>22.052</v>
      </c>
      <c r="AF404" s="2923">
        <f t="shared" si="600"/>
        <v>22.052</v>
      </c>
      <c r="AG404" s="2923">
        <f t="shared" si="600"/>
        <v>22.052</v>
      </c>
      <c r="AH404" s="2923">
        <f t="shared" si="600"/>
        <v>22.052</v>
      </c>
      <c r="AI404" s="2923">
        <f t="shared" si="600"/>
        <v>22.052</v>
      </c>
      <c r="AJ404" s="2923">
        <f t="shared" si="600"/>
        <v>11.026</v>
      </c>
      <c r="AK404" s="2923">
        <f t="shared" si="600"/>
        <v>0</v>
      </c>
      <c r="AL404" s="1368">
        <f t="shared" si="600"/>
        <v>0</v>
      </c>
      <c r="AM404" s="1368">
        <f t="shared" si="600"/>
        <v>0</v>
      </c>
      <c r="AN404" s="1368">
        <f t="shared" si="600"/>
        <v>0</v>
      </c>
      <c r="AO404" s="2240"/>
      <c r="AP404" s="2240"/>
      <c r="AQ404" s="2240"/>
      <c r="AR404" s="2240"/>
      <c r="AS404" s="192"/>
      <c r="AT404" s="49"/>
      <c r="AU404" s="95"/>
      <c r="AV404" s="4"/>
      <c r="AW404" s="89"/>
      <c r="AX404" s="89"/>
      <c r="AY404" s="89"/>
      <c r="AZ404" s="89"/>
      <c r="BA404" s="89"/>
      <c r="BB404" s="89"/>
      <c r="BC404" s="89"/>
      <c r="BD404" s="89"/>
      <c r="BE404" s="89"/>
      <c r="BF404" s="89"/>
      <c r="BG404" s="89"/>
      <c r="BH404" s="98"/>
      <c r="BI404" s="89"/>
      <c r="BJ404" s="89"/>
      <c r="BK404" s="89"/>
      <c r="BL404" s="89"/>
      <c r="BM404" s="89"/>
      <c r="BN404" s="89"/>
      <c r="BO404" s="89"/>
      <c r="BP404" s="89"/>
      <c r="BQ404" s="89"/>
      <c r="BR404" s="89"/>
      <c r="BS404" s="89"/>
      <c r="BT404" s="89"/>
      <c r="BU404" s="89"/>
      <c r="BV404" s="89"/>
      <c r="BW404" s="89"/>
      <c r="BX404" s="89"/>
      <c r="BY404" s="89"/>
      <c r="BZ404" s="89"/>
      <c r="CA404" s="89"/>
      <c r="CB404" s="89"/>
      <c r="CC404" s="89"/>
      <c r="CD404" s="89"/>
      <c r="CE404" s="89"/>
      <c r="CF404" s="89"/>
      <c r="CG404" s="89"/>
      <c r="CH404" s="89"/>
      <c r="CI404" s="89"/>
      <c r="CJ404" s="89"/>
      <c r="CK404" s="89"/>
      <c r="CL404" s="89"/>
      <c r="CM404" s="89"/>
      <c r="CN404" s="89"/>
      <c r="CO404" s="98"/>
      <c r="CP404" s="98"/>
      <c r="CQ404" s="98"/>
      <c r="CR404" s="98"/>
      <c r="CS404" s="98"/>
      <c r="CT404" s="49">
        <v>0</v>
      </c>
      <c r="CU404" s="49">
        <v>0</v>
      </c>
      <c r="CV404" s="49">
        <f>+CW404/2</f>
        <v>2.770375</v>
      </c>
      <c r="CW404" s="1566">
        <f>$W349*0.037*0.25</f>
        <v>5.5407500000000001</v>
      </c>
      <c r="CX404" s="53">
        <f t="shared" si="539"/>
        <v>0</v>
      </c>
      <c r="CY404" s="1558">
        <f t="shared" si="588"/>
        <v>5.5268749999999995</v>
      </c>
      <c r="CZ404" s="1558">
        <f t="shared" si="588"/>
        <v>5.5268749999999995</v>
      </c>
      <c r="DA404" s="1558">
        <f t="shared" si="588"/>
        <v>5.5268749999999995</v>
      </c>
      <c r="DB404" s="1558">
        <f t="shared" si="588"/>
        <v>5.5268749999999995</v>
      </c>
      <c r="DC404" s="2926">
        <f t="shared" si="540"/>
        <v>0</v>
      </c>
      <c r="DD404" s="1558">
        <f t="shared" si="549"/>
        <v>5.5129999999999999</v>
      </c>
      <c r="DE404" s="1558">
        <f t="shared" si="550"/>
        <v>5.5129999999999999</v>
      </c>
      <c r="DF404" s="1558">
        <f t="shared" si="551"/>
        <v>5.5129999999999999</v>
      </c>
      <c r="DG404" s="1558">
        <f t="shared" si="541"/>
        <v>5.5129999999999999</v>
      </c>
      <c r="DH404" s="2926">
        <f t="shared" si="552"/>
        <v>0</v>
      </c>
      <c r="DI404" s="2927">
        <f t="shared" si="582"/>
        <v>5.5129999999999999</v>
      </c>
      <c r="DJ404" s="2927">
        <f t="shared" si="582"/>
        <v>5.5129999999999999</v>
      </c>
      <c r="DK404" s="2927">
        <f t="shared" si="582"/>
        <v>5.5129999999999999</v>
      </c>
      <c r="DL404" s="2927">
        <f t="shared" si="582"/>
        <v>5.5129999999999999</v>
      </c>
      <c r="DM404" s="2926">
        <f t="shared" si="554"/>
        <v>0</v>
      </c>
      <c r="DN404" s="2927">
        <f t="shared" si="555"/>
        <v>5.5129999999999999</v>
      </c>
      <c r="DO404" s="2927">
        <f t="shared" si="555"/>
        <v>5.5129999999999999</v>
      </c>
      <c r="DP404" s="2927">
        <f t="shared" si="555"/>
        <v>5.5129999999999999</v>
      </c>
      <c r="DQ404" s="2927">
        <f t="shared" si="555"/>
        <v>5.5129999999999999</v>
      </c>
      <c r="DR404" s="2926">
        <f t="shared" si="544"/>
        <v>0</v>
      </c>
    </row>
    <row r="405" spans="1:122">
      <c r="A405" s="1536" t="str">
        <f t="shared" si="593"/>
        <v>4.9% Senior Notes due 2044</v>
      </c>
      <c r="B405" s="1562"/>
      <c r="C405" s="1562"/>
      <c r="D405" s="1562"/>
      <c r="E405" s="1562"/>
      <c r="F405" s="1562"/>
      <c r="G405" s="1562"/>
      <c r="H405" s="1562"/>
      <c r="I405" s="1562"/>
      <c r="J405" s="1563"/>
      <c r="K405" s="1537"/>
      <c r="L405" s="1537"/>
      <c r="M405" s="1537"/>
      <c r="N405" s="1537"/>
      <c r="O405" s="1539"/>
      <c r="P405" s="1537"/>
      <c r="Q405" s="1537"/>
      <c r="R405" s="1537"/>
      <c r="S405" s="1537"/>
      <c r="T405" s="1537"/>
      <c r="U405" s="1537"/>
      <c r="V405" s="1537"/>
      <c r="W405" s="1568">
        <f>+SUM(CT405:CW405)</f>
        <v>9.9776249999999997</v>
      </c>
      <c r="X405" s="1537"/>
      <c r="Y405" s="1537"/>
      <c r="Z405" s="192">
        <f>AVERAGE(W350:Z350)*Z452</f>
        <v>26.484500000000001</v>
      </c>
      <c r="AA405" s="192">
        <f>AVERAGE(Z350:AA350)*AA452</f>
        <v>26.362000000000002</v>
      </c>
      <c r="AB405" s="2923"/>
      <c r="AC405" s="2923">
        <f t="shared" si="599"/>
        <v>26.362000000000002</v>
      </c>
      <c r="AD405" s="2923">
        <f t="shared" ref="AD405:AN405" si="601">AVERAGE(AC350:AD350)*AD452</f>
        <v>26.362000000000002</v>
      </c>
      <c r="AE405" s="2923">
        <f t="shared" si="601"/>
        <v>26.362000000000002</v>
      </c>
      <c r="AF405" s="2923">
        <f t="shared" si="601"/>
        <v>26.362000000000002</v>
      </c>
      <c r="AG405" s="2923">
        <f t="shared" si="601"/>
        <v>26.362000000000002</v>
      </c>
      <c r="AH405" s="2923">
        <f t="shared" si="601"/>
        <v>26.362000000000002</v>
      </c>
      <c r="AI405" s="2923">
        <f t="shared" si="601"/>
        <v>26.362000000000002</v>
      </c>
      <c r="AJ405" s="2923">
        <f t="shared" si="601"/>
        <v>26.362000000000002</v>
      </c>
      <c r="AK405" s="2923">
        <f t="shared" si="601"/>
        <v>26.362000000000002</v>
      </c>
      <c r="AL405" s="1368">
        <f t="shared" si="601"/>
        <v>26.362000000000002</v>
      </c>
      <c r="AM405" s="1368">
        <f t="shared" si="601"/>
        <v>26.362000000000002</v>
      </c>
      <c r="AN405" s="1368">
        <f t="shared" si="601"/>
        <v>26.362000000000002</v>
      </c>
      <c r="AO405" s="2240"/>
      <c r="AP405" s="2240"/>
      <c r="AQ405" s="2240"/>
      <c r="AR405" s="2240"/>
      <c r="AS405" s="192"/>
      <c r="AT405" s="49"/>
      <c r="AU405" s="95"/>
      <c r="AV405" s="4"/>
      <c r="AW405" s="89"/>
      <c r="AX405" s="89"/>
      <c r="AY405" s="89"/>
      <c r="AZ405" s="89"/>
      <c r="BA405" s="89"/>
      <c r="BB405" s="89"/>
      <c r="BC405" s="89"/>
      <c r="BD405" s="89"/>
      <c r="BE405" s="89"/>
      <c r="BF405" s="89"/>
      <c r="BG405" s="89"/>
      <c r="BH405" s="98"/>
      <c r="BI405" s="89"/>
      <c r="BJ405" s="89"/>
      <c r="BK405" s="89"/>
      <c r="BL405" s="89"/>
      <c r="BM405" s="89"/>
      <c r="BN405" s="89"/>
      <c r="BO405" s="89"/>
      <c r="BP405" s="89"/>
      <c r="BQ405" s="89"/>
      <c r="BR405" s="89"/>
      <c r="BS405" s="89"/>
      <c r="BT405" s="89"/>
      <c r="BU405" s="89"/>
      <c r="BV405" s="89"/>
      <c r="BW405" s="89"/>
      <c r="BX405" s="89"/>
      <c r="BY405" s="89"/>
      <c r="BZ405" s="89"/>
      <c r="CA405" s="89"/>
      <c r="CB405" s="89"/>
      <c r="CC405" s="89"/>
      <c r="CD405" s="89"/>
      <c r="CE405" s="89"/>
      <c r="CF405" s="89"/>
      <c r="CG405" s="89"/>
      <c r="CH405" s="89"/>
      <c r="CI405" s="89"/>
      <c r="CJ405" s="89"/>
      <c r="CK405" s="89"/>
      <c r="CL405" s="89"/>
      <c r="CM405" s="89"/>
      <c r="CN405" s="89"/>
      <c r="CO405" s="98"/>
      <c r="CP405" s="98"/>
      <c r="CQ405" s="98"/>
      <c r="CR405" s="98"/>
      <c r="CS405" s="98"/>
      <c r="CT405" s="49">
        <v>0</v>
      </c>
      <c r="CU405" s="49">
        <v>0</v>
      </c>
      <c r="CV405" s="49">
        <f>+CW405/2</f>
        <v>3.3258749999999999</v>
      </c>
      <c r="CW405" s="1566">
        <f>$W350*0.049*0.25</f>
        <v>6.6517499999999998</v>
      </c>
      <c r="CX405" s="53">
        <f>+W405-SUM(CT405:CW405)</f>
        <v>0</v>
      </c>
      <c r="CY405" s="1558">
        <f t="shared" si="588"/>
        <v>6.6211250000000001</v>
      </c>
      <c r="CZ405" s="1558">
        <f t="shared" si="588"/>
        <v>6.6211250000000001</v>
      </c>
      <c r="DA405" s="1558">
        <f t="shared" si="588"/>
        <v>6.6211250000000001</v>
      </c>
      <c r="DB405" s="1558">
        <f t="shared" si="588"/>
        <v>6.6211250000000001</v>
      </c>
      <c r="DC405" s="2926">
        <f t="shared" si="540"/>
        <v>0</v>
      </c>
      <c r="DD405" s="1558">
        <f t="shared" si="549"/>
        <v>6.5905000000000005</v>
      </c>
      <c r="DE405" s="1558">
        <f t="shared" si="550"/>
        <v>6.5905000000000005</v>
      </c>
      <c r="DF405" s="1558">
        <f t="shared" si="551"/>
        <v>6.5905000000000005</v>
      </c>
      <c r="DG405" s="1558">
        <f t="shared" si="541"/>
        <v>6.5905000000000005</v>
      </c>
      <c r="DH405" s="2926">
        <f t="shared" si="552"/>
        <v>0</v>
      </c>
      <c r="DI405" s="2927">
        <f t="shared" si="582"/>
        <v>6.5905000000000005</v>
      </c>
      <c r="DJ405" s="2927">
        <f t="shared" si="582"/>
        <v>6.5905000000000005</v>
      </c>
      <c r="DK405" s="2927">
        <f t="shared" si="582"/>
        <v>6.5905000000000005</v>
      </c>
      <c r="DL405" s="2927">
        <f t="shared" si="582"/>
        <v>6.5905000000000005</v>
      </c>
      <c r="DM405" s="2926">
        <f t="shared" si="554"/>
        <v>0</v>
      </c>
      <c r="DN405" s="2927">
        <f t="shared" si="555"/>
        <v>6.5905000000000005</v>
      </c>
      <c r="DO405" s="2927">
        <f t="shared" si="555"/>
        <v>6.5905000000000005</v>
      </c>
      <c r="DP405" s="2927">
        <f t="shared" si="555"/>
        <v>6.5905000000000005</v>
      </c>
      <c r="DQ405" s="2927">
        <f t="shared" si="555"/>
        <v>6.5905000000000005</v>
      </c>
      <c r="DR405" s="2926">
        <f t="shared" si="544"/>
        <v>0</v>
      </c>
    </row>
    <row r="406" spans="1:122">
      <c r="A406" s="1536" t="str">
        <f t="shared" si="593"/>
        <v>3.5% Senior Notes due 2025</v>
      </c>
      <c r="B406" s="1562"/>
      <c r="C406" s="1562"/>
      <c r="D406" s="1562"/>
      <c r="E406" s="1562"/>
      <c r="F406" s="1562"/>
      <c r="G406" s="1562"/>
      <c r="H406" s="1562"/>
      <c r="I406" s="1562"/>
      <c r="J406" s="1563"/>
      <c r="K406" s="1537"/>
      <c r="L406" s="1537"/>
      <c r="M406" s="1537"/>
      <c r="N406" s="1537"/>
      <c r="O406" s="1539"/>
      <c r="P406" s="1537"/>
      <c r="Q406" s="1537"/>
      <c r="R406" s="1537"/>
      <c r="S406" s="1537"/>
      <c r="T406" s="1537"/>
      <c r="U406" s="1537"/>
      <c r="V406" s="1537"/>
      <c r="W406" s="1537"/>
      <c r="X406" s="1537"/>
      <c r="Y406" s="1537"/>
      <c r="Z406" s="192">
        <f>AVERAGE(Y351:Z351)*Z453</f>
        <v>20.475000000000001</v>
      </c>
      <c r="AA406" s="192">
        <f>AVERAGE(Z351:AA351)*AA453</f>
        <v>20.51</v>
      </c>
      <c r="AB406" s="2923"/>
      <c r="AC406" s="2923">
        <f t="shared" si="599"/>
        <v>20.545000000000002</v>
      </c>
      <c r="AD406" s="2923">
        <f t="shared" ref="AD406:AN406" si="602">AVERAGE(AC351:AD351)*AD453</f>
        <v>20.545000000000002</v>
      </c>
      <c r="AE406" s="2923">
        <f t="shared" si="602"/>
        <v>20.545000000000002</v>
      </c>
      <c r="AF406" s="2923">
        <f t="shared" si="602"/>
        <v>20.545000000000002</v>
      </c>
      <c r="AG406" s="2923">
        <f t="shared" si="602"/>
        <v>20.545000000000002</v>
      </c>
      <c r="AH406" s="2923">
        <f t="shared" si="602"/>
        <v>20.545000000000002</v>
      </c>
      <c r="AI406" s="2923">
        <f t="shared" si="602"/>
        <v>20.545000000000002</v>
      </c>
      <c r="AJ406" s="2923">
        <f t="shared" si="602"/>
        <v>20.545000000000002</v>
      </c>
      <c r="AK406" s="2923">
        <f t="shared" si="602"/>
        <v>10.272500000000001</v>
      </c>
      <c r="AL406" s="1368">
        <f t="shared" si="602"/>
        <v>0</v>
      </c>
      <c r="AM406" s="1368">
        <f t="shared" si="602"/>
        <v>0</v>
      </c>
      <c r="AN406" s="1368">
        <f t="shared" si="602"/>
        <v>0</v>
      </c>
      <c r="AO406" s="2240"/>
      <c r="AP406" s="2240"/>
      <c r="AQ406" s="2240"/>
      <c r="AR406" s="2240"/>
      <c r="AS406" s="192"/>
      <c r="AT406" s="49"/>
      <c r="AU406" s="95"/>
      <c r="AV406" s="4"/>
      <c r="AW406" s="89"/>
      <c r="AX406" s="89"/>
      <c r="AY406" s="89"/>
      <c r="AZ406" s="89"/>
      <c r="BA406" s="89"/>
      <c r="BB406" s="89"/>
      <c r="BC406" s="89"/>
      <c r="BD406" s="89"/>
      <c r="BE406" s="89"/>
      <c r="BF406" s="89"/>
      <c r="BG406" s="89"/>
      <c r="BH406" s="98"/>
      <c r="BI406" s="89"/>
      <c r="BJ406" s="89"/>
      <c r="BK406" s="89"/>
      <c r="BL406" s="89"/>
      <c r="BM406" s="89"/>
      <c r="BN406" s="89"/>
      <c r="BO406" s="89"/>
      <c r="BP406" s="89"/>
      <c r="BQ406" s="89"/>
      <c r="BR406" s="89"/>
      <c r="BS406" s="89"/>
      <c r="BT406" s="89"/>
      <c r="BU406" s="89"/>
      <c r="BV406" s="89"/>
      <c r="BW406" s="89"/>
      <c r="BX406" s="89"/>
      <c r="BY406" s="89"/>
      <c r="BZ406" s="89"/>
      <c r="CA406" s="89"/>
      <c r="CB406" s="89"/>
      <c r="CC406" s="89"/>
      <c r="CD406" s="89"/>
      <c r="CE406" s="89"/>
      <c r="CF406" s="89"/>
      <c r="CG406" s="89"/>
      <c r="CH406" s="89"/>
      <c r="CI406" s="89"/>
      <c r="CJ406" s="89"/>
      <c r="CK406" s="89"/>
      <c r="CL406" s="89"/>
      <c r="CM406" s="89"/>
      <c r="CN406" s="89"/>
      <c r="CO406" s="98"/>
      <c r="CP406" s="98"/>
      <c r="CQ406" s="98"/>
      <c r="CR406" s="98"/>
      <c r="CS406" s="98"/>
      <c r="CT406" s="49">
        <v>0</v>
      </c>
      <c r="CU406" s="49">
        <v>0</v>
      </c>
      <c r="CV406" s="49">
        <v>0</v>
      </c>
      <c r="CW406" s="1540">
        <f>+W406-SUM(CT406:CV406)</f>
        <v>0</v>
      </c>
      <c r="CX406" s="53">
        <f>+W406-SUM(CT406:CW406)</f>
        <v>0</v>
      </c>
      <c r="CY406" s="1558">
        <f t="shared" si="588"/>
        <v>5.1187500000000004</v>
      </c>
      <c r="CZ406" s="1558">
        <f t="shared" si="588"/>
        <v>5.1187500000000004</v>
      </c>
      <c r="DA406" s="1558">
        <f t="shared" si="588"/>
        <v>5.1187500000000004</v>
      </c>
      <c r="DB406" s="1558">
        <f t="shared" si="588"/>
        <v>5.1187500000000004</v>
      </c>
      <c r="DC406" s="2926">
        <f t="shared" si="540"/>
        <v>0</v>
      </c>
      <c r="DD406" s="1558">
        <f t="shared" si="549"/>
        <v>5.1275000000000004</v>
      </c>
      <c r="DE406" s="1558">
        <f t="shared" si="550"/>
        <v>5.1275000000000004</v>
      </c>
      <c r="DF406" s="1558">
        <f t="shared" si="551"/>
        <v>5.1275000000000004</v>
      </c>
      <c r="DG406" s="1558">
        <f t="shared" si="541"/>
        <v>5.1275000000000004</v>
      </c>
      <c r="DH406" s="2926">
        <f t="shared" si="552"/>
        <v>0</v>
      </c>
      <c r="DI406" s="2927">
        <f t="shared" si="582"/>
        <v>5.1362500000000004</v>
      </c>
      <c r="DJ406" s="2927">
        <f t="shared" si="582"/>
        <v>5.1362500000000004</v>
      </c>
      <c r="DK406" s="2927">
        <f t="shared" si="582"/>
        <v>5.1362500000000004</v>
      </c>
      <c r="DL406" s="2927">
        <f t="shared" si="582"/>
        <v>5.1362500000000004</v>
      </c>
      <c r="DM406" s="2926">
        <f t="shared" si="554"/>
        <v>0</v>
      </c>
      <c r="DN406" s="2927">
        <f t="shared" si="555"/>
        <v>5.1362500000000004</v>
      </c>
      <c r="DO406" s="2927">
        <f t="shared" si="555"/>
        <v>5.1362500000000004</v>
      </c>
      <c r="DP406" s="2927">
        <f t="shared" si="555"/>
        <v>5.1362500000000004</v>
      </c>
      <c r="DQ406" s="2927">
        <f t="shared" si="555"/>
        <v>5.1362500000000004</v>
      </c>
      <c r="DR406" s="2926">
        <f t="shared" si="544"/>
        <v>0</v>
      </c>
    </row>
    <row r="407" spans="1:122">
      <c r="A407" s="1536" t="str">
        <f t="shared" si="593"/>
        <v>4.6% Senior notes due 2045</v>
      </c>
      <c r="B407" s="1562"/>
      <c r="C407" s="1562"/>
      <c r="D407" s="1562"/>
      <c r="E407" s="1562"/>
      <c r="F407" s="1562"/>
      <c r="G407" s="1562"/>
      <c r="H407" s="1562"/>
      <c r="I407" s="1562"/>
      <c r="J407" s="1563"/>
      <c r="K407" s="1537"/>
      <c r="L407" s="1537"/>
      <c r="M407" s="1537"/>
      <c r="N407" s="1537"/>
      <c r="O407" s="1539"/>
      <c r="P407" s="1537"/>
      <c r="Q407" s="1537"/>
      <c r="R407" s="1537"/>
      <c r="S407" s="1537"/>
      <c r="T407" s="1537"/>
      <c r="U407" s="1537"/>
      <c r="V407" s="1537"/>
      <c r="W407" s="1537"/>
      <c r="X407" s="1537"/>
      <c r="Y407" s="1537"/>
      <c r="Z407" s="192">
        <f>AVERAGE(Y352:Z352)*Z454</f>
        <v>27.001999999999999</v>
      </c>
      <c r="AA407" s="192">
        <f>AVERAGE(Z352:AA352)*AA454</f>
        <v>27.001999999999999</v>
      </c>
      <c r="AB407" s="2923"/>
      <c r="AC407" s="2923">
        <f t="shared" si="599"/>
        <v>27.001999999999999</v>
      </c>
      <c r="AD407" s="2923">
        <f t="shared" ref="AD407:AN407" si="603">AVERAGE(AC352:AD352)*AD454</f>
        <v>27.001999999999999</v>
      </c>
      <c r="AE407" s="2923">
        <f t="shared" si="603"/>
        <v>27.001999999999999</v>
      </c>
      <c r="AF407" s="2923">
        <f t="shared" si="603"/>
        <v>27.001999999999999</v>
      </c>
      <c r="AG407" s="2923">
        <f t="shared" si="603"/>
        <v>27.001999999999999</v>
      </c>
      <c r="AH407" s="2923">
        <f t="shared" si="603"/>
        <v>27.001999999999999</v>
      </c>
      <c r="AI407" s="2923">
        <f t="shared" si="603"/>
        <v>27.001999999999999</v>
      </c>
      <c r="AJ407" s="2923">
        <f t="shared" si="603"/>
        <v>27.001999999999999</v>
      </c>
      <c r="AK407" s="2923">
        <f t="shared" si="603"/>
        <v>27.001999999999999</v>
      </c>
      <c r="AL407" s="1368">
        <f t="shared" si="603"/>
        <v>27.001999999999999</v>
      </c>
      <c r="AM407" s="1368">
        <f t="shared" si="603"/>
        <v>27.001999999999999</v>
      </c>
      <c r="AN407" s="1368">
        <f t="shared" si="603"/>
        <v>27.001999999999999</v>
      </c>
      <c r="AO407" s="2240"/>
      <c r="AP407" s="2240"/>
      <c r="AQ407" s="2240"/>
      <c r="AR407" s="2240"/>
      <c r="AS407" s="192"/>
      <c r="AT407" s="49"/>
      <c r="AU407" s="95"/>
      <c r="AV407" s="4"/>
      <c r="AW407" s="89"/>
      <c r="AX407" s="89"/>
      <c r="AY407" s="89"/>
      <c r="AZ407" s="89"/>
      <c r="BA407" s="89"/>
      <c r="BB407" s="89"/>
      <c r="BC407" s="89"/>
      <c r="BD407" s="89"/>
      <c r="BE407" s="89"/>
      <c r="BF407" s="89"/>
      <c r="BG407" s="89"/>
      <c r="BH407" s="98"/>
      <c r="BI407" s="89"/>
      <c r="BJ407" s="89"/>
      <c r="BK407" s="89"/>
      <c r="BL407" s="89"/>
      <c r="BM407" s="89"/>
      <c r="BN407" s="89"/>
      <c r="BO407" s="89"/>
      <c r="BP407" s="89"/>
      <c r="BQ407" s="89"/>
      <c r="BR407" s="89"/>
      <c r="BS407" s="89"/>
      <c r="BT407" s="89"/>
      <c r="BU407" s="89"/>
      <c r="BV407" s="89"/>
      <c r="BW407" s="89"/>
      <c r="BX407" s="89"/>
      <c r="BY407" s="89"/>
      <c r="BZ407" s="89"/>
      <c r="CA407" s="89"/>
      <c r="CB407" s="89"/>
      <c r="CC407" s="89"/>
      <c r="CD407" s="89"/>
      <c r="CE407" s="89"/>
      <c r="CF407" s="89"/>
      <c r="CG407" s="89"/>
      <c r="CH407" s="89"/>
      <c r="CI407" s="89"/>
      <c r="CJ407" s="89"/>
      <c r="CK407" s="89"/>
      <c r="CL407" s="89"/>
      <c r="CM407" s="89"/>
      <c r="CN407" s="89"/>
      <c r="CO407" s="98"/>
      <c r="CP407" s="98"/>
      <c r="CQ407" s="98"/>
      <c r="CR407" s="98"/>
      <c r="CS407" s="98"/>
      <c r="CT407" s="49">
        <v>0</v>
      </c>
      <c r="CU407" s="49">
        <v>0</v>
      </c>
      <c r="CV407" s="49">
        <v>0</v>
      </c>
      <c r="CW407" s="1540">
        <f>+W407-SUM(CT407:CV407)</f>
        <v>0</v>
      </c>
      <c r="CX407" s="53">
        <f>+W407-SUM(CT407:CW407)</f>
        <v>0</v>
      </c>
      <c r="CY407" s="1558">
        <f t="shared" si="588"/>
        <v>6.7504999999999997</v>
      </c>
      <c r="CZ407" s="1558">
        <f t="shared" si="588"/>
        <v>6.7504999999999997</v>
      </c>
      <c r="DA407" s="1558">
        <f t="shared" si="588"/>
        <v>6.7504999999999997</v>
      </c>
      <c r="DB407" s="1558">
        <f t="shared" si="588"/>
        <v>6.7504999999999997</v>
      </c>
      <c r="DC407" s="2926">
        <f t="shared" si="540"/>
        <v>0</v>
      </c>
      <c r="DD407" s="1558">
        <f t="shared" si="549"/>
        <v>6.7504999999999997</v>
      </c>
      <c r="DE407" s="1558">
        <f t="shared" si="550"/>
        <v>6.7504999999999997</v>
      </c>
      <c r="DF407" s="1558">
        <f t="shared" si="551"/>
        <v>6.7504999999999997</v>
      </c>
      <c r="DG407" s="1558">
        <f t="shared" si="541"/>
        <v>6.7504999999999997</v>
      </c>
      <c r="DH407" s="2926">
        <f t="shared" si="552"/>
        <v>0</v>
      </c>
      <c r="DI407" s="2927">
        <f t="shared" si="582"/>
        <v>6.7504999999999997</v>
      </c>
      <c r="DJ407" s="2927">
        <f t="shared" si="582"/>
        <v>6.7504999999999997</v>
      </c>
      <c r="DK407" s="2927">
        <f t="shared" si="582"/>
        <v>6.7504999999999997</v>
      </c>
      <c r="DL407" s="2927">
        <f t="shared" si="582"/>
        <v>6.7504999999999997</v>
      </c>
      <c r="DM407" s="2926">
        <f t="shared" si="554"/>
        <v>0</v>
      </c>
      <c r="DN407" s="2927">
        <f t="shared" si="555"/>
        <v>6.7504999999999997</v>
      </c>
      <c r="DO407" s="2927">
        <f t="shared" si="555"/>
        <v>6.7504999999999997</v>
      </c>
      <c r="DP407" s="2927">
        <f t="shared" si="555"/>
        <v>6.7504999999999997</v>
      </c>
      <c r="DQ407" s="2927">
        <f t="shared" si="555"/>
        <v>6.7504999999999997</v>
      </c>
      <c r="DR407" s="2926">
        <f t="shared" si="544"/>
        <v>0</v>
      </c>
    </row>
    <row r="408" spans="1:122">
      <c r="A408" s="1536" t="str">
        <f t="shared" si="593"/>
        <v>4.0% Senior notes due 2026</v>
      </c>
      <c r="B408" s="1562"/>
      <c r="C408" s="1562"/>
      <c r="D408" s="1562"/>
      <c r="E408" s="1562"/>
      <c r="F408" s="1562"/>
      <c r="G408" s="1562"/>
      <c r="H408" s="1562"/>
      <c r="I408" s="1562"/>
      <c r="J408" s="1563"/>
      <c r="K408" s="1537"/>
      <c r="L408" s="1537"/>
      <c r="M408" s="1537"/>
      <c r="N408" s="1537"/>
      <c r="O408" s="1539"/>
      <c r="P408" s="1537"/>
      <c r="Q408" s="1537"/>
      <c r="R408" s="1537"/>
      <c r="S408" s="1537"/>
      <c r="T408" s="1537"/>
      <c r="U408" s="1537"/>
      <c r="V408" s="1537"/>
      <c r="W408" s="1537"/>
      <c r="X408" s="1537"/>
      <c r="Y408" s="1537"/>
      <c r="Z408" s="194">
        <f>AVERAGE(Y353:Z353)*Z455*0.5</f>
        <v>15.620000000000001</v>
      </c>
      <c r="AA408" s="192">
        <f t="shared" ref="AA408:AN408" si="604">AVERAGE(Z353:AA353)*AA455</f>
        <v>31.28</v>
      </c>
      <c r="AB408" s="2923"/>
      <c r="AC408" s="2923">
        <f t="shared" si="599"/>
        <v>31.32</v>
      </c>
      <c r="AD408" s="2923">
        <f t="shared" si="604"/>
        <v>31.32</v>
      </c>
      <c r="AE408" s="2923">
        <f t="shared" si="604"/>
        <v>31.32</v>
      </c>
      <c r="AF408" s="2923">
        <f t="shared" si="604"/>
        <v>31.32</v>
      </c>
      <c r="AG408" s="2923">
        <f t="shared" si="604"/>
        <v>31.32</v>
      </c>
      <c r="AH408" s="2923">
        <f t="shared" si="604"/>
        <v>31.32</v>
      </c>
      <c r="AI408" s="2923">
        <f t="shared" si="604"/>
        <v>31.32</v>
      </c>
      <c r="AJ408" s="2923">
        <f t="shared" si="604"/>
        <v>31.32</v>
      </c>
      <c r="AK408" s="2923">
        <f t="shared" si="604"/>
        <v>31.32</v>
      </c>
      <c r="AL408" s="1368">
        <f t="shared" si="604"/>
        <v>15.66</v>
      </c>
      <c r="AM408" s="1368">
        <f t="shared" si="604"/>
        <v>0</v>
      </c>
      <c r="AN408" s="1368">
        <f t="shared" si="604"/>
        <v>0</v>
      </c>
      <c r="AO408" s="2240"/>
      <c r="AP408" s="2240"/>
      <c r="AQ408" s="2240"/>
      <c r="AR408" s="2240"/>
      <c r="AS408" s="192"/>
      <c r="AT408" s="49"/>
      <c r="AU408" s="95"/>
      <c r="AV408" s="4"/>
      <c r="AW408" s="89"/>
      <c r="AX408" s="89"/>
      <c r="AY408" s="89"/>
      <c r="AZ408" s="89"/>
      <c r="BA408" s="89"/>
      <c r="BB408" s="89"/>
      <c r="BC408" s="89"/>
      <c r="BD408" s="89"/>
      <c r="BE408" s="89"/>
      <c r="BF408" s="89"/>
      <c r="BG408" s="89"/>
      <c r="BH408" s="98"/>
      <c r="BI408" s="89"/>
      <c r="BJ408" s="89"/>
      <c r="BK408" s="89"/>
      <c r="BL408" s="89"/>
      <c r="BM408" s="89"/>
      <c r="BN408" s="89"/>
      <c r="BO408" s="89"/>
      <c r="BP408" s="89"/>
      <c r="BQ408" s="89"/>
      <c r="BR408" s="89"/>
      <c r="BS408" s="89"/>
      <c r="BT408" s="89"/>
      <c r="BU408" s="89"/>
      <c r="BV408" s="89"/>
      <c r="BW408" s="89"/>
      <c r="BX408" s="89"/>
      <c r="BY408" s="89"/>
      <c r="BZ408" s="89"/>
      <c r="CA408" s="89"/>
      <c r="CB408" s="89"/>
      <c r="CC408" s="89"/>
      <c r="CD408" s="89"/>
      <c r="CE408" s="89"/>
      <c r="CF408" s="89"/>
      <c r="CG408" s="89"/>
      <c r="CH408" s="89"/>
      <c r="CI408" s="89"/>
      <c r="CJ408" s="89"/>
      <c r="CK408" s="89"/>
      <c r="CL408" s="89"/>
      <c r="CM408" s="89"/>
      <c r="CN408" s="89"/>
      <c r="CO408" s="98"/>
      <c r="CP408" s="98"/>
      <c r="CQ408" s="98"/>
      <c r="CR408" s="98"/>
      <c r="CS408" s="98"/>
      <c r="CT408" s="49">
        <v>0</v>
      </c>
      <c r="CU408" s="49">
        <v>0</v>
      </c>
      <c r="CV408" s="49">
        <v>0</v>
      </c>
      <c r="CW408" s="1540">
        <f>+W408-SUM(CT408:CV408)</f>
        <v>0</v>
      </c>
      <c r="CX408" s="53">
        <f>+W408-SUM(CT408:CW408)</f>
        <v>0</v>
      </c>
      <c r="CY408" s="1558">
        <f t="shared" si="588"/>
        <v>3.9050000000000002</v>
      </c>
      <c r="CZ408" s="1558">
        <f t="shared" si="588"/>
        <v>3.9050000000000002</v>
      </c>
      <c r="DA408" s="1558">
        <f t="shared" si="588"/>
        <v>3.9050000000000002</v>
      </c>
      <c r="DB408" s="1558">
        <f t="shared" si="588"/>
        <v>3.9050000000000002</v>
      </c>
      <c r="DC408" s="2926">
        <f t="shared" si="540"/>
        <v>0</v>
      </c>
      <c r="DD408" s="1558">
        <f t="shared" si="549"/>
        <v>7.82</v>
      </c>
      <c r="DE408" s="1558">
        <f t="shared" si="550"/>
        <v>7.82</v>
      </c>
      <c r="DF408" s="1558">
        <f t="shared" si="551"/>
        <v>7.82</v>
      </c>
      <c r="DG408" s="1558">
        <f t="shared" si="541"/>
        <v>7.82</v>
      </c>
      <c r="DH408" s="2926">
        <f t="shared" si="552"/>
        <v>0</v>
      </c>
      <c r="DI408" s="2927">
        <f t="shared" si="582"/>
        <v>7.83</v>
      </c>
      <c r="DJ408" s="2927">
        <f t="shared" si="582"/>
        <v>7.83</v>
      </c>
      <c r="DK408" s="2927">
        <f t="shared" si="582"/>
        <v>7.83</v>
      </c>
      <c r="DL408" s="2927">
        <f t="shared" si="582"/>
        <v>7.83</v>
      </c>
      <c r="DM408" s="2926">
        <f t="shared" si="554"/>
        <v>0</v>
      </c>
      <c r="DN408" s="2927">
        <f t="shared" si="555"/>
        <v>7.83</v>
      </c>
      <c r="DO408" s="2927">
        <f t="shared" si="555"/>
        <v>7.83</v>
      </c>
      <c r="DP408" s="2927">
        <f t="shared" si="555"/>
        <v>7.83</v>
      </c>
      <c r="DQ408" s="2927">
        <f t="shared" si="555"/>
        <v>7.83</v>
      </c>
      <c r="DR408" s="2926">
        <f t="shared" si="544"/>
        <v>0</v>
      </c>
    </row>
    <row r="409" spans="1:122">
      <c r="A409" s="1365" t="str">
        <f t="shared" si="593"/>
        <v>2.9% Senior notes due 2027</v>
      </c>
      <c r="B409" s="1366"/>
      <c r="C409" s="1366"/>
      <c r="D409" s="1366"/>
      <c r="E409" s="1366"/>
      <c r="F409" s="1366"/>
      <c r="G409" s="1366"/>
      <c r="H409" s="1366"/>
      <c r="I409" s="1366"/>
      <c r="J409" s="1367"/>
      <c r="K409" s="1368"/>
      <c r="L409" s="1368"/>
      <c r="M409" s="1368"/>
      <c r="N409" s="1368"/>
      <c r="O409" s="1369"/>
      <c r="P409" s="1368"/>
      <c r="Q409" s="1368"/>
      <c r="R409" s="1368"/>
      <c r="S409" s="1368"/>
      <c r="T409" s="1368"/>
      <c r="U409" s="1368"/>
      <c r="V409" s="1368"/>
      <c r="W409" s="1368"/>
      <c r="X409" s="1368"/>
      <c r="Y409" s="1368"/>
      <c r="Z409" s="2923"/>
      <c r="AA409" s="2922">
        <f>AVERAGE(Z354:AA354)*AA456*0.5</f>
        <v>9.9035000000000011</v>
      </c>
      <c r="AB409" s="2923"/>
      <c r="AC409" s="2923">
        <f t="shared" si="599"/>
        <v>19.807000000000002</v>
      </c>
      <c r="AD409" s="2923">
        <f t="shared" ref="AD409:AL409" si="605">AVERAGE(AC354:AD354)*AD456</f>
        <v>19.807000000000002</v>
      </c>
      <c r="AE409" s="2923">
        <f t="shared" si="605"/>
        <v>19.807000000000002</v>
      </c>
      <c r="AF409" s="2923">
        <f t="shared" si="605"/>
        <v>19.807000000000002</v>
      </c>
      <c r="AG409" s="2923">
        <f t="shared" si="605"/>
        <v>19.807000000000002</v>
      </c>
      <c r="AH409" s="2923">
        <f t="shared" si="605"/>
        <v>19.807000000000002</v>
      </c>
      <c r="AI409" s="2923">
        <f t="shared" si="605"/>
        <v>19.807000000000002</v>
      </c>
      <c r="AJ409" s="2923">
        <f t="shared" si="605"/>
        <v>19.807000000000002</v>
      </c>
      <c r="AK409" s="2923">
        <f t="shared" si="605"/>
        <v>19.807000000000002</v>
      </c>
      <c r="AL409" s="1368">
        <f t="shared" si="605"/>
        <v>19.807000000000002</v>
      </c>
      <c r="AM409" s="1368">
        <f>AVERAGE(AL354:AM354)*AM456</f>
        <v>9.9035000000000011</v>
      </c>
      <c r="AN409" s="1368">
        <f>AVERAGE(AM354:AN354)*AN456</f>
        <v>0</v>
      </c>
      <c r="AO409" s="2240"/>
      <c r="AP409" s="2240"/>
      <c r="AQ409" s="2240"/>
      <c r="AR409" s="2240"/>
      <c r="AS409" s="192"/>
      <c r="AT409" s="49"/>
      <c r="AU409" s="95"/>
      <c r="AV409" s="4"/>
      <c r="AW409" s="89"/>
      <c r="AX409" s="89"/>
      <c r="AY409" s="89"/>
      <c r="AZ409" s="89"/>
      <c r="BA409" s="89"/>
      <c r="BB409" s="89"/>
      <c r="BC409" s="89"/>
      <c r="BD409" s="89"/>
      <c r="BE409" s="89"/>
      <c r="BF409" s="89"/>
      <c r="BG409" s="89"/>
      <c r="BH409" s="98"/>
      <c r="BI409" s="89"/>
      <c r="BJ409" s="89"/>
      <c r="BK409" s="89"/>
      <c r="BL409" s="89"/>
      <c r="BM409" s="89"/>
      <c r="BN409" s="89"/>
      <c r="BO409" s="89"/>
      <c r="BP409" s="89"/>
      <c r="BQ409" s="89"/>
      <c r="BR409" s="89"/>
      <c r="BS409" s="89"/>
      <c r="BT409" s="89"/>
      <c r="BU409" s="89"/>
      <c r="BV409" s="89"/>
      <c r="BW409" s="89"/>
      <c r="BX409" s="89"/>
      <c r="BY409" s="89"/>
      <c r="BZ409" s="89"/>
      <c r="CA409" s="89"/>
      <c r="CB409" s="89"/>
      <c r="CC409" s="89"/>
      <c r="CD409" s="89"/>
      <c r="CE409" s="89"/>
      <c r="CF409" s="89"/>
      <c r="CG409" s="89"/>
      <c r="CH409" s="89"/>
      <c r="CI409" s="89"/>
      <c r="CJ409" s="89"/>
      <c r="CK409" s="89"/>
      <c r="CL409" s="89"/>
      <c r="CM409" s="89"/>
      <c r="CN409" s="89"/>
      <c r="CO409" s="98"/>
      <c r="CP409" s="98"/>
      <c r="CQ409" s="98"/>
      <c r="CR409" s="98"/>
      <c r="CS409" s="98"/>
      <c r="CT409" s="49">
        <v>0</v>
      </c>
      <c r="CU409" s="49">
        <v>0</v>
      </c>
      <c r="CV409" s="49">
        <v>0</v>
      </c>
      <c r="CW409" s="1540">
        <f>+W409-SUM(CT409:CV409)</f>
        <v>0</v>
      </c>
      <c r="CX409" s="53">
        <f>+W409-SUM(CT409:CW409)</f>
        <v>0</v>
      </c>
      <c r="CY409" s="1558">
        <f t="shared" si="588"/>
        <v>0</v>
      </c>
      <c r="CZ409" s="1558">
        <f t="shared" si="588"/>
        <v>0</v>
      </c>
      <c r="DA409" s="1558">
        <f t="shared" si="588"/>
        <v>0</v>
      </c>
      <c r="DB409" s="1558">
        <f t="shared" si="588"/>
        <v>0</v>
      </c>
      <c r="DC409" s="2926">
        <f t="shared" si="540"/>
        <v>0</v>
      </c>
      <c r="DD409" s="1558">
        <v>0</v>
      </c>
      <c r="DE409" s="1558">
        <v>0</v>
      </c>
      <c r="DF409" s="1558">
        <f>AA409*0.5</f>
        <v>4.9517500000000005</v>
      </c>
      <c r="DG409" s="1558">
        <f>AA409*0.5</f>
        <v>4.9517500000000005</v>
      </c>
      <c r="DH409" s="2926">
        <f t="shared" si="552"/>
        <v>0</v>
      </c>
      <c r="DI409" s="2927">
        <f t="shared" si="582"/>
        <v>4.9517500000000005</v>
      </c>
      <c r="DJ409" s="2927">
        <f t="shared" si="582"/>
        <v>4.9517500000000005</v>
      </c>
      <c r="DK409" s="2927">
        <f t="shared" si="582"/>
        <v>4.9517500000000005</v>
      </c>
      <c r="DL409" s="2927">
        <f t="shared" si="582"/>
        <v>4.9517500000000005</v>
      </c>
      <c r="DM409" s="2926">
        <f t="shared" si="554"/>
        <v>0</v>
      </c>
      <c r="DN409" s="2927">
        <f t="shared" si="555"/>
        <v>4.9517500000000005</v>
      </c>
      <c r="DO409" s="2927">
        <f t="shared" si="555"/>
        <v>4.9517500000000005</v>
      </c>
      <c r="DP409" s="2927">
        <f t="shared" si="555"/>
        <v>4.9517500000000005</v>
      </c>
      <c r="DQ409" s="2927">
        <f t="shared" si="555"/>
        <v>4.9517500000000005</v>
      </c>
      <c r="DR409" s="2926">
        <f t="shared" si="544"/>
        <v>0</v>
      </c>
    </row>
    <row r="410" spans="1:122">
      <c r="A410" s="1365" t="str">
        <f t="shared" si="593"/>
        <v>2.5% Senior noted due 2023</v>
      </c>
      <c r="B410" s="1366"/>
      <c r="C410" s="1366"/>
      <c r="D410" s="1366"/>
      <c r="E410" s="1366"/>
      <c r="F410" s="1366"/>
      <c r="G410" s="1366"/>
      <c r="H410" s="1366"/>
      <c r="I410" s="1366"/>
      <c r="J410" s="1367"/>
      <c r="K410" s="1368"/>
      <c r="L410" s="1368"/>
      <c r="M410" s="1368"/>
      <c r="N410" s="1368"/>
      <c r="O410" s="1369"/>
      <c r="P410" s="1368"/>
      <c r="Q410" s="1368"/>
      <c r="R410" s="1368"/>
      <c r="S410" s="1368"/>
      <c r="T410" s="1368"/>
      <c r="U410" s="1368"/>
      <c r="V410" s="1368"/>
      <c r="W410" s="1368"/>
      <c r="X410" s="1368"/>
      <c r="Y410" s="1368"/>
      <c r="Z410" s="2923"/>
      <c r="AA410" s="2922"/>
      <c r="AB410" s="2923"/>
      <c r="AC410" s="2922">
        <f>AVERAGE(AA355,AC355)*AC457</f>
        <v>5</v>
      </c>
      <c r="AD410" s="2923">
        <f t="shared" ref="AD410:AN410" si="606">AVERAGE(AC355:AD355)*AD457</f>
        <v>10</v>
      </c>
      <c r="AE410" s="2923">
        <f t="shared" si="606"/>
        <v>10</v>
      </c>
      <c r="AF410" s="2923">
        <f t="shared" si="606"/>
        <v>10</v>
      </c>
      <c r="AG410" s="2923">
        <f t="shared" si="606"/>
        <v>10</v>
      </c>
      <c r="AH410" s="2923">
        <f t="shared" si="606"/>
        <v>10</v>
      </c>
      <c r="AI410" s="2923">
        <f t="shared" si="606"/>
        <v>5</v>
      </c>
      <c r="AJ410" s="2923">
        <f t="shared" si="606"/>
        <v>0</v>
      </c>
      <c r="AK410" s="2923">
        <f t="shared" si="606"/>
        <v>0</v>
      </c>
      <c r="AL410" s="1368">
        <f t="shared" si="606"/>
        <v>0</v>
      </c>
      <c r="AM410" s="1368">
        <f t="shared" si="606"/>
        <v>0</v>
      </c>
      <c r="AN410" s="1368">
        <f t="shared" si="606"/>
        <v>0</v>
      </c>
      <c r="AO410" s="2240"/>
      <c r="AP410" s="2240"/>
      <c r="AQ410" s="2240"/>
      <c r="AR410" s="2240"/>
      <c r="AS410" s="1368"/>
      <c r="AT410" s="1366"/>
      <c r="AU410" s="1690"/>
      <c r="AV410" s="1690"/>
      <c r="AW410" s="1689"/>
      <c r="AX410" s="1689"/>
      <c r="AY410" s="1689"/>
      <c r="AZ410" s="1689"/>
      <c r="BA410" s="1689"/>
      <c r="BB410" s="1689"/>
      <c r="BC410" s="1689"/>
      <c r="BD410" s="1689"/>
      <c r="BE410" s="1689"/>
      <c r="BF410" s="1689"/>
      <c r="BG410" s="1689"/>
      <c r="BH410" s="1689"/>
      <c r="BI410" s="1689"/>
      <c r="BJ410" s="1689"/>
      <c r="BK410" s="1689"/>
      <c r="BL410" s="1689"/>
      <c r="BM410" s="1689"/>
      <c r="BN410" s="1689"/>
      <c r="BO410" s="1689"/>
      <c r="BP410" s="1689"/>
      <c r="BQ410" s="1689"/>
      <c r="BR410" s="1689"/>
      <c r="BS410" s="1689"/>
      <c r="BT410" s="1689"/>
      <c r="BU410" s="1689"/>
      <c r="BV410" s="1689"/>
      <c r="BW410" s="1689"/>
      <c r="BX410" s="1689"/>
      <c r="BY410" s="1689"/>
      <c r="BZ410" s="1689"/>
      <c r="CA410" s="1689"/>
      <c r="CB410" s="1689"/>
      <c r="CC410" s="1689"/>
      <c r="CD410" s="1689"/>
      <c r="CE410" s="1689"/>
      <c r="CF410" s="1689"/>
      <c r="CG410" s="1689"/>
      <c r="CH410" s="1689"/>
      <c r="CI410" s="1689"/>
      <c r="CJ410" s="1689"/>
      <c r="CK410" s="1689"/>
      <c r="CL410" s="1689"/>
      <c r="CM410" s="1689"/>
      <c r="CN410" s="1689"/>
      <c r="CO410" s="1689"/>
      <c r="CP410" s="1689"/>
      <c r="CQ410" s="1689"/>
      <c r="CR410" s="1689"/>
      <c r="CS410" s="1689"/>
      <c r="CT410" s="1366"/>
      <c r="CU410" s="1366"/>
      <c r="CV410" s="1366"/>
      <c r="CW410" s="2475"/>
      <c r="CX410" s="2047"/>
      <c r="CY410" s="1493"/>
      <c r="CZ410" s="1493"/>
      <c r="DA410" s="1493"/>
      <c r="DB410" s="1493"/>
      <c r="DC410" s="2926"/>
      <c r="DD410" s="1493">
        <v>0</v>
      </c>
      <c r="DE410" s="1493">
        <v>0</v>
      </c>
      <c r="DF410" s="1493">
        <v>0</v>
      </c>
      <c r="DG410" s="1493">
        <f>AA410</f>
        <v>0</v>
      </c>
      <c r="DH410" s="2926">
        <f t="shared" si="552"/>
        <v>0</v>
      </c>
      <c r="DI410" s="3160">
        <v>0</v>
      </c>
      <c r="DJ410" s="3160">
        <v>0</v>
      </c>
      <c r="DK410" s="2927">
        <f>$AC410/2</f>
        <v>2.5</v>
      </c>
      <c r="DL410" s="2927">
        <f>$AC410/2</f>
        <v>2.5</v>
      </c>
      <c r="DM410" s="2926">
        <f t="shared" si="554"/>
        <v>0</v>
      </c>
      <c r="DN410" s="2927">
        <f t="shared" si="555"/>
        <v>2.5</v>
      </c>
      <c r="DO410" s="2927">
        <f t="shared" si="555"/>
        <v>2.5</v>
      </c>
      <c r="DP410" s="2927">
        <f t="shared" si="555"/>
        <v>2.5</v>
      </c>
      <c r="DQ410" s="2927">
        <f t="shared" si="555"/>
        <v>2.5</v>
      </c>
      <c r="DR410" s="2926">
        <f t="shared" si="544"/>
        <v>0</v>
      </c>
    </row>
    <row r="411" spans="1:122">
      <c r="A411" s="1365" t="str">
        <f t="shared" si="593"/>
        <v>3.375% Senior noted due 2028</v>
      </c>
      <c r="B411" s="1366"/>
      <c r="C411" s="1366"/>
      <c r="D411" s="1366"/>
      <c r="E411" s="1366"/>
      <c r="F411" s="1366"/>
      <c r="G411" s="1366"/>
      <c r="H411" s="1366"/>
      <c r="I411" s="1366"/>
      <c r="J411" s="1367"/>
      <c r="K411" s="1368"/>
      <c r="L411" s="1368"/>
      <c r="M411" s="1368"/>
      <c r="N411" s="1368"/>
      <c r="O411" s="1369"/>
      <c r="P411" s="1368"/>
      <c r="Q411" s="1368"/>
      <c r="R411" s="1368">
        <f>AVERAGE(N356:R356)*R458</f>
        <v>0</v>
      </c>
      <c r="S411" s="1368">
        <f>AVERAGE(R356:S356)*S458</f>
        <v>0</v>
      </c>
      <c r="T411" s="1368">
        <f>AVERAGE(S356:T356)*T458</f>
        <v>0</v>
      </c>
      <c r="U411" s="1368">
        <f>AVERAGE(T356:U356)*U458</f>
        <v>0</v>
      </c>
      <c r="V411" s="1368">
        <f>AVERAGE(U356:V356)*V458</f>
        <v>0</v>
      </c>
      <c r="W411" s="1368">
        <f>AVERAGE(V356:W356)*W458</f>
        <v>0</v>
      </c>
      <c r="X411" s="1368"/>
      <c r="Y411" s="1368"/>
      <c r="Z411" s="2923"/>
      <c r="AA411" s="2922"/>
      <c r="AB411" s="2923"/>
      <c r="AC411" s="2922">
        <f>AVERAGE(AA356,AC356)*AC458</f>
        <v>8.4375</v>
      </c>
      <c r="AD411" s="2923">
        <f t="shared" ref="AD411:AN411" si="607">AVERAGE(AC356:AD356)*AD458</f>
        <v>16.875</v>
      </c>
      <c r="AE411" s="2923">
        <f t="shared" si="607"/>
        <v>16.875</v>
      </c>
      <c r="AF411" s="2923">
        <f t="shared" si="607"/>
        <v>16.875</v>
      </c>
      <c r="AG411" s="2923">
        <f t="shared" si="607"/>
        <v>16.875</v>
      </c>
      <c r="AH411" s="2923">
        <f t="shared" si="607"/>
        <v>16.875</v>
      </c>
      <c r="AI411" s="2923">
        <f t="shared" si="607"/>
        <v>16.875</v>
      </c>
      <c r="AJ411" s="2923">
        <f t="shared" si="607"/>
        <v>16.875</v>
      </c>
      <c r="AK411" s="2923">
        <f t="shared" si="607"/>
        <v>16.875</v>
      </c>
      <c r="AL411" s="1368">
        <f t="shared" si="607"/>
        <v>16.875</v>
      </c>
      <c r="AM411" s="1368">
        <f t="shared" si="607"/>
        <v>16.875</v>
      </c>
      <c r="AN411" s="1368">
        <f t="shared" si="607"/>
        <v>8.4375</v>
      </c>
      <c r="AO411" s="2240"/>
      <c r="AP411" s="2240"/>
      <c r="AQ411" s="2240"/>
      <c r="AR411" s="2240"/>
      <c r="AS411" s="1368"/>
      <c r="AT411" s="1366"/>
      <c r="AU411" s="1690"/>
      <c r="AV411" s="1690"/>
      <c r="AW411" s="1689"/>
      <c r="AX411" s="1689"/>
      <c r="AY411" s="1689"/>
      <c r="AZ411" s="1689"/>
      <c r="BA411" s="1689"/>
      <c r="BB411" s="1689"/>
      <c r="BC411" s="1689"/>
      <c r="BD411" s="1689"/>
      <c r="BE411" s="1689"/>
      <c r="BF411" s="1689"/>
      <c r="BG411" s="1689"/>
      <c r="BH411" s="1689"/>
      <c r="BI411" s="1689"/>
      <c r="BJ411" s="1689"/>
      <c r="BK411" s="1689"/>
      <c r="BL411" s="1689"/>
      <c r="BM411" s="1689"/>
      <c r="BN411" s="1689"/>
      <c r="BO411" s="1689"/>
      <c r="BP411" s="1689"/>
      <c r="BQ411" s="1689"/>
      <c r="BR411" s="1689"/>
      <c r="BS411" s="1689"/>
      <c r="BT411" s="1689"/>
      <c r="BU411" s="1689"/>
      <c r="BV411" s="1689"/>
      <c r="BW411" s="1689"/>
      <c r="BX411" s="1689"/>
      <c r="BY411" s="1689"/>
      <c r="BZ411" s="1689"/>
      <c r="CA411" s="1689"/>
      <c r="CB411" s="1689"/>
      <c r="CC411" s="1689"/>
      <c r="CD411" s="1689"/>
      <c r="CE411" s="1689"/>
      <c r="CF411" s="1689"/>
      <c r="CG411" s="1689"/>
      <c r="CH411" s="1689"/>
      <c r="CI411" s="1689"/>
      <c r="CJ411" s="1689"/>
      <c r="CK411" s="1689"/>
      <c r="CL411" s="1689"/>
      <c r="CM411" s="1689"/>
      <c r="CN411" s="1689"/>
      <c r="CO411" s="1689"/>
      <c r="CP411" s="1689"/>
      <c r="CQ411" s="1689"/>
      <c r="CR411" s="1689"/>
      <c r="CS411" s="1689"/>
      <c r="CT411" s="1366">
        <v>0</v>
      </c>
      <c r="CU411" s="1366">
        <v>0</v>
      </c>
      <c r="CV411" s="1366">
        <v>0</v>
      </c>
      <c r="CW411" s="2475">
        <f t="shared" si="557"/>
        <v>0</v>
      </c>
      <c r="CX411" s="2047">
        <f t="shared" si="539"/>
        <v>0</v>
      </c>
      <c r="CY411" s="1493">
        <f t="shared" si="588"/>
        <v>0</v>
      </c>
      <c r="CZ411" s="1493">
        <f t="shared" si="588"/>
        <v>0</v>
      </c>
      <c r="DA411" s="1493">
        <f t="shared" si="588"/>
        <v>0</v>
      </c>
      <c r="DB411" s="1493">
        <f t="shared" si="588"/>
        <v>0</v>
      </c>
      <c r="DC411" s="2926">
        <f t="shared" si="540"/>
        <v>0</v>
      </c>
      <c r="DD411" s="1493">
        <v>0</v>
      </c>
      <c r="DE411" s="1493">
        <v>0</v>
      </c>
      <c r="DF411" s="1493">
        <v>0</v>
      </c>
      <c r="DG411" s="1493">
        <f>AA411</f>
        <v>0</v>
      </c>
      <c r="DH411" s="2926">
        <f t="shared" si="552"/>
        <v>0</v>
      </c>
      <c r="DI411" s="3160">
        <v>0</v>
      </c>
      <c r="DJ411" s="3160">
        <v>0</v>
      </c>
      <c r="DK411" s="2927">
        <f>$AC411/2</f>
        <v>4.21875</v>
      </c>
      <c r="DL411" s="2927">
        <f>$AC411/2</f>
        <v>4.21875</v>
      </c>
      <c r="DM411" s="2926">
        <f t="shared" si="554"/>
        <v>0</v>
      </c>
      <c r="DN411" s="2927">
        <f t="shared" si="555"/>
        <v>4.21875</v>
      </c>
      <c r="DO411" s="2927">
        <f t="shared" si="555"/>
        <v>4.21875</v>
      </c>
      <c r="DP411" s="2927">
        <f t="shared" si="555"/>
        <v>4.21875</v>
      </c>
      <c r="DQ411" s="2927">
        <f t="shared" si="555"/>
        <v>4.21875</v>
      </c>
      <c r="DR411" s="2926">
        <f t="shared" si="544"/>
        <v>0</v>
      </c>
    </row>
    <row r="412" spans="1:122">
      <c r="A412" s="1365" t="str">
        <f t="shared" ref="A412:A415" si="608">A357</f>
        <v>2.90% Senior notes due 2023</v>
      </c>
      <c r="B412" s="1366"/>
      <c r="C412" s="1366"/>
      <c r="D412" s="1366"/>
      <c r="E412" s="1366"/>
      <c r="F412" s="1366"/>
      <c r="G412" s="1366"/>
      <c r="H412" s="1366"/>
      <c r="I412" s="1366"/>
      <c r="J412" s="1367"/>
      <c r="K412" s="1368"/>
      <c r="L412" s="1368"/>
      <c r="M412" s="1368"/>
      <c r="N412" s="1368"/>
      <c r="O412" s="1369"/>
      <c r="P412" s="1368"/>
      <c r="Q412" s="1368"/>
      <c r="R412" s="1368"/>
      <c r="S412" s="1368"/>
      <c r="T412" s="1368"/>
      <c r="U412" s="1368"/>
      <c r="V412" s="1368"/>
      <c r="W412" s="1368"/>
      <c r="X412" s="1368"/>
      <c r="Y412" s="1368"/>
      <c r="Z412" s="2923"/>
      <c r="AA412" s="2922"/>
      <c r="AB412" s="2923"/>
      <c r="AC412" s="2922">
        <f>AC357*AC459*1.5/12</f>
        <v>1.4500000000000002</v>
      </c>
      <c r="AD412" s="2923">
        <f>AVERAGE(AC357:AD357)*AD459</f>
        <v>11.600000000000001</v>
      </c>
      <c r="AE412" s="2923">
        <f t="shared" ref="AE412:AE413" si="609">AVERAGE(AD357:AE357)*AE459</f>
        <v>11.600000000000001</v>
      </c>
      <c r="AF412" s="2923">
        <f t="shared" ref="AF412:AF413" si="610">AVERAGE(AE357:AF357)*AF459</f>
        <v>11.600000000000001</v>
      </c>
      <c r="AG412" s="2923">
        <f t="shared" ref="AG412:AG413" si="611">AVERAGE(AF357:AG357)*AG459</f>
        <v>11.600000000000001</v>
      </c>
      <c r="AH412" s="2923">
        <f t="shared" ref="AH412:AH413" si="612">AVERAGE(AG357:AH357)*AH459</f>
        <v>11.600000000000001</v>
      </c>
      <c r="AI412" s="2923">
        <f t="shared" ref="AI412:AI413" si="613">AVERAGE(AH357:AI357)*AI459</f>
        <v>5.8000000000000007</v>
      </c>
      <c r="AJ412" s="2923">
        <f t="shared" ref="AJ412:AJ413" si="614">AVERAGE(AI357:AJ357)*AJ459</f>
        <v>0</v>
      </c>
      <c r="AK412" s="2923">
        <f t="shared" ref="AK412:AK413" si="615">AVERAGE(AJ357:AK357)*AK459</f>
        <v>0</v>
      </c>
      <c r="AL412" s="1368">
        <f t="shared" ref="AL412:AL413" si="616">AVERAGE(AK357:AL357)*AL459</f>
        <v>0</v>
      </c>
      <c r="AM412" s="1368">
        <f t="shared" ref="AM412:AM413" si="617">AVERAGE(AL357:AM357)*AM459</f>
        <v>0</v>
      </c>
      <c r="AN412" s="1368">
        <f t="shared" ref="AN412:AN413" si="618">AVERAGE(AM357:AN357)*AN459</f>
        <v>0</v>
      </c>
      <c r="AO412" s="2240"/>
      <c r="AP412" s="2240"/>
      <c r="AQ412" s="2240"/>
      <c r="AR412" s="2240"/>
      <c r="AS412" s="1368"/>
      <c r="AT412" s="1366"/>
      <c r="AU412" s="1690"/>
      <c r="AV412" s="1690"/>
      <c r="AW412" s="1689"/>
      <c r="AX412" s="1689"/>
      <c r="AY412" s="1689"/>
      <c r="AZ412" s="1689"/>
      <c r="BA412" s="1689"/>
      <c r="BB412" s="1689"/>
      <c r="BC412" s="1689"/>
      <c r="BD412" s="1689"/>
      <c r="BE412" s="1689"/>
      <c r="BF412" s="1689"/>
      <c r="BG412" s="1689"/>
      <c r="BH412" s="1689"/>
      <c r="BI412" s="1689"/>
      <c r="BJ412" s="1689"/>
      <c r="BK412" s="1689"/>
      <c r="BL412" s="1689"/>
      <c r="BM412" s="1689"/>
      <c r="BN412" s="1689"/>
      <c r="BO412" s="1689"/>
      <c r="BP412" s="1689"/>
      <c r="BQ412" s="1689"/>
      <c r="BR412" s="1689"/>
      <c r="BS412" s="1689"/>
      <c r="BT412" s="1689"/>
      <c r="BU412" s="1689"/>
      <c r="BV412" s="1689"/>
      <c r="BW412" s="1689"/>
      <c r="BX412" s="1689"/>
      <c r="BY412" s="1689"/>
      <c r="BZ412" s="1689"/>
      <c r="CA412" s="1689"/>
      <c r="CB412" s="1689"/>
      <c r="CC412" s="1689"/>
      <c r="CD412" s="1689"/>
      <c r="CE412" s="1689"/>
      <c r="CF412" s="1689"/>
      <c r="CG412" s="1689"/>
      <c r="CH412" s="1689"/>
      <c r="CI412" s="1689"/>
      <c r="CJ412" s="1689"/>
      <c r="CK412" s="1689"/>
      <c r="CL412" s="1689"/>
      <c r="CM412" s="1689"/>
      <c r="CN412" s="1689"/>
      <c r="CO412" s="1689"/>
      <c r="CP412" s="1689"/>
      <c r="CQ412" s="1689"/>
      <c r="CR412" s="1689"/>
      <c r="CS412" s="1689"/>
      <c r="CT412" s="1366"/>
      <c r="CU412" s="1366"/>
      <c r="CV412" s="1366"/>
      <c r="CW412" s="2475"/>
      <c r="CX412" s="2047"/>
      <c r="CY412" s="1493"/>
      <c r="CZ412" s="1493"/>
      <c r="DA412" s="1493"/>
      <c r="DB412" s="1493"/>
      <c r="DC412" s="2926"/>
      <c r="DD412" s="1493"/>
      <c r="DE412" s="1493"/>
      <c r="DF412" s="1493"/>
      <c r="DG412" s="1493"/>
      <c r="DH412" s="2926"/>
      <c r="DI412" s="3160">
        <v>0</v>
      </c>
      <c r="DJ412" s="3160">
        <v>0</v>
      </c>
      <c r="DK412" s="2927">
        <v>0</v>
      </c>
      <c r="DL412" s="2927">
        <f>AC412</f>
        <v>1.4500000000000002</v>
      </c>
      <c r="DM412" s="2926"/>
      <c r="DN412" s="2927">
        <f t="shared" si="555"/>
        <v>2.9000000000000004</v>
      </c>
      <c r="DO412" s="2927">
        <f t="shared" si="555"/>
        <v>2.9000000000000004</v>
      </c>
      <c r="DP412" s="2927">
        <f t="shared" si="555"/>
        <v>2.9000000000000004</v>
      </c>
      <c r="DQ412" s="2927">
        <f t="shared" si="555"/>
        <v>2.9000000000000004</v>
      </c>
      <c r="DR412" s="2926">
        <f t="shared" si="544"/>
        <v>0</v>
      </c>
    </row>
    <row r="413" spans="1:122">
      <c r="A413" s="1365" t="str">
        <f t="shared" si="608"/>
        <v>3.70% Senior notes due 2028</v>
      </c>
      <c r="B413" s="1366"/>
      <c r="C413" s="1366"/>
      <c r="D413" s="1366"/>
      <c r="E413" s="1366"/>
      <c r="F413" s="1366"/>
      <c r="G413" s="1366"/>
      <c r="H413" s="1366"/>
      <c r="I413" s="1366"/>
      <c r="J413" s="1367"/>
      <c r="K413" s="1368"/>
      <c r="L413" s="1368"/>
      <c r="M413" s="1368"/>
      <c r="N413" s="1368"/>
      <c r="O413" s="1369"/>
      <c r="P413" s="1368"/>
      <c r="Q413" s="1368"/>
      <c r="R413" s="1368"/>
      <c r="S413" s="1368"/>
      <c r="T413" s="1368"/>
      <c r="U413" s="1368"/>
      <c r="V413" s="1368"/>
      <c r="W413" s="1368"/>
      <c r="X413" s="1368"/>
      <c r="Y413" s="1368"/>
      <c r="Z413" s="2923"/>
      <c r="AA413" s="2922"/>
      <c r="AB413" s="2923"/>
      <c r="AC413" s="2922">
        <f>AC358*AC460*1.5/12</f>
        <v>2.3125</v>
      </c>
      <c r="AD413" s="2923">
        <f t="shared" ref="AD413" si="619">AVERAGE(AC358:AD358)*AD460</f>
        <v>18.5</v>
      </c>
      <c r="AE413" s="2923">
        <f t="shared" si="609"/>
        <v>18.5</v>
      </c>
      <c r="AF413" s="2923">
        <f t="shared" si="610"/>
        <v>18.5</v>
      </c>
      <c r="AG413" s="2923">
        <f t="shared" si="611"/>
        <v>18.5</v>
      </c>
      <c r="AH413" s="2923">
        <f t="shared" si="612"/>
        <v>18.5</v>
      </c>
      <c r="AI413" s="2923">
        <f t="shared" si="613"/>
        <v>18.5</v>
      </c>
      <c r="AJ413" s="2923">
        <f t="shared" si="614"/>
        <v>18.5</v>
      </c>
      <c r="AK413" s="2923">
        <f t="shared" si="615"/>
        <v>18.5</v>
      </c>
      <c r="AL413" s="1368">
        <f t="shared" si="616"/>
        <v>18.5</v>
      </c>
      <c r="AM413" s="1368">
        <f t="shared" si="617"/>
        <v>18.5</v>
      </c>
      <c r="AN413" s="1368">
        <f t="shared" si="618"/>
        <v>9.25</v>
      </c>
      <c r="AO413" s="2240"/>
      <c r="AP413" s="2240"/>
      <c r="AQ413" s="2240"/>
      <c r="AR413" s="2240"/>
      <c r="AS413" s="1368"/>
      <c r="AT413" s="1366"/>
      <c r="AU413" s="1690"/>
      <c r="AV413" s="1690"/>
      <c r="AW413" s="1689"/>
      <c r="AX413" s="1689"/>
      <c r="AY413" s="1689"/>
      <c r="AZ413" s="1689"/>
      <c r="BA413" s="1689"/>
      <c r="BB413" s="1689"/>
      <c r="BC413" s="1689"/>
      <c r="BD413" s="1689"/>
      <c r="BE413" s="1689"/>
      <c r="BF413" s="1689"/>
      <c r="BG413" s="1689"/>
      <c r="BH413" s="1689"/>
      <c r="BI413" s="1689"/>
      <c r="BJ413" s="1689"/>
      <c r="BK413" s="1689"/>
      <c r="BL413" s="1689"/>
      <c r="BM413" s="1689"/>
      <c r="BN413" s="1689"/>
      <c r="BO413" s="1689"/>
      <c r="BP413" s="1689"/>
      <c r="BQ413" s="1689"/>
      <c r="BR413" s="1689"/>
      <c r="BS413" s="1689"/>
      <c r="BT413" s="1689"/>
      <c r="BU413" s="1689"/>
      <c r="BV413" s="1689"/>
      <c r="BW413" s="1689"/>
      <c r="BX413" s="1689"/>
      <c r="BY413" s="1689"/>
      <c r="BZ413" s="1689"/>
      <c r="CA413" s="1689"/>
      <c r="CB413" s="1689"/>
      <c r="CC413" s="1689"/>
      <c r="CD413" s="1689"/>
      <c r="CE413" s="1689"/>
      <c r="CF413" s="1689"/>
      <c r="CG413" s="1689"/>
      <c r="CH413" s="1689"/>
      <c r="CI413" s="1689"/>
      <c r="CJ413" s="1689"/>
      <c r="CK413" s="1689"/>
      <c r="CL413" s="1689"/>
      <c r="CM413" s="1689"/>
      <c r="CN413" s="1689"/>
      <c r="CO413" s="1689"/>
      <c r="CP413" s="1689"/>
      <c r="CQ413" s="1689"/>
      <c r="CR413" s="1689"/>
      <c r="CS413" s="1689"/>
      <c r="CT413" s="1366"/>
      <c r="CU413" s="1366"/>
      <c r="CV413" s="1366"/>
      <c r="CW413" s="2475"/>
      <c r="CX413" s="2047"/>
      <c r="CY413" s="1493"/>
      <c r="CZ413" s="1493"/>
      <c r="DA413" s="1493"/>
      <c r="DB413" s="1493"/>
      <c r="DC413" s="2926"/>
      <c r="DD413" s="1493"/>
      <c r="DE413" s="1493"/>
      <c r="DF413" s="1493"/>
      <c r="DG413" s="1493"/>
      <c r="DH413" s="2926"/>
      <c r="DI413" s="3160">
        <v>0</v>
      </c>
      <c r="DJ413" s="3160">
        <v>0</v>
      </c>
      <c r="DK413" s="2927">
        <v>0</v>
      </c>
      <c r="DL413" s="2927">
        <f>AC413</f>
        <v>2.3125</v>
      </c>
      <c r="DM413" s="2926"/>
      <c r="DN413" s="2927">
        <f t="shared" si="555"/>
        <v>4.625</v>
      </c>
      <c r="DO413" s="2927">
        <f t="shared" si="555"/>
        <v>4.625</v>
      </c>
      <c r="DP413" s="2927">
        <f t="shared" si="555"/>
        <v>4.625</v>
      </c>
      <c r="DQ413" s="2927">
        <f t="shared" si="555"/>
        <v>4.625</v>
      </c>
      <c r="DR413" s="2926">
        <f t="shared" si="544"/>
        <v>0</v>
      </c>
    </row>
    <row r="414" spans="1:122">
      <c r="A414" s="1365" t="str">
        <f t="shared" si="608"/>
        <v>Other notes</v>
      </c>
      <c r="B414" s="1366"/>
      <c r="C414" s="1366"/>
      <c r="D414" s="1366"/>
      <c r="E414" s="1366"/>
      <c r="F414" s="1366"/>
      <c r="G414" s="1366"/>
      <c r="H414" s="1366"/>
      <c r="I414" s="1366"/>
      <c r="J414" s="1367"/>
      <c r="K414" s="1368"/>
      <c r="L414" s="1368"/>
      <c r="M414" s="1368"/>
      <c r="N414" s="1368"/>
      <c r="O414" s="1369"/>
      <c r="P414" s="1368"/>
      <c r="Q414" s="1368"/>
      <c r="R414" s="1368"/>
      <c r="S414" s="1368"/>
      <c r="T414" s="1368"/>
      <c r="U414" s="1368"/>
      <c r="V414" s="1368"/>
      <c r="W414" s="1368"/>
      <c r="X414" s="1368"/>
      <c r="Y414" s="1368"/>
      <c r="Z414" s="2923"/>
      <c r="AA414" s="2922"/>
      <c r="AB414" s="2923"/>
      <c r="AC414" s="2922">
        <v>0</v>
      </c>
      <c r="AD414" s="2923">
        <f t="shared" ref="AD414" si="620">AVERAGE(AC359:AD359)*AD461</f>
        <v>0</v>
      </c>
      <c r="AE414" s="2923">
        <f t="shared" ref="AE414" si="621">AVERAGE(AD359:AE359)*AE461</f>
        <v>0</v>
      </c>
      <c r="AF414" s="2923">
        <f t="shared" ref="AF414" si="622">AVERAGE(AE359:AF359)*AF461</f>
        <v>0</v>
      </c>
      <c r="AG414" s="2923">
        <f t="shared" ref="AG414" si="623">AVERAGE(AF359:AG359)*AG461</f>
        <v>0</v>
      </c>
      <c r="AH414" s="2923">
        <f t="shared" ref="AH414" si="624">AVERAGE(AG359:AH359)*AH461</f>
        <v>0</v>
      </c>
      <c r="AI414" s="2923">
        <f t="shared" ref="AI414" si="625">AVERAGE(AH359:AI359)*AI461</f>
        <v>0</v>
      </c>
      <c r="AJ414" s="2923">
        <f t="shared" ref="AJ414" si="626">AVERAGE(AI359:AJ359)*AJ461</f>
        <v>0</v>
      </c>
      <c r="AK414" s="2923">
        <f t="shared" ref="AK414" si="627">AVERAGE(AJ359:AK359)*AK461</f>
        <v>0</v>
      </c>
      <c r="AL414" s="1368">
        <f t="shared" ref="AL414" si="628">AVERAGE(AK359:AL359)*AL461</f>
        <v>0</v>
      </c>
      <c r="AM414" s="1368">
        <f t="shared" ref="AM414" si="629">AVERAGE(AL359:AM359)*AM461</f>
        <v>0</v>
      </c>
      <c r="AN414" s="1368">
        <f t="shared" ref="AN414" si="630">AVERAGE(AM359:AN359)*AN461</f>
        <v>0</v>
      </c>
      <c r="AO414" s="2240"/>
      <c r="AP414" s="2240"/>
      <c r="AQ414" s="2240"/>
      <c r="AR414" s="2240"/>
      <c r="AS414" s="1368"/>
      <c r="AT414" s="1366"/>
      <c r="AU414" s="1690"/>
      <c r="AV414" s="1690"/>
      <c r="AW414" s="1689"/>
      <c r="AX414" s="1689"/>
      <c r="AY414" s="1689"/>
      <c r="AZ414" s="1689"/>
      <c r="BA414" s="1689"/>
      <c r="BB414" s="1689"/>
      <c r="BC414" s="1689"/>
      <c r="BD414" s="1689"/>
      <c r="BE414" s="1689"/>
      <c r="BF414" s="1689"/>
      <c r="BG414" s="1689"/>
      <c r="BH414" s="1689"/>
      <c r="BI414" s="1689"/>
      <c r="BJ414" s="1689"/>
      <c r="BK414" s="1689"/>
      <c r="BL414" s="1689"/>
      <c r="BM414" s="1689"/>
      <c r="BN414" s="1689"/>
      <c r="BO414" s="1689"/>
      <c r="BP414" s="1689"/>
      <c r="BQ414" s="1689"/>
      <c r="BR414" s="1689"/>
      <c r="BS414" s="1689"/>
      <c r="BT414" s="1689"/>
      <c r="BU414" s="1689"/>
      <c r="BV414" s="1689"/>
      <c r="BW414" s="1689"/>
      <c r="BX414" s="1689"/>
      <c r="BY414" s="1689"/>
      <c r="BZ414" s="1689"/>
      <c r="CA414" s="1689"/>
      <c r="CB414" s="1689"/>
      <c r="CC414" s="1689"/>
      <c r="CD414" s="1689"/>
      <c r="CE414" s="1689"/>
      <c r="CF414" s="1689"/>
      <c r="CG414" s="1689"/>
      <c r="CH414" s="1689"/>
      <c r="CI414" s="1689"/>
      <c r="CJ414" s="1689"/>
      <c r="CK414" s="1689"/>
      <c r="CL414" s="1689"/>
      <c r="CM414" s="1689"/>
      <c r="CN414" s="1689"/>
      <c r="CO414" s="1689"/>
      <c r="CP414" s="1689"/>
      <c r="CQ414" s="1689"/>
      <c r="CR414" s="1689"/>
      <c r="CS414" s="1689"/>
      <c r="CT414" s="1366"/>
      <c r="CU414" s="1366"/>
      <c r="CV414" s="1366"/>
      <c r="CW414" s="2475"/>
      <c r="CX414" s="2047"/>
      <c r="CY414" s="1493"/>
      <c r="CZ414" s="1493"/>
      <c r="DA414" s="1493"/>
      <c r="DB414" s="1493"/>
      <c r="DC414" s="2926"/>
      <c r="DD414" s="1493"/>
      <c r="DE414" s="1493"/>
      <c r="DF414" s="1493"/>
      <c r="DG414" s="1493"/>
      <c r="DH414" s="2926"/>
      <c r="DI414" s="2927">
        <f t="shared" si="582"/>
        <v>0</v>
      </c>
      <c r="DJ414" s="2927">
        <f t="shared" si="582"/>
        <v>0</v>
      </c>
      <c r="DK414" s="2927">
        <f t="shared" si="582"/>
        <v>0</v>
      </c>
      <c r="DL414" s="2927">
        <f t="shared" si="582"/>
        <v>0</v>
      </c>
      <c r="DM414" s="2926"/>
      <c r="DN414" s="2927">
        <f t="shared" si="555"/>
        <v>0</v>
      </c>
      <c r="DO414" s="2927">
        <f t="shared" si="555"/>
        <v>0</v>
      </c>
      <c r="DP414" s="2927">
        <f t="shared" si="555"/>
        <v>0</v>
      </c>
      <c r="DQ414" s="2927">
        <f t="shared" si="555"/>
        <v>0</v>
      </c>
      <c r="DR414" s="2926">
        <f t="shared" si="544"/>
        <v>0</v>
      </c>
    </row>
    <row r="415" spans="1:122">
      <c r="A415" s="1365" t="str">
        <f t="shared" si="608"/>
        <v>Other notes</v>
      </c>
      <c r="B415" s="48"/>
      <c r="C415" s="48"/>
      <c r="D415" s="48"/>
      <c r="E415" s="48"/>
      <c r="F415" s="48"/>
      <c r="G415" s="48"/>
      <c r="H415" s="48"/>
      <c r="I415" s="48"/>
      <c r="J415" s="197"/>
      <c r="K415" s="192">
        <f t="shared" ref="K415:N416" si="631">AVERAGE(J360:K360)*K462</f>
        <v>0.56700000000001638</v>
      </c>
      <c r="L415" s="192">
        <f t="shared" si="631"/>
        <v>5.4000000000027283E-2</v>
      </c>
      <c r="M415" s="192">
        <f t="shared" si="631"/>
        <v>4.8000000000000001E-2</v>
      </c>
      <c r="N415" s="192">
        <f t="shared" si="631"/>
        <v>0.03</v>
      </c>
      <c r="O415" s="919"/>
      <c r="P415" s="192"/>
      <c r="Q415" s="192"/>
      <c r="R415" s="192">
        <f>AVERAGE(N360:R360)*R462</f>
        <v>2.6999999999999996E-2</v>
      </c>
      <c r="S415" s="192">
        <f t="shared" ref="S415:W416" si="632">AVERAGE(R360:S360)*S462</f>
        <v>4.1999999999999996E-2</v>
      </c>
      <c r="T415" s="192">
        <f t="shared" si="632"/>
        <v>4.1999999999999996E-2</v>
      </c>
      <c r="U415" s="192">
        <f t="shared" si="632"/>
        <v>4.1999999999999996E-2</v>
      </c>
      <c r="V415" s="192">
        <f t="shared" si="632"/>
        <v>4.1999999999999996E-2</v>
      </c>
      <c r="W415" s="192">
        <f t="shared" si="632"/>
        <v>2.0999999999999998E-2</v>
      </c>
      <c r="X415" s="192"/>
      <c r="Y415" s="192"/>
      <c r="Z415" s="2923">
        <f>AVERAGE(W360:Z360)*Z462</f>
        <v>0</v>
      </c>
      <c r="AA415" s="2923">
        <f t="shared" ref="AA415:AN415" si="633">AVERAGE(Z360:AA360)*AA462</f>
        <v>0</v>
      </c>
      <c r="AB415" s="2923"/>
      <c r="AC415" s="2923">
        <f>AVERAGE(AA360, AC360)*AC462</f>
        <v>0</v>
      </c>
      <c r="AD415" s="2923">
        <f t="shared" si="633"/>
        <v>0</v>
      </c>
      <c r="AE415" s="2923">
        <f t="shared" si="633"/>
        <v>0</v>
      </c>
      <c r="AF415" s="2923">
        <f t="shared" si="633"/>
        <v>0</v>
      </c>
      <c r="AG415" s="2923">
        <f t="shared" si="633"/>
        <v>0</v>
      </c>
      <c r="AH415" s="2923">
        <f t="shared" si="633"/>
        <v>0</v>
      </c>
      <c r="AI415" s="2923">
        <f t="shared" si="633"/>
        <v>0</v>
      </c>
      <c r="AJ415" s="2923">
        <f t="shared" si="633"/>
        <v>0</v>
      </c>
      <c r="AK415" s="2923">
        <f t="shared" si="633"/>
        <v>0</v>
      </c>
      <c r="AL415" s="1368">
        <f t="shared" si="633"/>
        <v>0</v>
      </c>
      <c r="AM415" s="1368">
        <f t="shared" si="633"/>
        <v>0</v>
      </c>
      <c r="AN415" s="1368">
        <f t="shared" si="633"/>
        <v>0</v>
      </c>
      <c r="AO415" s="2240"/>
      <c r="AP415" s="2240"/>
      <c r="AQ415" s="2240"/>
      <c r="AR415" s="2240"/>
      <c r="AS415" s="192"/>
      <c r="AT415" s="49"/>
      <c r="AU415" s="95"/>
      <c r="AV415" s="4"/>
      <c r="AW415" s="89"/>
      <c r="AX415" s="89"/>
      <c r="AY415" s="89"/>
      <c r="AZ415" s="89"/>
      <c r="BA415" s="89"/>
      <c r="BB415" s="89"/>
      <c r="BC415" s="89"/>
      <c r="BD415" s="89"/>
      <c r="BE415" s="89"/>
      <c r="BF415" s="89"/>
      <c r="BG415" s="89"/>
      <c r="BH415" s="98"/>
      <c r="BI415" s="89"/>
      <c r="BJ415" s="89"/>
      <c r="BK415" s="89"/>
      <c r="BL415" s="89"/>
      <c r="BM415" s="89"/>
      <c r="BN415" s="89"/>
      <c r="BO415" s="89"/>
      <c r="BP415" s="89"/>
      <c r="BQ415" s="89"/>
      <c r="BR415" s="89"/>
      <c r="BS415" s="89"/>
      <c r="BT415" s="89"/>
      <c r="BU415" s="89"/>
      <c r="BV415" s="89"/>
      <c r="BW415" s="89"/>
      <c r="BX415" s="89"/>
      <c r="BY415" s="89"/>
      <c r="BZ415" s="89"/>
      <c r="CA415" s="89"/>
      <c r="CB415" s="89"/>
      <c r="CC415" s="89"/>
      <c r="CD415" s="89"/>
      <c r="CE415" s="89"/>
      <c r="CF415" s="89"/>
      <c r="CG415" s="89"/>
      <c r="CH415" s="89"/>
      <c r="CI415" s="89"/>
      <c r="CJ415" s="89"/>
      <c r="CK415" s="89"/>
      <c r="CL415" s="89"/>
      <c r="CM415" s="89"/>
      <c r="CN415" s="89"/>
      <c r="CO415" s="98"/>
      <c r="CP415" s="98"/>
      <c r="CQ415" s="98"/>
      <c r="CR415" s="98"/>
      <c r="CS415" s="98"/>
      <c r="CT415" s="49">
        <f>+W415/4</f>
        <v>5.2499999999999995E-3</v>
      </c>
      <c r="CU415" s="49">
        <f>+CT415</f>
        <v>5.2499999999999995E-3</v>
      </c>
      <c r="CV415" s="49">
        <f>+CU415</f>
        <v>5.2499999999999995E-3</v>
      </c>
      <c r="CW415" s="1540">
        <f t="shared" si="557"/>
        <v>5.2499999999999977E-3</v>
      </c>
      <c r="CX415" s="53">
        <f t="shared" si="539"/>
        <v>0</v>
      </c>
      <c r="CY415" s="1558">
        <f t="shared" si="588"/>
        <v>0</v>
      </c>
      <c r="CZ415" s="1558">
        <f t="shared" si="588"/>
        <v>0</v>
      </c>
      <c r="DA415" s="1558">
        <f t="shared" si="588"/>
        <v>0</v>
      </c>
      <c r="DB415" s="1558">
        <f t="shared" si="588"/>
        <v>0</v>
      </c>
      <c r="DC415" s="2926">
        <f t="shared" si="540"/>
        <v>0</v>
      </c>
      <c r="DD415" s="1558">
        <f t="shared" si="549"/>
        <v>0</v>
      </c>
      <c r="DE415" s="1558">
        <f t="shared" si="550"/>
        <v>0</v>
      </c>
      <c r="DF415" s="1558">
        <f>AA415*0.4</f>
        <v>0</v>
      </c>
      <c r="DG415" s="1558">
        <f>AA415*0.5</f>
        <v>0</v>
      </c>
      <c r="DH415" s="2926">
        <f t="shared" si="552"/>
        <v>0</v>
      </c>
      <c r="DI415" s="2927">
        <f t="shared" si="582"/>
        <v>0</v>
      </c>
      <c r="DJ415" s="2927">
        <f t="shared" si="582"/>
        <v>0</v>
      </c>
      <c r="DK415" s="2927">
        <f t="shared" si="582"/>
        <v>0</v>
      </c>
      <c r="DL415" s="2927">
        <f t="shared" si="582"/>
        <v>0</v>
      </c>
      <c r="DM415" s="2926">
        <f t="shared" si="554"/>
        <v>0</v>
      </c>
      <c r="DN415" s="2927">
        <f t="shared" si="555"/>
        <v>0</v>
      </c>
      <c r="DO415" s="2927">
        <f t="shared" si="555"/>
        <v>0</v>
      </c>
      <c r="DP415" s="2927">
        <f t="shared" si="555"/>
        <v>0</v>
      </c>
      <c r="DQ415" s="2927">
        <f t="shared" si="555"/>
        <v>0</v>
      </c>
      <c r="DR415" s="2926">
        <f t="shared" si="544"/>
        <v>0</v>
      </c>
    </row>
    <row r="416" spans="1:122">
      <c r="A416" s="195" t="s">
        <v>164</v>
      </c>
      <c r="B416" s="48"/>
      <c r="C416" s="48"/>
      <c r="D416" s="48"/>
      <c r="E416" s="48"/>
      <c r="F416" s="48"/>
      <c r="G416" s="48"/>
      <c r="H416" s="48"/>
      <c r="I416" s="48"/>
      <c r="J416" s="197"/>
      <c r="K416" s="192">
        <f t="shared" si="631"/>
        <v>17.916</v>
      </c>
      <c r="L416" s="192">
        <f t="shared" si="631"/>
        <v>7.218</v>
      </c>
      <c r="M416" s="192">
        <f t="shared" si="631"/>
        <v>6.7230000000000008</v>
      </c>
      <c r="N416" s="192">
        <f t="shared" si="631"/>
        <v>5.9721999999999991</v>
      </c>
      <c r="O416" s="919"/>
      <c r="P416" s="192"/>
      <c r="Q416" s="192"/>
      <c r="R416" s="192">
        <f>AVERAGE(N361:R361)*R463</f>
        <v>5.876000000000019</v>
      </c>
      <c r="S416" s="192">
        <f t="shared" si="632"/>
        <v>3.7306500000000278</v>
      </c>
      <c r="T416" s="192">
        <f t="shared" si="632"/>
        <v>1.6498500000000185</v>
      </c>
      <c r="U416" s="192">
        <f t="shared" si="632"/>
        <v>0.66810000000004166</v>
      </c>
      <c r="V416" s="192">
        <f t="shared" si="632"/>
        <v>2.598450000000037</v>
      </c>
      <c r="W416" s="192">
        <f t="shared" si="632"/>
        <v>5.0056500000000046</v>
      </c>
      <c r="X416" s="192"/>
      <c r="Y416" s="192"/>
      <c r="Z416" s="2923">
        <f>AVERAGE(W361:Z361)*Z463</f>
        <v>4.59</v>
      </c>
      <c r="AA416" s="2923">
        <f t="shared" ref="AA416:AN416" si="634">AVERAGE(Z361:AA361)*AA463</f>
        <v>4.0289999999999999</v>
      </c>
      <c r="AB416" s="2923"/>
      <c r="AC416" s="2923">
        <f>AVERAGE(AA361, AC361)*AC463</f>
        <v>3.8249999999999997</v>
      </c>
      <c r="AD416" s="2923">
        <f t="shared" si="634"/>
        <v>3.8249999999999997</v>
      </c>
      <c r="AE416" s="2923">
        <f t="shared" si="634"/>
        <v>3.8249999999999997</v>
      </c>
      <c r="AF416" s="2923">
        <f t="shared" si="634"/>
        <v>3.8249999999999997</v>
      </c>
      <c r="AG416" s="2923">
        <f t="shared" si="634"/>
        <v>3.8249999999999997</v>
      </c>
      <c r="AH416" s="2923">
        <f t="shared" si="634"/>
        <v>3.8249999999999997</v>
      </c>
      <c r="AI416" s="2923">
        <f t="shared" si="634"/>
        <v>3.8249999999999997</v>
      </c>
      <c r="AJ416" s="2923">
        <f t="shared" si="634"/>
        <v>3.8249999999999997</v>
      </c>
      <c r="AK416" s="2923">
        <f t="shared" si="634"/>
        <v>3.8249999999999997</v>
      </c>
      <c r="AL416" s="1368">
        <f t="shared" si="634"/>
        <v>3.8249999999999997</v>
      </c>
      <c r="AM416" s="1368">
        <f t="shared" si="634"/>
        <v>3.8249999999999997</v>
      </c>
      <c r="AN416" s="1368">
        <f t="shared" si="634"/>
        <v>3.8249999999999997</v>
      </c>
      <c r="AO416" s="2240"/>
      <c r="AP416" s="2240"/>
      <c r="AQ416" s="2240"/>
      <c r="AR416" s="2240"/>
      <c r="AS416" s="192"/>
      <c r="AT416" s="49"/>
      <c r="AU416" s="95"/>
      <c r="AV416" s="4"/>
      <c r="AW416" s="89"/>
      <c r="AX416" s="89"/>
      <c r="AY416" s="89"/>
      <c r="AZ416" s="89"/>
      <c r="BA416" s="89"/>
      <c r="BB416" s="89"/>
      <c r="BC416" s="89"/>
      <c r="BD416" s="89"/>
      <c r="BE416" s="89"/>
      <c r="BF416" s="89"/>
      <c r="BG416" s="89"/>
      <c r="BH416" s="98"/>
      <c r="BI416" s="89"/>
      <c r="BJ416" s="89"/>
      <c r="BK416" s="89"/>
      <c r="BL416" s="89"/>
      <c r="BM416" s="89"/>
      <c r="BN416" s="89"/>
      <c r="BO416" s="89"/>
      <c r="BP416" s="89"/>
      <c r="BQ416" s="89"/>
      <c r="BR416" s="89"/>
      <c r="BS416" s="89"/>
      <c r="BT416" s="89"/>
      <c r="BU416" s="89"/>
      <c r="BV416" s="89"/>
      <c r="BW416" s="89"/>
      <c r="BX416" s="89"/>
      <c r="BY416" s="89"/>
      <c r="BZ416" s="89"/>
      <c r="CA416" s="89"/>
      <c r="CB416" s="89"/>
      <c r="CC416" s="89"/>
      <c r="CD416" s="89"/>
      <c r="CE416" s="89"/>
      <c r="CF416" s="89"/>
      <c r="CG416" s="89"/>
      <c r="CH416" s="89"/>
      <c r="CI416" s="89"/>
      <c r="CJ416" s="89"/>
      <c r="CK416" s="89"/>
      <c r="CL416" s="89"/>
      <c r="CM416" s="89"/>
      <c r="CN416" s="89"/>
      <c r="CO416" s="98"/>
      <c r="CP416" s="98"/>
      <c r="CQ416" s="98"/>
      <c r="CR416" s="98"/>
      <c r="CS416" s="98"/>
      <c r="CT416" s="49">
        <f>+W416/4</f>
        <v>1.2514125000000011</v>
      </c>
      <c r="CU416" s="49">
        <f>+CT416</f>
        <v>1.2514125000000011</v>
      </c>
      <c r="CV416" s="49">
        <f>+CU416</f>
        <v>1.2514125000000011</v>
      </c>
      <c r="CW416" s="1540">
        <f t="shared" si="557"/>
        <v>1.2514125000000011</v>
      </c>
      <c r="CX416" s="53">
        <f t="shared" si="539"/>
        <v>0</v>
      </c>
      <c r="CY416" s="1558">
        <f t="shared" si="588"/>
        <v>1.1475</v>
      </c>
      <c r="CZ416" s="1558">
        <f t="shared" si="588"/>
        <v>1.1475</v>
      </c>
      <c r="DA416" s="1558">
        <f t="shared" si="588"/>
        <v>1.1475</v>
      </c>
      <c r="DB416" s="1558">
        <f t="shared" si="588"/>
        <v>1.1475</v>
      </c>
      <c r="DC416" s="2926">
        <f t="shared" si="540"/>
        <v>0</v>
      </c>
      <c r="DD416" s="1558">
        <f t="shared" si="549"/>
        <v>1.00725</v>
      </c>
      <c r="DE416" s="1558">
        <f t="shared" si="550"/>
        <v>1.00725</v>
      </c>
      <c r="DF416" s="1558">
        <f>AA416/4</f>
        <v>1.00725</v>
      </c>
      <c r="DG416" s="1558">
        <f>AA416/4</f>
        <v>1.00725</v>
      </c>
      <c r="DH416" s="2926">
        <f t="shared" si="552"/>
        <v>0</v>
      </c>
      <c r="DI416" s="2927">
        <f t="shared" si="582"/>
        <v>0.95624999999999993</v>
      </c>
      <c r="DJ416" s="2927">
        <f t="shared" si="582"/>
        <v>0.95624999999999993</v>
      </c>
      <c r="DK416" s="2927">
        <f t="shared" si="582"/>
        <v>0.95624999999999993</v>
      </c>
      <c r="DL416" s="2927">
        <f t="shared" si="582"/>
        <v>0.95624999999999993</v>
      </c>
      <c r="DM416" s="2926">
        <f t="shared" si="554"/>
        <v>0</v>
      </c>
      <c r="DN416" s="2927">
        <f t="shared" si="555"/>
        <v>0.95624999999999993</v>
      </c>
      <c r="DO416" s="2927">
        <f t="shared" si="555"/>
        <v>0.95624999999999993</v>
      </c>
      <c r="DP416" s="2927">
        <f t="shared" si="555"/>
        <v>0.95624999999999993</v>
      </c>
      <c r="DQ416" s="2927">
        <f t="shared" si="555"/>
        <v>0.95624999999999993</v>
      </c>
      <c r="DR416" s="2926">
        <f t="shared" si="544"/>
        <v>0</v>
      </c>
    </row>
    <row r="417" spans="1:122">
      <c r="A417" s="6" t="s">
        <v>165</v>
      </c>
      <c r="B417" s="48"/>
      <c r="C417" s="48"/>
      <c r="D417" s="48"/>
      <c r="E417" s="48"/>
      <c r="F417" s="48"/>
      <c r="G417" s="48"/>
      <c r="H417" s="48"/>
      <c r="I417" s="332"/>
      <c r="J417" s="336"/>
      <c r="K417" s="1115">
        <f>K418-SUM(K375:K416)</f>
        <v>97.993762499999889</v>
      </c>
      <c r="L417" s="1115">
        <f>L418-SUM(L375:L416)</f>
        <v>40.32607500000006</v>
      </c>
      <c r="M417" s="1115">
        <f>M418-SUM(M375:M416)</f>
        <v>71.758700000000033</v>
      </c>
      <c r="N417" s="1115">
        <f>N418-SUM(N375:N416)</f>
        <v>49.220774999999946</v>
      </c>
      <c r="O417" s="919"/>
      <c r="P417" s="843"/>
      <c r="Q417" s="843"/>
      <c r="R417" s="1115">
        <f>R418-SUM(R375:R416)</f>
        <v>67.049951124999893</v>
      </c>
      <c r="S417" s="1115">
        <f>S418-SUM(S375:S416)</f>
        <v>63.850579583333285</v>
      </c>
      <c r="T417" s="1115">
        <f>T418-SUM(T374:T416)</f>
        <v>20.499550000000056</v>
      </c>
      <c r="U417" s="1115">
        <f>U418-SUM(U374:U416)</f>
        <v>23.793787500000064</v>
      </c>
      <c r="V417" s="1115">
        <f>V418-SUM(V374:V416)</f>
        <v>20.506487500000048</v>
      </c>
      <c r="W417" s="1115">
        <f>+SUM(CT417:CW417)</f>
        <v>5.6025513888887986</v>
      </c>
      <c r="X417" s="843"/>
      <c r="Y417" s="843"/>
      <c r="Z417" s="2215">
        <f>SUM(CY417:DB417)</f>
        <v>9.485499999999945</v>
      </c>
      <c r="AA417" s="3236">
        <f>SUM(DD417:DG417)</f>
        <v>11.169999999999959</v>
      </c>
      <c r="AB417" s="3236"/>
      <c r="AC417" s="3236">
        <f ca="1">SUM(DI417:DL417)</f>
        <v>43.82817047337582</v>
      </c>
      <c r="AD417" s="3236">
        <f>SUM(DN417:DQ417)</f>
        <v>52</v>
      </c>
      <c r="AE417" s="3234">
        <v>30</v>
      </c>
      <c r="AF417" s="3235">
        <f t="shared" ref="AF417:AN417" si="635">+AE417</f>
        <v>30</v>
      </c>
      <c r="AG417" s="3235">
        <f t="shared" si="635"/>
        <v>30</v>
      </c>
      <c r="AH417" s="3235">
        <f t="shared" si="635"/>
        <v>30</v>
      </c>
      <c r="AI417" s="3235">
        <f t="shared" si="635"/>
        <v>30</v>
      </c>
      <c r="AJ417" s="3235">
        <f t="shared" si="635"/>
        <v>30</v>
      </c>
      <c r="AK417" s="3235">
        <f t="shared" si="635"/>
        <v>30</v>
      </c>
      <c r="AL417" s="2239">
        <f t="shared" si="635"/>
        <v>30</v>
      </c>
      <c r="AM417" s="2239">
        <f t="shared" si="635"/>
        <v>30</v>
      </c>
      <c r="AN417" s="2239">
        <f t="shared" si="635"/>
        <v>30</v>
      </c>
      <c r="AO417" s="2240"/>
      <c r="AP417" s="2240"/>
      <c r="AQ417" s="2240"/>
      <c r="AR417" s="2240"/>
      <c r="AS417" s="1215"/>
      <c r="AT417" s="49"/>
      <c r="AU417" s="95"/>
      <c r="AV417" s="4"/>
      <c r="AW417" s="89"/>
      <c r="AX417" s="89"/>
      <c r="AY417" s="89"/>
      <c r="AZ417" s="89"/>
      <c r="BA417" s="89"/>
      <c r="BB417" s="89"/>
      <c r="BC417" s="89"/>
      <c r="BD417" s="89"/>
      <c r="BE417" s="89"/>
      <c r="BF417" s="89"/>
      <c r="BG417" s="89"/>
      <c r="BH417" s="98"/>
      <c r="BI417" s="89"/>
      <c r="BJ417" s="89"/>
      <c r="BK417" s="89"/>
      <c r="BL417" s="89"/>
      <c r="BM417" s="89"/>
      <c r="BN417" s="89"/>
      <c r="BO417" s="89"/>
      <c r="BP417" s="89"/>
      <c r="BQ417" s="89"/>
      <c r="BR417" s="89"/>
      <c r="BS417" s="89"/>
      <c r="BT417" s="89"/>
      <c r="BU417" s="89"/>
      <c r="BV417" s="89"/>
      <c r="BW417" s="89"/>
      <c r="BX417" s="89"/>
      <c r="BY417" s="89"/>
      <c r="BZ417" s="89"/>
      <c r="CA417" s="89"/>
      <c r="CB417" s="89"/>
      <c r="CC417" s="89"/>
      <c r="CD417" s="89"/>
      <c r="CE417" s="89"/>
      <c r="CF417" s="89"/>
      <c r="CG417" s="89"/>
      <c r="CH417" s="89"/>
      <c r="CI417" s="89"/>
      <c r="CJ417" s="89"/>
      <c r="CK417" s="89"/>
      <c r="CL417" s="89"/>
      <c r="CM417" s="89"/>
      <c r="CN417" s="89"/>
      <c r="CO417" s="98"/>
      <c r="CP417" s="98"/>
      <c r="CQ417" s="98"/>
      <c r="CR417" s="98"/>
      <c r="CS417" s="98"/>
      <c r="CT417" s="1540">
        <f>+CT418-SUM(CT374:CT416)</f>
        <v>-7.5857875000000377</v>
      </c>
      <c r="CU417" s="1540">
        <f>+CU418-SUM(CU374:CU416)</f>
        <v>4.6942124999999635</v>
      </c>
      <c r="CV417" s="1540">
        <f>+CV418-SUM(CV374:CV416)</f>
        <v>1.9637263888888867</v>
      </c>
      <c r="CW417" s="1540">
        <f>+CW418-SUM(CW374:CW416)</f>
        <v>6.530399999999986</v>
      </c>
      <c r="CX417" s="53">
        <f>+W417-SUM(CT417:CW417)</f>
        <v>0</v>
      </c>
      <c r="CY417" s="1540">
        <f>+CY418-SUM(CY374:CY416)</f>
        <v>-2.6286250000000138</v>
      </c>
      <c r="CZ417" s="1540">
        <f>+CZ418-SUM(CZ374:CZ416)</f>
        <v>-1.6286250000000138</v>
      </c>
      <c r="DA417" s="1540">
        <f>+DA418-SUM(DA374:DA416)</f>
        <v>6.3713749999999862</v>
      </c>
      <c r="DB417" s="1540">
        <f>+DB418-SUM(DB374:DB416)</f>
        <v>7.3713749999999862</v>
      </c>
      <c r="DC417" s="2926">
        <f t="shared" si="540"/>
        <v>0</v>
      </c>
      <c r="DD417" s="1540">
        <f>+DD418-SUM(DD374:DD416)</f>
        <v>2.5183749999999918</v>
      </c>
      <c r="DE417" s="1540">
        <f>+DE418-SUM(DE374:DE416)</f>
        <v>2.5183749999999918</v>
      </c>
      <c r="DF417" s="1540">
        <f>+DF418-SUM(DF374:DF416)</f>
        <v>1.5666249999999877</v>
      </c>
      <c r="DG417" s="1540">
        <f>+DG418-SUM(DG374:DG416)</f>
        <v>4.5666249999999877</v>
      </c>
      <c r="DH417" s="2926">
        <f t="shared" si="552"/>
        <v>0</v>
      </c>
      <c r="DI417" s="1540">
        <f ca="1">+DI418-SUM(DI374:DI416)</f>
        <v>7.5805738683439472</v>
      </c>
      <c r="DJ417" s="1540">
        <f t="shared" ref="DJ417" ca="1" si="636">+DJ418-SUM(DJ374:DJ416)</f>
        <v>9.5805738683439472</v>
      </c>
      <c r="DK417" s="1540">
        <f ca="1">+DK418-SUM(DK374:DK416)</f>
        <v>13.333511368343963</v>
      </c>
      <c r="DL417" s="2928">
        <f ca="1">DK417</f>
        <v>13.333511368343963</v>
      </c>
      <c r="DM417" s="2926">
        <f t="shared" ca="1" si="554"/>
        <v>0</v>
      </c>
      <c r="DN417" s="2928">
        <v>13</v>
      </c>
      <c r="DO417" s="2928">
        <f>DN417</f>
        <v>13</v>
      </c>
      <c r="DP417" s="2928">
        <f t="shared" ref="DP417:DQ417" si="637">DO417</f>
        <v>13</v>
      </c>
      <c r="DQ417" s="2928">
        <f t="shared" si="637"/>
        <v>13</v>
      </c>
      <c r="DR417" s="2926">
        <f t="shared" si="544"/>
        <v>0</v>
      </c>
    </row>
    <row r="418" spans="1:122">
      <c r="A418" s="6" t="s">
        <v>590</v>
      </c>
      <c r="B418" s="198"/>
      <c r="C418" s="198"/>
      <c r="D418" s="198"/>
      <c r="E418" s="198"/>
      <c r="F418" s="198"/>
      <c r="G418" s="198"/>
      <c r="H418" s="198">
        <f t="shared" ref="H418:N418" si="638">-H27</f>
        <v>755.6</v>
      </c>
      <c r="I418" s="842">
        <f t="shared" si="638"/>
        <v>716.1</v>
      </c>
      <c r="J418" s="842">
        <f t="shared" si="638"/>
        <v>694</v>
      </c>
      <c r="K418" s="842">
        <f t="shared" si="638"/>
        <v>720.5</v>
      </c>
      <c r="L418" s="842">
        <f t="shared" si="638"/>
        <v>565.5</v>
      </c>
      <c r="M418" s="842">
        <f t="shared" si="638"/>
        <v>570.9</v>
      </c>
      <c r="N418" s="1165">
        <f t="shared" si="638"/>
        <v>546.6</v>
      </c>
      <c r="O418" s="1166"/>
      <c r="P418" s="1165"/>
      <c r="Q418" s="1165"/>
      <c r="R418" s="1165">
        <f t="shared" ref="R418:Y418" si="639">-R27</f>
        <v>542</v>
      </c>
      <c r="S418" s="1165">
        <f t="shared" si="639"/>
        <v>528.79999999999995</v>
      </c>
      <c r="T418" s="1165">
        <f t="shared" si="639"/>
        <v>435</v>
      </c>
      <c r="U418" s="1165">
        <f t="shared" si="639"/>
        <v>402</v>
      </c>
      <c r="V418" s="1165">
        <f t="shared" si="639"/>
        <v>376</v>
      </c>
      <c r="W418" s="1165">
        <f t="shared" si="639"/>
        <v>363</v>
      </c>
      <c r="X418" s="1165">
        <f t="shared" si="639"/>
        <v>375</v>
      </c>
      <c r="Y418" s="1165">
        <f t="shared" si="639"/>
        <v>363</v>
      </c>
      <c r="Z418" s="1165">
        <f>-Z27</f>
        <v>392</v>
      </c>
      <c r="AA418" s="1692">
        <f>-AB25</f>
        <v>411</v>
      </c>
      <c r="AB418" s="3237"/>
      <c r="AC418" s="3237">
        <f ca="1">-AC27</f>
        <v>455.76249999999999</v>
      </c>
      <c r="AD418" s="3237">
        <f ca="1">-AD27</f>
        <v>464.13271260004353</v>
      </c>
      <c r="AE418" s="3077">
        <f t="shared" ref="AE418:AJ418" ca="1" si="640">SUM(AE374:AE417)</f>
        <v>440.11341857193656</v>
      </c>
      <c r="AF418" s="3077">
        <f t="shared" ca="1" si="640"/>
        <v>433.38259547090985</v>
      </c>
      <c r="AG418" s="3077">
        <f t="shared" ca="1" si="640"/>
        <v>420.20575000000002</v>
      </c>
      <c r="AH418" s="3077">
        <f t="shared" ca="1" si="640"/>
        <v>402.049125</v>
      </c>
      <c r="AI418" s="3077">
        <f t="shared" ca="1" si="640"/>
        <v>376.66841530534543</v>
      </c>
      <c r="AJ418" s="3077">
        <f t="shared" ca="1" si="640"/>
        <v>351.41703604660472</v>
      </c>
      <c r="AK418" s="3077">
        <f ca="1">SUM(AK374:AK417)</f>
        <v>328.37041901833248</v>
      </c>
      <c r="AL418" s="1559">
        <f ca="1">SUM(AL374:AL417)</f>
        <v>305.52113597454172</v>
      </c>
      <c r="AM418" s="1559">
        <f ca="1">SUM(AM374:AM417)</f>
        <v>287.12303056347071</v>
      </c>
      <c r="AN418" s="1559">
        <f ca="1">SUM(AN374:AN417)</f>
        <v>270.07968772595478</v>
      </c>
      <c r="AO418" s="2240"/>
      <c r="AP418" s="2240"/>
      <c r="AQ418" s="2240"/>
      <c r="AR418" s="2240"/>
      <c r="AS418" s="842"/>
      <c r="AT418" s="199"/>
      <c r="AU418" s="95"/>
      <c r="AV418" s="4"/>
      <c r="AW418" s="89"/>
      <c r="AX418" s="89"/>
      <c r="AY418" s="89"/>
      <c r="AZ418" s="89"/>
      <c r="BA418" s="89"/>
      <c r="BB418" s="89"/>
      <c r="BC418" s="89"/>
      <c r="BD418" s="89"/>
      <c r="BE418" s="89"/>
      <c r="BF418" s="89"/>
      <c r="BG418" s="89"/>
      <c r="BH418" s="98"/>
      <c r="BI418" s="89"/>
      <c r="BJ418" s="89"/>
      <c r="BK418" s="89"/>
      <c r="BL418" s="89"/>
      <c r="BM418" s="89"/>
      <c r="BN418" s="89"/>
      <c r="BO418" s="89"/>
      <c r="BP418" s="89"/>
      <c r="BQ418" s="89"/>
      <c r="BR418" s="89"/>
      <c r="BS418" s="89"/>
      <c r="BT418" s="89"/>
      <c r="BU418" s="89"/>
      <c r="BV418" s="89"/>
      <c r="BW418" s="89"/>
      <c r="BX418" s="89"/>
      <c r="BY418" s="89"/>
      <c r="BZ418" s="89"/>
      <c r="CA418" s="89"/>
      <c r="CB418" s="89"/>
      <c r="CC418" s="89"/>
      <c r="CD418" s="89"/>
      <c r="CE418" s="89"/>
      <c r="CF418" s="89"/>
      <c r="CG418" s="89"/>
      <c r="CH418" s="89"/>
      <c r="CI418" s="89"/>
      <c r="CJ418" s="89"/>
      <c r="CK418" s="89"/>
      <c r="CL418" s="89"/>
      <c r="CM418" s="89"/>
      <c r="CN418" s="89"/>
      <c r="CO418" s="98"/>
      <c r="CP418" s="98"/>
      <c r="CQ418" s="98"/>
      <c r="CR418" s="98"/>
      <c r="CS418" s="98"/>
      <c r="CT418" s="1554">
        <f>+-CT27</f>
        <v>93</v>
      </c>
      <c r="CU418" s="1554">
        <f>+-CU27</f>
        <v>94</v>
      </c>
      <c r="CV418" s="1554">
        <f>+-CV27</f>
        <v>89</v>
      </c>
      <c r="CW418" s="1554">
        <f>+-CW27</f>
        <v>87</v>
      </c>
      <c r="CX418" s="53">
        <f t="shared" si="539"/>
        <v>0</v>
      </c>
      <c r="CY418" s="1554">
        <f>+-CY27</f>
        <v>93</v>
      </c>
      <c r="CZ418" s="1554">
        <f>+-CZ27</f>
        <v>94</v>
      </c>
      <c r="DA418" s="1554">
        <f>+-DA27</f>
        <v>102</v>
      </c>
      <c r="DB418" s="1554">
        <f>+-DB27</f>
        <v>103</v>
      </c>
      <c r="DC418" s="2926">
        <f t="shared" si="540"/>
        <v>0</v>
      </c>
      <c r="DD418" s="1554">
        <f>+-DD27</f>
        <v>100</v>
      </c>
      <c r="DE418" s="1554">
        <f>+-DE27</f>
        <v>100</v>
      </c>
      <c r="DF418" s="1554">
        <f>+-DF27</f>
        <v>104</v>
      </c>
      <c r="DG418" s="1554">
        <f>+-DG27</f>
        <v>107</v>
      </c>
      <c r="DH418" s="2926">
        <f t="shared" si="552"/>
        <v>0</v>
      </c>
      <c r="DI418" s="1554">
        <f t="shared" ref="DI418:DK418" si="641">+-DI27</f>
        <v>109</v>
      </c>
      <c r="DJ418" s="1554">
        <f t="shared" si="641"/>
        <v>111</v>
      </c>
      <c r="DK418" s="1554">
        <f t="shared" si="641"/>
        <v>116</v>
      </c>
      <c r="DL418" s="2929">
        <f ca="1">SUM(DL374:DL417)</f>
        <v>119.7625</v>
      </c>
      <c r="DM418" s="2926">
        <f t="shared" ca="1" si="554"/>
        <v>0</v>
      </c>
      <c r="DN418" s="2929">
        <f ca="1">SUM(DN374:DN417)</f>
        <v>116.03317815001088</v>
      </c>
      <c r="DO418" s="2929">
        <f t="shared" ref="DO418:DQ418" ca="1" si="642">SUM(DO374:DO417)</f>
        <v>116.03317815001088</v>
      </c>
      <c r="DP418" s="2929">
        <f t="shared" ca="1" si="642"/>
        <v>116.03317815001088</v>
      </c>
      <c r="DQ418" s="2929">
        <f t="shared" ca="1" si="642"/>
        <v>116.03317815001088</v>
      </c>
      <c r="DR418" s="2926"/>
    </row>
    <row r="419" spans="1:122">
      <c r="A419" s="6"/>
      <c r="B419" s="198"/>
      <c r="C419" s="198"/>
      <c r="D419" s="198"/>
      <c r="E419" s="198"/>
      <c r="F419" s="198"/>
      <c r="G419" s="198"/>
      <c r="H419" s="198"/>
      <c r="I419" s="198"/>
      <c r="J419" s="200"/>
      <c r="K419" s="200"/>
      <c r="L419" s="38"/>
      <c r="M419" s="38"/>
      <c r="N419" s="38"/>
      <c r="O419" s="919"/>
      <c r="P419" s="38"/>
      <c r="Q419" s="38"/>
      <c r="R419" s="38"/>
      <c r="S419" s="38"/>
      <c r="T419" s="38"/>
      <c r="U419" s="38"/>
      <c r="V419" s="38"/>
      <c r="W419" s="38"/>
      <c r="X419" s="38"/>
      <c r="Y419" s="38"/>
      <c r="Z419" s="38"/>
      <c r="AA419" s="38"/>
      <c r="AB419" s="38"/>
      <c r="AC419" s="38"/>
      <c r="AD419" s="38"/>
      <c r="AE419" s="38"/>
      <c r="AF419" s="38"/>
      <c r="AG419" s="38"/>
      <c r="AH419" s="38"/>
      <c r="AI419" s="38"/>
      <c r="AJ419" s="38"/>
      <c r="AK419" s="38"/>
      <c r="AL419" s="1110"/>
      <c r="AM419" s="38"/>
      <c r="AN419" s="38"/>
      <c r="AO419" s="2240"/>
      <c r="AP419" s="2240"/>
      <c r="AQ419" s="2240"/>
      <c r="AR419" s="2240"/>
      <c r="AS419" s="38"/>
      <c r="AT419" s="38"/>
      <c r="AU419" s="95"/>
      <c r="AV419" s="4"/>
      <c r="AW419" s="89"/>
      <c r="AX419" s="89"/>
      <c r="AY419" s="89"/>
      <c r="AZ419" s="89"/>
      <c r="BA419" s="89"/>
      <c r="BB419" s="89"/>
      <c r="BC419" s="89"/>
      <c r="BD419" s="89"/>
      <c r="BE419" s="89"/>
      <c r="BF419" s="89"/>
      <c r="BG419" s="89"/>
      <c r="BH419" s="98"/>
      <c r="BI419" s="89"/>
      <c r="BJ419" s="89"/>
      <c r="BK419" s="89"/>
      <c r="BL419" s="89"/>
      <c r="BM419" s="89"/>
      <c r="BN419" s="89"/>
      <c r="BO419" s="89"/>
      <c r="BP419" s="89"/>
      <c r="BQ419" s="89"/>
      <c r="BR419" s="89"/>
      <c r="BS419" s="89"/>
      <c r="BT419" s="89"/>
      <c r="BU419" s="89"/>
      <c r="BV419" s="89"/>
      <c r="BW419" s="89"/>
      <c r="BX419" s="89"/>
      <c r="BY419" s="89"/>
      <c r="BZ419" s="89"/>
      <c r="CA419" s="89"/>
      <c r="CB419" s="89"/>
      <c r="CC419" s="89"/>
      <c r="CD419" s="89"/>
      <c r="CE419" s="89"/>
      <c r="CF419" s="89"/>
      <c r="CG419" s="89"/>
      <c r="CH419" s="89"/>
      <c r="CI419" s="89"/>
      <c r="CJ419" s="89"/>
      <c r="CK419" s="89"/>
      <c r="CL419" s="89"/>
      <c r="CM419" s="89"/>
      <c r="CN419" s="89"/>
      <c r="CO419" s="98"/>
      <c r="CP419" s="98"/>
      <c r="CQ419" s="98"/>
      <c r="CR419" s="98"/>
      <c r="CS419" s="98"/>
      <c r="CT419" s="1247"/>
      <c r="CU419" s="1247"/>
      <c r="CV419" s="1247"/>
      <c r="CW419" s="98"/>
      <c r="CX419" s="98"/>
      <c r="CY419" s="1247"/>
      <c r="CZ419" s="1247"/>
      <c r="DA419" s="1247"/>
      <c r="DB419" s="98"/>
      <c r="DC419" s="2925"/>
      <c r="DD419" s="98"/>
      <c r="DE419" s="98"/>
      <c r="DF419" s="98"/>
      <c r="DG419" s="98"/>
      <c r="DH419" s="2925"/>
      <c r="DI419" s="2925"/>
      <c r="DJ419" s="2925"/>
      <c r="DK419" s="2925"/>
      <c r="DL419" s="2925"/>
      <c r="DM419" s="2925"/>
      <c r="DN419" s="2925"/>
      <c r="DO419" s="2925"/>
      <c r="DP419" s="2925"/>
      <c r="DQ419" s="2925"/>
      <c r="DR419" s="2925"/>
    </row>
    <row r="420" spans="1:122">
      <c r="A420" s="36" t="s">
        <v>944</v>
      </c>
      <c r="B420" s="198"/>
      <c r="C420" s="198"/>
      <c r="D420" s="198"/>
      <c r="E420" s="198"/>
      <c r="F420" s="198"/>
      <c r="G420" s="198"/>
      <c r="H420" s="198"/>
      <c r="I420" s="198"/>
      <c r="J420" s="200"/>
      <c r="K420" s="200"/>
      <c r="L420" s="38"/>
      <c r="M420" s="38"/>
      <c r="N420" s="38"/>
      <c r="O420" s="919"/>
      <c r="P420" s="38"/>
      <c r="Q420" s="38"/>
      <c r="R420" s="38"/>
      <c r="S420" s="38"/>
      <c r="T420" s="38"/>
      <c r="U420" s="38"/>
      <c r="V420" s="38"/>
      <c r="W420" s="38"/>
      <c r="X420" s="38"/>
      <c r="Y420" s="38"/>
      <c r="Z420" s="38"/>
      <c r="AA420" s="39"/>
      <c r="AB420" s="39"/>
      <c r="AC420" s="39"/>
      <c r="AD420" s="39"/>
      <c r="AE420" s="39"/>
      <c r="AF420" s="39"/>
      <c r="AG420" s="39"/>
      <c r="AH420" s="39"/>
      <c r="AI420" s="39"/>
      <c r="AJ420" s="39"/>
      <c r="AK420" s="39"/>
      <c r="AL420" s="1110"/>
      <c r="AM420" s="39"/>
      <c r="AN420" s="39"/>
      <c r="AO420" s="2240"/>
      <c r="AP420" s="2240"/>
      <c r="AQ420" s="2240"/>
      <c r="AR420" s="2240"/>
      <c r="AS420" s="39"/>
      <c r="AT420" s="39"/>
      <c r="AU420" s="95"/>
      <c r="AV420" s="4"/>
      <c r="AW420" s="89"/>
      <c r="AX420" s="89"/>
      <c r="AY420" s="89"/>
      <c r="AZ420" s="89"/>
      <c r="BA420" s="89"/>
      <c r="BB420" s="89"/>
      <c r="BC420" s="89"/>
      <c r="BD420" s="89"/>
      <c r="BE420" s="89"/>
      <c r="BF420" s="89"/>
      <c r="BG420" s="89"/>
      <c r="BH420" s="98"/>
      <c r="BI420" s="89"/>
      <c r="BJ420" s="89"/>
      <c r="BK420" s="89"/>
      <c r="BL420" s="89"/>
      <c r="BM420" s="89"/>
      <c r="BN420" s="89"/>
      <c r="BO420" s="89"/>
      <c r="BP420" s="89"/>
      <c r="BQ420" s="89"/>
      <c r="BR420" s="89"/>
      <c r="BS420" s="89"/>
      <c r="BT420" s="89"/>
      <c r="BU420" s="89"/>
      <c r="BV420" s="89"/>
      <c r="BW420" s="89"/>
      <c r="BX420" s="89"/>
      <c r="BY420" s="89"/>
      <c r="BZ420" s="89"/>
      <c r="CA420" s="89"/>
      <c r="CB420" s="89"/>
      <c r="CC420" s="89"/>
      <c r="CD420" s="89"/>
      <c r="CE420" s="89"/>
      <c r="CF420" s="89"/>
      <c r="CG420" s="89"/>
      <c r="CH420" s="89"/>
      <c r="CI420" s="89"/>
      <c r="CJ420" s="89"/>
      <c r="CK420" s="89"/>
      <c r="CL420" s="89"/>
      <c r="CM420" s="89"/>
      <c r="CN420" s="89"/>
      <c r="CO420" s="98"/>
      <c r="CP420" s="98"/>
      <c r="CQ420" s="98"/>
      <c r="CR420" s="98"/>
      <c r="CS420" s="98"/>
      <c r="CT420" s="1247"/>
      <c r="CU420" s="1247"/>
      <c r="CV420" s="1247"/>
      <c r="CW420" s="98"/>
      <c r="CX420" s="98"/>
      <c r="CY420" s="1247"/>
      <c r="CZ420" s="1247"/>
      <c r="DA420" s="1247"/>
      <c r="DB420" s="98"/>
      <c r="DC420" s="2925"/>
      <c r="DD420" s="98"/>
      <c r="DE420" s="98"/>
      <c r="DF420" s="98"/>
      <c r="DG420" s="98"/>
      <c r="DH420" s="2925"/>
      <c r="DI420" s="2925"/>
      <c r="DJ420" s="2925"/>
      <c r="DK420" s="2925"/>
      <c r="DL420" s="2925"/>
      <c r="DM420" s="2925"/>
      <c r="DN420" s="2925"/>
      <c r="DO420" s="2925"/>
      <c r="DP420" s="2925"/>
      <c r="DQ420" s="2925"/>
      <c r="DR420" s="2925"/>
    </row>
    <row r="421" spans="1:122">
      <c r="A421" s="862" t="str">
        <f>+A374</f>
        <v>Revolver</v>
      </c>
      <c r="B421" s="198"/>
      <c r="C421" s="198"/>
      <c r="D421" s="198"/>
      <c r="E421" s="198"/>
      <c r="F421" s="198"/>
      <c r="G421" s="198"/>
      <c r="H421" s="198"/>
      <c r="I421" s="198"/>
      <c r="J421" s="200"/>
      <c r="K421" s="200"/>
      <c r="L421" s="38"/>
      <c r="M421" s="38"/>
      <c r="N421" s="38"/>
      <c r="O421" s="919"/>
      <c r="P421" s="38"/>
      <c r="Q421" s="38"/>
      <c r="R421" s="38"/>
      <c r="S421" s="38"/>
      <c r="T421" s="202">
        <v>0.05</v>
      </c>
      <c r="U421" s="202">
        <f>T421</f>
        <v>0.05</v>
      </c>
      <c r="V421" s="202">
        <f>U421</f>
        <v>0.05</v>
      </c>
      <c r="W421" s="202">
        <f>V421</f>
        <v>0.05</v>
      </c>
      <c r="X421" s="202"/>
      <c r="Y421" s="202"/>
      <c r="Z421" s="202">
        <v>3.5000000000000003E-2</v>
      </c>
      <c r="AA421" s="203">
        <f t="shared" ref="AA421:AK421" si="643">+Z421+0.0015</f>
        <v>3.6500000000000005E-2</v>
      </c>
      <c r="AB421" s="203"/>
      <c r="AC421" s="203">
        <f>+AA421+0.0015</f>
        <v>3.8000000000000006E-2</v>
      </c>
      <c r="AD421" s="203">
        <f t="shared" si="643"/>
        <v>3.9500000000000007E-2</v>
      </c>
      <c r="AE421" s="203">
        <f t="shared" si="643"/>
        <v>4.1000000000000009E-2</v>
      </c>
      <c r="AF421" s="203">
        <f t="shared" si="643"/>
        <v>4.250000000000001E-2</v>
      </c>
      <c r="AG421" s="203">
        <f t="shared" si="643"/>
        <v>4.4000000000000011E-2</v>
      </c>
      <c r="AH421" s="203">
        <f t="shared" si="643"/>
        <v>4.5500000000000013E-2</v>
      </c>
      <c r="AI421" s="203">
        <f t="shared" si="643"/>
        <v>4.7000000000000014E-2</v>
      </c>
      <c r="AJ421" s="203">
        <f t="shared" si="643"/>
        <v>4.8500000000000015E-2</v>
      </c>
      <c r="AK421" s="203">
        <f t="shared" si="643"/>
        <v>5.0000000000000017E-2</v>
      </c>
      <c r="AL421" s="1371">
        <f>AK421</f>
        <v>5.0000000000000017E-2</v>
      </c>
      <c r="AM421" s="1371">
        <f>AL421</f>
        <v>5.0000000000000017E-2</v>
      </c>
      <c r="AN421" s="1371">
        <f>AM421</f>
        <v>5.0000000000000017E-2</v>
      </c>
      <c r="AO421" s="39"/>
      <c r="AP421" s="39"/>
      <c r="AQ421" s="39"/>
      <c r="AR421" s="39"/>
      <c r="AS421" s="39"/>
      <c r="AT421" s="39"/>
      <c r="AU421" s="95"/>
      <c r="AV421" s="4"/>
      <c r="AW421" s="89"/>
      <c r="AX421" s="89"/>
      <c r="AY421" s="89"/>
      <c r="AZ421" s="89"/>
      <c r="BA421" s="89"/>
      <c r="BB421" s="89"/>
      <c r="BC421" s="89"/>
      <c r="BD421" s="89"/>
      <c r="BE421" s="89"/>
      <c r="BF421" s="89"/>
      <c r="BG421" s="89"/>
      <c r="BH421" s="98"/>
      <c r="BI421" s="89"/>
      <c r="BJ421" s="89"/>
      <c r="BK421" s="89"/>
      <c r="BL421" s="89"/>
      <c r="BM421" s="89"/>
      <c r="BN421" s="89"/>
      <c r="BO421" s="89"/>
      <c r="BP421" s="89"/>
      <c r="BQ421" s="89"/>
      <c r="BR421" s="89"/>
      <c r="BS421" s="89"/>
      <c r="BT421" s="89"/>
      <c r="BU421" s="89"/>
      <c r="BV421" s="89"/>
      <c r="BW421" s="89"/>
      <c r="BX421" s="89"/>
      <c r="BY421" s="89"/>
      <c r="BZ421" s="89"/>
      <c r="CA421" s="89"/>
      <c r="CB421" s="89"/>
      <c r="CC421" s="89"/>
      <c r="CD421" s="89"/>
      <c r="CE421" s="89"/>
      <c r="CF421" s="89"/>
      <c r="CG421" s="89"/>
      <c r="CH421" s="89"/>
      <c r="CI421" s="89"/>
      <c r="CJ421" s="89"/>
      <c r="CK421" s="89"/>
      <c r="CL421" s="89"/>
      <c r="CM421" s="89"/>
      <c r="CN421" s="89"/>
      <c r="CO421" s="98"/>
      <c r="CP421" s="98"/>
      <c r="CQ421" s="98"/>
      <c r="CR421" s="98"/>
      <c r="CS421" s="98"/>
      <c r="CT421" s="98"/>
      <c r="CU421" s="98"/>
      <c r="CV421" s="98"/>
      <c r="CW421" s="98"/>
      <c r="CX421" s="98"/>
      <c r="CY421" s="1247"/>
      <c r="CZ421" s="1247"/>
      <c r="DA421" s="1247"/>
      <c r="DB421" s="98"/>
      <c r="DC421" s="2925"/>
      <c r="DD421" s="98"/>
      <c r="DE421" s="98"/>
      <c r="DF421" s="98"/>
      <c r="DG421" s="98"/>
      <c r="DH421" s="2925"/>
      <c r="DI421" s="2925"/>
      <c r="DJ421" s="2925"/>
      <c r="DK421" s="2925"/>
      <c r="DL421" s="2925"/>
      <c r="DM421" s="2925"/>
      <c r="DN421" s="2925"/>
      <c r="DO421" s="2925"/>
      <c r="DP421" s="2925"/>
      <c r="DQ421" s="2925"/>
      <c r="DR421" s="2925"/>
    </row>
    <row r="422" spans="1:122">
      <c r="A422" s="190" t="s">
        <v>146</v>
      </c>
      <c r="B422" s="48"/>
      <c r="C422" s="48"/>
      <c r="D422" s="48"/>
      <c r="E422" s="48"/>
      <c r="F422" s="48"/>
      <c r="G422" s="48"/>
      <c r="H422" s="48"/>
      <c r="I422" s="48"/>
      <c r="J422" s="197"/>
      <c r="K422" s="201">
        <v>0.06</v>
      </c>
      <c r="L422" s="202">
        <f>K422</f>
        <v>0.06</v>
      </c>
      <c r="M422" s="202">
        <f>L422+0.008</f>
        <v>6.8000000000000005E-2</v>
      </c>
      <c r="N422" s="202">
        <v>0.06</v>
      </c>
      <c r="O422" s="919"/>
      <c r="P422" s="202"/>
      <c r="Q422" s="202"/>
      <c r="R422" s="202">
        <v>5.6500000000000002E-2</v>
      </c>
      <c r="S422" s="202">
        <f>R422</f>
        <v>5.6500000000000002E-2</v>
      </c>
      <c r="T422" s="202">
        <v>0.08</v>
      </c>
      <c r="U422" s="202">
        <f>T422</f>
        <v>0.08</v>
      </c>
      <c r="V422" s="202">
        <v>5.0000000000000001E-3</v>
      </c>
      <c r="W422" s="202">
        <f>V422</f>
        <v>5.0000000000000001E-3</v>
      </c>
      <c r="X422" s="202"/>
      <c r="Y422" s="202"/>
      <c r="Z422" s="202">
        <f>W422</f>
        <v>5.0000000000000001E-3</v>
      </c>
      <c r="AA422" s="203">
        <v>9.7999999999999997E-3</v>
      </c>
      <c r="AB422" s="203"/>
      <c r="AC422" s="203">
        <f t="shared" ref="AC422:AC464" si="644">AA422</f>
        <v>9.7999999999999997E-3</v>
      </c>
      <c r="AD422" s="203">
        <f t="shared" ref="AD422:AE464" si="645">AC422</f>
        <v>9.7999999999999997E-3</v>
      </c>
      <c r="AE422" s="203">
        <f t="shared" si="645"/>
        <v>9.7999999999999997E-3</v>
      </c>
      <c r="AF422" s="203">
        <f t="shared" ref="AF422:AH437" si="646">AE422</f>
        <v>9.7999999999999997E-3</v>
      </c>
      <c r="AG422" s="203">
        <f t="shared" si="646"/>
        <v>9.7999999999999997E-3</v>
      </c>
      <c r="AH422" s="203">
        <f t="shared" si="646"/>
        <v>9.7999999999999997E-3</v>
      </c>
      <c r="AI422" s="203">
        <f t="shared" ref="AI422:AN437" si="647">AH422</f>
        <v>9.7999999999999997E-3</v>
      </c>
      <c r="AJ422" s="203">
        <f t="shared" si="647"/>
        <v>9.7999999999999997E-3</v>
      </c>
      <c r="AK422" s="203">
        <f t="shared" si="647"/>
        <v>9.7999999999999997E-3</v>
      </c>
      <c r="AL422" s="1371">
        <f t="shared" si="647"/>
        <v>9.7999999999999997E-3</v>
      </c>
      <c r="AM422" s="1371">
        <f t="shared" si="647"/>
        <v>9.7999999999999997E-3</v>
      </c>
      <c r="AN422" s="1371">
        <f t="shared" si="647"/>
        <v>9.7999999999999997E-3</v>
      </c>
      <c r="AO422" s="203"/>
      <c r="AP422" s="203"/>
      <c r="AQ422" s="203"/>
      <c r="AR422" s="203"/>
      <c r="AS422" s="203"/>
      <c r="AT422" s="203"/>
      <c r="AU422" s="95" t="s">
        <v>337</v>
      </c>
      <c r="AV422" s="4"/>
      <c r="AW422" s="89"/>
      <c r="AX422" s="89"/>
      <c r="AY422" s="89"/>
      <c r="AZ422" s="89"/>
      <c r="BA422" s="89"/>
      <c r="BB422" s="89"/>
      <c r="BC422" s="89"/>
      <c r="BD422" s="89"/>
      <c r="BE422" s="89"/>
      <c r="BF422" s="89"/>
      <c r="BG422" s="89"/>
      <c r="BH422" s="98"/>
      <c r="BI422" s="89"/>
      <c r="BJ422" s="89"/>
      <c r="BK422" s="89"/>
      <c r="BL422" s="89"/>
      <c r="BM422" s="89"/>
      <c r="BN422" s="89"/>
      <c r="BO422" s="89"/>
      <c r="BP422" s="89"/>
      <c r="BQ422" s="89"/>
      <c r="BR422" s="89"/>
      <c r="BS422" s="89"/>
      <c r="BT422" s="89"/>
      <c r="BU422" s="89"/>
      <c r="BV422" s="89"/>
      <c r="BW422" s="89"/>
      <c r="BX422" s="89"/>
      <c r="BY422" s="89"/>
      <c r="BZ422" s="89"/>
      <c r="CA422" s="89"/>
      <c r="CB422" s="89"/>
      <c r="CC422" s="89"/>
      <c r="CD422" s="89"/>
      <c r="CE422" s="89"/>
      <c r="CF422" s="89"/>
      <c r="CG422" s="89"/>
      <c r="CH422" s="89"/>
      <c r="CI422" s="89"/>
      <c r="CJ422" s="89"/>
      <c r="CK422" s="89"/>
      <c r="CL422" s="89"/>
      <c r="CM422" s="89"/>
      <c r="CN422" s="89"/>
      <c r="CO422" s="98"/>
      <c r="CP422" s="98"/>
      <c r="CQ422" s="98"/>
      <c r="CR422" s="98"/>
      <c r="CS422" s="98"/>
      <c r="CT422" s="98"/>
      <c r="CU422" s="98"/>
      <c r="CV422" s="98"/>
      <c r="CW422" s="98"/>
      <c r="CX422" s="98"/>
      <c r="CY422" s="1247"/>
      <c r="CZ422" s="1247"/>
      <c r="DA422" s="1247"/>
      <c r="DB422" s="98"/>
      <c r="DC422" s="2925"/>
      <c r="DD422" s="98"/>
      <c r="DE422" s="98"/>
      <c r="DF422" s="98"/>
      <c r="DG422" s="98"/>
      <c r="DH422" s="2925"/>
      <c r="DI422" s="2925"/>
      <c r="DJ422" s="2925"/>
      <c r="DK422" s="2925"/>
      <c r="DL422" s="2925"/>
      <c r="DM422" s="2925"/>
      <c r="DN422" s="2925"/>
      <c r="DO422" s="2925"/>
      <c r="DP422" s="2925"/>
      <c r="DQ422" s="2925"/>
      <c r="DR422" s="2925"/>
    </row>
    <row r="423" spans="1:122">
      <c r="A423" s="190" t="s">
        <v>147</v>
      </c>
      <c r="B423" s="48"/>
      <c r="C423" s="48"/>
      <c r="D423" s="48"/>
      <c r="E423" s="48"/>
      <c r="F423" s="48"/>
      <c r="G423" s="48"/>
      <c r="H423" s="48"/>
      <c r="I423" s="48"/>
      <c r="J423" s="197"/>
      <c r="K423" s="201">
        <v>7.1499999999999994E-2</v>
      </c>
      <c r="L423" s="202">
        <f t="shared" ref="L423:M463" si="648">K423</f>
        <v>7.1499999999999994E-2</v>
      </c>
      <c r="M423" s="202">
        <f t="shared" si="648"/>
        <v>7.1499999999999994E-2</v>
      </c>
      <c r="N423" s="202">
        <f t="shared" ref="N423:W433" si="649">M423</f>
        <v>7.1499999999999994E-2</v>
      </c>
      <c r="O423" s="919"/>
      <c r="P423" s="202"/>
      <c r="Q423" s="202"/>
      <c r="R423" s="202">
        <f t="shared" ref="R423:R463" si="650">N423</f>
        <v>7.1499999999999994E-2</v>
      </c>
      <c r="S423" s="202">
        <f t="shared" si="649"/>
        <v>7.1499999999999994E-2</v>
      </c>
      <c r="T423" s="202">
        <f t="shared" si="649"/>
        <v>7.1499999999999994E-2</v>
      </c>
      <c r="U423" s="202">
        <f t="shared" si="649"/>
        <v>7.1499999999999994E-2</v>
      </c>
      <c r="V423" s="202">
        <f t="shared" si="649"/>
        <v>7.1499999999999994E-2</v>
      </c>
      <c r="W423" s="202">
        <f t="shared" si="649"/>
        <v>7.1499999999999994E-2</v>
      </c>
      <c r="X423" s="202"/>
      <c r="Y423" s="202"/>
      <c r="Z423" s="202">
        <f t="shared" ref="Z423:Z438" si="651">W423</f>
        <v>7.1499999999999994E-2</v>
      </c>
      <c r="AA423" s="203">
        <f t="shared" ref="AA423:AA464" si="652">Z423</f>
        <v>7.1499999999999994E-2</v>
      </c>
      <c r="AB423" s="203"/>
      <c r="AC423" s="203">
        <f t="shared" si="644"/>
        <v>7.1499999999999994E-2</v>
      </c>
      <c r="AD423" s="203">
        <f t="shared" si="645"/>
        <v>7.1499999999999994E-2</v>
      </c>
      <c r="AE423" s="203">
        <f t="shared" si="645"/>
        <v>7.1499999999999994E-2</v>
      </c>
      <c r="AF423" s="203">
        <f t="shared" si="646"/>
        <v>7.1499999999999994E-2</v>
      </c>
      <c r="AG423" s="203">
        <f t="shared" si="646"/>
        <v>7.1499999999999994E-2</v>
      </c>
      <c r="AH423" s="203">
        <f t="shared" si="646"/>
        <v>7.1499999999999994E-2</v>
      </c>
      <c r="AI423" s="203">
        <f t="shared" si="647"/>
        <v>7.1499999999999994E-2</v>
      </c>
      <c r="AJ423" s="203">
        <f t="shared" si="647"/>
        <v>7.1499999999999994E-2</v>
      </c>
      <c r="AK423" s="203">
        <f t="shared" si="647"/>
        <v>7.1499999999999994E-2</v>
      </c>
      <c r="AL423" s="1371">
        <f t="shared" si="647"/>
        <v>7.1499999999999994E-2</v>
      </c>
      <c r="AM423" s="1371">
        <f t="shared" si="647"/>
        <v>7.1499999999999994E-2</v>
      </c>
      <c r="AN423" s="1371">
        <f t="shared" si="647"/>
        <v>7.1499999999999994E-2</v>
      </c>
      <c r="AO423" s="203"/>
      <c r="AP423" s="203"/>
      <c r="AQ423" s="203"/>
      <c r="AR423" s="203"/>
      <c r="AS423" s="203"/>
      <c r="AT423" s="203"/>
      <c r="AU423" s="95"/>
      <c r="AV423" s="4"/>
      <c r="AW423" s="89"/>
      <c r="AX423" s="89"/>
      <c r="AY423" s="89"/>
      <c r="AZ423" s="89"/>
      <c r="BA423" s="89"/>
      <c r="BB423" s="89"/>
      <c r="BC423" s="89"/>
      <c r="BD423" s="89"/>
      <c r="BE423" s="89"/>
      <c r="BF423" s="89"/>
      <c r="BG423" s="89"/>
      <c r="BH423" s="98"/>
      <c r="BI423" s="89"/>
      <c r="BJ423" s="89"/>
      <c r="BK423" s="89"/>
      <c r="BL423" s="89"/>
      <c r="BM423" s="89"/>
      <c r="BN423" s="89"/>
      <c r="BO423" s="89"/>
      <c r="BP423" s="89"/>
      <c r="BQ423" s="89"/>
      <c r="BR423" s="89"/>
      <c r="BS423" s="89"/>
      <c r="BT423" s="89"/>
      <c r="BU423" s="89"/>
      <c r="BV423" s="89"/>
      <c r="BW423" s="89"/>
      <c r="BX423" s="89"/>
      <c r="BY423" s="89"/>
      <c r="BZ423" s="89"/>
      <c r="CA423" s="89"/>
      <c r="CB423" s="89"/>
      <c r="CC423" s="89"/>
      <c r="CD423" s="89"/>
      <c r="CE423" s="89"/>
      <c r="CF423" s="89"/>
      <c r="CG423" s="89"/>
      <c r="CH423" s="89"/>
      <c r="CI423" s="89"/>
      <c r="CJ423" s="89"/>
      <c r="CK423" s="89"/>
      <c r="CL423" s="89"/>
      <c r="CM423" s="89"/>
      <c r="CN423" s="89"/>
      <c r="CO423" s="98"/>
      <c r="CP423" s="98"/>
      <c r="CQ423" s="98"/>
      <c r="CR423" s="98"/>
      <c r="CS423" s="98"/>
      <c r="CT423" s="98"/>
      <c r="CU423" s="98"/>
      <c r="CV423" s="98"/>
      <c r="CW423" s="98"/>
      <c r="CX423" s="98"/>
      <c r="CY423" s="1247"/>
      <c r="CZ423" s="1247"/>
      <c r="DA423" s="1247"/>
      <c r="DB423" s="98"/>
      <c r="DC423" s="2925"/>
      <c r="DD423" s="98"/>
      <c r="DE423" s="98"/>
      <c r="DF423" s="98"/>
      <c r="DG423" s="98"/>
      <c r="DH423" s="2925"/>
      <c r="DI423" s="2925"/>
      <c r="DJ423" s="2925"/>
      <c r="DK423" s="2925"/>
      <c r="DL423" s="2925"/>
      <c r="DM423" s="2925"/>
      <c r="DN423" s="2925"/>
      <c r="DO423" s="2925"/>
      <c r="DP423" s="2925"/>
      <c r="DQ423" s="2925"/>
      <c r="DR423" s="2925"/>
    </row>
    <row r="424" spans="1:122">
      <c r="A424" s="190" t="s">
        <v>148</v>
      </c>
      <c r="B424" s="48"/>
      <c r="C424" s="48"/>
      <c r="D424" s="48"/>
      <c r="E424" s="48"/>
      <c r="F424" s="48"/>
      <c r="G424" s="48"/>
      <c r="H424" s="48"/>
      <c r="I424" s="48"/>
      <c r="J424" s="197"/>
      <c r="K424" s="201">
        <v>7.7499999999999999E-2</v>
      </c>
      <c r="L424" s="202">
        <f t="shared" si="648"/>
        <v>7.7499999999999999E-2</v>
      </c>
      <c r="M424" s="202">
        <f t="shared" si="648"/>
        <v>7.7499999999999999E-2</v>
      </c>
      <c r="N424" s="202">
        <f t="shared" si="649"/>
        <v>7.7499999999999999E-2</v>
      </c>
      <c r="O424" s="919"/>
      <c r="P424" s="202"/>
      <c r="Q424" s="202"/>
      <c r="R424" s="202">
        <f t="shared" si="650"/>
        <v>7.7499999999999999E-2</v>
      </c>
      <c r="S424" s="202">
        <f t="shared" si="649"/>
        <v>7.7499999999999999E-2</v>
      </c>
      <c r="T424" s="202">
        <f t="shared" si="649"/>
        <v>7.7499999999999999E-2</v>
      </c>
      <c r="U424" s="202">
        <f t="shared" si="649"/>
        <v>7.7499999999999999E-2</v>
      </c>
      <c r="V424" s="202">
        <f t="shared" si="649"/>
        <v>7.7499999999999999E-2</v>
      </c>
      <c r="W424" s="202">
        <f t="shared" si="649"/>
        <v>7.7499999999999999E-2</v>
      </c>
      <c r="X424" s="202"/>
      <c r="Y424" s="202"/>
      <c r="Z424" s="202">
        <f t="shared" si="651"/>
        <v>7.7499999999999999E-2</v>
      </c>
      <c r="AA424" s="203">
        <f t="shared" si="652"/>
        <v>7.7499999999999999E-2</v>
      </c>
      <c r="AB424" s="203"/>
      <c r="AC424" s="203">
        <f t="shared" si="644"/>
        <v>7.7499999999999999E-2</v>
      </c>
      <c r="AD424" s="203">
        <f t="shared" si="645"/>
        <v>7.7499999999999999E-2</v>
      </c>
      <c r="AE424" s="203">
        <f t="shared" si="645"/>
        <v>7.7499999999999999E-2</v>
      </c>
      <c r="AF424" s="203">
        <f t="shared" si="646"/>
        <v>7.7499999999999999E-2</v>
      </c>
      <c r="AG424" s="203">
        <f t="shared" si="646"/>
        <v>7.7499999999999999E-2</v>
      </c>
      <c r="AH424" s="203">
        <f t="shared" si="646"/>
        <v>7.7499999999999999E-2</v>
      </c>
      <c r="AI424" s="203">
        <f t="shared" si="647"/>
        <v>7.7499999999999999E-2</v>
      </c>
      <c r="AJ424" s="203">
        <f t="shared" si="647"/>
        <v>7.7499999999999999E-2</v>
      </c>
      <c r="AK424" s="203">
        <f t="shared" si="647"/>
        <v>7.7499999999999999E-2</v>
      </c>
      <c r="AL424" s="1371">
        <f t="shared" si="647"/>
        <v>7.7499999999999999E-2</v>
      </c>
      <c r="AM424" s="1371">
        <f t="shared" si="647"/>
        <v>7.7499999999999999E-2</v>
      </c>
      <c r="AN424" s="1371">
        <f t="shared" si="647"/>
        <v>7.7499999999999999E-2</v>
      </c>
      <c r="AO424" s="203"/>
      <c r="AP424" s="203"/>
      <c r="AQ424" s="203"/>
      <c r="AR424" s="203"/>
      <c r="AS424" s="203"/>
      <c r="AT424" s="203"/>
      <c r="AU424" s="95"/>
      <c r="AV424" s="4"/>
      <c r="AW424" s="89"/>
      <c r="AX424" s="89"/>
      <c r="AY424" s="89"/>
      <c r="AZ424" s="89"/>
      <c r="BA424" s="89"/>
      <c r="BB424" s="89"/>
      <c r="BC424" s="89"/>
      <c r="BD424" s="89"/>
      <c r="BE424" s="89"/>
      <c r="BF424" s="89"/>
      <c r="BG424" s="89"/>
      <c r="BH424" s="98"/>
      <c r="BI424" s="89"/>
      <c r="BJ424" s="89"/>
      <c r="BK424" s="89"/>
      <c r="BL424" s="89"/>
      <c r="BM424" s="89"/>
      <c r="BN424" s="89"/>
      <c r="BO424" s="89"/>
      <c r="BP424" s="89"/>
      <c r="BQ424" s="89"/>
      <c r="BR424" s="89"/>
      <c r="BS424" s="89"/>
      <c r="BT424" s="89"/>
      <c r="BU424" s="89"/>
      <c r="BV424" s="89"/>
      <c r="BW424" s="89"/>
      <c r="BX424" s="89"/>
      <c r="BY424" s="89"/>
      <c r="BZ424" s="89"/>
      <c r="CA424" s="89"/>
      <c r="CB424" s="89"/>
      <c r="CC424" s="89"/>
      <c r="CD424" s="89"/>
      <c r="CE424" s="89"/>
      <c r="CF424" s="89"/>
      <c r="CG424" s="89"/>
      <c r="CH424" s="89"/>
      <c r="CI424" s="89"/>
      <c r="CJ424" s="89"/>
      <c r="CK424" s="89"/>
      <c r="CL424" s="89"/>
      <c r="CM424" s="89"/>
      <c r="CN424" s="89"/>
      <c r="CO424" s="98"/>
      <c r="CP424" s="98"/>
      <c r="CQ424" s="98"/>
      <c r="CR424" s="98"/>
      <c r="CS424" s="98"/>
      <c r="CT424" s="98"/>
      <c r="CU424" s="98"/>
      <c r="CV424" s="98"/>
      <c r="CW424" s="98"/>
      <c r="CX424" s="98"/>
      <c r="CY424" s="1247"/>
      <c r="CZ424" s="1247"/>
      <c r="DA424" s="1247"/>
      <c r="DB424" s="98"/>
      <c r="DC424" s="2925"/>
      <c r="DD424" s="98"/>
      <c r="DE424" s="98"/>
      <c r="DF424" s="98"/>
      <c r="DG424" s="98"/>
      <c r="DH424" s="2925"/>
      <c r="DI424" s="2925"/>
      <c r="DJ424" s="2925"/>
      <c r="DK424" s="2925"/>
      <c r="DL424" s="2925"/>
      <c r="DM424" s="2925"/>
      <c r="DN424" s="2925"/>
      <c r="DO424" s="2925"/>
      <c r="DP424" s="2925"/>
      <c r="DQ424" s="2925"/>
      <c r="DR424" s="2925"/>
    </row>
    <row r="425" spans="1:122">
      <c r="A425" s="190" t="s">
        <v>149</v>
      </c>
      <c r="B425" s="48"/>
      <c r="C425" s="48"/>
      <c r="D425" s="48"/>
      <c r="E425" s="48"/>
      <c r="F425" s="48"/>
      <c r="G425" s="48"/>
      <c r="H425" s="48"/>
      <c r="I425" s="48"/>
      <c r="J425" s="197"/>
      <c r="K425" s="201">
        <v>6.4000000000000001E-2</v>
      </c>
      <c r="L425" s="202">
        <f t="shared" si="648"/>
        <v>6.4000000000000001E-2</v>
      </c>
      <c r="M425" s="202">
        <f t="shared" si="648"/>
        <v>6.4000000000000001E-2</v>
      </c>
      <c r="N425" s="202">
        <f t="shared" si="649"/>
        <v>6.4000000000000001E-2</v>
      </c>
      <c r="O425" s="919"/>
      <c r="P425" s="202"/>
      <c r="Q425" s="202"/>
      <c r="R425" s="202">
        <f t="shared" si="650"/>
        <v>6.4000000000000001E-2</v>
      </c>
      <c r="S425" s="202">
        <f t="shared" si="649"/>
        <v>6.4000000000000001E-2</v>
      </c>
      <c r="T425" s="202">
        <f t="shared" si="649"/>
        <v>6.4000000000000001E-2</v>
      </c>
      <c r="U425" s="202">
        <f t="shared" si="649"/>
        <v>6.4000000000000001E-2</v>
      </c>
      <c r="V425" s="202">
        <f t="shared" si="649"/>
        <v>6.4000000000000001E-2</v>
      </c>
      <c r="W425" s="202">
        <f t="shared" si="649"/>
        <v>6.4000000000000001E-2</v>
      </c>
      <c r="X425" s="202"/>
      <c r="Y425" s="202"/>
      <c r="Z425" s="202">
        <f t="shared" si="651"/>
        <v>6.4000000000000001E-2</v>
      </c>
      <c r="AA425" s="203">
        <f t="shared" si="652"/>
        <v>6.4000000000000001E-2</v>
      </c>
      <c r="AB425" s="203"/>
      <c r="AC425" s="203">
        <f t="shared" si="644"/>
        <v>6.4000000000000001E-2</v>
      </c>
      <c r="AD425" s="203">
        <f t="shared" si="645"/>
        <v>6.4000000000000001E-2</v>
      </c>
      <c r="AE425" s="203">
        <f t="shared" si="645"/>
        <v>6.4000000000000001E-2</v>
      </c>
      <c r="AF425" s="203">
        <f t="shared" si="646"/>
        <v>6.4000000000000001E-2</v>
      </c>
      <c r="AG425" s="203">
        <f t="shared" si="646"/>
        <v>6.4000000000000001E-2</v>
      </c>
      <c r="AH425" s="203">
        <f t="shared" si="646"/>
        <v>6.4000000000000001E-2</v>
      </c>
      <c r="AI425" s="203">
        <f t="shared" si="647"/>
        <v>6.4000000000000001E-2</v>
      </c>
      <c r="AJ425" s="203">
        <f t="shared" si="647"/>
        <v>6.4000000000000001E-2</v>
      </c>
      <c r="AK425" s="203">
        <f t="shared" si="647"/>
        <v>6.4000000000000001E-2</v>
      </c>
      <c r="AL425" s="1371">
        <f t="shared" si="647"/>
        <v>6.4000000000000001E-2</v>
      </c>
      <c r="AM425" s="1371">
        <f t="shared" si="647"/>
        <v>6.4000000000000001E-2</v>
      </c>
      <c r="AN425" s="1371">
        <f t="shared" si="647"/>
        <v>6.4000000000000001E-2</v>
      </c>
      <c r="AO425" s="203"/>
      <c r="AP425" s="203"/>
      <c r="AQ425" s="203"/>
      <c r="AR425" s="203"/>
      <c r="AS425" s="203"/>
      <c r="AT425" s="203"/>
      <c r="AU425" s="95"/>
      <c r="AV425" s="4"/>
      <c r="AW425" s="89"/>
      <c r="AX425" s="89"/>
      <c r="AY425" s="89"/>
      <c r="AZ425" s="89"/>
      <c r="BA425" s="89"/>
      <c r="BB425" s="89"/>
      <c r="BC425" s="89"/>
      <c r="BD425" s="89"/>
      <c r="BE425" s="89"/>
      <c r="BF425" s="89"/>
      <c r="BG425" s="89"/>
      <c r="BH425" s="98"/>
      <c r="BI425" s="89"/>
      <c r="BJ425" s="89"/>
      <c r="BK425" s="89"/>
      <c r="BL425" s="89"/>
      <c r="BM425" s="89"/>
      <c r="BN425" s="89"/>
      <c r="BO425" s="89"/>
      <c r="BP425" s="89"/>
      <c r="BQ425" s="89"/>
      <c r="BR425" s="89"/>
      <c r="BS425" s="89"/>
      <c r="BT425" s="89"/>
      <c r="BU425" s="89"/>
      <c r="BV425" s="89"/>
      <c r="BW425" s="89"/>
      <c r="BX425" s="89"/>
      <c r="BY425" s="89"/>
      <c r="BZ425" s="89"/>
      <c r="CA425" s="89"/>
      <c r="CB425" s="89"/>
      <c r="CC425" s="89"/>
      <c r="CD425" s="89"/>
      <c r="CE425" s="89"/>
      <c r="CF425" s="89"/>
      <c r="CG425" s="89"/>
      <c r="CH425" s="89"/>
      <c r="CI425" s="89"/>
      <c r="CJ425" s="89"/>
      <c r="CK425" s="89"/>
      <c r="CL425" s="89"/>
      <c r="CM425" s="89"/>
      <c r="CN425" s="89"/>
      <c r="CO425" s="98"/>
      <c r="CP425" s="98"/>
      <c r="CQ425" s="98"/>
      <c r="CR425" s="98"/>
      <c r="CS425" s="98"/>
      <c r="CT425" s="98"/>
      <c r="CU425" s="98"/>
      <c r="CV425" s="98"/>
      <c r="CW425" s="98"/>
      <c r="CX425" s="98"/>
      <c r="CY425" s="1247"/>
      <c r="CZ425" s="1247"/>
      <c r="DA425" s="1247"/>
      <c r="DB425" s="98"/>
      <c r="DC425" s="2925"/>
      <c r="DD425" s="98"/>
      <c r="DE425" s="98"/>
      <c r="DF425" s="98"/>
      <c r="DG425" s="98"/>
      <c r="DH425" s="2925"/>
      <c r="DI425" s="2925"/>
      <c r="DJ425" s="2925"/>
      <c r="DK425" s="2925"/>
      <c r="DL425" s="2925"/>
      <c r="DM425" s="2925"/>
      <c r="DN425" s="2925"/>
      <c r="DO425" s="2925"/>
      <c r="DP425" s="2925"/>
      <c r="DQ425" s="2925"/>
      <c r="DR425" s="2925"/>
    </row>
    <row r="426" spans="1:122">
      <c r="A426" s="190" t="s">
        <v>150</v>
      </c>
      <c r="B426" s="48"/>
      <c r="C426" s="48"/>
      <c r="D426" s="48"/>
      <c r="E426" s="48"/>
      <c r="F426" s="48"/>
      <c r="G426" s="48"/>
      <c r="H426" s="48"/>
      <c r="I426" s="48"/>
      <c r="J426" s="197"/>
      <c r="K426" s="201">
        <v>5.6250000000000001E-2</v>
      </c>
      <c r="L426" s="202">
        <f t="shared" si="648"/>
        <v>5.6250000000000001E-2</v>
      </c>
      <c r="M426" s="202">
        <f t="shared" si="648"/>
        <v>5.6250000000000001E-2</v>
      </c>
      <c r="N426" s="202">
        <f t="shared" si="649"/>
        <v>5.6250000000000001E-2</v>
      </c>
      <c r="O426" s="919"/>
      <c r="P426" s="202"/>
      <c r="Q426" s="202"/>
      <c r="R426" s="202">
        <f t="shared" si="650"/>
        <v>5.6250000000000001E-2</v>
      </c>
      <c r="S426" s="202">
        <f t="shared" si="649"/>
        <v>5.6250000000000001E-2</v>
      </c>
      <c r="T426" s="202">
        <f t="shared" si="649"/>
        <v>5.6250000000000001E-2</v>
      </c>
      <c r="U426" s="202">
        <f t="shared" si="649"/>
        <v>5.6250000000000001E-2</v>
      </c>
      <c r="V426" s="202">
        <f t="shared" si="649"/>
        <v>5.6250000000000001E-2</v>
      </c>
      <c r="W426" s="202">
        <f t="shared" si="649"/>
        <v>5.6250000000000001E-2</v>
      </c>
      <c r="X426" s="202"/>
      <c r="Y426" s="202"/>
      <c r="Z426" s="202">
        <f t="shared" si="651"/>
        <v>5.6250000000000001E-2</v>
      </c>
      <c r="AA426" s="203">
        <f t="shared" si="652"/>
        <v>5.6250000000000001E-2</v>
      </c>
      <c r="AB426" s="203"/>
      <c r="AC426" s="203">
        <f t="shared" si="644"/>
        <v>5.6250000000000001E-2</v>
      </c>
      <c r="AD426" s="203">
        <f t="shared" si="645"/>
        <v>5.6250000000000001E-2</v>
      </c>
      <c r="AE426" s="203">
        <f t="shared" si="645"/>
        <v>5.6250000000000001E-2</v>
      </c>
      <c r="AF426" s="203">
        <f t="shared" si="646"/>
        <v>5.6250000000000001E-2</v>
      </c>
      <c r="AG426" s="203">
        <f t="shared" si="646"/>
        <v>5.6250000000000001E-2</v>
      </c>
      <c r="AH426" s="203">
        <f t="shared" si="646"/>
        <v>5.6250000000000001E-2</v>
      </c>
      <c r="AI426" s="203">
        <f t="shared" si="647"/>
        <v>5.6250000000000001E-2</v>
      </c>
      <c r="AJ426" s="203">
        <f t="shared" si="647"/>
        <v>5.6250000000000001E-2</v>
      </c>
      <c r="AK426" s="203">
        <f t="shared" si="647"/>
        <v>5.6250000000000001E-2</v>
      </c>
      <c r="AL426" s="1371">
        <f t="shared" si="647"/>
        <v>5.6250000000000001E-2</v>
      </c>
      <c r="AM426" s="1371">
        <f t="shared" si="647"/>
        <v>5.6250000000000001E-2</v>
      </c>
      <c r="AN426" s="1371">
        <f t="shared" si="647"/>
        <v>5.6250000000000001E-2</v>
      </c>
      <c r="AO426" s="203"/>
      <c r="AP426" s="203"/>
      <c r="AQ426" s="203"/>
      <c r="AR426" s="203"/>
      <c r="AS426" s="203"/>
      <c r="AT426" s="203"/>
      <c r="AU426" s="95"/>
      <c r="AV426" s="4"/>
      <c r="AW426" s="89"/>
      <c r="AX426" s="89"/>
      <c r="AY426" s="89"/>
      <c r="AZ426" s="89"/>
      <c r="BA426" s="89"/>
      <c r="BB426" s="89"/>
      <c r="BC426" s="89"/>
      <c r="BD426" s="89"/>
      <c r="BE426" s="89"/>
      <c r="BF426" s="89"/>
      <c r="BG426" s="89"/>
      <c r="BH426" s="98"/>
      <c r="BI426" s="89"/>
      <c r="BJ426" s="89"/>
      <c r="BK426" s="89"/>
      <c r="BL426" s="89"/>
      <c r="BM426" s="89"/>
      <c r="BN426" s="89"/>
      <c r="BO426" s="89"/>
      <c r="BP426" s="89"/>
      <c r="BQ426" s="89"/>
      <c r="BR426" s="89"/>
      <c r="BS426" s="89"/>
      <c r="BT426" s="89"/>
      <c r="BU426" s="89"/>
      <c r="BV426" s="89"/>
      <c r="BW426" s="89"/>
      <c r="BX426" s="89"/>
      <c r="BY426" s="89"/>
      <c r="BZ426" s="89"/>
      <c r="CA426" s="89"/>
      <c r="CB426" s="89"/>
      <c r="CC426" s="89"/>
      <c r="CD426" s="89"/>
      <c r="CE426" s="89"/>
      <c r="CF426" s="89"/>
      <c r="CG426" s="89"/>
      <c r="CH426" s="89"/>
      <c r="CI426" s="89"/>
      <c r="CJ426" s="89"/>
      <c r="CK426" s="89"/>
      <c r="CL426" s="89"/>
      <c r="CM426" s="89"/>
      <c r="CN426" s="89"/>
      <c r="CO426" s="98"/>
      <c r="CP426" s="98"/>
      <c r="CQ426" s="98"/>
      <c r="CR426" s="98"/>
      <c r="CS426" s="98"/>
      <c r="CT426" s="98"/>
      <c r="CU426" s="98"/>
      <c r="CV426" s="98"/>
      <c r="CW426" s="98"/>
      <c r="CX426" s="98"/>
      <c r="CY426" s="1247"/>
      <c r="CZ426" s="1247"/>
      <c r="DA426" s="1247"/>
      <c r="DB426" s="98"/>
      <c r="DC426" s="2925"/>
      <c r="DD426" s="98"/>
      <c r="DE426" s="98"/>
      <c r="DF426" s="98"/>
      <c r="DG426" s="98"/>
      <c r="DH426" s="2925"/>
      <c r="DI426" s="2925"/>
      <c r="DJ426" s="2925"/>
      <c r="DK426" s="2925"/>
      <c r="DL426" s="2925"/>
      <c r="DM426" s="2925"/>
      <c r="DN426" s="2925"/>
      <c r="DO426" s="2925"/>
      <c r="DP426" s="2925"/>
      <c r="DQ426" s="2925"/>
      <c r="DR426" s="2925"/>
    </row>
    <row r="427" spans="1:122">
      <c r="A427" s="190" t="s">
        <v>151</v>
      </c>
      <c r="B427" s="48"/>
      <c r="C427" s="48"/>
      <c r="D427" s="48"/>
      <c r="E427" s="48"/>
      <c r="F427" s="48"/>
      <c r="G427" s="48"/>
      <c r="H427" s="48"/>
      <c r="I427" s="48"/>
      <c r="J427" s="197"/>
      <c r="K427" s="201">
        <v>7.6999999999999999E-2</v>
      </c>
      <c r="L427" s="202">
        <f t="shared" si="648"/>
        <v>7.6999999999999999E-2</v>
      </c>
      <c r="M427" s="202">
        <f t="shared" si="648"/>
        <v>7.6999999999999999E-2</v>
      </c>
      <c r="N427" s="202">
        <f t="shared" si="649"/>
        <v>7.6999999999999999E-2</v>
      </c>
      <c r="O427" s="919"/>
      <c r="P427" s="202"/>
      <c r="Q427" s="202"/>
      <c r="R427" s="202">
        <f t="shared" si="650"/>
        <v>7.6999999999999999E-2</v>
      </c>
      <c r="S427" s="202">
        <f t="shared" si="649"/>
        <v>7.6999999999999999E-2</v>
      </c>
      <c r="T427" s="202">
        <f t="shared" si="649"/>
        <v>7.6999999999999999E-2</v>
      </c>
      <c r="U427" s="202">
        <f t="shared" si="649"/>
        <v>7.6999999999999999E-2</v>
      </c>
      <c r="V427" s="202">
        <f t="shared" si="649"/>
        <v>7.6999999999999999E-2</v>
      </c>
      <c r="W427" s="202">
        <f t="shared" si="649"/>
        <v>7.6999999999999999E-2</v>
      </c>
      <c r="X427" s="202"/>
      <c r="Y427" s="202"/>
      <c r="Z427" s="202">
        <f t="shared" si="651"/>
        <v>7.6999999999999999E-2</v>
      </c>
      <c r="AA427" s="203">
        <f t="shared" si="652"/>
        <v>7.6999999999999999E-2</v>
      </c>
      <c r="AB427" s="203"/>
      <c r="AC427" s="203">
        <f t="shared" si="644"/>
        <v>7.6999999999999999E-2</v>
      </c>
      <c r="AD427" s="203">
        <f t="shared" si="645"/>
        <v>7.6999999999999999E-2</v>
      </c>
      <c r="AE427" s="203">
        <f t="shared" si="645"/>
        <v>7.6999999999999999E-2</v>
      </c>
      <c r="AF427" s="203">
        <f t="shared" si="646"/>
        <v>7.6999999999999999E-2</v>
      </c>
      <c r="AG427" s="203">
        <f t="shared" si="646"/>
        <v>7.6999999999999999E-2</v>
      </c>
      <c r="AH427" s="203">
        <f t="shared" si="646"/>
        <v>7.6999999999999999E-2</v>
      </c>
      <c r="AI427" s="203">
        <f t="shared" si="647"/>
        <v>7.6999999999999999E-2</v>
      </c>
      <c r="AJ427" s="203">
        <f t="shared" si="647"/>
        <v>7.6999999999999999E-2</v>
      </c>
      <c r="AK427" s="203">
        <f t="shared" si="647"/>
        <v>7.6999999999999999E-2</v>
      </c>
      <c r="AL427" s="1371">
        <f t="shared" si="647"/>
        <v>7.6999999999999999E-2</v>
      </c>
      <c r="AM427" s="1371">
        <f t="shared" si="647"/>
        <v>7.6999999999999999E-2</v>
      </c>
      <c r="AN427" s="1371">
        <f t="shared" si="647"/>
        <v>7.6999999999999999E-2</v>
      </c>
      <c r="AO427" s="203"/>
      <c r="AP427" s="203"/>
      <c r="AQ427" s="203"/>
      <c r="AR427" s="203"/>
      <c r="AS427" s="203"/>
      <c r="AT427" s="203"/>
      <c r="AU427" s="95"/>
      <c r="AV427" s="4"/>
      <c r="AW427" s="89"/>
      <c r="AX427" s="89"/>
      <c r="AY427" s="89"/>
      <c r="AZ427" s="89"/>
      <c r="BA427" s="89"/>
      <c r="BB427" s="89"/>
      <c r="BC427" s="89"/>
      <c r="BD427" s="89"/>
      <c r="BE427" s="89"/>
      <c r="BF427" s="89"/>
      <c r="BG427" s="89"/>
      <c r="BH427" s="98"/>
      <c r="BI427" s="89"/>
      <c r="BJ427" s="89"/>
      <c r="BK427" s="89"/>
      <c r="BL427" s="89"/>
      <c r="BM427" s="89"/>
      <c r="BN427" s="89"/>
      <c r="BO427" s="89"/>
      <c r="BP427" s="89"/>
      <c r="BQ427" s="89"/>
      <c r="BR427" s="89"/>
      <c r="BS427" s="89"/>
      <c r="BT427" s="89"/>
      <c r="BU427" s="89"/>
      <c r="BV427" s="89"/>
      <c r="BW427" s="89"/>
      <c r="BX427" s="89"/>
      <c r="BY427" s="89"/>
      <c r="BZ427" s="89"/>
      <c r="CA427" s="89"/>
      <c r="CB427" s="89"/>
      <c r="CC427" s="89"/>
      <c r="CD427" s="89"/>
      <c r="CE427" s="89"/>
      <c r="CF427" s="89"/>
      <c r="CG427" s="89"/>
      <c r="CH427" s="89"/>
      <c r="CI427" s="89"/>
      <c r="CJ427" s="89"/>
      <c r="CK427" s="89"/>
      <c r="CL427" s="89"/>
      <c r="CM427" s="89"/>
      <c r="CN427" s="89"/>
      <c r="CO427" s="98"/>
      <c r="CP427" s="98"/>
      <c r="CQ427" s="98"/>
      <c r="CR427" s="98"/>
      <c r="CS427" s="98"/>
      <c r="CT427" s="98"/>
      <c r="CU427" s="98"/>
      <c r="CV427" s="98"/>
      <c r="CW427" s="98"/>
      <c r="CX427" s="98"/>
      <c r="CY427" s="1247"/>
      <c r="CZ427" s="1247"/>
      <c r="DA427" s="1247"/>
      <c r="DB427" s="98"/>
      <c r="DC427" s="2925"/>
      <c r="DD427" s="98"/>
      <c r="DE427" s="98"/>
      <c r="DF427" s="98"/>
      <c r="DG427" s="98"/>
      <c r="DH427" s="2925"/>
      <c r="DI427" s="2925"/>
      <c r="DJ427" s="2925"/>
      <c r="DK427" s="2925"/>
      <c r="DL427" s="2925"/>
      <c r="DM427" s="2925"/>
      <c r="DN427" s="2925"/>
      <c r="DO427" s="2925"/>
      <c r="DP427" s="2925"/>
      <c r="DQ427" s="2925"/>
      <c r="DR427" s="2925"/>
    </row>
    <row r="428" spans="1:122">
      <c r="A428" s="190" t="s">
        <v>152</v>
      </c>
      <c r="B428" s="48"/>
      <c r="C428" s="48"/>
      <c r="D428" s="48"/>
      <c r="E428" s="48"/>
      <c r="F428" s="48"/>
      <c r="G428" s="48"/>
      <c r="H428" s="48"/>
      <c r="I428" s="48"/>
      <c r="J428" s="197"/>
      <c r="K428" s="201">
        <v>6.6250000000000003E-2</v>
      </c>
      <c r="L428" s="202">
        <f t="shared" si="648"/>
        <v>6.6250000000000003E-2</v>
      </c>
      <c r="M428" s="202">
        <f t="shared" si="648"/>
        <v>6.6250000000000003E-2</v>
      </c>
      <c r="N428" s="202">
        <f t="shared" si="649"/>
        <v>6.6250000000000003E-2</v>
      </c>
      <c r="O428" s="919"/>
      <c r="P428" s="202"/>
      <c r="Q428" s="202"/>
      <c r="R428" s="202">
        <f t="shared" si="650"/>
        <v>6.6250000000000003E-2</v>
      </c>
      <c r="S428" s="202">
        <f t="shared" si="649"/>
        <v>6.6250000000000003E-2</v>
      </c>
      <c r="T428" s="202">
        <f t="shared" si="649"/>
        <v>6.6250000000000003E-2</v>
      </c>
      <c r="U428" s="202">
        <f t="shared" si="649"/>
        <v>6.6250000000000003E-2</v>
      </c>
      <c r="V428" s="202">
        <f t="shared" si="649"/>
        <v>6.6250000000000003E-2</v>
      </c>
      <c r="W428" s="202">
        <f t="shared" si="649"/>
        <v>6.6250000000000003E-2</v>
      </c>
      <c r="X428" s="202"/>
      <c r="Y428" s="202"/>
      <c r="Z428" s="202">
        <f t="shared" si="651"/>
        <v>6.6250000000000003E-2</v>
      </c>
      <c r="AA428" s="203">
        <f t="shared" si="652"/>
        <v>6.6250000000000003E-2</v>
      </c>
      <c r="AB428" s="203"/>
      <c r="AC428" s="203">
        <f t="shared" si="644"/>
        <v>6.6250000000000003E-2</v>
      </c>
      <c r="AD428" s="203">
        <f t="shared" si="645"/>
        <v>6.6250000000000003E-2</v>
      </c>
      <c r="AE428" s="203">
        <f t="shared" si="645"/>
        <v>6.6250000000000003E-2</v>
      </c>
      <c r="AF428" s="203">
        <f t="shared" si="646"/>
        <v>6.6250000000000003E-2</v>
      </c>
      <c r="AG428" s="203">
        <f t="shared" si="646"/>
        <v>6.6250000000000003E-2</v>
      </c>
      <c r="AH428" s="203">
        <f t="shared" si="646"/>
        <v>6.6250000000000003E-2</v>
      </c>
      <c r="AI428" s="203">
        <f t="shared" si="647"/>
        <v>6.6250000000000003E-2</v>
      </c>
      <c r="AJ428" s="203">
        <f t="shared" si="647"/>
        <v>6.6250000000000003E-2</v>
      </c>
      <c r="AK428" s="203">
        <f t="shared" si="647"/>
        <v>6.6250000000000003E-2</v>
      </c>
      <c r="AL428" s="1371">
        <f t="shared" si="647"/>
        <v>6.6250000000000003E-2</v>
      </c>
      <c r="AM428" s="1371">
        <f t="shared" si="647"/>
        <v>6.6250000000000003E-2</v>
      </c>
      <c r="AN428" s="1371">
        <f t="shared" si="647"/>
        <v>6.6250000000000003E-2</v>
      </c>
      <c r="AO428" s="203"/>
      <c r="AP428" s="203"/>
      <c r="AQ428" s="203"/>
      <c r="AR428" s="203"/>
      <c r="AS428" s="203"/>
      <c r="AT428" s="203"/>
      <c r="AU428" s="95"/>
      <c r="AV428" s="4"/>
      <c r="AW428" s="89"/>
      <c r="AX428" s="89"/>
      <c r="AY428" s="89"/>
      <c r="AZ428" s="89"/>
      <c r="BA428" s="89"/>
      <c r="BB428" s="89"/>
      <c r="BC428" s="89"/>
      <c r="BD428" s="89"/>
      <c r="BE428" s="89"/>
      <c r="BF428" s="89"/>
      <c r="BG428" s="89"/>
      <c r="BH428" s="98"/>
      <c r="BI428" s="89"/>
      <c r="BJ428" s="89"/>
      <c r="BK428" s="89"/>
      <c r="BL428" s="89"/>
      <c r="BM428" s="89"/>
      <c r="BN428" s="89"/>
      <c r="BO428" s="89"/>
      <c r="BP428" s="89"/>
      <c r="BQ428" s="89"/>
      <c r="BR428" s="89"/>
      <c r="BS428" s="89"/>
      <c r="BT428" s="89"/>
      <c r="BU428" s="89"/>
      <c r="BV428" s="89"/>
      <c r="BW428" s="89"/>
      <c r="BX428" s="89"/>
      <c r="BY428" s="89"/>
      <c r="BZ428" s="89"/>
      <c r="CA428" s="89"/>
      <c r="CB428" s="89"/>
      <c r="CC428" s="89"/>
      <c r="CD428" s="89"/>
      <c r="CE428" s="89"/>
      <c r="CF428" s="89"/>
      <c r="CG428" s="89"/>
      <c r="CH428" s="89"/>
      <c r="CI428" s="89"/>
      <c r="CJ428" s="89"/>
      <c r="CK428" s="89"/>
      <c r="CL428" s="89"/>
      <c r="CM428" s="89"/>
      <c r="CN428" s="89"/>
      <c r="CO428" s="98"/>
      <c r="CP428" s="98"/>
      <c r="CQ428" s="98"/>
      <c r="CR428" s="98"/>
      <c r="CS428" s="98"/>
      <c r="CT428" s="98"/>
      <c r="CU428" s="98"/>
      <c r="CV428" s="98"/>
      <c r="CW428" s="98"/>
      <c r="CX428" s="98"/>
      <c r="CY428" s="1247"/>
      <c r="CZ428" s="1247"/>
      <c r="DA428" s="1247"/>
      <c r="DB428" s="98"/>
      <c r="DC428" s="2925"/>
      <c r="DD428" s="98"/>
      <c r="DE428" s="98"/>
      <c r="DF428" s="98"/>
      <c r="DG428" s="98"/>
      <c r="DH428" s="2925"/>
      <c r="DI428" s="2925"/>
      <c r="DJ428" s="2925"/>
      <c r="DK428" s="2925"/>
      <c r="DL428" s="2925"/>
      <c r="DM428" s="2925"/>
      <c r="DN428" s="2925"/>
      <c r="DO428" s="2925"/>
      <c r="DP428" s="2925"/>
      <c r="DQ428" s="2925"/>
      <c r="DR428" s="2925"/>
    </row>
    <row r="429" spans="1:122">
      <c r="A429" s="190" t="s">
        <v>153</v>
      </c>
      <c r="B429" s="48"/>
      <c r="C429" s="48"/>
      <c r="D429" s="48"/>
      <c r="E429" s="48"/>
      <c r="F429" s="48"/>
      <c r="G429" s="48"/>
      <c r="H429" s="48"/>
      <c r="I429" s="48"/>
      <c r="J429" s="197"/>
      <c r="K429" s="201">
        <v>8.6249999999999993E-2</v>
      </c>
      <c r="L429" s="202">
        <f t="shared" si="648"/>
        <v>8.6249999999999993E-2</v>
      </c>
      <c r="M429" s="202">
        <f t="shared" si="648"/>
        <v>8.6249999999999993E-2</v>
      </c>
      <c r="N429" s="202">
        <f t="shared" si="649"/>
        <v>8.6249999999999993E-2</v>
      </c>
      <c r="O429" s="919"/>
      <c r="P429" s="202"/>
      <c r="Q429" s="202"/>
      <c r="R429" s="202">
        <f t="shared" si="650"/>
        <v>8.6249999999999993E-2</v>
      </c>
      <c r="S429" s="202">
        <f t="shared" si="649"/>
        <v>8.6249999999999993E-2</v>
      </c>
      <c r="T429" s="202">
        <f t="shared" si="649"/>
        <v>8.6249999999999993E-2</v>
      </c>
      <c r="U429" s="202">
        <f t="shared" si="649"/>
        <v>8.6249999999999993E-2</v>
      </c>
      <c r="V429" s="202">
        <f t="shared" si="649"/>
        <v>8.6249999999999993E-2</v>
      </c>
      <c r="W429" s="202">
        <f t="shared" si="649"/>
        <v>8.6249999999999993E-2</v>
      </c>
      <c r="X429" s="202"/>
      <c r="Y429" s="202"/>
      <c r="Z429" s="202">
        <f t="shared" si="651"/>
        <v>8.6249999999999993E-2</v>
      </c>
      <c r="AA429" s="203">
        <f t="shared" si="652"/>
        <v>8.6249999999999993E-2</v>
      </c>
      <c r="AB429" s="203"/>
      <c r="AC429" s="203">
        <f t="shared" si="644"/>
        <v>8.6249999999999993E-2</v>
      </c>
      <c r="AD429" s="203">
        <f t="shared" si="645"/>
        <v>8.6249999999999993E-2</v>
      </c>
      <c r="AE429" s="203">
        <f t="shared" si="645"/>
        <v>8.6249999999999993E-2</v>
      </c>
      <c r="AF429" s="203">
        <f t="shared" si="646"/>
        <v>8.6249999999999993E-2</v>
      </c>
      <c r="AG429" s="203">
        <f t="shared" si="646"/>
        <v>8.6249999999999993E-2</v>
      </c>
      <c r="AH429" s="203">
        <f t="shared" si="646"/>
        <v>8.6249999999999993E-2</v>
      </c>
      <c r="AI429" s="203">
        <f t="shared" si="647"/>
        <v>8.6249999999999993E-2</v>
      </c>
      <c r="AJ429" s="203">
        <f t="shared" si="647"/>
        <v>8.6249999999999993E-2</v>
      </c>
      <c r="AK429" s="203">
        <f t="shared" si="647"/>
        <v>8.6249999999999993E-2</v>
      </c>
      <c r="AL429" s="1371">
        <f t="shared" si="647"/>
        <v>8.6249999999999993E-2</v>
      </c>
      <c r="AM429" s="1371">
        <f t="shared" si="647"/>
        <v>8.6249999999999993E-2</v>
      </c>
      <c r="AN429" s="1371">
        <f t="shared" si="647"/>
        <v>8.6249999999999993E-2</v>
      </c>
      <c r="AO429" s="203"/>
      <c r="AP429" s="203"/>
      <c r="AQ429" s="203"/>
      <c r="AR429" s="203"/>
      <c r="AS429" s="203"/>
      <c r="AT429" s="203"/>
      <c r="AU429" s="95"/>
      <c r="AV429" s="4"/>
      <c r="AW429" s="89"/>
      <c r="AX429" s="89"/>
      <c r="AY429" s="89"/>
      <c r="AZ429" s="89"/>
      <c r="BA429" s="89"/>
      <c r="BB429" s="89"/>
      <c r="BC429" s="89"/>
      <c r="BD429" s="89"/>
      <c r="BE429" s="89"/>
      <c r="BF429" s="89"/>
      <c r="BG429" s="89"/>
      <c r="BH429" s="98"/>
      <c r="BI429" s="89"/>
      <c r="BJ429" s="89"/>
      <c r="BK429" s="89"/>
      <c r="BL429" s="89"/>
      <c r="BM429" s="89"/>
      <c r="BN429" s="89"/>
      <c r="BO429" s="89"/>
      <c r="BP429" s="89"/>
      <c r="BQ429" s="89"/>
      <c r="BR429" s="89"/>
      <c r="BS429" s="89"/>
      <c r="BT429" s="89"/>
      <c r="BU429" s="89"/>
      <c r="BV429" s="89"/>
      <c r="BW429" s="89"/>
      <c r="BX429" s="89"/>
      <c r="BY429" s="89"/>
      <c r="BZ429" s="89"/>
      <c r="CA429" s="89"/>
      <c r="CB429" s="89"/>
      <c r="CC429" s="89"/>
      <c r="CD429" s="89"/>
      <c r="CE429" s="89"/>
      <c r="CF429" s="89"/>
      <c r="CG429" s="89"/>
      <c r="CH429" s="89"/>
      <c r="CI429" s="89"/>
      <c r="CJ429" s="89"/>
      <c r="CK429" s="89"/>
      <c r="CL429" s="89"/>
      <c r="CM429" s="89"/>
      <c r="CN429" s="89"/>
      <c r="CO429" s="98"/>
      <c r="CP429" s="98"/>
      <c r="CQ429" s="98"/>
      <c r="CR429" s="98"/>
      <c r="CS429" s="98"/>
      <c r="CT429" s="98"/>
      <c r="CU429" s="98"/>
      <c r="CV429" s="98"/>
      <c r="CW429" s="98"/>
      <c r="CX429" s="98"/>
      <c r="CY429" s="1247"/>
      <c r="CZ429" s="1247"/>
      <c r="DA429" s="1247"/>
      <c r="DB429" s="98"/>
      <c r="DC429" s="2925"/>
      <c r="DD429" s="98"/>
      <c r="DE429" s="98"/>
      <c r="DF429" s="98"/>
      <c r="DG429" s="98"/>
      <c r="DH429" s="2925"/>
      <c r="DI429" s="2925"/>
      <c r="DJ429" s="2925"/>
      <c r="DK429" s="2925"/>
      <c r="DL429" s="2925"/>
      <c r="DM429" s="2925"/>
      <c r="DN429" s="2925"/>
      <c r="DO429" s="2925"/>
      <c r="DP429" s="2925"/>
      <c r="DQ429" s="2925"/>
      <c r="DR429" s="2925"/>
    </row>
    <row r="430" spans="1:122">
      <c r="A430" s="190" t="s">
        <v>154</v>
      </c>
      <c r="B430" s="48"/>
      <c r="C430" s="48"/>
      <c r="D430" s="48"/>
      <c r="E430" s="48"/>
      <c r="F430" s="48"/>
      <c r="G430" s="48"/>
      <c r="H430" s="48"/>
      <c r="I430" s="48"/>
      <c r="J430" s="197"/>
      <c r="K430" s="201">
        <v>5.6250000000000001E-2</v>
      </c>
      <c r="L430" s="202">
        <f t="shared" si="648"/>
        <v>5.6250000000000001E-2</v>
      </c>
      <c r="M430" s="202">
        <f t="shared" si="648"/>
        <v>5.6250000000000001E-2</v>
      </c>
      <c r="N430" s="202">
        <f t="shared" si="649"/>
        <v>5.6250000000000001E-2</v>
      </c>
      <c r="O430" s="919"/>
      <c r="P430" s="202"/>
      <c r="Q430" s="202"/>
      <c r="R430" s="202">
        <f t="shared" si="650"/>
        <v>5.6250000000000001E-2</v>
      </c>
      <c r="S430" s="202">
        <f t="shared" si="649"/>
        <v>5.6250000000000001E-2</v>
      </c>
      <c r="T430" s="202">
        <f t="shared" si="649"/>
        <v>5.6250000000000001E-2</v>
      </c>
      <c r="U430" s="202">
        <f t="shared" si="649"/>
        <v>5.6250000000000001E-2</v>
      </c>
      <c r="V430" s="202">
        <f t="shared" si="649"/>
        <v>5.6250000000000001E-2</v>
      </c>
      <c r="W430" s="202">
        <f t="shared" si="649"/>
        <v>5.6250000000000001E-2</v>
      </c>
      <c r="X430" s="202"/>
      <c r="Y430" s="202"/>
      <c r="Z430" s="202">
        <f t="shared" si="651"/>
        <v>5.6250000000000001E-2</v>
      </c>
      <c r="AA430" s="203">
        <f t="shared" si="652"/>
        <v>5.6250000000000001E-2</v>
      </c>
      <c r="AB430" s="203"/>
      <c r="AC430" s="203">
        <f t="shared" si="644"/>
        <v>5.6250000000000001E-2</v>
      </c>
      <c r="AD430" s="203">
        <f t="shared" si="645"/>
        <v>5.6250000000000001E-2</v>
      </c>
      <c r="AE430" s="203">
        <f t="shared" si="645"/>
        <v>5.6250000000000001E-2</v>
      </c>
      <c r="AF430" s="203">
        <f t="shared" si="646"/>
        <v>5.6250000000000001E-2</v>
      </c>
      <c r="AG430" s="203">
        <f t="shared" si="646"/>
        <v>5.6250000000000001E-2</v>
      </c>
      <c r="AH430" s="203">
        <f t="shared" si="646"/>
        <v>5.6250000000000001E-2</v>
      </c>
      <c r="AI430" s="203">
        <f t="shared" si="647"/>
        <v>5.6250000000000001E-2</v>
      </c>
      <c r="AJ430" s="203">
        <f t="shared" si="647"/>
        <v>5.6250000000000001E-2</v>
      </c>
      <c r="AK430" s="203">
        <f t="shared" si="647"/>
        <v>5.6250000000000001E-2</v>
      </c>
      <c r="AL430" s="1371">
        <f t="shared" si="647"/>
        <v>5.6250000000000001E-2</v>
      </c>
      <c r="AM430" s="1371">
        <f t="shared" si="647"/>
        <v>5.6250000000000001E-2</v>
      </c>
      <c r="AN430" s="1371">
        <f t="shared" si="647"/>
        <v>5.6250000000000001E-2</v>
      </c>
      <c r="AO430" s="203"/>
      <c r="AP430" s="203"/>
      <c r="AQ430" s="203"/>
      <c r="AR430" s="203"/>
      <c r="AS430" s="203"/>
      <c r="AT430" s="203"/>
      <c r="AU430" s="95"/>
      <c r="AV430" s="4"/>
      <c r="AW430" s="89"/>
      <c r="AX430" s="89"/>
      <c r="AY430" s="89"/>
      <c r="AZ430" s="89"/>
      <c r="BA430" s="89"/>
      <c r="BB430" s="89"/>
      <c r="BC430" s="89"/>
      <c r="BD430" s="89"/>
      <c r="BE430" s="89"/>
      <c r="BF430" s="89"/>
      <c r="BG430" s="89"/>
      <c r="BH430" s="98"/>
      <c r="BI430" s="89"/>
      <c r="BJ430" s="89"/>
      <c r="BK430" s="89"/>
      <c r="BL430" s="89"/>
      <c r="BM430" s="89"/>
      <c r="BN430" s="89"/>
      <c r="BO430" s="89"/>
      <c r="BP430" s="89"/>
      <c r="BQ430" s="89"/>
      <c r="BR430" s="89"/>
      <c r="BS430" s="89"/>
      <c r="BT430" s="89"/>
      <c r="BU430" s="89"/>
      <c r="BV430" s="89"/>
      <c r="BW430" s="89"/>
      <c r="BX430" s="89"/>
      <c r="BY430" s="89"/>
      <c r="BZ430" s="89"/>
      <c r="CA430" s="89"/>
      <c r="CB430" s="89"/>
      <c r="CC430" s="89"/>
      <c r="CD430" s="89"/>
      <c r="CE430" s="89"/>
      <c r="CF430" s="89"/>
      <c r="CG430" s="89"/>
      <c r="CH430" s="89"/>
      <c r="CI430" s="89"/>
      <c r="CJ430" s="89"/>
      <c r="CK430" s="89"/>
      <c r="CL430" s="89"/>
      <c r="CM430" s="89"/>
      <c r="CN430" s="89"/>
      <c r="CO430" s="98"/>
      <c r="CP430" s="98"/>
      <c r="CQ430" s="98"/>
      <c r="CR430" s="98"/>
      <c r="CS430" s="98"/>
      <c r="CT430" s="98"/>
      <c r="CU430" s="98"/>
      <c r="CV430" s="98"/>
      <c r="CW430" s="98"/>
      <c r="CX430" s="98"/>
      <c r="CY430" s="1247"/>
      <c r="CZ430" s="1247"/>
      <c r="DA430" s="1247"/>
      <c r="DB430" s="98"/>
      <c r="DC430" s="2925"/>
      <c r="DD430" s="98"/>
      <c r="DE430" s="98"/>
      <c r="DF430" s="98"/>
      <c r="DG430" s="98"/>
      <c r="DH430" s="2925"/>
      <c r="DI430" s="2925"/>
      <c r="DJ430" s="2925"/>
      <c r="DK430" s="2925"/>
      <c r="DL430" s="2925"/>
      <c r="DM430" s="2925"/>
      <c r="DN430" s="2925"/>
      <c r="DO430" s="2925"/>
      <c r="DP430" s="2925"/>
      <c r="DQ430" s="2925"/>
      <c r="DR430" s="2925"/>
    </row>
    <row r="431" spans="1:122">
      <c r="A431" s="190" t="s">
        <v>155</v>
      </c>
      <c r="B431" s="48"/>
      <c r="C431" s="48"/>
      <c r="D431" s="48"/>
      <c r="E431" s="48"/>
      <c r="F431" s="48"/>
      <c r="G431" s="48"/>
      <c r="H431" s="48"/>
      <c r="I431" s="48"/>
      <c r="J431" s="197"/>
      <c r="K431" s="201">
        <v>8.8749999999999996E-2</v>
      </c>
      <c r="L431" s="202">
        <f t="shared" si="648"/>
        <v>8.8749999999999996E-2</v>
      </c>
      <c r="M431" s="202">
        <f t="shared" si="648"/>
        <v>8.8749999999999996E-2</v>
      </c>
      <c r="N431" s="202">
        <f t="shared" si="649"/>
        <v>8.8749999999999996E-2</v>
      </c>
      <c r="O431" s="919"/>
      <c r="P431" s="202"/>
      <c r="Q431" s="202"/>
      <c r="R431" s="202">
        <f t="shared" si="650"/>
        <v>8.8749999999999996E-2</v>
      </c>
      <c r="S431" s="202">
        <f t="shared" si="649"/>
        <v>8.8749999999999996E-2</v>
      </c>
      <c r="T431" s="202">
        <f t="shared" si="649"/>
        <v>8.8749999999999996E-2</v>
      </c>
      <c r="U431" s="202">
        <f t="shared" si="649"/>
        <v>8.8749999999999996E-2</v>
      </c>
      <c r="V431" s="202">
        <f t="shared" si="649"/>
        <v>8.8749999999999996E-2</v>
      </c>
      <c r="W431" s="202">
        <f t="shared" si="649"/>
        <v>8.8749999999999996E-2</v>
      </c>
      <c r="X431" s="202"/>
      <c r="Y431" s="202"/>
      <c r="Z431" s="202">
        <f t="shared" si="651"/>
        <v>8.8749999999999996E-2</v>
      </c>
      <c r="AA431" s="203">
        <f t="shared" si="652"/>
        <v>8.8749999999999996E-2</v>
      </c>
      <c r="AB431" s="203"/>
      <c r="AC431" s="203">
        <f t="shared" si="644"/>
        <v>8.8749999999999996E-2</v>
      </c>
      <c r="AD431" s="203">
        <f t="shared" si="645"/>
        <v>8.8749999999999996E-2</v>
      </c>
      <c r="AE431" s="203">
        <f t="shared" si="645"/>
        <v>8.8749999999999996E-2</v>
      </c>
      <c r="AF431" s="203">
        <f t="shared" si="646"/>
        <v>8.8749999999999996E-2</v>
      </c>
      <c r="AG431" s="203">
        <f t="shared" si="646"/>
        <v>8.8749999999999996E-2</v>
      </c>
      <c r="AH431" s="203">
        <f t="shared" si="646"/>
        <v>8.8749999999999996E-2</v>
      </c>
      <c r="AI431" s="203">
        <f t="shared" si="647"/>
        <v>8.8749999999999996E-2</v>
      </c>
      <c r="AJ431" s="203">
        <f t="shared" si="647"/>
        <v>8.8749999999999996E-2</v>
      </c>
      <c r="AK431" s="203">
        <f t="shared" si="647"/>
        <v>8.8749999999999996E-2</v>
      </c>
      <c r="AL431" s="1371">
        <f t="shared" si="647"/>
        <v>8.8749999999999996E-2</v>
      </c>
      <c r="AM431" s="1371">
        <f t="shared" si="647"/>
        <v>8.8749999999999996E-2</v>
      </c>
      <c r="AN431" s="1371">
        <f t="shared" si="647"/>
        <v>8.8749999999999996E-2</v>
      </c>
      <c r="AO431" s="203"/>
      <c r="AP431" s="203"/>
      <c r="AQ431" s="203"/>
      <c r="AR431" s="203"/>
      <c r="AS431" s="203"/>
      <c r="AT431" s="203"/>
      <c r="AU431" s="95"/>
      <c r="AV431" s="4"/>
      <c r="AW431" s="89"/>
      <c r="AX431" s="89"/>
      <c r="AY431" s="89"/>
      <c r="AZ431" s="89"/>
      <c r="BA431" s="89"/>
      <c r="BB431" s="89"/>
      <c r="BC431" s="89"/>
      <c r="BD431" s="89"/>
      <c r="BE431" s="89"/>
      <c r="BF431" s="89"/>
      <c r="BG431" s="89"/>
      <c r="BH431" s="98"/>
      <c r="BI431" s="89"/>
      <c r="BJ431" s="89"/>
      <c r="BK431" s="89"/>
      <c r="BL431" s="89"/>
      <c r="BM431" s="89"/>
      <c r="BN431" s="89"/>
      <c r="BO431" s="89"/>
      <c r="BP431" s="89"/>
      <c r="BQ431" s="89"/>
      <c r="BR431" s="89"/>
      <c r="BS431" s="89"/>
      <c r="BT431" s="89"/>
      <c r="BU431" s="89"/>
      <c r="BV431" s="89"/>
      <c r="BW431" s="89"/>
      <c r="BX431" s="89"/>
      <c r="BY431" s="89"/>
      <c r="BZ431" s="89"/>
      <c r="CA431" s="89"/>
      <c r="CB431" s="89"/>
      <c r="CC431" s="89"/>
      <c r="CD431" s="89"/>
      <c r="CE431" s="89"/>
      <c r="CF431" s="89"/>
      <c r="CG431" s="89"/>
      <c r="CH431" s="89"/>
      <c r="CI431" s="89"/>
      <c r="CJ431" s="89"/>
      <c r="CK431" s="89"/>
      <c r="CL431" s="89"/>
      <c r="CM431" s="89"/>
      <c r="CN431" s="89"/>
      <c r="CO431" s="98"/>
      <c r="CP431" s="98"/>
      <c r="CQ431" s="98"/>
      <c r="CR431" s="98"/>
      <c r="CS431" s="98"/>
      <c r="CT431" s="98"/>
      <c r="CU431" s="98"/>
      <c r="CV431" s="98"/>
      <c r="CW431" s="98"/>
      <c r="CX431" s="98"/>
      <c r="CY431" s="1247"/>
      <c r="CZ431" s="1247"/>
      <c r="DA431" s="1247"/>
      <c r="DB431" s="98"/>
      <c r="DC431" s="2925"/>
      <c r="DD431" s="98"/>
      <c r="DE431" s="98"/>
      <c r="DF431" s="98"/>
      <c r="DG431" s="98"/>
      <c r="DH431" s="2925"/>
      <c r="DI431" s="2925"/>
      <c r="DJ431" s="2925"/>
      <c r="DK431" s="2925"/>
      <c r="DL431" s="2925"/>
      <c r="DM431" s="2925"/>
      <c r="DN431" s="2925"/>
      <c r="DO431" s="2925"/>
      <c r="DP431" s="2925"/>
      <c r="DQ431" s="2925"/>
      <c r="DR431" s="2925"/>
    </row>
    <row r="432" spans="1:122">
      <c r="A432" s="190" t="s">
        <v>156</v>
      </c>
      <c r="B432" s="48"/>
      <c r="C432" s="48"/>
      <c r="D432" s="48"/>
      <c r="E432" s="48"/>
      <c r="F432" s="48"/>
      <c r="G432" s="48"/>
      <c r="H432" s="48"/>
      <c r="I432" s="48"/>
      <c r="J432" s="197"/>
      <c r="K432" s="201">
        <v>7.6249999999999998E-2</v>
      </c>
      <c r="L432" s="202">
        <f t="shared" si="648"/>
        <v>7.6249999999999998E-2</v>
      </c>
      <c r="M432" s="202">
        <f t="shared" si="648"/>
        <v>7.6249999999999998E-2</v>
      </c>
      <c r="N432" s="202">
        <f t="shared" si="649"/>
        <v>7.6249999999999998E-2</v>
      </c>
      <c r="O432" s="919"/>
      <c r="P432" s="202"/>
      <c r="Q432" s="202"/>
      <c r="R432" s="202">
        <f t="shared" si="650"/>
        <v>7.6249999999999998E-2</v>
      </c>
      <c r="S432" s="202">
        <f t="shared" si="649"/>
        <v>7.6249999999999998E-2</v>
      </c>
      <c r="T432" s="202">
        <f t="shared" si="649"/>
        <v>7.6249999999999998E-2</v>
      </c>
      <c r="U432" s="202">
        <f t="shared" si="649"/>
        <v>7.6249999999999998E-2</v>
      </c>
      <c r="V432" s="202">
        <f t="shared" si="649"/>
        <v>7.6249999999999998E-2</v>
      </c>
      <c r="W432" s="202">
        <f t="shared" si="649"/>
        <v>7.6249999999999998E-2</v>
      </c>
      <c r="X432" s="202"/>
      <c r="Y432" s="202"/>
      <c r="Z432" s="202">
        <f t="shared" si="651"/>
        <v>7.6249999999999998E-2</v>
      </c>
      <c r="AA432" s="203">
        <f t="shared" si="652"/>
        <v>7.6249999999999998E-2</v>
      </c>
      <c r="AB432" s="203"/>
      <c r="AC432" s="203">
        <f t="shared" si="644"/>
        <v>7.6249999999999998E-2</v>
      </c>
      <c r="AD432" s="203">
        <f t="shared" si="645"/>
        <v>7.6249999999999998E-2</v>
      </c>
      <c r="AE432" s="203">
        <f t="shared" si="645"/>
        <v>7.6249999999999998E-2</v>
      </c>
      <c r="AF432" s="203">
        <f t="shared" si="646"/>
        <v>7.6249999999999998E-2</v>
      </c>
      <c r="AG432" s="203">
        <f t="shared" si="646"/>
        <v>7.6249999999999998E-2</v>
      </c>
      <c r="AH432" s="203">
        <f t="shared" si="646"/>
        <v>7.6249999999999998E-2</v>
      </c>
      <c r="AI432" s="203">
        <f t="shared" si="647"/>
        <v>7.6249999999999998E-2</v>
      </c>
      <c r="AJ432" s="203">
        <f t="shared" si="647"/>
        <v>7.6249999999999998E-2</v>
      </c>
      <c r="AK432" s="203">
        <f t="shared" si="647"/>
        <v>7.6249999999999998E-2</v>
      </c>
      <c r="AL432" s="1371">
        <f t="shared" si="647"/>
        <v>7.6249999999999998E-2</v>
      </c>
      <c r="AM432" s="1371">
        <f t="shared" si="647"/>
        <v>7.6249999999999998E-2</v>
      </c>
      <c r="AN432" s="1371">
        <f t="shared" si="647"/>
        <v>7.6249999999999998E-2</v>
      </c>
      <c r="AO432" s="203"/>
      <c r="AP432" s="203"/>
      <c r="AQ432" s="203"/>
      <c r="AR432" s="203"/>
      <c r="AS432" s="203"/>
      <c r="AT432" s="203"/>
      <c r="AU432" s="95"/>
      <c r="AV432" s="4"/>
      <c r="AW432" s="89"/>
      <c r="AX432" s="89"/>
      <c r="AY432" s="89"/>
      <c r="AZ432" s="89"/>
      <c r="BA432" s="89"/>
      <c r="BB432" s="89"/>
      <c r="BC432" s="89"/>
      <c r="BD432" s="89"/>
      <c r="BE432" s="89"/>
      <c r="BF432" s="89"/>
      <c r="BG432" s="89"/>
      <c r="BH432" s="98"/>
      <c r="BI432" s="89"/>
      <c r="BJ432" s="89"/>
      <c r="BK432" s="89"/>
      <c r="BL432" s="89"/>
      <c r="BM432" s="89"/>
      <c r="BN432" s="89"/>
      <c r="BO432" s="89"/>
      <c r="BP432" s="89"/>
      <c r="BQ432" s="89"/>
      <c r="BR432" s="89"/>
      <c r="BS432" s="89"/>
      <c r="BT432" s="89"/>
      <c r="BU432" s="89"/>
      <c r="BV432" s="89"/>
      <c r="BW432" s="89"/>
      <c r="BX432" s="89"/>
      <c r="BY432" s="89"/>
      <c r="BZ432" s="89"/>
      <c r="CA432" s="89"/>
      <c r="CB432" s="89"/>
      <c r="CC432" s="89"/>
      <c r="CD432" s="89"/>
      <c r="CE432" s="89"/>
      <c r="CF432" s="89"/>
      <c r="CG432" s="89"/>
      <c r="CH432" s="89"/>
      <c r="CI432" s="89"/>
      <c r="CJ432" s="89"/>
      <c r="CK432" s="89"/>
      <c r="CL432" s="89"/>
      <c r="CM432" s="89"/>
      <c r="CN432" s="89"/>
      <c r="CO432" s="98"/>
      <c r="CP432" s="98"/>
      <c r="CQ432" s="98"/>
      <c r="CR432" s="98"/>
      <c r="CS432" s="98"/>
      <c r="CT432" s="98"/>
      <c r="CU432" s="98"/>
      <c r="CV432" s="98"/>
      <c r="CW432" s="98"/>
      <c r="CX432" s="98"/>
      <c r="CY432" s="1247"/>
      <c r="CZ432" s="1247"/>
      <c r="DA432" s="1247"/>
      <c r="DB432" s="98"/>
      <c r="DC432" s="2925"/>
      <c r="DD432" s="98"/>
      <c r="DE432" s="98"/>
      <c r="DF432" s="98"/>
      <c r="DG432" s="98"/>
      <c r="DH432" s="2925"/>
      <c r="DI432" s="2925"/>
      <c r="DJ432" s="2925"/>
      <c r="DK432" s="2925"/>
      <c r="DL432" s="2925"/>
      <c r="DM432" s="2925"/>
      <c r="DN432" s="2925"/>
      <c r="DO432" s="2925"/>
      <c r="DP432" s="2925"/>
      <c r="DQ432" s="2925"/>
      <c r="DR432" s="2925"/>
    </row>
    <row r="433" spans="1:122">
      <c r="A433" s="190" t="str">
        <f>A386</f>
        <v>8.20% Senior Notes due 2014</v>
      </c>
      <c r="B433" s="48"/>
      <c r="C433" s="48"/>
      <c r="D433" s="48"/>
      <c r="E433" s="48"/>
      <c r="F433" s="48"/>
      <c r="G433" s="48"/>
      <c r="H433" s="48"/>
      <c r="I433" s="48"/>
      <c r="J433" s="197"/>
      <c r="K433" s="201"/>
      <c r="L433" s="202"/>
      <c r="M433" s="202"/>
      <c r="N433" s="202"/>
      <c r="O433" s="919"/>
      <c r="P433" s="202"/>
      <c r="Q433" s="202"/>
      <c r="R433" s="203">
        <v>8.2000000000000003E-2</v>
      </c>
      <c r="S433" s="202">
        <f>R433</f>
        <v>8.2000000000000003E-2</v>
      </c>
      <c r="T433" s="202">
        <f t="shared" si="649"/>
        <v>8.2000000000000003E-2</v>
      </c>
      <c r="U433" s="202">
        <f t="shared" si="649"/>
        <v>8.2000000000000003E-2</v>
      </c>
      <c r="V433" s="202">
        <f t="shared" si="649"/>
        <v>8.2000000000000003E-2</v>
      </c>
      <c r="W433" s="202">
        <f t="shared" si="649"/>
        <v>8.2000000000000003E-2</v>
      </c>
      <c r="X433" s="202"/>
      <c r="Y433" s="202"/>
      <c r="Z433" s="202">
        <f t="shared" si="651"/>
        <v>8.2000000000000003E-2</v>
      </c>
      <c r="AA433" s="203">
        <f t="shared" si="652"/>
        <v>8.2000000000000003E-2</v>
      </c>
      <c r="AB433" s="203"/>
      <c r="AC433" s="203">
        <f t="shared" si="644"/>
        <v>8.2000000000000003E-2</v>
      </c>
      <c r="AD433" s="203">
        <f t="shared" si="645"/>
        <v>8.2000000000000003E-2</v>
      </c>
      <c r="AE433" s="203">
        <f t="shared" si="645"/>
        <v>8.2000000000000003E-2</v>
      </c>
      <c r="AF433" s="203">
        <f t="shared" si="646"/>
        <v>8.2000000000000003E-2</v>
      </c>
      <c r="AG433" s="203">
        <f t="shared" si="646"/>
        <v>8.2000000000000003E-2</v>
      </c>
      <c r="AH433" s="203">
        <f t="shared" si="646"/>
        <v>8.2000000000000003E-2</v>
      </c>
      <c r="AI433" s="203">
        <f t="shared" si="647"/>
        <v>8.2000000000000003E-2</v>
      </c>
      <c r="AJ433" s="203">
        <f t="shared" si="647"/>
        <v>8.2000000000000003E-2</v>
      </c>
      <c r="AK433" s="203">
        <f t="shared" si="647"/>
        <v>8.2000000000000003E-2</v>
      </c>
      <c r="AL433" s="1371">
        <f t="shared" si="647"/>
        <v>8.2000000000000003E-2</v>
      </c>
      <c r="AM433" s="1371">
        <f t="shared" si="647"/>
        <v>8.2000000000000003E-2</v>
      </c>
      <c r="AN433" s="1371">
        <f t="shared" si="647"/>
        <v>8.2000000000000003E-2</v>
      </c>
      <c r="AO433" s="203"/>
      <c r="AP433" s="203"/>
      <c r="AQ433" s="203"/>
      <c r="AR433" s="203"/>
      <c r="AS433" s="203"/>
      <c r="AT433" s="203"/>
      <c r="AU433" s="95"/>
      <c r="AV433" s="4"/>
      <c r="AW433" s="89"/>
      <c r="AX433" s="89"/>
      <c r="AY433" s="89"/>
      <c r="AZ433" s="89"/>
      <c r="BA433" s="89"/>
      <c r="BB433" s="89"/>
      <c r="BC433" s="89"/>
      <c r="BD433" s="89"/>
      <c r="BE433" s="89"/>
      <c r="BF433" s="89"/>
      <c r="BG433" s="89"/>
      <c r="BH433" s="98"/>
      <c r="BI433" s="89"/>
      <c r="BJ433" s="89"/>
      <c r="BK433" s="89"/>
      <c r="BL433" s="89"/>
      <c r="BM433" s="89"/>
      <c r="BN433" s="89"/>
      <c r="BO433" s="89"/>
      <c r="BP433" s="89"/>
      <c r="BQ433" s="89"/>
      <c r="BR433" s="89"/>
      <c r="BS433" s="89"/>
      <c r="BT433" s="89"/>
      <c r="BU433" s="89"/>
      <c r="BV433" s="89"/>
      <c r="BW433" s="89"/>
      <c r="BX433" s="89"/>
      <c r="BY433" s="89"/>
      <c r="BZ433" s="89"/>
      <c r="CA433" s="89"/>
      <c r="CB433" s="89"/>
      <c r="CC433" s="89"/>
      <c r="CD433" s="89"/>
      <c r="CE433" s="89"/>
      <c r="CF433" s="89"/>
      <c r="CG433" s="89"/>
      <c r="CH433" s="89"/>
      <c r="CI433" s="89"/>
      <c r="CJ433" s="89"/>
      <c r="CK433" s="89"/>
      <c r="CL433" s="89"/>
      <c r="CM433" s="89"/>
      <c r="CN433" s="89"/>
      <c r="CO433" s="98"/>
      <c r="CP433" s="98"/>
      <c r="CQ433" s="98"/>
      <c r="CR433" s="98"/>
      <c r="CS433" s="98"/>
      <c r="CT433" s="98"/>
      <c r="CU433" s="98"/>
      <c r="CV433" s="98"/>
      <c r="CW433" s="98"/>
      <c r="CX433" s="98"/>
      <c r="CY433" s="1247"/>
      <c r="CZ433" s="1247"/>
      <c r="DA433" s="1247"/>
      <c r="DB433" s="98"/>
      <c r="DC433" s="2925"/>
      <c r="DD433" s="98"/>
      <c r="DE433" s="98"/>
      <c r="DF433" s="98"/>
      <c r="DG433" s="98"/>
      <c r="DH433" s="2925"/>
      <c r="DI433" s="2925"/>
      <c r="DJ433" s="2925"/>
      <c r="DK433" s="2925"/>
      <c r="DL433" s="2925"/>
      <c r="DM433" s="2925"/>
      <c r="DN433" s="2925"/>
      <c r="DO433" s="2925"/>
      <c r="DP433" s="2925"/>
      <c r="DQ433" s="2925"/>
      <c r="DR433" s="2925"/>
    </row>
    <row r="434" spans="1:122">
      <c r="A434" s="190" t="s">
        <v>157</v>
      </c>
      <c r="B434" s="48"/>
      <c r="C434" s="48"/>
      <c r="D434" s="48"/>
      <c r="E434" s="48"/>
      <c r="F434" s="48"/>
      <c r="G434" s="48"/>
      <c r="H434" s="48"/>
      <c r="I434" s="48"/>
      <c r="J434" s="197"/>
      <c r="K434" s="201">
        <v>4.6249999999999999E-2</v>
      </c>
      <c r="L434" s="202">
        <f t="shared" si="648"/>
        <v>4.6249999999999999E-2</v>
      </c>
      <c r="M434" s="202">
        <f t="shared" si="648"/>
        <v>4.6249999999999999E-2</v>
      </c>
      <c r="N434" s="202">
        <f>M434</f>
        <v>4.6249999999999999E-2</v>
      </c>
      <c r="O434" s="919"/>
      <c r="P434" s="202"/>
      <c r="Q434" s="202"/>
      <c r="R434" s="202">
        <f t="shared" si="650"/>
        <v>4.6249999999999999E-2</v>
      </c>
      <c r="S434" s="202">
        <f>R434</f>
        <v>4.6249999999999999E-2</v>
      </c>
      <c r="T434" s="202">
        <f t="shared" ref="T434:W436" si="653">S434</f>
        <v>4.6249999999999999E-2</v>
      </c>
      <c r="U434" s="202">
        <f t="shared" si="653"/>
        <v>4.6249999999999999E-2</v>
      </c>
      <c r="V434" s="202">
        <f t="shared" si="653"/>
        <v>4.6249999999999999E-2</v>
      </c>
      <c r="W434" s="202">
        <f t="shared" si="653"/>
        <v>4.6249999999999999E-2</v>
      </c>
      <c r="X434" s="202"/>
      <c r="Y434" s="202"/>
      <c r="Z434" s="202">
        <f t="shared" si="651"/>
        <v>4.6249999999999999E-2</v>
      </c>
      <c r="AA434" s="203">
        <f t="shared" si="652"/>
        <v>4.6249999999999999E-2</v>
      </c>
      <c r="AB434" s="203"/>
      <c r="AC434" s="203">
        <f t="shared" si="644"/>
        <v>4.6249999999999999E-2</v>
      </c>
      <c r="AD434" s="203">
        <f t="shared" si="645"/>
        <v>4.6249999999999999E-2</v>
      </c>
      <c r="AE434" s="203">
        <f t="shared" si="645"/>
        <v>4.6249999999999999E-2</v>
      </c>
      <c r="AF434" s="203">
        <f t="shared" si="646"/>
        <v>4.6249999999999999E-2</v>
      </c>
      <c r="AG434" s="203">
        <f t="shared" si="646"/>
        <v>4.6249999999999999E-2</v>
      </c>
      <c r="AH434" s="203">
        <f t="shared" si="646"/>
        <v>4.6249999999999999E-2</v>
      </c>
      <c r="AI434" s="203">
        <f t="shared" si="647"/>
        <v>4.6249999999999999E-2</v>
      </c>
      <c r="AJ434" s="203">
        <f t="shared" si="647"/>
        <v>4.6249999999999999E-2</v>
      </c>
      <c r="AK434" s="203">
        <f t="shared" si="647"/>
        <v>4.6249999999999999E-2</v>
      </c>
      <c r="AL434" s="1371">
        <f t="shared" si="647"/>
        <v>4.6249999999999999E-2</v>
      </c>
      <c r="AM434" s="1371">
        <f t="shared" si="647"/>
        <v>4.6249999999999999E-2</v>
      </c>
      <c r="AN434" s="1371">
        <f t="shared" si="647"/>
        <v>4.6249999999999999E-2</v>
      </c>
      <c r="AO434" s="203"/>
      <c r="AP434" s="203"/>
      <c r="AQ434" s="203"/>
      <c r="AR434" s="203"/>
      <c r="AS434" s="203"/>
      <c r="AT434" s="203"/>
      <c r="AU434" s="95"/>
      <c r="AV434" s="4"/>
      <c r="AW434" s="89"/>
      <c r="AX434" s="89"/>
      <c r="AY434" s="89"/>
      <c r="AZ434" s="89"/>
      <c r="BA434" s="89"/>
      <c r="BB434" s="89"/>
      <c r="BC434" s="89"/>
      <c r="BD434" s="89"/>
      <c r="BE434" s="89"/>
      <c r="BF434" s="89"/>
      <c r="BG434" s="89"/>
      <c r="BH434" s="98"/>
      <c r="BI434" s="89"/>
      <c r="BJ434" s="89"/>
      <c r="BK434" s="89"/>
      <c r="BL434" s="89"/>
      <c r="BM434" s="89"/>
      <c r="BN434" s="89"/>
      <c r="BO434" s="89"/>
      <c r="BP434" s="89"/>
      <c r="BQ434" s="89"/>
      <c r="BR434" s="89"/>
      <c r="BS434" s="89"/>
      <c r="BT434" s="89"/>
      <c r="BU434" s="89"/>
      <c r="BV434" s="89"/>
      <c r="BW434" s="89"/>
      <c r="BX434" s="89"/>
      <c r="BY434" s="89"/>
      <c r="BZ434" s="89"/>
      <c r="CA434" s="89"/>
      <c r="CB434" s="89"/>
      <c r="CC434" s="89"/>
      <c r="CD434" s="89"/>
      <c r="CE434" s="89"/>
      <c r="CF434" s="89"/>
      <c r="CG434" s="89"/>
      <c r="CH434" s="89"/>
      <c r="CI434" s="89"/>
      <c r="CJ434" s="89"/>
      <c r="CK434" s="89"/>
      <c r="CL434" s="89"/>
      <c r="CM434" s="89"/>
      <c r="CN434" s="89"/>
      <c r="CO434" s="98"/>
      <c r="CP434" s="98"/>
      <c r="CQ434" s="98"/>
      <c r="CR434" s="98"/>
      <c r="CS434" s="98"/>
      <c r="CT434" s="98"/>
      <c r="CU434" s="98"/>
      <c r="CV434" s="98"/>
      <c r="CW434" s="98"/>
      <c r="CX434" s="98"/>
      <c r="CY434" s="1247"/>
      <c r="CZ434" s="1247"/>
      <c r="DA434" s="1247"/>
      <c r="DB434" s="98"/>
      <c r="DC434" s="2925"/>
      <c r="DD434" s="98"/>
      <c r="DE434" s="98"/>
      <c r="DF434" s="98"/>
      <c r="DG434" s="98"/>
      <c r="DH434" s="2925"/>
      <c r="DI434" s="2925"/>
      <c r="DJ434" s="2925"/>
      <c r="DK434" s="2925"/>
      <c r="DL434" s="2925"/>
      <c r="DM434" s="2925"/>
      <c r="DN434" s="2925"/>
      <c r="DO434" s="2925"/>
      <c r="DP434" s="2925"/>
      <c r="DQ434" s="2925"/>
      <c r="DR434" s="2925"/>
    </row>
    <row r="435" spans="1:122">
      <c r="A435" s="190" t="str">
        <f>A388</f>
        <v>8.875% Senior Notes due 2019</v>
      </c>
      <c r="B435" s="48"/>
      <c r="C435" s="48"/>
      <c r="D435" s="48"/>
      <c r="E435" s="48"/>
      <c r="F435" s="48"/>
      <c r="G435" s="48"/>
      <c r="H435" s="48"/>
      <c r="I435" s="48"/>
      <c r="J435" s="197"/>
      <c r="K435" s="201"/>
      <c r="L435" s="202"/>
      <c r="M435" s="202"/>
      <c r="N435" s="202"/>
      <c r="O435" s="919"/>
      <c r="P435" s="202"/>
      <c r="Q435" s="202"/>
      <c r="R435" s="203">
        <v>8.8749999999999996E-2</v>
      </c>
      <c r="S435" s="202">
        <f>R435</f>
        <v>8.8749999999999996E-2</v>
      </c>
      <c r="T435" s="202">
        <f t="shared" si="653"/>
        <v>8.8749999999999996E-2</v>
      </c>
      <c r="U435" s="202">
        <f t="shared" si="653"/>
        <v>8.8749999999999996E-2</v>
      </c>
      <c r="V435" s="202">
        <f t="shared" si="653"/>
        <v>8.8749999999999996E-2</v>
      </c>
      <c r="W435" s="202">
        <f t="shared" si="653"/>
        <v>8.8749999999999996E-2</v>
      </c>
      <c r="X435" s="202"/>
      <c r="Y435" s="202"/>
      <c r="Z435" s="202">
        <f t="shared" si="651"/>
        <v>8.8749999999999996E-2</v>
      </c>
      <c r="AA435" s="203">
        <f t="shared" si="652"/>
        <v>8.8749999999999996E-2</v>
      </c>
      <c r="AB435" s="203"/>
      <c r="AC435" s="203">
        <f t="shared" si="644"/>
        <v>8.8749999999999996E-2</v>
      </c>
      <c r="AD435" s="203">
        <f t="shared" si="645"/>
        <v>8.8749999999999996E-2</v>
      </c>
      <c r="AE435" s="203">
        <f t="shared" si="645"/>
        <v>8.8749999999999996E-2</v>
      </c>
      <c r="AF435" s="203">
        <f t="shared" si="646"/>
        <v>8.8749999999999996E-2</v>
      </c>
      <c r="AG435" s="203">
        <f t="shared" si="646"/>
        <v>8.8749999999999996E-2</v>
      </c>
      <c r="AH435" s="203">
        <f t="shared" si="646"/>
        <v>8.8749999999999996E-2</v>
      </c>
      <c r="AI435" s="203">
        <f t="shared" si="647"/>
        <v>8.8749999999999996E-2</v>
      </c>
      <c r="AJ435" s="203">
        <f t="shared" si="647"/>
        <v>8.8749999999999996E-2</v>
      </c>
      <c r="AK435" s="203">
        <f t="shared" si="647"/>
        <v>8.8749999999999996E-2</v>
      </c>
      <c r="AL435" s="1371">
        <f t="shared" si="647"/>
        <v>8.8749999999999996E-2</v>
      </c>
      <c r="AM435" s="1371">
        <f t="shared" si="647"/>
        <v>8.8749999999999996E-2</v>
      </c>
      <c r="AN435" s="1371">
        <f t="shared" si="647"/>
        <v>8.8749999999999996E-2</v>
      </c>
      <c r="AO435" s="203"/>
      <c r="AP435" s="203"/>
      <c r="AQ435" s="203"/>
      <c r="AR435" s="203"/>
      <c r="AS435" s="203"/>
      <c r="AT435" s="203"/>
      <c r="AU435" s="95"/>
      <c r="AV435" s="4"/>
      <c r="AW435" s="89"/>
      <c r="AX435" s="89"/>
      <c r="AY435" s="89"/>
      <c r="AZ435" s="89"/>
      <c r="BA435" s="89"/>
      <c r="BB435" s="89"/>
      <c r="BC435" s="89"/>
      <c r="BD435" s="89"/>
      <c r="BE435" s="89"/>
      <c r="BF435" s="89"/>
      <c r="BG435" s="89"/>
      <c r="BH435" s="98"/>
      <c r="BI435" s="89"/>
      <c r="BJ435" s="89"/>
      <c r="BK435" s="89"/>
      <c r="BL435" s="89"/>
      <c r="BM435" s="89"/>
      <c r="BN435" s="89"/>
      <c r="BO435" s="89"/>
      <c r="BP435" s="89"/>
      <c r="BQ435" s="89"/>
      <c r="BR435" s="89"/>
      <c r="BS435" s="89"/>
      <c r="BT435" s="89"/>
      <c r="BU435" s="89"/>
      <c r="BV435" s="89"/>
      <c r="BW435" s="89"/>
      <c r="BX435" s="89"/>
      <c r="BY435" s="89"/>
      <c r="BZ435" s="89"/>
      <c r="CA435" s="89"/>
      <c r="CB435" s="89"/>
      <c r="CC435" s="89"/>
      <c r="CD435" s="89"/>
      <c r="CE435" s="89"/>
      <c r="CF435" s="89"/>
      <c r="CG435" s="89"/>
      <c r="CH435" s="89"/>
      <c r="CI435" s="89"/>
      <c r="CJ435" s="89"/>
      <c r="CK435" s="89"/>
      <c r="CL435" s="89"/>
      <c r="CM435" s="89"/>
      <c r="CN435" s="89"/>
      <c r="CO435" s="98"/>
      <c r="CP435" s="98"/>
      <c r="CQ435" s="98"/>
      <c r="CR435" s="98"/>
      <c r="CS435" s="98"/>
      <c r="CT435" s="98"/>
      <c r="CU435" s="98"/>
      <c r="CV435" s="98"/>
      <c r="CW435" s="98"/>
      <c r="CX435" s="98"/>
      <c r="CY435" s="1247"/>
      <c r="CZ435" s="1247"/>
      <c r="DA435" s="1247"/>
      <c r="DB435" s="98"/>
      <c r="DC435" s="2925"/>
      <c r="DD435" s="98"/>
      <c r="DE435" s="98"/>
      <c r="DF435" s="98"/>
      <c r="DG435" s="98"/>
      <c r="DH435" s="2925"/>
      <c r="DI435" s="2925"/>
      <c r="DJ435" s="2925"/>
      <c r="DK435" s="2925"/>
      <c r="DL435" s="2925"/>
      <c r="DM435" s="2925"/>
      <c r="DN435" s="2925"/>
      <c r="DO435" s="2925"/>
      <c r="DP435" s="2925"/>
      <c r="DQ435" s="2925"/>
      <c r="DR435" s="2925"/>
    </row>
    <row r="436" spans="1:122">
      <c r="A436" s="190" t="str">
        <f>A389</f>
        <v>8.875% Notes due 2019 (due late May)</v>
      </c>
      <c r="B436" s="48"/>
      <c r="C436" s="48"/>
      <c r="D436" s="48"/>
      <c r="E436" s="48"/>
      <c r="F436" s="48"/>
      <c r="G436" s="48"/>
      <c r="H436" s="48"/>
      <c r="I436" s="48"/>
      <c r="J436" s="197"/>
      <c r="K436" s="201"/>
      <c r="L436" s="202"/>
      <c r="M436" s="202"/>
      <c r="N436" s="202"/>
      <c r="O436" s="919"/>
      <c r="P436" s="202"/>
      <c r="Q436" s="202"/>
      <c r="R436" s="203">
        <v>8.8749999999999996E-2</v>
      </c>
      <c r="S436" s="202">
        <f>R436</f>
        <v>8.8749999999999996E-2</v>
      </c>
      <c r="T436" s="202">
        <f t="shared" si="653"/>
        <v>8.8749999999999996E-2</v>
      </c>
      <c r="U436" s="202">
        <f t="shared" si="653"/>
        <v>8.8749999999999996E-2</v>
      </c>
      <c r="V436" s="202">
        <f t="shared" si="653"/>
        <v>8.8749999999999996E-2</v>
      </c>
      <c r="W436" s="202">
        <f t="shared" si="653"/>
        <v>8.8749999999999996E-2</v>
      </c>
      <c r="X436" s="202"/>
      <c r="Y436" s="202"/>
      <c r="Z436" s="202">
        <f t="shared" si="651"/>
        <v>8.8749999999999996E-2</v>
      </c>
      <c r="AA436" s="203">
        <f t="shared" si="652"/>
        <v>8.8749999999999996E-2</v>
      </c>
      <c r="AB436" s="203"/>
      <c r="AC436" s="203">
        <f t="shared" si="644"/>
        <v>8.8749999999999996E-2</v>
      </c>
      <c r="AD436" s="203">
        <f t="shared" si="645"/>
        <v>8.8749999999999996E-2</v>
      </c>
      <c r="AE436" s="203">
        <f t="shared" si="645"/>
        <v>8.8749999999999996E-2</v>
      </c>
      <c r="AF436" s="203">
        <f t="shared" si="646"/>
        <v>8.8749999999999996E-2</v>
      </c>
      <c r="AG436" s="203">
        <f t="shared" si="646"/>
        <v>8.8749999999999996E-2</v>
      </c>
      <c r="AH436" s="203">
        <f t="shared" si="646"/>
        <v>8.8749999999999996E-2</v>
      </c>
      <c r="AI436" s="203">
        <f t="shared" si="647"/>
        <v>8.8749999999999996E-2</v>
      </c>
      <c r="AJ436" s="203">
        <f t="shared" si="647"/>
        <v>8.8749999999999996E-2</v>
      </c>
      <c r="AK436" s="203">
        <f t="shared" si="647"/>
        <v>8.8749999999999996E-2</v>
      </c>
      <c r="AL436" s="1371">
        <f t="shared" si="647"/>
        <v>8.8749999999999996E-2</v>
      </c>
      <c r="AM436" s="1371">
        <f t="shared" si="647"/>
        <v>8.8749999999999996E-2</v>
      </c>
      <c r="AN436" s="1371">
        <f t="shared" si="647"/>
        <v>8.8749999999999996E-2</v>
      </c>
      <c r="AO436" s="203"/>
      <c r="AP436" s="203"/>
      <c r="AQ436" s="203"/>
      <c r="AR436" s="203"/>
      <c r="AS436" s="203"/>
      <c r="AT436" s="203"/>
      <c r="AU436" s="95"/>
      <c r="AV436" s="4"/>
      <c r="AW436" s="89"/>
      <c r="AX436" s="89"/>
      <c r="AY436" s="89"/>
      <c r="AZ436" s="89"/>
      <c r="BA436" s="89"/>
      <c r="BB436" s="89"/>
      <c r="BC436" s="89"/>
      <c r="BD436" s="89"/>
      <c r="BE436" s="89"/>
      <c r="BF436" s="89"/>
      <c r="BG436" s="89"/>
      <c r="BH436" s="98"/>
      <c r="BI436" s="89"/>
      <c r="BJ436" s="89"/>
      <c r="BK436" s="89"/>
      <c r="BL436" s="89"/>
      <c r="BM436" s="89"/>
      <c r="BN436" s="89"/>
      <c r="BO436" s="89"/>
      <c r="BP436" s="89"/>
      <c r="BQ436" s="89"/>
      <c r="BR436" s="89"/>
      <c r="BS436" s="89"/>
      <c r="BT436" s="89"/>
      <c r="BU436" s="89"/>
      <c r="BV436" s="89"/>
      <c r="BW436" s="89"/>
      <c r="BX436" s="89"/>
      <c r="BY436" s="89"/>
      <c r="BZ436" s="89"/>
      <c r="CA436" s="89"/>
      <c r="CB436" s="89"/>
      <c r="CC436" s="89"/>
      <c r="CD436" s="89"/>
      <c r="CE436" s="89"/>
      <c r="CF436" s="89"/>
      <c r="CG436" s="89"/>
      <c r="CH436" s="89"/>
      <c r="CI436" s="89"/>
      <c r="CJ436" s="89"/>
      <c r="CK436" s="89"/>
      <c r="CL436" s="89"/>
      <c r="CM436" s="89"/>
      <c r="CN436" s="89"/>
      <c r="CO436" s="98"/>
      <c r="CP436" s="98"/>
      <c r="CQ436" s="98"/>
      <c r="CR436" s="98"/>
      <c r="CS436" s="98"/>
      <c r="CT436" s="98"/>
      <c r="CU436" s="98"/>
      <c r="CV436" s="98"/>
      <c r="CW436" s="98"/>
      <c r="CX436" s="98"/>
      <c r="CY436" s="1247"/>
      <c r="CZ436" s="1247"/>
      <c r="DA436" s="1247"/>
      <c r="DB436" s="98"/>
      <c r="DC436" s="2925"/>
      <c r="DD436" s="98"/>
      <c r="DE436" s="98"/>
      <c r="DF436" s="98"/>
      <c r="DG436" s="98"/>
      <c r="DH436" s="2925"/>
      <c r="DI436" s="2925"/>
      <c r="DJ436" s="2925"/>
      <c r="DK436" s="2925"/>
      <c r="DL436" s="2925"/>
      <c r="DM436" s="2925"/>
      <c r="DN436" s="2925"/>
      <c r="DO436" s="2925"/>
      <c r="DP436" s="2925"/>
      <c r="DQ436" s="2925"/>
      <c r="DR436" s="2925"/>
    </row>
    <row r="437" spans="1:122">
      <c r="A437" s="190" t="s">
        <v>336</v>
      </c>
      <c r="B437" s="48"/>
      <c r="C437" s="48"/>
      <c r="D437" s="48"/>
      <c r="E437" s="48"/>
      <c r="F437" s="48"/>
      <c r="G437" s="48"/>
      <c r="H437" s="48"/>
      <c r="I437" s="48"/>
      <c r="J437" s="197"/>
      <c r="K437" s="201"/>
      <c r="L437" s="202"/>
      <c r="M437" s="202"/>
      <c r="N437" s="202"/>
      <c r="O437" s="919"/>
      <c r="P437" s="202"/>
      <c r="Q437" s="202"/>
      <c r="R437" s="203"/>
      <c r="S437" s="202">
        <v>5.7500000000000002E-2</v>
      </c>
      <c r="T437" s="202">
        <v>5.7500000000000002E-2</v>
      </c>
      <c r="U437" s="202">
        <v>5.7500000000000002E-2</v>
      </c>
      <c r="V437" s="202">
        <v>5.7500000000000002E-2</v>
      </c>
      <c r="W437" s="202">
        <v>5.7500000000000002E-2</v>
      </c>
      <c r="X437" s="202"/>
      <c r="Y437" s="202"/>
      <c r="Z437" s="202">
        <f t="shared" si="651"/>
        <v>5.7500000000000002E-2</v>
      </c>
      <c r="AA437" s="202">
        <f>Z437</f>
        <v>5.7500000000000002E-2</v>
      </c>
      <c r="AB437" s="202"/>
      <c r="AC437" s="202">
        <f t="shared" si="644"/>
        <v>5.7500000000000002E-2</v>
      </c>
      <c r="AD437" s="202">
        <f t="shared" si="645"/>
        <v>5.7500000000000002E-2</v>
      </c>
      <c r="AE437" s="202">
        <f t="shared" si="645"/>
        <v>5.7500000000000002E-2</v>
      </c>
      <c r="AF437" s="202">
        <f t="shared" si="646"/>
        <v>5.7500000000000002E-2</v>
      </c>
      <c r="AG437" s="202">
        <f t="shared" si="646"/>
        <v>5.7500000000000002E-2</v>
      </c>
      <c r="AH437" s="202">
        <f t="shared" si="646"/>
        <v>5.7500000000000002E-2</v>
      </c>
      <c r="AI437" s="202">
        <f t="shared" si="647"/>
        <v>5.7500000000000002E-2</v>
      </c>
      <c r="AJ437" s="202">
        <f t="shared" si="647"/>
        <v>5.7500000000000002E-2</v>
      </c>
      <c r="AK437" s="202">
        <f t="shared" si="647"/>
        <v>5.7500000000000002E-2</v>
      </c>
      <c r="AL437" s="1371">
        <f t="shared" si="647"/>
        <v>5.7500000000000002E-2</v>
      </c>
      <c r="AM437" s="1371">
        <f t="shared" si="647"/>
        <v>5.7500000000000002E-2</v>
      </c>
      <c r="AN437" s="1371">
        <f t="shared" si="647"/>
        <v>5.7500000000000002E-2</v>
      </c>
      <c r="AO437" s="202"/>
      <c r="AP437" s="202"/>
      <c r="AQ437" s="202"/>
      <c r="AR437" s="202"/>
      <c r="AS437" s="202"/>
      <c r="AT437" s="203"/>
      <c r="AU437" s="95"/>
      <c r="AV437" s="4"/>
      <c r="AW437" s="89"/>
      <c r="AX437" s="89"/>
      <c r="AY437" s="89"/>
      <c r="AZ437" s="89"/>
      <c r="BA437" s="89"/>
      <c r="BB437" s="89"/>
      <c r="BC437" s="89"/>
      <c r="BD437" s="89"/>
      <c r="BE437" s="89"/>
      <c r="BF437" s="89"/>
      <c r="BG437" s="89"/>
      <c r="BH437" s="98"/>
      <c r="BI437" s="89"/>
      <c r="BJ437" s="89"/>
      <c r="BK437" s="89"/>
      <c r="BL437" s="89"/>
      <c r="BM437" s="89"/>
      <c r="BN437" s="89"/>
      <c r="BO437" s="89"/>
      <c r="BP437" s="89"/>
      <c r="BQ437" s="89"/>
      <c r="BR437" s="89"/>
      <c r="BS437" s="89"/>
      <c r="BT437" s="89"/>
      <c r="BU437" s="89"/>
      <c r="BV437" s="89"/>
      <c r="BW437" s="89"/>
      <c r="BX437" s="89"/>
      <c r="BY437" s="89"/>
      <c r="BZ437" s="89"/>
      <c r="CA437" s="89"/>
      <c r="CB437" s="89"/>
      <c r="CC437" s="89"/>
      <c r="CD437" s="89"/>
      <c r="CE437" s="89"/>
      <c r="CF437" s="89"/>
      <c r="CG437" s="89"/>
      <c r="CH437" s="89"/>
      <c r="CI437" s="89"/>
      <c r="CJ437" s="89"/>
      <c r="CK437" s="89"/>
      <c r="CL437" s="89"/>
      <c r="CM437" s="89"/>
      <c r="CN437" s="89"/>
      <c r="CO437" s="98"/>
      <c r="CP437" s="98"/>
      <c r="CQ437" s="98"/>
      <c r="CR437" s="98"/>
      <c r="CS437" s="98"/>
      <c r="CT437" s="98"/>
      <c r="CU437" s="98"/>
      <c r="CV437" s="98"/>
      <c r="CW437" s="98"/>
      <c r="CX437" s="98"/>
      <c r="CY437" s="1247"/>
      <c r="CZ437" s="1247"/>
      <c r="DA437" s="1247"/>
      <c r="DB437" s="98"/>
      <c r="DC437" s="2925"/>
      <c r="DD437" s="98"/>
      <c r="DE437" s="98"/>
      <c r="DF437" s="98"/>
      <c r="DG437" s="98"/>
      <c r="DH437" s="2925"/>
      <c r="DI437" s="2925"/>
      <c r="DJ437" s="2925"/>
      <c r="DK437" s="2925"/>
      <c r="DL437" s="2925"/>
      <c r="DM437" s="2925"/>
      <c r="DN437" s="2925"/>
      <c r="DO437" s="2925"/>
      <c r="DP437" s="2925"/>
      <c r="DQ437" s="2925"/>
      <c r="DR437" s="2925"/>
    </row>
    <row r="438" spans="1:122">
      <c r="A438" s="190" t="s">
        <v>284</v>
      </c>
      <c r="B438" s="48"/>
      <c r="C438" s="48"/>
      <c r="D438" s="48"/>
      <c r="E438" s="48"/>
      <c r="F438" s="48"/>
      <c r="G438" s="48"/>
      <c r="H438" s="48"/>
      <c r="I438" s="48"/>
      <c r="J438" s="197"/>
      <c r="K438" s="201"/>
      <c r="L438" s="202"/>
      <c r="M438" s="202"/>
      <c r="N438" s="202"/>
      <c r="O438" s="919"/>
      <c r="P438" s="202"/>
      <c r="Q438" s="202"/>
      <c r="R438" s="203"/>
      <c r="S438" s="202">
        <v>4.2999999999999997E-2</v>
      </c>
      <c r="T438" s="202">
        <f t="shared" ref="T438:T445" si="654">S438</f>
        <v>4.2999999999999997E-2</v>
      </c>
      <c r="U438" s="202">
        <f t="shared" ref="U438:AD438" si="655">T438</f>
        <v>4.2999999999999997E-2</v>
      </c>
      <c r="V438" s="202">
        <f t="shared" si="655"/>
        <v>4.2999999999999997E-2</v>
      </c>
      <c r="W438" s="202">
        <f t="shared" si="655"/>
        <v>4.2999999999999997E-2</v>
      </c>
      <c r="X438" s="202"/>
      <c r="Y438" s="202"/>
      <c r="Z438" s="202">
        <f t="shared" si="651"/>
        <v>4.2999999999999997E-2</v>
      </c>
      <c r="AA438" s="202">
        <f t="shared" si="655"/>
        <v>4.2999999999999997E-2</v>
      </c>
      <c r="AB438" s="202"/>
      <c r="AC438" s="202">
        <f t="shared" si="644"/>
        <v>4.2999999999999997E-2</v>
      </c>
      <c r="AD438" s="202">
        <f t="shared" si="655"/>
        <v>4.2999999999999997E-2</v>
      </c>
      <c r="AE438" s="202">
        <f t="shared" ref="AE438:AN438" si="656">AD438</f>
        <v>4.2999999999999997E-2</v>
      </c>
      <c r="AF438" s="202">
        <f t="shared" si="656"/>
        <v>4.2999999999999997E-2</v>
      </c>
      <c r="AG438" s="202">
        <f t="shared" si="656"/>
        <v>4.2999999999999997E-2</v>
      </c>
      <c r="AH438" s="202">
        <f t="shared" si="656"/>
        <v>4.2999999999999997E-2</v>
      </c>
      <c r="AI438" s="202">
        <f t="shared" si="656"/>
        <v>4.2999999999999997E-2</v>
      </c>
      <c r="AJ438" s="202">
        <f t="shared" si="656"/>
        <v>4.2999999999999997E-2</v>
      </c>
      <c r="AK438" s="202">
        <f t="shared" si="656"/>
        <v>4.2999999999999997E-2</v>
      </c>
      <c r="AL438" s="1371">
        <f t="shared" si="656"/>
        <v>4.2999999999999997E-2</v>
      </c>
      <c r="AM438" s="1371">
        <f t="shared" si="656"/>
        <v>4.2999999999999997E-2</v>
      </c>
      <c r="AN438" s="1371">
        <f t="shared" si="656"/>
        <v>4.2999999999999997E-2</v>
      </c>
      <c r="AO438" s="202"/>
      <c r="AP438" s="202"/>
      <c r="AQ438" s="202"/>
      <c r="AR438" s="202"/>
      <c r="AS438" s="202"/>
      <c r="AT438" s="203"/>
      <c r="AU438" s="95"/>
      <c r="AV438" s="4"/>
      <c r="AW438" s="89"/>
      <c r="AX438" s="89"/>
      <c r="AY438" s="89"/>
      <c r="AZ438" s="89"/>
      <c r="BA438" s="89"/>
      <c r="BB438" s="89"/>
      <c r="BC438" s="89"/>
      <c r="BD438" s="89"/>
      <c r="BE438" s="89"/>
      <c r="BF438" s="89"/>
      <c r="BG438" s="89"/>
      <c r="BH438" s="98"/>
      <c r="BI438" s="89"/>
      <c r="BJ438" s="89"/>
      <c r="BK438" s="89"/>
      <c r="BL438" s="89"/>
      <c r="BM438" s="89"/>
      <c r="BN438" s="89"/>
      <c r="BO438" s="89"/>
      <c r="BP438" s="89"/>
      <c r="BQ438" s="89"/>
      <c r="BR438" s="89"/>
      <c r="BS438" s="89"/>
      <c r="BT438" s="89"/>
      <c r="BU438" s="89"/>
      <c r="BV438" s="89"/>
      <c r="BW438" s="89"/>
      <c r="BX438" s="89"/>
      <c r="BY438" s="89"/>
      <c r="BZ438" s="89"/>
      <c r="CA438" s="89"/>
      <c r="CB438" s="89"/>
      <c r="CC438" s="89"/>
      <c r="CD438" s="89"/>
      <c r="CE438" s="89"/>
      <c r="CF438" s="89"/>
      <c r="CG438" s="89"/>
      <c r="CH438" s="89"/>
      <c r="CI438" s="89"/>
      <c r="CJ438" s="89"/>
      <c r="CK438" s="89"/>
      <c r="CL438" s="89"/>
      <c r="CM438" s="89"/>
      <c r="CN438" s="89"/>
      <c r="CO438" s="98"/>
      <c r="CP438" s="98"/>
      <c r="CQ438" s="98"/>
      <c r="CR438" s="98"/>
      <c r="CS438" s="98"/>
      <c r="CT438" s="98"/>
      <c r="CU438" s="98"/>
      <c r="CV438" s="98"/>
      <c r="CW438" s="98"/>
      <c r="CX438" s="98"/>
      <c r="CY438" s="1247"/>
      <c r="CZ438" s="1247"/>
      <c r="DA438" s="1247"/>
      <c r="DB438" s="98"/>
      <c r="DC438" s="2925"/>
      <c r="DD438" s="98"/>
      <c r="DE438" s="98"/>
      <c r="DF438" s="98"/>
      <c r="DG438" s="98"/>
      <c r="DH438" s="2925"/>
      <c r="DI438" s="2925"/>
      <c r="DJ438" s="2925"/>
      <c r="DK438" s="2925"/>
      <c r="DL438" s="2925"/>
      <c r="DM438" s="2925"/>
      <c r="DN438" s="2925"/>
      <c r="DO438" s="2925"/>
      <c r="DP438" s="2925"/>
      <c r="DQ438" s="2925"/>
      <c r="DR438" s="2925"/>
    </row>
    <row r="439" spans="1:122">
      <c r="A439" s="190" t="s">
        <v>158</v>
      </c>
      <c r="B439" s="48"/>
      <c r="C439" s="48"/>
      <c r="D439" s="48"/>
      <c r="E439" s="48"/>
      <c r="F439" s="48"/>
      <c r="G439" s="48"/>
      <c r="H439" s="48"/>
      <c r="I439" s="48"/>
      <c r="J439" s="197"/>
      <c r="K439" s="201">
        <v>7.8750000000000001E-2</v>
      </c>
      <c r="L439" s="202">
        <f t="shared" si="648"/>
        <v>7.8750000000000001E-2</v>
      </c>
      <c r="M439" s="202">
        <f t="shared" si="648"/>
        <v>7.8750000000000001E-2</v>
      </c>
      <c r="N439" s="202">
        <f>M439</f>
        <v>7.8750000000000001E-2</v>
      </c>
      <c r="O439" s="919"/>
      <c r="P439" s="202"/>
      <c r="Q439" s="202"/>
      <c r="R439" s="202">
        <f t="shared" si="650"/>
        <v>7.8750000000000001E-2</v>
      </c>
      <c r="S439" s="202">
        <f>R439</f>
        <v>7.8750000000000001E-2</v>
      </c>
      <c r="T439" s="202">
        <f t="shared" si="654"/>
        <v>7.8750000000000001E-2</v>
      </c>
      <c r="U439" s="202">
        <f t="shared" ref="U439:W445" si="657">T439</f>
        <v>7.8750000000000001E-2</v>
      </c>
      <c r="V439" s="202">
        <f t="shared" si="657"/>
        <v>7.8750000000000001E-2</v>
      </c>
      <c r="W439" s="202">
        <f t="shared" si="657"/>
        <v>7.8750000000000001E-2</v>
      </c>
      <c r="X439" s="202"/>
      <c r="Y439" s="202"/>
      <c r="Z439" s="202">
        <f t="shared" ref="Z439:Z464" si="658">W439</f>
        <v>7.8750000000000001E-2</v>
      </c>
      <c r="AA439" s="203">
        <f t="shared" si="652"/>
        <v>7.8750000000000001E-2</v>
      </c>
      <c r="AB439" s="203"/>
      <c r="AC439" s="203">
        <f t="shared" si="644"/>
        <v>7.8750000000000001E-2</v>
      </c>
      <c r="AD439" s="203">
        <f t="shared" si="645"/>
        <v>7.8750000000000001E-2</v>
      </c>
      <c r="AE439" s="203">
        <f t="shared" si="645"/>
        <v>7.8750000000000001E-2</v>
      </c>
      <c r="AF439" s="203">
        <f t="shared" ref="AF439:AH464" si="659">AE439</f>
        <v>7.8750000000000001E-2</v>
      </c>
      <c r="AG439" s="203">
        <f t="shared" si="659"/>
        <v>7.8750000000000001E-2</v>
      </c>
      <c r="AH439" s="203">
        <f t="shared" si="659"/>
        <v>7.8750000000000001E-2</v>
      </c>
      <c r="AI439" s="203">
        <f t="shared" ref="AI439:AN464" si="660">AH439</f>
        <v>7.8750000000000001E-2</v>
      </c>
      <c r="AJ439" s="203">
        <f t="shared" si="660"/>
        <v>7.8750000000000001E-2</v>
      </c>
      <c r="AK439" s="203">
        <f t="shared" si="660"/>
        <v>7.8750000000000001E-2</v>
      </c>
      <c r="AL439" s="1371">
        <f t="shared" si="660"/>
        <v>7.8750000000000001E-2</v>
      </c>
      <c r="AM439" s="1371">
        <f t="shared" si="660"/>
        <v>7.8750000000000001E-2</v>
      </c>
      <c r="AN439" s="1371">
        <f t="shared" si="660"/>
        <v>7.8750000000000001E-2</v>
      </c>
      <c r="AO439" s="203"/>
      <c r="AP439" s="203"/>
      <c r="AQ439" s="203"/>
      <c r="AR439" s="203"/>
      <c r="AS439" s="203"/>
      <c r="AT439" s="203"/>
      <c r="AU439" s="95"/>
      <c r="AV439" s="4"/>
      <c r="AW439" s="89"/>
      <c r="AX439" s="89"/>
      <c r="AY439" s="89"/>
      <c r="AZ439" s="89"/>
      <c r="BA439" s="89"/>
      <c r="BB439" s="89"/>
      <c r="BC439" s="89"/>
      <c r="BD439" s="89"/>
      <c r="BE439" s="89"/>
      <c r="BF439" s="89"/>
      <c r="BG439" s="89"/>
      <c r="BH439" s="98"/>
      <c r="BI439" s="89"/>
      <c r="BJ439" s="89"/>
      <c r="BK439" s="89"/>
      <c r="BL439" s="89"/>
      <c r="BM439" s="89"/>
      <c r="BN439" s="89"/>
      <c r="BO439" s="89"/>
      <c r="BP439" s="89"/>
      <c r="BQ439" s="89"/>
      <c r="BR439" s="89"/>
      <c r="BS439" s="89"/>
      <c r="BT439" s="89"/>
      <c r="BU439" s="89"/>
      <c r="BV439" s="89"/>
      <c r="BW439" s="89"/>
      <c r="BX439" s="89"/>
      <c r="BY439" s="89"/>
      <c r="BZ439" s="89"/>
      <c r="CA439" s="89"/>
      <c r="CB439" s="89"/>
      <c r="CC439" s="89"/>
      <c r="CD439" s="89"/>
      <c r="CE439" s="89"/>
      <c r="CF439" s="89"/>
      <c r="CG439" s="89"/>
      <c r="CH439" s="89"/>
      <c r="CI439" s="89"/>
      <c r="CJ439" s="89"/>
      <c r="CK439" s="89"/>
      <c r="CL439" s="89"/>
      <c r="CM439" s="89"/>
      <c r="CN439" s="89"/>
      <c r="CO439" s="98"/>
      <c r="CP439" s="98"/>
      <c r="CQ439" s="98"/>
      <c r="CR439" s="98"/>
      <c r="CS439" s="98"/>
      <c r="CT439" s="98"/>
      <c r="CU439" s="98"/>
      <c r="CV439" s="98"/>
      <c r="CW439" s="98"/>
      <c r="CX439" s="98"/>
      <c r="CY439" s="1247"/>
      <c r="CZ439" s="1247"/>
      <c r="DA439" s="1247"/>
      <c r="DB439" s="98"/>
      <c r="DC439" s="2925"/>
      <c r="DD439" s="98"/>
      <c r="DE439" s="98"/>
      <c r="DF439" s="98"/>
      <c r="DG439" s="98"/>
      <c r="DH439" s="2925"/>
      <c r="DI439" s="2925"/>
      <c r="DJ439" s="2925"/>
      <c r="DK439" s="2925"/>
      <c r="DL439" s="2925"/>
      <c r="DM439" s="2925"/>
      <c r="DN439" s="2925"/>
      <c r="DO439" s="2925"/>
      <c r="DP439" s="2925"/>
      <c r="DQ439" s="2925"/>
      <c r="DR439" s="2925"/>
    </row>
    <row r="440" spans="1:122">
      <c r="A440" s="190" t="s">
        <v>159</v>
      </c>
      <c r="B440" s="48"/>
      <c r="C440" s="48"/>
      <c r="D440" s="48"/>
      <c r="E440" s="48"/>
      <c r="F440" s="48"/>
      <c r="G440" s="48"/>
      <c r="H440" s="48"/>
      <c r="I440" s="48"/>
      <c r="J440" s="197"/>
      <c r="K440" s="201">
        <v>7.1249999999999994E-2</v>
      </c>
      <c r="L440" s="202">
        <f t="shared" si="648"/>
        <v>7.1249999999999994E-2</v>
      </c>
      <c r="M440" s="202">
        <f t="shared" si="648"/>
        <v>7.1249999999999994E-2</v>
      </c>
      <c r="N440" s="202">
        <f>M440</f>
        <v>7.1249999999999994E-2</v>
      </c>
      <c r="O440" s="919"/>
      <c r="P440" s="202"/>
      <c r="Q440" s="202"/>
      <c r="R440" s="202">
        <f t="shared" si="650"/>
        <v>7.1249999999999994E-2</v>
      </c>
      <c r="S440" s="202">
        <f>R440</f>
        <v>7.1249999999999994E-2</v>
      </c>
      <c r="T440" s="202">
        <f t="shared" si="654"/>
        <v>7.1249999999999994E-2</v>
      </c>
      <c r="U440" s="202">
        <f t="shared" si="657"/>
        <v>7.1249999999999994E-2</v>
      </c>
      <c r="V440" s="202">
        <f t="shared" si="657"/>
        <v>7.1249999999999994E-2</v>
      </c>
      <c r="W440" s="202">
        <f t="shared" si="657"/>
        <v>7.1249999999999994E-2</v>
      </c>
      <c r="X440" s="202"/>
      <c r="Y440" s="202"/>
      <c r="Z440" s="202">
        <f t="shared" si="658"/>
        <v>7.1249999999999994E-2</v>
      </c>
      <c r="AA440" s="203">
        <f t="shared" si="652"/>
        <v>7.1249999999999994E-2</v>
      </c>
      <c r="AB440" s="203"/>
      <c r="AC440" s="203">
        <f t="shared" si="644"/>
        <v>7.1249999999999994E-2</v>
      </c>
      <c r="AD440" s="203">
        <f t="shared" si="645"/>
        <v>7.1249999999999994E-2</v>
      </c>
      <c r="AE440" s="203">
        <f t="shared" si="645"/>
        <v>7.1249999999999994E-2</v>
      </c>
      <c r="AF440" s="203">
        <f t="shared" si="659"/>
        <v>7.1249999999999994E-2</v>
      </c>
      <c r="AG440" s="203">
        <f t="shared" si="659"/>
        <v>7.1249999999999994E-2</v>
      </c>
      <c r="AH440" s="203">
        <f t="shared" si="659"/>
        <v>7.1249999999999994E-2</v>
      </c>
      <c r="AI440" s="203">
        <f t="shared" si="660"/>
        <v>7.1249999999999994E-2</v>
      </c>
      <c r="AJ440" s="203">
        <f t="shared" si="660"/>
        <v>7.1249999999999994E-2</v>
      </c>
      <c r="AK440" s="203">
        <f t="shared" si="660"/>
        <v>7.1249999999999994E-2</v>
      </c>
      <c r="AL440" s="1371">
        <f t="shared" si="660"/>
        <v>7.1249999999999994E-2</v>
      </c>
      <c r="AM440" s="1371">
        <f t="shared" si="660"/>
        <v>7.1249999999999994E-2</v>
      </c>
      <c r="AN440" s="1371">
        <f t="shared" si="660"/>
        <v>7.1249999999999994E-2</v>
      </c>
      <c r="AO440" s="203"/>
      <c r="AP440" s="203"/>
      <c r="AQ440" s="203"/>
      <c r="AR440" s="203"/>
      <c r="AS440" s="203"/>
      <c r="AT440" s="203"/>
      <c r="AU440" s="95"/>
      <c r="AV440" s="4"/>
      <c r="AW440" s="89"/>
      <c r="AX440" s="89"/>
      <c r="AY440" s="89"/>
      <c r="AZ440" s="89"/>
      <c r="BA440" s="89"/>
      <c r="BB440" s="89"/>
      <c r="BC440" s="89"/>
      <c r="BD440" s="89"/>
      <c r="BE440" s="89"/>
      <c r="BF440" s="89"/>
      <c r="BG440" s="89"/>
      <c r="BH440" s="98"/>
      <c r="BI440" s="89"/>
      <c r="BJ440" s="89"/>
      <c r="BK440" s="89"/>
      <c r="BL440" s="89"/>
      <c r="BM440" s="89"/>
      <c r="BN440" s="89"/>
      <c r="BO440" s="89"/>
      <c r="BP440" s="89"/>
      <c r="BQ440" s="89"/>
      <c r="BR440" s="89"/>
      <c r="BS440" s="89"/>
      <c r="BT440" s="89"/>
      <c r="BU440" s="89"/>
      <c r="BV440" s="89"/>
      <c r="BW440" s="89"/>
      <c r="BX440" s="89"/>
      <c r="BY440" s="89"/>
      <c r="BZ440" s="89"/>
      <c r="CA440" s="89"/>
      <c r="CB440" s="89"/>
      <c r="CC440" s="89"/>
      <c r="CD440" s="89"/>
      <c r="CE440" s="89"/>
      <c r="CF440" s="89"/>
      <c r="CG440" s="89"/>
      <c r="CH440" s="89"/>
      <c r="CI440" s="89"/>
      <c r="CJ440" s="89"/>
      <c r="CK440" s="89"/>
      <c r="CL440" s="89"/>
      <c r="CM440" s="89"/>
      <c r="CN440" s="89"/>
      <c r="CO440" s="98"/>
      <c r="CP440" s="98"/>
      <c r="CQ440" s="98"/>
      <c r="CR440" s="98"/>
      <c r="CS440" s="98"/>
      <c r="CT440" s="98"/>
      <c r="CU440" s="98"/>
      <c r="CV440" s="98"/>
      <c r="CW440" s="98"/>
      <c r="CX440" s="98"/>
      <c r="CY440" s="1247"/>
      <c r="CZ440" s="1247"/>
      <c r="DA440" s="1247"/>
      <c r="DB440" s="98"/>
      <c r="DC440" s="2925"/>
      <c r="DD440" s="98"/>
      <c r="DE440" s="98"/>
      <c r="DF440" s="98"/>
      <c r="DG440" s="98"/>
      <c r="DH440" s="2925"/>
      <c r="DI440" s="2925"/>
      <c r="DJ440" s="2925"/>
      <c r="DK440" s="2925"/>
      <c r="DL440" s="2925"/>
      <c r="DM440" s="2925"/>
      <c r="DN440" s="2925"/>
      <c r="DO440" s="2925"/>
      <c r="DP440" s="2925"/>
      <c r="DQ440" s="2925"/>
      <c r="DR440" s="2925"/>
    </row>
    <row r="441" spans="1:122">
      <c r="A441" s="190" t="s">
        <v>160</v>
      </c>
      <c r="B441" s="48"/>
      <c r="C441" s="48"/>
      <c r="D441" s="48"/>
      <c r="E441" s="48"/>
      <c r="F441" s="48"/>
      <c r="G441" s="48"/>
      <c r="H441" s="48"/>
      <c r="I441" s="48"/>
      <c r="J441" s="197"/>
      <c r="K441" s="201">
        <v>7.8750000000000001E-2</v>
      </c>
      <c r="L441" s="202">
        <f t="shared" si="648"/>
        <v>7.8750000000000001E-2</v>
      </c>
      <c r="M441" s="202">
        <f t="shared" si="648"/>
        <v>7.8750000000000001E-2</v>
      </c>
      <c r="N441" s="202">
        <f>M441</f>
        <v>7.8750000000000001E-2</v>
      </c>
      <c r="O441" s="919"/>
      <c r="P441" s="202"/>
      <c r="Q441" s="202"/>
      <c r="R441" s="202">
        <f t="shared" si="650"/>
        <v>7.8750000000000001E-2</v>
      </c>
      <c r="S441" s="202">
        <f>R441</f>
        <v>7.8750000000000001E-2</v>
      </c>
      <c r="T441" s="202">
        <f t="shared" si="654"/>
        <v>7.8750000000000001E-2</v>
      </c>
      <c r="U441" s="202">
        <f t="shared" si="657"/>
        <v>7.8750000000000001E-2</v>
      </c>
      <c r="V441" s="202">
        <f t="shared" si="657"/>
        <v>7.8750000000000001E-2</v>
      </c>
      <c r="W441" s="202">
        <f t="shared" si="657"/>
        <v>7.8750000000000001E-2</v>
      </c>
      <c r="X441" s="202"/>
      <c r="Y441" s="202"/>
      <c r="Z441" s="202">
        <f t="shared" si="658"/>
        <v>7.8750000000000001E-2</v>
      </c>
      <c r="AA441" s="203">
        <f t="shared" si="652"/>
        <v>7.8750000000000001E-2</v>
      </c>
      <c r="AB441" s="203"/>
      <c r="AC441" s="203">
        <f t="shared" si="644"/>
        <v>7.8750000000000001E-2</v>
      </c>
      <c r="AD441" s="203">
        <f t="shared" si="645"/>
        <v>7.8750000000000001E-2</v>
      </c>
      <c r="AE441" s="203">
        <f t="shared" si="645"/>
        <v>7.8750000000000001E-2</v>
      </c>
      <c r="AF441" s="203">
        <f t="shared" si="659"/>
        <v>7.8750000000000001E-2</v>
      </c>
      <c r="AG441" s="203">
        <f t="shared" si="659"/>
        <v>7.8750000000000001E-2</v>
      </c>
      <c r="AH441" s="203">
        <f t="shared" si="659"/>
        <v>7.8750000000000001E-2</v>
      </c>
      <c r="AI441" s="203">
        <f t="shared" si="660"/>
        <v>7.8750000000000001E-2</v>
      </c>
      <c r="AJ441" s="203">
        <f t="shared" si="660"/>
        <v>7.8750000000000001E-2</v>
      </c>
      <c r="AK441" s="203">
        <f t="shared" si="660"/>
        <v>7.8750000000000001E-2</v>
      </c>
      <c r="AL441" s="1371">
        <f t="shared" si="660"/>
        <v>7.8750000000000001E-2</v>
      </c>
      <c r="AM441" s="1371">
        <f t="shared" si="660"/>
        <v>7.8750000000000001E-2</v>
      </c>
      <c r="AN441" s="1371">
        <f t="shared" si="660"/>
        <v>7.8750000000000001E-2</v>
      </c>
      <c r="AO441" s="203"/>
      <c r="AP441" s="203"/>
      <c r="AQ441" s="203"/>
      <c r="AR441" s="203"/>
      <c r="AS441" s="203"/>
      <c r="AT441" s="203"/>
      <c r="AU441" s="95"/>
      <c r="AV441" s="4"/>
      <c r="AW441" s="89"/>
      <c r="AX441" s="89"/>
      <c r="AY441" s="89"/>
      <c r="AZ441" s="89"/>
      <c r="BA441" s="89"/>
      <c r="BB441" s="89"/>
      <c r="BC441" s="89"/>
      <c r="BD441" s="89"/>
      <c r="BE441" s="89"/>
      <c r="BF441" s="89"/>
      <c r="BG441" s="89"/>
      <c r="BH441" s="98"/>
      <c r="BI441" s="89"/>
      <c r="BJ441" s="89"/>
      <c r="BK441" s="89"/>
      <c r="BL441" s="89"/>
      <c r="BM441" s="89"/>
      <c r="BN441" s="89"/>
      <c r="BO441" s="89"/>
      <c r="BP441" s="89"/>
      <c r="BQ441" s="89"/>
      <c r="BR441" s="89"/>
      <c r="BS441" s="89"/>
      <c r="BT441" s="89"/>
      <c r="BU441" s="89"/>
      <c r="BV441" s="89"/>
      <c r="BW441" s="89"/>
      <c r="BX441" s="89"/>
      <c r="BY441" s="89"/>
      <c r="BZ441" s="89"/>
      <c r="CA441" s="89"/>
      <c r="CB441" s="89"/>
      <c r="CC441" s="89"/>
      <c r="CD441" s="89"/>
      <c r="CE441" s="89"/>
      <c r="CF441" s="89"/>
      <c r="CG441" s="89"/>
      <c r="CH441" s="89"/>
      <c r="CI441" s="89"/>
      <c r="CJ441" s="89"/>
      <c r="CK441" s="89"/>
      <c r="CL441" s="89"/>
      <c r="CM441" s="89"/>
      <c r="CN441" s="89"/>
      <c r="CO441" s="98"/>
      <c r="CP441" s="98"/>
      <c r="CQ441" s="98"/>
      <c r="CR441" s="98"/>
      <c r="CS441" s="98"/>
      <c r="CT441" s="98"/>
      <c r="CU441" s="98"/>
      <c r="CV441" s="98"/>
      <c r="CW441" s="98"/>
      <c r="CX441" s="98"/>
      <c r="CY441" s="1247"/>
      <c r="CZ441" s="1247"/>
      <c r="DA441" s="1247"/>
      <c r="DB441" s="98"/>
      <c r="DC441" s="2925"/>
      <c r="DD441" s="98"/>
      <c r="DE441" s="98"/>
      <c r="DF441" s="98"/>
      <c r="DG441" s="98"/>
      <c r="DH441" s="2925"/>
      <c r="DI441" s="2925"/>
      <c r="DJ441" s="2925"/>
      <c r="DK441" s="2925"/>
      <c r="DL441" s="2925"/>
      <c r="DM441" s="2925"/>
      <c r="DN441" s="2925"/>
      <c r="DO441" s="2925"/>
      <c r="DP441" s="2925"/>
      <c r="DQ441" s="2925"/>
      <c r="DR441" s="2925"/>
    </row>
    <row r="442" spans="1:122">
      <c r="A442" s="190" t="s">
        <v>161</v>
      </c>
      <c r="B442" s="48"/>
      <c r="C442" s="48"/>
      <c r="D442" s="48"/>
      <c r="E442" s="48"/>
      <c r="F442" s="48"/>
      <c r="G442" s="48"/>
      <c r="H442" s="48"/>
      <c r="I442" s="48"/>
      <c r="J442" s="197"/>
      <c r="K442" s="201">
        <v>5.5E-2</v>
      </c>
      <c r="L442" s="202">
        <f t="shared" si="648"/>
        <v>5.5E-2</v>
      </c>
      <c r="M442" s="202">
        <f t="shared" si="648"/>
        <v>5.5E-2</v>
      </c>
      <c r="N442" s="202">
        <f>M442</f>
        <v>5.5E-2</v>
      </c>
      <c r="O442" s="919"/>
      <c r="P442" s="202"/>
      <c r="Q442" s="202"/>
      <c r="R442" s="202">
        <f t="shared" si="650"/>
        <v>5.5E-2</v>
      </c>
      <c r="S442" s="202">
        <f>R442</f>
        <v>5.5E-2</v>
      </c>
      <c r="T442" s="202">
        <f t="shared" si="654"/>
        <v>5.5E-2</v>
      </c>
      <c r="U442" s="202">
        <f t="shared" si="657"/>
        <v>5.5E-2</v>
      </c>
      <c r="V442" s="202">
        <f t="shared" si="657"/>
        <v>5.5E-2</v>
      </c>
      <c r="W442" s="202">
        <f t="shared" si="657"/>
        <v>5.5E-2</v>
      </c>
      <c r="X442" s="202"/>
      <c r="Y442" s="202"/>
      <c r="Z442" s="202">
        <f t="shared" si="658"/>
        <v>5.5E-2</v>
      </c>
      <c r="AA442" s="203">
        <f t="shared" si="652"/>
        <v>5.5E-2</v>
      </c>
      <c r="AB442" s="203"/>
      <c r="AC442" s="203">
        <f t="shared" si="644"/>
        <v>5.5E-2</v>
      </c>
      <c r="AD442" s="203">
        <f t="shared" si="645"/>
        <v>5.5E-2</v>
      </c>
      <c r="AE442" s="203">
        <f t="shared" si="645"/>
        <v>5.5E-2</v>
      </c>
      <c r="AF442" s="203">
        <f t="shared" si="659"/>
        <v>5.5E-2</v>
      </c>
      <c r="AG442" s="203">
        <f t="shared" si="659"/>
        <v>5.5E-2</v>
      </c>
      <c r="AH442" s="203">
        <f t="shared" si="659"/>
        <v>5.5E-2</v>
      </c>
      <c r="AI442" s="203">
        <f t="shared" si="660"/>
        <v>5.5E-2</v>
      </c>
      <c r="AJ442" s="203">
        <f t="shared" si="660"/>
        <v>5.5E-2</v>
      </c>
      <c r="AK442" s="203">
        <f t="shared" si="660"/>
        <v>5.5E-2</v>
      </c>
      <c r="AL442" s="1371">
        <f t="shared" si="660"/>
        <v>5.5E-2</v>
      </c>
      <c r="AM442" s="1371">
        <f t="shared" si="660"/>
        <v>5.5E-2</v>
      </c>
      <c r="AN442" s="1371">
        <f t="shared" si="660"/>
        <v>5.5E-2</v>
      </c>
      <c r="AO442" s="203"/>
      <c r="AP442" s="203"/>
      <c r="AQ442" s="203"/>
      <c r="AR442" s="203"/>
      <c r="AS442" s="203"/>
      <c r="AT442" s="203"/>
      <c r="AU442" s="95"/>
      <c r="AV442" s="4"/>
      <c r="AW442" s="89"/>
      <c r="AX442" s="89"/>
      <c r="AY442" s="89"/>
      <c r="AZ442" s="89"/>
      <c r="BA442" s="89"/>
      <c r="BB442" s="89"/>
      <c r="BC442" s="89"/>
      <c r="BD442" s="89"/>
      <c r="BE442" s="89"/>
      <c r="BF442" s="89"/>
      <c r="BG442" s="89"/>
      <c r="BH442" s="98"/>
      <c r="BI442" s="89"/>
      <c r="BJ442" s="89"/>
      <c r="BK442" s="89"/>
      <c r="BL442" s="89"/>
      <c r="BM442" s="89"/>
      <c r="BN442" s="89"/>
      <c r="BO442" s="89"/>
      <c r="BP442" s="89"/>
      <c r="BQ442" s="89"/>
      <c r="BR442" s="89"/>
      <c r="BS442" s="89"/>
      <c r="BT442" s="89"/>
      <c r="BU442" s="89"/>
      <c r="BV442" s="89"/>
      <c r="BW442" s="89"/>
      <c r="BX442" s="89"/>
      <c r="BY442" s="89"/>
      <c r="BZ442" s="89"/>
      <c r="CA442" s="89"/>
      <c r="CB442" s="89"/>
      <c r="CC442" s="89"/>
      <c r="CD442" s="89"/>
      <c r="CE442" s="89"/>
      <c r="CF442" s="89"/>
      <c r="CG442" s="89"/>
      <c r="CH442" s="89"/>
      <c r="CI442" s="89"/>
      <c r="CJ442" s="89"/>
      <c r="CK442" s="89"/>
      <c r="CL442" s="89"/>
      <c r="CM442" s="89"/>
      <c r="CN442" s="89"/>
      <c r="CO442" s="98"/>
      <c r="CP442" s="98"/>
      <c r="CQ442" s="98"/>
      <c r="CR442" s="98"/>
      <c r="CS442" s="98"/>
      <c r="CT442" s="98"/>
      <c r="CU442" s="98"/>
      <c r="CV442" s="98"/>
      <c r="CW442" s="98"/>
      <c r="CX442" s="98"/>
      <c r="CY442" s="1247"/>
      <c r="CZ442" s="1247"/>
      <c r="DA442" s="1247"/>
      <c r="DB442" s="98"/>
      <c r="DC442" s="2925"/>
      <c r="DD442" s="98"/>
      <c r="DE442" s="98"/>
      <c r="DF442" s="98"/>
      <c r="DG442" s="98"/>
      <c r="DH442" s="2925"/>
      <c r="DI442" s="2925"/>
      <c r="DJ442" s="2925"/>
      <c r="DK442" s="2925"/>
      <c r="DL442" s="2925"/>
      <c r="DM442" s="2925"/>
      <c r="DN442" s="2925"/>
      <c r="DO442" s="2925"/>
      <c r="DP442" s="2925"/>
      <c r="DQ442" s="2925"/>
      <c r="DR442" s="2925"/>
    </row>
    <row r="443" spans="1:122">
      <c r="A443" s="190" t="s">
        <v>288</v>
      </c>
      <c r="B443" s="48"/>
      <c r="C443" s="48"/>
      <c r="D443" s="48"/>
      <c r="E443" s="48"/>
      <c r="F443" s="48"/>
      <c r="G443" s="48"/>
      <c r="H443" s="48"/>
      <c r="I443" s="48"/>
      <c r="J443" s="197"/>
      <c r="K443" s="201"/>
      <c r="L443" s="202"/>
      <c r="M443" s="202"/>
      <c r="N443" s="202"/>
      <c r="O443" s="919"/>
      <c r="P443" s="202"/>
      <c r="Q443" s="202"/>
      <c r="R443" s="202"/>
      <c r="S443" s="202">
        <v>5.8999999999999997E-2</v>
      </c>
      <c r="T443" s="202">
        <f t="shared" si="654"/>
        <v>5.8999999999999997E-2</v>
      </c>
      <c r="U443" s="202">
        <f t="shared" si="657"/>
        <v>5.8999999999999997E-2</v>
      </c>
      <c r="V443" s="202">
        <f t="shared" si="657"/>
        <v>5.8999999999999997E-2</v>
      </c>
      <c r="W443" s="202">
        <f t="shared" si="657"/>
        <v>5.8999999999999997E-2</v>
      </c>
      <c r="X443" s="202"/>
      <c r="Y443" s="202"/>
      <c r="Z443" s="202">
        <f t="shared" si="658"/>
        <v>5.8999999999999997E-2</v>
      </c>
      <c r="AA443" s="203">
        <f t="shared" si="652"/>
        <v>5.8999999999999997E-2</v>
      </c>
      <c r="AB443" s="203"/>
      <c r="AC443" s="203">
        <f t="shared" si="644"/>
        <v>5.8999999999999997E-2</v>
      </c>
      <c r="AD443" s="203">
        <f t="shared" si="645"/>
        <v>5.8999999999999997E-2</v>
      </c>
      <c r="AE443" s="203">
        <f t="shared" si="645"/>
        <v>5.8999999999999997E-2</v>
      </c>
      <c r="AF443" s="203">
        <f t="shared" si="659"/>
        <v>5.8999999999999997E-2</v>
      </c>
      <c r="AG443" s="203">
        <f t="shared" si="659"/>
        <v>5.8999999999999997E-2</v>
      </c>
      <c r="AH443" s="203">
        <f t="shared" si="659"/>
        <v>5.8999999999999997E-2</v>
      </c>
      <c r="AI443" s="203">
        <f t="shared" si="660"/>
        <v>5.8999999999999997E-2</v>
      </c>
      <c r="AJ443" s="203">
        <f t="shared" si="660"/>
        <v>5.8999999999999997E-2</v>
      </c>
      <c r="AK443" s="203">
        <f t="shared" si="660"/>
        <v>5.8999999999999997E-2</v>
      </c>
      <c r="AL443" s="1371">
        <f t="shared" si="660"/>
        <v>5.8999999999999997E-2</v>
      </c>
      <c r="AM443" s="1371">
        <f t="shared" si="660"/>
        <v>5.8999999999999997E-2</v>
      </c>
      <c r="AN443" s="1371">
        <f t="shared" si="660"/>
        <v>5.8999999999999997E-2</v>
      </c>
      <c r="AO443" s="203"/>
      <c r="AP443" s="203"/>
      <c r="AQ443" s="203"/>
      <c r="AR443" s="203"/>
      <c r="AS443" s="203"/>
      <c r="AT443" s="203"/>
      <c r="AU443" s="95"/>
      <c r="AV443" s="4"/>
      <c r="AW443" s="89"/>
      <c r="AX443" s="89"/>
      <c r="AY443" s="89"/>
      <c r="AZ443" s="89"/>
      <c r="BA443" s="89"/>
      <c r="BB443" s="89"/>
      <c r="BC443" s="89"/>
      <c r="BD443" s="89"/>
      <c r="BE443" s="89"/>
      <c r="BF443" s="89"/>
      <c r="BG443" s="89"/>
      <c r="BH443" s="98"/>
      <c r="BI443" s="89"/>
      <c r="BJ443" s="89"/>
      <c r="BK443" s="89"/>
      <c r="BL443" s="89"/>
      <c r="BM443" s="89"/>
      <c r="BN443" s="89"/>
      <c r="BO443" s="89"/>
      <c r="BP443" s="89"/>
      <c r="BQ443" s="89"/>
      <c r="BR443" s="89"/>
      <c r="BS443" s="89"/>
      <c r="BT443" s="89"/>
      <c r="BU443" s="89"/>
      <c r="BV443" s="89"/>
      <c r="BW443" s="89"/>
      <c r="BX443" s="89"/>
      <c r="BY443" s="89"/>
      <c r="BZ443" s="89"/>
      <c r="CA443" s="89"/>
      <c r="CB443" s="89"/>
      <c r="CC443" s="89"/>
      <c r="CD443" s="89"/>
      <c r="CE443" s="89"/>
      <c r="CF443" s="89"/>
      <c r="CG443" s="89"/>
      <c r="CH443" s="89"/>
      <c r="CI443" s="89"/>
      <c r="CJ443" s="89"/>
      <c r="CK443" s="89"/>
      <c r="CL443" s="89"/>
      <c r="CM443" s="89"/>
      <c r="CN443" s="89"/>
      <c r="CO443" s="98"/>
      <c r="CP443" s="98"/>
      <c r="CQ443" s="98"/>
      <c r="CR443" s="98"/>
      <c r="CS443" s="98"/>
      <c r="CT443" s="98"/>
      <c r="CU443" s="98"/>
      <c r="CV443" s="98"/>
      <c r="CW443" s="98"/>
      <c r="CX443" s="98"/>
      <c r="CY443" s="1247"/>
      <c r="CZ443" s="1247"/>
      <c r="DA443" s="1247"/>
      <c r="DB443" s="98"/>
      <c r="DC443" s="2925"/>
      <c r="DD443" s="98"/>
      <c r="DE443" s="98"/>
      <c r="DF443" s="98"/>
      <c r="DG443" s="98"/>
      <c r="DH443" s="2925"/>
      <c r="DI443" s="2925"/>
      <c r="DJ443" s="2925"/>
      <c r="DK443" s="2925"/>
      <c r="DL443" s="2925"/>
      <c r="DM443" s="2925"/>
      <c r="DN443" s="2925"/>
      <c r="DO443" s="2925"/>
      <c r="DP443" s="2925"/>
      <c r="DQ443" s="2925"/>
      <c r="DR443" s="2925"/>
    </row>
    <row r="444" spans="1:122">
      <c r="A444" s="190" t="s">
        <v>162</v>
      </c>
      <c r="B444" s="48"/>
      <c r="C444" s="48"/>
      <c r="D444" s="48"/>
      <c r="E444" s="48"/>
      <c r="F444" s="48"/>
      <c r="G444" s="48"/>
      <c r="H444" s="48"/>
      <c r="I444" s="48"/>
      <c r="J444" s="197"/>
      <c r="K444" s="201">
        <v>7.2499999999999995E-2</v>
      </c>
      <c r="L444" s="202">
        <f t="shared" si="648"/>
        <v>7.2499999999999995E-2</v>
      </c>
      <c r="M444" s="202">
        <f t="shared" si="648"/>
        <v>7.2499999999999995E-2</v>
      </c>
      <c r="N444" s="202">
        <f>M444</f>
        <v>7.2499999999999995E-2</v>
      </c>
      <c r="O444" s="919"/>
      <c r="P444" s="202"/>
      <c r="Q444" s="202"/>
      <c r="R444" s="202">
        <f t="shared" si="650"/>
        <v>7.2499999999999995E-2</v>
      </c>
      <c r="S444" s="202">
        <f>R444</f>
        <v>7.2499999999999995E-2</v>
      </c>
      <c r="T444" s="202">
        <f t="shared" si="654"/>
        <v>7.2499999999999995E-2</v>
      </c>
      <c r="U444" s="202">
        <f t="shared" si="657"/>
        <v>7.2499999999999995E-2</v>
      </c>
      <c r="V444" s="202">
        <f t="shared" si="657"/>
        <v>7.2499999999999995E-2</v>
      </c>
      <c r="W444" s="202">
        <f t="shared" si="657"/>
        <v>7.2499999999999995E-2</v>
      </c>
      <c r="X444" s="202"/>
      <c r="Y444" s="202"/>
      <c r="Z444" s="202">
        <f t="shared" si="658"/>
        <v>7.2499999999999995E-2</v>
      </c>
      <c r="AA444" s="203">
        <f t="shared" si="652"/>
        <v>7.2499999999999995E-2</v>
      </c>
      <c r="AB444" s="203"/>
      <c r="AC444" s="203">
        <f t="shared" si="644"/>
        <v>7.2499999999999995E-2</v>
      </c>
      <c r="AD444" s="203">
        <f t="shared" si="645"/>
        <v>7.2499999999999995E-2</v>
      </c>
      <c r="AE444" s="203">
        <f t="shared" si="645"/>
        <v>7.2499999999999995E-2</v>
      </c>
      <c r="AF444" s="203">
        <f t="shared" si="659"/>
        <v>7.2499999999999995E-2</v>
      </c>
      <c r="AG444" s="203">
        <f t="shared" si="659"/>
        <v>7.2499999999999995E-2</v>
      </c>
      <c r="AH444" s="203">
        <f t="shared" si="659"/>
        <v>7.2499999999999995E-2</v>
      </c>
      <c r="AI444" s="203">
        <f t="shared" si="660"/>
        <v>7.2499999999999995E-2</v>
      </c>
      <c r="AJ444" s="203">
        <f t="shared" si="660"/>
        <v>7.2499999999999995E-2</v>
      </c>
      <c r="AK444" s="203">
        <f t="shared" si="660"/>
        <v>7.2499999999999995E-2</v>
      </c>
      <c r="AL444" s="1371">
        <f t="shared" si="660"/>
        <v>7.2499999999999995E-2</v>
      </c>
      <c r="AM444" s="1371">
        <f t="shared" si="660"/>
        <v>7.2499999999999995E-2</v>
      </c>
      <c r="AN444" s="1371">
        <f t="shared" si="660"/>
        <v>7.2499999999999995E-2</v>
      </c>
      <c r="AO444" s="203"/>
      <c r="AP444" s="203"/>
      <c r="AQ444" s="203"/>
      <c r="AR444" s="203"/>
      <c r="AS444" s="203"/>
      <c r="AT444" s="203"/>
      <c r="AU444" s="95"/>
      <c r="AV444" s="4"/>
      <c r="AW444" s="89"/>
      <c r="AX444" s="89"/>
      <c r="AY444" s="89"/>
      <c r="AZ444" s="89"/>
      <c r="BA444" s="89"/>
      <c r="BB444" s="89"/>
      <c r="BC444" s="89"/>
      <c r="BD444" s="89"/>
      <c r="BE444" s="89"/>
      <c r="BF444" s="89"/>
      <c r="BG444" s="89"/>
      <c r="BH444" s="98"/>
      <c r="BI444" s="89"/>
      <c r="BJ444" s="89"/>
      <c r="BK444" s="89"/>
      <c r="BL444" s="89"/>
      <c r="BM444" s="89"/>
      <c r="BN444" s="89"/>
      <c r="BO444" s="89"/>
      <c r="BP444" s="89"/>
      <c r="BQ444" s="89"/>
      <c r="BR444" s="89"/>
      <c r="BS444" s="89"/>
      <c r="BT444" s="89"/>
      <c r="BU444" s="89"/>
      <c r="BV444" s="89"/>
      <c r="BW444" s="89"/>
      <c r="BX444" s="89"/>
      <c r="BY444" s="89"/>
      <c r="BZ444" s="89"/>
      <c r="CA444" s="89"/>
      <c r="CB444" s="89"/>
      <c r="CC444" s="89"/>
      <c r="CD444" s="89"/>
      <c r="CE444" s="89"/>
      <c r="CF444" s="89"/>
      <c r="CG444" s="89"/>
      <c r="CH444" s="89"/>
      <c r="CI444" s="89"/>
      <c r="CJ444" s="89"/>
      <c r="CK444" s="89"/>
      <c r="CL444" s="89"/>
      <c r="CM444" s="89"/>
      <c r="CN444" s="89"/>
      <c r="CO444" s="98"/>
      <c r="CP444" s="98"/>
      <c r="CQ444" s="98"/>
      <c r="CR444" s="98"/>
      <c r="CS444" s="98"/>
      <c r="CT444" s="98"/>
      <c r="CU444" s="98"/>
      <c r="CV444" s="98"/>
      <c r="CW444" s="98"/>
      <c r="CX444" s="98"/>
      <c r="CY444" s="1247"/>
      <c r="CZ444" s="1247"/>
      <c r="DA444" s="1247"/>
      <c r="DB444" s="98"/>
      <c r="DC444" s="2925"/>
      <c r="DD444" s="98"/>
      <c r="DE444" s="98"/>
      <c r="DF444" s="98"/>
      <c r="DG444" s="98"/>
      <c r="DH444" s="2925"/>
      <c r="DI444" s="2925"/>
      <c r="DJ444" s="2925"/>
      <c r="DK444" s="2925"/>
      <c r="DL444" s="2925"/>
      <c r="DM444" s="2925"/>
      <c r="DN444" s="2925"/>
      <c r="DO444" s="2925"/>
      <c r="DP444" s="2925"/>
      <c r="DQ444" s="2925"/>
      <c r="DR444" s="2925"/>
    </row>
    <row r="445" spans="1:122">
      <c r="A445" s="190" t="s">
        <v>119</v>
      </c>
      <c r="B445" s="48"/>
      <c r="C445" s="48"/>
      <c r="D445" s="48"/>
      <c r="E445" s="48"/>
      <c r="F445" s="48"/>
      <c r="G445" s="48"/>
      <c r="H445" s="48"/>
      <c r="I445" s="48"/>
      <c r="J445" s="197"/>
      <c r="K445" s="201">
        <v>6.7500000000000004E-2</v>
      </c>
      <c r="L445" s="202">
        <f t="shared" si="648"/>
        <v>6.7500000000000004E-2</v>
      </c>
      <c r="M445" s="202">
        <f t="shared" si="648"/>
        <v>6.7500000000000004E-2</v>
      </c>
      <c r="N445" s="202">
        <f>M445</f>
        <v>6.7500000000000004E-2</v>
      </c>
      <c r="O445" s="919"/>
      <c r="P445" s="202"/>
      <c r="Q445" s="202"/>
      <c r="R445" s="202">
        <f t="shared" si="650"/>
        <v>6.7500000000000004E-2</v>
      </c>
      <c r="S445" s="202">
        <f>R445</f>
        <v>6.7500000000000004E-2</v>
      </c>
      <c r="T445" s="202">
        <f t="shared" si="654"/>
        <v>6.7500000000000004E-2</v>
      </c>
      <c r="U445" s="202">
        <f t="shared" si="657"/>
        <v>6.7500000000000004E-2</v>
      </c>
      <c r="V445" s="202">
        <f t="shared" si="657"/>
        <v>6.7500000000000004E-2</v>
      </c>
      <c r="W445" s="202">
        <f t="shared" si="657"/>
        <v>6.7500000000000004E-2</v>
      </c>
      <c r="X445" s="202"/>
      <c r="Y445" s="202"/>
      <c r="Z445" s="202">
        <f t="shared" si="658"/>
        <v>6.7500000000000004E-2</v>
      </c>
      <c r="AA445" s="203">
        <f t="shared" si="652"/>
        <v>6.7500000000000004E-2</v>
      </c>
      <c r="AB445" s="203"/>
      <c r="AC445" s="203">
        <f t="shared" si="644"/>
        <v>6.7500000000000004E-2</v>
      </c>
      <c r="AD445" s="203">
        <f t="shared" si="645"/>
        <v>6.7500000000000004E-2</v>
      </c>
      <c r="AE445" s="203">
        <f t="shared" si="645"/>
        <v>6.7500000000000004E-2</v>
      </c>
      <c r="AF445" s="203">
        <f t="shared" si="659"/>
        <v>6.7500000000000004E-2</v>
      </c>
      <c r="AG445" s="203">
        <f t="shared" si="659"/>
        <v>6.7500000000000004E-2</v>
      </c>
      <c r="AH445" s="203">
        <f t="shared" si="659"/>
        <v>6.7500000000000004E-2</v>
      </c>
      <c r="AI445" s="203">
        <f t="shared" si="660"/>
        <v>6.7500000000000004E-2</v>
      </c>
      <c r="AJ445" s="203">
        <f t="shared" si="660"/>
        <v>6.7500000000000004E-2</v>
      </c>
      <c r="AK445" s="203">
        <f t="shared" si="660"/>
        <v>6.7500000000000004E-2</v>
      </c>
      <c r="AL445" s="1371">
        <f t="shared" si="660"/>
        <v>6.7500000000000004E-2</v>
      </c>
      <c r="AM445" s="1371">
        <f t="shared" si="660"/>
        <v>6.7500000000000004E-2</v>
      </c>
      <c r="AN445" s="1371">
        <f t="shared" si="660"/>
        <v>6.7500000000000004E-2</v>
      </c>
      <c r="AO445" s="203"/>
      <c r="AP445" s="203"/>
      <c r="AQ445" s="203"/>
      <c r="AR445" s="203"/>
      <c r="AS445" s="203"/>
      <c r="AT445" s="203"/>
      <c r="AU445" s="95"/>
      <c r="AV445" s="4"/>
      <c r="AW445" s="89"/>
      <c r="AX445" s="89"/>
      <c r="AY445" s="89"/>
      <c r="AZ445" s="89"/>
      <c r="BA445" s="89"/>
      <c r="BB445" s="89"/>
      <c r="BC445" s="89"/>
      <c r="BD445" s="89"/>
      <c r="BE445" s="89"/>
      <c r="BF445" s="89"/>
      <c r="BG445" s="89"/>
      <c r="BH445" s="98"/>
      <c r="BI445" s="89"/>
      <c r="BJ445" s="89"/>
      <c r="BK445" s="89"/>
      <c r="BL445" s="89"/>
      <c r="BM445" s="89"/>
      <c r="BN445" s="89"/>
      <c r="BO445" s="89"/>
      <c r="BP445" s="89"/>
      <c r="BQ445" s="89"/>
      <c r="BR445" s="89"/>
      <c r="BS445" s="89"/>
      <c r="BT445" s="89"/>
      <c r="BU445" s="89"/>
      <c r="BV445" s="89"/>
      <c r="BW445" s="89"/>
      <c r="BX445" s="89"/>
      <c r="BY445" s="89"/>
      <c r="BZ445" s="89"/>
      <c r="CA445" s="89"/>
      <c r="CB445" s="89"/>
      <c r="CC445" s="89"/>
      <c r="CD445" s="89"/>
      <c r="CE445" s="89"/>
      <c r="CF445" s="89"/>
      <c r="CG445" s="89"/>
      <c r="CH445" s="89"/>
      <c r="CI445" s="89"/>
      <c r="CJ445" s="89"/>
      <c r="CK445" s="89"/>
      <c r="CL445" s="89"/>
      <c r="CM445" s="89"/>
      <c r="CN445" s="89"/>
      <c r="CO445" s="98"/>
      <c r="CP445" s="98"/>
      <c r="CQ445" s="98"/>
      <c r="CR445" s="98"/>
      <c r="CS445" s="98"/>
      <c r="CT445" s="98"/>
      <c r="CU445" s="98"/>
      <c r="CV445" s="98"/>
      <c r="CW445" s="98"/>
      <c r="CX445" s="98"/>
      <c r="CY445" s="1247"/>
      <c r="CZ445" s="1247"/>
      <c r="DA445" s="1247"/>
      <c r="DB445" s="98"/>
      <c r="DC445" s="2925"/>
      <c r="DD445" s="98"/>
      <c r="DE445" s="98"/>
      <c r="DF445" s="98"/>
      <c r="DG445" s="98"/>
      <c r="DH445" s="2925"/>
      <c r="DI445" s="2925"/>
      <c r="DJ445" s="2925"/>
      <c r="DK445" s="2925"/>
      <c r="DL445" s="2925"/>
      <c r="DM445" s="2925"/>
      <c r="DN445" s="2925"/>
      <c r="DO445" s="2925"/>
      <c r="DP445" s="2925"/>
      <c r="DQ445" s="2925"/>
      <c r="DR445" s="2925"/>
    </row>
    <row r="446" spans="1:122">
      <c r="A446" s="190" t="str">
        <f t="shared" ref="A446:A458" si="661">A344</f>
        <v>3.375% Senior Notes due 2022</v>
      </c>
      <c r="B446" s="48"/>
      <c r="C446" s="48"/>
      <c r="D446" s="48"/>
      <c r="E446" s="48"/>
      <c r="F446" s="48"/>
      <c r="G446" s="48"/>
      <c r="H446" s="48"/>
      <c r="I446" s="48"/>
      <c r="J446" s="197"/>
      <c r="K446" s="201"/>
      <c r="L446" s="202"/>
      <c r="M446" s="202"/>
      <c r="N446" s="202"/>
      <c r="O446" s="919"/>
      <c r="P446" s="202"/>
      <c r="Q446" s="202"/>
      <c r="R446" s="202">
        <v>0</v>
      </c>
      <c r="S446" s="202">
        <v>0</v>
      </c>
      <c r="T446" s="202">
        <v>0</v>
      </c>
      <c r="U446" s="202">
        <v>3.3750000000000002E-2</v>
      </c>
      <c r="V446" s="202">
        <f t="shared" ref="V446:W448" si="662">U446</f>
        <v>3.3750000000000002E-2</v>
      </c>
      <c r="W446" s="202">
        <f t="shared" si="662"/>
        <v>3.3750000000000002E-2</v>
      </c>
      <c r="X446" s="202"/>
      <c r="Y446" s="202"/>
      <c r="Z446" s="202">
        <f t="shared" si="658"/>
        <v>3.3750000000000002E-2</v>
      </c>
      <c r="AA446" s="203">
        <f t="shared" si="652"/>
        <v>3.3750000000000002E-2</v>
      </c>
      <c r="AB446" s="203"/>
      <c r="AC446" s="203">
        <f t="shared" si="644"/>
        <v>3.3750000000000002E-2</v>
      </c>
      <c r="AD446" s="203">
        <f t="shared" si="645"/>
        <v>3.3750000000000002E-2</v>
      </c>
      <c r="AE446" s="203">
        <f t="shared" si="645"/>
        <v>3.3750000000000002E-2</v>
      </c>
      <c r="AF446" s="203">
        <f t="shared" si="659"/>
        <v>3.3750000000000002E-2</v>
      </c>
      <c r="AG446" s="203">
        <f t="shared" si="659"/>
        <v>3.3750000000000002E-2</v>
      </c>
      <c r="AH446" s="203">
        <f t="shared" si="659"/>
        <v>3.3750000000000002E-2</v>
      </c>
      <c r="AI446" s="203">
        <f t="shared" si="660"/>
        <v>3.3750000000000002E-2</v>
      </c>
      <c r="AJ446" s="203">
        <f t="shared" si="660"/>
        <v>3.3750000000000002E-2</v>
      </c>
      <c r="AK446" s="203">
        <f t="shared" si="660"/>
        <v>3.3750000000000002E-2</v>
      </c>
      <c r="AL446" s="1371">
        <f t="shared" si="660"/>
        <v>3.3750000000000002E-2</v>
      </c>
      <c r="AM446" s="1371">
        <f t="shared" si="660"/>
        <v>3.3750000000000002E-2</v>
      </c>
      <c r="AN446" s="1371">
        <f t="shared" si="660"/>
        <v>3.3750000000000002E-2</v>
      </c>
      <c r="AO446" s="203"/>
      <c r="AP446" s="203"/>
      <c r="AQ446" s="203"/>
      <c r="AR446" s="203"/>
      <c r="AS446" s="203"/>
      <c r="AT446" s="203"/>
      <c r="AU446" s="95"/>
      <c r="AV446" s="4"/>
      <c r="AW446" s="89"/>
      <c r="AX446" s="89"/>
      <c r="AY446" s="89"/>
      <c r="AZ446" s="89"/>
      <c r="BA446" s="89"/>
      <c r="BB446" s="89"/>
      <c r="BC446" s="89"/>
      <c r="BD446" s="89"/>
      <c r="BE446" s="89"/>
      <c r="BF446" s="89"/>
      <c r="BG446" s="89"/>
      <c r="BH446" s="98"/>
      <c r="BI446" s="89"/>
      <c r="BJ446" s="89"/>
      <c r="BK446" s="89"/>
      <c r="BL446" s="89"/>
      <c r="BM446" s="89"/>
      <c r="BN446" s="89"/>
      <c r="BO446" s="89"/>
      <c r="BP446" s="89"/>
      <c r="BQ446" s="89"/>
      <c r="BR446" s="89"/>
      <c r="BS446" s="89"/>
      <c r="BT446" s="89"/>
      <c r="BU446" s="89"/>
      <c r="BV446" s="89"/>
      <c r="BW446" s="89"/>
      <c r="BX446" s="89"/>
      <c r="BY446" s="89"/>
      <c r="BZ446" s="89"/>
      <c r="CA446" s="89"/>
      <c r="CB446" s="89"/>
      <c r="CC446" s="89"/>
      <c r="CD446" s="89"/>
      <c r="CE446" s="89"/>
      <c r="CF446" s="89"/>
      <c r="CG446" s="89"/>
      <c r="CH446" s="89"/>
      <c r="CI446" s="89"/>
      <c r="CJ446" s="89"/>
      <c r="CK446" s="89"/>
      <c r="CL446" s="89"/>
      <c r="CM446" s="89"/>
      <c r="CN446" s="89"/>
      <c r="CO446" s="98"/>
      <c r="CP446" s="98"/>
      <c r="CQ446" s="98"/>
      <c r="CR446" s="98"/>
      <c r="CS446" s="98"/>
      <c r="CT446" s="98"/>
      <c r="CU446" s="98"/>
      <c r="CV446" s="98"/>
      <c r="CW446" s="98"/>
      <c r="CX446" s="98"/>
      <c r="CY446" s="1247"/>
      <c r="CZ446" s="1247"/>
      <c r="DA446" s="1247"/>
      <c r="DB446" s="98"/>
      <c r="DC446" s="2925"/>
      <c r="DD446" s="98"/>
      <c r="DE446" s="98"/>
      <c r="DF446" s="98"/>
      <c r="DG446" s="98"/>
      <c r="DH446" s="2925"/>
      <c r="DI446" s="2925"/>
      <c r="DJ446" s="2925"/>
      <c r="DK446" s="2925"/>
      <c r="DL446" s="2925"/>
      <c r="DM446" s="2925"/>
      <c r="DN446" s="2925"/>
      <c r="DO446" s="2925"/>
      <c r="DP446" s="2925"/>
      <c r="DQ446" s="2925"/>
      <c r="DR446" s="2925"/>
    </row>
    <row r="447" spans="1:122">
      <c r="A447" s="190" t="str">
        <f t="shared" si="661"/>
        <v>1.95% Senior Notes due 2017</v>
      </c>
      <c r="B447" s="48"/>
      <c r="C447" s="48"/>
      <c r="D447" s="48"/>
      <c r="E447" s="48"/>
      <c r="F447" s="48"/>
      <c r="G447" s="48"/>
      <c r="H447" s="48"/>
      <c r="I447" s="48"/>
      <c r="J447" s="197"/>
      <c r="K447" s="201"/>
      <c r="L447" s="202"/>
      <c r="M447" s="202"/>
      <c r="N447" s="202"/>
      <c r="O447" s="919"/>
      <c r="P447" s="202"/>
      <c r="Q447" s="202"/>
      <c r="R447" s="202">
        <v>0</v>
      </c>
      <c r="S447" s="202">
        <v>0</v>
      </c>
      <c r="T447" s="202">
        <v>0</v>
      </c>
      <c r="U447" s="202">
        <v>1.95E-2</v>
      </c>
      <c r="V447" s="202">
        <f t="shared" si="662"/>
        <v>1.95E-2</v>
      </c>
      <c r="W447" s="202">
        <f t="shared" si="662"/>
        <v>1.95E-2</v>
      </c>
      <c r="X447" s="202"/>
      <c r="Y447" s="202"/>
      <c r="Z447" s="202">
        <f t="shared" si="658"/>
        <v>1.95E-2</v>
      </c>
      <c r="AA447" s="203">
        <f t="shared" si="652"/>
        <v>1.95E-2</v>
      </c>
      <c r="AB447" s="203"/>
      <c r="AC447" s="203">
        <f t="shared" si="644"/>
        <v>1.95E-2</v>
      </c>
      <c r="AD447" s="203">
        <f t="shared" si="645"/>
        <v>1.95E-2</v>
      </c>
      <c r="AE447" s="203">
        <f t="shared" si="645"/>
        <v>1.95E-2</v>
      </c>
      <c r="AF447" s="203">
        <f t="shared" si="659"/>
        <v>1.95E-2</v>
      </c>
      <c r="AG447" s="203">
        <f t="shared" si="659"/>
        <v>1.95E-2</v>
      </c>
      <c r="AH447" s="203">
        <f t="shared" si="659"/>
        <v>1.95E-2</v>
      </c>
      <c r="AI447" s="203">
        <f t="shared" si="660"/>
        <v>1.95E-2</v>
      </c>
      <c r="AJ447" s="203">
        <f t="shared" si="660"/>
        <v>1.95E-2</v>
      </c>
      <c r="AK447" s="203">
        <f t="shared" si="660"/>
        <v>1.95E-2</v>
      </c>
      <c r="AL447" s="1371">
        <f t="shared" si="660"/>
        <v>1.95E-2</v>
      </c>
      <c r="AM447" s="1371">
        <f t="shared" si="660"/>
        <v>1.95E-2</v>
      </c>
      <c r="AN447" s="1371">
        <f t="shared" si="660"/>
        <v>1.95E-2</v>
      </c>
      <c r="AO447" s="203"/>
      <c r="AP447" s="203"/>
      <c r="AQ447" s="203"/>
      <c r="AR447" s="203"/>
      <c r="AS447" s="203"/>
      <c r="AT447" s="203"/>
      <c r="AU447" s="95"/>
      <c r="AV447" s="4"/>
      <c r="AW447" s="89"/>
      <c r="AX447" s="89"/>
      <c r="AY447" s="89"/>
      <c r="AZ447" s="89"/>
      <c r="BA447" s="89"/>
      <c r="BB447" s="89"/>
      <c r="BC447" s="89"/>
      <c r="BD447" s="89"/>
      <c r="BE447" s="89"/>
      <c r="BF447" s="89"/>
      <c r="BG447" s="89"/>
      <c r="BH447" s="98"/>
      <c r="BI447" s="89"/>
      <c r="BJ447" s="89"/>
      <c r="BK447" s="89"/>
      <c r="BL447" s="89"/>
      <c r="BM447" s="89"/>
      <c r="BN447" s="89"/>
      <c r="BO447" s="89"/>
      <c r="BP447" s="89"/>
      <c r="BQ447" s="89"/>
      <c r="BR447" s="89"/>
      <c r="BS447" s="89"/>
      <c r="BT447" s="89"/>
      <c r="BU447" s="89"/>
      <c r="BV447" s="89"/>
      <c r="BW447" s="89"/>
      <c r="BX447" s="89"/>
      <c r="BY447" s="89"/>
      <c r="BZ447" s="89"/>
      <c r="CA447" s="89"/>
      <c r="CB447" s="89"/>
      <c r="CC447" s="89"/>
      <c r="CD447" s="89"/>
      <c r="CE447" s="89"/>
      <c r="CF447" s="89"/>
      <c r="CG447" s="89"/>
      <c r="CH447" s="89"/>
      <c r="CI447" s="89"/>
      <c r="CJ447" s="89"/>
      <c r="CK447" s="89"/>
      <c r="CL447" s="89"/>
      <c r="CM447" s="89"/>
      <c r="CN447" s="89"/>
      <c r="CO447" s="98"/>
      <c r="CP447" s="98"/>
      <c r="CQ447" s="98"/>
      <c r="CR447" s="98"/>
      <c r="CS447" s="98"/>
      <c r="CT447" s="98"/>
      <c r="CU447" s="98"/>
      <c r="CV447" s="98"/>
      <c r="CW447" s="98"/>
      <c r="CX447" s="98"/>
      <c r="CY447" s="1247"/>
      <c r="CZ447" s="1247"/>
      <c r="DA447" s="1247"/>
      <c r="DB447" s="98"/>
      <c r="DC447" s="2925"/>
      <c r="DD447" s="98"/>
      <c r="DE447" s="98"/>
      <c r="DF447" s="98"/>
      <c r="DG447" s="98"/>
      <c r="DH447" s="2925"/>
      <c r="DI447" s="2925"/>
      <c r="DJ447" s="2925"/>
      <c r="DK447" s="2925"/>
      <c r="DL447" s="2925"/>
      <c r="DM447" s="2925"/>
      <c r="DN447" s="2925"/>
      <c r="DO447" s="2925"/>
      <c r="DP447" s="2925"/>
      <c r="DQ447" s="2925"/>
      <c r="DR447" s="2925"/>
    </row>
    <row r="448" spans="1:122">
      <c r="A448" s="190" t="str">
        <f t="shared" si="661"/>
        <v>4.85% Senior Notes due 2042</v>
      </c>
      <c r="B448" s="48"/>
      <c r="C448" s="48"/>
      <c r="D448" s="48"/>
      <c r="E448" s="48"/>
      <c r="F448" s="48"/>
      <c r="G448" s="48"/>
      <c r="H448" s="48"/>
      <c r="I448" s="48"/>
      <c r="J448" s="197"/>
      <c r="K448" s="201"/>
      <c r="L448" s="202"/>
      <c r="M448" s="202"/>
      <c r="N448" s="202"/>
      <c r="O448" s="919"/>
      <c r="P448" s="202"/>
      <c r="Q448" s="202"/>
      <c r="R448" s="202">
        <v>0</v>
      </c>
      <c r="S448" s="202">
        <v>0</v>
      </c>
      <c r="T448" s="202">
        <v>0</v>
      </c>
      <c r="U448" s="202">
        <v>4.8500000000000001E-2</v>
      </c>
      <c r="V448" s="202">
        <f t="shared" si="662"/>
        <v>4.8500000000000001E-2</v>
      </c>
      <c r="W448" s="202">
        <f t="shared" si="662"/>
        <v>4.8500000000000001E-2</v>
      </c>
      <c r="X448" s="202"/>
      <c r="Y448" s="202"/>
      <c r="Z448" s="202">
        <f t="shared" si="658"/>
        <v>4.8500000000000001E-2</v>
      </c>
      <c r="AA448" s="203">
        <f t="shared" si="652"/>
        <v>4.8500000000000001E-2</v>
      </c>
      <c r="AB448" s="203"/>
      <c r="AC448" s="203">
        <f t="shared" si="644"/>
        <v>4.8500000000000001E-2</v>
      </c>
      <c r="AD448" s="203">
        <f t="shared" si="645"/>
        <v>4.8500000000000001E-2</v>
      </c>
      <c r="AE448" s="203">
        <f t="shared" si="645"/>
        <v>4.8500000000000001E-2</v>
      </c>
      <c r="AF448" s="203">
        <f t="shared" si="659"/>
        <v>4.8500000000000001E-2</v>
      </c>
      <c r="AG448" s="203">
        <f t="shared" si="659"/>
        <v>4.8500000000000001E-2</v>
      </c>
      <c r="AH448" s="203">
        <f t="shared" si="659"/>
        <v>4.8500000000000001E-2</v>
      </c>
      <c r="AI448" s="203">
        <f t="shared" si="660"/>
        <v>4.8500000000000001E-2</v>
      </c>
      <c r="AJ448" s="203">
        <f t="shared" si="660"/>
        <v>4.8500000000000001E-2</v>
      </c>
      <c r="AK448" s="203">
        <f t="shared" si="660"/>
        <v>4.8500000000000001E-2</v>
      </c>
      <c r="AL448" s="1371">
        <f t="shared" si="660"/>
        <v>4.8500000000000001E-2</v>
      </c>
      <c r="AM448" s="1371">
        <f t="shared" si="660"/>
        <v>4.8500000000000001E-2</v>
      </c>
      <c r="AN448" s="1371">
        <f t="shared" si="660"/>
        <v>4.8500000000000001E-2</v>
      </c>
      <c r="AO448" s="203"/>
      <c r="AP448" s="203"/>
      <c r="AQ448" s="203"/>
      <c r="AR448" s="203"/>
      <c r="AS448" s="203"/>
      <c r="AT448" s="203"/>
      <c r="AU448" s="95"/>
      <c r="AV448" s="4"/>
      <c r="AW448" s="89"/>
      <c r="AX448" s="89"/>
      <c r="AY448" s="89"/>
      <c r="AZ448" s="89"/>
      <c r="BA448" s="89"/>
      <c r="BB448" s="89"/>
      <c r="BC448" s="89"/>
      <c r="BD448" s="89"/>
      <c r="BE448" s="89"/>
      <c r="BF448" s="89"/>
      <c r="BG448" s="89"/>
      <c r="BH448" s="98"/>
      <c r="BI448" s="89"/>
      <c r="BJ448" s="89"/>
      <c r="BK448" s="89"/>
      <c r="BL448" s="89"/>
      <c r="BM448" s="89"/>
      <c r="BN448" s="89"/>
      <c r="BO448" s="89"/>
      <c r="BP448" s="89"/>
      <c r="BQ448" s="89"/>
      <c r="BR448" s="89"/>
      <c r="BS448" s="89"/>
      <c r="BT448" s="89"/>
      <c r="BU448" s="89"/>
      <c r="BV448" s="89"/>
      <c r="BW448" s="89"/>
      <c r="BX448" s="89"/>
      <c r="BY448" s="89"/>
      <c r="BZ448" s="89"/>
      <c r="CA448" s="89"/>
      <c r="CB448" s="89"/>
      <c r="CC448" s="89"/>
      <c r="CD448" s="89"/>
      <c r="CE448" s="89"/>
      <c r="CF448" s="89"/>
      <c r="CG448" s="89"/>
      <c r="CH448" s="89"/>
      <c r="CI448" s="89"/>
      <c r="CJ448" s="89"/>
      <c r="CK448" s="89"/>
      <c r="CL448" s="89"/>
      <c r="CM448" s="89"/>
      <c r="CN448" s="89"/>
      <c r="CO448" s="98"/>
      <c r="CP448" s="98"/>
      <c r="CQ448" s="98"/>
      <c r="CR448" s="98"/>
      <c r="CS448" s="98"/>
      <c r="CT448" s="98"/>
      <c r="CU448" s="98"/>
      <c r="CV448" s="98"/>
      <c r="CW448" s="98"/>
      <c r="CX448" s="98"/>
      <c r="CY448" s="1247"/>
      <c r="CZ448" s="1247"/>
      <c r="DA448" s="1247"/>
      <c r="DB448" s="98"/>
      <c r="DC448" s="2925"/>
      <c r="DD448" s="98"/>
      <c r="DE448" s="98"/>
      <c r="DF448" s="98"/>
      <c r="DG448" s="98"/>
      <c r="DH448" s="2925"/>
      <c r="DI448" s="2925"/>
      <c r="DJ448" s="2925"/>
      <c r="DK448" s="2925"/>
      <c r="DL448" s="2925"/>
      <c r="DM448" s="2925"/>
      <c r="DN448" s="2925"/>
      <c r="DO448" s="2925"/>
      <c r="DP448" s="2925"/>
      <c r="DQ448" s="2925"/>
      <c r="DR448" s="2925"/>
    </row>
    <row r="449" spans="1:122">
      <c r="A449" s="190" t="str">
        <f t="shared" si="661"/>
        <v>$1.6bn issued for CBSO (3 pieces, avg rate 4.23%</v>
      </c>
      <c r="B449" s="48"/>
      <c r="C449" s="48"/>
      <c r="D449" s="48"/>
      <c r="E449" s="48"/>
      <c r="F449" s="48"/>
      <c r="G449" s="48"/>
      <c r="H449" s="48"/>
      <c r="I449" s="48"/>
      <c r="J449" s="197"/>
      <c r="K449" s="201"/>
      <c r="L449" s="202"/>
      <c r="M449" s="202"/>
      <c r="N449" s="202"/>
      <c r="O449" s="919"/>
      <c r="P449" s="202"/>
      <c r="Q449" s="202"/>
      <c r="R449" s="202"/>
      <c r="S449" s="202"/>
      <c r="T449" s="202"/>
      <c r="U449" s="202"/>
      <c r="V449" s="202"/>
      <c r="W449" s="202">
        <v>4.2299999999999997E-2</v>
      </c>
      <c r="X449" s="202"/>
      <c r="Y449" s="202"/>
      <c r="Z449" s="202">
        <f t="shared" si="658"/>
        <v>4.2299999999999997E-2</v>
      </c>
      <c r="AA449" s="203">
        <f t="shared" si="652"/>
        <v>4.2299999999999997E-2</v>
      </c>
      <c r="AB449" s="203"/>
      <c r="AC449" s="203">
        <f t="shared" si="644"/>
        <v>4.2299999999999997E-2</v>
      </c>
      <c r="AD449" s="203">
        <f t="shared" si="645"/>
        <v>4.2299999999999997E-2</v>
      </c>
      <c r="AE449" s="203">
        <f t="shared" si="645"/>
        <v>4.2299999999999997E-2</v>
      </c>
      <c r="AF449" s="203">
        <f t="shared" si="659"/>
        <v>4.2299999999999997E-2</v>
      </c>
      <c r="AG449" s="203">
        <f t="shared" si="659"/>
        <v>4.2299999999999997E-2</v>
      </c>
      <c r="AH449" s="203">
        <f t="shared" si="659"/>
        <v>4.2299999999999997E-2</v>
      </c>
      <c r="AI449" s="203">
        <f t="shared" si="660"/>
        <v>4.2299999999999997E-2</v>
      </c>
      <c r="AJ449" s="203">
        <f t="shared" si="660"/>
        <v>4.2299999999999997E-2</v>
      </c>
      <c r="AK449" s="203">
        <f t="shared" si="660"/>
        <v>4.2299999999999997E-2</v>
      </c>
      <c r="AL449" s="1371">
        <f t="shared" si="660"/>
        <v>4.2299999999999997E-2</v>
      </c>
      <c r="AM449" s="1371">
        <f t="shared" si="660"/>
        <v>4.2299999999999997E-2</v>
      </c>
      <c r="AN449" s="1371">
        <f t="shared" si="660"/>
        <v>4.2299999999999997E-2</v>
      </c>
      <c r="AO449" s="203"/>
      <c r="AP449" s="203"/>
      <c r="AQ449" s="203"/>
      <c r="AR449" s="203"/>
      <c r="AS449" s="203"/>
      <c r="AT449" s="203"/>
      <c r="AU449" s="95"/>
      <c r="AV449" s="4"/>
      <c r="AW449" s="89"/>
      <c r="AX449" s="89"/>
      <c r="AY449" s="89"/>
      <c r="AZ449" s="89"/>
      <c r="BA449" s="89"/>
      <c r="BB449" s="89"/>
      <c r="BC449" s="89"/>
      <c r="BD449" s="89"/>
      <c r="BE449" s="89"/>
      <c r="BF449" s="89"/>
      <c r="BG449" s="89"/>
      <c r="BH449" s="98"/>
      <c r="BI449" s="89"/>
      <c r="BJ449" s="89"/>
      <c r="BK449" s="89"/>
      <c r="BL449" s="89"/>
      <c r="BM449" s="89"/>
      <c r="BN449" s="89"/>
      <c r="BO449" s="89"/>
      <c r="BP449" s="89"/>
      <c r="BQ449" s="89"/>
      <c r="BR449" s="89"/>
      <c r="BS449" s="89"/>
      <c r="BT449" s="89"/>
      <c r="BU449" s="89"/>
      <c r="BV449" s="89"/>
      <c r="BW449" s="89"/>
      <c r="BX449" s="89"/>
      <c r="BY449" s="89"/>
      <c r="BZ449" s="89"/>
      <c r="CA449" s="89"/>
      <c r="CB449" s="89"/>
      <c r="CC449" s="89"/>
      <c r="CD449" s="89"/>
      <c r="CE449" s="89"/>
      <c r="CF449" s="89"/>
      <c r="CG449" s="89"/>
      <c r="CH449" s="89"/>
      <c r="CI449" s="89"/>
      <c r="CJ449" s="89"/>
      <c r="CK449" s="89"/>
      <c r="CL449" s="89"/>
      <c r="CM449" s="89"/>
      <c r="CN449" s="89"/>
      <c r="CO449" s="98"/>
      <c r="CP449" s="98"/>
      <c r="CQ449" s="98"/>
      <c r="CR449" s="98"/>
      <c r="CS449" s="98"/>
      <c r="CT449" s="98"/>
      <c r="CU449" s="98"/>
      <c r="CV449" s="98"/>
      <c r="CW449" s="98"/>
      <c r="CX449" s="98"/>
      <c r="CY449" s="1247"/>
      <c r="CZ449" s="1247"/>
      <c r="DA449" s="1247"/>
      <c r="DB449" s="98"/>
      <c r="DC449" s="2925"/>
      <c r="DD449" s="98"/>
      <c r="DE449" s="98"/>
      <c r="DF449" s="98"/>
      <c r="DG449" s="98"/>
      <c r="DH449" s="2925"/>
      <c r="DI449" s="2925"/>
      <c r="DJ449" s="2925"/>
      <c r="DK449" s="2925"/>
      <c r="DL449" s="2925"/>
      <c r="DM449" s="2925"/>
      <c r="DN449" s="2925"/>
      <c r="DO449" s="2925"/>
      <c r="DP449" s="2925"/>
      <c r="DQ449" s="2925"/>
      <c r="DR449" s="2925"/>
    </row>
    <row r="450" spans="1:122">
      <c r="A450" s="190" t="str">
        <f t="shared" si="661"/>
        <v>2.3% Senior Notes due 2019</v>
      </c>
      <c r="B450" s="48"/>
      <c r="C450" s="48"/>
      <c r="D450" s="48"/>
      <c r="E450" s="48"/>
      <c r="F450" s="48"/>
      <c r="G450" s="48"/>
      <c r="H450" s="48"/>
      <c r="I450" s="48"/>
      <c r="J450" s="197"/>
      <c r="K450" s="201"/>
      <c r="L450" s="202"/>
      <c r="M450" s="202"/>
      <c r="N450" s="202"/>
      <c r="O450" s="919"/>
      <c r="P450" s="202"/>
      <c r="Q450" s="202"/>
      <c r="R450" s="202"/>
      <c r="S450" s="202"/>
      <c r="T450" s="202"/>
      <c r="U450" s="202"/>
      <c r="V450" s="202"/>
      <c r="W450" s="202">
        <v>2.3E-2</v>
      </c>
      <c r="X450" s="202"/>
      <c r="Y450" s="202"/>
      <c r="Z450" s="202">
        <f t="shared" si="658"/>
        <v>2.3E-2</v>
      </c>
      <c r="AA450" s="203">
        <f t="shared" ref="AA450:AN450" si="663">Z450</f>
        <v>2.3E-2</v>
      </c>
      <c r="AB450" s="203"/>
      <c r="AC450" s="203">
        <f t="shared" si="644"/>
        <v>2.3E-2</v>
      </c>
      <c r="AD450" s="203">
        <f t="shared" si="663"/>
        <v>2.3E-2</v>
      </c>
      <c r="AE450" s="203">
        <f t="shared" si="663"/>
        <v>2.3E-2</v>
      </c>
      <c r="AF450" s="203">
        <f t="shared" si="663"/>
        <v>2.3E-2</v>
      </c>
      <c r="AG450" s="203">
        <f t="shared" si="663"/>
        <v>2.3E-2</v>
      </c>
      <c r="AH450" s="203">
        <f t="shared" si="663"/>
        <v>2.3E-2</v>
      </c>
      <c r="AI450" s="203">
        <f t="shared" si="663"/>
        <v>2.3E-2</v>
      </c>
      <c r="AJ450" s="203">
        <f t="shared" si="663"/>
        <v>2.3E-2</v>
      </c>
      <c r="AK450" s="203">
        <f t="shared" si="663"/>
        <v>2.3E-2</v>
      </c>
      <c r="AL450" s="1371">
        <f t="shared" si="663"/>
        <v>2.3E-2</v>
      </c>
      <c r="AM450" s="1371">
        <f t="shared" si="663"/>
        <v>2.3E-2</v>
      </c>
      <c r="AN450" s="1371">
        <f t="shared" si="663"/>
        <v>2.3E-2</v>
      </c>
      <c r="AO450" s="203"/>
      <c r="AP450" s="203"/>
      <c r="AQ450" s="203"/>
      <c r="AR450" s="203"/>
      <c r="AS450" s="203"/>
      <c r="AT450" s="203"/>
      <c r="AU450" s="95"/>
      <c r="AV450" s="4"/>
      <c r="AW450" s="89"/>
      <c r="AX450" s="89"/>
      <c r="AY450" s="89"/>
      <c r="AZ450" s="89"/>
      <c r="BA450" s="89"/>
      <c r="BB450" s="89"/>
      <c r="BC450" s="89"/>
      <c r="BD450" s="89"/>
      <c r="BE450" s="89"/>
      <c r="BF450" s="89"/>
      <c r="BG450" s="89"/>
      <c r="BH450" s="98"/>
      <c r="BI450" s="89"/>
      <c r="BJ450" s="89"/>
      <c r="BK450" s="89"/>
      <c r="BL450" s="89"/>
      <c r="BM450" s="89"/>
      <c r="BN450" s="89"/>
      <c r="BO450" s="89"/>
      <c r="BP450" s="89"/>
      <c r="BQ450" s="89"/>
      <c r="BR450" s="89"/>
      <c r="BS450" s="89"/>
      <c r="BT450" s="89"/>
      <c r="BU450" s="89"/>
      <c r="BV450" s="89"/>
      <c r="BW450" s="89"/>
      <c r="BX450" s="89"/>
      <c r="BY450" s="89"/>
      <c r="BZ450" s="89"/>
      <c r="CA450" s="89"/>
      <c r="CB450" s="89"/>
      <c r="CC450" s="89"/>
      <c r="CD450" s="89"/>
      <c r="CE450" s="89"/>
      <c r="CF450" s="89"/>
      <c r="CG450" s="89"/>
      <c r="CH450" s="89"/>
      <c r="CI450" s="89"/>
      <c r="CJ450" s="89"/>
      <c r="CK450" s="89"/>
      <c r="CL450" s="89"/>
      <c r="CM450" s="89"/>
      <c r="CN450" s="89"/>
      <c r="CO450" s="98"/>
      <c r="CP450" s="98"/>
      <c r="CQ450" s="98"/>
      <c r="CR450" s="98"/>
      <c r="CS450" s="98"/>
      <c r="CT450" s="98"/>
      <c r="CU450" s="98"/>
      <c r="CV450" s="98"/>
      <c r="CW450" s="98"/>
      <c r="CX450" s="98"/>
      <c r="CY450" s="1247"/>
      <c r="CZ450" s="1247"/>
      <c r="DA450" s="1247"/>
      <c r="DB450" s="98"/>
      <c r="DC450" s="2925"/>
      <c r="DD450" s="98"/>
      <c r="DE450" s="98"/>
      <c r="DF450" s="98"/>
      <c r="DG450" s="98"/>
      <c r="DH450" s="2925"/>
      <c r="DI450" s="2925"/>
      <c r="DJ450" s="2925"/>
      <c r="DK450" s="2925"/>
      <c r="DL450" s="2925"/>
      <c r="DM450" s="2925"/>
      <c r="DN450" s="2925"/>
      <c r="DO450" s="2925"/>
      <c r="DP450" s="2925"/>
      <c r="DQ450" s="2925"/>
      <c r="DR450" s="2925"/>
    </row>
    <row r="451" spans="1:122">
      <c r="A451" s="1365" t="str">
        <f t="shared" si="661"/>
        <v>3.7% Senior Notes due 2024</v>
      </c>
      <c r="B451" s="1366"/>
      <c r="C451" s="1366"/>
      <c r="D451" s="1366"/>
      <c r="E451" s="1366"/>
      <c r="F451" s="1366"/>
      <c r="G451" s="1366"/>
      <c r="H451" s="1366"/>
      <c r="I451" s="1366"/>
      <c r="J451" s="1367"/>
      <c r="K451" s="1370"/>
      <c r="L451" s="1371"/>
      <c r="M451" s="1371"/>
      <c r="N451" s="1371"/>
      <c r="O451" s="1369"/>
      <c r="P451" s="1371"/>
      <c r="Q451" s="1371"/>
      <c r="R451" s="1371"/>
      <c r="S451" s="1371"/>
      <c r="T451" s="1371"/>
      <c r="U451" s="1371"/>
      <c r="V451" s="1371"/>
      <c r="W451" s="202">
        <v>3.6999999999999998E-2</v>
      </c>
      <c r="X451" s="1371"/>
      <c r="Y451" s="1371"/>
      <c r="Z451" s="202">
        <f t="shared" si="658"/>
        <v>3.6999999999999998E-2</v>
      </c>
      <c r="AA451" s="203">
        <f t="shared" ref="AA451:AN451" si="664">Z451</f>
        <v>3.6999999999999998E-2</v>
      </c>
      <c r="AB451" s="203"/>
      <c r="AC451" s="203">
        <f t="shared" si="644"/>
        <v>3.6999999999999998E-2</v>
      </c>
      <c r="AD451" s="203">
        <f t="shared" si="664"/>
        <v>3.6999999999999998E-2</v>
      </c>
      <c r="AE451" s="203">
        <f t="shared" si="664"/>
        <v>3.6999999999999998E-2</v>
      </c>
      <c r="AF451" s="203">
        <f t="shared" si="664"/>
        <v>3.6999999999999998E-2</v>
      </c>
      <c r="AG451" s="203">
        <f t="shared" si="664"/>
        <v>3.6999999999999998E-2</v>
      </c>
      <c r="AH451" s="203">
        <f t="shared" si="664"/>
        <v>3.6999999999999998E-2</v>
      </c>
      <c r="AI451" s="203">
        <f t="shared" si="664"/>
        <v>3.6999999999999998E-2</v>
      </c>
      <c r="AJ451" s="203">
        <f t="shared" si="664"/>
        <v>3.6999999999999998E-2</v>
      </c>
      <c r="AK451" s="203">
        <f t="shared" si="664"/>
        <v>3.6999999999999998E-2</v>
      </c>
      <c r="AL451" s="1371">
        <f t="shared" si="664"/>
        <v>3.6999999999999998E-2</v>
      </c>
      <c r="AM451" s="1371">
        <f t="shared" si="664"/>
        <v>3.6999999999999998E-2</v>
      </c>
      <c r="AN451" s="1371">
        <f t="shared" si="664"/>
        <v>3.6999999999999998E-2</v>
      </c>
      <c r="AO451" s="203"/>
      <c r="AP451" s="203"/>
      <c r="AQ451" s="203"/>
      <c r="AR451" s="203"/>
      <c r="AS451" s="203"/>
      <c r="AT451" s="203"/>
      <c r="AU451" s="95"/>
      <c r="AV451" s="4"/>
      <c r="AW451" s="89"/>
      <c r="AX451" s="89"/>
      <c r="AY451" s="89"/>
      <c r="AZ451" s="89"/>
      <c r="BA451" s="89"/>
      <c r="BB451" s="89"/>
      <c r="BC451" s="89"/>
      <c r="BD451" s="89"/>
      <c r="BE451" s="89"/>
      <c r="BF451" s="89"/>
      <c r="BG451" s="89"/>
      <c r="BH451" s="98"/>
      <c r="BI451" s="89"/>
      <c r="BJ451" s="89"/>
      <c r="BK451" s="89"/>
      <c r="BL451" s="89"/>
      <c r="BM451" s="89"/>
      <c r="BN451" s="89"/>
      <c r="BO451" s="89"/>
      <c r="BP451" s="89"/>
      <c r="BQ451" s="89"/>
      <c r="BR451" s="89"/>
      <c r="BS451" s="89"/>
      <c r="BT451" s="89"/>
      <c r="BU451" s="89"/>
      <c r="BV451" s="89"/>
      <c r="BW451" s="89"/>
      <c r="BX451" s="89"/>
      <c r="BY451" s="89"/>
      <c r="BZ451" s="89"/>
      <c r="CA451" s="89"/>
      <c r="CB451" s="89"/>
      <c r="CC451" s="89"/>
      <c r="CD451" s="89"/>
      <c r="CE451" s="89"/>
      <c r="CF451" s="89"/>
      <c r="CG451" s="89"/>
      <c r="CH451" s="89"/>
      <c r="CI451" s="89"/>
      <c r="CJ451" s="89"/>
      <c r="CK451" s="89"/>
      <c r="CL451" s="89"/>
      <c r="CM451" s="89"/>
      <c r="CN451" s="89"/>
      <c r="CO451" s="98"/>
      <c r="CP451" s="98"/>
      <c r="CQ451" s="98"/>
      <c r="CR451" s="98"/>
      <c r="CS451" s="98"/>
      <c r="CT451" s="98"/>
      <c r="CU451" s="98"/>
      <c r="CV451" s="98"/>
      <c r="CW451" s="98"/>
      <c r="CX451" s="98"/>
      <c r="CY451" s="1247"/>
      <c r="CZ451" s="1247"/>
      <c r="DA451" s="1247"/>
      <c r="DB451" s="98"/>
      <c r="DC451" s="2925"/>
      <c r="DD451" s="98"/>
      <c r="DE451" s="98"/>
      <c r="DF451" s="98"/>
      <c r="DG451" s="98"/>
      <c r="DH451" s="98"/>
      <c r="DI451" s="98"/>
      <c r="DJ451" s="98"/>
      <c r="DK451" s="98"/>
      <c r="DL451" s="98"/>
      <c r="DM451" s="98"/>
      <c r="DN451" s="98"/>
      <c r="DO451" s="98"/>
      <c r="DP451" s="98"/>
      <c r="DQ451" s="98"/>
      <c r="DR451" s="98"/>
    </row>
    <row r="452" spans="1:122">
      <c r="A452" s="1365" t="str">
        <f t="shared" si="661"/>
        <v>4.9% Senior Notes due 2044</v>
      </c>
      <c r="B452" s="1366"/>
      <c r="C452" s="1366"/>
      <c r="D452" s="1366"/>
      <c r="E452" s="1366"/>
      <c r="F452" s="1366"/>
      <c r="G452" s="1366"/>
      <c r="H452" s="1366"/>
      <c r="I452" s="1366"/>
      <c r="J452" s="1367"/>
      <c r="K452" s="1370"/>
      <c r="L452" s="1371"/>
      <c r="M452" s="1371"/>
      <c r="N452" s="1371"/>
      <c r="O452" s="1369"/>
      <c r="P452" s="1371"/>
      <c r="Q452" s="1371"/>
      <c r="R452" s="1371"/>
      <c r="S452" s="1371"/>
      <c r="T452" s="1371"/>
      <c r="U452" s="1371"/>
      <c r="V452" s="1371"/>
      <c r="W452" s="202">
        <v>4.9000000000000002E-2</v>
      </c>
      <c r="X452" s="1371"/>
      <c r="Y452" s="1371"/>
      <c r="Z452" s="202">
        <f t="shared" si="658"/>
        <v>4.9000000000000002E-2</v>
      </c>
      <c r="AA452" s="203">
        <f t="shared" ref="AA452:AN452" si="665">Z452</f>
        <v>4.9000000000000002E-2</v>
      </c>
      <c r="AB452" s="203"/>
      <c r="AC452" s="203">
        <f t="shared" si="644"/>
        <v>4.9000000000000002E-2</v>
      </c>
      <c r="AD452" s="203">
        <f t="shared" si="665"/>
        <v>4.9000000000000002E-2</v>
      </c>
      <c r="AE452" s="203">
        <f t="shared" si="665"/>
        <v>4.9000000000000002E-2</v>
      </c>
      <c r="AF452" s="203">
        <f t="shared" si="665"/>
        <v>4.9000000000000002E-2</v>
      </c>
      <c r="AG452" s="203">
        <f t="shared" si="665"/>
        <v>4.9000000000000002E-2</v>
      </c>
      <c r="AH452" s="203">
        <f t="shared" si="665"/>
        <v>4.9000000000000002E-2</v>
      </c>
      <c r="AI452" s="203">
        <f t="shared" si="665"/>
        <v>4.9000000000000002E-2</v>
      </c>
      <c r="AJ452" s="203">
        <f t="shared" si="665"/>
        <v>4.9000000000000002E-2</v>
      </c>
      <c r="AK452" s="203">
        <f t="shared" si="665"/>
        <v>4.9000000000000002E-2</v>
      </c>
      <c r="AL452" s="1371">
        <f t="shared" si="665"/>
        <v>4.9000000000000002E-2</v>
      </c>
      <c r="AM452" s="1371">
        <f t="shared" si="665"/>
        <v>4.9000000000000002E-2</v>
      </c>
      <c r="AN452" s="1371">
        <f t="shared" si="665"/>
        <v>4.9000000000000002E-2</v>
      </c>
      <c r="AO452" s="203"/>
      <c r="AP452" s="203"/>
      <c r="AQ452" s="203"/>
      <c r="AR452" s="203"/>
      <c r="AS452" s="203"/>
      <c r="AT452" s="203"/>
      <c r="AU452" s="95"/>
      <c r="AV452" s="4"/>
      <c r="AW452" s="89"/>
      <c r="AX452" s="89"/>
      <c r="AY452" s="89"/>
      <c r="AZ452" s="89"/>
      <c r="BA452" s="89"/>
      <c r="BB452" s="89"/>
      <c r="BC452" s="89"/>
      <c r="BD452" s="89"/>
      <c r="BE452" s="89"/>
      <c r="BF452" s="89"/>
      <c r="BG452" s="89"/>
      <c r="BH452" s="98"/>
      <c r="BI452" s="89"/>
      <c r="BJ452" s="89"/>
      <c r="BK452" s="89"/>
      <c r="BL452" s="89"/>
      <c r="BM452" s="89"/>
      <c r="BN452" s="89"/>
      <c r="BO452" s="89"/>
      <c r="BP452" s="89"/>
      <c r="BQ452" s="89"/>
      <c r="BR452" s="89"/>
      <c r="BS452" s="89"/>
      <c r="BT452" s="89"/>
      <c r="BU452" s="89"/>
      <c r="BV452" s="89"/>
      <c r="BW452" s="89"/>
      <c r="BX452" s="89"/>
      <c r="BY452" s="89"/>
      <c r="BZ452" s="89"/>
      <c r="CA452" s="89"/>
      <c r="CB452" s="89"/>
      <c r="CC452" s="89"/>
      <c r="CD452" s="89"/>
      <c r="CE452" s="89"/>
      <c r="CF452" s="89"/>
      <c r="CG452" s="89"/>
      <c r="CH452" s="89"/>
      <c r="CI452" s="89"/>
      <c r="CJ452" s="89"/>
      <c r="CK452" s="89"/>
      <c r="CL452" s="89"/>
      <c r="CM452" s="89"/>
      <c r="CN452" s="89"/>
      <c r="CO452" s="98"/>
      <c r="CP452" s="98"/>
      <c r="CQ452" s="98"/>
      <c r="CR452" s="98"/>
      <c r="CS452" s="98"/>
      <c r="CT452" s="98"/>
      <c r="CU452" s="98"/>
      <c r="CV452" s="98"/>
      <c r="CW452" s="98"/>
      <c r="CX452" s="98"/>
      <c r="CY452" s="1247"/>
      <c r="CZ452" s="1247"/>
      <c r="DA452" s="1247"/>
      <c r="DB452" s="98"/>
      <c r="DC452" s="2925"/>
      <c r="DD452" s="98"/>
      <c r="DE452" s="98"/>
      <c r="DF452" s="98"/>
      <c r="DG452" s="98"/>
      <c r="DH452" s="98"/>
      <c r="DI452" s="98"/>
      <c r="DJ452" s="98"/>
      <c r="DK452" s="98"/>
      <c r="DL452" s="98"/>
      <c r="DM452" s="98"/>
      <c r="DN452" s="98"/>
      <c r="DO452" s="98"/>
      <c r="DP452" s="98"/>
      <c r="DQ452" s="98"/>
      <c r="DR452" s="98"/>
    </row>
    <row r="453" spans="1:122">
      <c r="A453" s="1365" t="str">
        <f t="shared" si="661"/>
        <v>3.5% Senior Notes due 2025</v>
      </c>
      <c r="B453" s="1366"/>
      <c r="C453" s="1366"/>
      <c r="D453" s="1366"/>
      <c r="E453" s="1366"/>
      <c r="F453" s="1366"/>
      <c r="G453" s="1366"/>
      <c r="H453" s="1366"/>
      <c r="I453" s="1366"/>
      <c r="J453" s="1367"/>
      <c r="K453" s="1370"/>
      <c r="L453" s="1371"/>
      <c r="M453" s="1371"/>
      <c r="N453" s="1371"/>
      <c r="O453" s="1369"/>
      <c r="P453" s="1371"/>
      <c r="Q453" s="1371"/>
      <c r="R453" s="1371"/>
      <c r="S453" s="1371"/>
      <c r="T453" s="1371"/>
      <c r="U453" s="1371"/>
      <c r="V453" s="1371"/>
      <c r="W453" s="1371"/>
      <c r="X453" s="1371"/>
      <c r="Y453" s="1371"/>
      <c r="Z453" s="1371">
        <v>3.5000000000000003E-2</v>
      </c>
      <c r="AA453" s="1371">
        <f t="shared" ref="AA453:AN457" si="666">Z453</f>
        <v>3.5000000000000003E-2</v>
      </c>
      <c r="AB453" s="3238"/>
      <c r="AC453" s="3238">
        <f t="shared" si="644"/>
        <v>3.5000000000000003E-2</v>
      </c>
      <c r="AD453" s="3238">
        <f t="shared" si="666"/>
        <v>3.5000000000000003E-2</v>
      </c>
      <c r="AE453" s="3238">
        <f t="shared" si="666"/>
        <v>3.5000000000000003E-2</v>
      </c>
      <c r="AF453" s="3238">
        <f t="shared" si="666"/>
        <v>3.5000000000000003E-2</v>
      </c>
      <c r="AG453" s="3238">
        <f t="shared" si="666"/>
        <v>3.5000000000000003E-2</v>
      </c>
      <c r="AH453" s="3238">
        <f t="shared" si="666"/>
        <v>3.5000000000000003E-2</v>
      </c>
      <c r="AI453" s="3238">
        <f t="shared" si="666"/>
        <v>3.5000000000000003E-2</v>
      </c>
      <c r="AJ453" s="3238">
        <f t="shared" si="666"/>
        <v>3.5000000000000003E-2</v>
      </c>
      <c r="AK453" s="3238">
        <f t="shared" si="666"/>
        <v>3.5000000000000003E-2</v>
      </c>
      <c r="AL453" s="3238">
        <f t="shared" si="666"/>
        <v>3.5000000000000003E-2</v>
      </c>
      <c r="AM453" s="1371">
        <f t="shared" si="666"/>
        <v>3.5000000000000003E-2</v>
      </c>
      <c r="AN453" s="1371">
        <f t="shared" si="666"/>
        <v>3.5000000000000003E-2</v>
      </c>
      <c r="AO453" s="203"/>
      <c r="AP453" s="203"/>
      <c r="AQ453" s="203"/>
      <c r="AR453" s="203"/>
      <c r="AS453" s="203"/>
      <c r="AT453" s="203"/>
      <c r="AU453" s="95"/>
      <c r="AV453" s="4"/>
      <c r="AW453" s="89"/>
      <c r="AX453" s="89"/>
      <c r="AY453" s="89"/>
      <c r="AZ453" s="89"/>
      <c r="BA453" s="89"/>
      <c r="BB453" s="89"/>
      <c r="BC453" s="89"/>
      <c r="BD453" s="89"/>
      <c r="BE453" s="89"/>
      <c r="BF453" s="89"/>
      <c r="BG453" s="89"/>
      <c r="BH453" s="98"/>
      <c r="BI453" s="89"/>
      <c r="BJ453" s="89"/>
      <c r="BK453" s="89"/>
      <c r="BL453" s="89"/>
      <c r="BM453" s="89"/>
      <c r="BN453" s="89"/>
      <c r="BO453" s="89"/>
      <c r="BP453" s="89"/>
      <c r="BQ453" s="89"/>
      <c r="BR453" s="89"/>
      <c r="BS453" s="89"/>
      <c r="BT453" s="89"/>
      <c r="BU453" s="89"/>
      <c r="BV453" s="89"/>
      <c r="BW453" s="89"/>
      <c r="BX453" s="89"/>
      <c r="BY453" s="89"/>
      <c r="BZ453" s="89"/>
      <c r="CA453" s="89"/>
      <c r="CB453" s="89"/>
      <c r="CC453" s="89"/>
      <c r="CD453" s="89"/>
      <c r="CE453" s="89"/>
      <c r="CF453" s="89"/>
      <c r="CG453" s="89"/>
      <c r="CH453" s="89"/>
      <c r="CI453" s="89"/>
      <c r="CJ453" s="89"/>
      <c r="CK453" s="89"/>
      <c r="CL453" s="89"/>
      <c r="CM453" s="89"/>
      <c r="CN453" s="89"/>
      <c r="CO453" s="98"/>
      <c r="CP453" s="98"/>
      <c r="CQ453" s="98"/>
      <c r="CR453" s="98"/>
      <c r="CS453" s="98"/>
      <c r="CT453" s="98"/>
      <c r="CU453" s="98"/>
      <c r="CV453" s="98"/>
      <c r="CW453" s="98"/>
      <c r="CX453" s="98"/>
      <c r="CY453" s="1247"/>
      <c r="CZ453" s="1247"/>
      <c r="DA453" s="1247"/>
      <c r="DB453" s="98"/>
      <c r="DC453" s="2925"/>
      <c r="DD453" s="98"/>
      <c r="DE453" s="98"/>
      <c r="DF453" s="98"/>
      <c r="DG453" s="98"/>
      <c r="DH453" s="98"/>
      <c r="DI453" s="98"/>
      <c r="DJ453" s="98"/>
      <c r="DK453" s="98"/>
      <c r="DL453" s="98"/>
      <c r="DM453" s="98"/>
      <c r="DN453" s="98"/>
      <c r="DO453" s="98"/>
      <c r="DP453" s="98"/>
      <c r="DQ453" s="98"/>
      <c r="DR453" s="98"/>
    </row>
    <row r="454" spans="1:122">
      <c r="A454" s="1365" t="str">
        <f t="shared" si="661"/>
        <v>4.6% Senior notes due 2045</v>
      </c>
      <c r="B454" s="1366"/>
      <c r="C454" s="1366"/>
      <c r="D454" s="1366"/>
      <c r="E454" s="1366"/>
      <c r="F454" s="1366"/>
      <c r="G454" s="1366"/>
      <c r="H454" s="1366"/>
      <c r="I454" s="1366"/>
      <c r="J454" s="1367"/>
      <c r="K454" s="1370"/>
      <c r="L454" s="1371"/>
      <c r="M454" s="1371"/>
      <c r="N454" s="1371"/>
      <c r="O454" s="1369"/>
      <c r="P454" s="1371"/>
      <c r="Q454" s="1371"/>
      <c r="R454" s="1371"/>
      <c r="S454" s="1371"/>
      <c r="T454" s="1371"/>
      <c r="U454" s="1371"/>
      <c r="V454" s="1371"/>
      <c r="W454" s="1371"/>
      <c r="X454" s="1371"/>
      <c r="Y454" s="1371"/>
      <c r="Z454" s="1371">
        <v>4.5999999999999999E-2</v>
      </c>
      <c r="AA454" s="1371">
        <f t="shared" si="666"/>
        <v>4.5999999999999999E-2</v>
      </c>
      <c r="AB454" s="3238"/>
      <c r="AC454" s="3238">
        <f t="shared" si="644"/>
        <v>4.5999999999999999E-2</v>
      </c>
      <c r="AD454" s="3238">
        <f t="shared" si="666"/>
        <v>4.5999999999999999E-2</v>
      </c>
      <c r="AE454" s="3238">
        <f t="shared" si="666"/>
        <v>4.5999999999999999E-2</v>
      </c>
      <c r="AF454" s="3238">
        <f t="shared" si="666"/>
        <v>4.5999999999999999E-2</v>
      </c>
      <c r="AG454" s="3238">
        <f t="shared" si="666"/>
        <v>4.5999999999999999E-2</v>
      </c>
      <c r="AH454" s="3238">
        <f t="shared" si="666"/>
        <v>4.5999999999999999E-2</v>
      </c>
      <c r="AI454" s="3238">
        <f t="shared" si="666"/>
        <v>4.5999999999999999E-2</v>
      </c>
      <c r="AJ454" s="3238">
        <f t="shared" si="666"/>
        <v>4.5999999999999999E-2</v>
      </c>
      <c r="AK454" s="3238">
        <f t="shared" si="666"/>
        <v>4.5999999999999999E-2</v>
      </c>
      <c r="AL454" s="3238">
        <f t="shared" si="666"/>
        <v>4.5999999999999999E-2</v>
      </c>
      <c r="AM454" s="1371">
        <f t="shared" si="666"/>
        <v>4.5999999999999999E-2</v>
      </c>
      <c r="AN454" s="1371">
        <f t="shared" si="666"/>
        <v>4.5999999999999999E-2</v>
      </c>
      <c r="AO454" s="203"/>
      <c r="AP454" s="203"/>
      <c r="AQ454" s="203"/>
      <c r="AR454" s="203"/>
      <c r="AS454" s="203"/>
      <c r="AT454" s="203"/>
      <c r="AU454" s="95"/>
      <c r="AV454" s="4"/>
      <c r="AW454" s="89"/>
      <c r="AX454" s="89"/>
      <c r="AY454" s="89"/>
      <c r="AZ454" s="89"/>
      <c r="BA454" s="89"/>
      <c r="BB454" s="89"/>
      <c r="BC454" s="89"/>
      <c r="BD454" s="89"/>
      <c r="BE454" s="89"/>
      <c r="BF454" s="89"/>
      <c r="BG454" s="89"/>
      <c r="BH454" s="98"/>
      <c r="BI454" s="89"/>
      <c r="BJ454" s="89"/>
      <c r="BK454" s="89"/>
      <c r="BL454" s="89"/>
      <c r="BM454" s="89"/>
      <c r="BN454" s="89"/>
      <c r="BO454" s="89"/>
      <c r="BP454" s="89"/>
      <c r="BQ454" s="89"/>
      <c r="BR454" s="89"/>
      <c r="BS454" s="89"/>
      <c r="BT454" s="89"/>
      <c r="BU454" s="89"/>
      <c r="BV454" s="89"/>
      <c r="BW454" s="89"/>
      <c r="BX454" s="89"/>
      <c r="BY454" s="89"/>
      <c r="BZ454" s="89"/>
      <c r="CA454" s="89"/>
      <c r="CB454" s="89"/>
      <c r="CC454" s="89"/>
      <c r="CD454" s="89"/>
      <c r="CE454" s="89"/>
      <c r="CF454" s="89"/>
      <c r="CG454" s="89"/>
      <c r="CH454" s="89"/>
      <c r="CI454" s="89"/>
      <c r="CJ454" s="89"/>
      <c r="CK454" s="89"/>
      <c r="CL454" s="89"/>
      <c r="CM454" s="89"/>
      <c r="CN454" s="89"/>
      <c r="CO454" s="98"/>
      <c r="CP454" s="98"/>
      <c r="CQ454" s="98"/>
      <c r="CR454" s="98"/>
      <c r="CS454" s="98"/>
      <c r="CT454" s="98"/>
      <c r="CU454" s="98"/>
      <c r="CV454" s="98"/>
      <c r="CW454" s="98"/>
      <c r="CX454" s="98"/>
      <c r="CY454" s="1247"/>
      <c r="CZ454" s="1247"/>
      <c r="DA454" s="1247"/>
      <c r="DB454" s="98"/>
      <c r="DC454" s="2925"/>
      <c r="DD454" s="98"/>
      <c r="DE454" s="98"/>
      <c r="DF454" s="98"/>
      <c r="DG454" s="98"/>
      <c r="DH454" s="98"/>
      <c r="DI454" s="98"/>
      <c r="DJ454" s="98"/>
      <c r="DK454" s="98"/>
      <c r="DL454" s="98"/>
      <c r="DM454" s="98"/>
      <c r="DN454" s="98"/>
      <c r="DO454" s="98"/>
      <c r="DP454" s="98"/>
      <c r="DQ454" s="98"/>
      <c r="DR454" s="98"/>
    </row>
    <row r="455" spans="1:122">
      <c r="A455" s="1365" t="str">
        <f t="shared" si="661"/>
        <v>4.0% Senior notes due 2026</v>
      </c>
      <c r="B455" s="1366"/>
      <c r="C455" s="1366"/>
      <c r="D455" s="1366"/>
      <c r="E455" s="1366"/>
      <c r="F455" s="1366"/>
      <c r="G455" s="1366"/>
      <c r="H455" s="1366"/>
      <c r="I455" s="1366"/>
      <c r="J455" s="1367"/>
      <c r="K455" s="1370"/>
      <c r="L455" s="1371"/>
      <c r="M455" s="1371"/>
      <c r="N455" s="1371"/>
      <c r="O455" s="1369"/>
      <c r="P455" s="1371"/>
      <c r="Q455" s="1371"/>
      <c r="R455" s="1371"/>
      <c r="S455" s="1371"/>
      <c r="T455" s="1371"/>
      <c r="U455" s="1371"/>
      <c r="V455" s="1371"/>
      <c r="W455" s="1371"/>
      <c r="X455" s="1371"/>
      <c r="Y455" s="1371"/>
      <c r="Z455" s="1371">
        <v>0.04</v>
      </c>
      <c r="AA455" s="1371">
        <f>Z455</f>
        <v>0.04</v>
      </c>
      <c r="AB455" s="3238"/>
      <c r="AC455" s="3238">
        <f t="shared" si="644"/>
        <v>0.04</v>
      </c>
      <c r="AD455" s="3238">
        <f t="shared" si="666"/>
        <v>0.04</v>
      </c>
      <c r="AE455" s="3238">
        <f t="shared" si="666"/>
        <v>0.04</v>
      </c>
      <c r="AF455" s="3238">
        <f t="shared" si="666"/>
        <v>0.04</v>
      </c>
      <c r="AG455" s="3238">
        <f t="shared" si="666"/>
        <v>0.04</v>
      </c>
      <c r="AH455" s="3238">
        <f t="shared" si="666"/>
        <v>0.04</v>
      </c>
      <c r="AI455" s="3238">
        <f t="shared" si="666"/>
        <v>0.04</v>
      </c>
      <c r="AJ455" s="3238">
        <f t="shared" si="666"/>
        <v>0.04</v>
      </c>
      <c r="AK455" s="3238">
        <f t="shared" si="666"/>
        <v>0.04</v>
      </c>
      <c r="AL455" s="3238">
        <f t="shared" si="666"/>
        <v>0.04</v>
      </c>
      <c r="AM455" s="1371">
        <f t="shared" si="666"/>
        <v>0.04</v>
      </c>
      <c r="AN455" s="1371">
        <f t="shared" si="666"/>
        <v>0.04</v>
      </c>
      <c r="AO455" s="203"/>
      <c r="AP455" s="203"/>
      <c r="AQ455" s="203"/>
      <c r="AR455" s="203"/>
      <c r="AS455" s="203"/>
      <c r="AT455" s="203"/>
      <c r="AU455" s="95"/>
      <c r="AV455" s="4"/>
      <c r="AW455" s="89"/>
      <c r="AX455" s="89"/>
      <c r="AY455" s="89"/>
      <c r="AZ455" s="89"/>
      <c r="BA455" s="89"/>
      <c r="BB455" s="89"/>
      <c r="BC455" s="89"/>
      <c r="BD455" s="89"/>
      <c r="BE455" s="89"/>
      <c r="BF455" s="89"/>
      <c r="BG455" s="89"/>
      <c r="BH455" s="98"/>
      <c r="BI455" s="89"/>
      <c r="BJ455" s="89"/>
      <c r="BK455" s="89"/>
      <c r="BL455" s="89"/>
      <c r="BM455" s="89"/>
      <c r="BN455" s="89"/>
      <c r="BO455" s="89"/>
      <c r="BP455" s="89"/>
      <c r="BQ455" s="89"/>
      <c r="BR455" s="89"/>
      <c r="BS455" s="89"/>
      <c r="BT455" s="89"/>
      <c r="BU455" s="89"/>
      <c r="BV455" s="89"/>
      <c r="BW455" s="89"/>
      <c r="BX455" s="89"/>
      <c r="BY455" s="89"/>
      <c r="BZ455" s="89"/>
      <c r="CA455" s="89"/>
      <c r="CB455" s="89"/>
      <c r="CC455" s="89"/>
      <c r="CD455" s="89"/>
      <c r="CE455" s="89"/>
      <c r="CF455" s="89"/>
      <c r="CG455" s="89"/>
      <c r="CH455" s="89"/>
      <c r="CI455" s="89"/>
      <c r="CJ455" s="89"/>
      <c r="CK455" s="89"/>
      <c r="CL455" s="89"/>
      <c r="CM455" s="89"/>
      <c r="CN455" s="89"/>
      <c r="CO455" s="98"/>
      <c r="CP455" s="98"/>
      <c r="CQ455" s="98"/>
      <c r="CR455" s="98"/>
      <c r="CS455" s="98"/>
      <c r="CT455" s="98"/>
      <c r="CU455" s="98"/>
      <c r="CV455" s="98"/>
      <c r="CW455" s="98"/>
      <c r="CX455" s="98"/>
      <c r="CY455" s="1247"/>
      <c r="CZ455" s="1247"/>
      <c r="DA455" s="1247"/>
      <c r="DB455" s="98"/>
      <c r="DC455" s="2925"/>
      <c r="DD455" s="98"/>
      <c r="DE455" s="98"/>
      <c r="DF455" s="98"/>
      <c r="DG455" s="98"/>
      <c r="DH455" s="98"/>
      <c r="DI455" s="98"/>
      <c r="DJ455" s="98"/>
      <c r="DK455" s="98"/>
      <c r="DL455" s="98"/>
      <c r="DM455" s="98"/>
      <c r="DN455" s="98"/>
      <c r="DO455" s="98"/>
      <c r="DP455" s="98"/>
      <c r="DQ455" s="98"/>
      <c r="DR455" s="98"/>
    </row>
    <row r="456" spans="1:122">
      <c r="A456" s="1365" t="str">
        <f t="shared" si="661"/>
        <v>2.9% Senior notes due 2027</v>
      </c>
      <c r="B456" s="1366"/>
      <c r="C456" s="1366"/>
      <c r="D456" s="1366"/>
      <c r="E456" s="1366"/>
      <c r="F456" s="1366"/>
      <c r="G456" s="1366"/>
      <c r="H456" s="1366"/>
      <c r="I456" s="1366"/>
      <c r="J456" s="1367"/>
      <c r="K456" s="1370"/>
      <c r="L456" s="1371"/>
      <c r="M456" s="1371"/>
      <c r="N456" s="1371"/>
      <c r="O456" s="1369"/>
      <c r="P456" s="1371"/>
      <c r="Q456" s="1371"/>
      <c r="R456" s="1371"/>
      <c r="S456" s="1371"/>
      <c r="T456" s="1371"/>
      <c r="U456" s="1371"/>
      <c r="V456" s="1371"/>
      <c r="W456" s="1371"/>
      <c r="X456" s="1371"/>
      <c r="Y456" s="1371"/>
      <c r="Z456" s="1371"/>
      <c r="AA456" s="1371">
        <v>2.9000000000000001E-2</v>
      </c>
      <c r="AB456" s="3238"/>
      <c r="AC456" s="3238">
        <f t="shared" si="644"/>
        <v>2.9000000000000001E-2</v>
      </c>
      <c r="AD456" s="3238">
        <f t="shared" si="666"/>
        <v>2.9000000000000001E-2</v>
      </c>
      <c r="AE456" s="3238">
        <f t="shared" si="666"/>
        <v>2.9000000000000001E-2</v>
      </c>
      <c r="AF456" s="3238">
        <f t="shared" si="666"/>
        <v>2.9000000000000001E-2</v>
      </c>
      <c r="AG456" s="3238">
        <f t="shared" si="666"/>
        <v>2.9000000000000001E-2</v>
      </c>
      <c r="AH456" s="3238">
        <f t="shared" si="666"/>
        <v>2.9000000000000001E-2</v>
      </c>
      <c r="AI456" s="3238">
        <f t="shared" si="666"/>
        <v>2.9000000000000001E-2</v>
      </c>
      <c r="AJ456" s="3238">
        <f t="shared" si="666"/>
        <v>2.9000000000000001E-2</v>
      </c>
      <c r="AK456" s="3238">
        <f t="shared" si="666"/>
        <v>2.9000000000000001E-2</v>
      </c>
      <c r="AL456" s="3238">
        <f t="shared" si="666"/>
        <v>2.9000000000000001E-2</v>
      </c>
      <c r="AM456" s="1371">
        <f t="shared" si="666"/>
        <v>2.9000000000000001E-2</v>
      </c>
      <c r="AN456" s="1371">
        <f t="shared" si="666"/>
        <v>2.9000000000000001E-2</v>
      </c>
      <c r="AO456" s="1371"/>
      <c r="AP456" s="1371"/>
      <c r="AQ456" s="1371"/>
      <c r="AR456" s="1371"/>
      <c r="AS456" s="1371"/>
      <c r="AT456" s="1371"/>
      <c r="AU456" s="1690"/>
      <c r="AV456" s="1690"/>
      <c r="AW456" s="1689"/>
      <c r="AX456" s="1689"/>
      <c r="AY456" s="1689"/>
      <c r="AZ456" s="1689"/>
      <c r="BA456" s="1689"/>
      <c r="BB456" s="1689"/>
      <c r="BC456" s="1689"/>
      <c r="BD456" s="1689"/>
      <c r="BE456" s="1689"/>
      <c r="BF456" s="1689"/>
      <c r="BG456" s="1689"/>
      <c r="BH456" s="1689"/>
      <c r="BI456" s="1689"/>
      <c r="BJ456" s="1689"/>
      <c r="BK456" s="1689"/>
      <c r="BL456" s="1689"/>
      <c r="BM456" s="1689"/>
      <c r="BN456" s="1689"/>
      <c r="BO456" s="1689"/>
      <c r="BP456" s="1689"/>
      <c r="BQ456" s="1689"/>
      <c r="BR456" s="1689"/>
      <c r="BS456" s="1689"/>
      <c r="BT456" s="1689"/>
      <c r="BU456" s="1689"/>
      <c r="BV456" s="1689"/>
      <c r="BW456" s="1689"/>
      <c r="BX456" s="1689"/>
      <c r="BY456" s="1689"/>
      <c r="BZ456" s="1689"/>
      <c r="CA456" s="1689"/>
      <c r="CB456" s="1689"/>
      <c r="CC456" s="1689"/>
      <c r="CD456" s="1689"/>
      <c r="CE456" s="1689"/>
      <c r="CF456" s="1689"/>
      <c r="CG456" s="1689"/>
      <c r="CH456" s="1689"/>
      <c r="CI456" s="1689"/>
      <c r="CJ456" s="1689"/>
      <c r="CK456" s="1689"/>
      <c r="CL456" s="1689"/>
      <c r="CM456" s="1689"/>
      <c r="CN456" s="1689"/>
      <c r="CO456" s="1689"/>
      <c r="CP456" s="1689"/>
      <c r="CQ456" s="1689"/>
      <c r="CR456" s="1689"/>
      <c r="CS456" s="1689"/>
      <c r="CT456" s="1689"/>
      <c r="CU456" s="1689"/>
      <c r="CV456" s="1689"/>
      <c r="CW456" s="1689"/>
      <c r="CX456" s="1689"/>
      <c r="CY456" s="1601"/>
      <c r="CZ456" s="1601"/>
      <c r="DA456" s="1601"/>
      <c r="DB456" s="1689"/>
      <c r="DC456" s="2925"/>
      <c r="DD456" s="1689"/>
      <c r="DE456" s="1689"/>
      <c r="DF456" s="1689"/>
      <c r="DG456" s="1689"/>
      <c r="DH456" s="1689"/>
      <c r="DI456" s="1689"/>
      <c r="DJ456" s="1689"/>
      <c r="DK456" s="1689"/>
      <c r="DL456" s="1689"/>
      <c r="DM456" s="1689"/>
      <c r="DN456" s="1689"/>
      <c r="DO456" s="1689"/>
      <c r="DP456" s="1689"/>
      <c r="DQ456" s="1689"/>
      <c r="DR456" s="1689"/>
    </row>
    <row r="457" spans="1:122">
      <c r="A457" s="1365" t="str">
        <f t="shared" si="661"/>
        <v>2.5% Senior noted due 2023</v>
      </c>
      <c r="B457" s="1366"/>
      <c r="C457" s="1366"/>
      <c r="D457" s="1366"/>
      <c r="E457" s="1366"/>
      <c r="F457" s="1366"/>
      <c r="G457" s="1366"/>
      <c r="H457" s="1366"/>
      <c r="I457" s="1366"/>
      <c r="J457" s="1367"/>
      <c r="K457" s="1370"/>
      <c r="L457" s="1371"/>
      <c r="M457" s="1371"/>
      <c r="N457" s="1371"/>
      <c r="O457" s="1369"/>
      <c r="P457" s="1371"/>
      <c r="Q457" s="1371"/>
      <c r="R457" s="1371"/>
      <c r="S457" s="1371"/>
      <c r="T457" s="1371"/>
      <c r="U457" s="1371"/>
      <c r="V457" s="1371"/>
      <c r="W457" s="1371"/>
      <c r="X457" s="1371"/>
      <c r="Y457" s="1371"/>
      <c r="Z457" s="1371"/>
      <c r="AA457" s="1371"/>
      <c r="AB457" s="3238"/>
      <c r="AC457" s="3238">
        <v>2.5000000000000001E-2</v>
      </c>
      <c r="AD457" s="3238">
        <f t="shared" si="666"/>
        <v>2.5000000000000001E-2</v>
      </c>
      <c r="AE457" s="3238">
        <f t="shared" si="666"/>
        <v>2.5000000000000001E-2</v>
      </c>
      <c r="AF457" s="3238">
        <f t="shared" si="666"/>
        <v>2.5000000000000001E-2</v>
      </c>
      <c r="AG457" s="3238">
        <f t="shared" si="666"/>
        <v>2.5000000000000001E-2</v>
      </c>
      <c r="AH457" s="3238">
        <f t="shared" si="666"/>
        <v>2.5000000000000001E-2</v>
      </c>
      <c r="AI457" s="3238">
        <f t="shared" si="666"/>
        <v>2.5000000000000001E-2</v>
      </c>
      <c r="AJ457" s="3238">
        <f t="shared" si="666"/>
        <v>2.5000000000000001E-2</v>
      </c>
      <c r="AK457" s="3238">
        <f t="shared" si="666"/>
        <v>2.5000000000000001E-2</v>
      </c>
      <c r="AL457" s="3238">
        <f t="shared" si="666"/>
        <v>2.5000000000000001E-2</v>
      </c>
      <c r="AM457" s="1371">
        <f t="shared" si="666"/>
        <v>2.5000000000000001E-2</v>
      </c>
      <c r="AN457" s="1371">
        <f t="shared" si="666"/>
        <v>2.5000000000000001E-2</v>
      </c>
      <c r="AO457" s="1371"/>
      <c r="AP457" s="1371"/>
      <c r="AQ457" s="1371"/>
      <c r="AR457" s="1371"/>
      <c r="AS457" s="1371"/>
      <c r="AT457" s="1371"/>
      <c r="AU457" s="1690"/>
      <c r="AV457" s="1690"/>
      <c r="AW457" s="1689"/>
      <c r="AX457" s="1689"/>
      <c r="AY457" s="1689"/>
      <c r="AZ457" s="1689"/>
      <c r="BA457" s="1689"/>
      <c r="BB457" s="1689"/>
      <c r="BC457" s="1689"/>
      <c r="BD457" s="1689"/>
      <c r="BE457" s="1689"/>
      <c r="BF457" s="1689"/>
      <c r="BG457" s="1689"/>
      <c r="BH457" s="1689"/>
      <c r="BI457" s="1689"/>
      <c r="BJ457" s="1689"/>
      <c r="BK457" s="1689"/>
      <c r="BL457" s="1689"/>
      <c r="BM457" s="1689"/>
      <c r="BN457" s="1689"/>
      <c r="BO457" s="1689"/>
      <c r="BP457" s="1689"/>
      <c r="BQ457" s="1689"/>
      <c r="BR457" s="1689"/>
      <c r="BS457" s="1689"/>
      <c r="BT457" s="1689"/>
      <c r="BU457" s="1689"/>
      <c r="BV457" s="1689"/>
      <c r="BW457" s="1689"/>
      <c r="BX457" s="1689"/>
      <c r="BY457" s="1689"/>
      <c r="BZ457" s="1689"/>
      <c r="CA457" s="1689"/>
      <c r="CB457" s="1689"/>
      <c r="CC457" s="1689"/>
      <c r="CD457" s="1689"/>
      <c r="CE457" s="1689"/>
      <c r="CF457" s="1689"/>
      <c r="CG457" s="1689"/>
      <c r="CH457" s="1689"/>
      <c r="CI457" s="1689"/>
      <c r="CJ457" s="1689"/>
      <c r="CK457" s="1689"/>
      <c r="CL457" s="1689"/>
      <c r="CM457" s="1689"/>
      <c r="CN457" s="1689"/>
      <c r="CO457" s="1689"/>
      <c r="CP457" s="1689"/>
      <c r="CQ457" s="1689"/>
      <c r="CR457" s="1689"/>
      <c r="CS457" s="1689"/>
      <c r="CT457" s="1689"/>
      <c r="CU457" s="1689"/>
      <c r="CV457" s="1689"/>
      <c r="CW457" s="1689"/>
      <c r="CX457" s="1689"/>
      <c r="CY457" s="1601"/>
      <c r="CZ457" s="1601"/>
      <c r="DA457" s="1601"/>
      <c r="DB457" s="1689"/>
      <c r="DC457" s="2925"/>
      <c r="DD457" s="1689"/>
      <c r="DE457" s="1689"/>
      <c r="DF457" s="1689"/>
      <c r="DG457" s="1689"/>
      <c r="DH457" s="1689"/>
      <c r="DI457" s="1689"/>
      <c r="DJ457" s="1689"/>
      <c r="DK457" s="1689"/>
      <c r="DL457" s="1689"/>
      <c r="DM457" s="1689"/>
      <c r="DN457" s="1689"/>
      <c r="DO457" s="1689"/>
      <c r="DP457" s="1689"/>
      <c r="DQ457" s="1689"/>
      <c r="DR457" s="1689"/>
    </row>
    <row r="458" spans="1:122">
      <c r="A458" s="1365" t="str">
        <f t="shared" si="661"/>
        <v>3.375% Senior noted due 2028</v>
      </c>
      <c r="B458" s="1366"/>
      <c r="C458" s="1366"/>
      <c r="D458" s="1366"/>
      <c r="E458" s="1366"/>
      <c r="F458" s="1366"/>
      <c r="G458" s="1366"/>
      <c r="H458" s="1366"/>
      <c r="I458" s="1366"/>
      <c r="J458" s="1367"/>
      <c r="K458" s="1370"/>
      <c r="L458" s="1371"/>
      <c r="M458" s="1371"/>
      <c r="N458" s="1371"/>
      <c r="O458" s="1369"/>
      <c r="P458" s="1371"/>
      <c r="Q458" s="1371"/>
      <c r="R458" s="1371"/>
      <c r="S458" s="1371"/>
      <c r="T458" s="1371"/>
      <c r="U458" s="1371"/>
      <c r="V458" s="1371"/>
      <c r="W458" s="1371"/>
      <c r="X458" s="1371"/>
      <c r="Y458" s="1371"/>
      <c r="Z458" s="1371"/>
      <c r="AA458" s="1371"/>
      <c r="AB458" s="3238"/>
      <c r="AC458" s="3238">
        <v>3.3750000000000002E-2</v>
      </c>
      <c r="AD458" s="3238">
        <f t="shared" ref="AD458:AN458" si="667">AC458</f>
        <v>3.3750000000000002E-2</v>
      </c>
      <c r="AE458" s="3238">
        <f t="shared" si="667"/>
        <v>3.3750000000000002E-2</v>
      </c>
      <c r="AF458" s="3238">
        <f t="shared" si="667"/>
        <v>3.3750000000000002E-2</v>
      </c>
      <c r="AG458" s="3238">
        <f t="shared" si="667"/>
        <v>3.3750000000000002E-2</v>
      </c>
      <c r="AH458" s="3238">
        <f t="shared" si="667"/>
        <v>3.3750000000000002E-2</v>
      </c>
      <c r="AI458" s="3238">
        <f t="shared" si="667"/>
        <v>3.3750000000000002E-2</v>
      </c>
      <c r="AJ458" s="3238">
        <f t="shared" si="667"/>
        <v>3.3750000000000002E-2</v>
      </c>
      <c r="AK458" s="3238">
        <f t="shared" si="667"/>
        <v>3.3750000000000002E-2</v>
      </c>
      <c r="AL458" s="3238">
        <f t="shared" si="667"/>
        <v>3.3750000000000002E-2</v>
      </c>
      <c r="AM458" s="1371">
        <f t="shared" si="667"/>
        <v>3.3750000000000002E-2</v>
      </c>
      <c r="AN458" s="1371">
        <f t="shared" si="667"/>
        <v>3.3750000000000002E-2</v>
      </c>
      <c r="AO458" s="1371"/>
      <c r="AP458" s="1371"/>
      <c r="AQ458" s="1371"/>
      <c r="AR458" s="1371"/>
      <c r="AS458" s="1371"/>
      <c r="AT458" s="1371"/>
      <c r="AU458" s="1690"/>
      <c r="AV458" s="1690"/>
      <c r="AW458" s="1689"/>
      <c r="AX458" s="1689"/>
      <c r="AY458" s="1689"/>
      <c r="AZ458" s="1689"/>
      <c r="BA458" s="1689"/>
      <c r="BB458" s="1689"/>
      <c r="BC458" s="1689"/>
      <c r="BD458" s="1689"/>
      <c r="BE458" s="1689"/>
      <c r="BF458" s="1689"/>
      <c r="BG458" s="1689"/>
      <c r="BH458" s="1689"/>
      <c r="BI458" s="1689"/>
      <c r="BJ458" s="1689"/>
      <c r="BK458" s="1689"/>
      <c r="BL458" s="1689"/>
      <c r="BM458" s="1689"/>
      <c r="BN458" s="1689"/>
      <c r="BO458" s="1689"/>
      <c r="BP458" s="1689"/>
      <c r="BQ458" s="1689"/>
      <c r="BR458" s="1689"/>
      <c r="BS458" s="1689"/>
      <c r="BT458" s="1689"/>
      <c r="BU458" s="1689"/>
      <c r="BV458" s="1689"/>
      <c r="BW458" s="1689"/>
      <c r="BX458" s="1689"/>
      <c r="BY458" s="1689"/>
      <c r="BZ458" s="1689"/>
      <c r="CA458" s="1689"/>
      <c r="CB458" s="1689"/>
      <c r="CC458" s="1689"/>
      <c r="CD458" s="1689"/>
      <c r="CE458" s="1689"/>
      <c r="CF458" s="1689"/>
      <c r="CG458" s="1689"/>
      <c r="CH458" s="1689"/>
      <c r="CI458" s="1689"/>
      <c r="CJ458" s="1689"/>
      <c r="CK458" s="1689"/>
      <c r="CL458" s="1689"/>
      <c r="CM458" s="1689"/>
      <c r="CN458" s="1689"/>
      <c r="CO458" s="1689"/>
      <c r="CP458" s="1689"/>
      <c r="CQ458" s="1689"/>
      <c r="CR458" s="1689"/>
      <c r="CS458" s="1689"/>
      <c r="CT458" s="1689"/>
      <c r="CU458" s="1689"/>
      <c r="CV458" s="1689"/>
      <c r="CW458" s="1689"/>
      <c r="CX458" s="1689"/>
      <c r="CY458" s="1601"/>
      <c r="CZ458" s="1601"/>
      <c r="DA458" s="1601"/>
      <c r="DB458" s="1689"/>
      <c r="DC458" s="2925"/>
      <c r="DD458" s="1689"/>
      <c r="DE458" s="1689"/>
      <c r="DF458" s="1689"/>
      <c r="DG458" s="1689"/>
      <c r="DH458" s="1689"/>
      <c r="DI458" s="1689"/>
      <c r="DJ458" s="1689"/>
      <c r="DK458" s="1689"/>
      <c r="DL458" s="1689"/>
      <c r="DM458" s="1689"/>
      <c r="DN458" s="1689"/>
      <c r="DO458" s="1689"/>
      <c r="DP458" s="1689"/>
      <c r="DQ458" s="1689"/>
      <c r="DR458" s="1689"/>
    </row>
    <row r="459" spans="1:122">
      <c r="A459" s="1365" t="str">
        <f t="shared" ref="A459:A462" si="668">A357</f>
        <v>2.90% Senior notes due 2023</v>
      </c>
      <c r="B459" s="1366"/>
      <c r="C459" s="1366"/>
      <c r="D459" s="1366"/>
      <c r="E459" s="1366"/>
      <c r="F459" s="1366"/>
      <c r="G459" s="1366"/>
      <c r="H459" s="1366"/>
      <c r="I459" s="1366"/>
      <c r="J459" s="1367"/>
      <c r="K459" s="1370"/>
      <c r="L459" s="1371"/>
      <c r="M459" s="1371"/>
      <c r="N459" s="1371"/>
      <c r="O459" s="1369"/>
      <c r="P459" s="1371"/>
      <c r="Q459" s="1371"/>
      <c r="R459" s="1371"/>
      <c r="S459" s="1371"/>
      <c r="T459" s="1371"/>
      <c r="U459" s="1371"/>
      <c r="V459" s="1371"/>
      <c r="W459" s="1371"/>
      <c r="X459" s="1371"/>
      <c r="Y459" s="1371"/>
      <c r="Z459" s="1371"/>
      <c r="AA459" s="1371"/>
      <c r="AB459" s="3238"/>
      <c r="AC459" s="3238">
        <v>2.9000000000000001E-2</v>
      </c>
      <c r="AD459" s="3238">
        <v>2.9000000000000001E-2</v>
      </c>
      <c r="AE459" s="3238">
        <v>2.9000000000000001E-2</v>
      </c>
      <c r="AF459" s="3238">
        <v>2.9000000000000001E-2</v>
      </c>
      <c r="AG459" s="3238">
        <v>2.9000000000000001E-2</v>
      </c>
      <c r="AH459" s="3238">
        <v>2.9000000000000001E-2</v>
      </c>
      <c r="AI459" s="3238">
        <v>2.9000000000000001E-2</v>
      </c>
      <c r="AJ459" s="3238">
        <v>2.9000000000000001E-2</v>
      </c>
      <c r="AK459" s="3238">
        <v>2.9000000000000001E-2</v>
      </c>
      <c r="AL459" s="3238">
        <v>2.9000000000000001E-2</v>
      </c>
      <c r="AM459" s="3238">
        <v>2.9000000000000001E-2</v>
      </c>
      <c r="AN459" s="3238">
        <v>2.9000000000000001E-2</v>
      </c>
      <c r="AO459" s="1371"/>
      <c r="AP459" s="1371"/>
      <c r="AQ459" s="1371"/>
      <c r="AR459" s="1371"/>
      <c r="AS459" s="1371"/>
      <c r="AT459" s="1371"/>
      <c r="AU459" s="1690"/>
      <c r="AV459" s="1690"/>
      <c r="AW459" s="1689"/>
      <c r="AX459" s="1689"/>
      <c r="AY459" s="1689"/>
      <c r="AZ459" s="1689"/>
      <c r="BA459" s="1689"/>
      <c r="BB459" s="1689"/>
      <c r="BC459" s="1689"/>
      <c r="BD459" s="1689"/>
      <c r="BE459" s="1689"/>
      <c r="BF459" s="1689"/>
      <c r="BG459" s="1689"/>
      <c r="BH459" s="1689"/>
      <c r="BI459" s="1689"/>
      <c r="BJ459" s="1689"/>
      <c r="BK459" s="1689"/>
      <c r="BL459" s="1689"/>
      <c r="BM459" s="1689"/>
      <c r="BN459" s="1689"/>
      <c r="BO459" s="1689"/>
      <c r="BP459" s="1689"/>
      <c r="BQ459" s="1689"/>
      <c r="BR459" s="1689"/>
      <c r="BS459" s="1689"/>
      <c r="BT459" s="1689"/>
      <c r="BU459" s="1689"/>
      <c r="BV459" s="1689"/>
      <c r="BW459" s="1689"/>
      <c r="BX459" s="1689"/>
      <c r="BY459" s="1689"/>
      <c r="BZ459" s="1689"/>
      <c r="CA459" s="1689"/>
      <c r="CB459" s="1689"/>
      <c r="CC459" s="1689"/>
      <c r="CD459" s="1689"/>
      <c r="CE459" s="1689"/>
      <c r="CF459" s="1689"/>
      <c r="CG459" s="1689"/>
      <c r="CH459" s="1689"/>
      <c r="CI459" s="1689"/>
      <c r="CJ459" s="1689"/>
      <c r="CK459" s="1689"/>
      <c r="CL459" s="1689"/>
      <c r="CM459" s="1689"/>
      <c r="CN459" s="1689"/>
      <c r="CO459" s="1689"/>
      <c r="CP459" s="1689"/>
      <c r="CQ459" s="1689"/>
      <c r="CR459" s="1689"/>
      <c r="CS459" s="1689"/>
      <c r="CT459" s="1689"/>
      <c r="CU459" s="1689"/>
      <c r="CV459" s="1689"/>
      <c r="CW459" s="1689"/>
      <c r="CX459" s="1689"/>
      <c r="CY459" s="1601"/>
      <c r="CZ459" s="1601"/>
      <c r="DA459" s="1601"/>
      <c r="DB459" s="1689"/>
      <c r="DC459" s="2925"/>
      <c r="DD459" s="1689"/>
      <c r="DE459" s="1689"/>
      <c r="DF459" s="1689"/>
      <c r="DG459" s="1689"/>
      <c r="DH459" s="1689"/>
      <c r="DI459" s="1689"/>
      <c r="DJ459" s="1689"/>
      <c r="DK459" s="1689"/>
      <c r="DL459" s="1689"/>
      <c r="DM459" s="1689"/>
      <c r="DN459" s="1689"/>
      <c r="DO459" s="1689"/>
      <c r="DP459" s="1689"/>
      <c r="DQ459" s="1689"/>
      <c r="DR459" s="1689"/>
    </row>
    <row r="460" spans="1:122">
      <c r="A460" s="1365" t="str">
        <f t="shared" si="668"/>
        <v>3.70% Senior notes due 2028</v>
      </c>
      <c r="B460" s="1366"/>
      <c r="C460" s="1366"/>
      <c r="D460" s="1366"/>
      <c r="E460" s="1366"/>
      <c r="F460" s="1366"/>
      <c r="G460" s="1366"/>
      <c r="H460" s="1366"/>
      <c r="I460" s="1366"/>
      <c r="J460" s="1367"/>
      <c r="K460" s="1370"/>
      <c r="L460" s="1371"/>
      <c r="M460" s="1371"/>
      <c r="N460" s="1371"/>
      <c r="O460" s="1369"/>
      <c r="P460" s="1371"/>
      <c r="Q460" s="1371"/>
      <c r="R460" s="1371"/>
      <c r="S460" s="1371"/>
      <c r="T460" s="1371"/>
      <c r="U460" s="1371"/>
      <c r="V460" s="1371"/>
      <c r="W460" s="1371"/>
      <c r="X460" s="1371"/>
      <c r="Y460" s="1371"/>
      <c r="Z460" s="1371"/>
      <c r="AA460" s="1371"/>
      <c r="AB460" s="3238"/>
      <c r="AC460" s="3238">
        <v>3.6999999999999998E-2</v>
      </c>
      <c r="AD460" s="3238">
        <v>3.6999999999999998E-2</v>
      </c>
      <c r="AE460" s="3238">
        <v>3.6999999999999998E-2</v>
      </c>
      <c r="AF460" s="3238">
        <v>3.6999999999999998E-2</v>
      </c>
      <c r="AG460" s="3238">
        <v>3.6999999999999998E-2</v>
      </c>
      <c r="AH460" s="3238">
        <v>3.6999999999999998E-2</v>
      </c>
      <c r="AI460" s="3238">
        <v>3.6999999999999998E-2</v>
      </c>
      <c r="AJ460" s="3238">
        <v>3.6999999999999998E-2</v>
      </c>
      <c r="AK460" s="3238">
        <v>3.6999999999999998E-2</v>
      </c>
      <c r="AL460" s="3238">
        <v>3.6999999999999998E-2</v>
      </c>
      <c r="AM460" s="3238">
        <v>3.6999999999999998E-2</v>
      </c>
      <c r="AN460" s="3238">
        <v>3.6999999999999998E-2</v>
      </c>
      <c r="AO460" s="1371"/>
      <c r="AP460" s="1371"/>
      <c r="AQ460" s="1371"/>
      <c r="AR460" s="1371"/>
      <c r="AS460" s="1371"/>
      <c r="AT460" s="1371"/>
      <c r="AU460" s="1690"/>
      <c r="AV460" s="1690"/>
      <c r="AW460" s="1689"/>
      <c r="AX460" s="1689"/>
      <c r="AY460" s="1689"/>
      <c r="AZ460" s="1689"/>
      <c r="BA460" s="1689"/>
      <c r="BB460" s="1689"/>
      <c r="BC460" s="1689"/>
      <c r="BD460" s="1689"/>
      <c r="BE460" s="1689"/>
      <c r="BF460" s="1689"/>
      <c r="BG460" s="1689"/>
      <c r="BH460" s="1689"/>
      <c r="BI460" s="1689"/>
      <c r="BJ460" s="1689"/>
      <c r="BK460" s="1689"/>
      <c r="BL460" s="1689"/>
      <c r="BM460" s="1689"/>
      <c r="BN460" s="1689"/>
      <c r="BO460" s="1689"/>
      <c r="BP460" s="1689"/>
      <c r="BQ460" s="1689"/>
      <c r="BR460" s="1689"/>
      <c r="BS460" s="1689"/>
      <c r="BT460" s="1689"/>
      <c r="BU460" s="1689"/>
      <c r="BV460" s="1689"/>
      <c r="BW460" s="1689"/>
      <c r="BX460" s="1689"/>
      <c r="BY460" s="1689"/>
      <c r="BZ460" s="1689"/>
      <c r="CA460" s="1689"/>
      <c r="CB460" s="1689"/>
      <c r="CC460" s="1689"/>
      <c r="CD460" s="1689"/>
      <c r="CE460" s="1689"/>
      <c r="CF460" s="1689"/>
      <c r="CG460" s="1689"/>
      <c r="CH460" s="1689"/>
      <c r="CI460" s="1689"/>
      <c r="CJ460" s="1689"/>
      <c r="CK460" s="1689"/>
      <c r="CL460" s="1689"/>
      <c r="CM460" s="1689"/>
      <c r="CN460" s="1689"/>
      <c r="CO460" s="1689"/>
      <c r="CP460" s="1689"/>
      <c r="CQ460" s="1689"/>
      <c r="CR460" s="1689"/>
      <c r="CS460" s="1689"/>
      <c r="CT460" s="1689"/>
      <c r="CU460" s="1689"/>
      <c r="CV460" s="1689"/>
      <c r="CW460" s="1689"/>
      <c r="CX460" s="1689"/>
      <c r="CY460" s="1601"/>
      <c r="CZ460" s="1601"/>
      <c r="DA460" s="1601"/>
      <c r="DB460" s="1689"/>
      <c r="DC460" s="2925"/>
      <c r="DD460" s="1689"/>
      <c r="DE460" s="1689"/>
      <c r="DF460" s="1689"/>
      <c r="DG460" s="1689"/>
      <c r="DH460" s="1689"/>
      <c r="DI460" s="1689"/>
      <c r="DJ460" s="1689"/>
      <c r="DK460" s="1689"/>
      <c r="DL460" s="1689"/>
      <c r="DM460" s="1689"/>
      <c r="DN460" s="1689"/>
      <c r="DO460" s="1689"/>
      <c r="DP460" s="1689"/>
      <c r="DQ460" s="1689"/>
      <c r="DR460" s="1689"/>
    </row>
    <row r="461" spans="1:122">
      <c r="A461" s="1365" t="str">
        <f t="shared" si="668"/>
        <v>Other notes</v>
      </c>
      <c r="B461" s="1366"/>
      <c r="C461" s="1366"/>
      <c r="D461" s="1366"/>
      <c r="E461" s="1366"/>
      <c r="F461" s="1366"/>
      <c r="G461" s="1366"/>
      <c r="H461" s="1366"/>
      <c r="I461" s="1366"/>
      <c r="J461" s="1367"/>
      <c r="K461" s="1370"/>
      <c r="L461" s="1371"/>
      <c r="M461" s="1371"/>
      <c r="N461" s="1371"/>
      <c r="O461" s="1369"/>
      <c r="P461" s="1371"/>
      <c r="Q461" s="1371"/>
      <c r="R461" s="1371"/>
      <c r="S461" s="1371"/>
      <c r="T461" s="1371"/>
      <c r="U461" s="1371"/>
      <c r="V461" s="1371"/>
      <c r="W461" s="1371"/>
      <c r="X461" s="1371"/>
      <c r="Y461" s="1371"/>
      <c r="Z461" s="1371"/>
      <c r="AA461" s="1371"/>
      <c r="AB461" s="3238"/>
      <c r="AC461" s="3238"/>
      <c r="AD461" s="3238"/>
      <c r="AE461" s="3238"/>
      <c r="AF461" s="3238"/>
      <c r="AG461" s="3238"/>
      <c r="AH461" s="3238"/>
      <c r="AI461" s="3238"/>
      <c r="AJ461" s="3238"/>
      <c r="AK461" s="3238"/>
      <c r="AL461" s="3238"/>
      <c r="AM461" s="1371"/>
      <c r="AN461" s="1371"/>
      <c r="AO461" s="1371"/>
      <c r="AP461" s="1371"/>
      <c r="AQ461" s="1371"/>
      <c r="AR461" s="1371"/>
      <c r="AS461" s="1371"/>
      <c r="AT461" s="1371"/>
      <c r="AU461" s="1690"/>
      <c r="AV461" s="1690"/>
      <c r="AW461" s="1689"/>
      <c r="AX461" s="1689"/>
      <c r="AY461" s="1689"/>
      <c r="AZ461" s="1689"/>
      <c r="BA461" s="1689"/>
      <c r="BB461" s="1689"/>
      <c r="BC461" s="1689"/>
      <c r="BD461" s="1689"/>
      <c r="BE461" s="1689"/>
      <c r="BF461" s="1689"/>
      <c r="BG461" s="1689"/>
      <c r="BH461" s="1689"/>
      <c r="BI461" s="1689"/>
      <c r="BJ461" s="1689"/>
      <c r="BK461" s="1689"/>
      <c r="BL461" s="1689"/>
      <c r="BM461" s="1689"/>
      <c r="BN461" s="1689"/>
      <c r="BO461" s="1689"/>
      <c r="BP461" s="1689"/>
      <c r="BQ461" s="1689"/>
      <c r="BR461" s="1689"/>
      <c r="BS461" s="1689"/>
      <c r="BT461" s="1689"/>
      <c r="BU461" s="1689"/>
      <c r="BV461" s="1689"/>
      <c r="BW461" s="1689"/>
      <c r="BX461" s="1689"/>
      <c r="BY461" s="1689"/>
      <c r="BZ461" s="1689"/>
      <c r="CA461" s="1689"/>
      <c r="CB461" s="1689"/>
      <c r="CC461" s="1689"/>
      <c r="CD461" s="1689"/>
      <c r="CE461" s="1689"/>
      <c r="CF461" s="1689"/>
      <c r="CG461" s="1689"/>
      <c r="CH461" s="1689"/>
      <c r="CI461" s="1689"/>
      <c r="CJ461" s="1689"/>
      <c r="CK461" s="1689"/>
      <c r="CL461" s="1689"/>
      <c r="CM461" s="1689"/>
      <c r="CN461" s="1689"/>
      <c r="CO461" s="1689"/>
      <c r="CP461" s="1689"/>
      <c r="CQ461" s="1689"/>
      <c r="CR461" s="1689"/>
      <c r="CS461" s="1689"/>
      <c r="CT461" s="1689"/>
      <c r="CU461" s="1689"/>
      <c r="CV461" s="1689"/>
      <c r="CW461" s="1689"/>
      <c r="CX461" s="1689"/>
      <c r="CY461" s="1601"/>
      <c r="CZ461" s="1601"/>
      <c r="DA461" s="1601"/>
      <c r="DB461" s="1689"/>
      <c r="DC461" s="2925"/>
      <c r="DD461" s="1689"/>
      <c r="DE461" s="1689"/>
      <c r="DF461" s="1689"/>
      <c r="DG461" s="1689"/>
      <c r="DH461" s="1689"/>
      <c r="DI461" s="1689"/>
      <c r="DJ461" s="1689"/>
      <c r="DK461" s="1689"/>
      <c r="DL461" s="1689"/>
      <c r="DM461" s="1689"/>
      <c r="DN461" s="1689"/>
      <c r="DO461" s="1689"/>
      <c r="DP461" s="1689"/>
      <c r="DQ461" s="1689"/>
      <c r="DR461" s="1689"/>
    </row>
    <row r="462" spans="1:122">
      <c r="A462" s="1365" t="str">
        <f t="shared" si="668"/>
        <v>Other notes</v>
      </c>
      <c r="B462" s="1366"/>
      <c r="C462" s="1366"/>
      <c r="D462" s="1366"/>
      <c r="E462" s="1366"/>
      <c r="F462" s="1366"/>
      <c r="G462" s="1366"/>
      <c r="H462" s="1366"/>
      <c r="I462" s="1366"/>
      <c r="J462" s="1367"/>
      <c r="K462" s="1370">
        <v>0.06</v>
      </c>
      <c r="L462" s="1371">
        <f t="shared" si="648"/>
        <v>0.06</v>
      </c>
      <c r="M462" s="1371">
        <f t="shared" si="648"/>
        <v>0.06</v>
      </c>
      <c r="N462" s="1371">
        <f>M462</f>
        <v>0.06</v>
      </c>
      <c r="O462" s="1369"/>
      <c r="P462" s="1371"/>
      <c r="Q462" s="1371"/>
      <c r="R462" s="1371">
        <f t="shared" si="650"/>
        <v>0.06</v>
      </c>
      <c r="S462" s="1371">
        <f>R462</f>
        <v>0.06</v>
      </c>
      <c r="T462" s="1371">
        <f>S462</f>
        <v>0.06</v>
      </c>
      <c r="U462" s="1371">
        <f>T462</f>
        <v>0.06</v>
      </c>
      <c r="V462" s="1371">
        <f>U462</f>
        <v>0.06</v>
      </c>
      <c r="W462" s="1371">
        <f>V462</f>
        <v>0.06</v>
      </c>
      <c r="X462" s="1371"/>
      <c r="Y462" s="1371"/>
      <c r="Z462" s="1371">
        <f t="shared" si="658"/>
        <v>0.06</v>
      </c>
      <c r="AA462" s="1371">
        <f t="shared" si="652"/>
        <v>0.06</v>
      </c>
      <c r="AB462" s="3238"/>
      <c r="AC462" s="3238">
        <f t="shared" si="644"/>
        <v>0.06</v>
      </c>
      <c r="AD462" s="3238">
        <f t="shared" si="645"/>
        <v>0.06</v>
      </c>
      <c r="AE462" s="3238">
        <f t="shared" si="645"/>
        <v>0.06</v>
      </c>
      <c r="AF462" s="3238">
        <f t="shared" si="659"/>
        <v>0.06</v>
      </c>
      <c r="AG462" s="3238">
        <f t="shared" si="659"/>
        <v>0.06</v>
      </c>
      <c r="AH462" s="3238">
        <f t="shared" si="659"/>
        <v>0.06</v>
      </c>
      <c r="AI462" s="3238">
        <f t="shared" si="660"/>
        <v>0.06</v>
      </c>
      <c r="AJ462" s="3238">
        <f t="shared" si="660"/>
        <v>0.06</v>
      </c>
      <c r="AK462" s="3238">
        <f t="shared" si="660"/>
        <v>0.06</v>
      </c>
      <c r="AL462" s="3238">
        <f t="shared" si="660"/>
        <v>0.06</v>
      </c>
      <c r="AM462" s="1371">
        <f t="shared" si="660"/>
        <v>0.06</v>
      </c>
      <c r="AN462" s="1371">
        <f t="shared" si="660"/>
        <v>0.06</v>
      </c>
      <c r="AO462" s="1371"/>
      <c r="AP462" s="1371"/>
      <c r="AQ462" s="1371"/>
      <c r="AR462" s="1371"/>
      <c r="AS462" s="1371"/>
      <c r="AT462" s="1371"/>
      <c r="AU462" s="1690"/>
      <c r="AV462" s="1690"/>
      <c r="AW462" s="1689"/>
      <c r="AX462" s="1689"/>
      <c r="AY462" s="1689"/>
      <c r="AZ462" s="1689"/>
      <c r="BA462" s="1689"/>
      <c r="BB462" s="1689"/>
      <c r="BC462" s="1689"/>
      <c r="BD462" s="1689"/>
      <c r="BE462" s="1689"/>
      <c r="BF462" s="1689"/>
      <c r="BG462" s="1689"/>
      <c r="BH462" s="1689"/>
      <c r="BI462" s="1689"/>
      <c r="BJ462" s="1689"/>
      <c r="BK462" s="1689"/>
      <c r="BL462" s="1689"/>
      <c r="BM462" s="1689"/>
      <c r="BN462" s="1689"/>
      <c r="BO462" s="1689"/>
      <c r="BP462" s="1689"/>
      <c r="BQ462" s="1689"/>
      <c r="BR462" s="1689"/>
      <c r="BS462" s="1689"/>
      <c r="BT462" s="1689"/>
      <c r="BU462" s="1689"/>
      <c r="BV462" s="1689"/>
      <c r="BW462" s="1689"/>
      <c r="BX462" s="1689"/>
      <c r="BY462" s="1689"/>
      <c r="BZ462" s="1689"/>
      <c r="CA462" s="1689"/>
      <c r="CB462" s="1689"/>
      <c r="CC462" s="1689"/>
      <c r="CD462" s="1689"/>
      <c r="CE462" s="1689"/>
      <c r="CF462" s="1689"/>
      <c r="CG462" s="1689"/>
      <c r="CH462" s="1689"/>
      <c r="CI462" s="1689"/>
      <c r="CJ462" s="1689"/>
      <c r="CK462" s="1689"/>
      <c r="CL462" s="1689"/>
      <c r="CM462" s="1689"/>
      <c r="CN462" s="1689"/>
      <c r="CO462" s="1689"/>
      <c r="CP462" s="1689"/>
      <c r="CQ462" s="1689"/>
      <c r="CR462" s="1689"/>
      <c r="CS462" s="1689"/>
      <c r="CT462" s="1689"/>
      <c r="CU462" s="1689"/>
      <c r="CV462" s="1689"/>
      <c r="CW462" s="1689"/>
      <c r="CX462" s="1689"/>
      <c r="CY462" s="1601"/>
      <c r="CZ462" s="1601"/>
      <c r="DA462" s="1601"/>
      <c r="DB462" s="1689"/>
      <c r="DC462" s="2925"/>
      <c r="DD462" s="1689"/>
      <c r="DE462" s="1689"/>
      <c r="DF462" s="1689"/>
      <c r="DG462" s="1689"/>
      <c r="DH462" s="1689"/>
      <c r="DI462" s="1689"/>
      <c r="DJ462" s="1689"/>
      <c r="DK462" s="1689"/>
      <c r="DL462" s="1689"/>
      <c r="DM462" s="1689"/>
      <c r="DN462" s="1689"/>
      <c r="DO462" s="1689"/>
      <c r="DP462" s="1689"/>
      <c r="DQ462" s="1689"/>
      <c r="DR462" s="1689"/>
    </row>
    <row r="463" spans="1:122">
      <c r="A463" s="2088" t="s">
        <v>164</v>
      </c>
      <c r="B463" s="1366"/>
      <c r="C463" s="1366"/>
      <c r="D463" s="1366"/>
      <c r="E463" s="1366"/>
      <c r="F463" s="1366"/>
      <c r="G463" s="1366"/>
      <c r="H463" s="1366"/>
      <c r="I463" s="1366"/>
      <c r="J463" s="1367"/>
      <c r="K463" s="1370">
        <v>0.06</v>
      </c>
      <c r="L463" s="1371">
        <f t="shared" si="648"/>
        <v>0.06</v>
      </c>
      <c r="M463" s="1371">
        <f t="shared" si="648"/>
        <v>0.06</v>
      </c>
      <c r="N463" s="1371">
        <v>5.1999999999999998E-2</v>
      </c>
      <c r="O463" s="1369"/>
      <c r="P463" s="1371"/>
      <c r="Q463" s="1371"/>
      <c r="R463" s="1371">
        <f t="shared" si="650"/>
        <v>5.1999999999999998E-2</v>
      </c>
      <c r="S463" s="1371">
        <v>5.0999999999999997E-2</v>
      </c>
      <c r="T463" s="1371">
        <f>S463</f>
        <v>5.0999999999999997E-2</v>
      </c>
      <c r="U463" s="1371">
        <f>T463</f>
        <v>5.0999999999999997E-2</v>
      </c>
      <c r="V463" s="1371">
        <f>U463</f>
        <v>5.0999999999999997E-2</v>
      </c>
      <c r="W463" s="1371">
        <f>V463</f>
        <v>5.0999999999999997E-2</v>
      </c>
      <c r="X463" s="1371"/>
      <c r="Y463" s="1371"/>
      <c r="Z463" s="1371">
        <f t="shared" si="658"/>
        <v>5.0999999999999997E-2</v>
      </c>
      <c r="AA463" s="1371">
        <f t="shared" si="652"/>
        <v>5.0999999999999997E-2</v>
      </c>
      <c r="AB463" s="3238"/>
      <c r="AC463" s="3238">
        <f t="shared" si="644"/>
        <v>5.0999999999999997E-2</v>
      </c>
      <c r="AD463" s="3238">
        <f t="shared" si="645"/>
        <v>5.0999999999999997E-2</v>
      </c>
      <c r="AE463" s="3238">
        <f t="shared" si="645"/>
        <v>5.0999999999999997E-2</v>
      </c>
      <c r="AF463" s="3238">
        <f t="shared" si="659"/>
        <v>5.0999999999999997E-2</v>
      </c>
      <c r="AG463" s="3238">
        <f t="shared" si="659"/>
        <v>5.0999999999999997E-2</v>
      </c>
      <c r="AH463" s="3238">
        <f t="shared" si="659"/>
        <v>5.0999999999999997E-2</v>
      </c>
      <c r="AI463" s="3238">
        <f t="shared" si="660"/>
        <v>5.0999999999999997E-2</v>
      </c>
      <c r="AJ463" s="3238">
        <f t="shared" si="660"/>
        <v>5.0999999999999997E-2</v>
      </c>
      <c r="AK463" s="3238">
        <f t="shared" si="660"/>
        <v>5.0999999999999997E-2</v>
      </c>
      <c r="AL463" s="3238">
        <f t="shared" si="660"/>
        <v>5.0999999999999997E-2</v>
      </c>
      <c r="AM463" s="1371">
        <f t="shared" si="660"/>
        <v>5.0999999999999997E-2</v>
      </c>
      <c r="AN463" s="1371">
        <f t="shared" si="660"/>
        <v>5.0999999999999997E-2</v>
      </c>
      <c r="AO463" s="1371"/>
      <c r="AP463" s="1371"/>
      <c r="AQ463" s="1371"/>
      <c r="AR463" s="1371"/>
      <c r="AS463" s="1371"/>
      <c r="AT463" s="1371"/>
      <c r="AU463" s="1690"/>
      <c r="AV463" s="1690"/>
      <c r="AW463" s="1689"/>
      <c r="AX463" s="1689"/>
      <c r="AY463" s="1689"/>
      <c r="AZ463" s="1689"/>
      <c r="BA463" s="1689"/>
      <c r="BB463" s="1689"/>
      <c r="BC463" s="1689"/>
      <c r="BD463" s="1689"/>
      <c r="BE463" s="1689"/>
      <c r="BF463" s="1689"/>
      <c r="BG463" s="1689"/>
      <c r="BH463" s="1689"/>
      <c r="BI463" s="1689"/>
      <c r="BJ463" s="1689"/>
      <c r="BK463" s="1689"/>
      <c r="BL463" s="1689"/>
      <c r="BM463" s="1689"/>
      <c r="BN463" s="1689"/>
      <c r="BO463" s="1689"/>
      <c r="BP463" s="1689"/>
      <c r="BQ463" s="1689"/>
      <c r="BR463" s="1689"/>
      <c r="BS463" s="1689"/>
      <c r="BT463" s="1689"/>
      <c r="BU463" s="1689"/>
      <c r="BV463" s="1689"/>
      <c r="BW463" s="1689"/>
      <c r="BX463" s="1689"/>
      <c r="BY463" s="1689"/>
      <c r="BZ463" s="1689"/>
      <c r="CA463" s="1689"/>
      <c r="CB463" s="1689"/>
      <c r="CC463" s="1689"/>
      <c r="CD463" s="1689"/>
      <c r="CE463" s="1689"/>
      <c r="CF463" s="1689"/>
      <c r="CG463" s="1689"/>
      <c r="CH463" s="1689"/>
      <c r="CI463" s="1689"/>
      <c r="CJ463" s="1689"/>
      <c r="CK463" s="1689"/>
      <c r="CL463" s="1689"/>
      <c r="CM463" s="1689"/>
      <c r="CN463" s="1689"/>
      <c r="CO463" s="1689"/>
      <c r="CP463" s="1689"/>
      <c r="CQ463" s="1689"/>
      <c r="CR463" s="1689"/>
      <c r="CS463" s="1689"/>
      <c r="CT463" s="1689"/>
      <c r="CU463" s="1689"/>
      <c r="CV463" s="1689"/>
      <c r="CW463" s="1689"/>
      <c r="CX463" s="1689"/>
      <c r="CY463" s="1601"/>
      <c r="CZ463" s="1601"/>
      <c r="DA463" s="1601"/>
      <c r="DB463" s="1689"/>
      <c r="DC463" s="2925"/>
      <c r="DD463" s="1689"/>
      <c r="DE463" s="1689"/>
      <c r="DF463" s="1689"/>
      <c r="DG463" s="1689"/>
      <c r="DH463" s="1689"/>
      <c r="DI463" s="1689"/>
      <c r="DJ463" s="1689"/>
      <c r="DK463" s="1689"/>
      <c r="DL463" s="1689"/>
      <c r="DM463" s="1689"/>
      <c r="DN463" s="1689"/>
      <c r="DO463" s="1689"/>
      <c r="DP463" s="1689"/>
      <c r="DQ463" s="1689"/>
      <c r="DR463" s="1689"/>
    </row>
    <row r="464" spans="1:122">
      <c r="A464" s="6" t="s">
        <v>165</v>
      </c>
      <c r="B464" s="198"/>
      <c r="C464" s="198"/>
      <c r="D464" s="198"/>
      <c r="E464" s="198"/>
      <c r="F464" s="198"/>
      <c r="G464" s="198"/>
      <c r="H464" s="198"/>
      <c r="I464" s="198"/>
      <c r="J464" s="200"/>
      <c r="K464" s="201">
        <f>K417/AVERAGE(J362:K362)</f>
        <v>1.09060696697365E-2</v>
      </c>
      <c r="L464" s="201">
        <f>L417/AVERAGE(K362:L362)</f>
        <v>5.3134733971064987E-3</v>
      </c>
      <c r="M464" s="201">
        <f>M417/AVERAGE(L362:M362)</f>
        <v>1.0067157687991025E-2</v>
      </c>
      <c r="N464" s="201">
        <f>N417/AVERAGE(M362:N362)</f>
        <v>6.9519395775513157E-3</v>
      </c>
      <c r="O464" s="919"/>
      <c r="P464" s="202"/>
      <c r="Q464" s="202"/>
      <c r="R464" s="201">
        <f>R417/AVERAGE(Q362:R362)</f>
        <v>9.554813908997619E-3</v>
      </c>
      <c r="S464" s="201">
        <f>S417/AVERAGE(R362:S362)</f>
        <v>9.8100357342223929E-3</v>
      </c>
      <c r="T464" s="201">
        <f>T417/AVERAGE(S362:T362)</f>
        <v>3.4217242530462455E-3</v>
      </c>
      <c r="U464" s="203">
        <v>4.4999999999999997E-3</v>
      </c>
      <c r="V464" s="203">
        <v>4.4999999999999997E-3</v>
      </c>
      <c r="W464" s="203">
        <v>1E-3</v>
      </c>
      <c r="X464" s="203"/>
      <c r="Y464" s="203"/>
      <c r="Z464" s="202">
        <f t="shared" si="658"/>
        <v>1E-3</v>
      </c>
      <c r="AA464" s="203">
        <f t="shared" si="652"/>
        <v>1E-3</v>
      </c>
      <c r="AB464" s="3238"/>
      <c r="AC464" s="3238">
        <f t="shared" si="644"/>
        <v>1E-3</v>
      </c>
      <c r="AD464" s="3238">
        <f t="shared" si="645"/>
        <v>1E-3</v>
      </c>
      <c r="AE464" s="3238">
        <f t="shared" si="645"/>
        <v>1E-3</v>
      </c>
      <c r="AF464" s="3238">
        <f t="shared" si="659"/>
        <v>1E-3</v>
      </c>
      <c r="AG464" s="3238">
        <f t="shared" si="659"/>
        <v>1E-3</v>
      </c>
      <c r="AH464" s="3238">
        <f t="shared" si="659"/>
        <v>1E-3</v>
      </c>
      <c r="AI464" s="3238">
        <f t="shared" si="660"/>
        <v>1E-3</v>
      </c>
      <c r="AJ464" s="3238">
        <f t="shared" si="660"/>
        <v>1E-3</v>
      </c>
      <c r="AK464" s="3238">
        <f t="shared" si="660"/>
        <v>1E-3</v>
      </c>
      <c r="AL464" s="3238">
        <f t="shared" si="660"/>
        <v>1E-3</v>
      </c>
      <c r="AM464" s="1371">
        <f t="shared" si="660"/>
        <v>1E-3</v>
      </c>
      <c r="AN464" s="1371">
        <f t="shared" si="660"/>
        <v>1E-3</v>
      </c>
      <c r="AO464" s="203"/>
      <c r="AP464" s="203"/>
      <c r="AQ464" s="203"/>
      <c r="AR464" s="203"/>
      <c r="AS464" s="203"/>
      <c r="AT464" s="203"/>
      <c r="AU464" s="95"/>
      <c r="AV464" s="4"/>
      <c r="AW464" s="89"/>
      <c r="AX464" s="89"/>
      <c r="AY464" s="89"/>
      <c r="AZ464" s="89"/>
      <c r="BA464" s="89"/>
      <c r="BB464" s="89"/>
      <c r="BC464" s="89"/>
      <c r="BD464" s="89"/>
      <c r="BE464" s="89"/>
      <c r="BF464" s="89"/>
      <c r="BG464" s="89"/>
      <c r="BH464" s="98"/>
      <c r="BI464" s="89"/>
      <c r="BJ464" s="89"/>
      <c r="BK464" s="89"/>
      <c r="BL464" s="89"/>
      <c r="BM464" s="89"/>
      <c r="BN464" s="89"/>
      <c r="BO464" s="89"/>
      <c r="BP464" s="89"/>
      <c r="BQ464" s="89"/>
      <c r="BR464" s="89"/>
      <c r="BS464" s="89"/>
      <c r="BT464" s="89"/>
      <c r="BU464" s="89"/>
      <c r="BV464" s="89"/>
      <c r="BW464" s="89"/>
      <c r="BX464" s="89"/>
      <c r="BY464" s="89"/>
      <c r="BZ464" s="89"/>
      <c r="CA464" s="89"/>
      <c r="CB464" s="89"/>
      <c r="CC464" s="89"/>
      <c r="CD464" s="89"/>
      <c r="CE464" s="89"/>
      <c r="CF464" s="89"/>
      <c r="CG464" s="89"/>
      <c r="CH464" s="89"/>
      <c r="CI464" s="89"/>
      <c r="CJ464" s="89"/>
      <c r="CK464" s="89"/>
      <c r="CL464" s="89"/>
      <c r="CM464" s="89"/>
      <c r="CN464" s="89"/>
      <c r="CO464" s="98"/>
      <c r="CP464" s="98"/>
      <c r="CQ464" s="98"/>
      <c r="CR464" s="98"/>
      <c r="CS464" s="98"/>
      <c r="CT464" s="98"/>
      <c r="CU464" s="98"/>
      <c r="CV464" s="98"/>
      <c r="CW464" s="98"/>
      <c r="CX464" s="98"/>
      <c r="CY464" s="1247"/>
      <c r="CZ464" s="1247"/>
      <c r="DA464" s="1247"/>
      <c r="DB464" s="98"/>
      <c r="DC464" s="2925"/>
      <c r="DD464" s="98"/>
      <c r="DE464" s="98"/>
      <c r="DF464" s="98"/>
      <c r="DG464" s="98"/>
      <c r="DH464" s="98"/>
      <c r="DI464" s="98"/>
      <c r="DJ464" s="98"/>
      <c r="DK464" s="98"/>
      <c r="DL464" s="98"/>
      <c r="DM464" s="98"/>
      <c r="DN464" s="98"/>
      <c r="DO464" s="98"/>
      <c r="DP464" s="98"/>
      <c r="DQ464" s="98"/>
      <c r="DR464" s="98"/>
    </row>
    <row r="465" spans="1:122">
      <c r="A465" s="6" t="s">
        <v>590</v>
      </c>
      <c r="B465" s="198"/>
      <c r="C465" s="198"/>
      <c r="D465" s="198"/>
      <c r="E465" s="198"/>
      <c r="F465" s="198"/>
      <c r="G465" s="198"/>
      <c r="H465" s="198"/>
      <c r="I465" s="38"/>
      <c r="J465" s="38"/>
      <c r="K465" s="204">
        <f>K418/AVERAGE(J362:K362)</f>
        <v>8.0186973094794251E-2</v>
      </c>
      <c r="L465" s="204">
        <f>L418/AVERAGE(K362:L362)</f>
        <v>7.4511819116135664E-2</v>
      </c>
      <c r="M465" s="204">
        <f>M418/AVERAGE(L362:M362)</f>
        <v>8.009259259259259E-2</v>
      </c>
      <c r="N465" s="204">
        <f>N418/AVERAGE(M362:N362)</f>
        <v>7.7201754200122888E-2</v>
      </c>
      <c r="O465" s="919"/>
      <c r="P465" s="204"/>
      <c r="Q465" s="204"/>
      <c r="R465" s="204">
        <f>R418/AVERAGE(N362:R362)</f>
        <v>7.716950238485086E-2</v>
      </c>
      <c r="S465" s="204">
        <f t="shared" ref="S465:AM465" si="669">S418/AVERAGE(R362:S362)</f>
        <v>8.1245102708682224E-2</v>
      </c>
      <c r="T465" s="204">
        <f t="shared" si="669"/>
        <v>7.2608913370055081E-2</v>
      </c>
      <c r="U465" s="204">
        <f t="shared" si="669"/>
        <v>6.7540322580645157E-2</v>
      </c>
      <c r="V465" s="204">
        <f t="shared" si="669"/>
        <v>6.0851270432108757E-2</v>
      </c>
      <c r="W465" s="204">
        <f t="shared" si="669"/>
        <v>5.345309969076719E-2</v>
      </c>
      <c r="X465" s="204"/>
      <c r="Y465" s="204"/>
      <c r="Z465" s="204">
        <f>Z418/AVERAGE(W362:Z362)</f>
        <v>5.0275747082211109E-2</v>
      </c>
      <c r="AA465" s="204">
        <f t="shared" si="669"/>
        <v>4.6120181787577846E-2</v>
      </c>
      <c r="AB465" s="3239"/>
      <c r="AC465" s="3239">
        <f ca="1">AC418/AVERAGE(AA362:AC362)</f>
        <v>4.6922912328607749E-2</v>
      </c>
      <c r="AD465" s="3239">
        <f t="shared" ca="1" si="669"/>
        <v>4.6359932385549224E-2</v>
      </c>
      <c r="AE465" s="3239">
        <f t="shared" ca="1" si="669"/>
        <v>4.4782566622653598E-2</v>
      </c>
      <c r="AF465" s="3239">
        <f t="shared" ca="1" si="669"/>
        <v>4.5500514048585808E-2</v>
      </c>
      <c r="AG465" s="3239">
        <f t="shared" ca="1" si="669"/>
        <v>4.5592768404491946E-2</v>
      </c>
      <c r="AH465" s="3239">
        <f t="shared" ca="1" si="669"/>
        <v>4.6109194907964904E-2</v>
      </c>
      <c r="AI465" s="3239">
        <f t="shared" ca="1" si="669"/>
        <v>4.716410842292601E-2</v>
      </c>
      <c r="AJ465" s="3239">
        <f t="shared" ca="1" si="669"/>
        <v>4.825321885766394E-2</v>
      </c>
      <c r="AK465" s="3239">
        <f t="shared" ca="1" si="669"/>
        <v>4.9386040423129392E-2</v>
      </c>
      <c r="AL465" s="3239">
        <f t="shared" ca="1" si="669"/>
        <v>5.0702862330623391E-2</v>
      </c>
      <c r="AM465" s="1370">
        <f t="shared" ca="1" si="669"/>
        <v>5.2818557360774114E-2</v>
      </c>
      <c r="AN465" s="3239">
        <f ca="1">AN418/AVERAGE(AM362:AN362)</f>
        <v>5.6202451726994014E-2</v>
      </c>
      <c r="AO465" s="204"/>
      <c r="AP465" s="204"/>
      <c r="AQ465" s="204"/>
      <c r="AR465" s="204"/>
      <c r="AS465" s="204"/>
      <c r="AT465" s="204"/>
      <c r="AU465" s="95"/>
      <c r="AV465" s="4"/>
      <c r="AW465" s="89"/>
      <c r="AX465" s="89"/>
      <c r="AY465" s="89"/>
      <c r="AZ465" s="89"/>
      <c r="BA465" s="89"/>
      <c r="BB465" s="89"/>
      <c r="BC465" s="89"/>
      <c r="BD465" s="89"/>
      <c r="BE465" s="89"/>
      <c r="BF465" s="89"/>
      <c r="BG465" s="89"/>
      <c r="BH465" s="98"/>
      <c r="BI465" s="89"/>
      <c r="BJ465" s="89"/>
      <c r="BK465" s="89"/>
      <c r="BL465" s="89"/>
      <c r="BM465" s="89"/>
      <c r="BN465" s="89"/>
      <c r="BO465" s="89"/>
      <c r="BP465" s="89"/>
      <c r="BQ465" s="89"/>
      <c r="BR465" s="89"/>
      <c r="BS465" s="89"/>
      <c r="BT465" s="89"/>
      <c r="BU465" s="89"/>
      <c r="BV465" s="89"/>
      <c r="BW465" s="89"/>
      <c r="BX465" s="89"/>
      <c r="BY465" s="89"/>
      <c r="BZ465" s="89"/>
      <c r="CA465" s="89"/>
      <c r="CB465" s="89"/>
      <c r="CC465" s="89"/>
      <c r="CD465" s="89"/>
      <c r="CE465" s="89"/>
      <c r="CF465" s="89"/>
      <c r="CG465" s="89"/>
      <c r="CH465" s="89"/>
      <c r="CI465" s="89"/>
      <c r="CJ465" s="89"/>
      <c r="CK465" s="89"/>
      <c r="CL465" s="89"/>
      <c r="CM465" s="89"/>
      <c r="CN465" s="89"/>
      <c r="CO465" s="98"/>
      <c r="CP465" s="98"/>
      <c r="CQ465" s="98"/>
      <c r="CR465" s="98"/>
      <c r="CS465" s="98"/>
      <c r="CT465" s="98"/>
      <c r="CU465" s="98"/>
      <c r="CV465" s="98"/>
      <c r="CW465" s="98"/>
      <c r="CX465" s="98"/>
      <c r="CY465" s="1247"/>
      <c r="CZ465" s="1247"/>
      <c r="DA465" s="1247"/>
      <c r="DB465" s="98"/>
      <c r="DC465" s="2925"/>
      <c r="DD465" s="98"/>
      <c r="DE465" s="98"/>
      <c r="DF465" s="98"/>
      <c r="DG465" s="98"/>
      <c r="DH465" s="98"/>
      <c r="DI465" s="98"/>
      <c r="DJ465" s="98"/>
      <c r="DK465" s="98"/>
      <c r="DL465" s="98"/>
      <c r="DM465" s="98"/>
      <c r="DN465" s="98"/>
      <c r="DO465" s="98"/>
      <c r="DP465" s="98"/>
      <c r="DQ465" s="98"/>
      <c r="DR465" s="98"/>
    </row>
    <row r="466" spans="1:122">
      <c r="A466" s="6"/>
      <c r="B466" s="198"/>
      <c r="C466" s="198"/>
      <c r="D466" s="198"/>
      <c r="E466" s="198"/>
      <c r="F466" s="198"/>
      <c r="G466" s="198"/>
      <c r="H466" s="198"/>
      <c r="I466" s="198"/>
      <c r="J466" s="200"/>
      <c r="K466" s="140"/>
      <c r="L466" s="38"/>
      <c r="M466" s="38"/>
      <c r="N466" s="38"/>
      <c r="O466" s="919"/>
      <c r="P466" s="38"/>
      <c r="Q466" s="38"/>
      <c r="R466" s="38"/>
      <c r="S466" s="38"/>
      <c r="T466" s="38"/>
      <c r="U466" s="254"/>
      <c r="V466" s="38"/>
      <c r="W466" s="38"/>
      <c r="X466" s="38"/>
      <c r="Y466" s="38"/>
      <c r="Z466" s="38"/>
      <c r="AA466" s="38"/>
      <c r="AB466" s="38"/>
      <c r="AC466" s="39"/>
      <c r="AD466" s="39"/>
      <c r="AE466" s="39"/>
      <c r="AF466" s="39"/>
      <c r="AG466" s="39"/>
      <c r="AH466" s="39"/>
      <c r="AI466" s="39"/>
      <c r="AJ466" s="39"/>
      <c r="AK466" s="39"/>
      <c r="AL466" s="1110"/>
      <c r="AM466" s="39"/>
      <c r="AN466" s="39"/>
      <c r="AO466" s="39"/>
      <c r="AP466" s="39"/>
      <c r="AQ466" s="39"/>
      <c r="AR466" s="39"/>
      <c r="AS466" s="39"/>
      <c r="AT466" s="39"/>
      <c r="AU466" s="95"/>
      <c r="AV466" s="4"/>
      <c r="AW466" s="89"/>
      <c r="AX466" s="89"/>
      <c r="AY466" s="89"/>
      <c r="AZ466" s="89"/>
      <c r="BA466" s="89"/>
      <c r="BB466" s="89"/>
      <c r="BC466" s="89"/>
      <c r="BD466" s="89"/>
      <c r="BE466" s="89"/>
      <c r="BF466" s="89"/>
      <c r="BG466" s="89"/>
      <c r="BH466" s="98"/>
      <c r="BI466" s="89"/>
      <c r="BJ466" s="89"/>
      <c r="BK466" s="89"/>
      <c r="BL466" s="89"/>
      <c r="BM466" s="89"/>
      <c r="BN466" s="89"/>
      <c r="BO466" s="89"/>
      <c r="BP466" s="89"/>
      <c r="BQ466" s="89"/>
      <c r="BR466" s="89"/>
      <c r="BS466" s="89"/>
      <c r="BT466" s="89"/>
      <c r="BU466" s="89"/>
      <c r="BV466" s="89"/>
      <c r="BW466" s="89"/>
      <c r="BX466" s="89"/>
      <c r="BY466" s="89"/>
      <c r="BZ466" s="89"/>
      <c r="CA466" s="89"/>
      <c r="CB466" s="89"/>
      <c r="CC466" s="89"/>
      <c r="CD466" s="89"/>
      <c r="CE466" s="89"/>
      <c r="CF466" s="89"/>
      <c r="CG466" s="89"/>
      <c r="CH466" s="89"/>
      <c r="CI466" s="89"/>
      <c r="CJ466" s="89"/>
      <c r="CK466" s="89"/>
      <c r="CL466" s="89"/>
      <c r="CM466" s="89"/>
      <c r="CN466" s="89"/>
      <c r="CO466" s="98"/>
      <c r="CP466" s="98"/>
      <c r="CQ466" s="98"/>
      <c r="CR466" s="98"/>
      <c r="CS466" s="98"/>
      <c r="CT466" s="1247"/>
      <c r="CU466" s="1247"/>
      <c r="CV466" s="1247"/>
      <c r="CW466" s="98"/>
      <c r="CX466" s="98"/>
      <c r="CY466" s="1247"/>
      <c r="CZ466" s="1247"/>
      <c r="DA466" s="1247"/>
      <c r="DB466" s="98"/>
      <c r="DC466" s="2925"/>
      <c r="DD466" s="98"/>
      <c r="DE466" s="98"/>
      <c r="DF466" s="98"/>
      <c r="DG466" s="98"/>
      <c r="DH466" s="98"/>
      <c r="DI466" s="98"/>
      <c r="DJ466" s="98"/>
      <c r="DK466" s="98"/>
      <c r="DL466" s="98"/>
      <c r="DM466" s="98"/>
      <c r="DN466" s="98"/>
      <c r="DO466" s="98"/>
      <c r="DP466" s="98"/>
      <c r="DQ466" s="98"/>
      <c r="DR466" s="98"/>
    </row>
    <row r="467" spans="1:122">
      <c r="A467" s="6"/>
      <c r="B467" s="48"/>
      <c r="C467" s="48"/>
      <c r="D467" s="48"/>
      <c r="E467" s="48"/>
      <c r="F467" s="48"/>
      <c r="G467" s="48"/>
      <c r="H467" s="48"/>
      <c r="I467" s="48"/>
      <c r="J467" s="197"/>
      <c r="K467" s="197"/>
      <c r="L467" s="38"/>
      <c r="M467" s="38"/>
      <c r="N467" s="48"/>
      <c r="O467" s="919"/>
      <c r="P467" s="48"/>
      <c r="Q467" s="48"/>
      <c r="R467" s="48"/>
      <c r="S467" s="48"/>
      <c r="T467" s="48"/>
      <c r="U467" s="48"/>
      <c r="V467" s="48"/>
      <c r="W467" s="48"/>
      <c r="X467" s="48"/>
      <c r="Y467" s="48"/>
      <c r="Z467" s="48"/>
      <c r="AA467" s="48"/>
      <c r="AB467" s="48"/>
      <c r="AC467" s="48"/>
      <c r="AD467" s="48"/>
      <c r="AE467" s="48"/>
      <c r="AF467" s="48"/>
      <c r="AG467" s="48"/>
      <c r="AH467" s="48"/>
      <c r="AI467" s="48"/>
      <c r="AJ467" s="48"/>
      <c r="AK467" s="48"/>
      <c r="AL467" s="48"/>
      <c r="AM467" s="48"/>
      <c r="AN467" s="48"/>
      <c r="AO467" s="48"/>
      <c r="AP467" s="48"/>
      <c r="AQ467" s="48"/>
      <c r="AR467" s="48"/>
      <c r="AS467" s="48"/>
      <c r="AT467" s="48"/>
      <c r="AU467" s="95"/>
      <c r="AV467" s="4"/>
      <c r="AW467" s="89"/>
      <c r="AX467" s="89"/>
      <c r="AY467" s="89"/>
      <c r="AZ467" s="89"/>
      <c r="BA467" s="89"/>
      <c r="BB467" s="89"/>
      <c r="BC467" s="89"/>
      <c r="BD467" s="89"/>
      <c r="BE467" s="89"/>
      <c r="BF467" s="89"/>
      <c r="BG467" s="89"/>
      <c r="BH467" s="98"/>
      <c r="BI467" s="89"/>
      <c r="BJ467" s="89"/>
      <c r="BK467" s="89"/>
      <c r="BL467" s="89"/>
      <c r="BM467" s="89"/>
      <c r="BN467" s="89"/>
      <c r="BO467" s="89"/>
      <c r="BP467" s="89"/>
      <c r="BQ467" s="89"/>
      <c r="BR467" s="89"/>
      <c r="BS467" s="89"/>
      <c r="BT467" s="89"/>
      <c r="BU467" s="89"/>
      <c r="BV467" s="89"/>
      <c r="BW467" s="89"/>
      <c r="BX467" s="89"/>
      <c r="BY467" s="89"/>
      <c r="BZ467" s="89"/>
      <c r="CA467" s="89"/>
      <c r="CB467" s="89"/>
      <c r="CC467" s="89"/>
      <c r="CD467" s="89"/>
      <c r="CE467" s="89"/>
      <c r="CF467" s="89"/>
      <c r="CG467" s="89"/>
      <c r="CH467" s="89"/>
      <c r="CI467" s="89"/>
      <c r="CJ467" s="89"/>
      <c r="CK467" s="89"/>
      <c r="CL467" s="89"/>
      <c r="CM467" s="89"/>
      <c r="CN467" s="89"/>
      <c r="CO467" s="98"/>
      <c r="CP467" s="98"/>
      <c r="CQ467" s="98"/>
      <c r="CR467" s="98"/>
      <c r="CS467" s="98"/>
      <c r="CT467" s="1247"/>
      <c r="CU467" s="1247"/>
      <c r="CV467" s="1247"/>
      <c r="CW467" s="98"/>
      <c r="CX467" s="98"/>
      <c r="CY467" s="1247"/>
      <c r="CZ467" s="1247"/>
      <c r="DA467" s="1247"/>
      <c r="DB467" s="98"/>
      <c r="DC467" s="2925"/>
      <c r="DD467" s="98"/>
      <c r="DE467" s="98"/>
      <c r="DF467" s="98"/>
      <c r="DG467" s="98"/>
      <c r="DH467" s="98"/>
      <c r="DI467" s="98"/>
      <c r="DJ467" s="98"/>
      <c r="DK467" s="98"/>
      <c r="DL467" s="98"/>
      <c r="DM467" s="98"/>
      <c r="DN467" s="98"/>
      <c r="DO467" s="98"/>
      <c r="DP467" s="98"/>
      <c r="DQ467" s="98"/>
      <c r="DR467" s="98"/>
    </row>
    <row r="468" spans="1:122">
      <c r="A468" s="134"/>
      <c r="B468" s="205"/>
      <c r="C468" s="205"/>
      <c r="D468" s="205"/>
      <c r="E468" s="205"/>
      <c r="F468" s="205"/>
      <c r="G468" s="205"/>
      <c r="H468" s="205"/>
      <c r="I468" s="205"/>
      <c r="J468" s="206"/>
      <c r="K468" s="206"/>
      <c r="L468" s="205"/>
      <c r="M468" s="205"/>
      <c r="N468" s="205"/>
      <c r="O468" s="919"/>
      <c r="P468" s="205"/>
      <c r="Q468" s="205"/>
      <c r="R468" s="205"/>
      <c r="S468" s="205"/>
      <c r="T468" s="205"/>
      <c r="U468" s="205"/>
      <c r="V468" s="205"/>
      <c r="W468" s="205"/>
      <c r="X468" s="205"/>
      <c r="Y468" s="205"/>
      <c r="Z468" s="205"/>
      <c r="AA468" s="205"/>
      <c r="AB468" s="205"/>
      <c r="AC468" s="205"/>
      <c r="AD468" s="205"/>
      <c r="AE468" s="205"/>
      <c r="AF468" s="205"/>
      <c r="AG468" s="205"/>
      <c r="AH468" s="205"/>
      <c r="AI468" s="205"/>
      <c r="AJ468" s="205"/>
      <c r="AK468" s="205"/>
      <c r="AL468" s="205"/>
      <c r="AM468" s="205"/>
      <c r="AN468" s="205"/>
      <c r="AO468" s="39"/>
      <c r="AP468" s="39"/>
      <c r="AQ468" s="39"/>
      <c r="AR468" s="39"/>
      <c r="AS468" s="39"/>
      <c r="AT468" s="39"/>
      <c r="AU468" s="95"/>
      <c r="AV468" s="4"/>
      <c r="AW468" s="89"/>
      <c r="AX468" s="89"/>
      <c r="AY468" s="89"/>
      <c r="AZ468" s="89"/>
      <c r="BA468" s="89"/>
      <c r="BB468" s="89"/>
      <c r="BC468" s="89"/>
      <c r="BD468" s="89"/>
      <c r="BE468" s="89"/>
      <c r="BF468" s="89"/>
      <c r="BG468" s="89"/>
      <c r="BH468" s="98"/>
      <c r="BI468" s="89"/>
      <c r="BJ468" s="89"/>
      <c r="BK468" s="89"/>
      <c r="BL468" s="89"/>
      <c r="BM468" s="89"/>
      <c r="BN468" s="89"/>
      <c r="BO468" s="89"/>
      <c r="BP468" s="89"/>
      <c r="BQ468" s="89"/>
      <c r="BR468" s="89"/>
      <c r="BS468" s="89"/>
      <c r="BT468" s="89"/>
      <c r="BU468" s="89"/>
      <c r="BV468" s="89"/>
      <c r="BW468" s="89"/>
      <c r="BX468" s="89"/>
      <c r="BY468" s="89"/>
      <c r="BZ468" s="89"/>
      <c r="CA468" s="89"/>
      <c r="CB468" s="89"/>
      <c r="CC468" s="89"/>
      <c r="CD468" s="89"/>
      <c r="CE468" s="89"/>
      <c r="CF468" s="89"/>
      <c r="CG468" s="89"/>
      <c r="CH468" s="89"/>
      <c r="CI468" s="89"/>
      <c r="CJ468" s="89"/>
      <c r="CK468" s="89"/>
      <c r="CL468" s="89"/>
      <c r="CM468" s="89"/>
      <c r="CN468" s="89"/>
      <c r="CO468" s="98"/>
      <c r="CP468" s="98"/>
      <c r="CQ468" s="98"/>
      <c r="CR468" s="98"/>
      <c r="CS468" s="98"/>
      <c r="CT468" s="1247"/>
      <c r="CU468" s="1247"/>
      <c r="CV468" s="1247"/>
      <c r="CW468" s="98"/>
      <c r="CX468" s="98"/>
      <c r="CY468" s="1247"/>
      <c r="CZ468" s="1247"/>
      <c r="DA468" s="1247"/>
      <c r="DB468" s="98"/>
      <c r="DC468" s="2925"/>
      <c r="DD468" s="98"/>
      <c r="DE468" s="98"/>
      <c r="DF468" s="98"/>
      <c r="DG468" s="98"/>
      <c r="DH468" s="98"/>
      <c r="DI468" s="98"/>
      <c r="DJ468" s="98"/>
      <c r="DK468" s="98"/>
      <c r="DL468" s="98"/>
      <c r="DM468" s="98"/>
      <c r="DN468" s="98"/>
      <c r="DO468" s="98"/>
      <c r="DP468" s="98"/>
      <c r="DQ468" s="98"/>
      <c r="DR468" s="98"/>
    </row>
    <row r="469" spans="1:122" ht="15">
      <c r="A469" s="207" t="str">
        <f>A1</f>
        <v>CBS</v>
      </c>
      <c r="B469" s="95"/>
      <c r="C469" s="95"/>
      <c r="D469" s="95"/>
      <c r="E469" s="95"/>
      <c r="F469" s="95"/>
      <c r="G469" s="95"/>
      <c r="H469" s="95"/>
      <c r="I469" s="95"/>
      <c r="J469" s="199"/>
      <c r="K469" s="199"/>
      <c r="L469" s="95"/>
      <c r="M469" s="95"/>
      <c r="N469" s="95"/>
      <c r="O469" s="919"/>
      <c r="P469" s="95"/>
      <c r="Q469" s="95"/>
      <c r="R469" s="95"/>
      <c r="S469" s="95"/>
      <c r="T469" s="95"/>
      <c r="U469" s="95"/>
      <c r="V469" s="95"/>
      <c r="W469" s="95"/>
      <c r="X469" s="95"/>
      <c r="Y469" s="95"/>
      <c r="Z469" s="95"/>
      <c r="AA469" s="95"/>
      <c r="AB469" s="95"/>
      <c r="AC469" s="95"/>
      <c r="AD469" s="95"/>
      <c r="AE469" s="95"/>
      <c r="AF469" s="95"/>
      <c r="AG469" s="95"/>
      <c r="AH469" s="95"/>
      <c r="AI469" s="95"/>
      <c r="AJ469" s="95"/>
      <c r="AK469" s="95"/>
      <c r="AL469" s="95"/>
      <c r="AM469" s="95"/>
      <c r="AN469" s="95"/>
      <c r="AO469" s="95"/>
      <c r="AP469" s="95"/>
      <c r="AQ469" s="95"/>
      <c r="AR469" s="95"/>
      <c r="AS469" s="95"/>
      <c r="AT469" s="95"/>
      <c r="AU469" s="95"/>
      <c r="AV469" s="4"/>
      <c r="AW469" s="89"/>
      <c r="AX469" s="89"/>
      <c r="AY469" s="89"/>
      <c r="AZ469" s="89"/>
      <c r="BA469" s="89"/>
      <c r="BB469" s="89"/>
      <c r="BC469" s="89"/>
      <c r="BD469" s="89"/>
      <c r="BE469" s="89"/>
      <c r="BF469" s="89"/>
      <c r="BG469" s="89"/>
      <c r="BH469" s="98"/>
      <c r="BI469" s="89"/>
      <c r="BJ469" s="89"/>
      <c r="BK469" s="89"/>
      <c r="BL469" s="89"/>
      <c r="BM469" s="89"/>
      <c r="BN469" s="89"/>
      <c r="BO469" s="89"/>
      <c r="BP469" s="89"/>
      <c r="BQ469" s="89"/>
      <c r="BR469" s="89"/>
      <c r="BS469" s="89"/>
      <c r="BT469" s="89"/>
      <c r="BU469" s="89"/>
      <c r="BV469" s="89"/>
      <c r="BW469" s="89"/>
      <c r="BX469" s="89"/>
      <c r="BY469" s="89"/>
      <c r="BZ469" s="89"/>
      <c r="CA469" s="89"/>
      <c r="CB469" s="89"/>
      <c r="CC469" s="89"/>
      <c r="CD469" s="89"/>
      <c r="CE469" s="89"/>
      <c r="CF469" s="89"/>
      <c r="CG469" s="89"/>
      <c r="CH469" s="89"/>
      <c r="CI469" s="89"/>
      <c r="CJ469" s="89"/>
      <c r="CK469" s="89"/>
      <c r="CL469" s="89"/>
      <c r="CM469" s="89"/>
      <c r="CN469" s="89"/>
      <c r="CO469" s="98"/>
      <c r="CP469" s="98"/>
      <c r="CQ469" s="98"/>
      <c r="CR469" s="98"/>
      <c r="CS469" s="98"/>
      <c r="CT469" s="1247"/>
      <c r="CU469" s="1247"/>
      <c r="CV469" s="1247"/>
      <c r="CW469" s="98"/>
      <c r="CX469" s="98"/>
      <c r="CY469" s="1247"/>
      <c r="CZ469" s="1247"/>
      <c r="DA469" s="1247"/>
      <c r="DB469" s="98"/>
      <c r="DC469" s="2925"/>
      <c r="DD469" s="98"/>
      <c r="DE469" s="98"/>
      <c r="DF469" s="98"/>
      <c r="DG469" s="98"/>
      <c r="DH469" s="98"/>
      <c r="DI469" s="98"/>
      <c r="DJ469" s="98"/>
      <c r="DK469" s="98"/>
      <c r="DL469" s="98"/>
      <c r="DM469" s="98"/>
      <c r="DN469" s="98"/>
      <c r="DO469" s="98"/>
      <c r="DP469" s="98"/>
      <c r="DQ469" s="98"/>
      <c r="DR469" s="98"/>
    </row>
    <row r="470" spans="1:122">
      <c r="A470" s="9" t="s">
        <v>436</v>
      </c>
      <c r="B470" s="95"/>
      <c r="C470" s="95"/>
      <c r="D470" s="95"/>
      <c r="E470" s="95"/>
      <c r="F470" s="95"/>
      <c r="G470" s="95"/>
      <c r="H470" s="95"/>
      <c r="I470" s="95"/>
      <c r="J470" s="199"/>
      <c r="K470" s="199"/>
      <c r="L470" s="95"/>
      <c r="M470" s="95"/>
      <c r="N470" s="95"/>
      <c r="O470" s="919"/>
      <c r="P470" s="95"/>
      <c r="Q470" s="95"/>
      <c r="R470" s="95"/>
      <c r="S470" s="95"/>
      <c r="T470" s="95"/>
      <c r="U470" s="95"/>
      <c r="V470" s="95"/>
      <c r="W470" s="95"/>
      <c r="X470" s="95"/>
      <c r="Y470" s="1690"/>
      <c r="Z470" s="1690"/>
      <c r="AA470" s="1690"/>
      <c r="AB470" s="1690"/>
      <c r="AC470" s="1690"/>
      <c r="AD470" s="1690"/>
      <c r="AE470" s="1690"/>
      <c r="AF470" s="1690"/>
      <c r="AG470" s="1690"/>
      <c r="AH470" s="1690"/>
      <c r="AI470" s="1690"/>
      <c r="AJ470" s="1690"/>
      <c r="AK470" s="1690"/>
      <c r="AL470" s="1690"/>
      <c r="AM470" s="1690"/>
      <c r="AN470" s="1690"/>
      <c r="AO470" s="1690"/>
      <c r="AP470" s="1690"/>
      <c r="AQ470" s="1690"/>
      <c r="AR470" s="1690"/>
      <c r="AS470" s="1690"/>
      <c r="AT470" s="1690"/>
      <c r="AU470" s="95"/>
      <c r="AV470" s="4"/>
      <c r="AW470" s="89"/>
      <c r="AX470" s="89"/>
      <c r="AY470" s="89"/>
      <c r="AZ470" s="89"/>
      <c r="BA470" s="89"/>
      <c r="BB470" s="89"/>
      <c r="BC470" s="89"/>
      <c r="BD470" s="89"/>
      <c r="BE470" s="89"/>
      <c r="BF470" s="89"/>
      <c r="BG470" s="89"/>
      <c r="BH470" s="98"/>
      <c r="BI470" s="89"/>
      <c r="BJ470" s="89"/>
      <c r="BK470" s="89"/>
      <c r="BL470" s="89"/>
      <c r="BM470" s="89"/>
      <c r="BN470" s="89"/>
      <c r="BO470" s="89"/>
      <c r="BP470" s="89"/>
      <c r="BQ470" s="89"/>
      <c r="BR470" s="89"/>
      <c r="BS470" s="89"/>
      <c r="BT470" s="89"/>
      <c r="BU470" s="89"/>
      <c r="BV470" s="89"/>
      <c r="BW470" s="89"/>
      <c r="BX470" s="89"/>
      <c r="BY470" s="89"/>
      <c r="BZ470" s="89"/>
      <c r="CA470" s="89"/>
      <c r="CB470" s="89"/>
      <c r="CC470" s="89"/>
      <c r="CD470" s="89"/>
      <c r="CE470" s="89"/>
      <c r="CF470" s="89"/>
      <c r="CG470" s="89"/>
      <c r="CH470" s="89"/>
      <c r="CI470" s="89"/>
      <c r="CJ470" s="89"/>
      <c r="CK470" s="89"/>
      <c r="CL470" s="89"/>
      <c r="CM470" s="89"/>
      <c r="CN470" s="89"/>
      <c r="CO470" s="98"/>
      <c r="CP470" s="98"/>
      <c r="CQ470" s="98"/>
      <c r="CR470" s="98"/>
      <c r="CS470" s="98"/>
      <c r="CT470" s="1247"/>
      <c r="CU470" s="1247"/>
      <c r="CV470" s="1247"/>
      <c r="CW470" s="98"/>
      <c r="CX470" s="98"/>
      <c r="CY470" s="1247"/>
      <c r="CZ470" s="1247"/>
      <c r="DA470" s="1247"/>
      <c r="DB470" s="98"/>
      <c r="DC470" s="2925"/>
      <c r="DD470" s="98"/>
      <c r="DE470" s="98"/>
      <c r="DF470" s="98"/>
      <c r="DG470" s="98"/>
      <c r="DH470" s="98"/>
      <c r="DI470" s="98"/>
      <c r="DJ470" s="98"/>
      <c r="DK470" s="98"/>
      <c r="DL470" s="98"/>
      <c r="DM470" s="98"/>
      <c r="DN470" s="98"/>
      <c r="DO470" s="98"/>
      <c r="DP470" s="98"/>
      <c r="DQ470" s="98"/>
      <c r="DR470" s="98"/>
    </row>
    <row r="471" spans="1:122">
      <c r="A471" s="12" t="s">
        <v>479</v>
      </c>
      <c r="B471" s="208"/>
      <c r="C471" s="208"/>
      <c r="D471" s="208"/>
      <c r="E471" s="208"/>
      <c r="F471" s="208"/>
      <c r="G471" s="208"/>
      <c r="H471" s="208"/>
      <c r="I471" s="208"/>
      <c r="J471" s="209"/>
      <c r="K471" s="209"/>
      <c r="L471" s="95"/>
      <c r="M471" s="4"/>
      <c r="N471" s="4"/>
      <c r="O471" s="919"/>
      <c r="P471" s="4"/>
      <c r="Q471" s="4"/>
      <c r="R471" s="4"/>
      <c r="S471" s="4"/>
      <c r="T471" s="4"/>
      <c r="U471" s="4"/>
      <c r="V471" s="4"/>
      <c r="W471" s="4"/>
      <c r="X471" s="4"/>
      <c r="Y471" s="1690"/>
      <c r="Z471" s="1690"/>
      <c r="AA471" s="1690"/>
      <c r="AB471" s="1690"/>
      <c r="AC471" s="1690"/>
      <c r="AD471" s="1690"/>
      <c r="AE471" s="1690"/>
      <c r="AF471" s="1690"/>
      <c r="AG471" s="1690"/>
      <c r="AH471" s="1690"/>
      <c r="AI471" s="1690"/>
      <c r="AJ471" s="1690"/>
      <c r="AK471" s="1690"/>
      <c r="AL471" s="1690"/>
      <c r="AM471" s="1690"/>
      <c r="AN471" s="1690"/>
      <c r="AO471" s="1690"/>
      <c r="AP471" s="1690"/>
      <c r="AQ471" s="1690"/>
      <c r="AR471" s="95"/>
      <c r="AS471" s="95"/>
      <c r="AT471" s="95"/>
      <c r="AU471" s="95"/>
      <c r="AV471" s="4"/>
      <c r="AW471" s="89"/>
      <c r="AX471" s="89"/>
      <c r="AY471" s="89"/>
      <c r="AZ471" s="89"/>
      <c r="BA471" s="89"/>
      <c r="BB471" s="89"/>
      <c r="BC471" s="89"/>
      <c r="BD471" s="89"/>
      <c r="BE471" s="89"/>
      <c r="BF471" s="89"/>
      <c r="BG471" s="89"/>
      <c r="BH471" s="98"/>
      <c r="BI471" s="89"/>
      <c r="BJ471" s="89"/>
      <c r="BK471" s="89"/>
      <c r="BL471" s="89"/>
      <c r="BM471" s="89"/>
      <c r="BN471" s="89"/>
      <c r="BO471" s="89"/>
      <c r="BP471" s="89"/>
      <c r="BQ471" s="89"/>
      <c r="BR471" s="89"/>
      <c r="BS471" s="89"/>
      <c r="BT471" s="89"/>
      <c r="BU471" s="89"/>
      <c r="BV471" s="89"/>
      <c r="BW471" s="89"/>
      <c r="BX471" s="89"/>
      <c r="BY471" s="89"/>
      <c r="BZ471" s="89"/>
      <c r="CA471" s="89"/>
      <c r="CB471" s="89"/>
      <c r="CC471" s="89"/>
      <c r="CD471" s="89"/>
      <c r="CE471" s="89"/>
      <c r="CF471" s="89"/>
      <c r="CG471" s="89"/>
      <c r="CH471" s="89"/>
      <c r="CI471" s="89"/>
      <c r="CJ471" s="89"/>
      <c r="CK471" s="89"/>
      <c r="CL471" s="89"/>
      <c r="CM471" s="89"/>
      <c r="CN471" s="89"/>
      <c r="CO471" s="98"/>
      <c r="CP471" s="98"/>
      <c r="CQ471" s="98"/>
      <c r="CR471" s="98"/>
      <c r="CS471" s="98"/>
      <c r="CT471" s="1247"/>
      <c r="CU471" s="1247"/>
      <c r="CV471" s="1247"/>
      <c r="CW471" s="98"/>
      <c r="CX471" s="98"/>
      <c r="CY471" s="1247"/>
      <c r="CZ471" s="1247"/>
      <c r="DA471" s="1247"/>
      <c r="DB471" s="98"/>
      <c r="DC471" s="2925"/>
      <c r="DD471" s="98"/>
      <c r="DE471" s="98"/>
      <c r="DF471" s="98"/>
      <c r="DG471" s="98"/>
      <c r="DH471" s="98"/>
      <c r="DI471" s="98"/>
      <c r="DJ471" s="98"/>
      <c r="DK471" s="98"/>
      <c r="DL471" s="98"/>
      <c r="DM471" s="98"/>
      <c r="DN471" s="98"/>
      <c r="DO471" s="98"/>
      <c r="DP471" s="98"/>
      <c r="DQ471" s="98"/>
      <c r="DR471" s="98"/>
    </row>
    <row r="472" spans="1:122">
      <c r="A472" s="26"/>
      <c r="B472" s="102"/>
      <c r="C472" s="102"/>
      <c r="D472" s="102"/>
      <c r="E472" s="102"/>
      <c r="F472" s="102"/>
      <c r="G472" s="102"/>
      <c r="H472" s="102">
        <f t="shared" ref="H472:N473" si="670">H4</f>
        <v>2002</v>
      </c>
      <c r="I472" s="102">
        <f t="shared" si="670"/>
        <v>2003</v>
      </c>
      <c r="J472" s="102">
        <f t="shared" si="670"/>
        <v>2004</v>
      </c>
      <c r="K472" s="138">
        <f t="shared" si="670"/>
        <v>2005</v>
      </c>
      <c r="L472" s="138">
        <f t="shared" si="670"/>
        <v>2006</v>
      </c>
      <c r="M472" s="102">
        <f t="shared" si="670"/>
        <v>2007</v>
      </c>
      <c r="N472" s="102">
        <f t="shared" si="670"/>
        <v>2008</v>
      </c>
      <c r="O472" s="919"/>
      <c r="P472" s="102"/>
      <c r="Q472" s="102"/>
      <c r="R472" s="102">
        <f t="shared" ref="R472:W473" si="671">R4</f>
        <v>2009</v>
      </c>
      <c r="S472" s="102">
        <f t="shared" si="671"/>
        <v>2010</v>
      </c>
      <c r="T472" s="102">
        <f t="shared" si="671"/>
        <v>2011</v>
      </c>
      <c r="U472" s="102">
        <f t="shared" si="671"/>
        <v>2012</v>
      </c>
      <c r="V472" s="102">
        <f t="shared" si="671"/>
        <v>2013</v>
      </c>
      <c r="W472" s="102">
        <f t="shared" si="671"/>
        <v>2014</v>
      </c>
      <c r="X472" s="102"/>
      <c r="Y472" s="1706"/>
      <c r="Z472" s="1706">
        <f t="shared" ref="Z472:AK472" si="672">Z4</f>
        <v>2015</v>
      </c>
      <c r="AA472" s="1706">
        <f t="shared" si="672"/>
        <v>2016</v>
      </c>
      <c r="AB472" s="1706"/>
      <c r="AC472" s="1706" t="str">
        <f t="shared" si="672"/>
        <v>2017E</v>
      </c>
      <c r="AD472" s="138" t="str">
        <f t="shared" si="672"/>
        <v>2018E</v>
      </c>
      <c r="AE472" s="138" t="str">
        <f t="shared" si="672"/>
        <v>2019E</v>
      </c>
      <c r="AF472" s="138" t="str">
        <f t="shared" si="672"/>
        <v>2020E</v>
      </c>
      <c r="AG472" s="138" t="str">
        <f t="shared" si="672"/>
        <v>2021E</v>
      </c>
      <c r="AH472" s="138" t="str">
        <f t="shared" si="672"/>
        <v>2022E</v>
      </c>
      <c r="AI472" s="138" t="str">
        <f t="shared" si="672"/>
        <v>2023E</v>
      </c>
      <c r="AJ472" s="138" t="str">
        <f t="shared" si="672"/>
        <v>2024E</v>
      </c>
      <c r="AK472" s="138" t="str">
        <f t="shared" si="672"/>
        <v>2025E</v>
      </c>
      <c r="AL472" s="1706" t="str">
        <f t="shared" ref="AL472:AN473" si="673">AL4</f>
        <v>2026E</v>
      </c>
      <c r="AM472" s="1706" t="str">
        <f t="shared" si="673"/>
        <v>2027E</v>
      </c>
      <c r="AN472" s="1706" t="str">
        <f t="shared" si="673"/>
        <v>2028E</v>
      </c>
      <c r="AO472" s="164"/>
      <c r="AP472" s="164"/>
      <c r="AQ472" s="164"/>
      <c r="AR472" s="164"/>
      <c r="AS472" s="164"/>
      <c r="AT472" s="164"/>
      <c r="AU472" s="95"/>
      <c r="AV472" s="4"/>
      <c r="AW472" s="89"/>
      <c r="AX472" s="89"/>
      <c r="AY472" s="89"/>
      <c r="AZ472" s="89"/>
      <c r="BA472" s="89"/>
      <c r="BB472" s="89"/>
      <c r="BC472" s="89"/>
      <c r="BD472" s="89"/>
      <c r="BE472" s="89"/>
      <c r="BF472" s="89"/>
      <c r="BG472" s="89"/>
      <c r="BH472" s="98"/>
      <c r="BI472" s="89"/>
      <c r="BJ472" s="89"/>
      <c r="BK472" s="89"/>
      <c r="BL472" s="89"/>
      <c r="BM472" s="89"/>
      <c r="BN472" s="89"/>
      <c r="BO472" s="89"/>
      <c r="BP472" s="89"/>
      <c r="BQ472" s="89"/>
      <c r="BR472" s="89"/>
      <c r="BS472" s="89"/>
      <c r="BT472" s="89"/>
      <c r="BU472" s="89"/>
      <c r="BV472" s="89"/>
      <c r="BW472" s="89"/>
      <c r="BX472" s="89"/>
      <c r="BY472" s="89"/>
      <c r="BZ472" s="89"/>
      <c r="CA472" s="89"/>
      <c r="CB472" s="89"/>
      <c r="CC472" s="89"/>
      <c r="CD472" s="89"/>
      <c r="CE472" s="89"/>
      <c r="CF472" s="89"/>
      <c r="CG472" s="89"/>
      <c r="CH472" s="89"/>
      <c r="CI472" s="89"/>
      <c r="CJ472" s="89"/>
      <c r="CK472" s="89"/>
      <c r="CL472" s="89"/>
      <c r="CM472" s="89"/>
      <c r="CN472" s="89"/>
      <c r="CO472" s="98"/>
      <c r="CP472" s="98"/>
      <c r="CQ472" s="98"/>
      <c r="CR472" s="98"/>
      <c r="CS472" s="98"/>
      <c r="CT472" s="1247"/>
      <c r="CU472" s="1247"/>
      <c r="CV472" s="1247"/>
      <c r="CW472" s="98"/>
      <c r="CX472" s="98"/>
      <c r="CY472" s="1247"/>
      <c r="CZ472" s="1247"/>
      <c r="DA472" s="1247"/>
      <c r="DB472" s="98"/>
      <c r="DC472" s="2925"/>
      <c r="DD472" s="98"/>
      <c r="DE472" s="98"/>
      <c r="DF472" s="98"/>
      <c r="DG472" s="98"/>
      <c r="DH472" s="98"/>
      <c r="DI472" s="98"/>
      <c r="DJ472" s="98"/>
      <c r="DK472" s="98"/>
      <c r="DL472" s="98"/>
      <c r="DM472" s="98"/>
      <c r="DN472" s="98"/>
      <c r="DO472" s="98"/>
      <c r="DP472" s="98"/>
      <c r="DQ472" s="98"/>
      <c r="DR472" s="98"/>
    </row>
    <row r="473" spans="1:122">
      <c r="A473" s="6" t="s">
        <v>675</v>
      </c>
      <c r="B473" s="4"/>
      <c r="C473" s="4"/>
      <c r="D473" s="4"/>
      <c r="E473" s="4"/>
      <c r="F473" s="4"/>
      <c r="G473" s="4"/>
      <c r="H473" s="4">
        <f t="shared" si="670"/>
        <v>13163.4</v>
      </c>
      <c r="I473" s="842">
        <f t="shared" si="670"/>
        <v>13554.5</v>
      </c>
      <c r="J473" s="842">
        <f t="shared" si="670"/>
        <v>14547.3</v>
      </c>
      <c r="K473" s="842">
        <f t="shared" si="670"/>
        <v>14536.4</v>
      </c>
      <c r="L473" s="842">
        <f t="shared" si="670"/>
        <v>14320.2</v>
      </c>
      <c r="M473" s="842">
        <f t="shared" si="670"/>
        <v>14072.9</v>
      </c>
      <c r="N473" s="842">
        <f t="shared" si="670"/>
        <v>13950.4</v>
      </c>
      <c r="O473" s="919"/>
      <c r="P473" s="842"/>
      <c r="Q473" s="842"/>
      <c r="R473" s="842">
        <f t="shared" si="671"/>
        <v>13014.6</v>
      </c>
      <c r="S473" s="842">
        <f t="shared" si="671"/>
        <v>14059.8</v>
      </c>
      <c r="T473" s="842">
        <f t="shared" si="671"/>
        <v>13637</v>
      </c>
      <c r="U473" s="842">
        <f t="shared" si="671"/>
        <v>14077.599999999999</v>
      </c>
      <c r="V473" s="842">
        <f t="shared" si="671"/>
        <v>15284</v>
      </c>
      <c r="W473" s="842">
        <f t="shared" si="671"/>
        <v>13805.999999999998</v>
      </c>
      <c r="X473" s="842"/>
      <c r="Y473" s="1559"/>
      <c r="Z473" s="1559">
        <f t="shared" ref="Z473:AK473" si="674">Z5</f>
        <v>13885.999999999998</v>
      </c>
      <c r="AA473" s="1559">
        <f t="shared" si="674"/>
        <v>14386</v>
      </c>
      <c r="AB473" s="1559"/>
      <c r="AC473" s="1559">
        <f t="shared" si="674"/>
        <v>13557.901091990381</v>
      </c>
      <c r="AD473" s="842">
        <f t="shared" si="674"/>
        <v>14424.309304162609</v>
      </c>
      <c r="AE473" s="842">
        <f t="shared" si="674"/>
        <v>15473.36303284608</v>
      </c>
      <c r="AF473" s="842">
        <f t="shared" si="674"/>
        <v>15875.983851960162</v>
      </c>
      <c r="AG473" s="842">
        <f t="shared" si="674"/>
        <v>16457.705564037435</v>
      </c>
      <c r="AH473" s="842">
        <f t="shared" si="674"/>
        <v>17531.302010185573</v>
      </c>
      <c r="AI473" s="842">
        <f t="shared" si="674"/>
        <v>17428.907276255912</v>
      </c>
      <c r="AJ473" s="842">
        <f t="shared" si="674"/>
        <v>17956.783026838613</v>
      </c>
      <c r="AK473" s="842">
        <f t="shared" si="674"/>
        <v>18919.168851530747</v>
      </c>
      <c r="AL473" s="1559">
        <f t="shared" si="673"/>
        <v>18754.799778234839</v>
      </c>
      <c r="AM473" s="1559">
        <f t="shared" si="673"/>
        <v>19138.663204395809</v>
      </c>
      <c r="AN473" s="1559">
        <f t="shared" si="673"/>
        <v>20381.079605438248</v>
      </c>
      <c r="AO473" s="842"/>
      <c r="AP473" s="842"/>
      <c r="AQ473" s="842"/>
      <c r="AR473" s="842"/>
      <c r="AS473" s="842"/>
      <c r="AT473" s="95"/>
      <c r="AU473" s="95"/>
      <c r="AV473" s="4"/>
      <c r="AW473" s="89"/>
      <c r="AX473" s="89"/>
      <c r="AY473" s="89"/>
      <c r="AZ473" s="89"/>
      <c r="BA473" s="89"/>
      <c r="BB473" s="89"/>
      <c r="BC473" s="89"/>
      <c r="BD473" s="89"/>
      <c r="BE473" s="89"/>
      <c r="BF473" s="89"/>
      <c r="BG473" s="89"/>
      <c r="BH473" s="98"/>
      <c r="BI473" s="89"/>
      <c r="BJ473" s="89"/>
      <c r="BK473" s="89"/>
      <c r="BL473" s="89"/>
      <c r="BM473" s="89"/>
      <c r="BN473" s="89"/>
      <c r="BO473" s="89"/>
      <c r="BP473" s="89"/>
      <c r="BQ473" s="89"/>
      <c r="BR473" s="89"/>
      <c r="BS473" s="89"/>
      <c r="BT473" s="89"/>
      <c r="BU473" s="89"/>
      <c r="BV473" s="89"/>
      <c r="BW473" s="89"/>
      <c r="BX473" s="89"/>
      <c r="BY473" s="89"/>
      <c r="BZ473" s="89"/>
      <c r="CA473" s="89"/>
      <c r="CB473" s="89"/>
      <c r="CC473" s="89"/>
      <c r="CD473" s="89"/>
      <c r="CE473" s="89"/>
      <c r="CF473" s="89"/>
      <c r="CG473" s="89"/>
      <c r="CH473" s="89"/>
      <c r="CI473" s="89"/>
      <c r="CJ473" s="89"/>
      <c r="CK473" s="89"/>
      <c r="CL473" s="89"/>
      <c r="CM473" s="89"/>
      <c r="CN473" s="89"/>
      <c r="CO473" s="98"/>
      <c r="CP473" s="98"/>
      <c r="CQ473" s="98"/>
      <c r="CR473" s="98"/>
      <c r="CS473" s="98"/>
      <c r="CT473" s="1247"/>
      <c r="CU473" s="1247"/>
      <c r="CV473" s="1247"/>
      <c r="CW473" s="98"/>
      <c r="CX473" s="98"/>
      <c r="CY473" s="1247"/>
      <c r="CZ473" s="1247"/>
      <c r="DA473" s="1247"/>
      <c r="DB473" s="98"/>
      <c r="DC473" s="2925"/>
      <c r="DD473" s="98"/>
      <c r="DE473" s="98"/>
      <c r="DF473" s="98"/>
      <c r="DG473" s="98"/>
      <c r="DH473" s="98"/>
      <c r="DI473" s="98"/>
      <c r="DJ473" s="98"/>
      <c r="DK473" s="98"/>
      <c r="DL473" s="98"/>
      <c r="DM473" s="98"/>
      <c r="DN473" s="98"/>
      <c r="DO473" s="98"/>
      <c r="DP473" s="98"/>
      <c r="DQ473" s="98"/>
      <c r="DR473" s="98"/>
    </row>
    <row r="474" spans="1:122">
      <c r="A474" s="6" t="s">
        <v>438</v>
      </c>
      <c r="B474" s="4"/>
      <c r="C474" s="4"/>
      <c r="D474" s="4"/>
      <c r="E474" s="4"/>
      <c r="F474" s="4"/>
      <c r="G474" s="4"/>
      <c r="H474" s="4">
        <f t="shared" ref="H474:N475" si="675">H7</f>
        <v>7777.5</v>
      </c>
      <c r="I474" s="192">
        <f t="shared" si="675"/>
        <v>8165.4000000000015</v>
      </c>
      <c r="J474" s="192">
        <f t="shared" si="675"/>
        <v>8671.0999999999985</v>
      </c>
      <c r="K474" s="192">
        <f t="shared" si="675"/>
        <v>8653.7999999999975</v>
      </c>
      <c r="L474" s="192">
        <f t="shared" si="675"/>
        <v>8360.5000000000018</v>
      </c>
      <c r="M474" s="192">
        <f t="shared" si="675"/>
        <v>8003.543999999999</v>
      </c>
      <c r="N474" s="192">
        <f t="shared" si="675"/>
        <v>8514.6999999999989</v>
      </c>
      <c r="O474" s="919"/>
      <c r="P474" s="192"/>
      <c r="Q474" s="192"/>
      <c r="R474" s="192">
        <f t="shared" ref="R474:W475" si="676">R7</f>
        <v>8397.2999999999993</v>
      </c>
      <c r="S474" s="192">
        <f t="shared" si="676"/>
        <v>8665.4239999999972</v>
      </c>
      <c r="T474" s="192">
        <f t="shared" si="676"/>
        <v>7337.0223999999998</v>
      </c>
      <c r="U474" s="192">
        <f t="shared" si="676"/>
        <v>7307.8232959999987</v>
      </c>
      <c r="V474" s="192">
        <f t="shared" si="676"/>
        <v>7980.992227839999</v>
      </c>
      <c r="W474" s="192">
        <f t="shared" si="676"/>
        <v>7665.9999999999982</v>
      </c>
      <c r="X474" s="192"/>
      <c r="Y474" s="1368"/>
      <c r="Z474" s="1368">
        <f t="shared" ref="Z474:AK474" si="677">Z7</f>
        <v>7904.9999999999982</v>
      </c>
      <c r="AA474" s="1368">
        <f t="shared" si="677"/>
        <v>7851.4</v>
      </c>
      <c r="AB474" s="1368"/>
      <c r="AC474" s="1368">
        <f t="shared" si="677"/>
        <v>7826.8240929655822</v>
      </c>
      <c r="AD474" s="192">
        <f t="shared" si="677"/>
        <v>8365.8356127004608</v>
      </c>
      <c r="AE474" s="192">
        <f t="shared" si="677"/>
        <v>9124.574080170958</v>
      </c>
      <c r="AF474" s="192">
        <f t="shared" si="677"/>
        <v>9066.6422971702141</v>
      </c>
      <c r="AG474" s="192">
        <f t="shared" si="677"/>
        <v>9423.7762502681417</v>
      </c>
      <c r="AH474" s="192">
        <f t="shared" si="677"/>
        <v>10126.174284387136</v>
      </c>
      <c r="AI474" s="192">
        <f t="shared" si="677"/>
        <v>10083.072566026764</v>
      </c>
      <c r="AJ474" s="192">
        <f t="shared" si="677"/>
        <v>10380.33531955404</v>
      </c>
      <c r="AK474" s="192">
        <f t="shared" si="677"/>
        <v>11204.876244480753</v>
      </c>
      <c r="AL474" s="1368">
        <f t="shared" ref="AL474:AN475" si="678">AL7</f>
        <v>10961.523457390504</v>
      </c>
      <c r="AM474" s="1368">
        <f t="shared" si="678"/>
        <v>11251.589316796526</v>
      </c>
      <c r="AN474" s="1368">
        <f t="shared" si="678"/>
        <v>12146.770141543033</v>
      </c>
      <c r="AO474" s="192"/>
      <c r="AP474" s="192"/>
      <c r="AQ474" s="192"/>
      <c r="AR474" s="192"/>
      <c r="AS474" s="192"/>
      <c r="AT474" s="95"/>
      <c r="AU474" s="95"/>
      <c r="AV474" s="4"/>
      <c r="AW474" s="89"/>
      <c r="AX474" s="89"/>
      <c r="AY474" s="89"/>
      <c r="AZ474" s="89"/>
      <c r="BA474" s="89"/>
      <c r="BB474" s="89"/>
      <c r="BC474" s="89"/>
      <c r="BD474" s="89"/>
      <c r="BE474" s="89"/>
      <c r="BF474" s="89"/>
      <c r="BG474" s="89"/>
      <c r="BH474" s="98"/>
      <c r="BI474" s="89"/>
      <c r="BJ474" s="89"/>
      <c r="BK474" s="89"/>
      <c r="BL474" s="89"/>
      <c r="BM474" s="89"/>
      <c r="BN474" s="89"/>
      <c r="BO474" s="89"/>
      <c r="BP474" s="89"/>
      <c r="BQ474" s="89"/>
      <c r="BR474" s="89"/>
      <c r="BS474" s="89"/>
      <c r="BT474" s="89"/>
      <c r="BU474" s="89"/>
      <c r="BV474" s="89"/>
      <c r="BW474" s="89"/>
      <c r="BX474" s="89"/>
      <c r="BY474" s="89"/>
      <c r="BZ474" s="89"/>
      <c r="CA474" s="89"/>
      <c r="CB474" s="89"/>
      <c r="CC474" s="89"/>
      <c r="CD474" s="89"/>
      <c r="CE474" s="89"/>
      <c r="CF474" s="89"/>
      <c r="CG474" s="89"/>
      <c r="CH474" s="89"/>
      <c r="CI474" s="89"/>
      <c r="CJ474" s="89"/>
      <c r="CK474" s="89"/>
      <c r="CL474" s="89"/>
      <c r="CM474" s="89"/>
      <c r="CN474" s="89"/>
      <c r="CO474" s="98"/>
      <c r="CP474" s="98"/>
      <c r="CQ474" s="98"/>
      <c r="CR474" s="98"/>
      <c r="CS474" s="98"/>
      <c r="CT474" s="1247"/>
      <c r="CU474" s="1247"/>
      <c r="CV474" s="1247"/>
      <c r="CW474" s="98"/>
      <c r="CX474" s="98"/>
      <c r="CY474" s="1247"/>
      <c r="CZ474" s="1247"/>
      <c r="DA474" s="1247"/>
      <c r="DB474" s="98"/>
      <c r="DC474" s="2925"/>
      <c r="DD474" s="98"/>
      <c r="DE474" s="98"/>
      <c r="DF474" s="98"/>
      <c r="DG474" s="98"/>
      <c r="DH474" s="98"/>
      <c r="DI474" s="98"/>
      <c r="DJ474" s="98"/>
      <c r="DK474" s="98"/>
      <c r="DL474" s="98"/>
      <c r="DM474" s="98"/>
      <c r="DN474" s="98"/>
      <c r="DO474" s="98"/>
      <c r="DP474" s="98"/>
      <c r="DQ474" s="98"/>
      <c r="DR474" s="98"/>
    </row>
    <row r="475" spans="1:122">
      <c r="A475" s="6" t="s">
        <v>439</v>
      </c>
      <c r="B475" s="4"/>
      <c r="C475" s="4"/>
      <c r="D475" s="4"/>
      <c r="E475" s="4"/>
      <c r="F475" s="4"/>
      <c r="G475" s="4"/>
      <c r="H475" s="4">
        <f t="shared" si="675"/>
        <v>2272.4</v>
      </c>
      <c r="I475" s="192">
        <f t="shared" si="675"/>
        <v>2304.7999999999997</v>
      </c>
      <c r="J475" s="192">
        <f t="shared" si="675"/>
        <v>2455.8000000000002</v>
      </c>
      <c r="K475" s="192">
        <f t="shared" si="675"/>
        <v>2550.7000000000003</v>
      </c>
      <c r="L475" s="192">
        <f t="shared" si="675"/>
        <v>2621.4</v>
      </c>
      <c r="M475" s="192">
        <f t="shared" si="675"/>
        <v>2726.2560000000003</v>
      </c>
      <c r="N475" s="192">
        <f t="shared" si="675"/>
        <v>2462.5</v>
      </c>
      <c r="O475" s="919"/>
      <c r="P475" s="192"/>
      <c r="Q475" s="192"/>
      <c r="R475" s="192">
        <f t="shared" si="676"/>
        <v>2561</v>
      </c>
      <c r="S475" s="192">
        <f t="shared" si="676"/>
        <v>2663.44</v>
      </c>
      <c r="T475" s="192">
        <f t="shared" si="676"/>
        <v>2769.9776000000002</v>
      </c>
      <c r="U475" s="192">
        <f t="shared" si="676"/>
        <v>2880.7767040000003</v>
      </c>
      <c r="V475" s="192">
        <f t="shared" si="676"/>
        <v>2996.0077721600005</v>
      </c>
      <c r="W475" s="192">
        <f t="shared" si="676"/>
        <v>2462</v>
      </c>
      <c r="X475" s="192"/>
      <c r="Y475" s="1368"/>
      <c r="Z475" s="1368">
        <f t="shared" ref="Z475:AK475" si="679">Z8</f>
        <v>2455</v>
      </c>
      <c r="AA475" s="1368">
        <f t="shared" si="679"/>
        <v>2621</v>
      </c>
      <c r="AB475" s="1368"/>
      <c r="AC475" s="1368">
        <f t="shared" si="679"/>
        <v>2198.6</v>
      </c>
      <c r="AD475" s="192">
        <f t="shared" si="679"/>
        <v>2286.5439999999999</v>
      </c>
      <c r="AE475" s="192">
        <f t="shared" si="679"/>
        <v>2378.00576</v>
      </c>
      <c r="AF475" s="192">
        <f t="shared" si="679"/>
        <v>2473.1259904000003</v>
      </c>
      <c r="AG475" s="192">
        <f t="shared" si="679"/>
        <v>2572.0510300160004</v>
      </c>
      <c r="AH475" s="192">
        <f t="shared" si="679"/>
        <v>2674.9330712166407</v>
      </c>
      <c r="AI475" s="192">
        <f t="shared" si="679"/>
        <v>2781.9303940653062</v>
      </c>
      <c r="AJ475" s="192">
        <f t="shared" si="679"/>
        <v>2893.2076098279185</v>
      </c>
      <c r="AK475" s="192">
        <f t="shared" si="679"/>
        <v>3008.9359142210355</v>
      </c>
      <c r="AL475" s="1368">
        <f t="shared" si="678"/>
        <v>3129.293350789877</v>
      </c>
      <c r="AM475" s="1368">
        <f t="shared" si="678"/>
        <v>3254.4650848214724</v>
      </c>
      <c r="AN475" s="1368">
        <f t="shared" si="678"/>
        <v>3384.6436882143312</v>
      </c>
      <c r="AO475" s="192"/>
      <c r="AP475" s="192"/>
      <c r="AQ475" s="192"/>
      <c r="AR475" s="192"/>
      <c r="AS475" s="192"/>
      <c r="AT475" s="95"/>
      <c r="AU475" s="95"/>
      <c r="AV475" s="4"/>
      <c r="AW475" s="89"/>
      <c r="AX475" s="89"/>
      <c r="AY475" s="89"/>
      <c r="AZ475" s="89"/>
      <c r="BA475" s="89"/>
      <c r="BB475" s="89"/>
      <c r="BC475" s="89"/>
      <c r="BD475" s="89"/>
      <c r="BE475" s="89"/>
      <c r="BF475" s="89"/>
      <c r="BG475" s="89"/>
      <c r="BH475" s="98"/>
      <c r="BI475" s="89"/>
      <c r="BJ475" s="89"/>
      <c r="BK475" s="89"/>
      <c r="BL475" s="89"/>
      <c r="BM475" s="89"/>
      <c r="BN475" s="89"/>
      <c r="BO475" s="89"/>
      <c r="BP475" s="89"/>
      <c r="BQ475" s="89"/>
      <c r="BR475" s="89"/>
      <c r="BS475" s="89"/>
      <c r="BT475" s="89"/>
      <c r="BU475" s="89"/>
      <c r="BV475" s="89"/>
      <c r="BW475" s="89"/>
      <c r="BX475" s="89"/>
      <c r="BY475" s="89"/>
      <c r="BZ475" s="89"/>
      <c r="CA475" s="89"/>
      <c r="CB475" s="89"/>
      <c r="CC475" s="89"/>
      <c r="CD475" s="89"/>
      <c r="CE475" s="89"/>
      <c r="CF475" s="89"/>
      <c r="CG475" s="89"/>
      <c r="CH475" s="89"/>
      <c r="CI475" s="89"/>
      <c r="CJ475" s="89"/>
      <c r="CK475" s="89"/>
      <c r="CL475" s="89"/>
      <c r="CM475" s="89"/>
      <c r="CN475" s="89"/>
      <c r="CO475" s="98"/>
      <c r="CP475" s="98"/>
      <c r="CQ475" s="98"/>
      <c r="CR475" s="98"/>
      <c r="CS475" s="98"/>
      <c r="CT475" s="1247"/>
      <c r="CU475" s="1247"/>
      <c r="CV475" s="1247"/>
      <c r="CW475" s="98"/>
      <c r="CX475" s="98"/>
      <c r="CY475" s="1247"/>
      <c r="CZ475" s="1247"/>
      <c r="DA475" s="1247"/>
      <c r="DB475" s="98"/>
      <c r="DC475" s="2925"/>
      <c r="DD475" s="98"/>
      <c r="DE475" s="98"/>
      <c r="DF475" s="98"/>
      <c r="DG475" s="98"/>
      <c r="DH475" s="98"/>
      <c r="DI475" s="98"/>
      <c r="DJ475" s="98"/>
      <c r="DK475" s="98"/>
      <c r="DL475" s="98"/>
      <c r="DM475" s="98"/>
      <c r="DN475" s="98"/>
      <c r="DO475" s="98"/>
      <c r="DP475" s="98"/>
      <c r="DQ475" s="98"/>
      <c r="DR475" s="98"/>
    </row>
    <row r="476" spans="1:122">
      <c r="A476" s="6"/>
      <c r="B476" s="210"/>
      <c r="C476" s="210"/>
      <c r="D476" s="210"/>
      <c r="E476" s="210"/>
      <c r="F476" s="210"/>
      <c r="G476" s="210"/>
      <c r="H476" s="210"/>
      <c r="I476" s="210"/>
      <c r="J476" s="89"/>
      <c r="K476" s="89"/>
      <c r="L476" s="211"/>
      <c r="M476" s="6"/>
      <c r="N476" s="6"/>
      <c r="O476" s="919"/>
      <c r="P476" s="6"/>
      <c r="Q476" s="6"/>
      <c r="R476" s="13"/>
      <c r="S476" s="6"/>
      <c r="T476" s="6"/>
      <c r="U476" s="10"/>
      <c r="V476" s="6"/>
      <c r="W476" s="6"/>
      <c r="X476" s="6"/>
      <c r="Y476" s="1108"/>
      <c r="Z476" s="1108"/>
      <c r="AA476" s="1108"/>
      <c r="AB476" s="1108"/>
      <c r="AC476" s="1108"/>
      <c r="AD476" s="6"/>
      <c r="AE476" s="6"/>
      <c r="AF476" s="6"/>
      <c r="AG476" s="6"/>
      <c r="AH476" s="6"/>
      <c r="AI476" s="6"/>
      <c r="AJ476" s="6"/>
      <c r="AK476" s="6"/>
      <c r="AL476" s="1108"/>
      <c r="AM476" s="1108"/>
      <c r="AN476" s="11"/>
      <c r="AO476" s="11"/>
      <c r="AP476" s="11"/>
      <c r="AQ476" s="11"/>
      <c r="AR476" s="11"/>
      <c r="AS476" s="11"/>
      <c r="AT476" s="11"/>
      <c r="AU476" s="11"/>
      <c r="AV476" s="6"/>
      <c r="AW476" s="89"/>
      <c r="AX476" s="89"/>
      <c r="AY476" s="89"/>
      <c r="AZ476" s="89"/>
      <c r="BA476" s="89"/>
      <c r="BB476" s="89"/>
      <c r="BC476" s="89"/>
      <c r="BD476" s="89"/>
      <c r="BE476" s="89"/>
      <c r="BF476" s="89"/>
      <c r="BG476" s="89"/>
      <c r="BH476" s="98"/>
      <c r="BI476" s="89"/>
      <c r="BJ476" s="89"/>
      <c r="BK476" s="89"/>
      <c r="BL476" s="89"/>
      <c r="BM476" s="89"/>
      <c r="BN476" s="89"/>
      <c r="BO476" s="89"/>
      <c r="BP476" s="89"/>
      <c r="BQ476" s="89"/>
      <c r="BR476" s="89"/>
      <c r="BS476" s="89"/>
      <c r="BT476" s="89"/>
      <c r="BU476" s="89"/>
      <c r="BV476" s="89"/>
      <c r="BW476" s="89"/>
      <c r="BX476" s="89"/>
      <c r="BY476" s="89"/>
      <c r="BZ476" s="89"/>
      <c r="CA476" s="89"/>
      <c r="CB476" s="89"/>
      <c r="CC476" s="89"/>
      <c r="CD476" s="89"/>
      <c r="CE476" s="89"/>
      <c r="CF476" s="89"/>
      <c r="CG476" s="89"/>
      <c r="CH476" s="89"/>
      <c r="CI476" s="89"/>
      <c r="CJ476" s="89"/>
      <c r="CK476" s="89"/>
      <c r="CL476" s="89"/>
      <c r="CM476" s="89"/>
      <c r="CN476" s="89"/>
      <c r="CO476" s="98"/>
      <c r="CP476" s="98"/>
      <c r="CQ476" s="98"/>
      <c r="CR476" s="98"/>
      <c r="CS476" s="98"/>
      <c r="CT476" s="1247"/>
      <c r="CU476" s="1247"/>
      <c r="CV476" s="1247"/>
      <c r="CW476" s="98"/>
      <c r="CX476" s="98"/>
      <c r="CY476" s="1247"/>
      <c r="CZ476" s="1247"/>
      <c r="DA476" s="1247"/>
      <c r="DB476" s="98"/>
      <c r="DC476" s="2925"/>
      <c r="DD476" s="98"/>
      <c r="DE476" s="98"/>
      <c r="DF476" s="98"/>
      <c r="DG476" s="98"/>
      <c r="DH476" s="98"/>
      <c r="DI476" s="98"/>
      <c r="DJ476" s="98"/>
      <c r="DK476" s="98"/>
      <c r="DL476" s="98"/>
      <c r="DM476" s="98"/>
      <c r="DN476" s="98"/>
      <c r="DO476" s="98"/>
      <c r="DP476" s="98"/>
      <c r="DQ476" s="98"/>
      <c r="DR476" s="98"/>
    </row>
    <row r="477" spans="1:122">
      <c r="A477" s="6" t="s">
        <v>1011</v>
      </c>
      <c r="B477" s="210"/>
      <c r="C477" s="210"/>
      <c r="D477" s="210"/>
      <c r="E477" s="210"/>
      <c r="F477" s="210"/>
      <c r="G477" s="210"/>
      <c r="H477" s="210"/>
      <c r="I477" s="842">
        <f>I552</f>
        <v>722.7</v>
      </c>
      <c r="J477" s="842">
        <f t="shared" ref="J477:V477" si="680">J552</f>
        <v>749.7</v>
      </c>
      <c r="K477" s="842">
        <f t="shared" si="680"/>
        <v>976.3</v>
      </c>
      <c r="L477" s="842">
        <f t="shared" si="680"/>
        <v>982.9</v>
      </c>
      <c r="M477" s="842">
        <f t="shared" si="680"/>
        <v>971.9</v>
      </c>
      <c r="N477" s="842">
        <f t="shared" si="680"/>
        <v>1027.3</v>
      </c>
      <c r="O477" s="919"/>
      <c r="P477" s="842"/>
      <c r="Q477" s="842"/>
      <c r="R477" s="842">
        <f t="shared" si="680"/>
        <v>1085</v>
      </c>
      <c r="S477" s="842">
        <f t="shared" si="680"/>
        <v>725.4</v>
      </c>
      <c r="T477" s="842">
        <f t="shared" si="680"/>
        <v>735</v>
      </c>
      <c r="U477" s="842">
        <f t="shared" si="680"/>
        <v>859</v>
      </c>
      <c r="V477" s="842">
        <f t="shared" si="680"/>
        <v>772</v>
      </c>
      <c r="W477" s="1559">
        <f>W552</f>
        <v>922</v>
      </c>
      <c r="X477" s="1559"/>
      <c r="Y477" s="1559"/>
      <c r="Z477" s="1559">
        <f>Z552</f>
        <v>1270</v>
      </c>
      <c r="AA477" s="1559">
        <f>AA552</f>
        <v>1427</v>
      </c>
      <c r="AB477" s="1559"/>
      <c r="AC477" s="1559">
        <f t="shared" ref="AC477:AH477" si="681">AC552</f>
        <v>1342.5927518851711</v>
      </c>
      <c r="AD477" s="842">
        <f t="shared" si="681"/>
        <v>1495.2410826483963</v>
      </c>
      <c r="AE477" s="842">
        <f t="shared" si="681"/>
        <v>1617.6604360790175</v>
      </c>
      <c r="AF477" s="842">
        <f t="shared" si="681"/>
        <v>1765.8318908497577</v>
      </c>
      <c r="AG477" s="842">
        <f t="shared" si="681"/>
        <v>1902.3499432474466</v>
      </c>
      <c r="AH477" s="842">
        <f t="shared" si="681"/>
        <v>2103.2134078032332</v>
      </c>
      <c r="AI477" s="842">
        <f t="shared" ref="AI477:AN477" si="682">AI552</f>
        <v>2270.3327024525252</v>
      </c>
      <c r="AJ477" s="842">
        <f t="shared" si="682"/>
        <v>2492.8172622178454</v>
      </c>
      <c r="AK477" s="842">
        <f t="shared" si="682"/>
        <v>2682.648182118055</v>
      </c>
      <c r="AL477" s="1559">
        <f t="shared" si="682"/>
        <v>2901.0078068378061</v>
      </c>
      <c r="AM477" s="1559">
        <f t="shared" si="682"/>
        <v>3117.8620162198818</v>
      </c>
      <c r="AN477" s="1559">
        <f t="shared" si="682"/>
        <v>3500.0663352871811</v>
      </c>
      <c r="AO477" s="842"/>
      <c r="AP477" s="842"/>
      <c r="AQ477" s="842"/>
      <c r="AR477" s="842"/>
      <c r="AS477" s="842"/>
      <c r="AT477" s="211"/>
      <c r="AU477" s="11"/>
      <c r="AV477" s="6"/>
      <c r="AW477" s="89"/>
      <c r="AX477" s="89"/>
      <c r="AY477" s="89"/>
      <c r="AZ477" s="89"/>
      <c r="BA477" s="89"/>
      <c r="BB477" s="89"/>
      <c r="BC477" s="89"/>
      <c r="BD477" s="89"/>
      <c r="BE477" s="89"/>
      <c r="BF477" s="89"/>
      <c r="BG477" s="89"/>
      <c r="BH477" s="98"/>
      <c r="BI477" s="89"/>
      <c r="BJ477" s="89"/>
      <c r="BK477" s="89"/>
      <c r="BL477" s="89"/>
      <c r="BM477" s="89"/>
      <c r="BN477" s="89"/>
      <c r="BO477" s="89"/>
      <c r="BP477" s="89"/>
      <c r="BQ477" s="89"/>
      <c r="BR477" s="89"/>
      <c r="BS477" s="89"/>
      <c r="BT477" s="89"/>
      <c r="BU477" s="89"/>
      <c r="BV477" s="89"/>
      <c r="BW477" s="89"/>
      <c r="BX477" s="89"/>
      <c r="BY477" s="89"/>
      <c r="BZ477" s="89"/>
      <c r="CA477" s="89"/>
      <c r="CB477" s="89"/>
      <c r="CC477" s="89"/>
      <c r="CD477" s="89"/>
      <c r="CE477" s="89"/>
      <c r="CF477" s="89"/>
      <c r="CG477" s="89"/>
      <c r="CH477" s="89"/>
      <c r="CI477" s="89"/>
      <c r="CJ477" s="89"/>
      <c r="CK477" s="89"/>
      <c r="CL477" s="89"/>
      <c r="CM477" s="89"/>
      <c r="CN477" s="89"/>
      <c r="CO477" s="98"/>
      <c r="CP477" s="98"/>
      <c r="CQ477" s="98"/>
      <c r="CR477" s="98"/>
      <c r="CS477" s="98"/>
      <c r="CT477" s="1247"/>
      <c r="CU477" s="1247"/>
      <c r="CV477" s="1247"/>
      <c r="CW477" s="98"/>
      <c r="CX477" s="98"/>
      <c r="CY477" s="1247"/>
      <c r="CZ477" s="1247"/>
      <c r="DA477" s="1247"/>
      <c r="DB477" s="98"/>
      <c r="DC477" s="2925"/>
      <c r="DD477" s="98"/>
      <c r="DE477" s="98"/>
      <c r="DF477" s="98"/>
      <c r="DG477" s="98"/>
      <c r="DH477" s="98"/>
      <c r="DI477" s="98"/>
      <c r="DJ477" s="98"/>
      <c r="DK477" s="98"/>
      <c r="DL477" s="98"/>
      <c r="DM477" s="98"/>
      <c r="DN477" s="98"/>
      <c r="DO477" s="98"/>
      <c r="DP477" s="98"/>
      <c r="DQ477" s="98"/>
      <c r="DR477" s="98"/>
    </row>
    <row r="478" spans="1:122">
      <c r="A478" s="121" t="s">
        <v>440</v>
      </c>
      <c r="B478" s="210"/>
      <c r="C478" s="210"/>
      <c r="D478" s="210"/>
      <c r="E478" s="210"/>
      <c r="F478" s="210"/>
      <c r="G478" s="210"/>
      <c r="H478" s="210"/>
      <c r="I478" s="38">
        <f>I477/I473</f>
        <v>5.3318086244420679E-2</v>
      </c>
      <c r="J478" s="38">
        <f t="shared" ref="J478:V478" si="683">J477/J473</f>
        <v>5.1535336454187383E-2</v>
      </c>
      <c r="K478" s="38">
        <f t="shared" si="683"/>
        <v>6.7162433614925285E-2</v>
      </c>
      <c r="L478" s="39">
        <f t="shared" si="683"/>
        <v>6.8637309534783031E-2</v>
      </c>
      <c r="M478" s="38">
        <f t="shared" si="683"/>
        <v>6.906181384078619E-2</v>
      </c>
      <c r="N478" s="38">
        <f t="shared" si="683"/>
        <v>7.3639465535038418E-2</v>
      </c>
      <c r="O478" s="919"/>
      <c r="P478" s="38"/>
      <c r="Q478" s="38"/>
      <c r="R478" s="38">
        <f t="shared" si="683"/>
        <v>8.3367909885820532E-2</v>
      </c>
      <c r="S478" s="38">
        <f t="shared" si="683"/>
        <v>5.1593906029957753E-2</v>
      </c>
      <c r="T478" s="38">
        <f t="shared" si="683"/>
        <v>5.3897484784043409E-2</v>
      </c>
      <c r="U478" s="38">
        <f t="shared" si="683"/>
        <v>6.1018923680172761E-2</v>
      </c>
      <c r="V478" s="38">
        <f t="shared" si="683"/>
        <v>5.0510337607956035E-2</v>
      </c>
      <c r="W478" s="1110">
        <f t="shared" ref="W478:AH478" si="684">W477/W473</f>
        <v>6.6782558307982048E-2</v>
      </c>
      <c r="X478" s="1110"/>
      <c r="Y478" s="1110"/>
      <c r="Z478" s="1110">
        <f t="shared" si="684"/>
        <v>9.14590234768832E-2</v>
      </c>
      <c r="AA478" s="1110">
        <f t="shared" si="684"/>
        <v>9.919366050326707E-2</v>
      </c>
      <c r="AB478" s="1110"/>
      <c r="AC478" s="1110">
        <f>AC477/AC473</f>
        <v>9.9026592890424342E-2</v>
      </c>
      <c r="AD478" s="39">
        <f t="shared" si="684"/>
        <v>0.10366119105730041</v>
      </c>
      <c r="AE478" s="39">
        <f t="shared" si="684"/>
        <v>0.1045448512159334</v>
      </c>
      <c r="AF478" s="39">
        <f t="shared" si="684"/>
        <v>0.11122661167432062</v>
      </c>
      <c r="AG478" s="39">
        <f t="shared" si="684"/>
        <v>0.1155902282882231</v>
      </c>
      <c r="AH478" s="39">
        <f t="shared" si="684"/>
        <v>0.11996903633177272</v>
      </c>
      <c r="AI478" s="39">
        <f t="shared" ref="AI478:AN478" si="685">AI477/AI473</f>
        <v>0.13026248097294596</v>
      </c>
      <c r="AJ478" s="39">
        <f t="shared" si="685"/>
        <v>0.13882315437525888</v>
      </c>
      <c r="AK478" s="39">
        <f t="shared" si="685"/>
        <v>0.14179524497985557</v>
      </c>
      <c r="AL478" s="1110">
        <f t="shared" si="685"/>
        <v>0.15468081990427107</v>
      </c>
      <c r="AM478" s="1110">
        <f t="shared" si="685"/>
        <v>0.16290908006071</v>
      </c>
      <c r="AN478" s="1110">
        <f t="shared" si="685"/>
        <v>0.17173115473005976</v>
      </c>
      <c r="AO478" s="39"/>
      <c r="AP478" s="39"/>
      <c r="AQ478" s="39"/>
      <c r="AR478" s="39"/>
      <c r="AS478" s="39"/>
      <c r="AT478" s="39"/>
      <c r="AU478" s="11"/>
      <c r="AV478" s="6"/>
      <c r="AW478" s="89"/>
      <c r="AX478" s="89"/>
      <c r="AY478" s="89"/>
      <c r="AZ478" s="89"/>
      <c r="BA478" s="89"/>
      <c r="BB478" s="89"/>
      <c r="BC478" s="89"/>
      <c r="BD478" s="89"/>
      <c r="BE478" s="89"/>
      <c r="BF478" s="89"/>
      <c r="BG478" s="89"/>
      <c r="BH478" s="98"/>
      <c r="BI478" s="89"/>
      <c r="BJ478" s="89"/>
      <c r="BK478" s="89"/>
      <c r="BL478" s="89"/>
      <c r="BM478" s="89"/>
      <c r="BN478" s="89"/>
      <c r="BO478" s="89"/>
      <c r="BP478" s="89"/>
      <c r="BQ478" s="89"/>
      <c r="BR478" s="89"/>
      <c r="BS478" s="89"/>
      <c r="BT478" s="89"/>
      <c r="BU478" s="89"/>
      <c r="BV478" s="89"/>
      <c r="BW478" s="89"/>
      <c r="BX478" s="89"/>
      <c r="BY478" s="89"/>
      <c r="BZ478" s="89"/>
      <c r="CA478" s="89"/>
      <c r="CB478" s="89"/>
      <c r="CC478" s="89"/>
      <c r="CD478" s="89"/>
      <c r="CE478" s="89"/>
      <c r="CF478" s="89"/>
      <c r="CG478" s="89"/>
      <c r="CH478" s="89"/>
      <c r="CI478" s="89"/>
      <c r="CJ478" s="89"/>
      <c r="CK478" s="89"/>
      <c r="CL478" s="89"/>
      <c r="CM478" s="89"/>
      <c r="CN478" s="89"/>
      <c r="CO478" s="98"/>
      <c r="CP478" s="98"/>
      <c r="CQ478" s="98"/>
      <c r="CR478" s="98"/>
      <c r="CS478" s="98"/>
      <c r="CT478" s="1247"/>
      <c r="CU478" s="1247"/>
      <c r="CV478" s="1247"/>
      <c r="CW478" s="98"/>
      <c r="CX478" s="98"/>
      <c r="CY478" s="1247"/>
      <c r="CZ478" s="1247"/>
      <c r="DA478" s="1247"/>
      <c r="DB478" s="98"/>
      <c r="DC478" s="2925"/>
      <c r="DD478" s="98"/>
      <c r="DE478" s="98"/>
      <c r="DF478" s="98"/>
      <c r="DG478" s="98"/>
      <c r="DH478" s="98"/>
      <c r="DI478" s="98"/>
      <c r="DJ478" s="98"/>
      <c r="DK478" s="98"/>
      <c r="DL478" s="98"/>
      <c r="DM478" s="98"/>
      <c r="DN478" s="98"/>
      <c r="DO478" s="98"/>
      <c r="DP478" s="98"/>
      <c r="DQ478" s="98"/>
      <c r="DR478" s="98"/>
    </row>
    <row r="479" spans="1:122">
      <c r="A479" s="121" t="s">
        <v>583</v>
      </c>
      <c r="B479" s="123"/>
      <c r="C479" s="123"/>
      <c r="D479" s="123"/>
      <c r="E479" s="123"/>
      <c r="F479" s="123"/>
      <c r="G479" s="123"/>
      <c r="H479" s="123"/>
      <c r="I479" s="192">
        <f t="shared" ref="I479:N479" si="686">I187</f>
        <v>2741.25</v>
      </c>
      <c r="J479" s="192">
        <f t="shared" si="686"/>
        <v>2476.5</v>
      </c>
      <c r="K479" s="192">
        <f t="shared" si="686"/>
        <v>2733.2</v>
      </c>
      <c r="L479" s="192">
        <f t="shared" si="686"/>
        <v>2824</v>
      </c>
      <c r="M479" s="192">
        <f t="shared" si="686"/>
        <v>2678</v>
      </c>
      <c r="N479" s="192">
        <f t="shared" si="686"/>
        <v>2749.9</v>
      </c>
      <c r="O479" s="919"/>
      <c r="P479" s="192"/>
      <c r="Q479" s="192"/>
      <c r="R479" s="192">
        <f t="shared" ref="R479:W479" si="687">R187</f>
        <v>2900.2</v>
      </c>
      <c r="S479" s="192">
        <f t="shared" si="687"/>
        <v>3248.1</v>
      </c>
      <c r="T479" s="192">
        <f t="shared" si="687"/>
        <v>3086</v>
      </c>
      <c r="U479" s="192">
        <f t="shared" si="687"/>
        <v>3137</v>
      </c>
      <c r="V479" s="192">
        <f t="shared" si="687"/>
        <v>3415</v>
      </c>
      <c r="W479" s="1368">
        <f t="shared" si="687"/>
        <v>3459</v>
      </c>
      <c r="X479" s="1368"/>
      <c r="Y479" s="1368"/>
      <c r="Z479" s="1368">
        <f>Z187</f>
        <v>3375</v>
      </c>
      <c r="AA479" s="1368">
        <f>AA187</f>
        <v>3314</v>
      </c>
      <c r="AB479" s="1368"/>
      <c r="AC479" s="2923">
        <f>AC480*AC473</f>
        <v>3897.8965639472344</v>
      </c>
      <c r="AD479" s="2923">
        <f t="shared" ref="AD479:AH479" si="688">AD480*AD473</f>
        <v>4500.3845028987344</v>
      </c>
      <c r="AE479" s="2923">
        <f t="shared" si="688"/>
        <v>4827.6892662479768</v>
      </c>
      <c r="AF479" s="2923">
        <f t="shared" si="688"/>
        <v>5040.6248729973513</v>
      </c>
      <c r="AG479" s="2923">
        <f>AG480*AG473</f>
        <v>5266.4657804919789</v>
      </c>
      <c r="AH479" s="2923">
        <f t="shared" si="688"/>
        <v>5469.7662271778991</v>
      </c>
      <c r="AI479" s="2923">
        <f t="shared" ref="AI479:AN479" si="689">AI480*AI473</f>
        <v>5664.3948647831712</v>
      </c>
      <c r="AJ479" s="2923">
        <f t="shared" si="689"/>
        <v>5853.9112667493882</v>
      </c>
      <c r="AK479" s="2923">
        <f t="shared" si="689"/>
        <v>6035.2148636383081</v>
      </c>
      <c r="AL479" s="2923">
        <f t="shared" si="689"/>
        <v>6189.0839268174968</v>
      </c>
      <c r="AM479" s="2923">
        <f t="shared" si="689"/>
        <v>6334.8975206550131</v>
      </c>
      <c r="AN479" s="2923">
        <f t="shared" si="689"/>
        <v>6481.1833145293631</v>
      </c>
      <c r="AO479" s="2802"/>
      <c r="AP479" s="2923"/>
      <c r="AQ479" s="192"/>
      <c r="AR479" s="192"/>
      <c r="AS479" s="192"/>
      <c r="AT479" s="127"/>
      <c r="AU479" s="11"/>
      <c r="AV479" s="6"/>
      <c r="AW479" s="89"/>
      <c r="AX479" s="89"/>
      <c r="AY479" s="89"/>
      <c r="AZ479" s="89"/>
      <c r="BA479" s="89"/>
      <c r="BB479" s="89"/>
      <c r="BC479" s="89"/>
      <c r="BD479" s="89"/>
      <c r="BE479" s="89"/>
      <c r="BF479" s="89"/>
      <c r="BG479" s="89"/>
      <c r="BH479" s="98"/>
      <c r="BI479" s="89"/>
      <c r="BJ479" s="89"/>
      <c r="BK479" s="89"/>
      <c r="BL479" s="89"/>
      <c r="BM479" s="89"/>
      <c r="BN479" s="89"/>
      <c r="BO479" s="89"/>
      <c r="BP479" s="89"/>
      <c r="BQ479" s="89"/>
      <c r="BR479" s="89"/>
      <c r="BS479" s="89"/>
      <c r="BT479" s="89"/>
      <c r="BU479" s="89"/>
      <c r="BV479" s="89"/>
      <c r="BW479" s="89"/>
      <c r="BX479" s="89"/>
      <c r="BY479" s="89"/>
      <c r="BZ479" s="89"/>
      <c r="CA479" s="89"/>
      <c r="CB479" s="89"/>
      <c r="CC479" s="89"/>
      <c r="CD479" s="89"/>
      <c r="CE479" s="89"/>
      <c r="CF479" s="89"/>
      <c r="CG479" s="89"/>
      <c r="CH479" s="89"/>
      <c r="CI479" s="89"/>
      <c r="CJ479" s="89"/>
      <c r="CK479" s="89"/>
      <c r="CL479" s="89"/>
      <c r="CM479" s="89"/>
      <c r="CN479" s="89"/>
      <c r="CO479" s="98"/>
      <c r="CP479" s="98"/>
      <c r="CQ479" s="98"/>
      <c r="CR479" s="98"/>
      <c r="CS479" s="98"/>
      <c r="CT479" s="1247"/>
      <c r="CU479" s="1247"/>
      <c r="CV479" s="1247"/>
      <c r="CW479" s="98"/>
      <c r="CX479" s="98"/>
      <c r="CY479" s="1247"/>
      <c r="CZ479" s="1247"/>
      <c r="DA479" s="1247"/>
      <c r="DB479" s="98"/>
      <c r="DC479" s="2925"/>
      <c r="DD479" s="98"/>
      <c r="DE479" s="98"/>
      <c r="DF479" s="98"/>
      <c r="DG479" s="98"/>
      <c r="DH479" s="98"/>
      <c r="DI479" s="98"/>
      <c r="DJ479" s="98"/>
      <c r="DK479" s="98"/>
      <c r="DL479" s="98"/>
      <c r="DM479" s="98"/>
      <c r="DN479" s="98"/>
      <c r="DO479" s="98"/>
      <c r="DP479" s="98"/>
      <c r="DQ479" s="98"/>
      <c r="DR479" s="98"/>
    </row>
    <row r="480" spans="1:122">
      <c r="A480" s="121" t="s">
        <v>440</v>
      </c>
      <c r="B480" s="38"/>
      <c r="C480" s="38"/>
      <c r="D480" s="38"/>
      <c r="E480" s="38"/>
      <c r="F480" s="38"/>
      <c r="G480" s="38"/>
      <c r="H480" s="38"/>
      <c r="I480" s="38">
        <f t="shared" ref="I480:N480" si="690">I479/I473</f>
        <v>0.20223910878306098</v>
      </c>
      <c r="J480" s="38">
        <f t="shared" si="690"/>
        <v>0.17023777608215959</v>
      </c>
      <c r="K480" s="38">
        <f t="shared" si="690"/>
        <v>0.18802454527943643</v>
      </c>
      <c r="L480" s="38">
        <f t="shared" si="690"/>
        <v>0.19720394966550744</v>
      </c>
      <c r="M480" s="38">
        <f t="shared" si="690"/>
        <v>0.19029482196277953</v>
      </c>
      <c r="N480" s="38">
        <f t="shared" si="690"/>
        <v>0.19711979584814773</v>
      </c>
      <c r="O480" s="919"/>
      <c r="P480" s="130"/>
      <c r="Q480" s="130"/>
      <c r="R480" s="38">
        <f t="shared" ref="R480:W480" si="691">R479/R473</f>
        <v>0.22284203894088175</v>
      </c>
      <c r="S480" s="38">
        <f t="shared" si="691"/>
        <v>0.23102035590833442</v>
      </c>
      <c r="T480" s="38">
        <f t="shared" si="691"/>
        <v>0.22629610618171153</v>
      </c>
      <c r="U480" s="38">
        <f t="shared" si="691"/>
        <v>0.22283627891117808</v>
      </c>
      <c r="V480" s="38">
        <f t="shared" si="691"/>
        <v>0.22343627322690396</v>
      </c>
      <c r="W480" s="1110">
        <f t="shared" si="691"/>
        <v>0.25054324206866585</v>
      </c>
      <c r="X480" s="1482"/>
      <c r="Y480" s="1482"/>
      <c r="Z480" s="1110">
        <f>Z479/Z473</f>
        <v>0.24305055451533922</v>
      </c>
      <c r="AA480" s="1110">
        <f>AA479/AA473</f>
        <v>0.23036285277352983</v>
      </c>
      <c r="AB480" s="2897"/>
      <c r="AC480" s="2897">
        <v>0.28749999999999998</v>
      </c>
      <c r="AD480" s="2897">
        <f>31.2%</f>
        <v>0.312</v>
      </c>
      <c r="AE480" s="2897">
        <f>AD480-0</f>
        <v>0.312</v>
      </c>
      <c r="AF480" s="2897">
        <f>AE480+0.0055</f>
        <v>0.3175</v>
      </c>
      <c r="AG480" s="2897">
        <f>AF480+0.0025</f>
        <v>0.32</v>
      </c>
      <c r="AH480" s="2897">
        <f>AG480-0.008</f>
        <v>0.312</v>
      </c>
      <c r="AI480" s="2897">
        <f>AH480+0.013</f>
        <v>0.32500000000000001</v>
      </c>
      <c r="AJ480" s="2897">
        <f>AI480+0.001</f>
        <v>0.32600000000000001</v>
      </c>
      <c r="AK480" s="2897">
        <f>AJ480-0.007</f>
        <v>0.31900000000000001</v>
      </c>
      <c r="AL480" s="2897">
        <f>AK480+0.011</f>
        <v>0.33</v>
      </c>
      <c r="AM480" s="2897">
        <f>AL480+0.001</f>
        <v>0.33100000000000002</v>
      </c>
      <c r="AN480" s="2897">
        <f>AM480-0.013</f>
        <v>0.318</v>
      </c>
      <c r="AO480" s="2802"/>
      <c r="AP480" s="2897"/>
      <c r="AQ480" s="130"/>
      <c r="AR480" s="130"/>
      <c r="AS480" s="130"/>
      <c r="AT480" s="119"/>
      <c r="AU480" s="11"/>
      <c r="AV480" s="6"/>
      <c r="AW480" s="89"/>
      <c r="AX480" s="89"/>
      <c r="AY480" s="89"/>
      <c r="AZ480" s="89"/>
      <c r="BA480" s="89"/>
      <c r="BB480" s="89"/>
      <c r="BC480" s="89"/>
      <c r="BD480" s="89"/>
      <c r="BE480" s="89"/>
      <c r="BF480" s="89"/>
      <c r="BG480" s="89"/>
      <c r="BH480" s="98"/>
      <c r="BI480" s="89"/>
      <c r="BJ480" s="89"/>
      <c r="BK480" s="89"/>
      <c r="BL480" s="89"/>
      <c r="BM480" s="89"/>
      <c r="BN480" s="89"/>
      <c r="BO480" s="89"/>
      <c r="BP480" s="89"/>
      <c r="BQ480" s="89"/>
      <c r="BR480" s="89"/>
      <c r="BS480" s="89"/>
      <c r="BT480" s="89"/>
      <c r="BU480" s="89"/>
      <c r="BV480" s="89"/>
      <c r="BW480" s="89"/>
      <c r="BX480" s="89"/>
      <c r="BY480" s="89"/>
      <c r="BZ480" s="89"/>
      <c r="CA480" s="89"/>
      <c r="CB480" s="89"/>
      <c r="CC480" s="89"/>
      <c r="CD480" s="89"/>
      <c r="CE480" s="89"/>
      <c r="CF480" s="89"/>
      <c r="CG480" s="89"/>
      <c r="CH480" s="89"/>
      <c r="CI480" s="89"/>
      <c r="CJ480" s="89"/>
      <c r="CK480" s="89"/>
      <c r="CL480" s="89"/>
      <c r="CM480" s="89"/>
      <c r="CN480" s="89"/>
      <c r="CO480" s="98"/>
      <c r="CP480" s="98"/>
      <c r="CQ480" s="98"/>
      <c r="CR480" s="98"/>
      <c r="CS480" s="98"/>
      <c r="CT480" s="1247"/>
      <c r="CU480" s="1247"/>
      <c r="CV480" s="1247"/>
      <c r="CW480" s="98"/>
      <c r="CX480" s="98"/>
      <c r="CY480" s="1247"/>
      <c r="CZ480" s="1247"/>
      <c r="DA480" s="1247"/>
      <c r="DB480" s="98"/>
      <c r="DC480" s="2925"/>
      <c r="DD480" s="98"/>
      <c r="DE480" s="98"/>
      <c r="DF480" s="98"/>
      <c r="DG480" s="98"/>
      <c r="DH480" s="98"/>
      <c r="DI480" s="98"/>
      <c r="DJ480" s="98"/>
      <c r="DK480" s="98"/>
      <c r="DL480" s="98"/>
      <c r="DM480" s="98"/>
      <c r="DN480" s="98"/>
      <c r="DO480" s="98"/>
      <c r="DP480" s="98"/>
      <c r="DQ480" s="98"/>
      <c r="DR480" s="98"/>
    </row>
    <row r="481" spans="1:122">
      <c r="A481" s="121" t="s">
        <v>986</v>
      </c>
      <c r="B481" s="4"/>
      <c r="C481" s="4"/>
      <c r="D481" s="4"/>
      <c r="E481" s="4"/>
      <c r="F481" s="4"/>
      <c r="G481" s="4"/>
      <c r="H481" s="4"/>
      <c r="I481" s="192">
        <f t="shared" ref="I481:N481" si="692">I189</f>
        <v>58.6</v>
      </c>
      <c r="J481" s="192">
        <f t="shared" si="692"/>
        <v>201.5</v>
      </c>
      <c r="K481" s="192">
        <f t="shared" si="692"/>
        <v>468.9</v>
      </c>
      <c r="L481" s="192">
        <f t="shared" si="692"/>
        <v>307.7</v>
      </c>
      <c r="M481" s="192">
        <f t="shared" si="692"/>
        <v>273.7</v>
      </c>
      <c r="N481" s="192">
        <f t="shared" si="692"/>
        <v>318.7</v>
      </c>
      <c r="O481" s="919"/>
      <c r="P481" s="192"/>
      <c r="Q481" s="192"/>
      <c r="R481" s="192">
        <f t="shared" ref="R481:W481" si="693">R189</f>
        <v>303.39999999999998</v>
      </c>
      <c r="S481" s="192">
        <f t="shared" si="693"/>
        <v>302.60000000000002</v>
      </c>
      <c r="T481" s="192">
        <f t="shared" si="693"/>
        <v>319</v>
      </c>
      <c r="U481" s="192">
        <f t="shared" si="693"/>
        <v>0</v>
      </c>
      <c r="V481" s="192">
        <f t="shared" si="693"/>
        <v>0</v>
      </c>
      <c r="W481" s="1368">
        <f t="shared" si="693"/>
        <v>0</v>
      </c>
      <c r="X481" s="1368"/>
      <c r="Y481" s="1368"/>
      <c r="Z481" s="1368">
        <f t="shared" ref="Z481:AK481" si="694">Z189</f>
        <v>101</v>
      </c>
      <c r="AA481" s="1368">
        <f t="shared" ref="AA481" si="695">AA189</f>
        <v>30</v>
      </c>
      <c r="AB481" s="2923"/>
      <c r="AC481" s="2923">
        <f t="shared" ca="1" si="694"/>
        <v>0</v>
      </c>
      <c r="AD481" s="2923">
        <f t="shared" ca="1" si="694"/>
        <v>0</v>
      </c>
      <c r="AE481" s="2923">
        <f t="shared" ca="1" si="694"/>
        <v>0</v>
      </c>
      <c r="AF481" s="2923">
        <f t="shared" ca="1" si="694"/>
        <v>0</v>
      </c>
      <c r="AG481" s="2923">
        <f t="shared" ca="1" si="694"/>
        <v>0</v>
      </c>
      <c r="AH481" s="2923">
        <f t="shared" ca="1" si="694"/>
        <v>0</v>
      </c>
      <c r="AI481" s="2923">
        <f t="shared" ca="1" si="694"/>
        <v>0</v>
      </c>
      <c r="AJ481" s="2923">
        <f t="shared" ca="1" si="694"/>
        <v>0</v>
      </c>
      <c r="AK481" s="2923">
        <f t="shared" ca="1" si="694"/>
        <v>0</v>
      </c>
      <c r="AL481" s="2923">
        <f ca="1">AL189</f>
        <v>0</v>
      </c>
      <c r="AM481" s="2923">
        <f ca="1">AM189</f>
        <v>0</v>
      </c>
      <c r="AN481" s="2923">
        <f ca="1">AN189</f>
        <v>0</v>
      </c>
      <c r="AO481" s="2802"/>
      <c r="AP481" s="2923"/>
      <c r="AQ481" s="192"/>
      <c r="AR481" s="192"/>
      <c r="AS481" s="192"/>
      <c r="AT481" s="98"/>
      <c r="AU481" s="11"/>
      <c r="AV481" s="6"/>
      <c r="AW481" s="89"/>
      <c r="AX481" s="89"/>
      <c r="AY481" s="89"/>
      <c r="AZ481" s="89"/>
      <c r="BA481" s="89"/>
      <c r="BB481" s="89"/>
      <c r="BC481" s="89"/>
      <c r="BD481" s="89"/>
      <c r="BE481" s="89"/>
      <c r="BF481" s="89"/>
      <c r="BG481" s="89"/>
      <c r="BH481" s="98"/>
      <c r="BI481" s="89"/>
      <c r="BJ481" s="89"/>
      <c r="BK481" s="89"/>
      <c r="BL481" s="89"/>
      <c r="BM481" s="89"/>
      <c r="BN481" s="89"/>
      <c r="BO481" s="89"/>
      <c r="BP481" s="89"/>
      <c r="BQ481" s="89"/>
      <c r="BR481" s="89"/>
      <c r="BS481" s="89"/>
      <c r="BT481" s="89"/>
      <c r="BU481" s="89"/>
      <c r="BV481" s="89"/>
      <c r="BW481" s="89"/>
      <c r="BX481" s="89"/>
      <c r="BY481" s="89"/>
      <c r="BZ481" s="89"/>
      <c r="CA481" s="89"/>
      <c r="CB481" s="89"/>
      <c r="CC481" s="89"/>
      <c r="CD481" s="89"/>
      <c r="CE481" s="89"/>
      <c r="CF481" s="89"/>
      <c r="CG481" s="89"/>
      <c r="CH481" s="89"/>
      <c r="CI481" s="89"/>
      <c r="CJ481" s="89"/>
      <c r="CK481" s="89"/>
      <c r="CL481" s="89"/>
      <c r="CM481" s="89"/>
      <c r="CN481" s="89"/>
      <c r="CO481" s="98"/>
      <c r="CP481" s="98"/>
      <c r="CQ481" s="98"/>
      <c r="CR481" s="98"/>
      <c r="CS481" s="98"/>
      <c r="CT481" s="1247"/>
      <c r="CU481" s="1247"/>
      <c r="CV481" s="1247"/>
      <c r="CW481" s="98"/>
      <c r="CX481" s="98"/>
      <c r="CY481" s="1247"/>
      <c r="CZ481" s="1247"/>
      <c r="DA481" s="1247"/>
      <c r="DB481" s="98"/>
      <c r="DC481" s="2925"/>
      <c r="DD481" s="98"/>
      <c r="DE481" s="98"/>
      <c r="DF481" s="98"/>
      <c r="DG481" s="98"/>
      <c r="DH481" s="98"/>
      <c r="DI481" s="98"/>
      <c r="DJ481" s="98"/>
      <c r="DK481" s="98"/>
      <c r="DL481" s="98"/>
      <c r="DM481" s="98"/>
      <c r="DN481" s="98"/>
      <c r="DO481" s="98"/>
      <c r="DP481" s="98"/>
      <c r="DQ481" s="98"/>
      <c r="DR481" s="98"/>
    </row>
    <row r="482" spans="1:122">
      <c r="A482" s="121" t="s">
        <v>440</v>
      </c>
      <c r="B482" s="38"/>
      <c r="C482" s="38"/>
      <c r="D482" s="38"/>
      <c r="E482" s="38"/>
      <c r="F482" s="38"/>
      <c r="G482" s="38"/>
      <c r="H482" s="38"/>
      <c r="I482" s="38">
        <f t="shared" ref="I482:N482" si="696">I481/I473</f>
        <v>4.3232874691062012E-3</v>
      </c>
      <c r="J482" s="38">
        <f t="shared" si="696"/>
        <v>1.3851367607734769E-2</v>
      </c>
      <c r="K482" s="38">
        <f t="shared" si="696"/>
        <v>3.2256954954459148E-2</v>
      </c>
      <c r="L482" s="39">
        <f t="shared" si="696"/>
        <v>2.1487130068015808E-2</v>
      </c>
      <c r="M482" s="39">
        <f t="shared" si="696"/>
        <v>1.944872769649468E-2</v>
      </c>
      <c r="N482" s="38">
        <f t="shared" si="696"/>
        <v>2.2845223076040831E-2</v>
      </c>
      <c r="O482" s="919"/>
      <c r="P482" s="38"/>
      <c r="Q482" s="38"/>
      <c r="R482" s="38">
        <f t="shared" ref="R482:AH482" si="697">R481/R473</f>
        <v>2.3312280054707788E-2</v>
      </c>
      <c r="S482" s="38">
        <f t="shared" si="697"/>
        <v>2.152235451428897E-2</v>
      </c>
      <c r="T482" s="38">
        <f t="shared" si="697"/>
        <v>2.3392241695387547E-2</v>
      </c>
      <c r="U482" s="38">
        <f t="shared" si="697"/>
        <v>0</v>
      </c>
      <c r="V482" s="38">
        <f>V481/V473</f>
        <v>0</v>
      </c>
      <c r="W482" s="38">
        <f t="shared" si="697"/>
        <v>0</v>
      </c>
      <c r="X482" s="38"/>
      <c r="Y482" s="1110"/>
      <c r="Z482" s="1110">
        <f t="shared" si="697"/>
        <v>7.2735128906812625E-3</v>
      </c>
      <c r="AA482" s="1110">
        <f t="shared" ref="AA482" si="698">AA481/AA473</f>
        <v>2.0853607674127623E-3</v>
      </c>
      <c r="AB482" s="2802"/>
      <c r="AC482" s="2802">
        <f t="shared" ca="1" si="697"/>
        <v>0</v>
      </c>
      <c r="AD482" s="2802">
        <f t="shared" ca="1" si="697"/>
        <v>0</v>
      </c>
      <c r="AE482" s="2802">
        <f t="shared" ca="1" si="697"/>
        <v>0</v>
      </c>
      <c r="AF482" s="2802">
        <f t="shared" ca="1" si="697"/>
        <v>0</v>
      </c>
      <c r="AG482" s="2802">
        <f t="shared" ca="1" si="697"/>
        <v>0</v>
      </c>
      <c r="AH482" s="2802">
        <f t="shared" ca="1" si="697"/>
        <v>0</v>
      </c>
      <c r="AI482" s="2802">
        <f t="shared" ref="AI482:AN482" ca="1" si="699">AI481/AI473</f>
        <v>0</v>
      </c>
      <c r="AJ482" s="2802">
        <f t="shared" ca="1" si="699"/>
        <v>0</v>
      </c>
      <c r="AK482" s="2802">
        <f t="shared" ca="1" si="699"/>
        <v>0</v>
      </c>
      <c r="AL482" s="2802">
        <f t="shared" ca="1" si="699"/>
        <v>0</v>
      </c>
      <c r="AM482" s="2802">
        <f t="shared" ca="1" si="699"/>
        <v>0</v>
      </c>
      <c r="AN482" s="2802">
        <f t="shared" ca="1" si="699"/>
        <v>0</v>
      </c>
      <c r="AO482" s="2802"/>
      <c r="AP482" s="2802"/>
      <c r="AQ482" s="39"/>
      <c r="AR482" s="39"/>
      <c r="AS482" s="39"/>
      <c r="AT482" s="39"/>
      <c r="AU482" s="11"/>
      <c r="AV482" s="6"/>
      <c r="AW482" s="89"/>
      <c r="AX482" s="89"/>
      <c r="AY482" s="89"/>
      <c r="AZ482" s="89"/>
      <c r="BA482" s="89"/>
      <c r="BB482" s="89"/>
      <c r="BC482" s="89"/>
      <c r="BD482" s="89"/>
      <c r="BE482" s="89"/>
      <c r="BF482" s="89"/>
      <c r="BG482" s="89"/>
      <c r="BH482" s="98"/>
      <c r="BI482" s="89"/>
      <c r="BJ482" s="89"/>
      <c r="BK482" s="89"/>
      <c r="BL482" s="89"/>
      <c r="BM482" s="89"/>
      <c r="BN482" s="89"/>
      <c r="BO482" s="89"/>
      <c r="BP482" s="89"/>
      <c r="BQ482" s="89"/>
      <c r="BR482" s="89"/>
      <c r="BS482" s="89"/>
      <c r="BT482" s="89"/>
      <c r="BU482" s="89"/>
      <c r="BV482" s="89"/>
      <c r="BW482" s="89"/>
      <c r="BX482" s="89"/>
      <c r="BY482" s="89"/>
      <c r="BZ482" s="89"/>
      <c r="CA482" s="89"/>
      <c r="CB482" s="89"/>
      <c r="CC482" s="89"/>
      <c r="CD482" s="89"/>
      <c r="CE482" s="89"/>
      <c r="CF482" s="89"/>
      <c r="CG482" s="89"/>
      <c r="CH482" s="89"/>
      <c r="CI482" s="89"/>
      <c r="CJ482" s="89"/>
      <c r="CK482" s="89"/>
      <c r="CL482" s="89"/>
      <c r="CM482" s="89"/>
      <c r="CN482" s="89"/>
      <c r="CO482" s="98"/>
      <c r="CP482" s="98"/>
      <c r="CQ482" s="98"/>
      <c r="CR482" s="98"/>
      <c r="CS482" s="98"/>
      <c r="CT482" s="1247"/>
      <c r="CU482" s="1247"/>
      <c r="CV482" s="1247"/>
      <c r="CW482" s="98"/>
      <c r="CX482" s="98"/>
      <c r="CY482" s="1247"/>
      <c r="CZ482" s="1247"/>
      <c r="DA482" s="1247"/>
      <c r="DB482" s="98"/>
      <c r="DC482" s="2925"/>
      <c r="DD482" s="98"/>
      <c r="DE482" s="98"/>
      <c r="DF482" s="98"/>
      <c r="DG482" s="98"/>
      <c r="DH482" s="98"/>
      <c r="DI482" s="98"/>
      <c r="DJ482" s="98"/>
      <c r="DK482" s="98"/>
      <c r="DL482" s="98"/>
      <c r="DM482" s="98"/>
      <c r="DN482" s="98"/>
      <c r="DO482" s="98"/>
      <c r="DP482" s="98"/>
      <c r="DQ482" s="98"/>
      <c r="DR482" s="98"/>
    </row>
    <row r="483" spans="1:122">
      <c r="A483" s="121" t="s">
        <v>887</v>
      </c>
      <c r="B483" s="38"/>
      <c r="C483" s="38"/>
      <c r="D483" s="38"/>
      <c r="E483" s="38"/>
      <c r="F483" s="38"/>
      <c r="G483" s="38"/>
      <c r="H483" s="38"/>
      <c r="I483" s="192">
        <f t="shared" ref="I483:N483" si="700">I190</f>
        <v>163.30000000000001</v>
      </c>
      <c r="J483" s="192">
        <f t="shared" si="700"/>
        <v>163.80000000000001</v>
      </c>
      <c r="K483" s="192">
        <f t="shared" si="700"/>
        <v>212.3</v>
      </c>
      <c r="L483" s="192">
        <f t="shared" si="700"/>
        <v>163.69999999999999</v>
      </c>
      <c r="M483" s="192">
        <f t="shared" si="700"/>
        <v>177.6</v>
      </c>
      <c r="N483" s="192">
        <f t="shared" si="700"/>
        <v>181.1</v>
      </c>
      <c r="O483" s="919"/>
      <c r="P483" s="192"/>
      <c r="Q483" s="192"/>
      <c r="R483" s="192">
        <f>R190</f>
        <v>174.5</v>
      </c>
      <c r="S483" s="192">
        <f>S190</f>
        <v>177.9</v>
      </c>
      <c r="T483" s="192">
        <f>T190</f>
        <v>213</v>
      </c>
      <c r="U483" s="192">
        <f t="shared" ref="U483:AH483" si="701">U484*U473</f>
        <v>219.88185084696045</v>
      </c>
      <c r="V483" s="192">
        <f>V484*V473</f>
        <v>238.72493950282322</v>
      </c>
      <c r="W483" s="192">
        <f>W190</f>
        <v>129</v>
      </c>
      <c r="X483" s="192"/>
      <c r="Y483" s="1368"/>
      <c r="Z483" s="192">
        <f>Z190</f>
        <v>133</v>
      </c>
      <c r="AA483" s="192">
        <f>AA190</f>
        <v>185</v>
      </c>
      <c r="AB483" s="2923"/>
      <c r="AC483" s="2923">
        <f t="shared" si="701"/>
        <v>174.35087599181293</v>
      </c>
      <c r="AD483" s="2923">
        <f t="shared" si="701"/>
        <v>185.49264710622012</v>
      </c>
      <c r="AE483" s="2923">
        <f t="shared" si="701"/>
        <v>198.98318928656508</v>
      </c>
      <c r="AF483" s="2923">
        <f t="shared" si="701"/>
        <v>204.160782191897</v>
      </c>
      <c r="AG483" s="2923">
        <f t="shared" si="701"/>
        <v>211.64156328005879</v>
      </c>
      <c r="AH483" s="2923">
        <f t="shared" si="701"/>
        <v>225.44771805118387</v>
      </c>
      <c r="AI483" s="2923">
        <f t="shared" ref="AI483:AN483" si="702">AI484*AI473</f>
        <v>224.13094995880328</v>
      </c>
      <c r="AJ483" s="2923">
        <f t="shared" si="702"/>
        <v>230.9192868041946</v>
      </c>
      <c r="AK483" s="2923">
        <f t="shared" si="702"/>
        <v>243.29530359607872</v>
      </c>
      <c r="AL483" s="2923">
        <f t="shared" si="702"/>
        <v>241.18156255897716</v>
      </c>
      <c r="AM483" s="2923">
        <f t="shared" si="702"/>
        <v>246.11794055423502</v>
      </c>
      <c r="AN483" s="2923">
        <f t="shared" si="702"/>
        <v>262.09507347463341</v>
      </c>
      <c r="AO483" s="2923"/>
      <c r="AP483" s="192"/>
      <c r="AQ483" s="192"/>
      <c r="AR483" s="192"/>
      <c r="AS483" s="192"/>
      <c r="AT483" s="95"/>
      <c r="AU483" s="11"/>
      <c r="AV483" s="6"/>
      <c r="AW483" s="89"/>
      <c r="AX483" s="89"/>
      <c r="AY483" s="89"/>
      <c r="AZ483" s="89"/>
      <c r="BA483" s="89"/>
      <c r="BB483" s="89"/>
      <c r="BC483" s="89"/>
      <c r="BD483" s="89"/>
      <c r="BE483" s="89"/>
      <c r="BF483" s="89"/>
      <c r="BG483" s="89"/>
      <c r="BH483" s="98"/>
      <c r="BI483" s="89"/>
      <c r="BJ483" s="89"/>
      <c r="BK483" s="89"/>
      <c r="BL483" s="89"/>
      <c r="BM483" s="89"/>
      <c r="BN483" s="89"/>
      <c r="BO483" s="89"/>
      <c r="BP483" s="89"/>
      <c r="BQ483" s="89"/>
      <c r="BR483" s="89"/>
      <c r="BS483" s="89"/>
      <c r="BT483" s="89"/>
      <c r="BU483" s="89"/>
      <c r="BV483" s="89"/>
      <c r="BW483" s="89"/>
      <c r="BX483" s="89"/>
      <c r="BY483" s="89"/>
      <c r="BZ483" s="89"/>
      <c r="CA483" s="89"/>
      <c r="CB483" s="89"/>
      <c r="CC483" s="89"/>
      <c r="CD483" s="89"/>
      <c r="CE483" s="89"/>
      <c r="CF483" s="89"/>
      <c r="CG483" s="89"/>
      <c r="CH483" s="89"/>
      <c r="CI483" s="89"/>
      <c r="CJ483" s="89"/>
      <c r="CK483" s="89"/>
      <c r="CL483" s="89"/>
      <c r="CM483" s="89"/>
      <c r="CN483" s="89"/>
      <c r="CO483" s="98"/>
      <c r="CP483" s="98"/>
      <c r="CQ483" s="98"/>
      <c r="CR483" s="98"/>
      <c r="CS483" s="98"/>
      <c r="CT483" s="1247"/>
      <c r="CU483" s="1247"/>
      <c r="CV483" s="1247"/>
      <c r="CW483" s="98"/>
      <c r="CX483" s="98"/>
      <c r="CY483" s="1247"/>
      <c r="CZ483" s="1247"/>
      <c r="DA483" s="1247"/>
      <c r="DB483" s="98"/>
      <c r="DC483" s="2925"/>
      <c r="DD483" s="98"/>
      <c r="DE483" s="98"/>
      <c r="DF483" s="98"/>
      <c r="DG483" s="98"/>
      <c r="DH483" s="98"/>
      <c r="DI483" s="98"/>
      <c r="DJ483" s="98"/>
      <c r="DK483" s="98"/>
      <c r="DL483" s="98"/>
      <c r="DM483" s="98"/>
      <c r="DN483" s="98"/>
      <c r="DO483" s="98"/>
      <c r="DP483" s="98"/>
      <c r="DQ483" s="98"/>
      <c r="DR483" s="98"/>
    </row>
    <row r="484" spans="1:122">
      <c r="A484" s="121" t="s">
        <v>440</v>
      </c>
      <c r="B484" s="38"/>
      <c r="C484" s="38"/>
      <c r="D484" s="38"/>
      <c r="E484" s="38"/>
      <c r="F484" s="38"/>
      <c r="G484" s="38"/>
      <c r="H484" s="38"/>
      <c r="I484" s="38">
        <f t="shared" ref="I484:N484" si="703">I483/I473</f>
        <v>1.2047659448891513E-2</v>
      </c>
      <c r="J484" s="38">
        <f t="shared" si="703"/>
        <v>1.1259821410158587E-2</v>
      </c>
      <c r="K484" s="38">
        <f t="shared" si="703"/>
        <v>1.4604716435981399E-2</v>
      </c>
      <c r="L484" s="38">
        <f t="shared" si="703"/>
        <v>1.1431404589321377E-2</v>
      </c>
      <c r="M484" s="38">
        <f t="shared" si="703"/>
        <v>1.2620000142117119E-2</v>
      </c>
      <c r="N484" s="38">
        <f t="shared" si="703"/>
        <v>1.2981706617731391E-2</v>
      </c>
      <c r="O484" s="919"/>
      <c r="P484" s="130"/>
      <c r="Q484" s="130"/>
      <c r="R484" s="38">
        <f>R483/R473</f>
        <v>1.34080186867057E-2</v>
      </c>
      <c r="S484" s="38">
        <f>S483/S473</f>
        <v>1.2653096061110401E-2</v>
      </c>
      <c r="T484" s="38">
        <f>T483/T473</f>
        <v>1.5619271100681969E-2</v>
      </c>
      <c r="U484" s="130">
        <f>T484</f>
        <v>1.5619271100681969E-2</v>
      </c>
      <c r="V484" s="130">
        <f>U484</f>
        <v>1.5619271100681969E-2</v>
      </c>
      <c r="W484" s="1737">
        <f>W483/W473</f>
        <v>9.3437635810517186E-3</v>
      </c>
      <c r="X484" s="130"/>
      <c r="Y484" s="1482"/>
      <c r="Z484" s="1737">
        <f>Z483/Z473</f>
        <v>9.5779922223822572E-3</v>
      </c>
      <c r="AA484" s="1737">
        <f>AA483/AA473</f>
        <v>1.2859724732378702E-2</v>
      </c>
      <c r="AB484" s="2897"/>
      <c r="AC484" s="2897">
        <f>AA484</f>
        <v>1.2859724732378702E-2</v>
      </c>
      <c r="AD484" s="2897">
        <f t="shared" ref="AD484:AN484" si="704">AC484</f>
        <v>1.2859724732378702E-2</v>
      </c>
      <c r="AE484" s="2897">
        <f t="shared" si="704"/>
        <v>1.2859724732378702E-2</v>
      </c>
      <c r="AF484" s="2897">
        <f t="shared" si="704"/>
        <v>1.2859724732378702E-2</v>
      </c>
      <c r="AG484" s="2897">
        <f t="shared" si="704"/>
        <v>1.2859724732378702E-2</v>
      </c>
      <c r="AH484" s="1482">
        <f t="shared" si="704"/>
        <v>1.2859724732378702E-2</v>
      </c>
      <c r="AI484" s="1482">
        <f t="shared" si="704"/>
        <v>1.2859724732378702E-2</v>
      </c>
      <c r="AJ484" s="1482">
        <f t="shared" si="704"/>
        <v>1.2859724732378702E-2</v>
      </c>
      <c r="AK484" s="1482">
        <f t="shared" si="704"/>
        <v>1.2859724732378702E-2</v>
      </c>
      <c r="AL484" s="1482">
        <f t="shared" si="704"/>
        <v>1.2859724732378702E-2</v>
      </c>
      <c r="AM484" s="1482">
        <f t="shared" si="704"/>
        <v>1.2859724732378702E-2</v>
      </c>
      <c r="AN484" s="1482">
        <f t="shared" si="704"/>
        <v>1.2859724732378702E-2</v>
      </c>
      <c r="AO484" s="119"/>
      <c r="AP484" s="119"/>
      <c r="AQ484" s="119"/>
      <c r="AR484" s="119"/>
      <c r="AS484" s="119"/>
      <c r="AT484" s="119"/>
      <c r="AU484" s="11"/>
      <c r="AV484" s="6"/>
      <c r="AW484" s="89"/>
      <c r="AX484" s="89"/>
      <c r="AY484" s="89"/>
      <c r="AZ484" s="89"/>
      <c r="BA484" s="89"/>
      <c r="BB484" s="89"/>
      <c r="BC484" s="89"/>
      <c r="BD484" s="89"/>
      <c r="BE484" s="89"/>
      <c r="BF484" s="89"/>
      <c r="BG484" s="89"/>
      <c r="BH484" s="98"/>
      <c r="BI484" s="89"/>
      <c r="BJ484" s="89"/>
      <c r="BK484" s="89"/>
      <c r="BL484" s="89"/>
      <c r="BM484" s="89"/>
      <c r="BN484" s="89"/>
      <c r="BO484" s="89"/>
      <c r="BP484" s="89"/>
      <c r="BQ484" s="89"/>
      <c r="BR484" s="89"/>
      <c r="BS484" s="89"/>
      <c r="BT484" s="89"/>
      <c r="BU484" s="89"/>
      <c r="BV484" s="89"/>
      <c r="BW484" s="89"/>
      <c r="BX484" s="89"/>
      <c r="BY484" s="89"/>
      <c r="BZ484" s="89"/>
      <c r="CA484" s="89"/>
      <c r="CB484" s="89"/>
      <c r="CC484" s="89"/>
      <c r="CD484" s="89"/>
      <c r="CE484" s="89"/>
      <c r="CF484" s="89"/>
      <c r="CG484" s="89"/>
      <c r="CH484" s="89"/>
      <c r="CI484" s="89"/>
      <c r="CJ484" s="89"/>
      <c r="CK484" s="89"/>
      <c r="CL484" s="89"/>
      <c r="CM484" s="89"/>
      <c r="CN484" s="89"/>
      <c r="CO484" s="98"/>
      <c r="CP484" s="98"/>
      <c r="CQ484" s="98"/>
      <c r="CR484" s="98"/>
      <c r="CS484" s="98"/>
      <c r="CT484" s="1247"/>
      <c r="CU484" s="1247"/>
      <c r="CV484" s="1247"/>
      <c r="CW484" s="98"/>
      <c r="CX484" s="98"/>
      <c r="CY484" s="1247"/>
      <c r="CZ484" s="1247"/>
      <c r="DA484" s="1247"/>
      <c r="DB484" s="98"/>
      <c r="DC484" s="2925"/>
      <c r="DD484" s="98"/>
      <c r="DE484" s="98"/>
      <c r="DF484" s="98"/>
      <c r="DG484" s="98"/>
      <c r="DH484" s="98"/>
      <c r="DI484" s="98"/>
      <c r="DJ484" s="98"/>
      <c r="DK484" s="98"/>
      <c r="DL484" s="98"/>
      <c r="DM484" s="98"/>
      <c r="DN484" s="98"/>
      <c r="DO484" s="98"/>
      <c r="DP484" s="98"/>
      <c r="DQ484" s="98"/>
      <c r="DR484" s="98"/>
    </row>
    <row r="485" spans="1:122">
      <c r="A485" s="121" t="s">
        <v>584</v>
      </c>
      <c r="B485" s="123"/>
      <c r="C485" s="123"/>
      <c r="D485" s="123"/>
      <c r="E485" s="123"/>
      <c r="F485" s="123"/>
      <c r="G485" s="123"/>
      <c r="H485" s="123"/>
      <c r="I485" s="192">
        <f t="shared" ref="I485:N485" si="705">I191</f>
        <v>575.5</v>
      </c>
      <c r="J485" s="192">
        <f t="shared" si="705"/>
        <v>680.8</v>
      </c>
      <c r="K485" s="192">
        <f t="shared" si="705"/>
        <v>669.9</v>
      </c>
      <c r="L485" s="192">
        <f t="shared" si="705"/>
        <v>593.6</v>
      </c>
      <c r="M485" s="192">
        <f t="shared" si="705"/>
        <v>573.70000000000005</v>
      </c>
      <c r="N485" s="192">
        <f t="shared" si="705"/>
        <v>488.2</v>
      </c>
      <c r="O485" s="919"/>
      <c r="P485" s="192"/>
      <c r="Q485" s="192"/>
      <c r="R485" s="192">
        <f t="shared" ref="R485:W485" si="706">R191</f>
        <v>455.9</v>
      </c>
      <c r="S485" s="192">
        <f t="shared" si="706"/>
        <v>395.80000000000007</v>
      </c>
      <c r="T485" s="192">
        <f t="shared" si="706"/>
        <v>527</v>
      </c>
      <c r="U485" s="192">
        <f t="shared" si="706"/>
        <v>796.11814915303955</v>
      </c>
      <c r="V485" s="192">
        <f t="shared" si="706"/>
        <v>547.27506049717681</v>
      </c>
      <c r="W485" s="192">
        <f t="shared" si="706"/>
        <v>651</v>
      </c>
      <c r="X485" s="192"/>
      <c r="Y485" s="1368"/>
      <c r="Z485" s="1368">
        <f>Z191</f>
        <v>228</v>
      </c>
      <c r="AA485" s="1368">
        <f>AA191</f>
        <v>204</v>
      </c>
      <c r="AB485" s="1368"/>
      <c r="AC485" s="1368">
        <f t="shared" ref="AC485:AH485" si="707">AC486*AC473</f>
        <v>474.52653821966339</v>
      </c>
      <c r="AD485" s="192">
        <f t="shared" si="707"/>
        <v>504.85082564569137</v>
      </c>
      <c r="AE485" s="192">
        <f t="shared" si="707"/>
        <v>541.56770614961283</v>
      </c>
      <c r="AF485" s="192">
        <f t="shared" si="707"/>
        <v>555.65943481860575</v>
      </c>
      <c r="AG485" s="192">
        <f t="shared" si="707"/>
        <v>576.01969474131022</v>
      </c>
      <c r="AH485" s="192">
        <f t="shared" si="707"/>
        <v>613.59557035649516</v>
      </c>
      <c r="AI485" s="192">
        <f t="shared" ref="AI485:AN485" si="708">AI486*AI473</f>
        <v>610.011754668957</v>
      </c>
      <c r="AJ485" s="192">
        <f t="shared" si="708"/>
        <v>628.48740593935156</v>
      </c>
      <c r="AK485" s="192">
        <f t="shared" si="708"/>
        <v>662.17090980357625</v>
      </c>
      <c r="AL485" s="1368">
        <f t="shared" si="708"/>
        <v>656.41799223821943</v>
      </c>
      <c r="AM485" s="1368">
        <f t="shared" si="708"/>
        <v>669.85321215385341</v>
      </c>
      <c r="AN485" s="1368">
        <f t="shared" si="708"/>
        <v>713.33778619033876</v>
      </c>
      <c r="AO485" s="192"/>
      <c r="AP485" s="192"/>
      <c r="AQ485" s="192"/>
      <c r="AR485" s="192"/>
      <c r="AS485" s="192"/>
      <c r="AT485" s="95"/>
      <c r="AU485" s="11"/>
      <c r="AV485" s="6"/>
      <c r="AW485" s="89"/>
      <c r="AX485" s="89"/>
      <c r="AY485" s="89"/>
      <c r="AZ485" s="89"/>
      <c r="BA485" s="89"/>
      <c r="BB485" s="89"/>
      <c r="BC485" s="89"/>
      <c r="BD485" s="89"/>
      <c r="BE485" s="89"/>
      <c r="BF485" s="89"/>
      <c r="BG485" s="89"/>
      <c r="BH485" s="98"/>
      <c r="BI485" s="89"/>
      <c r="BJ485" s="89"/>
      <c r="BK485" s="89"/>
      <c r="BL485" s="89"/>
      <c r="BM485" s="89"/>
      <c r="BN485" s="89"/>
      <c r="BO485" s="89"/>
      <c r="BP485" s="89"/>
      <c r="BQ485" s="89"/>
      <c r="BR485" s="89"/>
      <c r="BS485" s="89"/>
      <c r="BT485" s="89"/>
      <c r="BU485" s="89"/>
      <c r="BV485" s="89"/>
      <c r="BW485" s="89"/>
      <c r="BX485" s="89"/>
      <c r="BY485" s="89"/>
      <c r="BZ485" s="89"/>
      <c r="CA485" s="89"/>
      <c r="CB485" s="89"/>
      <c r="CC485" s="89"/>
      <c r="CD485" s="89"/>
      <c r="CE485" s="89"/>
      <c r="CF485" s="89"/>
      <c r="CG485" s="89"/>
      <c r="CH485" s="89"/>
      <c r="CI485" s="89"/>
      <c r="CJ485" s="89"/>
      <c r="CK485" s="89"/>
      <c r="CL485" s="89"/>
      <c r="CM485" s="89"/>
      <c r="CN485" s="89"/>
      <c r="CO485" s="98"/>
      <c r="CP485" s="98"/>
      <c r="CQ485" s="98"/>
      <c r="CR485" s="98"/>
      <c r="CS485" s="98"/>
      <c r="CT485" s="1247"/>
      <c r="CU485" s="1247"/>
      <c r="CV485" s="1247"/>
      <c r="CW485" s="98"/>
      <c r="CX485" s="98"/>
      <c r="CY485" s="1247"/>
      <c r="CZ485" s="1247"/>
      <c r="DA485" s="1247"/>
      <c r="DB485" s="98"/>
      <c r="DC485" s="2925"/>
      <c r="DD485" s="98"/>
      <c r="DE485" s="98"/>
      <c r="DF485" s="98"/>
      <c r="DG485" s="98"/>
      <c r="DH485" s="98"/>
      <c r="DI485" s="98"/>
      <c r="DJ485" s="98"/>
      <c r="DK485" s="98"/>
      <c r="DL485" s="98"/>
      <c r="DM485" s="98"/>
      <c r="DN485" s="98"/>
      <c r="DO485" s="98"/>
      <c r="DP485" s="98"/>
      <c r="DQ485" s="98"/>
      <c r="DR485" s="98"/>
    </row>
    <row r="486" spans="1:122">
      <c r="A486" s="121" t="s">
        <v>440</v>
      </c>
      <c r="B486" s="38"/>
      <c r="C486" s="38"/>
      <c r="D486" s="38"/>
      <c r="E486" s="38"/>
      <c r="F486" s="38"/>
      <c r="G486" s="38"/>
      <c r="H486" s="38"/>
      <c r="I486" s="38">
        <f t="shared" ref="I486:N486" si="709">I485/I473</f>
        <v>4.2458224205983254E-2</v>
      </c>
      <c r="J486" s="38">
        <f t="shared" si="709"/>
        <v>4.679906236896194E-2</v>
      </c>
      <c r="K486" s="38">
        <f t="shared" si="709"/>
        <v>4.6084312484521613E-2</v>
      </c>
      <c r="L486" s="38">
        <f t="shared" si="709"/>
        <v>4.1451935028840377E-2</v>
      </c>
      <c r="M486" s="38">
        <f t="shared" si="709"/>
        <v>4.0766295504124951E-2</v>
      </c>
      <c r="N486" s="38">
        <f t="shared" si="709"/>
        <v>3.4995412317926369E-2</v>
      </c>
      <c r="O486" s="919"/>
      <c r="P486" s="130"/>
      <c r="Q486" s="130"/>
      <c r="R486" s="38">
        <f t="shared" ref="R486:W486" si="710">R485/R473</f>
        <v>3.5029889508705607E-2</v>
      </c>
      <c r="S486" s="38">
        <f t="shared" si="710"/>
        <v>2.8151182804876319E-2</v>
      </c>
      <c r="T486" s="38">
        <f t="shared" si="710"/>
        <v>3.8644863239715478E-2</v>
      </c>
      <c r="U486" s="38">
        <f t="shared" si="710"/>
        <v>5.6552121750372199E-2</v>
      </c>
      <c r="V486" s="38">
        <f t="shared" si="710"/>
        <v>3.5807057085656686E-2</v>
      </c>
      <c r="W486" s="38">
        <f t="shared" si="710"/>
        <v>4.7153411560191226E-2</v>
      </c>
      <c r="X486" s="130"/>
      <c r="Y486" s="1482"/>
      <c r="Z486" s="1110">
        <f>Z485/Z473</f>
        <v>1.6419415238369584E-2</v>
      </c>
      <c r="AA486" s="1110">
        <f>AA485/AA473</f>
        <v>1.4180453218406785E-2</v>
      </c>
      <c r="AB486" s="1482"/>
      <c r="AC486" s="1482">
        <v>3.5000000000000003E-2</v>
      </c>
      <c r="AD486" s="1482">
        <f t="shared" ref="AD486:AN486" si="711">AC486</f>
        <v>3.5000000000000003E-2</v>
      </c>
      <c r="AE486" s="1482">
        <f t="shared" si="711"/>
        <v>3.5000000000000003E-2</v>
      </c>
      <c r="AF486" s="1482">
        <f t="shared" si="711"/>
        <v>3.5000000000000003E-2</v>
      </c>
      <c r="AG486" s="1482">
        <f t="shared" si="711"/>
        <v>3.5000000000000003E-2</v>
      </c>
      <c r="AH486" s="1482">
        <f t="shared" si="711"/>
        <v>3.5000000000000003E-2</v>
      </c>
      <c r="AI486" s="1482">
        <f t="shared" si="711"/>
        <v>3.5000000000000003E-2</v>
      </c>
      <c r="AJ486" s="1482">
        <f t="shared" si="711"/>
        <v>3.5000000000000003E-2</v>
      </c>
      <c r="AK486" s="1482">
        <f t="shared" si="711"/>
        <v>3.5000000000000003E-2</v>
      </c>
      <c r="AL486" s="1482">
        <f t="shared" si="711"/>
        <v>3.5000000000000003E-2</v>
      </c>
      <c r="AM486" s="1482">
        <f t="shared" si="711"/>
        <v>3.5000000000000003E-2</v>
      </c>
      <c r="AN486" s="1482">
        <f t="shared" si="711"/>
        <v>3.5000000000000003E-2</v>
      </c>
      <c r="AO486" s="192"/>
      <c r="AP486" s="192"/>
      <c r="AQ486" s="192"/>
      <c r="AR486" s="192"/>
      <c r="AS486" s="192"/>
      <c r="AT486" s="119"/>
      <c r="AU486" s="11"/>
      <c r="AV486" s="6"/>
      <c r="AW486" s="89"/>
      <c r="AX486" s="89"/>
      <c r="AY486" s="89"/>
      <c r="AZ486" s="89"/>
      <c r="BA486" s="89"/>
      <c r="BB486" s="89"/>
      <c r="BC486" s="89"/>
      <c r="BD486" s="89"/>
      <c r="BE486" s="89"/>
      <c r="BF486" s="89"/>
      <c r="BG486" s="89"/>
      <c r="BH486" s="98"/>
      <c r="BI486" s="89"/>
      <c r="BJ486" s="89"/>
      <c r="BK486" s="89"/>
      <c r="BL486" s="89"/>
      <c r="BM486" s="89"/>
      <c r="BN486" s="89"/>
      <c r="BO486" s="89"/>
      <c r="BP486" s="89"/>
      <c r="BQ486" s="89"/>
      <c r="BR486" s="89"/>
      <c r="BS486" s="89"/>
      <c r="BT486" s="89"/>
      <c r="BU486" s="89"/>
      <c r="BV486" s="89"/>
      <c r="BW486" s="89"/>
      <c r="BX486" s="89"/>
      <c r="BY486" s="89"/>
      <c r="BZ486" s="89"/>
      <c r="CA486" s="89"/>
      <c r="CB486" s="89"/>
      <c r="CC486" s="89"/>
      <c r="CD486" s="89"/>
      <c r="CE486" s="89"/>
      <c r="CF486" s="89"/>
      <c r="CG486" s="89"/>
      <c r="CH486" s="89"/>
      <c r="CI486" s="89"/>
      <c r="CJ486" s="89"/>
      <c r="CK486" s="89"/>
      <c r="CL486" s="89"/>
      <c r="CM486" s="89"/>
      <c r="CN486" s="89"/>
      <c r="CO486" s="98"/>
      <c r="CP486" s="98"/>
      <c r="CQ486" s="98"/>
      <c r="CR486" s="98"/>
      <c r="CS486" s="98"/>
      <c r="CT486" s="1247"/>
      <c r="CU486" s="1247"/>
      <c r="CV486" s="1247"/>
      <c r="CW486" s="98"/>
      <c r="CX486" s="98"/>
      <c r="CY486" s="1247"/>
      <c r="CZ486" s="1247"/>
      <c r="DA486" s="1247"/>
      <c r="DB486" s="98"/>
      <c r="DC486" s="2925"/>
      <c r="DD486" s="98"/>
      <c r="DE486" s="98"/>
      <c r="DF486" s="98"/>
      <c r="DG486" s="98"/>
      <c r="DH486" s="98"/>
      <c r="DI486" s="98"/>
      <c r="DJ486" s="98"/>
      <c r="DK486" s="98"/>
      <c r="DL486" s="98"/>
      <c r="DM486" s="98"/>
      <c r="DN486" s="98"/>
      <c r="DO486" s="98"/>
      <c r="DP486" s="98"/>
      <c r="DQ486" s="98"/>
      <c r="DR486" s="98"/>
    </row>
    <row r="487" spans="1:122">
      <c r="A487" s="6"/>
      <c r="B487" s="38"/>
      <c r="C487" s="38"/>
      <c r="D487" s="38"/>
      <c r="E487" s="38"/>
      <c r="F487" s="38"/>
      <c r="G487" s="38"/>
      <c r="H487" s="38"/>
      <c r="I487" s="38"/>
      <c r="J487" s="38"/>
      <c r="K487" s="38"/>
      <c r="L487" s="39"/>
      <c r="M487" s="38"/>
      <c r="N487" s="38"/>
      <c r="O487" s="919"/>
      <c r="P487" s="38"/>
      <c r="Q487" s="38"/>
      <c r="R487" s="38"/>
      <c r="S487" s="38"/>
      <c r="T487" s="38"/>
      <c r="U487" s="38"/>
      <c r="V487" s="38"/>
      <c r="W487" s="38"/>
      <c r="X487" s="38"/>
      <c r="Y487" s="1110"/>
      <c r="Z487" s="1110"/>
      <c r="AA487" s="1110"/>
      <c r="AB487" s="1110"/>
      <c r="AC487" s="1110"/>
      <c r="AD487" s="39"/>
      <c r="AE487" s="39"/>
      <c r="AF487" s="39"/>
      <c r="AG487" s="39"/>
      <c r="AH487" s="39"/>
      <c r="AI487" s="39"/>
      <c r="AJ487" s="39"/>
      <c r="AK487" s="39"/>
      <c r="AL487" s="1110"/>
      <c r="AM487" s="1110"/>
      <c r="AN487" s="192"/>
      <c r="AO487" s="192"/>
      <c r="AP487" s="192"/>
      <c r="AQ487" s="192"/>
      <c r="AR487" s="192"/>
      <c r="AS487" s="192"/>
      <c r="AT487" s="39"/>
      <c r="AU487" s="11"/>
      <c r="AV487" s="6"/>
      <c r="AW487" s="89"/>
      <c r="AX487" s="89"/>
      <c r="AY487" s="89"/>
      <c r="AZ487" s="89"/>
      <c r="BA487" s="89"/>
      <c r="BB487" s="89"/>
      <c r="BC487" s="89"/>
      <c r="BD487" s="89"/>
      <c r="BE487" s="89"/>
      <c r="BF487" s="89"/>
      <c r="BG487" s="89"/>
      <c r="BH487" s="98"/>
      <c r="BI487" s="89"/>
      <c r="BJ487" s="89"/>
      <c r="BK487" s="89"/>
      <c r="BL487" s="89"/>
      <c r="BM487" s="89"/>
      <c r="BN487" s="89"/>
      <c r="BO487" s="89"/>
      <c r="BP487" s="89"/>
      <c r="BQ487" s="89"/>
      <c r="BR487" s="89"/>
      <c r="BS487" s="89"/>
      <c r="BT487" s="89"/>
      <c r="BU487" s="89"/>
      <c r="BV487" s="89"/>
      <c r="BW487" s="89"/>
      <c r="BX487" s="89"/>
      <c r="BY487" s="89"/>
      <c r="BZ487" s="89"/>
      <c r="CA487" s="89"/>
      <c r="CB487" s="89"/>
      <c r="CC487" s="89"/>
      <c r="CD487" s="89"/>
      <c r="CE487" s="89"/>
      <c r="CF487" s="89"/>
      <c r="CG487" s="89"/>
      <c r="CH487" s="89"/>
      <c r="CI487" s="89"/>
      <c r="CJ487" s="89"/>
      <c r="CK487" s="89"/>
      <c r="CL487" s="89"/>
      <c r="CM487" s="89"/>
      <c r="CN487" s="89"/>
      <c r="CO487" s="98"/>
      <c r="CP487" s="98"/>
      <c r="CQ487" s="98"/>
      <c r="CR487" s="98"/>
      <c r="CS487" s="98"/>
      <c r="CT487" s="1247"/>
      <c r="CU487" s="1247"/>
      <c r="CV487" s="1247"/>
      <c r="CW487" s="98"/>
      <c r="CX487" s="98"/>
      <c r="CY487" s="1247"/>
      <c r="CZ487" s="1247"/>
      <c r="DA487" s="1247"/>
      <c r="DB487" s="98"/>
      <c r="DC487" s="2925"/>
      <c r="DD487" s="98"/>
      <c r="DE487" s="98"/>
      <c r="DF487" s="98"/>
      <c r="DG487" s="98"/>
      <c r="DH487" s="98"/>
      <c r="DI487" s="98"/>
      <c r="DJ487" s="98"/>
      <c r="DK487" s="98"/>
      <c r="DL487" s="98"/>
      <c r="DM487" s="98"/>
      <c r="DN487" s="98"/>
      <c r="DO487" s="98"/>
      <c r="DP487" s="98"/>
      <c r="DQ487" s="98"/>
      <c r="DR487" s="98"/>
    </row>
    <row r="488" spans="1:122">
      <c r="A488" s="6" t="s">
        <v>1012</v>
      </c>
      <c r="B488" s="38"/>
      <c r="C488" s="38"/>
      <c r="D488" s="38"/>
      <c r="E488" s="38"/>
      <c r="F488" s="38"/>
      <c r="G488" s="38"/>
      <c r="H488" s="38"/>
      <c r="I488" s="842">
        <f>I554</f>
        <v>1781.3000000000004</v>
      </c>
      <c r="J488" s="842">
        <f t="shared" ref="J488:Z488" si="712">J554</f>
        <v>1839.6999999999996</v>
      </c>
      <c r="K488" s="842">
        <f t="shared" si="712"/>
        <v>1884.3999999999999</v>
      </c>
      <c r="L488" s="842">
        <f t="shared" si="712"/>
        <v>1665.6</v>
      </c>
      <c r="M488" s="842">
        <f>M554</f>
        <v>1548.5</v>
      </c>
      <c r="N488" s="842">
        <f t="shared" si="712"/>
        <v>1578.1000000000001</v>
      </c>
      <c r="O488" s="919"/>
      <c r="P488" s="842"/>
      <c r="Q488" s="842"/>
      <c r="R488" s="842">
        <f t="shared" si="712"/>
        <v>1464.1999999999998</v>
      </c>
      <c r="S488" s="842">
        <f t="shared" si="712"/>
        <v>1425.4</v>
      </c>
      <c r="T488" s="842">
        <f t="shared" si="712"/>
        <v>1496</v>
      </c>
      <c r="U488" s="842">
        <f t="shared" si="712"/>
        <v>1582</v>
      </c>
      <c r="V488" s="842">
        <f>V554</f>
        <v>1697</v>
      </c>
      <c r="W488" s="842">
        <f>W554</f>
        <v>1817</v>
      </c>
      <c r="X488" s="842"/>
      <c r="Y488" s="1559"/>
      <c r="Z488" s="1559">
        <f t="shared" si="712"/>
        <v>1957</v>
      </c>
      <c r="AA488" s="1559">
        <f t="shared" ref="AA488" si="713">AA554</f>
        <v>2439</v>
      </c>
      <c r="AB488" s="1559"/>
      <c r="AC488" s="1559">
        <f t="shared" ref="AC488:AH488" si="714">AC554</f>
        <v>2294.7328113860767</v>
      </c>
      <c r="AD488" s="842">
        <f t="shared" si="714"/>
        <v>2555.6363003359766</v>
      </c>
      <c r="AE488" s="842">
        <f>AE554</f>
        <v>2764.8730228428335</v>
      </c>
      <c r="AF488" s="842">
        <f t="shared" si="714"/>
        <v>3018.1247244446804</v>
      </c>
      <c r="AG488" s="842">
        <f t="shared" si="714"/>
        <v>3251.4586626352648</v>
      </c>
      <c r="AH488" s="842">
        <f t="shared" si="714"/>
        <v>3594.7704986910203</v>
      </c>
      <c r="AI488" s="842">
        <f t="shared" ref="AI488:AN488" si="715">AI554</f>
        <v>3880.4074711154226</v>
      </c>
      <c r="AJ488" s="842">
        <f t="shared" si="715"/>
        <v>4260.6736528026104</v>
      </c>
      <c r="AK488" s="842">
        <f t="shared" si="715"/>
        <v>4585.1288831015672</v>
      </c>
      <c r="AL488" s="1559">
        <f t="shared" si="715"/>
        <v>4958.3448079028794</v>
      </c>
      <c r="AM488" s="1559">
        <f t="shared" si="715"/>
        <v>5328.9877067696507</v>
      </c>
      <c r="AN488" s="1559">
        <f t="shared" si="715"/>
        <v>5982.2437223303677</v>
      </c>
      <c r="AO488" s="842"/>
      <c r="AP488" s="842"/>
      <c r="AQ488" s="842"/>
      <c r="AR488" s="842"/>
      <c r="AS488" s="842"/>
      <c r="AT488" s="127"/>
      <c r="AU488" s="11"/>
      <c r="AV488" s="6"/>
      <c r="AW488" s="89"/>
      <c r="AX488" s="89"/>
      <c r="AY488" s="89"/>
      <c r="AZ488" s="89"/>
      <c r="BA488" s="89"/>
      <c r="BB488" s="89"/>
      <c r="BC488" s="89"/>
      <c r="BD488" s="89"/>
      <c r="BE488" s="89"/>
      <c r="BF488" s="89"/>
      <c r="BG488" s="89"/>
      <c r="BH488" s="98"/>
      <c r="BI488" s="89"/>
      <c r="BJ488" s="89"/>
      <c r="BK488" s="89"/>
      <c r="BL488" s="89"/>
      <c r="BM488" s="89"/>
      <c r="BN488" s="89"/>
      <c r="BO488" s="89"/>
      <c r="BP488" s="89"/>
      <c r="BQ488" s="89"/>
      <c r="BR488" s="89"/>
      <c r="BS488" s="89"/>
      <c r="BT488" s="89"/>
      <c r="BU488" s="89"/>
      <c r="BV488" s="89"/>
      <c r="BW488" s="89"/>
      <c r="BX488" s="89"/>
      <c r="BY488" s="89"/>
      <c r="BZ488" s="89"/>
      <c r="CA488" s="89"/>
      <c r="CB488" s="89"/>
      <c r="CC488" s="89"/>
      <c r="CD488" s="89"/>
      <c r="CE488" s="89"/>
      <c r="CF488" s="89"/>
      <c r="CG488" s="89"/>
      <c r="CH488" s="89"/>
      <c r="CI488" s="89"/>
      <c r="CJ488" s="89"/>
      <c r="CK488" s="89"/>
      <c r="CL488" s="89"/>
      <c r="CM488" s="89"/>
      <c r="CN488" s="89"/>
      <c r="CO488" s="98"/>
      <c r="CP488" s="98"/>
      <c r="CQ488" s="98"/>
      <c r="CR488" s="98"/>
      <c r="CS488" s="98"/>
      <c r="CT488" s="1247"/>
      <c r="CU488" s="1247"/>
      <c r="CV488" s="1247"/>
      <c r="CW488" s="98"/>
      <c r="CX488" s="98"/>
      <c r="CY488" s="1247"/>
      <c r="CZ488" s="1247"/>
      <c r="DA488" s="1247"/>
      <c r="DB488" s="98"/>
      <c r="DC488" s="2925"/>
      <c r="DD488" s="98"/>
      <c r="DE488" s="98"/>
      <c r="DF488" s="98"/>
      <c r="DG488" s="98"/>
      <c r="DH488" s="98"/>
      <c r="DI488" s="98"/>
      <c r="DJ488" s="98"/>
      <c r="DK488" s="98"/>
      <c r="DL488" s="98"/>
      <c r="DM488" s="98"/>
      <c r="DN488" s="98"/>
      <c r="DO488" s="98"/>
      <c r="DP488" s="98"/>
      <c r="DQ488" s="98"/>
      <c r="DR488" s="98"/>
    </row>
    <row r="489" spans="1:122">
      <c r="A489" s="121" t="s">
        <v>440</v>
      </c>
      <c r="B489" s="38"/>
      <c r="C489" s="38"/>
      <c r="D489" s="38"/>
      <c r="E489" s="38"/>
      <c r="F489" s="38"/>
      <c r="G489" s="38"/>
      <c r="H489" s="38"/>
      <c r="I489" s="38">
        <f>I488/I473</f>
        <v>0.13141761038769414</v>
      </c>
      <c r="J489" s="38">
        <f t="shared" ref="J489:U489" si="716">J488/J473</f>
        <v>0.12646332996501067</v>
      </c>
      <c r="K489" s="38">
        <f t="shared" si="716"/>
        <v>0.1296331966649239</v>
      </c>
      <c r="L489" s="39">
        <f t="shared" si="716"/>
        <v>0.11631122470356559</v>
      </c>
      <c r="M489" s="39">
        <f t="shared" si="716"/>
        <v>0.11003417916705158</v>
      </c>
      <c r="N489" s="38">
        <f t="shared" si="716"/>
        <v>0.11312220438123639</v>
      </c>
      <c r="O489" s="919"/>
      <c r="P489" s="38"/>
      <c r="Q489" s="38"/>
      <c r="R489" s="38">
        <f t="shared" si="716"/>
        <v>0.11250441811504001</v>
      </c>
      <c r="S489" s="38">
        <f t="shared" si="716"/>
        <v>0.10138124297642927</v>
      </c>
      <c r="T489" s="38">
        <f t="shared" si="716"/>
        <v>0.10970154726112781</v>
      </c>
      <c r="U489" s="38">
        <f t="shared" si="716"/>
        <v>0.11237710973461387</v>
      </c>
      <c r="V489" s="38">
        <f>V488/V473</f>
        <v>0.111031143679665</v>
      </c>
      <c r="W489" s="38">
        <f>W488/W473</f>
        <v>0.13160944516876721</v>
      </c>
      <c r="X489" s="38"/>
      <c r="Y489" s="1110"/>
      <c r="Z489" s="1110">
        <f t="shared" ref="Z489:AH489" si="717">Z488/Z473</f>
        <v>0.14093331412933893</v>
      </c>
      <c r="AA489" s="1110">
        <f t="shared" ref="AA489" si="718">AA488/AA473</f>
        <v>0.16953983039065759</v>
      </c>
      <c r="AB489" s="1110"/>
      <c r="AC489" s="1110">
        <f t="shared" si="717"/>
        <v>0.16925428175174836</v>
      </c>
      <c r="AD489" s="39">
        <f t="shared" si="717"/>
        <v>0.17717564470130043</v>
      </c>
      <c r="AE489" s="39">
        <f t="shared" si="717"/>
        <v>0.1786859790579268</v>
      </c>
      <c r="AF489" s="39">
        <f t="shared" si="717"/>
        <v>0.19010631105372669</v>
      </c>
      <c r="AG489" s="39">
        <f t="shared" si="717"/>
        <v>0.19756451772598191</v>
      </c>
      <c r="AH489" s="39">
        <f t="shared" si="717"/>
        <v>0.20504868928745179</v>
      </c>
      <c r="AI489" s="39">
        <f t="shared" ref="AI489:AN489" si="719">AI488/AI473</f>
        <v>0.22264204000912063</v>
      </c>
      <c r="AJ489" s="39">
        <f t="shared" si="719"/>
        <v>0.23727377261475574</v>
      </c>
      <c r="AK489" s="39">
        <f t="shared" si="719"/>
        <v>0.24235361072590592</v>
      </c>
      <c r="AL489" s="1110">
        <f t="shared" si="719"/>
        <v>0.26437737893939534</v>
      </c>
      <c r="AM489" s="1110">
        <f t="shared" si="719"/>
        <v>0.27844095744083514</v>
      </c>
      <c r="AN489" s="1110">
        <f t="shared" si="719"/>
        <v>0.29351947188970973</v>
      </c>
      <c r="AO489" s="39"/>
      <c r="AP489" s="39"/>
      <c r="AQ489" s="39"/>
      <c r="AR489" s="39"/>
      <c r="AS489" s="39"/>
      <c r="AT489" s="39"/>
      <c r="AU489" s="11"/>
      <c r="AV489" s="6"/>
      <c r="AW489" s="89"/>
      <c r="AX489" s="89"/>
      <c r="AY489" s="89"/>
      <c r="AZ489" s="89"/>
      <c r="BA489" s="89"/>
      <c r="BB489" s="89"/>
      <c r="BC489" s="89"/>
      <c r="BD489" s="89"/>
      <c r="BE489" s="89"/>
      <c r="BF489" s="89"/>
      <c r="BG489" s="89"/>
      <c r="BH489" s="98"/>
      <c r="BI489" s="89"/>
      <c r="BJ489" s="89"/>
      <c r="BK489" s="89"/>
      <c r="BL489" s="89"/>
      <c r="BM489" s="89"/>
      <c r="BN489" s="89"/>
      <c r="BO489" s="89"/>
      <c r="BP489" s="89"/>
      <c r="BQ489" s="89"/>
      <c r="BR489" s="89"/>
      <c r="BS489" s="89"/>
      <c r="BT489" s="89"/>
      <c r="BU489" s="89"/>
      <c r="BV489" s="89"/>
      <c r="BW489" s="89"/>
      <c r="BX489" s="89"/>
      <c r="BY489" s="89"/>
      <c r="BZ489" s="89"/>
      <c r="CA489" s="89"/>
      <c r="CB489" s="89"/>
      <c r="CC489" s="89"/>
      <c r="CD489" s="89"/>
      <c r="CE489" s="89"/>
      <c r="CF489" s="89"/>
      <c r="CG489" s="89"/>
      <c r="CH489" s="89"/>
      <c r="CI489" s="89"/>
      <c r="CJ489" s="89"/>
      <c r="CK489" s="89"/>
      <c r="CL489" s="89"/>
      <c r="CM489" s="89"/>
      <c r="CN489" s="89"/>
      <c r="CO489" s="98"/>
      <c r="CP489" s="98"/>
      <c r="CQ489" s="98"/>
      <c r="CR489" s="98"/>
      <c r="CS489" s="98"/>
      <c r="CT489" s="1247"/>
      <c r="CU489" s="1247"/>
      <c r="CV489" s="1247"/>
      <c r="CW489" s="98"/>
      <c r="CX489" s="98"/>
      <c r="CY489" s="1247"/>
      <c r="CZ489" s="1247"/>
      <c r="DA489" s="1247"/>
      <c r="DB489" s="98"/>
      <c r="DC489" s="2925"/>
      <c r="DD489" s="98"/>
      <c r="DE489" s="98"/>
      <c r="DF489" s="98"/>
      <c r="DG489" s="98"/>
      <c r="DH489" s="98"/>
      <c r="DI489" s="98"/>
      <c r="DJ489" s="98"/>
      <c r="DK489" s="98"/>
      <c r="DL489" s="98"/>
      <c r="DM489" s="98"/>
      <c r="DN489" s="98"/>
      <c r="DO489" s="98"/>
      <c r="DP489" s="98"/>
      <c r="DQ489" s="98"/>
      <c r="DR489" s="98"/>
    </row>
    <row r="490" spans="1:122">
      <c r="A490" s="121" t="s">
        <v>976</v>
      </c>
      <c r="B490" s="38"/>
      <c r="C490" s="38"/>
      <c r="D490" s="38"/>
      <c r="E490" s="38"/>
      <c r="F490" s="38"/>
      <c r="G490" s="38"/>
      <c r="H490" s="38"/>
      <c r="I490" s="123">
        <f t="shared" ref="I490:N490" si="720">I203</f>
        <v>0</v>
      </c>
      <c r="J490" s="123">
        <f t="shared" si="720"/>
        <v>0</v>
      </c>
      <c r="K490" s="123">
        <f t="shared" si="720"/>
        <v>0</v>
      </c>
      <c r="L490" s="98">
        <f t="shared" si="720"/>
        <v>0</v>
      </c>
      <c r="M490" s="98">
        <f t="shared" si="720"/>
        <v>0</v>
      </c>
      <c r="N490" s="89">
        <f t="shared" si="720"/>
        <v>0</v>
      </c>
      <c r="O490" s="919"/>
      <c r="P490" s="89"/>
      <c r="Q490" s="89"/>
      <c r="R490" s="89">
        <f t="shared" ref="R490:W490" si="721">R203</f>
        <v>0</v>
      </c>
      <c r="S490" s="89">
        <f t="shared" si="721"/>
        <v>0</v>
      </c>
      <c r="T490" s="89">
        <f t="shared" si="721"/>
        <v>0</v>
      </c>
      <c r="U490" s="89">
        <f t="shared" si="721"/>
        <v>0</v>
      </c>
      <c r="V490" s="89">
        <f t="shared" si="721"/>
        <v>0</v>
      </c>
      <c r="W490" s="89">
        <f t="shared" si="721"/>
        <v>0</v>
      </c>
      <c r="X490" s="89"/>
      <c r="Y490" s="1689"/>
      <c r="Z490" s="1689">
        <f t="shared" ref="Z490:AK490" si="722">Z203</f>
        <v>0</v>
      </c>
      <c r="AA490" s="1689">
        <f t="shared" ref="AA490" si="723">AA203</f>
        <v>0</v>
      </c>
      <c r="AB490" s="1689"/>
      <c r="AC490" s="1689">
        <f>AC203</f>
        <v>0</v>
      </c>
      <c r="AD490" s="98">
        <f t="shared" si="722"/>
        <v>0</v>
      </c>
      <c r="AE490" s="98">
        <f t="shared" si="722"/>
        <v>0</v>
      </c>
      <c r="AF490" s="98">
        <f t="shared" si="722"/>
        <v>0</v>
      </c>
      <c r="AG490" s="98">
        <f t="shared" si="722"/>
        <v>0</v>
      </c>
      <c r="AH490" s="98">
        <f t="shared" si="722"/>
        <v>0</v>
      </c>
      <c r="AI490" s="98">
        <f t="shared" si="722"/>
        <v>0</v>
      </c>
      <c r="AJ490" s="98">
        <f t="shared" si="722"/>
        <v>0</v>
      </c>
      <c r="AK490" s="98">
        <f t="shared" si="722"/>
        <v>0</v>
      </c>
      <c r="AL490" s="1689">
        <f>AL203</f>
        <v>0</v>
      </c>
      <c r="AM490" s="1689">
        <f>AM203</f>
        <v>0</v>
      </c>
      <c r="AN490" s="1689">
        <f>AN203</f>
        <v>0</v>
      </c>
      <c r="AO490" s="98"/>
      <c r="AP490" s="98"/>
      <c r="AQ490" s="98"/>
      <c r="AR490" s="98"/>
      <c r="AS490" s="98"/>
      <c r="AT490" s="98"/>
      <c r="AU490" s="11"/>
      <c r="AV490" s="6"/>
      <c r="AW490" s="89"/>
      <c r="AX490" s="89"/>
      <c r="AY490" s="89"/>
      <c r="AZ490" s="89"/>
      <c r="BA490" s="89"/>
      <c r="BB490" s="89"/>
      <c r="BC490" s="89"/>
      <c r="BD490" s="89"/>
      <c r="BE490" s="89"/>
      <c r="BF490" s="89"/>
      <c r="BG490" s="89"/>
      <c r="BH490" s="98"/>
      <c r="BI490" s="89"/>
      <c r="BJ490" s="89"/>
      <c r="BK490" s="89"/>
      <c r="BL490" s="89"/>
      <c r="BM490" s="89"/>
      <c r="BN490" s="89"/>
      <c r="BO490" s="89"/>
      <c r="BP490" s="89"/>
      <c r="BQ490" s="89"/>
      <c r="BR490" s="89"/>
      <c r="BS490" s="89"/>
      <c r="BT490" s="89"/>
      <c r="BU490" s="89"/>
      <c r="BV490" s="89"/>
      <c r="BW490" s="89"/>
      <c r="BX490" s="89"/>
      <c r="BY490" s="89"/>
      <c r="BZ490" s="89"/>
      <c r="CA490" s="89"/>
      <c r="CB490" s="89"/>
      <c r="CC490" s="89"/>
      <c r="CD490" s="89"/>
      <c r="CE490" s="89"/>
      <c r="CF490" s="89"/>
      <c r="CG490" s="89"/>
      <c r="CH490" s="89"/>
      <c r="CI490" s="89"/>
      <c r="CJ490" s="89"/>
      <c r="CK490" s="89"/>
      <c r="CL490" s="89"/>
      <c r="CM490" s="89"/>
      <c r="CN490" s="89"/>
      <c r="CO490" s="98"/>
      <c r="CP490" s="98"/>
      <c r="CQ490" s="98"/>
      <c r="CR490" s="98"/>
      <c r="CS490" s="98"/>
      <c r="CT490" s="1247"/>
      <c r="CU490" s="1247"/>
      <c r="CV490" s="1247"/>
      <c r="CW490" s="98"/>
      <c r="CX490" s="98"/>
      <c r="CY490" s="1247"/>
      <c r="CZ490" s="1247"/>
      <c r="DA490" s="1247"/>
      <c r="DB490" s="98"/>
      <c r="DC490" s="2925"/>
      <c r="DD490" s="98"/>
      <c r="DE490" s="98"/>
      <c r="DF490" s="98"/>
      <c r="DG490" s="98"/>
      <c r="DH490" s="98"/>
      <c r="DI490" s="98"/>
      <c r="DJ490" s="98"/>
      <c r="DK490" s="98"/>
      <c r="DL490" s="98"/>
      <c r="DM490" s="98"/>
      <c r="DN490" s="98"/>
      <c r="DO490" s="98"/>
      <c r="DP490" s="98"/>
      <c r="DQ490" s="98"/>
      <c r="DR490" s="98"/>
    </row>
    <row r="491" spans="1:122">
      <c r="A491" s="121" t="s">
        <v>440</v>
      </c>
      <c r="B491" s="123"/>
      <c r="C491" s="123"/>
      <c r="D491" s="123"/>
      <c r="E491" s="123"/>
      <c r="F491" s="123"/>
      <c r="G491" s="123"/>
      <c r="H491" s="123"/>
      <c r="I491" s="38">
        <f>I490/I473</f>
        <v>0</v>
      </c>
      <c r="J491" s="38">
        <f t="shared" ref="J491:U491" si="724">J490/J473</f>
        <v>0</v>
      </c>
      <c r="K491" s="38">
        <f t="shared" si="724"/>
        <v>0</v>
      </c>
      <c r="L491" s="39">
        <f t="shared" si="724"/>
        <v>0</v>
      </c>
      <c r="M491" s="39">
        <f t="shared" si="724"/>
        <v>0</v>
      </c>
      <c r="N491" s="38">
        <f t="shared" si="724"/>
        <v>0</v>
      </c>
      <c r="O491" s="919"/>
      <c r="P491" s="38"/>
      <c r="Q491" s="38"/>
      <c r="R491" s="38">
        <f t="shared" si="724"/>
        <v>0</v>
      </c>
      <c r="S491" s="38">
        <f t="shared" si="724"/>
        <v>0</v>
      </c>
      <c r="T491" s="38">
        <f t="shared" si="724"/>
        <v>0</v>
      </c>
      <c r="U491" s="38">
        <f t="shared" si="724"/>
        <v>0</v>
      </c>
      <c r="V491" s="38">
        <f>V490/V473</f>
        <v>0</v>
      </c>
      <c r="W491" s="38">
        <f t="shared" ref="W491:AH491" si="725">W490/W473</f>
        <v>0</v>
      </c>
      <c r="X491" s="38"/>
      <c r="Y491" s="1110"/>
      <c r="Z491" s="1110">
        <f t="shared" si="725"/>
        <v>0</v>
      </c>
      <c r="AA491" s="1110">
        <f t="shared" ref="AA491" si="726">AA490/AA473</f>
        <v>0</v>
      </c>
      <c r="AB491" s="1110"/>
      <c r="AC491" s="1110">
        <f t="shared" si="725"/>
        <v>0</v>
      </c>
      <c r="AD491" s="39">
        <f t="shared" si="725"/>
        <v>0</v>
      </c>
      <c r="AE491" s="39">
        <f t="shared" si="725"/>
        <v>0</v>
      </c>
      <c r="AF491" s="39">
        <f t="shared" si="725"/>
        <v>0</v>
      </c>
      <c r="AG491" s="39">
        <f t="shared" si="725"/>
        <v>0</v>
      </c>
      <c r="AH491" s="39">
        <f t="shared" si="725"/>
        <v>0</v>
      </c>
      <c r="AI491" s="39">
        <f t="shared" ref="AI491:AN491" si="727">AI490/AI473</f>
        <v>0</v>
      </c>
      <c r="AJ491" s="39">
        <f t="shared" si="727"/>
        <v>0</v>
      </c>
      <c r="AK491" s="39">
        <f t="shared" si="727"/>
        <v>0</v>
      </c>
      <c r="AL491" s="1110">
        <f t="shared" si="727"/>
        <v>0</v>
      </c>
      <c r="AM491" s="1110">
        <f t="shared" si="727"/>
        <v>0</v>
      </c>
      <c r="AN491" s="1110">
        <f t="shared" si="727"/>
        <v>0</v>
      </c>
      <c r="AO491" s="39"/>
      <c r="AP491" s="39"/>
      <c r="AQ491" s="39"/>
      <c r="AR491" s="39"/>
      <c r="AS491" s="39"/>
      <c r="AT491" s="39"/>
      <c r="AU491" s="11"/>
      <c r="AV491" s="6"/>
      <c r="AW491" s="89"/>
      <c r="AX491" s="89"/>
      <c r="AY491" s="89"/>
      <c r="AZ491" s="89"/>
      <c r="BA491" s="89"/>
      <c r="BB491" s="89"/>
      <c r="BC491" s="89"/>
      <c r="BD491" s="89"/>
      <c r="BE491" s="89"/>
      <c r="BF491" s="89"/>
      <c r="BG491" s="89"/>
      <c r="BH491" s="98"/>
      <c r="BI491" s="89"/>
      <c r="BJ491" s="89"/>
      <c r="BK491" s="89"/>
      <c r="BL491" s="89"/>
      <c r="BM491" s="89"/>
      <c r="BN491" s="89"/>
      <c r="BO491" s="89"/>
      <c r="BP491" s="89"/>
      <c r="BQ491" s="89"/>
      <c r="BR491" s="89"/>
      <c r="BS491" s="89"/>
      <c r="BT491" s="89"/>
      <c r="BU491" s="89"/>
      <c r="BV491" s="89"/>
      <c r="BW491" s="89"/>
      <c r="BX491" s="89"/>
      <c r="BY491" s="89"/>
      <c r="BZ491" s="89"/>
      <c r="CA491" s="89"/>
      <c r="CB491" s="89"/>
      <c r="CC491" s="89"/>
      <c r="CD491" s="89"/>
      <c r="CE491" s="89"/>
      <c r="CF491" s="89"/>
      <c r="CG491" s="89"/>
      <c r="CH491" s="89"/>
      <c r="CI491" s="89"/>
      <c r="CJ491" s="89"/>
      <c r="CK491" s="89"/>
      <c r="CL491" s="89"/>
      <c r="CM491" s="89"/>
      <c r="CN491" s="89"/>
      <c r="CO491" s="98"/>
      <c r="CP491" s="98"/>
      <c r="CQ491" s="98"/>
      <c r="CR491" s="98"/>
      <c r="CS491" s="98"/>
      <c r="CT491" s="1247"/>
      <c r="CU491" s="1247"/>
      <c r="CV491" s="1247"/>
      <c r="CW491" s="98"/>
      <c r="CX491" s="98"/>
      <c r="CY491" s="1247"/>
      <c r="CZ491" s="1247"/>
      <c r="DA491" s="1247"/>
      <c r="DB491" s="98"/>
      <c r="DC491" s="2925"/>
      <c r="DD491" s="98"/>
      <c r="DE491" s="98"/>
      <c r="DF491" s="98"/>
      <c r="DG491" s="98"/>
      <c r="DH491" s="98"/>
      <c r="DI491" s="98"/>
      <c r="DJ491" s="98"/>
      <c r="DK491" s="98"/>
      <c r="DL491" s="98"/>
      <c r="DM491" s="98"/>
      <c r="DN491" s="98"/>
      <c r="DO491" s="98"/>
      <c r="DP491" s="98"/>
      <c r="DQ491" s="98"/>
      <c r="DR491" s="98"/>
    </row>
    <row r="492" spans="1:122">
      <c r="A492" s="6" t="s">
        <v>1010</v>
      </c>
      <c r="B492" s="123"/>
      <c r="C492" s="123"/>
      <c r="D492" s="123"/>
      <c r="E492" s="123"/>
      <c r="F492" s="123"/>
      <c r="G492" s="123"/>
      <c r="H492" s="123"/>
      <c r="I492" s="192">
        <f t="shared" ref="I492:N492" si="728">I205</f>
        <v>1262.6999999999998</v>
      </c>
      <c r="J492" s="192">
        <f t="shared" si="728"/>
        <v>1405.1</v>
      </c>
      <c r="K492" s="192">
        <f t="shared" si="728"/>
        <v>1575.8</v>
      </c>
      <c r="L492" s="192">
        <f t="shared" si="728"/>
        <v>1553.2</v>
      </c>
      <c r="M492" s="192">
        <f t="shared" si="728"/>
        <v>1297.4000000000001</v>
      </c>
      <c r="N492" s="192">
        <f t="shared" si="728"/>
        <v>1260.9000000000001</v>
      </c>
      <c r="O492" s="919"/>
      <c r="P492" s="192"/>
      <c r="Q492" s="192"/>
      <c r="R492" s="192">
        <f t="shared" ref="R492:W492" si="729">R205</f>
        <v>1489.9</v>
      </c>
      <c r="S492" s="192">
        <f t="shared" si="729"/>
        <v>1468.8</v>
      </c>
      <c r="T492" s="192">
        <f t="shared" si="729"/>
        <v>1643</v>
      </c>
      <c r="U492" s="192">
        <f t="shared" si="729"/>
        <v>1789</v>
      </c>
      <c r="V492" s="192">
        <f t="shared" si="729"/>
        <v>2053</v>
      </c>
      <c r="W492" s="192">
        <f t="shared" si="729"/>
        <v>2488</v>
      </c>
      <c r="X492" s="192"/>
      <c r="Y492" s="1368"/>
      <c r="Z492" s="1368">
        <f>Z205</f>
        <v>2633</v>
      </c>
      <c r="AA492" s="1368">
        <f>AA205</f>
        <v>2707</v>
      </c>
      <c r="AB492" s="1368"/>
      <c r="AC492" s="1368">
        <f t="shared" ref="AC492:AH492" si="730">AC493*AC473</f>
        <v>2578.2932146695889</v>
      </c>
      <c r="AD492" s="1368">
        <f t="shared" si="730"/>
        <v>2627.6627696698233</v>
      </c>
      <c r="AE492" s="1368">
        <f t="shared" si="730"/>
        <v>2865.1879833270377</v>
      </c>
      <c r="AF492" s="192">
        <f t="shared" si="730"/>
        <v>2844.4849961078453</v>
      </c>
      <c r="AG492" s="192">
        <f t="shared" si="730"/>
        <v>2891.1095550393647</v>
      </c>
      <c r="AH492" s="192">
        <f t="shared" si="730"/>
        <v>2956.9881122314064</v>
      </c>
      <c r="AI492" s="192">
        <f t="shared" ref="AI492:AN492" si="731">AI493*AI473</f>
        <v>2713.1414948107654</v>
      </c>
      <c r="AJ492" s="192">
        <f t="shared" si="731"/>
        <v>2481.071710165932</v>
      </c>
      <c r="AK492" s="192">
        <f t="shared" si="731"/>
        <v>2462.6902976089723</v>
      </c>
      <c r="AL492" s="1368">
        <f t="shared" si="731"/>
        <v>2028.6889358339206</v>
      </c>
      <c r="AM492" s="1368">
        <f t="shared" si="731"/>
        <v>1763.9924679472667</v>
      </c>
      <c r="AN492" s="1368">
        <f t="shared" si="731"/>
        <v>1297.6440426139238</v>
      </c>
      <c r="AO492" s="192"/>
      <c r="AP492" s="192"/>
      <c r="AQ492" s="192"/>
      <c r="AR492" s="192"/>
      <c r="AS492" s="192"/>
      <c r="AT492" s="95"/>
      <c r="AU492" s="11"/>
      <c r="AV492" s="6"/>
      <c r="AW492" s="89"/>
      <c r="AX492" s="89"/>
      <c r="AY492" s="89"/>
      <c r="AZ492" s="89"/>
      <c r="BA492" s="89"/>
      <c r="BB492" s="89"/>
      <c r="BC492" s="89"/>
      <c r="BD492" s="89"/>
      <c r="BE492" s="89"/>
      <c r="BF492" s="89"/>
      <c r="BG492" s="89"/>
      <c r="BH492" s="98"/>
      <c r="BI492" s="89"/>
      <c r="BJ492" s="89"/>
      <c r="BK492" s="89"/>
      <c r="BL492" s="89"/>
      <c r="BM492" s="89"/>
      <c r="BN492" s="89"/>
      <c r="BO492" s="89"/>
      <c r="BP492" s="89"/>
      <c r="BQ492" s="89"/>
      <c r="BR492" s="89"/>
      <c r="BS492" s="89"/>
      <c r="BT492" s="89"/>
      <c r="BU492" s="89"/>
      <c r="BV492" s="89"/>
      <c r="BW492" s="89"/>
      <c r="BX492" s="89"/>
      <c r="BY492" s="89"/>
      <c r="BZ492" s="89"/>
      <c r="CA492" s="89"/>
      <c r="CB492" s="89"/>
      <c r="CC492" s="89"/>
      <c r="CD492" s="89"/>
      <c r="CE492" s="89"/>
      <c r="CF492" s="89"/>
      <c r="CG492" s="89"/>
      <c r="CH492" s="89"/>
      <c r="CI492" s="89"/>
      <c r="CJ492" s="89"/>
      <c r="CK492" s="89"/>
      <c r="CL492" s="89"/>
      <c r="CM492" s="89"/>
      <c r="CN492" s="89"/>
      <c r="CO492" s="98"/>
      <c r="CP492" s="98"/>
      <c r="CQ492" s="98"/>
      <c r="CR492" s="98"/>
      <c r="CS492" s="98"/>
      <c r="CT492" s="1247"/>
      <c r="CU492" s="1247"/>
      <c r="CV492" s="1247"/>
      <c r="CW492" s="98"/>
      <c r="CX492" s="98"/>
      <c r="CY492" s="1247"/>
      <c r="CZ492" s="1247"/>
      <c r="DA492" s="1247"/>
      <c r="DB492" s="98"/>
      <c r="DC492" s="2925"/>
      <c r="DD492" s="98"/>
      <c r="DE492" s="98"/>
      <c r="DF492" s="98"/>
      <c r="DG492" s="98"/>
      <c r="DH492" s="98"/>
      <c r="DI492" s="98"/>
      <c r="DJ492" s="98"/>
      <c r="DK492" s="98"/>
      <c r="DL492" s="98"/>
      <c r="DM492" s="98"/>
      <c r="DN492" s="98"/>
      <c r="DO492" s="98"/>
      <c r="DP492" s="98"/>
      <c r="DQ492" s="98"/>
      <c r="DR492" s="98"/>
    </row>
    <row r="493" spans="1:122">
      <c r="A493" s="121" t="s">
        <v>440</v>
      </c>
      <c r="B493" s="38"/>
      <c r="C493" s="38"/>
      <c r="D493" s="38"/>
      <c r="E493" s="38"/>
      <c r="F493" s="38"/>
      <c r="G493" s="38"/>
      <c r="H493" s="38"/>
      <c r="I493" s="38">
        <f t="shared" ref="I493:N493" si="732">I492/I473</f>
        <v>9.3157254048470972E-2</v>
      </c>
      <c r="J493" s="38">
        <f t="shared" si="732"/>
        <v>9.6588370350511779E-2</v>
      </c>
      <c r="K493" s="38">
        <f t="shared" si="732"/>
        <v>0.10840373132274841</v>
      </c>
      <c r="L493" s="38">
        <f t="shared" si="732"/>
        <v>0.1084621723160291</v>
      </c>
      <c r="M493" s="38">
        <f t="shared" si="732"/>
        <v>9.2191374912065041E-2</v>
      </c>
      <c r="N493" s="38">
        <f t="shared" si="732"/>
        <v>9.0384505103796323E-2</v>
      </c>
      <c r="O493" s="919"/>
      <c r="P493" s="130"/>
      <c r="Q493" s="130"/>
      <c r="R493" s="38">
        <f t="shared" ref="R493:W493" si="733">R492/R473</f>
        <v>0.11447912344597606</v>
      </c>
      <c r="S493" s="38">
        <f t="shared" si="733"/>
        <v>0.10446805786711048</v>
      </c>
      <c r="T493" s="38">
        <f t="shared" si="733"/>
        <v>0.1204810442179365</v>
      </c>
      <c r="U493" s="38">
        <f t="shared" si="733"/>
        <v>0.12708132067966132</v>
      </c>
      <c r="V493" s="38">
        <f t="shared" si="733"/>
        <v>0.13432347552996599</v>
      </c>
      <c r="W493" s="38">
        <f t="shared" si="733"/>
        <v>0.18021150224540058</v>
      </c>
      <c r="X493" s="38"/>
      <c r="Y493" s="1110"/>
      <c r="Z493" s="1110">
        <f>Z492/Z473</f>
        <v>0.18961544001152242</v>
      </c>
      <c r="AA493" s="1110">
        <f>AA492/AA473</f>
        <v>0.18816905324621158</v>
      </c>
      <c r="AB493" s="1482"/>
      <c r="AC493" s="1482">
        <f>AA493+0.002</f>
        <v>0.19016905324621158</v>
      </c>
      <c r="AD493" s="1482">
        <f>AC493-0.008</f>
        <v>0.18216905324621158</v>
      </c>
      <c r="AE493" s="1482">
        <f>AD493+0.003</f>
        <v>0.18516905324621158</v>
      </c>
      <c r="AF493" s="1482">
        <f>AE493-0.006</f>
        <v>0.17916905324621157</v>
      </c>
      <c r="AG493" s="1482">
        <f>AF493-0.0035</f>
        <v>0.17566905324621157</v>
      </c>
      <c r="AH493" s="1482">
        <f>AG493-0.007</f>
        <v>0.16866905324621156</v>
      </c>
      <c r="AI493" s="1482">
        <f>AH493-0.013</f>
        <v>0.15566905324621155</v>
      </c>
      <c r="AJ493" s="1482">
        <f>AI493-0.0175</f>
        <v>0.13816905324621154</v>
      </c>
      <c r="AK493" s="1482">
        <f>AJ493-0.008</f>
        <v>0.13016905324621153</v>
      </c>
      <c r="AL493" s="1482">
        <f>AK493-0.022</f>
        <v>0.10816905324621154</v>
      </c>
      <c r="AM493" s="1482">
        <f>AL493-0.016</f>
        <v>9.2169053246211538E-2</v>
      </c>
      <c r="AN493" s="1482">
        <f>AM493-0.0285</f>
        <v>6.366905324621154E-2</v>
      </c>
      <c r="AO493" s="130"/>
      <c r="AP493" s="130"/>
      <c r="AQ493" s="130"/>
      <c r="AR493" s="130"/>
      <c r="AS493" s="130"/>
      <c r="AT493" s="119"/>
      <c r="AU493" s="11"/>
      <c r="AV493" s="6"/>
      <c r="AW493" s="89"/>
      <c r="AX493" s="89"/>
      <c r="AY493" s="89"/>
      <c r="AZ493" s="89"/>
      <c r="BA493" s="89"/>
      <c r="BB493" s="89"/>
      <c r="BC493" s="89"/>
      <c r="BD493" s="89"/>
      <c r="BE493" s="89"/>
      <c r="BF493" s="89"/>
      <c r="BG493" s="89"/>
      <c r="BH493" s="98"/>
      <c r="BI493" s="89"/>
      <c r="BJ493" s="89"/>
      <c r="BK493" s="89"/>
      <c r="BL493" s="89"/>
      <c r="BM493" s="89"/>
      <c r="BN493" s="89"/>
      <c r="BO493" s="89"/>
      <c r="BP493" s="89"/>
      <c r="BQ493" s="89"/>
      <c r="BR493" s="89"/>
      <c r="BS493" s="89"/>
      <c r="BT493" s="89"/>
      <c r="BU493" s="89"/>
      <c r="BV493" s="89"/>
      <c r="BW493" s="89"/>
      <c r="BX493" s="89"/>
      <c r="BY493" s="89"/>
      <c r="BZ493" s="89"/>
      <c r="CA493" s="89"/>
      <c r="CB493" s="89"/>
      <c r="CC493" s="89"/>
      <c r="CD493" s="89"/>
      <c r="CE493" s="89"/>
      <c r="CF493" s="89"/>
      <c r="CG493" s="89"/>
      <c r="CH493" s="89"/>
      <c r="CI493" s="89"/>
      <c r="CJ493" s="89"/>
      <c r="CK493" s="89"/>
      <c r="CL493" s="89"/>
      <c r="CM493" s="89"/>
      <c r="CN493" s="89"/>
      <c r="CO493" s="98"/>
      <c r="CP493" s="98"/>
      <c r="CQ493" s="98"/>
      <c r="CR493" s="98"/>
      <c r="CS493" s="98"/>
      <c r="CT493" s="1247"/>
      <c r="CU493" s="1247"/>
      <c r="CV493" s="1247"/>
      <c r="CW493" s="98"/>
      <c r="CX493" s="98"/>
      <c r="CY493" s="1247"/>
      <c r="CZ493" s="1247"/>
      <c r="DA493" s="1247"/>
      <c r="DB493" s="98"/>
      <c r="DC493" s="2925"/>
      <c r="DD493" s="98"/>
      <c r="DE493" s="98"/>
      <c r="DF493" s="98"/>
      <c r="DG493" s="98"/>
      <c r="DH493" s="98"/>
      <c r="DI493" s="98"/>
      <c r="DJ493" s="98"/>
      <c r="DK493" s="98"/>
      <c r="DL493" s="98"/>
      <c r="DM493" s="98"/>
      <c r="DN493" s="98"/>
      <c r="DO493" s="98"/>
      <c r="DP493" s="98"/>
      <c r="DQ493" s="98"/>
      <c r="DR493" s="98"/>
    </row>
    <row r="494" spans="1:122">
      <c r="A494" s="6"/>
      <c r="B494" s="6"/>
      <c r="C494" s="6"/>
      <c r="D494" s="6"/>
      <c r="E494" s="6"/>
      <c r="F494" s="6"/>
      <c r="G494" s="6"/>
      <c r="H494" s="6"/>
      <c r="I494" s="20"/>
      <c r="J494" s="20"/>
      <c r="K494" s="20"/>
      <c r="L494" s="19"/>
      <c r="M494" s="20"/>
      <c r="N494" s="20"/>
      <c r="O494" s="919"/>
      <c r="P494" s="20"/>
      <c r="Q494" s="20"/>
      <c r="R494" s="20"/>
      <c r="S494" s="20"/>
      <c r="T494" s="20"/>
      <c r="U494" s="20"/>
      <c r="V494" s="20"/>
      <c r="W494" s="20"/>
      <c r="X494" s="20"/>
      <c r="Y494" s="1642"/>
      <c r="Z494" s="1642"/>
      <c r="AA494" s="1642"/>
      <c r="AB494" s="1642"/>
      <c r="AC494" s="1642"/>
      <c r="AD494" s="1642"/>
      <c r="AE494" s="1642"/>
      <c r="AF494" s="19"/>
      <c r="AG494" s="19"/>
      <c r="AH494" s="19"/>
      <c r="AI494" s="19"/>
      <c r="AJ494" s="19"/>
      <c r="AK494" s="19"/>
      <c r="AL494" s="1642"/>
      <c r="AM494" s="1642"/>
      <c r="AN494" s="1642"/>
      <c r="AO494" s="69"/>
      <c r="AP494" s="69"/>
      <c r="AQ494" s="69"/>
      <c r="AR494" s="69"/>
      <c r="AS494" s="69"/>
      <c r="AT494" s="11"/>
      <c r="AU494" s="11"/>
      <c r="AV494" s="6"/>
      <c r="AW494" s="89"/>
      <c r="AX494" s="89"/>
      <c r="AY494" s="89"/>
      <c r="AZ494" s="89"/>
      <c r="BA494" s="89"/>
      <c r="BB494" s="89"/>
      <c r="BC494" s="89"/>
      <c r="BD494" s="89"/>
      <c r="BE494" s="89"/>
      <c r="BF494" s="89"/>
      <c r="BG494" s="89"/>
      <c r="BH494" s="98"/>
      <c r="BI494" s="89"/>
      <c r="BJ494" s="89"/>
      <c r="BK494" s="89"/>
      <c r="BL494" s="89"/>
      <c r="BM494" s="89"/>
      <c r="BN494" s="89"/>
      <c r="BO494" s="89"/>
      <c r="BP494" s="89"/>
      <c r="BQ494" s="89"/>
      <c r="BR494" s="89"/>
      <c r="BS494" s="89"/>
      <c r="BT494" s="89"/>
      <c r="BU494" s="89"/>
      <c r="BV494" s="89"/>
      <c r="BW494" s="89"/>
      <c r="BX494" s="89"/>
      <c r="BY494" s="89"/>
      <c r="BZ494" s="89"/>
      <c r="CA494" s="89"/>
      <c r="CB494" s="89"/>
      <c r="CC494" s="89"/>
      <c r="CD494" s="89"/>
      <c r="CE494" s="89"/>
      <c r="CF494" s="89"/>
      <c r="CG494" s="89"/>
      <c r="CH494" s="89"/>
      <c r="CI494" s="89"/>
      <c r="CJ494" s="89"/>
      <c r="CK494" s="89"/>
      <c r="CL494" s="89"/>
      <c r="CM494" s="89"/>
      <c r="CN494" s="89"/>
      <c r="CO494" s="98"/>
      <c r="CP494" s="98"/>
      <c r="CQ494" s="98"/>
      <c r="CR494" s="98"/>
      <c r="CS494" s="98"/>
      <c r="CT494" s="1247"/>
      <c r="CU494" s="1247"/>
      <c r="CV494" s="1247"/>
      <c r="CW494" s="98"/>
      <c r="CX494" s="98"/>
      <c r="CY494" s="1247"/>
      <c r="CZ494" s="1247"/>
      <c r="DA494" s="1247"/>
      <c r="DB494" s="98"/>
      <c r="DC494" s="2925"/>
      <c r="DD494" s="98"/>
      <c r="DE494" s="98"/>
      <c r="DF494" s="98"/>
      <c r="DG494" s="98"/>
      <c r="DH494" s="98"/>
      <c r="DI494" s="98"/>
      <c r="DJ494" s="98"/>
      <c r="DK494" s="98"/>
      <c r="DL494" s="98"/>
      <c r="DM494" s="98"/>
      <c r="DN494" s="98"/>
      <c r="DO494" s="98"/>
      <c r="DP494" s="98"/>
      <c r="DQ494" s="98"/>
      <c r="DR494" s="98"/>
    </row>
    <row r="495" spans="1:122">
      <c r="A495" s="6" t="s">
        <v>444</v>
      </c>
      <c r="B495" s="123"/>
      <c r="C495" s="123"/>
      <c r="D495" s="123"/>
      <c r="E495" s="123"/>
      <c r="F495" s="123"/>
      <c r="G495" s="123"/>
      <c r="H495" s="123"/>
      <c r="I495" s="842">
        <f t="shared" ref="I495:N495" si="734">I477+I479+I481+I483+I485+I488+I490+I492</f>
        <v>7305.35</v>
      </c>
      <c r="J495" s="842">
        <f t="shared" si="734"/>
        <v>7517.1</v>
      </c>
      <c r="K495" s="842">
        <f t="shared" si="734"/>
        <v>8520.7999999999993</v>
      </c>
      <c r="L495" s="842">
        <f t="shared" si="734"/>
        <v>8090.7</v>
      </c>
      <c r="M495" s="842">
        <f t="shared" si="734"/>
        <v>7520.7999999999993</v>
      </c>
      <c r="N495" s="842">
        <f t="shared" si="734"/>
        <v>7604.2000000000007</v>
      </c>
      <c r="O495" s="919"/>
      <c r="P495" s="842"/>
      <c r="Q495" s="842"/>
      <c r="R495" s="842">
        <f t="shared" ref="R495:AH495" si="735">R477+R479+R481+R483+R485+R488+R490+R492</f>
        <v>7873.0999999999985</v>
      </c>
      <c r="S495" s="842">
        <f t="shared" si="735"/>
        <v>7744.0000000000009</v>
      </c>
      <c r="T495" s="842">
        <f t="shared" si="735"/>
        <v>8019</v>
      </c>
      <c r="U495" s="842">
        <f t="shared" si="735"/>
        <v>8383</v>
      </c>
      <c r="V495" s="842">
        <f t="shared" si="735"/>
        <v>8723</v>
      </c>
      <c r="W495" s="842">
        <f>W477+W479+W481+W483+W485+W488+W490+W492</f>
        <v>9466</v>
      </c>
      <c r="X495" s="842"/>
      <c r="Y495" s="1559"/>
      <c r="Z495" s="1559">
        <f>Z477+Z479+Z481+Z483+Z485+Z488+Z490+Z492</f>
        <v>9697</v>
      </c>
      <c r="AA495" s="1559">
        <f>AA477+AA479+AA481+AA483+AA485+AA488+AA490+AA492</f>
        <v>10306</v>
      </c>
      <c r="AB495" s="1559"/>
      <c r="AC495" s="1559">
        <f t="shared" ca="1" si="735"/>
        <v>10762.392756099547</v>
      </c>
      <c r="AD495" s="842">
        <f t="shared" ca="1" si="735"/>
        <v>11869.268128304842</v>
      </c>
      <c r="AE495" s="842">
        <f t="shared" ca="1" si="735"/>
        <v>12815.961603933043</v>
      </c>
      <c r="AF495" s="842">
        <f t="shared" ca="1" si="735"/>
        <v>13428.886701410136</v>
      </c>
      <c r="AG495" s="842">
        <f t="shared" ca="1" si="735"/>
        <v>14099.045199435426</v>
      </c>
      <c r="AH495" s="842">
        <f t="shared" ca="1" si="735"/>
        <v>14963.781534311238</v>
      </c>
      <c r="AI495" s="842">
        <f t="shared" ref="AI495:AN495" ca="1" si="736">AI477+AI479+AI481+AI483+AI485+AI488+AI490+AI492</f>
        <v>15362.419237789643</v>
      </c>
      <c r="AJ495" s="842">
        <f t="shared" ca="1" si="736"/>
        <v>15947.88058467932</v>
      </c>
      <c r="AK495" s="842">
        <f t="shared" ca="1" si="736"/>
        <v>16671.148439866556</v>
      </c>
      <c r="AL495" s="1559">
        <f t="shared" ca="1" si="736"/>
        <v>16974.725032189301</v>
      </c>
      <c r="AM495" s="1559">
        <f t="shared" ca="1" si="736"/>
        <v>17461.710864299901</v>
      </c>
      <c r="AN495" s="1559">
        <f t="shared" ca="1" si="736"/>
        <v>18236.570274425809</v>
      </c>
      <c r="AO495" s="842"/>
      <c r="AP495" s="842"/>
      <c r="AQ495" s="842"/>
      <c r="AR495" s="842"/>
      <c r="AS495" s="842"/>
      <c r="AT495" s="127"/>
      <c r="AU495" s="11"/>
      <c r="AV495" s="6"/>
      <c r="AW495" s="89"/>
      <c r="AX495" s="89"/>
      <c r="AY495" s="89"/>
      <c r="AZ495" s="89"/>
      <c r="BA495" s="89"/>
      <c r="BB495" s="89"/>
      <c r="BC495" s="89"/>
      <c r="BD495" s="89"/>
      <c r="BE495" s="89"/>
      <c r="BF495" s="89"/>
      <c r="BG495" s="89"/>
      <c r="BH495" s="98"/>
      <c r="BI495" s="89"/>
      <c r="BJ495" s="89"/>
      <c r="BK495" s="89"/>
      <c r="BL495" s="89"/>
      <c r="BM495" s="89"/>
      <c r="BN495" s="89"/>
      <c r="BO495" s="89"/>
      <c r="BP495" s="89"/>
      <c r="BQ495" s="89"/>
      <c r="BR495" s="89"/>
      <c r="BS495" s="89"/>
      <c r="BT495" s="89"/>
      <c r="BU495" s="89"/>
      <c r="BV495" s="89"/>
      <c r="BW495" s="89"/>
      <c r="BX495" s="89"/>
      <c r="BY495" s="89"/>
      <c r="BZ495" s="89"/>
      <c r="CA495" s="89"/>
      <c r="CB495" s="89"/>
      <c r="CC495" s="89"/>
      <c r="CD495" s="89"/>
      <c r="CE495" s="89"/>
      <c r="CF495" s="89"/>
      <c r="CG495" s="89"/>
      <c r="CH495" s="89"/>
      <c r="CI495" s="89"/>
      <c r="CJ495" s="89"/>
      <c r="CK495" s="89"/>
      <c r="CL495" s="89"/>
      <c r="CM495" s="89"/>
      <c r="CN495" s="89"/>
      <c r="CO495" s="98"/>
      <c r="CP495" s="98"/>
      <c r="CQ495" s="98"/>
      <c r="CR495" s="98"/>
      <c r="CS495" s="98"/>
      <c r="CT495" s="1247"/>
      <c r="CU495" s="1247"/>
      <c r="CV495" s="1247"/>
      <c r="CW495" s="98"/>
      <c r="CX495" s="98"/>
      <c r="CY495" s="1247"/>
      <c r="CZ495" s="1247"/>
      <c r="DA495" s="1247"/>
      <c r="DB495" s="98"/>
      <c r="DC495" s="2925"/>
      <c r="DD495" s="98"/>
      <c r="DE495" s="98"/>
      <c r="DF495" s="98"/>
      <c r="DG495" s="98"/>
      <c r="DH495" s="98"/>
      <c r="DI495" s="98"/>
      <c r="DJ495" s="98"/>
      <c r="DK495" s="98"/>
      <c r="DL495" s="98"/>
      <c r="DM495" s="98"/>
      <c r="DN495" s="98"/>
      <c r="DO495" s="98"/>
      <c r="DP495" s="98"/>
      <c r="DQ495" s="98"/>
      <c r="DR495" s="98"/>
    </row>
    <row r="496" spans="1:122">
      <c r="A496" s="121" t="s">
        <v>440</v>
      </c>
      <c r="B496" s="38"/>
      <c r="C496" s="38"/>
      <c r="D496" s="38"/>
      <c r="E496" s="38"/>
      <c r="F496" s="38"/>
      <c r="G496" s="38"/>
      <c r="H496" s="38"/>
      <c r="I496" s="38">
        <f t="shared" ref="I496:N496" si="737">I495/I473</f>
        <v>0.53896123058762779</v>
      </c>
      <c r="J496" s="38">
        <f t="shared" si="737"/>
        <v>0.51673506423872473</v>
      </c>
      <c r="K496" s="38">
        <f t="shared" si="737"/>
        <v>0.58616989075699621</v>
      </c>
      <c r="L496" s="39">
        <f t="shared" si="737"/>
        <v>0.56498512590606276</v>
      </c>
      <c r="M496" s="38">
        <f t="shared" si="737"/>
        <v>0.53441721322541902</v>
      </c>
      <c r="N496" s="38">
        <f t="shared" si="737"/>
        <v>0.54508831287991744</v>
      </c>
      <c r="O496" s="919"/>
      <c r="P496" s="38"/>
      <c r="Q496" s="38"/>
      <c r="R496" s="38">
        <f t="shared" ref="R496:AH496" si="738">R495/R473</f>
        <v>0.60494367863783738</v>
      </c>
      <c r="S496" s="38">
        <f t="shared" si="738"/>
        <v>0.55079019616210767</v>
      </c>
      <c r="T496" s="38">
        <f t="shared" si="738"/>
        <v>0.58803255848060421</v>
      </c>
      <c r="U496" s="38">
        <f t="shared" si="738"/>
        <v>0.59548502585668017</v>
      </c>
      <c r="V496" s="38">
        <f t="shared" si="738"/>
        <v>0.57072755823082966</v>
      </c>
      <c r="W496" s="38">
        <f t="shared" si="738"/>
        <v>0.68564392293205867</v>
      </c>
      <c r="X496" s="38"/>
      <c r="Y496" s="1110"/>
      <c r="Z496" s="1110">
        <f>Z495/Z473</f>
        <v>0.69832925248451683</v>
      </c>
      <c r="AA496" s="1110">
        <f>AA495/AA473</f>
        <v>0.71639093563186429</v>
      </c>
      <c r="AB496" s="1110"/>
      <c r="AC496" s="1110">
        <f t="shared" ca="1" si="738"/>
        <v>0.79380965262076297</v>
      </c>
      <c r="AD496" s="39">
        <f t="shared" ca="1" si="738"/>
        <v>0.82286561373719114</v>
      </c>
      <c r="AE496" s="39">
        <f t="shared" ca="1" si="738"/>
        <v>0.82825960825245049</v>
      </c>
      <c r="AF496" s="39">
        <f t="shared" ca="1" si="738"/>
        <v>0.84586170070663746</v>
      </c>
      <c r="AG496" s="39">
        <f t="shared" ca="1" si="738"/>
        <v>0.85668352399279546</v>
      </c>
      <c r="AH496" s="39">
        <f t="shared" ca="1" si="738"/>
        <v>0.85354650359781481</v>
      </c>
      <c r="AI496" s="39">
        <f t="shared" ref="AI496:AN496" ca="1" si="739">AI495/AI473</f>
        <v>0.88143329896065681</v>
      </c>
      <c r="AJ496" s="39">
        <f t="shared" ca="1" si="739"/>
        <v>0.88812570496860477</v>
      </c>
      <c r="AK496" s="39">
        <f t="shared" ca="1" si="739"/>
        <v>0.88117763368435165</v>
      </c>
      <c r="AL496" s="1110">
        <f t="shared" ca="1" si="739"/>
        <v>0.90508697682225669</v>
      </c>
      <c r="AM496" s="1110">
        <f t="shared" ca="1" si="739"/>
        <v>0.91237881548013544</v>
      </c>
      <c r="AN496" s="1110">
        <f t="shared" ca="1" si="739"/>
        <v>0.89477940459835981</v>
      </c>
      <c r="AO496" s="39"/>
      <c r="AP496" s="39"/>
      <c r="AQ496" s="39"/>
      <c r="AR496" s="39"/>
      <c r="AS496" s="39"/>
      <c r="AT496" s="39"/>
      <c r="AU496" s="11"/>
      <c r="AV496" s="6"/>
      <c r="AW496" s="89"/>
      <c r="AX496" s="89"/>
      <c r="AY496" s="89"/>
      <c r="AZ496" s="89"/>
      <c r="BA496" s="89"/>
      <c r="BB496" s="89"/>
      <c r="BC496" s="89"/>
      <c r="BD496" s="89"/>
      <c r="BE496" s="89"/>
      <c r="BF496" s="89"/>
      <c r="BG496" s="89"/>
      <c r="BH496" s="98"/>
      <c r="BI496" s="89"/>
      <c r="BJ496" s="89"/>
      <c r="BK496" s="89"/>
      <c r="BL496" s="89"/>
      <c r="BM496" s="89"/>
      <c r="BN496" s="89"/>
      <c r="BO496" s="89"/>
      <c r="BP496" s="89"/>
      <c r="BQ496" s="89"/>
      <c r="BR496" s="89"/>
      <c r="BS496" s="89"/>
      <c r="BT496" s="89"/>
      <c r="BU496" s="89"/>
      <c r="BV496" s="89"/>
      <c r="BW496" s="89"/>
      <c r="BX496" s="89"/>
      <c r="BY496" s="89"/>
      <c r="BZ496" s="89"/>
      <c r="CA496" s="89"/>
      <c r="CB496" s="89"/>
      <c r="CC496" s="89"/>
      <c r="CD496" s="89"/>
      <c r="CE496" s="89"/>
      <c r="CF496" s="89"/>
      <c r="CG496" s="89"/>
      <c r="CH496" s="89"/>
      <c r="CI496" s="89"/>
      <c r="CJ496" s="89"/>
      <c r="CK496" s="89"/>
      <c r="CL496" s="89"/>
      <c r="CM496" s="89"/>
      <c r="CN496" s="89"/>
      <c r="CO496" s="98"/>
      <c r="CP496" s="98"/>
      <c r="CQ496" s="98"/>
      <c r="CR496" s="98"/>
      <c r="CS496" s="98"/>
      <c r="CT496" s="1247"/>
      <c r="CU496" s="1247"/>
      <c r="CV496" s="1247"/>
      <c r="CW496" s="98"/>
      <c r="CX496" s="98"/>
      <c r="CY496" s="1247"/>
      <c r="CZ496" s="1247"/>
      <c r="DA496" s="1247"/>
      <c r="DB496" s="98"/>
      <c r="DC496" s="2925"/>
      <c r="DD496" s="98"/>
      <c r="DE496" s="98"/>
      <c r="DF496" s="98"/>
      <c r="DG496" s="98"/>
      <c r="DH496" s="98"/>
      <c r="DI496" s="98"/>
      <c r="DJ496" s="98"/>
      <c r="DK496" s="98"/>
      <c r="DL496" s="98"/>
      <c r="DM496" s="98"/>
      <c r="DN496" s="98"/>
      <c r="DO496" s="98"/>
      <c r="DP496" s="98"/>
      <c r="DQ496" s="98"/>
      <c r="DR496" s="98"/>
    </row>
    <row r="497" spans="1:122">
      <c r="A497" s="6"/>
      <c r="B497" s="6"/>
      <c r="C497" s="6"/>
      <c r="D497" s="6"/>
      <c r="E497" s="6"/>
      <c r="F497" s="6"/>
      <c r="G497" s="6"/>
      <c r="H497" s="6"/>
      <c r="I497" s="6"/>
      <c r="J497" s="6"/>
      <c r="K497" s="6"/>
      <c r="L497" s="11"/>
      <c r="M497" s="6"/>
      <c r="N497" s="6"/>
      <c r="O497" s="919"/>
      <c r="P497" s="6"/>
      <c r="Q497" s="6"/>
      <c r="R497" s="6"/>
      <c r="S497" s="6"/>
      <c r="T497" s="6"/>
      <c r="U497" s="6"/>
      <c r="V497" s="6"/>
      <c r="W497" s="6"/>
      <c r="X497" s="6"/>
      <c r="Y497" s="1108"/>
      <c r="Z497" s="2286"/>
      <c r="AA497" s="2286"/>
      <c r="AB497" s="2286"/>
      <c r="AC497" s="2286"/>
      <c r="AD497" s="2286"/>
      <c r="AE497" s="2286"/>
      <c r="AF497" s="2286"/>
      <c r="AG497" s="2286"/>
      <c r="AH497" s="2286"/>
      <c r="AI497" s="2286"/>
      <c r="AJ497" s="2286"/>
      <c r="AK497" s="2286"/>
      <c r="AL497" s="2286"/>
      <c r="AM497" s="2286"/>
      <c r="AN497" s="2286"/>
      <c r="AO497" s="2286"/>
      <c r="AP497" s="2286"/>
      <c r="AQ497" s="2286"/>
      <c r="AR497" s="2286"/>
      <c r="AS497" s="2286"/>
      <c r="AT497" s="2286"/>
      <c r="AU497" s="11"/>
      <c r="AV497" s="6"/>
      <c r="AW497" s="89"/>
      <c r="AX497" s="89"/>
      <c r="AY497" s="89"/>
      <c r="AZ497" s="89"/>
      <c r="BA497" s="89"/>
      <c r="BB497" s="89"/>
      <c r="BC497" s="89"/>
      <c r="BD497" s="89"/>
      <c r="BE497" s="89"/>
      <c r="BF497" s="89"/>
      <c r="BG497" s="89"/>
      <c r="BH497" s="98"/>
      <c r="BI497" s="89"/>
      <c r="BJ497" s="89"/>
      <c r="BK497" s="89"/>
      <c r="BL497" s="89"/>
      <c r="BM497" s="89"/>
      <c r="BN497" s="89"/>
      <c r="BO497" s="89"/>
      <c r="BP497" s="89"/>
      <c r="BQ497" s="89"/>
      <c r="BR497" s="89"/>
      <c r="BS497" s="89"/>
      <c r="BT497" s="89"/>
      <c r="BU497" s="89"/>
      <c r="BV497" s="89"/>
      <c r="BW497" s="89"/>
      <c r="BX497" s="89"/>
      <c r="BY497" s="89"/>
      <c r="BZ497" s="89"/>
      <c r="CA497" s="89"/>
      <c r="CB497" s="89"/>
      <c r="CC497" s="89"/>
      <c r="CD497" s="89"/>
      <c r="CE497" s="89"/>
      <c r="CF497" s="89"/>
      <c r="CG497" s="89"/>
      <c r="CH497" s="89"/>
      <c r="CI497" s="89"/>
      <c r="CJ497" s="89"/>
      <c r="CK497" s="89"/>
      <c r="CL497" s="89"/>
      <c r="CM497" s="89"/>
      <c r="CN497" s="89"/>
      <c r="CO497" s="98"/>
      <c r="CP497" s="98"/>
      <c r="CQ497" s="98"/>
      <c r="CR497" s="98"/>
      <c r="CS497" s="98"/>
      <c r="CT497" s="1247"/>
      <c r="CU497" s="1247"/>
      <c r="CV497" s="1247"/>
      <c r="CW497" s="98"/>
      <c r="CX497" s="98"/>
      <c r="CY497" s="1247"/>
      <c r="CZ497" s="1247"/>
      <c r="DA497" s="1247"/>
      <c r="DB497" s="98"/>
      <c r="DC497" s="2925"/>
      <c r="DD497" s="98"/>
      <c r="DE497" s="98"/>
      <c r="DF497" s="98"/>
      <c r="DG497" s="98"/>
      <c r="DH497" s="98"/>
      <c r="DI497" s="98"/>
      <c r="DJ497" s="98"/>
      <c r="DK497" s="98"/>
      <c r="DL497" s="98"/>
      <c r="DM497" s="98"/>
      <c r="DN497" s="98"/>
      <c r="DO497" s="98"/>
      <c r="DP497" s="98"/>
      <c r="DQ497" s="98"/>
      <c r="DR497" s="98"/>
    </row>
    <row r="498" spans="1:122">
      <c r="A498" s="172" t="s">
        <v>407</v>
      </c>
      <c r="B498" s="123"/>
      <c r="C498" s="123"/>
      <c r="D498" s="123"/>
      <c r="E498" s="123"/>
      <c r="F498" s="123"/>
      <c r="G498" s="123"/>
      <c r="H498" s="123"/>
      <c r="I498" s="842">
        <f t="shared" ref="I498:N498" si="740">I210</f>
        <v>628.29999999999995</v>
      </c>
      <c r="J498" s="842">
        <f t="shared" si="740"/>
        <v>390.6</v>
      </c>
      <c r="K498" s="842">
        <f t="shared" si="740"/>
        <v>596.4</v>
      </c>
      <c r="L498" s="842">
        <f t="shared" si="740"/>
        <v>502.3</v>
      </c>
      <c r="M498" s="842">
        <f t="shared" si="740"/>
        <v>352.3</v>
      </c>
      <c r="N498" s="842">
        <f t="shared" si="740"/>
        <v>462.8</v>
      </c>
      <c r="O498" s="919"/>
      <c r="P498" s="842"/>
      <c r="Q498" s="842"/>
      <c r="R498" s="842">
        <f t="shared" ref="R498:W498" si="741">R210</f>
        <v>436.4</v>
      </c>
      <c r="S498" s="842">
        <f t="shared" si="741"/>
        <v>438.4</v>
      </c>
      <c r="T498" s="842">
        <f t="shared" si="741"/>
        <v>324</v>
      </c>
      <c r="U498" s="842">
        <f t="shared" si="741"/>
        <v>386</v>
      </c>
      <c r="V498" s="842">
        <f t="shared" si="741"/>
        <v>371</v>
      </c>
      <c r="W498" s="842">
        <f t="shared" si="741"/>
        <v>302</v>
      </c>
      <c r="X498" s="842"/>
      <c r="Y498" s="1559"/>
      <c r="Z498" s="1559">
        <f>Z210</f>
        <v>159</v>
      </c>
      <c r="AA498" s="1559">
        <f>AA210</f>
        <v>148</v>
      </c>
      <c r="AB498" s="1559"/>
      <c r="AC498" s="1559">
        <f t="shared" ref="AC498:AH498" si="742">AC499*AC474</f>
        <v>147.53674067795632</v>
      </c>
      <c r="AD498" s="842">
        <f t="shared" si="742"/>
        <v>157.69718402828391</v>
      </c>
      <c r="AE498" s="842">
        <f t="shared" si="742"/>
        <v>171.99951140755815</v>
      </c>
      <c r="AF498" s="842">
        <f t="shared" si="742"/>
        <v>170.90748910782688</v>
      </c>
      <c r="AG498" s="842">
        <f t="shared" si="742"/>
        <v>177.63951461391409</v>
      </c>
      <c r="AH498" s="842">
        <f t="shared" si="742"/>
        <v>190.879816859324</v>
      </c>
      <c r="AI498" s="842">
        <f t="shared" ref="AI498:AN498" si="743">AI499*AI474</f>
        <v>190.06734337467984</v>
      </c>
      <c r="AJ498" s="842">
        <f t="shared" si="743"/>
        <v>195.67078830450598</v>
      </c>
      <c r="AK498" s="842">
        <f t="shared" si="743"/>
        <v>211.21350130972203</v>
      </c>
      <c r="AL498" s="1559">
        <f t="shared" si="743"/>
        <v>206.62626686881254</v>
      </c>
      <c r="AM498" s="1559">
        <f t="shared" si="743"/>
        <v>212.0940493269845</v>
      </c>
      <c r="AN498" s="1559">
        <f t="shared" si="743"/>
        <v>228.96833443059444</v>
      </c>
      <c r="AO498" s="842"/>
      <c r="AP498" s="842"/>
      <c r="AQ498" s="842"/>
      <c r="AR498" s="842"/>
      <c r="AS498" s="842"/>
      <c r="AT498" s="95"/>
      <c r="AU498" s="11"/>
      <c r="AV498" s="6"/>
      <c r="AW498" s="89"/>
      <c r="AX498" s="89"/>
      <c r="AY498" s="89"/>
      <c r="AZ498" s="89"/>
      <c r="BA498" s="89"/>
      <c r="BB498" s="89"/>
      <c r="BC498" s="89"/>
      <c r="BD498" s="89"/>
      <c r="BE498" s="89"/>
      <c r="BF498" s="89"/>
      <c r="BG498" s="89"/>
      <c r="BH498" s="98"/>
      <c r="BI498" s="89"/>
      <c r="BJ498" s="89"/>
      <c r="BK498" s="89"/>
      <c r="BL498" s="89"/>
      <c r="BM498" s="89"/>
      <c r="BN498" s="89"/>
      <c r="BO498" s="89"/>
      <c r="BP498" s="89"/>
      <c r="BQ498" s="89"/>
      <c r="BR498" s="89"/>
      <c r="BS498" s="89"/>
      <c r="BT498" s="89"/>
      <c r="BU498" s="89"/>
      <c r="BV498" s="89"/>
      <c r="BW498" s="89"/>
      <c r="BX498" s="89"/>
      <c r="BY498" s="89"/>
      <c r="BZ498" s="89"/>
      <c r="CA498" s="89"/>
      <c r="CB498" s="89"/>
      <c r="CC498" s="89"/>
      <c r="CD498" s="89"/>
      <c r="CE498" s="89"/>
      <c r="CF498" s="89"/>
      <c r="CG498" s="89"/>
      <c r="CH498" s="89"/>
      <c r="CI498" s="89"/>
      <c r="CJ498" s="89"/>
      <c r="CK498" s="89"/>
      <c r="CL498" s="89"/>
      <c r="CM498" s="89"/>
      <c r="CN498" s="89"/>
      <c r="CO498" s="98"/>
      <c r="CP498" s="98"/>
      <c r="CQ498" s="98"/>
      <c r="CR498" s="98"/>
      <c r="CS498" s="98"/>
      <c r="CT498" s="1247"/>
      <c r="CU498" s="1247"/>
      <c r="CV498" s="1247"/>
      <c r="CW498" s="98"/>
      <c r="CX498" s="98"/>
      <c r="CY498" s="1247"/>
      <c r="CZ498" s="1247"/>
      <c r="DA498" s="1247"/>
      <c r="DB498" s="98"/>
      <c r="DC498" s="2925"/>
      <c r="DD498" s="98"/>
      <c r="DE498" s="98"/>
      <c r="DF498" s="98"/>
      <c r="DG498" s="98"/>
      <c r="DH498" s="98"/>
      <c r="DI498" s="98"/>
      <c r="DJ498" s="98"/>
      <c r="DK498" s="98"/>
      <c r="DL498" s="98"/>
      <c r="DM498" s="98"/>
      <c r="DN498" s="98"/>
      <c r="DO498" s="98"/>
      <c r="DP498" s="98"/>
      <c r="DQ498" s="98"/>
      <c r="DR498" s="98"/>
    </row>
    <row r="499" spans="1:122">
      <c r="A499" s="121" t="s">
        <v>442</v>
      </c>
      <c r="B499" s="38"/>
      <c r="C499" s="38"/>
      <c r="D499" s="38"/>
      <c r="E499" s="38"/>
      <c r="F499" s="38"/>
      <c r="G499" s="38"/>
      <c r="H499" s="38"/>
      <c r="I499" s="38">
        <f t="shared" ref="I499:N499" si="744">I498/I474</f>
        <v>7.6946628456658561E-2</v>
      </c>
      <c r="J499" s="38">
        <f t="shared" si="744"/>
        <v>4.5046187911568322E-2</v>
      </c>
      <c r="K499" s="38">
        <f t="shared" si="744"/>
        <v>6.8917700894404785E-2</v>
      </c>
      <c r="L499" s="38">
        <f t="shared" si="744"/>
        <v>6.0080138747682546E-2</v>
      </c>
      <c r="M499" s="38">
        <f t="shared" si="744"/>
        <v>4.4018000025988498E-2</v>
      </c>
      <c r="N499" s="38">
        <f t="shared" si="744"/>
        <v>5.4353060002113998E-2</v>
      </c>
      <c r="O499" s="919"/>
      <c r="P499" s="130"/>
      <c r="Q499" s="130"/>
      <c r="R499" s="38">
        <f t="shared" ref="R499:Z499" si="745">R498/R474</f>
        <v>5.1969085301227777E-2</v>
      </c>
      <c r="S499" s="38">
        <f t="shared" si="745"/>
        <v>5.0591869480362428E-2</v>
      </c>
      <c r="T499" s="38">
        <f t="shared" si="745"/>
        <v>4.415960349255578E-2</v>
      </c>
      <c r="U499" s="38">
        <f t="shared" si="745"/>
        <v>5.2820105846193691E-2</v>
      </c>
      <c r="V499" s="38">
        <f t="shared" si="745"/>
        <v>4.6485448100781902E-2</v>
      </c>
      <c r="W499" s="38">
        <f t="shared" si="745"/>
        <v>3.9394729976519709E-2</v>
      </c>
      <c r="X499" s="842"/>
      <c r="Y499" s="1559"/>
      <c r="Z499" s="1110">
        <f t="shared" si="745"/>
        <v>2.0113851992409872E-2</v>
      </c>
      <c r="AA499" s="1110">
        <f t="shared" ref="AA499" si="746">AA498/AA474</f>
        <v>1.8850141376060323E-2</v>
      </c>
      <c r="AB499" s="1482"/>
      <c r="AC499" s="1482">
        <f>AA499</f>
        <v>1.8850141376060323E-2</v>
      </c>
      <c r="AD499" s="119">
        <f>AC499</f>
        <v>1.8850141376060323E-2</v>
      </c>
      <c r="AE499" s="119">
        <f>AD499</f>
        <v>1.8850141376060323E-2</v>
      </c>
      <c r="AF499" s="119">
        <f t="shared" ref="AF499:AN499" si="747">AE499</f>
        <v>1.8850141376060323E-2</v>
      </c>
      <c r="AG499" s="119">
        <f t="shared" si="747"/>
        <v>1.8850141376060323E-2</v>
      </c>
      <c r="AH499" s="119">
        <f t="shared" si="747"/>
        <v>1.8850141376060323E-2</v>
      </c>
      <c r="AI499" s="119">
        <f t="shared" si="747"/>
        <v>1.8850141376060323E-2</v>
      </c>
      <c r="AJ499" s="119">
        <f t="shared" si="747"/>
        <v>1.8850141376060323E-2</v>
      </c>
      <c r="AK499" s="119">
        <f t="shared" si="747"/>
        <v>1.8850141376060323E-2</v>
      </c>
      <c r="AL499" s="1482">
        <f t="shared" si="747"/>
        <v>1.8850141376060323E-2</v>
      </c>
      <c r="AM499" s="1482">
        <f t="shared" si="747"/>
        <v>1.8850141376060323E-2</v>
      </c>
      <c r="AN499" s="1482">
        <f t="shared" si="747"/>
        <v>1.8850141376060323E-2</v>
      </c>
      <c r="AO499" s="119"/>
      <c r="AP499" s="119"/>
      <c r="AQ499" s="119"/>
      <c r="AR499" s="119"/>
      <c r="AS499" s="119"/>
      <c r="AT499" s="119"/>
      <c r="AU499" s="11"/>
      <c r="AV499" s="6"/>
      <c r="AW499" s="89"/>
      <c r="AX499" s="89"/>
      <c r="AY499" s="89"/>
      <c r="AZ499" s="89"/>
      <c r="BA499" s="89"/>
      <c r="BB499" s="89"/>
      <c r="BC499" s="89"/>
      <c r="BD499" s="89"/>
      <c r="BE499" s="89"/>
      <c r="BF499" s="89"/>
      <c r="BG499" s="89"/>
      <c r="BH499" s="98"/>
      <c r="BI499" s="89"/>
      <c r="BJ499" s="89"/>
      <c r="BK499" s="89"/>
      <c r="BL499" s="89"/>
      <c r="BM499" s="89"/>
      <c r="BN499" s="89"/>
      <c r="BO499" s="89"/>
      <c r="BP499" s="89"/>
      <c r="BQ499" s="89"/>
      <c r="BR499" s="89"/>
      <c r="BS499" s="89"/>
      <c r="BT499" s="89"/>
      <c r="BU499" s="89"/>
      <c r="BV499" s="89"/>
      <c r="BW499" s="89"/>
      <c r="BX499" s="89"/>
      <c r="BY499" s="89"/>
      <c r="BZ499" s="89"/>
      <c r="CA499" s="89"/>
      <c r="CB499" s="89"/>
      <c r="CC499" s="89"/>
      <c r="CD499" s="89"/>
      <c r="CE499" s="89"/>
      <c r="CF499" s="89"/>
      <c r="CG499" s="89"/>
      <c r="CH499" s="89"/>
      <c r="CI499" s="89"/>
      <c r="CJ499" s="89"/>
      <c r="CK499" s="89"/>
      <c r="CL499" s="89"/>
      <c r="CM499" s="89"/>
      <c r="CN499" s="89"/>
      <c r="CO499" s="98"/>
      <c r="CP499" s="98"/>
      <c r="CQ499" s="98"/>
      <c r="CR499" s="98"/>
      <c r="CS499" s="98"/>
      <c r="CT499" s="1247"/>
      <c r="CU499" s="1247"/>
      <c r="CV499" s="1247"/>
      <c r="CW499" s="98"/>
      <c r="CX499" s="98"/>
      <c r="CY499" s="1247"/>
      <c r="CZ499" s="1247"/>
      <c r="DA499" s="1247"/>
      <c r="DB499" s="98"/>
      <c r="DC499" s="2925"/>
      <c r="DD499" s="98"/>
      <c r="DE499" s="98"/>
      <c r="DF499" s="98"/>
      <c r="DG499" s="98"/>
      <c r="DH499" s="98"/>
      <c r="DI499" s="98"/>
      <c r="DJ499" s="98"/>
      <c r="DK499" s="98"/>
      <c r="DL499" s="98"/>
      <c r="DM499" s="98"/>
      <c r="DN499" s="98"/>
      <c r="DO499" s="98"/>
      <c r="DP499" s="98"/>
      <c r="DQ499" s="98"/>
      <c r="DR499" s="98"/>
    </row>
    <row r="500" spans="1:122">
      <c r="A500" s="172" t="s">
        <v>893</v>
      </c>
      <c r="B500" s="123"/>
      <c r="C500" s="123"/>
      <c r="D500" s="123"/>
      <c r="E500" s="123"/>
      <c r="F500" s="123"/>
      <c r="G500" s="123"/>
      <c r="H500" s="123"/>
      <c r="I500" s="192">
        <f t="shared" ref="I500:N500" si="748">I211</f>
        <v>887.40000000000009</v>
      </c>
      <c r="J500" s="192">
        <f t="shared" si="748"/>
        <v>747.8</v>
      </c>
      <c r="K500" s="192">
        <f t="shared" si="748"/>
        <v>723.8</v>
      </c>
      <c r="L500" s="192">
        <f t="shared" si="748"/>
        <v>765.7</v>
      </c>
      <c r="M500" s="192">
        <f t="shared" si="748"/>
        <v>755.2</v>
      </c>
      <c r="N500" s="192">
        <f t="shared" si="748"/>
        <v>791.7</v>
      </c>
      <c r="O500" s="919"/>
      <c r="P500" s="192"/>
      <c r="Q500" s="192"/>
      <c r="R500" s="192">
        <f t="shared" ref="R500:W500" si="749">R211</f>
        <v>681.5</v>
      </c>
      <c r="S500" s="192">
        <f t="shared" si="749"/>
        <v>613.5</v>
      </c>
      <c r="T500" s="192">
        <f t="shared" si="749"/>
        <v>634</v>
      </c>
      <c r="U500" s="192">
        <f t="shared" si="749"/>
        <v>636</v>
      </c>
      <c r="V500" s="192">
        <f t="shared" si="749"/>
        <v>668</v>
      </c>
      <c r="W500" s="192">
        <f t="shared" si="749"/>
        <v>605</v>
      </c>
      <c r="X500" s="842"/>
      <c r="Y500" s="1559"/>
      <c r="Z500" s="1368">
        <f>Z211</f>
        <v>561</v>
      </c>
      <c r="AA500" s="1368">
        <f>AA211</f>
        <v>632</v>
      </c>
      <c r="AB500" s="1368"/>
      <c r="AC500" s="1368">
        <f t="shared" ref="AC500:AH500" si="750">AC501*AC473</f>
        <v>595.62028987473388</v>
      </c>
      <c r="AD500" s="192">
        <f t="shared" si="750"/>
        <v>633.68298903314121</v>
      </c>
      <c r="AE500" s="192">
        <f t="shared" si="750"/>
        <v>679.76959799518443</v>
      </c>
      <c r="AF500" s="192">
        <f t="shared" si="750"/>
        <v>697.45737483934545</v>
      </c>
      <c r="AG500" s="192">
        <f t="shared" si="750"/>
        <v>723.01334050268724</v>
      </c>
      <c r="AH500" s="192">
        <f t="shared" si="750"/>
        <v>770.17815031539567</v>
      </c>
      <c r="AI500" s="192">
        <f t="shared" ref="AI500:AN500" si="751">AI501*AI473</f>
        <v>765.67978580520901</v>
      </c>
      <c r="AJ500" s="192">
        <f t="shared" si="751"/>
        <v>788.870212217573</v>
      </c>
      <c r="AK500" s="192">
        <f t="shared" si="751"/>
        <v>831.14936147417166</v>
      </c>
      <c r="AL500" s="1368">
        <f t="shared" si="751"/>
        <v>823.92836506634364</v>
      </c>
      <c r="AM500" s="1368">
        <f t="shared" si="751"/>
        <v>840.79209962311631</v>
      </c>
      <c r="AN500" s="1368">
        <f t="shared" si="751"/>
        <v>895.37344019442332</v>
      </c>
      <c r="AO500" s="192"/>
      <c r="AP500" s="192"/>
      <c r="AQ500" s="192"/>
      <c r="AR500" s="192"/>
      <c r="AS500" s="192"/>
      <c r="AT500" s="95"/>
      <c r="AU500" s="11"/>
      <c r="AV500" s="6"/>
      <c r="AW500" s="89"/>
      <c r="AX500" s="89"/>
      <c r="AY500" s="89"/>
      <c r="AZ500" s="89"/>
      <c r="BA500" s="89"/>
      <c r="BB500" s="89"/>
      <c r="BC500" s="89"/>
      <c r="BD500" s="89"/>
      <c r="BE500" s="89"/>
      <c r="BF500" s="89"/>
      <c r="BG500" s="89"/>
      <c r="BH500" s="98"/>
      <c r="BI500" s="89"/>
      <c r="BJ500" s="89"/>
      <c r="BK500" s="89"/>
      <c r="BL500" s="89"/>
      <c r="BM500" s="89"/>
      <c r="BN500" s="89"/>
      <c r="BO500" s="89"/>
      <c r="BP500" s="89"/>
      <c r="BQ500" s="89"/>
      <c r="BR500" s="89"/>
      <c r="BS500" s="89"/>
      <c r="BT500" s="89"/>
      <c r="BU500" s="89"/>
      <c r="BV500" s="89"/>
      <c r="BW500" s="89"/>
      <c r="BX500" s="89"/>
      <c r="BY500" s="89"/>
      <c r="BZ500" s="89"/>
      <c r="CA500" s="89"/>
      <c r="CB500" s="89"/>
      <c r="CC500" s="89"/>
      <c r="CD500" s="89"/>
      <c r="CE500" s="89"/>
      <c r="CF500" s="89"/>
      <c r="CG500" s="89"/>
      <c r="CH500" s="89"/>
      <c r="CI500" s="89"/>
      <c r="CJ500" s="89"/>
      <c r="CK500" s="89"/>
      <c r="CL500" s="89"/>
      <c r="CM500" s="89"/>
      <c r="CN500" s="89"/>
      <c r="CO500" s="98"/>
      <c r="CP500" s="98"/>
      <c r="CQ500" s="98"/>
      <c r="CR500" s="98"/>
      <c r="CS500" s="98"/>
      <c r="CT500" s="1247"/>
      <c r="CU500" s="1247"/>
      <c r="CV500" s="1247"/>
      <c r="CW500" s="98"/>
      <c r="CX500" s="98"/>
      <c r="CY500" s="1247"/>
      <c r="CZ500" s="1247"/>
      <c r="DA500" s="1247"/>
      <c r="DB500" s="98"/>
      <c r="DC500" s="2925"/>
      <c r="DD500" s="98"/>
      <c r="DE500" s="98"/>
      <c r="DF500" s="98"/>
      <c r="DG500" s="98"/>
      <c r="DH500" s="98"/>
      <c r="DI500" s="98"/>
      <c r="DJ500" s="98"/>
      <c r="DK500" s="98"/>
      <c r="DL500" s="98"/>
      <c r="DM500" s="98"/>
      <c r="DN500" s="98"/>
      <c r="DO500" s="98"/>
      <c r="DP500" s="98"/>
      <c r="DQ500" s="98"/>
      <c r="DR500" s="98"/>
    </row>
    <row r="501" spans="1:122">
      <c r="A501" s="121" t="s">
        <v>440</v>
      </c>
      <c r="B501" s="38"/>
      <c r="C501" s="38"/>
      <c r="D501" s="38"/>
      <c r="E501" s="38"/>
      <c r="F501" s="38"/>
      <c r="G501" s="38"/>
      <c r="H501" s="38"/>
      <c r="I501" s="38">
        <f t="shared" ref="I501:N501" si="752">I500/I473</f>
        <v>6.5469032424656029E-2</v>
      </c>
      <c r="J501" s="38">
        <f t="shared" si="752"/>
        <v>5.140472802513181E-2</v>
      </c>
      <c r="K501" s="38">
        <f t="shared" si="752"/>
        <v>4.9792245672931397E-2</v>
      </c>
      <c r="L501" s="38">
        <f t="shared" si="752"/>
        <v>5.3469923604418934E-2</v>
      </c>
      <c r="M501" s="38">
        <f t="shared" si="752"/>
        <v>5.3663424027741269E-2</v>
      </c>
      <c r="N501" s="38">
        <f t="shared" si="752"/>
        <v>5.6751060901479529E-2</v>
      </c>
      <c r="O501" s="919"/>
      <c r="P501" s="130"/>
      <c r="Q501" s="130"/>
      <c r="R501" s="38">
        <f t="shared" ref="R501:W501" si="753">R500/R473</f>
        <v>5.2364267822291886E-2</v>
      </c>
      <c r="S501" s="38">
        <f t="shared" si="753"/>
        <v>4.3635044595228954E-2</v>
      </c>
      <c r="T501" s="38">
        <f t="shared" si="753"/>
        <v>4.6491163745691864E-2</v>
      </c>
      <c r="U501" s="38">
        <f t="shared" si="753"/>
        <v>4.5178155367392177E-2</v>
      </c>
      <c r="V501" s="38">
        <f t="shared" si="753"/>
        <v>4.3705836168542268E-2</v>
      </c>
      <c r="W501" s="38">
        <f t="shared" si="753"/>
        <v>4.3821526872374339E-2</v>
      </c>
      <c r="X501" s="842"/>
      <c r="Y501" s="1559"/>
      <c r="Z501" s="1110">
        <f>Z500/Z473</f>
        <v>4.040040328388305E-2</v>
      </c>
      <c r="AA501" s="1110">
        <f>AA500/AA473</f>
        <v>4.3931600166828864E-2</v>
      </c>
      <c r="AB501" s="1482"/>
      <c r="AC501" s="1482">
        <f>AA501</f>
        <v>4.3931600166828864E-2</v>
      </c>
      <c r="AD501" s="119">
        <f>AC501</f>
        <v>4.3931600166828864E-2</v>
      </c>
      <c r="AE501" s="119">
        <f>AD501</f>
        <v>4.3931600166828864E-2</v>
      </c>
      <c r="AF501" s="119">
        <f t="shared" ref="AF501:AN501" si="754">AE501</f>
        <v>4.3931600166828864E-2</v>
      </c>
      <c r="AG501" s="119">
        <f t="shared" si="754"/>
        <v>4.3931600166828864E-2</v>
      </c>
      <c r="AH501" s="119">
        <f t="shared" si="754"/>
        <v>4.3931600166828864E-2</v>
      </c>
      <c r="AI501" s="119">
        <f t="shared" si="754"/>
        <v>4.3931600166828864E-2</v>
      </c>
      <c r="AJ501" s="119">
        <f t="shared" si="754"/>
        <v>4.3931600166828864E-2</v>
      </c>
      <c r="AK501" s="119">
        <f t="shared" si="754"/>
        <v>4.3931600166828864E-2</v>
      </c>
      <c r="AL501" s="1482">
        <f t="shared" si="754"/>
        <v>4.3931600166828864E-2</v>
      </c>
      <c r="AM501" s="1482">
        <f t="shared" si="754"/>
        <v>4.3931600166828864E-2</v>
      </c>
      <c r="AN501" s="1482">
        <f t="shared" si="754"/>
        <v>4.3931600166828864E-2</v>
      </c>
      <c r="AO501" s="119"/>
      <c r="AP501" s="119"/>
      <c r="AQ501" s="119"/>
      <c r="AR501" s="119"/>
      <c r="AS501" s="119"/>
      <c r="AT501" s="119"/>
      <c r="AU501" s="11"/>
      <c r="AV501" s="6"/>
      <c r="AW501" s="89"/>
      <c r="AX501" s="89"/>
      <c r="AY501" s="89"/>
      <c r="AZ501" s="89"/>
      <c r="BA501" s="89"/>
      <c r="BB501" s="89"/>
      <c r="BC501" s="89"/>
      <c r="BD501" s="89"/>
      <c r="BE501" s="89"/>
      <c r="BF501" s="89"/>
      <c r="BG501" s="89"/>
      <c r="BH501" s="98"/>
      <c r="BI501" s="89"/>
      <c r="BJ501" s="89"/>
      <c r="BK501" s="89"/>
      <c r="BL501" s="89"/>
      <c r="BM501" s="89"/>
      <c r="BN501" s="89"/>
      <c r="BO501" s="89"/>
      <c r="BP501" s="89"/>
      <c r="BQ501" s="89"/>
      <c r="BR501" s="89"/>
      <c r="BS501" s="89"/>
      <c r="BT501" s="89"/>
      <c r="BU501" s="89"/>
      <c r="BV501" s="89"/>
      <c r="BW501" s="89"/>
      <c r="BX501" s="89"/>
      <c r="BY501" s="89"/>
      <c r="BZ501" s="89"/>
      <c r="CA501" s="89"/>
      <c r="CB501" s="89"/>
      <c r="CC501" s="89"/>
      <c r="CD501" s="89"/>
      <c r="CE501" s="89"/>
      <c r="CF501" s="89"/>
      <c r="CG501" s="89"/>
      <c r="CH501" s="89"/>
      <c r="CI501" s="89"/>
      <c r="CJ501" s="89"/>
      <c r="CK501" s="89"/>
      <c r="CL501" s="89"/>
      <c r="CM501" s="89"/>
      <c r="CN501" s="89"/>
      <c r="CO501" s="98"/>
      <c r="CP501" s="98"/>
      <c r="CQ501" s="98"/>
      <c r="CR501" s="98"/>
      <c r="CS501" s="98"/>
      <c r="CT501" s="1247"/>
      <c r="CU501" s="1247"/>
      <c r="CV501" s="1247"/>
      <c r="CW501" s="98"/>
      <c r="CX501" s="98"/>
      <c r="CY501" s="1247"/>
      <c r="CZ501" s="1247"/>
      <c r="DA501" s="1247"/>
      <c r="DB501" s="98"/>
      <c r="DC501" s="2925"/>
      <c r="DD501" s="98"/>
      <c r="DE501" s="98"/>
      <c r="DF501" s="98"/>
      <c r="DG501" s="98"/>
      <c r="DH501" s="98"/>
      <c r="DI501" s="98"/>
      <c r="DJ501" s="98"/>
      <c r="DK501" s="98"/>
      <c r="DL501" s="98"/>
      <c r="DM501" s="98"/>
      <c r="DN501" s="98"/>
      <c r="DO501" s="98"/>
      <c r="DP501" s="98"/>
      <c r="DQ501" s="98"/>
      <c r="DR501" s="98"/>
    </row>
    <row r="502" spans="1:122">
      <c r="A502" s="172" t="s">
        <v>894</v>
      </c>
      <c r="B502" s="38"/>
      <c r="C502" s="38"/>
      <c r="D502" s="38"/>
      <c r="E502" s="38"/>
      <c r="F502" s="38"/>
      <c r="G502" s="38"/>
      <c r="H502" s="38"/>
      <c r="I502" s="192">
        <f t="shared" ref="I502:N502" si="755">I212</f>
        <v>287.5</v>
      </c>
      <c r="J502" s="192">
        <f t="shared" si="755"/>
        <v>366.6</v>
      </c>
      <c r="K502" s="192">
        <f t="shared" si="755"/>
        <v>373.2</v>
      </c>
      <c r="L502" s="192">
        <f t="shared" si="755"/>
        <v>375.3</v>
      </c>
      <c r="M502" s="192">
        <f t="shared" si="755"/>
        <v>401.5</v>
      </c>
      <c r="N502" s="192">
        <f t="shared" si="755"/>
        <v>370.7</v>
      </c>
      <c r="O502" s="919"/>
      <c r="P502" s="192"/>
      <c r="Q502" s="192"/>
      <c r="R502" s="192">
        <f t="shared" ref="R502:W502" si="756">R212</f>
        <v>320.7</v>
      </c>
      <c r="S502" s="192">
        <f t="shared" si="756"/>
        <v>407.5</v>
      </c>
      <c r="T502" s="192">
        <f t="shared" si="756"/>
        <v>403</v>
      </c>
      <c r="U502" s="192">
        <f t="shared" si="756"/>
        <v>374</v>
      </c>
      <c r="V502" s="192">
        <f t="shared" si="756"/>
        <v>389</v>
      </c>
      <c r="W502" s="192">
        <f t="shared" si="756"/>
        <v>333</v>
      </c>
      <c r="X502" s="192"/>
      <c r="Y502" s="1368"/>
      <c r="Z502" s="1368">
        <f>Z212</f>
        <v>306</v>
      </c>
      <c r="AA502" s="1368">
        <f>AA212</f>
        <v>369</v>
      </c>
      <c r="AB502" s="1368"/>
      <c r="AC502" s="1368">
        <f>AC503*AC475</f>
        <v>309.53201068294538</v>
      </c>
      <c r="AD502" s="192">
        <f>AD503*AD475</f>
        <v>321.91329111026323</v>
      </c>
      <c r="AE502" s="192">
        <f>AE503*AE475</f>
        <v>334.78982275467376</v>
      </c>
      <c r="AF502" s="192">
        <f>AF503*AF475</f>
        <v>348.18141566486076</v>
      </c>
      <c r="AG502" s="192">
        <f t="shared" ref="AG502:AL502" si="757">AG503*AG475</f>
        <v>362.10867229145521</v>
      </c>
      <c r="AH502" s="192">
        <f t="shared" si="757"/>
        <v>376.59301918311343</v>
      </c>
      <c r="AI502" s="192">
        <f t="shared" si="757"/>
        <v>391.65673995043795</v>
      </c>
      <c r="AJ502" s="192">
        <f t="shared" si="757"/>
        <v>407.3230095484555</v>
      </c>
      <c r="AK502" s="192">
        <f t="shared" si="757"/>
        <v>423.61592993039375</v>
      </c>
      <c r="AL502" s="1368">
        <f t="shared" si="757"/>
        <v>440.56056712760949</v>
      </c>
      <c r="AM502" s="1368">
        <f>AM503*AM475</f>
        <v>458.18298981271391</v>
      </c>
      <c r="AN502" s="1368">
        <f>AN503*AN475</f>
        <v>476.51030940522247</v>
      </c>
      <c r="AO502" s="192"/>
      <c r="AP502" s="192"/>
      <c r="AQ502" s="192"/>
      <c r="AR502" s="192"/>
      <c r="AS502" s="192"/>
      <c r="AT502" s="95"/>
      <c r="AU502" s="11"/>
      <c r="AV502" s="6"/>
      <c r="AW502" s="89"/>
      <c r="AX502" s="89"/>
      <c r="AY502" s="89"/>
      <c r="AZ502" s="89"/>
      <c r="BA502" s="89"/>
      <c r="BB502" s="89"/>
      <c r="BC502" s="89"/>
      <c r="BD502" s="89"/>
      <c r="BE502" s="89"/>
      <c r="BF502" s="89"/>
      <c r="BG502" s="89"/>
      <c r="BH502" s="98"/>
      <c r="BI502" s="89"/>
      <c r="BJ502" s="89"/>
      <c r="BK502" s="89"/>
      <c r="BL502" s="89"/>
      <c r="BM502" s="89"/>
      <c r="BN502" s="89"/>
      <c r="BO502" s="89"/>
      <c r="BP502" s="89"/>
      <c r="BQ502" s="89"/>
      <c r="BR502" s="89"/>
      <c r="BS502" s="89"/>
      <c r="BT502" s="89"/>
      <c r="BU502" s="89"/>
      <c r="BV502" s="89"/>
      <c r="BW502" s="89"/>
      <c r="BX502" s="89"/>
      <c r="BY502" s="89"/>
      <c r="BZ502" s="89"/>
      <c r="CA502" s="89"/>
      <c r="CB502" s="89"/>
      <c r="CC502" s="89"/>
      <c r="CD502" s="89"/>
      <c r="CE502" s="89"/>
      <c r="CF502" s="89"/>
      <c r="CG502" s="89"/>
      <c r="CH502" s="89"/>
      <c r="CI502" s="89"/>
      <c r="CJ502" s="89"/>
      <c r="CK502" s="89"/>
      <c r="CL502" s="89"/>
      <c r="CM502" s="89"/>
      <c r="CN502" s="89"/>
      <c r="CO502" s="98"/>
      <c r="CP502" s="98"/>
      <c r="CQ502" s="98"/>
      <c r="CR502" s="98"/>
      <c r="CS502" s="98"/>
      <c r="CT502" s="1247"/>
      <c r="CU502" s="1247"/>
      <c r="CV502" s="1247"/>
      <c r="CW502" s="98"/>
      <c r="CX502" s="98"/>
      <c r="CY502" s="1247"/>
      <c r="CZ502" s="1247"/>
      <c r="DA502" s="1247"/>
      <c r="DB502" s="98"/>
      <c r="DC502" s="2925"/>
      <c r="DD502" s="98"/>
      <c r="DE502" s="98"/>
      <c r="DF502" s="98"/>
      <c r="DG502" s="98"/>
      <c r="DH502" s="98"/>
      <c r="DI502" s="98"/>
      <c r="DJ502" s="98"/>
      <c r="DK502" s="98"/>
      <c r="DL502" s="98"/>
      <c r="DM502" s="98"/>
      <c r="DN502" s="98"/>
      <c r="DO502" s="98"/>
      <c r="DP502" s="98"/>
      <c r="DQ502" s="98"/>
      <c r="DR502" s="98"/>
    </row>
    <row r="503" spans="1:122">
      <c r="A503" s="121" t="s">
        <v>443</v>
      </c>
      <c r="B503" s="38"/>
      <c r="C503" s="38"/>
      <c r="D503" s="38"/>
      <c r="E503" s="38"/>
      <c r="F503" s="38"/>
      <c r="G503" s="38"/>
      <c r="H503" s="38"/>
      <c r="I503" s="38">
        <f t="shared" ref="I503:N503" si="758">I502/I475</f>
        <v>0.12473967372440127</v>
      </c>
      <c r="J503" s="38">
        <f t="shared" si="758"/>
        <v>0.14927925726850721</v>
      </c>
      <c r="K503" s="38">
        <f t="shared" si="758"/>
        <v>0.1463127768847767</v>
      </c>
      <c r="L503" s="38">
        <f t="shared" si="758"/>
        <v>0.14316777294575417</v>
      </c>
      <c r="M503" s="38">
        <f t="shared" si="758"/>
        <v>0.14727156950777914</v>
      </c>
      <c r="N503" s="38">
        <f t="shared" si="758"/>
        <v>0.15053807106598985</v>
      </c>
      <c r="O503" s="919"/>
      <c r="P503" s="119"/>
      <c r="Q503" s="119"/>
      <c r="R503" s="38">
        <f t="shared" ref="R503:W503" si="759">R502/R475</f>
        <v>0.12522452167122217</v>
      </c>
      <c r="S503" s="38">
        <f t="shared" si="759"/>
        <v>0.15299762712882586</v>
      </c>
      <c r="T503" s="38">
        <f t="shared" si="759"/>
        <v>0.14548854113477305</v>
      </c>
      <c r="U503" s="38">
        <f t="shared" si="759"/>
        <v>0.12982609845487003</v>
      </c>
      <c r="V503" s="38">
        <f t="shared" si="759"/>
        <v>0.12983944955508134</v>
      </c>
      <c r="W503" s="38">
        <f t="shared" si="759"/>
        <v>0.13525588952071488</v>
      </c>
      <c r="X503" s="119"/>
      <c r="Y503" s="1482"/>
      <c r="Z503" s="1110">
        <f>Z502/Z475</f>
        <v>0.12464358452138492</v>
      </c>
      <c r="AA503" s="1110">
        <f>AA502/AA475</f>
        <v>0.14078595955742082</v>
      </c>
      <c r="AB503" s="1482"/>
      <c r="AC503" s="1482">
        <f>+AA503</f>
        <v>0.14078595955742082</v>
      </c>
      <c r="AD503" s="119">
        <f t="shared" ref="AD503:AN503" si="760">+AC503</f>
        <v>0.14078595955742082</v>
      </c>
      <c r="AE503" s="119">
        <f t="shared" si="760"/>
        <v>0.14078595955742082</v>
      </c>
      <c r="AF503" s="119">
        <f t="shared" si="760"/>
        <v>0.14078595955742082</v>
      </c>
      <c r="AG503" s="119">
        <f t="shared" si="760"/>
        <v>0.14078595955742082</v>
      </c>
      <c r="AH503" s="119">
        <f t="shared" si="760"/>
        <v>0.14078595955742082</v>
      </c>
      <c r="AI503" s="119">
        <f t="shared" si="760"/>
        <v>0.14078595955742082</v>
      </c>
      <c r="AJ503" s="119">
        <f t="shared" si="760"/>
        <v>0.14078595955742082</v>
      </c>
      <c r="AK503" s="119">
        <f t="shared" si="760"/>
        <v>0.14078595955742082</v>
      </c>
      <c r="AL503" s="1482">
        <f t="shared" si="760"/>
        <v>0.14078595955742082</v>
      </c>
      <c r="AM503" s="1482">
        <f t="shared" si="760"/>
        <v>0.14078595955742082</v>
      </c>
      <c r="AN503" s="1482">
        <f t="shared" si="760"/>
        <v>0.14078595955742082</v>
      </c>
      <c r="AO503" s="119"/>
      <c r="AP503" s="119"/>
      <c r="AQ503" s="119"/>
      <c r="AR503" s="119"/>
      <c r="AS503" s="119"/>
      <c r="AT503" s="119"/>
      <c r="AU503" s="11"/>
      <c r="AV503" s="6"/>
      <c r="AW503" s="89"/>
      <c r="AX503" s="89"/>
      <c r="AY503" s="89"/>
      <c r="AZ503" s="89"/>
      <c r="BA503" s="89"/>
      <c r="BB503" s="89"/>
      <c r="BC503" s="89"/>
      <c r="BD503" s="89"/>
      <c r="BE503" s="89"/>
      <c r="BF503" s="89"/>
      <c r="BG503" s="89"/>
      <c r="BH503" s="98"/>
      <c r="BI503" s="89"/>
      <c r="BJ503" s="89"/>
      <c r="BK503" s="89"/>
      <c r="BL503" s="89"/>
      <c r="BM503" s="89"/>
      <c r="BN503" s="89"/>
      <c r="BO503" s="89"/>
      <c r="BP503" s="89"/>
      <c r="BQ503" s="89"/>
      <c r="BR503" s="89"/>
      <c r="BS503" s="89"/>
      <c r="BT503" s="89"/>
      <c r="BU503" s="89"/>
      <c r="BV503" s="89"/>
      <c r="BW503" s="89"/>
      <c r="BX503" s="89"/>
      <c r="BY503" s="89"/>
      <c r="BZ503" s="89"/>
      <c r="CA503" s="89"/>
      <c r="CB503" s="89"/>
      <c r="CC503" s="89"/>
      <c r="CD503" s="89"/>
      <c r="CE503" s="89"/>
      <c r="CF503" s="89"/>
      <c r="CG503" s="89"/>
      <c r="CH503" s="89"/>
      <c r="CI503" s="89"/>
      <c r="CJ503" s="89"/>
      <c r="CK503" s="89"/>
      <c r="CL503" s="89"/>
      <c r="CM503" s="89"/>
      <c r="CN503" s="89"/>
      <c r="CO503" s="98"/>
      <c r="CP503" s="98"/>
      <c r="CQ503" s="98"/>
      <c r="CR503" s="98"/>
      <c r="CS503" s="98"/>
      <c r="CT503" s="1247"/>
      <c r="CU503" s="1247"/>
      <c r="CV503" s="1247"/>
      <c r="CW503" s="98"/>
      <c r="CX503" s="98"/>
      <c r="CY503" s="1247"/>
      <c r="CZ503" s="1247"/>
      <c r="DA503" s="1247"/>
      <c r="DB503" s="98"/>
      <c r="DC503" s="2925"/>
      <c r="DD503" s="98"/>
      <c r="DE503" s="98"/>
      <c r="DF503" s="98"/>
      <c r="DG503" s="98"/>
      <c r="DH503" s="98"/>
      <c r="DI503" s="98"/>
      <c r="DJ503" s="98"/>
      <c r="DK503" s="98"/>
      <c r="DL503" s="98"/>
      <c r="DM503" s="98"/>
      <c r="DN503" s="98"/>
      <c r="DO503" s="98"/>
      <c r="DP503" s="98"/>
      <c r="DQ503" s="98"/>
      <c r="DR503" s="98"/>
    </row>
    <row r="504" spans="1:122">
      <c r="A504" s="173" t="s">
        <v>989</v>
      </c>
      <c r="B504" s="38"/>
      <c r="C504" s="38"/>
      <c r="D504" s="38"/>
      <c r="E504" s="38"/>
      <c r="F504" s="38"/>
      <c r="G504" s="38"/>
      <c r="H504" s="38"/>
      <c r="I504" s="192">
        <f t="shared" ref="I504:N504" si="761">I213</f>
        <v>599.90000000000009</v>
      </c>
      <c r="J504" s="192">
        <f t="shared" si="761"/>
        <v>680</v>
      </c>
      <c r="K504" s="192">
        <f t="shared" si="761"/>
        <v>867.9</v>
      </c>
      <c r="L504" s="192">
        <f t="shared" si="761"/>
        <v>767.5</v>
      </c>
      <c r="M504" s="192">
        <f t="shared" si="761"/>
        <v>612.5</v>
      </c>
      <c r="N504" s="192">
        <f t="shared" si="761"/>
        <v>962.3</v>
      </c>
      <c r="O504" s="919"/>
      <c r="P504" s="192"/>
      <c r="Q504" s="192"/>
      <c r="R504" s="192">
        <f t="shared" ref="R504:W504" si="762">R213</f>
        <v>955</v>
      </c>
      <c r="S504" s="192">
        <f t="shared" si="762"/>
        <v>943.2</v>
      </c>
      <c r="T504" s="192">
        <f t="shared" si="762"/>
        <v>938</v>
      </c>
      <c r="U504" s="192">
        <f t="shared" si="762"/>
        <v>953</v>
      </c>
      <c r="V504" s="192">
        <f t="shared" si="762"/>
        <v>1008</v>
      </c>
      <c r="W504" s="192">
        <f t="shared" si="762"/>
        <v>999</v>
      </c>
      <c r="X504" s="192"/>
      <c r="Y504" s="1368"/>
      <c r="Z504" s="1368">
        <f>Z213</f>
        <v>1013</v>
      </c>
      <c r="AA504" s="1368">
        <f>AA213</f>
        <v>1024</v>
      </c>
      <c r="AB504" s="1368"/>
      <c r="AC504" s="1368">
        <f t="shared" ref="AC504:AH504" si="763">AC505*AC473</f>
        <v>965.05565954387259</v>
      </c>
      <c r="AD504" s="192">
        <f t="shared" si="763"/>
        <v>1026.7268683068617</v>
      </c>
      <c r="AE504" s="192">
        <f t="shared" si="763"/>
        <v>1101.3988423213113</v>
      </c>
      <c r="AF504" s="192">
        <f t="shared" si="763"/>
        <v>1130.0575187270406</v>
      </c>
      <c r="AG504" s="192">
        <f t="shared" si="763"/>
        <v>1171.4646529663794</v>
      </c>
      <c r="AH504" s="192">
        <f t="shared" si="763"/>
        <v>1247.8835853211474</v>
      </c>
      <c r="AI504" s="192">
        <f t="shared" ref="AI504:AN504" si="764">AI505*AI473</f>
        <v>1240.5950959881866</v>
      </c>
      <c r="AJ504" s="192">
        <f t="shared" si="764"/>
        <v>1278.1694577702447</v>
      </c>
      <c r="AK504" s="192">
        <f t="shared" si="764"/>
        <v>1346.6723831480249</v>
      </c>
      <c r="AL504" s="1368">
        <f t="shared" si="764"/>
        <v>1334.9725408669869</v>
      </c>
      <c r="AM504" s="1368">
        <f t="shared" si="764"/>
        <v>1362.2960601488467</v>
      </c>
      <c r="AN504" s="1368">
        <f t="shared" si="764"/>
        <v>1450.731649935268</v>
      </c>
      <c r="AO504" s="192"/>
      <c r="AP504" s="192"/>
      <c r="AQ504" s="192"/>
      <c r="AR504" s="192"/>
      <c r="AS504" s="192"/>
      <c r="AT504" s="95"/>
      <c r="AU504" s="11"/>
      <c r="AV504" s="6"/>
      <c r="AW504" s="89"/>
      <c r="AX504" s="89"/>
      <c r="AY504" s="89"/>
      <c r="AZ504" s="89"/>
      <c r="BA504" s="89"/>
      <c r="BB504" s="89"/>
      <c r="BC504" s="89"/>
      <c r="BD504" s="89"/>
      <c r="BE504" s="89"/>
      <c r="BF504" s="89"/>
      <c r="BG504" s="89"/>
      <c r="BH504" s="98"/>
      <c r="BI504" s="89"/>
      <c r="BJ504" s="89"/>
      <c r="BK504" s="89"/>
      <c r="BL504" s="89"/>
      <c r="BM504" s="89"/>
      <c r="BN504" s="89"/>
      <c r="BO504" s="89"/>
      <c r="BP504" s="89"/>
      <c r="BQ504" s="89"/>
      <c r="BR504" s="89"/>
      <c r="BS504" s="89"/>
      <c r="BT504" s="89"/>
      <c r="BU504" s="89"/>
      <c r="BV504" s="89"/>
      <c r="BW504" s="89"/>
      <c r="BX504" s="89"/>
      <c r="BY504" s="89"/>
      <c r="BZ504" s="89"/>
      <c r="CA504" s="89"/>
      <c r="CB504" s="89"/>
      <c r="CC504" s="89"/>
      <c r="CD504" s="89"/>
      <c r="CE504" s="89"/>
      <c r="CF504" s="89"/>
      <c r="CG504" s="89"/>
      <c r="CH504" s="89"/>
      <c r="CI504" s="89"/>
      <c r="CJ504" s="89"/>
      <c r="CK504" s="89"/>
      <c r="CL504" s="89"/>
      <c r="CM504" s="89"/>
      <c r="CN504" s="89"/>
      <c r="CO504" s="98"/>
      <c r="CP504" s="98"/>
      <c r="CQ504" s="98"/>
      <c r="CR504" s="98"/>
      <c r="CS504" s="98"/>
      <c r="CT504" s="1247"/>
      <c r="CU504" s="1247"/>
      <c r="CV504" s="1247"/>
      <c r="CW504" s="98"/>
      <c r="CX504" s="98"/>
      <c r="CY504" s="1247"/>
      <c r="CZ504" s="1247"/>
      <c r="DA504" s="1247"/>
      <c r="DB504" s="98"/>
      <c r="DC504" s="2925"/>
      <c r="DD504" s="98"/>
      <c r="DE504" s="98"/>
      <c r="DF504" s="98"/>
      <c r="DG504" s="98"/>
      <c r="DH504" s="98"/>
      <c r="DI504" s="98"/>
      <c r="DJ504" s="98"/>
      <c r="DK504" s="98"/>
      <c r="DL504" s="98"/>
      <c r="DM504" s="98"/>
      <c r="DN504" s="98"/>
      <c r="DO504" s="98"/>
      <c r="DP504" s="98"/>
      <c r="DQ504" s="98"/>
      <c r="DR504" s="98"/>
    </row>
    <row r="505" spans="1:122">
      <c r="A505" s="121" t="s">
        <v>440</v>
      </c>
      <c r="B505" s="38"/>
      <c r="C505" s="38"/>
      <c r="D505" s="38"/>
      <c r="E505" s="38"/>
      <c r="F505" s="38"/>
      <c r="G505" s="38"/>
      <c r="H505" s="38"/>
      <c r="I505" s="38">
        <f t="shared" ref="I505:N505" si="765">I504/I473</f>
        <v>4.4258364380832943E-2</v>
      </c>
      <c r="J505" s="38">
        <f t="shared" si="765"/>
        <v>4.6744069346201705E-2</v>
      </c>
      <c r="K505" s="38">
        <f t="shared" si="765"/>
        <v>5.9705291543986135E-2</v>
      </c>
      <c r="L505" s="38">
        <f t="shared" si="765"/>
        <v>5.3595620172902612E-2</v>
      </c>
      <c r="M505" s="38">
        <f t="shared" si="765"/>
        <v>4.3523367607245129E-2</v>
      </c>
      <c r="N505" s="38">
        <f t="shared" si="765"/>
        <v>6.8980100929005625E-2</v>
      </c>
      <c r="O505" s="919"/>
      <c r="P505" s="130"/>
      <c r="Q505" s="130"/>
      <c r="R505" s="38">
        <f t="shared" ref="R505:W505" si="766">R504/R473</f>
        <v>7.337912805618306E-2</v>
      </c>
      <c r="S505" s="38">
        <f t="shared" si="766"/>
        <v>6.7084880297017035E-2</v>
      </c>
      <c r="T505" s="38">
        <f t="shared" si="766"/>
        <v>6.8783456772017304E-2</v>
      </c>
      <c r="U505" s="38">
        <f t="shared" si="766"/>
        <v>6.7696198215604936E-2</v>
      </c>
      <c r="V505" s="38">
        <f t="shared" si="766"/>
        <v>6.5951321643548805E-2</v>
      </c>
      <c r="W505" s="38">
        <f t="shared" si="766"/>
        <v>7.2359843546284233E-2</v>
      </c>
      <c r="X505" s="130"/>
      <c r="Y505" s="1482"/>
      <c r="Z505" s="1110">
        <f>Z504/Z473</f>
        <v>7.2951173844159597E-2</v>
      </c>
      <c r="AA505" s="1110">
        <f>AA504/AA473</f>
        <v>7.1180314194355623E-2</v>
      </c>
      <c r="AB505" s="1482"/>
      <c r="AC505" s="1482">
        <f>AA505</f>
        <v>7.1180314194355623E-2</v>
      </c>
      <c r="AD505" s="119">
        <f t="shared" ref="AD505:AN505" si="767">AC505</f>
        <v>7.1180314194355623E-2</v>
      </c>
      <c r="AE505" s="119">
        <f t="shared" si="767"/>
        <v>7.1180314194355623E-2</v>
      </c>
      <c r="AF505" s="119">
        <f t="shared" si="767"/>
        <v>7.1180314194355623E-2</v>
      </c>
      <c r="AG505" s="119">
        <f t="shared" si="767"/>
        <v>7.1180314194355623E-2</v>
      </c>
      <c r="AH505" s="119">
        <f t="shared" si="767"/>
        <v>7.1180314194355623E-2</v>
      </c>
      <c r="AI505" s="119">
        <f t="shared" si="767"/>
        <v>7.1180314194355623E-2</v>
      </c>
      <c r="AJ505" s="119">
        <f t="shared" si="767"/>
        <v>7.1180314194355623E-2</v>
      </c>
      <c r="AK505" s="119">
        <f t="shared" si="767"/>
        <v>7.1180314194355623E-2</v>
      </c>
      <c r="AL505" s="1482">
        <f t="shared" si="767"/>
        <v>7.1180314194355623E-2</v>
      </c>
      <c r="AM505" s="1482">
        <f t="shared" si="767"/>
        <v>7.1180314194355623E-2</v>
      </c>
      <c r="AN505" s="1482">
        <f t="shared" si="767"/>
        <v>7.1180314194355623E-2</v>
      </c>
      <c r="AO505" s="119"/>
      <c r="AP505" s="119"/>
      <c r="AQ505" s="119"/>
      <c r="AR505" s="119"/>
      <c r="AS505" s="119"/>
      <c r="AT505" s="119"/>
      <c r="AU505" s="11"/>
      <c r="AV505" s="6"/>
      <c r="AW505" s="89"/>
      <c r="AX505" s="89"/>
      <c r="AY505" s="89"/>
      <c r="AZ505" s="89"/>
      <c r="BA505" s="89"/>
      <c r="BB505" s="89"/>
      <c r="BC505" s="89"/>
      <c r="BD505" s="89"/>
      <c r="BE505" s="89"/>
      <c r="BF505" s="89"/>
      <c r="BG505" s="89"/>
      <c r="BH505" s="98"/>
      <c r="BI505" s="89"/>
      <c r="BJ505" s="89"/>
      <c r="BK505" s="89"/>
      <c r="BL505" s="89"/>
      <c r="BM505" s="89"/>
      <c r="BN505" s="89"/>
      <c r="BO505" s="89"/>
      <c r="BP505" s="89"/>
      <c r="BQ505" s="89"/>
      <c r="BR505" s="89"/>
      <c r="BS505" s="89"/>
      <c r="BT505" s="89"/>
      <c r="BU505" s="89"/>
      <c r="BV505" s="89"/>
      <c r="BW505" s="89"/>
      <c r="BX505" s="89"/>
      <c r="BY505" s="89"/>
      <c r="BZ505" s="89"/>
      <c r="CA505" s="89"/>
      <c r="CB505" s="89"/>
      <c r="CC505" s="89"/>
      <c r="CD505" s="89"/>
      <c r="CE505" s="89"/>
      <c r="CF505" s="89"/>
      <c r="CG505" s="89"/>
      <c r="CH505" s="89"/>
      <c r="CI505" s="89"/>
      <c r="CJ505" s="89"/>
      <c r="CK505" s="89"/>
      <c r="CL505" s="89"/>
      <c r="CM505" s="89"/>
      <c r="CN505" s="89"/>
      <c r="CO505" s="98"/>
      <c r="CP505" s="98"/>
      <c r="CQ505" s="98"/>
      <c r="CR505" s="98"/>
      <c r="CS505" s="98"/>
      <c r="CT505" s="1247"/>
      <c r="CU505" s="1247"/>
      <c r="CV505" s="1247"/>
      <c r="CW505" s="98"/>
      <c r="CX505" s="98"/>
      <c r="CY505" s="1247"/>
      <c r="CZ505" s="1247"/>
      <c r="DA505" s="1247"/>
      <c r="DB505" s="98"/>
      <c r="DC505" s="2925"/>
      <c r="DD505" s="98"/>
      <c r="DE505" s="98"/>
      <c r="DF505" s="98"/>
      <c r="DG505" s="98"/>
      <c r="DH505" s="98"/>
      <c r="DI505" s="98"/>
      <c r="DJ505" s="98"/>
      <c r="DK505" s="98"/>
      <c r="DL505" s="98"/>
      <c r="DM505" s="98"/>
      <c r="DN505" s="98"/>
      <c r="DO505" s="98"/>
      <c r="DP505" s="98"/>
      <c r="DQ505" s="98"/>
      <c r="DR505" s="98"/>
    </row>
    <row r="506" spans="1:122">
      <c r="A506" s="173" t="s">
        <v>1007</v>
      </c>
      <c r="B506" s="38"/>
      <c r="C506" s="38"/>
      <c r="D506" s="38"/>
      <c r="E506" s="38"/>
      <c r="F506" s="38"/>
      <c r="G506" s="38"/>
      <c r="H506" s="38"/>
      <c r="I506" s="192">
        <f t="shared" ref="I506:N506" si="768">I214</f>
        <v>640.20000000000005</v>
      </c>
      <c r="J506" s="192">
        <f t="shared" si="768"/>
        <v>731.5</v>
      </c>
      <c r="K506" s="192">
        <f t="shared" si="768"/>
        <v>862.4</v>
      </c>
      <c r="L506" s="192">
        <f t="shared" si="768"/>
        <v>906.9</v>
      </c>
      <c r="M506" s="192">
        <f t="shared" si="768"/>
        <v>1009.7</v>
      </c>
      <c r="N506" s="192">
        <f t="shared" si="768"/>
        <v>840.1</v>
      </c>
      <c r="O506" s="919"/>
      <c r="P506" s="192"/>
      <c r="Q506" s="192"/>
      <c r="R506" s="192">
        <f t="shared" ref="R506:W506" si="769">R214</f>
        <v>729.2</v>
      </c>
      <c r="S506" s="192">
        <f t="shared" si="769"/>
        <v>601.1</v>
      </c>
      <c r="T506" s="192">
        <f t="shared" si="769"/>
        <v>577</v>
      </c>
      <c r="U506" s="192">
        <f t="shared" si="769"/>
        <v>455</v>
      </c>
      <c r="V506" s="192">
        <f t="shared" si="769"/>
        <v>398</v>
      </c>
      <c r="W506" s="192">
        <f t="shared" si="769"/>
        <v>404</v>
      </c>
      <c r="X506" s="192"/>
      <c r="Y506" s="1368"/>
      <c r="Z506" s="1368">
        <f>Z214</f>
        <v>372</v>
      </c>
      <c r="AA506" s="1368">
        <f>AA214</f>
        <v>290</v>
      </c>
      <c r="AB506" s="1368"/>
      <c r="AC506" s="1368">
        <f t="shared" ref="AC506:AK506" si="770">AC507*AC557</f>
        <v>298.02047111139916</v>
      </c>
      <c r="AD506" s="192">
        <f t="shared" si="770"/>
        <v>318.58629897326358</v>
      </c>
      <c r="AE506" s="192">
        <f t="shared" si="770"/>
        <v>344.4524145065368</v>
      </c>
      <c r="AF506" s="192">
        <f t="shared" si="770"/>
        <v>357.73092185894001</v>
      </c>
      <c r="AG506" s="192">
        <f t="shared" si="770"/>
        <v>374.29983216800719</v>
      </c>
      <c r="AH506" s="192">
        <f t="shared" si="770"/>
        <v>400.99371483156096</v>
      </c>
      <c r="AI506" s="192">
        <f t="shared" si="770"/>
        <v>398.88074397690417</v>
      </c>
      <c r="AJ506" s="192">
        <f t="shared" si="770"/>
        <v>412.01788962539297</v>
      </c>
      <c r="AK506" s="192">
        <f t="shared" si="770"/>
        <v>435.73778435104282</v>
      </c>
      <c r="AL506" s="1368">
        <f>AL507*AL557</f>
        <v>431.70373580739931</v>
      </c>
      <c r="AM506" s="1368">
        <f>AM507*AM557</f>
        <v>441.08671816475226</v>
      </c>
      <c r="AN506" s="1368">
        <f>AN507*AN557</f>
        <v>471.33224796765006</v>
      </c>
      <c r="AO506" s="192"/>
      <c r="AP506" s="192"/>
      <c r="AQ506" s="192"/>
      <c r="AR506" s="192"/>
      <c r="AS506" s="192"/>
      <c r="AT506" s="98"/>
      <c r="AU506" s="11"/>
      <c r="AV506" s="6"/>
      <c r="AW506" s="89"/>
      <c r="AX506" s="89"/>
      <c r="AY506" s="89"/>
      <c r="AZ506" s="89"/>
      <c r="BA506" s="89"/>
      <c r="BB506" s="89"/>
      <c r="BC506" s="89"/>
      <c r="BD506" s="89"/>
      <c r="BE506" s="89"/>
      <c r="BF506" s="89"/>
      <c r="BG506" s="89"/>
      <c r="BH506" s="98"/>
      <c r="BI506" s="89"/>
      <c r="BJ506" s="89"/>
      <c r="BK506" s="89"/>
      <c r="BL506" s="89"/>
      <c r="BM506" s="89"/>
      <c r="BN506" s="89"/>
      <c r="BO506" s="89"/>
      <c r="BP506" s="89"/>
      <c r="BQ506" s="89"/>
      <c r="BR506" s="89"/>
      <c r="BS506" s="89"/>
      <c r="BT506" s="89"/>
      <c r="BU506" s="89"/>
      <c r="BV506" s="89"/>
      <c r="BW506" s="89"/>
      <c r="BX506" s="89"/>
      <c r="BY506" s="89"/>
      <c r="BZ506" s="89"/>
      <c r="CA506" s="89"/>
      <c r="CB506" s="89"/>
      <c r="CC506" s="89"/>
      <c r="CD506" s="89"/>
      <c r="CE506" s="89"/>
      <c r="CF506" s="89"/>
      <c r="CG506" s="89"/>
      <c r="CH506" s="89"/>
      <c r="CI506" s="89"/>
      <c r="CJ506" s="89"/>
      <c r="CK506" s="89"/>
      <c r="CL506" s="89"/>
      <c r="CM506" s="89"/>
      <c r="CN506" s="89"/>
      <c r="CO506" s="98"/>
      <c r="CP506" s="98"/>
      <c r="CQ506" s="98"/>
      <c r="CR506" s="98"/>
      <c r="CS506" s="98"/>
      <c r="CT506" s="1247"/>
      <c r="CU506" s="1247"/>
      <c r="CV506" s="1247"/>
      <c r="CW506" s="98"/>
      <c r="CX506" s="98"/>
      <c r="CY506" s="1247"/>
      <c r="CZ506" s="1247"/>
      <c r="DA506" s="1247"/>
      <c r="DB506" s="98"/>
      <c r="DC506" s="2925"/>
      <c r="DD506" s="98"/>
      <c r="DE506" s="98"/>
      <c r="DF506" s="98"/>
      <c r="DG506" s="98"/>
      <c r="DH506" s="98"/>
      <c r="DI506" s="98"/>
      <c r="DJ506" s="98"/>
      <c r="DK506" s="98"/>
      <c r="DL506" s="98"/>
      <c r="DM506" s="98"/>
      <c r="DN506" s="98"/>
      <c r="DO506" s="98"/>
      <c r="DP506" s="98"/>
      <c r="DQ506" s="98"/>
      <c r="DR506" s="98"/>
    </row>
    <row r="507" spans="1:122">
      <c r="A507" s="121" t="s">
        <v>1324</v>
      </c>
      <c r="B507" s="38"/>
      <c r="C507" s="38"/>
      <c r="D507" s="38"/>
      <c r="E507" s="38"/>
      <c r="F507" s="38"/>
      <c r="G507" s="38"/>
      <c r="H507" s="38"/>
      <c r="I507" s="38">
        <f t="shared" ref="I507:N507" si="771">I506/I557</f>
        <v>7.3751512009676862E-2</v>
      </c>
      <c r="J507" s="38">
        <f t="shared" si="771"/>
        <v>7.7419696248081704E-2</v>
      </c>
      <c r="K507" s="38">
        <f t="shared" si="771"/>
        <v>9.2480590228627799E-2</v>
      </c>
      <c r="L507" s="38">
        <f t="shared" si="771"/>
        <v>9.5592963076177123E-2</v>
      </c>
      <c r="M507" s="38">
        <f t="shared" si="771"/>
        <v>0.11086345469717598</v>
      </c>
      <c r="N507" s="38">
        <f t="shared" si="771"/>
        <v>9.2006052839576663E-2</v>
      </c>
      <c r="O507" s="919"/>
      <c r="P507" s="130"/>
      <c r="Q507" s="130"/>
      <c r="R507" s="38">
        <f t="shared" ref="R507:W507" si="772">R506/R557</f>
        <v>8.1746335313113899E-2</v>
      </c>
      <c r="S507" s="38">
        <f t="shared" si="772"/>
        <v>6.1674466610132421E-2</v>
      </c>
      <c r="T507" s="38">
        <f t="shared" si="772"/>
        <v>5.8446490838696789E-2</v>
      </c>
      <c r="U507" s="38">
        <f t="shared" si="772"/>
        <v>4.3988815316563082E-2</v>
      </c>
      <c r="V507" s="38">
        <f t="shared" si="772"/>
        <v>3.4797017132512403E-2</v>
      </c>
      <c r="W507" s="38">
        <f t="shared" si="772"/>
        <v>3.5940366695131939E-2</v>
      </c>
      <c r="X507" s="130"/>
      <c r="Y507" s="1482"/>
      <c r="Z507" s="1110">
        <f>Z506/Z557</f>
        <v>3.226396042627639E-2</v>
      </c>
      <c r="AA507" s="1110">
        <f>AA506/AA557</f>
        <v>2.4067810287173249E-2</v>
      </c>
      <c r="AB507" s="1482"/>
      <c r="AC507" s="1482">
        <f>AA507</f>
        <v>2.4067810287173249E-2</v>
      </c>
      <c r="AD507" s="119">
        <f t="shared" ref="AD507:AN507" si="773">AC507</f>
        <v>2.4067810287173249E-2</v>
      </c>
      <c r="AE507" s="119">
        <f t="shared" si="773"/>
        <v>2.4067810287173249E-2</v>
      </c>
      <c r="AF507" s="119">
        <f t="shared" si="773"/>
        <v>2.4067810287173249E-2</v>
      </c>
      <c r="AG507" s="119">
        <f t="shared" si="773"/>
        <v>2.4067810287173249E-2</v>
      </c>
      <c r="AH507" s="119">
        <f t="shared" si="773"/>
        <v>2.4067810287173249E-2</v>
      </c>
      <c r="AI507" s="119">
        <f t="shared" si="773"/>
        <v>2.4067810287173249E-2</v>
      </c>
      <c r="AJ507" s="119">
        <f t="shared" si="773"/>
        <v>2.4067810287173249E-2</v>
      </c>
      <c r="AK507" s="119">
        <f t="shared" si="773"/>
        <v>2.4067810287173249E-2</v>
      </c>
      <c r="AL507" s="1482">
        <f t="shared" si="773"/>
        <v>2.4067810287173249E-2</v>
      </c>
      <c r="AM507" s="1482">
        <f t="shared" si="773"/>
        <v>2.4067810287173249E-2</v>
      </c>
      <c r="AN507" s="1482">
        <f t="shared" si="773"/>
        <v>2.4067810287173249E-2</v>
      </c>
      <c r="AO507" s="119"/>
      <c r="AP507" s="119"/>
      <c r="AQ507" s="119"/>
      <c r="AR507" s="119"/>
      <c r="AS507" s="119"/>
      <c r="AT507" s="119"/>
      <c r="AU507" s="11"/>
      <c r="AV507" s="6"/>
      <c r="AW507" s="89"/>
      <c r="AX507" s="89"/>
      <c r="AY507" s="89"/>
      <c r="AZ507" s="89"/>
      <c r="BA507" s="89"/>
      <c r="BB507" s="89"/>
      <c r="BC507" s="89"/>
      <c r="BD507" s="89"/>
      <c r="BE507" s="89"/>
      <c r="BF507" s="89"/>
      <c r="BG507" s="89"/>
      <c r="BH507" s="98"/>
      <c r="BI507" s="89"/>
      <c r="BJ507" s="89"/>
      <c r="BK507" s="89"/>
      <c r="BL507" s="89"/>
      <c r="BM507" s="89"/>
      <c r="BN507" s="89"/>
      <c r="BO507" s="89"/>
      <c r="BP507" s="89"/>
      <c r="BQ507" s="89"/>
      <c r="BR507" s="89"/>
      <c r="BS507" s="89"/>
      <c r="BT507" s="89"/>
      <c r="BU507" s="89"/>
      <c r="BV507" s="89"/>
      <c r="BW507" s="89"/>
      <c r="BX507" s="89"/>
      <c r="BY507" s="89"/>
      <c r="BZ507" s="89"/>
      <c r="CA507" s="89"/>
      <c r="CB507" s="89"/>
      <c r="CC507" s="89"/>
      <c r="CD507" s="89"/>
      <c r="CE507" s="89"/>
      <c r="CF507" s="89"/>
      <c r="CG507" s="89"/>
      <c r="CH507" s="89"/>
      <c r="CI507" s="89"/>
      <c r="CJ507" s="89"/>
      <c r="CK507" s="89"/>
      <c r="CL507" s="89"/>
      <c r="CM507" s="89"/>
      <c r="CN507" s="89"/>
      <c r="CO507" s="98"/>
      <c r="CP507" s="98"/>
      <c r="CQ507" s="98"/>
      <c r="CR507" s="98"/>
      <c r="CS507" s="98"/>
      <c r="CT507" s="1247"/>
      <c r="CU507" s="1247"/>
      <c r="CV507" s="1247"/>
      <c r="CW507" s="98"/>
      <c r="CX507" s="98"/>
      <c r="CY507" s="1247"/>
      <c r="CZ507" s="1247"/>
      <c r="DA507" s="1247"/>
      <c r="DB507" s="98"/>
      <c r="DC507" s="2925"/>
      <c r="DD507" s="98"/>
      <c r="DE507" s="98"/>
      <c r="DF507" s="98"/>
      <c r="DG507" s="98"/>
      <c r="DH507" s="98"/>
      <c r="DI507" s="98"/>
      <c r="DJ507" s="98"/>
      <c r="DK507" s="98"/>
      <c r="DL507" s="98"/>
      <c r="DM507" s="98"/>
      <c r="DN507" s="98"/>
      <c r="DO507" s="98"/>
      <c r="DP507" s="98"/>
      <c r="DQ507" s="98"/>
      <c r="DR507" s="98"/>
    </row>
    <row r="508" spans="1:122">
      <c r="A508" s="121" t="s">
        <v>897</v>
      </c>
      <c r="B508" s="38"/>
      <c r="C508" s="38"/>
      <c r="D508" s="38"/>
      <c r="E508" s="38"/>
      <c r="F508" s="38"/>
      <c r="G508" s="38"/>
      <c r="H508" s="38"/>
      <c r="I508" s="192">
        <f t="shared" ref="I508:N508" si="774">I215</f>
        <v>279.8</v>
      </c>
      <c r="J508" s="192">
        <f t="shared" si="774"/>
        <v>294.89999999999998</v>
      </c>
      <c r="K508" s="192">
        <f t="shared" si="774"/>
        <v>292.39999999999998</v>
      </c>
      <c r="L508" s="192">
        <f t="shared" si="774"/>
        <v>268.39999999999998</v>
      </c>
      <c r="M508" s="192">
        <f t="shared" si="774"/>
        <v>378.8</v>
      </c>
      <c r="N508" s="192">
        <f t="shared" si="774"/>
        <v>392</v>
      </c>
      <c r="O508" s="919"/>
      <c r="P508" s="192"/>
      <c r="Q508" s="192"/>
      <c r="R508" s="192">
        <f t="shared" ref="R508:W508" si="775">R215</f>
        <v>461.5</v>
      </c>
      <c r="S508" s="192">
        <f t="shared" si="775"/>
        <v>291.5</v>
      </c>
      <c r="T508" s="192">
        <f t="shared" si="775"/>
        <v>253</v>
      </c>
      <c r="U508" s="192">
        <f t="shared" si="775"/>
        <v>292</v>
      </c>
      <c r="V508" s="192">
        <f t="shared" si="775"/>
        <v>232</v>
      </c>
      <c r="W508" s="192">
        <f t="shared" si="775"/>
        <v>206</v>
      </c>
      <c r="X508" s="192"/>
      <c r="Y508" s="1368"/>
      <c r="Z508" s="1368">
        <f>Z215</f>
        <v>294</v>
      </c>
      <c r="AA508" s="1368">
        <f>AA215</f>
        <v>152</v>
      </c>
      <c r="AB508" s="1368"/>
      <c r="AC508" s="1368">
        <f t="shared" ref="AC508:AH508" si="776">AC509*AC473</f>
        <v>143.25044946354356</v>
      </c>
      <c r="AD508" s="192">
        <f t="shared" si="776"/>
        <v>152.40476951429977</v>
      </c>
      <c r="AE508" s="192">
        <f t="shared" si="776"/>
        <v>163.48889065706965</v>
      </c>
      <c r="AF508" s="192">
        <f t="shared" si="776"/>
        <v>167.74291293604506</v>
      </c>
      <c r="AG508" s="192">
        <f t="shared" si="776"/>
        <v>173.88928442469691</v>
      </c>
      <c r="AH508" s="192">
        <f t="shared" si="776"/>
        <v>185.23271969610781</v>
      </c>
      <c r="AI508" s="192">
        <f t="shared" ref="AI508:AN508" si="777">AI509*AI473</f>
        <v>184.15083456074646</v>
      </c>
      <c r="AJ508" s="192">
        <f t="shared" si="777"/>
        <v>189.72827888777067</v>
      </c>
      <c r="AK508" s="192">
        <f t="shared" si="777"/>
        <v>199.89668187353493</v>
      </c>
      <c r="AL508" s="1368">
        <f t="shared" si="777"/>
        <v>198.15998653494339</v>
      </c>
      <c r="AM508" s="1368">
        <f t="shared" si="777"/>
        <v>202.21582142834441</v>
      </c>
      <c r="AN508" s="1368">
        <f t="shared" si="777"/>
        <v>215.34297928726633</v>
      </c>
      <c r="AO508" s="192"/>
      <c r="AP508" s="192"/>
      <c r="AQ508" s="192"/>
      <c r="AR508" s="192"/>
      <c r="AS508" s="192"/>
      <c r="AT508" s="95"/>
      <c r="AU508" s="11"/>
      <c r="AV508" s="6"/>
      <c r="AW508" s="89"/>
      <c r="AX508" s="89"/>
      <c r="AY508" s="89"/>
      <c r="AZ508" s="89"/>
      <c r="BA508" s="89"/>
      <c r="BB508" s="89"/>
      <c r="BC508" s="89"/>
      <c r="BD508" s="89"/>
      <c r="BE508" s="89"/>
      <c r="BF508" s="89"/>
      <c r="BG508" s="89"/>
      <c r="BH508" s="98"/>
      <c r="BI508" s="89"/>
      <c r="BJ508" s="89"/>
      <c r="BK508" s="89"/>
      <c r="BL508" s="89"/>
      <c r="BM508" s="89"/>
      <c r="BN508" s="89"/>
      <c r="BO508" s="89"/>
      <c r="BP508" s="89"/>
      <c r="BQ508" s="89"/>
      <c r="BR508" s="89"/>
      <c r="BS508" s="89"/>
      <c r="BT508" s="89"/>
      <c r="BU508" s="89"/>
      <c r="BV508" s="89"/>
      <c r="BW508" s="89"/>
      <c r="BX508" s="89"/>
      <c r="BY508" s="89"/>
      <c r="BZ508" s="89"/>
      <c r="CA508" s="89"/>
      <c r="CB508" s="89"/>
      <c r="CC508" s="89"/>
      <c r="CD508" s="89"/>
      <c r="CE508" s="89"/>
      <c r="CF508" s="89"/>
      <c r="CG508" s="89"/>
      <c r="CH508" s="89"/>
      <c r="CI508" s="89"/>
      <c r="CJ508" s="89"/>
      <c r="CK508" s="89"/>
      <c r="CL508" s="89"/>
      <c r="CM508" s="89"/>
      <c r="CN508" s="89"/>
      <c r="CO508" s="98"/>
      <c r="CP508" s="98"/>
      <c r="CQ508" s="98"/>
      <c r="CR508" s="98"/>
      <c r="CS508" s="98"/>
      <c r="CT508" s="1247"/>
      <c r="CU508" s="1247"/>
      <c r="CV508" s="1247"/>
      <c r="CW508" s="98"/>
      <c r="CX508" s="98"/>
      <c r="CY508" s="1247"/>
      <c r="CZ508" s="1247"/>
      <c r="DA508" s="1247"/>
      <c r="DB508" s="98"/>
      <c r="DC508" s="2925"/>
      <c r="DD508" s="98"/>
      <c r="DE508" s="98"/>
      <c r="DF508" s="98"/>
      <c r="DG508" s="98"/>
      <c r="DH508" s="98"/>
      <c r="DI508" s="98"/>
      <c r="DJ508" s="98"/>
      <c r="DK508" s="98"/>
      <c r="DL508" s="98"/>
      <c r="DM508" s="98"/>
      <c r="DN508" s="98"/>
      <c r="DO508" s="98"/>
      <c r="DP508" s="98"/>
      <c r="DQ508" s="98"/>
      <c r="DR508" s="98"/>
    </row>
    <row r="509" spans="1:122">
      <c r="A509" s="121" t="s">
        <v>440</v>
      </c>
      <c r="B509" s="38"/>
      <c r="C509" s="38"/>
      <c r="D509" s="38"/>
      <c r="E509" s="38"/>
      <c r="F509" s="38"/>
      <c r="G509" s="38"/>
      <c r="H509" s="38"/>
      <c r="I509" s="38">
        <f t="shared" ref="I509:N509" si="778">I508/I473</f>
        <v>2.0642591021431997E-2</v>
      </c>
      <c r="J509" s="38">
        <f t="shared" si="778"/>
        <v>2.0271803014992474E-2</v>
      </c>
      <c r="K509" s="38">
        <f t="shared" si="778"/>
        <v>2.0115021600946588E-2</v>
      </c>
      <c r="L509" s="38">
        <f t="shared" si="778"/>
        <v>1.8742754989455452E-2</v>
      </c>
      <c r="M509" s="38">
        <f t="shared" si="778"/>
        <v>2.6916982285101154E-2</v>
      </c>
      <c r="N509" s="38">
        <f t="shared" si="778"/>
        <v>2.8099552700997822E-2</v>
      </c>
      <c r="O509" s="919"/>
      <c r="P509" s="130"/>
      <c r="Q509" s="130"/>
      <c r="R509" s="38">
        <f t="shared" ref="R509:W509" si="779">R508/R473</f>
        <v>3.5460175495213068E-2</v>
      </c>
      <c r="S509" s="38">
        <f t="shared" si="779"/>
        <v>2.0732869599852061E-2</v>
      </c>
      <c r="T509" s="38">
        <f t="shared" si="779"/>
        <v>1.8552467551514264E-2</v>
      </c>
      <c r="U509" s="38">
        <f t="shared" si="779"/>
        <v>2.0742171961129739E-2</v>
      </c>
      <c r="V509" s="38">
        <f t="shared" si="779"/>
        <v>1.517927244176917E-2</v>
      </c>
      <c r="W509" s="38">
        <f t="shared" si="779"/>
        <v>1.4921048819353907E-2</v>
      </c>
      <c r="X509" s="130"/>
      <c r="Y509" s="1482"/>
      <c r="Z509" s="1110">
        <f>Z508/Z473</f>
        <v>2.1172403860002884E-2</v>
      </c>
      <c r="AA509" s="1110">
        <f>AA508/AA473</f>
        <v>1.0565827888224662E-2</v>
      </c>
      <c r="AB509" s="1482"/>
      <c r="AC509" s="1482">
        <f>AA509</f>
        <v>1.0565827888224662E-2</v>
      </c>
      <c r="AD509" s="119">
        <f t="shared" ref="AD509:AN509" si="780">AC509</f>
        <v>1.0565827888224662E-2</v>
      </c>
      <c r="AE509" s="119">
        <f t="shared" si="780"/>
        <v>1.0565827888224662E-2</v>
      </c>
      <c r="AF509" s="119">
        <f t="shared" si="780"/>
        <v>1.0565827888224662E-2</v>
      </c>
      <c r="AG509" s="119">
        <f t="shared" si="780"/>
        <v>1.0565827888224662E-2</v>
      </c>
      <c r="AH509" s="119">
        <f t="shared" si="780"/>
        <v>1.0565827888224662E-2</v>
      </c>
      <c r="AI509" s="119">
        <f t="shared" si="780"/>
        <v>1.0565827888224662E-2</v>
      </c>
      <c r="AJ509" s="119">
        <f t="shared" si="780"/>
        <v>1.0565827888224662E-2</v>
      </c>
      <c r="AK509" s="119">
        <f t="shared" si="780"/>
        <v>1.0565827888224662E-2</v>
      </c>
      <c r="AL509" s="1482">
        <f t="shared" si="780"/>
        <v>1.0565827888224662E-2</v>
      </c>
      <c r="AM509" s="1482">
        <f t="shared" si="780"/>
        <v>1.0565827888224662E-2</v>
      </c>
      <c r="AN509" s="1482">
        <f t="shared" si="780"/>
        <v>1.0565827888224662E-2</v>
      </c>
      <c r="AO509" s="119"/>
      <c r="AP509" s="119"/>
      <c r="AQ509" s="119"/>
      <c r="AR509" s="119"/>
      <c r="AS509" s="119"/>
      <c r="AT509" s="119"/>
      <c r="AU509" s="11"/>
      <c r="AV509" s="6"/>
      <c r="AW509" s="89"/>
      <c r="AX509" s="89"/>
      <c r="AY509" s="89"/>
      <c r="AZ509" s="89"/>
      <c r="BA509" s="89"/>
      <c r="BB509" s="89"/>
      <c r="BC509" s="89"/>
      <c r="BD509" s="89"/>
      <c r="BE509" s="89"/>
      <c r="BF509" s="89"/>
      <c r="BG509" s="89"/>
      <c r="BH509" s="98"/>
      <c r="BI509" s="89"/>
      <c r="BJ509" s="89"/>
      <c r="BK509" s="89"/>
      <c r="BL509" s="89"/>
      <c r="BM509" s="89"/>
      <c r="BN509" s="89"/>
      <c r="BO509" s="89"/>
      <c r="BP509" s="89"/>
      <c r="BQ509" s="89"/>
      <c r="BR509" s="89"/>
      <c r="BS509" s="89"/>
      <c r="BT509" s="89"/>
      <c r="BU509" s="89"/>
      <c r="BV509" s="89"/>
      <c r="BW509" s="89"/>
      <c r="BX509" s="89"/>
      <c r="BY509" s="89"/>
      <c r="BZ509" s="89"/>
      <c r="CA509" s="89"/>
      <c r="CB509" s="89"/>
      <c r="CC509" s="89"/>
      <c r="CD509" s="89"/>
      <c r="CE509" s="89"/>
      <c r="CF509" s="89"/>
      <c r="CG509" s="89"/>
      <c r="CH509" s="89"/>
      <c r="CI509" s="89"/>
      <c r="CJ509" s="89"/>
      <c r="CK509" s="89"/>
      <c r="CL509" s="89"/>
      <c r="CM509" s="89"/>
      <c r="CN509" s="89"/>
      <c r="CO509" s="98"/>
      <c r="CP509" s="98"/>
      <c r="CQ509" s="98"/>
      <c r="CR509" s="98"/>
      <c r="CS509" s="98"/>
      <c r="CT509" s="1247"/>
      <c r="CU509" s="1247"/>
      <c r="CV509" s="1247"/>
      <c r="CW509" s="98"/>
      <c r="CX509" s="98"/>
      <c r="CY509" s="1247"/>
      <c r="CZ509" s="1247"/>
      <c r="DA509" s="1247"/>
      <c r="DB509" s="98"/>
      <c r="DC509" s="2925"/>
      <c r="DD509" s="98"/>
      <c r="DE509" s="98"/>
      <c r="DF509" s="98"/>
      <c r="DG509" s="98"/>
      <c r="DH509" s="98"/>
      <c r="DI509" s="98"/>
      <c r="DJ509" s="98"/>
      <c r="DK509" s="98"/>
      <c r="DL509" s="98"/>
      <c r="DM509" s="98"/>
      <c r="DN509" s="98"/>
      <c r="DO509" s="98"/>
      <c r="DP509" s="98"/>
      <c r="DQ509" s="98"/>
      <c r="DR509" s="98"/>
    </row>
    <row r="510" spans="1:122">
      <c r="A510" s="172" t="s">
        <v>797</v>
      </c>
      <c r="B510" s="123"/>
      <c r="C510" s="123"/>
      <c r="D510" s="123"/>
      <c r="E510" s="123"/>
      <c r="F510" s="123"/>
      <c r="G510" s="123"/>
      <c r="H510" s="123"/>
      <c r="I510" s="192">
        <f t="shared" ref="I510:N510" si="781">I217</f>
        <v>511.79999999999995</v>
      </c>
      <c r="J510" s="192">
        <f t="shared" si="781"/>
        <v>798</v>
      </c>
      <c r="K510" s="192">
        <f t="shared" si="781"/>
        <v>740.7</v>
      </c>
      <c r="L510" s="192">
        <f t="shared" si="781"/>
        <v>776.4</v>
      </c>
      <c r="M510" s="192">
        <f t="shared" si="781"/>
        <v>818.8</v>
      </c>
      <c r="N510" s="192">
        <f t="shared" si="781"/>
        <v>899.8</v>
      </c>
      <c r="O510" s="919"/>
      <c r="P510" s="192"/>
      <c r="Q510" s="192"/>
      <c r="R510" s="192">
        <f t="shared" ref="R510:W510" si="782">R217</f>
        <v>702.48999999999967</v>
      </c>
      <c r="S510" s="192">
        <f t="shared" si="782"/>
        <v>685.7</v>
      </c>
      <c r="T510" s="192">
        <f t="shared" si="782"/>
        <v>748</v>
      </c>
      <c r="U510" s="192">
        <f t="shared" si="782"/>
        <v>827</v>
      </c>
      <c r="V510" s="192">
        <f t="shared" si="782"/>
        <v>645</v>
      </c>
      <c r="W510" s="192">
        <f t="shared" si="782"/>
        <v>522</v>
      </c>
      <c r="X510" s="192"/>
      <c r="Y510" s="1368"/>
      <c r="Z510" s="1368">
        <f>Z217</f>
        <v>712</v>
      </c>
      <c r="AA510" s="1368">
        <f>AA217</f>
        <v>938</v>
      </c>
      <c r="AB510" s="1368"/>
      <c r="AC510" s="1368">
        <f t="shared" ref="AC510:AH510" si="783">AC511*AC473</f>
        <v>884.00606313686751</v>
      </c>
      <c r="AD510" s="192">
        <f t="shared" si="783"/>
        <v>940.49785397640244</v>
      </c>
      <c r="AE510" s="192">
        <f t="shared" si="783"/>
        <v>1008.8985489232325</v>
      </c>
      <c r="AF510" s="192">
        <f t="shared" si="783"/>
        <v>1035.1503443026993</v>
      </c>
      <c r="AG510" s="192">
        <f t="shared" si="783"/>
        <v>1073.079926252406</v>
      </c>
      <c r="AH510" s="192">
        <f t="shared" si="783"/>
        <v>1143.0808623351916</v>
      </c>
      <c r="AI510" s="192">
        <f t="shared" ref="AI510:AN510" si="784">AI511*AI473</f>
        <v>1136.4044922235537</v>
      </c>
      <c r="AJ510" s="192">
        <f t="shared" si="784"/>
        <v>1170.8231947153217</v>
      </c>
      <c r="AK510" s="192">
        <f t="shared" si="784"/>
        <v>1233.5729447195772</v>
      </c>
      <c r="AL510" s="1368">
        <f t="shared" si="784"/>
        <v>1222.8557063801111</v>
      </c>
      <c r="AM510" s="1368">
        <f t="shared" si="784"/>
        <v>1247.8844769722832</v>
      </c>
      <c r="AN510" s="1368">
        <f t="shared" si="784"/>
        <v>1328.8928590227356</v>
      </c>
      <c r="AO510" s="192"/>
      <c r="AP510" s="192"/>
      <c r="AQ510" s="192"/>
      <c r="AR510" s="192"/>
      <c r="AS510" s="192"/>
      <c r="AT510" s="95"/>
      <c r="AU510" s="11"/>
      <c r="AV510" s="6"/>
      <c r="AW510" s="89"/>
      <c r="AX510" s="89"/>
      <c r="AY510" s="89"/>
      <c r="AZ510" s="89"/>
      <c r="BA510" s="89"/>
      <c r="BB510" s="89"/>
      <c r="BC510" s="89"/>
      <c r="BD510" s="89"/>
      <c r="BE510" s="89"/>
      <c r="BF510" s="89"/>
      <c r="BG510" s="89"/>
      <c r="BH510" s="98"/>
      <c r="BI510" s="89"/>
      <c r="BJ510" s="89"/>
      <c r="BK510" s="89"/>
      <c r="BL510" s="89"/>
      <c r="BM510" s="89"/>
      <c r="BN510" s="89"/>
      <c r="BO510" s="89"/>
      <c r="BP510" s="89"/>
      <c r="BQ510" s="89"/>
      <c r="BR510" s="89"/>
      <c r="BS510" s="89"/>
      <c r="BT510" s="89"/>
      <c r="BU510" s="89"/>
      <c r="BV510" s="89"/>
      <c r="BW510" s="89"/>
      <c r="BX510" s="89"/>
      <c r="BY510" s="89"/>
      <c r="BZ510" s="89"/>
      <c r="CA510" s="89"/>
      <c r="CB510" s="89"/>
      <c r="CC510" s="89"/>
      <c r="CD510" s="89"/>
      <c r="CE510" s="89"/>
      <c r="CF510" s="89"/>
      <c r="CG510" s="89"/>
      <c r="CH510" s="89"/>
      <c r="CI510" s="89"/>
      <c r="CJ510" s="89"/>
      <c r="CK510" s="89"/>
      <c r="CL510" s="89"/>
      <c r="CM510" s="89"/>
      <c r="CN510" s="89"/>
      <c r="CO510" s="98"/>
      <c r="CP510" s="98"/>
      <c r="CQ510" s="98"/>
      <c r="CR510" s="98"/>
      <c r="CS510" s="98"/>
      <c r="CT510" s="1247"/>
      <c r="CU510" s="1247"/>
      <c r="CV510" s="1247"/>
      <c r="CW510" s="98"/>
      <c r="CX510" s="98"/>
      <c r="CY510" s="1247"/>
      <c r="CZ510" s="1247"/>
      <c r="DA510" s="1247"/>
      <c r="DB510" s="98"/>
      <c r="DC510" s="2925"/>
      <c r="DD510" s="98"/>
      <c r="DE510" s="98"/>
      <c r="DF510" s="98"/>
      <c r="DG510" s="98"/>
      <c r="DH510" s="98"/>
      <c r="DI510" s="98"/>
      <c r="DJ510" s="98"/>
      <c r="DK510" s="98"/>
      <c r="DL510" s="98"/>
      <c r="DM510" s="98"/>
      <c r="DN510" s="98"/>
      <c r="DO510" s="98"/>
      <c r="DP510" s="98"/>
      <c r="DQ510" s="98"/>
      <c r="DR510" s="98"/>
    </row>
    <row r="511" spans="1:122">
      <c r="A511" s="121" t="s">
        <v>440</v>
      </c>
      <c r="B511" s="38"/>
      <c r="C511" s="38"/>
      <c r="D511" s="38"/>
      <c r="E511" s="38"/>
      <c r="F511" s="38"/>
      <c r="G511" s="38"/>
      <c r="H511" s="38"/>
      <c r="I511" s="38">
        <f t="shared" ref="I511:N511" si="785">I510/I473</f>
        <v>3.7758677929838794E-2</v>
      </c>
      <c r="J511" s="38">
        <f t="shared" si="785"/>
        <v>5.4855540203336703E-2</v>
      </c>
      <c r="K511" s="38">
        <f t="shared" si="785"/>
        <v>5.0954844390633171E-2</v>
      </c>
      <c r="L511" s="38">
        <f t="shared" si="785"/>
        <v>5.4217119872627471E-2</v>
      </c>
      <c r="M511" s="38">
        <f t="shared" si="785"/>
        <v>5.8182748402958874E-2</v>
      </c>
      <c r="N511" s="38">
        <f t="shared" si="785"/>
        <v>6.4499942653974074E-2</v>
      </c>
      <c r="O511" s="919"/>
      <c r="P511" s="119"/>
      <c r="Q511" s="119"/>
      <c r="R511" s="38">
        <f t="shared" ref="R511:W511" si="786">R510/R473</f>
        <v>5.3977071903861792E-2</v>
      </c>
      <c r="S511" s="38">
        <f t="shared" si="786"/>
        <v>4.8770252777422161E-2</v>
      </c>
      <c r="T511" s="38">
        <f t="shared" si="786"/>
        <v>5.4850773630563905E-2</v>
      </c>
      <c r="U511" s="38">
        <f t="shared" si="786"/>
        <v>5.874580894470649E-2</v>
      </c>
      <c r="V511" s="38">
        <f t="shared" si="786"/>
        <v>4.2200994504056531E-2</v>
      </c>
      <c r="W511" s="38">
        <f t="shared" si="786"/>
        <v>3.7809647979139507E-2</v>
      </c>
      <c r="X511" s="119"/>
      <c r="Y511" s="1482"/>
      <c r="Z511" s="1110">
        <f>Z510/Z473</f>
        <v>5.1274665130347119E-2</v>
      </c>
      <c r="AA511" s="1110">
        <f>AA510/AA473</f>
        <v>6.5202279994439033E-2</v>
      </c>
      <c r="AB511" s="1482"/>
      <c r="AC511" s="1482">
        <f>+AA511</f>
        <v>6.5202279994439033E-2</v>
      </c>
      <c r="AD511" s="119">
        <f t="shared" ref="AD511:AN511" si="787">+AC511</f>
        <v>6.5202279994439033E-2</v>
      </c>
      <c r="AE511" s="119">
        <f t="shared" si="787"/>
        <v>6.5202279994439033E-2</v>
      </c>
      <c r="AF511" s="119">
        <f t="shared" si="787"/>
        <v>6.5202279994439033E-2</v>
      </c>
      <c r="AG511" s="119">
        <f t="shared" si="787"/>
        <v>6.5202279994439033E-2</v>
      </c>
      <c r="AH511" s="119">
        <f t="shared" si="787"/>
        <v>6.5202279994439033E-2</v>
      </c>
      <c r="AI511" s="119">
        <f t="shared" si="787"/>
        <v>6.5202279994439033E-2</v>
      </c>
      <c r="AJ511" s="119">
        <f t="shared" si="787"/>
        <v>6.5202279994439033E-2</v>
      </c>
      <c r="AK511" s="119">
        <f t="shared" si="787"/>
        <v>6.5202279994439033E-2</v>
      </c>
      <c r="AL511" s="1482">
        <f t="shared" si="787"/>
        <v>6.5202279994439033E-2</v>
      </c>
      <c r="AM511" s="1482">
        <f t="shared" si="787"/>
        <v>6.5202279994439033E-2</v>
      </c>
      <c r="AN511" s="1482">
        <f t="shared" si="787"/>
        <v>6.5202279994439033E-2</v>
      </c>
      <c r="AO511" s="119"/>
      <c r="AP511" s="119"/>
      <c r="AQ511" s="119"/>
      <c r="AR511" s="119"/>
      <c r="AS511" s="119"/>
      <c r="AT511" s="119"/>
      <c r="AU511" s="11"/>
      <c r="AV511" s="6"/>
      <c r="AW511" s="89"/>
      <c r="AX511" s="89"/>
      <c r="AY511" s="89"/>
      <c r="AZ511" s="89"/>
      <c r="BA511" s="89"/>
      <c r="BB511" s="89"/>
      <c r="BC511" s="89"/>
      <c r="BD511" s="89"/>
      <c r="BE511" s="89"/>
      <c r="BF511" s="89"/>
      <c r="BG511" s="89"/>
      <c r="BH511" s="98"/>
      <c r="BI511" s="89"/>
      <c r="BJ511" s="89"/>
      <c r="BK511" s="89"/>
      <c r="BL511" s="89"/>
      <c r="BM511" s="89"/>
      <c r="BN511" s="89"/>
      <c r="BO511" s="89"/>
      <c r="BP511" s="89"/>
      <c r="BQ511" s="89"/>
      <c r="BR511" s="89"/>
      <c r="BS511" s="89"/>
      <c r="BT511" s="89"/>
      <c r="BU511" s="89"/>
      <c r="BV511" s="89"/>
      <c r="BW511" s="89"/>
      <c r="BX511" s="89"/>
      <c r="BY511" s="89"/>
      <c r="BZ511" s="89"/>
      <c r="CA511" s="89"/>
      <c r="CB511" s="89"/>
      <c r="CC511" s="89"/>
      <c r="CD511" s="89"/>
      <c r="CE511" s="89"/>
      <c r="CF511" s="89"/>
      <c r="CG511" s="89"/>
      <c r="CH511" s="89"/>
      <c r="CI511" s="89"/>
      <c r="CJ511" s="89"/>
      <c r="CK511" s="89"/>
      <c r="CL511" s="89"/>
      <c r="CM511" s="89"/>
      <c r="CN511" s="89"/>
      <c r="CO511" s="98"/>
      <c r="CP511" s="98"/>
      <c r="CQ511" s="98"/>
      <c r="CR511" s="98"/>
      <c r="CS511" s="98"/>
      <c r="CT511" s="1247"/>
      <c r="CU511" s="1247"/>
      <c r="CV511" s="1247"/>
      <c r="CW511" s="98"/>
      <c r="CX511" s="98"/>
      <c r="CY511" s="1247"/>
      <c r="CZ511" s="1247"/>
      <c r="DA511" s="1247"/>
      <c r="DB511" s="98"/>
      <c r="DC511" s="2925"/>
      <c r="DD511" s="98"/>
      <c r="DE511" s="98"/>
      <c r="DF511" s="98"/>
      <c r="DG511" s="98"/>
      <c r="DH511" s="98"/>
      <c r="DI511" s="98"/>
      <c r="DJ511" s="98"/>
      <c r="DK511" s="98"/>
      <c r="DL511" s="98"/>
      <c r="DM511" s="98"/>
      <c r="DN511" s="98"/>
      <c r="DO511" s="98"/>
      <c r="DP511" s="98"/>
      <c r="DQ511" s="98"/>
      <c r="DR511" s="98"/>
    </row>
    <row r="512" spans="1:122">
      <c r="A512" s="121"/>
      <c r="B512" s="38"/>
      <c r="C512" s="38"/>
      <c r="D512" s="38"/>
      <c r="E512" s="38"/>
      <c r="F512" s="38"/>
      <c r="G512" s="38"/>
      <c r="H512" s="38"/>
      <c r="I512" s="38"/>
      <c r="J512" s="38"/>
      <c r="K512" s="38" t="s">
        <v>337</v>
      </c>
      <c r="L512" s="119"/>
      <c r="M512" s="130"/>
      <c r="N512" s="130" t="s">
        <v>337</v>
      </c>
      <c r="O512" s="919"/>
      <c r="P512" s="130"/>
      <c r="Q512" s="130"/>
      <c r="R512" s="130"/>
      <c r="S512" s="130"/>
      <c r="T512" s="130"/>
      <c r="U512" s="130"/>
      <c r="V512" s="130"/>
      <c r="W512" s="130"/>
      <c r="X512" s="130"/>
      <c r="Y512" s="1482"/>
      <c r="Z512" s="1482"/>
      <c r="AA512" s="1482"/>
      <c r="AB512" s="1482"/>
      <c r="AC512" s="1482"/>
      <c r="AD512" s="119"/>
      <c r="AE512" s="119"/>
      <c r="AF512" s="119"/>
      <c r="AG512" s="119"/>
      <c r="AH512" s="119"/>
      <c r="AI512" s="119"/>
      <c r="AJ512" s="119"/>
      <c r="AK512" s="119"/>
      <c r="AL512" s="1482"/>
      <c r="AM512" s="1482"/>
      <c r="AN512" s="119"/>
      <c r="AO512" s="119"/>
      <c r="AP512" s="119"/>
      <c r="AQ512" s="119"/>
      <c r="AR512" s="119"/>
      <c r="AS512" s="119"/>
      <c r="AT512" s="119"/>
      <c r="AU512" s="11"/>
      <c r="AV512" s="6"/>
      <c r="AW512" s="89"/>
      <c r="AX512" s="89"/>
      <c r="AY512" s="89"/>
      <c r="AZ512" s="89"/>
      <c r="BA512" s="89"/>
      <c r="BB512" s="89"/>
      <c r="BC512" s="89"/>
      <c r="BD512" s="89"/>
      <c r="BE512" s="89"/>
      <c r="BF512" s="89"/>
      <c r="BG512" s="89"/>
      <c r="BH512" s="98"/>
      <c r="BI512" s="89"/>
      <c r="BJ512" s="89"/>
      <c r="BK512" s="89"/>
      <c r="BL512" s="89"/>
      <c r="BM512" s="89"/>
      <c r="BN512" s="89"/>
      <c r="BO512" s="89"/>
      <c r="BP512" s="89"/>
      <c r="BQ512" s="89"/>
      <c r="BR512" s="89"/>
      <c r="BS512" s="89"/>
      <c r="BT512" s="89"/>
      <c r="BU512" s="89"/>
      <c r="BV512" s="89"/>
      <c r="BW512" s="89"/>
      <c r="BX512" s="89"/>
      <c r="BY512" s="89"/>
      <c r="BZ512" s="89"/>
      <c r="CA512" s="89"/>
      <c r="CB512" s="89"/>
      <c r="CC512" s="89"/>
      <c r="CD512" s="89"/>
      <c r="CE512" s="89"/>
      <c r="CF512" s="89"/>
      <c r="CG512" s="89"/>
      <c r="CH512" s="89"/>
      <c r="CI512" s="89"/>
      <c r="CJ512" s="89"/>
      <c r="CK512" s="89"/>
      <c r="CL512" s="89"/>
      <c r="CM512" s="89"/>
      <c r="CN512" s="89"/>
      <c r="CO512" s="98"/>
      <c r="CP512" s="98"/>
      <c r="CQ512" s="98"/>
      <c r="CR512" s="98"/>
      <c r="CS512" s="98"/>
      <c r="CT512" s="1247"/>
      <c r="CU512" s="1247"/>
      <c r="CV512" s="1247"/>
      <c r="CW512" s="98"/>
      <c r="CX512" s="98"/>
      <c r="CY512" s="1247"/>
      <c r="CZ512" s="1247"/>
      <c r="DA512" s="1247"/>
      <c r="DB512" s="98"/>
      <c r="DC512" s="2925"/>
      <c r="DD512" s="98"/>
      <c r="DE512" s="98"/>
      <c r="DF512" s="98"/>
      <c r="DG512" s="98"/>
      <c r="DH512" s="98"/>
      <c r="DI512" s="98"/>
      <c r="DJ512" s="98"/>
      <c r="DK512" s="98"/>
      <c r="DL512" s="98"/>
      <c r="DM512" s="98"/>
      <c r="DN512" s="98"/>
      <c r="DO512" s="98"/>
      <c r="DP512" s="98"/>
      <c r="DQ512" s="98"/>
      <c r="DR512" s="98"/>
    </row>
    <row r="513" spans="1:122">
      <c r="A513" s="173" t="s">
        <v>1006</v>
      </c>
      <c r="B513" s="38"/>
      <c r="C513" s="38"/>
      <c r="D513" s="38"/>
      <c r="E513" s="38"/>
      <c r="F513" s="38"/>
      <c r="G513" s="38"/>
      <c r="H513" s="38"/>
      <c r="I513" s="192">
        <f t="shared" ref="I513:N513" si="788">I225</f>
        <v>707.80000000000007</v>
      </c>
      <c r="J513" s="192">
        <f t="shared" si="788"/>
        <v>0</v>
      </c>
      <c r="K513" s="192">
        <f t="shared" si="788"/>
        <v>0</v>
      </c>
      <c r="L513" s="192">
        <f t="shared" si="788"/>
        <v>0</v>
      </c>
      <c r="M513" s="192">
        <f t="shared" si="788"/>
        <v>0</v>
      </c>
      <c r="N513" s="192">
        <f t="shared" si="788"/>
        <v>0</v>
      </c>
      <c r="O513" s="919"/>
      <c r="P513" s="192"/>
      <c r="Q513" s="192"/>
      <c r="R513" s="192">
        <f>R514*R473</f>
        <v>0</v>
      </c>
      <c r="S513" s="192">
        <f>S514*S473</f>
        <v>0</v>
      </c>
      <c r="T513" s="192">
        <f>T514*T473</f>
        <v>0</v>
      </c>
      <c r="U513" s="192">
        <f>U514*U473</f>
        <v>0</v>
      </c>
      <c r="V513" s="192">
        <f>V514*V473</f>
        <v>0</v>
      </c>
      <c r="W513" s="192">
        <f t="shared" ref="W513:AH513" si="789">W514*W473</f>
        <v>0</v>
      </c>
      <c r="X513" s="192"/>
      <c r="Y513" s="1368"/>
      <c r="Z513" s="1368">
        <f t="shared" si="789"/>
        <v>0</v>
      </c>
      <c r="AA513" s="1368">
        <f t="shared" ref="AA513" si="790">AA514*AA473</f>
        <v>0</v>
      </c>
      <c r="AB513" s="1368"/>
      <c r="AC513" s="1368">
        <f t="shared" si="789"/>
        <v>0</v>
      </c>
      <c r="AD513" s="192">
        <f t="shared" si="789"/>
        <v>0</v>
      </c>
      <c r="AE513" s="192">
        <f t="shared" si="789"/>
        <v>0</v>
      </c>
      <c r="AF513" s="192">
        <f t="shared" si="789"/>
        <v>0</v>
      </c>
      <c r="AG513" s="192">
        <f t="shared" si="789"/>
        <v>0</v>
      </c>
      <c r="AH513" s="192">
        <f t="shared" si="789"/>
        <v>0</v>
      </c>
      <c r="AI513" s="192">
        <f t="shared" ref="AI513:AN513" si="791">AI514*AI473</f>
        <v>0</v>
      </c>
      <c r="AJ513" s="192">
        <f t="shared" si="791"/>
        <v>0</v>
      </c>
      <c r="AK513" s="192">
        <f t="shared" si="791"/>
        <v>0</v>
      </c>
      <c r="AL513" s="1368">
        <f t="shared" si="791"/>
        <v>0</v>
      </c>
      <c r="AM513" s="1368">
        <f t="shared" si="791"/>
        <v>0</v>
      </c>
      <c r="AN513" s="1368">
        <f t="shared" si="791"/>
        <v>0</v>
      </c>
      <c r="AO513" s="192"/>
      <c r="AP513" s="192"/>
      <c r="AQ513" s="192"/>
      <c r="AR513" s="192"/>
      <c r="AS513" s="192"/>
      <c r="AT513" s="95"/>
      <c r="AU513" s="11"/>
      <c r="AV513" s="6"/>
      <c r="AW513" s="89"/>
      <c r="AX513" s="89"/>
      <c r="AY513" s="89"/>
      <c r="AZ513" s="89"/>
      <c r="BA513" s="89"/>
      <c r="BB513" s="89"/>
      <c r="BC513" s="89"/>
      <c r="BD513" s="89"/>
      <c r="BE513" s="89"/>
      <c r="BF513" s="89"/>
      <c r="BG513" s="89"/>
      <c r="BH513" s="98"/>
      <c r="BI513" s="89"/>
      <c r="BJ513" s="89"/>
      <c r="BK513" s="89"/>
      <c r="BL513" s="89"/>
      <c r="BM513" s="89"/>
      <c r="BN513" s="89"/>
      <c r="BO513" s="89"/>
      <c r="BP513" s="89"/>
      <c r="BQ513" s="89"/>
      <c r="BR513" s="89"/>
      <c r="BS513" s="89"/>
      <c r="BT513" s="89"/>
      <c r="BU513" s="89"/>
      <c r="BV513" s="89"/>
      <c r="BW513" s="89"/>
      <c r="BX513" s="89"/>
      <c r="BY513" s="89"/>
      <c r="BZ513" s="89"/>
      <c r="CA513" s="89"/>
      <c r="CB513" s="89"/>
      <c r="CC513" s="89"/>
      <c r="CD513" s="89"/>
      <c r="CE513" s="89"/>
      <c r="CF513" s="89"/>
      <c r="CG513" s="89"/>
      <c r="CH513" s="89"/>
      <c r="CI513" s="89"/>
      <c r="CJ513" s="89"/>
      <c r="CK513" s="89"/>
      <c r="CL513" s="89"/>
      <c r="CM513" s="89"/>
      <c r="CN513" s="89"/>
      <c r="CO513" s="98"/>
      <c r="CP513" s="98"/>
      <c r="CQ513" s="98"/>
      <c r="CR513" s="98"/>
      <c r="CS513" s="98"/>
      <c r="CT513" s="1247"/>
      <c r="CU513" s="1247"/>
      <c r="CV513" s="1247"/>
      <c r="CW513" s="98"/>
      <c r="CX513" s="98"/>
      <c r="CY513" s="1247"/>
      <c r="CZ513" s="1247"/>
      <c r="DA513" s="1247"/>
      <c r="DB513" s="98"/>
      <c r="DC513" s="2925"/>
      <c r="DD513" s="98"/>
      <c r="DE513" s="98"/>
      <c r="DF513" s="98"/>
      <c r="DG513" s="98"/>
      <c r="DH513" s="98"/>
      <c r="DI513" s="98"/>
      <c r="DJ513" s="98"/>
      <c r="DK513" s="98"/>
      <c r="DL513" s="98"/>
      <c r="DM513" s="98"/>
      <c r="DN513" s="98"/>
      <c r="DO513" s="98"/>
      <c r="DP513" s="98"/>
      <c r="DQ513" s="98"/>
      <c r="DR513" s="98"/>
    </row>
    <row r="514" spans="1:122">
      <c r="A514" s="121" t="s">
        <v>440</v>
      </c>
      <c r="B514" s="38"/>
      <c r="C514" s="38"/>
      <c r="D514" s="38"/>
      <c r="E514" s="38"/>
      <c r="F514" s="38"/>
      <c r="G514" s="38"/>
      <c r="H514" s="38"/>
      <c r="I514" s="38">
        <f t="shared" ref="I514:M514" si="792">I513/I473</f>
        <v>5.2218820317975582E-2</v>
      </c>
      <c r="J514" s="38">
        <f t="shared" si="792"/>
        <v>0</v>
      </c>
      <c r="K514" s="38">
        <f t="shared" si="792"/>
        <v>0</v>
      </c>
      <c r="L514" s="38">
        <f t="shared" si="792"/>
        <v>0</v>
      </c>
      <c r="M514" s="38">
        <f t="shared" si="792"/>
        <v>0</v>
      </c>
      <c r="N514" s="38">
        <f>N513/N473</f>
        <v>0</v>
      </c>
      <c r="O514" s="919"/>
      <c r="P514" s="130"/>
      <c r="Q514" s="130"/>
      <c r="R514" s="130">
        <f>N514</f>
        <v>0</v>
      </c>
      <c r="S514" s="130">
        <f>R514</f>
        <v>0</v>
      </c>
      <c r="T514" s="130">
        <f>S514</f>
        <v>0</v>
      </c>
      <c r="U514" s="130">
        <f>T514</f>
        <v>0</v>
      </c>
      <c r="V514" s="130">
        <f>U514</f>
        <v>0</v>
      </c>
      <c r="W514" s="130">
        <f>V514</f>
        <v>0</v>
      </c>
      <c r="X514" s="130"/>
      <c r="Y514" s="1482"/>
      <c r="Z514" s="1482">
        <f>W514</f>
        <v>0</v>
      </c>
      <c r="AA514" s="1482">
        <f>X514</f>
        <v>0</v>
      </c>
      <c r="AB514" s="1482"/>
      <c r="AC514" s="1482">
        <f>AA514</f>
        <v>0</v>
      </c>
      <c r="AD514" s="119">
        <f t="shared" ref="AD514:AH514" si="793">AC514</f>
        <v>0</v>
      </c>
      <c r="AE514" s="119">
        <f t="shared" si="793"/>
        <v>0</v>
      </c>
      <c r="AF514" s="119">
        <f t="shared" si="793"/>
        <v>0</v>
      </c>
      <c r="AG514" s="119">
        <f t="shared" si="793"/>
        <v>0</v>
      </c>
      <c r="AH514" s="119">
        <f t="shared" si="793"/>
        <v>0</v>
      </c>
      <c r="AI514" s="119">
        <f t="shared" ref="AI514:AN514" si="794">AH514</f>
        <v>0</v>
      </c>
      <c r="AJ514" s="119">
        <f t="shared" si="794"/>
        <v>0</v>
      </c>
      <c r="AK514" s="119">
        <f t="shared" si="794"/>
        <v>0</v>
      </c>
      <c r="AL514" s="1482">
        <f t="shared" si="794"/>
        <v>0</v>
      </c>
      <c r="AM514" s="1482">
        <f t="shared" si="794"/>
        <v>0</v>
      </c>
      <c r="AN514" s="1482">
        <f t="shared" si="794"/>
        <v>0</v>
      </c>
      <c r="AO514" s="119"/>
      <c r="AP514" s="119"/>
      <c r="AQ514" s="119"/>
      <c r="AR514" s="119"/>
      <c r="AS514" s="119"/>
      <c r="AT514" s="119"/>
      <c r="AU514" s="11"/>
      <c r="AV514" s="6"/>
      <c r="AW514" s="89"/>
      <c r="AX514" s="89"/>
      <c r="AY514" s="89"/>
      <c r="AZ514" s="89"/>
      <c r="BA514" s="89"/>
      <c r="BB514" s="89"/>
      <c r="BC514" s="89"/>
      <c r="BD514" s="89"/>
      <c r="BE514" s="89"/>
      <c r="BF514" s="89"/>
      <c r="BG514" s="89"/>
      <c r="BH514" s="98"/>
      <c r="BI514" s="89"/>
      <c r="BJ514" s="89"/>
      <c r="BK514" s="89"/>
      <c r="BL514" s="89"/>
      <c r="BM514" s="89"/>
      <c r="BN514" s="89"/>
      <c r="BO514" s="89"/>
      <c r="BP514" s="89"/>
      <c r="BQ514" s="89"/>
      <c r="BR514" s="89"/>
      <c r="BS514" s="89"/>
      <c r="BT514" s="89"/>
      <c r="BU514" s="89"/>
      <c r="BV514" s="89"/>
      <c r="BW514" s="89"/>
      <c r="BX514" s="89"/>
      <c r="BY514" s="89"/>
      <c r="BZ514" s="89"/>
      <c r="CA514" s="89"/>
      <c r="CB514" s="89"/>
      <c r="CC514" s="89"/>
      <c r="CD514" s="89"/>
      <c r="CE514" s="89"/>
      <c r="CF514" s="89"/>
      <c r="CG514" s="89"/>
      <c r="CH514" s="89"/>
      <c r="CI514" s="89"/>
      <c r="CJ514" s="89"/>
      <c r="CK514" s="89"/>
      <c r="CL514" s="89"/>
      <c r="CM514" s="89"/>
      <c r="CN514" s="89"/>
      <c r="CO514" s="98"/>
      <c r="CP514" s="98"/>
      <c r="CQ514" s="98"/>
      <c r="CR514" s="98"/>
      <c r="CS514" s="98"/>
      <c r="CT514" s="1247"/>
      <c r="CU514" s="1247"/>
      <c r="CV514" s="1247"/>
      <c r="CW514" s="98"/>
      <c r="CX514" s="98"/>
      <c r="CY514" s="1247"/>
      <c r="CZ514" s="1247"/>
      <c r="DA514" s="1247"/>
      <c r="DB514" s="98"/>
      <c r="DC514" s="2925"/>
      <c r="DD514" s="98"/>
      <c r="DE514" s="98"/>
      <c r="DF514" s="98"/>
      <c r="DG514" s="98"/>
      <c r="DH514" s="98"/>
      <c r="DI514" s="98"/>
      <c r="DJ514" s="98"/>
      <c r="DK514" s="98"/>
      <c r="DL514" s="98"/>
      <c r="DM514" s="98"/>
      <c r="DN514" s="98"/>
      <c r="DO514" s="98"/>
      <c r="DP514" s="98"/>
      <c r="DQ514" s="98"/>
      <c r="DR514" s="98"/>
    </row>
    <row r="515" spans="1:122">
      <c r="A515" s="173" t="s">
        <v>1007</v>
      </c>
      <c r="B515" s="38"/>
      <c r="C515" s="38"/>
      <c r="D515" s="38"/>
      <c r="E515" s="38"/>
      <c r="F515" s="38"/>
      <c r="G515" s="38"/>
      <c r="H515" s="38"/>
      <c r="I515" s="123">
        <f t="shared" ref="I515:N515" si="795">I226</f>
        <v>511.1</v>
      </c>
      <c r="J515" s="123">
        <f t="shared" si="795"/>
        <v>0</v>
      </c>
      <c r="K515" s="123">
        <f t="shared" si="795"/>
        <v>0</v>
      </c>
      <c r="L515" s="123">
        <f t="shared" si="795"/>
        <v>0</v>
      </c>
      <c r="M515" s="123">
        <f t="shared" si="795"/>
        <v>0</v>
      </c>
      <c r="N515" s="123">
        <f t="shared" si="795"/>
        <v>0</v>
      </c>
      <c r="O515" s="919"/>
      <c r="P515" s="212"/>
      <c r="Q515" s="212"/>
      <c r="R515" s="212">
        <f t="shared" ref="R515:Z515" si="796">R516*R557</f>
        <v>0</v>
      </c>
      <c r="S515" s="212">
        <f t="shared" si="796"/>
        <v>0</v>
      </c>
      <c r="T515" s="212">
        <f t="shared" si="796"/>
        <v>0</v>
      </c>
      <c r="U515" s="212">
        <f t="shared" si="796"/>
        <v>0</v>
      </c>
      <c r="V515" s="1994">
        <f t="shared" si="796"/>
        <v>0</v>
      </c>
      <c r="W515" s="1994">
        <f t="shared" si="796"/>
        <v>0</v>
      </c>
      <c r="X515" s="1994"/>
      <c r="Y515" s="1994"/>
      <c r="Z515" s="1994">
        <f t="shared" si="796"/>
        <v>0</v>
      </c>
      <c r="AA515" s="1994">
        <f t="shared" ref="AA515" si="797">AA516*AA557</f>
        <v>0</v>
      </c>
      <c r="AB515" s="1994"/>
      <c r="AC515" s="1994">
        <f t="shared" ref="AC515:AH515" si="798">AC516*AC557</f>
        <v>0</v>
      </c>
      <c r="AD515" s="1994">
        <f t="shared" si="798"/>
        <v>0</v>
      </c>
      <c r="AE515" s="1994">
        <f t="shared" si="798"/>
        <v>0</v>
      </c>
      <c r="AF515" s="1994">
        <f t="shared" si="798"/>
        <v>0</v>
      </c>
      <c r="AG515" s="212">
        <f t="shared" si="798"/>
        <v>0</v>
      </c>
      <c r="AH515" s="212">
        <f t="shared" si="798"/>
        <v>0</v>
      </c>
      <c r="AI515" s="212">
        <f t="shared" ref="AI515:AN515" si="799">AI516*AI557</f>
        <v>0</v>
      </c>
      <c r="AJ515" s="212">
        <f t="shared" si="799"/>
        <v>0</v>
      </c>
      <c r="AK515" s="212">
        <f t="shared" si="799"/>
        <v>0</v>
      </c>
      <c r="AL515" s="1994">
        <f t="shared" si="799"/>
        <v>0</v>
      </c>
      <c r="AM515" s="1994">
        <f t="shared" si="799"/>
        <v>0</v>
      </c>
      <c r="AN515" s="1994">
        <f t="shared" si="799"/>
        <v>0</v>
      </c>
      <c r="AO515" s="212"/>
      <c r="AP515" s="212"/>
      <c r="AQ515" s="212"/>
      <c r="AR515" s="212"/>
      <c r="AS515" s="212"/>
      <c r="AT515" s="212"/>
      <c r="AU515" s="11"/>
      <c r="AV515" s="6"/>
      <c r="AW515" s="89"/>
      <c r="AX515" s="89"/>
      <c r="AY515" s="89"/>
      <c r="AZ515" s="89"/>
      <c r="BA515" s="89"/>
      <c r="BB515" s="89"/>
      <c r="BC515" s="89"/>
      <c r="BD515" s="89"/>
      <c r="BE515" s="89"/>
      <c r="BF515" s="89"/>
      <c r="BG515" s="89"/>
      <c r="BH515" s="98"/>
      <c r="BI515" s="89"/>
      <c r="BJ515" s="89"/>
      <c r="BK515" s="89"/>
      <c r="BL515" s="89"/>
      <c r="BM515" s="89"/>
      <c r="BN515" s="89"/>
      <c r="BO515" s="89"/>
      <c r="BP515" s="89"/>
      <c r="BQ515" s="89"/>
      <c r="BR515" s="89"/>
      <c r="BS515" s="89"/>
      <c r="BT515" s="89"/>
      <c r="BU515" s="89"/>
      <c r="BV515" s="89"/>
      <c r="BW515" s="89"/>
      <c r="BX515" s="89"/>
      <c r="BY515" s="89"/>
      <c r="BZ515" s="89"/>
      <c r="CA515" s="89"/>
      <c r="CB515" s="89"/>
      <c r="CC515" s="89"/>
      <c r="CD515" s="89"/>
      <c r="CE515" s="89"/>
      <c r="CF515" s="89"/>
      <c r="CG515" s="89"/>
      <c r="CH515" s="89"/>
      <c r="CI515" s="89"/>
      <c r="CJ515" s="89"/>
      <c r="CK515" s="89"/>
      <c r="CL515" s="89"/>
      <c r="CM515" s="89"/>
      <c r="CN515" s="89"/>
      <c r="CO515" s="98"/>
      <c r="CP515" s="98"/>
      <c r="CQ515" s="98"/>
      <c r="CR515" s="98"/>
      <c r="CS515" s="98"/>
      <c r="CT515" s="1247"/>
      <c r="CU515" s="1247"/>
      <c r="CV515" s="1247"/>
      <c r="CW515" s="98"/>
      <c r="CX515" s="98"/>
      <c r="CY515" s="1247"/>
      <c r="CZ515" s="1247"/>
      <c r="DA515" s="1247"/>
      <c r="DB515" s="98"/>
      <c r="DC515" s="2925"/>
      <c r="DD515" s="98"/>
      <c r="DE515" s="98"/>
      <c r="DF515" s="98"/>
      <c r="DG515" s="98"/>
      <c r="DH515" s="98"/>
      <c r="DI515" s="98"/>
      <c r="DJ515" s="98"/>
      <c r="DK515" s="98"/>
      <c r="DL515" s="98"/>
      <c r="DM515" s="98"/>
      <c r="DN515" s="98"/>
      <c r="DO515" s="98"/>
      <c r="DP515" s="98"/>
      <c r="DQ515" s="98"/>
      <c r="DR515" s="98"/>
    </row>
    <row r="516" spans="1:122">
      <c r="A516" s="121" t="s">
        <v>1324</v>
      </c>
      <c r="B516" s="38"/>
      <c r="C516" s="38"/>
      <c r="D516" s="38"/>
      <c r="E516" s="38"/>
      <c r="F516" s="38"/>
      <c r="G516" s="38"/>
      <c r="H516" s="38"/>
      <c r="I516" s="38">
        <f t="shared" ref="I516:N516" si="800">I515/I557</f>
        <v>5.8879096826219689E-2</v>
      </c>
      <c r="J516" s="38">
        <f t="shared" si="800"/>
        <v>0</v>
      </c>
      <c r="K516" s="38">
        <f t="shared" si="800"/>
        <v>0</v>
      </c>
      <c r="L516" s="38">
        <f t="shared" si="800"/>
        <v>0</v>
      </c>
      <c r="M516" s="38">
        <f t="shared" si="800"/>
        <v>0</v>
      </c>
      <c r="N516" s="38">
        <f t="shared" si="800"/>
        <v>0</v>
      </c>
      <c r="O516" s="919"/>
      <c r="P516" s="130"/>
      <c r="Q516" s="130"/>
      <c r="R516" s="130">
        <f>N516</f>
        <v>0</v>
      </c>
      <c r="S516" s="130">
        <f>R516</f>
        <v>0</v>
      </c>
      <c r="T516" s="130">
        <f>S516</f>
        <v>0</v>
      </c>
      <c r="U516" s="130">
        <f>T516</f>
        <v>0</v>
      </c>
      <c r="V516" s="1482">
        <f>U516</f>
        <v>0</v>
      </c>
      <c r="W516" s="1482">
        <f>V516</f>
        <v>0</v>
      </c>
      <c r="X516" s="1482"/>
      <c r="Y516" s="1482"/>
      <c r="Z516" s="1482">
        <f>W516</f>
        <v>0</v>
      </c>
      <c r="AA516" s="1482">
        <f>X516</f>
        <v>0</v>
      </c>
      <c r="AB516" s="1482"/>
      <c r="AC516" s="1482">
        <f>AA516</f>
        <v>0</v>
      </c>
      <c r="AD516" s="1482">
        <f t="shared" ref="AD516:AH516" si="801">AC516</f>
        <v>0</v>
      </c>
      <c r="AE516" s="1482">
        <f t="shared" si="801"/>
        <v>0</v>
      </c>
      <c r="AF516" s="1482">
        <f t="shared" si="801"/>
        <v>0</v>
      </c>
      <c r="AG516" s="119">
        <f t="shared" si="801"/>
        <v>0</v>
      </c>
      <c r="AH516" s="119">
        <f t="shared" si="801"/>
        <v>0</v>
      </c>
      <c r="AI516" s="119">
        <f t="shared" ref="AI516:AN516" si="802">AH516</f>
        <v>0</v>
      </c>
      <c r="AJ516" s="119">
        <f t="shared" si="802"/>
        <v>0</v>
      </c>
      <c r="AK516" s="119">
        <f t="shared" si="802"/>
        <v>0</v>
      </c>
      <c r="AL516" s="1482">
        <f t="shared" si="802"/>
        <v>0</v>
      </c>
      <c r="AM516" s="1482">
        <f t="shared" si="802"/>
        <v>0</v>
      </c>
      <c r="AN516" s="1482">
        <f t="shared" si="802"/>
        <v>0</v>
      </c>
      <c r="AO516" s="119"/>
      <c r="AP516" s="119"/>
      <c r="AQ516" s="119"/>
      <c r="AR516" s="119"/>
      <c r="AS516" s="119"/>
      <c r="AT516" s="119"/>
      <c r="AU516" s="11"/>
      <c r="AV516" s="6"/>
      <c r="AW516" s="89"/>
      <c r="AX516" s="89"/>
      <c r="AY516" s="89"/>
      <c r="AZ516" s="89"/>
      <c r="BA516" s="89"/>
      <c r="BB516" s="89"/>
      <c r="BC516" s="89"/>
      <c r="BD516" s="89"/>
      <c r="BE516" s="89"/>
      <c r="BF516" s="89"/>
      <c r="BG516" s="89"/>
      <c r="BH516" s="98"/>
      <c r="BI516" s="89"/>
      <c r="BJ516" s="89"/>
      <c r="BK516" s="89"/>
      <c r="BL516" s="89"/>
      <c r="BM516" s="89"/>
      <c r="BN516" s="89"/>
      <c r="BO516" s="89"/>
      <c r="BP516" s="89"/>
      <c r="BQ516" s="89"/>
      <c r="BR516" s="89"/>
      <c r="BS516" s="89"/>
      <c r="BT516" s="89"/>
      <c r="BU516" s="89"/>
      <c r="BV516" s="89"/>
      <c r="BW516" s="89"/>
      <c r="BX516" s="89"/>
      <c r="BY516" s="89"/>
      <c r="BZ516" s="89"/>
      <c r="CA516" s="89"/>
      <c r="CB516" s="89"/>
      <c r="CC516" s="89"/>
      <c r="CD516" s="89"/>
      <c r="CE516" s="89"/>
      <c r="CF516" s="89"/>
      <c r="CG516" s="89"/>
      <c r="CH516" s="89"/>
      <c r="CI516" s="89"/>
      <c r="CJ516" s="89"/>
      <c r="CK516" s="89"/>
      <c r="CL516" s="89"/>
      <c r="CM516" s="89"/>
      <c r="CN516" s="89"/>
      <c r="CO516" s="98"/>
      <c r="CP516" s="98"/>
      <c r="CQ516" s="98"/>
      <c r="CR516" s="98"/>
      <c r="CS516" s="98"/>
      <c r="CT516" s="1247"/>
      <c r="CU516" s="1247"/>
      <c r="CV516" s="1247"/>
      <c r="CW516" s="98"/>
      <c r="CX516" s="98"/>
      <c r="CY516" s="1247"/>
      <c r="CZ516" s="1247"/>
      <c r="DA516" s="1247"/>
      <c r="DB516" s="98"/>
      <c r="DC516" s="2925"/>
      <c r="DD516" s="98"/>
      <c r="DE516" s="98"/>
      <c r="DF516" s="98"/>
      <c r="DG516" s="98"/>
      <c r="DH516" s="98"/>
      <c r="DI516" s="98"/>
      <c r="DJ516" s="98"/>
      <c r="DK516" s="98"/>
      <c r="DL516" s="98"/>
      <c r="DM516" s="98"/>
      <c r="DN516" s="98"/>
      <c r="DO516" s="98"/>
      <c r="DP516" s="98"/>
      <c r="DQ516" s="98"/>
      <c r="DR516" s="98"/>
    </row>
    <row r="517" spans="1:122">
      <c r="A517" s="172" t="s">
        <v>445</v>
      </c>
      <c r="B517" s="123"/>
      <c r="C517" s="123"/>
      <c r="D517" s="123"/>
      <c r="E517" s="123"/>
      <c r="F517" s="123"/>
      <c r="G517" s="123"/>
      <c r="H517" s="123"/>
      <c r="I517" s="123">
        <f t="shared" ref="I517:N517" si="803">I228</f>
        <v>2840.8</v>
      </c>
      <c r="J517" s="123">
        <f t="shared" si="803"/>
        <v>3896.9</v>
      </c>
      <c r="K517" s="123">
        <f t="shared" si="803"/>
        <v>3751.7</v>
      </c>
      <c r="L517" s="123">
        <f t="shared" si="803"/>
        <v>3595.6</v>
      </c>
      <c r="M517" s="123">
        <f t="shared" si="803"/>
        <v>3534.2</v>
      </c>
      <c r="N517" s="123">
        <f t="shared" si="803"/>
        <v>3617.3</v>
      </c>
      <c r="O517" s="919"/>
      <c r="P517" s="4"/>
      <c r="Q517" s="4"/>
      <c r="R517" s="123">
        <f t="shared" ref="R517:W517" si="804">R228</f>
        <v>3636.5999999999995</v>
      </c>
      <c r="S517" s="123">
        <f t="shared" si="804"/>
        <v>3420.3999999999996</v>
      </c>
      <c r="T517" s="123">
        <f t="shared" si="804"/>
        <v>3370</v>
      </c>
      <c r="U517" s="123">
        <f t="shared" si="804"/>
        <v>3189</v>
      </c>
      <c r="V517" s="1687">
        <f t="shared" si="804"/>
        <v>3032</v>
      </c>
      <c r="W517" s="1687">
        <f t="shared" si="804"/>
        <v>2757.7401574803152</v>
      </c>
      <c r="X517" s="1690"/>
      <c r="Y517" s="1690"/>
      <c r="Z517" s="1687">
        <f>Z228</f>
        <v>1889</v>
      </c>
      <c r="AA517" s="1687">
        <f>AA228</f>
        <v>1807</v>
      </c>
      <c r="AB517" s="1690"/>
      <c r="AC517" s="1690">
        <f t="shared" ref="AC517:AH517" si="805">AC518*AC473</f>
        <v>1668.9242824803341</v>
      </c>
      <c r="AD517" s="1690">
        <f t="shared" si="805"/>
        <v>1740.0642101266517</v>
      </c>
      <c r="AE517" s="1690">
        <f t="shared" si="805"/>
        <v>1829.283590838045</v>
      </c>
      <c r="AF517" s="1690">
        <f t="shared" si="805"/>
        <v>1839.3443722227184</v>
      </c>
      <c r="AG517" s="95">
        <f t="shared" si="805"/>
        <v>1868.6061048789607</v>
      </c>
      <c r="AH517" s="95">
        <f t="shared" si="805"/>
        <v>1950.6920863627101</v>
      </c>
      <c r="AI517" s="95">
        <f t="shared" ref="AI517:AN517" si="806">AI518*AI473</f>
        <v>1900.5127427745649</v>
      </c>
      <c r="AJ517" s="95">
        <f t="shared" si="806"/>
        <v>1918.9127885299351</v>
      </c>
      <c r="AK517" s="95">
        <f t="shared" si="806"/>
        <v>1981.3209472561127</v>
      </c>
      <c r="AL517" s="1690">
        <f t="shared" si="806"/>
        <v>1924.8251545691101</v>
      </c>
      <c r="AM517" s="1690">
        <f t="shared" si="806"/>
        <v>1924.9370390683093</v>
      </c>
      <c r="AN517" s="1690">
        <f t="shared" si="806"/>
        <v>2008.8994052261139</v>
      </c>
      <c r="AO517" s="95"/>
      <c r="AP517" s="95"/>
      <c r="AQ517" s="95"/>
      <c r="AR517" s="95"/>
      <c r="AS517" s="95"/>
      <c r="AT517" s="95"/>
      <c r="AU517" s="11"/>
      <c r="AV517" s="6"/>
      <c r="AW517" s="89"/>
      <c r="AX517" s="89"/>
      <c r="AY517" s="89"/>
      <c r="AZ517" s="89"/>
      <c r="BA517" s="89"/>
      <c r="BB517" s="89"/>
      <c r="BC517" s="89"/>
      <c r="BD517" s="89"/>
      <c r="BE517" s="89"/>
      <c r="BF517" s="89"/>
      <c r="BG517" s="89"/>
      <c r="BH517" s="98"/>
      <c r="BI517" s="89"/>
      <c r="BJ517" s="89"/>
      <c r="BK517" s="89"/>
      <c r="BL517" s="89"/>
      <c r="BM517" s="89"/>
      <c r="BN517" s="89"/>
      <c r="BO517" s="89"/>
      <c r="BP517" s="89"/>
      <c r="BQ517" s="89"/>
      <c r="BR517" s="89"/>
      <c r="BS517" s="89"/>
      <c r="BT517" s="89"/>
      <c r="BU517" s="89"/>
      <c r="BV517" s="89"/>
      <c r="BW517" s="89"/>
      <c r="BX517" s="89"/>
      <c r="BY517" s="89"/>
      <c r="BZ517" s="89"/>
      <c r="CA517" s="89"/>
      <c r="CB517" s="89"/>
      <c r="CC517" s="89"/>
      <c r="CD517" s="89"/>
      <c r="CE517" s="89"/>
      <c r="CF517" s="89"/>
      <c r="CG517" s="89"/>
      <c r="CH517" s="89"/>
      <c r="CI517" s="89"/>
      <c r="CJ517" s="89"/>
      <c r="CK517" s="89"/>
      <c r="CL517" s="89"/>
      <c r="CM517" s="89"/>
      <c r="CN517" s="89"/>
      <c r="CO517" s="98"/>
      <c r="CP517" s="98"/>
      <c r="CQ517" s="98"/>
      <c r="CR517" s="98"/>
      <c r="CS517" s="98"/>
      <c r="CT517" s="1247"/>
      <c r="CU517" s="1247"/>
      <c r="CV517" s="1247"/>
      <c r="CW517" s="98"/>
      <c r="CX517" s="98"/>
      <c r="CY517" s="1247"/>
      <c r="CZ517" s="1247"/>
      <c r="DA517" s="1247"/>
      <c r="DB517" s="98"/>
      <c r="DC517" s="2925"/>
      <c r="DD517" s="98"/>
      <c r="DE517" s="98"/>
      <c r="DF517" s="98"/>
      <c r="DG517" s="98"/>
      <c r="DH517" s="98"/>
      <c r="DI517" s="98"/>
      <c r="DJ517" s="98"/>
      <c r="DK517" s="98"/>
      <c r="DL517" s="98"/>
      <c r="DM517" s="98"/>
      <c r="DN517" s="98"/>
      <c r="DO517" s="98"/>
      <c r="DP517" s="98"/>
      <c r="DQ517" s="98"/>
      <c r="DR517" s="98"/>
    </row>
    <row r="518" spans="1:122">
      <c r="A518" s="121" t="s">
        <v>440</v>
      </c>
      <c r="B518" s="38"/>
      <c r="C518" s="38"/>
      <c r="D518" s="38"/>
      <c r="E518" s="38"/>
      <c r="F518" s="38"/>
      <c r="G518" s="38"/>
      <c r="H518" s="38"/>
      <c r="I518" s="38">
        <f t="shared" ref="I518:N518" si="807">I517/I473</f>
        <v>0.20958353314397435</v>
      </c>
      <c r="J518" s="38">
        <f t="shared" si="807"/>
        <v>0.26787788799296092</v>
      </c>
      <c r="K518" s="38">
        <f t="shared" si="807"/>
        <v>0.25809003604743952</v>
      </c>
      <c r="L518" s="38">
        <f t="shared" si="807"/>
        <v>0.25108587868884513</v>
      </c>
      <c r="M518" s="38">
        <f t="shared" si="807"/>
        <v>0.25113516048575629</v>
      </c>
      <c r="N518" s="38">
        <f t="shared" si="807"/>
        <v>0.25929722445234549</v>
      </c>
      <c r="O518" s="919"/>
      <c r="P518" s="130"/>
      <c r="Q518" s="130"/>
      <c r="R518" s="38">
        <f t="shared" ref="R518:Z518" si="808">R517/R473</f>
        <v>0.27942464616661283</v>
      </c>
      <c r="S518" s="38">
        <f t="shared" si="808"/>
        <v>0.243275153273873</v>
      </c>
      <c r="T518" s="38">
        <f t="shared" si="808"/>
        <v>0.24712180098262082</v>
      </c>
      <c r="U518" s="38">
        <f t="shared" si="808"/>
        <v>0.22653009035631075</v>
      </c>
      <c r="V518" s="1110">
        <f t="shared" si="808"/>
        <v>0.19837738811829364</v>
      </c>
      <c r="W518" s="1110">
        <f t="shared" si="808"/>
        <v>0.19974939573231318</v>
      </c>
      <c r="X518" s="1690"/>
      <c r="Y518" s="1690"/>
      <c r="Z518" s="1110">
        <f t="shared" si="808"/>
        <v>0.1360362955494743</v>
      </c>
      <c r="AA518" s="1110">
        <f t="shared" ref="AA518" si="809">AA517/AA473</f>
        <v>0.12560823022382872</v>
      </c>
      <c r="AB518" s="1482"/>
      <c r="AC518" s="1482">
        <f>AA518*0.98</f>
        <v>0.12309606561935214</v>
      </c>
      <c r="AD518" s="1482">
        <f>AC518*0.98</f>
        <v>0.1206341443069651</v>
      </c>
      <c r="AE518" s="1482">
        <f t="shared" ref="AE518:AN518" si="810">AD518*0.98</f>
        <v>0.1182214614208258</v>
      </c>
      <c r="AF518" s="1482">
        <f t="shared" si="810"/>
        <v>0.11585703219240928</v>
      </c>
      <c r="AG518" s="1482">
        <f t="shared" si="810"/>
        <v>0.11353989154856109</v>
      </c>
      <c r="AH518" s="1482">
        <f t="shared" si="810"/>
        <v>0.11126909371758986</v>
      </c>
      <c r="AI518" s="1482">
        <f t="shared" si="810"/>
        <v>0.10904371184323806</v>
      </c>
      <c r="AJ518" s="1482">
        <f t="shared" si="810"/>
        <v>0.1068628376063733</v>
      </c>
      <c r="AK518" s="1482">
        <f t="shared" si="810"/>
        <v>0.10472558085424584</v>
      </c>
      <c r="AL518" s="1482">
        <f t="shared" si="810"/>
        <v>0.10263106923716092</v>
      </c>
      <c r="AM518" s="1482">
        <f t="shared" si="810"/>
        <v>0.10057844785241771</v>
      </c>
      <c r="AN518" s="1482">
        <f t="shared" si="810"/>
        <v>9.8566878895369345E-2</v>
      </c>
      <c r="AO518" s="95"/>
      <c r="AP518" s="95"/>
      <c r="AQ518" s="95"/>
      <c r="AR518" s="95"/>
      <c r="AS518" s="95"/>
      <c r="AT518" s="119"/>
      <c r="AU518" s="11"/>
      <c r="AV518" s="6"/>
      <c r="AW518" s="89"/>
      <c r="AX518" s="89"/>
      <c r="AY518" s="89"/>
      <c r="AZ518" s="89"/>
      <c r="BA518" s="89"/>
      <c r="BB518" s="89"/>
      <c r="BC518" s="89"/>
      <c r="BD518" s="89"/>
      <c r="BE518" s="89"/>
      <c r="BF518" s="89"/>
      <c r="BG518" s="89"/>
      <c r="BH518" s="98"/>
      <c r="BI518" s="89"/>
      <c r="BJ518" s="89"/>
      <c r="BK518" s="89"/>
      <c r="BL518" s="89"/>
      <c r="BM518" s="89"/>
      <c r="BN518" s="89"/>
      <c r="BO518" s="89"/>
      <c r="BP518" s="89"/>
      <c r="BQ518" s="89"/>
      <c r="BR518" s="89"/>
      <c r="BS518" s="89"/>
      <c r="BT518" s="89"/>
      <c r="BU518" s="89"/>
      <c r="BV518" s="89"/>
      <c r="BW518" s="89"/>
      <c r="BX518" s="89"/>
      <c r="BY518" s="89"/>
      <c r="BZ518" s="89"/>
      <c r="CA518" s="89"/>
      <c r="CB518" s="89"/>
      <c r="CC518" s="89"/>
      <c r="CD518" s="89"/>
      <c r="CE518" s="89"/>
      <c r="CF518" s="89"/>
      <c r="CG518" s="89"/>
      <c r="CH518" s="89"/>
      <c r="CI518" s="89"/>
      <c r="CJ518" s="89"/>
      <c r="CK518" s="89"/>
      <c r="CL518" s="89"/>
      <c r="CM518" s="89"/>
      <c r="CN518" s="89"/>
      <c r="CO518" s="98"/>
      <c r="CP518" s="98"/>
      <c r="CQ518" s="98"/>
      <c r="CR518" s="98"/>
      <c r="CS518" s="98"/>
      <c r="CT518" s="1247"/>
      <c r="CU518" s="1247"/>
      <c r="CV518" s="1247"/>
      <c r="CW518" s="98"/>
      <c r="CX518" s="98"/>
      <c r="CY518" s="1247"/>
      <c r="CZ518" s="1247"/>
      <c r="DA518" s="1247"/>
      <c r="DB518" s="98"/>
      <c r="DC518" s="2925"/>
      <c r="DD518" s="98"/>
      <c r="DE518" s="98"/>
      <c r="DF518" s="98"/>
      <c r="DG518" s="98"/>
      <c r="DH518" s="98"/>
      <c r="DI518" s="98"/>
      <c r="DJ518" s="98"/>
      <c r="DK518" s="98"/>
      <c r="DL518" s="98"/>
      <c r="DM518" s="98"/>
      <c r="DN518" s="98"/>
      <c r="DO518" s="98"/>
      <c r="DP518" s="98"/>
      <c r="DQ518" s="98"/>
      <c r="DR518" s="98"/>
    </row>
    <row r="519" spans="1:122">
      <c r="A519" s="6"/>
      <c r="B519" s="6"/>
      <c r="C519" s="6"/>
      <c r="D519" s="6"/>
      <c r="E519" s="6"/>
      <c r="F519" s="6"/>
      <c r="G519" s="6"/>
      <c r="H519" s="6"/>
      <c r="I519" s="20"/>
      <c r="J519" s="20"/>
      <c r="K519" s="20"/>
      <c r="L519" s="19"/>
      <c r="M519" s="20"/>
      <c r="N519" s="20" t="s">
        <v>337</v>
      </c>
      <c r="O519" s="919"/>
      <c r="P519" s="20"/>
      <c r="Q519" s="20"/>
      <c r="R519" s="20"/>
      <c r="S519" s="20"/>
      <c r="T519" s="20"/>
      <c r="U519" s="20"/>
      <c r="V519" s="1642"/>
      <c r="W519" s="1642"/>
      <c r="X519" s="1690"/>
      <c r="Y519" s="1690"/>
      <c r="Z519" s="1642"/>
      <c r="AA519" s="1642"/>
      <c r="AB519" s="1642"/>
      <c r="AC519" s="1642"/>
      <c r="AD519" s="1642"/>
      <c r="AE519" s="1642"/>
      <c r="AF519" s="1642"/>
      <c r="AG519" s="19"/>
      <c r="AH519" s="19"/>
      <c r="AI519" s="19"/>
      <c r="AJ519" s="19"/>
      <c r="AK519" s="19"/>
      <c r="AL519" s="1642"/>
      <c r="AM519" s="1642"/>
      <c r="AN519" s="1642"/>
      <c r="AO519" s="95"/>
      <c r="AP519" s="95"/>
      <c r="AQ519" s="95"/>
      <c r="AR519" s="95"/>
      <c r="AS519" s="95"/>
      <c r="AT519" s="11"/>
      <c r="AU519" s="11"/>
      <c r="AV519" s="6"/>
      <c r="AW519" s="89"/>
      <c r="AX519" s="89"/>
      <c r="AY519" s="89"/>
      <c r="AZ519" s="89"/>
      <c r="BA519" s="89"/>
      <c r="BB519" s="89"/>
      <c r="BC519" s="89"/>
      <c r="BD519" s="89"/>
      <c r="BE519" s="89"/>
      <c r="BF519" s="89"/>
      <c r="BG519" s="89"/>
      <c r="BH519" s="98"/>
      <c r="BI519" s="89"/>
      <c r="BJ519" s="89"/>
      <c r="BK519" s="89"/>
      <c r="BL519" s="89"/>
      <c r="BM519" s="89"/>
      <c r="BN519" s="89"/>
      <c r="BO519" s="89"/>
      <c r="BP519" s="89"/>
      <c r="BQ519" s="89"/>
      <c r="BR519" s="89"/>
      <c r="BS519" s="89"/>
      <c r="BT519" s="89"/>
      <c r="BU519" s="89"/>
      <c r="BV519" s="89"/>
      <c r="BW519" s="89"/>
      <c r="BX519" s="89"/>
      <c r="BY519" s="89"/>
      <c r="BZ519" s="89"/>
      <c r="CA519" s="89"/>
      <c r="CB519" s="89"/>
      <c r="CC519" s="89"/>
      <c r="CD519" s="89"/>
      <c r="CE519" s="89"/>
      <c r="CF519" s="89"/>
      <c r="CG519" s="89"/>
      <c r="CH519" s="89"/>
      <c r="CI519" s="89"/>
      <c r="CJ519" s="89"/>
      <c r="CK519" s="89"/>
      <c r="CL519" s="89"/>
      <c r="CM519" s="89"/>
      <c r="CN519" s="89"/>
      <c r="CO519" s="98"/>
      <c r="CP519" s="98"/>
      <c r="CQ519" s="98"/>
      <c r="CR519" s="98"/>
      <c r="CS519" s="98"/>
      <c r="CT519" s="1247"/>
      <c r="CU519" s="1247"/>
      <c r="CV519" s="1247"/>
      <c r="CW519" s="98"/>
      <c r="CX519" s="98"/>
      <c r="CY519" s="1247"/>
      <c r="CZ519" s="1247"/>
      <c r="DA519" s="1247"/>
      <c r="DB519" s="98"/>
      <c r="DC519" s="2925"/>
      <c r="DD519" s="98"/>
      <c r="DE519" s="98"/>
      <c r="DF519" s="98"/>
      <c r="DG519" s="98"/>
      <c r="DH519" s="98"/>
      <c r="DI519" s="98"/>
      <c r="DJ519" s="98"/>
      <c r="DK519" s="98"/>
      <c r="DL519" s="98"/>
      <c r="DM519" s="98"/>
      <c r="DN519" s="98"/>
      <c r="DO519" s="98"/>
      <c r="DP519" s="98"/>
      <c r="DQ519" s="98"/>
      <c r="DR519" s="98"/>
    </row>
    <row r="520" spans="1:122">
      <c r="A520" s="6" t="s">
        <v>1303</v>
      </c>
      <c r="B520" s="123"/>
      <c r="C520" s="123"/>
      <c r="D520" s="123"/>
      <c r="E520" s="123"/>
      <c r="F520" s="123"/>
      <c r="G520" s="123"/>
      <c r="H520" s="123"/>
      <c r="I520" s="842">
        <f>I498+I500+I502+I504+I506+I508+I510+I513+I515+I517</f>
        <v>7894.6000000000013</v>
      </c>
      <c r="J520" s="842">
        <f t="shared" ref="J520:T520" si="811">J498+J500+J502+J504+J506+J508+J510+J513+J515+J517</f>
        <v>7906.3</v>
      </c>
      <c r="K520" s="842">
        <f t="shared" si="811"/>
        <v>8208.5</v>
      </c>
      <c r="L520" s="842">
        <f t="shared" si="811"/>
        <v>7958.1</v>
      </c>
      <c r="M520" s="842">
        <f t="shared" si="811"/>
        <v>7863</v>
      </c>
      <c r="N520" s="842">
        <f t="shared" si="811"/>
        <v>8336.7000000000007</v>
      </c>
      <c r="O520" s="919"/>
      <c r="P520" s="842"/>
      <c r="Q520" s="842"/>
      <c r="R520" s="842">
        <f t="shared" si="811"/>
        <v>7923.3899999999994</v>
      </c>
      <c r="S520" s="842">
        <f t="shared" si="811"/>
        <v>7401.3</v>
      </c>
      <c r="T520" s="842">
        <f t="shared" si="811"/>
        <v>7247</v>
      </c>
      <c r="U520" s="842">
        <f t="shared" ref="U520:AH520" si="812">U498+U500+U502+U504+U506+U508+U510+U513+U515+U517</f>
        <v>7112</v>
      </c>
      <c r="V520" s="1559">
        <f t="shared" si="812"/>
        <v>6743</v>
      </c>
      <c r="W520" s="1559">
        <f>W498+W500+W502+W504+W506+W508+W510+W513+W515+W517</f>
        <v>6128.7401574803152</v>
      </c>
      <c r="X520" s="1559"/>
      <c r="Y520" s="1559"/>
      <c r="Z520" s="1559">
        <f>Z498+Z500+Z502+Z504+Z506+Z508+Z510+Z513+Z515+Z517</f>
        <v>5306</v>
      </c>
      <c r="AA520" s="1559">
        <f>AA498+AA500+AA502+AA504+AA506+AA508+AA510+AA513+AA515+AA517</f>
        <v>5360</v>
      </c>
      <c r="AB520" s="1559"/>
      <c r="AC520" s="1559">
        <f t="shared" si="812"/>
        <v>5011.9459669716525</v>
      </c>
      <c r="AD520" s="1559">
        <f t="shared" si="812"/>
        <v>5291.5734650691675</v>
      </c>
      <c r="AE520" s="1559">
        <f t="shared" si="812"/>
        <v>5634.0812194036116</v>
      </c>
      <c r="AF520" s="1559">
        <f t="shared" si="812"/>
        <v>5746.5723496594765</v>
      </c>
      <c r="AG520" s="842">
        <f t="shared" si="812"/>
        <v>5924.1013280985062</v>
      </c>
      <c r="AH520" s="842">
        <f t="shared" si="812"/>
        <v>6265.5339549045511</v>
      </c>
      <c r="AI520" s="842">
        <f t="shared" ref="AI520:AN520" si="813">AI498+AI500+AI502+AI504+AI506+AI508+AI510+AI513+AI515+AI517</f>
        <v>6207.947778654282</v>
      </c>
      <c r="AJ520" s="842">
        <f t="shared" si="813"/>
        <v>6361.5156195991985</v>
      </c>
      <c r="AK520" s="842">
        <f t="shared" si="813"/>
        <v>6663.1795340625804</v>
      </c>
      <c r="AL520" s="1559">
        <f t="shared" si="813"/>
        <v>6583.6323232213163</v>
      </c>
      <c r="AM520" s="1559">
        <f t="shared" si="813"/>
        <v>6689.4892545453513</v>
      </c>
      <c r="AN520" s="1559">
        <f t="shared" si="813"/>
        <v>7076.051225469274</v>
      </c>
      <c r="AO520" s="95"/>
      <c r="AP520" s="95"/>
      <c r="AQ520" s="95"/>
      <c r="AR520" s="95"/>
      <c r="AS520" s="95"/>
      <c r="AT520" s="127"/>
      <c r="AU520" s="11"/>
      <c r="AV520" s="6"/>
      <c r="AW520" s="89"/>
      <c r="AX520" s="89"/>
      <c r="AY520" s="89"/>
      <c r="AZ520" s="89"/>
      <c r="BA520" s="89"/>
      <c r="BB520" s="89"/>
      <c r="BC520" s="89"/>
      <c r="BD520" s="89"/>
      <c r="BE520" s="89"/>
      <c r="BF520" s="89"/>
      <c r="BG520" s="89"/>
      <c r="BH520" s="98"/>
      <c r="BI520" s="89"/>
      <c r="BJ520" s="89"/>
      <c r="BK520" s="89"/>
      <c r="BL520" s="89"/>
      <c r="BM520" s="89"/>
      <c r="BN520" s="89"/>
      <c r="BO520" s="89"/>
      <c r="BP520" s="89"/>
      <c r="BQ520" s="89"/>
      <c r="BR520" s="89"/>
      <c r="BS520" s="89"/>
      <c r="BT520" s="89"/>
      <c r="BU520" s="89"/>
      <c r="BV520" s="89"/>
      <c r="BW520" s="89"/>
      <c r="BX520" s="89"/>
      <c r="BY520" s="89"/>
      <c r="BZ520" s="89"/>
      <c r="CA520" s="89"/>
      <c r="CB520" s="89"/>
      <c r="CC520" s="89"/>
      <c r="CD520" s="89"/>
      <c r="CE520" s="89"/>
      <c r="CF520" s="89"/>
      <c r="CG520" s="89"/>
      <c r="CH520" s="89"/>
      <c r="CI520" s="89"/>
      <c r="CJ520" s="89"/>
      <c r="CK520" s="89"/>
      <c r="CL520" s="89"/>
      <c r="CM520" s="89"/>
      <c r="CN520" s="89"/>
      <c r="CO520" s="98"/>
      <c r="CP520" s="98"/>
      <c r="CQ520" s="98"/>
      <c r="CR520" s="98"/>
      <c r="CS520" s="98"/>
      <c r="CT520" s="1247"/>
      <c r="CU520" s="1247"/>
      <c r="CV520" s="1247"/>
      <c r="CW520" s="98"/>
      <c r="CX520" s="98"/>
      <c r="CY520" s="1247"/>
      <c r="CZ520" s="1247"/>
      <c r="DA520" s="1247"/>
      <c r="DB520" s="98"/>
      <c r="DC520" s="2925"/>
      <c r="DD520" s="98"/>
      <c r="DE520" s="98"/>
      <c r="DF520" s="98"/>
      <c r="DG520" s="98"/>
      <c r="DH520" s="98"/>
      <c r="DI520" s="98"/>
      <c r="DJ520" s="98"/>
      <c r="DK520" s="98"/>
      <c r="DL520" s="98"/>
      <c r="DM520" s="98"/>
      <c r="DN520" s="98"/>
      <c r="DO520" s="98"/>
      <c r="DP520" s="98"/>
      <c r="DQ520" s="98"/>
      <c r="DR520" s="98"/>
    </row>
    <row r="521" spans="1:122">
      <c r="A521" s="121" t="s">
        <v>440</v>
      </c>
      <c r="B521" s="38"/>
      <c r="C521" s="38"/>
      <c r="D521" s="38"/>
      <c r="E521" s="38"/>
      <c r="F521" s="38"/>
      <c r="G521" s="38"/>
      <c r="H521" s="38"/>
      <c r="I521" s="38">
        <f t="shared" ref="I521:N521" si="814">I520/I473</f>
        <v>0.58243387804788083</v>
      </c>
      <c r="J521" s="38">
        <f t="shared" si="814"/>
        <v>0.54348916981158024</v>
      </c>
      <c r="K521" s="38">
        <f t="shared" si="814"/>
        <v>0.56468589196774999</v>
      </c>
      <c r="L521" s="39">
        <f t="shared" si="814"/>
        <v>0.55572547869443167</v>
      </c>
      <c r="M521" s="38">
        <f t="shared" si="814"/>
        <v>0.55873345223798931</v>
      </c>
      <c r="N521" s="38">
        <f t="shared" si="814"/>
        <v>0.59759576786328716</v>
      </c>
      <c r="O521" s="919"/>
      <c r="P521" s="38"/>
      <c r="Q521" s="38"/>
      <c r="R521" s="38">
        <f t="shared" ref="R521:AH521" si="815">R520/R473</f>
        <v>0.60880780047024108</v>
      </c>
      <c r="S521" s="38">
        <f t="shared" si="815"/>
        <v>0.52641573848845646</v>
      </c>
      <c r="T521" s="38">
        <f t="shared" si="815"/>
        <v>0.53142186697954097</v>
      </c>
      <c r="U521" s="38">
        <f t="shared" si="815"/>
        <v>0.50519974995737915</v>
      </c>
      <c r="V521" s="38">
        <f t="shared" si="815"/>
        <v>0.44118031928814444</v>
      </c>
      <c r="W521" s="38">
        <f t="shared" si="815"/>
        <v>0.44391859752863366</v>
      </c>
      <c r="X521" s="38"/>
      <c r="Y521" s="1110"/>
      <c r="Z521" s="1110">
        <f t="shared" si="815"/>
        <v>0.38211147918767108</v>
      </c>
      <c r="AA521" s="1110">
        <f t="shared" ref="AA521" si="816">AA520/AA473</f>
        <v>0.37258445711108024</v>
      </c>
      <c r="AB521" s="1110"/>
      <c r="AC521" s="1110">
        <f t="shared" si="815"/>
        <v>0.36966975440856154</v>
      </c>
      <c r="AD521" s="39">
        <f t="shared" si="815"/>
        <v>0.36685108128831584</v>
      </c>
      <c r="AE521" s="39">
        <f t="shared" si="815"/>
        <v>0.36411484739573846</v>
      </c>
      <c r="AF521" s="39">
        <f t="shared" si="815"/>
        <v>0.36196637658773906</v>
      </c>
      <c r="AG521" s="39">
        <f t="shared" si="815"/>
        <v>0.35995912705131633</v>
      </c>
      <c r="AH521" s="39">
        <f t="shared" si="815"/>
        <v>0.35739125087596557</v>
      </c>
      <c r="AI521" s="39">
        <f t="shared" ref="AI521:AN521" si="817">AI520/AI473</f>
        <v>0.35618686130206306</v>
      </c>
      <c r="AJ521" s="39">
        <f t="shared" si="817"/>
        <v>0.35426811194918006</v>
      </c>
      <c r="AK521" s="39">
        <f t="shared" si="817"/>
        <v>0.35219197980377787</v>
      </c>
      <c r="AL521" s="1110">
        <f t="shared" si="817"/>
        <v>0.35103719586821169</v>
      </c>
      <c r="AM521" s="1110">
        <f t="shared" si="817"/>
        <v>0.34952750790916759</v>
      </c>
      <c r="AN521" s="1110">
        <f t="shared" si="817"/>
        <v>0.34718726203204581</v>
      </c>
      <c r="AO521" s="39"/>
      <c r="AP521" s="39"/>
      <c r="AQ521" s="39"/>
      <c r="AR521" s="39"/>
      <c r="AS521" s="39"/>
      <c r="AT521" s="39"/>
      <c r="AU521" s="11"/>
      <c r="AV521" s="6"/>
      <c r="AW521" s="89"/>
      <c r="AX521" s="89"/>
      <c r="AY521" s="89"/>
      <c r="AZ521" s="89"/>
      <c r="BA521" s="89"/>
      <c r="BB521" s="89"/>
      <c r="BC521" s="89"/>
      <c r="BD521" s="89"/>
      <c r="BE521" s="89"/>
      <c r="BF521" s="89"/>
      <c r="BG521" s="89"/>
      <c r="BH521" s="98"/>
      <c r="BI521" s="89"/>
      <c r="BJ521" s="89"/>
      <c r="BK521" s="89"/>
      <c r="BL521" s="89"/>
      <c r="BM521" s="89"/>
      <c r="BN521" s="89"/>
      <c r="BO521" s="89"/>
      <c r="BP521" s="89"/>
      <c r="BQ521" s="89"/>
      <c r="BR521" s="89"/>
      <c r="BS521" s="89"/>
      <c r="BT521" s="89"/>
      <c r="BU521" s="89"/>
      <c r="BV521" s="89"/>
      <c r="BW521" s="89"/>
      <c r="BX521" s="89"/>
      <c r="BY521" s="89"/>
      <c r="BZ521" s="89"/>
      <c r="CA521" s="89"/>
      <c r="CB521" s="89"/>
      <c r="CC521" s="89"/>
      <c r="CD521" s="89"/>
      <c r="CE521" s="89"/>
      <c r="CF521" s="89"/>
      <c r="CG521" s="89"/>
      <c r="CH521" s="89"/>
      <c r="CI521" s="89"/>
      <c r="CJ521" s="89"/>
      <c r="CK521" s="89"/>
      <c r="CL521" s="89"/>
      <c r="CM521" s="89"/>
      <c r="CN521" s="89"/>
      <c r="CO521" s="98"/>
      <c r="CP521" s="98"/>
      <c r="CQ521" s="98"/>
      <c r="CR521" s="98"/>
      <c r="CS521" s="98"/>
      <c r="CT521" s="1247"/>
      <c r="CU521" s="1247"/>
      <c r="CV521" s="1247"/>
      <c r="CW521" s="98"/>
      <c r="CX521" s="98"/>
      <c r="CY521" s="1247"/>
      <c r="CZ521" s="1247"/>
      <c r="DA521" s="1247"/>
      <c r="DB521" s="98"/>
      <c r="DC521" s="2925"/>
      <c r="DD521" s="98"/>
      <c r="DE521" s="98"/>
      <c r="DF521" s="98"/>
      <c r="DG521" s="98"/>
      <c r="DH521" s="98"/>
      <c r="DI521" s="98"/>
      <c r="DJ521" s="98"/>
      <c r="DK521" s="98"/>
      <c r="DL521" s="98"/>
      <c r="DM521" s="98"/>
      <c r="DN521" s="98"/>
      <c r="DO521" s="98"/>
      <c r="DP521" s="98"/>
      <c r="DQ521" s="98"/>
      <c r="DR521" s="98"/>
    </row>
    <row r="522" spans="1:122">
      <c r="A522" s="6"/>
      <c r="B522" s="6"/>
      <c r="C522" s="6"/>
      <c r="D522" s="6"/>
      <c r="E522" s="6"/>
      <c r="F522" s="6"/>
      <c r="G522" s="6"/>
      <c r="H522" s="6"/>
      <c r="I522" s="6"/>
      <c r="J522" s="6"/>
      <c r="K522" s="6"/>
      <c r="L522" s="11"/>
      <c r="M522" s="6"/>
      <c r="N522" s="6"/>
      <c r="O522" s="919"/>
      <c r="P522" s="6"/>
      <c r="Q522" s="6"/>
      <c r="R522" s="6"/>
      <c r="S522" s="6"/>
      <c r="T522" s="6"/>
      <c r="U522" s="1327"/>
      <c r="V522" s="6"/>
      <c r="W522" s="6"/>
      <c r="X522" s="6"/>
      <c r="Y522" s="1108"/>
      <c r="Z522" s="1108"/>
      <c r="AA522" s="1108"/>
      <c r="AB522" s="1108"/>
      <c r="AC522" s="1108"/>
      <c r="AD522" s="1108"/>
      <c r="AE522" s="1108"/>
      <c r="AF522" s="1108"/>
      <c r="AG522" s="1108"/>
      <c r="AH522" s="1108"/>
      <c r="AI522" s="1108"/>
      <c r="AJ522" s="1108"/>
      <c r="AK522" s="1108"/>
      <c r="AL522" s="1108"/>
      <c r="AM522" s="1108"/>
      <c r="AN522" s="1108"/>
      <c r="AO522" s="1108"/>
      <c r="AP522" s="1108"/>
      <c r="AQ522" s="1108"/>
      <c r="AR522" s="1108"/>
      <c r="AS522" s="1108"/>
      <c r="AT522" s="11"/>
      <c r="AU522" s="11"/>
      <c r="AV522" s="6"/>
      <c r="AW522" s="89"/>
      <c r="AX522" s="89"/>
      <c r="AY522" s="89"/>
      <c r="AZ522" s="89"/>
      <c r="BA522" s="89"/>
      <c r="BB522" s="89"/>
      <c r="BC522" s="89"/>
      <c r="BD522" s="89"/>
      <c r="BE522" s="89"/>
      <c r="BF522" s="89"/>
      <c r="BG522" s="89"/>
      <c r="BH522" s="98"/>
      <c r="BI522" s="89"/>
      <c r="BJ522" s="89"/>
      <c r="BK522" s="89"/>
      <c r="BL522" s="89"/>
      <c r="BM522" s="89"/>
      <c r="BN522" s="89"/>
      <c r="BO522" s="89"/>
      <c r="BP522" s="89"/>
      <c r="BQ522" s="89"/>
      <c r="BR522" s="89"/>
      <c r="BS522" s="89"/>
      <c r="BT522" s="89"/>
      <c r="BU522" s="89"/>
      <c r="BV522" s="89"/>
      <c r="BW522" s="89"/>
      <c r="BX522" s="89"/>
      <c r="BY522" s="89"/>
      <c r="BZ522" s="89"/>
      <c r="CA522" s="89"/>
      <c r="CB522" s="89"/>
      <c r="CC522" s="89"/>
      <c r="CD522" s="89"/>
      <c r="CE522" s="89"/>
      <c r="CF522" s="89"/>
      <c r="CG522" s="89"/>
      <c r="CH522" s="89"/>
      <c r="CI522" s="89"/>
      <c r="CJ522" s="89"/>
      <c r="CK522" s="89"/>
      <c r="CL522" s="89"/>
      <c r="CM522" s="89"/>
      <c r="CN522" s="89"/>
      <c r="CO522" s="98"/>
      <c r="CP522" s="98"/>
      <c r="CQ522" s="98"/>
      <c r="CR522" s="98"/>
      <c r="CS522" s="98"/>
      <c r="CT522" s="1247"/>
      <c r="CU522" s="1247"/>
      <c r="CV522" s="1247"/>
      <c r="CW522" s="98"/>
      <c r="CX522" s="98"/>
      <c r="CY522" s="1247"/>
      <c r="CZ522" s="1247"/>
      <c r="DA522" s="1247"/>
      <c r="DB522" s="98"/>
      <c r="DC522" s="2925"/>
      <c r="DD522" s="98"/>
      <c r="DE522" s="98"/>
      <c r="DF522" s="98"/>
      <c r="DG522" s="98"/>
      <c r="DH522" s="98"/>
      <c r="DI522" s="98"/>
      <c r="DJ522" s="98"/>
      <c r="DK522" s="98"/>
      <c r="DL522" s="98"/>
      <c r="DM522" s="98"/>
      <c r="DN522" s="98"/>
      <c r="DO522" s="98"/>
      <c r="DP522" s="98"/>
      <c r="DQ522" s="98"/>
      <c r="DR522" s="98"/>
    </row>
    <row r="523" spans="1:122">
      <c r="A523" s="6" t="s">
        <v>446</v>
      </c>
      <c r="B523" s="123"/>
      <c r="C523" s="123"/>
      <c r="D523" s="123"/>
      <c r="E523" s="123"/>
      <c r="F523" s="123"/>
      <c r="G523" s="123"/>
      <c r="H523" s="123"/>
      <c r="I523" s="842">
        <f t="shared" ref="I523:N523" si="818">I495-I520</f>
        <v>-589.25000000000091</v>
      </c>
      <c r="J523" s="842">
        <f t="shared" si="818"/>
        <v>-389.19999999999982</v>
      </c>
      <c r="K523" s="842">
        <f t="shared" si="818"/>
        <v>312.29999999999927</v>
      </c>
      <c r="L523" s="842">
        <f t="shared" si="818"/>
        <v>132.59999999999945</v>
      </c>
      <c r="M523" s="308">
        <f t="shared" si="818"/>
        <v>-342.20000000000073</v>
      </c>
      <c r="N523" s="308">
        <f t="shared" si="818"/>
        <v>-732.5</v>
      </c>
      <c r="O523" s="919"/>
      <c r="P523" s="842"/>
      <c r="Q523" s="842"/>
      <c r="R523" s="308">
        <f t="shared" ref="R523:AH523" si="819">R495-R520</f>
        <v>-50.290000000000873</v>
      </c>
      <c r="S523" s="308">
        <f t="shared" si="819"/>
        <v>342.70000000000073</v>
      </c>
      <c r="T523" s="308">
        <f t="shared" si="819"/>
        <v>772</v>
      </c>
      <c r="U523" s="308">
        <f t="shared" si="819"/>
        <v>1271</v>
      </c>
      <c r="V523" s="308">
        <f t="shared" si="819"/>
        <v>1980</v>
      </c>
      <c r="W523" s="308">
        <f t="shared" si="819"/>
        <v>3337.2598425196848</v>
      </c>
      <c r="X523" s="308"/>
      <c r="Y523" s="1654"/>
      <c r="Z523" s="1654">
        <f>Z495-Z520</f>
        <v>4391</v>
      </c>
      <c r="AA523" s="1654">
        <f>AA495-AA520</f>
        <v>4946</v>
      </c>
      <c r="AB523" s="1654"/>
      <c r="AC523" s="1654">
        <f ca="1">AC495-AC520</f>
        <v>5750.4467891278946</v>
      </c>
      <c r="AD523" s="308">
        <f t="shared" ca="1" si="819"/>
        <v>6577.6946632356749</v>
      </c>
      <c r="AE523" s="308">
        <f t="shared" ca="1" si="819"/>
        <v>7181.8803845294315</v>
      </c>
      <c r="AF523" s="308">
        <f t="shared" ca="1" si="819"/>
        <v>7682.3143517506596</v>
      </c>
      <c r="AG523" s="308">
        <f t="shared" ca="1" si="819"/>
        <v>8174.94387133692</v>
      </c>
      <c r="AH523" s="308">
        <f t="shared" ca="1" si="819"/>
        <v>8698.2475794066868</v>
      </c>
      <c r="AI523" s="308">
        <f t="shared" ref="AI523:AN523" ca="1" si="820">AI495-AI520</f>
        <v>9154.4714591353622</v>
      </c>
      <c r="AJ523" s="308">
        <f t="shared" ca="1" si="820"/>
        <v>9586.3649650801217</v>
      </c>
      <c r="AK523" s="308">
        <f t="shared" ca="1" si="820"/>
        <v>10007.968905803977</v>
      </c>
      <c r="AL523" s="1654">
        <f t="shared" ca="1" si="820"/>
        <v>10391.092708967984</v>
      </c>
      <c r="AM523" s="1654">
        <f t="shared" ca="1" si="820"/>
        <v>10772.22160975455</v>
      </c>
      <c r="AN523" s="1654">
        <f t="shared" ca="1" si="820"/>
        <v>11160.519048956536</v>
      </c>
      <c r="AO523" s="308"/>
      <c r="AP523" s="308"/>
      <c r="AQ523" s="308"/>
      <c r="AR523" s="308"/>
      <c r="AS523" s="308"/>
      <c r="AT523" s="127"/>
      <c r="AU523" s="11"/>
      <c r="AV523" s="6"/>
      <c r="AW523" s="89"/>
      <c r="AX523" s="89"/>
      <c r="AY523" s="89"/>
      <c r="AZ523" s="89"/>
      <c r="BA523" s="89"/>
      <c r="BB523" s="89"/>
      <c r="BC523" s="89"/>
      <c r="BD523" s="89"/>
      <c r="BE523" s="89"/>
      <c r="BF523" s="89"/>
      <c r="BG523" s="89"/>
      <c r="BH523" s="98"/>
      <c r="BI523" s="89"/>
      <c r="BJ523" s="89"/>
      <c r="BK523" s="89"/>
      <c r="BL523" s="89"/>
      <c r="BM523" s="89"/>
      <c r="BN523" s="89"/>
      <c r="BO523" s="89"/>
      <c r="BP523" s="89"/>
      <c r="BQ523" s="89"/>
      <c r="BR523" s="89"/>
      <c r="BS523" s="89"/>
      <c r="BT523" s="89"/>
      <c r="BU523" s="89"/>
      <c r="BV523" s="89"/>
      <c r="BW523" s="89"/>
      <c r="BX523" s="89"/>
      <c r="BY523" s="89"/>
      <c r="BZ523" s="89"/>
      <c r="CA523" s="89"/>
      <c r="CB523" s="89"/>
      <c r="CC523" s="89"/>
      <c r="CD523" s="89"/>
      <c r="CE523" s="89"/>
      <c r="CF523" s="89"/>
      <c r="CG523" s="89"/>
      <c r="CH523" s="89"/>
      <c r="CI523" s="89"/>
      <c r="CJ523" s="89"/>
      <c r="CK523" s="89"/>
      <c r="CL523" s="89"/>
      <c r="CM523" s="89"/>
      <c r="CN523" s="89"/>
      <c r="CO523" s="98"/>
      <c r="CP523" s="98"/>
      <c r="CQ523" s="98"/>
      <c r="CR523" s="98"/>
      <c r="CS523" s="98"/>
      <c r="CT523" s="1247"/>
      <c r="CU523" s="1247"/>
      <c r="CV523" s="1247"/>
      <c r="CW523" s="98"/>
      <c r="CX523" s="98"/>
      <c r="CY523" s="1247"/>
      <c r="CZ523" s="1247"/>
      <c r="DA523" s="1247"/>
      <c r="DB523" s="98"/>
      <c r="DC523" s="2925"/>
      <c r="DD523" s="98"/>
      <c r="DE523" s="98"/>
      <c r="DF523" s="98"/>
      <c r="DG523" s="98"/>
      <c r="DH523" s="98"/>
      <c r="DI523" s="98"/>
      <c r="DJ523" s="98"/>
      <c r="DK523" s="98"/>
      <c r="DL523" s="98"/>
      <c r="DM523" s="98"/>
      <c r="DN523" s="98"/>
      <c r="DO523" s="98"/>
      <c r="DP523" s="98"/>
      <c r="DQ523" s="98"/>
      <c r="DR523" s="98"/>
    </row>
    <row r="524" spans="1:122">
      <c r="A524" s="121" t="s">
        <v>440</v>
      </c>
      <c r="B524" s="38"/>
      <c r="C524" s="38"/>
      <c r="D524" s="38"/>
      <c r="E524" s="38"/>
      <c r="F524" s="38"/>
      <c r="G524" s="38"/>
      <c r="H524" s="38"/>
      <c r="I524" s="38">
        <f t="shared" ref="I524:N524" si="821">I523/I473</f>
        <v>-4.3472647460253117E-2</v>
      </c>
      <c r="J524" s="38">
        <f t="shared" si="821"/>
        <v>-2.6754105572855433E-2</v>
      </c>
      <c r="K524" s="38">
        <f t="shared" si="821"/>
        <v>2.1483998789246256E-2</v>
      </c>
      <c r="L524" s="39">
        <f t="shared" si="821"/>
        <v>9.2596472116310835E-3</v>
      </c>
      <c r="M524" s="38">
        <f t="shared" si="821"/>
        <v>-2.4316239012570313E-2</v>
      </c>
      <c r="N524" s="38">
        <f t="shared" si="821"/>
        <v>-5.2507454983369652E-2</v>
      </c>
      <c r="O524" s="919"/>
      <c r="P524" s="38"/>
      <c r="Q524" s="38"/>
      <c r="R524" s="38">
        <f t="shared" ref="R524:AH524" si="822">R523/R473</f>
        <v>-3.8641218324036754E-3</v>
      </c>
      <c r="S524" s="38">
        <f t="shared" si="822"/>
        <v>2.4374457673651172E-2</v>
      </c>
      <c r="T524" s="38">
        <f t="shared" si="822"/>
        <v>5.6610691501063286E-2</v>
      </c>
      <c r="U524" s="38">
        <f t="shared" si="822"/>
        <v>9.0285275899301021E-2</v>
      </c>
      <c r="V524" s="38">
        <f t="shared" si="822"/>
        <v>0.12954723894268516</v>
      </c>
      <c r="W524" s="38">
        <f t="shared" si="822"/>
        <v>0.24172532540342498</v>
      </c>
      <c r="X524" s="38"/>
      <c r="Y524" s="1110"/>
      <c r="Z524" s="1110">
        <f t="shared" si="822"/>
        <v>0.31621777329684581</v>
      </c>
      <c r="AA524" s="1110">
        <f t="shared" ref="AA524" si="823">AA523/AA473</f>
        <v>0.34380647852078411</v>
      </c>
      <c r="AB524" s="1110"/>
      <c r="AC524" s="1110">
        <f t="shared" ca="1" si="822"/>
        <v>0.42413989821220138</v>
      </c>
      <c r="AD524" s="39">
        <f t="shared" ca="1" si="822"/>
        <v>0.45601453244887535</v>
      </c>
      <c r="AE524" s="39">
        <f t="shared" ca="1" si="822"/>
        <v>0.46414476085671197</v>
      </c>
      <c r="AF524" s="39">
        <f t="shared" ca="1" si="822"/>
        <v>0.48389532411889841</v>
      </c>
      <c r="AG524" s="39">
        <f t="shared" ca="1" si="822"/>
        <v>0.49672439694147913</v>
      </c>
      <c r="AH524" s="39">
        <f t="shared" ca="1" si="822"/>
        <v>0.49615525272184924</v>
      </c>
      <c r="AI524" s="39">
        <f t="shared" ref="AI524:AN524" ca="1" si="824">AI523/AI473</f>
        <v>0.5252464376585938</v>
      </c>
      <c r="AJ524" s="39">
        <f t="shared" ca="1" si="824"/>
        <v>0.5338575930194247</v>
      </c>
      <c r="AK524" s="39">
        <f t="shared" ca="1" si="824"/>
        <v>0.52898565388057384</v>
      </c>
      <c r="AL524" s="1110">
        <f t="shared" ca="1" si="824"/>
        <v>0.554049780954045</v>
      </c>
      <c r="AM524" s="1110">
        <f t="shared" ca="1" si="824"/>
        <v>0.5628513075709678</v>
      </c>
      <c r="AN524" s="1110">
        <f t="shared" ca="1" si="824"/>
        <v>0.54759214256631394</v>
      </c>
      <c r="AO524" s="39"/>
      <c r="AP524" s="39"/>
      <c r="AQ524" s="39"/>
      <c r="AR524" s="39"/>
      <c r="AS524" s="39"/>
      <c r="AT524" s="39"/>
      <c r="AU524" s="11"/>
      <c r="AV524" s="6"/>
      <c r="AW524" s="89"/>
      <c r="AX524" s="89"/>
      <c r="AY524" s="89"/>
      <c r="AZ524" s="89"/>
      <c r="BA524" s="89"/>
      <c r="BB524" s="89"/>
      <c r="BC524" s="89"/>
      <c r="BD524" s="89"/>
      <c r="BE524" s="89"/>
      <c r="BF524" s="89"/>
      <c r="BG524" s="89"/>
      <c r="BH524" s="98"/>
      <c r="BI524" s="89"/>
      <c r="BJ524" s="89"/>
      <c r="BK524" s="89"/>
      <c r="BL524" s="89"/>
      <c r="BM524" s="89"/>
      <c r="BN524" s="89"/>
      <c r="BO524" s="89"/>
      <c r="BP524" s="89"/>
      <c r="BQ524" s="89"/>
      <c r="BR524" s="89"/>
      <c r="BS524" s="89"/>
      <c r="BT524" s="89"/>
      <c r="BU524" s="89"/>
      <c r="BV524" s="89"/>
      <c r="BW524" s="89"/>
      <c r="BX524" s="89"/>
      <c r="BY524" s="89"/>
      <c r="BZ524" s="89"/>
      <c r="CA524" s="89"/>
      <c r="CB524" s="89"/>
      <c r="CC524" s="89"/>
      <c r="CD524" s="89"/>
      <c r="CE524" s="89"/>
      <c r="CF524" s="89"/>
      <c r="CG524" s="89"/>
      <c r="CH524" s="89"/>
      <c r="CI524" s="89"/>
      <c r="CJ524" s="89"/>
      <c r="CK524" s="89"/>
      <c r="CL524" s="89"/>
      <c r="CM524" s="89"/>
      <c r="CN524" s="89"/>
      <c r="CO524" s="98"/>
      <c r="CP524" s="98"/>
      <c r="CQ524" s="98"/>
      <c r="CR524" s="98"/>
      <c r="CS524" s="98"/>
      <c r="CT524" s="1247"/>
      <c r="CU524" s="1247"/>
      <c r="CV524" s="1247"/>
      <c r="CW524" s="98"/>
      <c r="CX524" s="98"/>
      <c r="CY524" s="1247"/>
      <c r="CZ524" s="1247"/>
      <c r="DA524" s="1247"/>
      <c r="DB524" s="98"/>
      <c r="DC524" s="2925"/>
      <c r="DD524" s="98"/>
      <c r="DE524" s="98"/>
      <c r="DF524" s="98"/>
      <c r="DG524" s="98"/>
      <c r="DH524" s="98"/>
      <c r="DI524" s="98"/>
      <c r="DJ524" s="98"/>
      <c r="DK524" s="98"/>
      <c r="DL524" s="98"/>
      <c r="DM524" s="98"/>
      <c r="DN524" s="98"/>
      <c r="DO524" s="98"/>
      <c r="DP524" s="98"/>
      <c r="DQ524" s="98"/>
      <c r="DR524" s="98"/>
    </row>
    <row r="525" spans="1:122">
      <c r="A525" s="6" t="s">
        <v>447</v>
      </c>
      <c r="B525" s="6"/>
      <c r="C525" s="6"/>
      <c r="D525" s="6"/>
      <c r="E525" s="6"/>
      <c r="F525" s="6"/>
      <c r="G525" s="6"/>
      <c r="H525" s="6"/>
      <c r="I525" s="6"/>
      <c r="J525" s="842">
        <f>J523-I523</f>
        <v>200.05000000000109</v>
      </c>
      <c r="K525" s="842">
        <f>K523-J523</f>
        <v>701.49999999999909</v>
      </c>
      <c r="L525" s="308">
        <f>L523-K523</f>
        <v>-179.69999999999982</v>
      </c>
      <c r="M525" s="308">
        <f>M523-L523</f>
        <v>-474.80000000000018</v>
      </c>
      <c r="N525" s="308">
        <f>N523-M523</f>
        <v>-390.29999999999927</v>
      </c>
      <c r="O525" s="919"/>
      <c r="P525" s="842"/>
      <c r="Q525" s="842"/>
      <c r="R525" s="308">
        <f>R523-N523</f>
        <v>682.20999999999913</v>
      </c>
      <c r="S525" s="308">
        <f t="shared" ref="S525:AH525" si="825">S523-R523</f>
        <v>392.9900000000016</v>
      </c>
      <c r="T525" s="308">
        <f t="shared" si="825"/>
        <v>429.29999999999927</v>
      </c>
      <c r="U525" s="308">
        <f t="shared" si="825"/>
        <v>499</v>
      </c>
      <c r="V525" s="308">
        <f t="shared" si="825"/>
        <v>709</v>
      </c>
      <c r="W525" s="308">
        <f t="shared" si="825"/>
        <v>1357.2598425196848</v>
      </c>
      <c r="X525" s="308"/>
      <c r="Y525" s="1654"/>
      <c r="Z525" s="1654">
        <f>Z523-W523</f>
        <v>1053.7401574803152</v>
      </c>
      <c r="AA525" s="1654">
        <f>AA523-Z523</f>
        <v>555</v>
      </c>
      <c r="AB525" s="1654"/>
      <c r="AC525" s="1654">
        <f ca="1">AC523-AA523</f>
        <v>804.44678912789459</v>
      </c>
      <c r="AD525" s="308">
        <f t="shared" ca="1" si="825"/>
        <v>827.24787410778026</v>
      </c>
      <c r="AE525" s="308">
        <f t="shared" ca="1" si="825"/>
        <v>604.18572129375661</v>
      </c>
      <c r="AF525" s="308">
        <f t="shared" ca="1" si="825"/>
        <v>500.43396722122816</v>
      </c>
      <c r="AG525" s="308">
        <f t="shared" ca="1" si="825"/>
        <v>492.62951958626036</v>
      </c>
      <c r="AH525" s="308">
        <f t="shared" ca="1" si="825"/>
        <v>523.3037080697668</v>
      </c>
      <c r="AI525" s="308">
        <f t="shared" ref="AI525:AN525" ca="1" si="826">AI523-AH523</f>
        <v>456.22387972867546</v>
      </c>
      <c r="AJ525" s="308">
        <f t="shared" ca="1" si="826"/>
        <v>431.89350594475945</v>
      </c>
      <c r="AK525" s="308">
        <f t="shared" ca="1" si="826"/>
        <v>421.60394072385498</v>
      </c>
      <c r="AL525" s="1654">
        <f t="shared" ca="1" si="826"/>
        <v>383.12380316400777</v>
      </c>
      <c r="AM525" s="1654">
        <f t="shared" ca="1" si="826"/>
        <v>381.12890078656528</v>
      </c>
      <c r="AN525" s="1654">
        <f t="shared" ca="1" si="826"/>
        <v>388.29743920198598</v>
      </c>
      <c r="AO525" s="308"/>
      <c r="AP525" s="308"/>
      <c r="AQ525" s="308"/>
      <c r="AR525" s="308"/>
      <c r="AS525" s="308"/>
      <c r="AT525" s="127"/>
      <c r="AU525" s="11"/>
      <c r="AV525" s="6"/>
      <c r="AW525" s="89"/>
      <c r="AX525" s="89"/>
      <c r="AY525" s="89"/>
      <c r="AZ525" s="89"/>
      <c r="BA525" s="89"/>
      <c r="BB525" s="89"/>
      <c r="BC525" s="89"/>
      <c r="BD525" s="89"/>
      <c r="BE525" s="89"/>
      <c r="BF525" s="89"/>
      <c r="BG525" s="89"/>
      <c r="BH525" s="98"/>
      <c r="BI525" s="89"/>
      <c r="BJ525" s="89"/>
      <c r="BK525" s="89"/>
      <c r="BL525" s="89"/>
      <c r="BM525" s="89"/>
      <c r="BN525" s="89"/>
      <c r="BO525" s="89"/>
      <c r="BP525" s="89"/>
      <c r="BQ525" s="89"/>
      <c r="BR525" s="89"/>
      <c r="BS525" s="89"/>
      <c r="BT525" s="89"/>
      <c r="BU525" s="89"/>
      <c r="BV525" s="89"/>
      <c r="BW525" s="89"/>
      <c r="BX525" s="89"/>
      <c r="BY525" s="89"/>
      <c r="BZ525" s="89"/>
      <c r="CA525" s="89"/>
      <c r="CB525" s="89"/>
      <c r="CC525" s="89"/>
      <c r="CD525" s="89"/>
      <c r="CE525" s="89"/>
      <c r="CF525" s="89"/>
      <c r="CG525" s="89"/>
      <c r="CH525" s="89"/>
      <c r="CI525" s="89"/>
      <c r="CJ525" s="89"/>
      <c r="CK525" s="89"/>
      <c r="CL525" s="89"/>
      <c r="CM525" s="89"/>
      <c r="CN525" s="89"/>
      <c r="CO525" s="98"/>
      <c r="CP525" s="98"/>
      <c r="CQ525" s="98"/>
      <c r="CR525" s="98"/>
      <c r="CS525" s="98"/>
      <c r="CT525" s="1247"/>
      <c r="CU525" s="1247"/>
      <c r="CV525" s="1247"/>
      <c r="CW525" s="98"/>
      <c r="CX525" s="98"/>
      <c r="CY525" s="1247"/>
      <c r="CZ525" s="1247"/>
      <c r="DA525" s="1247"/>
      <c r="DB525" s="98"/>
      <c r="DC525" s="2925"/>
      <c r="DD525" s="98"/>
      <c r="DE525" s="98"/>
      <c r="DF525" s="98"/>
      <c r="DG525" s="98"/>
      <c r="DH525" s="98"/>
      <c r="DI525" s="98"/>
      <c r="DJ525" s="98"/>
      <c r="DK525" s="98"/>
      <c r="DL525" s="98"/>
      <c r="DM525" s="98"/>
      <c r="DN525" s="98"/>
      <c r="DO525" s="98"/>
      <c r="DP525" s="98"/>
      <c r="DQ525" s="98"/>
      <c r="DR525" s="98"/>
    </row>
    <row r="526" spans="1:122">
      <c r="A526" s="6"/>
      <c r="B526" s="6"/>
      <c r="C526" s="6"/>
      <c r="D526" s="6"/>
      <c r="E526" s="6"/>
      <c r="F526" s="6"/>
      <c r="G526" s="6"/>
      <c r="H526" s="6"/>
      <c r="I526" s="6"/>
      <c r="J526" s="6"/>
      <c r="K526" s="6"/>
      <c r="L526" s="127"/>
      <c r="M526" s="123"/>
      <c r="N526" s="123"/>
      <c r="O526" s="919"/>
      <c r="P526" s="123"/>
      <c r="Q526" s="123"/>
      <c r="R526" s="123"/>
      <c r="S526" s="123"/>
      <c r="T526" s="123"/>
      <c r="U526" s="123"/>
      <c r="V526" s="123"/>
      <c r="W526" s="123"/>
      <c r="X526" s="123"/>
      <c r="Y526" s="123"/>
      <c r="Z526" s="123"/>
      <c r="AA526" s="127"/>
      <c r="AB526" s="127"/>
      <c r="AC526" s="127"/>
      <c r="AD526" s="127"/>
      <c r="AE526" s="127"/>
      <c r="AF526" s="127"/>
      <c r="AG526" s="127"/>
      <c r="AH526" s="127"/>
      <c r="AI526" s="127"/>
      <c r="AJ526" s="127"/>
      <c r="AK526" s="127"/>
      <c r="AL526" s="1687"/>
      <c r="AM526" s="127"/>
      <c r="AN526" s="127"/>
      <c r="AO526" s="127"/>
      <c r="AP526" s="127"/>
      <c r="AQ526" s="127"/>
      <c r="AR526" s="127"/>
      <c r="AS526" s="127"/>
      <c r="AT526" s="127"/>
      <c r="AU526" s="11"/>
      <c r="AV526" s="6"/>
      <c r="AW526" s="89"/>
      <c r="AX526" s="89"/>
      <c r="AY526" s="89"/>
      <c r="AZ526" s="89"/>
      <c r="BA526" s="89"/>
      <c r="BB526" s="89"/>
      <c r="BC526" s="89"/>
      <c r="BD526" s="89"/>
      <c r="BE526" s="89"/>
      <c r="BF526" s="89"/>
      <c r="BG526" s="89"/>
      <c r="BH526" s="98"/>
      <c r="BI526" s="89"/>
      <c r="BJ526" s="89"/>
      <c r="BK526" s="89"/>
      <c r="BL526" s="89"/>
      <c r="BM526" s="89"/>
      <c r="BN526" s="89"/>
      <c r="BO526" s="89"/>
      <c r="BP526" s="89"/>
      <c r="BQ526" s="89"/>
      <c r="BR526" s="89"/>
      <c r="BS526" s="89"/>
      <c r="BT526" s="89"/>
      <c r="BU526" s="89"/>
      <c r="BV526" s="89"/>
      <c r="BW526" s="89"/>
      <c r="BX526" s="89"/>
      <c r="BY526" s="89"/>
      <c r="BZ526" s="89"/>
      <c r="CA526" s="89"/>
      <c r="CB526" s="89"/>
      <c r="CC526" s="89"/>
      <c r="CD526" s="89"/>
      <c r="CE526" s="89"/>
      <c r="CF526" s="89"/>
      <c r="CG526" s="89"/>
      <c r="CH526" s="89"/>
      <c r="CI526" s="89"/>
      <c r="CJ526" s="89"/>
      <c r="CK526" s="89"/>
      <c r="CL526" s="89"/>
      <c r="CM526" s="89"/>
      <c r="CN526" s="89"/>
      <c r="CO526" s="98"/>
      <c r="CP526" s="98"/>
      <c r="CQ526" s="98"/>
      <c r="CR526" s="98"/>
      <c r="CS526" s="98"/>
      <c r="CT526" s="1247"/>
      <c r="CU526" s="1247"/>
      <c r="CV526" s="1247"/>
      <c r="CW526" s="98"/>
      <c r="CX526" s="98"/>
      <c r="CY526" s="1247"/>
      <c r="CZ526" s="1247"/>
      <c r="DA526" s="1247"/>
      <c r="DB526" s="98"/>
      <c r="DC526" s="2925"/>
      <c r="DD526" s="98"/>
      <c r="DE526" s="98"/>
      <c r="DF526" s="98"/>
      <c r="DG526" s="98"/>
      <c r="DH526" s="98"/>
      <c r="DI526" s="98"/>
      <c r="DJ526" s="98"/>
      <c r="DK526" s="98"/>
      <c r="DL526" s="98"/>
      <c r="DM526" s="98"/>
      <c r="DN526" s="98"/>
      <c r="DO526" s="98"/>
      <c r="DP526" s="98"/>
      <c r="DQ526" s="98"/>
      <c r="DR526" s="98"/>
    </row>
    <row r="527" spans="1:122">
      <c r="A527" s="6"/>
      <c r="B527" s="6"/>
      <c r="C527" s="6"/>
      <c r="D527" s="6"/>
      <c r="E527" s="6"/>
      <c r="F527" s="6"/>
      <c r="G527" s="6"/>
      <c r="H527" s="6"/>
      <c r="I527" s="6"/>
      <c r="J527" s="89"/>
      <c r="K527" s="89"/>
      <c r="L527" s="123"/>
      <c r="M527" s="123"/>
      <c r="N527" s="123"/>
      <c r="O527" s="919"/>
      <c r="P527" s="123"/>
      <c r="Q527" s="123"/>
      <c r="R527" s="123"/>
      <c r="S527" s="123"/>
      <c r="T527" s="123"/>
      <c r="U527" s="123"/>
      <c r="V527" s="123"/>
      <c r="W527" s="123"/>
      <c r="X527" s="123"/>
      <c r="Y527" s="123"/>
      <c r="Z527" s="123"/>
      <c r="AA527" s="123"/>
      <c r="AB527" s="123"/>
      <c r="AC527" s="123"/>
      <c r="AD527" s="123"/>
      <c r="AE527" s="123"/>
      <c r="AF527" s="123"/>
      <c r="AG527" s="127"/>
      <c r="AH527" s="127"/>
      <c r="AI527" s="127"/>
      <c r="AJ527" s="127"/>
      <c r="AK527" s="127"/>
      <c r="AL527" s="1687"/>
      <c r="AM527" s="127"/>
      <c r="AN527" s="127"/>
      <c r="AO527" s="127"/>
      <c r="AP527" s="127"/>
      <c r="AQ527" s="127"/>
      <c r="AR527" s="127"/>
      <c r="AS527" s="127"/>
      <c r="AT527" s="127"/>
      <c r="AU527" s="11"/>
      <c r="AV527" s="6"/>
      <c r="AW527" s="89"/>
      <c r="AX527" s="89"/>
      <c r="AY527" s="89"/>
      <c r="AZ527" s="89"/>
      <c r="BA527" s="89"/>
      <c r="BB527" s="89"/>
      <c r="BC527" s="89"/>
      <c r="BD527" s="89"/>
      <c r="BE527" s="89"/>
      <c r="BF527" s="89"/>
      <c r="BG527" s="89"/>
      <c r="BH527" s="98"/>
      <c r="BI527" s="89"/>
      <c r="BJ527" s="89"/>
      <c r="BK527" s="89"/>
      <c r="BL527" s="89"/>
      <c r="BM527" s="89"/>
      <c r="BN527" s="89"/>
      <c r="BO527" s="89"/>
      <c r="BP527" s="89"/>
      <c r="BQ527" s="89"/>
      <c r="BR527" s="89"/>
      <c r="BS527" s="89"/>
      <c r="BT527" s="89"/>
      <c r="BU527" s="89"/>
      <c r="BV527" s="89"/>
      <c r="BW527" s="89"/>
      <c r="BX527" s="89"/>
      <c r="BY527" s="89"/>
      <c r="BZ527" s="89"/>
      <c r="CA527" s="89"/>
      <c r="CB527" s="89"/>
      <c r="CC527" s="89"/>
      <c r="CD527" s="89"/>
      <c r="CE527" s="89"/>
      <c r="CF527" s="89"/>
      <c r="CG527" s="89"/>
      <c r="CH527" s="89"/>
      <c r="CI527" s="89"/>
      <c r="CJ527" s="89"/>
      <c r="CK527" s="89"/>
      <c r="CL527" s="89"/>
      <c r="CM527" s="89"/>
      <c r="CN527" s="89"/>
      <c r="CO527" s="98"/>
      <c r="CP527" s="98"/>
      <c r="CQ527" s="98"/>
      <c r="CR527" s="98"/>
      <c r="CS527" s="98"/>
      <c r="CT527" s="1247"/>
      <c r="CU527" s="1247"/>
      <c r="CV527" s="1247"/>
      <c r="CW527" s="98"/>
      <c r="CX527" s="98"/>
      <c r="CY527" s="1247"/>
      <c r="CZ527" s="1247"/>
      <c r="DA527" s="1247"/>
      <c r="DB527" s="98"/>
      <c r="DC527" s="2925"/>
      <c r="DD527" s="98"/>
      <c r="DE527" s="98"/>
      <c r="DF527" s="98"/>
      <c r="DG527" s="98"/>
      <c r="DH527" s="98"/>
      <c r="DI527" s="98"/>
      <c r="DJ527" s="98"/>
      <c r="DK527" s="98"/>
      <c r="DL527" s="98"/>
      <c r="DM527" s="98"/>
      <c r="DN527" s="98"/>
      <c r="DO527" s="98"/>
      <c r="DP527" s="98"/>
      <c r="DQ527" s="98"/>
      <c r="DR527" s="98"/>
    </row>
    <row r="528" spans="1:122">
      <c r="A528" s="213"/>
      <c r="B528" s="176"/>
      <c r="C528" s="176"/>
      <c r="D528" s="176"/>
      <c r="E528" s="176"/>
      <c r="F528" s="176"/>
      <c r="G528" s="176"/>
      <c r="H528" s="176"/>
      <c r="I528" s="176"/>
      <c r="J528" s="177"/>
      <c r="K528" s="177"/>
      <c r="L528" s="176"/>
      <c r="M528" s="176"/>
      <c r="N528" s="176"/>
      <c r="O528" s="919"/>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27"/>
      <c r="AP528" s="127"/>
      <c r="AQ528" s="127"/>
      <c r="AR528" s="127"/>
      <c r="AS528" s="127"/>
      <c r="AT528" s="127"/>
      <c r="AU528" s="11"/>
      <c r="AV528" s="6"/>
      <c r="AW528" s="89"/>
      <c r="AX528" s="89"/>
      <c r="AY528" s="89"/>
      <c r="AZ528" s="89"/>
      <c r="BA528" s="89"/>
      <c r="BB528" s="89"/>
      <c r="BC528" s="89"/>
      <c r="BD528" s="89"/>
      <c r="BE528" s="89"/>
      <c r="BF528" s="89"/>
      <c r="BG528" s="89"/>
      <c r="BH528" s="98"/>
      <c r="BI528" s="89"/>
      <c r="BJ528" s="89"/>
      <c r="BK528" s="89"/>
      <c r="BL528" s="89"/>
      <c r="BM528" s="89"/>
      <c r="BN528" s="89"/>
      <c r="BO528" s="89"/>
      <c r="BP528" s="89"/>
      <c r="BQ528" s="89"/>
      <c r="BR528" s="89"/>
      <c r="BS528" s="89"/>
      <c r="BT528" s="89"/>
      <c r="BU528" s="89"/>
      <c r="BV528" s="89"/>
      <c r="BW528" s="89"/>
      <c r="BX528" s="89"/>
      <c r="BY528" s="89"/>
      <c r="BZ528" s="89"/>
      <c r="CA528" s="89"/>
      <c r="CB528" s="89"/>
      <c r="CC528" s="89"/>
      <c r="CD528" s="89"/>
      <c r="CE528" s="89"/>
      <c r="CF528" s="89"/>
      <c r="CG528" s="89"/>
      <c r="CH528" s="89"/>
      <c r="CI528" s="89"/>
      <c r="CJ528" s="89"/>
      <c r="CK528" s="89"/>
      <c r="CL528" s="89"/>
      <c r="CM528" s="89"/>
      <c r="CN528" s="89"/>
      <c r="CO528" s="98"/>
      <c r="CP528" s="98"/>
      <c r="CQ528" s="98"/>
      <c r="CR528" s="98"/>
      <c r="CS528" s="98"/>
      <c r="CT528" s="1247"/>
      <c r="CU528" s="1247"/>
      <c r="CV528" s="1247"/>
      <c r="CW528" s="98"/>
      <c r="CX528" s="98"/>
      <c r="CY528" s="1247"/>
      <c r="CZ528" s="1247"/>
      <c r="DA528" s="1247"/>
      <c r="DB528" s="98"/>
      <c r="DC528" s="2925"/>
      <c r="DD528" s="98"/>
      <c r="DE528" s="98"/>
      <c r="DF528" s="98"/>
      <c r="DG528" s="98"/>
      <c r="DH528" s="98"/>
      <c r="DI528" s="98"/>
      <c r="DJ528" s="98"/>
      <c r="DK528" s="98"/>
      <c r="DL528" s="98"/>
      <c r="DM528" s="98"/>
      <c r="DN528" s="98"/>
      <c r="DO528" s="98"/>
      <c r="DP528" s="98"/>
      <c r="DQ528" s="98"/>
      <c r="DR528" s="98"/>
    </row>
    <row r="529" spans="1:122">
      <c r="A529" s="214"/>
      <c r="B529" s="6"/>
      <c r="C529" s="6"/>
      <c r="D529" s="6"/>
      <c r="E529" s="6"/>
      <c r="F529" s="6"/>
      <c r="G529" s="6"/>
      <c r="H529" s="127"/>
      <c r="I529" s="127"/>
      <c r="J529" s="98"/>
      <c r="K529" s="98"/>
      <c r="L529" s="127"/>
      <c r="M529" s="127"/>
      <c r="N529" s="127"/>
      <c r="O529" s="919"/>
      <c r="P529" s="127"/>
      <c r="Q529" s="127"/>
      <c r="R529" s="127"/>
      <c r="S529" s="127"/>
      <c r="T529" s="127"/>
      <c r="U529" s="127"/>
      <c r="V529" s="127"/>
      <c r="W529" s="127"/>
      <c r="X529" s="127"/>
      <c r="Y529" s="127"/>
      <c r="Z529" s="127"/>
      <c r="AA529" s="127"/>
      <c r="AB529" s="127"/>
      <c r="AC529" s="127"/>
      <c r="AD529" s="127"/>
      <c r="AE529" s="127"/>
      <c r="AF529" s="127"/>
      <c r="AG529" s="127"/>
      <c r="AH529" s="127"/>
      <c r="AI529" s="127"/>
      <c r="AJ529" s="127"/>
      <c r="AK529" s="127"/>
      <c r="AL529" s="127"/>
      <c r="AM529" s="127"/>
      <c r="AN529" s="127"/>
      <c r="AO529" s="127"/>
      <c r="AP529" s="127"/>
      <c r="AQ529" s="127"/>
      <c r="AR529" s="127"/>
      <c r="AS529" s="127"/>
      <c r="AT529" s="127"/>
      <c r="AU529" s="11"/>
      <c r="AV529" s="11"/>
      <c r="AW529" s="98"/>
      <c r="AX529" s="98"/>
      <c r="AY529" s="98"/>
      <c r="AZ529" s="98"/>
      <c r="BA529" s="98"/>
      <c r="BB529" s="98"/>
      <c r="BC529" s="98"/>
      <c r="BD529" s="98"/>
      <c r="BE529" s="98"/>
      <c r="BF529" s="98"/>
      <c r="BG529" s="98"/>
      <c r="BH529" s="98"/>
      <c r="BI529" s="98"/>
      <c r="BJ529" s="98"/>
      <c r="BK529" s="98"/>
      <c r="BL529" s="98"/>
      <c r="BM529" s="98"/>
      <c r="BN529" s="98"/>
      <c r="BO529" s="98"/>
      <c r="BP529" s="98"/>
      <c r="BQ529" s="98"/>
      <c r="BR529" s="98"/>
      <c r="BS529" s="98"/>
      <c r="BT529" s="98"/>
      <c r="BU529" s="98"/>
      <c r="BV529" s="98"/>
      <c r="BW529" s="98"/>
      <c r="BX529" s="98"/>
      <c r="BY529" s="98"/>
      <c r="BZ529" s="98"/>
      <c r="CA529" s="98"/>
      <c r="CB529" s="98"/>
      <c r="CC529" s="98"/>
      <c r="CD529" s="98"/>
      <c r="CE529" s="98"/>
      <c r="CF529" s="98"/>
      <c r="CG529" s="98"/>
      <c r="CH529" s="98"/>
      <c r="CI529" s="98"/>
      <c r="CJ529" s="98"/>
      <c r="CK529" s="98"/>
      <c r="CL529" s="98"/>
      <c r="CM529" s="98"/>
      <c r="CN529" s="98"/>
      <c r="CO529" s="98"/>
      <c r="CP529" s="98"/>
      <c r="CQ529" s="98"/>
      <c r="CR529" s="98"/>
      <c r="CS529" s="98"/>
      <c r="CT529" s="1247"/>
      <c r="CU529" s="1247"/>
      <c r="CV529" s="1247"/>
      <c r="CW529" s="98"/>
      <c r="CX529" s="98"/>
      <c r="CY529" s="1247"/>
      <c r="CZ529" s="1247"/>
      <c r="DA529" s="1247"/>
      <c r="DB529" s="98"/>
      <c r="DC529" s="2925"/>
      <c r="DD529" s="98"/>
      <c r="DE529" s="98"/>
      <c r="DF529" s="98"/>
      <c r="DG529" s="98"/>
      <c r="DH529" s="98"/>
      <c r="DI529" s="98"/>
      <c r="DJ529" s="98"/>
      <c r="DK529" s="98"/>
      <c r="DL529" s="98"/>
      <c r="DM529" s="98"/>
      <c r="DN529" s="98"/>
      <c r="DO529" s="98"/>
      <c r="DP529" s="98"/>
      <c r="DQ529" s="98"/>
      <c r="DR529" s="98"/>
    </row>
    <row r="530" spans="1:122" ht="15">
      <c r="A530" s="207" t="str">
        <f>A1</f>
        <v>CBS</v>
      </c>
      <c r="B530" s="18" t="s">
        <v>1032</v>
      </c>
      <c r="C530" s="18"/>
      <c r="D530" s="18" t="s">
        <v>478</v>
      </c>
      <c r="E530" s="18"/>
      <c r="F530" s="18" t="s">
        <v>1035</v>
      </c>
      <c r="G530" s="18"/>
      <c r="H530" s="6"/>
      <c r="I530" s="6"/>
      <c r="J530" s="89"/>
      <c r="K530" s="89"/>
      <c r="L530" s="6"/>
      <c r="M530" s="6"/>
      <c r="N530" s="6"/>
      <c r="O530" s="919"/>
      <c r="P530" s="6"/>
      <c r="Q530" s="6"/>
      <c r="R530" s="6"/>
      <c r="S530" s="6"/>
      <c r="T530" s="6"/>
      <c r="U530" s="6"/>
      <c r="V530" s="6"/>
      <c r="W530" s="6"/>
      <c r="X530" s="6"/>
      <c r="Y530" s="6"/>
      <c r="Z530" s="6"/>
      <c r="AA530" s="6"/>
      <c r="AB530" s="6"/>
      <c r="AC530" s="6"/>
      <c r="AD530" s="6"/>
      <c r="AE530" s="6"/>
      <c r="AF530" s="6"/>
      <c r="AG530" s="11"/>
      <c r="AH530" s="11"/>
      <c r="AI530" s="11"/>
      <c r="AJ530" s="11"/>
      <c r="AK530" s="11"/>
      <c r="AL530" s="1108"/>
      <c r="AM530" s="127"/>
      <c r="AN530" s="127"/>
      <c r="AO530" s="127"/>
      <c r="AP530" s="127"/>
      <c r="AQ530" s="127"/>
      <c r="AR530" s="127"/>
      <c r="AS530" s="127"/>
      <c r="AT530" s="127"/>
      <c r="AU530" s="11"/>
      <c r="AV530" s="6"/>
      <c r="AW530" s="89"/>
      <c r="AX530" s="89"/>
      <c r="AY530" s="89"/>
      <c r="AZ530" s="89"/>
      <c r="BA530" s="89"/>
      <c r="BB530" s="89"/>
      <c r="BC530" s="89"/>
      <c r="BD530" s="89"/>
      <c r="BE530" s="89"/>
      <c r="BF530" s="89"/>
      <c r="BG530" s="89"/>
      <c r="BH530" s="98"/>
      <c r="BI530" s="89"/>
      <c r="BJ530" s="89"/>
      <c r="BK530" s="89"/>
      <c r="BL530" s="89"/>
      <c r="BM530" s="89"/>
      <c r="BN530" s="89"/>
      <c r="BO530" s="89"/>
      <c r="BP530" s="89"/>
      <c r="BQ530" s="89"/>
      <c r="BR530" s="89"/>
      <c r="BS530" s="89"/>
      <c r="BT530" s="89"/>
      <c r="BU530" s="89"/>
      <c r="BV530" s="89"/>
      <c r="BW530" s="89"/>
      <c r="BX530" s="89"/>
      <c r="BY530" s="89"/>
      <c r="BZ530" s="89"/>
      <c r="CA530" s="89"/>
      <c r="CB530" s="89"/>
      <c r="CC530" s="89"/>
      <c r="CD530" s="89"/>
      <c r="CE530" s="89"/>
      <c r="CF530" s="89"/>
      <c r="CG530" s="89"/>
      <c r="CH530" s="89"/>
      <c r="CI530" s="89"/>
      <c r="CJ530" s="89"/>
      <c r="CK530" s="89"/>
      <c r="CL530" s="89"/>
      <c r="CM530" s="89"/>
      <c r="CN530" s="89"/>
      <c r="CO530" s="98"/>
      <c r="CP530" s="98"/>
      <c r="CQ530" s="98"/>
      <c r="CR530" s="98"/>
      <c r="CS530" s="98"/>
      <c r="CT530" s="1247"/>
      <c r="CU530" s="1247"/>
      <c r="CV530" s="1247"/>
      <c r="CW530" s="98"/>
      <c r="CX530" s="98"/>
      <c r="CY530" s="1247"/>
      <c r="CZ530" s="1247"/>
      <c r="DA530" s="1247"/>
      <c r="DB530" s="98"/>
      <c r="DC530" s="2925"/>
      <c r="DD530" s="98"/>
      <c r="DE530" s="98"/>
      <c r="DF530" s="98"/>
      <c r="DG530" s="98"/>
      <c r="DH530" s="98"/>
      <c r="DI530" s="98"/>
      <c r="DJ530" s="98"/>
      <c r="DK530" s="98"/>
      <c r="DL530" s="98"/>
      <c r="DM530" s="98"/>
      <c r="DN530" s="98"/>
      <c r="DO530" s="98"/>
      <c r="DP530" s="98"/>
      <c r="DQ530" s="98"/>
      <c r="DR530" s="98"/>
    </row>
    <row r="531" spans="1:122">
      <c r="A531" s="215" t="s">
        <v>1038</v>
      </c>
      <c r="B531" s="99">
        <v>2003</v>
      </c>
      <c r="C531" s="99">
        <v>2004</v>
      </c>
      <c r="D531" s="100">
        <v>2003</v>
      </c>
      <c r="E531" s="100">
        <v>2004</v>
      </c>
      <c r="F531" s="101">
        <v>2003</v>
      </c>
      <c r="G531" s="101">
        <v>2004</v>
      </c>
      <c r="H531" s="102">
        <f t="shared" ref="H531:N531" si="827">H4</f>
        <v>2002</v>
      </c>
      <c r="I531" s="102">
        <f t="shared" si="827"/>
        <v>2003</v>
      </c>
      <c r="J531" s="102">
        <f t="shared" si="827"/>
        <v>2004</v>
      </c>
      <c r="K531" s="102">
        <f t="shared" si="827"/>
        <v>2005</v>
      </c>
      <c r="L531" s="102">
        <f t="shared" si="827"/>
        <v>2006</v>
      </c>
      <c r="M531" s="102">
        <f t="shared" si="827"/>
        <v>2007</v>
      </c>
      <c r="N531" s="102">
        <f t="shared" si="827"/>
        <v>2008</v>
      </c>
      <c r="O531" s="919"/>
      <c r="P531" s="102"/>
      <c r="Q531" s="102"/>
      <c r="R531" s="102">
        <f t="shared" ref="R531:W531" si="828">R4</f>
        <v>2009</v>
      </c>
      <c r="S531" s="102">
        <f t="shared" si="828"/>
        <v>2010</v>
      </c>
      <c r="T531" s="102">
        <f t="shared" si="828"/>
        <v>2011</v>
      </c>
      <c r="U531" s="102">
        <f t="shared" si="828"/>
        <v>2012</v>
      </c>
      <c r="V531" s="102">
        <f t="shared" si="828"/>
        <v>2013</v>
      </c>
      <c r="W531" s="102">
        <f t="shared" si="828"/>
        <v>2014</v>
      </c>
      <c r="X531" s="102"/>
      <c r="Y531" s="102"/>
      <c r="Z531" s="102">
        <f t="shared" ref="Z531:AK531" si="829">Z4</f>
        <v>2015</v>
      </c>
      <c r="AA531" s="138">
        <f t="shared" si="829"/>
        <v>2016</v>
      </c>
      <c r="AB531" s="138"/>
      <c r="AC531" s="138" t="str">
        <f t="shared" si="829"/>
        <v>2017E</v>
      </c>
      <c r="AD531" s="138" t="str">
        <f t="shared" si="829"/>
        <v>2018E</v>
      </c>
      <c r="AE531" s="138" t="str">
        <f t="shared" si="829"/>
        <v>2019E</v>
      </c>
      <c r="AF531" s="138" t="str">
        <f t="shared" si="829"/>
        <v>2020E</v>
      </c>
      <c r="AG531" s="138" t="str">
        <f t="shared" si="829"/>
        <v>2021E</v>
      </c>
      <c r="AH531" s="138" t="str">
        <f t="shared" si="829"/>
        <v>2022E</v>
      </c>
      <c r="AI531" s="138" t="str">
        <f t="shared" si="829"/>
        <v>2023E</v>
      </c>
      <c r="AJ531" s="138" t="str">
        <f t="shared" si="829"/>
        <v>2024E</v>
      </c>
      <c r="AK531" s="138" t="str">
        <f t="shared" si="829"/>
        <v>2025E</v>
      </c>
      <c r="AL531" s="1706" t="str">
        <f>AL4</f>
        <v>2026E</v>
      </c>
      <c r="AM531" s="1706" t="str">
        <f>AM4</f>
        <v>2027E</v>
      </c>
      <c r="AN531" s="1706" t="str">
        <f>AN4</f>
        <v>2028E</v>
      </c>
      <c r="AO531" s="164"/>
      <c r="AP531" s="164"/>
      <c r="AQ531" s="164"/>
      <c r="AR531" s="164"/>
      <c r="AS531" s="164"/>
      <c r="AT531" s="164"/>
      <c r="AU531" s="11"/>
      <c r="AV531" s="6"/>
      <c r="AW531" s="89"/>
      <c r="AX531" s="89"/>
      <c r="AY531" s="89"/>
      <c r="AZ531" s="89"/>
      <c r="BA531" s="89"/>
      <c r="BB531" s="89"/>
      <c r="BC531" s="89"/>
      <c r="BD531" s="89"/>
      <c r="BE531" s="89"/>
      <c r="BF531" s="89"/>
      <c r="BG531" s="89"/>
      <c r="BH531" s="98"/>
      <c r="BI531" s="89"/>
      <c r="BJ531" s="89"/>
      <c r="BK531" s="89"/>
      <c r="BL531" s="89"/>
      <c r="BM531" s="89"/>
      <c r="BN531" s="89"/>
      <c r="BO531" s="89"/>
      <c r="BP531" s="89"/>
      <c r="BQ531" s="89"/>
      <c r="BR531" s="89"/>
      <c r="BS531" s="89"/>
      <c r="BT531" s="89"/>
      <c r="BU531" s="89"/>
      <c r="BV531" s="89"/>
      <c r="BW531" s="89"/>
      <c r="BX531" s="89"/>
      <c r="BY531" s="89"/>
      <c r="BZ531" s="89"/>
      <c r="CA531" s="89"/>
      <c r="CB531" s="89"/>
      <c r="CC531" s="89"/>
      <c r="CD531" s="89"/>
      <c r="CE531" s="89"/>
      <c r="CF531" s="89"/>
      <c r="CG531" s="89"/>
      <c r="CH531" s="89"/>
      <c r="CI531" s="89"/>
      <c r="CJ531" s="89"/>
      <c r="CK531" s="89"/>
      <c r="CL531" s="89"/>
      <c r="CM531" s="89"/>
      <c r="CN531" s="89"/>
      <c r="CO531" s="98"/>
      <c r="CP531" s="98"/>
      <c r="CQ531" s="98"/>
      <c r="CR531" s="98"/>
      <c r="CS531" s="98"/>
      <c r="CT531" s="1247"/>
      <c r="CU531" s="1247"/>
      <c r="CV531" s="1247"/>
      <c r="CW531" s="98"/>
      <c r="CX531" s="98"/>
      <c r="CY531" s="1247"/>
      <c r="CZ531" s="1247"/>
      <c r="DA531" s="1247"/>
      <c r="DB531" s="98"/>
      <c r="DC531" s="2925"/>
      <c r="DD531" s="98"/>
      <c r="DE531" s="98"/>
      <c r="DF531" s="98"/>
      <c r="DG531" s="98"/>
      <c r="DH531" s="98"/>
      <c r="DI531" s="98"/>
      <c r="DJ531" s="98"/>
      <c r="DK531" s="98"/>
      <c r="DL531" s="98"/>
      <c r="DM531" s="98"/>
      <c r="DN531" s="98"/>
      <c r="DO531" s="98"/>
      <c r="DP531" s="98"/>
      <c r="DQ531" s="98"/>
      <c r="DR531" s="98"/>
    </row>
    <row r="532" spans="1:122">
      <c r="A532" s="216" t="s">
        <v>963</v>
      </c>
      <c r="B532" s="123"/>
      <c r="C532" s="123"/>
      <c r="D532" s="123"/>
      <c r="E532" s="123"/>
      <c r="F532" s="123"/>
      <c r="G532" s="123"/>
      <c r="H532" s="123"/>
      <c r="I532" s="123"/>
      <c r="J532" s="89"/>
      <c r="K532" s="89"/>
      <c r="L532" s="123"/>
      <c r="M532" s="123"/>
      <c r="N532" s="123"/>
      <c r="O532" s="919"/>
      <c r="P532" s="123"/>
      <c r="Q532" s="123"/>
      <c r="R532" s="123"/>
      <c r="S532" s="123"/>
      <c r="T532" s="123"/>
      <c r="U532" s="123"/>
      <c r="V532" s="123"/>
      <c r="W532" s="123"/>
      <c r="X532" s="123"/>
      <c r="Y532" s="123"/>
      <c r="Z532" s="123"/>
      <c r="AA532" s="127"/>
      <c r="AB532" s="127"/>
      <c r="AC532" s="127"/>
      <c r="AD532" s="127"/>
      <c r="AE532" s="127"/>
      <c r="AF532" s="127"/>
      <c r="AG532" s="127"/>
      <c r="AH532" s="127"/>
      <c r="AI532" s="127"/>
      <c r="AJ532" s="127"/>
      <c r="AK532" s="127"/>
      <c r="AL532" s="1687"/>
      <c r="AM532" s="1687"/>
      <c r="AN532" s="127"/>
      <c r="AO532" s="127"/>
      <c r="AP532" s="127"/>
      <c r="AQ532" s="127"/>
      <c r="AR532" s="127"/>
      <c r="AS532" s="127"/>
      <c r="AT532" s="127"/>
      <c r="AU532" s="11"/>
      <c r="AV532" s="6"/>
      <c r="AW532" s="89"/>
      <c r="AX532" s="89"/>
      <c r="AY532" s="89"/>
      <c r="AZ532" s="89"/>
      <c r="BA532" s="89"/>
      <c r="BB532" s="89"/>
      <c r="BC532" s="89"/>
      <c r="BD532" s="89"/>
      <c r="BE532" s="89"/>
      <c r="BF532" s="89"/>
      <c r="BG532" s="89"/>
      <c r="BH532" s="98"/>
      <c r="BI532" s="89"/>
      <c r="BJ532" s="89"/>
      <c r="BK532" s="89"/>
      <c r="BL532" s="89"/>
      <c r="BM532" s="89"/>
      <c r="BN532" s="89"/>
      <c r="BO532" s="89"/>
      <c r="BP532" s="89"/>
      <c r="BQ532" s="89"/>
      <c r="BR532" s="89"/>
      <c r="BS532" s="89"/>
      <c r="BT532" s="89"/>
      <c r="BU532" s="89"/>
      <c r="BV532" s="89"/>
      <c r="BW532" s="89"/>
      <c r="BX532" s="89"/>
      <c r="BY532" s="89"/>
      <c r="BZ532" s="89"/>
      <c r="CA532" s="89"/>
      <c r="CB532" s="89"/>
      <c r="CC532" s="89"/>
      <c r="CD532" s="89"/>
      <c r="CE532" s="89"/>
      <c r="CF532" s="89"/>
      <c r="CG532" s="89"/>
      <c r="CH532" s="89"/>
      <c r="CI532" s="89"/>
      <c r="CJ532" s="89"/>
      <c r="CK532" s="89"/>
      <c r="CL532" s="89"/>
      <c r="CM532" s="89"/>
      <c r="CN532" s="89"/>
      <c r="CO532" s="98"/>
      <c r="CP532" s="98"/>
      <c r="CQ532" s="98"/>
      <c r="CR532" s="98"/>
      <c r="CS532" s="98"/>
      <c r="CT532" s="1247"/>
      <c r="CU532" s="1247"/>
      <c r="CV532" s="1247"/>
      <c r="CW532" s="98"/>
      <c r="CX532" s="98"/>
      <c r="CY532" s="1247"/>
      <c r="CZ532" s="1247"/>
      <c r="DA532" s="1247"/>
      <c r="DB532" s="98"/>
      <c r="DC532" s="2925"/>
      <c r="DD532" s="98"/>
      <c r="DE532" s="98"/>
      <c r="DF532" s="98"/>
      <c r="DG532" s="98"/>
      <c r="DH532" s="98"/>
      <c r="DI532" s="98"/>
      <c r="DJ532" s="98"/>
      <c r="DK532" s="98"/>
      <c r="DL532" s="98"/>
      <c r="DM532" s="98"/>
      <c r="DN532" s="98"/>
      <c r="DO532" s="98"/>
      <c r="DP532" s="98"/>
      <c r="DQ532" s="98"/>
      <c r="DR532" s="98"/>
    </row>
    <row r="533" spans="1:122">
      <c r="A533" s="216" t="s">
        <v>947</v>
      </c>
      <c r="B533" s="122">
        <v>629.4</v>
      </c>
      <c r="C533" s="217">
        <v>682.9</v>
      </c>
      <c r="D533" s="122">
        <v>629.4</v>
      </c>
      <c r="E533" s="217">
        <v>682.8</v>
      </c>
      <c r="F533" s="165">
        <v>0</v>
      </c>
      <c r="G533" s="165">
        <v>0</v>
      </c>
      <c r="H533" s="123"/>
      <c r="I533" s="48">
        <f t="shared" ref="I533:J536" si="830">B533-D533+F533</f>
        <v>0</v>
      </c>
      <c r="J533" s="48">
        <f t="shared" si="830"/>
        <v>0.10000000000002274</v>
      </c>
      <c r="K533" s="123"/>
      <c r="L533" s="123"/>
      <c r="M533" s="123"/>
      <c r="N533" s="123"/>
      <c r="O533" s="919"/>
      <c r="P533" s="123"/>
      <c r="Q533" s="123"/>
      <c r="R533" s="123"/>
      <c r="S533" s="123"/>
      <c r="T533" s="123"/>
      <c r="U533" s="123"/>
      <c r="V533" s="123"/>
      <c r="W533" s="123"/>
      <c r="X533" s="123"/>
      <c r="Y533" s="123"/>
      <c r="Z533" s="123"/>
      <c r="AA533" s="127"/>
      <c r="AB533" s="127"/>
      <c r="AC533" s="127"/>
      <c r="AD533" s="127"/>
      <c r="AE533" s="127"/>
      <c r="AF533" s="127"/>
      <c r="AG533" s="127"/>
      <c r="AH533" s="127"/>
      <c r="AI533" s="127"/>
      <c r="AJ533" s="127"/>
      <c r="AK533" s="127"/>
      <c r="AL533" s="1687"/>
      <c r="AM533" s="1687"/>
      <c r="AN533" s="127"/>
      <c r="AO533" s="127"/>
      <c r="AP533" s="127"/>
      <c r="AQ533" s="127"/>
      <c r="AR533" s="127"/>
      <c r="AS533" s="127"/>
      <c r="AT533" s="127"/>
      <c r="AU533" s="11"/>
      <c r="AV533" s="6"/>
      <c r="AW533" s="89"/>
      <c r="AX533" s="89"/>
      <c r="AY533" s="89"/>
      <c r="AZ533" s="89"/>
      <c r="BA533" s="89"/>
      <c r="BB533" s="89"/>
      <c r="BC533" s="89"/>
      <c r="BD533" s="89"/>
      <c r="BE533" s="89"/>
      <c r="BF533" s="89"/>
      <c r="BG533" s="89"/>
      <c r="BH533" s="98"/>
      <c r="BI533" s="89"/>
      <c r="BJ533" s="89"/>
      <c r="BK533" s="89"/>
      <c r="BL533" s="89"/>
      <c r="BM533" s="89"/>
      <c r="BN533" s="89"/>
      <c r="BO533" s="89"/>
      <c r="BP533" s="89"/>
      <c r="BQ533" s="89"/>
      <c r="BR533" s="89"/>
      <c r="BS533" s="89"/>
      <c r="BT533" s="89"/>
      <c r="BU533" s="89"/>
      <c r="BV533" s="89"/>
      <c r="BW533" s="89"/>
      <c r="BX533" s="89"/>
      <c r="BY533" s="89"/>
      <c r="BZ533" s="89"/>
      <c r="CA533" s="89"/>
      <c r="CB533" s="89"/>
      <c r="CC533" s="89"/>
      <c r="CD533" s="89"/>
      <c r="CE533" s="89"/>
      <c r="CF533" s="89"/>
      <c r="CG533" s="89"/>
      <c r="CH533" s="89"/>
      <c r="CI533" s="89"/>
      <c r="CJ533" s="89"/>
      <c r="CK533" s="89"/>
      <c r="CL533" s="89"/>
      <c r="CM533" s="89"/>
      <c r="CN533" s="89"/>
      <c r="CO533" s="98"/>
      <c r="CP533" s="98"/>
      <c r="CQ533" s="98"/>
      <c r="CR533" s="98"/>
      <c r="CS533" s="98"/>
      <c r="CT533" s="1247"/>
      <c r="CU533" s="1247"/>
      <c r="CV533" s="1247"/>
      <c r="CW533" s="98"/>
      <c r="CX533" s="98"/>
      <c r="CY533" s="1247"/>
      <c r="CZ533" s="1247"/>
      <c r="DA533" s="1247"/>
      <c r="DB533" s="98"/>
      <c r="DC533" s="2925"/>
      <c r="DD533" s="98"/>
      <c r="DE533" s="98"/>
      <c r="DF533" s="98"/>
      <c r="DG533" s="98"/>
      <c r="DH533" s="98"/>
      <c r="DI533" s="98"/>
      <c r="DJ533" s="98"/>
      <c r="DK533" s="98"/>
      <c r="DL533" s="98"/>
      <c r="DM533" s="98"/>
      <c r="DN533" s="98"/>
      <c r="DO533" s="98"/>
      <c r="DP533" s="98"/>
      <c r="DQ533" s="98"/>
      <c r="DR533" s="98"/>
    </row>
    <row r="534" spans="1:122">
      <c r="A534" s="216" t="s">
        <v>948</v>
      </c>
      <c r="B534" s="122">
        <v>60.4</v>
      </c>
      <c r="C534" s="217">
        <v>66</v>
      </c>
      <c r="D534" s="122">
        <v>60.4</v>
      </c>
      <c r="E534" s="217">
        <v>66</v>
      </c>
      <c r="F534" s="165">
        <v>0</v>
      </c>
      <c r="G534" s="165">
        <v>0</v>
      </c>
      <c r="H534" s="123"/>
      <c r="I534" s="48">
        <f t="shared" si="830"/>
        <v>0</v>
      </c>
      <c r="J534" s="48">
        <f t="shared" si="830"/>
        <v>0</v>
      </c>
      <c r="K534" s="123"/>
      <c r="L534" s="123"/>
      <c r="M534" s="123"/>
      <c r="N534" s="123"/>
      <c r="O534" s="919"/>
      <c r="P534" s="123"/>
      <c r="Q534" s="123"/>
      <c r="R534" s="123"/>
      <c r="S534" s="123"/>
      <c r="T534" s="123"/>
      <c r="U534" s="123"/>
      <c r="V534" s="123"/>
      <c r="W534" s="123"/>
      <c r="X534" s="123"/>
      <c r="Y534" s="123"/>
      <c r="Z534" s="1687"/>
      <c r="AA534" s="1687"/>
      <c r="AB534" s="1687"/>
      <c r="AC534" s="1687"/>
      <c r="AD534" s="127"/>
      <c r="AE534" s="127"/>
      <c r="AF534" s="127"/>
      <c r="AG534" s="127"/>
      <c r="AH534" s="127"/>
      <c r="AI534" s="127"/>
      <c r="AJ534" s="127"/>
      <c r="AK534" s="127"/>
      <c r="AL534" s="1687"/>
      <c r="AM534" s="1687"/>
      <c r="AN534" s="127"/>
      <c r="AO534" s="127"/>
      <c r="AP534" s="127"/>
      <c r="AQ534" s="127"/>
      <c r="AR534" s="127"/>
      <c r="AS534" s="127"/>
      <c r="AT534" s="127"/>
      <c r="AU534" s="11"/>
      <c r="AV534" s="6"/>
      <c r="AW534" s="89"/>
      <c r="AX534" s="89"/>
      <c r="AY534" s="89"/>
      <c r="AZ534" s="89"/>
      <c r="BA534" s="89"/>
      <c r="BB534" s="89"/>
      <c r="BC534" s="89"/>
      <c r="BD534" s="89"/>
      <c r="BE534" s="89"/>
      <c r="BF534" s="89"/>
      <c r="BG534" s="89"/>
      <c r="BH534" s="98"/>
      <c r="BI534" s="89"/>
      <c r="BJ534" s="89"/>
      <c r="BK534" s="89"/>
      <c r="BL534" s="89"/>
      <c r="BM534" s="89"/>
      <c r="BN534" s="89"/>
      <c r="BO534" s="89"/>
      <c r="BP534" s="89"/>
      <c r="BQ534" s="89"/>
      <c r="BR534" s="89"/>
      <c r="BS534" s="89"/>
      <c r="BT534" s="89"/>
      <c r="BU534" s="89"/>
      <c r="BV534" s="89"/>
      <c r="BW534" s="89"/>
      <c r="BX534" s="89"/>
      <c r="BY534" s="89"/>
      <c r="BZ534" s="89"/>
      <c r="CA534" s="89"/>
      <c r="CB534" s="89"/>
      <c r="CC534" s="89"/>
      <c r="CD534" s="89"/>
      <c r="CE534" s="89"/>
      <c r="CF534" s="89"/>
      <c r="CG534" s="89"/>
      <c r="CH534" s="89"/>
      <c r="CI534" s="89"/>
      <c r="CJ534" s="89"/>
      <c r="CK534" s="89"/>
      <c r="CL534" s="89"/>
      <c r="CM534" s="89"/>
      <c r="CN534" s="89"/>
      <c r="CO534" s="98"/>
      <c r="CP534" s="98"/>
      <c r="CQ534" s="98"/>
      <c r="CR534" s="98"/>
      <c r="CS534" s="98"/>
      <c r="CT534" s="1247"/>
      <c r="CU534" s="1247"/>
      <c r="CV534" s="1247"/>
      <c r="CW534" s="98"/>
      <c r="CX534" s="98"/>
      <c r="CY534" s="1247"/>
      <c r="CZ534" s="1247"/>
      <c r="DA534" s="1247"/>
      <c r="DB534" s="98"/>
      <c r="DC534" s="2925"/>
      <c r="DD534" s="98"/>
      <c r="DE534" s="98"/>
      <c r="DF534" s="98"/>
      <c r="DG534" s="98"/>
      <c r="DH534" s="98"/>
      <c r="DI534" s="98"/>
      <c r="DJ534" s="98"/>
      <c r="DK534" s="98"/>
      <c r="DL534" s="98"/>
      <c r="DM534" s="98"/>
      <c r="DN534" s="98"/>
      <c r="DO534" s="98"/>
      <c r="DP534" s="98"/>
      <c r="DQ534" s="98"/>
      <c r="DR534" s="98"/>
    </row>
    <row r="535" spans="1:122">
      <c r="A535" s="216" t="s">
        <v>949</v>
      </c>
      <c r="B535" s="122">
        <v>337</v>
      </c>
      <c r="C535" s="217">
        <v>302.39999999999998</v>
      </c>
      <c r="D535" s="122">
        <v>337</v>
      </c>
      <c r="E535" s="217">
        <v>302.39999999999998</v>
      </c>
      <c r="F535" s="165">
        <v>0</v>
      </c>
      <c r="G535" s="165">
        <v>0</v>
      </c>
      <c r="H535" s="123"/>
      <c r="I535" s="48">
        <f t="shared" si="830"/>
        <v>0</v>
      </c>
      <c r="J535" s="48">
        <f t="shared" si="830"/>
        <v>0</v>
      </c>
      <c r="K535" s="123"/>
      <c r="L535" s="123"/>
      <c r="M535" s="123"/>
      <c r="N535" s="123"/>
      <c r="O535" s="919"/>
      <c r="P535" s="123"/>
      <c r="Q535" s="123"/>
      <c r="R535" s="123"/>
      <c r="S535" s="123"/>
      <c r="T535" s="123"/>
      <c r="U535" s="123"/>
      <c r="V535" s="123"/>
      <c r="W535" s="123"/>
      <c r="X535" s="123"/>
      <c r="Y535" s="123"/>
      <c r="Z535" s="1687"/>
      <c r="AA535" s="1687"/>
      <c r="AB535" s="1687"/>
      <c r="AC535" s="1687"/>
      <c r="AD535" s="127"/>
      <c r="AE535" s="127"/>
      <c r="AF535" s="127"/>
      <c r="AG535" s="127"/>
      <c r="AH535" s="127"/>
      <c r="AI535" s="127"/>
      <c r="AJ535" s="127"/>
      <c r="AK535" s="127"/>
      <c r="AL535" s="1687"/>
      <c r="AM535" s="1687"/>
      <c r="AN535" s="127"/>
      <c r="AO535" s="127"/>
      <c r="AP535" s="127"/>
      <c r="AQ535" s="127"/>
      <c r="AR535" s="127"/>
      <c r="AS535" s="127"/>
      <c r="AT535" s="127"/>
      <c r="AU535" s="11"/>
      <c r="AV535" s="6"/>
      <c r="AW535" s="89"/>
      <c r="AX535" s="89"/>
      <c r="AY535" s="89"/>
      <c r="AZ535" s="89"/>
      <c r="BA535" s="89"/>
      <c r="BB535" s="89"/>
      <c r="BC535" s="89"/>
      <c r="BD535" s="89"/>
      <c r="BE535" s="89"/>
      <c r="BF535" s="89"/>
      <c r="BG535" s="89"/>
      <c r="BH535" s="98"/>
      <c r="BI535" s="89"/>
      <c r="BJ535" s="89"/>
      <c r="BK535" s="89"/>
      <c r="BL535" s="89"/>
      <c r="BM535" s="89"/>
      <c r="BN535" s="89"/>
      <c r="BO535" s="89"/>
      <c r="BP535" s="89"/>
      <c r="BQ535" s="89"/>
      <c r="BR535" s="89"/>
      <c r="BS535" s="89"/>
      <c r="BT535" s="89"/>
      <c r="BU535" s="89"/>
      <c r="BV535" s="89"/>
      <c r="BW535" s="89"/>
      <c r="BX535" s="89"/>
      <c r="BY535" s="89"/>
      <c r="BZ535" s="89"/>
      <c r="CA535" s="89"/>
      <c r="CB535" s="89"/>
      <c r="CC535" s="89"/>
      <c r="CD535" s="89"/>
      <c r="CE535" s="89"/>
      <c r="CF535" s="89"/>
      <c r="CG535" s="89"/>
      <c r="CH535" s="89"/>
      <c r="CI535" s="89"/>
      <c r="CJ535" s="89"/>
      <c r="CK535" s="89"/>
      <c r="CL535" s="89"/>
      <c r="CM535" s="89"/>
      <c r="CN535" s="89"/>
      <c r="CO535" s="98"/>
      <c r="CP535" s="98"/>
      <c r="CQ535" s="98"/>
      <c r="CR535" s="98"/>
      <c r="CS535" s="98"/>
      <c r="CT535" s="1247"/>
      <c r="CU535" s="1247"/>
      <c r="CV535" s="1247"/>
      <c r="CW535" s="98"/>
      <c r="CX535" s="98"/>
      <c r="CY535" s="1247"/>
      <c r="CZ535" s="1247"/>
      <c r="DA535" s="1247"/>
      <c r="DB535" s="98"/>
      <c r="DC535" s="2925"/>
      <c r="DD535" s="98"/>
      <c r="DE535" s="98"/>
      <c r="DF535" s="98"/>
      <c r="DG535" s="98"/>
      <c r="DH535" s="98"/>
      <c r="DI535" s="98"/>
      <c r="DJ535" s="98"/>
      <c r="DK535" s="98"/>
      <c r="DL535" s="98"/>
      <c r="DM535" s="98"/>
      <c r="DN535" s="98"/>
      <c r="DO535" s="98"/>
      <c r="DP535" s="98"/>
      <c r="DQ535" s="98"/>
      <c r="DR535" s="98"/>
    </row>
    <row r="536" spans="1:122">
      <c r="A536" s="218" t="s">
        <v>962</v>
      </c>
      <c r="B536" s="219">
        <v>62.9</v>
      </c>
      <c r="C536" s="220">
        <v>58.7</v>
      </c>
      <c r="D536" s="219">
        <v>62.9</v>
      </c>
      <c r="E536" s="220">
        <v>58.7</v>
      </c>
      <c r="F536" s="165">
        <v>0</v>
      </c>
      <c r="G536" s="165">
        <v>0</v>
      </c>
      <c r="H536" s="184"/>
      <c r="I536" s="221">
        <f t="shared" si="830"/>
        <v>0</v>
      </c>
      <c r="J536" s="221">
        <f t="shared" si="830"/>
        <v>0</v>
      </c>
      <c r="K536" s="222"/>
      <c r="L536" s="123"/>
      <c r="M536" s="123"/>
      <c r="N536" s="123"/>
      <c r="O536" s="919"/>
      <c r="P536" s="123"/>
      <c r="Q536" s="123"/>
      <c r="R536" s="123"/>
      <c r="S536" s="123"/>
      <c r="T536" s="123"/>
      <c r="U536" s="123"/>
      <c r="V536" s="123"/>
      <c r="W536" s="123"/>
      <c r="X536" s="123"/>
      <c r="Y536" s="123"/>
      <c r="Z536" s="1687"/>
      <c r="AA536" s="1687"/>
      <c r="AB536" s="1687"/>
      <c r="AC536" s="1687"/>
      <c r="AD536" s="127"/>
      <c r="AE536" s="127"/>
      <c r="AF536" s="127"/>
      <c r="AG536" s="127"/>
      <c r="AH536" s="127"/>
      <c r="AI536" s="127"/>
      <c r="AJ536" s="127"/>
      <c r="AK536" s="127"/>
      <c r="AL536" s="1687"/>
      <c r="AM536" s="1687"/>
      <c r="AN536" s="127"/>
      <c r="AO536" s="127"/>
      <c r="AP536" s="127"/>
      <c r="AQ536" s="127"/>
      <c r="AR536" s="127"/>
      <c r="AS536" s="127"/>
      <c r="AT536" s="127"/>
      <c r="AU536" s="11"/>
      <c r="AV536" s="6"/>
      <c r="AW536" s="89"/>
      <c r="AX536" s="89"/>
      <c r="AY536" s="89"/>
      <c r="AZ536" s="89"/>
      <c r="BA536" s="89"/>
      <c r="BB536" s="89"/>
      <c r="BC536" s="89"/>
      <c r="BD536" s="89"/>
      <c r="BE536" s="89"/>
      <c r="BF536" s="89"/>
      <c r="BG536" s="89"/>
      <c r="BH536" s="98"/>
      <c r="BI536" s="89"/>
      <c r="BJ536" s="89"/>
      <c r="BK536" s="89"/>
      <c r="BL536" s="89"/>
      <c r="BM536" s="89"/>
      <c r="BN536" s="89"/>
      <c r="BO536" s="89"/>
      <c r="BP536" s="89"/>
      <c r="BQ536" s="89"/>
      <c r="BR536" s="89"/>
      <c r="BS536" s="89"/>
      <c r="BT536" s="89"/>
      <c r="BU536" s="89"/>
      <c r="BV536" s="89"/>
      <c r="BW536" s="89"/>
      <c r="BX536" s="89"/>
      <c r="BY536" s="89"/>
      <c r="BZ536" s="89"/>
      <c r="CA536" s="89"/>
      <c r="CB536" s="89"/>
      <c r="CC536" s="89"/>
      <c r="CD536" s="89"/>
      <c r="CE536" s="89"/>
      <c r="CF536" s="89"/>
      <c r="CG536" s="89"/>
      <c r="CH536" s="89"/>
      <c r="CI536" s="89"/>
      <c r="CJ536" s="89"/>
      <c r="CK536" s="89"/>
      <c r="CL536" s="89"/>
      <c r="CM536" s="89"/>
      <c r="CN536" s="89"/>
      <c r="CO536" s="98"/>
      <c r="CP536" s="98"/>
      <c r="CQ536" s="98"/>
      <c r="CR536" s="98"/>
      <c r="CS536" s="98"/>
      <c r="CT536" s="1247"/>
      <c r="CU536" s="1247"/>
      <c r="CV536" s="1247"/>
      <c r="CW536" s="98"/>
      <c r="CX536" s="98"/>
      <c r="CY536" s="1247"/>
      <c r="CZ536" s="1247"/>
      <c r="DA536" s="1247"/>
      <c r="DB536" s="98"/>
      <c r="DC536" s="2925"/>
      <c r="DD536" s="98"/>
      <c r="DE536" s="98"/>
      <c r="DF536" s="98"/>
      <c r="DG536" s="98"/>
      <c r="DH536" s="98"/>
      <c r="DI536" s="98"/>
      <c r="DJ536" s="98"/>
      <c r="DK536" s="98"/>
      <c r="DL536" s="98"/>
      <c r="DM536" s="98"/>
      <c r="DN536" s="98"/>
      <c r="DO536" s="98"/>
      <c r="DP536" s="98"/>
      <c r="DQ536" s="98"/>
      <c r="DR536" s="98"/>
    </row>
    <row r="537" spans="1:122">
      <c r="A537" s="216" t="s">
        <v>957</v>
      </c>
      <c r="B537" s="48">
        <f t="shared" ref="B537:G537" si="831">SUM(B533:B536)</f>
        <v>1089.7</v>
      </c>
      <c r="C537" s="48">
        <f t="shared" si="831"/>
        <v>1110</v>
      </c>
      <c r="D537" s="48">
        <f t="shared" si="831"/>
        <v>1089.7</v>
      </c>
      <c r="E537" s="197">
        <f t="shared" si="831"/>
        <v>1109.8999999999999</v>
      </c>
      <c r="F537" s="106">
        <f t="shared" si="831"/>
        <v>0</v>
      </c>
      <c r="G537" s="106">
        <f t="shared" si="831"/>
        <v>0</v>
      </c>
      <c r="H537" s="123"/>
      <c r="I537" s="48">
        <f>SUM(I533:I536)</f>
        <v>0</v>
      </c>
      <c r="J537" s="182">
        <v>0</v>
      </c>
      <c r="K537" s="77">
        <v>0</v>
      </c>
      <c r="L537" s="76">
        <v>0</v>
      </c>
      <c r="M537" s="76">
        <v>0</v>
      </c>
      <c r="N537" s="76">
        <v>0</v>
      </c>
      <c r="O537" s="919"/>
      <c r="P537" s="76"/>
      <c r="Q537" s="76"/>
      <c r="R537" s="76">
        <v>0</v>
      </c>
      <c r="S537" s="76">
        <v>0</v>
      </c>
      <c r="T537" s="76">
        <v>0</v>
      </c>
      <c r="U537" s="76">
        <v>0</v>
      </c>
      <c r="V537" s="76">
        <v>0</v>
      </c>
      <c r="W537" s="76">
        <v>0</v>
      </c>
      <c r="X537" s="76"/>
      <c r="Y537" s="76"/>
      <c r="Z537" s="1437">
        <v>0</v>
      </c>
      <c r="AA537" s="1437">
        <v>0</v>
      </c>
      <c r="AB537" s="1437"/>
      <c r="AC537" s="1437">
        <v>0</v>
      </c>
      <c r="AD537" s="77">
        <v>0</v>
      </c>
      <c r="AE537" s="77">
        <v>0</v>
      </c>
      <c r="AF537" s="77">
        <v>0</v>
      </c>
      <c r="AG537" s="77">
        <v>0</v>
      </c>
      <c r="AH537" s="77">
        <v>0</v>
      </c>
      <c r="AI537" s="77">
        <v>0</v>
      </c>
      <c r="AJ537" s="77">
        <v>0</v>
      </c>
      <c r="AK537" s="77">
        <v>0</v>
      </c>
      <c r="AL537" s="1437">
        <v>0</v>
      </c>
      <c r="AM537" s="1437">
        <v>0</v>
      </c>
      <c r="AN537" s="1437">
        <v>0</v>
      </c>
      <c r="AO537" s="77"/>
      <c r="AP537" s="77"/>
      <c r="AQ537" s="77"/>
      <c r="AR537" s="77"/>
      <c r="AS537" s="77"/>
      <c r="AT537" s="77"/>
      <c r="AU537" s="11"/>
      <c r="AV537" s="6"/>
      <c r="AW537" s="89"/>
      <c r="AX537" s="89"/>
      <c r="AY537" s="89"/>
      <c r="AZ537" s="89"/>
      <c r="BA537" s="89"/>
      <c r="BB537" s="89"/>
      <c r="BC537" s="89"/>
      <c r="BD537" s="89"/>
      <c r="BE537" s="89"/>
      <c r="BF537" s="89"/>
      <c r="BG537" s="89"/>
      <c r="BH537" s="98"/>
      <c r="BI537" s="89"/>
      <c r="BJ537" s="89"/>
      <c r="BK537" s="89"/>
      <c r="BL537" s="89"/>
      <c r="BM537" s="89"/>
      <c r="BN537" s="89"/>
      <c r="BO537" s="89"/>
      <c r="BP537" s="89"/>
      <c r="BQ537" s="89"/>
      <c r="BR537" s="89"/>
      <c r="BS537" s="89"/>
      <c r="BT537" s="89"/>
      <c r="BU537" s="89"/>
      <c r="BV537" s="89"/>
      <c r="BW537" s="89"/>
      <c r="BX537" s="89"/>
      <c r="BY537" s="89"/>
      <c r="BZ537" s="89"/>
      <c r="CA537" s="89"/>
      <c r="CB537" s="89"/>
      <c r="CC537" s="89"/>
      <c r="CD537" s="89"/>
      <c r="CE537" s="89"/>
      <c r="CF537" s="89"/>
      <c r="CG537" s="89"/>
      <c r="CH537" s="89"/>
      <c r="CI537" s="89"/>
      <c r="CJ537" s="89"/>
      <c r="CK537" s="89"/>
      <c r="CL537" s="89"/>
      <c r="CM537" s="89"/>
      <c r="CN537" s="89"/>
      <c r="CO537" s="98"/>
      <c r="CP537" s="98"/>
      <c r="CQ537" s="98"/>
      <c r="CR537" s="98"/>
      <c r="CS537" s="98"/>
      <c r="CT537" s="1247"/>
      <c r="CU537" s="1247"/>
      <c r="CV537" s="1247"/>
      <c r="CW537" s="98"/>
      <c r="CX537" s="98"/>
      <c r="CY537" s="1247"/>
      <c r="CZ537" s="1247"/>
      <c r="DA537" s="1247"/>
      <c r="DB537" s="98"/>
      <c r="DC537" s="2925"/>
      <c r="DD537" s="98"/>
      <c r="DE537" s="98"/>
      <c r="DF537" s="98"/>
      <c r="DG537" s="98"/>
      <c r="DH537" s="98"/>
      <c r="DI537" s="98"/>
      <c r="DJ537" s="98"/>
      <c r="DK537" s="98"/>
      <c r="DL537" s="98"/>
      <c r="DM537" s="98"/>
      <c r="DN537" s="98"/>
      <c r="DO537" s="98"/>
      <c r="DP537" s="98"/>
      <c r="DQ537" s="98"/>
      <c r="DR537" s="98"/>
    </row>
    <row r="538" spans="1:122">
      <c r="A538" s="216"/>
      <c r="B538" s="123"/>
      <c r="C538" s="123"/>
      <c r="D538" s="123"/>
      <c r="E538" s="123"/>
      <c r="F538" s="123"/>
      <c r="G538" s="123"/>
      <c r="H538" s="123"/>
      <c r="I538" s="38"/>
      <c r="J538" s="158"/>
      <c r="K538" s="156"/>
      <c r="L538" s="130"/>
      <c r="M538" s="130"/>
      <c r="N538" s="130"/>
      <c r="O538" s="919"/>
      <c r="P538" s="130"/>
      <c r="Q538" s="130"/>
      <c r="R538" s="130"/>
      <c r="S538" s="130"/>
      <c r="T538" s="130"/>
      <c r="U538" s="130"/>
      <c r="V538" s="130"/>
      <c r="W538" s="130"/>
      <c r="X538" s="130"/>
      <c r="Y538" s="130"/>
      <c r="Z538" s="1482"/>
      <c r="AA538" s="1482"/>
      <c r="AB538" s="1482"/>
      <c r="AC538" s="1482"/>
      <c r="AD538" s="119"/>
      <c r="AE538" s="119"/>
      <c r="AF538" s="119"/>
      <c r="AG538" s="119"/>
      <c r="AH538" s="119"/>
      <c r="AI538" s="119"/>
      <c r="AJ538" s="119"/>
      <c r="AK538" s="119"/>
      <c r="AL538" s="1482"/>
      <c r="AM538" s="1482"/>
      <c r="AN538" s="119"/>
      <c r="AO538" s="119"/>
      <c r="AP538" s="119"/>
      <c r="AQ538" s="119"/>
      <c r="AR538" s="119"/>
      <c r="AS538" s="119"/>
      <c r="AT538" s="119"/>
      <c r="AU538" s="11"/>
      <c r="AV538" s="6"/>
      <c r="AW538" s="89"/>
      <c r="AX538" s="89"/>
      <c r="AY538" s="89"/>
      <c r="AZ538" s="89"/>
      <c r="BA538" s="89"/>
      <c r="BB538" s="89"/>
      <c r="BC538" s="89"/>
      <c r="BD538" s="89"/>
      <c r="BE538" s="89"/>
      <c r="BF538" s="89"/>
      <c r="BG538" s="89"/>
      <c r="BH538" s="98"/>
      <c r="BI538" s="89"/>
      <c r="BJ538" s="89"/>
      <c r="BK538" s="89"/>
      <c r="BL538" s="89"/>
      <c r="BM538" s="89"/>
      <c r="BN538" s="89"/>
      <c r="BO538" s="89"/>
      <c r="BP538" s="89"/>
      <c r="BQ538" s="89"/>
      <c r="BR538" s="89"/>
      <c r="BS538" s="89"/>
      <c r="BT538" s="89"/>
      <c r="BU538" s="89"/>
      <c r="BV538" s="89"/>
      <c r="BW538" s="89"/>
      <c r="BX538" s="89"/>
      <c r="BY538" s="89"/>
      <c r="BZ538" s="89"/>
      <c r="CA538" s="89"/>
      <c r="CB538" s="89"/>
      <c r="CC538" s="89"/>
      <c r="CD538" s="89"/>
      <c r="CE538" s="89"/>
      <c r="CF538" s="89"/>
      <c r="CG538" s="89"/>
      <c r="CH538" s="89"/>
      <c r="CI538" s="89"/>
      <c r="CJ538" s="89"/>
      <c r="CK538" s="89"/>
      <c r="CL538" s="89"/>
      <c r="CM538" s="89"/>
      <c r="CN538" s="89"/>
      <c r="CO538" s="98"/>
      <c r="CP538" s="98"/>
      <c r="CQ538" s="98"/>
      <c r="CR538" s="98"/>
      <c r="CS538" s="98"/>
      <c r="CT538" s="1247"/>
      <c r="CU538" s="1247"/>
      <c r="CV538" s="1247"/>
      <c r="CW538" s="98"/>
      <c r="CX538" s="98"/>
      <c r="CY538" s="1247"/>
      <c r="CZ538" s="1247"/>
      <c r="DA538" s="1247"/>
      <c r="DB538" s="98"/>
      <c r="DC538" s="2925"/>
      <c r="DD538" s="98"/>
      <c r="DE538" s="98"/>
      <c r="DF538" s="98"/>
      <c r="DG538" s="98"/>
      <c r="DH538" s="98"/>
      <c r="DI538" s="98"/>
      <c r="DJ538" s="98"/>
      <c r="DK538" s="98"/>
      <c r="DL538" s="98"/>
      <c r="DM538" s="98"/>
      <c r="DN538" s="98"/>
      <c r="DO538" s="98"/>
      <c r="DP538" s="98"/>
      <c r="DQ538" s="98"/>
      <c r="DR538" s="98"/>
    </row>
    <row r="539" spans="1:122">
      <c r="A539" s="216" t="s">
        <v>1039</v>
      </c>
      <c r="B539" s="122"/>
      <c r="C539" s="123"/>
      <c r="D539" s="123"/>
      <c r="E539" s="123"/>
      <c r="F539" s="123"/>
      <c r="G539" s="123"/>
      <c r="H539" s="123"/>
      <c r="I539" s="38"/>
      <c r="J539" s="158"/>
      <c r="K539" s="156"/>
      <c r="L539" s="130"/>
      <c r="M539" s="119"/>
      <c r="N539" s="130"/>
      <c r="O539" s="919"/>
      <c r="P539" s="130"/>
      <c r="Q539" s="130"/>
      <c r="R539" s="130"/>
      <c r="S539" s="130"/>
      <c r="T539" s="130"/>
      <c r="U539" s="130"/>
      <c r="V539" s="130"/>
      <c r="W539" s="130"/>
      <c r="X539" s="130"/>
      <c r="Y539" s="130"/>
      <c r="Z539" s="1482"/>
      <c r="AA539" s="1482"/>
      <c r="AB539" s="1482"/>
      <c r="AC539" s="1482"/>
      <c r="AD539" s="1482"/>
      <c r="AE539" s="1482"/>
      <c r="AF539" s="1482"/>
      <c r="AG539" s="1482"/>
      <c r="AH539" s="1482"/>
      <c r="AI539" s="1482"/>
      <c r="AJ539" s="1482"/>
      <c r="AK539" s="1482"/>
      <c r="AL539" s="1482"/>
      <c r="AM539" s="1482"/>
      <c r="AN539" s="1482"/>
      <c r="AO539" s="1482"/>
      <c r="AP539" s="130"/>
      <c r="AQ539" s="119"/>
      <c r="AR539" s="119"/>
      <c r="AS539" s="119"/>
      <c r="AT539" s="119"/>
      <c r="AU539" s="11"/>
      <c r="AV539" s="6"/>
      <c r="AW539" s="89"/>
      <c r="AX539" s="89"/>
      <c r="AY539" s="89"/>
      <c r="AZ539" s="89"/>
      <c r="BA539" s="89"/>
      <c r="BB539" s="89"/>
      <c r="BC539" s="89"/>
      <c r="BD539" s="89"/>
      <c r="BE539" s="89"/>
      <c r="BF539" s="89"/>
      <c r="BG539" s="89"/>
      <c r="BH539" s="98"/>
      <c r="BI539" s="89"/>
      <c r="BJ539" s="89"/>
      <c r="BK539" s="89"/>
      <c r="BL539" s="89"/>
      <c r="BM539" s="89"/>
      <c r="BN539" s="89"/>
      <c r="BO539" s="89"/>
      <c r="BP539" s="89"/>
      <c r="BQ539" s="89"/>
      <c r="BR539" s="89"/>
      <c r="BS539" s="89"/>
      <c r="BT539" s="89"/>
      <c r="BU539" s="89"/>
      <c r="BV539" s="89"/>
      <c r="BW539" s="89"/>
      <c r="BX539" s="89"/>
      <c r="BY539" s="89"/>
      <c r="BZ539" s="89"/>
      <c r="CA539" s="89"/>
      <c r="CB539" s="89"/>
      <c r="CC539" s="89"/>
      <c r="CD539" s="89"/>
      <c r="CE539" s="89"/>
      <c r="CF539" s="89"/>
      <c r="CG539" s="89"/>
      <c r="CH539" s="89"/>
      <c r="CI539" s="89"/>
      <c r="CJ539" s="89"/>
      <c r="CK539" s="89"/>
      <c r="CL539" s="89"/>
      <c r="CM539" s="89"/>
      <c r="CN539" s="89"/>
      <c r="CO539" s="98"/>
      <c r="CP539" s="98"/>
      <c r="CQ539" s="98"/>
      <c r="CR539" s="98"/>
      <c r="CS539" s="98"/>
      <c r="CT539" s="1247"/>
      <c r="CU539" s="1247"/>
      <c r="CV539" s="1247"/>
      <c r="CW539" s="98"/>
      <c r="CX539" s="98"/>
      <c r="CY539" s="1247"/>
      <c r="CZ539" s="1247"/>
      <c r="DA539" s="1247"/>
      <c r="DB539" s="98"/>
      <c r="DC539" s="2925"/>
      <c r="DD539" s="98"/>
      <c r="DE539" s="98"/>
      <c r="DF539" s="98"/>
      <c r="DG539" s="98"/>
      <c r="DH539" s="98"/>
      <c r="DI539" s="98"/>
      <c r="DJ539" s="98"/>
      <c r="DK539" s="98"/>
      <c r="DL539" s="98"/>
      <c r="DM539" s="98"/>
      <c r="DN539" s="98"/>
      <c r="DO539" s="98"/>
      <c r="DP539" s="98"/>
      <c r="DQ539" s="98"/>
      <c r="DR539" s="98"/>
    </row>
    <row r="540" spans="1:122">
      <c r="A540" s="216" t="s">
        <v>947</v>
      </c>
      <c r="B540" s="122">
        <v>845</v>
      </c>
      <c r="C540" s="122">
        <v>681.8</v>
      </c>
      <c r="D540" s="165">
        <v>0</v>
      </c>
      <c r="E540" s="165">
        <v>0</v>
      </c>
      <c r="F540" s="165">
        <v>0</v>
      </c>
      <c r="G540" s="165">
        <v>0</v>
      </c>
      <c r="H540" s="123"/>
      <c r="I540" s="842">
        <f>B540-D540+F540</f>
        <v>845</v>
      </c>
      <c r="J540" s="844">
        <v>681.8</v>
      </c>
      <c r="K540" s="844">
        <v>682.2</v>
      </c>
      <c r="L540" s="844">
        <v>503.3</v>
      </c>
      <c r="M540" s="844">
        <v>717.4</v>
      </c>
      <c r="N540" s="844">
        <v>551.4</v>
      </c>
      <c r="O540" s="919"/>
      <c r="P540" s="130"/>
      <c r="Q540" s="130"/>
      <c r="R540" s="844">
        <v>547.9</v>
      </c>
      <c r="S540" s="130"/>
      <c r="T540" s="130"/>
      <c r="U540" s="130"/>
      <c r="V540" s="130"/>
      <c r="W540" s="130"/>
      <c r="X540" s="130"/>
      <c r="Y540" s="130"/>
      <c r="Z540" s="1482"/>
      <c r="AA540" s="1482"/>
      <c r="AB540" s="1482"/>
      <c r="AC540" s="1482"/>
      <c r="AD540" s="1482"/>
      <c r="AE540" s="1482"/>
      <c r="AF540" s="1482"/>
      <c r="AG540" s="1482"/>
      <c r="AH540" s="1482"/>
      <c r="AI540" s="1482"/>
      <c r="AJ540" s="1482"/>
      <c r="AK540" s="1482"/>
      <c r="AL540" s="1482"/>
      <c r="AM540" s="1482"/>
      <c r="AN540" s="1482"/>
      <c r="AO540" s="1482"/>
      <c r="AP540" s="130"/>
      <c r="AQ540" s="119"/>
      <c r="AR540" s="119"/>
      <c r="AS540" s="119"/>
      <c r="AT540" s="119"/>
      <c r="AU540" s="11"/>
      <c r="AV540" s="6"/>
      <c r="AW540" s="89"/>
      <c r="AX540" s="89"/>
      <c r="AY540" s="89"/>
      <c r="AZ540" s="89"/>
      <c r="BA540" s="89"/>
      <c r="BB540" s="89"/>
      <c r="BC540" s="89"/>
      <c r="BD540" s="89"/>
      <c r="BE540" s="89"/>
      <c r="BF540" s="89"/>
      <c r="BG540" s="89"/>
      <c r="BH540" s="98"/>
      <c r="BI540" s="89"/>
      <c r="BJ540" s="89"/>
      <c r="BK540" s="89"/>
      <c r="BL540" s="89"/>
      <c r="BM540" s="89"/>
      <c r="BN540" s="89"/>
      <c r="BO540" s="89"/>
      <c r="BP540" s="89"/>
      <c r="BQ540" s="89"/>
      <c r="BR540" s="89"/>
      <c r="BS540" s="89"/>
      <c r="BT540" s="89"/>
      <c r="BU540" s="89"/>
      <c r="BV540" s="89"/>
      <c r="BW540" s="89"/>
      <c r="BX540" s="89"/>
      <c r="BY540" s="89"/>
      <c r="BZ540" s="89"/>
      <c r="CA540" s="89"/>
      <c r="CB540" s="89"/>
      <c r="CC540" s="89"/>
      <c r="CD540" s="89"/>
      <c r="CE540" s="89"/>
      <c r="CF540" s="89"/>
      <c r="CG540" s="89"/>
      <c r="CH540" s="89"/>
      <c r="CI540" s="89"/>
      <c r="CJ540" s="89"/>
      <c r="CK540" s="89"/>
      <c r="CL540" s="89"/>
      <c r="CM540" s="89"/>
      <c r="CN540" s="89"/>
      <c r="CO540" s="98"/>
      <c r="CP540" s="98"/>
      <c r="CQ540" s="98"/>
      <c r="CR540" s="98"/>
      <c r="CS540" s="98"/>
      <c r="CT540" s="1247"/>
      <c r="CU540" s="1247"/>
      <c r="CV540" s="1247"/>
      <c r="CW540" s="98"/>
      <c r="CX540" s="98"/>
      <c r="CY540" s="1247"/>
      <c r="CZ540" s="1247"/>
      <c r="DA540" s="1247"/>
      <c r="DB540" s="98"/>
      <c r="DC540" s="2925"/>
      <c r="DD540" s="98"/>
      <c r="DE540" s="98"/>
      <c r="DF540" s="98"/>
      <c r="DG540" s="98"/>
      <c r="DH540" s="98"/>
      <c r="DI540" s="98"/>
      <c r="DJ540" s="98"/>
      <c r="DK540" s="98"/>
      <c r="DL540" s="98"/>
      <c r="DM540" s="98"/>
      <c r="DN540" s="98"/>
      <c r="DO540" s="98"/>
      <c r="DP540" s="98"/>
      <c r="DQ540" s="98"/>
      <c r="DR540" s="98"/>
    </row>
    <row r="541" spans="1:122">
      <c r="A541" s="218" t="s">
        <v>1040</v>
      </c>
      <c r="B541" s="219">
        <v>76.900000000000006</v>
      </c>
      <c r="C541" s="219">
        <v>98.4</v>
      </c>
      <c r="D541" s="168">
        <v>0</v>
      </c>
      <c r="E541" s="168">
        <v>0</v>
      </c>
      <c r="F541" s="168">
        <v>0</v>
      </c>
      <c r="G541" s="168">
        <v>0</v>
      </c>
      <c r="H541" s="123"/>
      <c r="I541" s="845">
        <f>B541-D541+F541</f>
        <v>76.900000000000006</v>
      </c>
      <c r="J541" s="846">
        <v>98.4</v>
      </c>
      <c r="K541" s="847">
        <v>48.9</v>
      </c>
      <c r="L541" s="847">
        <v>40.1</v>
      </c>
      <c r="M541" s="847">
        <v>31.2</v>
      </c>
      <c r="N541" s="847">
        <v>53.6</v>
      </c>
      <c r="O541" s="919"/>
      <c r="P541" s="130"/>
      <c r="Q541" s="130"/>
      <c r="R541" s="847">
        <v>134.80000000000001</v>
      </c>
      <c r="S541" s="130"/>
      <c r="T541" s="130"/>
      <c r="U541" s="130"/>
      <c r="V541" s="130"/>
      <c r="W541" s="130"/>
      <c r="X541" s="130"/>
      <c r="Y541" s="130"/>
      <c r="Z541" s="1482"/>
      <c r="AA541" s="1482"/>
      <c r="AB541" s="1482"/>
      <c r="AC541" s="1482"/>
      <c r="AD541" s="1482"/>
      <c r="AE541" s="1482"/>
      <c r="AF541" s="1482"/>
      <c r="AG541" s="1482"/>
      <c r="AH541" s="1482"/>
      <c r="AI541" s="1482"/>
      <c r="AJ541" s="1482"/>
      <c r="AK541" s="1482"/>
      <c r="AL541" s="1482"/>
      <c r="AM541" s="1482"/>
      <c r="AN541" s="1482"/>
      <c r="AO541" s="119"/>
      <c r="AP541" s="119"/>
      <c r="AQ541" s="119"/>
      <c r="AR541" s="119"/>
      <c r="AS541" s="119"/>
      <c r="AT541" s="119"/>
      <c r="AU541" s="11"/>
      <c r="AV541" s="6"/>
      <c r="AW541" s="89"/>
      <c r="AX541" s="89"/>
      <c r="AY541" s="89"/>
      <c r="AZ541" s="89"/>
      <c r="BA541" s="89"/>
      <c r="BB541" s="89"/>
      <c r="BC541" s="89"/>
      <c r="BD541" s="89"/>
      <c r="BE541" s="89"/>
      <c r="BF541" s="89"/>
      <c r="BG541" s="89"/>
      <c r="BH541" s="98"/>
      <c r="BI541" s="89"/>
      <c r="BJ541" s="89"/>
      <c r="BK541" s="89"/>
      <c r="BL541" s="89"/>
      <c r="BM541" s="89"/>
      <c r="BN541" s="89"/>
      <c r="BO541" s="89"/>
      <c r="BP541" s="89"/>
      <c r="BQ541" s="89"/>
      <c r="BR541" s="89"/>
      <c r="BS541" s="89"/>
      <c r="BT541" s="89"/>
      <c r="BU541" s="89"/>
      <c r="BV541" s="89"/>
      <c r="BW541" s="89"/>
      <c r="BX541" s="89"/>
      <c r="BY541" s="89"/>
      <c r="BZ541" s="89"/>
      <c r="CA541" s="89"/>
      <c r="CB541" s="89"/>
      <c r="CC541" s="89"/>
      <c r="CD541" s="89"/>
      <c r="CE541" s="89"/>
      <c r="CF541" s="89"/>
      <c r="CG541" s="89"/>
      <c r="CH541" s="89"/>
      <c r="CI541" s="89"/>
      <c r="CJ541" s="89"/>
      <c r="CK541" s="89"/>
      <c r="CL541" s="89"/>
      <c r="CM541" s="89"/>
      <c r="CN541" s="89"/>
      <c r="CO541" s="98"/>
      <c r="CP541" s="98"/>
      <c r="CQ541" s="98"/>
      <c r="CR541" s="98"/>
      <c r="CS541" s="98"/>
      <c r="CT541" s="1247"/>
      <c r="CU541" s="1247"/>
      <c r="CV541" s="1247"/>
      <c r="CW541" s="98"/>
      <c r="CX541" s="98"/>
      <c r="CY541" s="1247"/>
      <c r="CZ541" s="1247"/>
      <c r="DA541" s="1247"/>
      <c r="DB541" s="98"/>
      <c r="DC541" s="2925"/>
      <c r="DD541" s="98"/>
      <c r="DE541" s="98"/>
      <c r="DF541" s="98"/>
      <c r="DG541" s="98"/>
      <c r="DH541" s="98"/>
      <c r="DI541" s="98"/>
      <c r="DJ541" s="98"/>
      <c r="DK541" s="98"/>
      <c r="DL541" s="98"/>
      <c r="DM541" s="98"/>
      <c r="DN541" s="98"/>
      <c r="DO541" s="98"/>
      <c r="DP541" s="98"/>
      <c r="DQ541" s="98"/>
      <c r="DR541" s="98"/>
    </row>
    <row r="542" spans="1:122">
      <c r="A542" s="216" t="s">
        <v>1041</v>
      </c>
      <c r="B542" s="13">
        <f t="shared" ref="B542:G542" si="832">B540+B541</f>
        <v>921.9</v>
      </c>
      <c r="C542" s="13">
        <f t="shared" si="832"/>
        <v>780.19999999999993</v>
      </c>
      <c r="D542" s="13">
        <f t="shared" si="832"/>
        <v>0</v>
      </c>
      <c r="E542" s="13">
        <f t="shared" si="832"/>
        <v>0</v>
      </c>
      <c r="F542" s="13">
        <f t="shared" si="832"/>
        <v>0</v>
      </c>
      <c r="G542" s="13">
        <f t="shared" si="832"/>
        <v>0</v>
      </c>
      <c r="H542" s="123"/>
      <c r="I542" s="842">
        <f t="shared" ref="I542:N542" si="833">I540+I541</f>
        <v>921.9</v>
      </c>
      <c r="J542" s="842">
        <f t="shared" si="833"/>
        <v>780.19999999999993</v>
      </c>
      <c r="K542" s="842">
        <f t="shared" si="833"/>
        <v>731.1</v>
      </c>
      <c r="L542" s="842">
        <f t="shared" si="833"/>
        <v>543.4</v>
      </c>
      <c r="M542" s="842">
        <f t="shared" si="833"/>
        <v>748.6</v>
      </c>
      <c r="N542" s="842">
        <f t="shared" si="833"/>
        <v>605</v>
      </c>
      <c r="O542" s="919"/>
      <c r="P542" s="842"/>
      <c r="Q542" s="842"/>
      <c r="R542" s="842">
        <f t="shared" ref="R542:W542" si="834">R543*R557</f>
        <v>635.64449503683579</v>
      </c>
      <c r="S542" s="842">
        <f t="shared" si="834"/>
        <v>694.50799294479702</v>
      </c>
      <c r="T542" s="842">
        <f t="shared" si="834"/>
        <v>641.698063678587</v>
      </c>
      <c r="U542" s="842">
        <f t="shared" si="834"/>
        <v>672.32999541281447</v>
      </c>
      <c r="V542" s="842">
        <f t="shared" si="834"/>
        <v>743.45452949265893</v>
      </c>
      <c r="W542" s="842">
        <f t="shared" si="834"/>
        <v>730.654759945921</v>
      </c>
      <c r="X542" s="842"/>
      <c r="Y542" s="842"/>
      <c r="Z542" s="2183">
        <f>Z543*Z557</f>
        <v>749.44302188975371</v>
      </c>
      <c r="AA542" s="2183">
        <f>AA543*AA557</f>
        <v>783.20378028099879</v>
      </c>
      <c r="AB542" s="1559"/>
      <c r="AC542" s="1559">
        <f t="shared" ref="AC542:AH542" si="835">AC543*AC557</f>
        <v>804.86468819162769</v>
      </c>
      <c r="AD542" s="842">
        <f t="shared" si="835"/>
        <v>860.40687483307772</v>
      </c>
      <c r="AE542" s="842">
        <f t="shared" si="835"/>
        <v>930.26356264978335</v>
      </c>
      <c r="AF542" s="842">
        <f t="shared" si="835"/>
        <v>966.12486318389108</v>
      </c>
      <c r="AG542" s="842">
        <f t="shared" si="835"/>
        <v>1010.8725638362987</v>
      </c>
      <c r="AH542" s="842">
        <f t="shared" si="835"/>
        <v>1082.9648045689632</v>
      </c>
      <c r="AI542" s="842">
        <f>AI543*AI557</f>
        <v>1077.2582984965813</v>
      </c>
      <c r="AJ542" s="842">
        <f>AJ543*AJ557</f>
        <v>1112.7378230965762</v>
      </c>
      <c r="AK542" s="842">
        <f>AK543*AK557</f>
        <v>1176.7982066034599</v>
      </c>
      <c r="AL542" s="1559">
        <f>AL543*AL557</f>
        <v>1165.9034408475336</v>
      </c>
      <c r="AM542" s="1559">
        <f>AM543*AM557</f>
        <v>1191.2440865461153</v>
      </c>
      <c r="AN542" s="1559">
        <f t="shared" ref="AN542" si="836">AN543*AN557</f>
        <v>1272.928270264154</v>
      </c>
      <c r="AO542" s="119"/>
      <c r="AP542" s="842"/>
      <c r="AQ542" s="842"/>
      <c r="AR542" s="842"/>
      <c r="AS542" s="842"/>
      <c r="AT542" s="111"/>
      <c r="AU542" s="11"/>
      <c r="AV542" s="6"/>
      <c r="AW542" s="89"/>
      <c r="AX542" s="89"/>
      <c r="AY542" s="89"/>
      <c r="AZ542" s="89"/>
      <c r="BA542" s="89"/>
      <c r="BB542" s="89"/>
      <c r="BC542" s="89"/>
      <c r="BD542" s="89"/>
      <c r="BE542" s="89"/>
      <c r="BF542" s="89"/>
      <c r="BG542" s="89"/>
      <c r="BH542" s="98"/>
      <c r="BI542" s="89"/>
      <c r="BJ542" s="89"/>
      <c r="BK542" s="89"/>
      <c r="BL542" s="89"/>
      <c r="BM542" s="89"/>
      <c r="BN542" s="89"/>
      <c r="BO542" s="89"/>
      <c r="BP542" s="89"/>
      <c r="BQ542" s="89"/>
      <c r="BR542" s="89"/>
      <c r="BS542" s="89"/>
      <c r="BT542" s="89"/>
      <c r="BU542" s="89"/>
      <c r="BV542" s="89"/>
      <c r="BW542" s="89"/>
      <c r="BX542" s="89"/>
      <c r="BY542" s="89"/>
      <c r="BZ542" s="89"/>
      <c r="CA542" s="89"/>
      <c r="CB542" s="89"/>
      <c r="CC542" s="89"/>
      <c r="CD542" s="89"/>
      <c r="CE542" s="89"/>
      <c r="CF542" s="89"/>
      <c r="CG542" s="89"/>
      <c r="CH542" s="89"/>
      <c r="CI542" s="89"/>
      <c r="CJ542" s="89"/>
      <c r="CK542" s="89"/>
      <c r="CL542" s="89"/>
      <c r="CM542" s="89"/>
      <c r="CN542" s="89"/>
      <c r="CO542" s="98"/>
      <c r="CP542" s="98"/>
      <c r="CQ542" s="98"/>
      <c r="CR542" s="98"/>
      <c r="CS542" s="98"/>
      <c r="CT542" s="1247"/>
      <c r="CU542" s="1247"/>
      <c r="CV542" s="1247"/>
      <c r="CW542" s="98"/>
      <c r="CX542" s="98"/>
      <c r="CY542" s="1247"/>
      <c r="CZ542" s="1247"/>
      <c r="DA542" s="1247"/>
      <c r="DB542" s="98"/>
      <c r="DC542" s="2925"/>
      <c r="DD542" s="98"/>
      <c r="DE542" s="98"/>
      <c r="DF542" s="98"/>
      <c r="DG542" s="98"/>
      <c r="DH542" s="98"/>
      <c r="DI542" s="98"/>
      <c r="DJ542" s="98"/>
      <c r="DK542" s="98"/>
      <c r="DL542" s="98"/>
      <c r="DM542" s="98"/>
      <c r="DN542" s="98"/>
      <c r="DO542" s="98"/>
      <c r="DP542" s="98"/>
      <c r="DQ542" s="98"/>
      <c r="DR542" s="98"/>
    </row>
    <row r="543" spans="1:122">
      <c r="A543" s="216" t="s">
        <v>1319</v>
      </c>
      <c r="B543" s="13"/>
      <c r="C543" s="13"/>
      <c r="D543" s="13"/>
      <c r="E543" s="13"/>
      <c r="F543" s="13"/>
      <c r="G543" s="13"/>
      <c r="H543" s="123"/>
      <c r="I543" s="38">
        <f t="shared" ref="I543:N543" si="837">I542/I557</f>
        <v>0.1062035597027821</v>
      </c>
      <c r="J543" s="38">
        <f t="shared" si="837"/>
        <v>8.2573953537598554E-2</v>
      </c>
      <c r="K543" s="38">
        <f t="shared" si="837"/>
        <v>7.8400463260841588E-2</v>
      </c>
      <c r="L543" s="38">
        <f t="shared" si="837"/>
        <v>5.7277777192187282E-2</v>
      </c>
      <c r="M543" s="38">
        <f t="shared" si="837"/>
        <v>8.2195089815099473E-2</v>
      </c>
      <c r="N543" s="38">
        <f t="shared" si="837"/>
        <v>6.6258376345606329E-2</v>
      </c>
      <c r="O543" s="919"/>
      <c r="P543" s="130"/>
      <c r="Q543" s="130"/>
      <c r="R543" s="130">
        <f>N543+0.005</f>
        <v>7.1258376345606333E-2</v>
      </c>
      <c r="S543" s="130">
        <f>R543</f>
        <v>7.1258376345606333E-2</v>
      </c>
      <c r="T543" s="130">
        <v>6.5000000000000002E-2</v>
      </c>
      <c r="U543" s="130">
        <f>T543</f>
        <v>6.5000000000000002E-2</v>
      </c>
      <c r="V543" s="130">
        <f>U543</f>
        <v>6.5000000000000002E-2</v>
      </c>
      <c r="W543" s="130">
        <f>V543</f>
        <v>6.5000000000000002E-2</v>
      </c>
      <c r="X543" s="130"/>
      <c r="Y543" s="130"/>
      <c r="Z543" s="1482">
        <f>W543</f>
        <v>6.5000000000000002E-2</v>
      </c>
      <c r="AA543" s="1482">
        <f>Z543</f>
        <v>6.5000000000000002E-2</v>
      </c>
      <c r="AB543" s="1482"/>
      <c r="AC543" s="1482">
        <f>AA543</f>
        <v>6.5000000000000002E-2</v>
      </c>
      <c r="AD543" s="119">
        <f t="shared" ref="AD543:AH543" si="838">AC543</f>
        <v>6.5000000000000002E-2</v>
      </c>
      <c r="AE543" s="119">
        <f t="shared" si="838"/>
        <v>6.5000000000000002E-2</v>
      </c>
      <c r="AF543" s="119">
        <f t="shared" si="838"/>
        <v>6.5000000000000002E-2</v>
      </c>
      <c r="AG543" s="119">
        <f t="shared" si="838"/>
        <v>6.5000000000000002E-2</v>
      </c>
      <c r="AH543" s="119">
        <f t="shared" si="838"/>
        <v>6.5000000000000002E-2</v>
      </c>
      <c r="AI543" s="119">
        <f>AH543</f>
        <v>6.5000000000000002E-2</v>
      </c>
      <c r="AJ543" s="119">
        <f>AI543</f>
        <v>6.5000000000000002E-2</v>
      </c>
      <c r="AK543" s="119">
        <f>AJ543</f>
        <v>6.5000000000000002E-2</v>
      </c>
      <c r="AL543" s="1482">
        <f>AK543</f>
        <v>6.5000000000000002E-2</v>
      </c>
      <c r="AM543" s="1482">
        <f>AL543</f>
        <v>6.5000000000000002E-2</v>
      </c>
      <c r="AN543" s="1482">
        <f t="shared" ref="AN543" si="839">AM543</f>
        <v>6.5000000000000002E-2</v>
      </c>
      <c r="AO543" s="119"/>
      <c r="AP543" s="119"/>
      <c r="AQ543" s="119"/>
      <c r="AR543" s="119"/>
      <c r="AS543" s="119"/>
      <c r="AT543" s="119"/>
      <c r="AU543" s="11"/>
      <c r="AV543" s="6"/>
      <c r="AW543" s="89"/>
      <c r="AX543" s="89"/>
      <c r="AY543" s="89"/>
      <c r="AZ543" s="89"/>
      <c r="BA543" s="89"/>
      <c r="BB543" s="89"/>
      <c r="BC543" s="89"/>
      <c r="BD543" s="89"/>
      <c r="BE543" s="89"/>
      <c r="BF543" s="89"/>
      <c r="BG543" s="89"/>
      <c r="BH543" s="98"/>
      <c r="BI543" s="89"/>
      <c r="BJ543" s="89"/>
      <c r="BK543" s="89"/>
      <c r="BL543" s="89"/>
      <c r="BM543" s="89"/>
      <c r="BN543" s="89"/>
      <c r="BO543" s="89"/>
      <c r="BP543" s="89"/>
      <c r="BQ543" s="89"/>
      <c r="BR543" s="89"/>
      <c r="BS543" s="89"/>
      <c r="BT543" s="89"/>
      <c r="BU543" s="89"/>
      <c r="BV543" s="89"/>
      <c r="BW543" s="89"/>
      <c r="BX543" s="89"/>
      <c r="BY543" s="89"/>
      <c r="BZ543" s="89"/>
      <c r="CA543" s="89"/>
      <c r="CB543" s="89"/>
      <c r="CC543" s="89"/>
      <c r="CD543" s="89"/>
      <c r="CE543" s="89"/>
      <c r="CF543" s="89"/>
      <c r="CG543" s="89"/>
      <c r="CH543" s="89"/>
      <c r="CI543" s="89"/>
      <c r="CJ543" s="89"/>
      <c r="CK543" s="89"/>
      <c r="CL543" s="89"/>
      <c r="CM543" s="89"/>
      <c r="CN543" s="89"/>
      <c r="CO543" s="98"/>
      <c r="CP543" s="98"/>
      <c r="CQ543" s="98"/>
      <c r="CR543" s="98"/>
      <c r="CS543" s="98"/>
      <c r="CT543" s="1247"/>
      <c r="CU543" s="1247"/>
      <c r="CV543" s="1247"/>
      <c r="CW543" s="98"/>
      <c r="CX543" s="98"/>
      <c r="CY543" s="1247"/>
      <c r="CZ543" s="1247"/>
      <c r="DA543" s="1247"/>
      <c r="DB543" s="98"/>
      <c r="DC543" s="2925"/>
      <c r="DD543" s="98"/>
      <c r="DE543" s="98"/>
      <c r="DF543" s="98"/>
      <c r="DG543" s="98"/>
      <c r="DH543" s="98"/>
      <c r="DI543" s="98"/>
      <c r="DJ543" s="98"/>
      <c r="DK543" s="98"/>
      <c r="DL543" s="98"/>
      <c r="DM543" s="98"/>
      <c r="DN543" s="98"/>
      <c r="DO543" s="98"/>
      <c r="DP543" s="98"/>
      <c r="DQ543" s="98"/>
      <c r="DR543" s="98"/>
    </row>
    <row r="544" spans="1:122">
      <c r="A544" s="223"/>
      <c r="B544" s="123"/>
      <c r="C544" s="123"/>
      <c r="D544" s="123"/>
      <c r="E544" s="123"/>
      <c r="F544" s="123"/>
      <c r="G544" s="123"/>
      <c r="H544" s="123"/>
      <c r="I544" s="122"/>
      <c r="J544" s="217"/>
      <c r="K544" s="217"/>
      <c r="L544" s="123"/>
      <c r="M544" s="123"/>
      <c r="N544" s="123"/>
      <c r="O544" s="919"/>
      <c r="P544" s="123"/>
      <c r="Q544" s="123"/>
      <c r="R544" s="123"/>
      <c r="S544" s="123"/>
      <c r="T544" s="123"/>
      <c r="U544" s="123"/>
      <c r="V544" s="123"/>
      <c r="W544" s="123"/>
      <c r="X544" s="123"/>
      <c r="Y544" s="123"/>
      <c r="Z544" s="123"/>
      <c r="AA544" s="123"/>
      <c r="AB544" s="123"/>
      <c r="AC544" s="123"/>
      <c r="AD544" s="123"/>
      <c r="AE544" s="123"/>
      <c r="AF544" s="123"/>
      <c r="AG544" s="123"/>
      <c r="AH544" s="123"/>
      <c r="AI544" s="123"/>
      <c r="AJ544" s="123"/>
      <c r="AK544" s="123"/>
      <c r="AL544" s="123"/>
      <c r="AM544" s="123"/>
      <c r="AN544" s="123"/>
      <c r="AO544" s="119"/>
      <c r="AP544" s="123"/>
      <c r="AQ544" s="123"/>
      <c r="AR544" s="123"/>
      <c r="AS544" s="123"/>
      <c r="AT544" s="123"/>
      <c r="AU544" s="11"/>
      <c r="AV544" s="6"/>
      <c r="AW544" s="89"/>
      <c r="AX544" s="89"/>
      <c r="AY544" s="89"/>
      <c r="AZ544" s="89"/>
      <c r="BA544" s="89"/>
      <c r="BB544" s="89"/>
      <c r="BC544" s="89"/>
      <c r="BD544" s="89"/>
      <c r="BE544" s="89"/>
      <c r="BF544" s="89"/>
      <c r="BG544" s="89"/>
      <c r="BH544" s="98"/>
      <c r="BI544" s="89"/>
      <c r="BJ544" s="89"/>
      <c r="BK544" s="89"/>
      <c r="BL544" s="89"/>
      <c r="BM544" s="89"/>
      <c r="BN544" s="89"/>
      <c r="BO544" s="89"/>
      <c r="BP544" s="89"/>
      <c r="BQ544" s="89"/>
      <c r="BR544" s="89"/>
      <c r="BS544" s="89"/>
      <c r="BT544" s="89"/>
      <c r="BU544" s="89"/>
      <c r="BV544" s="89"/>
      <c r="BW544" s="89"/>
      <c r="BX544" s="89"/>
      <c r="BY544" s="89"/>
      <c r="BZ544" s="89"/>
      <c r="CA544" s="89"/>
      <c r="CB544" s="89"/>
      <c r="CC544" s="89"/>
      <c r="CD544" s="89"/>
      <c r="CE544" s="89"/>
      <c r="CF544" s="89"/>
      <c r="CG544" s="89"/>
      <c r="CH544" s="89"/>
      <c r="CI544" s="89"/>
      <c r="CJ544" s="89"/>
      <c r="CK544" s="89"/>
      <c r="CL544" s="89"/>
      <c r="CM544" s="89"/>
      <c r="CN544" s="89"/>
      <c r="CO544" s="98"/>
      <c r="CP544" s="98"/>
      <c r="CQ544" s="98"/>
      <c r="CR544" s="98"/>
      <c r="CS544" s="98"/>
      <c r="CT544" s="1247"/>
      <c r="CU544" s="1247"/>
      <c r="CV544" s="1247"/>
      <c r="CW544" s="98"/>
      <c r="CX544" s="98"/>
      <c r="CY544" s="1247"/>
      <c r="CZ544" s="1247"/>
      <c r="DA544" s="1247"/>
      <c r="DB544" s="98"/>
      <c r="DC544" s="2925"/>
      <c r="DD544" s="98"/>
      <c r="DE544" s="98"/>
      <c r="DF544" s="98"/>
      <c r="DG544" s="98"/>
      <c r="DH544" s="98"/>
      <c r="DI544" s="98"/>
      <c r="DJ544" s="98"/>
      <c r="DK544" s="98"/>
      <c r="DL544" s="98"/>
      <c r="DM544" s="98"/>
      <c r="DN544" s="98"/>
      <c r="DO544" s="98"/>
      <c r="DP544" s="98"/>
      <c r="DQ544" s="98"/>
      <c r="DR544" s="98"/>
    </row>
    <row r="545" spans="1:122">
      <c r="A545" s="216" t="s">
        <v>896</v>
      </c>
      <c r="B545" s="122">
        <v>3051.8</v>
      </c>
      <c r="C545" s="122">
        <v>3377.1</v>
      </c>
      <c r="D545" s="122">
        <v>1546.8</v>
      </c>
      <c r="E545" s="217">
        <v>1915.4</v>
      </c>
      <c r="F545" s="128">
        <f>F188+F199</f>
        <v>1</v>
      </c>
      <c r="G545" s="128">
        <f>G188+G199</f>
        <v>1</v>
      </c>
      <c r="H545" s="123"/>
      <c r="I545" s="842">
        <f>B545-D545+F545</f>
        <v>1506.0000000000002</v>
      </c>
      <c r="J545" s="844">
        <v>1728.1</v>
      </c>
      <c r="K545" s="844">
        <v>2054.4</v>
      </c>
      <c r="L545" s="844">
        <v>2021</v>
      </c>
      <c r="M545" s="844">
        <v>1675.8</v>
      </c>
      <c r="N545" s="844">
        <v>1915.7</v>
      </c>
      <c r="O545" s="919"/>
      <c r="P545" s="842"/>
      <c r="Q545" s="842"/>
      <c r="R545" s="844">
        <v>1737.5</v>
      </c>
      <c r="S545" s="842">
        <f>S546*S557</f>
        <v>1851.8036114030494</v>
      </c>
      <c r="T545" s="842">
        <f>T546*T557</f>
        <v>1777.0100224945484</v>
      </c>
      <c r="U545" s="842">
        <f>U546*U557</f>
        <v>1861.8369103739476</v>
      </c>
      <c r="V545" s="842">
        <f>V546*V557</f>
        <v>2058.7971585950554</v>
      </c>
      <c r="W545" s="842">
        <f>W546*W557</f>
        <v>2183.7921873688297</v>
      </c>
      <c r="X545" s="842"/>
      <c r="Y545" s="842"/>
      <c r="Z545" s="2183">
        <f>Z557*Z546+350</f>
        <v>2647.5962969390289</v>
      </c>
      <c r="AA545" s="2183">
        <f>AA546*AA557</f>
        <v>2702.3301756147757</v>
      </c>
      <c r="AB545" s="2183"/>
      <c r="AC545" s="1559">
        <f t="shared" ref="AC545:AH545" si="840">AC546*AC557</f>
        <v>2987.5710448316709</v>
      </c>
      <c r="AD545" s="1559">
        <f t="shared" si="840"/>
        <v>3339.3449774579235</v>
      </c>
      <c r="AE545" s="1559">
        <f t="shared" si="840"/>
        <v>3593.2932840795243</v>
      </c>
      <c r="AF545" s="1559">
        <f t="shared" si="840"/>
        <v>3954.7652418758075</v>
      </c>
      <c r="AG545" s="1559">
        <f t="shared" si="840"/>
        <v>4274.7934498365375</v>
      </c>
      <c r="AH545" s="842">
        <f t="shared" si="840"/>
        <v>4738.7707478448965</v>
      </c>
      <c r="AI545" s="842">
        <f t="shared" ref="AI545:AN545" si="841">AI546*AI557</f>
        <v>5197.7381438368211</v>
      </c>
      <c r="AJ545" s="842">
        <f t="shared" si="841"/>
        <v>5760.9518529527559</v>
      </c>
      <c r="AK545" s="842">
        <f t="shared" si="841"/>
        <v>6203.9534130988832</v>
      </c>
      <c r="AL545" s="1559">
        <f t="shared" si="841"/>
        <v>6807.4949473965917</v>
      </c>
      <c r="AM545" s="1559">
        <f t="shared" si="841"/>
        <v>7366.7084116974802</v>
      </c>
      <c r="AN545" s="1559">
        <f t="shared" si="841"/>
        <v>8311.3011797679665</v>
      </c>
      <c r="AO545" s="119"/>
      <c r="AP545" s="842"/>
      <c r="AQ545" s="842"/>
      <c r="AR545" s="842"/>
      <c r="AS545" s="842"/>
      <c r="AT545" s="111"/>
      <c r="AU545" s="13"/>
      <c r="AV545" s="6"/>
      <c r="AW545" s="89"/>
      <c r="AX545" s="89"/>
      <c r="AY545" s="89"/>
      <c r="AZ545" s="89"/>
      <c r="BA545" s="89"/>
      <c r="BB545" s="89"/>
      <c r="BC545" s="89"/>
      <c r="BD545" s="89"/>
      <c r="BE545" s="89"/>
      <c r="BF545" s="89"/>
      <c r="BG545" s="89"/>
      <c r="BH545" s="98"/>
      <c r="BI545" s="89"/>
      <c r="BJ545" s="89"/>
      <c r="BK545" s="89"/>
      <c r="BL545" s="89"/>
      <c r="BM545" s="89"/>
      <c r="BN545" s="89"/>
      <c r="BO545" s="89"/>
      <c r="BP545" s="89"/>
      <c r="BQ545" s="89"/>
      <c r="BR545" s="89"/>
      <c r="BS545" s="89"/>
      <c r="BT545" s="89"/>
      <c r="BU545" s="89"/>
      <c r="BV545" s="89"/>
      <c r="BW545" s="89"/>
      <c r="BX545" s="89"/>
      <c r="BY545" s="89"/>
      <c r="BZ545" s="89"/>
      <c r="CA545" s="89"/>
      <c r="CB545" s="89"/>
      <c r="CC545" s="89"/>
      <c r="CD545" s="89"/>
      <c r="CE545" s="89"/>
      <c r="CF545" s="89"/>
      <c r="CG545" s="89"/>
      <c r="CH545" s="89"/>
      <c r="CI545" s="89"/>
      <c r="CJ545" s="89"/>
      <c r="CK545" s="89"/>
      <c r="CL545" s="89"/>
      <c r="CM545" s="89"/>
      <c r="CN545" s="89"/>
      <c r="CO545" s="98"/>
      <c r="CP545" s="98"/>
      <c r="CQ545" s="98"/>
      <c r="CR545" s="98"/>
      <c r="CS545" s="98"/>
      <c r="CT545" s="1247"/>
      <c r="CU545" s="1247"/>
      <c r="CV545" s="1247"/>
      <c r="CW545" s="98"/>
      <c r="CX545" s="98"/>
      <c r="CY545" s="1247"/>
      <c r="CZ545" s="1247"/>
      <c r="DA545" s="1247"/>
      <c r="DB545" s="98"/>
      <c r="DC545" s="2925"/>
      <c r="DD545" s="98"/>
      <c r="DE545" s="98"/>
      <c r="DF545" s="98"/>
      <c r="DG545" s="98"/>
      <c r="DH545" s="98"/>
      <c r="DI545" s="98"/>
      <c r="DJ545" s="98"/>
      <c r="DK545" s="98"/>
      <c r="DL545" s="98"/>
      <c r="DM545" s="98"/>
      <c r="DN545" s="98"/>
      <c r="DO545" s="98"/>
      <c r="DP545" s="98"/>
      <c r="DQ545" s="98"/>
      <c r="DR545" s="98"/>
    </row>
    <row r="546" spans="1:122">
      <c r="A546" s="216" t="s">
        <v>1319</v>
      </c>
      <c r="B546" s="123"/>
      <c r="C546" s="123"/>
      <c r="D546" s="123"/>
      <c r="E546" s="123"/>
      <c r="F546" s="123"/>
      <c r="G546" s="123"/>
      <c r="H546" s="123"/>
      <c r="I546" s="38">
        <f t="shared" ref="I546:N546" si="842">I545/I557</f>
        <v>0.17349231035078627</v>
      </c>
      <c r="J546" s="38">
        <f t="shared" si="842"/>
        <v>0.18289675609885167</v>
      </c>
      <c r="K546" s="38">
        <f t="shared" si="842"/>
        <v>0.22030626688971819</v>
      </c>
      <c r="L546" s="38">
        <f t="shared" si="842"/>
        <v>0.21302610913767114</v>
      </c>
      <c r="M546" s="38">
        <f t="shared" si="842"/>
        <v>0.18400017567745619</v>
      </c>
      <c r="N546" s="38">
        <f t="shared" si="842"/>
        <v>0.20980358936409596</v>
      </c>
      <c r="O546" s="919"/>
      <c r="P546" s="130"/>
      <c r="Q546" s="130"/>
      <c r="R546" s="38">
        <f>R545/R557</f>
        <v>0.19478093473194649</v>
      </c>
      <c r="S546" s="130">
        <v>0.19</v>
      </c>
      <c r="T546" s="130">
        <v>0.18</v>
      </c>
      <c r="U546" s="130">
        <f>T546</f>
        <v>0.18</v>
      </c>
      <c r="V546" s="130">
        <f>U546</f>
        <v>0.18</v>
      </c>
      <c r="W546" s="130">
        <v>0.194273</v>
      </c>
      <c r="X546" s="130"/>
      <c r="Y546" s="130"/>
      <c r="Z546" s="1482">
        <f>W546+0.5%</f>
        <v>0.19927300000000001</v>
      </c>
      <c r="AA546" s="1482">
        <f>Z546+0.025</f>
        <v>0.224273</v>
      </c>
      <c r="AB546" s="1482"/>
      <c r="AC546" s="1482">
        <f>AA546+0.017</f>
        <v>0.24127300000000002</v>
      </c>
      <c r="AD546" s="1482">
        <f>AC546+0.011</f>
        <v>0.25227300000000003</v>
      </c>
      <c r="AE546" s="1482">
        <f>AD546-0.0012</f>
        <v>0.25107300000000005</v>
      </c>
      <c r="AF546" s="1482">
        <f>AE546+0.015</f>
        <v>0.26607300000000006</v>
      </c>
      <c r="AG546" s="1482">
        <f>AF546+0.0088</f>
        <v>0.27487300000000003</v>
      </c>
      <c r="AH546" s="1482">
        <f>AG546+0.00955</f>
        <v>0.28442300000000004</v>
      </c>
      <c r="AI546" s="1482">
        <f>AH546+0.0292</f>
        <v>0.31362300000000004</v>
      </c>
      <c r="AJ546" s="1482">
        <f>AI546+0.0229</f>
        <v>0.33652300000000002</v>
      </c>
      <c r="AK546" s="1482">
        <f>AJ546+0.00615</f>
        <v>0.34267300000000001</v>
      </c>
      <c r="AL546" s="1482">
        <f>AK546+0.03685</f>
        <v>0.379523</v>
      </c>
      <c r="AM546" s="1482">
        <f>AL546+0.02244</f>
        <v>0.40196300000000001</v>
      </c>
      <c r="AN546" s="1482">
        <f>AM546+0.02244</f>
        <v>0.42440300000000003</v>
      </c>
      <c r="AO546" s="119"/>
      <c r="AP546" s="123"/>
      <c r="AQ546" s="123"/>
      <c r="AR546" s="123"/>
      <c r="AS546" s="123"/>
      <c r="AT546" s="119"/>
      <c r="AU546" s="11"/>
      <c r="AV546" s="6"/>
      <c r="AW546" s="89"/>
      <c r="AX546" s="89"/>
      <c r="AY546" s="89"/>
      <c r="AZ546" s="89"/>
      <c r="BA546" s="89"/>
      <c r="BB546" s="89"/>
      <c r="BC546" s="89"/>
      <c r="BD546" s="89"/>
      <c r="BE546" s="89"/>
      <c r="BF546" s="89"/>
      <c r="BG546" s="89"/>
      <c r="BH546" s="98"/>
      <c r="BI546" s="89"/>
      <c r="BJ546" s="89"/>
      <c r="BK546" s="89"/>
      <c r="BL546" s="89"/>
      <c r="BM546" s="89"/>
      <c r="BN546" s="89"/>
      <c r="BO546" s="89"/>
      <c r="BP546" s="89"/>
      <c r="BQ546" s="89"/>
      <c r="BR546" s="89"/>
      <c r="BS546" s="89"/>
      <c r="BT546" s="89"/>
      <c r="BU546" s="89"/>
      <c r="BV546" s="89"/>
      <c r="BW546" s="89"/>
      <c r="BX546" s="89"/>
      <c r="BY546" s="89"/>
      <c r="BZ546" s="89"/>
      <c r="CA546" s="89"/>
      <c r="CB546" s="89"/>
      <c r="CC546" s="89"/>
      <c r="CD546" s="89"/>
      <c r="CE546" s="89"/>
      <c r="CF546" s="89"/>
      <c r="CG546" s="89"/>
      <c r="CH546" s="89"/>
      <c r="CI546" s="89"/>
      <c r="CJ546" s="89"/>
      <c r="CK546" s="89"/>
      <c r="CL546" s="89"/>
      <c r="CM546" s="89"/>
      <c r="CN546" s="89"/>
      <c r="CO546" s="98"/>
      <c r="CP546" s="98"/>
      <c r="CQ546" s="98"/>
      <c r="CR546" s="98"/>
      <c r="CS546" s="98"/>
      <c r="CT546" s="1247"/>
      <c r="CU546" s="1247"/>
      <c r="CV546" s="1247"/>
      <c r="CW546" s="98"/>
      <c r="CX546" s="98"/>
      <c r="CY546" s="1247"/>
      <c r="CZ546" s="1247"/>
      <c r="DA546" s="1247"/>
      <c r="DB546" s="98"/>
      <c r="DC546" s="2925"/>
      <c r="DD546" s="98"/>
      <c r="DE546" s="98"/>
      <c r="DF546" s="98"/>
      <c r="DG546" s="98"/>
      <c r="DH546" s="98"/>
      <c r="DI546" s="98"/>
      <c r="DJ546" s="98"/>
      <c r="DK546" s="98"/>
      <c r="DL546" s="98"/>
      <c r="DM546" s="98"/>
      <c r="DN546" s="98"/>
      <c r="DO546" s="98"/>
      <c r="DP546" s="98"/>
      <c r="DQ546" s="98"/>
      <c r="DR546" s="98"/>
    </row>
    <row r="547" spans="1:122">
      <c r="A547" s="216"/>
      <c r="B547" s="123"/>
      <c r="C547" s="123"/>
      <c r="D547" s="123"/>
      <c r="E547" s="123"/>
      <c r="F547" s="123"/>
      <c r="G547" s="123"/>
      <c r="H547" s="123"/>
      <c r="I547" s="122"/>
      <c r="J547" s="217"/>
      <c r="K547" s="217"/>
      <c r="L547" s="123"/>
      <c r="M547" s="123"/>
      <c r="N547" s="123"/>
      <c r="O547" s="919"/>
      <c r="P547" s="123"/>
      <c r="Q547" s="123"/>
      <c r="R547" s="123"/>
      <c r="S547" s="123"/>
      <c r="T547" s="123"/>
      <c r="U547" s="123"/>
      <c r="V547" s="123"/>
      <c r="W547" s="123"/>
      <c r="X547" s="123"/>
      <c r="Y547" s="123"/>
      <c r="Z547" s="1687"/>
      <c r="AA547" s="1687"/>
      <c r="AB547" s="1687"/>
      <c r="AC547" s="1687"/>
      <c r="AD547" s="1687"/>
      <c r="AE547" s="1687"/>
      <c r="AF547" s="1687"/>
      <c r="AG547" s="1687"/>
      <c r="AH547" s="127"/>
      <c r="AI547" s="127"/>
      <c r="AJ547" s="127"/>
      <c r="AK547" s="127"/>
      <c r="AL547" s="1687"/>
      <c r="AM547" s="127"/>
      <c r="AN547" s="842"/>
      <c r="AO547" s="842"/>
      <c r="AP547" s="842"/>
      <c r="AQ547" s="842"/>
      <c r="AR547" s="842"/>
      <c r="AS547" s="842"/>
      <c r="AT547" s="127"/>
      <c r="AU547" s="11"/>
      <c r="AV547" s="6"/>
      <c r="AW547" s="89"/>
      <c r="AX547" s="89"/>
      <c r="AY547" s="89"/>
      <c r="AZ547" s="89"/>
      <c r="BA547" s="89"/>
      <c r="BB547" s="89"/>
      <c r="BC547" s="89"/>
      <c r="BD547" s="89"/>
      <c r="BE547" s="89"/>
      <c r="BF547" s="89"/>
      <c r="BG547" s="89"/>
      <c r="BH547" s="98"/>
      <c r="BI547" s="89"/>
      <c r="BJ547" s="89"/>
      <c r="BK547" s="89"/>
      <c r="BL547" s="89"/>
      <c r="BM547" s="89"/>
      <c r="BN547" s="89"/>
      <c r="BO547" s="89"/>
      <c r="BP547" s="89"/>
      <c r="BQ547" s="89"/>
      <c r="BR547" s="89"/>
      <c r="BS547" s="89"/>
      <c r="BT547" s="89"/>
      <c r="BU547" s="89"/>
      <c r="BV547" s="89"/>
      <c r="BW547" s="89"/>
      <c r="BX547" s="89"/>
      <c r="BY547" s="89"/>
      <c r="BZ547" s="89"/>
      <c r="CA547" s="89"/>
      <c r="CB547" s="89"/>
      <c r="CC547" s="89"/>
      <c r="CD547" s="89"/>
      <c r="CE547" s="89"/>
      <c r="CF547" s="89"/>
      <c r="CG547" s="89"/>
      <c r="CH547" s="89"/>
      <c r="CI547" s="89"/>
      <c r="CJ547" s="89"/>
      <c r="CK547" s="89"/>
      <c r="CL547" s="89"/>
      <c r="CM547" s="89"/>
      <c r="CN547" s="89"/>
      <c r="CO547" s="98"/>
      <c r="CP547" s="98"/>
      <c r="CQ547" s="98"/>
      <c r="CR547" s="98"/>
      <c r="CS547" s="98"/>
      <c r="CT547" s="1247"/>
      <c r="CU547" s="1247"/>
      <c r="CV547" s="1247"/>
      <c r="CW547" s="98"/>
      <c r="CX547" s="98"/>
      <c r="CY547" s="1247"/>
      <c r="CZ547" s="1247"/>
      <c r="DA547" s="1247"/>
      <c r="DB547" s="98"/>
      <c r="DC547" s="2925"/>
      <c r="DD547" s="98"/>
      <c r="DE547" s="98"/>
      <c r="DF547" s="98"/>
      <c r="DG547" s="98"/>
      <c r="DH547" s="98"/>
      <c r="DI547" s="98"/>
      <c r="DJ547" s="98"/>
      <c r="DK547" s="98"/>
      <c r="DL547" s="98"/>
      <c r="DM547" s="98"/>
      <c r="DN547" s="98"/>
      <c r="DO547" s="98"/>
      <c r="DP547" s="98"/>
      <c r="DQ547" s="98"/>
      <c r="DR547" s="98"/>
    </row>
    <row r="548" spans="1:122">
      <c r="A548" s="216" t="s">
        <v>950</v>
      </c>
      <c r="B548" s="122">
        <v>54.9</v>
      </c>
      <c r="C548" s="122">
        <v>76.2</v>
      </c>
      <c r="D548" s="122">
        <v>45.7</v>
      </c>
      <c r="E548" s="217">
        <v>65.900000000000006</v>
      </c>
      <c r="F548" s="165">
        <v>0</v>
      </c>
      <c r="G548" s="165">
        <v>0</v>
      </c>
      <c r="H548" s="123"/>
      <c r="I548" s="48">
        <f>B548-D548+F548</f>
        <v>9.1999999999999957</v>
      </c>
      <c r="J548" s="64">
        <v>64</v>
      </c>
      <c r="K548" s="113">
        <v>68.2</v>
      </c>
      <c r="L548" s="113">
        <v>82.9</v>
      </c>
      <c r="M548" s="113">
        <v>95</v>
      </c>
      <c r="N548" s="113">
        <v>83.7</v>
      </c>
      <c r="O548" s="919"/>
      <c r="P548" s="111"/>
      <c r="Q548" s="111"/>
      <c r="R548" s="113">
        <v>69.900000000000006</v>
      </c>
      <c r="S548" s="111">
        <f t="shared" ref="S548:AA548" si="843">S549*S560</f>
        <v>75.824849624161175</v>
      </c>
      <c r="T548" s="111">
        <f t="shared" si="843"/>
        <v>76.703787097699845</v>
      </c>
      <c r="U548" s="111">
        <f t="shared" si="843"/>
        <v>80.116548810931477</v>
      </c>
      <c r="V548" s="111">
        <f t="shared" si="843"/>
        <v>88.127266504927107</v>
      </c>
      <c r="W548" s="111">
        <f t="shared" si="843"/>
        <v>86.487165610833898</v>
      </c>
      <c r="X548" s="111"/>
      <c r="Y548" s="111"/>
      <c r="Z548" s="1525">
        <f t="shared" si="843"/>
        <v>88.58155244762419</v>
      </c>
      <c r="AA548" s="1525">
        <f t="shared" si="843"/>
        <v>92.225562204031391</v>
      </c>
      <c r="AB548" s="1525"/>
      <c r="AC548" s="1525">
        <f t="shared" ref="AC548:AH548" si="844">AC549*AC560</f>
        <v>94.889830247949675</v>
      </c>
      <c r="AD548" s="1525">
        <f t="shared" si="844"/>
        <v>101.1255306933714</v>
      </c>
      <c r="AE548" s="1525">
        <f t="shared" si="844"/>
        <v>108.97661219254356</v>
      </c>
      <c r="AF548" s="1525">
        <f t="shared" si="844"/>
        <v>113.0665102347394</v>
      </c>
      <c r="AG548" s="1525">
        <f t="shared" si="844"/>
        <v>118.14259220987529</v>
      </c>
      <c r="AH548" s="111">
        <f t="shared" si="844"/>
        <v>126.24835408039284</v>
      </c>
      <c r="AI548" s="111">
        <f t="shared" ref="AI548:AN548" si="845">AI549*AI560</f>
        <v>125.74373123454581</v>
      </c>
      <c r="AJ548" s="111">
        <f t="shared" si="845"/>
        <v>129.80123897112432</v>
      </c>
      <c r="AK548" s="111">
        <f t="shared" si="845"/>
        <v>137.02544551727914</v>
      </c>
      <c r="AL548" s="1525">
        <f t="shared" si="845"/>
        <v>135.9542264965603</v>
      </c>
      <c r="AM548" s="1525">
        <f t="shared" si="845"/>
        <v>138.89722474593682</v>
      </c>
      <c r="AN548" s="1525">
        <f t="shared" si="845"/>
        <v>148.08060758542797</v>
      </c>
      <c r="AO548" s="111"/>
      <c r="AP548" s="111"/>
      <c r="AQ548" s="111"/>
      <c r="AR548" s="111"/>
      <c r="AS548" s="111"/>
      <c r="AT548" s="111"/>
      <c r="AU548" s="11"/>
      <c r="AV548" s="6"/>
      <c r="AW548" s="89"/>
      <c r="AX548" s="89"/>
      <c r="AY548" s="89"/>
      <c r="AZ548" s="89"/>
      <c r="BA548" s="89"/>
      <c r="BB548" s="89"/>
      <c r="BC548" s="89"/>
      <c r="BD548" s="89"/>
      <c r="BE548" s="89"/>
      <c r="BF548" s="89"/>
      <c r="BG548" s="89"/>
      <c r="BH548" s="98"/>
      <c r="BI548" s="89"/>
      <c r="BJ548" s="89"/>
      <c r="BK548" s="89"/>
      <c r="BL548" s="89"/>
      <c r="BM548" s="89"/>
      <c r="BN548" s="89"/>
      <c r="BO548" s="89"/>
      <c r="BP548" s="89"/>
      <c r="BQ548" s="89"/>
      <c r="BR548" s="89"/>
      <c r="BS548" s="89"/>
      <c r="BT548" s="89"/>
      <c r="BU548" s="89"/>
      <c r="BV548" s="89"/>
      <c r="BW548" s="89"/>
      <c r="BX548" s="89"/>
      <c r="BY548" s="89"/>
      <c r="BZ548" s="89"/>
      <c r="CA548" s="89"/>
      <c r="CB548" s="89"/>
      <c r="CC548" s="89"/>
      <c r="CD548" s="89"/>
      <c r="CE548" s="89"/>
      <c r="CF548" s="89"/>
      <c r="CG548" s="89"/>
      <c r="CH548" s="89"/>
      <c r="CI548" s="89"/>
      <c r="CJ548" s="89"/>
      <c r="CK548" s="89"/>
      <c r="CL548" s="89"/>
      <c r="CM548" s="89"/>
      <c r="CN548" s="89"/>
      <c r="CO548" s="98"/>
      <c r="CP548" s="98"/>
      <c r="CQ548" s="98"/>
      <c r="CR548" s="98"/>
      <c r="CS548" s="98"/>
      <c r="CT548" s="1247"/>
      <c r="CU548" s="1247"/>
      <c r="CV548" s="1247"/>
      <c r="CW548" s="98"/>
      <c r="CX548" s="98"/>
      <c r="CY548" s="1247"/>
      <c r="CZ548" s="1247"/>
      <c r="DA548" s="1247"/>
      <c r="DB548" s="98"/>
      <c r="DC548" s="2925"/>
      <c r="DD548" s="98"/>
      <c r="DE548" s="98"/>
      <c r="DF548" s="98"/>
      <c r="DG548" s="98"/>
      <c r="DH548" s="98"/>
      <c r="DI548" s="98"/>
      <c r="DJ548" s="98"/>
      <c r="DK548" s="98"/>
      <c r="DL548" s="98"/>
      <c r="DM548" s="98"/>
      <c r="DN548" s="98"/>
      <c r="DO548" s="98"/>
      <c r="DP548" s="98"/>
      <c r="DQ548" s="98"/>
      <c r="DR548" s="98"/>
    </row>
    <row r="549" spans="1:122">
      <c r="A549" s="216" t="s">
        <v>1323</v>
      </c>
      <c r="B549" s="123"/>
      <c r="C549" s="123"/>
      <c r="D549" s="123"/>
      <c r="E549" s="123"/>
      <c r="F549" s="123"/>
      <c r="G549" s="123"/>
      <c r="H549" s="123"/>
      <c r="I549" s="38">
        <f t="shared" ref="I549:N549" si="846">I548/I560</f>
        <v>9.4360909967383905E-4</v>
      </c>
      <c r="J549" s="38">
        <f t="shared" si="846"/>
        <v>6.0324432337666017E-3</v>
      </c>
      <c r="K549" s="38">
        <f t="shared" si="846"/>
        <v>6.4876382903836455E-3</v>
      </c>
      <c r="L549" s="38">
        <f t="shared" si="846"/>
        <v>8.0531566625542794E-3</v>
      </c>
      <c r="M549" s="38">
        <f t="shared" si="846"/>
        <v>9.5059887729269429E-3</v>
      </c>
      <c r="N549" s="38">
        <f t="shared" si="846"/>
        <v>8.3795350729595208E-3</v>
      </c>
      <c r="O549" s="919"/>
      <c r="P549" s="130"/>
      <c r="Q549" s="130"/>
      <c r="R549" s="38">
        <f>R548/R560</f>
        <v>7.1959646607889826E-3</v>
      </c>
      <c r="S549" s="130">
        <f>R549</f>
        <v>7.1959646607889826E-3</v>
      </c>
      <c r="T549" s="130">
        <f>S549</f>
        <v>7.1959646607889826E-3</v>
      </c>
      <c r="U549" s="130">
        <f>T549</f>
        <v>7.1959646607889826E-3</v>
      </c>
      <c r="V549" s="130">
        <f>U549</f>
        <v>7.1959646607889826E-3</v>
      </c>
      <c r="W549" s="130">
        <f>V549</f>
        <v>7.1959646607889826E-3</v>
      </c>
      <c r="X549" s="130"/>
      <c r="Y549" s="130"/>
      <c r="Z549" s="1482">
        <f>W549</f>
        <v>7.1959646607889826E-3</v>
      </c>
      <c r="AA549" s="1482">
        <f t="shared" ref="AA549:AD550" si="847">Z549</f>
        <v>7.1959646607889826E-3</v>
      </c>
      <c r="AB549" s="1482"/>
      <c r="AC549" s="1482">
        <f>AA549</f>
        <v>7.1959646607889826E-3</v>
      </c>
      <c r="AD549" s="1482">
        <f t="shared" si="847"/>
        <v>7.1959646607889826E-3</v>
      </c>
      <c r="AE549" s="1482">
        <f t="shared" ref="AE549:AH550" si="848">AD549</f>
        <v>7.1959646607889826E-3</v>
      </c>
      <c r="AF549" s="1482">
        <f t="shared" si="848"/>
        <v>7.1959646607889826E-3</v>
      </c>
      <c r="AG549" s="1482">
        <f t="shared" si="848"/>
        <v>7.1959646607889826E-3</v>
      </c>
      <c r="AH549" s="119">
        <f t="shared" si="848"/>
        <v>7.1959646607889826E-3</v>
      </c>
      <c r="AI549" s="119">
        <f t="shared" ref="AI549:AN550" si="849">AH549</f>
        <v>7.1959646607889826E-3</v>
      </c>
      <c r="AJ549" s="119">
        <f t="shared" si="849"/>
        <v>7.1959646607889826E-3</v>
      </c>
      <c r="AK549" s="119">
        <f t="shared" si="849"/>
        <v>7.1959646607889826E-3</v>
      </c>
      <c r="AL549" s="1482">
        <f t="shared" si="849"/>
        <v>7.1959646607889826E-3</v>
      </c>
      <c r="AM549" s="1482">
        <f t="shared" si="849"/>
        <v>7.1959646607889826E-3</v>
      </c>
      <c r="AN549" s="1482">
        <f t="shared" si="849"/>
        <v>7.1959646607889826E-3</v>
      </c>
      <c r="AO549" s="119"/>
      <c r="AP549" s="119"/>
      <c r="AQ549" s="119"/>
      <c r="AR549" s="119"/>
      <c r="AS549" s="119"/>
      <c r="AT549" s="119"/>
      <c r="AU549" s="11"/>
      <c r="AV549" s="6"/>
      <c r="AW549" s="89"/>
      <c r="AX549" s="89"/>
      <c r="AY549" s="89"/>
      <c r="AZ549" s="89"/>
      <c r="BA549" s="89"/>
      <c r="BB549" s="89"/>
      <c r="BC549" s="89"/>
      <c r="BD549" s="89"/>
      <c r="BE549" s="89"/>
      <c r="BF549" s="89"/>
      <c r="BG549" s="89"/>
      <c r="BH549" s="98"/>
      <c r="BI549" s="89"/>
      <c r="BJ549" s="89"/>
      <c r="BK549" s="89"/>
      <c r="BL549" s="89"/>
      <c r="BM549" s="89"/>
      <c r="BN549" s="89"/>
      <c r="BO549" s="89"/>
      <c r="BP549" s="89"/>
      <c r="BQ549" s="89"/>
      <c r="BR549" s="89"/>
      <c r="BS549" s="89"/>
      <c r="BT549" s="89"/>
      <c r="BU549" s="89"/>
      <c r="BV549" s="89"/>
      <c r="BW549" s="89"/>
      <c r="BX549" s="89"/>
      <c r="BY549" s="89"/>
      <c r="BZ549" s="89"/>
      <c r="CA549" s="89"/>
      <c r="CB549" s="89"/>
      <c r="CC549" s="89"/>
      <c r="CD549" s="89"/>
      <c r="CE549" s="89"/>
      <c r="CF549" s="89"/>
      <c r="CG549" s="89"/>
      <c r="CH549" s="89"/>
      <c r="CI549" s="89"/>
      <c r="CJ549" s="89"/>
      <c r="CK549" s="89"/>
      <c r="CL549" s="89"/>
      <c r="CM549" s="89"/>
      <c r="CN549" s="89"/>
      <c r="CO549" s="98"/>
      <c r="CP549" s="98"/>
      <c r="CQ549" s="98"/>
      <c r="CR549" s="98"/>
      <c r="CS549" s="98"/>
      <c r="CT549" s="1247"/>
      <c r="CU549" s="1247"/>
      <c r="CV549" s="1247"/>
      <c r="CW549" s="98"/>
      <c r="CX549" s="98"/>
      <c r="CY549" s="1247"/>
      <c r="CZ549" s="1247"/>
      <c r="DA549" s="1247"/>
      <c r="DB549" s="98"/>
      <c r="DC549" s="2925"/>
      <c r="DD549" s="98"/>
      <c r="DE549" s="98"/>
      <c r="DF549" s="98"/>
      <c r="DG549" s="98"/>
      <c r="DH549" s="98"/>
      <c r="DI549" s="98"/>
      <c r="DJ549" s="98"/>
      <c r="DK549" s="98"/>
      <c r="DL549" s="98"/>
      <c r="DM549" s="98"/>
      <c r="DN549" s="98"/>
      <c r="DO549" s="98"/>
      <c r="DP549" s="98"/>
      <c r="DQ549" s="98"/>
      <c r="DR549" s="98"/>
    </row>
    <row r="550" spans="1:122">
      <c r="A550" s="218" t="s">
        <v>677</v>
      </c>
      <c r="B550" s="219">
        <f>64.2+54.4</f>
        <v>118.6</v>
      </c>
      <c r="C550" s="219">
        <f>65.6+51</f>
        <v>116.6</v>
      </c>
      <c r="D550" s="219">
        <v>51.7</v>
      </c>
      <c r="E550" s="220">
        <v>45.8</v>
      </c>
      <c r="F550" s="168">
        <v>0</v>
      </c>
      <c r="G550" s="168">
        <v>0</v>
      </c>
      <c r="H550" s="184"/>
      <c r="I550" s="332">
        <f>B550-D550+F550</f>
        <v>66.899999999999991</v>
      </c>
      <c r="J550" s="848">
        <v>17.100000000000001</v>
      </c>
      <c r="K550" s="365">
        <v>7</v>
      </c>
      <c r="L550" s="335">
        <v>1.2</v>
      </c>
      <c r="M550" s="335">
        <v>1</v>
      </c>
      <c r="N550" s="335">
        <v>1</v>
      </c>
      <c r="O550" s="919"/>
      <c r="P550" s="334"/>
      <c r="Q550" s="334"/>
      <c r="R550" s="365">
        <v>0.9</v>
      </c>
      <c r="S550" s="334">
        <v>-200</v>
      </c>
      <c r="T550" s="334">
        <v>-250</v>
      </c>
      <c r="U550" s="334">
        <f>T550</f>
        <v>-250</v>
      </c>
      <c r="V550" s="334">
        <f>U550</f>
        <v>-250</v>
      </c>
      <c r="W550" s="334">
        <f>V550</f>
        <v>-250</v>
      </c>
      <c r="X550" s="334"/>
      <c r="Y550" s="334"/>
      <c r="Z550" s="1439">
        <f>W550</f>
        <v>-250</v>
      </c>
      <c r="AA550" s="1439">
        <f t="shared" si="847"/>
        <v>-250</v>
      </c>
      <c r="AB550" s="1439"/>
      <c r="AC550" s="1439">
        <f>AA550</f>
        <v>-250</v>
      </c>
      <c r="AD550" s="1439">
        <f t="shared" si="847"/>
        <v>-250</v>
      </c>
      <c r="AE550" s="1439">
        <f t="shared" si="848"/>
        <v>-250</v>
      </c>
      <c r="AF550" s="1439">
        <f t="shared" si="848"/>
        <v>-250</v>
      </c>
      <c r="AG550" s="1439">
        <f t="shared" si="848"/>
        <v>-250</v>
      </c>
      <c r="AH550" s="317">
        <f t="shared" si="848"/>
        <v>-250</v>
      </c>
      <c r="AI550" s="317">
        <f t="shared" si="849"/>
        <v>-250</v>
      </c>
      <c r="AJ550" s="317">
        <f t="shared" si="849"/>
        <v>-250</v>
      </c>
      <c r="AK550" s="317">
        <f t="shared" si="849"/>
        <v>-250</v>
      </c>
      <c r="AL550" s="1439">
        <f t="shared" si="849"/>
        <v>-250</v>
      </c>
      <c r="AM550" s="1439">
        <f t="shared" si="849"/>
        <v>-250</v>
      </c>
      <c r="AN550" s="1439">
        <f t="shared" si="849"/>
        <v>-250</v>
      </c>
      <c r="AO550" s="354"/>
      <c r="AP550" s="354"/>
      <c r="AQ550" s="354"/>
      <c r="AR550" s="354"/>
      <c r="AS550" s="354"/>
      <c r="AT550" s="61"/>
      <c r="AU550" s="11"/>
      <c r="AV550" s="6"/>
      <c r="AW550" s="89"/>
      <c r="AX550" s="89"/>
      <c r="AY550" s="89"/>
      <c r="AZ550" s="89"/>
      <c r="BA550" s="89"/>
      <c r="BB550" s="89"/>
      <c r="BC550" s="89"/>
      <c r="BD550" s="89"/>
      <c r="BE550" s="89"/>
      <c r="BF550" s="89"/>
      <c r="BG550" s="89"/>
      <c r="BH550" s="98"/>
      <c r="BI550" s="89"/>
      <c r="BJ550" s="89"/>
      <c r="BK550" s="89"/>
      <c r="BL550" s="89"/>
      <c r="BM550" s="89"/>
      <c r="BN550" s="89"/>
      <c r="BO550" s="89"/>
      <c r="BP550" s="89"/>
      <c r="BQ550" s="89"/>
      <c r="BR550" s="89"/>
      <c r="BS550" s="89"/>
      <c r="BT550" s="89"/>
      <c r="BU550" s="89"/>
      <c r="BV550" s="89"/>
      <c r="BW550" s="89"/>
      <c r="BX550" s="89"/>
      <c r="BY550" s="89"/>
      <c r="BZ550" s="89"/>
      <c r="CA550" s="89"/>
      <c r="CB550" s="89"/>
      <c r="CC550" s="89"/>
      <c r="CD550" s="89"/>
      <c r="CE550" s="89"/>
      <c r="CF550" s="89"/>
      <c r="CG550" s="89"/>
      <c r="CH550" s="89"/>
      <c r="CI550" s="89"/>
      <c r="CJ550" s="89"/>
      <c r="CK550" s="89"/>
      <c r="CL550" s="89"/>
      <c r="CM550" s="89"/>
      <c r="CN550" s="89"/>
      <c r="CO550" s="98"/>
      <c r="CP550" s="98"/>
      <c r="CQ550" s="98"/>
      <c r="CR550" s="98"/>
      <c r="CS550" s="98"/>
      <c r="CT550" s="1247"/>
      <c r="CU550" s="1247"/>
      <c r="CV550" s="1247"/>
      <c r="CW550" s="98"/>
      <c r="CX550" s="98"/>
      <c r="CY550" s="1247"/>
      <c r="CZ550" s="1247"/>
      <c r="DA550" s="1247"/>
      <c r="DB550" s="98"/>
      <c r="DC550" s="2925"/>
      <c r="DD550" s="98"/>
      <c r="DE550" s="98"/>
      <c r="DF550" s="98"/>
      <c r="DG550" s="98"/>
      <c r="DH550" s="98"/>
      <c r="DI550" s="98"/>
      <c r="DJ550" s="98"/>
      <c r="DK550" s="98"/>
      <c r="DL550" s="98"/>
      <c r="DM550" s="98"/>
      <c r="DN550" s="98"/>
      <c r="DO550" s="98"/>
      <c r="DP550" s="98"/>
      <c r="DQ550" s="98"/>
      <c r="DR550" s="98"/>
    </row>
    <row r="551" spans="1:122">
      <c r="A551" s="216" t="s">
        <v>956</v>
      </c>
      <c r="B551" s="48">
        <f t="shared" ref="B551:G551" si="850">B545+B548+B550+B537+B542</f>
        <v>5236.8999999999996</v>
      </c>
      <c r="C551" s="48">
        <f t="shared" si="850"/>
        <v>5460.0999999999995</v>
      </c>
      <c r="D551" s="48">
        <f t="shared" si="850"/>
        <v>2733.9</v>
      </c>
      <c r="E551" s="48">
        <f t="shared" si="850"/>
        <v>3137</v>
      </c>
      <c r="F551" s="48">
        <f t="shared" si="850"/>
        <v>1</v>
      </c>
      <c r="G551" s="48">
        <f t="shared" si="850"/>
        <v>1</v>
      </c>
      <c r="H551" s="123"/>
      <c r="I551" s="842">
        <f t="shared" ref="I551:N551" si="851">I545+I548+I550+I537+I542</f>
        <v>2504.0000000000005</v>
      </c>
      <c r="J551" s="842">
        <f t="shared" si="851"/>
        <v>2589.3999999999996</v>
      </c>
      <c r="K551" s="842">
        <f t="shared" si="851"/>
        <v>2860.7</v>
      </c>
      <c r="L551" s="842">
        <f t="shared" si="851"/>
        <v>2648.5</v>
      </c>
      <c r="M551" s="842">
        <f t="shared" si="851"/>
        <v>2520.4</v>
      </c>
      <c r="N551" s="842">
        <f t="shared" si="851"/>
        <v>2605.4</v>
      </c>
      <c r="O551" s="919"/>
      <c r="P551" s="842"/>
      <c r="Q551" s="842"/>
      <c r="R551" s="842">
        <f t="shared" ref="R551:V551" si="852">R188+R199</f>
        <v>2549.1999999999998</v>
      </c>
      <c r="S551" s="842">
        <f t="shared" si="852"/>
        <v>2150.8000000000002</v>
      </c>
      <c r="T551" s="842">
        <f t="shared" si="852"/>
        <v>2231</v>
      </c>
      <c r="U551" s="842">
        <f t="shared" si="852"/>
        <v>2441</v>
      </c>
      <c r="V551" s="842">
        <f t="shared" si="852"/>
        <v>2469</v>
      </c>
      <c r="W551" s="842">
        <f>W188+W199</f>
        <v>2739</v>
      </c>
      <c r="X551" s="842"/>
      <c r="Y551" s="842"/>
      <c r="Z551" s="842">
        <f>Z188+Z199</f>
        <v>3227</v>
      </c>
      <c r="AA551" s="842">
        <f>AA188+AA199</f>
        <v>3866</v>
      </c>
      <c r="AB551" s="1559"/>
      <c r="AC551" s="1559">
        <f t="shared" ref="AC551:AF551" si="853">AC545+AC548+AC550+AC537+AC542</f>
        <v>3637.325563271248</v>
      </c>
      <c r="AD551" s="842">
        <f t="shared" si="853"/>
        <v>4050.8773829843726</v>
      </c>
      <c r="AE551" s="842">
        <f t="shared" si="853"/>
        <v>4382.533458921851</v>
      </c>
      <c r="AF551" s="842">
        <f t="shared" si="853"/>
        <v>4783.9566152944381</v>
      </c>
      <c r="AG551" s="842">
        <f t="shared" ref="AG551:AL551" si="854">AG545+AG548+AG550+AG537+AG542</f>
        <v>5153.8086058827112</v>
      </c>
      <c r="AH551" s="842">
        <f t="shared" si="854"/>
        <v>5697.9839064942535</v>
      </c>
      <c r="AI551" s="842">
        <f t="shared" si="854"/>
        <v>6150.7401735679477</v>
      </c>
      <c r="AJ551" s="842">
        <f t="shared" si="854"/>
        <v>6753.4909150204558</v>
      </c>
      <c r="AK551" s="842">
        <f>AK545+AK548+AK550+AK537+AK542</f>
        <v>7267.7770652196223</v>
      </c>
      <c r="AL551" s="1559">
        <f t="shared" si="854"/>
        <v>7859.3526147406856</v>
      </c>
      <c r="AM551" s="1559">
        <f>AM545+AM548+AM550+AM537+AM542</f>
        <v>8446.8497229895329</v>
      </c>
      <c r="AN551" s="1559">
        <f>AN545+AN548+AN550+AN537+AN542</f>
        <v>9482.3100576175493</v>
      </c>
      <c r="AO551" s="842"/>
      <c r="AP551" s="842"/>
      <c r="AQ551" s="842"/>
      <c r="AR551" s="842"/>
      <c r="AS551" s="842"/>
      <c r="AT551" s="49"/>
      <c r="AU551" s="11"/>
      <c r="AV551" s="6"/>
      <c r="AW551" s="89"/>
      <c r="AX551" s="89"/>
      <c r="AY551" s="89"/>
      <c r="AZ551" s="89"/>
      <c r="BA551" s="89"/>
      <c r="BB551" s="89"/>
      <c r="BC551" s="89"/>
      <c r="BD551" s="89"/>
      <c r="BE551" s="89"/>
      <c r="BF551" s="89"/>
      <c r="BG551" s="89"/>
      <c r="BH551" s="98"/>
      <c r="BI551" s="89"/>
      <c r="BJ551" s="89"/>
      <c r="BK551" s="89"/>
      <c r="BL551" s="89"/>
      <c r="BM551" s="89"/>
      <c r="BN551" s="89"/>
      <c r="BO551" s="89"/>
      <c r="BP551" s="89"/>
      <c r="BQ551" s="89"/>
      <c r="BR551" s="89"/>
      <c r="BS551" s="89"/>
      <c r="BT551" s="89"/>
      <c r="BU551" s="89"/>
      <c r="BV551" s="89"/>
      <c r="BW551" s="89"/>
      <c r="BX551" s="89"/>
      <c r="BY551" s="89"/>
      <c r="BZ551" s="89"/>
      <c r="CA551" s="89"/>
      <c r="CB551" s="89"/>
      <c r="CC551" s="89"/>
      <c r="CD551" s="89"/>
      <c r="CE551" s="89"/>
      <c r="CF551" s="89"/>
      <c r="CG551" s="89"/>
      <c r="CH551" s="89"/>
      <c r="CI551" s="89"/>
      <c r="CJ551" s="89"/>
      <c r="CK551" s="89"/>
      <c r="CL551" s="89"/>
      <c r="CM551" s="89"/>
      <c r="CN551" s="89"/>
      <c r="CO551" s="98"/>
      <c r="CP551" s="98"/>
      <c r="CQ551" s="98"/>
      <c r="CR551" s="98"/>
      <c r="CS551" s="98"/>
      <c r="CT551" s="1247"/>
      <c r="CU551" s="1247"/>
      <c r="CV551" s="1247"/>
      <c r="CW551" s="98"/>
      <c r="CX551" s="98"/>
      <c r="CY551" s="1247"/>
      <c r="CZ551" s="1247"/>
      <c r="DA551" s="1247"/>
      <c r="DB551" s="98"/>
      <c r="DC551" s="2925"/>
      <c r="DD551" s="98"/>
      <c r="DE551" s="98"/>
      <c r="DF551" s="98"/>
      <c r="DG551" s="98"/>
      <c r="DH551" s="98"/>
      <c r="DI551" s="98"/>
      <c r="DJ551" s="98"/>
      <c r="DK551" s="98"/>
      <c r="DL551" s="98"/>
      <c r="DM551" s="98"/>
      <c r="DN551" s="98"/>
      <c r="DO551" s="98"/>
      <c r="DP551" s="98"/>
      <c r="DQ551" s="98"/>
      <c r="DR551" s="98"/>
    </row>
    <row r="552" spans="1:122">
      <c r="A552" s="13" t="s">
        <v>951</v>
      </c>
      <c r="B552" s="122">
        <v>1000.7</v>
      </c>
      <c r="C552" s="122">
        <v>994.1</v>
      </c>
      <c r="D552" s="76">
        <v>281.8</v>
      </c>
      <c r="E552" s="76">
        <v>396.6</v>
      </c>
      <c r="F552" s="76">
        <f>F188</f>
        <v>3.8</v>
      </c>
      <c r="G552" s="76">
        <f>G188</f>
        <v>3.8</v>
      </c>
      <c r="H552" s="123"/>
      <c r="I552" s="193">
        <f t="shared" ref="I552:N552" si="855">I188</f>
        <v>722.7</v>
      </c>
      <c r="J552" s="193">
        <f t="shared" si="855"/>
        <v>749.7</v>
      </c>
      <c r="K552" s="193">
        <f t="shared" si="855"/>
        <v>976.3</v>
      </c>
      <c r="L552" s="193">
        <f t="shared" si="855"/>
        <v>982.9</v>
      </c>
      <c r="M552" s="193">
        <f t="shared" si="855"/>
        <v>971.9</v>
      </c>
      <c r="N552" s="193">
        <f t="shared" si="855"/>
        <v>1027.3</v>
      </c>
      <c r="O552" s="919"/>
      <c r="P552" s="192"/>
      <c r="Q552" s="192"/>
      <c r="R552" s="193">
        <f t="shared" ref="R552:V552" si="856">R188</f>
        <v>1085</v>
      </c>
      <c r="S552" s="193">
        <f t="shared" si="856"/>
        <v>725.4</v>
      </c>
      <c r="T552" s="193">
        <f t="shared" si="856"/>
        <v>735</v>
      </c>
      <c r="U552" s="193">
        <f t="shared" si="856"/>
        <v>859</v>
      </c>
      <c r="V552" s="193">
        <f t="shared" si="856"/>
        <v>772</v>
      </c>
      <c r="W552" s="193">
        <f>W188</f>
        <v>922</v>
      </c>
      <c r="X552" s="192"/>
      <c r="Y552" s="192"/>
      <c r="Z552" s="2282">
        <f>Z188</f>
        <v>1270</v>
      </c>
      <c r="AA552" s="2282">
        <f>AA188</f>
        <v>1427</v>
      </c>
      <c r="AB552" s="1368"/>
      <c r="AC552" s="1368">
        <f>AC551*AC553</f>
        <v>1342.5927518851711</v>
      </c>
      <c r="AD552" s="192">
        <f>AD551*AD553</f>
        <v>1495.2410826483963</v>
      </c>
      <c r="AE552" s="192">
        <f>AE551*AE553</f>
        <v>1617.6604360790175</v>
      </c>
      <c r="AF552" s="192">
        <f>AF551*AF553</f>
        <v>1765.8318908497577</v>
      </c>
      <c r="AG552" s="192">
        <f t="shared" ref="AG552:AL552" si="857">AG551*AG553</f>
        <v>1902.3499432474466</v>
      </c>
      <c r="AH552" s="192">
        <f t="shared" si="857"/>
        <v>2103.2134078032332</v>
      </c>
      <c r="AI552" s="192">
        <f t="shared" si="857"/>
        <v>2270.3327024525252</v>
      </c>
      <c r="AJ552" s="192">
        <f t="shared" si="857"/>
        <v>2492.8172622178454</v>
      </c>
      <c r="AK552" s="192">
        <f>AK551*AK553</f>
        <v>2682.648182118055</v>
      </c>
      <c r="AL552" s="1368">
        <f t="shared" si="857"/>
        <v>2901.0078068378061</v>
      </c>
      <c r="AM552" s="1368">
        <f>AM551*AM553</f>
        <v>3117.8620162198818</v>
      </c>
      <c r="AN552" s="1368">
        <f>AN551*AN553</f>
        <v>3500.0663352871811</v>
      </c>
      <c r="AO552" s="192"/>
      <c r="AP552" s="192"/>
      <c r="AQ552" s="192"/>
      <c r="AR552" s="192"/>
      <c r="AS552" s="192"/>
      <c r="AT552" s="127"/>
      <c r="AU552" s="11"/>
      <c r="AV552" s="6"/>
      <c r="AW552" s="89"/>
      <c r="AX552" s="89"/>
      <c r="AY552" s="89"/>
      <c r="AZ552" s="89"/>
      <c r="BA552" s="89"/>
      <c r="BB552" s="89"/>
      <c r="BC552" s="89"/>
      <c r="BD552" s="89"/>
      <c r="BE552" s="89"/>
      <c r="BF552" s="89"/>
      <c r="BG552" s="89"/>
      <c r="BH552" s="98"/>
      <c r="BI552" s="89"/>
      <c r="BJ552" s="89"/>
      <c r="BK552" s="89"/>
      <c r="BL552" s="89"/>
      <c r="BM552" s="89"/>
      <c r="BN552" s="89"/>
      <c r="BO552" s="89"/>
      <c r="BP552" s="89"/>
      <c r="BQ552" s="89"/>
      <c r="BR552" s="89"/>
      <c r="BS552" s="89"/>
      <c r="BT552" s="89"/>
      <c r="BU552" s="89"/>
      <c r="BV552" s="89"/>
      <c r="BW552" s="89"/>
      <c r="BX552" s="89"/>
      <c r="BY552" s="89"/>
      <c r="BZ552" s="89"/>
      <c r="CA552" s="89"/>
      <c r="CB552" s="89"/>
      <c r="CC552" s="89"/>
      <c r="CD552" s="89"/>
      <c r="CE552" s="89"/>
      <c r="CF552" s="89"/>
      <c r="CG552" s="89"/>
      <c r="CH552" s="89"/>
      <c r="CI552" s="89"/>
      <c r="CJ552" s="89"/>
      <c r="CK552" s="89"/>
      <c r="CL552" s="89"/>
      <c r="CM552" s="89"/>
      <c r="CN552" s="89"/>
      <c r="CO552" s="98"/>
      <c r="CP552" s="98"/>
      <c r="CQ552" s="98"/>
      <c r="CR552" s="98"/>
      <c r="CS552" s="98"/>
      <c r="CT552" s="1247"/>
      <c r="CU552" s="1247"/>
      <c r="CV552" s="1247"/>
      <c r="CW552" s="98"/>
      <c r="CX552" s="98"/>
      <c r="CY552" s="1247"/>
      <c r="CZ552" s="1247"/>
      <c r="DA552" s="1247"/>
      <c r="DB552" s="98"/>
      <c r="DC552" s="2925"/>
      <c r="DD552" s="98"/>
      <c r="DE552" s="98"/>
      <c r="DF552" s="98"/>
      <c r="DG552" s="98"/>
      <c r="DH552" s="98"/>
      <c r="DI552" s="98"/>
      <c r="DJ552" s="98"/>
      <c r="DK552" s="98"/>
      <c r="DL552" s="98"/>
      <c r="DM552" s="98"/>
      <c r="DN552" s="98"/>
      <c r="DO552" s="98"/>
      <c r="DP552" s="98"/>
      <c r="DQ552" s="98"/>
      <c r="DR552" s="98"/>
    </row>
    <row r="553" spans="1:122">
      <c r="A553" s="13" t="s">
        <v>964</v>
      </c>
      <c r="B553" s="123"/>
      <c r="C553" s="123"/>
      <c r="D553" s="123"/>
      <c r="E553" s="123"/>
      <c r="F553" s="123"/>
      <c r="G553" s="123"/>
      <c r="H553" s="123"/>
      <c r="I553" s="281">
        <f t="shared" ref="I553:N553" si="858">I552/I551</f>
        <v>0.2886182108626198</v>
      </c>
      <c r="J553" s="281">
        <f t="shared" si="858"/>
        <v>0.28952653124275901</v>
      </c>
      <c r="K553" s="281">
        <f t="shared" si="858"/>
        <v>0.34128010626769673</v>
      </c>
      <c r="L553" s="281">
        <f t="shared" si="858"/>
        <v>0.37111572588257502</v>
      </c>
      <c r="M553" s="281">
        <f t="shared" si="858"/>
        <v>0.38561339469925404</v>
      </c>
      <c r="N553" s="281">
        <f t="shared" si="858"/>
        <v>0.39429646119597755</v>
      </c>
      <c r="O553" s="919"/>
      <c r="P553" s="849"/>
      <c r="Q553" s="849"/>
      <c r="R553" s="281">
        <f t="shared" ref="R553:W553" si="859">R552/R551</f>
        <v>0.42562372509022439</v>
      </c>
      <c r="S553" s="281">
        <f t="shared" si="859"/>
        <v>0.33726985307792445</v>
      </c>
      <c r="T553" s="281">
        <f t="shared" si="859"/>
        <v>0.32944867772299419</v>
      </c>
      <c r="U553" s="281">
        <f t="shared" si="859"/>
        <v>0.35190495698484225</v>
      </c>
      <c r="V553" s="281">
        <f t="shared" si="859"/>
        <v>0.31267719724584853</v>
      </c>
      <c r="W553" s="281">
        <f t="shared" si="859"/>
        <v>0.33661920408908363</v>
      </c>
      <c r="X553" s="849"/>
      <c r="Y553" s="849"/>
      <c r="Z553" s="1783">
        <f>Z552/Z551</f>
        <v>0.39355438487759531</v>
      </c>
      <c r="AA553" s="1783">
        <f>AA552/AA551</f>
        <v>0.36911536471805484</v>
      </c>
      <c r="AB553" s="2241"/>
      <c r="AC553" s="2241">
        <f>AA553</f>
        <v>0.36911536471805484</v>
      </c>
      <c r="AD553" s="367">
        <f>AC553</f>
        <v>0.36911536471805484</v>
      </c>
      <c r="AE553" s="367">
        <f>AD553</f>
        <v>0.36911536471805484</v>
      </c>
      <c r="AF553" s="367">
        <f t="shared" ref="AF553:AN553" si="860">AE553</f>
        <v>0.36911536471805484</v>
      </c>
      <c r="AG553" s="367">
        <f t="shared" si="860"/>
        <v>0.36911536471805484</v>
      </c>
      <c r="AH553" s="367">
        <f t="shared" si="860"/>
        <v>0.36911536471805484</v>
      </c>
      <c r="AI553" s="367">
        <f t="shared" si="860"/>
        <v>0.36911536471805484</v>
      </c>
      <c r="AJ553" s="367">
        <f t="shared" si="860"/>
        <v>0.36911536471805484</v>
      </c>
      <c r="AK553" s="367">
        <f t="shared" si="860"/>
        <v>0.36911536471805484</v>
      </c>
      <c r="AL553" s="2241">
        <f t="shared" si="860"/>
        <v>0.36911536471805484</v>
      </c>
      <c r="AM553" s="2241">
        <f t="shared" si="860"/>
        <v>0.36911536471805484</v>
      </c>
      <c r="AN553" s="2241">
        <f t="shared" si="860"/>
        <v>0.36911536471805484</v>
      </c>
      <c r="AO553" s="471"/>
      <c r="AP553" s="471"/>
      <c r="AQ553" s="471"/>
      <c r="AR553" s="471"/>
      <c r="AS553" s="471"/>
      <c r="AT553" s="119"/>
      <c r="AU553" s="11"/>
      <c r="AV553" s="6"/>
      <c r="AW553" s="89"/>
      <c r="AX553" s="89"/>
      <c r="AY553" s="89"/>
      <c r="AZ553" s="89"/>
      <c r="BA553" s="89"/>
      <c r="BB553" s="89"/>
      <c r="BC553" s="89"/>
      <c r="BD553" s="89"/>
      <c r="BE553" s="89"/>
      <c r="BF553" s="89"/>
      <c r="BG553" s="89"/>
      <c r="BH553" s="98"/>
      <c r="BI553" s="89"/>
      <c r="BJ553" s="89"/>
      <c r="BK553" s="89"/>
      <c r="BL553" s="89"/>
      <c r="BM553" s="89"/>
      <c r="BN553" s="89"/>
      <c r="BO553" s="89"/>
      <c r="BP553" s="89"/>
      <c r="BQ553" s="89"/>
      <c r="BR553" s="89"/>
      <c r="BS553" s="89"/>
      <c r="BT553" s="89"/>
      <c r="BU553" s="89"/>
      <c r="BV553" s="89"/>
      <c r="BW553" s="89"/>
      <c r="BX553" s="89"/>
      <c r="BY553" s="89"/>
      <c r="BZ553" s="89"/>
      <c r="CA553" s="89"/>
      <c r="CB553" s="89"/>
      <c r="CC553" s="89"/>
      <c r="CD553" s="89"/>
      <c r="CE553" s="89"/>
      <c r="CF553" s="89"/>
      <c r="CG553" s="89"/>
      <c r="CH553" s="89"/>
      <c r="CI553" s="89"/>
      <c r="CJ553" s="89"/>
      <c r="CK553" s="89"/>
      <c r="CL553" s="89"/>
      <c r="CM553" s="89"/>
      <c r="CN553" s="89"/>
      <c r="CO553" s="98"/>
      <c r="CP553" s="98"/>
      <c r="CQ553" s="98"/>
      <c r="CR553" s="98"/>
      <c r="CS553" s="98"/>
      <c r="CT553" s="1247"/>
      <c r="CU553" s="1247"/>
      <c r="CV553" s="1247"/>
      <c r="CW553" s="98"/>
      <c r="CX553" s="98"/>
      <c r="CY553" s="1247"/>
      <c r="CZ553" s="1247"/>
      <c r="DA553" s="1247"/>
      <c r="DB553" s="98"/>
      <c r="DC553" s="2925"/>
      <c r="DD553" s="98"/>
      <c r="DE553" s="98"/>
      <c r="DF553" s="98"/>
      <c r="DG553" s="98"/>
      <c r="DH553" s="98"/>
      <c r="DI553" s="98"/>
      <c r="DJ553" s="98"/>
      <c r="DK553" s="98"/>
      <c r="DL553" s="98"/>
      <c r="DM553" s="98"/>
      <c r="DN553" s="98"/>
      <c r="DO553" s="98"/>
      <c r="DP553" s="98"/>
      <c r="DQ553" s="98"/>
      <c r="DR553" s="98"/>
    </row>
    <row r="554" spans="1:122">
      <c r="A554" s="13" t="s">
        <v>955</v>
      </c>
      <c r="B554" s="72">
        <f t="shared" ref="B554:G554" si="861">B551-B552</f>
        <v>4236.2</v>
      </c>
      <c r="C554" s="72">
        <f t="shared" si="861"/>
        <v>4465.9999999999991</v>
      </c>
      <c r="D554" s="72">
        <f t="shared" si="861"/>
        <v>2452.1</v>
      </c>
      <c r="E554" s="72">
        <f t="shared" si="861"/>
        <v>2740.4</v>
      </c>
      <c r="F554" s="72">
        <f t="shared" si="861"/>
        <v>-2.8</v>
      </c>
      <c r="G554" s="72">
        <f t="shared" si="861"/>
        <v>-2.8</v>
      </c>
      <c r="H554" s="123"/>
      <c r="I554" s="842">
        <f>I551-I552</f>
        <v>1781.3000000000004</v>
      </c>
      <c r="J554" s="842">
        <f>J551-J552</f>
        <v>1839.6999999999996</v>
      </c>
      <c r="K554" s="842">
        <f>K551-K552</f>
        <v>1884.3999999999999</v>
      </c>
      <c r="L554" s="842">
        <f t="shared" ref="L554:W554" si="862">L551-L552</f>
        <v>1665.6</v>
      </c>
      <c r="M554" s="842">
        <f t="shared" si="862"/>
        <v>1548.5</v>
      </c>
      <c r="N554" s="842">
        <f t="shared" si="862"/>
        <v>1578.1000000000001</v>
      </c>
      <c r="O554" s="919"/>
      <c r="P554" s="842"/>
      <c r="Q554" s="842"/>
      <c r="R554" s="842">
        <f t="shared" si="862"/>
        <v>1464.1999999999998</v>
      </c>
      <c r="S554" s="842">
        <f>S551-S552</f>
        <v>1425.4</v>
      </c>
      <c r="T554" s="842">
        <f t="shared" si="862"/>
        <v>1496</v>
      </c>
      <c r="U554" s="842">
        <f>U551-U552</f>
        <v>1582</v>
      </c>
      <c r="V554" s="842">
        <f t="shared" si="862"/>
        <v>1697</v>
      </c>
      <c r="W554" s="842">
        <f t="shared" si="862"/>
        <v>1817</v>
      </c>
      <c r="X554" s="842"/>
      <c r="Y554" s="842"/>
      <c r="Z554" s="1559">
        <f>Z551-Z552</f>
        <v>1957</v>
      </c>
      <c r="AA554" s="1559">
        <f>AA551-AA552</f>
        <v>2439</v>
      </c>
      <c r="AB554" s="1559"/>
      <c r="AC554" s="1559">
        <f t="shared" ref="AC554:AH554" si="863">AC551-AC552</f>
        <v>2294.7328113860767</v>
      </c>
      <c r="AD554" s="842">
        <f>AD551-AD552</f>
        <v>2555.6363003359766</v>
      </c>
      <c r="AE554" s="842">
        <f t="shared" si="863"/>
        <v>2764.8730228428335</v>
      </c>
      <c r="AF554" s="842">
        <f t="shared" si="863"/>
        <v>3018.1247244446804</v>
      </c>
      <c r="AG554" s="842">
        <f t="shared" si="863"/>
        <v>3251.4586626352648</v>
      </c>
      <c r="AH554" s="842">
        <f t="shared" si="863"/>
        <v>3594.7704986910203</v>
      </c>
      <c r="AI554" s="842">
        <f t="shared" ref="AI554:AN554" si="864">AI551-AI552</f>
        <v>3880.4074711154226</v>
      </c>
      <c r="AJ554" s="842">
        <f t="shared" si="864"/>
        <v>4260.6736528026104</v>
      </c>
      <c r="AK554" s="842">
        <f t="shared" si="864"/>
        <v>4585.1288831015672</v>
      </c>
      <c r="AL554" s="1559">
        <f t="shared" si="864"/>
        <v>4958.3448079028794</v>
      </c>
      <c r="AM554" s="1559">
        <f t="shared" si="864"/>
        <v>5328.9877067696507</v>
      </c>
      <c r="AN554" s="1559">
        <f t="shared" si="864"/>
        <v>5982.2437223303677</v>
      </c>
      <c r="AO554" s="842"/>
      <c r="AP554" s="842"/>
      <c r="AQ554" s="842"/>
      <c r="AR554" s="842"/>
      <c r="AS554" s="842"/>
      <c r="AT554" s="73"/>
      <c r="AU554" s="11"/>
      <c r="AV554" s="6"/>
      <c r="AW554" s="89"/>
      <c r="AX554" s="89"/>
      <c r="AY554" s="89"/>
      <c r="AZ554" s="89"/>
      <c r="BA554" s="89"/>
      <c r="BB554" s="89"/>
      <c r="BC554" s="89"/>
      <c r="BD554" s="89"/>
      <c r="BE554" s="89"/>
      <c r="BF554" s="89"/>
      <c r="BG554" s="89"/>
      <c r="BH554" s="98"/>
      <c r="BI554" s="89"/>
      <c r="BJ554" s="89"/>
      <c r="BK554" s="89"/>
      <c r="BL554" s="89"/>
      <c r="BM554" s="89"/>
      <c r="BN554" s="89"/>
      <c r="BO554" s="89"/>
      <c r="BP554" s="89"/>
      <c r="BQ554" s="89"/>
      <c r="BR554" s="89"/>
      <c r="BS554" s="89"/>
      <c r="BT554" s="89"/>
      <c r="BU554" s="89"/>
      <c r="BV554" s="89"/>
      <c r="BW554" s="89"/>
      <c r="BX554" s="89"/>
      <c r="BY554" s="89"/>
      <c r="BZ554" s="89"/>
      <c r="CA554" s="89"/>
      <c r="CB554" s="89"/>
      <c r="CC554" s="89"/>
      <c r="CD554" s="89"/>
      <c r="CE554" s="89"/>
      <c r="CF554" s="89"/>
      <c r="CG554" s="89"/>
      <c r="CH554" s="89"/>
      <c r="CI554" s="89"/>
      <c r="CJ554" s="89"/>
      <c r="CK554" s="89"/>
      <c r="CL554" s="89"/>
      <c r="CM554" s="89"/>
      <c r="CN554" s="89"/>
      <c r="CO554" s="98"/>
      <c r="CP554" s="98"/>
      <c r="CQ554" s="98"/>
      <c r="CR554" s="98"/>
      <c r="CS554" s="98"/>
      <c r="CT554" s="1247"/>
      <c r="CU554" s="1247"/>
      <c r="CV554" s="1247"/>
      <c r="CW554" s="98"/>
      <c r="CX554" s="98"/>
      <c r="CY554" s="1247"/>
      <c r="CZ554" s="1247"/>
      <c r="DA554" s="1247"/>
      <c r="DB554" s="98"/>
      <c r="DC554" s="2925"/>
      <c r="DD554" s="98"/>
      <c r="DE554" s="98"/>
      <c r="DF554" s="98"/>
      <c r="DG554" s="98"/>
      <c r="DH554" s="98"/>
      <c r="DI554" s="98"/>
      <c r="DJ554" s="98"/>
      <c r="DK554" s="98"/>
      <c r="DL554" s="98"/>
      <c r="DM554" s="98"/>
      <c r="DN554" s="98"/>
      <c r="DO554" s="98"/>
      <c r="DP554" s="98"/>
      <c r="DQ554" s="98"/>
      <c r="DR554" s="98"/>
    </row>
    <row r="555" spans="1:122">
      <c r="A555" s="224" t="s">
        <v>410</v>
      </c>
      <c r="B555" s="123"/>
      <c r="C555" s="123"/>
      <c r="D555" s="123"/>
      <c r="E555" s="123"/>
      <c r="F555" s="123"/>
      <c r="G555" s="123"/>
      <c r="H555" s="123"/>
      <c r="I555" s="48">
        <f t="shared" ref="I555:N555" si="865">I199-I554</f>
        <v>0</v>
      </c>
      <c r="J555" s="48">
        <f t="shared" si="865"/>
        <v>0</v>
      </c>
      <c r="K555" s="48">
        <f t="shared" si="865"/>
        <v>0</v>
      </c>
      <c r="L555" s="48">
        <f t="shared" si="865"/>
        <v>0</v>
      </c>
      <c r="M555" s="48">
        <f t="shared" si="865"/>
        <v>0</v>
      </c>
      <c r="N555" s="48">
        <f t="shared" si="865"/>
        <v>0</v>
      </c>
      <c r="O555" s="919"/>
      <c r="P555" s="48"/>
      <c r="Q555" s="48"/>
      <c r="R555" s="48">
        <f t="shared" ref="R555:W555" si="866">R199-R554</f>
        <v>0</v>
      </c>
      <c r="S555" s="48">
        <f t="shared" si="866"/>
        <v>0</v>
      </c>
      <c r="T555" s="48">
        <f t="shared" si="866"/>
        <v>0</v>
      </c>
      <c r="U555" s="48">
        <f t="shared" si="866"/>
        <v>0</v>
      </c>
      <c r="V555" s="48">
        <f t="shared" si="866"/>
        <v>0</v>
      </c>
      <c r="W555" s="1816">
        <f t="shared" si="866"/>
        <v>0</v>
      </c>
      <c r="X555" s="48"/>
      <c r="Y555" s="2796"/>
      <c r="Z555" s="2796">
        <f>Z199-Z554</f>
        <v>0</v>
      </c>
      <c r="AA555" s="2796">
        <f>AA199-AA554</f>
        <v>0</v>
      </c>
      <c r="AB555" s="2796"/>
      <c r="AC555" s="1366">
        <f t="shared" ref="AC555:AK555" si="867">AC199-AC554</f>
        <v>0</v>
      </c>
      <c r="AD555" s="49">
        <f t="shared" si="867"/>
        <v>0</v>
      </c>
      <c r="AE555" s="49">
        <f t="shared" si="867"/>
        <v>0</v>
      </c>
      <c r="AF555" s="49">
        <f t="shared" si="867"/>
        <v>0</v>
      </c>
      <c r="AG555" s="49">
        <f t="shared" si="867"/>
        <v>0</v>
      </c>
      <c r="AH555" s="49">
        <f t="shared" si="867"/>
        <v>0</v>
      </c>
      <c r="AI555" s="49">
        <f t="shared" si="867"/>
        <v>0</v>
      </c>
      <c r="AJ555" s="49">
        <f t="shared" si="867"/>
        <v>0</v>
      </c>
      <c r="AK555" s="49">
        <f t="shared" si="867"/>
        <v>0</v>
      </c>
      <c r="AL555" s="1366">
        <f>AL199-AL554</f>
        <v>0</v>
      </c>
      <c r="AM555" s="1366">
        <f>AM199-AM554</f>
        <v>0</v>
      </c>
      <c r="AN555" s="1366">
        <f>AN199-AN554</f>
        <v>0</v>
      </c>
      <c r="AO555" s="49"/>
      <c r="AP555" s="49"/>
      <c r="AQ555" s="49"/>
      <c r="AR555" s="49"/>
      <c r="AS555" s="49"/>
      <c r="AT555" s="49"/>
      <c r="AU555" s="11"/>
      <c r="AV555" s="6"/>
      <c r="AW555" s="89"/>
      <c r="AX555" s="89"/>
      <c r="AY555" s="89"/>
      <c r="AZ555" s="89"/>
      <c r="BA555" s="89"/>
      <c r="BB555" s="89"/>
      <c r="BC555" s="89"/>
      <c r="BD555" s="89"/>
      <c r="BE555" s="89"/>
      <c r="BF555" s="89"/>
      <c r="BG555" s="89"/>
      <c r="BH555" s="98"/>
      <c r="BI555" s="89"/>
      <c r="BJ555" s="89"/>
      <c r="BK555" s="89"/>
      <c r="BL555" s="89"/>
      <c r="BM555" s="89"/>
      <c r="BN555" s="89"/>
      <c r="BO555" s="89"/>
      <c r="BP555" s="89"/>
      <c r="BQ555" s="89"/>
      <c r="BR555" s="89"/>
      <c r="BS555" s="89"/>
      <c r="BT555" s="89"/>
      <c r="BU555" s="89"/>
      <c r="BV555" s="89"/>
      <c r="BW555" s="89"/>
      <c r="BX555" s="89"/>
      <c r="BY555" s="89"/>
      <c r="BZ555" s="89"/>
      <c r="CA555" s="89"/>
      <c r="CB555" s="89"/>
      <c r="CC555" s="89"/>
      <c r="CD555" s="89"/>
      <c r="CE555" s="89"/>
      <c r="CF555" s="89"/>
      <c r="CG555" s="89"/>
      <c r="CH555" s="89"/>
      <c r="CI555" s="89"/>
      <c r="CJ555" s="89"/>
      <c r="CK555" s="89"/>
      <c r="CL555" s="89"/>
      <c r="CM555" s="89"/>
      <c r="CN555" s="89"/>
      <c r="CO555" s="98"/>
      <c r="CP555" s="98"/>
      <c r="CQ555" s="98"/>
      <c r="CR555" s="98"/>
      <c r="CS555" s="98"/>
      <c r="CT555" s="1247"/>
      <c r="CU555" s="1247"/>
      <c r="CV555" s="1247"/>
      <c r="CW555" s="98"/>
      <c r="CX555" s="98"/>
      <c r="CY555" s="1247"/>
      <c r="CZ555" s="1247"/>
      <c r="DA555" s="1247"/>
      <c r="DB555" s="98"/>
      <c r="DC555" s="2925"/>
      <c r="DD555" s="98"/>
      <c r="DE555" s="98"/>
      <c r="DF555" s="98"/>
      <c r="DG555" s="98"/>
      <c r="DH555" s="98"/>
      <c r="DI555" s="98"/>
      <c r="DJ555" s="98"/>
      <c r="DK555" s="98"/>
      <c r="DL555" s="98"/>
      <c r="DM555" s="98"/>
      <c r="DN555" s="98"/>
      <c r="DO555" s="98"/>
      <c r="DP555" s="98"/>
      <c r="DQ555" s="98"/>
      <c r="DR555" s="98"/>
    </row>
    <row r="556" spans="1:122">
      <c r="A556" s="223"/>
      <c r="B556" s="123"/>
      <c r="C556" s="123"/>
      <c r="D556" s="123"/>
      <c r="E556" s="123"/>
      <c r="F556" s="123"/>
      <c r="G556" s="123"/>
      <c r="H556" s="123"/>
      <c r="I556" s="123"/>
      <c r="J556" s="89"/>
      <c r="K556" s="89"/>
      <c r="L556" s="123"/>
      <c r="M556" s="123"/>
      <c r="N556" s="123"/>
      <c r="O556" s="919"/>
      <c r="P556" s="123"/>
      <c r="Q556" s="123"/>
      <c r="R556" s="123"/>
      <c r="S556" s="123"/>
      <c r="T556" s="123"/>
      <c r="U556" s="123"/>
      <c r="V556" s="123"/>
      <c r="W556" s="123"/>
      <c r="X556" s="123"/>
      <c r="Y556" s="123"/>
      <c r="Z556" s="1687"/>
      <c r="AA556" s="1687"/>
      <c r="AB556" s="1687"/>
      <c r="AC556" s="1687"/>
      <c r="AD556" s="127"/>
      <c r="AE556" s="127"/>
      <c r="AF556" s="127"/>
      <c r="AG556" s="127"/>
      <c r="AH556" s="127"/>
      <c r="AI556" s="127"/>
      <c r="AJ556" s="127"/>
      <c r="AK556" s="127"/>
      <c r="AL556" s="1687"/>
      <c r="AM556" s="1687"/>
      <c r="AN556" s="1687"/>
      <c r="AO556" s="127"/>
      <c r="AP556" s="127"/>
      <c r="AQ556" s="127"/>
      <c r="AR556" s="127"/>
      <c r="AS556" s="127"/>
      <c r="AT556" s="127"/>
      <c r="AU556" s="11"/>
      <c r="AV556" s="6"/>
      <c r="AW556" s="89"/>
      <c r="AX556" s="89"/>
      <c r="AY556" s="89"/>
      <c r="AZ556" s="89"/>
      <c r="BA556" s="89"/>
      <c r="BB556" s="89"/>
      <c r="BC556" s="89"/>
      <c r="BD556" s="89"/>
      <c r="BE556" s="89"/>
      <c r="BF556" s="89"/>
      <c r="BG556" s="89"/>
      <c r="BH556" s="98"/>
      <c r="BI556" s="89"/>
      <c r="BJ556" s="89"/>
      <c r="BK556" s="89"/>
      <c r="BL556" s="89"/>
      <c r="BM556" s="89"/>
      <c r="BN556" s="89"/>
      <c r="BO556" s="89"/>
      <c r="BP556" s="89"/>
      <c r="BQ556" s="89"/>
      <c r="BR556" s="89"/>
      <c r="BS556" s="89"/>
      <c r="BT556" s="89"/>
      <c r="BU556" s="89"/>
      <c r="BV556" s="89"/>
      <c r="BW556" s="89"/>
      <c r="BX556" s="89"/>
      <c r="BY556" s="89"/>
      <c r="BZ556" s="89"/>
      <c r="CA556" s="89"/>
      <c r="CB556" s="89"/>
      <c r="CC556" s="89"/>
      <c r="CD556" s="89"/>
      <c r="CE556" s="89"/>
      <c r="CF556" s="89"/>
      <c r="CG556" s="89"/>
      <c r="CH556" s="89"/>
      <c r="CI556" s="89"/>
      <c r="CJ556" s="89"/>
      <c r="CK556" s="89"/>
      <c r="CL556" s="89"/>
      <c r="CM556" s="89"/>
      <c r="CN556" s="89"/>
      <c r="CO556" s="98"/>
      <c r="CP556" s="98"/>
      <c r="CQ556" s="98"/>
      <c r="CR556" s="98"/>
      <c r="CS556" s="98"/>
      <c r="CT556" s="1247"/>
      <c r="CU556" s="1247"/>
      <c r="CV556" s="1247"/>
      <c r="CW556" s="98"/>
      <c r="CX556" s="98"/>
      <c r="CY556" s="1247"/>
      <c r="CZ556" s="1247"/>
      <c r="DA556" s="1247"/>
      <c r="DB556" s="98"/>
      <c r="DC556" s="2925"/>
      <c r="DD556" s="98"/>
      <c r="DE556" s="98"/>
      <c r="DF556" s="98"/>
      <c r="DG556" s="98"/>
      <c r="DH556" s="98"/>
      <c r="DI556" s="98"/>
      <c r="DJ556" s="98"/>
      <c r="DK556" s="98"/>
      <c r="DL556" s="98"/>
      <c r="DM556" s="98"/>
      <c r="DN556" s="98"/>
      <c r="DO556" s="98"/>
      <c r="DP556" s="98"/>
      <c r="DQ556" s="98"/>
      <c r="DR556" s="98"/>
    </row>
    <row r="557" spans="1:122">
      <c r="A557" s="216" t="s">
        <v>1320</v>
      </c>
      <c r="B557" s="123"/>
      <c r="C557" s="123"/>
      <c r="D557" s="123"/>
      <c r="E557" s="123"/>
      <c r="F557" s="123"/>
      <c r="G557" s="123"/>
      <c r="H557" s="123"/>
      <c r="I557" s="842">
        <f>'Revenue and OCF'!P35</f>
        <v>8680.5</v>
      </c>
      <c r="J557" s="842">
        <f>'Revenue and OCF'!Q35</f>
        <v>9448.5</v>
      </c>
      <c r="K557" s="842">
        <f>'Revenue and OCF'!R35</f>
        <v>9325.2000000000007</v>
      </c>
      <c r="L557" s="842">
        <f>'Revenue and OCF'!S35</f>
        <v>9487.1</v>
      </c>
      <c r="M557" s="842">
        <f>'Revenue and OCF'!T35</f>
        <v>9107.6</v>
      </c>
      <c r="N557" s="842">
        <f>'Revenue and OCF'!U35</f>
        <v>9130.9209999999985</v>
      </c>
      <c r="O557" s="919"/>
      <c r="P557" s="842"/>
      <c r="Q557" s="842"/>
      <c r="R557" s="842">
        <f>'Revenue and OCF'!Y35</f>
        <v>8920.2775538125006</v>
      </c>
      <c r="S557" s="842">
        <f>'Revenue and OCF'!Z35</f>
        <v>9746.3347968581547</v>
      </c>
      <c r="T557" s="842">
        <f>'Revenue and OCF'!AA35</f>
        <v>9872.2779027474917</v>
      </c>
      <c r="U557" s="842">
        <f>'Revenue and OCF'!AB35</f>
        <v>10343.538390966376</v>
      </c>
      <c r="V557" s="842">
        <f>'Revenue and OCF'!AC35</f>
        <v>11437.761992194752</v>
      </c>
      <c r="W557" s="842">
        <f>'Revenue and OCF'!AD35</f>
        <v>11240.842460706477</v>
      </c>
      <c r="X557" s="842"/>
      <c r="Y557" s="842"/>
      <c r="Z557" s="1559">
        <f>'Revenue and OCF'!AG35</f>
        <v>11529.892644457748</v>
      </c>
      <c r="AA557" s="1559">
        <f>'Revenue and OCF'!AH35</f>
        <v>12049.288927399981</v>
      </c>
      <c r="AB557" s="1559"/>
      <c r="AC557" s="1559">
        <f>'Revenue and OCF'!AJ35</f>
        <v>12382.53366448658</v>
      </c>
      <c r="AD557" s="842">
        <f>'Revenue and OCF'!AK35</f>
        <v>13237.028843585811</v>
      </c>
      <c r="AE557" s="842">
        <f>'Revenue and OCF'!AL35</f>
        <v>14311.747117688974</v>
      </c>
      <c r="AF557" s="842">
        <f>'Revenue and OCF'!AM35</f>
        <v>14863.459433598324</v>
      </c>
      <c r="AG557" s="842">
        <f>'Revenue and OCF'!AN35</f>
        <v>15551.885597481518</v>
      </c>
      <c r="AH557" s="842">
        <f>'Revenue and OCF'!AO35</f>
        <v>16660.996993368666</v>
      </c>
      <c r="AI557" s="842">
        <f>'Revenue and OCF'!AP35</f>
        <v>16573.204592255097</v>
      </c>
      <c r="AJ557" s="842">
        <f>'Revenue and OCF'!AQ35</f>
        <v>17119.043432255017</v>
      </c>
      <c r="AK557" s="842">
        <f>'Revenue and OCF'!AR35</f>
        <v>18104.587793899384</v>
      </c>
      <c r="AL557" s="1559">
        <f>'Revenue and OCF'!AS35</f>
        <v>17936.976013038977</v>
      </c>
      <c r="AM557" s="1559">
        <f>'Revenue and OCF'!AT35</f>
        <v>18326.832100709467</v>
      </c>
      <c r="AN557" s="1559">
        <f>'Revenue and OCF'!AU35</f>
        <v>19583.511850217754</v>
      </c>
      <c r="AO557" s="842"/>
      <c r="AP557" s="842"/>
      <c r="AQ557" s="842"/>
      <c r="AR557" s="842"/>
      <c r="AS557" s="842"/>
      <c r="AT557" s="225"/>
      <c r="AU557" s="11"/>
      <c r="AV557" s="6"/>
      <c r="AW557" s="89"/>
      <c r="AX557" s="89"/>
      <c r="AY557" s="89"/>
      <c r="AZ557" s="89"/>
      <c r="BA557" s="89"/>
      <c r="BB557" s="89"/>
      <c r="BC557" s="89"/>
      <c r="BD557" s="89"/>
      <c r="BE557" s="89"/>
      <c r="BF557" s="89"/>
      <c r="BG557" s="89"/>
      <c r="BH557" s="98"/>
      <c r="BI557" s="89"/>
      <c r="BJ557" s="89"/>
      <c r="BK557" s="89"/>
      <c r="BL557" s="89"/>
      <c r="BM557" s="89"/>
      <c r="BN557" s="89"/>
      <c r="BO557" s="89"/>
      <c r="BP557" s="89"/>
      <c r="BQ557" s="89"/>
      <c r="BR557" s="89"/>
      <c r="BS557" s="89"/>
      <c r="BT557" s="89"/>
      <c r="BU557" s="89"/>
      <c r="BV557" s="89"/>
      <c r="BW557" s="89"/>
      <c r="BX557" s="89"/>
      <c r="BY557" s="89"/>
      <c r="BZ557" s="89"/>
      <c r="CA557" s="89"/>
      <c r="CB557" s="89"/>
      <c r="CC557" s="89"/>
      <c r="CD557" s="89"/>
      <c r="CE557" s="89"/>
      <c r="CF557" s="89"/>
      <c r="CG557" s="89"/>
      <c r="CH557" s="89"/>
      <c r="CI557" s="89"/>
      <c r="CJ557" s="89"/>
      <c r="CK557" s="89"/>
      <c r="CL557" s="89"/>
      <c r="CM557" s="89"/>
      <c r="CN557" s="89"/>
      <c r="CO557" s="98"/>
      <c r="CP557" s="98"/>
      <c r="CQ557" s="98"/>
      <c r="CR557" s="98"/>
      <c r="CS557" s="98"/>
      <c r="CT557" s="1247"/>
      <c r="CU557" s="1247"/>
      <c r="CV557" s="1247"/>
      <c r="CW557" s="98"/>
      <c r="CX557" s="98"/>
      <c r="CY557" s="1247"/>
      <c r="CZ557" s="1247"/>
      <c r="DA557" s="1247"/>
      <c r="DB557" s="98"/>
      <c r="DC557" s="2925"/>
      <c r="DD557" s="98"/>
      <c r="DE557" s="98"/>
      <c r="DF557" s="98"/>
      <c r="DG557" s="98"/>
      <c r="DH557" s="98"/>
      <c r="DI557" s="98"/>
      <c r="DJ557" s="98"/>
      <c r="DK557" s="98"/>
      <c r="DL557" s="98"/>
      <c r="DM557" s="98"/>
      <c r="DN557" s="98"/>
      <c r="DO557" s="98"/>
      <c r="DP557" s="98"/>
      <c r="DQ557" s="98"/>
      <c r="DR557" s="98"/>
    </row>
    <row r="558" spans="1:122">
      <c r="A558" s="216" t="s">
        <v>1322</v>
      </c>
      <c r="B558" s="123"/>
      <c r="C558" s="123"/>
      <c r="D558" s="123"/>
      <c r="E558" s="123"/>
      <c r="F558" s="123"/>
      <c r="G558" s="123"/>
      <c r="H558" s="123"/>
      <c r="I558" s="192">
        <f>'Revenue and OCF'!P7</f>
        <v>2097.6</v>
      </c>
      <c r="J558" s="192">
        <f>'Revenue and OCF'!Q7</f>
        <v>2096.1</v>
      </c>
      <c r="K558" s="192">
        <f>'Revenue and OCF'!R7</f>
        <v>2114.8000000000002</v>
      </c>
      <c r="L558" s="192">
        <f>'Revenue and OCF'!S7</f>
        <v>1959.9</v>
      </c>
      <c r="M558" s="192">
        <f>'Revenue and OCF'!T7</f>
        <v>1753.6999999999998</v>
      </c>
      <c r="N558" s="192">
        <f>'Revenue and OCF'!U7</f>
        <v>1539.1000000000001</v>
      </c>
      <c r="O558" s="919"/>
      <c r="P558" s="192"/>
      <c r="Q558" s="192"/>
      <c r="R558" s="192">
        <f>'Revenue and OCF'!Y7</f>
        <v>1222.4000000000001</v>
      </c>
      <c r="S558" s="192">
        <f>'Revenue and OCF'!Z7</f>
        <v>1336.3519999999999</v>
      </c>
      <c r="T558" s="192">
        <f>'Revenue and OCF'!AA7</f>
        <v>1340.2</v>
      </c>
      <c r="U558" s="192">
        <f>'Revenue and OCF'!AB7</f>
        <v>1313.4</v>
      </c>
      <c r="V558" s="192">
        <f>'Revenue and OCF'!AC7</f>
        <v>1306.4000000000001</v>
      </c>
      <c r="W558" s="192">
        <f>'Revenue and OCF'!AD7</f>
        <v>1303</v>
      </c>
      <c r="X558" s="192"/>
      <c r="Y558" s="192"/>
      <c r="Z558" s="1368">
        <f>'Revenue and OCF'!AG7</f>
        <v>1232</v>
      </c>
      <c r="AA558" s="1368">
        <f>'Revenue and OCF'!AH7</f>
        <v>1220</v>
      </c>
      <c r="AB558" s="1368"/>
      <c r="AC558" s="1368">
        <f>'Revenue and OCF'!AJ7</f>
        <v>0</v>
      </c>
      <c r="AD558" s="192">
        <f>'Revenue and OCF'!AK7</f>
        <v>0</v>
      </c>
      <c r="AE558" s="192">
        <f>'Revenue and OCF'!AL7</f>
        <v>0</v>
      </c>
      <c r="AF558" s="192">
        <f>'Revenue and OCF'!AM7</f>
        <v>0</v>
      </c>
      <c r="AG558" s="192">
        <f>'Revenue and OCF'!AN7</f>
        <v>0</v>
      </c>
      <c r="AH558" s="192">
        <f>'Revenue and OCF'!AO7</f>
        <v>0</v>
      </c>
      <c r="AI558" s="192">
        <f>'Revenue and OCF'!AP7</f>
        <v>0</v>
      </c>
      <c r="AJ558" s="192">
        <f>'Revenue and OCF'!AQ7</f>
        <v>0</v>
      </c>
      <c r="AK558" s="192">
        <f>'Revenue and OCF'!AR7</f>
        <v>0</v>
      </c>
      <c r="AL558" s="1368">
        <f>'Revenue and OCF'!AS7</f>
        <v>0</v>
      </c>
      <c r="AM558" s="1368">
        <f>'Revenue and OCF'!AT7</f>
        <v>0</v>
      </c>
      <c r="AN558" s="1368">
        <f>'Revenue and OCF'!AU7</f>
        <v>0</v>
      </c>
      <c r="AO558" s="192"/>
      <c r="AP558" s="192"/>
      <c r="AQ558" s="192"/>
      <c r="AR558" s="192"/>
      <c r="AS558" s="192"/>
      <c r="AT558" s="225"/>
      <c r="AU558" s="11"/>
      <c r="AV558" s="6"/>
      <c r="AW558" s="89"/>
      <c r="AX558" s="89"/>
      <c r="AY558" s="89"/>
      <c r="AZ558" s="89"/>
      <c r="BA558" s="89"/>
      <c r="BB558" s="89"/>
      <c r="BC558" s="89"/>
      <c r="BD558" s="89"/>
      <c r="BE558" s="89"/>
      <c r="BF558" s="89"/>
      <c r="BG558" s="89"/>
      <c r="BH558" s="98"/>
      <c r="BI558" s="89"/>
      <c r="BJ558" s="89"/>
      <c r="BK558" s="89"/>
      <c r="BL558" s="89"/>
      <c r="BM558" s="89"/>
      <c r="BN558" s="89"/>
      <c r="BO558" s="89"/>
      <c r="BP558" s="89"/>
      <c r="BQ558" s="89"/>
      <c r="BR558" s="89"/>
      <c r="BS558" s="89"/>
      <c r="BT558" s="89"/>
      <c r="BU558" s="89"/>
      <c r="BV558" s="89"/>
      <c r="BW558" s="89"/>
      <c r="BX558" s="89"/>
      <c r="BY558" s="89"/>
      <c r="BZ558" s="89"/>
      <c r="CA558" s="89"/>
      <c r="CB558" s="89"/>
      <c r="CC558" s="89"/>
      <c r="CD558" s="89"/>
      <c r="CE558" s="89"/>
      <c r="CF558" s="89"/>
      <c r="CG558" s="89"/>
      <c r="CH558" s="89"/>
      <c r="CI558" s="89"/>
      <c r="CJ558" s="89"/>
      <c r="CK558" s="89"/>
      <c r="CL558" s="89"/>
      <c r="CM558" s="89"/>
      <c r="CN558" s="89"/>
      <c r="CO558" s="98"/>
      <c r="CP558" s="98"/>
      <c r="CQ558" s="98"/>
      <c r="CR558" s="98"/>
      <c r="CS558" s="98"/>
      <c r="CT558" s="1247"/>
      <c r="CU558" s="1247"/>
      <c r="CV558" s="1247"/>
      <c r="CW558" s="98"/>
      <c r="CX558" s="98"/>
      <c r="CY558" s="1247"/>
      <c r="CZ558" s="1247"/>
      <c r="DA558" s="1247"/>
      <c r="DB558" s="98"/>
      <c r="DC558" s="2925"/>
      <c r="DD558" s="98"/>
      <c r="DE558" s="98"/>
      <c r="DF558" s="98"/>
      <c r="DG558" s="98"/>
      <c r="DH558" s="98"/>
      <c r="DI558" s="98"/>
      <c r="DJ558" s="98"/>
      <c r="DK558" s="98"/>
      <c r="DL558" s="98"/>
      <c r="DM558" s="98"/>
      <c r="DN558" s="98"/>
      <c r="DO558" s="98"/>
      <c r="DP558" s="98"/>
      <c r="DQ558" s="98"/>
      <c r="DR558" s="98"/>
    </row>
    <row r="559" spans="1:122">
      <c r="A559" s="218" t="s">
        <v>1321</v>
      </c>
      <c r="B559" s="123"/>
      <c r="C559" s="123"/>
      <c r="D559" s="123"/>
      <c r="E559" s="123"/>
      <c r="F559" s="123"/>
      <c r="G559" s="123"/>
      <c r="H559" s="123"/>
      <c r="I559" s="843">
        <f>'Revenue and OCF'!P64</f>
        <v>1069.3</v>
      </c>
      <c r="J559" s="843">
        <f>'Revenue and OCF'!Q64</f>
        <v>1160.8</v>
      </c>
      <c r="K559" s="843">
        <f>'Revenue and OCF'!R64</f>
        <v>1187.0999999999999</v>
      </c>
      <c r="L559" s="843">
        <f>'Revenue and OCF'!S64</f>
        <v>807</v>
      </c>
      <c r="M559" s="843">
        <f>'Revenue and OCF'!T64</f>
        <v>886.1</v>
      </c>
      <c r="N559" s="843">
        <f>'Revenue and OCF'!U64</f>
        <v>857.7</v>
      </c>
      <c r="O559" s="919"/>
      <c r="P559" s="843"/>
      <c r="Q559" s="843"/>
      <c r="R559" s="843">
        <f>'Revenue and OCF'!Y64</f>
        <v>793.5</v>
      </c>
      <c r="S559" s="843">
        <f>'Revenue and OCF'!Z64</f>
        <v>790.8</v>
      </c>
      <c r="T559" s="843">
        <f>'Revenue and OCF'!AA64</f>
        <v>787</v>
      </c>
      <c r="U559" s="843">
        <f>'Revenue and OCF'!AB64</f>
        <v>790</v>
      </c>
      <c r="V559" s="843">
        <f>'Revenue and OCF'!AC64</f>
        <v>809</v>
      </c>
      <c r="W559" s="843">
        <f>'Revenue and OCF'!AD64</f>
        <v>778</v>
      </c>
      <c r="X559" s="843"/>
      <c r="Y559" s="843"/>
      <c r="Z559" s="2239">
        <f>'Revenue and OCF'!AG64</f>
        <v>780</v>
      </c>
      <c r="AA559" s="2239">
        <f>'Revenue and OCF'!AH64</f>
        <v>767</v>
      </c>
      <c r="AB559" s="2239"/>
      <c r="AC559" s="2239">
        <f>'Revenue and OCF'!AJ64</f>
        <v>804</v>
      </c>
      <c r="AD559" s="843">
        <f>'Revenue and OCF'!AK64</f>
        <v>816.06</v>
      </c>
      <c r="AE559" s="843">
        <f>'Revenue and OCF'!AL64</f>
        <v>832.38119999999992</v>
      </c>
      <c r="AF559" s="843">
        <f>'Revenue and OCF'!AM64</f>
        <v>849.02882399999999</v>
      </c>
      <c r="AG559" s="843">
        <f>'Revenue and OCF'!AN64</f>
        <v>866.00940047999995</v>
      </c>
      <c r="AH559" s="843">
        <f>'Revenue and OCF'!AO64</f>
        <v>883.32958848959993</v>
      </c>
      <c r="AI559" s="843">
        <f>'Revenue and OCF'!AP64</f>
        <v>900.99618025939196</v>
      </c>
      <c r="AJ559" s="843">
        <f>'Revenue and OCF'!AQ64</f>
        <v>919.0161038645798</v>
      </c>
      <c r="AK559" s="843">
        <f>'Revenue and OCF'!AR64</f>
        <v>937.39642594187137</v>
      </c>
      <c r="AL559" s="2239">
        <f>'Revenue and OCF'!AS64</f>
        <v>956.14435446070877</v>
      </c>
      <c r="AM559" s="2239">
        <f>'Revenue and OCF'!AT64</f>
        <v>975.26724154992291</v>
      </c>
      <c r="AN559" s="2239">
        <f>'Revenue and OCF'!AU64</f>
        <v>994.77258638092144</v>
      </c>
      <c r="AO559" s="1215"/>
      <c r="AP559" s="1215"/>
      <c r="AQ559" s="1215"/>
      <c r="AR559" s="1215"/>
      <c r="AS559" s="1215"/>
      <c r="AT559" s="226"/>
      <c r="AU559" s="11"/>
      <c r="AV559" s="6"/>
      <c r="AW559" s="89"/>
      <c r="AX559" s="89"/>
      <c r="AY559" s="89"/>
      <c r="AZ559" s="89"/>
      <c r="BA559" s="89"/>
      <c r="BB559" s="89"/>
      <c r="BC559" s="89"/>
      <c r="BD559" s="89"/>
      <c r="BE559" s="89"/>
      <c r="BF559" s="89"/>
      <c r="BG559" s="89"/>
      <c r="BH559" s="98"/>
      <c r="BI559" s="89"/>
      <c r="BJ559" s="89"/>
      <c r="BK559" s="89"/>
      <c r="BL559" s="89"/>
      <c r="BM559" s="89"/>
      <c r="BN559" s="89"/>
      <c r="BO559" s="89"/>
      <c r="BP559" s="89"/>
      <c r="BQ559" s="89"/>
      <c r="BR559" s="89"/>
      <c r="BS559" s="89"/>
      <c r="BT559" s="89"/>
      <c r="BU559" s="89"/>
      <c r="BV559" s="89"/>
      <c r="BW559" s="89"/>
      <c r="BX559" s="89"/>
      <c r="BY559" s="89"/>
      <c r="BZ559" s="89"/>
      <c r="CA559" s="89"/>
      <c r="CB559" s="89"/>
      <c r="CC559" s="89"/>
      <c r="CD559" s="89"/>
      <c r="CE559" s="89"/>
      <c r="CF559" s="89"/>
      <c r="CG559" s="89"/>
      <c r="CH559" s="89"/>
      <c r="CI559" s="89"/>
      <c r="CJ559" s="89"/>
      <c r="CK559" s="89"/>
      <c r="CL559" s="89"/>
      <c r="CM559" s="89"/>
      <c r="CN559" s="89"/>
      <c r="CO559" s="98"/>
      <c r="CP559" s="98"/>
      <c r="CQ559" s="98"/>
      <c r="CR559" s="98"/>
      <c r="CS559" s="98"/>
      <c r="CT559" s="1247"/>
      <c r="CU559" s="1247"/>
      <c r="CV559" s="1247"/>
      <c r="CW559" s="98"/>
      <c r="CX559" s="98"/>
      <c r="CY559" s="1247"/>
      <c r="CZ559" s="1247"/>
      <c r="DA559" s="1247"/>
      <c r="DB559" s="98"/>
      <c r="DC559" s="2925"/>
      <c r="DD559" s="98"/>
      <c r="DE559" s="98"/>
      <c r="DF559" s="98"/>
      <c r="DG559" s="98"/>
      <c r="DH559" s="98"/>
      <c r="DI559" s="98"/>
      <c r="DJ559" s="98"/>
      <c r="DK559" s="98"/>
      <c r="DL559" s="98"/>
      <c r="DM559" s="98"/>
      <c r="DN559" s="98"/>
      <c r="DO559" s="98"/>
      <c r="DP559" s="98"/>
      <c r="DQ559" s="98"/>
      <c r="DR559" s="98"/>
    </row>
    <row r="560" spans="1:122">
      <c r="A560" s="216" t="s">
        <v>802</v>
      </c>
      <c r="B560" s="123"/>
      <c r="C560" s="123"/>
      <c r="D560" s="123"/>
      <c r="E560" s="123"/>
      <c r="F560" s="123"/>
      <c r="G560" s="123"/>
      <c r="H560" s="123"/>
      <c r="I560" s="842">
        <f t="shared" ref="I560:AF560" si="868">I557+I559</f>
        <v>9749.7999999999993</v>
      </c>
      <c r="J560" s="842">
        <f t="shared" si="868"/>
        <v>10609.3</v>
      </c>
      <c r="K560" s="842">
        <f t="shared" si="868"/>
        <v>10512.300000000001</v>
      </c>
      <c r="L560" s="842">
        <f t="shared" si="868"/>
        <v>10294.1</v>
      </c>
      <c r="M560" s="842">
        <f t="shared" si="868"/>
        <v>9993.7000000000007</v>
      </c>
      <c r="N560" s="842">
        <f t="shared" si="868"/>
        <v>9988.6209999999992</v>
      </c>
      <c r="O560" s="919"/>
      <c r="P560" s="842"/>
      <c r="Q560" s="842"/>
      <c r="R560" s="842">
        <f t="shared" si="868"/>
        <v>9713.7775538125006</v>
      </c>
      <c r="S560" s="842">
        <f t="shared" si="868"/>
        <v>10537.134796858154</v>
      </c>
      <c r="T560" s="842">
        <f t="shared" si="868"/>
        <v>10659.277902747492</v>
      </c>
      <c r="U560" s="842">
        <f t="shared" si="868"/>
        <v>11133.538390966376</v>
      </c>
      <c r="V560" s="842">
        <f t="shared" si="868"/>
        <v>12246.761992194752</v>
      </c>
      <c r="W560" s="842">
        <f t="shared" si="868"/>
        <v>12018.842460706477</v>
      </c>
      <c r="X560" s="842"/>
      <c r="Y560" s="842"/>
      <c r="Z560" s="1559">
        <f t="shared" si="868"/>
        <v>12309.892644457748</v>
      </c>
      <c r="AA560" s="1559">
        <f t="shared" ref="AA560" si="869">AA557+AA559</f>
        <v>12816.288927399981</v>
      </c>
      <c r="AB560" s="1559"/>
      <c r="AC560" s="1559">
        <f t="shared" si="868"/>
        <v>13186.53366448658</v>
      </c>
      <c r="AD560" s="842">
        <f t="shared" si="868"/>
        <v>14053.088843585811</v>
      </c>
      <c r="AE560" s="842">
        <f t="shared" si="868"/>
        <v>15144.128317688974</v>
      </c>
      <c r="AF560" s="842">
        <f t="shared" si="868"/>
        <v>15712.488257598325</v>
      </c>
      <c r="AG560" s="842">
        <f t="shared" ref="AG560:AL560" si="870">AG557+AG559</f>
        <v>16417.894997961517</v>
      </c>
      <c r="AH560" s="842">
        <f t="shared" si="870"/>
        <v>17544.326581858266</v>
      </c>
      <c r="AI560" s="842">
        <f t="shared" si="870"/>
        <v>17474.20077251449</v>
      </c>
      <c r="AJ560" s="842">
        <f t="shared" si="870"/>
        <v>18038.059536119596</v>
      </c>
      <c r="AK560" s="842">
        <f t="shared" si="870"/>
        <v>19041.984219841255</v>
      </c>
      <c r="AL560" s="1559">
        <f t="shared" si="870"/>
        <v>18893.120367499687</v>
      </c>
      <c r="AM560" s="1559">
        <f>AM557+AM559</f>
        <v>19302.099342259389</v>
      </c>
      <c r="AN560" s="1559">
        <f>AN557+AN559</f>
        <v>20578.284436598675</v>
      </c>
      <c r="AO560" s="842"/>
      <c r="AP560" s="842"/>
      <c r="AQ560" s="842"/>
      <c r="AR560" s="842"/>
      <c r="AS560" s="842"/>
      <c r="AT560" s="14"/>
      <c r="AU560" s="11"/>
      <c r="AV560" s="6"/>
      <c r="AW560" s="89"/>
      <c r="AX560" s="89"/>
      <c r="AY560" s="89"/>
      <c r="AZ560" s="89"/>
      <c r="BA560" s="89"/>
      <c r="BB560" s="89"/>
      <c r="BC560" s="89"/>
      <c r="BD560" s="89"/>
      <c r="BE560" s="89"/>
      <c r="BF560" s="89"/>
      <c r="BG560" s="89"/>
      <c r="BH560" s="98"/>
      <c r="BI560" s="89"/>
      <c r="BJ560" s="89"/>
      <c r="BK560" s="89"/>
      <c r="BL560" s="89"/>
      <c r="BM560" s="89"/>
      <c r="BN560" s="89"/>
      <c r="BO560" s="89"/>
      <c r="BP560" s="89"/>
      <c r="BQ560" s="89"/>
      <c r="BR560" s="89"/>
      <c r="BS560" s="89"/>
      <c r="BT560" s="89"/>
      <c r="BU560" s="89"/>
      <c r="BV560" s="89"/>
      <c r="BW560" s="89"/>
      <c r="BX560" s="89"/>
      <c r="BY560" s="89"/>
      <c r="BZ560" s="89"/>
      <c r="CA560" s="89"/>
      <c r="CB560" s="89"/>
      <c r="CC560" s="89"/>
      <c r="CD560" s="89"/>
      <c r="CE560" s="89"/>
      <c r="CF560" s="89"/>
      <c r="CG560" s="89"/>
      <c r="CH560" s="89"/>
      <c r="CI560" s="89"/>
      <c r="CJ560" s="89"/>
      <c r="CK560" s="89"/>
      <c r="CL560" s="89"/>
      <c r="CM560" s="89"/>
      <c r="CN560" s="89"/>
      <c r="CO560" s="98"/>
      <c r="CP560" s="98"/>
      <c r="CQ560" s="98"/>
      <c r="CR560" s="98"/>
      <c r="CS560" s="98"/>
      <c r="CT560" s="1247"/>
      <c r="CU560" s="1247"/>
      <c r="CV560" s="1247"/>
      <c r="CW560" s="98"/>
      <c r="CX560" s="98"/>
      <c r="CY560" s="1247"/>
      <c r="CZ560" s="1247"/>
      <c r="DA560" s="1247"/>
      <c r="DB560" s="98"/>
      <c r="DC560" s="2925"/>
      <c r="DD560" s="98"/>
      <c r="DE560" s="98"/>
      <c r="DF560" s="98"/>
      <c r="DG560" s="98"/>
      <c r="DH560" s="98"/>
      <c r="DI560" s="98"/>
      <c r="DJ560" s="98"/>
      <c r="DK560" s="98"/>
      <c r="DL560" s="98"/>
      <c r="DM560" s="98"/>
      <c r="DN560" s="98"/>
      <c r="DO560" s="98"/>
      <c r="DP560" s="98"/>
      <c r="DQ560" s="98"/>
      <c r="DR560" s="98"/>
    </row>
    <row r="561" spans="1:122">
      <c r="A561" s="223"/>
      <c r="B561" s="123"/>
      <c r="C561" s="123"/>
      <c r="D561" s="123"/>
      <c r="E561" s="123"/>
      <c r="F561" s="123"/>
      <c r="G561" s="123"/>
      <c r="H561" s="123"/>
      <c r="I561" s="123"/>
      <c r="J561" s="89"/>
      <c r="K561" s="89"/>
      <c r="L561" s="123"/>
      <c r="M561" s="123"/>
      <c r="N561" s="123"/>
      <c r="O561" s="919"/>
      <c r="P561" s="123"/>
      <c r="Q561" s="123"/>
      <c r="R561" s="123"/>
      <c r="S561" s="123"/>
      <c r="T561" s="123"/>
      <c r="U561" s="123"/>
      <c r="V561" s="123"/>
      <c r="W561" s="123"/>
      <c r="X561" s="123"/>
      <c r="Y561" s="123"/>
      <c r="Z561" s="1687"/>
      <c r="AA561" s="1687"/>
      <c r="AB561" s="1687"/>
      <c r="AC561" s="1687"/>
      <c r="AD561" s="127"/>
      <c r="AE561" s="127"/>
      <c r="AF561" s="127"/>
      <c r="AG561" s="127"/>
      <c r="AH561" s="127"/>
      <c r="AI561" s="127"/>
      <c r="AJ561" s="127"/>
      <c r="AK561" s="127"/>
      <c r="AL561" s="1687"/>
      <c r="AM561" s="127"/>
      <c r="AN561" s="127"/>
      <c r="AO561" s="127"/>
      <c r="AP561" s="127"/>
      <c r="AQ561" s="127"/>
      <c r="AR561" s="127"/>
      <c r="AS561" s="127"/>
      <c r="AT561" s="127"/>
      <c r="AU561" s="11"/>
      <c r="AV561" s="6"/>
      <c r="AW561" s="89"/>
      <c r="AX561" s="89"/>
      <c r="AY561" s="89"/>
      <c r="AZ561" s="89"/>
      <c r="BA561" s="89"/>
      <c r="BB561" s="89"/>
      <c r="BC561" s="89"/>
      <c r="BD561" s="89"/>
      <c r="BE561" s="89"/>
      <c r="BF561" s="89"/>
      <c r="BG561" s="89"/>
      <c r="BH561" s="98"/>
      <c r="BI561" s="89"/>
      <c r="BJ561" s="89"/>
      <c r="BK561" s="89"/>
      <c r="BL561" s="89"/>
      <c r="BM561" s="89"/>
      <c r="BN561" s="89"/>
      <c r="BO561" s="89"/>
      <c r="BP561" s="89"/>
      <c r="BQ561" s="89"/>
      <c r="BR561" s="89"/>
      <c r="BS561" s="89"/>
      <c r="BT561" s="89"/>
      <c r="BU561" s="89"/>
      <c r="BV561" s="89"/>
      <c r="BW561" s="89"/>
      <c r="BX561" s="89"/>
      <c r="BY561" s="89"/>
      <c r="BZ561" s="89"/>
      <c r="CA561" s="89"/>
      <c r="CB561" s="89"/>
      <c r="CC561" s="89"/>
      <c r="CD561" s="89"/>
      <c r="CE561" s="89"/>
      <c r="CF561" s="89"/>
      <c r="CG561" s="89"/>
      <c r="CH561" s="89"/>
      <c r="CI561" s="89"/>
      <c r="CJ561" s="89"/>
      <c r="CK561" s="89"/>
      <c r="CL561" s="89"/>
      <c r="CM561" s="89"/>
      <c r="CN561" s="89"/>
      <c r="CO561" s="98"/>
      <c r="CP561" s="98"/>
      <c r="CQ561" s="98"/>
      <c r="CR561" s="98"/>
      <c r="CS561" s="98"/>
      <c r="CT561" s="1247"/>
      <c r="CU561" s="1247"/>
      <c r="CV561" s="1247"/>
      <c r="CW561" s="98"/>
      <c r="CX561" s="98"/>
      <c r="CY561" s="1247"/>
      <c r="CZ561" s="1247"/>
      <c r="DA561" s="1247"/>
      <c r="DB561" s="98"/>
      <c r="DC561" s="2925"/>
      <c r="DD561" s="98"/>
      <c r="DE561" s="98"/>
      <c r="DF561" s="98"/>
      <c r="DG561" s="98"/>
      <c r="DH561" s="98"/>
      <c r="DI561" s="98"/>
      <c r="DJ561" s="98"/>
      <c r="DK561" s="98"/>
      <c r="DL561" s="98"/>
      <c r="DM561" s="98"/>
      <c r="DN561" s="98"/>
      <c r="DO561" s="98"/>
      <c r="DP561" s="98"/>
      <c r="DQ561" s="98"/>
      <c r="DR561" s="98"/>
    </row>
    <row r="562" spans="1:122">
      <c r="A562" s="223"/>
      <c r="B562" s="123"/>
      <c r="C562" s="123"/>
      <c r="D562" s="123"/>
      <c r="E562" s="123"/>
      <c r="F562" s="123"/>
      <c r="G562" s="123"/>
      <c r="H562" s="123"/>
      <c r="I562" s="123"/>
      <c r="J562" s="89"/>
      <c r="K562" s="89"/>
      <c r="L562" s="123"/>
      <c r="M562" s="123"/>
      <c r="N562" s="123"/>
      <c r="O562" s="919"/>
      <c r="P562" s="123"/>
      <c r="Q562" s="123"/>
      <c r="R562" s="123"/>
      <c r="S562" s="123"/>
      <c r="T562" s="123"/>
      <c r="U562" s="123"/>
      <c r="V562" s="123"/>
      <c r="W562" s="123"/>
      <c r="X562" s="123"/>
      <c r="Y562" s="123"/>
      <c r="Z562" s="1687"/>
      <c r="AA562" s="1687"/>
      <c r="AB562" s="1687"/>
      <c r="AC562" s="1687"/>
      <c r="AD562" s="127"/>
      <c r="AE562" s="127"/>
      <c r="AF562" s="127"/>
      <c r="AG562" s="127"/>
      <c r="AH562" s="127"/>
      <c r="AI562" s="127"/>
      <c r="AJ562" s="127"/>
      <c r="AK562" s="127"/>
      <c r="AL562" s="1687"/>
      <c r="AM562" s="127"/>
      <c r="AN562" s="127"/>
      <c r="AO562" s="127"/>
      <c r="AP562" s="127"/>
      <c r="AQ562" s="127"/>
      <c r="AR562" s="127"/>
      <c r="AS562" s="127"/>
      <c r="AT562" s="127"/>
      <c r="AU562" s="11"/>
      <c r="AV562" s="6"/>
      <c r="AW562" s="89"/>
      <c r="AX562" s="89"/>
      <c r="AY562" s="89"/>
      <c r="AZ562" s="89"/>
      <c r="BA562" s="89"/>
      <c r="BB562" s="89"/>
      <c r="BC562" s="89"/>
      <c r="BD562" s="89"/>
      <c r="BE562" s="89"/>
      <c r="BF562" s="89"/>
      <c r="BG562" s="89"/>
      <c r="BH562" s="98"/>
      <c r="BI562" s="89"/>
      <c r="BJ562" s="89"/>
      <c r="BK562" s="89"/>
      <c r="BL562" s="89"/>
      <c r="BM562" s="89"/>
      <c r="BN562" s="89"/>
      <c r="BO562" s="89"/>
      <c r="BP562" s="89"/>
      <c r="BQ562" s="89"/>
      <c r="BR562" s="89"/>
      <c r="BS562" s="89"/>
      <c r="BT562" s="89"/>
      <c r="BU562" s="89"/>
      <c r="BV562" s="89"/>
      <c r="BW562" s="89"/>
      <c r="BX562" s="89"/>
      <c r="BY562" s="89"/>
      <c r="BZ562" s="89"/>
      <c r="CA562" s="89"/>
      <c r="CB562" s="89"/>
      <c r="CC562" s="89"/>
      <c r="CD562" s="89"/>
      <c r="CE562" s="89"/>
      <c r="CF562" s="89"/>
      <c r="CG562" s="89"/>
      <c r="CH562" s="89"/>
      <c r="CI562" s="89"/>
      <c r="CJ562" s="89"/>
      <c r="CK562" s="89"/>
      <c r="CL562" s="89"/>
      <c r="CM562" s="89"/>
      <c r="CN562" s="89"/>
      <c r="CO562" s="98"/>
      <c r="CP562" s="98"/>
      <c r="CQ562" s="98"/>
      <c r="CR562" s="98"/>
      <c r="CS562" s="98"/>
      <c r="CT562" s="1247"/>
      <c r="CU562" s="1247"/>
      <c r="CV562" s="1247"/>
      <c r="CW562" s="98"/>
      <c r="CX562" s="98"/>
      <c r="CY562" s="1247"/>
      <c r="CZ562" s="1247"/>
      <c r="DA562" s="1247"/>
      <c r="DB562" s="98"/>
      <c r="DC562" s="2925"/>
      <c r="DD562" s="98"/>
      <c r="DE562" s="98"/>
      <c r="DF562" s="98"/>
      <c r="DG562" s="98"/>
      <c r="DH562" s="98"/>
      <c r="DI562" s="98"/>
      <c r="DJ562" s="98"/>
      <c r="DK562" s="98"/>
      <c r="DL562" s="98"/>
      <c r="DM562" s="98"/>
      <c r="DN562" s="98"/>
      <c r="DO562" s="98"/>
      <c r="DP562" s="98"/>
      <c r="DQ562" s="98"/>
      <c r="DR562" s="98"/>
    </row>
    <row r="563" spans="1:122">
      <c r="A563" s="6"/>
      <c r="B563" s="6"/>
      <c r="C563" s="6"/>
      <c r="D563" s="6"/>
      <c r="E563" s="6"/>
      <c r="F563" s="6"/>
      <c r="G563" s="6"/>
      <c r="H563" s="6"/>
      <c r="I563" s="6"/>
      <c r="J563" s="89"/>
      <c r="K563" s="89"/>
      <c r="L563" s="123"/>
      <c r="M563" s="123"/>
      <c r="N563" s="123"/>
      <c r="O563" s="919"/>
      <c r="P563" s="123"/>
      <c r="Q563" s="123"/>
      <c r="R563" s="123"/>
      <c r="S563" s="123"/>
      <c r="T563" s="123"/>
      <c r="U563" s="123"/>
      <c r="V563" s="123"/>
      <c r="W563" s="123"/>
      <c r="X563" s="123"/>
      <c r="Y563" s="123"/>
      <c r="Z563" s="123"/>
      <c r="AA563" s="123"/>
      <c r="AB563" s="123"/>
      <c r="AC563" s="123"/>
      <c r="AD563" s="123"/>
      <c r="AE563" s="123"/>
      <c r="AF563" s="123"/>
      <c r="AG563" s="127"/>
      <c r="AH563" s="127"/>
      <c r="AI563" s="127"/>
      <c r="AJ563" s="127"/>
      <c r="AK563" s="127"/>
      <c r="AL563" s="1687"/>
      <c r="AM563" s="127"/>
      <c r="AN563" s="127"/>
      <c r="AO563" s="127"/>
      <c r="AP563" s="127"/>
      <c r="AQ563" s="127"/>
      <c r="AR563" s="127"/>
      <c r="AS563" s="127"/>
      <c r="AT563" s="127"/>
      <c r="AU563" s="11"/>
      <c r="AV563" s="6"/>
      <c r="AW563" s="89"/>
      <c r="AX563" s="89"/>
      <c r="AY563" s="89"/>
      <c r="AZ563" s="89"/>
      <c r="BA563" s="89"/>
      <c r="BB563" s="89"/>
      <c r="BC563" s="89"/>
      <c r="BD563" s="89"/>
      <c r="BE563" s="89"/>
      <c r="BF563" s="89"/>
      <c r="BG563" s="89"/>
      <c r="BH563" s="98"/>
      <c r="BI563" s="89"/>
      <c r="BJ563" s="89"/>
      <c r="BK563" s="89"/>
      <c r="BL563" s="89"/>
      <c r="BM563" s="89"/>
      <c r="BN563" s="89"/>
      <c r="BO563" s="89"/>
      <c r="BP563" s="89"/>
      <c r="BQ563" s="89"/>
      <c r="BR563" s="89"/>
      <c r="BS563" s="89"/>
      <c r="BT563" s="89"/>
      <c r="BU563" s="89"/>
      <c r="BV563" s="89"/>
      <c r="BW563" s="89"/>
      <c r="BX563" s="89"/>
      <c r="BY563" s="89"/>
      <c r="BZ563" s="89"/>
      <c r="CA563" s="89"/>
      <c r="CB563" s="89"/>
      <c r="CC563" s="89"/>
      <c r="CD563" s="89"/>
      <c r="CE563" s="89"/>
      <c r="CF563" s="89"/>
      <c r="CG563" s="89"/>
      <c r="CH563" s="89"/>
      <c r="CI563" s="89"/>
      <c r="CJ563" s="89"/>
      <c r="CK563" s="89"/>
      <c r="CL563" s="89"/>
      <c r="CM563" s="89"/>
      <c r="CN563" s="89"/>
      <c r="CO563" s="98"/>
      <c r="CP563" s="98"/>
      <c r="CQ563" s="98"/>
      <c r="CR563" s="98"/>
      <c r="CS563" s="98"/>
      <c r="CT563" s="1247"/>
      <c r="CU563" s="1247"/>
      <c r="CV563" s="1247"/>
      <c r="CW563" s="98"/>
      <c r="CX563" s="98"/>
      <c r="CY563" s="1247"/>
      <c r="CZ563" s="1247"/>
      <c r="DA563" s="1247"/>
      <c r="DB563" s="98"/>
      <c r="DC563" s="2925"/>
      <c r="DD563" s="98"/>
      <c r="DE563" s="98"/>
      <c r="DF563" s="98"/>
      <c r="DG563" s="98"/>
      <c r="DH563" s="98"/>
      <c r="DI563" s="98"/>
      <c r="DJ563" s="98"/>
      <c r="DK563" s="98"/>
      <c r="DL563" s="98"/>
      <c r="DM563" s="98"/>
      <c r="DN563" s="98"/>
      <c r="DO563" s="98"/>
      <c r="DP563" s="98"/>
      <c r="DQ563" s="98"/>
      <c r="DR563" s="98"/>
    </row>
    <row r="564" spans="1:122">
      <c r="A564" s="134"/>
      <c r="B564" s="134"/>
      <c r="C564" s="134"/>
      <c r="D564" s="134"/>
      <c r="E564" s="134"/>
      <c r="F564" s="134"/>
      <c r="G564" s="134"/>
      <c r="H564" s="134"/>
      <c r="I564" s="134"/>
      <c r="J564" s="177"/>
      <c r="K564" s="177"/>
      <c r="L564" s="176"/>
      <c r="M564" s="176"/>
      <c r="N564" s="176"/>
      <c r="O564" s="919"/>
      <c r="P564" s="176"/>
      <c r="Q564" s="176"/>
      <c r="R564" s="176"/>
      <c r="S564" s="176"/>
      <c r="T564" s="176"/>
      <c r="U564" s="176"/>
      <c r="V564" s="176"/>
      <c r="W564" s="176"/>
      <c r="X564" s="176"/>
      <c r="Y564" s="176"/>
      <c r="Z564" s="176"/>
      <c r="AA564" s="176"/>
      <c r="AB564" s="176"/>
      <c r="AC564" s="176"/>
      <c r="AD564" s="176"/>
      <c r="AE564" s="176"/>
      <c r="AF564" s="176"/>
      <c r="AG564" s="176"/>
      <c r="AH564" s="176"/>
      <c r="AI564" s="176"/>
      <c r="AJ564" s="176"/>
      <c r="AK564" s="176"/>
      <c r="AL564" s="176"/>
      <c r="AM564" s="176"/>
      <c r="AN564" s="176"/>
      <c r="AO564" s="127"/>
      <c r="AP564" s="127"/>
      <c r="AQ564" s="127"/>
      <c r="AR564" s="127"/>
      <c r="AS564" s="127"/>
      <c r="AT564" s="127"/>
      <c r="AU564" s="11"/>
      <c r="AV564" s="6"/>
      <c r="AW564" s="89"/>
      <c r="AX564" s="89"/>
      <c r="AY564" s="89"/>
      <c r="AZ564" s="89"/>
      <c r="BA564" s="89"/>
      <c r="BB564" s="89"/>
      <c r="BC564" s="89"/>
      <c r="BD564" s="89"/>
      <c r="BE564" s="89"/>
      <c r="BF564" s="89"/>
      <c r="BG564" s="89"/>
      <c r="BH564" s="98"/>
      <c r="BI564" s="89"/>
      <c r="BJ564" s="89"/>
      <c r="BK564" s="89"/>
      <c r="BL564" s="89"/>
      <c r="BM564" s="89"/>
      <c r="BN564" s="89"/>
      <c r="BO564" s="89"/>
      <c r="BP564" s="89"/>
      <c r="BQ564" s="89"/>
      <c r="BR564" s="89"/>
      <c r="BS564" s="89"/>
      <c r="BT564" s="89"/>
      <c r="BU564" s="89"/>
      <c r="BV564" s="89"/>
      <c r="BW564" s="89"/>
      <c r="BX564" s="89"/>
      <c r="BY564" s="89"/>
      <c r="BZ564" s="89"/>
      <c r="CA564" s="89"/>
      <c r="CB564" s="89"/>
      <c r="CC564" s="89"/>
      <c r="CD564" s="89"/>
      <c r="CE564" s="89"/>
      <c r="CF564" s="89"/>
      <c r="CG564" s="89"/>
      <c r="CH564" s="89"/>
      <c r="CI564" s="89"/>
      <c r="CJ564" s="89"/>
      <c r="CK564" s="89"/>
      <c r="CL564" s="89"/>
      <c r="CM564" s="89"/>
      <c r="CN564" s="89"/>
      <c r="CO564" s="98"/>
      <c r="CP564" s="98"/>
      <c r="CQ564" s="98"/>
      <c r="CR564" s="98"/>
      <c r="CS564" s="98"/>
      <c r="CT564" s="1247"/>
      <c r="CU564" s="1247"/>
      <c r="CV564" s="1247"/>
      <c r="CW564" s="98"/>
      <c r="CX564" s="98"/>
      <c r="CY564" s="1247"/>
      <c r="CZ564" s="1247"/>
      <c r="DA564" s="1247"/>
      <c r="DB564" s="98"/>
      <c r="DC564" s="2925"/>
      <c r="DD564" s="98"/>
      <c r="DE564" s="98"/>
      <c r="DF564" s="98"/>
      <c r="DG564" s="98"/>
      <c r="DH564" s="98"/>
      <c r="DI564" s="98"/>
      <c r="DJ564" s="98"/>
      <c r="DK564" s="98"/>
      <c r="DL564" s="98"/>
      <c r="DM564" s="98"/>
      <c r="DN564" s="98"/>
      <c r="DO564" s="98"/>
      <c r="DP564" s="98"/>
      <c r="DQ564" s="98"/>
      <c r="DR564" s="98"/>
    </row>
    <row r="565" spans="1:122" ht="15">
      <c r="A565" s="1697" t="str">
        <f>A1</f>
        <v>CBS</v>
      </c>
      <c r="B565" s="1108"/>
      <c r="C565" s="1108"/>
      <c r="D565" s="1108"/>
      <c r="E565" s="1108"/>
      <c r="F565" s="1108"/>
      <c r="G565" s="1108"/>
      <c r="H565" s="1108"/>
      <c r="I565" s="1108"/>
      <c r="J565" s="1689"/>
      <c r="K565" s="1689"/>
      <c r="L565" s="1108"/>
      <c r="M565" s="1108"/>
      <c r="N565" s="1108"/>
      <c r="O565" s="1369"/>
      <c r="P565" s="1108"/>
      <c r="Q565" s="1108"/>
      <c r="R565" s="1108"/>
      <c r="S565" s="1108"/>
      <c r="T565" s="1108"/>
      <c r="U565" s="1108"/>
      <c r="V565" s="1108"/>
      <c r="W565" s="1108"/>
      <c r="X565" s="1108"/>
      <c r="Y565" s="1108"/>
      <c r="Z565" s="1108"/>
      <c r="AA565" s="1108"/>
      <c r="AB565" s="1108"/>
      <c r="AC565" s="1108"/>
      <c r="AD565" s="1108"/>
      <c r="AE565" s="1108"/>
      <c r="AF565" s="1108"/>
      <c r="AG565" s="1108"/>
      <c r="AH565" s="1108"/>
      <c r="AI565" s="1108"/>
      <c r="AJ565" s="1108"/>
      <c r="AK565" s="1108"/>
      <c r="AL565" s="1108"/>
      <c r="AM565" s="1687"/>
      <c r="AN565" s="1687"/>
      <c r="AO565" s="1687"/>
      <c r="AP565" s="1687"/>
      <c r="AQ565" s="1687"/>
      <c r="AR565" s="1687"/>
      <c r="AS565" s="1687"/>
      <c r="AT565" s="1687"/>
      <c r="AU565" s="1108"/>
      <c r="AV565" s="1108"/>
      <c r="AW565" s="1689"/>
      <c r="AX565" s="1689"/>
      <c r="AY565" s="1689"/>
      <c r="AZ565" s="1689"/>
      <c r="BA565" s="1689"/>
      <c r="BB565" s="1689"/>
      <c r="BC565" s="1689"/>
      <c r="BD565" s="1689"/>
      <c r="BE565" s="1689"/>
      <c r="BF565" s="1689"/>
      <c r="BG565" s="1689"/>
      <c r="BH565" s="1689"/>
      <c r="BI565" s="1689"/>
      <c r="BJ565" s="1689"/>
      <c r="BK565" s="1689"/>
      <c r="BL565" s="1689"/>
      <c r="BM565" s="1689"/>
      <c r="BN565" s="1689"/>
      <c r="BO565" s="1689"/>
      <c r="BP565" s="1689"/>
      <c r="BQ565" s="1689"/>
      <c r="BR565" s="1689"/>
      <c r="BS565" s="1689"/>
      <c r="BT565" s="1689"/>
      <c r="BU565" s="1689"/>
      <c r="BV565" s="1689"/>
      <c r="BW565" s="1689"/>
      <c r="BX565" s="1689"/>
      <c r="BY565" s="1689"/>
      <c r="BZ565" s="1689"/>
      <c r="CA565" s="1689"/>
      <c r="CB565" s="1689"/>
      <c r="CC565" s="1689"/>
      <c r="CD565" s="1689"/>
      <c r="CE565" s="1689"/>
      <c r="CF565" s="1689"/>
      <c r="CG565" s="1689"/>
      <c r="CH565" s="1689"/>
      <c r="CI565" s="1689"/>
      <c r="CJ565" s="1689"/>
      <c r="CK565" s="1689"/>
      <c r="CL565" s="1689"/>
      <c r="CM565" s="1689"/>
      <c r="CN565" s="1689"/>
      <c r="CO565" s="1689"/>
      <c r="CP565" s="1689"/>
      <c r="CQ565" s="1689"/>
      <c r="CR565" s="1689"/>
      <c r="CS565" s="1689"/>
      <c r="CT565" s="1601"/>
      <c r="CU565" s="1601"/>
      <c r="CV565" s="1601"/>
      <c r="CW565" s="1689"/>
      <c r="CX565" s="1689"/>
      <c r="CY565" s="1601"/>
      <c r="CZ565" s="1601"/>
      <c r="DA565" s="1601"/>
      <c r="DB565" s="1689"/>
      <c r="DC565" s="2925"/>
      <c r="DD565" s="1689"/>
      <c r="DE565" s="1689"/>
      <c r="DF565" s="1689"/>
      <c r="DG565" s="1689"/>
      <c r="DH565" s="1689"/>
      <c r="DI565" s="1689"/>
      <c r="DJ565" s="1689"/>
      <c r="DK565" s="1689"/>
      <c r="DL565" s="1689"/>
      <c r="DM565" s="1689"/>
      <c r="DN565" s="1689"/>
      <c r="DO565" s="1689"/>
      <c r="DP565" s="1689"/>
      <c r="DQ565" s="1689"/>
      <c r="DR565" s="1689"/>
    </row>
    <row r="566" spans="1:122">
      <c r="A566" s="178" t="s">
        <v>449</v>
      </c>
      <c r="B566" s="11"/>
      <c r="C566" s="11"/>
      <c r="D566" s="11"/>
      <c r="E566" s="11"/>
      <c r="F566" s="11"/>
      <c r="G566" s="11"/>
      <c r="H566" s="11"/>
      <c r="I566" s="11"/>
      <c r="J566" s="98"/>
      <c r="K566" s="98"/>
      <c r="L566" s="11"/>
      <c r="M566" s="11"/>
      <c r="N566" s="11"/>
      <c r="O566" s="919"/>
      <c r="P566" s="11"/>
      <c r="Q566" s="11"/>
      <c r="R566" s="11"/>
      <c r="S566" s="11"/>
      <c r="T566" s="11"/>
      <c r="U566" s="11"/>
      <c r="V566" s="11"/>
      <c r="W566" s="11"/>
      <c r="X566" s="11"/>
      <c r="Y566" s="11"/>
      <c r="Z566" s="11"/>
      <c r="AA566" s="11"/>
      <c r="AB566" s="11"/>
      <c r="AC566" s="11"/>
      <c r="AD566" s="11"/>
      <c r="AE566" s="11"/>
      <c r="AF566" s="11"/>
      <c r="AG566" s="11"/>
      <c r="AH566" s="11"/>
      <c r="AI566" s="11"/>
      <c r="AJ566" s="11"/>
      <c r="AK566" s="11"/>
      <c r="AL566" s="1108"/>
      <c r="AM566" s="127"/>
      <c r="AN566" s="127"/>
      <c r="AO566" s="127"/>
      <c r="AP566" s="127"/>
      <c r="AQ566" s="127"/>
      <c r="AR566" s="127"/>
      <c r="AS566" s="127"/>
      <c r="AT566" s="127"/>
      <c r="AU566" s="11"/>
      <c r="AV566" s="6"/>
      <c r="AW566" s="89"/>
      <c r="AX566" s="89"/>
      <c r="AY566" s="89"/>
      <c r="AZ566" s="89"/>
      <c r="BA566" s="89"/>
      <c r="BB566" s="89"/>
      <c r="BC566" s="89"/>
      <c r="BD566" s="89"/>
      <c r="BE566" s="89"/>
      <c r="BF566" s="89"/>
      <c r="BG566" s="89"/>
      <c r="BH566" s="98"/>
      <c r="BI566" s="89"/>
      <c r="BJ566" s="89"/>
      <c r="BK566" s="89"/>
      <c r="BL566" s="89"/>
      <c r="BM566" s="89"/>
      <c r="BN566" s="89"/>
      <c r="BO566" s="89"/>
      <c r="BP566" s="89"/>
      <c r="BQ566" s="89"/>
      <c r="BR566" s="89"/>
      <c r="BS566" s="89"/>
      <c r="BT566" s="89"/>
      <c r="BU566" s="89"/>
      <c r="BV566" s="89"/>
      <c r="BW566" s="89"/>
      <c r="BX566" s="89"/>
      <c r="BY566" s="89"/>
      <c r="BZ566" s="89"/>
      <c r="CA566" s="89"/>
      <c r="CB566" s="89"/>
      <c r="CC566" s="89"/>
      <c r="CD566" s="89"/>
      <c r="CE566" s="89"/>
      <c r="CF566" s="89"/>
      <c r="CG566" s="89"/>
      <c r="CH566" s="89"/>
      <c r="CI566" s="89"/>
      <c r="CJ566" s="89"/>
      <c r="CK566" s="89"/>
      <c r="CL566" s="89"/>
      <c r="CM566" s="89"/>
      <c r="CN566" s="89"/>
      <c r="CO566" s="98"/>
      <c r="CP566" s="98"/>
      <c r="CQ566" s="98"/>
      <c r="CR566" s="98"/>
      <c r="CS566" s="98"/>
      <c r="CT566" s="1247"/>
      <c r="CU566" s="1247"/>
      <c r="CV566" s="1247"/>
      <c r="CW566" s="98"/>
      <c r="CX566" s="98"/>
      <c r="CY566" s="1247"/>
      <c r="CZ566" s="1247"/>
      <c r="DA566" s="1247"/>
      <c r="DB566" s="98"/>
      <c r="DC566" s="2925"/>
      <c r="DD566" s="98"/>
      <c r="DE566" s="98"/>
      <c r="DF566" s="98"/>
      <c r="DG566" s="98"/>
      <c r="DH566" s="98"/>
      <c r="DI566" s="98"/>
      <c r="DJ566" s="98"/>
      <c r="DK566" s="98"/>
      <c r="DL566" s="98"/>
      <c r="DM566" s="98"/>
      <c r="DN566" s="98"/>
      <c r="DO566" s="98"/>
      <c r="DP566" s="98"/>
      <c r="DQ566" s="98"/>
      <c r="DR566" s="98"/>
    </row>
    <row r="567" spans="1:122">
      <c r="A567" s="12" t="s">
        <v>479</v>
      </c>
      <c r="B567" s="18"/>
      <c r="C567" s="11"/>
      <c r="D567" s="11"/>
      <c r="E567" s="11"/>
      <c r="F567" s="11"/>
      <c r="G567" s="11"/>
      <c r="H567" s="179"/>
      <c r="I567" s="179"/>
      <c r="J567" s="180"/>
      <c r="K567" s="180"/>
      <c r="L567" s="6"/>
      <c r="M567" s="6"/>
      <c r="N567" s="6"/>
      <c r="O567" s="919"/>
      <c r="P567" s="6"/>
      <c r="Q567" s="6"/>
      <c r="R567" s="6"/>
      <c r="S567" s="6"/>
      <c r="T567" s="6"/>
      <c r="U567" s="6"/>
      <c r="V567" s="6"/>
      <c r="W567" s="6"/>
      <c r="X567" s="6"/>
      <c r="Y567" s="1108"/>
      <c r="Z567" s="1108"/>
      <c r="AA567" s="1108"/>
      <c r="AB567" s="1108"/>
      <c r="AC567" s="1108"/>
      <c r="AD567" s="11"/>
      <c r="AE567" s="11"/>
      <c r="AF567" s="11"/>
      <c r="AG567" s="11"/>
      <c r="AH567" s="11"/>
      <c r="AI567" s="11"/>
      <c r="AJ567" s="11"/>
      <c r="AK567" s="11"/>
      <c r="AL567" s="1108"/>
      <c r="AM567" s="127"/>
      <c r="AN567" s="127"/>
      <c r="AO567" s="127"/>
      <c r="AP567" s="127"/>
      <c r="AQ567" s="127"/>
      <c r="AR567" s="127"/>
      <c r="AS567" s="127"/>
      <c r="AT567" s="127"/>
      <c r="AU567" s="11"/>
      <c r="AV567" s="6"/>
      <c r="AW567" s="89"/>
      <c r="AX567" s="89"/>
      <c r="AY567" s="89"/>
      <c r="AZ567" s="89"/>
      <c r="BA567" s="89"/>
      <c r="BB567" s="89"/>
      <c r="BC567" s="89"/>
      <c r="BD567" s="89"/>
      <c r="BE567" s="89"/>
      <c r="BF567" s="89"/>
      <c r="BG567" s="89"/>
      <c r="BH567" s="98"/>
      <c r="BI567" s="89"/>
      <c r="BJ567" s="89"/>
      <c r="BK567" s="89"/>
      <c r="BL567" s="89"/>
      <c r="BM567" s="89"/>
      <c r="BN567" s="89"/>
      <c r="BO567" s="89"/>
      <c r="BP567" s="89"/>
      <c r="BQ567" s="89"/>
      <c r="BR567" s="89"/>
      <c r="BS567" s="89"/>
      <c r="BT567" s="89"/>
      <c r="BU567" s="89"/>
      <c r="BV567" s="89"/>
      <c r="BW567" s="89"/>
      <c r="BX567" s="89"/>
      <c r="BY567" s="89"/>
      <c r="BZ567" s="89"/>
      <c r="CA567" s="89"/>
      <c r="CB567" s="89"/>
      <c r="CC567" s="89"/>
      <c r="CD567" s="89"/>
      <c r="CE567" s="89"/>
      <c r="CF567" s="89"/>
      <c r="CG567" s="89"/>
      <c r="CH567" s="89"/>
      <c r="CI567" s="89"/>
      <c r="CJ567" s="89"/>
      <c r="CK567" s="89"/>
      <c r="CL567" s="89"/>
      <c r="CM567" s="89"/>
      <c r="CN567" s="89"/>
      <c r="CO567" s="98"/>
      <c r="CP567" s="98"/>
      <c r="CQ567" s="98"/>
      <c r="CR567" s="98"/>
      <c r="CS567" s="98"/>
      <c r="CT567" s="1247"/>
      <c r="CU567" s="1247"/>
      <c r="CV567" s="1247"/>
      <c r="CW567" s="98"/>
      <c r="CX567" s="98"/>
      <c r="CY567" s="1247"/>
      <c r="CZ567" s="1247"/>
      <c r="DA567" s="1247"/>
      <c r="DB567" s="98"/>
      <c r="DC567" s="2925"/>
      <c r="DD567" s="98"/>
      <c r="DE567" s="98"/>
      <c r="DF567" s="98"/>
      <c r="DG567" s="98"/>
      <c r="DH567" s="98"/>
      <c r="DI567" s="98"/>
      <c r="DJ567" s="98"/>
      <c r="DK567" s="98"/>
      <c r="DL567" s="98"/>
      <c r="DM567" s="98"/>
      <c r="DN567" s="98"/>
      <c r="DO567" s="98"/>
      <c r="DP567" s="98"/>
      <c r="DQ567" s="98"/>
      <c r="DR567" s="98"/>
    </row>
    <row r="568" spans="1:122">
      <c r="A568" s="26"/>
      <c r="B568" s="138"/>
      <c r="C568" s="138"/>
      <c r="D568" s="138"/>
      <c r="E568" s="138"/>
      <c r="F568" s="138"/>
      <c r="G568" s="138"/>
      <c r="H568" s="102">
        <f t="shared" ref="H568:N568" si="871">H4</f>
        <v>2002</v>
      </c>
      <c r="I568" s="102">
        <f t="shared" si="871"/>
        <v>2003</v>
      </c>
      <c r="J568" s="102">
        <f t="shared" si="871"/>
        <v>2004</v>
      </c>
      <c r="K568" s="102">
        <f t="shared" si="871"/>
        <v>2005</v>
      </c>
      <c r="L568" s="102">
        <f t="shared" si="871"/>
        <v>2006</v>
      </c>
      <c r="M568" s="102">
        <f t="shared" si="871"/>
        <v>2007</v>
      </c>
      <c r="N568" s="102">
        <f t="shared" si="871"/>
        <v>2008</v>
      </c>
      <c r="O568" s="919"/>
      <c r="P568" s="102"/>
      <c r="Q568" s="102"/>
      <c r="R568" s="102">
        <f t="shared" ref="R568:W568" si="872">R4</f>
        <v>2009</v>
      </c>
      <c r="S568" s="102">
        <f t="shared" si="872"/>
        <v>2010</v>
      </c>
      <c r="T568" s="102">
        <f t="shared" si="872"/>
        <v>2011</v>
      </c>
      <c r="U568" s="102">
        <f t="shared" si="872"/>
        <v>2012</v>
      </c>
      <c r="V568" s="102">
        <f t="shared" si="872"/>
        <v>2013</v>
      </c>
      <c r="W568" s="102">
        <f t="shared" si="872"/>
        <v>2014</v>
      </c>
      <c r="X568" s="102"/>
      <c r="Y568" s="1706"/>
      <c r="Z568" s="1706">
        <f t="shared" ref="Z568:AK568" si="873">Z4</f>
        <v>2015</v>
      </c>
      <c r="AA568" s="1706">
        <f t="shared" si="873"/>
        <v>2016</v>
      </c>
      <c r="AB568" s="1706"/>
      <c r="AC568" s="1706" t="str">
        <f t="shared" si="873"/>
        <v>2017E</v>
      </c>
      <c r="AD568" s="138" t="str">
        <f t="shared" si="873"/>
        <v>2018E</v>
      </c>
      <c r="AE568" s="138" t="str">
        <f t="shared" si="873"/>
        <v>2019E</v>
      </c>
      <c r="AF568" s="138" t="str">
        <f t="shared" si="873"/>
        <v>2020E</v>
      </c>
      <c r="AG568" s="138" t="str">
        <f t="shared" si="873"/>
        <v>2021E</v>
      </c>
      <c r="AH568" s="138" t="str">
        <f t="shared" si="873"/>
        <v>2022E</v>
      </c>
      <c r="AI568" s="138" t="str">
        <f t="shared" si="873"/>
        <v>2023E</v>
      </c>
      <c r="AJ568" s="138" t="str">
        <f t="shared" si="873"/>
        <v>2024E</v>
      </c>
      <c r="AK568" s="138" t="str">
        <f t="shared" si="873"/>
        <v>2025E</v>
      </c>
      <c r="AL568" s="1706" t="str">
        <f>AL4</f>
        <v>2026E</v>
      </c>
      <c r="AM568" s="1706" t="str">
        <f>AM4</f>
        <v>2027E</v>
      </c>
      <c r="AN568" s="1706" t="str">
        <f>AN4</f>
        <v>2028E</v>
      </c>
      <c r="AO568" s="127"/>
      <c r="AP568" s="127"/>
      <c r="AQ568" s="127"/>
      <c r="AR568" s="127"/>
      <c r="AS568" s="127"/>
      <c r="AT568" s="127"/>
      <c r="AU568" s="11"/>
      <c r="AV568" s="6"/>
      <c r="AW568" s="89"/>
      <c r="AX568" s="89"/>
      <c r="AY568" s="89"/>
      <c r="AZ568" s="89"/>
      <c r="BA568" s="89"/>
      <c r="BB568" s="89"/>
      <c r="BC568" s="89"/>
      <c r="BD568" s="89"/>
      <c r="BE568" s="89"/>
      <c r="BF568" s="89"/>
      <c r="BG568" s="89"/>
      <c r="BH568" s="98"/>
      <c r="BI568" s="89"/>
      <c r="BJ568" s="89"/>
      <c r="BK568" s="89"/>
      <c r="BL568" s="89"/>
      <c r="BM568" s="89"/>
      <c r="BN568" s="89"/>
      <c r="BO568" s="89"/>
      <c r="BP568" s="89"/>
      <c r="BQ568" s="89"/>
      <c r="BR568" s="89"/>
      <c r="BS568" s="89"/>
      <c r="BT568" s="89"/>
      <c r="BU568" s="89"/>
      <c r="BV568" s="89"/>
      <c r="BW568" s="89"/>
      <c r="BX568" s="89"/>
      <c r="BY568" s="89"/>
      <c r="BZ568" s="89"/>
      <c r="CA568" s="89"/>
      <c r="CB568" s="89"/>
      <c r="CC568" s="89"/>
      <c r="CD568" s="89"/>
      <c r="CE568" s="89"/>
      <c r="CF568" s="89"/>
      <c r="CG568" s="89"/>
      <c r="CH568" s="89"/>
      <c r="CI568" s="89"/>
      <c r="CJ568" s="89"/>
      <c r="CK568" s="89"/>
      <c r="CL568" s="89"/>
      <c r="CM568" s="89"/>
      <c r="CN568" s="89"/>
      <c r="CO568" s="98"/>
      <c r="CP568" s="98"/>
      <c r="CQ568" s="98"/>
      <c r="CR568" s="98"/>
      <c r="CS568" s="98"/>
      <c r="CT568" s="1247"/>
      <c r="CU568" s="1247"/>
      <c r="CV568" s="1247"/>
      <c r="CW568" s="98"/>
      <c r="CX568" s="98"/>
      <c r="CY568" s="1247"/>
      <c r="CZ568" s="1247"/>
      <c r="DA568" s="1247"/>
      <c r="DB568" s="98"/>
      <c r="DC568" s="2925"/>
      <c r="DD568" s="98"/>
      <c r="DE568" s="98"/>
      <c r="DF568" s="98"/>
      <c r="DG568" s="98"/>
      <c r="DH568" s="98"/>
      <c r="DI568" s="98"/>
      <c r="DJ568" s="98"/>
      <c r="DK568" s="98"/>
      <c r="DL568" s="98"/>
      <c r="DM568" s="98"/>
      <c r="DN568" s="98"/>
      <c r="DO568" s="98"/>
      <c r="DP568" s="98"/>
      <c r="DQ568" s="98"/>
      <c r="DR568" s="98"/>
    </row>
    <row r="569" spans="1:122">
      <c r="A569" s="121" t="s">
        <v>470</v>
      </c>
      <c r="B569" s="98"/>
      <c r="C569" s="98"/>
      <c r="D569" s="98"/>
      <c r="E569" s="98"/>
      <c r="F569" s="98"/>
      <c r="G569" s="98"/>
      <c r="H569" s="98"/>
      <c r="I569" s="842">
        <f t="shared" ref="I569:N569" si="874">I195</f>
        <v>4728.2999999999993</v>
      </c>
      <c r="J569" s="842">
        <f t="shared" si="874"/>
        <v>4895.8999999999996</v>
      </c>
      <c r="K569" s="842">
        <f t="shared" si="874"/>
        <v>5110.1000000000004</v>
      </c>
      <c r="L569" s="842">
        <f t="shared" si="874"/>
        <v>4275.6000000000004</v>
      </c>
      <c r="M569" s="842">
        <f t="shared" si="874"/>
        <v>4683.3999999999996</v>
      </c>
      <c r="N569" s="842">
        <f t="shared" si="874"/>
        <v>4899.5</v>
      </c>
      <c r="O569" s="919"/>
      <c r="P569" s="842"/>
      <c r="Q569" s="842"/>
      <c r="R569" s="842">
        <f t="shared" ref="R569:W569" si="875">R195</f>
        <v>4998</v>
      </c>
      <c r="S569" s="842">
        <f t="shared" si="875"/>
        <v>5104.7</v>
      </c>
      <c r="T569" s="842">
        <f t="shared" si="875"/>
        <v>4880</v>
      </c>
      <c r="U569" s="842">
        <f t="shared" si="875"/>
        <v>4988</v>
      </c>
      <c r="V569" s="842">
        <f t="shared" si="875"/>
        <v>5023</v>
      </c>
      <c r="W569" s="842">
        <f t="shared" si="875"/>
        <v>3164</v>
      </c>
      <c r="X569" s="842"/>
      <c r="Y569" s="1559"/>
      <c r="Z569" s="1559">
        <f>Z195</f>
        <v>2880</v>
      </c>
      <c r="AA569" s="1559">
        <f>AA195</f>
        <v>2935</v>
      </c>
      <c r="AB569" s="1559"/>
      <c r="AC569" s="1559">
        <f>AC577</f>
        <v>3037.6198524806696</v>
      </c>
      <c r="AD569" s="842">
        <f t="shared" ref="AD569:AK569" si="876">AD577</f>
        <v>2975.873696718229</v>
      </c>
      <c r="AE569" s="842">
        <f t="shared" si="876"/>
        <v>2929.4892045472629</v>
      </c>
      <c r="AF569" s="842">
        <f t="shared" si="876"/>
        <v>2891.8027639388056</v>
      </c>
      <c r="AG569" s="842">
        <f t="shared" si="876"/>
        <v>2864.8734676814379</v>
      </c>
      <c r="AH569" s="842">
        <f t="shared" si="876"/>
        <v>2852.0511376056224</v>
      </c>
      <c r="AI569" s="842">
        <f t="shared" si="876"/>
        <v>2840.2592803771599</v>
      </c>
      <c r="AJ569" s="842">
        <f t="shared" si="876"/>
        <v>2835.7622994132666</v>
      </c>
      <c r="AK569" s="842">
        <f t="shared" si="876"/>
        <v>2842.3813959998752</v>
      </c>
      <c r="AL569" s="1559">
        <f>AL577</f>
        <v>2847.720317088008</v>
      </c>
      <c r="AM569" s="1559">
        <f>AM577</f>
        <v>2857.4710892547023</v>
      </c>
      <c r="AN569" s="1559">
        <f>AN577</f>
        <v>2879.9554194693292</v>
      </c>
      <c r="AO569" s="127"/>
      <c r="AP569" s="127"/>
      <c r="AQ569" s="127"/>
      <c r="AR569" s="127"/>
      <c r="AS569" s="127"/>
      <c r="AT569" s="127"/>
      <c r="AU569" s="11"/>
      <c r="AV569" s="6"/>
      <c r="AW569" s="89"/>
      <c r="AX569" s="89"/>
      <c r="AY569" s="89"/>
      <c r="AZ569" s="89"/>
      <c r="BA569" s="89"/>
      <c r="BB569" s="89"/>
      <c r="BC569" s="89"/>
      <c r="BD569" s="89"/>
      <c r="BE569" s="89"/>
      <c r="BF569" s="89"/>
      <c r="BG569" s="89"/>
      <c r="BH569" s="98"/>
      <c r="BI569" s="89"/>
      <c r="BJ569" s="89"/>
      <c r="BK569" s="89"/>
      <c r="BL569" s="89"/>
      <c r="BM569" s="89"/>
      <c r="BN569" s="89"/>
      <c r="BO569" s="89"/>
      <c r="BP569" s="89"/>
      <c r="BQ569" s="89"/>
      <c r="BR569" s="89"/>
      <c r="BS569" s="89"/>
      <c r="BT569" s="89"/>
      <c r="BU569" s="89"/>
      <c r="BV569" s="89"/>
      <c r="BW569" s="89"/>
      <c r="BX569" s="89"/>
      <c r="BY569" s="89"/>
      <c r="BZ569" s="89"/>
      <c r="CA569" s="89"/>
      <c r="CB569" s="89"/>
      <c r="CC569" s="89"/>
      <c r="CD569" s="89"/>
      <c r="CE569" s="89"/>
      <c r="CF569" s="89"/>
      <c r="CG569" s="89"/>
      <c r="CH569" s="89"/>
      <c r="CI569" s="89"/>
      <c r="CJ569" s="89"/>
      <c r="CK569" s="89"/>
      <c r="CL569" s="89"/>
      <c r="CM569" s="89"/>
      <c r="CN569" s="89"/>
      <c r="CO569" s="98"/>
      <c r="CP569" s="98"/>
      <c r="CQ569" s="98"/>
      <c r="CR569" s="98"/>
      <c r="CS569" s="98"/>
      <c r="CT569" s="1247"/>
      <c r="CU569" s="1247"/>
      <c r="CV569" s="1247"/>
      <c r="CW569" s="98"/>
      <c r="CX569" s="98"/>
      <c r="CY569" s="1247"/>
      <c r="CZ569" s="1247"/>
      <c r="DA569" s="1247"/>
      <c r="DB569" s="98"/>
      <c r="DC569" s="2925"/>
      <c r="DD569" s="98"/>
      <c r="DE569" s="98"/>
      <c r="DF569" s="98"/>
      <c r="DG569" s="98"/>
      <c r="DH569" s="98"/>
      <c r="DI569" s="98"/>
      <c r="DJ569" s="98"/>
      <c r="DK569" s="98"/>
      <c r="DL569" s="98"/>
      <c r="DM569" s="98"/>
      <c r="DN569" s="98"/>
      <c r="DO569" s="98"/>
      <c r="DP569" s="98"/>
      <c r="DQ569" s="98"/>
      <c r="DR569" s="98"/>
    </row>
    <row r="570" spans="1:122">
      <c r="A570" s="120" t="s">
        <v>471</v>
      </c>
      <c r="B570" s="98"/>
      <c r="C570" s="98"/>
      <c r="D570" s="98"/>
      <c r="E570" s="98"/>
      <c r="F570" s="98"/>
      <c r="G570" s="98"/>
      <c r="H570" s="98"/>
      <c r="I570" s="840">
        <f t="shared" ref="I570:N570" si="877">-I196</f>
        <v>-1440.4</v>
      </c>
      <c r="J570" s="840">
        <f t="shared" si="877"/>
        <v>-1662.9</v>
      </c>
      <c r="K570" s="840">
        <f t="shared" si="877"/>
        <v>-1877.3</v>
      </c>
      <c r="L570" s="840">
        <f t="shared" si="877"/>
        <v>-1461.8</v>
      </c>
      <c r="M570" s="840">
        <f t="shared" si="877"/>
        <v>-1761.9</v>
      </c>
      <c r="N570" s="840">
        <f t="shared" si="877"/>
        <v>-1891.2</v>
      </c>
      <c r="O570" s="919"/>
      <c r="P570" s="840"/>
      <c r="Q570" s="840"/>
      <c r="R570" s="840">
        <f t="shared" ref="R570:W570" si="878">-R196</f>
        <v>-2139.3000000000002</v>
      </c>
      <c r="S570" s="840">
        <f t="shared" si="878"/>
        <v>-2410.5</v>
      </c>
      <c r="T570" s="840">
        <f t="shared" si="878"/>
        <v>-2508</v>
      </c>
      <c r="U570" s="840">
        <f t="shared" si="878"/>
        <v>-2717</v>
      </c>
      <c r="V570" s="840">
        <f t="shared" si="878"/>
        <v>-2787</v>
      </c>
      <c r="W570" s="840">
        <f t="shared" si="878"/>
        <v>-1731</v>
      </c>
      <c r="X570" s="840"/>
      <c r="Y570" s="2133"/>
      <c r="Z570" s="2133">
        <f>-Z196</f>
        <v>-1627</v>
      </c>
      <c r="AA570" s="2133">
        <f>-AA196</f>
        <v>-1694</v>
      </c>
      <c r="AB570" s="2133"/>
      <c r="AC570" s="2133">
        <f ca="1">AC586</f>
        <v>-1618.1636781118307</v>
      </c>
      <c r="AD570" s="840">
        <f t="shared" ref="AD570:AH570" ca="1" si="879">AD586</f>
        <v>-1554.6917144039764</v>
      </c>
      <c r="AE570" s="840">
        <f t="shared" ca="1" si="879"/>
        <v>-1493.0273070383523</v>
      </c>
      <c r="AF570" s="840">
        <f t="shared" ca="1" si="879"/>
        <v>-1437.293172002019</v>
      </c>
      <c r="AG570" s="840">
        <f t="shared" ca="1" si="879"/>
        <v>-1390.9902154390029</v>
      </c>
      <c r="AH570" s="840">
        <f t="shared" ca="1" si="879"/>
        <v>-1357.4200500073252</v>
      </c>
      <c r="AI570" s="840">
        <f t="shared" ref="AI570:AN570" ca="1" si="880">AI586</f>
        <v>-1323.2386522271586</v>
      </c>
      <c r="AJ570" s="840">
        <f t="shared" ca="1" si="880"/>
        <v>-1294.6929855403171</v>
      </c>
      <c r="AK570" s="840">
        <f t="shared" ca="1" si="880"/>
        <v>-1275.5856356510972</v>
      </c>
      <c r="AL570" s="2133">
        <f t="shared" ca="1" si="880"/>
        <v>-1253.4652825327423</v>
      </c>
      <c r="AM570" s="2133">
        <f t="shared" ca="1" si="880"/>
        <v>-1234.0082461307018</v>
      </c>
      <c r="AN570" s="2133">
        <f t="shared" ca="1" si="880"/>
        <v>-1225.5247875772041</v>
      </c>
      <c r="AO570" s="1214"/>
      <c r="AP570" s="1214"/>
      <c r="AQ570" s="1214"/>
      <c r="AR570" s="1214"/>
      <c r="AS570" s="1214"/>
      <c r="AT570" s="171"/>
      <c r="AU570" s="11"/>
      <c r="AV570" s="6"/>
      <c r="AW570" s="89"/>
      <c r="AX570" s="89"/>
      <c r="AY570" s="89"/>
      <c r="AZ570" s="89"/>
      <c r="BA570" s="89"/>
      <c r="BB570" s="89"/>
      <c r="BC570" s="89"/>
      <c r="BD570" s="89"/>
      <c r="BE570" s="89"/>
      <c r="BF570" s="89"/>
      <c r="BG570" s="89"/>
      <c r="BH570" s="98"/>
      <c r="BI570" s="89"/>
      <c r="BJ570" s="89"/>
      <c r="BK570" s="89"/>
      <c r="BL570" s="89"/>
      <c r="BM570" s="89"/>
      <c r="BN570" s="89"/>
      <c r="BO570" s="89"/>
      <c r="BP570" s="89"/>
      <c r="BQ570" s="89"/>
      <c r="BR570" s="89"/>
      <c r="BS570" s="89"/>
      <c r="BT570" s="89"/>
      <c r="BU570" s="89"/>
      <c r="BV570" s="89"/>
      <c r="BW570" s="89"/>
      <c r="BX570" s="89"/>
      <c r="BY570" s="89"/>
      <c r="BZ570" s="89"/>
      <c r="CA570" s="89"/>
      <c r="CB570" s="89"/>
      <c r="CC570" s="89"/>
      <c r="CD570" s="89"/>
      <c r="CE570" s="89"/>
      <c r="CF570" s="89"/>
      <c r="CG570" s="89"/>
      <c r="CH570" s="89"/>
      <c r="CI570" s="89"/>
      <c r="CJ570" s="89"/>
      <c r="CK570" s="89"/>
      <c r="CL570" s="89"/>
      <c r="CM570" s="89"/>
      <c r="CN570" s="89"/>
      <c r="CO570" s="98"/>
      <c r="CP570" s="98"/>
      <c r="CQ570" s="98"/>
      <c r="CR570" s="98"/>
      <c r="CS570" s="98"/>
      <c r="CT570" s="1247"/>
      <c r="CU570" s="1247"/>
      <c r="CV570" s="1247"/>
      <c r="CW570" s="98"/>
      <c r="CX570" s="98"/>
      <c r="CY570" s="1247"/>
      <c r="CZ570" s="1247"/>
      <c r="DA570" s="1247"/>
      <c r="DB570" s="98"/>
      <c r="DC570" s="2925"/>
      <c r="DD570" s="98"/>
      <c r="DE570" s="98"/>
      <c r="DF570" s="98"/>
      <c r="DG570" s="98"/>
      <c r="DH570" s="98"/>
      <c r="DI570" s="98"/>
      <c r="DJ570" s="98"/>
      <c r="DK570" s="98"/>
      <c r="DL570" s="98"/>
      <c r="DM570" s="98"/>
      <c r="DN570" s="98"/>
      <c r="DO570" s="98"/>
      <c r="DP570" s="98"/>
      <c r="DQ570" s="98"/>
      <c r="DR570" s="98"/>
    </row>
    <row r="571" spans="1:122">
      <c r="A571" s="121" t="s">
        <v>579</v>
      </c>
      <c r="B571" s="98"/>
      <c r="C571" s="98"/>
      <c r="D571" s="98"/>
      <c r="E571" s="98"/>
      <c r="F571" s="98"/>
      <c r="G571" s="98"/>
      <c r="H571" s="98"/>
      <c r="I571" s="842">
        <f t="shared" ref="I571:N571" si="881">I569+I570</f>
        <v>3287.8999999999992</v>
      </c>
      <c r="J571" s="842">
        <f t="shared" si="881"/>
        <v>3232.9999999999995</v>
      </c>
      <c r="K571" s="842">
        <f t="shared" si="881"/>
        <v>3232.8</v>
      </c>
      <c r="L571" s="842">
        <f t="shared" si="881"/>
        <v>2813.8</v>
      </c>
      <c r="M571" s="842">
        <f t="shared" si="881"/>
        <v>2921.4999999999995</v>
      </c>
      <c r="N571" s="842">
        <f t="shared" si="881"/>
        <v>3008.3</v>
      </c>
      <c r="O571" s="919"/>
      <c r="P571" s="842"/>
      <c r="Q571" s="842"/>
      <c r="R571" s="842">
        <f t="shared" ref="R571:AH571" si="882">R569+R570</f>
        <v>2858.7</v>
      </c>
      <c r="S571" s="842">
        <f t="shared" si="882"/>
        <v>2694.2</v>
      </c>
      <c r="T571" s="842">
        <f t="shared" si="882"/>
        <v>2372</v>
      </c>
      <c r="U571" s="842">
        <f t="shared" si="882"/>
        <v>2271</v>
      </c>
      <c r="V571" s="842">
        <f>V569+V570</f>
        <v>2236</v>
      </c>
      <c r="W571" s="842">
        <f>W569+W570</f>
        <v>1433</v>
      </c>
      <c r="X571" s="842"/>
      <c r="Y571" s="1559"/>
      <c r="Z571" s="1559">
        <f>Z569+Z570</f>
        <v>1253</v>
      </c>
      <c r="AA571" s="1559">
        <f t="shared" si="882"/>
        <v>1241</v>
      </c>
      <c r="AB571" s="1559"/>
      <c r="AC571" s="1559">
        <f ca="1">AC569+AC570</f>
        <v>1419.4561743688389</v>
      </c>
      <c r="AD571" s="842">
        <f t="shared" ca="1" si="882"/>
        <v>1421.1819823142525</v>
      </c>
      <c r="AE571" s="842">
        <f t="shared" ca="1" si="882"/>
        <v>1436.4618975089106</v>
      </c>
      <c r="AF571" s="842">
        <f t="shared" ca="1" si="882"/>
        <v>1454.5095919367866</v>
      </c>
      <c r="AG571" s="842">
        <f t="shared" ca="1" si="882"/>
        <v>1473.883252242435</v>
      </c>
      <c r="AH571" s="842">
        <f t="shared" ca="1" si="882"/>
        <v>1494.6310875982972</v>
      </c>
      <c r="AI571" s="842">
        <f t="shared" ref="AI571:AN571" ca="1" si="883">AI569+AI570</f>
        <v>1517.0206281500014</v>
      </c>
      <c r="AJ571" s="842">
        <f t="shared" ca="1" si="883"/>
        <v>1541.0693138729496</v>
      </c>
      <c r="AK571" s="842">
        <f t="shared" ca="1" si="883"/>
        <v>1566.795760348778</v>
      </c>
      <c r="AL571" s="1559">
        <f t="shared" ca="1" si="883"/>
        <v>1594.2550345552656</v>
      </c>
      <c r="AM571" s="1559">
        <f t="shared" ca="1" si="883"/>
        <v>1623.4628431240005</v>
      </c>
      <c r="AN571" s="1559">
        <f t="shared" ca="1" si="883"/>
        <v>1654.4306318921251</v>
      </c>
      <c r="AO571" s="842"/>
      <c r="AP571" s="842"/>
      <c r="AQ571" s="842"/>
      <c r="AR571" s="842"/>
      <c r="AS571" s="842"/>
      <c r="AT571" s="127"/>
      <c r="AU571" s="11"/>
      <c r="AV571" s="6"/>
      <c r="AW571" s="89"/>
      <c r="AX571" s="89"/>
      <c r="AY571" s="89"/>
      <c r="AZ571" s="89"/>
      <c r="BA571" s="89"/>
      <c r="BB571" s="89"/>
      <c r="BC571" s="89"/>
      <c r="BD571" s="89"/>
      <c r="BE571" s="89"/>
      <c r="BF571" s="89"/>
      <c r="BG571" s="89"/>
      <c r="BH571" s="98"/>
      <c r="BI571" s="89"/>
      <c r="BJ571" s="89"/>
      <c r="BK571" s="89"/>
      <c r="BL571" s="89"/>
      <c r="BM571" s="89"/>
      <c r="BN571" s="89"/>
      <c r="BO571" s="89"/>
      <c r="BP571" s="89"/>
      <c r="BQ571" s="89"/>
      <c r="BR571" s="89"/>
      <c r="BS571" s="89"/>
      <c r="BT571" s="89"/>
      <c r="BU571" s="89"/>
      <c r="BV571" s="89"/>
      <c r="BW571" s="89"/>
      <c r="BX571" s="89"/>
      <c r="BY571" s="89"/>
      <c r="BZ571" s="89"/>
      <c r="CA571" s="89"/>
      <c r="CB571" s="89"/>
      <c r="CC571" s="89"/>
      <c r="CD571" s="89"/>
      <c r="CE571" s="89"/>
      <c r="CF571" s="89"/>
      <c r="CG571" s="89"/>
      <c r="CH571" s="89"/>
      <c r="CI571" s="89"/>
      <c r="CJ571" s="89"/>
      <c r="CK571" s="89"/>
      <c r="CL571" s="89"/>
      <c r="CM571" s="89"/>
      <c r="CN571" s="89"/>
      <c r="CO571" s="98"/>
      <c r="CP571" s="98"/>
      <c r="CQ571" s="98"/>
      <c r="CR571" s="98"/>
      <c r="CS571" s="98"/>
      <c r="CT571" s="1247"/>
      <c r="CU571" s="1247"/>
      <c r="CV571" s="1247"/>
      <c r="CW571" s="98"/>
      <c r="CX571" s="98"/>
      <c r="CY571" s="1247"/>
      <c r="CZ571" s="1247"/>
      <c r="DA571" s="1247"/>
      <c r="DB571" s="98"/>
      <c r="DC571" s="2925"/>
      <c r="DD571" s="98"/>
      <c r="DE571" s="98"/>
      <c r="DF571" s="98"/>
      <c r="DG571" s="98"/>
      <c r="DH571" s="98"/>
      <c r="DI571" s="98"/>
      <c r="DJ571" s="98"/>
      <c r="DK571" s="98"/>
      <c r="DL571" s="98"/>
      <c r="DM571" s="98"/>
      <c r="DN571" s="98"/>
      <c r="DO571" s="98"/>
      <c r="DP571" s="98"/>
      <c r="DQ571" s="98"/>
      <c r="DR571" s="98"/>
    </row>
    <row r="572" spans="1:122">
      <c r="A572" s="178"/>
      <c r="B572" s="89"/>
      <c r="C572" s="89"/>
      <c r="D572" s="89"/>
      <c r="E572" s="89"/>
      <c r="F572" s="89"/>
      <c r="G572" s="89"/>
      <c r="H572" s="89"/>
      <c r="I572" s="123"/>
      <c r="J572" s="127"/>
      <c r="K572" s="127"/>
      <c r="L572" s="127"/>
      <c r="M572" s="127"/>
      <c r="N572" s="127"/>
      <c r="O572" s="919"/>
      <c r="P572" s="127"/>
      <c r="Q572" s="127"/>
      <c r="R572" s="127"/>
      <c r="S572" s="127"/>
      <c r="T572" s="127"/>
      <c r="U572" s="127"/>
      <c r="V572" s="127"/>
      <c r="W572" s="127"/>
      <c r="X572" s="127"/>
      <c r="Y572" s="1687"/>
      <c r="Z572" s="1687"/>
      <c r="AA572" s="1687"/>
      <c r="AB572" s="1687"/>
      <c r="AC572" s="1687"/>
      <c r="AD572" s="127"/>
      <c r="AE572" s="127"/>
      <c r="AF572" s="127"/>
      <c r="AG572" s="127"/>
      <c r="AH572" s="127"/>
      <c r="AI572" s="127"/>
      <c r="AJ572" s="127"/>
      <c r="AK572" s="127"/>
      <c r="AL572" s="1687"/>
      <c r="AM572" s="1687"/>
      <c r="AN572" s="127"/>
      <c r="AO572" s="127"/>
      <c r="AP572" s="127"/>
      <c r="AQ572" s="127"/>
      <c r="AR572" s="127"/>
      <c r="AS572" s="127"/>
      <c r="AT572" s="127"/>
      <c r="AU572" s="11"/>
      <c r="AV572" s="6"/>
      <c r="AW572" s="89"/>
      <c r="AX572" s="89"/>
      <c r="AY572" s="89"/>
      <c r="AZ572" s="89"/>
      <c r="BA572" s="89"/>
      <c r="BB572" s="89"/>
      <c r="BC572" s="89"/>
      <c r="BD572" s="89"/>
      <c r="BE572" s="89"/>
      <c r="BF572" s="89"/>
      <c r="BG572" s="89"/>
      <c r="BH572" s="98"/>
      <c r="BI572" s="89"/>
      <c r="BJ572" s="89"/>
      <c r="BK572" s="89"/>
      <c r="BL572" s="89"/>
      <c r="BM572" s="89"/>
      <c r="BN572" s="89"/>
      <c r="BO572" s="89"/>
      <c r="BP572" s="89"/>
      <c r="BQ572" s="89"/>
      <c r="BR572" s="89"/>
      <c r="BS572" s="89"/>
      <c r="BT572" s="89"/>
      <c r="BU572" s="89"/>
      <c r="BV572" s="89"/>
      <c r="BW572" s="89"/>
      <c r="BX572" s="89"/>
      <c r="BY572" s="89"/>
      <c r="BZ572" s="89"/>
      <c r="CA572" s="89"/>
      <c r="CB572" s="89"/>
      <c r="CC572" s="89"/>
      <c r="CD572" s="89"/>
      <c r="CE572" s="89"/>
      <c r="CF572" s="89"/>
      <c r="CG572" s="89"/>
      <c r="CH572" s="89"/>
      <c r="CI572" s="89"/>
      <c r="CJ572" s="89"/>
      <c r="CK572" s="89"/>
      <c r="CL572" s="89"/>
      <c r="CM572" s="89"/>
      <c r="CN572" s="89"/>
      <c r="CO572" s="98"/>
      <c r="CP572" s="98"/>
      <c r="CQ572" s="98"/>
      <c r="CR572" s="98"/>
      <c r="CS572" s="98"/>
      <c r="CT572" s="1247"/>
      <c r="CU572" s="1247"/>
      <c r="CV572" s="1247"/>
      <c r="CW572" s="98"/>
      <c r="CX572" s="98"/>
      <c r="CY572" s="1247"/>
      <c r="CZ572" s="1247"/>
      <c r="DA572" s="1247"/>
      <c r="DB572" s="98"/>
      <c r="DC572" s="2925"/>
      <c r="DD572" s="98"/>
      <c r="DE572" s="98"/>
      <c r="DF572" s="98"/>
      <c r="DG572" s="98"/>
      <c r="DH572" s="98"/>
      <c r="DI572" s="98"/>
      <c r="DJ572" s="98"/>
      <c r="DK572" s="98"/>
      <c r="DL572" s="98"/>
      <c r="DM572" s="98"/>
      <c r="DN572" s="98"/>
      <c r="DO572" s="98"/>
      <c r="DP572" s="98"/>
      <c r="DQ572" s="98"/>
      <c r="DR572" s="98"/>
    </row>
    <row r="573" spans="1:122">
      <c r="A573" s="223" t="s">
        <v>513</v>
      </c>
      <c r="B573" s="98"/>
      <c r="C573" s="98"/>
      <c r="D573" s="98"/>
      <c r="E573" s="98"/>
      <c r="F573" s="98"/>
      <c r="G573" s="98"/>
      <c r="H573" s="98"/>
      <c r="I573" s="123"/>
      <c r="J573" s="842">
        <f>I569</f>
        <v>4728.2999999999993</v>
      </c>
      <c r="K573" s="842">
        <f>J569</f>
        <v>4895.8999999999996</v>
      </c>
      <c r="L573" s="842">
        <f t="shared" ref="L573:AF573" si="884">K569</f>
        <v>5110.1000000000004</v>
      </c>
      <c r="M573" s="842">
        <f t="shared" si="884"/>
        <v>4275.6000000000004</v>
      </c>
      <c r="N573" s="842">
        <f t="shared" si="884"/>
        <v>4683.3999999999996</v>
      </c>
      <c r="O573" s="919"/>
      <c r="P573" s="842"/>
      <c r="Q573" s="842"/>
      <c r="R573" s="842">
        <f>N569</f>
        <v>4899.5</v>
      </c>
      <c r="S573" s="842">
        <f t="shared" si="884"/>
        <v>4998</v>
      </c>
      <c r="T573" s="842">
        <f t="shared" si="884"/>
        <v>5104.7</v>
      </c>
      <c r="U573" s="842">
        <f t="shared" si="884"/>
        <v>4880</v>
      </c>
      <c r="V573" s="842">
        <f t="shared" si="884"/>
        <v>4988</v>
      </c>
      <c r="W573" s="842">
        <f t="shared" si="884"/>
        <v>5023</v>
      </c>
      <c r="X573" s="842"/>
      <c r="Y573" s="1559"/>
      <c r="Z573" s="1559">
        <f>W569</f>
        <v>3164</v>
      </c>
      <c r="AA573" s="1559">
        <f>Z569</f>
        <v>2880</v>
      </c>
      <c r="AB573" s="1559"/>
      <c r="AC573" s="1559">
        <f>AA569</f>
        <v>2935</v>
      </c>
      <c r="AD573" s="842">
        <f t="shared" si="884"/>
        <v>3037.6198524806696</v>
      </c>
      <c r="AE573" s="842">
        <f t="shared" si="884"/>
        <v>2975.873696718229</v>
      </c>
      <c r="AF573" s="842">
        <f t="shared" si="884"/>
        <v>2929.4892045472629</v>
      </c>
      <c r="AG573" s="842">
        <f t="shared" ref="AG573:AN573" si="885">AF569</f>
        <v>2891.8027639388056</v>
      </c>
      <c r="AH573" s="842">
        <f t="shared" si="885"/>
        <v>2864.8734676814379</v>
      </c>
      <c r="AI573" s="842">
        <f t="shared" si="885"/>
        <v>2852.0511376056224</v>
      </c>
      <c r="AJ573" s="842">
        <f t="shared" si="885"/>
        <v>2840.2592803771599</v>
      </c>
      <c r="AK573" s="842">
        <f t="shared" si="885"/>
        <v>2835.7622994132666</v>
      </c>
      <c r="AL573" s="1559">
        <f t="shared" si="885"/>
        <v>2842.3813959998752</v>
      </c>
      <c r="AM573" s="1559">
        <f t="shared" si="885"/>
        <v>2847.720317088008</v>
      </c>
      <c r="AN573" s="1559">
        <f t="shared" si="885"/>
        <v>2857.4710892547023</v>
      </c>
      <c r="AO573" s="842"/>
      <c r="AP573" s="842"/>
      <c r="AQ573" s="842"/>
      <c r="AR573" s="842"/>
      <c r="AS573" s="842"/>
      <c r="AT573" s="127"/>
      <c r="AU573" s="11"/>
      <c r="AV573" s="6"/>
      <c r="AW573" s="89"/>
      <c r="AX573" s="89"/>
      <c r="AY573" s="89"/>
      <c r="AZ573" s="89"/>
      <c r="BA573" s="89"/>
      <c r="BB573" s="89"/>
      <c r="BC573" s="89"/>
      <c r="BD573" s="89"/>
      <c r="BE573" s="89"/>
      <c r="BF573" s="89"/>
      <c r="BG573" s="89"/>
      <c r="BH573" s="98"/>
      <c r="BI573" s="89"/>
      <c r="BJ573" s="89"/>
      <c r="BK573" s="89"/>
      <c r="BL573" s="89"/>
      <c r="BM573" s="89"/>
      <c r="BN573" s="89"/>
      <c r="BO573" s="89"/>
      <c r="BP573" s="89"/>
      <c r="BQ573" s="89"/>
      <c r="BR573" s="89"/>
      <c r="BS573" s="89"/>
      <c r="BT573" s="89"/>
      <c r="BU573" s="89"/>
      <c r="BV573" s="89"/>
      <c r="BW573" s="89"/>
      <c r="BX573" s="89"/>
      <c r="BY573" s="89"/>
      <c r="BZ573" s="89"/>
      <c r="CA573" s="89"/>
      <c r="CB573" s="89"/>
      <c r="CC573" s="89"/>
      <c r="CD573" s="89"/>
      <c r="CE573" s="89"/>
      <c r="CF573" s="89"/>
      <c r="CG573" s="89"/>
      <c r="CH573" s="89"/>
      <c r="CI573" s="89"/>
      <c r="CJ573" s="89"/>
      <c r="CK573" s="89"/>
      <c r="CL573" s="89"/>
      <c r="CM573" s="89"/>
      <c r="CN573" s="89"/>
      <c r="CO573" s="98"/>
      <c r="CP573" s="98"/>
      <c r="CQ573" s="98"/>
      <c r="CR573" s="98"/>
      <c r="CS573" s="98"/>
      <c r="CT573" s="1247"/>
      <c r="CU573" s="1247"/>
      <c r="CV573" s="1247"/>
      <c r="CW573" s="98"/>
      <c r="CX573" s="98"/>
      <c r="CY573" s="1247"/>
      <c r="CZ573" s="1247"/>
      <c r="DA573" s="1247"/>
      <c r="DB573" s="98"/>
      <c r="DC573" s="2925"/>
      <c r="DD573" s="98"/>
      <c r="DE573" s="98"/>
      <c r="DF573" s="98"/>
      <c r="DG573" s="98"/>
      <c r="DH573" s="98"/>
      <c r="DI573" s="98"/>
      <c r="DJ573" s="98"/>
      <c r="DK573" s="98"/>
      <c r="DL573" s="98"/>
      <c r="DM573" s="98"/>
      <c r="DN573" s="98"/>
      <c r="DO573" s="98"/>
      <c r="DP573" s="98"/>
      <c r="DQ573" s="98"/>
      <c r="DR573" s="98"/>
    </row>
    <row r="574" spans="1:122">
      <c r="A574" s="13" t="s">
        <v>514</v>
      </c>
      <c r="B574" s="98"/>
      <c r="C574" s="98"/>
      <c r="D574" s="98"/>
      <c r="E574" s="98"/>
      <c r="F574" s="98"/>
      <c r="G574" s="98"/>
      <c r="H574" s="98"/>
      <c r="I574" s="123"/>
      <c r="J574" s="192">
        <f>-J279</f>
        <v>262.2</v>
      </c>
      <c r="K574" s="192">
        <f>-K279</f>
        <v>375.6</v>
      </c>
      <c r="L574" s="192">
        <f>-L279</f>
        <v>394.1</v>
      </c>
      <c r="M574" s="192">
        <f>-M279</f>
        <v>469.1</v>
      </c>
      <c r="N574" s="192">
        <f>-N279</f>
        <v>474.1</v>
      </c>
      <c r="O574" s="919"/>
      <c r="P574" s="192"/>
      <c r="Q574" s="192"/>
      <c r="R574" s="192">
        <f t="shared" ref="R574:W574" si="886">-R279</f>
        <v>261.60000000000002</v>
      </c>
      <c r="S574" s="192">
        <f t="shared" si="886"/>
        <v>284.3</v>
      </c>
      <c r="T574" s="192">
        <f t="shared" si="886"/>
        <v>245</v>
      </c>
      <c r="U574" s="192">
        <f t="shared" si="886"/>
        <v>254</v>
      </c>
      <c r="V574" s="192">
        <f t="shared" si="886"/>
        <v>270</v>
      </c>
      <c r="W574" s="192">
        <f t="shared" si="886"/>
        <v>206</v>
      </c>
      <c r="X574" s="192"/>
      <c r="Y574" s="1368"/>
      <c r="Z574" s="1368">
        <f>-Z279</f>
        <v>193</v>
      </c>
      <c r="AA574" s="1368">
        <f>-AA279</f>
        <v>196</v>
      </c>
      <c r="AB574" s="1368"/>
      <c r="AC574" s="1368">
        <f>-AC279</f>
        <v>180.06950525844732</v>
      </c>
      <c r="AD574" s="192">
        <f t="shared" ref="AD574:AJ574" si="887">-AD279</f>
        <v>184.00572813616898</v>
      </c>
      <c r="AE574" s="192">
        <f t="shared" si="887"/>
        <v>194.37195620936308</v>
      </c>
      <c r="AF574" s="192">
        <f t="shared" si="887"/>
        <v>199.31737350942876</v>
      </c>
      <c r="AG574" s="192">
        <f t="shared" si="887"/>
        <v>207.02558013073693</v>
      </c>
      <c r="AH574" s="192">
        <f t="shared" si="887"/>
        <v>218.95389144146759</v>
      </c>
      <c r="AI574" s="192">
        <f t="shared" si="887"/>
        <v>218.94700216810344</v>
      </c>
      <c r="AJ574" s="192">
        <f t="shared" si="887"/>
        <v>225.28788442773111</v>
      </c>
      <c r="AK574" s="192">
        <f>-AK279</f>
        <v>236.04014372663985</v>
      </c>
      <c r="AL574" s="1368">
        <f>-AL279</f>
        <v>235.29547152840053</v>
      </c>
      <c r="AM574" s="1368">
        <f>-AM279</f>
        <v>240.1392561533286</v>
      </c>
      <c r="AN574" s="1368">
        <f>-AN279</f>
        <v>253.66167875502467</v>
      </c>
      <c r="AO574" s="192"/>
      <c r="AP574" s="192"/>
      <c r="AQ574" s="192"/>
      <c r="AR574" s="192"/>
      <c r="AS574" s="192"/>
      <c r="AT574" s="127"/>
      <c r="AU574" s="11"/>
      <c r="AV574" s="6"/>
      <c r="AW574" s="89"/>
      <c r="AX574" s="89"/>
      <c r="AY574" s="89"/>
      <c r="AZ574" s="89"/>
      <c r="BA574" s="89"/>
      <c r="BB574" s="89"/>
      <c r="BC574" s="89"/>
      <c r="BD574" s="89"/>
      <c r="BE574" s="89"/>
      <c r="BF574" s="89"/>
      <c r="BG574" s="89"/>
      <c r="BH574" s="98"/>
      <c r="BI574" s="89"/>
      <c r="BJ574" s="89"/>
      <c r="BK574" s="89"/>
      <c r="BL574" s="89"/>
      <c r="BM574" s="89"/>
      <c r="BN574" s="89"/>
      <c r="BO574" s="89"/>
      <c r="BP574" s="89"/>
      <c r="BQ574" s="89"/>
      <c r="BR574" s="89"/>
      <c r="BS574" s="89"/>
      <c r="BT574" s="89"/>
      <c r="BU574" s="89"/>
      <c r="BV574" s="89"/>
      <c r="BW574" s="89"/>
      <c r="BX574" s="89"/>
      <c r="BY574" s="89"/>
      <c r="BZ574" s="89"/>
      <c r="CA574" s="89"/>
      <c r="CB574" s="89"/>
      <c r="CC574" s="89"/>
      <c r="CD574" s="89"/>
      <c r="CE574" s="89"/>
      <c r="CF574" s="89"/>
      <c r="CG574" s="89"/>
      <c r="CH574" s="89"/>
      <c r="CI574" s="89"/>
      <c r="CJ574" s="89"/>
      <c r="CK574" s="89"/>
      <c r="CL574" s="89"/>
      <c r="CM574" s="89"/>
      <c r="CN574" s="89"/>
      <c r="CO574" s="98"/>
      <c r="CP574" s="98"/>
      <c r="CQ574" s="98"/>
      <c r="CR574" s="98"/>
      <c r="CS574" s="98"/>
      <c r="CT574" s="1247"/>
      <c r="CU574" s="1247"/>
      <c r="CV574" s="1247"/>
      <c r="CW574" s="98"/>
      <c r="CX574" s="98"/>
      <c r="CY574" s="1247"/>
      <c r="CZ574" s="1247"/>
      <c r="DA574" s="1247"/>
      <c r="DB574" s="98"/>
      <c r="DC574" s="2925"/>
      <c r="DD574" s="98"/>
      <c r="DE574" s="98"/>
      <c r="DF574" s="98"/>
      <c r="DG574" s="98"/>
      <c r="DH574" s="98"/>
      <c r="DI574" s="98"/>
      <c r="DJ574" s="98"/>
      <c r="DK574" s="98"/>
      <c r="DL574" s="98"/>
      <c r="DM574" s="98"/>
      <c r="DN574" s="98"/>
      <c r="DO574" s="98"/>
      <c r="DP574" s="98"/>
      <c r="DQ574" s="98"/>
      <c r="DR574" s="98"/>
    </row>
    <row r="575" spans="1:122">
      <c r="A575" s="13" t="s">
        <v>515</v>
      </c>
      <c r="B575" s="98"/>
      <c r="C575" s="98"/>
      <c r="D575" s="98"/>
      <c r="E575" s="98"/>
      <c r="F575" s="98"/>
      <c r="G575" s="98"/>
      <c r="H575" s="98"/>
      <c r="I575" s="123"/>
      <c r="J575" s="227">
        <f>J577-J573-J574</f>
        <v>-94.599999999999625</v>
      </c>
      <c r="K575" s="227">
        <f>K577-K573-K574</f>
        <v>-161.3999999999993</v>
      </c>
      <c r="L575" s="227">
        <f>L577-L573-L574</f>
        <v>-1228.5999999999999</v>
      </c>
      <c r="M575" s="227">
        <f>M577-M573-M574</f>
        <v>-61.30000000000075</v>
      </c>
      <c r="N575" s="227">
        <f>N577-N573-N574</f>
        <v>-257.99999999999966</v>
      </c>
      <c r="O575" s="919"/>
      <c r="P575" s="127"/>
      <c r="Q575" s="127"/>
      <c r="R575" s="227">
        <f>R577-R573-R574</f>
        <v>-163.10000000000002</v>
      </c>
      <c r="S575" s="227">
        <f>S577-S573-S574</f>
        <v>-177.60000000000019</v>
      </c>
      <c r="T575" s="227">
        <f>T577-T573-T574</f>
        <v>-469.69999999999982</v>
      </c>
      <c r="U575" s="227">
        <f>U577-U573-U574</f>
        <v>-146</v>
      </c>
      <c r="V575" s="227">
        <f>V577-V573-V574</f>
        <v>-235</v>
      </c>
      <c r="W575" s="227">
        <f>W577-W573-W574-W576</f>
        <v>-65</v>
      </c>
      <c r="X575" s="127"/>
      <c r="Y575" s="1687"/>
      <c r="Z575" s="2284">
        <f>Z577-Z573-Z574-Z576</f>
        <v>-492</v>
      </c>
      <c r="AA575" s="2284">
        <f>AA577-AA573-AA574-AA576</f>
        <v>-233</v>
      </c>
      <c r="AB575" s="1687"/>
      <c r="AC575" s="1687">
        <f>-AC580*AC573</f>
        <v>-237.4496527777778</v>
      </c>
      <c r="AD575" s="127">
        <f>-AD580*AD573</f>
        <v>-245.75188389860975</v>
      </c>
      <c r="AE575" s="127">
        <f>-AE580*AE573</f>
        <v>-240.75644838032895</v>
      </c>
      <c r="AF575" s="127">
        <f>-AF580*AF573</f>
        <v>-237.00381411788621</v>
      </c>
      <c r="AG575" s="127">
        <f t="shared" ref="AG575:AL575" si="888">-AG580*AG573</f>
        <v>-233.95487638810476</v>
      </c>
      <c r="AH575" s="127">
        <f t="shared" si="888"/>
        <v>-231.77622151728301</v>
      </c>
      <c r="AI575" s="127">
        <f t="shared" si="888"/>
        <v>-230.738859396566</v>
      </c>
      <c r="AJ575" s="127">
        <f t="shared" si="888"/>
        <v>-229.78486539162441</v>
      </c>
      <c r="AK575" s="127">
        <f t="shared" si="888"/>
        <v>-229.42104714003165</v>
      </c>
      <c r="AL575" s="1687">
        <f t="shared" si="888"/>
        <v>-229.95655044026768</v>
      </c>
      <c r="AM575" s="1687">
        <f>-AM580*AM573</f>
        <v>-230.38848398663399</v>
      </c>
      <c r="AN575" s="1687">
        <f>-AN580*AN573</f>
        <v>-231.17734854039779</v>
      </c>
      <c r="AO575" s="127"/>
      <c r="AP575" s="127"/>
      <c r="AQ575" s="127"/>
      <c r="AR575" s="127"/>
      <c r="AS575" s="127"/>
      <c r="AT575" s="127"/>
      <c r="AU575" s="11"/>
      <c r="AV575" s="6"/>
      <c r="AW575" s="89"/>
      <c r="AX575" s="89"/>
      <c r="AY575" s="89"/>
      <c r="AZ575" s="89"/>
      <c r="BA575" s="89"/>
      <c r="BB575" s="89"/>
      <c r="BC575" s="89"/>
      <c r="BD575" s="89"/>
      <c r="BE575" s="89"/>
      <c r="BF575" s="89"/>
      <c r="BG575" s="89"/>
      <c r="BH575" s="98"/>
      <c r="BI575" s="89"/>
      <c r="BJ575" s="89"/>
      <c r="BK575" s="89"/>
      <c r="BL575" s="89"/>
      <c r="BM575" s="89"/>
      <c r="BN575" s="89"/>
      <c r="BO575" s="89"/>
      <c r="BP575" s="89"/>
      <c r="BQ575" s="89"/>
      <c r="BR575" s="89"/>
      <c r="BS575" s="89"/>
      <c r="BT575" s="89"/>
      <c r="BU575" s="89"/>
      <c r="BV575" s="89"/>
      <c r="BW575" s="89"/>
      <c r="BX575" s="89"/>
      <c r="BY575" s="89"/>
      <c r="BZ575" s="89"/>
      <c r="CA575" s="89"/>
      <c r="CB575" s="89"/>
      <c r="CC575" s="89"/>
      <c r="CD575" s="89"/>
      <c r="CE575" s="89"/>
      <c r="CF575" s="89"/>
      <c r="CG575" s="89"/>
      <c r="CH575" s="89"/>
      <c r="CI575" s="89"/>
      <c r="CJ575" s="89"/>
      <c r="CK575" s="89"/>
      <c r="CL575" s="89"/>
      <c r="CM575" s="89"/>
      <c r="CN575" s="89"/>
      <c r="CO575" s="98"/>
      <c r="CP575" s="98"/>
      <c r="CQ575" s="98"/>
      <c r="CR575" s="98"/>
      <c r="CS575" s="98"/>
      <c r="CT575" s="1247"/>
      <c r="CU575" s="1247"/>
      <c r="CV575" s="1247"/>
      <c r="CW575" s="98"/>
      <c r="CX575" s="98"/>
      <c r="CY575" s="1247"/>
      <c r="CZ575" s="1247"/>
      <c r="DA575" s="1247"/>
      <c r="DB575" s="98"/>
      <c r="DC575" s="2925"/>
      <c r="DD575" s="98"/>
      <c r="DE575" s="98"/>
      <c r="DF575" s="98"/>
      <c r="DG575" s="98"/>
      <c r="DH575" s="98"/>
      <c r="DI575" s="98"/>
      <c r="DJ575" s="98"/>
      <c r="DK575" s="98"/>
      <c r="DL575" s="98"/>
      <c r="DM575" s="98"/>
      <c r="DN575" s="98"/>
      <c r="DO575" s="98"/>
      <c r="DP575" s="98"/>
      <c r="DQ575" s="98"/>
      <c r="DR575" s="98"/>
    </row>
    <row r="576" spans="1:122">
      <c r="A576" s="223" t="s">
        <v>467</v>
      </c>
      <c r="B576" s="98"/>
      <c r="C576" s="98"/>
      <c r="D576" s="98"/>
      <c r="E576" s="98"/>
      <c r="F576" s="98"/>
      <c r="G576" s="98"/>
      <c r="H576" s="98"/>
      <c r="I576" s="123"/>
      <c r="J576" s="850">
        <f>0.7*J634</f>
        <v>23.869999999999976</v>
      </c>
      <c r="K576" s="851">
        <f>0.7*K634</f>
        <v>107.1</v>
      </c>
      <c r="L576" s="851">
        <f>0.7*L634</f>
        <v>227.49999999999997</v>
      </c>
      <c r="M576" s="850">
        <f>-355+71.5</f>
        <v>-283.5</v>
      </c>
      <c r="N576" s="850">
        <v>-366.7</v>
      </c>
      <c r="O576" s="919"/>
      <c r="P576" s="850"/>
      <c r="Q576" s="850"/>
      <c r="R576" s="850">
        <v>0</v>
      </c>
      <c r="S576" s="850">
        <v>-20</v>
      </c>
      <c r="T576" s="850">
        <v>0</v>
      </c>
      <c r="U576" s="850">
        <v>0</v>
      </c>
      <c r="V576" s="850">
        <f>-V280</f>
        <v>32</v>
      </c>
      <c r="W576" s="850">
        <f>+-2000</f>
        <v>-2000</v>
      </c>
      <c r="X576" s="850"/>
      <c r="Y576" s="2242"/>
      <c r="Z576" s="2242">
        <f>-Z280</f>
        <v>15</v>
      </c>
      <c r="AA576" s="2242">
        <f>-AA280</f>
        <v>92</v>
      </c>
      <c r="AB576" s="2242"/>
      <c r="AC576" s="2242">
        <f t="shared" ref="AC576:AN576" si="889">-AC280</f>
        <v>160</v>
      </c>
      <c r="AD576" s="2242">
        <f t="shared" si="889"/>
        <v>0</v>
      </c>
      <c r="AE576" s="2242">
        <f t="shared" si="889"/>
        <v>0</v>
      </c>
      <c r="AF576" s="2242">
        <f t="shared" si="889"/>
        <v>0</v>
      </c>
      <c r="AG576" s="2242">
        <f t="shared" si="889"/>
        <v>0</v>
      </c>
      <c r="AH576" s="2242">
        <f t="shared" si="889"/>
        <v>0</v>
      </c>
      <c r="AI576" s="2242">
        <f t="shared" si="889"/>
        <v>0</v>
      </c>
      <c r="AJ576" s="2242">
        <f t="shared" si="889"/>
        <v>0</v>
      </c>
      <c r="AK576" s="2242">
        <f t="shared" si="889"/>
        <v>0</v>
      </c>
      <c r="AL576" s="2242">
        <f t="shared" si="889"/>
        <v>0</v>
      </c>
      <c r="AM576" s="2242">
        <f t="shared" si="889"/>
        <v>0</v>
      </c>
      <c r="AN576" s="2242">
        <f t="shared" si="889"/>
        <v>0</v>
      </c>
      <c r="AO576" s="1210"/>
      <c r="AP576" s="1210"/>
      <c r="AQ576" s="1210"/>
      <c r="AR576" s="1210"/>
      <c r="AS576" s="1210"/>
      <c r="AT576" s="228"/>
      <c r="AU576" s="11"/>
      <c r="AV576" s="11"/>
      <c r="AW576" s="98"/>
      <c r="AX576" s="98"/>
      <c r="AY576" s="98"/>
      <c r="AZ576" s="98"/>
      <c r="BA576" s="98"/>
      <c r="BB576" s="98"/>
      <c r="BC576" s="89"/>
      <c r="BD576" s="89"/>
      <c r="BE576" s="89"/>
      <c r="BF576" s="89"/>
      <c r="BG576" s="89"/>
      <c r="BH576" s="98"/>
      <c r="BI576" s="89"/>
      <c r="BJ576" s="89"/>
      <c r="BK576" s="89"/>
      <c r="BL576" s="89"/>
      <c r="BM576" s="89"/>
      <c r="BN576" s="89"/>
      <c r="BO576" s="89"/>
      <c r="BP576" s="89"/>
      <c r="BQ576" s="89"/>
      <c r="BR576" s="89"/>
      <c r="BS576" s="89"/>
      <c r="BT576" s="89"/>
      <c r="BU576" s="89"/>
      <c r="BV576" s="89"/>
      <c r="BW576" s="89"/>
      <c r="BX576" s="89"/>
      <c r="BY576" s="89"/>
      <c r="BZ576" s="89"/>
      <c r="CA576" s="89"/>
      <c r="CB576" s="89"/>
      <c r="CC576" s="89"/>
      <c r="CD576" s="89"/>
      <c r="CE576" s="89"/>
      <c r="CF576" s="89"/>
      <c r="CG576" s="89"/>
      <c r="CH576" s="89"/>
      <c r="CI576" s="89"/>
      <c r="CJ576" s="89"/>
      <c r="CK576" s="89"/>
      <c r="CL576" s="89"/>
      <c r="CM576" s="89"/>
      <c r="CN576" s="89"/>
      <c r="CO576" s="98"/>
      <c r="CP576" s="98"/>
      <c r="CQ576" s="98"/>
      <c r="CR576" s="98"/>
      <c r="CS576" s="98"/>
      <c r="CT576" s="1247"/>
      <c r="CU576" s="1247"/>
      <c r="CV576" s="1247"/>
      <c r="CW576" s="98"/>
      <c r="CX576" s="98"/>
      <c r="CY576" s="1247"/>
      <c r="CZ576" s="1247"/>
      <c r="DA576" s="1247"/>
      <c r="DB576" s="98"/>
      <c r="DC576" s="2925"/>
      <c r="DD576" s="98"/>
      <c r="DE576" s="98"/>
      <c r="DF576" s="98"/>
      <c r="DG576" s="98"/>
      <c r="DH576" s="98"/>
      <c r="DI576" s="98"/>
      <c r="DJ576" s="98"/>
      <c r="DK576" s="98"/>
      <c r="DL576" s="98"/>
      <c r="DM576" s="98"/>
      <c r="DN576" s="98"/>
      <c r="DO576" s="98"/>
      <c r="DP576" s="98"/>
      <c r="DQ576" s="98"/>
      <c r="DR576" s="98"/>
    </row>
    <row r="577" spans="1:122">
      <c r="A577" s="223" t="s">
        <v>468</v>
      </c>
      <c r="B577" s="98"/>
      <c r="C577" s="98"/>
      <c r="D577" s="98"/>
      <c r="E577" s="98"/>
      <c r="F577" s="98"/>
      <c r="G577" s="98"/>
      <c r="H577" s="98"/>
      <c r="I577" s="123"/>
      <c r="J577" s="842">
        <f>J569</f>
        <v>4895.8999999999996</v>
      </c>
      <c r="K577" s="842">
        <f>K569</f>
        <v>5110.1000000000004</v>
      </c>
      <c r="L577" s="842">
        <f>L569</f>
        <v>4275.6000000000004</v>
      </c>
      <c r="M577" s="842">
        <f>M569</f>
        <v>4683.3999999999996</v>
      </c>
      <c r="N577" s="842">
        <f>N569</f>
        <v>4899.5</v>
      </c>
      <c r="O577" s="919"/>
      <c r="P577" s="842"/>
      <c r="Q577" s="842"/>
      <c r="R577" s="842">
        <f t="shared" ref="R577:W577" si="890">R569</f>
        <v>4998</v>
      </c>
      <c r="S577" s="842">
        <f t="shared" si="890"/>
        <v>5104.7</v>
      </c>
      <c r="T577" s="842">
        <f t="shared" si="890"/>
        <v>4880</v>
      </c>
      <c r="U577" s="842">
        <f t="shared" si="890"/>
        <v>4988</v>
      </c>
      <c r="V577" s="842">
        <f t="shared" si="890"/>
        <v>5023</v>
      </c>
      <c r="W577" s="842">
        <f t="shared" si="890"/>
        <v>3164</v>
      </c>
      <c r="X577" s="842"/>
      <c r="Y577" s="1559"/>
      <c r="Z577" s="1559">
        <f>Z569</f>
        <v>2880</v>
      </c>
      <c r="AA577" s="1559">
        <f>AA569</f>
        <v>2935</v>
      </c>
      <c r="AB577" s="1559"/>
      <c r="AC577" s="1559">
        <f>SUM(AC573:AC576)</f>
        <v>3037.6198524806696</v>
      </c>
      <c r="AD577" s="842">
        <f t="shared" ref="AD577:AK577" si="891">SUM(AD573:AD576)</f>
        <v>2975.873696718229</v>
      </c>
      <c r="AE577" s="842">
        <f t="shared" si="891"/>
        <v>2929.4892045472629</v>
      </c>
      <c r="AF577" s="842">
        <f t="shared" si="891"/>
        <v>2891.8027639388056</v>
      </c>
      <c r="AG577" s="842">
        <f t="shared" si="891"/>
        <v>2864.8734676814379</v>
      </c>
      <c r="AH577" s="842">
        <f t="shared" si="891"/>
        <v>2852.0511376056224</v>
      </c>
      <c r="AI577" s="842">
        <f t="shared" si="891"/>
        <v>2840.2592803771599</v>
      </c>
      <c r="AJ577" s="842">
        <f t="shared" si="891"/>
        <v>2835.7622994132666</v>
      </c>
      <c r="AK577" s="842">
        <f t="shared" si="891"/>
        <v>2842.3813959998752</v>
      </c>
      <c r="AL577" s="1559">
        <f>SUM(AL573:AL576)</f>
        <v>2847.720317088008</v>
      </c>
      <c r="AM577" s="1559">
        <f>SUM(AM573:AM576)</f>
        <v>2857.4710892547023</v>
      </c>
      <c r="AN577" s="1559">
        <f>SUM(AN573:AN576)</f>
        <v>2879.9554194693292</v>
      </c>
      <c r="AO577" s="842"/>
      <c r="AP577" s="842"/>
      <c r="AQ577" s="842"/>
      <c r="AR577" s="842"/>
      <c r="AS577" s="842"/>
      <c r="AT577" s="127"/>
      <c r="AU577" s="11"/>
      <c r="AV577" s="6"/>
      <c r="AW577" s="89"/>
      <c r="AX577" s="89"/>
      <c r="AY577" s="89"/>
      <c r="AZ577" s="89"/>
      <c r="BA577" s="89"/>
      <c r="BB577" s="89"/>
      <c r="BC577" s="89"/>
      <c r="BD577" s="89"/>
      <c r="BE577" s="89"/>
      <c r="BF577" s="89"/>
      <c r="BG577" s="89"/>
      <c r="BH577" s="98"/>
      <c r="BI577" s="89"/>
      <c r="BJ577" s="89"/>
      <c r="BK577" s="89"/>
      <c r="BL577" s="89"/>
      <c r="BM577" s="89"/>
      <c r="BN577" s="89"/>
      <c r="BO577" s="89"/>
      <c r="BP577" s="89"/>
      <c r="BQ577" s="89"/>
      <c r="BR577" s="89"/>
      <c r="BS577" s="89"/>
      <c r="BT577" s="89"/>
      <c r="BU577" s="89"/>
      <c r="BV577" s="89"/>
      <c r="BW577" s="89"/>
      <c r="BX577" s="89"/>
      <c r="BY577" s="89"/>
      <c r="BZ577" s="89"/>
      <c r="CA577" s="89"/>
      <c r="CB577" s="89"/>
      <c r="CC577" s="89"/>
      <c r="CD577" s="89"/>
      <c r="CE577" s="89"/>
      <c r="CF577" s="89"/>
      <c r="CG577" s="89"/>
      <c r="CH577" s="89"/>
      <c r="CI577" s="89"/>
      <c r="CJ577" s="89"/>
      <c r="CK577" s="89"/>
      <c r="CL577" s="89"/>
      <c r="CM577" s="89"/>
      <c r="CN577" s="89"/>
      <c r="CO577" s="98"/>
      <c r="CP577" s="98"/>
      <c r="CQ577" s="98"/>
      <c r="CR577" s="98"/>
      <c r="CS577" s="98"/>
      <c r="CT577" s="1247"/>
      <c r="CU577" s="1247"/>
      <c r="CV577" s="1247"/>
      <c r="CW577" s="98"/>
      <c r="CX577" s="98"/>
      <c r="CY577" s="1247"/>
      <c r="CZ577" s="1247"/>
      <c r="DA577" s="1247"/>
      <c r="DB577" s="98"/>
      <c r="DC577" s="2925"/>
      <c r="DD577" s="98"/>
      <c r="DE577" s="98"/>
      <c r="DF577" s="98"/>
      <c r="DG577" s="98"/>
      <c r="DH577" s="98"/>
      <c r="DI577" s="98"/>
      <c r="DJ577" s="98"/>
      <c r="DK577" s="98"/>
      <c r="DL577" s="98"/>
      <c r="DM577" s="98"/>
      <c r="DN577" s="98"/>
      <c r="DO577" s="98"/>
      <c r="DP577" s="98"/>
      <c r="DQ577" s="98"/>
      <c r="DR577" s="98"/>
    </row>
    <row r="578" spans="1:122">
      <c r="A578" s="223" t="s">
        <v>524</v>
      </c>
      <c r="B578" s="98"/>
      <c r="C578" s="98"/>
      <c r="D578" s="98"/>
      <c r="E578" s="98"/>
      <c r="F578" s="98"/>
      <c r="G578" s="98"/>
      <c r="H578" s="98"/>
      <c r="I578" s="123"/>
      <c r="J578" s="192">
        <f>(J577+J573)/2</f>
        <v>4812.0999999999995</v>
      </c>
      <c r="K578" s="192">
        <f>(K577+K573)/2</f>
        <v>5003</v>
      </c>
      <c r="L578" s="192">
        <f t="shared" ref="L578:AF578" si="892">(L577+L573)/2</f>
        <v>4692.8500000000004</v>
      </c>
      <c r="M578" s="192">
        <f t="shared" si="892"/>
        <v>4479.5</v>
      </c>
      <c r="N578" s="192">
        <f t="shared" si="892"/>
        <v>4791.45</v>
      </c>
      <c r="O578" s="919"/>
      <c r="P578" s="192"/>
      <c r="Q578" s="192"/>
      <c r="R578" s="192">
        <f t="shared" si="892"/>
        <v>4948.75</v>
      </c>
      <c r="S578" s="192">
        <f t="shared" si="892"/>
        <v>5051.3500000000004</v>
      </c>
      <c r="T578" s="192">
        <f t="shared" si="892"/>
        <v>4992.3500000000004</v>
      </c>
      <c r="U578" s="192">
        <f t="shared" si="892"/>
        <v>4934</v>
      </c>
      <c r="V578" s="192">
        <f>(V577+V573)/2</f>
        <v>5005.5</v>
      </c>
      <c r="W578" s="1818">
        <f>+(3164+3060)/2</f>
        <v>3112</v>
      </c>
      <c r="X578" s="192"/>
      <c r="Y578" s="1368"/>
      <c r="Z578" s="1368">
        <f>(Z577+Z573)/2</f>
        <v>3022</v>
      </c>
      <c r="AA578" s="1368">
        <f>(AA577+AA573)/2</f>
        <v>2907.5</v>
      </c>
      <c r="AB578" s="1368"/>
      <c r="AC578" s="1368">
        <f>(AC577+AC573)/2</f>
        <v>2986.3099262403348</v>
      </c>
      <c r="AD578" s="192">
        <f t="shared" si="892"/>
        <v>3006.7467745994491</v>
      </c>
      <c r="AE578" s="192">
        <f t="shared" si="892"/>
        <v>2952.681450632746</v>
      </c>
      <c r="AF578" s="192">
        <f t="shared" si="892"/>
        <v>2910.645984243034</v>
      </c>
      <c r="AG578" s="192">
        <f t="shared" ref="AG578:AL578" si="893">(AG577+AG573)/2</f>
        <v>2878.338115810122</v>
      </c>
      <c r="AH578" s="192">
        <f t="shared" si="893"/>
        <v>2858.4623026435302</v>
      </c>
      <c r="AI578" s="192">
        <f t="shared" si="893"/>
        <v>2846.1552089913912</v>
      </c>
      <c r="AJ578" s="192">
        <f t="shared" si="893"/>
        <v>2838.0107898952133</v>
      </c>
      <c r="AK578" s="192">
        <f t="shared" si="893"/>
        <v>2839.0718477065711</v>
      </c>
      <c r="AL578" s="1368">
        <f t="shared" si="893"/>
        <v>2845.0508565439413</v>
      </c>
      <c r="AM578" s="1368">
        <f>(AM577+AM573)/2</f>
        <v>2852.5957031713551</v>
      </c>
      <c r="AN578" s="1368">
        <f>(AN577+AN573)/2</f>
        <v>2868.7132543620155</v>
      </c>
      <c r="AO578" s="192"/>
      <c r="AP578" s="192"/>
      <c r="AQ578" s="192"/>
      <c r="AR578" s="192"/>
      <c r="AS578" s="192"/>
      <c r="AT578" s="230"/>
      <c r="AU578" s="11"/>
      <c r="AV578" s="6"/>
      <c r="AW578" s="89"/>
      <c r="AX578" s="89"/>
      <c r="AY578" s="89"/>
      <c r="AZ578" s="89"/>
      <c r="BA578" s="89"/>
      <c r="BB578" s="89"/>
      <c r="BC578" s="89"/>
      <c r="BD578" s="89"/>
      <c r="BE578" s="89"/>
      <c r="BF578" s="89"/>
      <c r="BG578" s="89"/>
      <c r="BH578" s="98"/>
      <c r="BI578" s="89"/>
      <c r="BJ578" s="89"/>
      <c r="BK578" s="89"/>
      <c r="BL578" s="89"/>
      <c r="BM578" s="89"/>
      <c r="BN578" s="89"/>
      <c r="BO578" s="89"/>
      <c r="BP578" s="89"/>
      <c r="BQ578" s="89"/>
      <c r="BR578" s="89"/>
      <c r="BS578" s="89"/>
      <c r="BT578" s="89"/>
      <c r="BU578" s="89"/>
      <c r="BV578" s="89"/>
      <c r="BW578" s="89"/>
      <c r="BX578" s="89"/>
      <c r="BY578" s="89"/>
      <c r="BZ578" s="89"/>
      <c r="CA578" s="89"/>
      <c r="CB578" s="89"/>
      <c r="CC578" s="89"/>
      <c r="CD578" s="89"/>
      <c r="CE578" s="89"/>
      <c r="CF578" s="89"/>
      <c r="CG578" s="89"/>
      <c r="CH578" s="89"/>
      <c r="CI578" s="89"/>
      <c r="CJ578" s="89"/>
      <c r="CK578" s="89"/>
      <c r="CL578" s="89"/>
      <c r="CM578" s="89"/>
      <c r="CN578" s="89"/>
      <c r="CO578" s="98"/>
      <c r="CP578" s="98"/>
      <c r="CQ578" s="98"/>
      <c r="CR578" s="98"/>
      <c r="CS578" s="98"/>
      <c r="CT578" s="1247"/>
      <c r="CU578" s="1247"/>
      <c r="CV578" s="1247"/>
      <c r="CW578" s="98"/>
      <c r="CX578" s="98"/>
      <c r="CY578" s="1247"/>
      <c r="CZ578" s="1247"/>
      <c r="DA578" s="1247"/>
      <c r="DB578" s="98"/>
      <c r="DC578" s="2925"/>
      <c r="DD578" s="98"/>
      <c r="DE578" s="98"/>
      <c r="DF578" s="98"/>
      <c r="DG578" s="98"/>
      <c r="DH578" s="98"/>
      <c r="DI578" s="98"/>
      <c r="DJ578" s="98"/>
      <c r="DK578" s="98"/>
      <c r="DL578" s="98"/>
      <c r="DM578" s="98"/>
      <c r="DN578" s="98"/>
      <c r="DO578" s="98"/>
      <c r="DP578" s="98"/>
      <c r="DQ578" s="98"/>
      <c r="DR578" s="98"/>
    </row>
    <row r="579" spans="1:122">
      <c r="A579" s="216" t="s">
        <v>453</v>
      </c>
      <c r="B579" s="123"/>
      <c r="C579" s="123"/>
      <c r="D579" s="123"/>
      <c r="E579" s="123"/>
      <c r="F579" s="123"/>
      <c r="G579" s="123"/>
      <c r="H579" s="123"/>
      <c r="I579" s="123"/>
      <c r="J579" s="231">
        <f>J578/-J583</f>
        <v>11.333922157451566</v>
      </c>
      <c r="K579" s="231">
        <f>K578/-K583</f>
        <v>12.419184077230792</v>
      </c>
      <c r="L579" s="231">
        <f>L578/-L583</f>
        <v>13.324389551391256</v>
      </c>
      <c r="M579" s="231">
        <f>M578/-M583</f>
        <v>11.970871191876</v>
      </c>
      <c r="N579" s="231">
        <f>N578/-N583</f>
        <v>11.30058962264151</v>
      </c>
      <c r="O579" s="919"/>
      <c r="P579" s="231"/>
      <c r="Q579" s="231"/>
      <c r="R579" s="231">
        <f t="shared" ref="R579:AH579" si="894">R578/-R583</f>
        <v>10.941300022109219</v>
      </c>
      <c r="S579" s="231">
        <f t="shared" si="894"/>
        <v>11.684825352764284</v>
      </c>
      <c r="T579" s="231">
        <f t="shared" si="894"/>
        <v>13.348529411764709</v>
      </c>
      <c r="U579" s="231">
        <f t="shared" si="894"/>
        <v>13.371273712737127</v>
      </c>
      <c r="V579" s="231">
        <f>V578/-V583</f>
        <v>14.021008403361353</v>
      </c>
      <c r="W579" s="231">
        <f>W578/-W583</f>
        <v>12.497991967871497</v>
      </c>
      <c r="X579" s="231"/>
      <c r="Y579" s="2243"/>
      <c r="Z579" s="2243">
        <f>Z578/-Z583</f>
        <v>12.591666666666667</v>
      </c>
      <c r="AA579" s="2243">
        <f t="shared" ca="1" si="894"/>
        <v>12.624837168910108</v>
      </c>
      <c r="AB579" s="2243"/>
      <c r="AC579" s="2243">
        <f ca="1">AC578/-AC583</f>
        <v>14.73896072449147</v>
      </c>
      <c r="AD579" s="232">
        <f t="shared" ca="1" si="894"/>
        <v>15.012722052893212</v>
      </c>
      <c r="AE579" s="232">
        <f t="shared" ca="1" si="894"/>
        <v>14.981231283775946</v>
      </c>
      <c r="AF579" s="232">
        <f t="shared" ca="1" si="894"/>
        <v>14.606567329552563</v>
      </c>
      <c r="AG579" s="232">
        <f t="shared" ca="1" si="894"/>
        <v>13.996164578761089</v>
      </c>
      <c r="AH579" s="232">
        <f t="shared" ca="1" si="894"/>
        <v>13.221009412945135</v>
      </c>
      <c r="AI579" s="232">
        <f t="shared" ref="AI579:AN579" ca="1" si="895">AI578/-AI583</f>
        <v>13.26523527799719</v>
      </c>
      <c r="AJ579" s="232">
        <f t="shared" ca="1" si="895"/>
        <v>12.944814643829929</v>
      </c>
      <c r="AK579" s="232">
        <f t="shared" ca="1" si="895"/>
        <v>12.434960678630398</v>
      </c>
      <c r="AL579" s="2243">
        <f t="shared" ca="1" si="895"/>
        <v>12.597851408596526</v>
      </c>
      <c r="AM579" s="2243">
        <f t="shared" ca="1" si="895"/>
        <v>12.460479909022903</v>
      </c>
      <c r="AN579" s="2243">
        <f t="shared" ca="1" si="895"/>
        <v>11.918512989748709</v>
      </c>
      <c r="AO579" s="232"/>
      <c r="AP579" s="232"/>
      <c r="AQ579" s="232"/>
      <c r="AR579" s="232"/>
      <c r="AS579" s="232"/>
      <c r="AT579" s="232"/>
      <c r="AU579" s="11"/>
      <c r="AV579" s="6"/>
      <c r="AW579" s="89"/>
      <c r="AX579" s="89"/>
      <c r="AY579" s="89"/>
      <c r="AZ579" s="89"/>
      <c r="BA579" s="89"/>
      <c r="BB579" s="89"/>
      <c r="BC579" s="89"/>
      <c r="BD579" s="89"/>
      <c r="BE579" s="89"/>
      <c r="BF579" s="89"/>
      <c r="BG579" s="89"/>
      <c r="BH579" s="98"/>
      <c r="BI579" s="89"/>
      <c r="BJ579" s="89"/>
      <c r="BK579" s="89"/>
      <c r="BL579" s="89"/>
      <c r="BM579" s="89"/>
      <c r="BN579" s="89"/>
      <c r="BO579" s="89"/>
      <c r="BP579" s="89"/>
      <c r="BQ579" s="89"/>
      <c r="BR579" s="89"/>
      <c r="BS579" s="89"/>
      <c r="BT579" s="89"/>
      <c r="BU579" s="89"/>
      <c r="BV579" s="89"/>
      <c r="BW579" s="89"/>
      <c r="BX579" s="89"/>
      <c r="BY579" s="89"/>
      <c r="BZ579" s="89"/>
      <c r="CA579" s="89"/>
      <c r="CB579" s="89"/>
      <c r="CC579" s="89"/>
      <c r="CD579" s="89"/>
      <c r="CE579" s="89"/>
      <c r="CF579" s="89"/>
      <c r="CG579" s="89"/>
      <c r="CH579" s="89"/>
      <c r="CI579" s="89"/>
      <c r="CJ579" s="89"/>
      <c r="CK579" s="89"/>
      <c r="CL579" s="89"/>
      <c r="CM579" s="89"/>
      <c r="CN579" s="89"/>
      <c r="CO579" s="98"/>
      <c r="CP579" s="98"/>
      <c r="CQ579" s="98"/>
      <c r="CR579" s="98"/>
      <c r="CS579" s="98"/>
      <c r="CT579" s="1247"/>
      <c r="CU579" s="1247"/>
      <c r="CV579" s="1247"/>
      <c r="CW579" s="98"/>
      <c r="CX579" s="98"/>
      <c r="CY579" s="1247"/>
      <c r="CZ579" s="1247"/>
      <c r="DA579" s="1247"/>
      <c r="DB579" s="98"/>
      <c r="DC579" s="2925"/>
      <c r="DD579" s="98"/>
      <c r="DE579" s="98"/>
      <c r="DF579" s="98"/>
      <c r="DG579" s="98"/>
      <c r="DH579" s="98"/>
      <c r="DI579" s="98"/>
      <c r="DJ579" s="98"/>
      <c r="DK579" s="98"/>
      <c r="DL579" s="98"/>
      <c r="DM579" s="98"/>
      <c r="DN579" s="98"/>
      <c r="DO579" s="98"/>
      <c r="DP579" s="98"/>
      <c r="DQ579" s="98"/>
      <c r="DR579" s="98"/>
    </row>
    <row r="580" spans="1:122">
      <c r="A580" s="216" t="s">
        <v>454</v>
      </c>
      <c r="B580" s="123"/>
      <c r="C580" s="123"/>
      <c r="D580" s="123"/>
      <c r="E580" s="123"/>
      <c r="F580" s="123"/>
      <c r="G580" s="123"/>
      <c r="H580" s="123"/>
      <c r="I580" s="123"/>
      <c r="J580" s="38">
        <f>-J575/J573</f>
        <v>2.000719074508801E-2</v>
      </c>
      <c r="K580" s="38">
        <f>-K575/K573</f>
        <v>3.2966359607017978E-2</v>
      </c>
      <c r="L580" s="38">
        <f>-L575/L573</f>
        <v>0.24042582336940566</v>
      </c>
      <c r="M580" s="38">
        <f>-M575/M573</f>
        <v>1.4337169052296928E-2</v>
      </c>
      <c r="N580" s="38">
        <f>-N575/N573</f>
        <v>5.5088183798095332E-2</v>
      </c>
      <c r="O580" s="919"/>
      <c r="P580" s="130"/>
      <c r="Q580" s="130"/>
      <c r="R580" s="38">
        <f t="shared" ref="R580:W580" si="896">-R575/R573</f>
        <v>3.3289111133789163E-2</v>
      </c>
      <c r="S580" s="38">
        <f t="shared" si="896"/>
        <v>3.5534213685474228E-2</v>
      </c>
      <c r="T580" s="38">
        <f t="shared" si="896"/>
        <v>9.2013242697905825E-2</v>
      </c>
      <c r="U580" s="38">
        <f t="shared" si="896"/>
        <v>2.9918032786885245E-2</v>
      </c>
      <c r="V580" s="38">
        <f t="shared" si="896"/>
        <v>4.7113071371291101E-2</v>
      </c>
      <c r="W580" s="38">
        <f t="shared" si="896"/>
        <v>1.2940473820426041E-2</v>
      </c>
      <c r="X580" s="130"/>
      <c r="Y580" s="1482"/>
      <c r="Z580" s="1110">
        <f>-Z575/Z573</f>
        <v>0.15549936788874841</v>
      </c>
      <c r="AA580" s="1110">
        <f>-AA575/AA573</f>
        <v>8.0902777777777782E-2</v>
      </c>
      <c r="AB580" s="1482"/>
      <c r="AC580" s="1482">
        <f>AA580</f>
        <v>8.0902777777777782E-2</v>
      </c>
      <c r="AD580" s="119">
        <f t="shared" ref="AD580:AN580" si="897">AC580</f>
        <v>8.0902777777777782E-2</v>
      </c>
      <c r="AE580" s="119">
        <f t="shared" si="897"/>
        <v>8.0902777777777782E-2</v>
      </c>
      <c r="AF580" s="119">
        <f t="shared" si="897"/>
        <v>8.0902777777777782E-2</v>
      </c>
      <c r="AG580" s="119">
        <f t="shared" si="897"/>
        <v>8.0902777777777782E-2</v>
      </c>
      <c r="AH580" s="119">
        <f t="shared" si="897"/>
        <v>8.0902777777777782E-2</v>
      </c>
      <c r="AI580" s="119">
        <f t="shared" si="897"/>
        <v>8.0902777777777782E-2</v>
      </c>
      <c r="AJ580" s="119">
        <f t="shared" si="897"/>
        <v>8.0902777777777782E-2</v>
      </c>
      <c r="AK580" s="119">
        <f t="shared" si="897"/>
        <v>8.0902777777777782E-2</v>
      </c>
      <c r="AL580" s="1482">
        <f t="shared" si="897"/>
        <v>8.0902777777777782E-2</v>
      </c>
      <c r="AM580" s="1482">
        <f t="shared" si="897"/>
        <v>8.0902777777777782E-2</v>
      </c>
      <c r="AN580" s="1482">
        <f t="shared" si="897"/>
        <v>8.0902777777777782E-2</v>
      </c>
      <c r="AO580" s="119"/>
      <c r="AP580" s="119"/>
      <c r="AQ580" s="119"/>
      <c r="AR580" s="119"/>
      <c r="AS580" s="119"/>
      <c r="AT580" s="119"/>
      <c r="AU580" s="11"/>
      <c r="AV580" s="6"/>
      <c r="AW580" s="89"/>
      <c r="AX580" s="89"/>
      <c r="AY580" s="89"/>
      <c r="AZ580" s="89"/>
      <c r="BA580" s="89"/>
      <c r="BB580" s="89"/>
      <c r="BC580" s="89"/>
      <c r="BD580" s="89"/>
      <c r="BE580" s="89"/>
      <c r="BF580" s="89"/>
      <c r="BG580" s="89"/>
      <c r="BH580" s="98"/>
      <c r="BI580" s="89"/>
      <c r="BJ580" s="89"/>
      <c r="BK580" s="89"/>
      <c r="BL580" s="89"/>
      <c r="BM580" s="89"/>
      <c r="BN580" s="89"/>
      <c r="BO580" s="89"/>
      <c r="BP580" s="89"/>
      <c r="BQ580" s="89"/>
      <c r="BR580" s="89"/>
      <c r="BS580" s="89"/>
      <c r="BT580" s="89"/>
      <c r="BU580" s="89"/>
      <c r="BV580" s="89"/>
      <c r="BW580" s="89"/>
      <c r="BX580" s="89"/>
      <c r="BY580" s="89"/>
      <c r="BZ580" s="89"/>
      <c r="CA580" s="89"/>
      <c r="CB580" s="89"/>
      <c r="CC580" s="89"/>
      <c r="CD580" s="89"/>
      <c r="CE580" s="89"/>
      <c r="CF580" s="89"/>
      <c r="CG580" s="89"/>
      <c r="CH580" s="89"/>
      <c r="CI580" s="89"/>
      <c r="CJ580" s="89"/>
      <c r="CK580" s="89"/>
      <c r="CL580" s="89"/>
      <c r="CM580" s="89"/>
      <c r="CN580" s="89"/>
      <c r="CO580" s="98"/>
      <c r="CP580" s="98"/>
      <c r="CQ580" s="98"/>
      <c r="CR580" s="98"/>
      <c r="CS580" s="98"/>
      <c r="CT580" s="1247"/>
      <c r="CU580" s="1247"/>
      <c r="CV580" s="1247"/>
      <c r="CW580" s="98"/>
      <c r="CX580" s="98"/>
      <c r="CY580" s="1247"/>
      <c r="CZ580" s="1247"/>
      <c r="DA580" s="1247"/>
      <c r="DB580" s="98"/>
      <c r="DC580" s="2925"/>
      <c r="DD580" s="98"/>
      <c r="DE580" s="98"/>
      <c r="DF580" s="98"/>
      <c r="DG580" s="98"/>
      <c r="DH580" s="98"/>
      <c r="DI580" s="98"/>
      <c r="DJ580" s="98"/>
      <c r="DK580" s="98"/>
      <c r="DL580" s="98"/>
      <c r="DM580" s="98"/>
      <c r="DN580" s="98"/>
      <c r="DO580" s="98"/>
      <c r="DP580" s="98"/>
      <c r="DQ580" s="98"/>
      <c r="DR580" s="98"/>
    </row>
    <row r="581" spans="1:122">
      <c r="A581" s="6"/>
      <c r="B581" s="123"/>
      <c r="C581" s="123"/>
      <c r="D581" s="123"/>
      <c r="E581" s="123"/>
      <c r="F581" s="123"/>
      <c r="G581" s="123"/>
      <c r="H581" s="123"/>
      <c r="I581" s="123"/>
      <c r="J581" s="123"/>
      <c r="K581" s="123"/>
      <c r="L581" s="123"/>
      <c r="M581" s="123"/>
      <c r="N581" s="123"/>
      <c r="O581" s="919"/>
      <c r="P581" s="123"/>
      <c r="Q581" s="123"/>
      <c r="R581" s="123"/>
      <c r="S581" s="123"/>
      <c r="T581" s="123"/>
      <c r="U581" s="123"/>
      <c r="V581" s="123"/>
      <c r="W581" s="123"/>
      <c r="X581" s="123"/>
      <c r="Y581" s="1687"/>
      <c r="Z581" s="1687"/>
      <c r="AA581" s="1687"/>
      <c r="AB581" s="1687"/>
      <c r="AC581" s="1687"/>
      <c r="AD581" s="127"/>
      <c r="AE581" s="127"/>
      <c r="AF581" s="127"/>
      <c r="AG581" s="127"/>
      <c r="AH581" s="127"/>
      <c r="AI581" s="127"/>
      <c r="AJ581" s="127"/>
      <c r="AK581" s="127"/>
      <c r="AL581" s="1687"/>
      <c r="AM581" s="1687"/>
      <c r="AN581" s="127"/>
      <c r="AO581" s="127"/>
      <c r="AP581" s="127"/>
      <c r="AQ581" s="127"/>
      <c r="AR581" s="127"/>
      <c r="AS581" s="127"/>
      <c r="AT581" s="127"/>
      <c r="AU581" s="11"/>
      <c r="AV581" s="6"/>
      <c r="AW581" s="89"/>
      <c r="AX581" s="89"/>
      <c r="AY581" s="89"/>
      <c r="AZ581" s="89"/>
      <c r="BA581" s="89"/>
      <c r="BB581" s="89"/>
      <c r="BC581" s="89"/>
      <c r="BD581" s="89"/>
      <c r="BE581" s="89"/>
      <c r="BF581" s="89"/>
      <c r="BG581" s="89"/>
      <c r="BH581" s="98"/>
      <c r="BI581" s="89"/>
      <c r="BJ581" s="89"/>
      <c r="BK581" s="89"/>
      <c r="BL581" s="89"/>
      <c r="BM581" s="89"/>
      <c r="BN581" s="89"/>
      <c r="BO581" s="89"/>
      <c r="BP581" s="89"/>
      <c r="BQ581" s="89"/>
      <c r="BR581" s="89"/>
      <c r="BS581" s="89"/>
      <c r="BT581" s="89"/>
      <c r="BU581" s="89"/>
      <c r="BV581" s="89"/>
      <c r="BW581" s="89"/>
      <c r="BX581" s="89"/>
      <c r="BY581" s="89"/>
      <c r="BZ581" s="89"/>
      <c r="CA581" s="89"/>
      <c r="CB581" s="89"/>
      <c r="CC581" s="89"/>
      <c r="CD581" s="89"/>
      <c r="CE581" s="89"/>
      <c r="CF581" s="89"/>
      <c r="CG581" s="89"/>
      <c r="CH581" s="89"/>
      <c r="CI581" s="89"/>
      <c r="CJ581" s="89"/>
      <c r="CK581" s="89"/>
      <c r="CL581" s="89"/>
      <c r="CM581" s="89"/>
      <c r="CN581" s="89"/>
      <c r="CO581" s="98"/>
      <c r="CP581" s="98"/>
      <c r="CQ581" s="98"/>
      <c r="CR581" s="98"/>
      <c r="CS581" s="98"/>
      <c r="CT581" s="1247"/>
      <c r="CU581" s="1247"/>
      <c r="CV581" s="1247"/>
      <c r="CW581" s="98"/>
      <c r="CX581" s="98"/>
      <c r="CY581" s="1247"/>
      <c r="CZ581" s="1247"/>
      <c r="DA581" s="1247"/>
      <c r="DB581" s="98"/>
      <c r="DC581" s="2925"/>
      <c r="DD581" s="98"/>
      <c r="DE581" s="98"/>
      <c r="DF581" s="98"/>
      <c r="DG581" s="98"/>
      <c r="DH581" s="98"/>
      <c r="DI581" s="98"/>
      <c r="DJ581" s="98"/>
      <c r="DK581" s="98"/>
      <c r="DL581" s="98"/>
      <c r="DM581" s="98"/>
      <c r="DN581" s="98"/>
      <c r="DO581" s="98"/>
      <c r="DP581" s="98"/>
      <c r="DQ581" s="98"/>
      <c r="DR581" s="98"/>
    </row>
    <row r="582" spans="1:122">
      <c r="A582" s="223" t="s">
        <v>522</v>
      </c>
      <c r="B582" s="123"/>
      <c r="C582" s="123"/>
      <c r="D582" s="123"/>
      <c r="E582" s="123"/>
      <c r="F582" s="123"/>
      <c r="G582" s="123"/>
      <c r="H582" s="123"/>
      <c r="I582" s="123"/>
      <c r="J582" s="842">
        <f>I570</f>
        <v>-1440.4</v>
      </c>
      <c r="K582" s="842">
        <f>J570</f>
        <v>-1662.9</v>
      </c>
      <c r="L582" s="842">
        <f>K570</f>
        <v>-1877.3</v>
      </c>
      <c r="M582" s="842">
        <f>L570</f>
        <v>-1461.8</v>
      </c>
      <c r="N582" s="842">
        <f>M570</f>
        <v>-1761.9</v>
      </c>
      <c r="O582" s="919"/>
      <c r="P582" s="842"/>
      <c r="Q582" s="842"/>
      <c r="R582" s="842">
        <f>N570</f>
        <v>-1891.2</v>
      </c>
      <c r="S582" s="842">
        <f t="shared" ref="S582:AH582" si="898">R570</f>
        <v>-2139.3000000000002</v>
      </c>
      <c r="T582" s="842">
        <f t="shared" si="898"/>
        <v>-2410.5</v>
      </c>
      <c r="U582" s="842">
        <f t="shared" si="898"/>
        <v>-2508</v>
      </c>
      <c r="V582" s="842">
        <f t="shared" si="898"/>
        <v>-2717</v>
      </c>
      <c r="W582" s="842">
        <f t="shared" si="898"/>
        <v>-2787</v>
      </c>
      <c r="X582" s="842"/>
      <c r="Y582" s="1559"/>
      <c r="Z582" s="1559">
        <f>W570</f>
        <v>-1731</v>
      </c>
      <c r="AA582" s="1559">
        <f t="shared" si="898"/>
        <v>-1627</v>
      </c>
      <c r="AB582" s="1559"/>
      <c r="AC582" s="1559">
        <f>AA570</f>
        <v>-1694</v>
      </c>
      <c r="AD582" s="842">
        <f t="shared" ca="1" si="898"/>
        <v>-1618.1636781118307</v>
      </c>
      <c r="AE582" s="842">
        <f t="shared" ca="1" si="898"/>
        <v>-1554.6917144039764</v>
      </c>
      <c r="AF582" s="842">
        <f t="shared" ca="1" si="898"/>
        <v>-1493.0273070383523</v>
      </c>
      <c r="AG582" s="842">
        <f t="shared" ca="1" si="898"/>
        <v>-1437.293172002019</v>
      </c>
      <c r="AH582" s="842">
        <f t="shared" ca="1" si="898"/>
        <v>-1390.9902154390029</v>
      </c>
      <c r="AI582" s="842">
        <f t="shared" ref="AI582:AN582" ca="1" si="899">AH570</f>
        <v>-1357.4200500073252</v>
      </c>
      <c r="AJ582" s="842">
        <f t="shared" ca="1" si="899"/>
        <v>-1323.2386522271586</v>
      </c>
      <c r="AK582" s="842">
        <f t="shared" ca="1" si="899"/>
        <v>-1294.6929855403171</v>
      </c>
      <c r="AL582" s="1559">
        <f t="shared" ca="1" si="899"/>
        <v>-1275.5856356510972</v>
      </c>
      <c r="AM582" s="1559">
        <f t="shared" ca="1" si="899"/>
        <v>-1253.4652825327423</v>
      </c>
      <c r="AN582" s="1559">
        <f t="shared" ca="1" si="899"/>
        <v>-1234.0082461307018</v>
      </c>
      <c r="AO582" s="842"/>
      <c r="AP582" s="842"/>
      <c r="AQ582" s="842"/>
      <c r="AR582" s="842"/>
      <c r="AS582" s="842"/>
      <c r="AT582" s="127"/>
      <c r="AU582" s="11"/>
      <c r="AV582" s="6"/>
      <c r="AW582" s="89"/>
      <c r="AX582" s="89"/>
      <c r="AY582" s="89"/>
      <c r="AZ582" s="89"/>
      <c r="BA582" s="89"/>
      <c r="BB582" s="89"/>
      <c r="BC582" s="89"/>
      <c r="BD582" s="89"/>
      <c r="BE582" s="89"/>
      <c r="BF582" s="89"/>
      <c r="BG582" s="89"/>
      <c r="BH582" s="98"/>
      <c r="BI582" s="89"/>
      <c r="BJ582" s="89"/>
      <c r="BK582" s="89"/>
      <c r="BL582" s="89"/>
      <c r="BM582" s="89"/>
      <c r="BN582" s="89"/>
      <c r="BO582" s="89"/>
      <c r="BP582" s="89"/>
      <c r="BQ582" s="89"/>
      <c r="BR582" s="89"/>
      <c r="BS582" s="89"/>
      <c r="BT582" s="89"/>
      <c r="BU582" s="89"/>
      <c r="BV582" s="89"/>
      <c r="BW582" s="89"/>
      <c r="BX582" s="89"/>
      <c r="BY582" s="89"/>
      <c r="BZ582" s="89"/>
      <c r="CA582" s="89"/>
      <c r="CB582" s="89"/>
      <c r="CC582" s="89"/>
      <c r="CD582" s="89"/>
      <c r="CE582" s="89"/>
      <c r="CF582" s="89"/>
      <c r="CG582" s="89"/>
      <c r="CH582" s="89"/>
      <c r="CI582" s="89"/>
      <c r="CJ582" s="89"/>
      <c r="CK582" s="89"/>
      <c r="CL582" s="89"/>
      <c r="CM582" s="89"/>
      <c r="CN582" s="89"/>
      <c r="CO582" s="98"/>
      <c r="CP582" s="98"/>
      <c r="CQ582" s="98"/>
      <c r="CR582" s="98"/>
      <c r="CS582" s="98"/>
      <c r="CT582" s="1247"/>
      <c r="CU582" s="1247"/>
      <c r="CV582" s="1247"/>
      <c r="CW582" s="98"/>
      <c r="CX582" s="98"/>
      <c r="CY582" s="1247"/>
      <c r="CZ582" s="1247"/>
      <c r="DA582" s="1247"/>
      <c r="DB582" s="98"/>
      <c r="DC582" s="2925"/>
      <c r="DD582" s="98"/>
      <c r="DE582" s="98"/>
      <c r="DF582" s="98"/>
      <c r="DG582" s="98"/>
      <c r="DH582" s="98"/>
      <c r="DI582" s="98"/>
      <c r="DJ582" s="98"/>
      <c r="DK582" s="98"/>
      <c r="DL582" s="98"/>
      <c r="DM582" s="98"/>
      <c r="DN582" s="98"/>
      <c r="DO582" s="98"/>
      <c r="DP582" s="98"/>
      <c r="DQ582" s="98"/>
      <c r="DR582" s="98"/>
    </row>
    <row r="583" spans="1:122">
      <c r="A583" s="13" t="s">
        <v>514</v>
      </c>
      <c r="B583" s="123"/>
      <c r="C583" s="123"/>
      <c r="D583" s="123"/>
      <c r="E583" s="123"/>
      <c r="F583" s="123"/>
      <c r="G583" s="123"/>
      <c r="H583" s="123"/>
      <c r="I583" s="123"/>
      <c r="J583" s="192">
        <f>-J20</f>
        <v>-424.5750000000001</v>
      </c>
      <c r="K583" s="192">
        <f>-K20</f>
        <v>-402.84450000000004</v>
      </c>
      <c r="L583" s="192">
        <f>-L20</f>
        <v>-352.2</v>
      </c>
      <c r="M583" s="192">
        <f>-M20</f>
        <v>-374.20000000000005</v>
      </c>
      <c r="N583" s="192">
        <f>-N20</f>
        <v>-423.99999999999994</v>
      </c>
      <c r="O583" s="919"/>
      <c r="P583" s="192"/>
      <c r="Q583" s="192"/>
      <c r="R583" s="192">
        <f t="shared" ref="R583:W583" si="900">-R20</f>
        <v>-452.3</v>
      </c>
      <c r="S583" s="192">
        <f t="shared" si="900"/>
        <v>-432.30000000000007</v>
      </c>
      <c r="T583" s="192">
        <f t="shared" si="900"/>
        <v>-373.99999999999994</v>
      </c>
      <c r="U583" s="192">
        <f t="shared" si="900"/>
        <v>-369</v>
      </c>
      <c r="V583" s="192">
        <f t="shared" si="900"/>
        <v>-356.99999999999977</v>
      </c>
      <c r="W583" s="192">
        <f t="shared" si="900"/>
        <v>-248.99999999999977</v>
      </c>
      <c r="X583" s="192"/>
      <c r="Y583" s="1368"/>
      <c r="Z583" s="1368">
        <f t="shared" ref="Z583:AK583" si="901">-Z20</f>
        <v>-240</v>
      </c>
      <c r="AA583" s="1368">
        <f t="shared" ca="1" si="901"/>
        <v>-230.30000000000015</v>
      </c>
      <c r="AB583" s="2923"/>
      <c r="AC583" s="2923">
        <f ca="1">-AC20</f>
        <v>-202.61333088960856</v>
      </c>
      <c r="AD583" s="2923">
        <f t="shared" ca="1" si="901"/>
        <v>-200.2799201907556</v>
      </c>
      <c r="AE583" s="2923">
        <f t="shared" ca="1" si="901"/>
        <v>-197.09204101470471</v>
      </c>
      <c r="AF583" s="2923">
        <f t="shared" ca="1" si="901"/>
        <v>-199.26967908155288</v>
      </c>
      <c r="AG583" s="2923">
        <f t="shared" ca="1" si="901"/>
        <v>-205.6519198250887</v>
      </c>
      <c r="AH583" s="2923">
        <f t="shared" ca="1" si="901"/>
        <v>-216.20605608560521</v>
      </c>
      <c r="AI583" s="2923">
        <f t="shared" ca="1" si="901"/>
        <v>-214.55746161639954</v>
      </c>
      <c r="AJ583" s="2923">
        <f t="shared" ca="1" si="901"/>
        <v>-219.23919870478289</v>
      </c>
      <c r="AK583" s="2923">
        <f t="shared" ca="1" si="901"/>
        <v>-228.31369725081188</v>
      </c>
      <c r="AL583" s="2923">
        <f ca="1">-AL20</f>
        <v>-225.83619732191275</v>
      </c>
      <c r="AM583" s="2923">
        <f ca="1">-AM20</f>
        <v>-228.93144758459334</v>
      </c>
      <c r="AN583" s="2923">
        <f ca="1">-AN20</f>
        <v>-240.69388998690007</v>
      </c>
      <c r="AO583" s="192"/>
      <c r="AP583" s="192"/>
      <c r="AQ583" s="192"/>
      <c r="AR583" s="192"/>
      <c r="AS583" s="192"/>
      <c r="AT583" s="230"/>
      <c r="AU583" s="11"/>
      <c r="AV583" s="6"/>
      <c r="AW583" s="89"/>
      <c r="AX583" s="89"/>
      <c r="AY583" s="89"/>
      <c r="AZ583" s="89"/>
      <c r="BA583" s="89"/>
      <c r="BB583" s="89"/>
      <c r="BC583" s="89"/>
      <c r="BD583" s="89"/>
      <c r="BE583" s="89"/>
      <c r="BF583" s="89"/>
      <c r="BG583" s="89"/>
      <c r="BH583" s="98"/>
      <c r="BI583" s="89"/>
      <c r="BJ583" s="89"/>
      <c r="BK583" s="89"/>
      <c r="BL583" s="89"/>
      <c r="BM583" s="89"/>
      <c r="BN583" s="89"/>
      <c r="BO583" s="89"/>
      <c r="BP583" s="89"/>
      <c r="BQ583" s="89"/>
      <c r="BR583" s="89"/>
      <c r="BS583" s="89"/>
      <c r="BT583" s="89"/>
      <c r="BU583" s="89"/>
      <c r="BV583" s="89"/>
      <c r="BW583" s="89"/>
      <c r="BX583" s="89"/>
      <c r="BY583" s="89"/>
      <c r="BZ583" s="89"/>
      <c r="CA583" s="89"/>
      <c r="CB583" s="89"/>
      <c r="CC583" s="89"/>
      <c r="CD583" s="89"/>
      <c r="CE583" s="89"/>
      <c r="CF583" s="89"/>
      <c r="CG583" s="89"/>
      <c r="CH583" s="89"/>
      <c r="CI583" s="89"/>
      <c r="CJ583" s="89"/>
      <c r="CK583" s="89"/>
      <c r="CL583" s="89"/>
      <c r="CM583" s="89"/>
      <c r="CN583" s="89"/>
      <c r="CO583" s="98"/>
      <c r="CP583" s="98"/>
      <c r="CQ583" s="98"/>
      <c r="CR583" s="98"/>
      <c r="CS583" s="98"/>
      <c r="CT583" s="1247"/>
      <c r="CU583" s="1247"/>
      <c r="CV583" s="1247"/>
      <c r="CW583" s="98"/>
      <c r="CX583" s="98"/>
      <c r="CY583" s="1247"/>
      <c r="CZ583" s="1247"/>
      <c r="DA583" s="1247"/>
      <c r="DB583" s="98"/>
      <c r="DC583" s="2925"/>
      <c r="DD583" s="98"/>
      <c r="DE583" s="98"/>
      <c r="DF583" s="98"/>
      <c r="DG583" s="98"/>
      <c r="DH583" s="98"/>
      <c r="DI583" s="98"/>
      <c r="DJ583" s="98"/>
      <c r="DK583" s="98"/>
      <c r="DL583" s="98"/>
      <c r="DM583" s="98"/>
      <c r="DN583" s="98"/>
      <c r="DO583" s="98"/>
      <c r="DP583" s="98"/>
      <c r="DQ583" s="98"/>
      <c r="DR583" s="98"/>
    </row>
    <row r="584" spans="1:122">
      <c r="A584" s="13" t="s">
        <v>515</v>
      </c>
      <c r="B584" s="123"/>
      <c r="C584" s="123"/>
      <c r="D584" s="123"/>
      <c r="E584" s="123"/>
      <c r="F584" s="123"/>
      <c r="G584" s="123"/>
      <c r="H584" s="123"/>
      <c r="I584" s="13"/>
      <c r="J584" s="192">
        <f>-J575</f>
        <v>94.599999999999625</v>
      </c>
      <c r="K584" s="192">
        <f>-K575</f>
        <v>161.3999999999993</v>
      </c>
      <c r="L584" s="192">
        <f t="shared" ref="L584:W584" si="902">-L575</f>
        <v>1228.5999999999999</v>
      </c>
      <c r="M584" s="192">
        <f t="shared" si="902"/>
        <v>61.30000000000075</v>
      </c>
      <c r="N584" s="192">
        <f t="shared" si="902"/>
        <v>257.99999999999966</v>
      </c>
      <c r="O584" s="919"/>
      <c r="P584" s="192"/>
      <c r="Q584" s="192"/>
      <c r="R584" s="192">
        <f>-R575</f>
        <v>163.10000000000002</v>
      </c>
      <c r="S584" s="192">
        <f t="shared" si="902"/>
        <v>177.60000000000019</v>
      </c>
      <c r="T584" s="192">
        <f t="shared" si="902"/>
        <v>469.69999999999982</v>
      </c>
      <c r="U584" s="192">
        <f t="shared" si="902"/>
        <v>146</v>
      </c>
      <c r="V584" s="192">
        <f t="shared" si="902"/>
        <v>235</v>
      </c>
      <c r="W584" s="192">
        <f t="shared" si="902"/>
        <v>65</v>
      </c>
      <c r="X584" s="192"/>
      <c r="Y584" s="1368"/>
      <c r="Z584" s="1368">
        <f>-Z575</f>
        <v>492</v>
      </c>
      <c r="AA584" s="1368">
        <f>-AA575</f>
        <v>233</v>
      </c>
      <c r="AB584" s="2923"/>
      <c r="AC584" s="2923">
        <f>-AC575</f>
        <v>237.4496527777778</v>
      </c>
      <c r="AD584" s="2923">
        <f t="shared" ref="AD584:AH584" si="903">-AD575</f>
        <v>245.75188389860975</v>
      </c>
      <c r="AE584" s="2923">
        <f t="shared" si="903"/>
        <v>240.75644838032895</v>
      </c>
      <c r="AF584" s="2923">
        <f t="shared" si="903"/>
        <v>237.00381411788621</v>
      </c>
      <c r="AG584" s="2923">
        <f t="shared" si="903"/>
        <v>233.95487638810476</v>
      </c>
      <c r="AH584" s="2923">
        <f t="shared" si="903"/>
        <v>231.77622151728301</v>
      </c>
      <c r="AI584" s="2923">
        <f t="shared" ref="AI584:AN584" si="904">-AI575</f>
        <v>230.738859396566</v>
      </c>
      <c r="AJ584" s="2923">
        <f t="shared" si="904"/>
        <v>229.78486539162441</v>
      </c>
      <c r="AK584" s="2923">
        <f t="shared" si="904"/>
        <v>229.42104714003165</v>
      </c>
      <c r="AL584" s="2923">
        <f t="shared" si="904"/>
        <v>229.95655044026768</v>
      </c>
      <c r="AM584" s="2923">
        <f t="shared" si="904"/>
        <v>230.38848398663399</v>
      </c>
      <c r="AN584" s="2923">
        <f t="shared" si="904"/>
        <v>231.17734854039779</v>
      </c>
      <c r="AO584" s="192"/>
      <c r="AP584" s="192"/>
      <c r="AQ584" s="192"/>
      <c r="AR584" s="192"/>
      <c r="AS584" s="192"/>
      <c r="AT584" s="127"/>
      <c r="AU584" s="11"/>
      <c r="AV584" s="6"/>
      <c r="AW584" s="89"/>
      <c r="AX584" s="89"/>
      <c r="AY584" s="89"/>
      <c r="AZ584" s="89"/>
      <c r="BA584" s="89"/>
      <c r="BB584" s="89"/>
      <c r="BC584" s="89"/>
      <c r="BD584" s="89"/>
      <c r="BE584" s="89"/>
      <c r="BF584" s="89"/>
      <c r="BG584" s="89"/>
      <c r="BH584" s="98"/>
      <c r="BI584" s="89"/>
      <c r="BJ584" s="89"/>
      <c r="BK584" s="89"/>
      <c r="BL584" s="89"/>
      <c r="BM584" s="89"/>
      <c r="BN584" s="89"/>
      <c r="BO584" s="89"/>
      <c r="BP584" s="89"/>
      <c r="BQ584" s="89"/>
      <c r="BR584" s="89"/>
      <c r="BS584" s="89"/>
      <c r="BT584" s="89"/>
      <c r="BU584" s="89"/>
      <c r="BV584" s="89"/>
      <c r="BW584" s="89"/>
      <c r="BX584" s="89"/>
      <c r="BY584" s="89"/>
      <c r="BZ584" s="89"/>
      <c r="CA584" s="89"/>
      <c r="CB584" s="89"/>
      <c r="CC584" s="89"/>
      <c r="CD584" s="89"/>
      <c r="CE584" s="89"/>
      <c r="CF584" s="89"/>
      <c r="CG584" s="89"/>
      <c r="CH584" s="89"/>
      <c r="CI584" s="89"/>
      <c r="CJ584" s="89"/>
      <c r="CK584" s="89"/>
      <c r="CL584" s="89"/>
      <c r="CM584" s="89"/>
      <c r="CN584" s="89"/>
      <c r="CO584" s="98"/>
      <c r="CP584" s="98"/>
      <c r="CQ584" s="98"/>
      <c r="CR584" s="98"/>
      <c r="CS584" s="98"/>
      <c r="CT584" s="1247"/>
      <c r="CU584" s="1247"/>
      <c r="CV584" s="1247"/>
      <c r="CW584" s="98"/>
      <c r="CX584" s="98"/>
      <c r="CY584" s="1247"/>
      <c r="CZ584" s="1247"/>
      <c r="DA584" s="1247"/>
      <c r="DB584" s="98"/>
      <c r="DC584" s="2925"/>
      <c r="DD584" s="98"/>
      <c r="DE584" s="98"/>
      <c r="DF584" s="98"/>
      <c r="DG584" s="98"/>
      <c r="DH584" s="98"/>
      <c r="DI584" s="98"/>
      <c r="DJ584" s="98"/>
      <c r="DK584" s="98"/>
      <c r="DL584" s="98"/>
      <c r="DM584" s="98"/>
      <c r="DN584" s="98"/>
      <c r="DO584" s="98"/>
      <c r="DP584" s="98"/>
      <c r="DQ584" s="98"/>
      <c r="DR584" s="98"/>
    </row>
    <row r="585" spans="1:122">
      <c r="A585" s="223" t="s">
        <v>467</v>
      </c>
      <c r="B585" s="123"/>
      <c r="C585" s="123"/>
      <c r="D585" s="123"/>
      <c r="E585" s="123"/>
      <c r="F585" s="123"/>
      <c r="G585" s="123"/>
      <c r="H585" s="123"/>
      <c r="I585" s="123"/>
      <c r="J585" s="852">
        <f>J586-SUM(J582:J584)</f>
        <v>107.47500000000036</v>
      </c>
      <c r="K585" s="852">
        <f>K586-SUM(K582:K584)</f>
        <v>27.044500000001108</v>
      </c>
      <c r="L585" s="852">
        <f>L586-SUM(L582:L584)</f>
        <v>-460.89999999999986</v>
      </c>
      <c r="M585" s="852">
        <f>M586-SUM(M582:M584)</f>
        <v>12.799999999999272</v>
      </c>
      <c r="N585" s="852">
        <f>N586-SUM(N582:N584)</f>
        <v>36.7000000000005</v>
      </c>
      <c r="O585" s="919"/>
      <c r="P585" s="853"/>
      <c r="Q585" s="853"/>
      <c r="R585" s="852">
        <f t="shared" ref="R585:W585" si="905">R586-SUM(R582:R584)</f>
        <v>41.099999999999909</v>
      </c>
      <c r="S585" s="852">
        <f t="shared" si="905"/>
        <v>-16.5</v>
      </c>
      <c r="T585" s="852">
        <f t="shared" si="905"/>
        <v>-193.19999999999982</v>
      </c>
      <c r="U585" s="852">
        <f t="shared" si="905"/>
        <v>14</v>
      </c>
      <c r="V585" s="852">
        <f t="shared" si="905"/>
        <v>52</v>
      </c>
      <c r="W585" s="852">
        <f t="shared" si="905"/>
        <v>1240</v>
      </c>
      <c r="X585" s="853"/>
      <c r="Y585" s="2242"/>
      <c r="Z585" s="2285">
        <f>Z586-SUM(Z582:Z584)</f>
        <v>-148</v>
      </c>
      <c r="AA585" s="2285">
        <f ca="1">AA586-SUM(AA582:AA584)</f>
        <v>-69.699999999999818</v>
      </c>
      <c r="AB585" s="3076"/>
      <c r="AC585" s="3076">
        <v>41</v>
      </c>
      <c r="AD585" s="3076">
        <v>18</v>
      </c>
      <c r="AE585" s="3076">
        <f>AD585</f>
        <v>18</v>
      </c>
      <c r="AF585" s="3076">
        <f>AE585</f>
        <v>18</v>
      </c>
      <c r="AG585" s="3076">
        <f t="shared" ref="AG585:AN585" si="906">AF585</f>
        <v>18</v>
      </c>
      <c r="AH585" s="3076">
        <f t="shared" si="906"/>
        <v>18</v>
      </c>
      <c r="AI585" s="3076">
        <f t="shared" si="906"/>
        <v>18</v>
      </c>
      <c r="AJ585" s="3076">
        <f t="shared" si="906"/>
        <v>18</v>
      </c>
      <c r="AK585" s="3076">
        <f t="shared" si="906"/>
        <v>18</v>
      </c>
      <c r="AL585" s="3076">
        <f t="shared" si="906"/>
        <v>18</v>
      </c>
      <c r="AM585" s="3076">
        <f t="shared" si="906"/>
        <v>18</v>
      </c>
      <c r="AN585" s="3076">
        <f t="shared" si="906"/>
        <v>18</v>
      </c>
      <c r="AO585" s="192"/>
      <c r="AP585" s="192"/>
      <c r="AQ585" s="192"/>
      <c r="AR585" s="192"/>
      <c r="AS585" s="192"/>
      <c r="AT585" s="230"/>
      <c r="AU585" s="11"/>
      <c r="AV585" s="6"/>
      <c r="AW585" s="89"/>
      <c r="AX585" s="89"/>
      <c r="AY585" s="89"/>
      <c r="AZ585" s="89"/>
      <c r="BA585" s="89"/>
      <c r="BB585" s="89"/>
      <c r="BC585" s="89"/>
      <c r="BD585" s="89"/>
      <c r="BE585" s="89"/>
      <c r="BF585" s="89"/>
      <c r="BG585" s="89"/>
      <c r="BH585" s="98"/>
      <c r="BI585" s="89"/>
      <c r="BJ585" s="89"/>
      <c r="BK585" s="89"/>
      <c r="BL585" s="89"/>
      <c r="BM585" s="89"/>
      <c r="BN585" s="89"/>
      <c r="BO585" s="89"/>
      <c r="BP585" s="89"/>
      <c r="BQ585" s="89"/>
      <c r="BR585" s="89"/>
      <c r="BS585" s="89"/>
      <c r="BT585" s="89"/>
      <c r="BU585" s="89"/>
      <c r="BV585" s="89"/>
      <c r="BW585" s="89"/>
      <c r="BX585" s="89"/>
      <c r="BY585" s="89"/>
      <c r="BZ585" s="89"/>
      <c r="CA585" s="89"/>
      <c r="CB585" s="89"/>
      <c r="CC585" s="89"/>
      <c r="CD585" s="89"/>
      <c r="CE585" s="89"/>
      <c r="CF585" s="89"/>
      <c r="CG585" s="89"/>
      <c r="CH585" s="89"/>
      <c r="CI585" s="89"/>
      <c r="CJ585" s="89"/>
      <c r="CK585" s="89"/>
      <c r="CL585" s="89"/>
      <c r="CM585" s="89"/>
      <c r="CN585" s="89"/>
      <c r="CO585" s="98"/>
      <c r="CP585" s="98"/>
      <c r="CQ585" s="98"/>
      <c r="CR585" s="98"/>
      <c r="CS585" s="98"/>
      <c r="CT585" s="1247"/>
      <c r="CU585" s="1247"/>
      <c r="CV585" s="1247"/>
      <c r="CW585" s="98"/>
      <c r="CX585" s="98"/>
      <c r="CY585" s="1247"/>
      <c r="CZ585" s="1247"/>
      <c r="DA585" s="1247"/>
      <c r="DB585" s="98"/>
      <c r="DC585" s="2925"/>
      <c r="DD585" s="98"/>
      <c r="DE585" s="98"/>
      <c r="DF585" s="98"/>
      <c r="DG585" s="98"/>
      <c r="DH585" s="98"/>
      <c r="DI585" s="98"/>
      <c r="DJ585" s="98"/>
      <c r="DK585" s="98"/>
      <c r="DL585" s="98"/>
      <c r="DM585" s="98"/>
      <c r="DN585" s="98"/>
      <c r="DO585" s="98"/>
      <c r="DP585" s="98"/>
      <c r="DQ585" s="98"/>
      <c r="DR585" s="98"/>
    </row>
    <row r="586" spans="1:122">
      <c r="A586" s="223" t="s">
        <v>587</v>
      </c>
      <c r="B586" s="123"/>
      <c r="C586" s="123"/>
      <c r="D586" s="123"/>
      <c r="E586" s="123"/>
      <c r="F586" s="123"/>
      <c r="G586" s="123"/>
      <c r="H586" s="123"/>
      <c r="I586" s="123"/>
      <c r="J586" s="842">
        <f>J570</f>
        <v>-1662.9</v>
      </c>
      <c r="K586" s="842">
        <f>K570</f>
        <v>-1877.3</v>
      </c>
      <c r="L586" s="842">
        <f>L570</f>
        <v>-1461.8</v>
      </c>
      <c r="M586" s="842">
        <f>M570</f>
        <v>-1761.9</v>
      </c>
      <c r="N586" s="842">
        <f>N570</f>
        <v>-1891.2</v>
      </c>
      <c r="O586" s="919"/>
      <c r="P586" s="842"/>
      <c r="Q586" s="842"/>
      <c r="R586" s="842">
        <f t="shared" ref="R586:W586" si="907">R570</f>
        <v>-2139.3000000000002</v>
      </c>
      <c r="S586" s="842">
        <f t="shared" si="907"/>
        <v>-2410.5</v>
      </c>
      <c r="T586" s="842">
        <f t="shared" si="907"/>
        <v>-2508</v>
      </c>
      <c r="U586" s="842">
        <f t="shared" si="907"/>
        <v>-2717</v>
      </c>
      <c r="V586" s="842">
        <f t="shared" si="907"/>
        <v>-2787</v>
      </c>
      <c r="W586" s="842">
        <f t="shared" si="907"/>
        <v>-1731</v>
      </c>
      <c r="X586" s="842"/>
      <c r="Y586" s="1559"/>
      <c r="Z586" s="1559">
        <f>Z570</f>
        <v>-1627</v>
      </c>
      <c r="AA586" s="1559">
        <f>AA570</f>
        <v>-1694</v>
      </c>
      <c r="AB586" s="3077"/>
      <c r="AC586" s="3077">
        <f ca="1">SUM(AC582:AC585)</f>
        <v>-1618.1636781118307</v>
      </c>
      <c r="AD586" s="3077">
        <f t="shared" ref="AD586:AH586" ca="1" si="908">SUM(AD582:AD585)</f>
        <v>-1554.6917144039764</v>
      </c>
      <c r="AE586" s="3077">
        <f t="shared" ca="1" si="908"/>
        <v>-1493.0273070383523</v>
      </c>
      <c r="AF586" s="3077">
        <f t="shared" ca="1" si="908"/>
        <v>-1437.293172002019</v>
      </c>
      <c r="AG586" s="3077">
        <f t="shared" ca="1" si="908"/>
        <v>-1390.9902154390029</v>
      </c>
      <c r="AH586" s="3077">
        <f t="shared" ca="1" si="908"/>
        <v>-1357.4200500073252</v>
      </c>
      <c r="AI586" s="3077">
        <f t="shared" ref="AI586:AN586" ca="1" si="909">SUM(AI582:AI585)</f>
        <v>-1323.2386522271586</v>
      </c>
      <c r="AJ586" s="3077">
        <f t="shared" ca="1" si="909"/>
        <v>-1294.6929855403171</v>
      </c>
      <c r="AK586" s="3077">
        <f t="shared" ca="1" si="909"/>
        <v>-1275.5856356510972</v>
      </c>
      <c r="AL586" s="3077">
        <f t="shared" ca="1" si="909"/>
        <v>-1253.4652825327423</v>
      </c>
      <c r="AM586" s="3077">
        <f t="shared" ca="1" si="909"/>
        <v>-1234.0082461307018</v>
      </c>
      <c r="AN586" s="3077">
        <f t="shared" ca="1" si="909"/>
        <v>-1225.5247875772041</v>
      </c>
      <c r="AO586" s="192"/>
      <c r="AP586" s="192"/>
      <c r="AQ586" s="192"/>
      <c r="AR586" s="192"/>
      <c r="AS586" s="192"/>
      <c r="AT586" s="127"/>
      <c r="AU586" s="11"/>
      <c r="AV586" s="6"/>
      <c r="AW586" s="89"/>
      <c r="AX586" s="89"/>
      <c r="AY586" s="89"/>
      <c r="AZ586" s="89"/>
      <c r="BA586" s="89"/>
      <c r="BB586" s="89"/>
      <c r="BC586" s="89"/>
      <c r="BD586" s="89"/>
      <c r="BE586" s="89"/>
      <c r="BF586" s="89"/>
      <c r="BG586" s="89"/>
      <c r="BH586" s="98"/>
      <c r="BI586" s="89"/>
      <c r="BJ586" s="89"/>
      <c r="BK586" s="89"/>
      <c r="BL586" s="89"/>
      <c r="BM586" s="89"/>
      <c r="BN586" s="89"/>
      <c r="BO586" s="89"/>
      <c r="BP586" s="89"/>
      <c r="BQ586" s="89"/>
      <c r="BR586" s="89"/>
      <c r="BS586" s="89"/>
      <c r="BT586" s="89"/>
      <c r="BU586" s="89"/>
      <c r="BV586" s="89"/>
      <c r="BW586" s="89"/>
      <c r="BX586" s="89"/>
      <c r="BY586" s="89"/>
      <c r="BZ586" s="89"/>
      <c r="CA586" s="89"/>
      <c r="CB586" s="89"/>
      <c r="CC586" s="89"/>
      <c r="CD586" s="89"/>
      <c r="CE586" s="89"/>
      <c r="CF586" s="89"/>
      <c r="CG586" s="89"/>
      <c r="CH586" s="89"/>
      <c r="CI586" s="89"/>
      <c r="CJ586" s="89"/>
      <c r="CK586" s="89"/>
      <c r="CL586" s="89"/>
      <c r="CM586" s="89"/>
      <c r="CN586" s="89"/>
      <c r="CO586" s="98"/>
      <c r="CP586" s="98"/>
      <c r="CQ586" s="98"/>
      <c r="CR586" s="98"/>
      <c r="CS586" s="98"/>
      <c r="CT586" s="1247"/>
      <c r="CU586" s="1247"/>
      <c r="CV586" s="1247"/>
      <c r="CW586" s="98"/>
      <c r="CX586" s="98"/>
      <c r="CY586" s="1247"/>
      <c r="CZ586" s="1247"/>
      <c r="DA586" s="1247"/>
      <c r="DB586" s="98"/>
      <c r="DC586" s="2925"/>
      <c r="DD586" s="98"/>
      <c r="DE586" s="98"/>
      <c r="DF586" s="98"/>
      <c r="DG586" s="98"/>
      <c r="DH586" s="98"/>
      <c r="DI586" s="98"/>
      <c r="DJ586" s="98"/>
      <c r="DK586" s="98"/>
      <c r="DL586" s="98"/>
      <c r="DM586" s="98"/>
      <c r="DN586" s="98"/>
      <c r="DO586" s="98"/>
      <c r="DP586" s="98"/>
      <c r="DQ586" s="98"/>
      <c r="DR586" s="98"/>
    </row>
    <row r="587" spans="1:122">
      <c r="A587" s="223"/>
      <c r="B587" s="123"/>
      <c r="C587" s="123"/>
      <c r="D587" s="123"/>
      <c r="E587" s="123"/>
      <c r="F587" s="123"/>
      <c r="G587" s="123"/>
      <c r="H587" s="123"/>
      <c r="I587" s="123"/>
      <c r="J587" s="127"/>
      <c r="K587" s="127"/>
      <c r="L587" s="123"/>
      <c r="M587" s="123"/>
      <c r="N587" s="123"/>
      <c r="O587" s="919"/>
      <c r="P587" s="123"/>
      <c r="Q587" s="123"/>
      <c r="R587" s="123"/>
      <c r="S587" s="123"/>
      <c r="T587" s="123"/>
      <c r="U587" s="123"/>
      <c r="V587" s="123"/>
      <c r="W587" s="123"/>
      <c r="X587" s="123"/>
      <c r="Y587" s="1687"/>
      <c r="Z587" s="1687"/>
      <c r="AA587" s="1687"/>
      <c r="AB587" s="2882"/>
      <c r="AC587" s="2882"/>
      <c r="AD587" s="2882"/>
      <c r="AE587" s="2882"/>
      <c r="AF587" s="2882"/>
      <c r="AG587" s="2882"/>
      <c r="AH587" s="2882"/>
      <c r="AI587" s="2882"/>
      <c r="AJ587" s="2882"/>
      <c r="AK587" s="2882"/>
      <c r="AL587" s="2882"/>
      <c r="AM587" s="2882"/>
      <c r="AN587" s="2923"/>
      <c r="AO587" s="192"/>
      <c r="AP587" s="192"/>
      <c r="AQ587" s="192"/>
      <c r="AR587" s="192"/>
      <c r="AS587" s="192"/>
      <c r="AT587" s="230"/>
      <c r="AU587" s="11"/>
      <c r="AV587" s="6"/>
      <c r="AW587" s="6"/>
      <c r="AX587" s="6"/>
      <c r="AY587" s="6"/>
      <c r="AZ587" s="90"/>
      <c r="BA587" s="6"/>
      <c r="BB587" s="6"/>
      <c r="BC587" s="6"/>
      <c r="BD587" s="6"/>
      <c r="BE587" s="6"/>
      <c r="BF587" s="6"/>
      <c r="BG587" s="6"/>
      <c r="BH587" s="11"/>
      <c r="BI587" s="90"/>
      <c r="BJ587" s="90"/>
      <c r="BK587" s="90"/>
      <c r="BL587" s="90"/>
      <c r="BM587" s="90"/>
      <c r="BN587" s="90"/>
      <c r="BO587" s="6"/>
      <c r="BP587" s="90"/>
      <c r="BQ587" s="90"/>
      <c r="BR587" s="90"/>
      <c r="BS587" s="90"/>
      <c r="BT587" s="6"/>
      <c r="BU587" s="6"/>
      <c r="BV587" s="6"/>
      <c r="BW587" s="6"/>
      <c r="BX587" s="6"/>
      <c r="BY587" s="6"/>
      <c r="BZ587" s="6"/>
      <c r="CA587" s="6"/>
      <c r="CB587" s="6"/>
      <c r="CC587" s="6"/>
      <c r="CD587" s="6"/>
      <c r="CE587" s="6"/>
      <c r="CF587" s="6"/>
      <c r="CG587" s="6"/>
      <c r="CH587" s="6"/>
      <c r="CI587" s="6"/>
      <c r="CJ587" s="6"/>
      <c r="CK587" s="6"/>
      <c r="CL587" s="6"/>
      <c r="CM587" s="6"/>
      <c r="CN587" s="6"/>
      <c r="CO587" s="11"/>
      <c r="CP587" s="11"/>
      <c r="CQ587" s="11"/>
      <c r="CR587" s="11"/>
      <c r="CS587" s="11"/>
      <c r="CT587" s="906"/>
      <c r="CU587" s="906"/>
      <c r="CV587" s="906"/>
      <c r="CW587" s="11"/>
      <c r="CX587" s="11"/>
      <c r="CY587" s="906"/>
      <c r="CZ587" s="906"/>
      <c r="DA587" s="906"/>
      <c r="DB587" s="11"/>
      <c r="DC587" s="2862"/>
      <c r="DD587" s="11"/>
      <c r="DE587" s="11"/>
      <c r="DF587" s="11"/>
      <c r="DG587" s="11"/>
      <c r="DH587" s="11"/>
      <c r="DI587" s="11"/>
      <c r="DJ587" s="11"/>
      <c r="DK587" s="11"/>
      <c r="DL587" s="11"/>
      <c r="DM587" s="11"/>
      <c r="DN587" s="11"/>
      <c r="DO587" s="11"/>
      <c r="DP587" s="11"/>
      <c r="DQ587" s="11"/>
      <c r="DR587" s="11"/>
    </row>
    <row r="588" spans="1:122">
      <c r="A588" s="223"/>
      <c r="B588" s="123"/>
      <c r="C588" s="123"/>
      <c r="D588" s="123"/>
      <c r="E588" s="123"/>
      <c r="F588" s="123"/>
      <c r="G588" s="123"/>
      <c r="H588" s="123"/>
      <c r="I588" s="123"/>
      <c r="J588" s="89"/>
      <c r="K588" s="89"/>
      <c r="L588" s="123"/>
      <c r="M588" s="123"/>
      <c r="N588" s="123"/>
      <c r="O588" s="919"/>
      <c r="P588" s="123"/>
      <c r="Q588" s="123"/>
      <c r="R588" s="123"/>
      <c r="S588" s="123"/>
      <c r="T588" s="123"/>
      <c r="U588" s="123"/>
      <c r="V588" s="123"/>
      <c r="W588" s="123"/>
      <c r="X588" s="123"/>
      <c r="Y588" s="1687"/>
      <c r="Z588" s="1687"/>
      <c r="AA588" s="1687"/>
      <c r="AB588" s="1687"/>
      <c r="AC588" s="1687"/>
      <c r="AD588" s="127"/>
      <c r="AE588" s="127"/>
      <c r="AF588" s="127"/>
      <c r="AG588" s="127"/>
      <c r="AH588" s="127"/>
      <c r="AI588" s="127"/>
      <c r="AJ588" s="127"/>
      <c r="AK588" s="127"/>
      <c r="AL588" s="1687"/>
      <c r="AM588" s="127"/>
      <c r="AN588" s="127"/>
      <c r="AO588" s="127"/>
      <c r="AP588" s="127"/>
      <c r="AQ588" s="127"/>
      <c r="AR588" s="127"/>
      <c r="AS588" s="127"/>
      <c r="AT588" s="127"/>
      <c r="AU588" s="11"/>
      <c r="AV588" s="6"/>
      <c r="AW588" s="6"/>
      <c r="AX588" s="6"/>
      <c r="AY588" s="6"/>
      <c r="AZ588" s="90"/>
      <c r="BA588" s="6"/>
      <c r="BB588" s="6"/>
      <c r="BC588" s="6"/>
      <c r="BD588" s="6"/>
      <c r="BE588" s="6"/>
      <c r="BF588" s="6"/>
      <c r="BG588" s="6"/>
      <c r="BH588" s="11"/>
      <c r="BI588" s="90"/>
      <c r="BJ588" s="90"/>
      <c r="BK588" s="90"/>
      <c r="BL588" s="90"/>
      <c r="BM588" s="90"/>
      <c r="BN588" s="90"/>
      <c r="BO588" s="6"/>
      <c r="BP588" s="90"/>
      <c r="BQ588" s="90"/>
      <c r="BR588" s="90"/>
      <c r="BS588" s="90"/>
      <c r="BT588" s="6"/>
      <c r="BU588" s="6"/>
      <c r="BV588" s="6"/>
      <c r="BW588" s="6"/>
      <c r="BX588" s="6"/>
      <c r="BY588" s="6"/>
      <c r="BZ588" s="6"/>
      <c r="CA588" s="6"/>
      <c r="CB588" s="6"/>
      <c r="CC588" s="6"/>
      <c r="CD588" s="6"/>
      <c r="CE588" s="6"/>
      <c r="CF588" s="6"/>
      <c r="CG588" s="6"/>
      <c r="CH588" s="6"/>
      <c r="CI588" s="6"/>
      <c r="CJ588" s="6"/>
      <c r="CK588" s="6"/>
      <c r="CL588" s="6"/>
      <c r="CM588" s="6"/>
      <c r="CN588" s="6"/>
      <c r="CO588" s="11"/>
      <c r="CP588" s="11"/>
      <c r="CQ588" s="11"/>
      <c r="CR588" s="11"/>
      <c r="CS588" s="11"/>
      <c r="CT588" s="906"/>
      <c r="CU588" s="906"/>
      <c r="CV588" s="906"/>
      <c r="CW588" s="11"/>
      <c r="CX588" s="11"/>
      <c r="CY588" s="906"/>
      <c r="CZ588" s="906"/>
      <c r="DA588" s="906"/>
      <c r="DB588" s="11"/>
      <c r="DC588" s="2862"/>
      <c r="DD588" s="11"/>
      <c r="DE588" s="11"/>
      <c r="DF588" s="11"/>
      <c r="DG588" s="11"/>
      <c r="DH588" s="11"/>
      <c r="DI588" s="11"/>
      <c r="DJ588" s="11"/>
      <c r="DK588" s="11"/>
      <c r="DL588" s="11"/>
      <c r="DM588" s="11"/>
      <c r="DN588" s="11"/>
      <c r="DO588" s="11"/>
      <c r="DP588" s="11"/>
      <c r="DQ588" s="11"/>
      <c r="DR588" s="11"/>
    </row>
    <row r="589" spans="1:122">
      <c r="A589" s="223"/>
      <c r="B589" s="123"/>
      <c r="C589" s="123"/>
      <c r="D589" s="123"/>
      <c r="E589" s="123"/>
      <c r="F589" s="123"/>
      <c r="G589" s="123"/>
      <c r="H589" s="123"/>
      <c r="I589" s="123"/>
      <c r="J589" s="89"/>
      <c r="K589" s="89"/>
      <c r="L589" s="123"/>
      <c r="M589" s="123"/>
      <c r="N589" s="123"/>
      <c r="O589" s="919"/>
      <c r="P589" s="123"/>
      <c r="Q589" s="123"/>
      <c r="R589" s="123"/>
      <c r="S589" s="123"/>
      <c r="T589" s="123"/>
      <c r="U589" s="123"/>
      <c r="V589" s="123"/>
      <c r="W589" s="123"/>
      <c r="X589" s="123"/>
      <c r="Y589" s="123"/>
      <c r="Z589" s="123"/>
      <c r="AA589" s="127"/>
      <c r="AB589" s="127"/>
      <c r="AC589" s="127"/>
      <c r="AD589" s="127"/>
      <c r="AE589" s="127"/>
      <c r="AF589" s="127"/>
      <c r="AG589" s="127"/>
      <c r="AH589" s="127"/>
      <c r="AI589" s="127"/>
      <c r="AJ589" s="127"/>
      <c r="AK589" s="127"/>
      <c r="AL589" s="1687"/>
      <c r="AM589" s="127"/>
      <c r="AN589" s="127"/>
      <c r="AO589" s="127"/>
      <c r="AP589" s="127"/>
      <c r="AQ589" s="127"/>
      <c r="AR589" s="127"/>
      <c r="AS589" s="127"/>
      <c r="AT589" s="127"/>
      <c r="AU589" s="11"/>
      <c r="AV589" s="6"/>
      <c r="AW589" s="6"/>
      <c r="AX589" s="6"/>
      <c r="AY589" s="6"/>
      <c r="AZ589" s="90"/>
      <c r="BA589" s="6"/>
      <c r="BB589" s="6"/>
      <c r="BC589" s="6"/>
      <c r="BD589" s="6"/>
      <c r="BE589" s="6"/>
      <c r="BF589" s="6"/>
      <c r="BG589" s="6"/>
      <c r="BH589" s="11"/>
      <c r="BI589" s="90"/>
      <c r="BJ589" s="90"/>
      <c r="BK589" s="90"/>
      <c r="BL589" s="90"/>
      <c r="BM589" s="90"/>
      <c r="BN589" s="90"/>
      <c r="BO589" s="6"/>
      <c r="BP589" s="90"/>
      <c r="BQ589" s="90"/>
      <c r="BR589" s="90"/>
      <c r="BS589" s="90"/>
      <c r="BT589" s="6"/>
      <c r="BU589" s="6"/>
      <c r="BV589" s="6"/>
      <c r="BW589" s="6"/>
      <c r="BX589" s="6"/>
      <c r="BY589" s="6"/>
      <c r="BZ589" s="6"/>
      <c r="CA589" s="6"/>
      <c r="CB589" s="6"/>
      <c r="CC589" s="6"/>
      <c r="CD589" s="6"/>
      <c r="CE589" s="6"/>
      <c r="CF589" s="6"/>
      <c r="CG589" s="6"/>
      <c r="CH589" s="6"/>
      <c r="CI589" s="6"/>
      <c r="CJ589" s="6"/>
      <c r="CK589" s="6"/>
      <c r="CL589" s="6"/>
      <c r="CM589" s="6"/>
      <c r="CN589" s="6"/>
      <c r="CO589" s="11"/>
      <c r="CP589" s="11"/>
      <c r="CQ589" s="11"/>
      <c r="CR589" s="11"/>
      <c r="CS589" s="11"/>
      <c r="CT589" s="906"/>
      <c r="CU589" s="906"/>
      <c r="CV589" s="906"/>
      <c r="CW589" s="11"/>
      <c r="CX589" s="11"/>
      <c r="CY589" s="906"/>
      <c r="CZ589" s="906"/>
      <c r="DA589" s="906"/>
      <c r="DB589" s="11"/>
      <c r="DC589" s="2862"/>
      <c r="DD589" s="11"/>
      <c r="DE589" s="11"/>
      <c r="DF589" s="11"/>
      <c r="DG589" s="11"/>
      <c r="DH589" s="11"/>
      <c r="DI589" s="11"/>
      <c r="DJ589" s="11"/>
      <c r="DK589" s="11"/>
      <c r="DL589" s="11"/>
      <c r="DM589" s="11"/>
      <c r="DN589" s="11"/>
      <c r="DO589" s="11"/>
      <c r="DP589" s="11"/>
      <c r="DQ589" s="11"/>
      <c r="DR589" s="11"/>
    </row>
    <row r="590" spans="1:122">
      <c r="A590" s="223"/>
      <c r="B590" s="123"/>
      <c r="C590" s="123"/>
      <c r="D590" s="123"/>
      <c r="E590" s="123"/>
      <c r="F590" s="123"/>
      <c r="G590" s="123"/>
      <c r="H590" s="123"/>
      <c r="I590" s="123"/>
      <c r="J590" s="89"/>
      <c r="K590" s="89"/>
      <c r="L590" s="123"/>
      <c r="M590" s="123"/>
      <c r="N590" s="123"/>
      <c r="O590" s="919"/>
      <c r="P590" s="123"/>
      <c r="Q590" s="123"/>
      <c r="R590" s="123"/>
      <c r="S590" s="123"/>
      <c r="T590" s="123"/>
      <c r="U590" s="123"/>
      <c r="V590" s="123"/>
      <c r="W590" s="123"/>
      <c r="X590" s="123"/>
      <c r="Y590" s="123"/>
      <c r="Z590" s="123"/>
      <c r="AA590" s="123"/>
      <c r="AB590" s="123"/>
      <c r="AC590" s="123"/>
      <c r="AD590" s="123"/>
      <c r="AE590" s="123"/>
      <c r="AF590" s="123"/>
      <c r="AG590" s="127"/>
      <c r="AH590" s="127"/>
      <c r="AI590" s="127"/>
      <c r="AJ590" s="127"/>
      <c r="AK590" s="127"/>
      <c r="AL590" s="1687"/>
      <c r="AM590" s="123"/>
      <c r="AN590" s="123"/>
      <c r="AO590" s="123"/>
      <c r="AP590" s="123"/>
      <c r="AQ590" s="123"/>
      <c r="AR590" s="123"/>
      <c r="AS590" s="123"/>
      <c r="AT590" s="123"/>
      <c r="AU590" s="11"/>
      <c r="AV590" s="6"/>
      <c r="AW590" s="6"/>
      <c r="AX590" s="6"/>
      <c r="AY590" s="6"/>
      <c r="AZ590" s="90"/>
      <c r="BA590" s="6"/>
      <c r="BB590" s="6"/>
      <c r="BC590" s="6"/>
      <c r="BD590" s="6"/>
      <c r="BE590" s="6"/>
      <c r="BF590" s="6"/>
      <c r="BG590" s="6"/>
      <c r="BH590" s="11"/>
      <c r="BI590" s="90"/>
      <c r="BJ590" s="90"/>
      <c r="BK590" s="90"/>
      <c r="BL590" s="90"/>
      <c r="BM590" s="90"/>
      <c r="BN590" s="90"/>
      <c r="BO590" s="6"/>
      <c r="BP590" s="90"/>
      <c r="BQ590" s="90"/>
      <c r="BR590" s="90"/>
      <c r="BS590" s="90"/>
      <c r="BT590" s="6"/>
      <c r="BU590" s="6"/>
      <c r="BV590" s="6"/>
      <c r="BW590" s="6"/>
      <c r="BX590" s="6"/>
      <c r="BY590" s="6"/>
      <c r="BZ590" s="6"/>
      <c r="CA590" s="6"/>
      <c r="CB590" s="6"/>
      <c r="CC590" s="6"/>
      <c r="CD590" s="6"/>
      <c r="CE590" s="6"/>
      <c r="CF590" s="6"/>
      <c r="CG590" s="6"/>
      <c r="CH590" s="6"/>
      <c r="CI590" s="6"/>
      <c r="CJ590" s="6"/>
      <c r="CK590" s="6"/>
      <c r="CL590" s="6"/>
      <c r="CM590" s="6"/>
      <c r="CN590" s="6"/>
      <c r="CO590" s="11"/>
      <c r="CP590" s="11"/>
      <c r="CQ590" s="11"/>
      <c r="CR590" s="11"/>
      <c r="CS590" s="11"/>
      <c r="CT590" s="906"/>
      <c r="CU590" s="906"/>
      <c r="CV590" s="906"/>
      <c r="CW590" s="11"/>
      <c r="CX590" s="11"/>
      <c r="CY590" s="906"/>
      <c r="CZ590" s="906"/>
      <c r="DA590" s="906"/>
      <c r="DB590" s="11"/>
      <c r="DC590" s="2862"/>
      <c r="DD590" s="11"/>
      <c r="DE590" s="11"/>
      <c r="DF590" s="11"/>
      <c r="DG590" s="11"/>
      <c r="DH590" s="11"/>
      <c r="DI590" s="11"/>
      <c r="DJ590" s="11"/>
      <c r="DK590" s="11"/>
      <c r="DL590" s="11"/>
      <c r="DM590" s="11"/>
      <c r="DN590" s="11"/>
      <c r="DO590" s="11"/>
      <c r="DP590" s="11"/>
      <c r="DQ590" s="11"/>
      <c r="DR590" s="11"/>
    </row>
    <row r="591" spans="1:122">
      <c r="A591" s="223"/>
      <c r="B591" s="123"/>
      <c r="C591" s="123"/>
      <c r="D591" s="123"/>
      <c r="E591" s="123"/>
      <c r="F591" s="123"/>
      <c r="G591" s="123"/>
      <c r="H591" s="123"/>
      <c r="I591" s="123"/>
      <c r="J591" s="89"/>
      <c r="K591" s="89"/>
      <c r="L591" s="123"/>
      <c r="M591" s="123"/>
      <c r="N591" s="123"/>
      <c r="O591" s="919"/>
      <c r="P591" s="123"/>
      <c r="Q591" s="123"/>
      <c r="R591" s="123"/>
      <c r="S591" s="123"/>
      <c r="T591" s="123"/>
      <c r="U591" s="123"/>
      <c r="V591" s="123"/>
      <c r="W591" s="123"/>
      <c r="X591" s="123"/>
      <c r="Y591" s="123"/>
      <c r="Z591" s="123"/>
      <c r="AA591" s="123"/>
      <c r="AB591" s="123"/>
      <c r="AC591" s="123"/>
      <c r="AD591" s="123"/>
      <c r="AE591" s="123"/>
      <c r="AF591" s="123"/>
      <c r="AG591" s="127"/>
      <c r="AH591" s="127"/>
      <c r="AI591" s="127"/>
      <c r="AJ591" s="127"/>
      <c r="AK591" s="127"/>
      <c r="AL591" s="1687"/>
      <c r="AM591" s="123"/>
      <c r="AN591" s="123"/>
      <c r="AO591" s="123"/>
      <c r="AP591" s="123"/>
      <c r="AQ591" s="123"/>
      <c r="AR591" s="123"/>
      <c r="AS591" s="123"/>
      <c r="AT591" s="123"/>
      <c r="AU591" s="11"/>
      <c r="AV591" s="6"/>
      <c r="AW591" s="6"/>
      <c r="AX591" s="6"/>
      <c r="AY591" s="6"/>
      <c r="AZ591" s="90"/>
      <c r="BA591" s="6"/>
      <c r="BB591" s="6"/>
      <c r="BC591" s="6"/>
      <c r="BD591" s="6"/>
      <c r="BE591" s="6"/>
      <c r="BF591" s="6"/>
      <c r="BG591" s="6"/>
      <c r="BH591" s="11"/>
      <c r="BI591" s="90"/>
      <c r="BJ591" s="90"/>
      <c r="BK591" s="90"/>
      <c r="BL591" s="90"/>
      <c r="BM591" s="90"/>
      <c r="BN591" s="90"/>
      <c r="BO591" s="6"/>
      <c r="BP591" s="90"/>
      <c r="BQ591" s="90"/>
      <c r="BR591" s="90"/>
      <c r="BS591" s="90"/>
      <c r="BT591" s="6"/>
      <c r="BU591" s="6"/>
      <c r="BV591" s="6"/>
      <c r="BW591" s="6"/>
      <c r="BX591" s="6"/>
      <c r="BY591" s="6"/>
      <c r="BZ591" s="6"/>
      <c r="CA591" s="6"/>
      <c r="CB591" s="6"/>
      <c r="CC591" s="6"/>
      <c r="CD591" s="6"/>
      <c r="CE591" s="6"/>
      <c r="CF591" s="6"/>
      <c r="CG591" s="6"/>
      <c r="CH591" s="6"/>
      <c r="CI591" s="6"/>
      <c r="CJ591" s="6"/>
      <c r="CK591" s="6"/>
      <c r="CL591" s="6"/>
      <c r="CM591" s="6"/>
      <c r="CN591" s="6"/>
      <c r="CO591" s="11"/>
      <c r="CP591" s="11"/>
      <c r="CQ591" s="11"/>
      <c r="CR591" s="11"/>
      <c r="CS591" s="11"/>
      <c r="CT591" s="906"/>
      <c r="CU591" s="906"/>
      <c r="CV591" s="906"/>
      <c r="CW591" s="11"/>
      <c r="CX591" s="11"/>
      <c r="CY591" s="906"/>
      <c r="CZ591" s="906"/>
      <c r="DA591" s="906"/>
      <c r="DB591" s="11"/>
      <c r="DC591" s="2862"/>
      <c r="DD591" s="11"/>
      <c r="DE591" s="11"/>
      <c r="DF591" s="11"/>
      <c r="DG591" s="11"/>
      <c r="DH591" s="11"/>
      <c r="DI591" s="11"/>
      <c r="DJ591" s="11"/>
      <c r="DK591" s="11"/>
      <c r="DL591" s="11"/>
      <c r="DM591" s="11"/>
      <c r="DN591" s="11"/>
      <c r="DO591" s="11"/>
      <c r="DP591" s="11"/>
      <c r="DQ591" s="11"/>
      <c r="DR591" s="11"/>
    </row>
    <row r="592" spans="1:122">
      <c r="A592" s="213"/>
      <c r="B592" s="176"/>
      <c r="C592" s="176"/>
      <c r="D592" s="176"/>
      <c r="E592" s="176"/>
      <c r="F592" s="176"/>
      <c r="G592" s="176"/>
      <c r="H592" s="176"/>
      <c r="I592" s="176"/>
      <c r="J592" s="177"/>
      <c r="K592" s="177"/>
      <c r="L592" s="176"/>
      <c r="M592" s="176"/>
      <c r="N592" s="176"/>
      <c r="O592" s="919"/>
      <c r="P592" s="176"/>
      <c r="Q592" s="176"/>
      <c r="R592" s="176"/>
      <c r="S592" s="176"/>
      <c r="T592" s="176"/>
      <c r="U592" s="176"/>
      <c r="V592" s="176"/>
      <c r="W592" s="176"/>
      <c r="X592" s="176"/>
      <c r="Y592" s="176"/>
      <c r="Z592" s="176"/>
      <c r="AA592" s="176"/>
      <c r="AB592" s="176"/>
      <c r="AC592" s="176"/>
      <c r="AD592" s="176"/>
      <c r="AE592" s="176"/>
      <c r="AF592" s="176"/>
      <c r="AG592" s="176"/>
      <c r="AH592" s="176"/>
      <c r="AI592" s="176"/>
      <c r="AJ592" s="176"/>
      <c r="AK592" s="176"/>
      <c r="AL592" s="176"/>
      <c r="AM592" s="176"/>
      <c r="AN592" s="176"/>
      <c r="AO592" s="123"/>
      <c r="AP592" s="123"/>
      <c r="AQ592" s="123"/>
      <c r="AR592" s="123"/>
      <c r="AS592" s="123"/>
      <c r="AT592" s="123"/>
      <c r="AU592" s="11"/>
      <c r="AV592" s="6"/>
      <c r="AW592" s="6"/>
      <c r="AX592" s="6"/>
      <c r="AY592" s="6"/>
      <c r="AZ592" s="90"/>
      <c r="BA592" s="6"/>
      <c r="BB592" s="6"/>
      <c r="BC592" s="6"/>
      <c r="BD592" s="6"/>
      <c r="BE592" s="6"/>
      <c r="BF592" s="6"/>
      <c r="BG592" s="6"/>
      <c r="BH592" s="11"/>
      <c r="BI592" s="90"/>
      <c r="BJ592" s="90"/>
      <c r="BK592" s="90"/>
      <c r="BL592" s="90"/>
      <c r="BM592" s="90"/>
      <c r="BN592" s="90"/>
      <c r="BO592" s="6"/>
      <c r="BP592" s="90"/>
      <c r="BQ592" s="90"/>
      <c r="BR592" s="90"/>
      <c r="BS592" s="90"/>
      <c r="BT592" s="6"/>
      <c r="BU592" s="6"/>
      <c r="BV592" s="6"/>
      <c r="BW592" s="6"/>
      <c r="BX592" s="6"/>
      <c r="BY592" s="6"/>
      <c r="BZ592" s="6"/>
      <c r="CA592" s="6"/>
      <c r="CB592" s="6"/>
      <c r="CC592" s="6"/>
      <c r="CD592" s="6"/>
      <c r="CE592" s="6"/>
      <c r="CF592" s="6"/>
      <c r="CG592" s="6"/>
      <c r="CH592" s="6"/>
      <c r="CI592" s="6"/>
      <c r="CJ592" s="6"/>
      <c r="CK592" s="6"/>
      <c r="CL592" s="6"/>
      <c r="CM592" s="6"/>
      <c r="CN592" s="6"/>
      <c r="CO592" s="11"/>
      <c r="CP592" s="11"/>
      <c r="CQ592" s="11"/>
      <c r="CR592" s="11"/>
      <c r="CS592" s="11"/>
      <c r="CT592" s="906"/>
      <c r="CU592" s="906"/>
      <c r="CV592" s="906"/>
      <c r="CW592" s="11"/>
      <c r="CX592" s="11"/>
      <c r="CY592" s="906"/>
      <c r="CZ592" s="906"/>
      <c r="DA592" s="906"/>
      <c r="DB592" s="11"/>
      <c r="DC592" s="2862"/>
      <c r="DD592" s="11"/>
      <c r="DE592" s="11"/>
      <c r="DF592" s="11"/>
      <c r="DG592" s="11"/>
      <c r="DH592" s="11"/>
      <c r="DI592" s="11"/>
      <c r="DJ592" s="11"/>
      <c r="DK592" s="11"/>
      <c r="DL592" s="11"/>
      <c r="DM592" s="11"/>
      <c r="DN592" s="11"/>
      <c r="DO592" s="11"/>
      <c r="DP592" s="11"/>
      <c r="DQ592" s="11"/>
      <c r="DR592" s="11"/>
    </row>
    <row r="593" spans="1:122" ht="15">
      <c r="A593" s="1697" t="str">
        <f>A1</f>
        <v>CBS</v>
      </c>
      <c r="B593" s="1108"/>
      <c r="C593" s="1108"/>
      <c r="D593" s="1108"/>
      <c r="E593" s="1108"/>
      <c r="F593" s="1108"/>
      <c r="G593" s="1108"/>
      <c r="H593" s="1108"/>
      <c r="I593" s="1108"/>
      <c r="J593" s="1689"/>
      <c r="K593" s="1689"/>
      <c r="L593" s="1108"/>
      <c r="M593" s="1108"/>
      <c r="N593" s="1108"/>
      <c r="O593" s="1369"/>
      <c r="P593" s="1108"/>
      <c r="Q593" s="1108"/>
      <c r="R593" s="1108"/>
      <c r="S593" s="1108"/>
      <c r="T593" s="1108"/>
      <c r="U593" s="1108"/>
      <c r="V593" s="1108"/>
      <c r="W593" s="1108"/>
      <c r="X593" s="1108"/>
      <c r="Y593" s="1108"/>
      <c r="Z593" s="1108"/>
      <c r="AA593" s="1108"/>
      <c r="AB593" s="1108"/>
      <c r="AC593" s="1108"/>
      <c r="AD593" s="1108"/>
      <c r="AE593" s="1108"/>
      <c r="AF593" s="1108"/>
      <c r="AG593" s="1108"/>
      <c r="AH593" s="1108"/>
      <c r="AI593" s="1108"/>
      <c r="AJ593" s="1108"/>
      <c r="AK593" s="1108"/>
      <c r="AL593" s="1108"/>
      <c r="AM593" s="1687"/>
      <c r="AN593" s="1687"/>
      <c r="AO593" s="1687"/>
      <c r="AP593" s="1687"/>
      <c r="AQ593" s="1687"/>
      <c r="AR593" s="1687"/>
      <c r="AS593" s="1687"/>
      <c r="AT593" s="1687"/>
      <c r="AU593" s="1108"/>
      <c r="AV593" s="1108"/>
      <c r="AW593" s="1108"/>
      <c r="AX593" s="1108"/>
      <c r="AY593" s="1108"/>
      <c r="AZ593" s="1700"/>
      <c r="BA593" s="1108"/>
      <c r="BB593" s="1108"/>
      <c r="BC593" s="1108"/>
      <c r="BD593" s="1108"/>
      <c r="BE593" s="1108"/>
      <c r="BF593" s="1108"/>
      <c r="BG593" s="1108"/>
      <c r="BH593" s="1108"/>
      <c r="BI593" s="1700"/>
      <c r="BJ593" s="1700"/>
      <c r="BK593" s="1700"/>
      <c r="BL593" s="1700"/>
      <c r="BM593" s="1700"/>
      <c r="BN593" s="1700"/>
      <c r="BO593" s="1108"/>
      <c r="BP593" s="1700"/>
      <c r="BQ593" s="1700"/>
      <c r="BR593" s="1700"/>
      <c r="BS593" s="1700"/>
      <c r="BT593" s="1108"/>
      <c r="BU593" s="1108"/>
      <c r="BV593" s="1108"/>
      <c r="BW593" s="1108"/>
      <c r="BX593" s="1108"/>
      <c r="BY593" s="1108"/>
      <c r="BZ593" s="1108"/>
      <c r="CA593" s="1108"/>
      <c r="CB593" s="1108"/>
      <c r="CC593" s="1108"/>
      <c r="CD593" s="1108"/>
      <c r="CE593" s="1108"/>
      <c r="CF593" s="1108"/>
      <c r="CG593" s="1108"/>
      <c r="CH593" s="1108"/>
      <c r="CI593" s="1108"/>
      <c r="CJ593" s="1108"/>
      <c r="CK593" s="1108"/>
      <c r="CL593" s="1108"/>
      <c r="CM593" s="1108"/>
      <c r="CN593" s="1108"/>
      <c r="CO593" s="1108"/>
      <c r="CP593" s="1108"/>
      <c r="CQ593" s="1108"/>
      <c r="CR593" s="1108"/>
      <c r="CS593" s="1108"/>
      <c r="CT593" s="1470"/>
      <c r="CU593" s="1470"/>
      <c r="CV593" s="1470"/>
      <c r="CW593" s="1108"/>
      <c r="CX593" s="1108"/>
      <c r="CY593" s="1470"/>
      <c r="CZ593" s="1470"/>
      <c r="DA593" s="1470"/>
      <c r="DB593" s="1108"/>
      <c r="DC593" s="2862"/>
      <c r="DD593" s="1108"/>
      <c r="DE593" s="1108"/>
      <c r="DF593" s="1108"/>
      <c r="DG593" s="1108"/>
      <c r="DH593" s="1108"/>
      <c r="DI593" s="1108"/>
      <c r="DJ593" s="1108"/>
      <c r="DK593" s="1108"/>
      <c r="DL593" s="1108"/>
      <c r="DM593" s="1108"/>
      <c r="DN593" s="1108"/>
      <c r="DO593" s="1108"/>
      <c r="DP593" s="1108"/>
      <c r="DQ593" s="1108"/>
      <c r="DR593" s="1108"/>
    </row>
    <row r="594" spans="1:122">
      <c r="A594" s="115" t="s">
        <v>455</v>
      </c>
      <c r="B594" s="11"/>
      <c r="C594" s="11"/>
      <c r="D594" s="11"/>
      <c r="E594" s="11"/>
      <c r="F594" s="11"/>
      <c r="G594" s="11"/>
      <c r="H594" s="11"/>
      <c r="I594" s="11"/>
      <c r="J594" s="98"/>
      <c r="K594" s="98"/>
      <c r="L594" s="98" t="s">
        <v>337</v>
      </c>
      <c r="M594" s="11"/>
      <c r="N594" s="11"/>
      <c r="O594" s="919"/>
      <c r="P594" s="11"/>
      <c r="Q594" s="11"/>
      <c r="R594" s="11"/>
      <c r="S594" s="11"/>
      <c r="T594" s="11"/>
      <c r="U594" s="11"/>
      <c r="V594" s="11"/>
      <c r="W594" s="11"/>
      <c r="X594" s="11"/>
      <c r="Y594" s="1108"/>
      <c r="Z594" s="1108"/>
      <c r="AA594" s="1108"/>
      <c r="AB594" s="1108"/>
      <c r="AC594" s="1108"/>
      <c r="AD594" s="11"/>
      <c r="AE594" s="11"/>
      <c r="AF594" s="11"/>
      <c r="AG594" s="11"/>
      <c r="AH594" s="11"/>
      <c r="AI594" s="11"/>
      <c r="AJ594" s="11"/>
      <c r="AK594" s="11"/>
      <c r="AL594" s="1108"/>
      <c r="AM594" s="11"/>
      <c r="AN594" s="11"/>
      <c r="AO594" s="11"/>
      <c r="AP594" s="11"/>
      <c r="AQ594" s="11"/>
      <c r="AR594" s="11"/>
      <c r="AS594" s="11"/>
      <c r="AT594" s="11"/>
      <c r="AU594" s="11"/>
      <c r="AV594" s="6"/>
      <c r="AW594" s="6"/>
      <c r="AX594" s="6"/>
      <c r="AY594" s="6"/>
      <c r="AZ594" s="90"/>
      <c r="BA594" s="6"/>
      <c r="BB594" s="6"/>
      <c r="BC594" s="6"/>
      <c r="BD594" s="6"/>
      <c r="BE594" s="6"/>
      <c r="BF594" s="6"/>
      <c r="BG594" s="6"/>
      <c r="BH594" s="11"/>
      <c r="BI594" s="90"/>
      <c r="BJ594" s="90"/>
      <c r="BK594" s="90"/>
      <c r="BL594" s="90"/>
      <c r="BM594" s="90"/>
      <c r="BN594" s="90"/>
      <c r="BO594" s="6"/>
      <c r="BP594" s="90"/>
      <c r="BQ594" s="90"/>
      <c r="BR594" s="90"/>
      <c r="BS594" s="90"/>
      <c r="BT594" s="6"/>
      <c r="BU594" s="6"/>
      <c r="BV594" s="6"/>
      <c r="BW594" s="6"/>
      <c r="BX594" s="6"/>
      <c r="BY594" s="6"/>
      <c r="BZ594" s="6"/>
      <c r="CA594" s="6"/>
      <c r="CB594" s="6"/>
      <c r="CC594" s="6"/>
      <c r="CD594" s="6"/>
      <c r="CE594" s="6"/>
      <c r="CF594" s="6"/>
      <c r="CG594" s="6"/>
      <c r="CH594" s="6"/>
      <c r="CI594" s="6"/>
      <c r="CJ594" s="6"/>
      <c r="CK594" s="6"/>
      <c r="CL594" s="6"/>
      <c r="CM594" s="6"/>
      <c r="CN594" s="6"/>
      <c r="CO594" s="11"/>
      <c r="CP594" s="11"/>
      <c r="CQ594" s="11"/>
      <c r="CR594" s="11"/>
      <c r="CS594" s="11"/>
      <c r="CT594" s="906"/>
      <c r="CU594" s="906"/>
      <c r="CV594" s="906"/>
      <c r="CW594" s="11"/>
      <c r="CX594" s="11"/>
      <c r="CY594" s="906"/>
      <c r="CZ594" s="906"/>
      <c r="DA594" s="906"/>
      <c r="DB594" s="11"/>
      <c r="DC594" s="2862"/>
      <c r="DD594" s="11"/>
      <c r="DE594" s="11"/>
      <c r="DF594" s="11"/>
      <c r="DG594" s="11"/>
      <c r="DH594" s="11"/>
      <c r="DI594" s="11"/>
      <c r="DJ594" s="11"/>
      <c r="DK594" s="11"/>
      <c r="DL594" s="11"/>
      <c r="DM594" s="11"/>
      <c r="DN594" s="11"/>
      <c r="DO594" s="11"/>
      <c r="DP594" s="11"/>
      <c r="DQ594" s="11"/>
      <c r="DR594" s="11"/>
    </row>
    <row r="595" spans="1:122">
      <c r="A595" s="12" t="s">
        <v>479</v>
      </c>
      <c r="B595" s="96"/>
      <c r="C595" s="96"/>
      <c r="D595" s="96"/>
      <c r="E595" s="96"/>
      <c r="F595" s="96"/>
      <c r="G595" s="96"/>
      <c r="H595" s="96"/>
      <c r="I595" s="96"/>
      <c r="J595" s="97"/>
      <c r="K595" s="98"/>
      <c r="L595" s="11"/>
      <c r="M595" s="11"/>
      <c r="N595" s="11"/>
      <c r="O595" s="919"/>
      <c r="P595" s="11"/>
      <c r="Q595" s="11"/>
      <c r="R595" s="11"/>
      <c r="S595" s="11"/>
      <c r="T595" s="11"/>
      <c r="U595" s="11"/>
      <c r="V595" s="11"/>
      <c r="W595" s="11"/>
      <c r="X595" s="11"/>
      <c r="Y595" s="1108"/>
      <c r="Z595" s="1108"/>
      <c r="AA595" s="1108"/>
      <c r="AB595" s="1108"/>
      <c r="AC595" s="1108"/>
      <c r="AD595" s="11"/>
      <c r="AE595" s="11"/>
      <c r="AF595" s="11"/>
      <c r="AG595" s="11"/>
      <c r="AH595" s="11"/>
      <c r="AI595" s="11"/>
      <c r="AJ595" s="11"/>
      <c r="AK595" s="11"/>
      <c r="AL595" s="1108"/>
      <c r="AM595" s="11"/>
      <c r="AN595" s="11"/>
      <c r="AO595" s="11"/>
      <c r="AP595" s="11"/>
      <c r="AQ595" s="11"/>
      <c r="AR595" s="11"/>
      <c r="AS595" s="11"/>
      <c r="AT595" s="11"/>
      <c r="AU595" s="11"/>
      <c r="AV595" s="6"/>
      <c r="AW595" s="6"/>
      <c r="AX595" s="6"/>
      <c r="AY595" s="6"/>
      <c r="AZ595" s="90"/>
      <c r="BA595" s="6"/>
      <c r="BB595" s="6"/>
      <c r="BC595" s="6"/>
      <c r="BD595" s="6"/>
      <c r="BE595" s="6"/>
      <c r="BF595" s="6"/>
      <c r="BG595" s="6"/>
      <c r="BH595" s="11"/>
      <c r="BI595" s="90"/>
      <c r="BJ595" s="90"/>
      <c r="BK595" s="90"/>
      <c r="BL595" s="90"/>
      <c r="BM595" s="90"/>
      <c r="BN595" s="90"/>
      <c r="BO595" s="6"/>
      <c r="BP595" s="90"/>
      <c r="BQ595" s="90"/>
      <c r="BR595" s="90"/>
      <c r="BS595" s="90"/>
      <c r="BT595" s="6"/>
      <c r="BU595" s="6"/>
      <c r="BV595" s="6"/>
      <c r="BW595" s="6"/>
      <c r="BX595" s="6"/>
      <c r="BY595" s="6"/>
      <c r="BZ595" s="6"/>
      <c r="CA595" s="6"/>
      <c r="CB595" s="6"/>
      <c r="CC595" s="6"/>
      <c r="CD595" s="6"/>
      <c r="CE595" s="6"/>
      <c r="CF595" s="6"/>
      <c r="CG595" s="6"/>
      <c r="CH595" s="6"/>
      <c r="CI595" s="6"/>
      <c r="CJ595" s="6"/>
      <c r="CK595" s="6"/>
      <c r="CL595" s="6"/>
      <c r="CM595" s="6"/>
      <c r="CN595" s="6"/>
      <c r="CO595" s="11"/>
      <c r="CP595" s="11"/>
      <c r="CQ595" s="11"/>
      <c r="CR595" s="11"/>
      <c r="CS595" s="11"/>
      <c r="CT595" s="906"/>
      <c r="CU595" s="906"/>
      <c r="CV595" s="906"/>
      <c r="CW595" s="11"/>
      <c r="CX595" s="11"/>
      <c r="CY595" s="906"/>
      <c r="CZ595" s="906"/>
      <c r="DA595" s="906"/>
      <c r="DB595" s="11"/>
      <c r="DC595" s="2862"/>
      <c r="DD595" s="11"/>
      <c r="DE595" s="11"/>
      <c r="DF595" s="11"/>
      <c r="DG595" s="11"/>
      <c r="DH595" s="11"/>
      <c r="DI595" s="11"/>
      <c r="DJ595" s="11"/>
      <c r="DK595" s="11"/>
      <c r="DL595" s="11"/>
      <c r="DM595" s="11"/>
      <c r="DN595" s="11"/>
      <c r="DO595" s="11"/>
      <c r="DP595" s="11"/>
      <c r="DQ595" s="11"/>
      <c r="DR595" s="11"/>
    </row>
    <row r="596" spans="1:122">
      <c r="A596" s="26"/>
      <c r="B596" s="102"/>
      <c r="C596" s="102"/>
      <c r="D596" s="102"/>
      <c r="E596" s="102"/>
      <c r="F596" s="102"/>
      <c r="G596" s="102"/>
      <c r="H596" s="102">
        <f t="shared" ref="H596:N596" si="910">H4</f>
        <v>2002</v>
      </c>
      <c r="I596" s="102">
        <f t="shared" si="910"/>
        <v>2003</v>
      </c>
      <c r="J596" s="102">
        <f t="shared" si="910"/>
        <v>2004</v>
      </c>
      <c r="K596" s="138">
        <f t="shared" si="910"/>
        <v>2005</v>
      </c>
      <c r="L596" s="102">
        <f t="shared" si="910"/>
        <v>2006</v>
      </c>
      <c r="M596" s="138">
        <f t="shared" si="910"/>
        <v>2007</v>
      </c>
      <c r="N596" s="102">
        <f t="shared" si="910"/>
        <v>2008</v>
      </c>
      <c r="O596" s="919"/>
      <c r="P596" s="102"/>
      <c r="Q596" s="102"/>
      <c r="R596" s="102">
        <f t="shared" ref="R596:W596" si="911">R4</f>
        <v>2009</v>
      </c>
      <c r="S596" s="102">
        <f t="shared" si="911"/>
        <v>2010</v>
      </c>
      <c r="T596" s="102">
        <f t="shared" si="911"/>
        <v>2011</v>
      </c>
      <c r="U596" s="102">
        <f t="shared" si="911"/>
        <v>2012</v>
      </c>
      <c r="V596" s="102">
        <f t="shared" si="911"/>
        <v>2013</v>
      </c>
      <c r="W596" s="102">
        <f t="shared" si="911"/>
        <v>2014</v>
      </c>
      <c r="X596" s="102"/>
      <c r="Y596" s="1706"/>
      <c r="Z596" s="1706">
        <f t="shared" ref="Z596:AK596" si="912">Z4</f>
        <v>2015</v>
      </c>
      <c r="AA596" s="1706">
        <f t="shared" si="912"/>
        <v>2016</v>
      </c>
      <c r="AB596" s="1706"/>
      <c r="AC596" s="1706" t="str">
        <f t="shared" si="912"/>
        <v>2017E</v>
      </c>
      <c r="AD596" s="138" t="str">
        <f t="shared" si="912"/>
        <v>2018E</v>
      </c>
      <c r="AE596" s="138" t="str">
        <f t="shared" si="912"/>
        <v>2019E</v>
      </c>
      <c r="AF596" s="138" t="str">
        <f t="shared" si="912"/>
        <v>2020E</v>
      </c>
      <c r="AG596" s="138" t="str">
        <f t="shared" si="912"/>
        <v>2021E</v>
      </c>
      <c r="AH596" s="138" t="str">
        <f t="shared" si="912"/>
        <v>2022E</v>
      </c>
      <c r="AI596" s="138" t="str">
        <f t="shared" si="912"/>
        <v>2023E</v>
      </c>
      <c r="AJ596" s="138" t="str">
        <f t="shared" si="912"/>
        <v>2024E</v>
      </c>
      <c r="AK596" s="138" t="str">
        <f t="shared" si="912"/>
        <v>2025E</v>
      </c>
      <c r="AL596" s="1706" t="str">
        <f>AL4</f>
        <v>2026E</v>
      </c>
      <c r="AM596" s="1706" t="str">
        <f>AM4</f>
        <v>2027E</v>
      </c>
      <c r="AN596" s="1706" t="str">
        <f>AN4</f>
        <v>2028E</v>
      </c>
      <c r="AO596" s="164"/>
      <c r="AP596" s="164"/>
      <c r="AQ596" s="164"/>
      <c r="AR596" s="164"/>
      <c r="AS596" s="164"/>
      <c r="AT596" s="164"/>
      <c r="AU596" s="11"/>
      <c r="AV596" s="6"/>
      <c r="AW596" s="6"/>
      <c r="AX596" s="6"/>
      <c r="AY596" s="6"/>
      <c r="AZ596" s="90"/>
      <c r="BA596" s="6"/>
      <c r="BB596" s="6"/>
      <c r="BC596" s="6"/>
      <c r="BD596" s="6"/>
      <c r="BE596" s="6"/>
      <c r="BF596" s="6"/>
      <c r="BG596" s="6"/>
      <c r="BH596" s="11"/>
      <c r="BI596" s="90"/>
      <c r="BJ596" s="90"/>
      <c r="BK596" s="90"/>
      <c r="BL596" s="90"/>
      <c r="BM596" s="90"/>
      <c r="BN596" s="90"/>
      <c r="BO596" s="6"/>
      <c r="BP596" s="90"/>
      <c r="BQ596" s="90"/>
      <c r="BR596" s="90"/>
      <c r="BS596" s="90"/>
      <c r="BT596" s="6"/>
      <c r="BU596" s="6"/>
      <c r="BV596" s="6"/>
      <c r="BW596" s="6"/>
      <c r="BX596" s="6"/>
      <c r="BY596" s="6"/>
      <c r="BZ596" s="6"/>
      <c r="CA596" s="6"/>
      <c r="CB596" s="6"/>
      <c r="CC596" s="6"/>
      <c r="CD596" s="6"/>
      <c r="CE596" s="6"/>
      <c r="CF596" s="6"/>
      <c r="CG596" s="6"/>
      <c r="CH596" s="6"/>
      <c r="CI596" s="6"/>
      <c r="CJ596" s="6"/>
      <c r="CK596" s="6"/>
      <c r="CL596" s="6"/>
      <c r="CM596" s="6"/>
      <c r="CN596" s="6"/>
      <c r="CO596" s="11"/>
      <c r="CP596" s="11"/>
      <c r="CQ596" s="11"/>
      <c r="CR596" s="11"/>
      <c r="CS596" s="11"/>
      <c r="CT596" s="906"/>
      <c r="CU596" s="906"/>
      <c r="CV596" s="906"/>
      <c r="CW596" s="11"/>
      <c r="CX596" s="11"/>
      <c r="CY596" s="906"/>
      <c r="CZ596" s="906"/>
      <c r="DA596" s="906"/>
      <c r="DB596" s="11"/>
      <c r="DC596" s="2862"/>
      <c r="DD596" s="11"/>
      <c r="DE596" s="11"/>
      <c r="DF596" s="11"/>
      <c r="DG596" s="11"/>
      <c r="DH596" s="11"/>
      <c r="DI596" s="11"/>
      <c r="DJ596" s="11"/>
      <c r="DK596" s="11"/>
      <c r="DL596" s="11"/>
      <c r="DM596" s="11"/>
      <c r="DN596" s="11"/>
      <c r="DO596" s="11"/>
      <c r="DP596" s="11"/>
      <c r="DQ596" s="11"/>
      <c r="DR596" s="11"/>
    </row>
    <row r="597" spans="1:122">
      <c r="A597" s="121" t="s">
        <v>456</v>
      </c>
      <c r="B597" s="127"/>
      <c r="C597" s="127"/>
      <c r="D597" s="127"/>
      <c r="E597" s="127"/>
      <c r="F597" s="127"/>
      <c r="G597" s="127"/>
      <c r="H597" s="127"/>
      <c r="I597" s="842">
        <f>I599-I598</f>
        <v>1430.1</v>
      </c>
      <c r="J597" s="844">
        <f>775+480.5+191.4</f>
        <v>1446.9</v>
      </c>
      <c r="K597" s="844">
        <f>807.7+507.4+220.2</f>
        <v>1535.3</v>
      </c>
      <c r="L597" s="844">
        <f>821.9+511.2+247.4</f>
        <v>1580.5</v>
      </c>
      <c r="M597" s="844">
        <f>854.9+516.8+278.4</f>
        <v>1650.1</v>
      </c>
      <c r="N597" s="844">
        <v>1832.6</v>
      </c>
      <c r="O597" s="919"/>
      <c r="P597" s="842"/>
      <c r="Q597" s="842"/>
      <c r="R597" s="844">
        <v>1811.7</v>
      </c>
      <c r="S597" s="842">
        <f t="shared" ref="S597:Z597" si="913">S605</f>
        <v>1811.7</v>
      </c>
      <c r="T597" s="842">
        <f t="shared" si="913"/>
        <v>1811.7</v>
      </c>
      <c r="U597" s="842">
        <f t="shared" si="913"/>
        <v>1811.7</v>
      </c>
      <c r="V597" s="842">
        <f t="shared" si="913"/>
        <v>1811.7</v>
      </c>
      <c r="W597" s="842">
        <f t="shared" si="913"/>
        <v>1811.7</v>
      </c>
      <c r="X597" s="842"/>
      <c r="Y597" s="1559"/>
      <c r="Z597" s="1559">
        <f t="shared" si="913"/>
        <v>1811.7</v>
      </c>
      <c r="AA597" s="1559">
        <f>AA605</f>
        <v>1811.7</v>
      </c>
      <c r="AB597" s="1559"/>
      <c r="AC597" s="1559">
        <f t="shared" ref="AC597:AH597" si="914">AC605</f>
        <v>1811.7</v>
      </c>
      <c r="AD597" s="842">
        <f t="shared" si="914"/>
        <v>1811.7</v>
      </c>
      <c r="AE597" s="842">
        <f t="shared" si="914"/>
        <v>1811.7</v>
      </c>
      <c r="AF597" s="842">
        <f>AF605</f>
        <v>1811.7</v>
      </c>
      <c r="AG597" s="842">
        <f t="shared" si="914"/>
        <v>1811.7</v>
      </c>
      <c r="AH597" s="842">
        <f t="shared" si="914"/>
        <v>1811.7</v>
      </c>
      <c r="AI597" s="842">
        <f t="shared" ref="AI597:AN597" si="915">AI605</f>
        <v>1811.7</v>
      </c>
      <c r="AJ597" s="842">
        <f t="shared" si="915"/>
        <v>1811.7</v>
      </c>
      <c r="AK597" s="842">
        <f t="shared" si="915"/>
        <v>1811.7</v>
      </c>
      <c r="AL597" s="1559">
        <f t="shared" si="915"/>
        <v>1811.7</v>
      </c>
      <c r="AM597" s="1559">
        <f t="shared" si="915"/>
        <v>1811.7</v>
      </c>
      <c r="AN597" s="1559">
        <f t="shared" si="915"/>
        <v>1811.7</v>
      </c>
      <c r="AO597" s="842"/>
      <c r="AP597" s="842"/>
      <c r="AQ597" s="842"/>
      <c r="AR597" s="842"/>
      <c r="AS597" s="842"/>
      <c r="AT597" s="127"/>
      <c r="AU597" s="11"/>
      <c r="AV597" s="6"/>
      <c r="AW597" s="89"/>
      <c r="AX597" s="89"/>
      <c r="AY597" s="89"/>
      <c r="AZ597" s="89"/>
      <c r="BA597" s="89"/>
      <c r="BB597" s="89"/>
      <c r="BC597" s="89"/>
      <c r="BD597" s="89"/>
      <c r="BE597" s="89"/>
      <c r="BF597" s="89"/>
      <c r="BG597" s="89"/>
      <c r="BH597" s="98"/>
      <c r="BI597" s="89"/>
      <c r="BJ597" s="89"/>
      <c r="BK597" s="89"/>
      <c r="BL597" s="89"/>
      <c r="BM597" s="89"/>
      <c r="BN597" s="89"/>
      <c r="BO597" s="6"/>
      <c r="BP597" s="89"/>
      <c r="BQ597" s="89"/>
      <c r="BR597" s="89"/>
      <c r="BS597" s="89"/>
      <c r="BT597" s="6"/>
      <c r="BU597" s="6"/>
      <c r="BV597" s="6"/>
      <c r="BW597" s="6"/>
      <c r="BX597" s="6"/>
      <c r="BY597" s="6"/>
      <c r="BZ597" s="6"/>
      <c r="CA597" s="6"/>
      <c r="CB597" s="6"/>
      <c r="CC597" s="6"/>
      <c r="CD597" s="6"/>
      <c r="CE597" s="6"/>
      <c r="CF597" s="6"/>
      <c r="CG597" s="6"/>
      <c r="CH597" s="6"/>
      <c r="CI597" s="6"/>
      <c r="CJ597" s="6"/>
      <c r="CK597" s="6"/>
      <c r="CL597" s="6"/>
      <c r="CM597" s="6"/>
      <c r="CN597" s="6"/>
      <c r="CO597" s="11"/>
      <c r="CP597" s="11"/>
      <c r="CQ597" s="11"/>
      <c r="CR597" s="11"/>
      <c r="CS597" s="11"/>
      <c r="CT597" s="906"/>
      <c r="CU597" s="906"/>
      <c r="CV597" s="906"/>
      <c r="CW597" s="11"/>
      <c r="CX597" s="11"/>
      <c r="CY597" s="906"/>
      <c r="CZ597" s="906"/>
      <c r="DA597" s="906"/>
      <c r="DB597" s="11"/>
      <c r="DC597" s="2862"/>
      <c r="DD597" s="11"/>
      <c r="DE597" s="11"/>
      <c r="DF597" s="11"/>
      <c r="DG597" s="11"/>
      <c r="DH597" s="11"/>
      <c r="DI597" s="11"/>
      <c r="DJ597" s="11"/>
      <c r="DK597" s="11"/>
      <c r="DL597" s="11"/>
      <c r="DM597" s="11"/>
      <c r="DN597" s="11"/>
      <c r="DO597" s="11"/>
      <c r="DP597" s="11"/>
      <c r="DQ597" s="11"/>
      <c r="DR597" s="11"/>
    </row>
    <row r="598" spans="1:122">
      <c r="A598" s="120" t="s">
        <v>457</v>
      </c>
      <c r="B598" s="171"/>
      <c r="C598" s="171"/>
      <c r="D598" s="171"/>
      <c r="E598" s="171"/>
      <c r="F598" s="171"/>
      <c r="G598" s="171"/>
      <c r="H598" s="171"/>
      <c r="I598" s="633">
        <f>-597.1+185.4</f>
        <v>-411.70000000000005</v>
      </c>
      <c r="J598" s="840">
        <f>-275.5-143.8-84.2</f>
        <v>-503.5</v>
      </c>
      <c r="K598" s="840">
        <f>-327.5-166.7-107.7</f>
        <v>-601.9</v>
      </c>
      <c r="L598" s="840">
        <f>-375.6-190.2-133.1</f>
        <v>-698.9</v>
      </c>
      <c r="M598" s="840">
        <f>-426.1-216-151.2</f>
        <v>-793.3</v>
      </c>
      <c r="N598" s="840">
        <v>-874.5</v>
      </c>
      <c r="O598" s="919"/>
      <c r="P598" s="840"/>
      <c r="Q598" s="840"/>
      <c r="R598" s="850">
        <v>-965</v>
      </c>
      <c r="S598" s="840">
        <f t="shared" ref="S598:Z598" si="916">S614</f>
        <v>-1095</v>
      </c>
      <c r="T598" s="840">
        <f>T614</f>
        <v>-1216</v>
      </c>
      <c r="U598" s="840">
        <f t="shared" si="916"/>
        <v>-1322</v>
      </c>
      <c r="V598" s="840">
        <f t="shared" si="916"/>
        <v>-1422</v>
      </c>
      <c r="W598" s="840">
        <f t="shared" si="916"/>
        <v>-1454</v>
      </c>
      <c r="X598" s="840"/>
      <c r="Y598" s="2133"/>
      <c r="Z598" s="2133">
        <f t="shared" si="916"/>
        <v>-1478</v>
      </c>
      <c r="AA598" s="2133">
        <f t="shared" ref="AA598:AH598" ca="1" si="917">AA614</f>
        <v>-1498</v>
      </c>
      <c r="AB598" s="2133"/>
      <c r="AC598" s="2133">
        <f t="shared" ca="1" si="917"/>
        <v>-1517</v>
      </c>
      <c r="AD598" s="840">
        <f t="shared" ca="1" si="917"/>
        <v>-1535</v>
      </c>
      <c r="AE598" s="840">
        <f t="shared" ca="1" si="917"/>
        <v>-1553</v>
      </c>
      <c r="AF598" s="840">
        <f t="shared" ca="1" si="917"/>
        <v>-1568</v>
      </c>
      <c r="AG598" s="840">
        <f t="shared" ca="1" si="917"/>
        <v>-1581</v>
      </c>
      <c r="AH598" s="840">
        <f t="shared" ca="1" si="917"/>
        <v>-1593.9484603924479</v>
      </c>
      <c r="AI598" s="840">
        <f t="shared" ref="AI598:AN598" ca="1" si="918">AI614</f>
        <v>-1604.8556890988543</v>
      </c>
      <c r="AJ598" s="840">
        <f t="shared" ca="1" si="918"/>
        <v>-1615.7299324564274</v>
      </c>
      <c r="AK598" s="840">
        <f t="shared" ca="1" si="918"/>
        <v>-1626.5777875349338</v>
      </c>
      <c r="AL598" s="2133">
        <f t="shared" ca="1" si="918"/>
        <v>-1637.404531990187</v>
      </c>
      <c r="AM598" s="2133">
        <f t="shared" ca="1" si="918"/>
        <v>-1648.2143879468376</v>
      </c>
      <c r="AN598" s="2133">
        <f t="shared" ca="1" si="918"/>
        <v>-1659.0107331046061</v>
      </c>
      <c r="AO598" s="1214"/>
      <c r="AP598" s="1214"/>
      <c r="AQ598" s="1214"/>
      <c r="AR598" s="1214"/>
      <c r="AS598" s="1214"/>
      <c r="AT598" s="171"/>
      <c r="AU598" s="11"/>
      <c r="AV598" s="6"/>
      <c r="AW598" s="89"/>
      <c r="AX598" s="89"/>
      <c r="AY598" s="89"/>
      <c r="AZ598" s="89"/>
      <c r="BA598" s="89"/>
      <c r="BB598" s="89"/>
      <c r="BC598" s="89"/>
      <c r="BD598" s="89"/>
      <c r="BE598" s="89"/>
      <c r="BF598" s="89"/>
      <c r="BG598" s="89"/>
      <c r="BH598" s="98"/>
      <c r="BI598" s="89"/>
      <c r="BJ598" s="89"/>
      <c r="BK598" s="89"/>
      <c r="BL598" s="89"/>
      <c r="BM598" s="89"/>
      <c r="BN598" s="89"/>
      <c r="BO598" s="6"/>
      <c r="BP598" s="89"/>
      <c r="BQ598" s="89"/>
      <c r="BR598" s="89"/>
      <c r="BS598" s="89"/>
      <c r="BT598" s="6"/>
      <c r="BU598" s="6"/>
      <c r="BV598" s="6"/>
      <c r="BW598" s="6"/>
      <c r="BX598" s="6"/>
      <c r="BY598" s="6"/>
      <c r="BZ598" s="6"/>
      <c r="CA598" s="6"/>
      <c r="CB598" s="6"/>
      <c r="CC598" s="6"/>
      <c r="CD598" s="6"/>
      <c r="CE598" s="6"/>
      <c r="CF598" s="6"/>
      <c r="CG598" s="6"/>
      <c r="CH598" s="6"/>
      <c r="CI598" s="6"/>
      <c r="CJ598" s="6"/>
      <c r="CK598" s="6"/>
      <c r="CL598" s="6"/>
      <c r="CM598" s="6"/>
      <c r="CN598" s="6"/>
      <c r="CO598" s="11"/>
      <c r="CP598" s="11"/>
      <c r="CQ598" s="11"/>
      <c r="CR598" s="11"/>
      <c r="CS598" s="11"/>
      <c r="CT598" s="906"/>
      <c r="CU598" s="906"/>
      <c r="CV598" s="906"/>
      <c r="CW598" s="11"/>
      <c r="CX598" s="11"/>
      <c r="CY598" s="906"/>
      <c r="CZ598" s="906"/>
      <c r="DA598" s="906"/>
      <c r="DB598" s="11"/>
      <c r="DC598" s="2862"/>
      <c r="DD598" s="11"/>
      <c r="DE598" s="11"/>
      <c r="DF598" s="11"/>
      <c r="DG598" s="11"/>
      <c r="DH598" s="11"/>
      <c r="DI598" s="11"/>
      <c r="DJ598" s="11"/>
      <c r="DK598" s="11"/>
      <c r="DL598" s="11"/>
      <c r="DM598" s="11"/>
      <c r="DN598" s="11"/>
      <c r="DO598" s="11"/>
      <c r="DP598" s="11"/>
      <c r="DQ598" s="11"/>
      <c r="DR598" s="11"/>
    </row>
    <row r="599" spans="1:122">
      <c r="A599" s="117" t="s">
        <v>404</v>
      </c>
      <c r="B599" s="127"/>
      <c r="C599" s="127"/>
      <c r="D599" s="127"/>
      <c r="E599" s="127"/>
      <c r="F599" s="127"/>
      <c r="G599" s="127"/>
      <c r="H599" s="127"/>
      <c r="I599" s="842">
        <f>I201</f>
        <v>1018.4</v>
      </c>
      <c r="J599" s="842">
        <f t="shared" ref="J599:AE599" si="919">SUM(J597:J598)</f>
        <v>943.40000000000009</v>
      </c>
      <c r="K599" s="842">
        <f t="shared" si="919"/>
        <v>933.4</v>
      </c>
      <c r="L599" s="842">
        <f t="shared" si="919"/>
        <v>881.6</v>
      </c>
      <c r="M599" s="842">
        <f t="shared" si="919"/>
        <v>856.8</v>
      </c>
      <c r="N599" s="842">
        <f t="shared" si="919"/>
        <v>958.09999999999991</v>
      </c>
      <c r="O599" s="919"/>
      <c r="P599" s="842"/>
      <c r="Q599" s="842"/>
      <c r="R599" s="842">
        <f t="shared" si="919"/>
        <v>846.7</v>
      </c>
      <c r="S599" s="842">
        <f t="shared" si="919"/>
        <v>716.7</v>
      </c>
      <c r="T599" s="842">
        <f t="shared" si="919"/>
        <v>595.70000000000005</v>
      </c>
      <c r="U599" s="842">
        <f t="shared" si="919"/>
        <v>489.70000000000005</v>
      </c>
      <c r="V599" s="842">
        <f t="shared" si="919"/>
        <v>389.70000000000005</v>
      </c>
      <c r="W599" s="842">
        <f t="shared" si="919"/>
        <v>357.70000000000005</v>
      </c>
      <c r="X599" s="842"/>
      <c r="Y599" s="1559"/>
      <c r="Z599" s="1559">
        <f t="shared" si="919"/>
        <v>333.70000000000005</v>
      </c>
      <c r="AA599" s="1559">
        <f t="shared" ca="1" si="919"/>
        <v>313.70000000000005</v>
      </c>
      <c r="AB599" s="1559"/>
      <c r="AC599" s="1559">
        <f t="shared" ca="1" si="919"/>
        <v>294.70000000000005</v>
      </c>
      <c r="AD599" s="842">
        <f ca="1">SUM(AD597:AD598)</f>
        <v>276.70000000000005</v>
      </c>
      <c r="AE599" s="842">
        <f t="shared" ca="1" si="919"/>
        <v>258.70000000000005</v>
      </c>
      <c r="AF599" s="842">
        <f ca="1">SUM(AF597:AF598)</f>
        <v>243.70000000000005</v>
      </c>
      <c r="AG599" s="842">
        <f t="shared" ref="AG599:AL599" ca="1" si="920">SUM(AG597:AG598)</f>
        <v>230.70000000000005</v>
      </c>
      <c r="AH599" s="842">
        <f t="shared" ca="1" si="920"/>
        <v>217.7515396075521</v>
      </c>
      <c r="AI599" s="842">
        <f t="shared" ca="1" si="920"/>
        <v>206.84431090114572</v>
      </c>
      <c r="AJ599" s="842">
        <f t="shared" ca="1" si="920"/>
        <v>195.97006754357267</v>
      </c>
      <c r="AK599" s="842">
        <f t="shared" ca="1" si="920"/>
        <v>185.12221246506624</v>
      </c>
      <c r="AL599" s="1559">
        <f t="shared" ca="1" si="920"/>
        <v>174.29546800981302</v>
      </c>
      <c r="AM599" s="1559">
        <f ca="1">SUM(AM597:AM598)</f>
        <v>163.48561205316241</v>
      </c>
      <c r="AN599" s="1559">
        <f ca="1">SUM(AN597:AN598)</f>
        <v>152.68926689539398</v>
      </c>
      <c r="AO599" s="842"/>
      <c r="AP599" s="842"/>
      <c r="AQ599" s="842"/>
      <c r="AR599" s="842"/>
      <c r="AS599" s="842"/>
      <c r="AT599" s="127"/>
      <c r="AU599" s="11"/>
      <c r="AV599" s="6"/>
      <c r="AW599" s="89"/>
      <c r="AX599" s="89"/>
      <c r="AY599" s="89"/>
      <c r="AZ599" s="89"/>
      <c r="BA599" s="89"/>
      <c r="BB599" s="89"/>
      <c r="BC599" s="89"/>
      <c r="BD599" s="89"/>
      <c r="BE599" s="89"/>
      <c r="BF599" s="89"/>
      <c r="BG599" s="89"/>
      <c r="BH599" s="98"/>
      <c r="BI599" s="89"/>
      <c r="BJ599" s="89"/>
      <c r="BK599" s="89"/>
      <c r="BL599" s="89"/>
      <c r="BM599" s="89"/>
      <c r="BN599" s="89"/>
      <c r="BO599" s="6"/>
      <c r="BP599" s="89"/>
      <c r="BQ599" s="89"/>
      <c r="BR599" s="89"/>
      <c r="BS599" s="89"/>
      <c r="BT599" s="6"/>
      <c r="BU599" s="6"/>
      <c r="BV599" s="6"/>
      <c r="BW599" s="6"/>
      <c r="BX599" s="6"/>
      <c r="BY599" s="6"/>
      <c r="BZ599" s="6"/>
      <c r="CA599" s="6"/>
      <c r="CB599" s="6"/>
      <c r="CC599" s="6"/>
      <c r="CD599" s="6"/>
      <c r="CE599" s="6"/>
      <c r="CF599" s="6"/>
      <c r="CG599" s="6"/>
      <c r="CH599" s="6"/>
      <c r="CI599" s="6"/>
      <c r="CJ599" s="6"/>
      <c r="CK599" s="6"/>
      <c r="CL599" s="6"/>
      <c r="CM599" s="6"/>
      <c r="CN599" s="6"/>
      <c r="CO599" s="11"/>
      <c r="CP599" s="11"/>
      <c r="CQ599" s="11"/>
      <c r="CR599" s="11"/>
      <c r="CS599" s="11"/>
      <c r="CT599" s="906"/>
      <c r="CU599" s="906"/>
      <c r="CV599" s="906"/>
      <c r="CW599" s="11"/>
      <c r="CX599" s="11"/>
      <c r="CY599" s="906"/>
      <c r="CZ599" s="906"/>
      <c r="DA599" s="906"/>
      <c r="DB599" s="11"/>
      <c r="DC599" s="2862"/>
      <c r="DD599" s="11"/>
      <c r="DE599" s="11"/>
      <c r="DF599" s="11"/>
      <c r="DG599" s="11"/>
      <c r="DH599" s="11"/>
      <c r="DI599" s="11"/>
      <c r="DJ599" s="11"/>
      <c r="DK599" s="11"/>
      <c r="DL599" s="11"/>
      <c r="DM599" s="11"/>
      <c r="DN599" s="11"/>
      <c r="DO599" s="11"/>
      <c r="DP599" s="11"/>
      <c r="DQ599" s="11"/>
      <c r="DR599" s="11"/>
    </row>
    <row r="600" spans="1:122">
      <c r="A600" s="178"/>
      <c r="B600" s="123"/>
      <c r="C600" s="123"/>
      <c r="D600" s="123"/>
      <c r="E600" s="123"/>
      <c r="F600" s="123"/>
      <c r="G600" s="123"/>
      <c r="H600" s="123"/>
      <c r="I600" s="123" t="s">
        <v>337</v>
      </c>
      <c r="J600" s="123"/>
      <c r="K600" s="127"/>
      <c r="L600" s="127"/>
      <c r="M600" s="127"/>
      <c r="N600" s="127"/>
      <c r="O600" s="919"/>
      <c r="P600" s="127"/>
      <c r="Q600" s="127"/>
      <c r="R600" s="127"/>
      <c r="S600" s="127"/>
      <c r="T600" s="127"/>
      <c r="U600" s="127"/>
      <c r="V600" s="127"/>
      <c r="W600" s="127"/>
      <c r="X600" s="127"/>
      <c r="Y600" s="1687"/>
      <c r="Z600" s="1687"/>
      <c r="AA600" s="1687"/>
      <c r="AB600" s="2882"/>
      <c r="AC600" s="2882"/>
      <c r="AD600" s="2882"/>
      <c r="AE600" s="2882"/>
      <c r="AF600" s="2882"/>
      <c r="AG600" s="2882"/>
      <c r="AH600" s="2882"/>
      <c r="AI600" s="2882"/>
      <c r="AJ600" s="2882"/>
      <c r="AK600" s="2882"/>
      <c r="AL600" s="2882"/>
      <c r="AM600" s="2882"/>
      <c r="AN600" s="2882"/>
      <c r="AO600" s="2882"/>
      <c r="AP600" s="2882"/>
      <c r="AQ600" s="2882"/>
      <c r="AR600" s="2882"/>
      <c r="AS600" s="2882"/>
      <c r="AT600" s="2882"/>
      <c r="AU600" s="2862"/>
      <c r="AV600" s="6"/>
      <c r="AW600" s="89"/>
      <c r="AX600" s="89"/>
      <c r="AY600" s="89"/>
      <c r="AZ600" s="89"/>
      <c r="BA600" s="89"/>
      <c r="BB600" s="89"/>
      <c r="BC600" s="89"/>
      <c r="BD600" s="89"/>
      <c r="BE600" s="89"/>
      <c r="BF600" s="89"/>
      <c r="BG600" s="89"/>
      <c r="BH600" s="98"/>
      <c r="BI600" s="89"/>
      <c r="BJ600" s="89"/>
      <c r="BK600" s="89"/>
      <c r="BL600" s="89"/>
      <c r="BM600" s="89"/>
      <c r="BN600" s="89"/>
      <c r="BO600" s="6"/>
      <c r="BP600" s="89"/>
      <c r="BQ600" s="89"/>
      <c r="BR600" s="89"/>
      <c r="BS600" s="89"/>
      <c r="BT600" s="6"/>
      <c r="BU600" s="6"/>
      <c r="BV600" s="6"/>
      <c r="BW600" s="6"/>
      <c r="BX600" s="6"/>
      <c r="BY600" s="6"/>
      <c r="BZ600" s="6"/>
      <c r="CA600" s="6"/>
      <c r="CB600" s="6"/>
      <c r="CC600" s="6"/>
      <c r="CD600" s="6"/>
      <c r="CE600" s="6"/>
      <c r="CF600" s="6"/>
      <c r="CG600" s="6"/>
      <c r="CH600" s="6"/>
      <c r="CI600" s="6"/>
      <c r="CJ600" s="6"/>
      <c r="CK600" s="6"/>
      <c r="CL600" s="6"/>
      <c r="CM600" s="6"/>
      <c r="CN600" s="6"/>
      <c r="CO600" s="11"/>
      <c r="CP600" s="11"/>
      <c r="CQ600" s="11"/>
      <c r="CR600" s="11"/>
      <c r="CS600" s="11"/>
      <c r="CT600" s="906"/>
      <c r="CU600" s="906"/>
      <c r="CV600" s="906"/>
      <c r="CW600" s="11"/>
      <c r="CX600" s="11"/>
      <c r="CY600" s="906"/>
      <c r="CZ600" s="906"/>
      <c r="DA600" s="906"/>
      <c r="DB600" s="11"/>
      <c r="DC600" s="2862"/>
      <c r="DD600" s="11"/>
      <c r="DE600" s="11"/>
      <c r="DF600" s="11"/>
      <c r="DG600" s="11"/>
      <c r="DH600" s="11"/>
      <c r="DI600" s="11"/>
      <c r="DJ600" s="11"/>
      <c r="DK600" s="11"/>
      <c r="DL600" s="11"/>
      <c r="DM600" s="11"/>
      <c r="DN600" s="11"/>
      <c r="DO600" s="11"/>
      <c r="DP600" s="11"/>
      <c r="DQ600" s="11"/>
      <c r="DR600" s="11"/>
    </row>
    <row r="601" spans="1:122">
      <c r="A601" s="3055" t="s">
        <v>1779</v>
      </c>
      <c r="B601" s="123"/>
      <c r="C601" s="123"/>
      <c r="D601" s="123"/>
      <c r="E601" s="123"/>
      <c r="F601" s="123"/>
      <c r="G601" s="123"/>
      <c r="H601" s="123"/>
      <c r="I601" s="123"/>
      <c r="J601" s="127">
        <f>I597</f>
        <v>1430.1</v>
      </c>
      <c r="K601" s="127">
        <f>J597</f>
        <v>1446.9</v>
      </c>
      <c r="L601" s="123">
        <f t="shared" ref="L601:AF601" si="921">K597</f>
        <v>1535.3</v>
      </c>
      <c r="M601" s="127">
        <f t="shared" si="921"/>
        <v>1580.5</v>
      </c>
      <c r="N601" s="123">
        <f t="shared" si="921"/>
        <v>1650.1</v>
      </c>
      <c r="O601" s="919"/>
      <c r="P601" s="123"/>
      <c r="Q601" s="123"/>
      <c r="R601" s="123">
        <f>N597</f>
        <v>1832.6</v>
      </c>
      <c r="S601" s="123">
        <f t="shared" si="921"/>
        <v>1811.7</v>
      </c>
      <c r="T601" s="123">
        <f t="shared" si="921"/>
        <v>1811.7</v>
      </c>
      <c r="U601" s="123">
        <f t="shared" si="921"/>
        <v>1811.7</v>
      </c>
      <c r="V601" s="123">
        <f t="shared" si="921"/>
        <v>1811.7</v>
      </c>
      <c r="W601" s="123">
        <f t="shared" si="921"/>
        <v>1811.7</v>
      </c>
      <c r="X601" s="123"/>
      <c r="Y601" s="1687"/>
      <c r="Z601" s="1687">
        <f>W597</f>
        <v>1811.7</v>
      </c>
      <c r="AA601" s="1687">
        <f t="shared" si="921"/>
        <v>1811.7</v>
      </c>
      <c r="AB601" s="2882"/>
      <c r="AC601" s="2882">
        <f>AA597</f>
        <v>1811.7</v>
      </c>
      <c r="AD601" s="2882">
        <f>AC597</f>
        <v>1811.7</v>
      </c>
      <c r="AE601" s="2882">
        <f t="shared" si="921"/>
        <v>1811.7</v>
      </c>
      <c r="AF601" s="2882">
        <f t="shared" si="921"/>
        <v>1811.7</v>
      </c>
      <c r="AG601" s="2882">
        <f t="shared" ref="AG601:AN601" si="922">AF597</f>
        <v>1811.7</v>
      </c>
      <c r="AH601" s="2882">
        <f t="shared" si="922"/>
        <v>1811.7</v>
      </c>
      <c r="AI601" s="2882">
        <f t="shared" si="922"/>
        <v>1811.7</v>
      </c>
      <c r="AJ601" s="2882">
        <f t="shared" si="922"/>
        <v>1811.7</v>
      </c>
      <c r="AK601" s="2882">
        <f t="shared" si="922"/>
        <v>1811.7</v>
      </c>
      <c r="AL601" s="2882">
        <f t="shared" si="922"/>
        <v>1811.7</v>
      </c>
      <c r="AM601" s="2882">
        <f t="shared" si="922"/>
        <v>1811.7</v>
      </c>
      <c r="AN601" s="2882">
        <f t="shared" si="922"/>
        <v>1811.7</v>
      </c>
      <c r="AO601" s="2882"/>
      <c r="AP601" s="2882"/>
      <c r="AQ601" s="2882"/>
      <c r="AR601" s="2882"/>
      <c r="AS601" s="2882"/>
      <c r="AT601" s="2882"/>
      <c r="AU601" s="2862"/>
      <c r="AV601" s="6"/>
      <c r="AW601" s="89"/>
      <c r="AX601" s="89"/>
      <c r="AY601" s="89"/>
      <c r="AZ601" s="89"/>
      <c r="BA601" s="89"/>
      <c r="BB601" s="89"/>
      <c r="BC601" s="89"/>
      <c r="BD601" s="89"/>
      <c r="BE601" s="89"/>
      <c r="BF601" s="89"/>
      <c r="BG601" s="89"/>
      <c r="BH601" s="98"/>
      <c r="BI601" s="89"/>
      <c r="BJ601" s="89"/>
      <c r="BK601" s="89"/>
      <c r="BL601" s="89"/>
      <c r="BM601" s="89"/>
      <c r="BN601" s="89"/>
      <c r="BO601" s="6"/>
      <c r="BP601" s="89"/>
      <c r="BQ601" s="89"/>
      <c r="BR601" s="89"/>
      <c r="BS601" s="89"/>
      <c r="BT601" s="6"/>
      <c r="BU601" s="6"/>
      <c r="BV601" s="6"/>
      <c r="BW601" s="6"/>
      <c r="BX601" s="6"/>
      <c r="BY601" s="6"/>
      <c r="BZ601" s="6"/>
      <c r="CA601" s="6"/>
      <c r="CB601" s="6"/>
      <c r="CC601" s="6"/>
      <c r="CD601" s="6"/>
      <c r="CE601" s="6"/>
      <c r="CF601" s="6"/>
      <c r="CG601" s="6"/>
      <c r="CH601" s="6"/>
      <c r="CI601" s="6"/>
      <c r="CJ601" s="6"/>
      <c r="CK601" s="6"/>
      <c r="CL601" s="6"/>
      <c r="CM601" s="6"/>
      <c r="CN601" s="6"/>
      <c r="CO601" s="11"/>
      <c r="CP601" s="11"/>
      <c r="CQ601" s="11"/>
      <c r="CR601" s="11"/>
      <c r="CS601" s="11"/>
      <c r="CT601" s="906"/>
      <c r="CU601" s="906"/>
      <c r="CV601" s="906"/>
      <c r="CW601" s="11"/>
      <c r="CX601" s="11"/>
      <c r="CY601" s="906"/>
      <c r="CZ601" s="906"/>
      <c r="DA601" s="906"/>
      <c r="DB601" s="11"/>
      <c r="DC601" s="2862"/>
      <c r="DD601" s="11"/>
      <c r="DE601" s="11"/>
      <c r="DF601" s="11"/>
      <c r="DG601" s="11"/>
      <c r="DH601" s="11"/>
      <c r="DI601" s="11"/>
      <c r="DJ601" s="11"/>
      <c r="DK601" s="11"/>
      <c r="DL601" s="11"/>
      <c r="DM601" s="11"/>
      <c r="DN601" s="11"/>
      <c r="DO601" s="11"/>
      <c r="DP601" s="11"/>
      <c r="DQ601" s="11"/>
      <c r="DR601" s="11"/>
    </row>
    <row r="602" spans="1:122">
      <c r="A602" s="13" t="s">
        <v>514</v>
      </c>
      <c r="B602" s="123"/>
      <c r="C602" s="123"/>
      <c r="D602" s="123"/>
      <c r="E602" s="123"/>
      <c r="F602" s="123"/>
      <c r="G602" s="123"/>
      <c r="H602" s="123"/>
      <c r="I602" s="123"/>
      <c r="J602" s="228">
        <v>0</v>
      </c>
      <c r="K602" s="228">
        <v>0</v>
      </c>
      <c r="L602" s="228">
        <v>0</v>
      </c>
      <c r="M602" s="228">
        <v>0</v>
      </c>
      <c r="N602" s="228">
        <v>0</v>
      </c>
      <c r="O602" s="919"/>
      <c r="P602" s="228"/>
      <c r="Q602" s="228"/>
      <c r="R602" s="228">
        <v>0</v>
      </c>
      <c r="S602" s="228">
        <v>0</v>
      </c>
      <c r="T602" s="228">
        <v>0</v>
      </c>
      <c r="U602" s="228">
        <v>0</v>
      </c>
      <c r="V602" s="228">
        <v>0</v>
      </c>
      <c r="W602" s="228">
        <v>0</v>
      </c>
      <c r="X602" s="228"/>
      <c r="Y602" s="1722"/>
      <c r="Z602" s="1722">
        <v>0</v>
      </c>
      <c r="AA602" s="1722">
        <v>0</v>
      </c>
      <c r="AB602" s="3058"/>
      <c r="AC602" s="3058">
        <v>0</v>
      </c>
      <c r="AD602" s="3058">
        <v>0</v>
      </c>
      <c r="AE602" s="3058">
        <v>0</v>
      </c>
      <c r="AF602" s="3058">
        <v>0</v>
      </c>
      <c r="AG602" s="3058">
        <f t="shared" ref="AG602:AN602" si="923">AF602</f>
        <v>0</v>
      </c>
      <c r="AH602" s="3058">
        <f t="shared" si="923"/>
        <v>0</v>
      </c>
      <c r="AI602" s="3058">
        <f t="shared" si="923"/>
        <v>0</v>
      </c>
      <c r="AJ602" s="3058">
        <f t="shared" si="923"/>
        <v>0</v>
      </c>
      <c r="AK602" s="3058">
        <f t="shared" si="923"/>
        <v>0</v>
      </c>
      <c r="AL602" s="3058">
        <f t="shared" si="923"/>
        <v>0</v>
      </c>
      <c r="AM602" s="3058">
        <f t="shared" si="923"/>
        <v>0</v>
      </c>
      <c r="AN602" s="3058">
        <f t="shared" si="923"/>
        <v>0</v>
      </c>
      <c r="AO602" s="3058"/>
      <c r="AP602" s="3058"/>
      <c r="AQ602" s="3058"/>
      <c r="AR602" s="3058"/>
      <c r="AS602" s="3058"/>
      <c r="AT602" s="2882"/>
      <c r="AU602" s="2862"/>
      <c r="AV602" s="11"/>
      <c r="AW602" s="98"/>
      <c r="AX602" s="98"/>
      <c r="AY602" s="98"/>
      <c r="AZ602" s="98"/>
      <c r="BA602" s="98"/>
      <c r="BB602" s="89"/>
      <c r="BC602" s="89"/>
      <c r="BD602" s="89"/>
      <c r="BE602" s="89"/>
      <c r="BF602" s="89"/>
      <c r="BG602" s="89"/>
      <c r="BH602" s="98"/>
      <c r="BI602" s="89"/>
      <c r="BJ602" s="89"/>
      <c r="BK602" s="89"/>
      <c r="BL602" s="89"/>
      <c r="BM602" s="89"/>
      <c r="BN602" s="89"/>
      <c r="BO602" s="6"/>
      <c r="BP602" s="89"/>
      <c r="BQ602" s="89"/>
      <c r="BR602" s="89"/>
      <c r="BS602" s="89"/>
      <c r="BT602" s="6"/>
      <c r="BU602" s="6"/>
      <c r="BV602" s="6"/>
      <c r="BW602" s="6"/>
      <c r="BX602" s="6"/>
      <c r="BY602" s="6"/>
      <c r="BZ602" s="6"/>
      <c r="CA602" s="6"/>
      <c r="CB602" s="6"/>
      <c r="CC602" s="6"/>
      <c r="CD602" s="6"/>
      <c r="CE602" s="6"/>
      <c r="CF602" s="6"/>
      <c r="CG602" s="6"/>
      <c r="CH602" s="6"/>
      <c r="CI602" s="6"/>
      <c r="CJ602" s="6"/>
      <c r="CK602" s="6"/>
      <c r="CL602" s="6"/>
      <c r="CM602" s="6"/>
      <c r="CN602" s="6"/>
      <c r="CO602" s="11"/>
      <c r="CP602" s="11"/>
      <c r="CQ602" s="11"/>
      <c r="CR602" s="11"/>
      <c r="CS602" s="11"/>
      <c r="CT602" s="906"/>
      <c r="CU602" s="906"/>
      <c r="CV602" s="906"/>
      <c r="CW602" s="11"/>
      <c r="CX602" s="11"/>
      <c r="CY602" s="906"/>
      <c r="CZ602" s="906"/>
      <c r="DA602" s="906"/>
      <c r="DB602" s="11"/>
      <c r="DC602" s="2862"/>
      <c r="DD602" s="11"/>
      <c r="DE602" s="11"/>
      <c r="DF602" s="11"/>
      <c r="DG602" s="11"/>
      <c r="DH602" s="11"/>
      <c r="DI602" s="11"/>
      <c r="DJ602" s="11"/>
      <c r="DK602" s="11"/>
      <c r="DL602" s="11"/>
      <c r="DM602" s="11"/>
      <c r="DN602" s="11"/>
      <c r="DO602" s="11"/>
      <c r="DP602" s="11"/>
      <c r="DQ602" s="11"/>
      <c r="DR602" s="11"/>
    </row>
    <row r="603" spans="1:122">
      <c r="A603" s="13" t="s">
        <v>515</v>
      </c>
      <c r="B603" s="123"/>
      <c r="C603" s="123"/>
      <c r="D603" s="123"/>
      <c r="E603" s="123"/>
      <c r="F603" s="123"/>
      <c r="G603" s="123"/>
      <c r="H603" s="123"/>
      <c r="I603" s="123"/>
      <c r="J603" s="228">
        <v>0</v>
      </c>
      <c r="K603" s="228">
        <v>0</v>
      </c>
      <c r="L603" s="228">
        <v>0</v>
      </c>
      <c r="M603" s="228">
        <v>0</v>
      </c>
      <c r="N603" s="228">
        <v>0</v>
      </c>
      <c r="O603" s="919"/>
      <c r="P603" s="228"/>
      <c r="Q603" s="228"/>
      <c r="R603" s="228">
        <v>0</v>
      </c>
      <c r="S603" s="228">
        <v>0</v>
      </c>
      <c r="T603" s="228">
        <v>0</v>
      </c>
      <c r="U603" s="228">
        <v>0</v>
      </c>
      <c r="V603" s="228">
        <v>0</v>
      </c>
      <c r="W603" s="228">
        <v>0</v>
      </c>
      <c r="X603" s="228"/>
      <c r="Y603" s="1722"/>
      <c r="Z603" s="1722">
        <v>0</v>
      </c>
      <c r="AA603" s="1722">
        <v>0</v>
      </c>
      <c r="AB603" s="3058"/>
      <c r="AC603" s="3058">
        <v>0</v>
      </c>
      <c r="AD603" s="3058">
        <v>0</v>
      </c>
      <c r="AE603" s="3058">
        <v>0</v>
      </c>
      <c r="AF603" s="3058">
        <v>0</v>
      </c>
      <c r="AG603" s="3058">
        <v>0</v>
      </c>
      <c r="AH603" s="3058">
        <v>0</v>
      </c>
      <c r="AI603" s="3058">
        <v>0</v>
      </c>
      <c r="AJ603" s="3058">
        <v>0</v>
      </c>
      <c r="AK603" s="3058">
        <v>0</v>
      </c>
      <c r="AL603" s="3058">
        <v>0</v>
      </c>
      <c r="AM603" s="3058">
        <v>0</v>
      </c>
      <c r="AN603" s="3058">
        <v>0</v>
      </c>
      <c r="AO603" s="3058"/>
      <c r="AP603" s="3058"/>
      <c r="AQ603" s="3058"/>
      <c r="AR603" s="3058"/>
      <c r="AS603" s="3058"/>
      <c r="AT603" s="2882"/>
      <c r="AU603" s="2862"/>
      <c r="AV603" s="6"/>
      <c r="AW603" s="89"/>
      <c r="AX603" s="89"/>
      <c r="AY603" s="89"/>
      <c r="AZ603" s="89"/>
      <c r="BA603" s="89"/>
      <c r="BB603" s="89"/>
      <c r="BC603" s="89"/>
      <c r="BD603" s="89"/>
      <c r="BE603" s="89"/>
      <c r="BF603" s="89"/>
      <c r="BG603" s="89"/>
      <c r="BH603" s="98"/>
      <c r="BI603" s="89"/>
      <c r="BJ603" s="89"/>
      <c r="BK603" s="89"/>
      <c r="BL603" s="89"/>
      <c r="BM603" s="89"/>
      <c r="BN603" s="89"/>
      <c r="BO603" s="6"/>
      <c r="BP603" s="89"/>
      <c r="BQ603" s="89"/>
      <c r="BR603" s="89"/>
      <c r="BS603" s="89"/>
      <c r="BT603" s="6"/>
      <c r="BU603" s="6"/>
      <c r="BV603" s="6"/>
      <c r="BW603" s="6"/>
      <c r="BX603" s="6"/>
      <c r="BY603" s="6"/>
      <c r="BZ603" s="6"/>
      <c r="CA603" s="6"/>
      <c r="CB603" s="6"/>
      <c r="CC603" s="6"/>
      <c r="CD603" s="6"/>
      <c r="CE603" s="6"/>
      <c r="CF603" s="6"/>
      <c r="CG603" s="6"/>
      <c r="CH603" s="6"/>
      <c r="CI603" s="6"/>
      <c r="CJ603" s="6"/>
      <c r="CK603" s="6"/>
      <c r="CL603" s="6"/>
      <c r="CM603" s="6"/>
      <c r="CN603" s="6"/>
      <c r="CO603" s="11"/>
      <c r="CP603" s="11"/>
      <c r="CQ603" s="11"/>
      <c r="CR603" s="11"/>
      <c r="CS603" s="11"/>
      <c r="CT603" s="906"/>
      <c r="CU603" s="906"/>
      <c r="CV603" s="906"/>
      <c r="CW603" s="11"/>
      <c r="CX603" s="11"/>
      <c r="CY603" s="906"/>
      <c r="CZ603" s="906"/>
      <c r="DA603" s="906"/>
      <c r="DB603" s="11"/>
      <c r="DC603" s="2862"/>
      <c r="DD603" s="11"/>
      <c r="DE603" s="11"/>
      <c r="DF603" s="11"/>
      <c r="DG603" s="11"/>
      <c r="DH603" s="11"/>
      <c r="DI603" s="11"/>
      <c r="DJ603" s="11"/>
      <c r="DK603" s="11"/>
      <c r="DL603" s="11"/>
      <c r="DM603" s="11"/>
      <c r="DN603" s="11"/>
      <c r="DO603" s="11"/>
      <c r="DP603" s="11"/>
      <c r="DQ603" s="11"/>
      <c r="DR603" s="11"/>
    </row>
    <row r="604" spans="1:122">
      <c r="A604" s="216" t="s">
        <v>677</v>
      </c>
      <c r="B604" s="123"/>
      <c r="C604" s="123"/>
      <c r="D604" s="123"/>
      <c r="E604" s="123"/>
      <c r="F604" s="123"/>
      <c r="G604" s="123"/>
      <c r="H604" s="123"/>
      <c r="I604" s="123"/>
      <c r="J604" s="235">
        <f>J605-J603-J602-J601</f>
        <v>16.800000000000182</v>
      </c>
      <c r="K604" s="235">
        <f>K605-K603-K602-K601</f>
        <v>88.399999999999864</v>
      </c>
      <c r="L604" s="235">
        <f>L605-L603-L602-L601</f>
        <v>45.200000000000045</v>
      </c>
      <c r="M604" s="235">
        <f>M605-M603-M602-M601</f>
        <v>69.599999999999909</v>
      </c>
      <c r="N604" s="235">
        <f>N605-N603-N602-N601</f>
        <v>182.5</v>
      </c>
      <c r="O604" s="919"/>
      <c r="P604" s="165"/>
      <c r="Q604" s="165"/>
      <c r="R604" s="235">
        <f>R605-R603-R602-R601</f>
        <v>-20.899999999999864</v>
      </c>
      <c r="S604" s="165">
        <v>0</v>
      </c>
      <c r="T604" s="165">
        <v>0</v>
      </c>
      <c r="U604" s="165">
        <v>0</v>
      </c>
      <c r="V604" s="165">
        <v>0</v>
      </c>
      <c r="W604" s="165">
        <v>0</v>
      </c>
      <c r="X604" s="165"/>
      <c r="Y604" s="1722"/>
      <c r="Z604" s="1722">
        <v>0</v>
      </c>
      <c r="AA604" s="1722">
        <v>0</v>
      </c>
      <c r="AB604" s="3058"/>
      <c r="AC604" s="3058">
        <v>0</v>
      </c>
      <c r="AD604" s="3058">
        <v>0</v>
      </c>
      <c r="AE604" s="3058">
        <v>0</v>
      </c>
      <c r="AF604" s="3058">
        <v>0</v>
      </c>
      <c r="AG604" s="3058">
        <v>0</v>
      </c>
      <c r="AH604" s="3058">
        <v>0</v>
      </c>
      <c r="AI604" s="3058">
        <v>0</v>
      </c>
      <c r="AJ604" s="3058">
        <v>0</v>
      </c>
      <c r="AK604" s="3058">
        <v>0</v>
      </c>
      <c r="AL604" s="3058">
        <v>0</v>
      </c>
      <c r="AM604" s="3058">
        <v>0</v>
      </c>
      <c r="AN604" s="3058">
        <v>0</v>
      </c>
      <c r="AO604" s="3058"/>
      <c r="AP604" s="3058"/>
      <c r="AQ604" s="3058"/>
      <c r="AR604" s="3058"/>
      <c r="AS604" s="3058"/>
      <c r="AT604" s="2882"/>
      <c r="AU604" s="2862"/>
      <c r="AV604" s="6"/>
      <c r="AW604" s="89"/>
      <c r="AX604" s="89"/>
      <c r="AY604" s="89"/>
      <c r="AZ604" s="89"/>
      <c r="BA604" s="89"/>
      <c r="BB604" s="89"/>
      <c r="BC604" s="89"/>
      <c r="BD604" s="89"/>
      <c r="BE604" s="89"/>
      <c r="BF604" s="89"/>
      <c r="BG604" s="89"/>
      <c r="BH604" s="98"/>
      <c r="BI604" s="89"/>
      <c r="BJ604" s="89"/>
      <c r="BK604" s="89"/>
      <c r="BL604" s="89"/>
      <c r="BM604" s="89"/>
      <c r="BN604" s="89"/>
      <c r="BO604" s="6"/>
      <c r="BP604" s="89"/>
      <c r="BQ604" s="89"/>
      <c r="BR604" s="89"/>
      <c r="BS604" s="89"/>
      <c r="BT604" s="6"/>
      <c r="BU604" s="6"/>
      <c r="BV604" s="6"/>
      <c r="BW604" s="6"/>
      <c r="BX604" s="6"/>
      <c r="BY604" s="6"/>
      <c r="BZ604" s="6"/>
      <c r="CA604" s="6"/>
      <c r="CB604" s="6"/>
      <c r="CC604" s="6"/>
      <c r="CD604" s="6"/>
      <c r="CE604" s="6"/>
      <c r="CF604" s="6"/>
      <c r="CG604" s="6"/>
      <c r="CH604" s="6"/>
      <c r="CI604" s="6"/>
      <c r="CJ604" s="6"/>
      <c r="CK604" s="6"/>
      <c r="CL604" s="6"/>
      <c r="CM604" s="6"/>
      <c r="CN604" s="6"/>
      <c r="CO604" s="11"/>
      <c r="CP604" s="11"/>
      <c r="CQ604" s="11"/>
      <c r="CR604" s="11"/>
      <c r="CS604" s="11"/>
      <c r="CT604" s="906"/>
      <c r="CU604" s="906"/>
      <c r="CV604" s="906"/>
      <c r="CW604" s="11"/>
      <c r="CX604" s="11"/>
      <c r="CY604" s="906"/>
      <c r="CZ604" s="906"/>
      <c r="DA604" s="906"/>
      <c r="DB604" s="11"/>
      <c r="DC604" s="2862"/>
      <c r="DD604" s="11"/>
      <c r="DE604" s="11"/>
      <c r="DF604" s="11"/>
      <c r="DG604" s="11"/>
      <c r="DH604" s="11"/>
      <c r="DI604" s="11"/>
      <c r="DJ604" s="11"/>
      <c r="DK604" s="11"/>
      <c r="DL604" s="11"/>
      <c r="DM604" s="11"/>
      <c r="DN604" s="11"/>
      <c r="DO604" s="11"/>
      <c r="DP604" s="11"/>
      <c r="DQ604" s="11"/>
      <c r="DR604" s="11"/>
    </row>
    <row r="605" spans="1:122">
      <c r="A605" s="3055" t="s">
        <v>1780</v>
      </c>
      <c r="B605" s="123"/>
      <c r="C605" s="123"/>
      <c r="D605" s="123"/>
      <c r="E605" s="123"/>
      <c r="F605" s="123"/>
      <c r="G605" s="123"/>
      <c r="H605" s="123"/>
      <c r="I605" s="123"/>
      <c r="J605" s="123">
        <f>J597</f>
        <v>1446.9</v>
      </c>
      <c r="K605" s="123">
        <f>K597</f>
        <v>1535.3</v>
      </c>
      <c r="L605" s="123">
        <f>L597</f>
        <v>1580.5</v>
      </c>
      <c r="M605" s="123">
        <f>M597</f>
        <v>1650.1</v>
      </c>
      <c r="N605" s="123">
        <f>N597</f>
        <v>1832.6</v>
      </c>
      <c r="O605" s="919"/>
      <c r="P605" s="123"/>
      <c r="Q605" s="123"/>
      <c r="R605" s="123">
        <f>R597</f>
        <v>1811.7</v>
      </c>
      <c r="S605" s="123">
        <f t="shared" ref="S605:AF605" si="924">SUM(S601:S604)</f>
        <v>1811.7</v>
      </c>
      <c r="T605" s="123">
        <f t="shared" si="924"/>
        <v>1811.7</v>
      </c>
      <c r="U605" s="123">
        <f t="shared" si="924"/>
        <v>1811.7</v>
      </c>
      <c r="V605" s="123">
        <f t="shared" si="924"/>
        <v>1811.7</v>
      </c>
      <c r="W605" s="123">
        <f t="shared" si="924"/>
        <v>1811.7</v>
      </c>
      <c r="X605" s="123"/>
      <c r="Y605" s="1687"/>
      <c r="Z605" s="1687">
        <f t="shared" si="924"/>
        <v>1811.7</v>
      </c>
      <c r="AA605" s="1687">
        <f t="shared" si="924"/>
        <v>1811.7</v>
      </c>
      <c r="AB605" s="2882"/>
      <c r="AC605" s="2882">
        <f>SUM(AC601:AC604)</f>
        <v>1811.7</v>
      </c>
      <c r="AD605" s="2882">
        <f t="shared" si="924"/>
        <v>1811.7</v>
      </c>
      <c r="AE605" s="2882">
        <f t="shared" si="924"/>
        <v>1811.7</v>
      </c>
      <c r="AF605" s="2882">
        <f t="shared" si="924"/>
        <v>1811.7</v>
      </c>
      <c r="AG605" s="2882">
        <f t="shared" ref="AG605:AL605" si="925">SUM(AG601:AG604)</f>
        <v>1811.7</v>
      </c>
      <c r="AH605" s="2882">
        <f t="shared" si="925"/>
        <v>1811.7</v>
      </c>
      <c r="AI605" s="2882">
        <f t="shared" si="925"/>
        <v>1811.7</v>
      </c>
      <c r="AJ605" s="2882">
        <f t="shared" si="925"/>
        <v>1811.7</v>
      </c>
      <c r="AK605" s="2882">
        <f t="shared" si="925"/>
        <v>1811.7</v>
      </c>
      <c r="AL605" s="2882">
        <f t="shared" si="925"/>
        <v>1811.7</v>
      </c>
      <c r="AM605" s="2882">
        <f>SUM(AM601:AM604)</f>
        <v>1811.7</v>
      </c>
      <c r="AN605" s="2882">
        <f>SUM(AN601:AN604)</f>
        <v>1811.7</v>
      </c>
      <c r="AO605" s="2882"/>
      <c r="AP605" s="2882"/>
      <c r="AQ605" s="2882"/>
      <c r="AR605" s="2882"/>
      <c r="AS605" s="2882"/>
      <c r="AT605" s="2882"/>
      <c r="AU605" s="2862"/>
      <c r="AV605" s="6"/>
      <c r="AW605" s="89"/>
      <c r="AX605" s="89"/>
      <c r="AY605" s="89"/>
      <c r="AZ605" s="89"/>
      <c r="BA605" s="89"/>
      <c r="BB605" s="89"/>
      <c r="BC605" s="89"/>
      <c r="BD605" s="89"/>
      <c r="BE605" s="89"/>
      <c r="BF605" s="89"/>
      <c r="BG605" s="89"/>
      <c r="BH605" s="98"/>
      <c r="BI605" s="89"/>
      <c r="BJ605" s="89"/>
      <c r="BK605" s="89"/>
      <c r="BL605" s="89"/>
      <c r="BM605" s="89"/>
      <c r="BN605" s="89"/>
      <c r="BO605" s="6"/>
      <c r="BP605" s="89"/>
      <c r="BQ605" s="89"/>
      <c r="BR605" s="89"/>
      <c r="BS605" s="89"/>
      <c r="BT605" s="6"/>
      <c r="BU605" s="6"/>
      <c r="BV605" s="6"/>
      <c r="BW605" s="6"/>
      <c r="BX605" s="6"/>
      <c r="BY605" s="6"/>
      <c r="BZ605" s="6"/>
      <c r="CA605" s="6"/>
      <c r="CB605" s="6"/>
      <c r="CC605" s="6"/>
      <c r="CD605" s="6"/>
      <c r="CE605" s="6"/>
      <c r="CF605" s="6"/>
      <c r="CG605" s="6"/>
      <c r="CH605" s="6"/>
      <c r="CI605" s="6"/>
      <c r="CJ605" s="6"/>
      <c r="CK605" s="6"/>
      <c r="CL605" s="6"/>
      <c r="CM605" s="6"/>
      <c r="CN605" s="6"/>
      <c r="CO605" s="11"/>
      <c r="CP605" s="11"/>
      <c r="CQ605" s="11"/>
      <c r="CR605" s="11"/>
      <c r="CS605" s="11"/>
      <c r="CT605" s="906"/>
      <c r="CU605" s="906"/>
      <c r="CV605" s="906"/>
      <c r="CW605" s="11"/>
      <c r="CX605" s="11"/>
      <c r="CY605" s="906"/>
      <c r="CZ605" s="906"/>
      <c r="DA605" s="906"/>
      <c r="DB605" s="11"/>
      <c r="DC605" s="2862"/>
      <c r="DD605" s="11"/>
      <c r="DE605" s="11"/>
      <c r="DF605" s="11"/>
      <c r="DG605" s="11"/>
      <c r="DH605" s="11"/>
      <c r="DI605" s="11"/>
      <c r="DJ605" s="11"/>
      <c r="DK605" s="11"/>
      <c r="DL605" s="11"/>
      <c r="DM605" s="11"/>
      <c r="DN605" s="11"/>
      <c r="DO605" s="11"/>
      <c r="DP605" s="11"/>
      <c r="DQ605" s="11"/>
      <c r="DR605" s="11"/>
    </row>
    <row r="606" spans="1:122">
      <c r="A606" s="223" t="s">
        <v>458</v>
      </c>
      <c r="B606" s="123"/>
      <c r="C606" s="123"/>
      <c r="D606" s="123"/>
      <c r="E606" s="123"/>
      <c r="F606" s="123"/>
      <c r="G606" s="123"/>
      <c r="H606" s="123"/>
      <c r="I606" s="123"/>
      <c r="J606" s="229">
        <f t="shared" ref="J606:AF606" si="926">(J605+J601)/2</f>
        <v>1438.5</v>
      </c>
      <c r="K606" s="229">
        <f t="shared" si="926"/>
        <v>1491.1</v>
      </c>
      <c r="L606" s="229">
        <f t="shared" si="926"/>
        <v>1557.9</v>
      </c>
      <c r="M606" s="230">
        <f t="shared" si="926"/>
        <v>1615.3</v>
      </c>
      <c r="N606" s="229">
        <f t="shared" si="926"/>
        <v>1741.35</v>
      </c>
      <c r="O606" s="919"/>
      <c r="P606" s="229"/>
      <c r="Q606" s="229"/>
      <c r="R606" s="229">
        <f t="shared" si="926"/>
        <v>1822.15</v>
      </c>
      <c r="S606" s="229">
        <f t="shared" si="926"/>
        <v>1811.7</v>
      </c>
      <c r="T606" s="229">
        <f t="shared" si="926"/>
        <v>1811.7</v>
      </c>
      <c r="U606" s="229">
        <f t="shared" si="926"/>
        <v>1811.7</v>
      </c>
      <c r="V606" s="229">
        <f t="shared" si="926"/>
        <v>1811.7</v>
      </c>
      <c r="W606" s="229">
        <f t="shared" si="926"/>
        <v>1811.7</v>
      </c>
      <c r="X606" s="229"/>
      <c r="Y606" s="2162"/>
      <c r="Z606" s="2162">
        <f t="shared" si="926"/>
        <v>1811.7</v>
      </c>
      <c r="AA606" s="2162">
        <f>(AA605+AA601)/2</f>
        <v>1811.7</v>
      </c>
      <c r="AB606" s="3059"/>
      <c r="AC606" s="3059">
        <f>(AC605+AC601)/2</f>
        <v>1811.7</v>
      </c>
      <c r="AD606" s="3059">
        <f t="shared" si="926"/>
        <v>1811.7</v>
      </c>
      <c r="AE606" s="3059">
        <f t="shared" si="926"/>
        <v>1811.7</v>
      </c>
      <c r="AF606" s="3059">
        <f t="shared" si="926"/>
        <v>1811.7</v>
      </c>
      <c r="AG606" s="3059">
        <f t="shared" ref="AG606:AL606" si="927">(AG605+AG601)/2</f>
        <v>1811.7</v>
      </c>
      <c r="AH606" s="3059">
        <f t="shared" si="927"/>
        <v>1811.7</v>
      </c>
      <c r="AI606" s="3059">
        <f t="shared" si="927"/>
        <v>1811.7</v>
      </c>
      <c r="AJ606" s="3059">
        <f t="shared" si="927"/>
        <v>1811.7</v>
      </c>
      <c r="AK606" s="3059">
        <f t="shared" si="927"/>
        <v>1811.7</v>
      </c>
      <c r="AL606" s="3059">
        <f t="shared" si="927"/>
        <v>1811.7</v>
      </c>
      <c r="AM606" s="3059">
        <f>(AM605+AM601)/2</f>
        <v>1811.7</v>
      </c>
      <c r="AN606" s="3059">
        <f>(AN605+AN601)/2</f>
        <v>1811.7</v>
      </c>
      <c r="AO606" s="3059"/>
      <c r="AP606" s="3059"/>
      <c r="AQ606" s="3059"/>
      <c r="AR606" s="3059"/>
      <c r="AS606" s="3059"/>
      <c r="AT606" s="3059"/>
      <c r="AU606" s="2862"/>
      <c r="AV606" s="6"/>
      <c r="AW606" s="89"/>
      <c r="AX606" s="89"/>
      <c r="AY606" s="89"/>
      <c r="AZ606" s="89"/>
      <c r="BA606" s="89"/>
      <c r="BB606" s="89"/>
      <c r="BC606" s="89"/>
      <c r="BD606" s="89"/>
      <c r="BE606" s="89"/>
      <c r="BF606" s="89"/>
      <c r="BG606" s="89"/>
      <c r="BH606" s="98"/>
      <c r="BI606" s="89"/>
      <c r="BJ606" s="89"/>
      <c r="BK606" s="89"/>
      <c r="BL606" s="89"/>
      <c r="BM606" s="89"/>
      <c r="BN606" s="89"/>
      <c r="BO606" s="6"/>
      <c r="BP606" s="89"/>
      <c r="BQ606" s="89"/>
      <c r="BR606" s="89"/>
      <c r="BS606" s="89"/>
      <c r="BT606" s="6"/>
      <c r="BU606" s="6"/>
      <c r="BV606" s="6"/>
      <c r="BW606" s="6"/>
      <c r="BX606" s="6"/>
      <c r="BY606" s="6"/>
      <c r="BZ606" s="6"/>
      <c r="CA606" s="6"/>
      <c r="CB606" s="6"/>
      <c r="CC606" s="6"/>
      <c r="CD606" s="6"/>
      <c r="CE606" s="6"/>
      <c r="CF606" s="6"/>
      <c r="CG606" s="6"/>
      <c r="CH606" s="6"/>
      <c r="CI606" s="6"/>
      <c r="CJ606" s="6"/>
      <c r="CK606" s="6"/>
      <c r="CL606" s="6"/>
      <c r="CM606" s="6"/>
      <c r="CN606" s="6"/>
      <c r="CO606" s="11"/>
      <c r="CP606" s="11"/>
      <c r="CQ606" s="11"/>
      <c r="CR606" s="11"/>
      <c r="CS606" s="11"/>
      <c r="CT606" s="906"/>
      <c r="CU606" s="906"/>
      <c r="CV606" s="906"/>
      <c r="CW606" s="11"/>
      <c r="CX606" s="11"/>
      <c r="CY606" s="906"/>
      <c r="CZ606" s="906"/>
      <c r="DA606" s="906"/>
      <c r="DB606" s="11"/>
      <c r="DC606" s="2862"/>
      <c r="DD606" s="11"/>
      <c r="DE606" s="11"/>
      <c r="DF606" s="11"/>
      <c r="DG606" s="11"/>
      <c r="DH606" s="11"/>
      <c r="DI606" s="11"/>
      <c r="DJ606" s="11"/>
      <c r="DK606" s="11"/>
      <c r="DL606" s="11"/>
      <c r="DM606" s="11"/>
      <c r="DN606" s="11"/>
      <c r="DO606" s="11"/>
      <c r="DP606" s="11"/>
      <c r="DQ606" s="11"/>
      <c r="DR606" s="11"/>
    </row>
    <row r="607" spans="1:122">
      <c r="A607" s="216" t="s">
        <v>459</v>
      </c>
      <c r="B607" s="123"/>
      <c r="C607" s="123"/>
      <c r="D607" s="123"/>
      <c r="E607" s="123"/>
      <c r="F607" s="123"/>
      <c r="G607" s="123"/>
      <c r="H607" s="123"/>
      <c r="I607" s="123"/>
      <c r="J607" s="236">
        <f>J606/J611</f>
        <v>-17.119904790241005</v>
      </c>
      <c r="K607" s="236">
        <f>K606/K611</f>
        <v>-15.555706245338051</v>
      </c>
      <c r="L607" s="236">
        <f t="shared" ref="L607:AF607" si="928">L606/L611</f>
        <v>-17.845360824742265</v>
      </c>
      <c r="M607" s="237">
        <f t="shared" si="928"/>
        <v>-19.819631901840491</v>
      </c>
      <c r="N607" s="236">
        <f t="shared" si="928"/>
        <v>-16.505687203791467</v>
      </c>
      <c r="O607" s="919"/>
      <c r="P607" s="236"/>
      <c r="Q607" s="236"/>
      <c r="R607" s="236">
        <f t="shared" si="928"/>
        <v>-14.016538461538461</v>
      </c>
      <c r="S607" s="236">
        <f t="shared" si="928"/>
        <v>-13.936153846153847</v>
      </c>
      <c r="T607" s="236">
        <f t="shared" si="928"/>
        <v>-14.972727272727273</v>
      </c>
      <c r="U607" s="236">
        <f t="shared" si="928"/>
        <v>-17.091509433962266</v>
      </c>
      <c r="V607" s="236">
        <f t="shared" si="928"/>
        <v>-18.117000000000001</v>
      </c>
      <c r="W607" s="236">
        <f t="shared" si="928"/>
        <v>-56.615624999999987</v>
      </c>
      <c r="X607" s="236"/>
      <c r="Y607" s="2244"/>
      <c r="Z607" s="2244">
        <f>Z606/Z611</f>
        <v>-75.487499999999997</v>
      </c>
      <c r="AA607" s="2244">
        <f ca="1">AA606/AA611</f>
        <v>-90.585000000000008</v>
      </c>
      <c r="AB607" s="2244"/>
      <c r="AC607" s="2244">
        <f>AC606/AC611</f>
        <v>-95.352631578947367</v>
      </c>
      <c r="AD607" s="237">
        <f t="shared" si="928"/>
        <v>-100.65</v>
      </c>
      <c r="AE607" s="237">
        <f t="shared" ca="1" si="928"/>
        <v>-100.65</v>
      </c>
      <c r="AF607" s="237">
        <f t="shared" ca="1" si="928"/>
        <v>-120.78000000000004</v>
      </c>
      <c r="AG607" s="237">
        <f t="shared" ref="AG607:AL607" ca="1" si="929">AG606/AG611</f>
        <v>-139.3615384615384</v>
      </c>
      <c r="AH607" s="237">
        <f t="shared" ca="1" si="929"/>
        <v>-139.91624834846363</v>
      </c>
      <c r="AI607" s="237">
        <f t="shared" ca="1" si="929"/>
        <v>-166.10085373344126</v>
      </c>
      <c r="AJ607" s="237">
        <f t="shared" ca="1" si="929"/>
        <v>-166.60469518904813</v>
      </c>
      <c r="AK607" s="237">
        <f t="shared" ca="1" si="929"/>
        <v>-167.00997449621451</v>
      </c>
      <c r="AL607" s="2244">
        <f t="shared" ca="1" si="929"/>
        <v>-167.3356203693302</v>
      </c>
      <c r="AM607" s="2244">
        <f ca="1">AM606/AM611</f>
        <v>-167.59705284374175</v>
      </c>
      <c r="AN607" s="2244">
        <f ca="1">AN606/AN611</f>
        <v>-167.80678771615632</v>
      </c>
      <c r="AO607" s="237"/>
      <c r="AP607" s="237"/>
      <c r="AQ607" s="237"/>
      <c r="AR607" s="237"/>
      <c r="AS607" s="237"/>
      <c r="AT607" s="237"/>
      <c r="AU607" s="11"/>
      <c r="AV607" s="6"/>
      <c r="AW607" s="89"/>
      <c r="AX607" s="89"/>
      <c r="AY607" s="89"/>
      <c r="AZ607" s="89"/>
      <c r="BA607" s="89"/>
      <c r="BB607" s="89"/>
      <c r="BC607" s="89"/>
      <c r="BD607" s="89"/>
      <c r="BE607" s="89"/>
      <c r="BF607" s="89"/>
      <c r="BG607" s="89"/>
      <c r="BH607" s="98"/>
      <c r="BI607" s="89"/>
      <c r="BJ607" s="89"/>
      <c r="BK607" s="89"/>
      <c r="BL607" s="89"/>
      <c r="BM607" s="89"/>
      <c r="BN607" s="89"/>
      <c r="BO607" s="6"/>
      <c r="BP607" s="89"/>
      <c r="BQ607" s="89"/>
      <c r="BR607" s="89"/>
      <c r="BS607" s="89"/>
      <c r="BT607" s="6"/>
      <c r="BU607" s="6"/>
      <c r="BV607" s="6"/>
      <c r="BW607" s="6"/>
      <c r="BX607" s="6"/>
      <c r="BY607" s="6"/>
      <c r="BZ607" s="6"/>
      <c r="CA607" s="6"/>
      <c r="CB607" s="6"/>
      <c r="CC607" s="6"/>
      <c r="CD607" s="6"/>
      <c r="CE607" s="6"/>
      <c r="CF607" s="6"/>
      <c r="CG607" s="6"/>
      <c r="CH607" s="6"/>
      <c r="CI607" s="6"/>
      <c r="CJ607" s="6"/>
      <c r="CK607" s="6"/>
      <c r="CL607" s="6"/>
      <c r="CM607" s="6"/>
      <c r="CN607" s="6"/>
      <c r="CO607" s="11"/>
      <c r="CP607" s="11"/>
      <c r="CQ607" s="11"/>
      <c r="CR607" s="11"/>
      <c r="CS607" s="11"/>
      <c r="CT607" s="906"/>
      <c r="CU607" s="906"/>
      <c r="CV607" s="906"/>
      <c r="CW607" s="11"/>
      <c r="CX607" s="11"/>
      <c r="CY607" s="906"/>
      <c r="CZ607" s="906"/>
      <c r="DA607" s="906"/>
      <c r="DB607" s="11"/>
      <c r="DC607" s="2862"/>
      <c r="DD607" s="11"/>
      <c r="DE607" s="11"/>
      <c r="DF607" s="11"/>
      <c r="DG607" s="11"/>
      <c r="DH607" s="11"/>
      <c r="DI607" s="11"/>
      <c r="DJ607" s="11"/>
      <c r="DK607" s="11"/>
      <c r="DL607" s="11"/>
      <c r="DM607" s="11"/>
      <c r="DN607" s="11"/>
      <c r="DO607" s="11"/>
      <c r="DP607" s="11"/>
      <c r="DQ607" s="11"/>
      <c r="DR607" s="11"/>
    </row>
    <row r="608" spans="1:122">
      <c r="A608" s="216" t="s">
        <v>454</v>
      </c>
      <c r="B608" s="123"/>
      <c r="C608" s="123"/>
      <c r="D608" s="123"/>
      <c r="E608" s="123"/>
      <c r="F608" s="123"/>
      <c r="G608" s="123"/>
      <c r="H608" s="123"/>
      <c r="I608" s="123"/>
      <c r="J608" s="130">
        <v>0</v>
      </c>
      <c r="K608" s="130">
        <v>0</v>
      </c>
      <c r="L608" s="130">
        <v>0</v>
      </c>
      <c r="M608" s="119">
        <v>0</v>
      </c>
      <c r="N608" s="130">
        <v>0</v>
      </c>
      <c r="O608" s="919"/>
      <c r="P608" s="130"/>
      <c r="Q608" s="130"/>
      <c r="R608" s="130">
        <v>0</v>
      </c>
      <c r="S608" s="130">
        <v>0</v>
      </c>
      <c r="T608" s="130">
        <v>0</v>
      </c>
      <c r="U608" s="130">
        <v>0</v>
      </c>
      <c r="V608" s="130">
        <v>0</v>
      </c>
      <c r="W608" s="130">
        <v>0</v>
      </c>
      <c r="X608" s="130"/>
      <c r="Y608" s="1482"/>
      <c r="Z608" s="1482">
        <v>0</v>
      </c>
      <c r="AA608" s="1482">
        <v>0</v>
      </c>
      <c r="AB608" s="1482"/>
      <c r="AC608" s="1482">
        <v>0</v>
      </c>
      <c r="AD608" s="119">
        <v>0</v>
      </c>
      <c r="AE608" s="119">
        <v>0</v>
      </c>
      <c r="AF608" s="119">
        <v>0</v>
      </c>
      <c r="AG608" s="119">
        <v>0</v>
      </c>
      <c r="AH608" s="119">
        <v>0</v>
      </c>
      <c r="AI608" s="119">
        <v>0</v>
      </c>
      <c r="AJ608" s="119">
        <v>0</v>
      </c>
      <c r="AK608" s="119">
        <v>0</v>
      </c>
      <c r="AL608" s="1482">
        <v>0</v>
      </c>
      <c r="AM608" s="1482">
        <v>0</v>
      </c>
      <c r="AN608" s="1482">
        <v>1</v>
      </c>
      <c r="AO608" s="119"/>
      <c r="AP608" s="119"/>
      <c r="AQ608" s="119"/>
      <c r="AR608" s="119"/>
      <c r="AS608" s="119"/>
      <c r="AT608" s="119"/>
      <c r="AU608" s="11"/>
      <c r="AV608" s="6"/>
      <c r="AW608" s="89"/>
      <c r="AX608" s="89"/>
      <c r="AY608" s="89"/>
      <c r="AZ608" s="89"/>
      <c r="BA608" s="89"/>
      <c r="BB608" s="89"/>
      <c r="BC608" s="89"/>
      <c r="BD608" s="89"/>
      <c r="BE608" s="89"/>
      <c r="BF608" s="89"/>
      <c r="BG608" s="89"/>
      <c r="BH608" s="98"/>
      <c r="BI608" s="89"/>
      <c r="BJ608" s="89"/>
      <c r="BK608" s="89"/>
      <c r="BL608" s="89"/>
      <c r="BM608" s="89"/>
      <c r="BN608" s="89"/>
      <c r="BO608" s="6"/>
      <c r="BP608" s="89"/>
      <c r="BQ608" s="89"/>
      <c r="BR608" s="89"/>
      <c r="BS608" s="89"/>
      <c r="BT608" s="6"/>
      <c r="BU608" s="6"/>
      <c r="BV608" s="6"/>
      <c r="BW608" s="6"/>
      <c r="BX608" s="6"/>
      <c r="BY608" s="6"/>
      <c r="BZ608" s="6"/>
      <c r="CA608" s="6"/>
      <c r="CB608" s="6"/>
      <c r="CC608" s="6"/>
      <c r="CD608" s="6"/>
      <c r="CE608" s="6"/>
      <c r="CF608" s="6"/>
      <c r="CG608" s="6"/>
      <c r="CH608" s="6"/>
      <c r="CI608" s="6"/>
      <c r="CJ608" s="6"/>
      <c r="CK608" s="6"/>
      <c r="CL608" s="6"/>
      <c r="CM608" s="6"/>
      <c r="CN608" s="6"/>
      <c r="CO608" s="11"/>
      <c r="CP608" s="11"/>
      <c r="CQ608" s="11"/>
      <c r="CR608" s="11"/>
      <c r="CS608" s="11"/>
      <c r="CT608" s="906"/>
      <c r="CU608" s="906"/>
      <c r="CV608" s="906"/>
      <c r="CW608" s="11"/>
      <c r="CX608" s="11"/>
      <c r="CY608" s="906"/>
      <c r="CZ608" s="906"/>
      <c r="DA608" s="906"/>
      <c r="DB608" s="11"/>
      <c r="DC608" s="2862"/>
      <c r="DD608" s="11"/>
      <c r="DE608" s="11"/>
      <c r="DF608" s="11"/>
      <c r="DG608" s="11"/>
      <c r="DH608" s="11"/>
      <c r="DI608" s="11"/>
      <c r="DJ608" s="11"/>
      <c r="DK608" s="11"/>
      <c r="DL608" s="11"/>
      <c r="DM608" s="11"/>
      <c r="DN608" s="11"/>
      <c r="DO608" s="11"/>
      <c r="DP608" s="11"/>
      <c r="DQ608" s="11"/>
      <c r="DR608" s="11"/>
    </row>
    <row r="609" spans="1:122">
      <c r="A609" s="6"/>
      <c r="B609" s="123"/>
      <c r="C609" s="123"/>
      <c r="D609" s="123"/>
      <c r="E609" s="123"/>
      <c r="F609" s="123"/>
      <c r="G609" s="123"/>
      <c r="H609" s="123"/>
      <c r="I609" s="123"/>
      <c r="J609" s="123"/>
      <c r="K609" s="127"/>
      <c r="L609" s="123"/>
      <c r="M609" s="127"/>
      <c r="N609" s="123"/>
      <c r="O609" s="919"/>
      <c r="P609" s="123"/>
      <c r="Q609" s="123"/>
      <c r="R609" s="123"/>
      <c r="S609" s="123"/>
      <c r="T609" s="123"/>
      <c r="U609" s="123"/>
      <c r="V609" s="123"/>
      <c r="W609" s="123"/>
      <c r="X609" s="123"/>
      <c r="Y609" s="1687"/>
      <c r="Z609" s="1687"/>
      <c r="AA609" s="1687"/>
      <c r="AB609" s="1687"/>
      <c r="AC609" s="1687"/>
      <c r="AD609" s="127"/>
      <c r="AE609" s="127"/>
      <c r="AF609" s="127"/>
      <c r="AG609" s="127"/>
      <c r="AH609" s="127"/>
      <c r="AI609" s="127"/>
      <c r="AJ609" s="127"/>
      <c r="AK609" s="127"/>
      <c r="AL609" s="1687"/>
      <c r="AM609" s="1687"/>
      <c r="AN609" s="127"/>
      <c r="AO609" s="127"/>
      <c r="AP609" s="127"/>
      <c r="AQ609" s="127"/>
      <c r="AR609" s="127"/>
      <c r="AS609" s="127"/>
      <c r="AT609" s="127"/>
      <c r="AU609" s="11"/>
      <c r="AV609" s="6"/>
      <c r="AW609" s="89"/>
      <c r="AX609" s="89"/>
      <c r="AY609" s="89"/>
      <c r="AZ609" s="89"/>
      <c r="BA609" s="89"/>
      <c r="BB609" s="89"/>
      <c r="BC609" s="89"/>
      <c r="BD609" s="89"/>
      <c r="BE609" s="89"/>
      <c r="BF609" s="89"/>
      <c r="BG609" s="89"/>
      <c r="BH609" s="98"/>
      <c r="BI609" s="89"/>
      <c r="BJ609" s="89"/>
      <c r="BK609" s="89"/>
      <c r="BL609" s="89"/>
      <c r="BM609" s="89"/>
      <c r="BN609" s="89"/>
      <c r="BO609" s="6"/>
      <c r="BP609" s="89"/>
      <c r="BQ609" s="89"/>
      <c r="BR609" s="89"/>
      <c r="BS609" s="89"/>
      <c r="BT609" s="6"/>
      <c r="BU609" s="6"/>
      <c r="BV609" s="6"/>
      <c r="BW609" s="6"/>
      <c r="BX609" s="6"/>
      <c r="BY609" s="6"/>
      <c r="BZ609" s="6"/>
      <c r="CA609" s="6"/>
      <c r="CB609" s="6"/>
      <c r="CC609" s="6"/>
      <c r="CD609" s="6"/>
      <c r="CE609" s="6"/>
      <c r="CF609" s="6"/>
      <c r="CG609" s="6"/>
      <c r="CH609" s="6"/>
      <c r="CI609" s="6"/>
      <c r="CJ609" s="6"/>
      <c r="CK609" s="6"/>
      <c r="CL609" s="6"/>
      <c r="CM609" s="6"/>
      <c r="CN609" s="6"/>
      <c r="CO609" s="11"/>
      <c r="CP609" s="11"/>
      <c r="CQ609" s="11"/>
      <c r="CR609" s="11"/>
      <c r="CS609" s="11"/>
      <c r="CT609" s="906"/>
      <c r="CU609" s="906"/>
      <c r="CV609" s="906"/>
      <c r="CW609" s="11"/>
      <c r="CX609" s="11"/>
      <c r="CY609" s="906"/>
      <c r="CZ609" s="906"/>
      <c r="DA609" s="906"/>
      <c r="DB609" s="11"/>
      <c r="DC609" s="2862"/>
      <c r="DD609" s="11"/>
      <c r="DE609" s="11"/>
      <c r="DF609" s="11"/>
      <c r="DG609" s="11"/>
      <c r="DH609" s="11"/>
      <c r="DI609" s="11"/>
      <c r="DJ609" s="11"/>
      <c r="DK609" s="11"/>
      <c r="DL609" s="11"/>
      <c r="DM609" s="11"/>
      <c r="DN609" s="11"/>
      <c r="DO609" s="11"/>
      <c r="DP609" s="11"/>
      <c r="DQ609" s="11"/>
      <c r="DR609" s="11"/>
    </row>
    <row r="610" spans="1:122">
      <c r="A610" s="223" t="s">
        <v>460</v>
      </c>
      <c r="B610" s="123"/>
      <c r="C610" s="123"/>
      <c r="D610" s="123"/>
      <c r="E610" s="123"/>
      <c r="F610" s="123"/>
      <c r="G610" s="123"/>
      <c r="H610" s="123"/>
      <c r="I610" s="123"/>
      <c r="J610" s="123">
        <f>I598</f>
        <v>-411.70000000000005</v>
      </c>
      <c r="K610" s="123">
        <f>J598</f>
        <v>-503.5</v>
      </c>
      <c r="L610" s="123">
        <f t="shared" ref="L610:AF610" si="930">K598</f>
        <v>-601.9</v>
      </c>
      <c r="M610" s="127">
        <f t="shared" si="930"/>
        <v>-698.9</v>
      </c>
      <c r="N610" s="123">
        <f t="shared" si="930"/>
        <v>-793.3</v>
      </c>
      <c r="O610" s="919"/>
      <c r="P610" s="123"/>
      <c r="Q610" s="123"/>
      <c r="R610" s="123">
        <f>N598</f>
        <v>-874.5</v>
      </c>
      <c r="S610" s="123">
        <f t="shared" si="930"/>
        <v>-965</v>
      </c>
      <c r="T610" s="123">
        <f t="shared" si="930"/>
        <v>-1095</v>
      </c>
      <c r="U610" s="123">
        <f t="shared" si="930"/>
        <v>-1216</v>
      </c>
      <c r="V610" s="123">
        <f t="shared" si="930"/>
        <v>-1322</v>
      </c>
      <c r="W610" s="123">
        <f t="shared" si="930"/>
        <v>-1422</v>
      </c>
      <c r="X610" s="123"/>
      <c r="Y610" s="1687"/>
      <c r="Z610" s="1687">
        <f>W598</f>
        <v>-1454</v>
      </c>
      <c r="AA610" s="1687">
        <f>Z598</f>
        <v>-1478</v>
      </c>
      <c r="AB610" s="1687"/>
      <c r="AC610" s="1687">
        <f ca="1">AA598</f>
        <v>-1498</v>
      </c>
      <c r="AD610" s="127">
        <f t="shared" ca="1" si="930"/>
        <v>-1517</v>
      </c>
      <c r="AE610" s="127">
        <f t="shared" ca="1" si="930"/>
        <v>-1535</v>
      </c>
      <c r="AF610" s="127">
        <f t="shared" ca="1" si="930"/>
        <v>-1553</v>
      </c>
      <c r="AG610" s="127">
        <f t="shared" ref="AG610:AN610" ca="1" si="931">AF598</f>
        <v>-1568</v>
      </c>
      <c r="AH610" s="127">
        <f t="shared" ca="1" si="931"/>
        <v>-1581</v>
      </c>
      <c r="AI610" s="127">
        <f t="shared" ca="1" si="931"/>
        <v>-1593.9484603924479</v>
      </c>
      <c r="AJ610" s="127">
        <f t="shared" ca="1" si="931"/>
        <v>-1604.8556890988543</v>
      </c>
      <c r="AK610" s="127">
        <f t="shared" ca="1" si="931"/>
        <v>-1615.7299324564274</v>
      </c>
      <c r="AL610" s="1687">
        <f t="shared" ca="1" si="931"/>
        <v>-1626.5777875349338</v>
      </c>
      <c r="AM610" s="1687">
        <f t="shared" ca="1" si="931"/>
        <v>-1637.404531990187</v>
      </c>
      <c r="AN610" s="1687">
        <f t="shared" ca="1" si="931"/>
        <v>-1648.2143879468376</v>
      </c>
      <c r="AO610" s="127"/>
      <c r="AP610" s="127"/>
      <c r="AQ610" s="127"/>
      <c r="AR610" s="127"/>
      <c r="AS610" s="127"/>
      <c r="AT610" s="127"/>
      <c r="AU610" s="11"/>
      <c r="AV610" s="6"/>
      <c r="AW610" s="89"/>
      <c r="AX610" s="89"/>
      <c r="AY610" s="89"/>
      <c r="AZ610" s="89"/>
      <c r="BA610" s="89"/>
      <c r="BB610" s="89"/>
      <c r="BC610" s="89"/>
      <c r="BD610" s="89"/>
      <c r="BE610" s="89"/>
      <c r="BF610" s="89"/>
      <c r="BG610" s="89"/>
      <c r="BH610" s="98"/>
      <c r="BI610" s="89"/>
      <c r="BJ610" s="89"/>
      <c r="BK610" s="89"/>
      <c r="BL610" s="89"/>
      <c r="BM610" s="89"/>
      <c r="BN610" s="89"/>
      <c r="BO610" s="6"/>
      <c r="BP610" s="89"/>
      <c r="BQ610" s="89"/>
      <c r="BR610" s="89"/>
      <c r="BS610" s="89"/>
      <c r="BT610" s="6"/>
      <c r="BU610" s="6"/>
      <c r="BV610" s="6"/>
      <c r="BW610" s="6"/>
      <c r="BX610" s="6"/>
      <c r="BY610" s="6"/>
      <c r="BZ610" s="6"/>
      <c r="CA610" s="6"/>
      <c r="CB610" s="6"/>
      <c r="CC610" s="6"/>
      <c r="CD610" s="6"/>
      <c r="CE610" s="6"/>
      <c r="CF610" s="6"/>
      <c r="CG610" s="6"/>
      <c r="CH610" s="6"/>
      <c r="CI610" s="6"/>
      <c r="CJ610" s="6"/>
      <c r="CK610" s="6"/>
      <c r="CL610" s="6"/>
      <c r="CM610" s="6"/>
      <c r="CN610" s="6"/>
      <c r="CO610" s="11"/>
      <c r="CP610" s="11"/>
      <c r="CQ610" s="11"/>
      <c r="CR610" s="11"/>
      <c r="CS610" s="11"/>
      <c r="CT610" s="906"/>
      <c r="CU610" s="906"/>
      <c r="CV610" s="906"/>
      <c r="CW610" s="11"/>
      <c r="CX610" s="11"/>
      <c r="CY610" s="906"/>
      <c r="CZ610" s="906"/>
      <c r="DA610" s="906"/>
      <c r="DB610" s="11"/>
      <c r="DC610" s="2862"/>
      <c r="DD610" s="11"/>
      <c r="DE610" s="11"/>
      <c r="DF610" s="11"/>
      <c r="DG610" s="11"/>
      <c r="DH610" s="11"/>
      <c r="DI610" s="11"/>
      <c r="DJ610" s="11"/>
      <c r="DK610" s="11"/>
      <c r="DL610" s="11"/>
      <c r="DM610" s="11"/>
      <c r="DN610" s="11"/>
      <c r="DO610" s="11"/>
      <c r="DP610" s="11"/>
      <c r="DQ610" s="11"/>
      <c r="DR610" s="11"/>
    </row>
    <row r="611" spans="1:122">
      <c r="A611" s="13" t="s">
        <v>514</v>
      </c>
      <c r="B611" s="123"/>
      <c r="C611" s="123"/>
      <c r="D611" s="123"/>
      <c r="E611" s="123"/>
      <c r="F611" s="123"/>
      <c r="G611" s="123"/>
      <c r="H611" s="123"/>
      <c r="I611" s="123"/>
      <c r="J611" s="230">
        <f>-J22</f>
        <v>-84.024999999999977</v>
      </c>
      <c r="K611" s="230">
        <f>-K22</f>
        <v>-95.855499999999893</v>
      </c>
      <c r="L611" s="230">
        <f>-L22</f>
        <v>-87.300000000000011</v>
      </c>
      <c r="M611" s="230">
        <f>-M22</f>
        <v>-81.5</v>
      </c>
      <c r="N611" s="230">
        <f>-N22</f>
        <v>-105.5</v>
      </c>
      <c r="O611" s="919"/>
      <c r="P611" s="230"/>
      <c r="Q611" s="230"/>
      <c r="R611" s="230">
        <f t="shared" ref="R611:W611" si="932">-R22</f>
        <v>-130</v>
      </c>
      <c r="S611" s="230">
        <f t="shared" si="932"/>
        <v>-130</v>
      </c>
      <c r="T611" s="230">
        <f t="shared" si="932"/>
        <v>-121</v>
      </c>
      <c r="U611" s="230">
        <f t="shared" si="932"/>
        <v>-106</v>
      </c>
      <c r="V611" s="230">
        <f t="shared" si="932"/>
        <v>-100</v>
      </c>
      <c r="W611" s="230">
        <f t="shared" si="932"/>
        <v>-32.000000000000007</v>
      </c>
      <c r="X611" s="230"/>
      <c r="Y611" s="2162"/>
      <c r="Z611" s="2162">
        <f>-Z22</f>
        <v>-24</v>
      </c>
      <c r="AA611" s="2162">
        <f ca="1">-AA22</f>
        <v>-20</v>
      </c>
      <c r="AB611" s="2162"/>
      <c r="AC611" s="2162">
        <f t="shared" ref="AC611:AK611" si="933">-AC22</f>
        <v>-19</v>
      </c>
      <c r="AD611" s="230">
        <f t="shared" si="933"/>
        <v>-18</v>
      </c>
      <c r="AE611" s="230">
        <f t="shared" ca="1" si="933"/>
        <v>-18</v>
      </c>
      <c r="AF611" s="230">
        <f t="shared" ca="1" si="933"/>
        <v>-14.999999999999995</v>
      </c>
      <c r="AG611" s="230">
        <f t="shared" ca="1" si="933"/>
        <v>-13.000000000000007</v>
      </c>
      <c r="AH611" s="230">
        <f t="shared" ca="1" si="933"/>
        <v>-12.948460392448006</v>
      </c>
      <c r="AI611" s="230">
        <f t="shared" ca="1" si="933"/>
        <v>-10.907228706406393</v>
      </c>
      <c r="AJ611" s="230">
        <f t="shared" ca="1" si="933"/>
        <v>-10.874243357573114</v>
      </c>
      <c r="AK611" s="230">
        <f t="shared" ca="1" si="933"/>
        <v>-10.847855078506491</v>
      </c>
      <c r="AL611" s="2162">
        <f ca="1">-AL22</f>
        <v>-10.826744455253198</v>
      </c>
      <c r="AM611" s="2162">
        <f ca="1">-AM22</f>
        <v>-10.809855956650559</v>
      </c>
      <c r="AN611" s="2162">
        <f ca="1">-AN22</f>
        <v>-10.796345157768435</v>
      </c>
      <c r="AO611" s="230"/>
      <c r="AP611" s="230"/>
      <c r="AQ611" s="230"/>
      <c r="AR611" s="230"/>
      <c r="AS611" s="230"/>
      <c r="AT611" s="230"/>
      <c r="AU611" s="11"/>
      <c r="AV611" s="6"/>
      <c r="AW611" s="89"/>
      <c r="AX611" s="89"/>
      <c r="AY611" s="89"/>
      <c r="AZ611" s="89"/>
      <c r="BA611" s="89"/>
      <c r="BB611" s="89"/>
      <c r="BC611" s="89"/>
      <c r="BD611" s="89"/>
      <c r="BE611" s="89"/>
      <c r="BF611" s="89"/>
      <c r="BG611" s="89"/>
      <c r="BH611" s="98"/>
      <c r="BI611" s="89"/>
      <c r="BJ611" s="89"/>
      <c r="BK611" s="89"/>
      <c r="BL611" s="89"/>
      <c r="BM611" s="89"/>
      <c r="BN611" s="89"/>
      <c r="BO611" s="6"/>
      <c r="BP611" s="89"/>
      <c r="BQ611" s="89"/>
      <c r="BR611" s="89"/>
      <c r="BS611" s="89"/>
      <c r="BT611" s="6"/>
      <c r="BU611" s="6"/>
      <c r="BV611" s="6"/>
      <c r="BW611" s="6"/>
      <c r="BX611" s="6"/>
      <c r="BY611" s="6"/>
      <c r="BZ611" s="6"/>
      <c r="CA611" s="6"/>
      <c r="CB611" s="6"/>
      <c r="CC611" s="6"/>
      <c r="CD611" s="6"/>
      <c r="CE611" s="6"/>
      <c r="CF611" s="6"/>
      <c r="CG611" s="6"/>
      <c r="CH611" s="6"/>
      <c r="CI611" s="6"/>
      <c r="CJ611" s="6"/>
      <c r="CK611" s="6"/>
      <c r="CL611" s="6"/>
      <c r="CM611" s="6"/>
      <c r="CN611" s="6"/>
      <c r="CO611" s="11"/>
      <c r="CP611" s="11"/>
      <c r="CQ611" s="11"/>
      <c r="CR611" s="11"/>
      <c r="CS611" s="11"/>
      <c r="CT611" s="906"/>
      <c r="CU611" s="906"/>
      <c r="CV611" s="906"/>
      <c r="CW611" s="11"/>
      <c r="CX611" s="11"/>
      <c r="CY611" s="906"/>
      <c r="CZ611" s="906"/>
      <c r="DA611" s="906"/>
      <c r="DB611" s="11"/>
      <c r="DC611" s="2862"/>
      <c r="DD611" s="11"/>
      <c r="DE611" s="11"/>
      <c r="DF611" s="11"/>
      <c r="DG611" s="11"/>
      <c r="DH611" s="11"/>
      <c r="DI611" s="11"/>
      <c r="DJ611" s="11"/>
      <c r="DK611" s="11"/>
      <c r="DL611" s="11"/>
      <c r="DM611" s="11"/>
      <c r="DN611" s="11"/>
      <c r="DO611" s="11"/>
      <c r="DP611" s="11"/>
      <c r="DQ611" s="11"/>
      <c r="DR611" s="11"/>
    </row>
    <row r="612" spans="1:122">
      <c r="A612" s="13" t="s">
        <v>515</v>
      </c>
      <c r="B612" s="123"/>
      <c r="C612" s="123"/>
      <c r="D612" s="123"/>
      <c r="E612" s="123"/>
      <c r="F612" s="123"/>
      <c r="G612" s="123"/>
      <c r="H612" s="123"/>
      <c r="I612" s="123"/>
      <c r="J612" s="233">
        <f>J614-J610-J611-J613</f>
        <v>-7.7749999999999773</v>
      </c>
      <c r="K612" s="233">
        <f>K614-K610-K611-K613</f>
        <v>-2.5445000000000846</v>
      </c>
      <c r="L612" s="233">
        <f>L614-L610-L611-L613</f>
        <v>-9.6999999999999886</v>
      </c>
      <c r="M612" s="233">
        <f>M614-M610-M611-M613</f>
        <v>-12.899999999999977</v>
      </c>
      <c r="N612" s="233">
        <f>N614-N610-N611-N613</f>
        <v>24.299999999999955</v>
      </c>
      <c r="O612" s="919"/>
      <c r="P612" s="123"/>
      <c r="Q612" s="123"/>
      <c r="R612" s="233">
        <f>R614-R610-R611-R613</f>
        <v>39.5</v>
      </c>
      <c r="S612" s="123">
        <f t="shared" ref="S612:Z612" si="934">S603</f>
        <v>0</v>
      </c>
      <c r="T612" s="123">
        <f t="shared" si="934"/>
        <v>0</v>
      </c>
      <c r="U612" s="123">
        <f t="shared" si="934"/>
        <v>0</v>
      </c>
      <c r="V612" s="123">
        <f t="shared" si="934"/>
        <v>0</v>
      </c>
      <c r="W612" s="123">
        <f t="shared" si="934"/>
        <v>0</v>
      </c>
      <c r="X612" s="123"/>
      <c r="Y612" s="1687"/>
      <c r="Z612" s="1687">
        <f t="shared" si="934"/>
        <v>0</v>
      </c>
      <c r="AA612" s="1687">
        <f t="shared" ref="AA612:AH612" si="935">AA603</f>
        <v>0</v>
      </c>
      <c r="AB612" s="1687"/>
      <c r="AC612" s="1687">
        <f t="shared" si="935"/>
        <v>0</v>
      </c>
      <c r="AD612" s="127">
        <f t="shared" si="935"/>
        <v>0</v>
      </c>
      <c r="AE612" s="127">
        <f t="shared" si="935"/>
        <v>0</v>
      </c>
      <c r="AF612" s="127">
        <f t="shared" si="935"/>
        <v>0</v>
      </c>
      <c r="AG612" s="127">
        <f t="shared" si="935"/>
        <v>0</v>
      </c>
      <c r="AH612" s="127">
        <f t="shared" si="935"/>
        <v>0</v>
      </c>
      <c r="AI612" s="127">
        <f t="shared" ref="AI612:AN612" si="936">AI603</f>
        <v>0</v>
      </c>
      <c r="AJ612" s="127">
        <f t="shared" si="936"/>
        <v>0</v>
      </c>
      <c r="AK612" s="127">
        <f t="shared" si="936"/>
        <v>0</v>
      </c>
      <c r="AL612" s="1687">
        <f t="shared" si="936"/>
        <v>0</v>
      </c>
      <c r="AM612" s="1687">
        <f t="shared" si="936"/>
        <v>0</v>
      </c>
      <c r="AN612" s="1687">
        <f t="shared" si="936"/>
        <v>0</v>
      </c>
      <c r="AO612" s="127"/>
      <c r="AP612" s="127"/>
      <c r="AQ612" s="127"/>
      <c r="AR612" s="127"/>
      <c r="AS612" s="127"/>
      <c r="AT612" s="127"/>
      <c r="AU612" s="11"/>
      <c r="AV612" s="6"/>
      <c r="AW612" s="89"/>
      <c r="AX612" s="89"/>
      <c r="AY612" s="89"/>
      <c r="AZ612" s="89"/>
      <c r="BA612" s="89"/>
      <c r="BB612" s="89"/>
      <c r="BC612" s="89"/>
      <c r="BD612" s="89"/>
      <c r="BE612" s="89"/>
      <c r="BF612" s="89"/>
      <c r="BG612" s="89"/>
      <c r="BH612" s="98"/>
      <c r="BI612" s="89"/>
      <c r="BJ612" s="89"/>
      <c r="BK612" s="89"/>
      <c r="BL612" s="89"/>
      <c r="BM612" s="89"/>
      <c r="BN612" s="89"/>
      <c r="BO612" s="6"/>
      <c r="BP612" s="89"/>
      <c r="BQ612" s="89"/>
      <c r="BR612" s="89"/>
      <c r="BS612" s="89"/>
      <c r="BT612" s="6"/>
      <c r="BU612" s="6"/>
      <c r="BV612" s="6"/>
      <c r="BW612" s="6"/>
      <c r="BX612" s="6"/>
      <c r="BY612" s="6"/>
      <c r="BZ612" s="6"/>
      <c r="CA612" s="6"/>
      <c r="CB612" s="6"/>
      <c r="CC612" s="6"/>
      <c r="CD612" s="6"/>
      <c r="CE612" s="6"/>
      <c r="CF612" s="6"/>
      <c r="CG612" s="6"/>
      <c r="CH612" s="6"/>
      <c r="CI612" s="6"/>
      <c r="CJ612" s="6"/>
      <c r="CK612" s="6"/>
      <c r="CL612" s="6"/>
      <c r="CM612" s="6"/>
      <c r="CN612" s="6"/>
      <c r="CO612" s="11"/>
      <c r="CP612" s="11"/>
      <c r="CQ612" s="11"/>
      <c r="CR612" s="11"/>
      <c r="CS612" s="11"/>
      <c r="CT612" s="906"/>
      <c r="CU612" s="906"/>
      <c r="CV612" s="906"/>
      <c r="CW612" s="11"/>
      <c r="CX612" s="11"/>
      <c r="CY612" s="906"/>
      <c r="CZ612" s="906"/>
      <c r="DA612" s="906"/>
      <c r="DB612" s="11"/>
      <c r="DC612" s="2862"/>
      <c r="DD612" s="11"/>
      <c r="DE612" s="11"/>
      <c r="DF612" s="11"/>
      <c r="DG612" s="11"/>
      <c r="DH612" s="11"/>
      <c r="DI612" s="11"/>
      <c r="DJ612" s="11"/>
      <c r="DK612" s="11"/>
      <c r="DL612" s="11"/>
      <c r="DM612" s="11"/>
      <c r="DN612" s="11"/>
      <c r="DO612" s="11"/>
      <c r="DP612" s="11"/>
      <c r="DQ612" s="11"/>
      <c r="DR612" s="11"/>
    </row>
    <row r="613" spans="1:122">
      <c r="A613" s="223" t="s">
        <v>467</v>
      </c>
      <c r="B613" s="123"/>
      <c r="C613" s="123"/>
      <c r="D613" s="123"/>
      <c r="E613" s="123"/>
      <c r="F613" s="123"/>
      <c r="G613" s="123"/>
      <c r="H613" s="123"/>
      <c r="I613" s="123"/>
      <c r="J613" s="165">
        <v>0</v>
      </c>
      <c r="K613" s="165">
        <v>0</v>
      </c>
      <c r="L613" s="165">
        <v>0</v>
      </c>
      <c r="M613" s="228">
        <v>0</v>
      </c>
      <c r="N613" s="165">
        <v>0</v>
      </c>
      <c r="O613" s="919"/>
      <c r="P613" s="165"/>
      <c r="Q613" s="165"/>
      <c r="R613" s="165">
        <v>0</v>
      </c>
      <c r="S613" s="165">
        <v>0</v>
      </c>
      <c r="T613" s="165">
        <v>0</v>
      </c>
      <c r="U613" s="165">
        <v>0</v>
      </c>
      <c r="V613" s="165">
        <v>0</v>
      </c>
      <c r="W613" s="165">
        <v>0</v>
      </c>
      <c r="X613" s="165"/>
      <c r="Y613" s="1722"/>
      <c r="Z613" s="1722">
        <v>0</v>
      </c>
      <c r="AA613" s="1722">
        <v>0</v>
      </c>
      <c r="AB613" s="1722"/>
      <c r="AC613" s="1722">
        <v>0</v>
      </c>
      <c r="AD613" s="228">
        <v>0</v>
      </c>
      <c r="AE613" s="228">
        <v>0</v>
      </c>
      <c r="AF613" s="228">
        <v>0</v>
      </c>
      <c r="AG613" s="228">
        <v>0</v>
      </c>
      <c r="AH613" s="228">
        <v>0</v>
      </c>
      <c r="AI613" s="228">
        <v>0</v>
      </c>
      <c r="AJ613" s="228">
        <v>0</v>
      </c>
      <c r="AK613" s="228">
        <v>0</v>
      </c>
      <c r="AL613" s="1722">
        <v>0</v>
      </c>
      <c r="AM613" s="1722">
        <v>0</v>
      </c>
      <c r="AN613" s="1722">
        <v>0</v>
      </c>
      <c r="AO613" s="228"/>
      <c r="AP613" s="228"/>
      <c r="AQ613" s="228"/>
      <c r="AR613" s="228"/>
      <c r="AS613" s="228"/>
      <c r="AT613" s="228"/>
      <c r="AU613" s="11"/>
      <c r="AV613" s="6"/>
      <c r="AW613" s="89"/>
      <c r="AX613" s="89"/>
      <c r="AY613" s="89"/>
      <c r="AZ613" s="89"/>
      <c r="BA613" s="89"/>
      <c r="BB613" s="89"/>
      <c r="BC613" s="89"/>
      <c r="BD613" s="89"/>
      <c r="BE613" s="89"/>
      <c r="BF613" s="89"/>
      <c r="BG613" s="89"/>
      <c r="BH613" s="98"/>
      <c r="BI613" s="89"/>
      <c r="BJ613" s="89"/>
      <c r="BK613" s="89"/>
      <c r="BL613" s="89"/>
      <c r="BM613" s="89"/>
      <c r="BN613" s="89"/>
      <c r="BO613" s="6"/>
      <c r="BP613" s="89"/>
      <c r="BQ613" s="89"/>
      <c r="BR613" s="89"/>
      <c r="BS613" s="89"/>
      <c r="BT613" s="6"/>
      <c r="BU613" s="6"/>
      <c r="BV613" s="6"/>
      <c r="BW613" s="6"/>
      <c r="BX613" s="6"/>
      <c r="BY613" s="6"/>
      <c r="BZ613" s="6"/>
      <c r="CA613" s="6"/>
      <c r="CB613" s="6"/>
      <c r="CC613" s="6"/>
      <c r="CD613" s="6"/>
      <c r="CE613" s="6"/>
      <c r="CF613" s="6"/>
      <c r="CG613" s="6"/>
      <c r="CH613" s="6"/>
      <c r="CI613" s="6"/>
      <c r="CJ613" s="6"/>
      <c r="CK613" s="6"/>
      <c r="CL613" s="6"/>
      <c r="CM613" s="6"/>
      <c r="CN613" s="6"/>
      <c r="CO613" s="11"/>
      <c r="CP613" s="11"/>
      <c r="CQ613" s="11"/>
      <c r="CR613" s="11"/>
      <c r="CS613" s="11"/>
      <c r="CT613" s="906"/>
      <c r="CU613" s="906"/>
      <c r="CV613" s="906"/>
      <c r="CW613" s="11"/>
      <c r="CX613" s="11"/>
      <c r="CY613" s="906"/>
      <c r="CZ613" s="906"/>
      <c r="DA613" s="906"/>
      <c r="DB613" s="11"/>
      <c r="DC613" s="2862"/>
      <c r="DD613" s="11"/>
      <c r="DE613" s="11"/>
      <c r="DF613" s="11"/>
      <c r="DG613" s="11"/>
      <c r="DH613" s="11"/>
      <c r="DI613" s="11"/>
      <c r="DJ613" s="11"/>
      <c r="DK613" s="11"/>
      <c r="DL613" s="11"/>
      <c r="DM613" s="11"/>
      <c r="DN613" s="11"/>
      <c r="DO613" s="11"/>
      <c r="DP613" s="11"/>
      <c r="DQ613" s="11"/>
      <c r="DR613" s="11"/>
    </row>
    <row r="614" spans="1:122">
      <c r="A614" s="223" t="s">
        <v>461</v>
      </c>
      <c r="B614" s="123"/>
      <c r="C614" s="123"/>
      <c r="D614" s="123"/>
      <c r="E614" s="123"/>
      <c r="F614" s="123"/>
      <c r="G614" s="123"/>
      <c r="H614" s="123"/>
      <c r="I614" s="123"/>
      <c r="J614" s="123">
        <f>J598</f>
        <v>-503.5</v>
      </c>
      <c r="K614" s="123">
        <f>K598</f>
        <v>-601.9</v>
      </c>
      <c r="L614" s="123">
        <f>L598</f>
        <v>-698.9</v>
      </c>
      <c r="M614" s="123">
        <f>M598</f>
        <v>-793.3</v>
      </c>
      <c r="N614" s="123">
        <f>N598</f>
        <v>-874.5</v>
      </c>
      <c r="O614" s="919"/>
      <c r="P614" s="123"/>
      <c r="Q614" s="123"/>
      <c r="R614" s="123">
        <f>R598</f>
        <v>-965</v>
      </c>
      <c r="S614" s="123">
        <f t="shared" ref="S614:AF614" si="937">SUM(S610:S613)</f>
        <v>-1095</v>
      </c>
      <c r="T614" s="123">
        <f t="shared" si="937"/>
        <v>-1216</v>
      </c>
      <c r="U614" s="123">
        <f t="shared" si="937"/>
        <v>-1322</v>
      </c>
      <c r="V614" s="123">
        <f t="shared" si="937"/>
        <v>-1422</v>
      </c>
      <c r="W614" s="123">
        <f>SUM(W610:W613)</f>
        <v>-1454</v>
      </c>
      <c r="X614" s="123"/>
      <c r="Y614" s="1687"/>
      <c r="Z614" s="1687">
        <f>SUM(Z610:Z613)</f>
        <v>-1478</v>
      </c>
      <c r="AA614" s="1687">
        <f t="shared" ca="1" si="937"/>
        <v>-1498</v>
      </c>
      <c r="AB614" s="1687"/>
      <c r="AC614" s="1687">
        <f t="shared" ca="1" si="937"/>
        <v>-1517</v>
      </c>
      <c r="AD614" s="127">
        <f ca="1">SUM(AD610:AD613)</f>
        <v>-1535</v>
      </c>
      <c r="AE614" s="127">
        <f t="shared" ca="1" si="937"/>
        <v>-1553</v>
      </c>
      <c r="AF614" s="127">
        <f t="shared" ca="1" si="937"/>
        <v>-1568</v>
      </c>
      <c r="AG614" s="127">
        <f t="shared" ref="AG614:AL614" ca="1" si="938">SUM(AG610:AG613)</f>
        <v>-1581</v>
      </c>
      <c r="AH614" s="127">
        <f t="shared" ca="1" si="938"/>
        <v>-1593.9484603924479</v>
      </c>
      <c r="AI614" s="127">
        <f t="shared" ca="1" si="938"/>
        <v>-1604.8556890988543</v>
      </c>
      <c r="AJ614" s="127">
        <f t="shared" ca="1" si="938"/>
        <v>-1615.7299324564274</v>
      </c>
      <c r="AK614" s="127">
        <f t="shared" ca="1" si="938"/>
        <v>-1626.5777875349338</v>
      </c>
      <c r="AL614" s="1687">
        <f t="shared" ca="1" si="938"/>
        <v>-1637.404531990187</v>
      </c>
      <c r="AM614" s="1687">
        <f ca="1">SUM(AM610:AM613)</f>
        <v>-1648.2143879468376</v>
      </c>
      <c r="AN614" s="1687">
        <f ca="1">SUM(AN610:AN613)</f>
        <v>-1659.0107331046061</v>
      </c>
      <c r="AO614" s="127"/>
      <c r="AP614" s="127"/>
      <c r="AQ614" s="127"/>
      <c r="AR614" s="127"/>
      <c r="AS614" s="127"/>
      <c r="AT614" s="127"/>
      <c r="AU614" s="11"/>
      <c r="AV614" s="6"/>
      <c r="AW614" s="89"/>
      <c r="AX614" s="89"/>
      <c r="AY614" s="89"/>
      <c r="AZ614" s="89"/>
      <c r="BA614" s="89"/>
      <c r="BB614" s="89"/>
      <c r="BC614" s="89"/>
      <c r="BD614" s="89"/>
      <c r="BE614" s="89"/>
      <c r="BF614" s="89"/>
      <c r="BG614" s="89"/>
      <c r="BH614" s="98"/>
      <c r="BI614" s="89"/>
      <c r="BJ614" s="89"/>
      <c r="BK614" s="89"/>
      <c r="BL614" s="89"/>
      <c r="BM614" s="89"/>
      <c r="BN614" s="89"/>
      <c r="BO614" s="6"/>
      <c r="BP614" s="89"/>
      <c r="BQ614" s="89"/>
      <c r="BR614" s="89"/>
      <c r="BS614" s="89"/>
      <c r="BT614" s="6"/>
      <c r="BU614" s="6"/>
      <c r="BV614" s="6"/>
      <c r="BW614" s="6"/>
      <c r="BX614" s="6"/>
      <c r="BY614" s="6"/>
      <c r="BZ614" s="6"/>
      <c r="CA614" s="6"/>
      <c r="CB614" s="6"/>
      <c r="CC614" s="6"/>
      <c r="CD614" s="6"/>
      <c r="CE614" s="6"/>
      <c r="CF614" s="6"/>
      <c r="CG614" s="6"/>
      <c r="CH614" s="6"/>
      <c r="CI614" s="6"/>
      <c r="CJ614" s="6"/>
      <c r="CK614" s="6"/>
      <c r="CL614" s="6"/>
      <c r="CM614" s="6"/>
      <c r="CN614" s="6"/>
      <c r="CO614" s="11"/>
      <c r="CP614" s="11"/>
      <c r="CQ614" s="11"/>
      <c r="CR614" s="11"/>
      <c r="CS614" s="11"/>
      <c r="CT614" s="906"/>
      <c r="CU614" s="906"/>
      <c r="CV614" s="906"/>
      <c r="CW614" s="11"/>
      <c r="CX614" s="11"/>
      <c r="CY614" s="906"/>
      <c r="CZ614" s="906"/>
      <c r="DA614" s="906"/>
      <c r="DB614" s="11"/>
      <c r="DC614" s="2862"/>
      <c r="DD614" s="11"/>
      <c r="DE614" s="11"/>
      <c r="DF614" s="11"/>
      <c r="DG614" s="11"/>
      <c r="DH614" s="11"/>
      <c r="DI614" s="11"/>
      <c r="DJ614" s="11"/>
      <c r="DK614" s="11"/>
      <c r="DL614" s="11"/>
      <c r="DM614" s="11"/>
      <c r="DN614" s="11"/>
      <c r="DO614" s="11"/>
      <c r="DP614" s="11"/>
      <c r="DQ614" s="11"/>
      <c r="DR614" s="11"/>
    </row>
    <row r="615" spans="1:122">
      <c r="A615" s="223"/>
      <c r="B615" s="123"/>
      <c r="C615" s="123"/>
      <c r="D615" s="123"/>
      <c r="E615" s="123"/>
      <c r="F615" s="123"/>
      <c r="G615" s="123"/>
      <c r="H615" s="123"/>
      <c r="I615" s="123"/>
      <c r="J615" s="89" t="s">
        <v>337</v>
      </c>
      <c r="K615" s="98"/>
      <c r="L615" s="123"/>
      <c r="M615" s="127"/>
      <c r="N615" s="123"/>
      <c r="O615" s="919"/>
      <c r="P615" s="123"/>
      <c r="Q615" s="123"/>
      <c r="R615" s="123"/>
      <c r="S615" s="123"/>
      <c r="T615" s="123"/>
      <c r="U615" s="123"/>
      <c r="V615" s="123"/>
      <c r="W615" s="123"/>
      <c r="X615" s="123"/>
      <c r="Y615" s="1687"/>
      <c r="Z615" s="1687"/>
      <c r="AA615" s="1687"/>
      <c r="AB615" s="1687"/>
      <c r="AC615" s="1687"/>
      <c r="AD615" s="127"/>
      <c r="AE615" s="127"/>
      <c r="AF615" s="127"/>
      <c r="AG615" s="127"/>
      <c r="AH615" s="127"/>
      <c r="AI615" s="127"/>
      <c r="AJ615" s="127"/>
      <c r="AK615" s="127"/>
      <c r="AL615" s="1687"/>
      <c r="AM615" s="1687"/>
      <c r="AN615" s="127"/>
      <c r="AO615" s="127"/>
      <c r="AP615" s="127"/>
      <c r="AQ615" s="127"/>
      <c r="AR615" s="127"/>
      <c r="AS615" s="127"/>
      <c r="AT615" s="127"/>
      <c r="AU615" s="11"/>
      <c r="AV615" s="6"/>
      <c r="AW615" s="89"/>
      <c r="AX615" s="89"/>
      <c r="AY615" s="89"/>
      <c r="AZ615" s="89"/>
      <c r="BA615" s="89"/>
      <c r="BB615" s="89"/>
      <c r="BC615" s="89"/>
      <c r="BD615" s="89"/>
      <c r="BE615" s="89"/>
      <c r="BF615" s="89"/>
      <c r="BG615" s="89"/>
      <c r="BH615" s="98"/>
      <c r="BI615" s="89"/>
      <c r="BJ615" s="89"/>
      <c r="BK615" s="89"/>
      <c r="BL615" s="89"/>
      <c r="BM615" s="89"/>
      <c r="BN615" s="89"/>
      <c r="BO615" s="6"/>
      <c r="BP615" s="89"/>
      <c r="BQ615" s="89"/>
      <c r="BR615" s="89"/>
      <c r="BS615" s="89"/>
      <c r="BT615" s="6"/>
      <c r="BU615" s="6"/>
      <c r="BV615" s="6"/>
      <c r="BW615" s="6"/>
      <c r="BX615" s="6"/>
      <c r="BY615" s="6"/>
      <c r="BZ615" s="6"/>
      <c r="CA615" s="6"/>
      <c r="CB615" s="6"/>
      <c r="CC615" s="6"/>
      <c r="CD615" s="6"/>
      <c r="CE615" s="6"/>
      <c r="CF615" s="6"/>
      <c r="CG615" s="6"/>
      <c r="CH615" s="6"/>
      <c r="CI615" s="6"/>
      <c r="CJ615" s="6"/>
      <c r="CK615" s="6"/>
      <c r="CL615" s="6"/>
      <c r="CM615" s="6"/>
      <c r="CN615" s="6"/>
      <c r="CO615" s="11"/>
      <c r="CP615" s="11"/>
      <c r="CQ615" s="11"/>
      <c r="CR615" s="11"/>
      <c r="CS615" s="11"/>
      <c r="CT615" s="906"/>
      <c r="CU615" s="906"/>
      <c r="CV615" s="906"/>
      <c r="CW615" s="11"/>
      <c r="CX615" s="11"/>
      <c r="CY615" s="906"/>
      <c r="CZ615" s="906"/>
      <c r="DA615" s="906"/>
      <c r="DB615" s="11"/>
      <c r="DC615" s="2862"/>
      <c r="DD615" s="11"/>
      <c r="DE615" s="11"/>
      <c r="DF615" s="11"/>
      <c r="DG615" s="11"/>
      <c r="DH615" s="11"/>
      <c r="DI615" s="11"/>
      <c r="DJ615" s="11"/>
      <c r="DK615" s="11"/>
      <c r="DL615" s="11"/>
      <c r="DM615" s="11"/>
      <c r="DN615" s="11"/>
      <c r="DO615" s="11"/>
      <c r="DP615" s="11"/>
      <c r="DQ615" s="11"/>
      <c r="DR615" s="11"/>
    </row>
    <row r="616" spans="1:122">
      <c r="A616" s="216" t="s">
        <v>1325</v>
      </c>
      <c r="B616" s="123"/>
      <c r="C616" s="123"/>
      <c r="D616" s="123"/>
      <c r="E616" s="123"/>
      <c r="F616" s="123"/>
      <c r="G616" s="123"/>
      <c r="H616" s="123"/>
      <c r="I616" s="123"/>
      <c r="J616" s="13">
        <f>I628</f>
        <v>44405.2</v>
      </c>
      <c r="K616" s="13">
        <f>J628</f>
        <v>28253.3</v>
      </c>
      <c r="L616" s="14">
        <f>K628</f>
        <v>18904.3</v>
      </c>
      <c r="M616" s="14">
        <f>L628</f>
        <v>18821.5</v>
      </c>
      <c r="N616" s="13">
        <f t="shared" ref="N616:AF616" si="939">M621</f>
        <v>18452</v>
      </c>
      <c r="O616" s="919"/>
      <c r="P616" s="13"/>
      <c r="Q616" s="13"/>
      <c r="R616" s="13">
        <f>N621</f>
        <v>8647.7999999999993</v>
      </c>
      <c r="S616" s="13">
        <f t="shared" si="939"/>
        <v>8667.5</v>
      </c>
      <c r="T616" s="13">
        <f t="shared" si="939"/>
        <v>8523.5</v>
      </c>
      <c r="U616" s="13">
        <f t="shared" si="939"/>
        <v>8571</v>
      </c>
      <c r="V616" s="13">
        <f t="shared" si="939"/>
        <v>8567</v>
      </c>
      <c r="W616" s="13">
        <f t="shared" si="939"/>
        <v>8562</v>
      </c>
      <c r="X616" s="13"/>
      <c r="Y616" s="1357"/>
      <c r="Z616" s="1357">
        <f>W621</f>
        <v>6698</v>
      </c>
      <c r="AA616" s="1357">
        <f>Z621</f>
        <v>4789</v>
      </c>
      <c r="AB616" s="1357"/>
      <c r="AC616" s="1357">
        <f>AA621</f>
        <v>4864</v>
      </c>
      <c r="AD616" s="14">
        <f t="shared" si="939"/>
        <v>4864</v>
      </c>
      <c r="AE616" s="14">
        <f t="shared" si="939"/>
        <v>4864</v>
      </c>
      <c r="AF616" s="14">
        <f t="shared" si="939"/>
        <v>4864</v>
      </c>
      <c r="AG616" s="14">
        <f t="shared" ref="AG616:AN616" si="940">AF621</f>
        <v>4864</v>
      </c>
      <c r="AH616" s="14">
        <f t="shared" si="940"/>
        <v>4864</v>
      </c>
      <c r="AI616" s="14">
        <f t="shared" si="940"/>
        <v>4864</v>
      </c>
      <c r="AJ616" s="14">
        <f t="shared" si="940"/>
        <v>4864</v>
      </c>
      <c r="AK616" s="14">
        <f t="shared" si="940"/>
        <v>4864</v>
      </c>
      <c r="AL616" s="1357">
        <f t="shared" si="940"/>
        <v>4864</v>
      </c>
      <c r="AM616" s="1357">
        <f t="shared" si="940"/>
        <v>4864</v>
      </c>
      <c r="AN616" s="1357">
        <f t="shared" si="940"/>
        <v>4864</v>
      </c>
      <c r="AO616" s="14"/>
      <c r="AP616" s="14"/>
      <c r="AQ616" s="14"/>
      <c r="AR616" s="14"/>
      <c r="AS616" s="14"/>
      <c r="AT616" s="14"/>
      <c r="AU616" s="11"/>
      <c r="AV616" s="6"/>
      <c r="AW616" s="89"/>
      <c r="AX616" s="89"/>
      <c r="AY616" s="89"/>
      <c r="AZ616" s="89"/>
      <c r="BA616" s="89"/>
      <c r="BB616" s="89"/>
      <c r="BC616" s="89"/>
      <c r="BD616" s="89"/>
      <c r="BE616" s="89"/>
      <c r="BF616" s="89"/>
      <c r="BG616" s="89"/>
      <c r="BH616" s="98"/>
      <c r="BI616" s="89"/>
      <c r="BJ616" s="89"/>
      <c r="BK616" s="89"/>
      <c r="BL616" s="89"/>
      <c r="BM616" s="89"/>
      <c r="BN616" s="89"/>
      <c r="BO616" s="6"/>
      <c r="BP616" s="89"/>
      <c r="BQ616" s="89"/>
      <c r="BR616" s="89"/>
      <c r="BS616" s="89"/>
      <c r="BT616" s="6"/>
      <c r="BU616" s="6"/>
      <c r="BV616" s="6"/>
      <c r="BW616" s="6"/>
      <c r="BX616" s="6"/>
      <c r="BY616" s="6"/>
      <c r="BZ616" s="6"/>
      <c r="CA616" s="6"/>
      <c r="CB616" s="6"/>
      <c r="CC616" s="6"/>
      <c r="CD616" s="6"/>
      <c r="CE616" s="6"/>
      <c r="CF616" s="6"/>
      <c r="CG616" s="6"/>
      <c r="CH616" s="6"/>
      <c r="CI616" s="6"/>
      <c r="CJ616" s="6"/>
      <c r="CK616" s="6"/>
      <c r="CL616" s="6"/>
      <c r="CM616" s="6"/>
      <c r="CN616" s="6"/>
      <c r="CO616" s="11"/>
      <c r="CP616" s="11"/>
      <c r="CQ616" s="11"/>
      <c r="CR616" s="11"/>
      <c r="CS616" s="11"/>
      <c r="CT616" s="906"/>
      <c r="CU616" s="906"/>
      <c r="CV616" s="906"/>
      <c r="CW616" s="11"/>
      <c r="CX616" s="11"/>
      <c r="CY616" s="906"/>
      <c r="CZ616" s="906"/>
      <c r="DA616" s="906"/>
      <c r="DB616" s="11"/>
      <c r="DC616" s="2862"/>
      <c r="DD616" s="11"/>
      <c r="DE616" s="11"/>
      <c r="DF616" s="11"/>
      <c r="DG616" s="11"/>
      <c r="DH616" s="11"/>
      <c r="DI616" s="11"/>
      <c r="DJ616" s="11"/>
      <c r="DK616" s="11"/>
      <c r="DL616" s="11"/>
      <c r="DM616" s="11"/>
      <c r="DN616" s="11"/>
      <c r="DO616" s="11"/>
      <c r="DP616" s="11"/>
      <c r="DQ616" s="11"/>
      <c r="DR616" s="11"/>
    </row>
    <row r="617" spans="1:122">
      <c r="A617" s="13" t="s">
        <v>1327</v>
      </c>
      <c r="B617" s="123"/>
      <c r="C617" s="123"/>
      <c r="D617" s="123"/>
      <c r="E617" s="123"/>
      <c r="F617" s="123"/>
      <c r="G617" s="123"/>
      <c r="H617" s="123"/>
      <c r="I617" s="123"/>
      <c r="J617" s="76">
        <f>73.5+10</f>
        <v>83.5</v>
      </c>
      <c r="K617" s="77">
        <f>214.3</f>
        <v>214.3</v>
      </c>
      <c r="L617" s="77">
        <v>324.8</v>
      </c>
      <c r="M617" s="77">
        <v>400.4</v>
      </c>
      <c r="N617" s="77">
        <v>1416.5</v>
      </c>
      <c r="O617" s="919"/>
      <c r="P617" s="77"/>
      <c r="Q617" s="77"/>
      <c r="R617" s="77">
        <v>-5.6</v>
      </c>
      <c r="S617" s="77">
        <v>0</v>
      </c>
      <c r="T617" s="77">
        <v>0</v>
      </c>
      <c r="U617" s="77">
        <v>0</v>
      </c>
      <c r="V617" s="77">
        <v>0</v>
      </c>
      <c r="W617" s="77">
        <v>-1864</v>
      </c>
      <c r="X617" s="77"/>
      <c r="Y617" s="1437"/>
      <c r="Z617" s="1437">
        <v>0</v>
      </c>
      <c r="AA617" s="1437">
        <v>0</v>
      </c>
      <c r="AB617" s="1437"/>
      <c r="AC617" s="1437">
        <v>0</v>
      </c>
      <c r="AD617" s="77">
        <v>0</v>
      </c>
      <c r="AE617" s="77">
        <v>0</v>
      </c>
      <c r="AF617" s="77">
        <v>0</v>
      </c>
      <c r="AG617" s="77">
        <v>0</v>
      </c>
      <c r="AH617" s="77">
        <v>0</v>
      </c>
      <c r="AI617" s="77">
        <v>0</v>
      </c>
      <c r="AJ617" s="77">
        <v>0</v>
      </c>
      <c r="AK617" s="77">
        <v>0</v>
      </c>
      <c r="AL617" s="1437">
        <v>0</v>
      </c>
      <c r="AM617" s="1437">
        <v>0</v>
      </c>
      <c r="AN617" s="1437">
        <v>0</v>
      </c>
      <c r="AO617" s="77"/>
      <c r="AP617" s="77"/>
      <c r="AQ617" s="77"/>
      <c r="AR617" s="77"/>
      <c r="AS617" s="77"/>
      <c r="AT617" s="77"/>
      <c r="AU617" s="11"/>
      <c r="AV617" s="11"/>
      <c r="AW617" s="98"/>
      <c r="AX617" s="98"/>
      <c r="AY617" s="98"/>
      <c r="AZ617" s="98"/>
      <c r="BA617" s="98"/>
      <c r="BB617" s="98"/>
      <c r="BC617" s="89"/>
      <c r="BD617" s="89"/>
      <c r="BE617" s="89"/>
      <c r="BF617" s="89"/>
      <c r="BG617" s="89"/>
      <c r="BH617" s="98"/>
      <c r="BI617" s="89"/>
      <c r="BJ617" s="89"/>
      <c r="BK617" s="89"/>
      <c r="BL617" s="89"/>
      <c r="BM617" s="89"/>
      <c r="BN617" s="89"/>
      <c r="BO617" s="6"/>
      <c r="BP617" s="89"/>
      <c r="BQ617" s="89"/>
      <c r="BR617" s="89"/>
      <c r="BS617" s="89"/>
      <c r="BT617" s="6"/>
      <c r="BU617" s="6"/>
      <c r="BV617" s="6"/>
      <c r="BW617" s="6"/>
      <c r="BX617" s="6"/>
      <c r="BY617" s="6"/>
      <c r="BZ617" s="6"/>
      <c r="CA617" s="6"/>
      <c r="CB617" s="6"/>
      <c r="CC617" s="6"/>
      <c r="CD617" s="6"/>
      <c r="CE617" s="6"/>
      <c r="CF617" s="6"/>
      <c r="CG617" s="6"/>
      <c r="CH617" s="6"/>
      <c r="CI617" s="6"/>
      <c r="CJ617" s="6"/>
      <c r="CK617" s="6"/>
      <c r="CL617" s="6"/>
      <c r="CM617" s="6"/>
      <c r="CN617" s="6"/>
      <c r="CO617" s="11"/>
      <c r="CP617" s="11"/>
      <c r="CQ617" s="11"/>
      <c r="CR617" s="11"/>
      <c r="CS617" s="11"/>
      <c r="CT617" s="906"/>
      <c r="CU617" s="906"/>
      <c r="CV617" s="906"/>
      <c r="CW617" s="11"/>
      <c r="CX617" s="11"/>
      <c r="CY617" s="906"/>
      <c r="CZ617" s="906"/>
      <c r="DA617" s="906"/>
      <c r="DB617" s="11"/>
      <c r="DC617" s="2862"/>
      <c r="DD617" s="11"/>
      <c r="DE617" s="11"/>
      <c r="DF617" s="11"/>
      <c r="DG617" s="11"/>
      <c r="DH617" s="11"/>
      <c r="DI617" s="11"/>
      <c r="DJ617" s="11"/>
      <c r="DK617" s="11"/>
      <c r="DL617" s="11"/>
      <c r="DM617" s="11"/>
      <c r="DN617" s="11"/>
      <c r="DO617" s="11"/>
      <c r="DP617" s="11"/>
      <c r="DQ617" s="11"/>
      <c r="DR617" s="11"/>
    </row>
    <row r="618" spans="1:122">
      <c r="A618" s="13" t="s">
        <v>515</v>
      </c>
      <c r="B618" s="123"/>
      <c r="C618" s="123"/>
      <c r="D618" s="123"/>
      <c r="E618" s="123"/>
      <c r="F618" s="123"/>
      <c r="G618" s="123"/>
      <c r="H618" s="123"/>
      <c r="I618" s="123"/>
      <c r="J618" s="76">
        <v>0</v>
      </c>
      <c r="K618" s="77">
        <v>-168</v>
      </c>
      <c r="L618" s="77">
        <v>-60.2</v>
      </c>
      <c r="M618" s="77">
        <v>-291.10000000000002</v>
      </c>
      <c r="N618" s="77">
        <v>-35.200000000000003</v>
      </c>
      <c r="O618" s="919"/>
      <c r="P618" s="77"/>
      <c r="Q618" s="77"/>
      <c r="R618" s="77">
        <v>0</v>
      </c>
      <c r="S618" s="77">
        <v>0</v>
      </c>
      <c r="T618" s="77">
        <v>0</v>
      </c>
      <c r="U618" s="77">
        <v>0</v>
      </c>
      <c r="V618" s="77">
        <v>0</v>
      </c>
      <c r="W618" s="77">
        <v>0</v>
      </c>
      <c r="X618" s="77"/>
      <c r="Y618" s="1437"/>
      <c r="Z618" s="1437">
        <v>0</v>
      </c>
      <c r="AA618" s="1437">
        <v>-1862</v>
      </c>
      <c r="AB618" s="1437"/>
      <c r="AC618" s="1437">
        <v>0</v>
      </c>
      <c r="AD618" s="77">
        <v>0</v>
      </c>
      <c r="AE618" s="77">
        <v>0</v>
      </c>
      <c r="AF618" s="77">
        <v>0</v>
      </c>
      <c r="AG618" s="77">
        <v>0</v>
      </c>
      <c r="AH618" s="77">
        <v>0</v>
      </c>
      <c r="AI618" s="77">
        <v>0</v>
      </c>
      <c r="AJ618" s="77">
        <v>0</v>
      </c>
      <c r="AK618" s="77">
        <v>0</v>
      </c>
      <c r="AL618" s="1437">
        <v>0</v>
      </c>
      <c r="AM618" s="1437">
        <v>0</v>
      </c>
      <c r="AN618" s="1437">
        <v>0</v>
      </c>
      <c r="AO618" s="77"/>
      <c r="AP618" s="77"/>
      <c r="AQ618" s="77"/>
      <c r="AR618" s="77"/>
      <c r="AS618" s="77"/>
      <c r="AT618" s="77"/>
      <c r="AU618" s="11"/>
      <c r="AV618" s="11"/>
      <c r="AW618" s="98"/>
      <c r="AX618" s="98"/>
      <c r="AY618" s="98"/>
      <c r="AZ618" s="98"/>
      <c r="BA618" s="98"/>
      <c r="BB618" s="98"/>
      <c r="BC618" s="89"/>
      <c r="BD618" s="89"/>
      <c r="BE618" s="89"/>
      <c r="BF618" s="89"/>
      <c r="BG618" s="89"/>
      <c r="BH618" s="98"/>
      <c r="BI618" s="89"/>
      <c r="BJ618" s="89"/>
      <c r="BK618" s="89"/>
      <c r="BL618" s="89"/>
      <c r="BM618" s="89"/>
      <c r="BN618" s="89"/>
      <c r="BO618" s="6"/>
      <c r="BP618" s="89"/>
      <c r="BQ618" s="89"/>
      <c r="BR618" s="89"/>
      <c r="BS618" s="89"/>
      <c r="BT618" s="6"/>
      <c r="BU618" s="6"/>
      <c r="BV618" s="6"/>
      <c r="BW618" s="6"/>
      <c r="BX618" s="6"/>
      <c r="BY618" s="6"/>
      <c r="BZ618" s="6"/>
      <c r="CA618" s="6"/>
      <c r="CB618" s="6"/>
      <c r="CC618" s="6"/>
      <c r="CD618" s="6"/>
      <c r="CE618" s="6"/>
      <c r="CF618" s="6"/>
      <c r="CG618" s="6"/>
      <c r="CH618" s="6"/>
      <c r="CI618" s="6"/>
      <c r="CJ618" s="6"/>
      <c r="CK618" s="6"/>
      <c r="CL618" s="6"/>
      <c r="CM618" s="6"/>
      <c r="CN618" s="6"/>
      <c r="CO618" s="11"/>
      <c r="CP618" s="11"/>
      <c r="CQ618" s="11"/>
      <c r="CR618" s="11"/>
      <c r="CS618" s="11"/>
      <c r="CT618" s="906"/>
      <c r="CU618" s="906"/>
      <c r="CV618" s="906"/>
      <c r="CW618" s="11"/>
      <c r="CX618" s="11"/>
      <c r="CY618" s="906"/>
      <c r="CZ618" s="906"/>
      <c r="DA618" s="906"/>
      <c r="DB618" s="11"/>
      <c r="DC618" s="2862"/>
      <c r="DD618" s="11"/>
      <c r="DE618" s="11"/>
      <c r="DF618" s="11"/>
      <c r="DG618" s="11"/>
      <c r="DH618" s="11"/>
      <c r="DI618" s="11"/>
      <c r="DJ618" s="11"/>
      <c r="DK618" s="11"/>
      <c r="DL618" s="11"/>
      <c r="DM618" s="11"/>
      <c r="DN618" s="11"/>
      <c r="DO618" s="11"/>
      <c r="DP618" s="11"/>
      <c r="DQ618" s="11"/>
      <c r="DR618" s="11"/>
    </row>
    <row r="619" spans="1:122">
      <c r="A619" s="13" t="s">
        <v>1353</v>
      </c>
      <c r="B619" s="123"/>
      <c r="C619" s="123"/>
      <c r="D619" s="123"/>
      <c r="E619" s="123"/>
      <c r="F619" s="123"/>
      <c r="G619" s="123"/>
      <c r="H619" s="123"/>
      <c r="I619" s="123"/>
      <c r="J619" s="70">
        <v>-17969.3</v>
      </c>
      <c r="K619" s="71">
        <f>-6437.4-3047</f>
        <v>-9484.4</v>
      </c>
      <c r="L619" s="77">
        <v>-65.2</v>
      </c>
      <c r="M619" s="77">
        <v>0</v>
      </c>
      <c r="N619" s="76">
        <v>-11021.2</v>
      </c>
      <c r="O619" s="919"/>
      <c r="P619" s="76"/>
      <c r="Q619" s="76"/>
      <c r="R619" s="76">
        <v>-11</v>
      </c>
      <c r="S619" s="76">
        <v>0</v>
      </c>
      <c r="T619" s="76">
        <v>0</v>
      </c>
      <c r="U619" s="76">
        <v>0</v>
      </c>
      <c r="V619" s="76">
        <v>0</v>
      </c>
      <c r="W619" s="76">
        <v>0</v>
      </c>
      <c r="X619" s="76"/>
      <c r="Y619" s="1437"/>
      <c r="Z619" s="1437">
        <v>0</v>
      </c>
      <c r="AA619" s="1437">
        <v>0</v>
      </c>
      <c r="AB619" s="1437"/>
      <c r="AC619" s="1437">
        <v>0</v>
      </c>
      <c r="AD619" s="77">
        <v>0</v>
      </c>
      <c r="AE619" s="77">
        <v>0</v>
      </c>
      <c r="AF619" s="77">
        <v>0</v>
      </c>
      <c r="AG619" s="77">
        <v>0</v>
      </c>
      <c r="AH619" s="77">
        <v>0</v>
      </c>
      <c r="AI619" s="77">
        <v>0</v>
      </c>
      <c r="AJ619" s="77">
        <v>0</v>
      </c>
      <c r="AK619" s="77">
        <v>0</v>
      </c>
      <c r="AL619" s="1437">
        <v>0</v>
      </c>
      <c r="AM619" s="1437">
        <v>0</v>
      </c>
      <c r="AN619" s="1437">
        <v>0</v>
      </c>
      <c r="AO619" s="77"/>
      <c r="AP619" s="77"/>
      <c r="AQ619" s="77"/>
      <c r="AR619" s="77"/>
      <c r="AS619" s="77"/>
      <c r="AT619" s="77"/>
      <c r="AU619" s="11"/>
      <c r="AV619" s="6"/>
      <c r="AW619" s="89"/>
      <c r="AX619" s="89"/>
      <c r="AY619" s="89"/>
      <c r="AZ619" s="89"/>
      <c r="BA619" s="89"/>
      <c r="BB619" s="89"/>
      <c r="BC619" s="89"/>
      <c r="BD619" s="89"/>
      <c r="BE619" s="89"/>
      <c r="BF619" s="89"/>
      <c r="BG619" s="89"/>
      <c r="BH619" s="98"/>
      <c r="BI619" s="89"/>
      <c r="BJ619" s="89"/>
      <c r="BK619" s="89"/>
      <c r="BL619" s="89"/>
      <c r="BM619" s="89"/>
      <c r="BN619" s="89"/>
      <c r="BO619" s="6"/>
      <c r="BP619" s="89"/>
      <c r="BQ619" s="89"/>
      <c r="BR619" s="89"/>
      <c r="BS619" s="89"/>
      <c r="BT619" s="6"/>
      <c r="BU619" s="6"/>
      <c r="BV619" s="6"/>
      <c r="BW619" s="6"/>
      <c r="BX619" s="6"/>
      <c r="BY619" s="6"/>
      <c r="BZ619" s="6"/>
      <c r="CA619" s="6"/>
      <c r="CB619" s="6"/>
      <c r="CC619" s="6"/>
      <c r="CD619" s="6"/>
      <c r="CE619" s="6"/>
      <c r="CF619" s="6"/>
      <c r="CG619" s="6"/>
      <c r="CH619" s="6"/>
      <c r="CI619" s="6"/>
      <c r="CJ619" s="6"/>
      <c r="CK619" s="6"/>
      <c r="CL619" s="6"/>
      <c r="CM619" s="6"/>
      <c r="CN619" s="6"/>
      <c r="CO619" s="11"/>
      <c r="CP619" s="11"/>
      <c r="CQ619" s="11"/>
      <c r="CR619" s="11"/>
      <c r="CS619" s="11"/>
      <c r="CT619" s="906"/>
      <c r="CU619" s="906"/>
      <c r="CV619" s="906"/>
      <c r="CW619" s="11"/>
      <c r="CX619" s="11"/>
      <c r="CY619" s="906"/>
      <c r="CZ619" s="906"/>
      <c r="DA619" s="906"/>
      <c r="DB619" s="11"/>
      <c r="DC619" s="2862"/>
      <c r="DD619" s="11"/>
      <c r="DE619" s="11"/>
      <c r="DF619" s="11"/>
      <c r="DG619" s="11"/>
      <c r="DH619" s="11"/>
      <c r="DI619" s="11"/>
      <c r="DJ619" s="11"/>
      <c r="DK619" s="11"/>
      <c r="DL619" s="11"/>
      <c r="DM619" s="11"/>
      <c r="DN619" s="11"/>
      <c r="DO619" s="11"/>
      <c r="DP619" s="11"/>
      <c r="DQ619" s="11"/>
      <c r="DR619" s="11"/>
    </row>
    <row r="620" spans="1:122">
      <c r="A620" s="216" t="s">
        <v>677</v>
      </c>
      <c r="B620" s="123"/>
      <c r="C620" s="123"/>
      <c r="D620" s="123"/>
      <c r="E620" s="123"/>
      <c r="F620" s="123"/>
      <c r="G620" s="123"/>
      <c r="H620" s="123"/>
      <c r="I620" s="123"/>
      <c r="J620" s="235">
        <f>J621-J618-J617-J616-J619</f>
        <v>1733.9000000000015</v>
      </c>
      <c r="K620" s="235">
        <f>K621-K618-K617-K616-K619</f>
        <v>89.100000000000364</v>
      </c>
      <c r="L620" s="241">
        <f>L621-L618-L617-L616-L619</f>
        <v>-282.19999999999783</v>
      </c>
      <c r="M620" s="241">
        <f>M621-M618-M617-M616-M619</f>
        <v>-478.80000000000291</v>
      </c>
      <c r="N620" s="241">
        <f>N621-N618-N617-N616-N619</f>
        <v>-164.29999999999927</v>
      </c>
      <c r="O620" s="919"/>
      <c r="P620" s="76"/>
      <c r="Q620" s="76"/>
      <c r="R620" s="241">
        <f t="shared" ref="R620:W620" si="941">R621-R618-R617-R616-R619</f>
        <v>36.300000000001091</v>
      </c>
      <c r="S620" s="241">
        <f t="shared" si="941"/>
        <v>-144</v>
      </c>
      <c r="T620" s="241">
        <f t="shared" si="941"/>
        <v>47.5</v>
      </c>
      <c r="U620" s="241">
        <f t="shared" si="941"/>
        <v>-4</v>
      </c>
      <c r="V620" s="241">
        <f t="shared" si="941"/>
        <v>-5</v>
      </c>
      <c r="W620" s="241">
        <f t="shared" si="941"/>
        <v>0</v>
      </c>
      <c r="X620" s="76"/>
      <c r="Y620" s="1437"/>
      <c r="Z620" s="2131">
        <f>Z621-Z618-Z617-Z616-Z619</f>
        <v>-1909</v>
      </c>
      <c r="AA620" s="2131">
        <f>AA621-AA618-AA617-AA616-AA619</f>
        <v>1937</v>
      </c>
      <c r="AB620" s="1437"/>
      <c r="AC620" s="1437">
        <v>0</v>
      </c>
      <c r="AD620" s="77">
        <v>0</v>
      </c>
      <c r="AE620" s="77">
        <v>0</v>
      </c>
      <c r="AF620" s="77">
        <v>0</v>
      </c>
      <c r="AG620" s="77">
        <v>0</v>
      </c>
      <c r="AH620" s="77">
        <v>0</v>
      </c>
      <c r="AI620" s="77">
        <v>0</v>
      </c>
      <c r="AJ620" s="77">
        <v>0</v>
      </c>
      <c r="AK620" s="77">
        <v>0</v>
      </c>
      <c r="AL620" s="1437">
        <v>0</v>
      </c>
      <c r="AM620" s="1437">
        <v>0</v>
      </c>
      <c r="AN620" s="1437">
        <v>0</v>
      </c>
      <c r="AO620" s="77"/>
      <c r="AP620" s="77"/>
      <c r="AQ620" s="77"/>
      <c r="AR620" s="77"/>
      <c r="AS620" s="77"/>
      <c r="AT620" s="77"/>
      <c r="AU620" s="11"/>
      <c r="AV620" s="6"/>
      <c r="AW620" s="89"/>
      <c r="AX620" s="89"/>
      <c r="AY620" s="89"/>
      <c r="AZ620" s="89"/>
      <c r="BA620" s="89"/>
      <c r="BB620" s="89"/>
      <c r="BC620" s="89"/>
      <c r="BD620" s="89"/>
      <c r="BE620" s="89"/>
      <c r="BF620" s="89"/>
      <c r="BG620" s="89"/>
      <c r="BH620" s="98"/>
      <c r="BI620" s="89"/>
      <c r="BJ620" s="89"/>
      <c r="BK620" s="89"/>
      <c r="BL620" s="89"/>
      <c r="BM620" s="89"/>
      <c r="BN620" s="89"/>
      <c r="BO620" s="6"/>
      <c r="BP620" s="89"/>
      <c r="BQ620" s="89"/>
      <c r="BR620" s="89"/>
      <c r="BS620" s="89"/>
      <c r="BT620" s="6"/>
      <c r="BU620" s="6"/>
      <c r="BV620" s="6"/>
      <c r="BW620" s="6"/>
      <c r="BX620" s="6"/>
      <c r="BY620" s="6"/>
      <c r="BZ620" s="6"/>
      <c r="CA620" s="6"/>
      <c r="CB620" s="6"/>
      <c r="CC620" s="6"/>
      <c r="CD620" s="6"/>
      <c r="CE620" s="6"/>
      <c r="CF620" s="6"/>
      <c r="CG620" s="6"/>
      <c r="CH620" s="6"/>
      <c r="CI620" s="6"/>
      <c r="CJ620" s="6"/>
      <c r="CK620" s="6"/>
      <c r="CL620" s="6"/>
      <c r="CM620" s="6"/>
      <c r="CN620" s="6"/>
      <c r="CO620" s="11"/>
      <c r="CP620" s="11"/>
      <c r="CQ620" s="11"/>
      <c r="CR620" s="11"/>
      <c r="CS620" s="11"/>
      <c r="CT620" s="906"/>
      <c r="CU620" s="906"/>
      <c r="CV620" s="906"/>
      <c r="CW620" s="11"/>
      <c r="CX620" s="11"/>
      <c r="CY620" s="906"/>
      <c r="CZ620" s="906"/>
      <c r="DA620" s="906"/>
      <c r="DB620" s="11"/>
      <c r="DC620" s="2862"/>
      <c r="DD620" s="11"/>
      <c r="DE620" s="11"/>
      <c r="DF620" s="11"/>
      <c r="DG620" s="11"/>
      <c r="DH620" s="11"/>
      <c r="DI620" s="11"/>
      <c r="DJ620" s="11"/>
      <c r="DK620" s="11"/>
      <c r="DL620" s="11"/>
      <c r="DM620" s="11"/>
      <c r="DN620" s="11"/>
      <c r="DO620" s="11"/>
      <c r="DP620" s="11"/>
      <c r="DQ620" s="11"/>
      <c r="DR620" s="11"/>
    </row>
    <row r="621" spans="1:122">
      <c r="A621" s="216" t="s">
        <v>384</v>
      </c>
      <c r="B621" s="123"/>
      <c r="C621" s="123"/>
      <c r="D621" s="123"/>
      <c r="E621" s="123"/>
      <c r="F621" s="123"/>
      <c r="G621" s="123"/>
      <c r="H621" s="123"/>
      <c r="I621" s="123"/>
      <c r="J621" s="13">
        <f>J628</f>
        <v>28253.3</v>
      </c>
      <c r="K621" s="13">
        <f>K628</f>
        <v>18904.3</v>
      </c>
      <c r="L621" s="13">
        <f>L628</f>
        <v>18821.5</v>
      </c>
      <c r="M621" s="13">
        <f>M628</f>
        <v>18452</v>
      </c>
      <c r="N621" s="13">
        <f>N628</f>
        <v>8647.7999999999993</v>
      </c>
      <c r="O621" s="919"/>
      <c r="P621" s="13"/>
      <c r="Q621" s="13"/>
      <c r="R621" s="13">
        <f t="shared" ref="R621:W621" si="942">R628</f>
        <v>8667.5</v>
      </c>
      <c r="S621" s="13">
        <f t="shared" si="942"/>
        <v>8523.5</v>
      </c>
      <c r="T621" s="13">
        <f t="shared" si="942"/>
        <v>8571</v>
      </c>
      <c r="U621" s="13">
        <f t="shared" si="942"/>
        <v>8567</v>
      </c>
      <c r="V621" s="13">
        <f t="shared" si="942"/>
        <v>8562</v>
      </c>
      <c r="W621" s="13">
        <f t="shared" si="942"/>
        <v>6698</v>
      </c>
      <c r="X621" s="13"/>
      <c r="Y621" s="1357"/>
      <c r="Z621" s="1357">
        <f>Z628</f>
        <v>4789</v>
      </c>
      <c r="AA621" s="1357">
        <f>AA628</f>
        <v>4864</v>
      </c>
      <c r="AB621" s="1357"/>
      <c r="AC621" s="1357">
        <f>SUM(AC616:AC620)</f>
        <v>4864</v>
      </c>
      <c r="AD621" s="14">
        <f>SUM(AD616:AD620)</f>
        <v>4864</v>
      </c>
      <c r="AE621" s="14">
        <f>SUM(AE616:AE620)</f>
        <v>4864</v>
      </c>
      <c r="AF621" s="14">
        <f>SUM(AF616:AF620)</f>
        <v>4864</v>
      </c>
      <c r="AG621" s="14">
        <f t="shared" ref="AG621:AL621" si="943">SUM(AG616:AG620)</f>
        <v>4864</v>
      </c>
      <c r="AH621" s="14">
        <f t="shared" si="943"/>
        <v>4864</v>
      </c>
      <c r="AI621" s="14">
        <f t="shared" si="943"/>
        <v>4864</v>
      </c>
      <c r="AJ621" s="14">
        <f t="shared" si="943"/>
        <v>4864</v>
      </c>
      <c r="AK621" s="14">
        <f t="shared" si="943"/>
        <v>4864</v>
      </c>
      <c r="AL621" s="1357">
        <f t="shared" si="943"/>
        <v>4864</v>
      </c>
      <c r="AM621" s="1357">
        <f>SUM(AM616:AM620)</f>
        <v>4864</v>
      </c>
      <c r="AN621" s="1357">
        <f>SUM(AN616:AN620)</f>
        <v>4864</v>
      </c>
      <c r="AO621" s="14"/>
      <c r="AP621" s="14"/>
      <c r="AQ621" s="14"/>
      <c r="AR621" s="14"/>
      <c r="AS621" s="14"/>
      <c r="AT621" s="14"/>
      <c r="AU621" s="11"/>
      <c r="AV621" s="6"/>
      <c r="AW621" s="89"/>
      <c r="AX621" s="89"/>
      <c r="AY621" s="89"/>
      <c r="AZ621" s="89"/>
      <c r="BA621" s="89"/>
      <c r="BB621" s="89"/>
      <c r="BC621" s="89"/>
      <c r="BD621" s="89"/>
      <c r="BE621" s="89"/>
      <c r="BF621" s="89"/>
      <c r="BG621" s="89"/>
      <c r="BH621" s="98"/>
      <c r="BI621" s="89"/>
      <c r="BJ621" s="89"/>
      <c r="BK621" s="89"/>
      <c r="BL621" s="89"/>
      <c r="BM621" s="89"/>
      <c r="BN621" s="89"/>
      <c r="BO621" s="6"/>
      <c r="BP621" s="89"/>
      <c r="BQ621" s="89"/>
      <c r="BR621" s="89"/>
      <c r="BS621" s="89"/>
      <c r="BT621" s="6"/>
      <c r="BU621" s="6"/>
      <c r="BV621" s="6"/>
      <c r="BW621" s="6"/>
      <c r="BX621" s="6"/>
      <c r="BY621" s="6"/>
      <c r="BZ621" s="6"/>
      <c r="CA621" s="6"/>
      <c r="CB621" s="6"/>
      <c r="CC621" s="6"/>
      <c r="CD621" s="6"/>
      <c r="CE621" s="6"/>
      <c r="CF621" s="6"/>
      <c r="CG621" s="6"/>
      <c r="CH621" s="6"/>
      <c r="CI621" s="6"/>
      <c r="CJ621" s="6"/>
      <c r="CK621" s="6"/>
      <c r="CL621" s="6"/>
      <c r="CM621" s="6"/>
      <c r="CN621" s="6"/>
      <c r="CO621" s="11"/>
      <c r="CP621" s="11"/>
      <c r="CQ621" s="11"/>
      <c r="CR621" s="11"/>
      <c r="CS621" s="11"/>
      <c r="CT621" s="906"/>
      <c r="CU621" s="906"/>
      <c r="CV621" s="906"/>
      <c r="CW621" s="11"/>
      <c r="CX621" s="11"/>
      <c r="CY621" s="906"/>
      <c r="CZ621" s="906"/>
      <c r="DA621" s="906"/>
      <c r="DB621" s="11"/>
      <c r="DC621" s="2862"/>
      <c r="DD621" s="11"/>
      <c r="DE621" s="11"/>
      <c r="DF621" s="11"/>
      <c r="DG621" s="11"/>
      <c r="DH621" s="11"/>
      <c r="DI621" s="11"/>
      <c r="DJ621" s="11"/>
      <c r="DK621" s="11"/>
      <c r="DL621" s="11"/>
      <c r="DM621" s="11"/>
      <c r="DN621" s="11"/>
      <c r="DO621" s="11"/>
      <c r="DP621" s="11"/>
      <c r="DQ621" s="11"/>
      <c r="DR621" s="11"/>
    </row>
    <row r="622" spans="1:122">
      <c r="A622" s="216"/>
      <c r="B622" s="123"/>
      <c r="C622" s="123"/>
      <c r="D622" s="123"/>
      <c r="E622" s="123"/>
      <c r="F622" s="123"/>
      <c r="G622" s="123"/>
      <c r="H622" s="123"/>
      <c r="I622" s="123"/>
      <c r="J622" s="89"/>
      <c r="K622" s="89"/>
      <c r="L622" s="123"/>
      <c r="M622" s="127"/>
      <c r="N622" s="123"/>
      <c r="O622" s="919"/>
      <c r="P622" s="123"/>
      <c r="Q622" s="123"/>
      <c r="R622" s="123"/>
      <c r="S622" s="123"/>
      <c r="T622" s="123"/>
      <c r="U622" s="123"/>
      <c r="V622" s="123"/>
      <c r="W622" s="123"/>
      <c r="X622" s="123"/>
      <c r="Y622" s="1687"/>
      <c r="Z622" s="1687"/>
      <c r="AA622" s="1687"/>
      <c r="AB622" s="1687"/>
      <c r="AC622" s="1687"/>
      <c r="AD622" s="127"/>
      <c r="AE622" s="127"/>
      <c r="AF622" s="127"/>
      <c r="AG622" s="127"/>
      <c r="AH622" s="127"/>
      <c r="AI622" s="127"/>
      <c r="AJ622" s="127"/>
      <c r="AK622" s="127"/>
      <c r="AL622" s="1687"/>
      <c r="AM622" s="1687"/>
      <c r="AN622" s="127"/>
      <c r="AO622" s="127"/>
      <c r="AP622" s="127"/>
      <c r="AQ622" s="127"/>
      <c r="AR622" s="127"/>
      <c r="AS622" s="127"/>
      <c r="AT622" s="127"/>
      <c r="AU622" s="11"/>
      <c r="AV622" s="6"/>
      <c r="AW622" s="89"/>
      <c r="AX622" s="89"/>
      <c r="AY622" s="89"/>
      <c r="AZ622" s="89"/>
      <c r="BA622" s="89"/>
      <c r="BB622" s="89"/>
      <c r="BC622" s="89"/>
      <c r="BD622" s="89"/>
      <c r="BE622" s="89"/>
      <c r="BF622" s="89"/>
      <c r="BG622" s="89"/>
      <c r="BH622" s="98"/>
      <c r="BI622" s="89"/>
      <c r="BJ622" s="89"/>
      <c r="BK622" s="89"/>
      <c r="BL622" s="89"/>
      <c r="BM622" s="89"/>
      <c r="BN622" s="89"/>
      <c r="BO622" s="6"/>
      <c r="BP622" s="89"/>
      <c r="BQ622" s="89"/>
      <c r="BR622" s="89"/>
      <c r="BS622" s="89"/>
      <c r="BT622" s="6"/>
      <c r="BU622" s="6"/>
      <c r="BV622" s="6"/>
      <c r="BW622" s="6"/>
      <c r="BX622" s="6"/>
      <c r="BY622" s="6"/>
      <c r="BZ622" s="6"/>
      <c r="CA622" s="6"/>
      <c r="CB622" s="6"/>
      <c r="CC622" s="6"/>
      <c r="CD622" s="6"/>
      <c r="CE622" s="6"/>
      <c r="CF622" s="6"/>
      <c r="CG622" s="6"/>
      <c r="CH622" s="6"/>
      <c r="CI622" s="6"/>
      <c r="CJ622" s="6"/>
      <c r="CK622" s="6"/>
      <c r="CL622" s="6"/>
      <c r="CM622" s="6"/>
      <c r="CN622" s="6"/>
      <c r="CO622" s="11"/>
      <c r="CP622" s="11"/>
      <c r="CQ622" s="11"/>
      <c r="CR622" s="11"/>
      <c r="CS622" s="11"/>
      <c r="CT622" s="906"/>
      <c r="CU622" s="906"/>
      <c r="CV622" s="906"/>
      <c r="CW622" s="11"/>
      <c r="CX622" s="11"/>
      <c r="CY622" s="906"/>
      <c r="CZ622" s="906"/>
      <c r="DA622" s="906"/>
      <c r="DB622" s="11"/>
      <c r="DC622" s="2862"/>
      <c r="DD622" s="11"/>
      <c r="DE622" s="11"/>
      <c r="DF622" s="11"/>
      <c r="DG622" s="11"/>
      <c r="DH622" s="11"/>
      <c r="DI622" s="11"/>
      <c r="DJ622" s="11"/>
      <c r="DK622" s="11"/>
      <c r="DL622" s="11"/>
      <c r="DM622" s="11"/>
      <c r="DN622" s="11"/>
      <c r="DO622" s="11"/>
      <c r="DP622" s="11"/>
      <c r="DQ622" s="11"/>
      <c r="DR622" s="11"/>
    </row>
    <row r="623" spans="1:122">
      <c r="A623" s="114" t="s">
        <v>1328</v>
      </c>
      <c r="B623" s="127"/>
      <c r="C623" s="127"/>
      <c r="D623" s="127"/>
      <c r="E623" s="127"/>
      <c r="F623" s="127"/>
      <c r="G623" s="127"/>
      <c r="H623" s="127"/>
      <c r="I623" s="77">
        <v>0</v>
      </c>
      <c r="J623" s="77">
        <v>0</v>
      </c>
      <c r="K623" s="77">
        <v>0</v>
      </c>
      <c r="L623" s="14">
        <v>0</v>
      </c>
      <c r="M623" s="14">
        <f t="shared" ref="M623:AF623" si="944">L626</f>
        <v>0</v>
      </c>
      <c r="N623" s="14">
        <f t="shared" si="944"/>
        <v>0</v>
      </c>
      <c r="O623" s="919"/>
      <c r="P623" s="14"/>
      <c r="Q623" s="14"/>
      <c r="R623" s="14">
        <f>N626</f>
        <v>0</v>
      </c>
      <c r="S623" s="14">
        <f t="shared" si="944"/>
        <v>0</v>
      </c>
      <c r="T623" s="14">
        <f t="shared" si="944"/>
        <v>0</v>
      </c>
      <c r="U623" s="14">
        <f t="shared" si="944"/>
        <v>0</v>
      </c>
      <c r="V623" s="14">
        <f t="shared" si="944"/>
        <v>0</v>
      </c>
      <c r="W623" s="14">
        <f t="shared" si="944"/>
        <v>0</v>
      </c>
      <c r="X623" s="14"/>
      <c r="Y623" s="1357"/>
      <c r="Z623" s="1357">
        <f t="shared" si="944"/>
        <v>0</v>
      </c>
      <c r="AA623" s="1357">
        <f t="shared" si="944"/>
        <v>0</v>
      </c>
      <c r="AB623" s="1357"/>
      <c r="AC623" s="1357">
        <f>AA626</f>
        <v>0</v>
      </c>
      <c r="AD623" s="14">
        <f t="shared" si="944"/>
        <v>0</v>
      </c>
      <c r="AE623" s="14">
        <f t="shared" si="944"/>
        <v>0</v>
      </c>
      <c r="AF623" s="14">
        <f t="shared" si="944"/>
        <v>0</v>
      </c>
      <c r="AG623" s="14">
        <f t="shared" ref="AG623:AN623" si="945">AF626</f>
        <v>0</v>
      </c>
      <c r="AH623" s="14">
        <f t="shared" si="945"/>
        <v>0</v>
      </c>
      <c r="AI623" s="14">
        <f t="shared" si="945"/>
        <v>0</v>
      </c>
      <c r="AJ623" s="14">
        <f t="shared" si="945"/>
        <v>0</v>
      </c>
      <c r="AK623" s="14">
        <f t="shared" si="945"/>
        <v>0</v>
      </c>
      <c r="AL623" s="1357">
        <f t="shared" si="945"/>
        <v>0</v>
      </c>
      <c r="AM623" s="1357">
        <f t="shared" si="945"/>
        <v>0</v>
      </c>
      <c r="AN623" s="1357">
        <f t="shared" si="945"/>
        <v>0</v>
      </c>
      <c r="AO623" s="14"/>
      <c r="AP623" s="14"/>
      <c r="AQ623" s="14"/>
      <c r="AR623" s="14"/>
      <c r="AS623" s="14"/>
      <c r="AT623" s="14"/>
      <c r="AU623" s="11"/>
      <c r="AV623" s="11"/>
      <c r="AW623" s="89"/>
      <c r="AX623" s="89"/>
      <c r="AY623" s="89"/>
      <c r="AZ623" s="89"/>
      <c r="BA623" s="89"/>
      <c r="BB623" s="89"/>
      <c r="BC623" s="89"/>
      <c r="BD623" s="89"/>
      <c r="BE623" s="89"/>
      <c r="BF623" s="89"/>
      <c r="BG623" s="89"/>
      <c r="BH623" s="98"/>
      <c r="BI623" s="89"/>
      <c r="BJ623" s="89"/>
      <c r="BK623" s="89"/>
      <c r="BL623" s="89"/>
      <c r="BM623" s="89"/>
      <c r="BN623" s="89"/>
      <c r="BO623" s="11"/>
      <c r="BP623" s="89"/>
      <c r="BQ623" s="89"/>
      <c r="BR623" s="89"/>
      <c r="BS623" s="89"/>
      <c r="BT623" s="11"/>
      <c r="BU623" s="11"/>
      <c r="BV623" s="11"/>
      <c r="BW623" s="11"/>
      <c r="BX623" s="11"/>
      <c r="BY623" s="11"/>
      <c r="BZ623" s="11"/>
      <c r="CA623" s="11"/>
      <c r="CB623" s="11"/>
      <c r="CC623" s="11"/>
      <c r="CD623" s="11"/>
      <c r="CE623" s="11"/>
      <c r="CF623" s="11"/>
      <c r="CG623" s="11"/>
      <c r="CH623" s="11"/>
      <c r="CI623" s="11"/>
      <c r="CJ623" s="11"/>
      <c r="CK623" s="11"/>
      <c r="CL623" s="11"/>
      <c r="CM623" s="11"/>
      <c r="CN623" s="11"/>
      <c r="CO623" s="11"/>
      <c r="CP623" s="11"/>
      <c r="CQ623" s="11"/>
      <c r="CR623" s="11"/>
      <c r="CS623" s="11"/>
      <c r="CT623" s="906"/>
      <c r="CU623" s="906"/>
      <c r="CV623" s="906"/>
      <c r="CW623" s="11"/>
      <c r="CX623" s="11"/>
      <c r="CY623" s="906"/>
      <c r="CZ623" s="906"/>
      <c r="DA623" s="906"/>
      <c r="DB623" s="11"/>
      <c r="DC623" s="2862"/>
      <c r="DD623" s="11"/>
      <c r="DE623" s="11"/>
      <c r="DF623" s="11"/>
      <c r="DG623" s="11"/>
      <c r="DH623" s="11"/>
      <c r="DI623" s="11"/>
      <c r="DJ623" s="11"/>
      <c r="DK623" s="11"/>
      <c r="DL623" s="11"/>
      <c r="DM623" s="11"/>
      <c r="DN623" s="11"/>
      <c r="DO623" s="11"/>
      <c r="DP623" s="11"/>
      <c r="DQ623" s="11"/>
      <c r="DR623" s="11"/>
    </row>
    <row r="624" spans="1:122">
      <c r="A624" s="114" t="s">
        <v>462</v>
      </c>
      <c r="B624" s="238"/>
      <c r="C624" s="238"/>
      <c r="D624" s="238"/>
      <c r="E624" s="238"/>
      <c r="F624" s="238"/>
      <c r="G624" s="238"/>
      <c r="H624" s="238"/>
      <c r="I624" s="77">
        <v>0</v>
      </c>
      <c r="J624" s="77">
        <v>0</v>
      </c>
      <c r="K624" s="77">
        <v>0</v>
      </c>
      <c r="L624" s="77">
        <v>0</v>
      </c>
      <c r="M624" s="77">
        <v>0</v>
      </c>
      <c r="N624" s="77">
        <v>0</v>
      </c>
      <c r="O624" s="919"/>
      <c r="P624" s="77"/>
      <c r="Q624" s="77"/>
      <c r="R624" s="77">
        <v>0</v>
      </c>
      <c r="S624" s="77">
        <v>0</v>
      </c>
      <c r="T624" s="77">
        <v>0</v>
      </c>
      <c r="U624" s="77">
        <v>0</v>
      </c>
      <c r="V624" s="77">
        <v>0</v>
      </c>
      <c r="W624" s="77">
        <v>0</v>
      </c>
      <c r="X624" s="77"/>
      <c r="Y624" s="1437"/>
      <c r="Z624" s="1437">
        <v>0</v>
      </c>
      <c r="AA624" s="1437">
        <v>0</v>
      </c>
      <c r="AB624" s="1437"/>
      <c r="AC624" s="1437">
        <v>0</v>
      </c>
      <c r="AD624" s="77">
        <v>0</v>
      </c>
      <c r="AE624" s="77">
        <v>0</v>
      </c>
      <c r="AF624" s="77">
        <v>0</v>
      </c>
      <c r="AG624" s="77">
        <v>0</v>
      </c>
      <c r="AH624" s="77">
        <v>0</v>
      </c>
      <c r="AI624" s="77">
        <v>0</v>
      </c>
      <c r="AJ624" s="77">
        <v>0</v>
      </c>
      <c r="AK624" s="77">
        <v>0</v>
      </c>
      <c r="AL624" s="1437">
        <v>0</v>
      </c>
      <c r="AM624" s="1437">
        <v>0</v>
      </c>
      <c r="AN624" s="1437">
        <v>0</v>
      </c>
      <c r="AO624" s="77"/>
      <c r="AP624" s="77"/>
      <c r="AQ624" s="77"/>
      <c r="AR624" s="77"/>
      <c r="AS624" s="77"/>
      <c r="AT624" s="77"/>
      <c r="AU624" s="11"/>
      <c r="AV624" s="11"/>
      <c r="AW624" s="89"/>
      <c r="AX624" s="89"/>
      <c r="AY624" s="89"/>
      <c r="AZ624" s="89"/>
      <c r="BA624" s="89"/>
      <c r="BB624" s="89"/>
      <c r="BC624" s="89"/>
      <c r="BD624" s="89"/>
      <c r="BE624" s="89"/>
      <c r="BF624" s="89"/>
      <c r="BG624" s="89"/>
      <c r="BH624" s="98"/>
      <c r="BI624" s="89"/>
      <c r="BJ624" s="89"/>
      <c r="BK624" s="89"/>
      <c r="BL624" s="89"/>
      <c r="BM624" s="89"/>
      <c r="BN624" s="89"/>
      <c r="BO624" s="11"/>
      <c r="BP624" s="89"/>
      <c r="BQ624" s="89"/>
      <c r="BR624" s="89"/>
      <c r="BS624" s="89"/>
      <c r="BT624" s="11"/>
      <c r="BU624" s="11"/>
      <c r="BV624" s="11"/>
      <c r="BW624" s="11"/>
      <c r="BX624" s="11"/>
      <c r="BY624" s="11"/>
      <c r="BZ624" s="11"/>
      <c r="CA624" s="11"/>
      <c r="CB624" s="11"/>
      <c r="CC624" s="11"/>
      <c r="CD624" s="11"/>
      <c r="CE624" s="11"/>
      <c r="CF624" s="11"/>
      <c r="CG624" s="11"/>
      <c r="CH624" s="11"/>
      <c r="CI624" s="11"/>
      <c r="CJ624" s="11"/>
      <c r="CK624" s="11"/>
      <c r="CL624" s="11"/>
      <c r="CM624" s="11"/>
      <c r="CN624" s="11"/>
      <c r="CO624" s="11"/>
      <c r="CP624" s="11"/>
      <c r="CQ624" s="11"/>
      <c r="CR624" s="11"/>
      <c r="CS624" s="11"/>
      <c r="CT624" s="906"/>
      <c r="CU624" s="906"/>
      <c r="CV624" s="906"/>
      <c r="CW624" s="11"/>
      <c r="CX624" s="11"/>
      <c r="CY624" s="906"/>
      <c r="CZ624" s="906"/>
      <c r="DA624" s="906"/>
      <c r="DB624" s="11"/>
      <c r="DC624" s="2862"/>
      <c r="DD624" s="11"/>
      <c r="DE624" s="11"/>
      <c r="DF624" s="11"/>
      <c r="DG624" s="11"/>
      <c r="DH624" s="11"/>
      <c r="DI624" s="11"/>
      <c r="DJ624" s="11"/>
      <c r="DK624" s="11"/>
      <c r="DL624" s="11"/>
      <c r="DM624" s="11"/>
      <c r="DN624" s="11"/>
      <c r="DO624" s="11"/>
      <c r="DP624" s="11"/>
      <c r="DQ624" s="11"/>
      <c r="DR624" s="11"/>
    </row>
    <row r="625" spans="1:122">
      <c r="A625" s="114" t="s">
        <v>580</v>
      </c>
      <c r="B625" s="127"/>
      <c r="C625" s="127"/>
      <c r="D625" s="127"/>
      <c r="E625" s="127"/>
      <c r="F625" s="127"/>
      <c r="G625" s="127"/>
      <c r="H625" s="127"/>
      <c r="I625" s="77">
        <v>0</v>
      </c>
      <c r="J625" s="77">
        <v>0</v>
      </c>
      <c r="K625" s="77">
        <v>0</v>
      </c>
      <c r="L625" s="77">
        <v>0</v>
      </c>
      <c r="M625" s="77">
        <v>0</v>
      </c>
      <c r="N625" s="77">
        <v>0</v>
      </c>
      <c r="O625" s="919"/>
      <c r="P625" s="77"/>
      <c r="Q625" s="77"/>
      <c r="R625" s="77">
        <v>0</v>
      </c>
      <c r="S625" s="77">
        <v>0</v>
      </c>
      <c r="T625" s="77">
        <v>0</v>
      </c>
      <c r="U625" s="77">
        <v>0</v>
      </c>
      <c r="V625" s="77">
        <v>0</v>
      </c>
      <c r="W625" s="77">
        <v>0</v>
      </c>
      <c r="X625" s="77"/>
      <c r="Y625" s="1437"/>
      <c r="Z625" s="1437">
        <v>0</v>
      </c>
      <c r="AA625" s="1437">
        <v>0</v>
      </c>
      <c r="AB625" s="1437"/>
      <c r="AC625" s="1437">
        <v>0</v>
      </c>
      <c r="AD625" s="77">
        <v>0</v>
      </c>
      <c r="AE625" s="77">
        <v>0</v>
      </c>
      <c r="AF625" s="77">
        <v>0</v>
      </c>
      <c r="AG625" s="77">
        <v>0</v>
      </c>
      <c r="AH625" s="77">
        <v>0</v>
      </c>
      <c r="AI625" s="77">
        <v>0</v>
      </c>
      <c r="AJ625" s="77">
        <v>0</v>
      </c>
      <c r="AK625" s="77">
        <v>0</v>
      </c>
      <c r="AL625" s="1437">
        <v>0</v>
      </c>
      <c r="AM625" s="1437">
        <v>0</v>
      </c>
      <c r="AN625" s="1437">
        <v>0</v>
      </c>
      <c r="AO625" s="77"/>
      <c r="AP625" s="77"/>
      <c r="AQ625" s="77"/>
      <c r="AR625" s="77"/>
      <c r="AS625" s="77"/>
      <c r="AT625" s="77"/>
      <c r="AU625" s="11"/>
      <c r="AV625" s="11"/>
      <c r="AW625" s="89"/>
      <c r="AX625" s="89"/>
      <c r="AY625" s="89"/>
      <c r="AZ625" s="89"/>
      <c r="BA625" s="89"/>
      <c r="BB625" s="89"/>
      <c r="BC625" s="89"/>
      <c r="BD625" s="89"/>
      <c r="BE625" s="89"/>
      <c r="BF625" s="89"/>
      <c r="BG625" s="89"/>
      <c r="BH625" s="98"/>
      <c r="BI625" s="89"/>
      <c r="BJ625" s="89"/>
      <c r="BK625" s="89"/>
      <c r="BL625" s="89"/>
      <c r="BM625" s="89"/>
      <c r="BN625" s="89"/>
      <c r="BO625" s="11"/>
      <c r="BP625" s="89"/>
      <c r="BQ625" s="89"/>
      <c r="BR625" s="89"/>
      <c r="BS625" s="89"/>
      <c r="BT625" s="11"/>
      <c r="BU625" s="11"/>
      <c r="BV625" s="11"/>
      <c r="BW625" s="11"/>
      <c r="BX625" s="11"/>
      <c r="BY625" s="11"/>
      <c r="BZ625" s="11"/>
      <c r="CA625" s="11"/>
      <c r="CB625" s="11"/>
      <c r="CC625" s="11"/>
      <c r="CD625" s="11"/>
      <c r="CE625" s="11"/>
      <c r="CF625" s="11"/>
      <c r="CG625" s="11"/>
      <c r="CH625" s="11"/>
      <c r="CI625" s="11"/>
      <c r="CJ625" s="11"/>
      <c r="CK625" s="11"/>
      <c r="CL625" s="11"/>
      <c r="CM625" s="11"/>
      <c r="CN625" s="11"/>
      <c r="CO625" s="11"/>
      <c r="CP625" s="11"/>
      <c r="CQ625" s="11"/>
      <c r="CR625" s="11"/>
      <c r="CS625" s="11"/>
      <c r="CT625" s="906"/>
      <c r="CU625" s="906"/>
      <c r="CV625" s="906"/>
      <c r="CW625" s="11"/>
      <c r="CX625" s="11"/>
      <c r="CY625" s="906"/>
      <c r="CZ625" s="906"/>
      <c r="DA625" s="906"/>
      <c r="DB625" s="11"/>
      <c r="DC625" s="2862"/>
      <c r="DD625" s="11"/>
      <c r="DE625" s="11"/>
      <c r="DF625" s="11"/>
      <c r="DG625" s="11"/>
      <c r="DH625" s="11"/>
      <c r="DI625" s="11"/>
      <c r="DJ625" s="11"/>
      <c r="DK625" s="11"/>
      <c r="DL625" s="11"/>
      <c r="DM625" s="11"/>
      <c r="DN625" s="11"/>
      <c r="DO625" s="11"/>
      <c r="DP625" s="11"/>
      <c r="DQ625" s="11"/>
      <c r="DR625" s="11"/>
    </row>
    <row r="626" spans="1:122">
      <c r="A626" s="114" t="s">
        <v>1329</v>
      </c>
      <c r="B626" s="127"/>
      <c r="C626" s="127"/>
      <c r="D626" s="127"/>
      <c r="E626" s="127"/>
      <c r="F626" s="127"/>
      <c r="G626" s="127"/>
      <c r="H626" s="127"/>
      <c r="I626" s="14">
        <f>+I623+I624+I625</f>
        <v>0</v>
      </c>
      <c r="J626" s="14">
        <f>+J623+J624+J625</f>
        <v>0</v>
      </c>
      <c r="K626" s="14">
        <f>+K623+K624+K625</f>
        <v>0</v>
      </c>
      <c r="L626" s="14">
        <f t="shared" ref="L626:AF626" si="946">+L623+L624+L625</f>
        <v>0</v>
      </c>
      <c r="M626" s="14">
        <f t="shared" si="946"/>
        <v>0</v>
      </c>
      <c r="N626" s="14">
        <f t="shared" si="946"/>
        <v>0</v>
      </c>
      <c r="O626" s="919"/>
      <c r="P626" s="14"/>
      <c r="Q626" s="14"/>
      <c r="R626" s="14">
        <f t="shared" si="946"/>
        <v>0</v>
      </c>
      <c r="S626" s="14">
        <f t="shared" si="946"/>
        <v>0</v>
      </c>
      <c r="T626" s="14">
        <f t="shared" si="946"/>
        <v>0</v>
      </c>
      <c r="U626" s="14">
        <f t="shared" si="946"/>
        <v>0</v>
      </c>
      <c r="V626" s="14">
        <f t="shared" si="946"/>
        <v>0</v>
      </c>
      <c r="W626" s="14">
        <f t="shared" si="946"/>
        <v>0</v>
      </c>
      <c r="X626" s="14"/>
      <c r="Y626" s="1357"/>
      <c r="Z626" s="1357">
        <f>+Z623+Z624+Z625</f>
        <v>0</v>
      </c>
      <c r="AA626" s="1357">
        <f t="shared" si="946"/>
        <v>0</v>
      </c>
      <c r="AB626" s="1357"/>
      <c r="AC626" s="1357">
        <f t="shared" si="946"/>
        <v>0</v>
      </c>
      <c r="AD626" s="14">
        <f t="shared" si="946"/>
        <v>0</v>
      </c>
      <c r="AE626" s="14">
        <f t="shared" si="946"/>
        <v>0</v>
      </c>
      <c r="AF626" s="14">
        <f t="shared" si="946"/>
        <v>0</v>
      </c>
      <c r="AG626" s="14">
        <f t="shared" ref="AG626:AL626" si="947">+AG623+AG624+AG625</f>
        <v>0</v>
      </c>
      <c r="AH626" s="14">
        <f t="shared" si="947"/>
        <v>0</v>
      </c>
      <c r="AI626" s="14">
        <f t="shared" si="947"/>
        <v>0</v>
      </c>
      <c r="AJ626" s="14">
        <f t="shared" si="947"/>
        <v>0</v>
      </c>
      <c r="AK626" s="14">
        <f t="shared" si="947"/>
        <v>0</v>
      </c>
      <c r="AL626" s="1357">
        <f t="shared" si="947"/>
        <v>0</v>
      </c>
      <c r="AM626" s="1357">
        <f>+AM623+AM624+AM625</f>
        <v>0</v>
      </c>
      <c r="AN626" s="1357">
        <f>+AN623+AN624+AN625</f>
        <v>0</v>
      </c>
      <c r="AO626" s="14"/>
      <c r="AP626" s="14"/>
      <c r="AQ626" s="14"/>
      <c r="AR626" s="14"/>
      <c r="AS626" s="14"/>
      <c r="AT626" s="14"/>
      <c r="AU626" s="11"/>
      <c r="AV626" s="11"/>
      <c r="AW626" s="89"/>
      <c r="AX626" s="89"/>
      <c r="AY626" s="89"/>
      <c r="AZ626" s="89"/>
      <c r="BA626" s="89"/>
      <c r="BB626" s="89"/>
      <c r="BC626" s="89"/>
      <c r="BD626" s="89"/>
      <c r="BE626" s="89"/>
      <c r="BF626" s="89"/>
      <c r="BG626" s="89"/>
      <c r="BH626" s="98"/>
      <c r="BI626" s="89"/>
      <c r="BJ626" s="89"/>
      <c r="BK626" s="89"/>
      <c r="BL626" s="89"/>
      <c r="BM626" s="89"/>
      <c r="BN626" s="89"/>
      <c r="BO626" s="11"/>
      <c r="BP626" s="89"/>
      <c r="BQ626" s="89"/>
      <c r="BR626" s="89"/>
      <c r="BS626" s="89"/>
      <c r="BT626" s="11"/>
      <c r="BU626" s="11"/>
      <c r="BV626" s="11"/>
      <c r="BW626" s="11"/>
      <c r="BX626" s="11"/>
      <c r="BY626" s="11"/>
      <c r="BZ626" s="11"/>
      <c r="CA626" s="11"/>
      <c r="CB626" s="11"/>
      <c r="CC626" s="11"/>
      <c r="CD626" s="11"/>
      <c r="CE626" s="11"/>
      <c r="CF626" s="11"/>
      <c r="CG626" s="11"/>
      <c r="CH626" s="11"/>
      <c r="CI626" s="11"/>
      <c r="CJ626" s="11"/>
      <c r="CK626" s="11"/>
      <c r="CL626" s="11"/>
      <c r="CM626" s="11"/>
      <c r="CN626" s="11"/>
      <c r="CO626" s="11"/>
      <c r="CP626" s="11"/>
      <c r="CQ626" s="11"/>
      <c r="CR626" s="11"/>
      <c r="CS626" s="11"/>
      <c r="CT626" s="906"/>
      <c r="CU626" s="906"/>
      <c r="CV626" s="906"/>
      <c r="CW626" s="11"/>
      <c r="CX626" s="11"/>
      <c r="CY626" s="906"/>
      <c r="CZ626" s="906"/>
      <c r="DA626" s="906"/>
      <c r="DB626" s="11"/>
      <c r="DC626" s="2862"/>
      <c r="DD626" s="11"/>
      <c r="DE626" s="11"/>
      <c r="DF626" s="11"/>
      <c r="DG626" s="11"/>
      <c r="DH626" s="11"/>
      <c r="DI626" s="11"/>
      <c r="DJ626" s="11"/>
      <c r="DK626" s="11"/>
      <c r="DL626" s="11"/>
      <c r="DM626" s="11"/>
      <c r="DN626" s="11"/>
      <c r="DO626" s="11"/>
      <c r="DP626" s="11"/>
      <c r="DQ626" s="11"/>
      <c r="DR626" s="11"/>
    </row>
    <row r="627" spans="1:122">
      <c r="A627" s="214"/>
      <c r="B627" s="127"/>
      <c r="C627" s="127"/>
      <c r="D627" s="127"/>
      <c r="E627" s="127"/>
      <c r="F627" s="127"/>
      <c r="G627" s="127"/>
      <c r="H627" s="127"/>
      <c r="I627" s="127"/>
      <c r="J627" s="98"/>
      <c r="K627" s="98"/>
      <c r="L627" s="123"/>
      <c r="M627" s="127"/>
      <c r="N627" s="123"/>
      <c r="O627" s="919"/>
      <c r="P627" s="123"/>
      <c r="Q627" s="123"/>
      <c r="R627" s="123"/>
      <c r="S627" s="123"/>
      <c r="T627" s="123"/>
      <c r="U627" s="123"/>
      <c r="V627" s="123"/>
      <c r="W627" s="123"/>
      <c r="X627" s="123"/>
      <c r="Y627" s="1687"/>
      <c r="Z627" s="1687"/>
      <c r="AA627" s="1687"/>
      <c r="AB627" s="1687"/>
      <c r="AC627" s="1687"/>
      <c r="AD627" s="127"/>
      <c r="AE627" s="127"/>
      <c r="AF627" s="127"/>
      <c r="AG627" s="127"/>
      <c r="AH627" s="127"/>
      <c r="AI627" s="127"/>
      <c r="AJ627" s="127"/>
      <c r="AK627" s="127"/>
      <c r="AL627" s="1687"/>
      <c r="AM627" s="1687"/>
      <c r="AN627" s="1687"/>
      <c r="AO627" s="127"/>
      <c r="AP627" s="127"/>
      <c r="AQ627" s="127"/>
      <c r="AR627" s="127"/>
      <c r="AS627" s="127"/>
      <c r="AT627" s="127"/>
      <c r="AU627" s="11"/>
      <c r="AV627" s="6"/>
      <c r="AW627" s="89"/>
      <c r="AX627" s="89"/>
      <c r="AY627" s="89"/>
      <c r="AZ627" s="89"/>
      <c r="BA627" s="89"/>
      <c r="BB627" s="89"/>
      <c r="BC627" s="89"/>
      <c r="BD627" s="89"/>
      <c r="BE627" s="89"/>
      <c r="BF627" s="89"/>
      <c r="BG627" s="89"/>
      <c r="BH627" s="98"/>
      <c r="BI627" s="89"/>
      <c r="BJ627" s="89"/>
      <c r="BK627" s="89"/>
      <c r="BL627" s="89"/>
      <c r="BM627" s="89"/>
      <c r="BN627" s="89"/>
      <c r="BO627" s="6"/>
      <c r="BP627" s="89"/>
      <c r="BQ627" s="89"/>
      <c r="BR627" s="89"/>
      <c r="BS627" s="89"/>
      <c r="BT627" s="6"/>
      <c r="BU627" s="6"/>
      <c r="BV627" s="6"/>
      <c r="BW627" s="6"/>
      <c r="BX627" s="6"/>
      <c r="BY627" s="6"/>
      <c r="BZ627" s="6"/>
      <c r="CA627" s="6"/>
      <c r="CB627" s="6"/>
      <c r="CC627" s="6"/>
      <c r="CD627" s="6"/>
      <c r="CE627" s="6"/>
      <c r="CF627" s="6"/>
      <c r="CG627" s="6"/>
      <c r="CH627" s="6"/>
      <c r="CI627" s="6"/>
      <c r="CJ627" s="6"/>
      <c r="CK627" s="6"/>
      <c r="CL627" s="6"/>
      <c r="CM627" s="6"/>
      <c r="CN627" s="6"/>
      <c r="CO627" s="11"/>
      <c r="CP627" s="11"/>
      <c r="CQ627" s="11"/>
      <c r="CR627" s="11"/>
      <c r="CS627" s="11"/>
      <c r="CT627" s="906"/>
      <c r="CU627" s="906"/>
      <c r="CV627" s="906"/>
      <c r="CW627" s="11"/>
      <c r="CX627" s="11"/>
      <c r="CY627" s="906"/>
      <c r="CZ627" s="906"/>
      <c r="DA627" s="906"/>
      <c r="DB627" s="11"/>
      <c r="DC627" s="2862"/>
      <c r="DD627" s="11"/>
      <c r="DE627" s="11"/>
      <c r="DF627" s="11"/>
      <c r="DG627" s="11"/>
      <c r="DH627" s="11"/>
      <c r="DI627" s="11"/>
      <c r="DJ627" s="11"/>
      <c r="DK627" s="11"/>
      <c r="DL627" s="11"/>
      <c r="DM627" s="11"/>
      <c r="DN627" s="11"/>
      <c r="DO627" s="11"/>
      <c r="DP627" s="11"/>
      <c r="DQ627" s="11"/>
      <c r="DR627" s="11"/>
    </row>
    <row r="628" spans="1:122">
      <c r="A628" s="239" t="s">
        <v>1330</v>
      </c>
      <c r="B628" s="127"/>
      <c r="C628" s="127"/>
      <c r="D628" s="127"/>
      <c r="E628" s="127"/>
      <c r="F628" s="127"/>
      <c r="G628" s="127"/>
      <c r="H628" s="127"/>
      <c r="I628" s="240">
        <f t="shared" ref="I628:N628" si="948">I200</f>
        <v>44405.2</v>
      </c>
      <c r="J628" s="240">
        <f t="shared" si="948"/>
        <v>28253.3</v>
      </c>
      <c r="K628" s="240">
        <f t="shared" si="948"/>
        <v>18904.3</v>
      </c>
      <c r="L628" s="240">
        <f t="shared" si="948"/>
        <v>18821.5</v>
      </c>
      <c r="M628" s="240">
        <f t="shared" si="948"/>
        <v>18452</v>
      </c>
      <c r="N628" s="240">
        <f t="shared" si="948"/>
        <v>8647.7999999999993</v>
      </c>
      <c r="O628" s="919"/>
      <c r="P628" s="14"/>
      <c r="Q628" s="14"/>
      <c r="R628" s="240">
        <f t="shared" ref="R628:W628" si="949">R200</f>
        <v>8667.5</v>
      </c>
      <c r="S628" s="240">
        <f t="shared" si="949"/>
        <v>8523.5</v>
      </c>
      <c r="T628" s="240">
        <f t="shared" si="949"/>
        <v>8571</v>
      </c>
      <c r="U628" s="240">
        <f t="shared" si="949"/>
        <v>8567</v>
      </c>
      <c r="V628" s="240">
        <f t="shared" si="949"/>
        <v>8562</v>
      </c>
      <c r="W628" s="240">
        <f t="shared" si="949"/>
        <v>6698</v>
      </c>
      <c r="X628" s="14"/>
      <c r="Y628" s="1357"/>
      <c r="Z628" s="2283">
        <f>Z200</f>
        <v>4789</v>
      </c>
      <c r="AA628" s="2283">
        <f>AA200</f>
        <v>4864</v>
      </c>
      <c r="AB628" s="1357"/>
      <c r="AC628" s="1357">
        <f>AC621-AC626</f>
        <v>4864</v>
      </c>
      <c r="AD628" s="14">
        <f>AD621-AD626</f>
        <v>4864</v>
      </c>
      <c r="AE628" s="14">
        <f>AE621-AE626</f>
        <v>4864</v>
      </c>
      <c r="AF628" s="14">
        <f>AF621-AF626</f>
        <v>4864</v>
      </c>
      <c r="AG628" s="14">
        <f t="shared" ref="AG628:AL628" si="950">AG621-AG626</f>
        <v>4864</v>
      </c>
      <c r="AH628" s="14">
        <f t="shared" si="950"/>
        <v>4864</v>
      </c>
      <c r="AI628" s="14">
        <f t="shared" si="950"/>
        <v>4864</v>
      </c>
      <c r="AJ628" s="14">
        <f t="shared" si="950"/>
        <v>4864</v>
      </c>
      <c r="AK628" s="14">
        <f t="shared" si="950"/>
        <v>4864</v>
      </c>
      <c r="AL628" s="1357">
        <f t="shared" si="950"/>
        <v>4864</v>
      </c>
      <c r="AM628" s="1357">
        <f>AM621-AM626</f>
        <v>4864</v>
      </c>
      <c r="AN628" s="1357">
        <f>AN621-AN626</f>
        <v>4864</v>
      </c>
      <c r="AO628" s="14"/>
      <c r="AP628" s="14"/>
      <c r="AQ628" s="14"/>
      <c r="AR628" s="14"/>
      <c r="AS628" s="14"/>
      <c r="AT628" s="14"/>
      <c r="AU628" s="11"/>
      <c r="AV628" s="6"/>
      <c r="AW628" s="89"/>
      <c r="AX628" s="89"/>
      <c r="AY628" s="89"/>
      <c r="AZ628" s="89"/>
      <c r="BA628" s="89"/>
      <c r="BB628" s="89"/>
      <c r="BC628" s="89"/>
      <c r="BD628" s="89"/>
      <c r="BE628" s="89"/>
      <c r="BF628" s="89"/>
      <c r="BG628" s="89"/>
      <c r="BH628" s="98"/>
      <c r="BI628" s="89"/>
      <c r="BJ628" s="89"/>
      <c r="BK628" s="89"/>
      <c r="BL628" s="89"/>
      <c r="BM628" s="89"/>
      <c r="BN628" s="89"/>
      <c r="BO628" s="6"/>
      <c r="BP628" s="89"/>
      <c r="BQ628" s="89"/>
      <c r="BR628" s="89"/>
      <c r="BS628" s="89"/>
      <c r="BT628" s="6"/>
      <c r="BU628" s="6"/>
      <c r="BV628" s="6"/>
      <c r="BW628" s="6"/>
      <c r="BX628" s="6"/>
      <c r="BY628" s="6"/>
      <c r="BZ628" s="6"/>
      <c r="CA628" s="6"/>
      <c r="CB628" s="6"/>
      <c r="CC628" s="6"/>
      <c r="CD628" s="6"/>
      <c r="CE628" s="6"/>
      <c r="CF628" s="6"/>
      <c r="CG628" s="6"/>
      <c r="CH628" s="6"/>
      <c r="CI628" s="6"/>
      <c r="CJ628" s="6"/>
      <c r="CK628" s="6"/>
      <c r="CL628" s="6"/>
      <c r="CM628" s="6"/>
      <c r="CN628" s="6"/>
      <c r="CO628" s="11"/>
      <c r="CP628" s="11"/>
      <c r="CQ628" s="11"/>
      <c r="CR628" s="11"/>
      <c r="CS628" s="11"/>
      <c r="CT628" s="906"/>
      <c r="CU628" s="906"/>
      <c r="CV628" s="906"/>
      <c r="CW628" s="11"/>
      <c r="CX628" s="11"/>
      <c r="CY628" s="906"/>
      <c r="CZ628" s="906"/>
      <c r="DA628" s="906"/>
      <c r="DB628" s="11"/>
      <c r="DC628" s="2862"/>
      <c r="DD628" s="11"/>
      <c r="DE628" s="11"/>
      <c r="DF628" s="11"/>
      <c r="DG628" s="11"/>
      <c r="DH628" s="11"/>
      <c r="DI628" s="11"/>
      <c r="DJ628" s="11"/>
      <c r="DK628" s="11"/>
      <c r="DL628" s="11"/>
      <c r="DM628" s="11"/>
      <c r="DN628" s="11"/>
      <c r="DO628" s="11"/>
      <c r="DP628" s="11"/>
      <c r="DQ628" s="11"/>
      <c r="DR628" s="11"/>
    </row>
    <row r="629" spans="1:122">
      <c r="A629" s="214"/>
      <c r="B629" s="127"/>
      <c r="C629" s="127"/>
      <c r="D629" s="127"/>
      <c r="E629" s="127"/>
      <c r="F629" s="127"/>
      <c r="G629" s="127"/>
      <c r="H629" s="127"/>
      <c r="I629" s="127"/>
      <c r="J629" s="98"/>
      <c r="K629" s="98"/>
      <c r="L629" s="123"/>
      <c r="M629" s="127"/>
      <c r="N629" s="123"/>
      <c r="O629" s="919"/>
      <c r="P629" s="123"/>
      <c r="Q629" s="123"/>
      <c r="R629" s="123"/>
      <c r="S629" s="123"/>
      <c r="T629" s="123"/>
      <c r="U629" s="123"/>
      <c r="V629" s="123"/>
      <c r="W629" s="123"/>
      <c r="X629" s="123"/>
      <c r="Y629" s="1687"/>
      <c r="Z629" s="1687"/>
      <c r="AA629" s="1687"/>
      <c r="AB629" s="1687"/>
      <c r="AC629" s="1687"/>
      <c r="AD629" s="127"/>
      <c r="AE629" s="127"/>
      <c r="AF629" s="127"/>
      <c r="AG629" s="127"/>
      <c r="AH629" s="127"/>
      <c r="AI629" s="127"/>
      <c r="AJ629" s="127"/>
      <c r="AK629" s="127"/>
      <c r="AL629" s="1687"/>
      <c r="AM629" s="127"/>
      <c r="AN629" s="127"/>
      <c r="AO629" s="127"/>
      <c r="AP629" s="127"/>
      <c r="AQ629" s="127"/>
      <c r="AR629" s="127"/>
      <c r="AS629" s="127"/>
      <c r="AT629" s="127"/>
      <c r="AU629" s="11"/>
      <c r="AV629" s="6"/>
      <c r="AW629" s="89"/>
      <c r="AX629" s="89"/>
      <c r="AY629" s="89"/>
      <c r="AZ629" s="89"/>
      <c r="BA629" s="89"/>
      <c r="BB629" s="89"/>
      <c r="BC629" s="89"/>
      <c r="BD629" s="89"/>
      <c r="BE629" s="89"/>
      <c r="BF629" s="89"/>
      <c r="BG629" s="89"/>
      <c r="BH629" s="98"/>
      <c r="BI629" s="89"/>
      <c r="BJ629" s="89"/>
      <c r="BK629" s="89"/>
      <c r="BL629" s="89"/>
      <c r="BM629" s="89"/>
      <c r="BN629" s="89"/>
      <c r="BO629" s="6"/>
      <c r="BP629" s="89"/>
      <c r="BQ629" s="89"/>
      <c r="BR629" s="89"/>
      <c r="BS629" s="89"/>
      <c r="BT629" s="6"/>
      <c r="BU629" s="6"/>
      <c r="BV629" s="6"/>
      <c r="BW629" s="6"/>
      <c r="BX629" s="6"/>
      <c r="BY629" s="6"/>
      <c r="BZ629" s="6"/>
      <c r="CA629" s="6"/>
      <c r="CB629" s="6"/>
      <c r="CC629" s="6"/>
      <c r="CD629" s="6"/>
      <c r="CE629" s="6"/>
      <c r="CF629" s="6"/>
      <c r="CG629" s="6"/>
      <c r="CH629" s="6"/>
      <c r="CI629" s="6"/>
      <c r="CJ629" s="6"/>
      <c r="CK629" s="6"/>
      <c r="CL629" s="6"/>
      <c r="CM629" s="6"/>
      <c r="CN629" s="6"/>
      <c r="CO629" s="11"/>
      <c r="CP629" s="11"/>
      <c r="CQ629" s="11"/>
      <c r="CR629" s="11"/>
      <c r="CS629" s="11"/>
      <c r="CT629" s="906"/>
      <c r="CU629" s="906"/>
      <c r="CV629" s="906"/>
      <c r="CW629" s="11"/>
      <c r="CX629" s="11"/>
      <c r="CY629" s="906"/>
      <c r="CZ629" s="906"/>
      <c r="DA629" s="906"/>
      <c r="DB629" s="11"/>
      <c r="DC629" s="2862"/>
      <c r="DD629" s="11"/>
      <c r="DE629" s="11"/>
      <c r="DF629" s="11"/>
      <c r="DG629" s="11"/>
      <c r="DH629" s="11"/>
      <c r="DI629" s="11"/>
      <c r="DJ629" s="11"/>
      <c r="DK629" s="11"/>
      <c r="DL629" s="11"/>
      <c r="DM629" s="11"/>
      <c r="DN629" s="11"/>
      <c r="DO629" s="11"/>
      <c r="DP629" s="11"/>
      <c r="DQ629" s="11"/>
      <c r="DR629" s="11"/>
    </row>
    <row r="630" spans="1:122">
      <c r="A630" s="239" t="s">
        <v>1331</v>
      </c>
      <c r="B630" s="127"/>
      <c r="C630" s="127"/>
      <c r="D630" s="127"/>
      <c r="E630" s="127"/>
      <c r="F630" s="127"/>
      <c r="G630" s="127"/>
      <c r="H630" s="127"/>
      <c r="I630" s="127"/>
      <c r="J630" s="129">
        <f>-J280</f>
        <v>46.9</v>
      </c>
      <c r="K630" s="129">
        <f>-K280</f>
        <v>183.29999999999995</v>
      </c>
      <c r="L630" s="129">
        <f>-L280</f>
        <v>97.9</v>
      </c>
      <c r="M630" s="129">
        <f>-M280</f>
        <v>410</v>
      </c>
      <c r="N630" s="129">
        <f>-N280</f>
        <v>2035.3</v>
      </c>
      <c r="O630" s="919"/>
      <c r="P630" s="123"/>
      <c r="Q630" s="123"/>
      <c r="R630" s="129">
        <f>-R280</f>
        <v>26.1</v>
      </c>
      <c r="S630" s="123"/>
      <c r="T630" s="123"/>
      <c r="U630" s="123"/>
      <c r="V630" s="123"/>
      <c r="W630" s="123"/>
      <c r="X630" s="123"/>
      <c r="Y630" s="1687"/>
      <c r="Z630" s="1687"/>
      <c r="AA630" s="1687"/>
      <c r="AB630" s="1687"/>
      <c r="AC630" s="1687"/>
      <c r="AD630" s="127"/>
      <c r="AE630" s="127"/>
      <c r="AF630" s="127"/>
      <c r="AG630" s="127"/>
      <c r="AH630" s="127"/>
      <c r="AI630" s="127"/>
      <c r="AJ630" s="127"/>
      <c r="AK630" s="127"/>
      <c r="AL630" s="1687"/>
      <c r="AM630" s="127"/>
      <c r="AN630" s="127"/>
      <c r="AO630" s="127"/>
      <c r="AP630" s="127"/>
      <c r="AQ630" s="127"/>
      <c r="AR630" s="127"/>
      <c r="AS630" s="127"/>
      <c r="AT630" s="127"/>
      <c r="AU630" s="11"/>
      <c r="AV630" s="6"/>
      <c r="AW630" s="89"/>
      <c r="AX630" s="89"/>
      <c r="AY630" s="89"/>
      <c r="AZ630" s="89"/>
      <c r="BA630" s="89"/>
      <c r="BB630" s="89"/>
      <c r="BC630" s="89"/>
      <c r="BD630" s="89"/>
      <c r="BE630" s="89"/>
      <c r="BF630" s="89"/>
      <c r="BG630" s="89"/>
      <c r="BH630" s="98"/>
      <c r="BI630" s="89"/>
      <c r="BJ630" s="89"/>
      <c r="BK630" s="89"/>
      <c r="BL630" s="89"/>
      <c r="BM630" s="89"/>
      <c r="BN630" s="89"/>
      <c r="BO630" s="6"/>
      <c r="BP630" s="89"/>
      <c r="BQ630" s="89"/>
      <c r="BR630" s="89"/>
      <c r="BS630" s="89"/>
      <c r="BT630" s="6"/>
      <c r="BU630" s="6"/>
      <c r="BV630" s="6"/>
      <c r="BW630" s="6"/>
      <c r="BX630" s="6"/>
      <c r="BY630" s="6"/>
      <c r="BZ630" s="6"/>
      <c r="CA630" s="6"/>
      <c r="CB630" s="6"/>
      <c r="CC630" s="6"/>
      <c r="CD630" s="6"/>
      <c r="CE630" s="6"/>
      <c r="CF630" s="6"/>
      <c r="CG630" s="6"/>
      <c r="CH630" s="6"/>
      <c r="CI630" s="6"/>
      <c r="CJ630" s="6"/>
      <c r="CK630" s="6"/>
      <c r="CL630" s="6"/>
      <c r="CM630" s="6"/>
      <c r="CN630" s="6"/>
      <c r="CO630" s="11"/>
      <c r="CP630" s="11"/>
      <c r="CQ630" s="11"/>
      <c r="CR630" s="11"/>
      <c r="CS630" s="11"/>
      <c r="CT630" s="906"/>
      <c r="CU630" s="906"/>
      <c r="CV630" s="906"/>
      <c r="CW630" s="11"/>
      <c r="CX630" s="11"/>
      <c r="CY630" s="906"/>
      <c r="CZ630" s="906"/>
      <c r="DA630" s="906"/>
      <c r="DB630" s="11"/>
      <c r="DC630" s="2862"/>
      <c r="DD630" s="11"/>
      <c r="DE630" s="11"/>
      <c r="DF630" s="11"/>
      <c r="DG630" s="11"/>
      <c r="DH630" s="11"/>
      <c r="DI630" s="11"/>
      <c r="DJ630" s="11"/>
      <c r="DK630" s="11"/>
      <c r="DL630" s="11"/>
      <c r="DM630" s="11"/>
      <c r="DN630" s="11"/>
      <c r="DO630" s="11"/>
      <c r="DP630" s="11"/>
      <c r="DQ630" s="11"/>
      <c r="DR630" s="11"/>
    </row>
    <row r="631" spans="1:122">
      <c r="A631" s="239" t="s">
        <v>1332</v>
      </c>
      <c r="B631" s="127"/>
      <c r="C631" s="127"/>
      <c r="D631" s="127"/>
      <c r="E631" s="127"/>
      <c r="F631" s="127"/>
      <c r="G631" s="127"/>
      <c r="H631" s="127"/>
      <c r="I631" s="127"/>
      <c r="J631" s="98"/>
      <c r="K631" s="98"/>
      <c r="L631" s="98"/>
      <c r="M631" s="127"/>
      <c r="N631" s="127"/>
      <c r="O631" s="919"/>
      <c r="P631" s="123"/>
      <c r="Q631" s="123"/>
      <c r="R631" s="123"/>
      <c r="S631" s="123"/>
      <c r="T631" s="123"/>
      <c r="U631" s="123"/>
      <c r="V631" s="123"/>
      <c r="W631" s="123"/>
      <c r="X631" s="123"/>
      <c r="Y631" s="1687"/>
      <c r="Z631" s="1687"/>
      <c r="AA631" s="1687"/>
      <c r="AB631" s="1687"/>
      <c r="AC631" s="1687"/>
      <c r="AD631" s="127"/>
      <c r="AE631" s="127"/>
      <c r="AF631" s="127"/>
      <c r="AG631" s="127"/>
      <c r="AH631" s="127"/>
      <c r="AI631" s="127"/>
      <c r="AJ631" s="127"/>
      <c r="AK631" s="127"/>
      <c r="AL631" s="1687"/>
      <c r="AM631" s="127"/>
      <c r="AN631" s="127"/>
      <c r="AO631" s="127"/>
      <c r="AP631" s="127"/>
      <c r="AQ631" s="127"/>
      <c r="AR631" s="127"/>
      <c r="AS631" s="127"/>
      <c r="AT631" s="127"/>
      <c r="AU631" s="11"/>
      <c r="AV631" s="6"/>
      <c r="AW631" s="89"/>
      <c r="AX631" s="89"/>
      <c r="AY631" s="89"/>
      <c r="AZ631" s="89"/>
      <c r="BA631" s="89"/>
      <c r="BB631" s="89"/>
      <c r="BC631" s="89"/>
      <c r="BD631" s="89"/>
      <c r="BE631" s="89"/>
      <c r="BF631" s="89"/>
      <c r="BG631" s="89"/>
      <c r="BH631" s="98"/>
      <c r="BI631" s="89"/>
      <c r="BJ631" s="89"/>
      <c r="BK631" s="89"/>
      <c r="BL631" s="89"/>
      <c r="BM631" s="89"/>
      <c r="BN631" s="89"/>
      <c r="BO631" s="6"/>
      <c r="BP631" s="89"/>
      <c r="BQ631" s="89"/>
      <c r="BR631" s="89"/>
      <c r="BS631" s="89"/>
      <c r="BT631" s="6"/>
      <c r="BU631" s="6"/>
      <c r="BV631" s="6"/>
      <c r="BW631" s="6"/>
      <c r="BX631" s="6"/>
      <c r="BY631" s="6"/>
      <c r="BZ631" s="6"/>
      <c r="CA631" s="6"/>
      <c r="CB631" s="6"/>
      <c r="CC631" s="6"/>
      <c r="CD631" s="6"/>
      <c r="CE631" s="6"/>
      <c r="CF631" s="6"/>
      <c r="CG631" s="6"/>
      <c r="CH631" s="6"/>
      <c r="CI631" s="6"/>
      <c r="CJ631" s="6"/>
      <c r="CK631" s="6"/>
      <c r="CL631" s="6"/>
      <c r="CM631" s="6"/>
      <c r="CN631" s="6"/>
      <c r="CO631" s="11"/>
      <c r="CP631" s="11"/>
      <c r="CQ631" s="11"/>
      <c r="CR631" s="11"/>
      <c r="CS631" s="11"/>
      <c r="CT631" s="906"/>
      <c r="CU631" s="906"/>
      <c r="CV631" s="906"/>
      <c r="CW631" s="11"/>
      <c r="CX631" s="11"/>
      <c r="CY631" s="906"/>
      <c r="CZ631" s="906"/>
      <c r="DA631" s="906"/>
      <c r="DB631" s="11"/>
      <c r="DC631" s="2862"/>
      <c r="DD631" s="11"/>
      <c r="DE631" s="11"/>
      <c r="DF631" s="11"/>
      <c r="DG631" s="11"/>
      <c r="DH631" s="11"/>
      <c r="DI631" s="11"/>
      <c r="DJ631" s="11"/>
      <c r="DK631" s="11"/>
      <c r="DL631" s="11"/>
      <c r="DM631" s="11"/>
      <c r="DN631" s="11"/>
      <c r="DO631" s="11"/>
      <c r="DP631" s="11"/>
      <c r="DQ631" s="11"/>
      <c r="DR631" s="11"/>
    </row>
    <row r="632" spans="1:122">
      <c r="A632" s="239" t="s">
        <v>1333</v>
      </c>
      <c r="B632" s="127"/>
      <c r="C632" s="127"/>
      <c r="D632" s="127"/>
      <c r="E632" s="127"/>
      <c r="F632" s="127"/>
      <c r="G632" s="127"/>
      <c r="H632" s="127"/>
      <c r="I632" s="127"/>
      <c r="J632" s="98"/>
      <c r="K632" s="49">
        <f>K634</f>
        <v>153</v>
      </c>
      <c r="L632" s="49">
        <f>L634</f>
        <v>325</v>
      </c>
      <c r="M632" s="49">
        <f>M634</f>
        <v>394.5</v>
      </c>
      <c r="N632" s="49">
        <f>N634</f>
        <v>0</v>
      </c>
      <c r="O632" s="919"/>
      <c r="P632" s="123"/>
      <c r="Q632" s="123"/>
      <c r="R632" s="123"/>
      <c r="S632" s="123"/>
      <c r="T632" s="123"/>
      <c r="U632" s="123"/>
      <c r="V632" s="123"/>
      <c r="W632" s="123"/>
      <c r="X632" s="123"/>
      <c r="Y632" s="1687"/>
      <c r="Z632" s="1687"/>
      <c r="AA632" s="1687"/>
      <c r="AB632" s="1687"/>
      <c r="AC632" s="1687"/>
      <c r="AD632" s="127"/>
      <c r="AE632" s="127"/>
      <c r="AF632" s="127"/>
      <c r="AG632" s="127"/>
      <c r="AH632" s="127"/>
      <c r="AI632" s="127"/>
      <c r="AJ632" s="127"/>
      <c r="AK632" s="127"/>
      <c r="AL632" s="1687"/>
      <c r="AM632" s="127"/>
      <c r="AN632" s="127"/>
      <c r="AO632" s="127"/>
      <c r="AP632" s="127"/>
      <c r="AQ632" s="127"/>
      <c r="AR632" s="127"/>
      <c r="AS632" s="127"/>
      <c r="AT632" s="127"/>
      <c r="AU632" s="11"/>
      <c r="AV632" s="6"/>
      <c r="AW632" s="89"/>
      <c r="AX632" s="89"/>
      <c r="AY632" s="89"/>
      <c r="AZ632" s="89"/>
      <c r="BA632" s="89"/>
      <c r="BB632" s="89"/>
      <c r="BC632" s="89"/>
      <c r="BD632" s="89"/>
      <c r="BE632" s="89"/>
      <c r="BF632" s="89"/>
      <c r="BG632" s="89"/>
      <c r="BH632" s="98"/>
      <c r="BI632" s="89"/>
      <c r="BJ632" s="89"/>
      <c r="BK632" s="89"/>
      <c r="BL632" s="89"/>
      <c r="BM632" s="89"/>
      <c r="BN632" s="89"/>
      <c r="BO632" s="6"/>
      <c r="BP632" s="89"/>
      <c r="BQ632" s="89"/>
      <c r="BR632" s="89"/>
      <c r="BS632" s="89"/>
      <c r="BT632" s="6"/>
      <c r="BU632" s="6"/>
      <c r="BV632" s="6"/>
      <c r="BW632" s="6"/>
      <c r="BX632" s="6"/>
      <c r="BY632" s="6"/>
      <c r="BZ632" s="6"/>
      <c r="CA632" s="6"/>
      <c r="CB632" s="6"/>
      <c r="CC632" s="6"/>
      <c r="CD632" s="6"/>
      <c r="CE632" s="6"/>
      <c r="CF632" s="6"/>
      <c r="CG632" s="6"/>
      <c r="CH632" s="6"/>
      <c r="CI632" s="6"/>
      <c r="CJ632" s="6"/>
      <c r="CK632" s="6"/>
      <c r="CL632" s="6"/>
      <c r="CM632" s="6"/>
      <c r="CN632" s="6"/>
      <c r="CO632" s="11"/>
      <c r="CP632" s="11"/>
      <c r="CQ632" s="11"/>
      <c r="CR632" s="11"/>
      <c r="CS632" s="11"/>
      <c r="CT632" s="906"/>
      <c r="CU632" s="906"/>
      <c r="CV632" s="906"/>
      <c r="CW632" s="11"/>
      <c r="CX632" s="11"/>
      <c r="CY632" s="906"/>
      <c r="CZ632" s="906"/>
      <c r="DA632" s="906"/>
      <c r="DB632" s="11"/>
      <c r="DC632" s="2862"/>
      <c r="DD632" s="11"/>
      <c r="DE632" s="11"/>
      <c r="DF632" s="11"/>
      <c r="DG632" s="11"/>
      <c r="DH632" s="11"/>
      <c r="DI632" s="11"/>
      <c r="DJ632" s="11"/>
      <c r="DK632" s="11"/>
      <c r="DL632" s="11"/>
      <c r="DM632" s="11"/>
      <c r="DN632" s="11"/>
      <c r="DO632" s="11"/>
      <c r="DP632" s="11"/>
      <c r="DQ632" s="11"/>
      <c r="DR632" s="11"/>
    </row>
    <row r="633" spans="1:122">
      <c r="A633" s="239" t="s">
        <v>1334</v>
      </c>
      <c r="B633" s="127"/>
      <c r="C633" s="127"/>
      <c r="D633" s="127"/>
      <c r="E633" s="127"/>
      <c r="F633" s="127"/>
      <c r="G633" s="127"/>
      <c r="H633" s="127"/>
      <c r="I633" s="127"/>
      <c r="J633" s="167">
        <f>J634-J632-J631-J630</f>
        <v>-12.800000000000033</v>
      </c>
      <c r="K633" s="167">
        <f>K634-K632-K631</f>
        <v>0</v>
      </c>
      <c r="L633" s="167">
        <f>L634-L632-L631</f>
        <v>0</v>
      </c>
      <c r="M633" s="167">
        <f>M634-M632-M631</f>
        <v>0</v>
      </c>
      <c r="N633" s="167">
        <f>N634-N632-N631</f>
        <v>0</v>
      </c>
      <c r="O633" s="919"/>
      <c r="P633" s="123"/>
      <c r="Q633" s="123"/>
      <c r="R633" s="123"/>
      <c r="S633" s="123"/>
      <c r="T633" s="123"/>
      <c r="U633" s="123"/>
      <c r="V633" s="123"/>
      <c r="W633" s="123"/>
      <c r="X633" s="123"/>
      <c r="Y633" s="1687"/>
      <c r="Z633" s="1687"/>
      <c r="AA633" s="1687"/>
      <c r="AB633" s="1687"/>
      <c r="AC633" s="1687"/>
      <c r="AD633" s="127"/>
      <c r="AE633" s="127"/>
      <c r="AF633" s="127"/>
      <c r="AG633" s="127"/>
      <c r="AH633" s="127"/>
      <c r="AI633" s="127"/>
      <c r="AJ633" s="127"/>
      <c r="AK633" s="127"/>
      <c r="AL633" s="1687"/>
      <c r="AM633" s="127"/>
      <c r="AN633" s="127"/>
      <c r="AO633" s="127"/>
      <c r="AP633" s="127"/>
      <c r="AQ633" s="127"/>
      <c r="AR633" s="127"/>
      <c r="AS633" s="127"/>
      <c r="AT633" s="127"/>
      <c r="AU633" s="11"/>
      <c r="AV633" s="6"/>
      <c r="AW633" s="89"/>
      <c r="AX633" s="89"/>
      <c r="AY633" s="89"/>
      <c r="AZ633" s="89"/>
      <c r="BA633" s="89"/>
      <c r="BB633" s="89"/>
      <c r="BC633" s="89"/>
      <c r="BD633" s="89"/>
      <c r="BE633" s="89"/>
      <c r="BF633" s="89"/>
      <c r="BG633" s="89"/>
      <c r="BH633" s="98"/>
      <c r="BI633" s="89"/>
      <c r="BJ633" s="89"/>
      <c r="BK633" s="89"/>
      <c r="BL633" s="89"/>
      <c r="BM633" s="89"/>
      <c r="BN633" s="89"/>
      <c r="BO633" s="6"/>
      <c r="BP633" s="89"/>
      <c r="BQ633" s="89"/>
      <c r="BR633" s="89"/>
      <c r="BS633" s="89"/>
      <c r="BT633" s="6"/>
      <c r="BU633" s="6"/>
      <c r="BV633" s="6"/>
      <c r="BW633" s="6"/>
      <c r="BX633" s="6"/>
      <c r="BY633" s="6"/>
      <c r="BZ633" s="6"/>
      <c r="CA633" s="6"/>
      <c r="CB633" s="6"/>
      <c r="CC633" s="6"/>
      <c r="CD633" s="6"/>
      <c r="CE633" s="6"/>
      <c r="CF633" s="6"/>
      <c r="CG633" s="6"/>
      <c r="CH633" s="6"/>
      <c r="CI633" s="6"/>
      <c r="CJ633" s="6"/>
      <c r="CK633" s="6"/>
      <c r="CL633" s="6"/>
      <c r="CM633" s="6"/>
      <c r="CN633" s="6"/>
      <c r="CO633" s="11"/>
      <c r="CP633" s="11"/>
      <c r="CQ633" s="11"/>
      <c r="CR633" s="11"/>
      <c r="CS633" s="11"/>
      <c r="CT633" s="906"/>
      <c r="CU633" s="906"/>
      <c r="CV633" s="906"/>
      <c r="CW633" s="11"/>
      <c r="CX633" s="11"/>
      <c r="CY633" s="906"/>
      <c r="CZ633" s="906"/>
      <c r="DA633" s="906"/>
      <c r="DB633" s="11"/>
      <c r="DC633" s="2862"/>
      <c r="DD633" s="11"/>
      <c r="DE633" s="11"/>
      <c r="DF633" s="11"/>
      <c r="DG633" s="11"/>
      <c r="DH633" s="11"/>
      <c r="DI633" s="11"/>
      <c r="DJ633" s="11"/>
      <c r="DK633" s="11"/>
      <c r="DL633" s="11"/>
      <c r="DM633" s="11"/>
      <c r="DN633" s="11"/>
      <c r="DO633" s="11"/>
      <c r="DP633" s="11"/>
      <c r="DQ633" s="11"/>
      <c r="DR633" s="11"/>
    </row>
    <row r="634" spans="1:122">
      <c r="A634" s="239" t="s">
        <v>1352</v>
      </c>
      <c r="B634" s="127"/>
      <c r="C634" s="127"/>
      <c r="D634" s="127"/>
      <c r="E634" s="127"/>
      <c r="F634" s="127"/>
      <c r="G634" s="127"/>
      <c r="H634" s="127"/>
      <c r="I634" s="14">
        <f>56.76*2</f>
        <v>113.52</v>
      </c>
      <c r="J634" s="77">
        <f>427.7-393.6</f>
        <v>34.099999999999966</v>
      </c>
      <c r="K634" s="77">
        <v>153</v>
      </c>
      <c r="L634" s="77">
        <v>325</v>
      </c>
      <c r="M634" s="228">
        <f>43+280+71.5</f>
        <v>394.5</v>
      </c>
      <c r="N634" s="228"/>
      <c r="O634" s="919"/>
      <c r="P634" s="123"/>
      <c r="Q634" s="123"/>
      <c r="R634" s="123"/>
      <c r="S634" s="123"/>
      <c r="T634" s="123"/>
      <c r="U634" s="123"/>
      <c r="V634" s="123"/>
      <c r="W634" s="123"/>
      <c r="X634" s="123"/>
      <c r="Y634" s="1687"/>
      <c r="Z634" s="1687"/>
      <c r="AA634" s="1687"/>
      <c r="AB634" s="1687"/>
      <c r="AC634" s="1687"/>
      <c r="AD634" s="127"/>
      <c r="AE634" s="127"/>
      <c r="AF634" s="127"/>
      <c r="AG634" s="127"/>
      <c r="AH634" s="127"/>
      <c r="AI634" s="127"/>
      <c r="AJ634" s="127"/>
      <c r="AK634" s="127"/>
      <c r="AL634" s="1687"/>
      <c r="AM634" s="127"/>
      <c r="AN634" s="127"/>
      <c r="AO634" s="127"/>
      <c r="AP634" s="127"/>
      <c r="AQ634" s="127"/>
      <c r="AR634" s="127"/>
      <c r="AS634" s="127"/>
      <c r="AT634" s="127"/>
      <c r="AU634" s="11"/>
      <c r="AV634" s="6"/>
      <c r="AW634" s="89"/>
      <c r="AX634" s="89"/>
      <c r="AY634" s="89"/>
      <c r="AZ634" s="89"/>
      <c r="BA634" s="89"/>
      <c r="BB634" s="89"/>
      <c r="BC634" s="89"/>
      <c r="BD634" s="89"/>
      <c r="BE634" s="89"/>
      <c r="BF634" s="89"/>
      <c r="BG634" s="89"/>
      <c r="BH634" s="98"/>
      <c r="BI634" s="89"/>
      <c r="BJ634" s="89"/>
      <c r="BK634" s="89"/>
      <c r="BL634" s="89"/>
      <c r="BM634" s="89"/>
      <c r="BN634" s="89"/>
      <c r="BO634" s="6"/>
      <c r="BP634" s="89"/>
      <c r="BQ634" s="89"/>
      <c r="BR634" s="89"/>
      <c r="BS634" s="89"/>
      <c r="BT634" s="6"/>
      <c r="BU634" s="6"/>
      <c r="BV634" s="6"/>
      <c r="BW634" s="6"/>
      <c r="BX634" s="6"/>
      <c r="BY634" s="6"/>
      <c r="BZ634" s="6"/>
      <c r="CA634" s="6"/>
      <c r="CB634" s="6"/>
      <c r="CC634" s="6"/>
      <c r="CD634" s="6"/>
      <c r="CE634" s="6"/>
      <c r="CF634" s="6"/>
      <c r="CG634" s="6"/>
      <c r="CH634" s="6"/>
      <c r="CI634" s="6"/>
      <c r="CJ634" s="6"/>
      <c r="CK634" s="6"/>
      <c r="CL634" s="6"/>
      <c r="CM634" s="6"/>
      <c r="CN634" s="6"/>
      <c r="CO634" s="11"/>
      <c r="CP634" s="11"/>
      <c r="CQ634" s="11"/>
      <c r="CR634" s="11"/>
      <c r="CS634" s="11"/>
      <c r="CT634" s="906"/>
      <c r="CU634" s="906"/>
      <c r="CV634" s="906"/>
      <c r="CW634" s="11"/>
      <c r="CX634" s="11"/>
      <c r="CY634" s="906"/>
      <c r="CZ634" s="906"/>
      <c r="DA634" s="906"/>
      <c r="DB634" s="11"/>
      <c r="DC634" s="2862"/>
      <c r="DD634" s="11"/>
      <c r="DE634" s="11"/>
      <c r="DF634" s="11"/>
      <c r="DG634" s="11"/>
      <c r="DH634" s="11"/>
      <c r="DI634" s="11"/>
      <c r="DJ634" s="11"/>
      <c r="DK634" s="11"/>
      <c r="DL634" s="11"/>
      <c r="DM634" s="11"/>
      <c r="DN634" s="11"/>
      <c r="DO634" s="11"/>
      <c r="DP634" s="11"/>
      <c r="DQ634" s="11"/>
      <c r="DR634" s="11"/>
    </row>
    <row r="635" spans="1:122">
      <c r="A635" s="239"/>
      <c r="B635" s="127"/>
      <c r="C635" s="127"/>
      <c r="D635" s="127"/>
      <c r="E635" s="127"/>
      <c r="F635" s="127"/>
      <c r="G635" s="127"/>
      <c r="H635" s="127"/>
      <c r="I635" s="14">
        <f>56.76/2</f>
        <v>28.38</v>
      </c>
      <c r="J635" s="98"/>
      <c r="K635" s="98"/>
      <c r="L635" s="127"/>
      <c r="M635" s="127"/>
      <c r="N635" s="127" t="s">
        <v>337</v>
      </c>
      <c r="O635" s="919"/>
      <c r="P635" s="123"/>
      <c r="Q635" s="123"/>
      <c r="R635" s="123"/>
      <c r="S635" s="123"/>
      <c r="T635" s="123"/>
      <c r="U635" s="123"/>
      <c r="V635" s="123"/>
      <c r="W635" s="123"/>
      <c r="X635" s="123"/>
      <c r="Y635" s="123"/>
      <c r="Z635" s="123"/>
      <c r="AA635" s="127"/>
      <c r="AB635" s="127"/>
      <c r="AC635" s="127"/>
      <c r="AD635" s="127"/>
      <c r="AE635" s="127"/>
      <c r="AF635" s="127"/>
      <c r="AG635" s="127"/>
      <c r="AH635" s="127"/>
      <c r="AI635" s="127"/>
      <c r="AJ635" s="127"/>
      <c r="AK635" s="127"/>
      <c r="AL635" s="1687"/>
      <c r="AM635" s="127"/>
      <c r="AN635" s="127"/>
      <c r="AO635" s="127"/>
      <c r="AP635" s="127"/>
      <c r="AQ635" s="127"/>
      <c r="AR635" s="127"/>
      <c r="AS635" s="127"/>
      <c r="AT635" s="127"/>
      <c r="AU635" s="11"/>
      <c r="AV635" s="6"/>
      <c r="AW635" s="89"/>
      <c r="AX635" s="89"/>
      <c r="AY635" s="89"/>
      <c r="AZ635" s="89"/>
      <c r="BA635" s="89"/>
      <c r="BB635" s="89"/>
      <c r="BC635" s="89"/>
      <c r="BD635" s="89"/>
      <c r="BE635" s="89"/>
      <c r="BF635" s="89"/>
      <c r="BG635" s="89"/>
      <c r="BH635" s="98"/>
      <c r="BI635" s="89"/>
      <c r="BJ635" s="89"/>
      <c r="BK635" s="89"/>
      <c r="BL635" s="89"/>
      <c r="BM635" s="89"/>
      <c r="BN635" s="89"/>
      <c r="BO635" s="6"/>
      <c r="BP635" s="89"/>
      <c r="BQ635" s="89"/>
      <c r="BR635" s="89"/>
      <c r="BS635" s="89"/>
      <c r="BT635" s="6"/>
      <c r="BU635" s="6"/>
      <c r="BV635" s="6"/>
      <c r="BW635" s="6"/>
      <c r="BX635" s="6"/>
      <c r="BY635" s="6"/>
      <c r="BZ635" s="6"/>
      <c r="CA635" s="6"/>
      <c r="CB635" s="6"/>
      <c r="CC635" s="6"/>
      <c r="CD635" s="6"/>
      <c r="CE635" s="6"/>
      <c r="CF635" s="6"/>
      <c r="CG635" s="6"/>
      <c r="CH635" s="6"/>
      <c r="CI635" s="6"/>
      <c r="CJ635" s="6"/>
      <c r="CK635" s="6"/>
      <c r="CL635" s="6"/>
      <c r="CM635" s="6"/>
      <c r="CN635" s="6"/>
      <c r="CO635" s="11"/>
      <c r="CP635" s="11"/>
      <c r="CQ635" s="11"/>
      <c r="CR635" s="11"/>
      <c r="CS635" s="11"/>
      <c r="CT635" s="906"/>
      <c r="CU635" s="906"/>
      <c r="CV635" s="906"/>
      <c r="CW635" s="11"/>
      <c r="CX635" s="11"/>
      <c r="CY635" s="906"/>
      <c r="CZ635" s="906"/>
      <c r="DA635" s="906"/>
      <c r="DB635" s="11"/>
      <c r="DC635" s="2862"/>
      <c r="DD635" s="11"/>
      <c r="DE635" s="11"/>
      <c r="DF635" s="11"/>
      <c r="DG635" s="11"/>
      <c r="DH635" s="11"/>
      <c r="DI635" s="11"/>
      <c r="DJ635" s="11"/>
      <c r="DK635" s="11"/>
      <c r="DL635" s="11"/>
      <c r="DM635" s="11"/>
      <c r="DN635" s="11"/>
      <c r="DO635" s="11"/>
      <c r="DP635" s="11"/>
      <c r="DQ635" s="11"/>
      <c r="DR635" s="11"/>
    </row>
    <row r="636" spans="1:122">
      <c r="A636" s="239" t="s">
        <v>1335</v>
      </c>
      <c r="B636" s="127"/>
      <c r="C636" s="127"/>
      <c r="D636" s="127"/>
      <c r="E636" s="127"/>
      <c r="F636" s="127"/>
      <c r="G636" s="127"/>
      <c r="H636" s="127"/>
      <c r="I636" s="127"/>
      <c r="J636" s="129">
        <f>J617</f>
        <v>83.5</v>
      </c>
      <c r="K636" s="129">
        <f>K617</f>
        <v>214.3</v>
      </c>
      <c r="L636" s="129">
        <f>L617</f>
        <v>324.8</v>
      </c>
      <c r="M636" s="129">
        <f>M617</f>
        <v>400.4</v>
      </c>
      <c r="N636" s="129">
        <f>N617</f>
        <v>1416.5</v>
      </c>
      <c r="O636" s="919"/>
      <c r="P636" s="123"/>
      <c r="Q636" s="123"/>
      <c r="R636" s="129">
        <f>R617</f>
        <v>-5.6</v>
      </c>
      <c r="S636" s="123"/>
      <c r="T636" s="123"/>
      <c r="U636" s="123"/>
      <c r="V636" s="123"/>
      <c r="W636" s="123"/>
      <c r="X636" s="123"/>
      <c r="Y636" s="123"/>
      <c r="Z636" s="123"/>
      <c r="AA636" s="127"/>
      <c r="AB636" s="127"/>
      <c r="AC636" s="127"/>
      <c r="AD636" s="127"/>
      <c r="AE636" s="127"/>
      <c r="AF636" s="127"/>
      <c r="AG636" s="127"/>
      <c r="AH636" s="127"/>
      <c r="AI636" s="127"/>
      <c r="AJ636" s="127"/>
      <c r="AK636" s="127"/>
      <c r="AL636" s="1687"/>
      <c r="AM636" s="127"/>
      <c r="AN636" s="127"/>
      <c r="AO636" s="127"/>
      <c r="AP636" s="127"/>
      <c r="AQ636" s="127"/>
      <c r="AR636" s="127"/>
      <c r="AS636" s="127"/>
      <c r="AT636" s="127"/>
      <c r="AU636" s="11"/>
      <c r="AV636" s="6"/>
      <c r="AW636" s="89"/>
      <c r="AX636" s="89"/>
      <c r="AY636" s="89"/>
      <c r="AZ636" s="89"/>
      <c r="BA636" s="89"/>
      <c r="BB636" s="89"/>
      <c r="BC636" s="89"/>
      <c r="BD636" s="89"/>
      <c r="BE636" s="89"/>
      <c r="BF636" s="89"/>
      <c r="BG636" s="89"/>
      <c r="BH636" s="98"/>
      <c r="BI636" s="89"/>
      <c r="BJ636" s="89"/>
      <c r="BK636" s="89"/>
      <c r="BL636" s="89"/>
      <c r="BM636" s="89"/>
      <c r="BN636" s="89"/>
      <c r="BO636" s="6"/>
      <c r="BP636" s="89"/>
      <c r="BQ636" s="89"/>
      <c r="BR636" s="89"/>
      <c r="BS636" s="89"/>
      <c r="BT636" s="6"/>
      <c r="BU636" s="6"/>
      <c r="BV636" s="6"/>
      <c r="BW636" s="6"/>
      <c r="BX636" s="6"/>
      <c r="BY636" s="6"/>
      <c r="BZ636" s="6"/>
      <c r="CA636" s="6"/>
      <c r="CB636" s="6"/>
      <c r="CC636" s="6"/>
      <c r="CD636" s="6"/>
      <c r="CE636" s="6"/>
      <c r="CF636" s="6"/>
      <c r="CG636" s="6"/>
      <c r="CH636" s="6"/>
      <c r="CI636" s="6"/>
      <c r="CJ636" s="6"/>
      <c r="CK636" s="6"/>
      <c r="CL636" s="6"/>
      <c r="CM636" s="6"/>
      <c r="CN636" s="6"/>
      <c r="CO636" s="11"/>
      <c r="CP636" s="11"/>
      <c r="CQ636" s="11"/>
      <c r="CR636" s="11"/>
      <c r="CS636" s="11"/>
      <c r="CT636" s="906"/>
      <c r="CU636" s="906"/>
      <c r="CV636" s="906"/>
      <c r="CW636" s="11"/>
      <c r="CX636" s="11"/>
      <c r="CY636" s="906"/>
      <c r="CZ636" s="906"/>
      <c r="DA636" s="906"/>
      <c r="DB636" s="11"/>
      <c r="DC636" s="2862"/>
      <c r="DD636" s="11"/>
      <c r="DE636" s="11"/>
      <c r="DF636" s="11"/>
      <c r="DG636" s="11"/>
      <c r="DH636" s="11"/>
      <c r="DI636" s="11"/>
      <c r="DJ636" s="11"/>
      <c r="DK636" s="11"/>
      <c r="DL636" s="11"/>
      <c r="DM636" s="11"/>
      <c r="DN636" s="11"/>
      <c r="DO636" s="11"/>
      <c r="DP636" s="11"/>
      <c r="DQ636" s="11"/>
      <c r="DR636" s="11"/>
    </row>
    <row r="637" spans="1:122">
      <c r="A637" s="239" t="s">
        <v>1336</v>
      </c>
      <c r="B637" s="127"/>
      <c r="C637" s="127"/>
      <c r="D637" s="127"/>
      <c r="E637" s="127"/>
      <c r="F637" s="127"/>
      <c r="G637" s="127"/>
      <c r="H637" s="127"/>
      <c r="I637" s="127"/>
      <c r="J637" s="129">
        <f>J602</f>
        <v>0</v>
      </c>
      <c r="K637" s="129">
        <f>K602</f>
        <v>0</v>
      </c>
      <c r="L637" s="129">
        <f>L602</f>
        <v>0</v>
      </c>
      <c r="M637" s="129">
        <f>M602</f>
        <v>0</v>
      </c>
      <c r="N637" s="129">
        <f>N602</f>
        <v>0</v>
      </c>
      <c r="O637" s="919"/>
      <c r="P637" s="123"/>
      <c r="Q637" s="123"/>
      <c r="R637" s="129">
        <f>R602</f>
        <v>0</v>
      </c>
      <c r="S637" s="123"/>
      <c r="T637" s="123"/>
      <c r="U637" s="123"/>
      <c r="V637" s="123"/>
      <c r="W637" s="123"/>
      <c r="X637" s="123"/>
      <c r="Y637" s="123"/>
      <c r="Z637" s="123"/>
      <c r="AA637" s="127"/>
      <c r="AB637" s="127"/>
      <c r="AC637" s="127"/>
      <c r="AD637" s="127"/>
      <c r="AE637" s="127"/>
      <c r="AF637" s="127"/>
      <c r="AG637" s="127"/>
      <c r="AH637" s="127"/>
      <c r="AI637" s="127"/>
      <c r="AJ637" s="127"/>
      <c r="AK637" s="127"/>
      <c r="AL637" s="1687"/>
      <c r="AM637" s="127"/>
      <c r="AN637" s="127"/>
      <c r="AO637" s="127"/>
      <c r="AP637" s="127"/>
      <c r="AQ637" s="127"/>
      <c r="AR637" s="127"/>
      <c r="AS637" s="127"/>
      <c r="AT637" s="127"/>
      <c r="AU637" s="11"/>
      <c r="AV637" s="6"/>
      <c r="AW637" s="89"/>
      <c r="AX637" s="89"/>
      <c r="AY637" s="89"/>
      <c r="AZ637" s="89"/>
      <c r="BA637" s="89"/>
      <c r="BB637" s="89"/>
      <c r="BC637" s="89"/>
      <c r="BD637" s="89"/>
      <c r="BE637" s="89"/>
      <c r="BF637" s="89"/>
      <c r="BG637" s="89"/>
      <c r="BH637" s="98"/>
      <c r="BI637" s="89"/>
      <c r="BJ637" s="89"/>
      <c r="BK637" s="89"/>
      <c r="BL637" s="89"/>
      <c r="BM637" s="89"/>
      <c r="BN637" s="89"/>
      <c r="BO637" s="6"/>
      <c r="BP637" s="89"/>
      <c r="BQ637" s="89"/>
      <c r="BR637" s="89"/>
      <c r="BS637" s="89"/>
      <c r="BT637" s="6"/>
      <c r="BU637" s="6"/>
      <c r="BV637" s="6"/>
      <c r="BW637" s="6"/>
      <c r="BX637" s="6"/>
      <c r="BY637" s="6"/>
      <c r="BZ637" s="6"/>
      <c r="CA637" s="6"/>
      <c r="CB637" s="6"/>
      <c r="CC637" s="6"/>
      <c r="CD637" s="6"/>
      <c r="CE637" s="6"/>
      <c r="CF637" s="6"/>
      <c r="CG637" s="6"/>
      <c r="CH637" s="6"/>
      <c r="CI637" s="6"/>
      <c r="CJ637" s="6"/>
      <c r="CK637" s="6"/>
      <c r="CL637" s="6"/>
      <c r="CM637" s="6"/>
      <c r="CN637" s="6"/>
      <c r="CO637" s="11"/>
      <c r="CP637" s="11"/>
      <c r="CQ637" s="11"/>
      <c r="CR637" s="11"/>
      <c r="CS637" s="11"/>
      <c r="CT637" s="906"/>
      <c r="CU637" s="906"/>
      <c r="CV637" s="906"/>
      <c r="CW637" s="11"/>
      <c r="CX637" s="11"/>
      <c r="CY637" s="906"/>
      <c r="CZ637" s="906"/>
      <c r="DA637" s="906"/>
      <c r="DB637" s="11"/>
      <c r="DC637" s="2862"/>
      <c r="DD637" s="11"/>
      <c r="DE637" s="11"/>
      <c r="DF637" s="11"/>
      <c r="DG637" s="11"/>
      <c r="DH637" s="11"/>
      <c r="DI637" s="11"/>
      <c r="DJ637" s="11"/>
      <c r="DK637" s="11"/>
      <c r="DL637" s="11"/>
      <c r="DM637" s="11"/>
      <c r="DN637" s="11"/>
      <c r="DO637" s="11"/>
      <c r="DP637" s="11"/>
      <c r="DQ637" s="11"/>
      <c r="DR637" s="11"/>
    </row>
    <row r="638" spans="1:122">
      <c r="A638" s="239" t="s">
        <v>1350</v>
      </c>
      <c r="B638" s="127"/>
      <c r="C638" s="127"/>
      <c r="D638" s="127"/>
      <c r="E638" s="127"/>
      <c r="F638" s="127"/>
      <c r="G638" s="127"/>
      <c r="H638" s="127"/>
      <c r="I638" s="127"/>
      <c r="J638" s="129">
        <f>J576</f>
        <v>23.869999999999976</v>
      </c>
      <c r="K638" s="129">
        <f>K576</f>
        <v>107.1</v>
      </c>
      <c r="L638" s="129">
        <f>L576</f>
        <v>227.49999999999997</v>
      </c>
      <c r="M638" s="129">
        <f>M576</f>
        <v>-283.5</v>
      </c>
      <c r="N638" s="129">
        <f>N576</f>
        <v>-366.7</v>
      </c>
      <c r="O638" s="919"/>
      <c r="P638" s="123"/>
      <c r="Q638" s="123"/>
      <c r="R638" s="129">
        <f>R576</f>
        <v>0</v>
      </c>
      <c r="S638" s="123"/>
      <c r="T638" s="123"/>
      <c r="U638" s="123"/>
      <c r="V638" s="123"/>
      <c r="W638" s="123"/>
      <c r="X638" s="123"/>
      <c r="Y638" s="123"/>
      <c r="Z638" s="123"/>
      <c r="AA638" s="127"/>
      <c r="AB638" s="127"/>
      <c r="AC638" s="127"/>
      <c r="AD638" s="127"/>
      <c r="AE638" s="127"/>
      <c r="AF638" s="127"/>
      <c r="AG638" s="127"/>
      <c r="AH638" s="127"/>
      <c r="AI638" s="127"/>
      <c r="AJ638" s="127"/>
      <c r="AK638" s="127"/>
      <c r="AL638" s="1687"/>
      <c r="AM638" s="127"/>
      <c r="AN638" s="127"/>
      <c r="AO638" s="127"/>
      <c r="AP638" s="127"/>
      <c r="AQ638" s="127"/>
      <c r="AR638" s="127"/>
      <c r="AS638" s="127"/>
      <c r="AT638" s="127"/>
      <c r="AU638" s="11"/>
      <c r="AV638" s="6"/>
      <c r="AW638" s="89"/>
      <c r="AX638" s="89"/>
      <c r="AY638" s="89"/>
      <c r="AZ638" s="89"/>
      <c r="BA638" s="89"/>
      <c r="BB638" s="89"/>
      <c r="BC638" s="89"/>
      <c r="BD638" s="89"/>
      <c r="BE638" s="89"/>
      <c r="BF638" s="89"/>
      <c r="BG638" s="89"/>
      <c r="BH638" s="98"/>
      <c r="BI638" s="89"/>
      <c r="BJ638" s="89"/>
      <c r="BK638" s="89"/>
      <c r="BL638" s="89"/>
      <c r="BM638" s="89"/>
      <c r="BN638" s="89"/>
      <c r="BO638" s="6"/>
      <c r="BP638" s="89"/>
      <c r="BQ638" s="89"/>
      <c r="BR638" s="89"/>
      <c r="BS638" s="89"/>
      <c r="BT638" s="6"/>
      <c r="BU638" s="6"/>
      <c r="BV638" s="6"/>
      <c r="BW638" s="6"/>
      <c r="BX638" s="6"/>
      <c r="BY638" s="6"/>
      <c r="BZ638" s="6"/>
      <c r="CA638" s="6"/>
      <c r="CB638" s="6"/>
      <c r="CC638" s="6"/>
      <c r="CD638" s="6"/>
      <c r="CE638" s="6"/>
      <c r="CF638" s="6"/>
      <c r="CG638" s="6"/>
      <c r="CH638" s="6"/>
      <c r="CI638" s="6"/>
      <c r="CJ638" s="6"/>
      <c r="CK638" s="6"/>
      <c r="CL638" s="6"/>
      <c r="CM638" s="6"/>
      <c r="CN638" s="6"/>
      <c r="CO638" s="11"/>
      <c r="CP638" s="11"/>
      <c r="CQ638" s="11"/>
      <c r="CR638" s="11"/>
      <c r="CS638" s="11"/>
      <c r="CT638" s="906"/>
      <c r="CU638" s="906"/>
      <c r="CV638" s="906"/>
      <c r="CW638" s="11"/>
      <c r="CX638" s="11"/>
      <c r="CY638" s="906"/>
      <c r="CZ638" s="906"/>
      <c r="DA638" s="906"/>
      <c r="DB638" s="11"/>
      <c r="DC638" s="2862"/>
      <c r="DD638" s="11"/>
      <c r="DE638" s="11"/>
      <c r="DF638" s="11"/>
      <c r="DG638" s="11"/>
      <c r="DH638" s="11"/>
      <c r="DI638" s="11"/>
      <c r="DJ638" s="11"/>
      <c r="DK638" s="11"/>
      <c r="DL638" s="11"/>
      <c r="DM638" s="11"/>
      <c r="DN638" s="11"/>
      <c r="DO638" s="11"/>
      <c r="DP638" s="11"/>
      <c r="DQ638" s="11"/>
      <c r="DR638" s="11"/>
    </row>
    <row r="639" spans="1:122">
      <c r="A639" s="239" t="s">
        <v>1351</v>
      </c>
      <c r="B639" s="127"/>
      <c r="C639" s="127"/>
      <c r="D639" s="127"/>
      <c r="E639" s="127"/>
      <c r="F639" s="127"/>
      <c r="G639" s="127"/>
      <c r="H639" s="127"/>
      <c r="I639" s="127"/>
      <c r="J639" s="235">
        <f>J634-J636-J637-J638</f>
        <v>-73.27000000000001</v>
      </c>
      <c r="K639" s="241">
        <f>K634-K636-K637-K638</f>
        <v>-168.4</v>
      </c>
      <c r="L639" s="241">
        <f>L634-L636-L637-L638</f>
        <v>-227.29999999999998</v>
      </c>
      <c r="M639" s="241">
        <f>M634-M636-M637-M638</f>
        <v>277.60000000000002</v>
      </c>
      <c r="N639" s="241">
        <f>N634-N636-N637-N638</f>
        <v>-1049.8</v>
      </c>
      <c r="O639" s="919"/>
      <c r="P639" s="123"/>
      <c r="Q639" s="123"/>
      <c r="R639" s="241">
        <f>R634-R636-R637-R638</f>
        <v>5.6</v>
      </c>
      <c r="S639" s="123"/>
      <c r="T639" s="123"/>
      <c r="U639" s="123"/>
      <c r="V639" s="123"/>
      <c r="W639" s="123"/>
      <c r="X639" s="123"/>
      <c r="Y639" s="123"/>
      <c r="Z639" s="123"/>
      <c r="AA639" s="127"/>
      <c r="AB639" s="127"/>
      <c r="AC639" s="127"/>
      <c r="AD639" s="127"/>
      <c r="AE639" s="127"/>
      <c r="AF639" s="127"/>
      <c r="AG639" s="127"/>
      <c r="AH639" s="127"/>
      <c r="AI639" s="127"/>
      <c r="AJ639" s="127"/>
      <c r="AK639" s="127"/>
      <c r="AL639" s="1687"/>
      <c r="AM639" s="127"/>
      <c r="AN639" s="127"/>
      <c r="AO639" s="127"/>
      <c r="AP639" s="127"/>
      <c r="AQ639" s="127"/>
      <c r="AR639" s="127"/>
      <c r="AS639" s="127"/>
      <c r="AT639" s="127"/>
      <c r="AU639" s="11"/>
      <c r="AV639" s="6"/>
      <c r="AW639" s="89"/>
      <c r="AX639" s="89"/>
      <c r="AY639" s="89"/>
      <c r="AZ639" s="89"/>
      <c r="BA639" s="89"/>
      <c r="BB639" s="89"/>
      <c r="BC639" s="89"/>
      <c r="BD639" s="89"/>
      <c r="BE639" s="89"/>
      <c r="BF639" s="89"/>
      <c r="BG639" s="89"/>
      <c r="BH639" s="98"/>
      <c r="BI639" s="89"/>
      <c r="BJ639" s="89"/>
      <c r="BK639" s="89"/>
      <c r="BL639" s="89"/>
      <c r="BM639" s="89"/>
      <c r="BN639" s="89"/>
      <c r="BO639" s="6"/>
      <c r="BP639" s="89"/>
      <c r="BQ639" s="89"/>
      <c r="BR639" s="89"/>
      <c r="BS639" s="89"/>
      <c r="BT639" s="6"/>
      <c r="BU639" s="6"/>
      <c r="BV639" s="6"/>
      <c r="BW639" s="6"/>
      <c r="BX639" s="6"/>
      <c r="BY639" s="6"/>
      <c r="BZ639" s="6"/>
      <c r="CA639" s="6"/>
      <c r="CB639" s="6"/>
      <c r="CC639" s="6"/>
      <c r="CD639" s="6"/>
      <c r="CE639" s="6"/>
      <c r="CF639" s="6"/>
      <c r="CG639" s="6"/>
      <c r="CH639" s="6"/>
      <c r="CI639" s="6"/>
      <c r="CJ639" s="6"/>
      <c r="CK639" s="6"/>
      <c r="CL639" s="6"/>
      <c r="CM639" s="6"/>
      <c r="CN639" s="6"/>
      <c r="CO639" s="11"/>
      <c r="CP639" s="11"/>
      <c r="CQ639" s="11"/>
      <c r="CR639" s="11"/>
      <c r="CS639" s="11"/>
      <c r="CT639" s="906"/>
      <c r="CU639" s="906"/>
      <c r="CV639" s="906"/>
      <c r="CW639" s="11"/>
      <c r="CX639" s="11"/>
      <c r="CY639" s="906"/>
      <c r="CZ639" s="906"/>
      <c r="DA639" s="906"/>
      <c r="DB639" s="11"/>
      <c r="DC639" s="2862"/>
      <c r="DD639" s="11"/>
      <c r="DE639" s="11"/>
      <c r="DF639" s="11"/>
      <c r="DG639" s="11"/>
      <c r="DH639" s="11"/>
      <c r="DI639" s="11"/>
      <c r="DJ639" s="11"/>
      <c r="DK639" s="11"/>
      <c r="DL639" s="11"/>
      <c r="DM639" s="11"/>
      <c r="DN639" s="11"/>
      <c r="DO639" s="11"/>
      <c r="DP639" s="11"/>
      <c r="DQ639" s="11"/>
      <c r="DR639" s="11"/>
    </row>
    <row r="640" spans="1:122">
      <c r="A640" s="239"/>
      <c r="B640" s="127"/>
      <c r="C640" s="127"/>
      <c r="D640" s="127"/>
      <c r="E640" s="127"/>
      <c r="F640" s="127"/>
      <c r="G640" s="127"/>
      <c r="H640" s="127"/>
      <c r="I640" s="127"/>
      <c r="J640" s="235"/>
      <c r="K640" s="241"/>
      <c r="L640" s="241"/>
      <c r="M640" s="127"/>
      <c r="N640" s="123"/>
      <c r="O640" s="919"/>
      <c r="P640" s="123"/>
      <c r="Q640" s="123"/>
      <c r="R640" s="123"/>
      <c r="S640" s="123"/>
      <c r="T640" s="123"/>
      <c r="U640" s="123"/>
      <c r="V640" s="123"/>
      <c r="W640" s="123"/>
      <c r="X640" s="123"/>
      <c r="Y640" s="123"/>
      <c r="Z640" s="123"/>
      <c r="AA640" s="127"/>
      <c r="AB640" s="127"/>
      <c r="AC640" s="127"/>
      <c r="AD640" s="127"/>
      <c r="AE640" s="127"/>
      <c r="AF640" s="127"/>
      <c r="AG640" s="127"/>
      <c r="AH640" s="127"/>
      <c r="AI640" s="127"/>
      <c r="AJ640" s="127"/>
      <c r="AK640" s="127"/>
      <c r="AL640" s="1687"/>
      <c r="AM640" s="127"/>
      <c r="AN640" s="127"/>
      <c r="AO640" s="127"/>
      <c r="AP640" s="127"/>
      <c r="AQ640" s="127"/>
      <c r="AR640" s="127"/>
      <c r="AS640" s="127"/>
      <c r="AT640" s="127"/>
      <c r="AU640" s="11"/>
      <c r="AV640" s="6"/>
      <c r="AW640" s="89"/>
      <c r="AX640" s="89"/>
      <c r="AY640" s="89"/>
      <c r="AZ640" s="89"/>
      <c r="BA640" s="89"/>
      <c r="BB640" s="89"/>
      <c r="BC640" s="89"/>
      <c r="BD640" s="89"/>
      <c r="BE640" s="89"/>
      <c r="BF640" s="89"/>
      <c r="BG640" s="89"/>
      <c r="BH640" s="98"/>
      <c r="BI640" s="89"/>
      <c r="BJ640" s="89"/>
      <c r="BK640" s="89"/>
      <c r="BL640" s="89"/>
      <c r="BM640" s="89"/>
      <c r="BN640" s="89"/>
      <c r="BO640" s="6"/>
      <c r="BP640" s="89"/>
      <c r="BQ640" s="89"/>
      <c r="BR640" s="89"/>
      <c r="BS640" s="89"/>
      <c r="BT640" s="6"/>
      <c r="BU640" s="6"/>
      <c r="BV640" s="6"/>
      <c r="BW640" s="6"/>
      <c r="BX640" s="6"/>
      <c r="BY640" s="6"/>
      <c r="BZ640" s="6"/>
      <c r="CA640" s="6"/>
      <c r="CB640" s="6"/>
      <c r="CC640" s="6"/>
      <c r="CD640" s="6"/>
      <c r="CE640" s="6"/>
      <c r="CF640" s="6"/>
      <c r="CG640" s="6"/>
      <c r="CH640" s="6"/>
      <c r="CI640" s="6"/>
      <c r="CJ640" s="6"/>
      <c r="CK640" s="6"/>
      <c r="CL640" s="6"/>
      <c r="CM640" s="6"/>
      <c r="CN640" s="6"/>
      <c r="CO640" s="11"/>
      <c r="CP640" s="11"/>
      <c r="CQ640" s="11"/>
      <c r="CR640" s="11"/>
      <c r="CS640" s="11"/>
      <c r="CT640" s="906"/>
      <c r="CU640" s="906"/>
      <c r="CV640" s="906"/>
      <c r="CW640" s="11"/>
      <c r="CX640" s="11"/>
      <c r="CY640" s="906"/>
      <c r="CZ640" s="906"/>
      <c r="DA640" s="906"/>
      <c r="DB640" s="11"/>
      <c r="DC640" s="2862"/>
      <c r="DD640" s="11"/>
      <c r="DE640" s="11"/>
      <c r="DF640" s="11"/>
      <c r="DG640" s="11"/>
      <c r="DH640" s="11"/>
      <c r="DI640" s="11"/>
      <c r="DJ640" s="11"/>
      <c r="DK640" s="11"/>
      <c r="DL640" s="11"/>
      <c r="DM640" s="11"/>
      <c r="DN640" s="11"/>
      <c r="DO640" s="11"/>
      <c r="DP640" s="11"/>
      <c r="DQ640" s="11"/>
      <c r="DR640" s="11"/>
    </row>
    <row r="641" spans="1:128">
      <c r="A641" s="239" t="s">
        <v>1293</v>
      </c>
      <c r="B641" s="127"/>
      <c r="C641" s="127"/>
      <c r="D641" s="127"/>
      <c r="E641" s="127"/>
      <c r="F641" s="127"/>
      <c r="G641" s="127"/>
      <c r="H641" s="127"/>
      <c r="I641" s="127"/>
      <c r="J641" s="235"/>
      <c r="K641" s="241"/>
      <c r="L641" s="241">
        <f>L281</f>
        <v>1384.6</v>
      </c>
      <c r="M641" s="241">
        <f>M281</f>
        <v>562.20000000000005</v>
      </c>
      <c r="N641" s="241">
        <f>N281</f>
        <v>410.9</v>
      </c>
      <c r="O641" s="919"/>
      <c r="P641" s="123"/>
      <c r="Q641" s="123"/>
      <c r="R641" s="241">
        <f>R281</f>
        <v>94.600000000000009</v>
      </c>
      <c r="S641" s="123"/>
      <c r="T641" s="123"/>
      <c r="U641" s="123"/>
      <c r="V641" s="123"/>
      <c r="W641" s="123"/>
      <c r="X641" s="123"/>
      <c r="Y641" s="123"/>
      <c r="Z641" s="123"/>
      <c r="AA641" s="127"/>
      <c r="AB641" s="127"/>
      <c r="AC641" s="127"/>
      <c r="AD641" s="127"/>
      <c r="AE641" s="127"/>
      <c r="AF641" s="127"/>
      <c r="AG641" s="127"/>
      <c r="AH641" s="127"/>
      <c r="AI641" s="127"/>
      <c r="AJ641" s="127"/>
      <c r="AK641" s="127"/>
      <c r="AL641" s="1687"/>
      <c r="AM641" s="127"/>
      <c r="AN641" s="127"/>
      <c r="AO641" s="127"/>
      <c r="AP641" s="127"/>
      <c r="AQ641" s="127"/>
      <c r="AR641" s="127"/>
      <c r="AS641" s="127"/>
      <c r="AT641" s="127"/>
      <c r="AU641" s="11"/>
      <c r="AV641" s="6"/>
      <c r="AW641" s="89"/>
      <c r="AX641" s="89"/>
      <c r="AY641" s="89"/>
      <c r="AZ641" s="89"/>
      <c r="BA641" s="89"/>
      <c r="BB641" s="89"/>
      <c r="BC641" s="89"/>
      <c r="BD641" s="89"/>
      <c r="BE641" s="89"/>
      <c r="BF641" s="89"/>
      <c r="BG641" s="89"/>
      <c r="BH641" s="98"/>
      <c r="BI641" s="89"/>
      <c r="BJ641" s="89"/>
      <c r="BK641" s="89"/>
      <c r="BL641" s="89"/>
      <c r="BM641" s="89"/>
      <c r="BN641" s="89"/>
      <c r="BO641" s="6"/>
      <c r="BP641" s="89"/>
      <c r="BQ641" s="89"/>
      <c r="BR641" s="89"/>
      <c r="BS641" s="89"/>
      <c r="BT641" s="6"/>
      <c r="BU641" s="6"/>
      <c r="BV641" s="6"/>
      <c r="BW641" s="6"/>
      <c r="BX641" s="6"/>
      <c r="BY641" s="6"/>
      <c r="BZ641" s="6"/>
      <c r="CA641" s="6"/>
      <c r="CB641" s="6"/>
      <c r="CC641" s="6"/>
      <c r="CD641" s="6"/>
      <c r="CE641" s="6"/>
      <c r="CF641" s="6"/>
      <c r="CG641" s="6"/>
      <c r="CH641" s="6"/>
      <c r="CI641" s="6"/>
      <c r="CJ641" s="6"/>
      <c r="CK641" s="6"/>
      <c r="CL641" s="6"/>
      <c r="CM641" s="6"/>
      <c r="CN641" s="6"/>
      <c r="CO641" s="11"/>
      <c r="CP641" s="11"/>
      <c r="CQ641" s="11"/>
      <c r="CR641" s="11"/>
      <c r="CS641" s="11"/>
      <c r="CT641" s="906"/>
      <c r="CU641" s="906"/>
      <c r="CV641" s="906"/>
      <c r="CW641" s="11"/>
      <c r="CX641" s="11"/>
      <c r="CY641" s="906"/>
      <c r="CZ641" s="906"/>
      <c r="DA641" s="906"/>
      <c r="DB641" s="11"/>
      <c r="DC641" s="2862"/>
      <c r="DD641" s="11"/>
      <c r="DE641" s="11"/>
      <c r="DF641" s="11"/>
      <c r="DG641" s="11"/>
      <c r="DH641" s="11"/>
      <c r="DI641" s="11"/>
      <c r="DJ641" s="11"/>
      <c r="DK641" s="11"/>
      <c r="DL641" s="11"/>
      <c r="DM641" s="11"/>
      <c r="DN641" s="11"/>
      <c r="DO641" s="11"/>
      <c r="DP641" s="11"/>
      <c r="DQ641" s="11"/>
      <c r="DR641" s="11"/>
    </row>
    <row r="642" spans="1:128">
      <c r="A642" s="239" t="s">
        <v>1332</v>
      </c>
      <c r="B642" s="127"/>
      <c r="C642" s="127"/>
      <c r="D642" s="127"/>
      <c r="E642" s="127"/>
      <c r="F642" s="127"/>
      <c r="G642" s="127"/>
      <c r="H642" s="127"/>
      <c r="I642" s="127"/>
      <c r="J642" s="235"/>
      <c r="K642" s="241"/>
      <c r="L642" s="71">
        <v>0</v>
      </c>
      <c r="M642" s="71">
        <v>0</v>
      </c>
      <c r="N642" s="71">
        <v>0</v>
      </c>
      <c r="O642" s="919"/>
      <c r="P642" s="123"/>
      <c r="Q642" s="123"/>
      <c r="R642" s="71">
        <v>0</v>
      </c>
      <c r="S642" s="123"/>
      <c r="T642" s="123"/>
      <c r="U642" s="123"/>
      <c r="V642" s="123"/>
      <c r="W642" s="123"/>
      <c r="X642" s="123"/>
      <c r="Y642" s="123"/>
      <c r="Z642" s="123"/>
      <c r="AA642" s="127"/>
      <c r="AB642" s="127"/>
      <c r="AC642" s="127"/>
      <c r="AD642" s="127"/>
      <c r="AE642" s="127"/>
      <c r="AF642" s="127"/>
      <c r="AG642" s="127"/>
      <c r="AH642" s="127"/>
      <c r="AI642" s="127"/>
      <c r="AJ642" s="127"/>
      <c r="AK642" s="127"/>
      <c r="AL642" s="1687"/>
      <c r="AM642" s="127"/>
      <c r="AN642" s="127"/>
      <c r="AO642" s="127"/>
      <c r="AP642" s="127"/>
      <c r="AQ642" s="127"/>
      <c r="AR642" s="127"/>
      <c r="AS642" s="127"/>
      <c r="AT642" s="127"/>
      <c r="AU642" s="11"/>
      <c r="AV642" s="6"/>
      <c r="AW642" s="89"/>
      <c r="AX642" s="89"/>
      <c r="AY642" s="89"/>
      <c r="AZ642" s="89"/>
      <c r="BA642" s="89"/>
      <c r="BB642" s="89"/>
      <c r="BC642" s="89"/>
      <c r="BD642" s="89"/>
      <c r="BE642" s="89"/>
      <c r="BF642" s="89"/>
      <c r="BG642" s="89"/>
      <c r="BH642" s="98"/>
      <c r="BI642" s="89"/>
      <c r="BJ642" s="89"/>
      <c r="BK642" s="89"/>
      <c r="BL642" s="89"/>
      <c r="BM642" s="89"/>
      <c r="BN642" s="89"/>
      <c r="BO642" s="6"/>
      <c r="BP642" s="89"/>
      <c r="BQ642" s="89"/>
      <c r="BR642" s="89"/>
      <c r="BS642" s="89"/>
      <c r="BT642" s="6"/>
      <c r="BU642" s="6"/>
      <c r="BV642" s="6"/>
      <c r="BW642" s="6"/>
      <c r="BX642" s="6"/>
      <c r="BY642" s="6"/>
      <c r="BZ642" s="6"/>
      <c r="CA642" s="6"/>
      <c r="CB642" s="6"/>
      <c r="CC642" s="6"/>
      <c r="CD642" s="6"/>
      <c r="CE642" s="6"/>
      <c r="CF642" s="6"/>
      <c r="CG642" s="6"/>
      <c r="CH642" s="6"/>
      <c r="CI642" s="6"/>
      <c r="CJ642" s="6"/>
      <c r="CK642" s="6"/>
      <c r="CL642" s="6"/>
      <c r="CM642" s="6"/>
      <c r="CN642" s="6"/>
      <c r="CO642" s="11"/>
      <c r="CP642" s="11"/>
      <c r="CQ642" s="11"/>
      <c r="CR642" s="11"/>
      <c r="CS642" s="11"/>
      <c r="CT642" s="906"/>
      <c r="CU642" s="906"/>
      <c r="CV642" s="906"/>
      <c r="CW642" s="11"/>
      <c r="CX642" s="11"/>
      <c r="CY642" s="906"/>
      <c r="CZ642" s="906"/>
      <c r="DA642" s="906"/>
      <c r="DB642" s="11"/>
      <c r="DC642" s="2862"/>
      <c r="DD642" s="11"/>
      <c r="DE642" s="11"/>
      <c r="DF642" s="11"/>
      <c r="DG642" s="11"/>
      <c r="DH642" s="11"/>
      <c r="DI642" s="11"/>
      <c r="DJ642" s="11"/>
      <c r="DK642" s="11"/>
      <c r="DL642" s="11"/>
      <c r="DM642" s="11"/>
      <c r="DN642" s="11"/>
      <c r="DO642" s="11"/>
      <c r="DP642" s="11"/>
      <c r="DQ642" s="11"/>
      <c r="DR642" s="11"/>
    </row>
    <row r="643" spans="1:128">
      <c r="A643" s="239" t="s">
        <v>233</v>
      </c>
      <c r="B643" s="127"/>
      <c r="C643" s="127"/>
      <c r="D643" s="127"/>
      <c r="E643" s="127"/>
      <c r="F643" s="127"/>
      <c r="G643" s="127"/>
      <c r="H643" s="127"/>
      <c r="I643" s="127"/>
      <c r="J643" s="235"/>
      <c r="K643" s="241"/>
      <c r="L643" s="71">
        <f>L641</f>
        <v>1384.6</v>
      </c>
      <c r="M643" s="71">
        <f>M641</f>
        <v>562.20000000000005</v>
      </c>
      <c r="N643" s="71">
        <f>N641</f>
        <v>410.9</v>
      </c>
      <c r="O643" s="919"/>
      <c r="P643" s="123"/>
      <c r="Q643" s="123"/>
      <c r="R643" s="71">
        <f>R641</f>
        <v>94.600000000000009</v>
      </c>
      <c r="S643" s="123"/>
      <c r="T643" s="123"/>
      <c r="U643" s="123"/>
      <c r="V643" s="123"/>
      <c r="W643" s="123"/>
      <c r="X643" s="123"/>
      <c r="Y643" s="123"/>
      <c r="Z643" s="123"/>
      <c r="AA643" s="127"/>
      <c r="AB643" s="127"/>
      <c r="AC643" s="127"/>
      <c r="AD643" s="127"/>
      <c r="AE643" s="127"/>
      <c r="AF643" s="127"/>
      <c r="AG643" s="127"/>
      <c r="AH643" s="127"/>
      <c r="AI643" s="127"/>
      <c r="AJ643" s="127"/>
      <c r="AK643" s="127"/>
      <c r="AL643" s="1687"/>
      <c r="AM643" s="127"/>
      <c r="AN643" s="127"/>
      <c r="AO643" s="127"/>
      <c r="AP643" s="127"/>
      <c r="AQ643" s="127"/>
      <c r="AR643" s="127"/>
      <c r="AS643" s="127"/>
      <c r="AT643" s="127"/>
      <c r="AU643" s="11"/>
      <c r="AV643" s="6"/>
      <c r="AW643" s="89"/>
      <c r="AX643" s="89"/>
      <c r="AY643" s="89"/>
      <c r="AZ643" s="89"/>
      <c r="BA643" s="89"/>
      <c r="BB643" s="89"/>
      <c r="BC643" s="89"/>
      <c r="BD643" s="89"/>
      <c r="BE643" s="89"/>
      <c r="BF643" s="89"/>
      <c r="BG643" s="89"/>
      <c r="BH643" s="98"/>
      <c r="BI643" s="89"/>
      <c r="BJ643" s="89"/>
      <c r="BK643" s="89"/>
      <c r="BL643" s="89"/>
      <c r="BM643" s="89"/>
      <c r="BN643" s="89"/>
      <c r="BO643" s="6"/>
      <c r="BP643" s="89"/>
      <c r="BQ643" s="89"/>
      <c r="BR643" s="89"/>
      <c r="BS643" s="89"/>
      <c r="BT643" s="6"/>
      <c r="BU643" s="6"/>
      <c r="BV643" s="6"/>
      <c r="BW643" s="6"/>
      <c r="BX643" s="6"/>
      <c r="BY643" s="6"/>
      <c r="BZ643" s="6"/>
      <c r="CA643" s="6"/>
      <c r="CB643" s="6"/>
      <c r="CC643" s="6"/>
      <c r="CD643" s="6"/>
      <c r="CE643" s="6"/>
      <c r="CF643" s="6"/>
      <c r="CG643" s="6"/>
      <c r="CH643" s="6"/>
      <c r="CI643" s="6"/>
      <c r="CJ643" s="6"/>
      <c r="CK643" s="6"/>
      <c r="CL643" s="6"/>
      <c r="CM643" s="6"/>
      <c r="CN643" s="6"/>
      <c r="CO643" s="11"/>
      <c r="CP643" s="11"/>
      <c r="CQ643" s="11"/>
      <c r="CR643" s="11"/>
      <c r="CS643" s="11"/>
      <c r="CT643" s="906"/>
      <c r="CU643" s="906"/>
      <c r="CV643" s="906"/>
      <c r="CW643" s="11"/>
      <c r="CX643" s="11"/>
      <c r="CY643" s="906"/>
      <c r="CZ643" s="906"/>
      <c r="DA643" s="906"/>
      <c r="DB643" s="11"/>
      <c r="DC643" s="2862"/>
      <c r="DD643" s="11"/>
      <c r="DE643" s="11"/>
      <c r="DF643" s="11"/>
      <c r="DG643" s="11"/>
      <c r="DH643" s="11"/>
      <c r="DI643" s="11"/>
      <c r="DJ643" s="11"/>
      <c r="DK643" s="11"/>
      <c r="DL643" s="11"/>
      <c r="DM643" s="11"/>
      <c r="DN643" s="11"/>
      <c r="DO643" s="11"/>
      <c r="DP643" s="11"/>
      <c r="DQ643" s="11"/>
      <c r="DR643" s="11"/>
    </row>
    <row r="644" spans="1:128">
      <c r="A644" s="239" t="s">
        <v>1334</v>
      </c>
      <c r="B644" s="127"/>
      <c r="C644" s="127"/>
      <c r="D644" s="127"/>
      <c r="E644" s="127"/>
      <c r="F644" s="127"/>
      <c r="G644" s="127"/>
      <c r="H644" s="127"/>
      <c r="I644" s="127"/>
      <c r="J644" s="235"/>
      <c r="K644" s="241"/>
      <c r="L644" s="71">
        <v>0</v>
      </c>
      <c r="M644" s="71">
        <v>0</v>
      </c>
      <c r="N644" s="71">
        <v>0</v>
      </c>
      <c r="O644" s="919"/>
      <c r="P644" s="123"/>
      <c r="Q644" s="123"/>
      <c r="R644" s="71">
        <v>0</v>
      </c>
      <c r="S644" s="123"/>
      <c r="T644" s="123"/>
      <c r="U644" s="123"/>
      <c r="V644" s="123"/>
      <c r="W644" s="123"/>
      <c r="X644" s="123"/>
      <c r="Y644" s="123"/>
      <c r="Z644" s="123"/>
      <c r="AA644" s="127"/>
      <c r="AB644" s="127"/>
      <c r="AC644" s="127"/>
      <c r="AD644" s="127"/>
      <c r="AE644" s="127"/>
      <c r="AF644" s="127"/>
      <c r="AG644" s="127"/>
      <c r="AH644" s="127"/>
      <c r="AI644" s="127"/>
      <c r="AJ644" s="127"/>
      <c r="AK644" s="127"/>
      <c r="AL644" s="1687"/>
      <c r="AM644" s="127"/>
      <c r="AN644" s="127"/>
      <c r="AO644" s="127"/>
      <c r="AP644" s="127"/>
      <c r="AQ644" s="127"/>
      <c r="AR644" s="127"/>
      <c r="AS644" s="127"/>
      <c r="AT644" s="127"/>
      <c r="AU644" s="11"/>
      <c r="AV644" s="6"/>
      <c r="AW644" s="89"/>
      <c r="AX644" s="89"/>
      <c r="AY644" s="89"/>
      <c r="AZ644" s="89"/>
      <c r="BA644" s="89"/>
      <c r="BB644" s="89"/>
      <c r="BC644" s="89"/>
      <c r="BD644" s="89"/>
      <c r="BE644" s="89"/>
      <c r="BF644" s="89"/>
      <c r="BG644" s="89"/>
      <c r="BH644" s="98"/>
      <c r="BI644" s="89"/>
      <c r="BJ644" s="89"/>
      <c r="BK644" s="89"/>
      <c r="BL644" s="89"/>
      <c r="BM644" s="89"/>
      <c r="BN644" s="89"/>
      <c r="BO644" s="6"/>
      <c r="BP644" s="89"/>
      <c r="BQ644" s="89"/>
      <c r="BR644" s="89"/>
      <c r="BS644" s="89"/>
      <c r="BT644" s="6"/>
      <c r="BU644" s="6"/>
      <c r="BV644" s="6"/>
      <c r="BW644" s="6"/>
      <c r="BX644" s="6"/>
      <c r="BY644" s="6"/>
      <c r="BZ644" s="6"/>
      <c r="CA644" s="6"/>
      <c r="CB644" s="6"/>
      <c r="CC644" s="6"/>
      <c r="CD644" s="6"/>
      <c r="CE644" s="6"/>
      <c r="CF644" s="6"/>
      <c r="CG644" s="6"/>
      <c r="CH644" s="6"/>
      <c r="CI644" s="6"/>
      <c r="CJ644" s="6"/>
      <c r="CK644" s="6"/>
      <c r="CL644" s="6"/>
      <c r="CM644" s="6"/>
      <c r="CN644" s="6"/>
      <c r="CO644" s="11"/>
      <c r="CP644" s="11"/>
      <c r="CQ644" s="11"/>
      <c r="CR644" s="11"/>
      <c r="CS644" s="11"/>
      <c r="CT644" s="906"/>
      <c r="CU644" s="906"/>
      <c r="CV644" s="906"/>
      <c r="CW644" s="11"/>
      <c r="CX644" s="11"/>
      <c r="CY644" s="906"/>
      <c r="CZ644" s="906"/>
      <c r="DA644" s="906"/>
      <c r="DB644" s="11"/>
      <c r="DC644" s="2862"/>
      <c r="DD644" s="11"/>
      <c r="DE644" s="11"/>
      <c r="DF644" s="11"/>
      <c r="DG644" s="11"/>
      <c r="DH644" s="11"/>
      <c r="DI644" s="11"/>
      <c r="DJ644" s="11"/>
      <c r="DK644" s="11"/>
      <c r="DL644" s="11"/>
      <c r="DM644" s="11"/>
      <c r="DN644" s="11"/>
      <c r="DO644" s="11"/>
      <c r="DP644" s="11"/>
      <c r="DQ644" s="11"/>
      <c r="DR644" s="11"/>
    </row>
    <row r="645" spans="1:128">
      <c r="A645" s="239" t="s">
        <v>1294</v>
      </c>
      <c r="B645" s="127"/>
      <c r="C645" s="127"/>
      <c r="D645" s="127"/>
      <c r="E645" s="127"/>
      <c r="F645" s="127"/>
      <c r="G645" s="127"/>
      <c r="H645" s="127"/>
      <c r="I645" s="127"/>
      <c r="J645" s="235"/>
      <c r="K645" s="241"/>
      <c r="L645" s="181">
        <f>SUM(L642:L644)</f>
        <v>1384.6</v>
      </c>
      <c r="M645" s="181">
        <f>SUM(M642:M644)</f>
        <v>562.20000000000005</v>
      </c>
      <c r="N645" s="181">
        <f>SUM(N642:N644)</f>
        <v>410.9</v>
      </c>
      <c r="O645" s="919"/>
      <c r="P645" s="123"/>
      <c r="Q645" s="123"/>
      <c r="R645" s="181">
        <f>SUM(R642:R644)</f>
        <v>94.600000000000009</v>
      </c>
      <c r="S645" s="123"/>
      <c r="T645" s="123"/>
      <c r="U645" s="123"/>
      <c r="V645" s="123"/>
      <c r="W645" s="123"/>
      <c r="X645" s="123"/>
      <c r="Y645" s="123"/>
      <c r="Z645" s="123"/>
      <c r="AA645" s="127"/>
      <c r="AB645" s="127"/>
      <c r="AC645" s="127"/>
      <c r="AD645" s="127"/>
      <c r="AE645" s="127"/>
      <c r="AF645" s="127"/>
      <c r="AG645" s="127"/>
      <c r="AH645" s="127"/>
      <c r="AI645" s="127"/>
      <c r="AJ645" s="127"/>
      <c r="AK645" s="127"/>
      <c r="AL645" s="1687"/>
      <c r="AM645" s="127"/>
      <c r="AN645" s="127"/>
      <c r="AO645" s="127"/>
      <c r="AP645" s="127"/>
      <c r="AQ645" s="127"/>
      <c r="AR645" s="127"/>
      <c r="AS645" s="127"/>
      <c r="AT645" s="127"/>
      <c r="AU645" s="11"/>
      <c r="AV645" s="6"/>
      <c r="AW645" s="89"/>
      <c r="AX645" s="89"/>
      <c r="AY645" s="89"/>
      <c r="AZ645" s="89"/>
      <c r="BA645" s="89"/>
      <c r="BB645" s="89"/>
      <c r="BC645" s="89"/>
      <c r="BD645" s="89"/>
      <c r="BE645" s="89"/>
      <c r="BF645" s="89"/>
      <c r="BG645" s="89"/>
      <c r="BH645" s="98"/>
      <c r="BI645" s="89"/>
      <c r="BJ645" s="89"/>
      <c r="BK645" s="89"/>
      <c r="BL645" s="89"/>
      <c r="BM645" s="89"/>
      <c r="BN645" s="89"/>
      <c r="BO645" s="6"/>
      <c r="BP645" s="89"/>
      <c r="BQ645" s="89"/>
      <c r="BR645" s="89"/>
      <c r="BS645" s="89"/>
      <c r="BT645" s="6"/>
      <c r="BU645" s="6"/>
      <c r="BV645" s="6"/>
      <c r="BW645" s="6"/>
      <c r="BX645" s="6"/>
      <c r="BY645" s="6"/>
      <c r="BZ645" s="6"/>
      <c r="CA645" s="6"/>
      <c r="CB645" s="6"/>
      <c r="CC645" s="6"/>
      <c r="CD645" s="6"/>
      <c r="CE645" s="6"/>
      <c r="CF645" s="6"/>
      <c r="CG645" s="6"/>
      <c r="CH645" s="6"/>
      <c r="CI645" s="6"/>
      <c r="CJ645" s="6"/>
      <c r="CK645" s="6"/>
      <c r="CL645" s="6"/>
      <c r="CM645" s="6"/>
      <c r="CN645" s="6"/>
      <c r="CO645" s="11"/>
      <c r="CP645" s="11"/>
      <c r="CQ645" s="11"/>
      <c r="CR645" s="11"/>
      <c r="CS645" s="11"/>
      <c r="CT645" s="906"/>
      <c r="CU645" s="906"/>
      <c r="CV645" s="906"/>
      <c r="CW645" s="11"/>
      <c r="CX645" s="11"/>
      <c r="CY645" s="906"/>
      <c r="CZ645" s="906"/>
      <c r="DA645" s="906"/>
      <c r="DB645" s="11"/>
      <c r="DC645" s="2862"/>
      <c r="DD645" s="11"/>
      <c r="DE645" s="11"/>
      <c r="DF645" s="11"/>
      <c r="DG645" s="11"/>
      <c r="DH645" s="11"/>
      <c r="DI645" s="11"/>
      <c r="DJ645" s="11"/>
      <c r="DK645" s="11"/>
      <c r="DL645" s="11"/>
      <c r="DM645" s="11"/>
      <c r="DN645" s="11"/>
      <c r="DO645" s="11"/>
      <c r="DP645" s="11"/>
      <c r="DQ645" s="11"/>
      <c r="DR645" s="11"/>
    </row>
    <row r="646" spans="1:128">
      <c r="A646" s="239"/>
      <c r="B646" s="127"/>
      <c r="C646" s="127"/>
      <c r="D646" s="127"/>
      <c r="E646" s="127"/>
      <c r="F646" s="127"/>
      <c r="G646" s="127"/>
      <c r="H646" s="127"/>
      <c r="I646" s="127"/>
      <c r="J646" s="235"/>
      <c r="K646" s="241"/>
      <c r="L646" s="181"/>
      <c r="M646" s="181"/>
      <c r="N646" s="123"/>
      <c r="O646" s="919"/>
      <c r="P646" s="123"/>
      <c r="Q646" s="123"/>
      <c r="R646" s="123"/>
      <c r="S646" s="123"/>
      <c r="T646" s="123"/>
      <c r="U646" s="123"/>
      <c r="V646" s="123"/>
      <c r="W646" s="123"/>
      <c r="X646" s="123"/>
      <c r="Y646" s="123"/>
      <c r="Z646" s="123"/>
      <c r="AA646" s="127"/>
      <c r="AB646" s="127"/>
      <c r="AC646" s="127"/>
      <c r="AD646" s="127"/>
      <c r="AE646" s="127"/>
      <c r="AF646" s="127"/>
      <c r="AG646" s="127"/>
      <c r="AH646" s="127"/>
      <c r="AI646" s="127"/>
      <c r="AJ646" s="127"/>
      <c r="AK646" s="127"/>
      <c r="AL646" s="1687"/>
      <c r="AM646" s="127"/>
      <c r="AN646" s="127"/>
      <c r="AO646" s="127"/>
      <c r="AP646" s="127"/>
      <c r="AQ646" s="127"/>
      <c r="AR646" s="127"/>
      <c r="AS646" s="127"/>
      <c r="AT646" s="127"/>
      <c r="AU646" s="11"/>
      <c r="AV646" s="6"/>
      <c r="AW646" s="89"/>
      <c r="AX646" s="89"/>
      <c r="AY646" s="89"/>
      <c r="AZ646" s="89"/>
      <c r="BA646" s="89"/>
      <c r="BB646" s="89"/>
      <c r="BC646" s="89"/>
      <c r="BD646" s="89"/>
      <c r="BE646" s="89"/>
      <c r="BF646" s="89"/>
      <c r="BG646" s="89"/>
      <c r="BH646" s="98"/>
      <c r="BI646" s="89"/>
      <c r="BJ646" s="89"/>
      <c r="BK646" s="89"/>
      <c r="BL646" s="89"/>
      <c r="BM646" s="89"/>
      <c r="BN646" s="89"/>
      <c r="BO646" s="6"/>
      <c r="BP646" s="89"/>
      <c r="BQ646" s="89"/>
      <c r="BR646" s="89"/>
      <c r="BS646" s="89"/>
      <c r="BT646" s="6"/>
      <c r="BU646" s="6"/>
      <c r="BV646" s="6"/>
      <c r="BW646" s="6"/>
      <c r="BX646" s="6"/>
      <c r="BY646" s="6"/>
      <c r="BZ646" s="6"/>
      <c r="CA646" s="6"/>
      <c r="CB646" s="6"/>
      <c r="CC646" s="6"/>
      <c r="CD646" s="6"/>
      <c r="CE646" s="6"/>
      <c r="CF646" s="6"/>
      <c r="CG646" s="6"/>
      <c r="CH646" s="6"/>
      <c r="CI646" s="6"/>
      <c r="CJ646" s="6"/>
      <c r="CK646" s="6"/>
      <c r="CL646" s="6"/>
      <c r="CM646" s="6"/>
      <c r="CN646" s="6"/>
      <c r="CO646" s="11"/>
      <c r="CP646" s="11"/>
      <c r="CQ646" s="11"/>
      <c r="CR646" s="11"/>
      <c r="CS646" s="11"/>
      <c r="CT646" s="906"/>
      <c r="CU646" s="906"/>
      <c r="CV646" s="906"/>
      <c r="CW646" s="11"/>
      <c r="CX646" s="11"/>
      <c r="CY646" s="906"/>
      <c r="CZ646" s="906"/>
      <c r="DA646" s="906"/>
      <c r="DB646" s="11"/>
      <c r="DC646" s="2862"/>
      <c r="DD646" s="11"/>
      <c r="DE646" s="11"/>
      <c r="DF646" s="11"/>
      <c r="DG646" s="11"/>
      <c r="DH646" s="11"/>
      <c r="DI646" s="11"/>
      <c r="DJ646" s="11"/>
      <c r="DK646" s="11"/>
      <c r="DL646" s="11"/>
      <c r="DM646" s="11"/>
      <c r="DN646" s="11"/>
      <c r="DO646" s="11"/>
      <c r="DP646" s="11"/>
      <c r="DQ646" s="11"/>
      <c r="DR646" s="11"/>
    </row>
    <row r="647" spans="1:128">
      <c r="A647" s="239" t="s">
        <v>1335</v>
      </c>
      <c r="B647" s="127"/>
      <c r="C647" s="127"/>
      <c r="D647" s="127"/>
      <c r="E647" s="127"/>
      <c r="F647" s="127"/>
      <c r="G647" s="127"/>
      <c r="H647" s="127"/>
      <c r="I647" s="127"/>
      <c r="J647" s="235"/>
      <c r="K647" s="241"/>
      <c r="L647" s="181">
        <v>0</v>
      </c>
      <c r="M647" s="181"/>
      <c r="N647" s="123"/>
      <c r="O647" s="919"/>
      <c r="P647" s="123"/>
      <c r="Q647" s="123"/>
      <c r="R647" s="123"/>
      <c r="S647" s="123"/>
      <c r="T647" s="123"/>
      <c r="U647" s="123"/>
      <c r="V647" s="123"/>
      <c r="W647" s="123"/>
      <c r="X647" s="123"/>
      <c r="Y647" s="123"/>
      <c r="Z647" s="123"/>
      <c r="AA647" s="123"/>
      <c r="AB647" s="123"/>
      <c r="AC647" s="123"/>
      <c r="AD647" s="123"/>
      <c r="AE647" s="123"/>
      <c r="AF647" s="123"/>
      <c r="AG647" s="127"/>
      <c r="AH647" s="127"/>
      <c r="AI647" s="127"/>
      <c r="AJ647" s="127"/>
      <c r="AK647" s="127"/>
      <c r="AL647" s="1687"/>
      <c r="AM647" s="123"/>
      <c r="AN647" s="123"/>
      <c r="AO647" s="123"/>
      <c r="AP647" s="123"/>
      <c r="AQ647" s="123"/>
      <c r="AR647" s="123"/>
      <c r="AS647" s="123"/>
      <c r="AT647" s="123"/>
      <c r="AU647" s="11"/>
      <c r="AV647" s="6"/>
      <c r="AW647" s="89"/>
      <c r="AX647" s="89"/>
      <c r="AY647" s="89"/>
      <c r="AZ647" s="89"/>
      <c r="BA647" s="89"/>
      <c r="BB647" s="89"/>
      <c r="BC647" s="89"/>
      <c r="BD647" s="89"/>
      <c r="BE647" s="89"/>
      <c r="BF647" s="89"/>
      <c r="BG647" s="89"/>
      <c r="BH647" s="98"/>
      <c r="BI647" s="89"/>
      <c r="BJ647" s="89"/>
      <c r="BK647" s="89"/>
      <c r="BL647" s="89"/>
      <c r="BM647" s="89"/>
      <c r="BN647" s="89"/>
      <c r="BO647" s="6"/>
      <c r="BP647" s="89"/>
      <c r="BQ647" s="89"/>
      <c r="BR647" s="89"/>
      <c r="BS647" s="89"/>
      <c r="BT647" s="6"/>
      <c r="BU647" s="6"/>
      <c r="BV647" s="6"/>
      <c r="BW647" s="6"/>
      <c r="BX647" s="6"/>
      <c r="BY647" s="6"/>
      <c r="BZ647" s="6"/>
      <c r="CA647" s="6"/>
      <c r="CB647" s="6"/>
      <c r="CC647" s="6"/>
      <c r="CD647" s="6"/>
      <c r="CE647" s="6"/>
      <c r="CF647" s="6"/>
      <c r="CG647" s="6"/>
      <c r="CH647" s="6"/>
      <c r="CI647" s="6"/>
      <c r="CJ647" s="6"/>
      <c r="CK647" s="6"/>
      <c r="CL647" s="6"/>
      <c r="CM647" s="6"/>
      <c r="CN647" s="6"/>
      <c r="CO647" s="11"/>
      <c r="CP647" s="11"/>
      <c r="CQ647" s="11"/>
      <c r="CR647" s="11"/>
      <c r="CS647" s="11"/>
      <c r="CT647" s="906"/>
      <c r="CU647" s="906"/>
      <c r="CV647" s="906"/>
      <c r="CW647" s="11"/>
      <c r="CX647" s="11"/>
      <c r="CY647" s="906"/>
      <c r="CZ647" s="906"/>
      <c r="DA647" s="906"/>
      <c r="DB647" s="11"/>
      <c r="DC647" s="2862"/>
      <c r="DD647" s="11"/>
      <c r="DE647" s="11"/>
      <c r="DF647" s="11"/>
      <c r="DG647" s="11"/>
      <c r="DH647" s="11"/>
      <c r="DI647" s="11"/>
      <c r="DJ647" s="11"/>
      <c r="DK647" s="11"/>
      <c r="DL647" s="11"/>
      <c r="DM647" s="11"/>
      <c r="DN647" s="11"/>
      <c r="DO647" s="11"/>
      <c r="DP647" s="11"/>
      <c r="DQ647" s="11"/>
      <c r="DR647" s="11"/>
    </row>
    <row r="648" spans="1:128">
      <c r="A648" s="239" t="s">
        <v>1336</v>
      </c>
      <c r="B648" s="127"/>
      <c r="C648" s="127"/>
      <c r="D648" s="127"/>
      <c r="E648" s="127"/>
      <c r="F648" s="127"/>
      <c r="G648" s="127"/>
      <c r="H648" s="127"/>
      <c r="I648" s="127"/>
      <c r="J648" s="235"/>
      <c r="K648" s="241"/>
      <c r="L648" s="181">
        <v>0</v>
      </c>
      <c r="M648" s="181"/>
      <c r="N648" s="123"/>
      <c r="O648" s="919"/>
      <c r="P648" s="123"/>
      <c r="Q648" s="123"/>
      <c r="R648" s="123"/>
      <c r="S648" s="123"/>
      <c r="T648" s="123"/>
      <c r="U648" s="123"/>
      <c r="V648" s="123"/>
      <c r="W648" s="123"/>
      <c r="X648" s="123"/>
      <c r="Y648" s="123"/>
      <c r="Z648" s="123"/>
      <c r="AA648" s="123"/>
      <c r="AB648" s="123"/>
      <c r="AC648" s="123"/>
      <c r="AD648" s="123"/>
      <c r="AE648" s="123"/>
      <c r="AF648" s="123"/>
      <c r="AG648" s="127"/>
      <c r="AH648" s="127"/>
      <c r="AI648" s="127"/>
      <c r="AJ648" s="127"/>
      <c r="AK648" s="127"/>
      <c r="AL648" s="1687"/>
      <c r="AM648" s="123"/>
      <c r="AN648" s="123"/>
      <c r="AO648" s="123"/>
      <c r="AP648" s="123"/>
      <c r="AQ648" s="123"/>
      <c r="AR648" s="123"/>
      <c r="AS648" s="123"/>
      <c r="AT648" s="123"/>
      <c r="AU648" s="11"/>
      <c r="AV648" s="6"/>
      <c r="AW648" s="89"/>
      <c r="AX648" s="89"/>
      <c r="AY648" s="89"/>
      <c r="AZ648" s="89"/>
      <c r="BA648" s="89"/>
      <c r="BB648" s="89"/>
      <c r="BC648" s="89"/>
      <c r="BD648" s="89"/>
      <c r="BE648" s="89"/>
      <c r="BF648" s="89"/>
      <c r="BG648" s="89"/>
      <c r="BH648" s="98"/>
      <c r="BI648" s="89"/>
      <c r="BJ648" s="89"/>
      <c r="BK648" s="89"/>
      <c r="BL648" s="89"/>
      <c r="BM648" s="89"/>
      <c r="BN648" s="89"/>
      <c r="BO648" s="6"/>
      <c r="BP648" s="89"/>
      <c r="BQ648" s="89"/>
      <c r="BR648" s="89"/>
      <c r="BS648" s="89"/>
      <c r="BT648" s="6"/>
      <c r="BU648" s="6"/>
      <c r="BV648" s="6"/>
      <c r="BW648" s="6"/>
      <c r="BX648" s="6"/>
      <c r="BY648" s="6"/>
      <c r="BZ648" s="6"/>
      <c r="CA648" s="6"/>
      <c r="CB648" s="6"/>
      <c r="CC648" s="6"/>
      <c r="CD648" s="6"/>
      <c r="CE648" s="6"/>
      <c r="CF648" s="6"/>
      <c r="CG648" s="6"/>
      <c r="CH648" s="6"/>
      <c r="CI648" s="6"/>
      <c r="CJ648" s="6"/>
      <c r="CK648" s="6"/>
      <c r="CL648" s="6"/>
      <c r="CM648" s="6"/>
      <c r="CN648" s="6"/>
      <c r="CO648" s="11"/>
      <c r="CP648" s="11"/>
      <c r="CQ648" s="11"/>
      <c r="CR648" s="11"/>
      <c r="CS648" s="11"/>
      <c r="CT648" s="906"/>
      <c r="CU648" s="906"/>
      <c r="CV648" s="906"/>
      <c r="CW648" s="11"/>
      <c r="CX648" s="11"/>
      <c r="CY648" s="906"/>
      <c r="CZ648" s="906"/>
      <c r="DA648" s="906"/>
      <c r="DB648" s="11"/>
      <c r="DC648" s="2862"/>
      <c r="DD648" s="11"/>
      <c r="DE648" s="11"/>
      <c r="DF648" s="11"/>
      <c r="DG648" s="11"/>
      <c r="DH648" s="11"/>
      <c r="DI648" s="11"/>
      <c r="DJ648" s="11"/>
      <c r="DK648" s="11"/>
      <c r="DL648" s="11"/>
      <c r="DM648" s="11"/>
      <c r="DN648" s="11"/>
      <c r="DO648" s="11"/>
      <c r="DP648" s="11"/>
      <c r="DQ648" s="11"/>
      <c r="DR648" s="11"/>
    </row>
    <row r="649" spans="1:128">
      <c r="A649" s="239" t="s">
        <v>1295</v>
      </c>
      <c r="B649" s="127"/>
      <c r="C649" s="127"/>
      <c r="D649" s="127"/>
      <c r="E649" s="127"/>
      <c r="F649" s="127"/>
      <c r="G649" s="127"/>
      <c r="H649" s="127"/>
      <c r="I649" s="127"/>
      <c r="J649" s="235"/>
      <c r="K649" s="241"/>
      <c r="L649" s="181">
        <v>700</v>
      </c>
      <c r="M649" s="181"/>
      <c r="N649" s="123"/>
      <c r="O649" s="919"/>
      <c r="P649" s="123"/>
      <c r="Q649" s="123"/>
      <c r="R649" s="123"/>
      <c r="S649" s="123"/>
      <c r="T649" s="123"/>
      <c r="U649" s="123"/>
      <c r="V649" s="123"/>
      <c r="W649" s="123"/>
      <c r="X649" s="123"/>
      <c r="Y649" s="123"/>
      <c r="Z649" s="123"/>
      <c r="AA649" s="123"/>
      <c r="AB649" s="123"/>
      <c r="AC649" s="123"/>
      <c r="AD649" s="123"/>
      <c r="AE649" s="123"/>
      <c r="AF649" s="123"/>
      <c r="AG649" s="127"/>
      <c r="AH649" s="127"/>
      <c r="AI649" s="127"/>
      <c r="AJ649" s="127"/>
      <c r="AK649" s="127"/>
      <c r="AL649" s="1687"/>
      <c r="AM649" s="123"/>
      <c r="AN649" s="123"/>
      <c r="AO649" s="123"/>
      <c r="AP649" s="123"/>
      <c r="AQ649" s="123"/>
      <c r="AR649" s="123"/>
      <c r="AS649" s="123"/>
      <c r="AT649" s="123"/>
      <c r="AU649" s="11"/>
      <c r="AV649" s="6"/>
      <c r="AW649" s="89"/>
      <c r="AX649" s="89"/>
      <c r="AY649" s="89"/>
      <c r="AZ649" s="89"/>
      <c r="BA649" s="89"/>
      <c r="BB649" s="89"/>
      <c r="BC649" s="89"/>
      <c r="BD649" s="89"/>
      <c r="BE649" s="89"/>
      <c r="BF649" s="89"/>
      <c r="BG649" s="89"/>
      <c r="BH649" s="98"/>
      <c r="BI649" s="89"/>
      <c r="BJ649" s="89"/>
      <c r="BK649" s="89"/>
      <c r="BL649" s="89"/>
      <c r="BM649" s="89"/>
      <c r="BN649" s="89"/>
      <c r="BO649" s="6"/>
      <c r="BP649" s="89"/>
      <c r="BQ649" s="89"/>
      <c r="BR649" s="89"/>
      <c r="BS649" s="89"/>
      <c r="BT649" s="6"/>
      <c r="BU649" s="6"/>
      <c r="BV649" s="6"/>
      <c r="BW649" s="6"/>
      <c r="BX649" s="6"/>
      <c r="BY649" s="6"/>
      <c r="BZ649" s="6"/>
      <c r="CA649" s="6"/>
      <c r="CB649" s="6"/>
      <c r="CC649" s="6"/>
      <c r="CD649" s="6"/>
      <c r="CE649" s="6"/>
      <c r="CF649" s="6"/>
      <c r="CG649" s="6"/>
      <c r="CH649" s="6"/>
      <c r="CI649" s="6"/>
      <c r="CJ649" s="6"/>
      <c r="CK649" s="6"/>
      <c r="CL649" s="6"/>
      <c r="CM649" s="6"/>
      <c r="CN649" s="6"/>
      <c r="CO649" s="11"/>
      <c r="CP649" s="11"/>
      <c r="CQ649" s="11"/>
      <c r="CR649" s="11"/>
      <c r="CS649" s="11"/>
      <c r="CT649" s="906"/>
      <c r="CU649" s="906"/>
      <c r="CV649" s="906"/>
      <c r="CW649" s="11"/>
      <c r="CX649" s="11"/>
      <c r="CY649" s="906"/>
      <c r="CZ649" s="906"/>
      <c r="DA649" s="906"/>
      <c r="DB649" s="11"/>
      <c r="DC649" s="2862"/>
      <c r="DD649" s="11"/>
      <c r="DE649" s="11"/>
      <c r="DF649" s="11"/>
      <c r="DG649" s="11"/>
      <c r="DH649" s="11"/>
      <c r="DI649" s="11"/>
      <c r="DJ649" s="11"/>
      <c r="DK649" s="11"/>
      <c r="DL649" s="11"/>
      <c r="DM649" s="11"/>
      <c r="DN649" s="11"/>
      <c r="DO649" s="11"/>
      <c r="DP649" s="11"/>
      <c r="DQ649" s="11"/>
      <c r="DR649" s="11"/>
    </row>
    <row r="650" spans="1:128">
      <c r="A650" s="239" t="s">
        <v>1296</v>
      </c>
      <c r="B650" s="127"/>
      <c r="C650" s="127"/>
      <c r="D650" s="127"/>
      <c r="E650" s="127"/>
      <c r="F650" s="127"/>
      <c r="G650" s="127"/>
      <c r="H650" s="127"/>
      <c r="I650" s="127"/>
      <c r="J650" s="235"/>
      <c r="K650" s="241"/>
      <c r="L650" s="14">
        <v>-350</v>
      </c>
      <c r="M650" s="127"/>
      <c r="N650" s="123"/>
      <c r="O650" s="919"/>
      <c r="P650" s="123"/>
      <c r="Q650" s="123"/>
      <c r="R650" s="123"/>
      <c r="S650" s="123"/>
      <c r="T650" s="123"/>
      <c r="U650" s="123"/>
      <c r="V650" s="123"/>
      <c r="W650" s="123"/>
      <c r="X650" s="123"/>
      <c r="Y650" s="864" t="s">
        <v>337</v>
      </c>
      <c r="Z650" s="123"/>
      <c r="AA650" s="123"/>
      <c r="AB650" s="123"/>
      <c r="AC650" s="123"/>
      <c r="AD650" s="123"/>
      <c r="AE650" s="123"/>
      <c r="AF650" s="123"/>
      <c r="AG650" s="127"/>
      <c r="AH650" s="127"/>
      <c r="AI650" s="127"/>
      <c r="AJ650" s="127"/>
      <c r="AK650" s="127"/>
      <c r="AL650" s="1687"/>
      <c r="AM650" s="123"/>
      <c r="AN650" s="123"/>
      <c r="AO650" s="123"/>
      <c r="AP650" s="123"/>
      <c r="AQ650" s="123"/>
      <c r="AR650" s="123"/>
      <c r="AS650" s="123"/>
      <c r="AT650" s="123"/>
      <c r="AU650" s="11"/>
      <c r="AV650" s="6"/>
      <c r="AW650" s="89"/>
      <c r="AX650" s="89"/>
      <c r="AY650" s="89"/>
      <c r="AZ650" s="89"/>
      <c r="BA650" s="89"/>
      <c r="BB650" s="89"/>
      <c r="BC650" s="89"/>
      <c r="BD650" s="89"/>
      <c r="BE650" s="89"/>
      <c r="BF650" s="89"/>
      <c r="BG650" s="89"/>
      <c r="BH650" s="98"/>
      <c r="BI650" s="89"/>
      <c r="BJ650" s="89"/>
      <c r="BK650" s="89"/>
      <c r="BL650" s="89"/>
      <c r="BM650" s="89"/>
      <c r="BN650" s="89"/>
      <c r="BO650" s="6"/>
      <c r="BP650" s="89"/>
      <c r="BQ650" s="89"/>
      <c r="BR650" s="89"/>
      <c r="BS650" s="89"/>
      <c r="BT650" s="6"/>
      <c r="BU650" s="6"/>
      <c r="BV650" s="6"/>
      <c r="BW650" s="6"/>
      <c r="BX650" s="6"/>
      <c r="BY650" s="6"/>
      <c r="BZ650" s="6"/>
      <c r="CA650" s="6"/>
      <c r="CB650" s="6"/>
      <c r="CC650" s="6"/>
      <c r="CD650" s="6"/>
      <c r="CE650" s="6"/>
      <c r="CF650" s="6"/>
      <c r="CG650" s="6"/>
      <c r="CH650" s="6"/>
      <c r="CI650" s="6"/>
      <c r="CJ650" s="6"/>
      <c r="CK650" s="6"/>
      <c r="CL650" s="6"/>
      <c r="CM650" s="6"/>
      <c r="CN650" s="6"/>
      <c r="CO650" s="11"/>
      <c r="CP650" s="11"/>
      <c r="CQ650" s="11"/>
      <c r="CR650" s="11"/>
      <c r="CS650" s="11"/>
      <c r="CT650" s="906"/>
      <c r="CU650" s="906"/>
      <c r="CV650" s="906"/>
      <c r="CW650" s="11"/>
      <c r="CX650" s="11"/>
      <c r="CY650" s="906"/>
      <c r="CZ650" s="906"/>
      <c r="DA650" s="906"/>
      <c r="DB650" s="11"/>
      <c r="DC650" s="2862"/>
      <c r="DD650" s="11"/>
      <c r="DE650" s="11"/>
      <c r="DF650" s="11"/>
      <c r="DG650" s="11"/>
      <c r="DH650" s="11"/>
      <c r="DI650" s="11"/>
      <c r="DJ650" s="11"/>
      <c r="DK650" s="11"/>
      <c r="DL650" s="11"/>
      <c r="DM650" s="11"/>
      <c r="DN650" s="11"/>
      <c r="DO650" s="11"/>
      <c r="DP650" s="11"/>
      <c r="DQ650" s="11"/>
      <c r="DR650" s="11"/>
    </row>
    <row r="651" spans="1:128">
      <c r="A651" s="239" t="s">
        <v>1297</v>
      </c>
      <c r="B651" s="127"/>
      <c r="C651" s="127"/>
      <c r="D651" s="127"/>
      <c r="E651" s="127"/>
      <c r="F651" s="127"/>
      <c r="G651" s="127"/>
      <c r="H651" s="127"/>
      <c r="I651" s="127"/>
      <c r="J651" s="98"/>
      <c r="K651" s="98"/>
      <c r="L651" s="127">
        <f>L641-SUM(L647:L650)</f>
        <v>1034.5999999999999</v>
      </c>
      <c r="M651" s="127">
        <f>M641-SUM(M647:M650)</f>
        <v>562.20000000000005</v>
      </c>
      <c r="N651" s="123"/>
      <c r="O651" s="919"/>
      <c r="P651" s="123"/>
      <c r="Q651" s="123"/>
      <c r="R651" s="119">
        <v>0.375</v>
      </c>
      <c r="S651" s="119">
        <v>0.38</v>
      </c>
      <c r="T651" s="1482">
        <v>0.38800000000000001</v>
      </c>
      <c r="U651" s="1482">
        <v>0.38800000000000001</v>
      </c>
      <c r="V651" s="1482">
        <v>0.38800000000000001</v>
      </c>
      <c r="W651" s="123"/>
      <c r="X651" s="123"/>
      <c r="Y651" s="123"/>
      <c r="Z651" s="123"/>
      <c r="AA651" s="123"/>
      <c r="AB651" s="123"/>
      <c r="AC651" s="123"/>
      <c r="AD651" s="123"/>
      <c r="AE651" s="123"/>
      <c r="AF651" s="123"/>
      <c r="AG651" s="127"/>
      <c r="AH651" s="127"/>
      <c r="AI651" s="127"/>
      <c r="AJ651" s="127"/>
      <c r="AK651" s="127"/>
      <c r="AL651" s="1687"/>
      <c r="AM651" s="123"/>
      <c r="AN651" s="123"/>
      <c r="AO651" s="123"/>
      <c r="AP651" s="123"/>
      <c r="AQ651" s="123"/>
      <c r="AR651" s="123"/>
      <c r="AS651" s="123"/>
      <c r="AT651" s="123"/>
      <c r="AU651" s="11"/>
      <c r="AV651" s="6"/>
      <c r="AW651" s="89"/>
      <c r="AX651" s="89"/>
      <c r="AY651" s="89"/>
      <c r="AZ651" s="89"/>
      <c r="BA651" s="89"/>
      <c r="BB651" s="89"/>
      <c r="BC651" s="89"/>
      <c r="BD651" s="89"/>
      <c r="BE651" s="89"/>
      <c r="BF651" s="89"/>
      <c r="BG651" s="89"/>
      <c r="BH651" s="98"/>
      <c r="BI651" s="89"/>
      <c r="BJ651" s="89"/>
      <c r="BK651" s="89"/>
      <c r="BL651" s="89"/>
      <c r="BM651" s="89"/>
      <c r="BN651" s="89"/>
      <c r="BO651" s="6"/>
      <c r="BP651" s="89"/>
      <c r="BQ651" s="89"/>
      <c r="BR651" s="89"/>
      <c r="BS651" s="89"/>
      <c r="BT651" s="6"/>
      <c r="BU651" s="6"/>
      <c r="BV651" s="6"/>
      <c r="BW651" s="6"/>
      <c r="BX651" s="6"/>
      <c r="BY651" s="6"/>
      <c r="BZ651" s="6"/>
      <c r="CA651" s="6"/>
      <c r="CB651" s="6"/>
      <c r="CC651" s="6"/>
      <c r="CD651" s="6"/>
      <c r="CE651" s="6"/>
      <c r="CF651" s="6"/>
      <c r="CG651" s="6"/>
      <c r="CH651" s="6"/>
      <c r="CI651" s="6"/>
      <c r="CJ651" s="6"/>
      <c r="CK651" s="6"/>
      <c r="CL651" s="6"/>
      <c r="CM651" s="6"/>
      <c r="CN651" s="6"/>
      <c r="CO651" s="11"/>
      <c r="CP651" s="11"/>
      <c r="CQ651" s="11"/>
      <c r="CR651" s="11"/>
      <c r="CS651" s="11"/>
      <c r="CT651" s="906"/>
      <c r="CU651" s="906"/>
      <c r="CV651" s="906"/>
      <c r="CW651" s="11"/>
      <c r="CX651" s="11"/>
      <c r="CY651" s="906"/>
      <c r="CZ651" s="906"/>
      <c r="DA651" s="906"/>
      <c r="DB651" s="11"/>
      <c r="DC651" s="2862"/>
      <c r="DD651" s="11"/>
      <c r="DE651" s="11"/>
      <c r="DF651" s="11"/>
      <c r="DG651" s="11"/>
      <c r="DH651" s="11"/>
      <c r="DI651" s="11"/>
      <c r="DJ651" s="11"/>
      <c r="DK651" s="11"/>
      <c r="DL651" s="11"/>
      <c r="DM651" s="11"/>
      <c r="DN651" s="11"/>
      <c r="DO651" s="11"/>
      <c r="DP651" s="11"/>
      <c r="DQ651" s="11"/>
      <c r="DR651" s="11"/>
    </row>
    <row r="652" spans="1:128">
      <c r="A652" s="11"/>
      <c r="B652" s="11"/>
      <c r="C652" s="11"/>
      <c r="D652" s="11"/>
      <c r="E652" s="11"/>
      <c r="F652" s="11"/>
      <c r="G652" s="11"/>
      <c r="H652" s="11"/>
      <c r="I652" s="11"/>
      <c r="J652" s="98"/>
      <c r="K652" s="98"/>
      <c r="L652" s="6"/>
      <c r="M652" s="6"/>
      <c r="N652" s="6"/>
      <c r="O652" s="919"/>
      <c r="P652" s="6"/>
      <c r="Q652" s="6"/>
      <c r="R652" s="6"/>
      <c r="S652" s="6"/>
      <c r="T652" s="6"/>
      <c r="U652" s="6"/>
      <c r="V652" s="6"/>
      <c r="W652" s="6"/>
      <c r="X652" s="6"/>
      <c r="Y652" s="6"/>
      <c r="Z652" s="6"/>
      <c r="AA652" s="6"/>
      <c r="AB652" s="6"/>
      <c r="AC652" s="6"/>
      <c r="AD652" s="6"/>
      <c r="AE652" s="6"/>
      <c r="AF652" s="6"/>
      <c r="AG652" s="6"/>
      <c r="AH652" s="6"/>
      <c r="AI652" s="6"/>
      <c r="AJ652" s="6"/>
      <c r="AK652" s="6"/>
      <c r="AL652" s="6"/>
      <c r="AM652" s="6"/>
      <c r="AN652" s="6"/>
      <c r="AO652" s="6"/>
      <c r="AP652" s="6"/>
      <c r="AQ652" s="6"/>
      <c r="AR652" s="6"/>
      <c r="AS652" s="6"/>
      <c r="AT652" s="6"/>
      <c r="AU652" s="11"/>
      <c r="AV652" s="6"/>
      <c r="AW652" s="89"/>
      <c r="AX652" s="89"/>
      <c r="AY652" s="89"/>
      <c r="AZ652" s="89"/>
      <c r="BA652" s="89"/>
      <c r="BB652" s="89"/>
      <c r="BC652" s="89"/>
      <c r="BD652" s="89"/>
      <c r="BE652" s="89"/>
      <c r="BF652" s="89"/>
      <c r="BG652" s="89"/>
      <c r="BH652" s="98"/>
      <c r="BI652" s="89"/>
      <c r="BJ652" s="89"/>
      <c r="BK652" s="89"/>
      <c r="BL652" s="89"/>
      <c r="BM652" s="89"/>
      <c r="BN652" s="89"/>
      <c r="BO652" s="6"/>
      <c r="BP652" s="89"/>
      <c r="BQ652" s="89"/>
      <c r="BR652" s="89"/>
      <c r="BS652" s="89"/>
      <c r="BT652" s="6"/>
      <c r="BU652" s="6"/>
      <c r="BV652" s="6"/>
      <c r="BW652" s="6"/>
      <c r="BX652" s="6"/>
      <c r="BY652" s="6"/>
      <c r="BZ652" s="6"/>
      <c r="CA652" s="6"/>
      <c r="CB652" s="6"/>
      <c r="CC652" s="6"/>
      <c r="CD652" s="6"/>
      <c r="CE652" s="6"/>
      <c r="CF652" s="6"/>
      <c r="CG652" s="6"/>
      <c r="CH652" s="6"/>
      <c r="CI652" s="6"/>
      <c r="CJ652" s="6"/>
      <c r="CK652" s="6"/>
      <c r="CL652" s="6"/>
      <c r="CM652" s="6"/>
      <c r="CN652" s="6"/>
      <c r="CO652" s="11"/>
      <c r="CP652" s="11"/>
      <c r="CQ652" s="11"/>
      <c r="CR652" s="11"/>
      <c r="CS652" s="11"/>
      <c r="CT652" s="906"/>
      <c r="CU652" s="906"/>
      <c r="CV652" s="906"/>
      <c r="CW652" s="11"/>
      <c r="CX652" s="11"/>
      <c r="CY652" s="906"/>
      <c r="CZ652" s="906"/>
      <c r="DA652" s="906"/>
      <c r="DB652" s="11"/>
      <c r="DC652" s="2862"/>
      <c r="DD652" s="11"/>
      <c r="DE652" s="11"/>
      <c r="DF652" s="11"/>
      <c r="DG652" s="11"/>
      <c r="DH652" s="11"/>
      <c r="DI652" s="11"/>
      <c r="DJ652" s="11"/>
      <c r="DK652" s="11"/>
      <c r="DL652" s="11"/>
      <c r="DM652" s="11"/>
      <c r="DN652" s="11"/>
      <c r="DO652" s="11"/>
      <c r="DP652" s="11"/>
      <c r="DQ652" s="11"/>
      <c r="DR652" s="11"/>
    </row>
    <row r="653" spans="1:128">
      <c r="A653" s="213"/>
      <c r="B653" s="176"/>
      <c r="C653" s="176"/>
      <c r="D653" s="176"/>
      <c r="E653" s="176"/>
      <c r="F653" s="176"/>
      <c r="G653" s="176"/>
      <c r="H653" s="176"/>
      <c r="I653" s="176"/>
      <c r="J653" s="177"/>
      <c r="K653" s="177"/>
      <c r="L653" s="176"/>
      <c r="M653" s="176"/>
      <c r="N653" s="176"/>
      <c r="O653" s="919"/>
      <c r="P653" s="176"/>
      <c r="Q653" s="176"/>
      <c r="R653" s="176"/>
      <c r="S653" s="176"/>
      <c r="T653" s="176"/>
      <c r="U653" s="176"/>
      <c r="V653" s="176"/>
      <c r="W653" s="176"/>
      <c r="X653" s="176"/>
      <c r="Y653" s="176"/>
      <c r="Z653" s="176"/>
      <c r="AA653" s="176"/>
      <c r="AB653" s="176"/>
      <c r="AC653" s="176"/>
      <c r="AD653" s="176"/>
      <c r="AE653" s="176"/>
      <c r="AF653" s="176"/>
      <c r="AG653" s="176"/>
      <c r="AH653" s="176"/>
      <c r="AI653" s="176"/>
      <c r="AJ653" s="176"/>
      <c r="AK653" s="176"/>
      <c r="AL653" s="176"/>
      <c r="AM653" s="176"/>
      <c r="AN653" s="176"/>
      <c r="AO653" s="123"/>
      <c r="AP653" s="123"/>
      <c r="AQ653" s="123"/>
      <c r="AR653" s="123"/>
      <c r="AS653" s="123"/>
      <c r="AT653" s="123"/>
      <c r="AU653" s="11"/>
      <c r="AV653" s="6"/>
      <c r="AW653" s="89"/>
      <c r="AX653" s="89"/>
      <c r="AY653" s="89"/>
      <c r="AZ653" s="89"/>
      <c r="BA653" s="89"/>
      <c r="BB653" s="89"/>
      <c r="BC653" s="89"/>
      <c r="BD653" s="89"/>
      <c r="BE653" s="89"/>
      <c r="BF653" s="89"/>
      <c r="BG653" s="89"/>
      <c r="BH653" s="98"/>
      <c r="BI653" s="89"/>
      <c r="BJ653" s="89"/>
      <c r="BK653" s="89"/>
      <c r="BL653" s="89"/>
      <c r="BM653" s="89"/>
      <c r="BN653" s="89"/>
      <c r="BO653" s="6"/>
      <c r="BP653" s="89"/>
      <c r="BQ653" s="89"/>
      <c r="BR653" s="89"/>
      <c r="BS653" s="89"/>
      <c r="BT653" s="6"/>
      <c r="BU653" s="6"/>
      <c r="BV653" s="6"/>
      <c r="BW653" s="6"/>
      <c r="BX653" s="6"/>
      <c r="BY653" s="6"/>
      <c r="BZ653" s="6"/>
      <c r="CA653" s="6"/>
      <c r="CB653" s="6"/>
      <c r="CC653" s="6"/>
      <c r="CD653" s="6"/>
      <c r="CE653" s="6"/>
      <c r="CF653" s="6"/>
      <c r="CG653" s="6"/>
      <c r="CH653" s="6"/>
      <c r="CI653" s="6"/>
      <c r="CJ653" s="6"/>
      <c r="CK653" s="6"/>
      <c r="CL653" s="6"/>
      <c r="CM653" s="6"/>
      <c r="CN653" s="6"/>
      <c r="CO653" s="11"/>
      <c r="CP653" s="11"/>
      <c r="CQ653" s="11"/>
      <c r="CR653" s="11"/>
      <c r="CS653" s="11"/>
      <c r="CT653" s="906"/>
      <c r="CU653" s="906"/>
      <c r="CV653" s="906"/>
      <c r="CW653" s="11"/>
      <c r="CX653" s="11"/>
      <c r="CY653" s="906"/>
      <c r="CZ653" s="906"/>
      <c r="DA653" s="906"/>
      <c r="DB653" s="11"/>
      <c r="DC653" s="2862"/>
      <c r="DD653" s="11"/>
      <c r="DE653" s="11"/>
      <c r="DF653" s="11"/>
      <c r="DG653" s="11"/>
      <c r="DH653" s="11"/>
      <c r="DI653" s="176"/>
      <c r="DJ653" s="176"/>
      <c r="DK653" s="176"/>
      <c r="DL653" s="176"/>
      <c r="DM653" s="11"/>
      <c r="DN653" s="176"/>
      <c r="DO653" s="176"/>
      <c r="DP653" s="176"/>
      <c r="DQ653" s="176"/>
      <c r="DR653" s="11"/>
    </row>
    <row r="654" spans="1:128" s="2807" customFormat="1" ht="15">
      <c r="A654" s="3181" t="str">
        <f>A1</f>
        <v>CBS</v>
      </c>
      <c r="B654" s="2862"/>
      <c r="C654" s="2862"/>
      <c r="D654" s="2862"/>
      <c r="E654" s="2862"/>
      <c r="F654" s="2862"/>
      <c r="G654" s="2862"/>
      <c r="H654" s="2862"/>
      <c r="I654" s="2862"/>
      <c r="J654" s="2925"/>
      <c r="K654" s="2925"/>
      <c r="L654" s="2862"/>
      <c r="M654" s="2862"/>
      <c r="N654" s="2862"/>
      <c r="O654" s="3182"/>
      <c r="P654" s="2862"/>
      <c r="Q654" s="2862"/>
      <c r="R654" s="2862"/>
      <c r="S654" s="2862"/>
      <c r="T654" s="2806"/>
      <c r="U654" s="2806"/>
      <c r="V654" s="2806"/>
      <c r="W654" s="2806"/>
      <c r="X654" s="3153"/>
      <c r="Y654" s="3153"/>
      <c r="Z654" s="3153"/>
      <c r="AA654" s="3153"/>
      <c r="AG654" s="2862"/>
      <c r="AH654" s="2862"/>
      <c r="AI654" s="2862"/>
      <c r="AJ654" s="2862"/>
      <c r="AK654" s="2862"/>
      <c r="AL654" s="2862"/>
      <c r="AM654" s="2862"/>
      <c r="AN654" s="2862"/>
      <c r="AO654" s="2882"/>
      <c r="AP654" s="2882"/>
      <c r="AQ654" s="2882"/>
      <c r="AR654" s="2882"/>
      <c r="AS654" s="2882"/>
      <c r="AT654" s="2882"/>
      <c r="AU654" s="2862"/>
      <c r="AV654" s="2862"/>
      <c r="AW654" s="2925"/>
      <c r="AX654" s="2925"/>
      <c r="AY654" s="2925"/>
      <c r="AZ654" s="2925"/>
      <c r="BA654" s="2925"/>
      <c r="BB654" s="2925"/>
      <c r="BC654" s="2925"/>
      <c r="BD654" s="2925"/>
      <c r="BE654" s="2925"/>
      <c r="BF654" s="2925"/>
      <c r="BG654" s="2925"/>
      <c r="BH654" s="2925"/>
      <c r="BI654" s="2925"/>
      <c r="BJ654" s="2925"/>
      <c r="BK654" s="2925"/>
      <c r="BL654" s="2925"/>
      <c r="BM654" s="2925"/>
      <c r="BN654" s="2925"/>
      <c r="BO654" s="2862"/>
      <c r="BP654" s="2925"/>
      <c r="BQ654" s="2925"/>
      <c r="BR654" s="2925"/>
      <c r="BS654" s="2925"/>
      <c r="BT654" s="2862"/>
      <c r="BU654" s="2862"/>
      <c r="BV654" s="2862"/>
      <c r="BW654" s="2862"/>
      <c r="BX654" s="2862"/>
      <c r="BY654" s="2862"/>
      <c r="BZ654" s="2862"/>
      <c r="CA654" s="2862"/>
      <c r="CB654" s="2862"/>
      <c r="CC654" s="2862"/>
      <c r="CD654" s="2862"/>
      <c r="CE654" s="2862"/>
      <c r="CF654" s="2862"/>
      <c r="CG654" s="2862"/>
      <c r="CH654" s="2862"/>
      <c r="CI654" s="2862"/>
      <c r="CJ654" s="2862"/>
      <c r="CK654" s="2862"/>
      <c r="CL654" s="2862"/>
      <c r="CM654" s="2862"/>
      <c r="CN654" s="2862"/>
      <c r="CO654" s="2862"/>
      <c r="CP654" s="2862"/>
      <c r="CQ654" s="2862"/>
      <c r="CR654" s="2862"/>
      <c r="CS654" s="2862"/>
      <c r="CT654" s="2867"/>
      <c r="CU654" s="2867"/>
      <c r="CV654" s="2867"/>
      <c r="CW654" s="2862"/>
      <c r="CX654" s="2862"/>
      <c r="CY654" s="2867"/>
      <c r="CZ654" s="2867"/>
      <c r="DA654" s="2867"/>
      <c r="DB654" s="2862"/>
      <c r="DC654" s="2862"/>
      <c r="DD654" s="2862"/>
      <c r="DE654" s="2862"/>
      <c r="DF654" s="2862"/>
      <c r="DG654" s="2862"/>
      <c r="DH654" s="2862"/>
      <c r="DI654" s="2862"/>
      <c r="DJ654" s="2862"/>
      <c r="DK654" s="2862"/>
      <c r="DL654" s="2862"/>
      <c r="DM654" s="2862"/>
      <c r="DN654" s="2862"/>
      <c r="DO654" s="2862"/>
      <c r="DP654" s="2862"/>
      <c r="DQ654" s="2862"/>
      <c r="DR654" s="2862"/>
      <c r="DS654"/>
      <c r="DT654"/>
      <c r="DU654"/>
      <c r="DV654"/>
      <c r="DW654"/>
      <c r="DX654"/>
    </row>
    <row r="655" spans="1:128">
      <c r="A655" s="115" t="s">
        <v>966</v>
      </c>
      <c r="B655" s="11"/>
      <c r="C655" s="11"/>
      <c r="D655" s="11"/>
      <c r="E655" s="11"/>
      <c r="F655" s="11"/>
      <c r="G655" s="11"/>
      <c r="H655" s="102">
        <f t="shared" ref="H655:N655" si="951">H4</f>
        <v>2002</v>
      </c>
      <c r="I655" s="138">
        <f t="shared" si="951"/>
        <v>2003</v>
      </c>
      <c r="J655" s="138">
        <f t="shared" si="951"/>
        <v>2004</v>
      </c>
      <c r="K655" s="138">
        <f t="shared" si="951"/>
        <v>2005</v>
      </c>
      <c r="L655" s="102">
        <f t="shared" si="951"/>
        <v>2006</v>
      </c>
      <c r="M655" s="102">
        <f t="shared" si="951"/>
        <v>2007</v>
      </c>
      <c r="N655" s="102">
        <f t="shared" si="951"/>
        <v>2008</v>
      </c>
      <c r="O655" s="919"/>
      <c r="P655" s="102"/>
      <c r="Q655" s="102"/>
      <c r="R655" s="102">
        <f t="shared" ref="R655:W655" si="952">R4</f>
        <v>2009</v>
      </c>
      <c r="S655" s="102">
        <f t="shared" si="952"/>
        <v>2010</v>
      </c>
      <c r="T655" s="1706">
        <f t="shared" si="952"/>
        <v>2011</v>
      </c>
      <c r="U655" s="1706">
        <f t="shared" si="952"/>
        <v>2012</v>
      </c>
      <c r="V655" s="1706">
        <f t="shared" si="952"/>
        <v>2013</v>
      </c>
      <c r="W655" s="1706">
        <f t="shared" si="952"/>
        <v>2014</v>
      </c>
      <c r="X655" s="1706"/>
      <c r="Y655" s="1706"/>
      <c r="Z655" s="1706">
        <f t="shared" ref="Z655:AK655" si="953">Z4</f>
        <v>2015</v>
      </c>
      <c r="AA655" s="1706">
        <f t="shared" si="953"/>
        <v>2016</v>
      </c>
      <c r="AB655" s="1706"/>
      <c r="AC655" s="138" t="str">
        <f t="shared" si="953"/>
        <v>2017E</v>
      </c>
      <c r="AD655" s="138" t="str">
        <f t="shared" si="953"/>
        <v>2018E</v>
      </c>
      <c r="AE655" s="138" t="str">
        <f t="shared" si="953"/>
        <v>2019E</v>
      </c>
      <c r="AF655" s="138" t="str">
        <f t="shared" si="953"/>
        <v>2020E</v>
      </c>
      <c r="AG655" s="138" t="str">
        <f t="shared" si="953"/>
        <v>2021E</v>
      </c>
      <c r="AH655" s="138" t="str">
        <f t="shared" si="953"/>
        <v>2022E</v>
      </c>
      <c r="AI655" s="138" t="str">
        <f t="shared" si="953"/>
        <v>2023E</v>
      </c>
      <c r="AJ655" s="138" t="str">
        <f t="shared" si="953"/>
        <v>2024E</v>
      </c>
      <c r="AK655" s="138" t="str">
        <f t="shared" si="953"/>
        <v>2025E</v>
      </c>
      <c r="AL655" s="1706" t="str">
        <f>AL4</f>
        <v>2026E</v>
      </c>
      <c r="AM655" s="1706" t="str">
        <f>AM4</f>
        <v>2027E</v>
      </c>
      <c r="AN655" s="1706" t="str">
        <f>AN4</f>
        <v>2028E</v>
      </c>
      <c r="AO655" s="123"/>
      <c r="AP655" s="123"/>
      <c r="AQ655" s="123"/>
      <c r="AR655" s="123"/>
      <c r="AS655" s="123"/>
      <c r="AT655" s="123"/>
      <c r="AU655" s="11"/>
      <c r="AV655" s="6"/>
      <c r="AW655" s="89"/>
      <c r="AX655" s="89"/>
      <c r="AY655" s="89"/>
      <c r="AZ655" s="89"/>
      <c r="BA655" s="89"/>
      <c r="BB655" s="89"/>
      <c r="BC655" s="89"/>
      <c r="BD655" s="89"/>
      <c r="BE655" s="89"/>
      <c r="BF655" s="98"/>
      <c r="BG655" s="98" t="s">
        <v>337</v>
      </c>
      <c r="BH655" s="98"/>
      <c r="BI655" s="89"/>
      <c r="BJ655" s="89"/>
      <c r="BK655" s="89"/>
      <c r="BL655" s="89"/>
      <c r="BM655" s="89"/>
      <c r="BN655" s="89"/>
      <c r="BO655" s="6"/>
      <c r="BP655" s="89"/>
      <c r="BQ655" s="89"/>
      <c r="BR655" s="89"/>
      <c r="BS655" s="89"/>
      <c r="BT655" s="6"/>
      <c r="BU655" s="6"/>
      <c r="BV655" s="6"/>
      <c r="BW655" s="6"/>
      <c r="BX655" s="6"/>
      <c r="BY655" s="6"/>
      <c r="BZ655" s="6"/>
      <c r="CA655" s="6"/>
      <c r="CB655" s="6"/>
      <c r="CC655" s="6"/>
      <c r="CD655" s="6"/>
      <c r="CE655" s="6"/>
      <c r="CF655" s="6"/>
      <c r="CG655" s="6"/>
      <c r="CH655" s="6"/>
      <c r="CI655" s="6"/>
      <c r="CJ655" s="6"/>
      <c r="CK655" s="6"/>
      <c r="CL655" s="6"/>
      <c r="CM655" s="6"/>
      <c r="CN655" s="6"/>
      <c r="CO655" s="11"/>
      <c r="CP655" s="11"/>
      <c r="CQ655" s="11"/>
      <c r="CR655" s="11"/>
      <c r="CS655" s="11"/>
      <c r="CT655" s="906"/>
      <c r="CU655" s="906"/>
      <c r="CV655" s="906"/>
      <c r="CW655" s="11"/>
      <c r="CX655" s="11"/>
      <c r="CY655" s="906"/>
      <c r="CZ655" s="906"/>
      <c r="DA655" s="906"/>
      <c r="DB655" s="11"/>
      <c r="DC655" s="2862"/>
      <c r="DD655" s="11"/>
      <c r="DE655" s="11"/>
      <c r="DF655" s="11"/>
      <c r="DG655" s="11"/>
      <c r="DH655" s="11"/>
      <c r="DI655" s="11"/>
      <c r="DJ655" s="11"/>
      <c r="DK655" s="11"/>
      <c r="DL655" s="11"/>
      <c r="DM655" s="11"/>
      <c r="DN655" s="11"/>
      <c r="DO655" s="11"/>
      <c r="DP655" s="11"/>
      <c r="DQ655" s="11"/>
      <c r="DR655" s="11"/>
    </row>
    <row r="656" spans="1:128">
      <c r="A656" s="121" t="s">
        <v>1018</v>
      </c>
      <c r="B656" s="14"/>
      <c r="C656" s="14"/>
      <c r="D656" s="14"/>
      <c r="E656" s="14"/>
      <c r="F656" s="14"/>
      <c r="G656" s="14"/>
      <c r="H656" s="14">
        <f t="shared" ref="H656:N656" si="954">-H39</f>
        <v>734.1</v>
      </c>
      <c r="I656" s="14">
        <f t="shared" si="954"/>
        <v>726.5</v>
      </c>
      <c r="J656" s="14">
        <f t="shared" si="954"/>
        <v>608.9</v>
      </c>
      <c r="K656" s="14">
        <f t="shared" si="954"/>
        <v>808.1</v>
      </c>
      <c r="L656" s="14">
        <f t="shared" si="954"/>
        <v>652.20000000000005</v>
      </c>
      <c r="M656" s="14">
        <f t="shared" si="954"/>
        <v>821.5</v>
      </c>
      <c r="N656" s="14">
        <f t="shared" si="954"/>
        <v>-919.29999999999973</v>
      </c>
      <c r="O656" s="919"/>
      <c r="P656" s="13"/>
      <c r="Q656" s="13"/>
      <c r="R656" s="14">
        <f t="shared" ref="R656:W656" si="955">-R39</f>
        <v>182.8</v>
      </c>
      <c r="S656" s="14">
        <f t="shared" si="955"/>
        <v>462.70000000000005</v>
      </c>
      <c r="T656" s="14">
        <f t="shared" si="955"/>
        <v>751</v>
      </c>
      <c r="U656" s="14">
        <f t="shared" si="955"/>
        <v>892</v>
      </c>
      <c r="V656" s="14">
        <f t="shared" si="955"/>
        <v>978</v>
      </c>
      <c r="W656" s="14">
        <f t="shared" si="955"/>
        <v>762</v>
      </c>
      <c r="X656" s="1357"/>
      <c r="Y656" s="1357"/>
      <c r="Z656" s="1357">
        <f>-Z39</f>
        <v>587</v>
      </c>
      <c r="AA656" s="2806">
        <f>-AB39</f>
        <v>628</v>
      </c>
      <c r="AB656" s="2806"/>
      <c r="AC656" s="2806">
        <f ca="1">-AD39</f>
        <v>645.86509437448035</v>
      </c>
      <c r="AD656" s="2806">
        <f ca="1">+AD665+AD666</f>
        <v>645.86509437448024</v>
      </c>
      <c r="AE656" s="2806">
        <f ca="1">+AE665+AE666</f>
        <v>686.2837918140965</v>
      </c>
      <c r="AF656" s="14">
        <f t="shared" ref="AF656:AM656" ca="1" si="956">+AF665+AF666</f>
        <v>771.91492467076239</v>
      </c>
      <c r="AG656" s="14">
        <f t="shared" ca="1" si="956"/>
        <v>801.51605973746507</v>
      </c>
      <c r="AH656" s="14">
        <f t="shared" ca="1" si="956"/>
        <v>865.29904417934642</v>
      </c>
      <c r="AI656" s="14">
        <f t="shared" ca="1" si="956"/>
        <v>826.70750638325421</v>
      </c>
      <c r="AJ656" s="14">
        <f t="shared" ca="1" si="956"/>
        <v>856.02680584372638</v>
      </c>
      <c r="AK656" s="14">
        <f t="shared" ca="1" si="956"/>
        <v>860.33474433956826</v>
      </c>
      <c r="AL656" s="1357">
        <f t="shared" ca="1" si="956"/>
        <v>851.73194681812129</v>
      </c>
      <c r="AM656" s="1357">
        <f t="shared" ca="1" si="956"/>
        <v>842.98184957497381</v>
      </c>
      <c r="AN656" s="1357">
        <f t="shared" ref="AN656" ca="1" si="957">+AN665+AN666</f>
        <v>892.74167233108199</v>
      </c>
      <c r="AO656" s="123"/>
      <c r="AP656" s="14"/>
      <c r="AQ656" s="14"/>
      <c r="AR656" s="14"/>
      <c r="AS656" s="14"/>
      <c r="AT656" s="123"/>
      <c r="AU656" s="11"/>
      <c r="AV656" s="6"/>
      <c r="AW656" s="89"/>
      <c r="AX656" s="89"/>
      <c r="AY656" s="89"/>
      <c r="AZ656" s="89"/>
      <c r="BA656" s="89"/>
      <c r="BB656" s="89"/>
      <c r="BC656" s="89"/>
      <c r="BD656" s="89"/>
      <c r="BE656" s="89"/>
      <c r="BF656" s="14">
        <f>-BF39</f>
        <v>151.9</v>
      </c>
      <c r="BG656" s="14">
        <f>-BG39</f>
        <v>118</v>
      </c>
      <c r="BH656" s="14">
        <f>-BH39</f>
        <v>208.4</v>
      </c>
      <c r="BI656" s="13">
        <f>SUM(L656-BH656-BG656-BF656)</f>
        <v>173.90000000000006</v>
      </c>
      <c r="BJ656" s="13"/>
      <c r="BK656" s="13">
        <f>BK665+BK666</f>
        <v>172.46069088185735</v>
      </c>
      <c r="BL656" s="13">
        <f>BL665+BL666</f>
        <v>257.99588092117585</v>
      </c>
      <c r="BM656" s="13">
        <f>BM665+BM666</f>
        <v>212.85121700056183</v>
      </c>
      <c r="BN656" s="13">
        <f>M656-SUM(BK656:BM656)</f>
        <v>178.19221119640497</v>
      </c>
      <c r="BO656" s="13"/>
      <c r="BP656" s="13">
        <f>BP665+BP666</f>
        <v>155.27459241501637</v>
      </c>
      <c r="BQ656" s="13">
        <f>BQ665+BQ666</f>
        <v>236.3837576578741</v>
      </c>
      <c r="BR656" s="13">
        <f>BR665+BR666</f>
        <v>-4885.6149968189575</v>
      </c>
      <c r="BS656" s="111">
        <f>N656-SUM(BP656:BR656)</f>
        <v>3574.6566467460675</v>
      </c>
      <c r="BT656" s="13"/>
      <c r="BU656" s="13">
        <f>-BU39</f>
        <v>8.8000000000000007</v>
      </c>
      <c r="BV656" s="13">
        <f>-BV39</f>
        <v>56.9</v>
      </c>
      <c r="BW656" s="13">
        <f>-BW39</f>
        <v>79.7</v>
      </c>
      <c r="BX656" s="13">
        <f>BX665+BX666</f>
        <v>43.520559385227109</v>
      </c>
      <c r="BY656" s="13"/>
      <c r="BZ656" s="13"/>
      <c r="CA656" s="13"/>
      <c r="CB656" s="13"/>
      <c r="CC656" s="13"/>
      <c r="CD656" s="13"/>
      <c r="CE656" s="13"/>
      <c r="CF656" s="13"/>
      <c r="CG656" s="13"/>
      <c r="CH656" s="13"/>
      <c r="CI656" s="13"/>
      <c r="CJ656" s="13"/>
      <c r="CK656" s="13"/>
      <c r="CL656" s="13"/>
      <c r="CM656" s="13"/>
      <c r="CN656" s="13"/>
      <c r="CO656" s="14"/>
      <c r="CP656" s="14"/>
      <c r="CQ656" s="14"/>
      <c r="CR656" s="14"/>
      <c r="CS656" s="14"/>
      <c r="CT656" s="1328"/>
      <c r="CU656" s="1328"/>
      <c r="CV656" s="1328"/>
      <c r="CW656" s="14"/>
      <c r="CX656" s="14"/>
      <c r="CY656" s="1328"/>
      <c r="CZ656" s="1328"/>
      <c r="DA656" s="1328"/>
      <c r="DB656" s="14"/>
      <c r="DC656" s="2806"/>
      <c r="DD656" s="14"/>
      <c r="DE656" s="14"/>
      <c r="DF656" s="14"/>
      <c r="DG656" s="14"/>
      <c r="DH656" s="14"/>
      <c r="DI656" s="14"/>
      <c r="DJ656" s="14"/>
      <c r="DK656" s="14"/>
      <c r="DL656" s="14"/>
      <c r="DM656" s="14"/>
      <c r="DN656" s="14"/>
      <c r="DO656" s="14"/>
      <c r="DP656" s="14"/>
      <c r="DQ656" s="14"/>
      <c r="DR656" s="14"/>
    </row>
    <row r="657" spans="1:128">
      <c r="A657" s="121" t="s">
        <v>967</v>
      </c>
      <c r="B657" s="77"/>
      <c r="C657" s="77"/>
      <c r="D657" s="77"/>
      <c r="E657" s="77"/>
      <c r="F657" s="77"/>
      <c r="G657" s="77"/>
      <c r="H657" s="49">
        <f>H656/0.913</f>
        <v>804.05257393209195</v>
      </c>
      <c r="I657" s="64">
        <v>227.9</v>
      </c>
      <c r="J657" s="64">
        <f>365.6-128.4</f>
        <v>237.20000000000002</v>
      </c>
      <c r="K657" s="64">
        <v>493.4</v>
      </c>
      <c r="L657" s="77">
        <v>562.20000000000005</v>
      </c>
      <c r="M657" s="76">
        <v>524.9</v>
      </c>
      <c r="N657" s="77">
        <v>302.2</v>
      </c>
      <c r="O657" s="919"/>
      <c r="P657" s="13"/>
      <c r="Q657" s="13"/>
      <c r="R657" s="76">
        <v>55</v>
      </c>
      <c r="S657" s="77">
        <v>248</v>
      </c>
      <c r="T657" s="1437">
        <v>235</v>
      </c>
      <c r="U657" s="1437">
        <v>422</v>
      </c>
      <c r="V657" s="1437">
        <v>425</v>
      </c>
      <c r="W657" s="1437">
        <v>460</v>
      </c>
      <c r="X657" s="1357"/>
      <c r="Y657" s="1357"/>
      <c r="Z657" s="1437">
        <v>346</v>
      </c>
      <c r="AA657" s="2878">
        <v>390</v>
      </c>
      <c r="AB657" s="2806"/>
      <c r="AC657" s="2806">
        <f t="shared" ref="AC657:AH657" ca="1" si="958">AC656*AC660</f>
        <v>452.10556606213623</v>
      </c>
      <c r="AD657" s="2806">
        <f t="shared" ca="1" si="958"/>
        <v>423.04163681528451</v>
      </c>
      <c r="AE657" s="2806">
        <f t="shared" ca="1" si="958"/>
        <v>456.3787215563741</v>
      </c>
      <c r="AF657" s="2806">
        <f t="shared" ca="1" si="958"/>
        <v>521.04257415276459</v>
      </c>
      <c r="AG657" s="2806">
        <f t="shared" ca="1" si="958"/>
        <v>557.05366151753822</v>
      </c>
      <c r="AH657" s="2806">
        <f t="shared" ca="1" si="958"/>
        <v>618.68881658823261</v>
      </c>
      <c r="AI657" s="2806">
        <f t="shared" ref="AI657:AN657" ca="1" si="959">AI656*AI660</f>
        <v>607.63001719169188</v>
      </c>
      <c r="AJ657" s="2806">
        <f t="shared" ca="1" si="959"/>
        <v>646.30023841201341</v>
      </c>
      <c r="AK657" s="2806">
        <f t="shared" ca="1" si="959"/>
        <v>666.75942686316546</v>
      </c>
      <c r="AL657" s="2806">
        <f t="shared" ca="1" si="959"/>
        <v>677.12689772040642</v>
      </c>
      <c r="AM657" s="2806">
        <f t="shared" ca="1" si="959"/>
        <v>687.03020740360375</v>
      </c>
      <c r="AN657" s="2806">
        <f t="shared" ca="1" si="959"/>
        <v>745.43929639645353</v>
      </c>
      <c r="AO657" s="2882"/>
      <c r="AP657" s="2806"/>
      <c r="AQ657" s="2806"/>
      <c r="AR657" s="2806"/>
      <c r="AS657" s="2806"/>
      <c r="AT657" s="2882"/>
      <c r="AU657" s="11"/>
      <c r="AV657" s="6"/>
      <c r="AW657" s="89"/>
      <c r="AX657" s="89"/>
      <c r="AY657" s="89"/>
      <c r="AZ657" s="89"/>
      <c r="BA657" s="89"/>
      <c r="BB657" s="89"/>
      <c r="BC657" s="89"/>
      <c r="BD657" s="89"/>
      <c r="BE657" s="89"/>
      <c r="BF657" s="98"/>
      <c r="BG657" s="98"/>
      <c r="BH657" s="98"/>
      <c r="BI657" s="89"/>
      <c r="BJ657" s="89"/>
      <c r="BK657" s="89"/>
      <c r="BL657" s="89"/>
      <c r="BM657" s="89"/>
      <c r="BN657" s="89"/>
      <c r="BO657" s="6"/>
      <c r="BP657" s="89"/>
      <c r="BQ657" s="89"/>
      <c r="BR657" s="89"/>
      <c r="BS657" s="89"/>
      <c r="BT657" s="6"/>
      <c r="BU657" s="13">
        <f>-BU37</f>
        <v>47.4</v>
      </c>
      <c r="BV657" s="13">
        <f>-BV37</f>
        <v>25.000000000000007</v>
      </c>
      <c r="BW657" s="13">
        <f>-BW37</f>
        <v>-31.000000000000007</v>
      </c>
      <c r="BX657" s="13">
        <f>(BX656*BX660)-BX684</f>
        <v>-5.1708881229545778</v>
      </c>
      <c r="BY657" s="6"/>
      <c r="BZ657" s="6"/>
      <c r="CA657" s="6"/>
      <c r="CB657" s="6"/>
      <c r="CC657" s="6"/>
      <c r="CD657" s="6"/>
      <c r="CE657" s="6"/>
      <c r="CF657" s="6"/>
      <c r="CG657" s="6"/>
      <c r="CH657" s="6"/>
      <c r="CI657" s="6"/>
      <c r="CJ657" s="6"/>
      <c r="CK657" s="6"/>
      <c r="CL657" s="6"/>
      <c r="CM657" s="6"/>
      <c r="CN657" s="6"/>
      <c r="CO657" s="11"/>
      <c r="CP657" s="11"/>
      <c r="CQ657" s="11"/>
      <c r="CR657" s="11"/>
      <c r="CS657" s="11"/>
      <c r="CT657" s="906"/>
      <c r="CU657" s="906"/>
      <c r="CV657" s="906"/>
      <c r="CW657" s="11"/>
      <c r="CX657" s="11"/>
      <c r="CY657" s="906"/>
      <c r="CZ657" s="906"/>
      <c r="DA657" s="906"/>
      <c r="DB657" s="11"/>
      <c r="DC657" s="2862"/>
      <c r="DD657" s="11"/>
      <c r="DE657" s="11"/>
      <c r="DF657" s="11"/>
      <c r="DG657" s="11"/>
      <c r="DH657" s="11"/>
      <c r="DI657" s="11"/>
      <c r="DJ657" s="11"/>
      <c r="DK657" s="11"/>
      <c r="DL657" s="11"/>
      <c r="DM657" s="11"/>
      <c r="DN657" s="11"/>
      <c r="DO657" s="11"/>
      <c r="DP657" s="11"/>
      <c r="DQ657" s="11"/>
      <c r="DR657" s="11"/>
    </row>
    <row r="658" spans="1:128" s="3583" customFormat="1">
      <c r="A658" s="3577" t="s">
        <v>1836</v>
      </c>
      <c r="B658" s="3578"/>
      <c r="C658" s="3578"/>
      <c r="D658" s="3578"/>
      <c r="E658" s="3578"/>
      <c r="F658" s="3578"/>
      <c r="G658" s="3578"/>
      <c r="H658" s="3578"/>
      <c r="I658" s="3578"/>
      <c r="J658" s="3579"/>
      <c r="K658" s="3579"/>
      <c r="L658" s="3578"/>
      <c r="M658" s="3578"/>
      <c r="N658" s="3578"/>
      <c r="O658" s="3580"/>
      <c r="P658" s="3578"/>
      <c r="Q658" s="3578"/>
      <c r="R658" s="3578"/>
      <c r="S658" s="3578"/>
      <c r="T658" s="3578"/>
      <c r="U658" s="3578"/>
      <c r="V658" s="3578"/>
      <c r="W658" s="3578"/>
      <c r="X658" s="3578"/>
      <c r="Y658" s="3578"/>
      <c r="Z658" s="3578"/>
      <c r="AA658" s="3578"/>
      <c r="AB658" s="3578"/>
      <c r="AC658" s="3581">
        <f ca="1">AC657/AC663</f>
        <v>0.18666612221753512</v>
      </c>
      <c r="AD658" s="3581">
        <f ca="1">AD657/AD663</f>
        <v>0.16047499999999998</v>
      </c>
      <c r="AE658" s="3581">
        <f t="shared" ref="AE658:AN658" ca="1" si="960">AE657/AE663</f>
        <v>0.16292499999999999</v>
      </c>
      <c r="AF658" s="3581">
        <f t="shared" ca="1" si="960"/>
        <v>0.16537499999999999</v>
      </c>
      <c r="AG658" s="3581">
        <f t="shared" ca="1" si="960"/>
        <v>0.17027499999999998</v>
      </c>
      <c r="AH658" s="3581">
        <f t="shared" ca="1" si="960"/>
        <v>0.17517499999999997</v>
      </c>
      <c r="AI658" s="3581">
        <f t="shared" ca="1" si="960"/>
        <v>0.18007500000000001</v>
      </c>
      <c r="AJ658" s="3581">
        <f t="shared" ca="1" si="960"/>
        <v>0.18497499999999997</v>
      </c>
      <c r="AK658" s="3581">
        <f t="shared" ca="1" si="960"/>
        <v>0.18987500000000002</v>
      </c>
      <c r="AL658" s="3581">
        <f t="shared" ca="1" si="960"/>
        <v>0.19477499999999998</v>
      </c>
      <c r="AM658" s="3581">
        <f t="shared" ca="1" si="960"/>
        <v>0.19967500000000002</v>
      </c>
      <c r="AN658" s="3581">
        <f t="shared" ca="1" si="960"/>
        <v>0.20463115805252147</v>
      </c>
      <c r="AO658" s="3582"/>
      <c r="AP658" s="3578"/>
      <c r="AQ658" s="3578"/>
      <c r="AR658" s="3578"/>
      <c r="AS658" s="3578"/>
      <c r="AT658" s="3582"/>
      <c r="AU658" s="3578"/>
      <c r="AV658" s="3578"/>
      <c r="AW658" s="3579"/>
      <c r="AX658" s="3579"/>
      <c r="AY658" s="3579"/>
      <c r="AZ658" s="3579"/>
      <c r="BA658" s="3579"/>
      <c r="BB658" s="3579"/>
      <c r="BC658" s="3579"/>
      <c r="BD658" s="3579"/>
      <c r="BE658" s="3579"/>
      <c r="BF658" s="3579"/>
      <c r="BG658" s="3579"/>
      <c r="BH658" s="3579"/>
      <c r="BI658" s="3579"/>
      <c r="BJ658" s="3579"/>
      <c r="BK658" s="3579"/>
      <c r="BL658" s="3579"/>
      <c r="BM658" s="3579"/>
      <c r="BN658" s="3579"/>
      <c r="BO658" s="3578"/>
      <c r="BP658" s="3579"/>
      <c r="BQ658" s="3579"/>
      <c r="BR658" s="3579"/>
      <c r="BS658" s="3579"/>
      <c r="BT658" s="3578"/>
      <c r="BU658" s="3578"/>
      <c r="BV658" s="3578"/>
      <c r="BW658" s="3578"/>
      <c r="BX658" s="3578"/>
      <c r="BY658" s="3578"/>
      <c r="BZ658" s="3578"/>
      <c r="CA658" s="3578"/>
      <c r="CB658" s="3578"/>
      <c r="CC658" s="3578"/>
      <c r="CD658" s="3578"/>
      <c r="CE658" s="3578"/>
      <c r="CF658" s="3578"/>
      <c r="CG658" s="3578"/>
      <c r="CH658" s="3578"/>
      <c r="CI658" s="3578"/>
      <c r="CJ658" s="3578"/>
      <c r="CK658" s="3578"/>
      <c r="CL658" s="3578"/>
      <c r="CM658" s="3578"/>
      <c r="CN658" s="3578"/>
      <c r="CO658" s="3578"/>
      <c r="CP658" s="3578"/>
      <c r="CQ658" s="3578"/>
      <c r="CR658" s="3578"/>
      <c r="CS658" s="3578"/>
      <c r="CT658" s="3578"/>
      <c r="CU658" s="3578"/>
      <c r="CV658" s="3578"/>
      <c r="CW658" s="3578"/>
      <c r="CX658" s="3578"/>
      <c r="CY658" s="3578"/>
      <c r="CZ658" s="3578"/>
      <c r="DA658" s="3578"/>
      <c r="DB658" s="3578"/>
      <c r="DC658" s="3578"/>
      <c r="DD658" s="3578"/>
      <c r="DE658" s="3578"/>
      <c r="DF658" s="3578"/>
      <c r="DG658" s="3578"/>
      <c r="DH658" s="3578"/>
      <c r="DI658" s="3578"/>
      <c r="DJ658" s="3578"/>
      <c r="DK658" s="3578"/>
      <c r="DL658" s="3578"/>
      <c r="DM658" s="3578"/>
      <c r="DN658" s="3578"/>
      <c r="DO658" s="3578"/>
      <c r="DP658" s="3578"/>
      <c r="DQ658" s="3578"/>
      <c r="DR658" s="3578"/>
      <c r="DS658"/>
      <c r="DT658"/>
      <c r="DU658"/>
      <c r="DV658"/>
      <c r="DW658"/>
      <c r="DX658"/>
    </row>
    <row r="659" spans="1:128">
      <c r="A659" s="3576"/>
      <c r="B659" s="11"/>
      <c r="C659" s="11"/>
      <c r="D659" s="11"/>
      <c r="E659" s="11"/>
      <c r="F659" s="11"/>
      <c r="G659" s="11"/>
      <c r="H659" s="11"/>
      <c r="I659" s="11"/>
      <c r="J659" s="98"/>
      <c r="K659" s="98"/>
      <c r="L659" s="11"/>
      <c r="M659" s="11"/>
      <c r="N659" s="11"/>
      <c r="O659" s="919"/>
      <c r="P659" s="11"/>
      <c r="Q659" s="11"/>
      <c r="R659" s="11"/>
      <c r="S659" s="11"/>
      <c r="T659" s="1108"/>
      <c r="U659" s="1108"/>
      <c r="V659" s="1108"/>
      <c r="W659" s="1108"/>
      <c r="X659" s="1108"/>
      <c r="Y659" s="1108"/>
      <c r="Z659" s="1108"/>
      <c r="AA659" s="2862"/>
      <c r="AB659" s="2862"/>
      <c r="AC659" s="2862"/>
      <c r="AD659" s="2862"/>
      <c r="AE659" s="2862"/>
      <c r="AF659" s="2862"/>
      <c r="AG659" s="2862"/>
      <c r="AH659" s="2862"/>
      <c r="AI659" s="2862"/>
      <c r="AJ659" s="2862"/>
      <c r="AK659" s="2862"/>
      <c r="AL659" s="2862"/>
      <c r="AM659" s="2862"/>
      <c r="AN659" s="2862"/>
      <c r="AO659" s="2862"/>
      <c r="AP659" s="2862"/>
      <c r="AQ659" s="2862"/>
      <c r="AR659" s="2862"/>
      <c r="AS659" s="2862"/>
      <c r="AT659" s="2862"/>
      <c r="AU659" s="11"/>
      <c r="AV659" s="6"/>
      <c r="AW659" s="89"/>
      <c r="AX659" s="89"/>
      <c r="AY659" s="89"/>
      <c r="AZ659" s="89"/>
      <c r="BA659" s="89"/>
      <c r="BB659" s="89"/>
      <c r="BC659" s="89"/>
      <c r="BD659" s="89"/>
      <c r="BE659" s="89"/>
      <c r="BF659" s="98"/>
      <c r="BG659" s="98"/>
      <c r="BH659" s="98"/>
      <c r="BI659" s="89"/>
      <c r="BJ659" s="89"/>
      <c r="BK659" s="89"/>
      <c r="BL659" s="89"/>
      <c r="BM659" s="89"/>
      <c r="BN659" s="89"/>
      <c r="BO659" s="6"/>
      <c r="BP659" s="89"/>
      <c r="BQ659" s="89"/>
      <c r="BR659" s="89"/>
      <c r="BS659" s="89"/>
      <c r="BT659" s="6"/>
      <c r="BU659" s="6"/>
      <c r="BV659" s="6"/>
      <c r="BW659" s="6"/>
      <c r="BX659" s="6"/>
      <c r="BY659" s="6"/>
      <c r="BZ659" s="6"/>
      <c r="CA659" s="6"/>
      <c r="CB659" s="6"/>
      <c r="CC659" s="6"/>
      <c r="CD659" s="6"/>
      <c r="CE659" s="6"/>
      <c r="CF659" s="6"/>
      <c r="CG659" s="6"/>
      <c r="CH659" s="6"/>
      <c r="CI659" s="6"/>
      <c r="CJ659" s="6"/>
      <c r="CK659" s="6"/>
      <c r="CL659" s="6"/>
      <c r="CM659" s="6"/>
      <c r="CN659" s="6"/>
      <c r="CO659" s="11"/>
      <c r="CP659" s="11"/>
      <c r="CQ659" s="11"/>
      <c r="CR659" s="11"/>
      <c r="CS659" s="11"/>
      <c r="CT659" s="906"/>
      <c r="CU659" s="906"/>
      <c r="CV659" s="906"/>
      <c r="CW659" s="11"/>
      <c r="CX659" s="11"/>
      <c r="CY659" s="906"/>
      <c r="CZ659" s="906"/>
      <c r="DA659" s="906"/>
      <c r="DB659" s="11"/>
      <c r="DC659" s="2862"/>
      <c r="DD659" s="11"/>
      <c r="DE659" s="11"/>
      <c r="DF659" s="11"/>
      <c r="DG659" s="11"/>
      <c r="DH659" s="11"/>
      <c r="DI659" s="11"/>
      <c r="DJ659" s="11"/>
      <c r="DK659" s="11"/>
      <c r="DL659" s="11"/>
      <c r="DM659" s="11"/>
      <c r="DN659" s="11"/>
      <c r="DO659" s="11"/>
      <c r="DP659" s="11"/>
      <c r="DQ659" s="11"/>
      <c r="DR659" s="11"/>
    </row>
    <row r="660" spans="1:128">
      <c r="A660" s="38" t="s">
        <v>968</v>
      </c>
      <c r="B660" s="242"/>
      <c r="C660" s="242"/>
      <c r="D660" s="242"/>
      <c r="E660" s="242"/>
      <c r="F660" s="242"/>
      <c r="G660" s="242"/>
      <c r="H660" s="39">
        <f t="shared" ref="H660:N660" si="961">H657/H656</f>
        <v>1.0952902519167578</v>
      </c>
      <c r="I660" s="39">
        <f t="shared" si="961"/>
        <v>0.31369580178940126</v>
      </c>
      <c r="J660" s="39">
        <f t="shared" si="961"/>
        <v>0.38955493512892103</v>
      </c>
      <c r="K660" s="39">
        <f t="shared" si="961"/>
        <v>0.61056799901002345</v>
      </c>
      <c r="L660" s="39">
        <f t="shared" si="961"/>
        <v>0.86200551977920881</v>
      </c>
      <c r="M660" s="39">
        <f t="shared" si="961"/>
        <v>0.63895313451004254</v>
      </c>
      <c r="N660" s="39">
        <f t="shared" si="961"/>
        <v>-0.3287283802893507</v>
      </c>
      <c r="O660" s="919"/>
      <c r="P660" s="119"/>
      <c r="Q660" s="119"/>
      <c r="R660" s="39">
        <f t="shared" ref="R660:W660" si="962">R657/R656</f>
        <v>0.30087527352297594</v>
      </c>
      <c r="S660" s="39">
        <f t="shared" si="962"/>
        <v>0.53598443916144367</v>
      </c>
      <c r="T660" s="1110">
        <f t="shared" si="962"/>
        <v>0.31291611185086549</v>
      </c>
      <c r="U660" s="1110">
        <f t="shared" si="962"/>
        <v>0.47309417040358742</v>
      </c>
      <c r="V660" s="1110">
        <f t="shared" si="962"/>
        <v>0.43456032719836402</v>
      </c>
      <c r="W660" s="1110">
        <f t="shared" si="962"/>
        <v>0.60367454068241466</v>
      </c>
      <c r="X660" s="1482"/>
      <c r="Y660" s="2897"/>
      <c r="Z660" s="2802">
        <f>Z657/Z656</f>
        <v>0.58943781942078366</v>
      </c>
      <c r="AA660" s="2802">
        <f>AA657/AA656</f>
        <v>0.62101910828025475</v>
      </c>
      <c r="AB660" s="2897"/>
      <c r="AC660" s="2897">
        <v>0.7</v>
      </c>
      <c r="AD660" s="2897">
        <f>+MIN(90%,AC660-4.5%)</f>
        <v>0.65499999999999992</v>
      </c>
      <c r="AE660" s="2897">
        <f>+MIN(90%,AD660+1%)</f>
        <v>0.66499999999999992</v>
      </c>
      <c r="AF660" s="2897">
        <f>+MIN(90%,AE660+1%)</f>
        <v>0.67499999999999993</v>
      </c>
      <c r="AG660" s="2897">
        <f t="shared" ref="AG660:AM660" si="963">+MIN(90%,AF660+2%)</f>
        <v>0.69499999999999995</v>
      </c>
      <c r="AH660" s="2897">
        <f t="shared" si="963"/>
        <v>0.71499999999999997</v>
      </c>
      <c r="AI660" s="2897">
        <f t="shared" si="963"/>
        <v>0.73499999999999999</v>
      </c>
      <c r="AJ660" s="2897">
        <f t="shared" si="963"/>
        <v>0.755</v>
      </c>
      <c r="AK660" s="2897">
        <f t="shared" si="963"/>
        <v>0.77500000000000002</v>
      </c>
      <c r="AL660" s="2897">
        <f t="shared" si="963"/>
        <v>0.79500000000000004</v>
      </c>
      <c r="AM660" s="2897">
        <f t="shared" si="963"/>
        <v>0.81500000000000006</v>
      </c>
      <c r="AN660" s="2897">
        <f>+MIN(95%,AM660+2%)</f>
        <v>0.83500000000000008</v>
      </c>
      <c r="AO660" s="2882"/>
      <c r="AP660" s="2897"/>
      <c r="AQ660" s="2897"/>
      <c r="AR660" s="2897"/>
      <c r="AS660" s="2897"/>
      <c r="AT660" s="2882"/>
      <c r="AU660" s="11"/>
      <c r="AV660" s="6"/>
      <c r="AW660" s="89"/>
      <c r="AX660" s="89"/>
      <c r="AY660" s="89"/>
      <c r="AZ660" s="89"/>
      <c r="BA660" s="89"/>
      <c r="BB660" s="89"/>
      <c r="BC660" s="89"/>
      <c r="BD660" s="89"/>
      <c r="BE660" s="89"/>
      <c r="BF660" s="119">
        <v>0.7</v>
      </c>
      <c r="BG660" s="119">
        <v>0.7</v>
      </c>
      <c r="BH660" s="119">
        <v>0.7</v>
      </c>
      <c r="BI660" s="119">
        <v>0.7</v>
      </c>
      <c r="BJ660" s="119"/>
      <c r="BK660" s="119">
        <v>0.9</v>
      </c>
      <c r="BL660" s="119">
        <v>0.9</v>
      </c>
      <c r="BM660" s="119">
        <v>0.9</v>
      </c>
      <c r="BN660" s="119">
        <v>0.9</v>
      </c>
      <c r="BO660" s="6"/>
      <c r="BP660" s="119">
        <v>0.9</v>
      </c>
      <c r="BQ660" s="119">
        <v>0.9</v>
      </c>
      <c r="BR660" s="119">
        <v>0.9</v>
      </c>
      <c r="BS660" s="119">
        <v>0.9</v>
      </c>
      <c r="BT660" s="6"/>
      <c r="BU660" s="119">
        <v>0.53</v>
      </c>
      <c r="BV660" s="119">
        <v>0.54</v>
      </c>
      <c r="BW660" s="119">
        <v>0.56000000000000005</v>
      </c>
      <c r="BX660" s="119">
        <v>0.2</v>
      </c>
      <c r="BY660" s="6"/>
      <c r="BZ660" s="6"/>
      <c r="CA660" s="6"/>
      <c r="CB660" s="6"/>
      <c r="CC660" s="6"/>
      <c r="CD660" s="6"/>
      <c r="CE660" s="6"/>
      <c r="CF660" s="6"/>
      <c r="CG660" s="6"/>
      <c r="CH660" s="6"/>
      <c r="CI660" s="6"/>
      <c r="CJ660" s="6"/>
      <c r="CK660" s="6"/>
      <c r="CL660" s="6"/>
      <c r="CM660" s="6"/>
      <c r="CN660" s="6"/>
      <c r="CO660" s="11"/>
      <c r="CP660" s="11"/>
      <c r="CQ660" s="11"/>
      <c r="CR660" s="11"/>
      <c r="CS660" s="11"/>
      <c r="CT660" s="906"/>
      <c r="CU660" s="906"/>
      <c r="CV660" s="906"/>
      <c r="CW660" s="11"/>
      <c r="CX660" s="11"/>
      <c r="CY660" s="906"/>
      <c r="CZ660" s="906"/>
      <c r="DA660" s="906"/>
      <c r="DB660" s="11"/>
      <c r="DC660" s="2862"/>
      <c r="DD660" s="11"/>
      <c r="DE660" s="11"/>
      <c r="DF660" s="11"/>
      <c r="DG660" s="11"/>
      <c r="DH660" s="11"/>
      <c r="DI660" s="11"/>
      <c r="DJ660" s="11"/>
      <c r="DK660" s="11"/>
      <c r="DL660" s="11"/>
      <c r="DM660" s="11"/>
      <c r="DN660" s="11"/>
      <c r="DO660" s="11"/>
      <c r="DP660" s="11"/>
      <c r="DQ660" s="11"/>
      <c r="DR660" s="11"/>
    </row>
    <row r="661" spans="1:128">
      <c r="A661" s="38" t="s">
        <v>969</v>
      </c>
      <c r="B661" s="243"/>
      <c r="C661" s="243"/>
      <c r="D661" s="243"/>
      <c r="E661" s="243"/>
      <c r="F661" s="243"/>
      <c r="G661" s="243"/>
      <c r="H661" s="131">
        <f t="shared" ref="H661:AF661" si="964">1-H660</f>
        <v>-9.5290251916757773E-2</v>
      </c>
      <c r="I661" s="131">
        <f t="shared" si="964"/>
        <v>0.68630419821059874</v>
      </c>
      <c r="J661" s="131">
        <f t="shared" si="964"/>
        <v>0.61044506487107897</v>
      </c>
      <c r="K661" s="131">
        <f t="shared" si="964"/>
        <v>0.38943200098997655</v>
      </c>
      <c r="L661" s="131">
        <f t="shared" si="964"/>
        <v>0.13799448022079119</v>
      </c>
      <c r="M661" s="131">
        <f t="shared" si="964"/>
        <v>0.36104686548995746</v>
      </c>
      <c r="N661" s="131">
        <f t="shared" si="964"/>
        <v>1.3287283802893506</v>
      </c>
      <c r="O661" s="919"/>
      <c r="P661" s="131"/>
      <c r="Q661" s="131"/>
      <c r="R661" s="131">
        <f t="shared" si="964"/>
        <v>0.69912472647702406</v>
      </c>
      <c r="S661" s="131">
        <f t="shared" si="964"/>
        <v>0.46401556083855633</v>
      </c>
      <c r="T661" s="1923">
        <f t="shared" si="964"/>
        <v>0.68708388814913457</v>
      </c>
      <c r="U661" s="1923">
        <f t="shared" si="964"/>
        <v>0.52690582959641263</v>
      </c>
      <c r="V661" s="1923">
        <f t="shared" si="964"/>
        <v>0.56543967280163598</v>
      </c>
      <c r="W661" s="1923">
        <f t="shared" si="964"/>
        <v>0.39632545931758534</v>
      </c>
      <c r="X661" s="1923"/>
      <c r="Y661" s="3078"/>
      <c r="Z661" s="3078">
        <f>1-Z660</f>
        <v>0.41056218057921634</v>
      </c>
      <c r="AA661" s="3078">
        <f>1-AA660</f>
        <v>0.37898089171974525</v>
      </c>
      <c r="AB661" s="3078"/>
      <c r="AC661" s="3078">
        <f t="shared" si="964"/>
        <v>0.30000000000000004</v>
      </c>
      <c r="AD661" s="3078">
        <f t="shared" si="964"/>
        <v>0.34500000000000008</v>
      </c>
      <c r="AE661" s="3078">
        <f t="shared" si="964"/>
        <v>0.33500000000000008</v>
      </c>
      <c r="AF661" s="3078">
        <f t="shared" si="964"/>
        <v>0.32500000000000007</v>
      </c>
      <c r="AG661" s="3078">
        <f t="shared" ref="AG661:AL661" si="965">1-AG660</f>
        <v>0.30500000000000005</v>
      </c>
      <c r="AH661" s="3078">
        <f t="shared" si="965"/>
        <v>0.28500000000000003</v>
      </c>
      <c r="AI661" s="3078">
        <f t="shared" si="965"/>
        <v>0.26500000000000001</v>
      </c>
      <c r="AJ661" s="3078">
        <f t="shared" si="965"/>
        <v>0.245</v>
      </c>
      <c r="AK661" s="3078">
        <f t="shared" si="965"/>
        <v>0.22499999999999998</v>
      </c>
      <c r="AL661" s="3078">
        <f t="shared" si="965"/>
        <v>0.20499999999999996</v>
      </c>
      <c r="AM661" s="3078">
        <f>1-AM660</f>
        <v>0.18499999999999994</v>
      </c>
      <c r="AN661" s="3078">
        <f>1-AN660</f>
        <v>0.16499999999999992</v>
      </c>
      <c r="AO661" s="2882"/>
      <c r="AP661" s="3078"/>
      <c r="AQ661" s="3078"/>
      <c r="AR661" s="3078"/>
      <c r="AS661" s="3078"/>
      <c r="AT661" s="2882"/>
      <c r="AU661" s="11"/>
      <c r="AV661" s="6"/>
      <c r="AW661" s="89"/>
      <c r="AX661" s="89"/>
      <c r="AY661" s="89"/>
      <c r="AZ661" s="89"/>
      <c r="BA661" s="89"/>
      <c r="BB661" s="89"/>
      <c r="BC661" s="89"/>
      <c r="BD661" s="89"/>
      <c r="BE661" s="89"/>
      <c r="BF661" s="131">
        <f>1-BF660</f>
        <v>0.30000000000000004</v>
      </c>
      <c r="BG661" s="131">
        <f>1-BG660</f>
        <v>0.30000000000000004</v>
      </c>
      <c r="BH661" s="131">
        <f>1-BH660</f>
        <v>0.30000000000000004</v>
      </c>
      <c r="BI661" s="131">
        <f>1-BI660</f>
        <v>0.30000000000000004</v>
      </c>
      <c r="BJ661" s="131"/>
      <c r="BK661" s="131">
        <f>1-BK660</f>
        <v>9.9999999999999978E-2</v>
      </c>
      <c r="BL661" s="131">
        <f>1-BL660</f>
        <v>9.9999999999999978E-2</v>
      </c>
      <c r="BM661" s="131">
        <f>1-BM660</f>
        <v>9.9999999999999978E-2</v>
      </c>
      <c r="BN661" s="131">
        <f>1-BN660</f>
        <v>9.9999999999999978E-2</v>
      </c>
      <c r="BO661" s="6"/>
      <c r="BP661" s="131">
        <f>1-BP660</f>
        <v>9.9999999999999978E-2</v>
      </c>
      <c r="BQ661" s="131">
        <f>1-BQ660</f>
        <v>9.9999999999999978E-2</v>
      </c>
      <c r="BR661" s="131">
        <f>1-BR660</f>
        <v>9.9999999999999978E-2</v>
      </c>
      <c r="BS661" s="131">
        <f>1-BS660</f>
        <v>9.9999999999999978E-2</v>
      </c>
      <c r="BT661" s="6"/>
      <c r="BU661" s="131">
        <f>1-BU660</f>
        <v>0.47</v>
      </c>
      <c r="BV661" s="131">
        <f>1-BV660</f>
        <v>0.45999999999999996</v>
      </c>
      <c r="BW661" s="131">
        <f>1-BW660</f>
        <v>0.43999999999999995</v>
      </c>
      <c r="BX661" s="131">
        <f>1-BX660</f>
        <v>0.8</v>
      </c>
      <c r="BY661" s="6"/>
      <c r="BZ661" s="6"/>
      <c r="CA661" s="6"/>
      <c r="CB661" s="6"/>
      <c r="CC661" s="6"/>
      <c r="CD661" s="6"/>
      <c r="CE661" s="6"/>
      <c r="CF661" s="6"/>
      <c r="CG661" s="6"/>
      <c r="CH661" s="6"/>
      <c r="CI661" s="6"/>
      <c r="CJ661" s="6"/>
      <c r="CK661" s="6"/>
      <c r="CL661" s="6"/>
      <c r="CM661" s="6"/>
      <c r="CN661" s="6"/>
      <c r="CO661" s="11"/>
      <c r="CP661" s="11"/>
      <c r="CQ661" s="11"/>
      <c r="CR661" s="11"/>
      <c r="CS661" s="11"/>
      <c r="CT661" s="906"/>
      <c r="CU661" s="906"/>
      <c r="CV661" s="906"/>
      <c r="CW661" s="11"/>
      <c r="CX661" s="11"/>
      <c r="CY661" s="906"/>
      <c r="CZ661" s="906"/>
      <c r="DA661" s="906"/>
      <c r="DB661" s="11"/>
      <c r="DC661" s="2862"/>
      <c r="DD661" s="11"/>
      <c r="DE661" s="11"/>
      <c r="DF661" s="11"/>
      <c r="DG661" s="11"/>
      <c r="DH661" s="11"/>
      <c r="DI661" s="11"/>
      <c r="DJ661" s="11"/>
      <c r="DK661" s="11"/>
      <c r="DL661" s="11"/>
      <c r="DM661" s="11"/>
      <c r="DN661" s="11"/>
      <c r="DO661" s="11"/>
      <c r="DP661" s="11"/>
      <c r="DQ661" s="11"/>
      <c r="DR661" s="11"/>
    </row>
    <row r="662" spans="1:128">
      <c r="A662" s="107"/>
      <c r="B662" s="11"/>
      <c r="C662" s="11"/>
      <c r="D662" s="11"/>
      <c r="E662" s="11"/>
      <c r="F662" s="11"/>
      <c r="G662" s="11"/>
      <c r="H662" s="11"/>
      <c r="I662" s="11"/>
      <c r="J662" s="98"/>
      <c r="K662" s="98"/>
      <c r="L662" s="11"/>
      <c r="M662" s="11"/>
      <c r="N662" s="11"/>
      <c r="O662" s="919"/>
      <c r="P662" s="11"/>
      <c r="Q662" s="11"/>
      <c r="R662" s="11"/>
      <c r="S662" s="11"/>
      <c r="T662" s="1108"/>
      <c r="U662" s="1108"/>
      <c r="V662" s="1108"/>
      <c r="W662" s="1108"/>
      <c r="X662" s="1108"/>
      <c r="Y662" s="2862"/>
      <c r="Z662" s="2862"/>
      <c r="AA662" s="2862"/>
      <c r="AB662" s="2862"/>
      <c r="AC662" s="2862"/>
      <c r="AD662" s="2862"/>
      <c r="AE662" s="2862"/>
      <c r="AF662" s="2862"/>
      <c r="AG662" s="2862"/>
      <c r="AH662" s="2862"/>
      <c r="AI662" s="2862"/>
      <c r="AJ662" s="2862"/>
      <c r="AK662" s="2862"/>
      <c r="AL662" s="2862"/>
      <c r="AM662" s="2862"/>
      <c r="AN662" s="2862"/>
      <c r="AO662" s="2882"/>
      <c r="AP662" s="2862"/>
      <c r="AQ662" s="2862"/>
      <c r="AR662" s="2862"/>
      <c r="AS662" s="2862"/>
      <c r="AT662" s="2882"/>
      <c r="AU662" s="11"/>
      <c r="AV662" s="6"/>
      <c r="AW662" s="89"/>
      <c r="AX662" s="89"/>
      <c r="AY662" s="89"/>
      <c r="AZ662" s="89"/>
      <c r="BA662" s="89"/>
      <c r="BB662" s="89"/>
      <c r="BC662" s="89"/>
      <c r="BD662" s="89"/>
      <c r="BE662" s="89"/>
      <c r="BF662" s="11"/>
      <c r="BG662" s="11"/>
      <c r="BH662" s="98"/>
      <c r="BI662" s="89"/>
      <c r="BJ662" s="89"/>
      <c r="BK662" s="89"/>
      <c r="BL662" s="89"/>
      <c r="BM662" s="89"/>
      <c r="BN662" s="89"/>
      <c r="BO662" s="6"/>
      <c r="BP662" s="89"/>
      <c r="BQ662" s="89"/>
      <c r="BR662" s="89"/>
      <c r="BS662" s="89"/>
      <c r="BT662" s="6"/>
      <c r="BU662" s="6"/>
      <c r="BV662" s="6"/>
      <c r="BW662" s="6"/>
      <c r="BX662" s="6"/>
      <c r="BY662" s="6"/>
      <c r="BZ662" s="6"/>
      <c r="CA662" s="6"/>
      <c r="CB662" s="6"/>
      <c r="CC662" s="6"/>
      <c r="CD662" s="6"/>
      <c r="CE662" s="6"/>
      <c r="CF662" s="6"/>
      <c r="CG662" s="6"/>
      <c r="CH662" s="6"/>
      <c r="CI662" s="6"/>
      <c r="CJ662" s="6"/>
      <c r="CK662" s="6"/>
      <c r="CL662" s="6"/>
      <c r="CM662" s="6"/>
      <c r="CN662" s="6"/>
      <c r="CO662" s="11"/>
      <c r="CP662" s="11"/>
      <c r="CQ662" s="11"/>
      <c r="CR662" s="11"/>
      <c r="CS662" s="11"/>
      <c r="CT662" s="906"/>
      <c r="CU662" s="906"/>
      <c r="CV662" s="906"/>
      <c r="CW662" s="11"/>
      <c r="CX662" s="11"/>
      <c r="CY662" s="906"/>
      <c r="CZ662" s="906"/>
      <c r="DA662" s="906"/>
      <c r="DB662" s="11"/>
      <c r="DC662" s="2862"/>
      <c r="DD662" s="11"/>
      <c r="DE662" s="11"/>
      <c r="DF662" s="11"/>
      <c r="DG662" s="11"/>
      <c r="DH662" s="11"/>
      <c r="DI662" s="11"/>
      <c r="DJ662" s="11"/>
      <c r="DK662" s="11"/>
      <c r="DL662" s="11"/>
      <c r="DM662" s="11"/>
      <c r="DN662" s="11"/>
      <c r="DO662" s="11"/>
      <c r="DP662" s="11"/>
      <c r="DQ662" s="11"/>
      <c r="DR662" s="11"/>
    </row>
    <row r="663" spans="1:128">
      <c r="A663" s="244" t="s">
        <v>1037</v>
      </c>
      <c r="B663" s="14"/>
      <c r="C663" s="14"/>
      <c r="D663" s="14"/>
      <c r="E663" s="14"/>
      <c r="F663" s="14"/>
      <c r="G663" s="14"/>
      <c r="H663" s="14">
        <f t="shared" ref="H663:N663" si="966">H34</f>
        <v>1828.9999999999993</v>
      </c>
      <c r="I663" s="14">
        <f t="shared" si="966"/>
        <v>1825.8000000000006</v>
      </c>
      <c r="J663" s="14">
        <f t="shared" si="966"/>
        <v>-15801.6</v>
      </c>
      <c r="K663" s="14">
        <f t="shared" si="966"/>
        <v>-7511.6999999999989</v>
      </c>
      <c r="L663" s="14">
        <f t="shared" si="966"/>
        <v>2132.6999999999998</v>
      </c>
      <c r="M663" s="14">
        <f t="shared" si="966"/>
        <v>2136.3999999999996</v>
      </c>
      <c r="N663" s="14">
        <f t="shared" si="966"/>
        <v>-12575.100000000002</v>
      </c>
      <c r="O663" s="919"/>
      <c r="P663" s="14"/>
      <c r="Q663" s="14"/>
      <c r="R663" s="14">
        <f t="shared" ref="R663:W663" si="967">R34</f>
        <v>443.00000000000034</v>
      </c>
      <c r="S663" s="14">
        <f t="shared" si="967"/>
        <v>1221.5000000000002</v>
      </c>
      <c r="T663" s="1357">
        <f t="shared" si="967"/>
        <v>2179.0000000000005</v>
      </c>
      <c r="U663" s="1357">
        <f t="shared" si="967"/>
        <v>2560.9999999999995</v>
      </c>
      <c r="V663" s="1357">
        <f t="shared" si="967"/>
        <v>2897</v>
      </c>
      <c r="W663" s="1357">
        <f t="shared" si="967"/>
        <v>2164</v>
      </c>
      <c r="X663" s="1437"/>
      <c r="Y663" s="2878"/>
      <c r="Z663" s="2806">
        <f>Z34</f>
        <v>2023</v>
      </c>
      <c r="AA663" s="2806">
        <f ca="1">AB34</f>
        <v>2230</v>
      </c>
      <c r="AB663" s="2806"/>
      <c r="AC663" s="2878">
        <f t="shared" ref="AC663:AN663" ca="1" si="968">AC34</f>
        <v>2422.0011681351903</v>
      </c>
      <c r="AD663" s="2878">
        <f ca="1">AD34</f>
        <v>2636.1840586713479</v>
      </c>
      <c r="AE663" s="2878">
        <f t="shared" ca="1" si="968"/>
        <v>2801.1583339350877</v>
      </c>
      <c r="AF663" s="2878">
        <f t="shared" ca="1" si="968"/>
        <v>3150.6731619214793</v>
      </c>
      <c r="AG663" s="2878">
        <f ca="1">AG34</f>
        <v>3271.4941213774086</v>
      </c>
      <c r="AH663" s="2878">
        <f t="shared" ca="1" si="968"/>
        <v>3531.8328333850877</v>
      </c>
      <c r="AI663" s="2878">
        <f t="shared" ca="1" si="968"/>
        <v>3374.3163525847112</v>
      </c>
      <c r="AJ663" s="2878">
        <f t="shared" ca="1" si="968"/>
        <v>3493.9869626274549</v>
      </c>
      <c r="AK663" s="2878">
        <f t="shared" ca="1" si="968"/>
        <v>3511.5703850594623</v>
      </c>
      <c r="AL663" s="2878">
        <f t="shared" ca="1" si="968"/>
        <v>3476.4569257882504</v>
      </c>
      <c r="AM663" s="2878">
        <f t="shared" ca="1" si="968"/>
        <v>3440.7422431631585</v>
      </c>
      <c r="AN663" s="2878">
        <f t="shared" ca="1" si="968"/>
        <v>3642.8435605350287</v>
      </c>
      <c r="AO663" s="2882"/>
      <c r="AP663" s="2806"/>
      <c r="AQ663" s="2806"/>
      <c r="AR663" s="2806"/>
      <c r="AS663" s="2806"/>
      <c r="AT663" s="2882"/>
      <c r="AU663" s="11"/>
      <c r="AV663" s="6"/>
      <c r="AW663" s="89"/>
      <c r="AX663" s="89"/>
      <c r="AY663" s="89"/>
      <c r="AZ663" s="89"/>
      <c r="BA663" s="89"/>
      <c r="BB663" s="89"/>
      <c r="BC663" s="89"/>
      <c r="BD663" s="89"/>
      <c r="BE663" s="89"/>
      <c r="BF663" s="14">
        <f>BF34</f>
        <v>381.19999999999987</v>
      </c>
      <c r="BG663" s="14">
        <f>BG34</f>
        <v>592.59999999999991</v>
      </c>
      <c r="BH663" s="14">
        <f>BH34</f>
        <v>518.09999999999991</v>
      </c>
      <c r="BI663" s="14">
        <f>BI34</f>
        <v>640.80000000000007</v>
      </c>
      <c r="BJ663" s="14"/>
      <c r="BK663" s="14">
        <f>BK34</f>
        <v>419.15</v>
      </c>
      <c r="BL663" s="14">
        <f>BL34</f>
        <v>636.85</v>
      </c>
      <c r="BM663" s="14">
        <f>BM34</f>
        <v>521.95000000000027</v>
      </c>
      <c r="BN663" s="14">
        <f>BN34</f>
        <v>546.05000000000018</v>
      </c>
      <c r="BO663" s="13"/>
      <c r="BP663" s="14">
        <f>BP34</f>
        <v>417.67924972625013</v>
      </c>
      <c r="BQ663" s="14">
        <f>BQ34</f>
        <v>646.19473068000002</v>
      </c>
      <c r="BR663" s="14">
        <f>BR34</f>
        <v>-13784.431023132063</v>
      </c>
      <c r="BS663" s="14">
        <f>BS34</f>
        <v>145.45704272581244</v>
      </c>
      <c r="BT663" s="13"/>
      <c r="BU663" s="14">
        <f>BU34</f>
        <v>-18.861466858300638</v>
      </c>
      <c r="BV663" s="14">
        <f>BV34</f>
        <v>81.310933524868403</v>
      </c>
      <c r="BW663" s="14">
        <f>BW34</f>
        <v>296.92739985984582</v>
      </c>
      <c r="BX663" s="14">
        <f>BX34</f>
        <v>83.623133473586776</v>
      </c>
      <c r="BY663" s="13"/>
      <c r="BZ663" s="13"/>
      <c r="CA663" s="13"/>
      <c r="CB663" s="13"/>
      <c r="CC663" s="13"/>
      <c r="CD663" s="13"/>
      <c r="CE663" s="13"/>
      <c r="CF663" s="13"/>
      <c r="CG663" s="13"/>
      <c r="CH663" s="13"/>
      <c r="CI663" s="13"/>
      <c r="CJ663" s="13"/>
      <c r="CK663" s="13"/>
      <c r="CL663" s="13"/>
      <c r="CM663" s="13"/>
      <c r="CN663" s="13"/>
      <c r="CO663" s="14"/>
      <c r="CP663" s="14"/>
      <c r="CQ663" s="14"/>
      <c r="CR663" s="14"/>
      <c r="CS663" s="14"/>
      <c r="CT663" s="1328"/>
      <c r="CU663" s="1328"/>
      <c r="CV663" s="1328"/>
      <c r="CW663" s="14"/>
      <c r="CX663" s="14"/>
      <c r="CY663" s="1328"/>
      <c r="CZ663" s="1328"/>
      <c r="DA663" s="1328"/>
      <c r="DB663" s="14"/>
      <c r="DC663" s="2806"/>
      <c r="DD663" s="14"/>
      <c r="DE663" s="14"/>
      <c r="DF663" s="14"/>
      <c r="DG663" s="14"/>
      <c r="DH663" s="14"/>
      <c r="DI663" s="14"/>
      <c r="DJ663" s="14"/>
      <c r="DK663" s="14"/>
      <c r="DL663" s="14"/>
      <c r="DM663" s="14"/>
      <c r="DN663" s="14"/>
      <c r="DO663" s="14"/>
      <c r="DP663" s="14"/>
      <c r="DQ663" s="14"/>
      <c r="DR663" s="14"/>
    </row>
    <row r="664" spans="1:128">
      <c r="A664" s="245" t="s">
        <v>970</v>
      </c>
      <c r="B664" s="119"/>
      <c r="C664" s="119"/>
      <c r="D664" s="119"/>
      <c r="E664" s="119"/>
      <c r="F664" s="119"/>
      <c r="G664" s="119"/>
      <c r="H664" s="119">
        <v>0.41499999999999998</v>
      </c>
      <c r="I664" s="119">
        <v>0.41499999999999998</v>
      </c>
      <c r="J664" s="119">
        <v>0.40500000000000003</v>
      </c>
      <c r="K664" s="119">
        <f>0.35+0.048</f>
        <v>0.39799999999999996</v>
      </c>
      <c r="L664" s="119">
        <f>+(746.4+44.8)/L663</f>
        <v>0.37098513621231305</v>
      </c>
      <c r="M664" s="119">
        <f>+(746.5+92.9)/M663</f>
        <v>0.39290395057105415</v>
      </c>
      <c r="N664" s="119">
        <v>0.375</v>
      </c>
      <c r="O664" s="919"/>
      <c r="P664" s="119"/>
      <c r="Q664" s="119"/>
      <c r="R664" s="119">
        <f>+N664</f>
        <v>0.375</v>
      </c>
      <c r="S664" s="119">
        <v>0.38</v>
      </c>
      <c r="T664" s="1482">
        <v>0.38800000000000001</v>
      </c>
      <c r="U664" s="1923">
        <f>+(825+84)/U663</f>
        <v>0.35493947676688797</v>
      </c>
      <c r="V664" s="1923">
        <f>+(933+101)/V663</f>
        <v>0.3569209527096997</v>
      </c>
      <c r="W664" s="1923">
        <f>+(758+93)/W663</f>
        <v>0.39325323475046209</v>
      </c>
      <c r="X664" s="1923"/>
      <c r="Y664" s="3078"/>
      <c r="Z664" s="3079">
        <f>+(708+55)/Z663</f>
        <v>0.37716262975778547</v>
      </c>
      <c r="AA664" s="3079">
        <f ca="1">+(780+59)/AA663</f>
        <v>0.37623318385650223</v>
      </c>
      <c r="AB664" s="2862"/>
      <c r="AC664" s="2830">
        <f>Scenarios!L159</f>
        <v>0.37</v>
      </c>
      <c r="AD664" s="2830">
        <f>Scenarios!M159</f>
        <v>0.245</v>
      </c>
      <c r="AE664" s="2830">
        <f>Scenarios!N159</f>
        <v>0.245</v>
      </c>
      <c r="AF664" s="2830">
        <f>Scenarios!O159</f>
        <v>0.245</v>
      </c>
      <c r="AG664" s="2830">
        <f>Scenarios!P159</f>
        <v>0.245</v>
      </c>
      <c r="AH664" s="2830">
        <f>Scenarios!Q159</f>
        <v>0.245</v>
      </c>
      <c r="AI664" s="2830">
        <f>Scenarios!R159</f>
        <v>0.245</v>
      </c>
      <c r="AJ664" s="2830">
        <f>Scenarios!S159</f>
        <v>0.245</v>
      </c>
      <c r="AK664" s="2830">
        <f>Scenarios!T159</f>
        <v>0.245</v>
      </c>
      <c r="AL664" s="2830">
        <f>Scenarios!U159</f>
        <v>0.245</v>
      </c>
      <c r="AM664" s="2830">
        <f>Scenarios!V159</f>
        <v>0.245</v>
      </c>
      <c r="AN664" s="2830">
        <f>Scenarios!W159</f>
        <v>0.245</v>
      </c>
      <c r="AO664" s="2882"/>
      <c r="AP664" s="2897"/>
      <c r="AQ664" s="2897"/>
      <c r="AR664" s="2897"/>
      <c r="AS664" s="2897"/>
      <c r="AT664" s="2882"/>
      <c r="AU664" s="11"/>
      <c r="AV664" s="6"/>
      <c r="AW664" s="89"/>
      <c r="AX664" s="89"/>
      <c r="AY664" s="89"/>
      <c r="AZ664" s="89"/>
      <c r="BA664" s="89"/>
      <c r="BB664" s="89"/>
      <c r="BC664" s="89"/>
      <c r="BD664" s="89"/>
      <c r="BE664" s="89"/>
      <c r="BF664" s="119">
        <f>K664</f>
        <v>0.39799999999999996</v>
      </c>
      <c r="BG664" s="119">
        <f>L664</f>
        <v>0.37098513621231305</v>
      </c>
      <c r="BH664" s="119">
        <f>M664</f>
        <v>0.39290395057105415</v>
      </c>
      <c r="BI664" s="130">
        <f>BH664</f>
        <v>0.39290395057105415</v>
      </c>
      <c r="BJ664" s="130"/>
      <c r="BK664" s="130">
        <f>M664</f>
        <v>0.39290395057105415</v>
      </c>
      <c r="BL664" s="130">
        <f>BK664</f>
        <v>0.39290395057105415</v>
      </c>
      <c r="BM664" s="130">
        <f>BL664</f>
        <v>0.39290395057105415</v>
      </c>
      <c r="BN664" s="130">
        <f>BM664</f>
        <v>0.39290395057105415</v>
      </c>
      <c r="BO664" s="6"/>
      <c r="BP664" s="130">
        <f>U664</f>
        <v>0.35493947676688797</v>
      </c>
      <c r="BQ664" s="130">
        <f>BP664</f>
        <v>0.35493947676688797</v>
      </c>
      <c r="BR664" s="130">
        <f>BQ664</f>
        <v>0.35493947676688797</v>
      </c>
      <c r="BS664" s="130">
        <f>BR664</f>
        <v>0.35493947676688797</v>
      </c>
      <c r="BT664" s="6"/>
      <c r="BU664" s="245">
        <f>+N664</f>
        <v>0.375</v>
      </c>
      <c r="BV664" s="245">
        <f>+BU664</f>
        <v>0.375</v>
      </c>
      <c r="BW664" s="245">
        <f>+BV664</f>
        <v>0.375</v>
      </c>
      <c r="BX664" s="245">
        <v>0.37</v>
      </c>
      <c r="BY664" s="6"/>
      <c r="BZ664" s="6"/>
      <c r="CA664" s="558">
        <v>0.4</v>
      </c>
      <c r="CB664" s="558">
        <v>0.4</v>
      </c>
      <c r="CC664" s="558">
        <v>0.4</v>
      </c>
      <c r="CD664" s="6"/>
      <c r="CE664" s="6"/>
      <c r="CF664" s="6"/>
      <c r="CG664" s="6"/>
      <c r="CH664" s="6"/>
      <c r="CI664" s="6"/>
      <c r="CJ664" s="6"/>
      <c r="CK664" s="6"/>
      <c r="CL664" s="6"/>
      <c r="CM664" s="6"/>
      <c r="CN664" s="6"/>
      <c r="CO664" s="11"/>
      <c r="CP664" s="11"/>
      <c r="CQ664" s="11"/>
      <c r="CR664" s="11"/>
      <c r="CS664" s="11"/>
      <c r="CT664" s="906"/>
      <c r="CU664" s="906"/>
      <c r="CV664" s="906"/>
      <c r="CW664" s="11"/>
      <c r="CX664" s="11"/>
      <c r="CY664" s="906"/>
      <c r="CZ664" s="906"/>
      <c r="DA664" s="906"/>
      <c r="DB664" s="11"/>
      <c r="DC664" s="2862"/>
      <c r="DD664" s="11"/>
      <c r="DE664" s="11"/>
      <c r="DF664" s="11"/>
      <c r="DG664" s="11"/>
      <c r="DH664" s="11"/>
      <c r="DI664" s="1552">
        <f>Scenarios!BW159</f>
        <v>0.377</v>
      </c>
      <c r="DJ664" s="1552">
        <f>Scenarios!BX159</f>
        <v>0.377</v>
      </c>
      <c r="DK664" s="1552">
        <f>Scenarios!BY159</f>
        <v>0.377</v>
      </c>
      <c r="DL664" s="1552">
        <f>Scenarios!BZ159</f>
        <v>0.377</v>
      </c>
      <c r="DM664" s="11"/>
      <c r="DN664" s="1552">
        <f>Scenarios!CB159</f>
        <v>0.245</v>
      </c>
      <c r="DO664" s="1552">
        <f>Scenarios!CC159</f>
        <v>0.245</v>
      </c>
      <c r="DP664" s="1552">
        <f>Scenarios!CD159</f>
        <v>0.245</v>
      </c>
      <c r="DQ664" s="1552">
        <f>Scenarios!CE159</f>
        <v>0.245</v>
      </c>
      <c r="DR664" s="11"/>
    </row>
    <row r="665" spans="1:128">
      <c r="A665" s="246" t="s">
        <v>971</v>
      </c>
      <c r="B665" s="244"/>
      <c r="C665" s="244"/>
      <c r="D665" s="244"/>
      <c r="E665" s="244"/>
      <c r="F665" s="244"/>
      <c r="G665" s="244"/>
      <c r="H665" s="244">
        <f t="shared" ref="H665:N665" si="969">H664*H663</f>
        <v>759.03499999999963</v>
      </c>
      <c r="I665" s="244">
        <f t="shared" si="969"/>
        <v>757.70700000000022</v>
      </c>
      <c r="J665" s="247">
        <f t="shared" si="969"/>
        <v>-6399.6480000000001</v>
      </c>
      <c r="K665" s="247">
        <f t="shared" si="969"/>
        <v>-2989.6565999999993</v>
      </c>
      <c r="L665" s="244">
        <f t="shared" si="969"/>
        <v>791.19999999999993</v>
      </c>
      <c r="M665" s="244">
        <f t="shared" si="969"/>
        <v>839.4</v>
      </c>
      <c r="N665" s="247">
        <f t="shared" si="969"/>
        <v>-4715.6625000000004</v>
      </c>
      <c r="O665" s="919"/>
      <c r="P665" s="244"/>
      <c r="Q665" s="244"/>
      <c r="R665" s="244">
        <f t="shared" ref="R665:W665" si="970">R664*R663</f>
        <v>166.12500000000011</v>
      </c>
      <c r="S665" s="244">
        <f t="shared" si="970"/>
        <v>464.17000000000007</v>
      </c>
      <c r="T665" s="1995">
        <f t="shared" si="970"/>
        <v>845.45200000000023</v>
      </c>
      <c r="U665" s="1995">
        <f t="shared" si="970"/>
        <v>908.99999999999989</v>
      </c>
      <c r="V665" s="1995">
        <f t="shared" si="970"/>
        <v>1034</v>
      </c>
      <c r="W665" s="1995">
        <f t="shared" si="970"/>
        <v>851</v>
      </c>
      <c r="X665" s="1995"/>
      <c r="Y665" s="3080"/>
      <c r="Z665" s="3080">
        <f>Z664*Z663</f>
        <v>763</v>
      </c>
      <c r="AA665" s="3080">
        <f ca="1">AA664*AA663</f>
        <v>839</v>
      </c>
      <c r="AB665" s="2862"/>
      <c r="AC665" s="3080">
        <f ca="1">AC664*AC663</f>
        <v>896.14043221002044</v>
      </c>
      <c r="AD665" s="3080">
        <f ca="1">AD664*AD663</f>
        <v>645.86509437448024</v>
      </c>
      <c r="AE665" s="3080">
        <f ca="1">AE663*AE664</f>
        <v>686.2837918140965</v>
      </c>
      <c r="AF665" s="3080">
        <f t="shared" ref="AF665:AS665" ca="1" si="971">AF663*AF664</f>
        <v>771.91492467076239</v>
      </c>
      <c r="AG665" s="3080">
        <f t="shared" ca="1" si="971"/>
        <v>801.51605973746507</v>
      </c>
      <c r="AH665" s="3080">
        <f t="shared" ca="1" si="971"/>
        <v>865.29904417934642</v>
      </c>
      <c r="AI665" s="3080">
        <f t="shared" ca="1" si="971"/>
        <v>826.70750638325421</v>
      </c>
      <c r="AJ665" s="3080">
        <f t="shared" ca="1" si="971"/>
        <v>856.02680584372638</v>
      </c>
      <c r="AK665" s="3080">
        <f t="shared" ca="1" si="971"/>
        <v>860.33474433956826</v>
      </c>
      <c r="AL665" s="3080">
        <f t="shared" ca="1" si="971"/>
        <v>851.73194681812129</v>
      </c>
      <c r="AM665" s="3080">
        <f t="shared" ca="1" si="971"/>
        <v>842.98184957497381</v>
      </c>
      <c r="AN665" s="3080">
        <f t="shared" ca="1" si="971"/>
        <v>892.49667233108198</v>
      </c>
      <c r="AO665" s="3080">
        <f t="shared" si="971"/>
        <v>0</v>
      </c>
      <c r="AP665" s="3080">
        <f t="shared" si="971"/>
        <v>0</v>
      </c>
      <c r="AQ665" s="3080">
        <f t="shared" si="971"/>
        <v>0</v>
      </c>
      <c r="AR665" s="3080">
        <f t="shared" si="971"/>
        <v>0</v>
      </c>
      <c r="AS665" s="3080">
        <f t="shared" si="971"/>
        <v>0</v>
      </c>
      <c r="AT665" s="2882"/>
      <c r="AU665" s="11"/>
      <c r="AV665" s="6"/>
      <c r="AW665" s="89"/>
      <c r="AX665" s="89"/>
      <c r="AY665" s="89"/>
      <c r="AZ665" s="89"/>
      <c r="BA665" s="89"/>
      <c r="BB665" s="89"/>
      <c r="BC665" s="89"/>
      <c r="BD665" s="89"/>
      <c r="BE665" s="89"/>
      <c r="BF665" s="247">
        <f>BF664*BF663</f>
        <v>151.71759999999995</v>
      </c>
      <c r="BG665" s="247">
        <f>BG664*BG663</f>
        <v>219.84579171941667</v>
      </c>
      <c r="BH665" s="247">
        <f>BH664*BH663</f>
        <v>203.56353679086311</v>
      </c>
      <c r="BI665" s="244">
        <f>BI664*BI663</f>
        <v>251.77285152593151</v>
      </c>
      <c r="BJ665" s="244"/>
      <c r="BK665" s="247">
        <f>BK664*BK663</f>
        <v>164.68569088185734</v>
      </c>
      <c r="BL665" s="247">
        <f>BL664*BL663</f>
        <v>250.22088092117585</v>
      </c>
      <c r="BM665" s="247">
        <f>BM664*BM663</f>
        <v>205.07621700056183</v>
      </c>
      <c r="BN665" s="247">
        <f>BN664*BN663</f>
        <v>214.5452022093242</v>
      </c>
      <c r="BO665" s="13"/>
      <c r="BP665" s="247">
        <f>BP664*BP663</f>
        <v>148.25085435422156</v>
      </c>
      <c r="BQ665" s="247">
        <f>BQ664*BQ663</f>
        <v>229.36001959707929</v>
      </c>
      <c r="BR665" s="247">
        <f>BR664*BR663</f>
        <v>-4892.6387348797525</v>
      </c>
      <c r="BS665" s="247">
        <f>BS664*BS663</f>
        <v>51.628446637158738</v>
      </c>
      <c r="BT665" s="13"/>
      <c r="BU665" s="247">
        <f>BU664*BU663</f>
        <v>-7.0730500718627392</v>
      </c>
      <c r="BV665" s="247">
        <f>BV664*BV663</f>
        <v>30.491600071825651</v>
      </c>
      <c r="BW665" s="247">
        <f>BW664*BW663</f>
        <v>111.34777494744219</v>
      </c>
      <c r="BX665" s="247">
        <f>BX664*BX663</f>
        <v>30.940559385227107</v>
      </c>
      <c r="BY665" s="13"/>
      <c r="BZ665" s="13"/>
      <c r="CA665" s="13"/>
      <c r="CB665" s="13"/>
      <c r="CC665" s="13"/>
      <c r="CD665" s="13"/>
      <c r="CE665" s="13"/>
      <c r="CF665" s="13"/>
      <c r="CG665" s="13"/>
      <c r="CH665" s="13"/>
      <c r="CI665" s="13"/>
      <c r="CJ665" s="13"/>
      <c r="CK665" s="13"/>
      <c r="CL665" s="13"/>
      <c r="CM665" s="13"/>
      <c r="CN665" s="13"/>
      <c r="CO665" s="14"/>
      <c r="CP665" s="14"/>
      <c r="CQ665" s="14"/>
      <c r="CR665" s="14"/>
      <c r="CS665" s="14"/>
      <c r="CT665" s="1328"/>
      <c r="CU665" s="1328"/>
      <c r="CV665" s="1328"/>
      <c r="CW665" s="14"/>
      <c r="CX665" s="14"/>
      <c r="CY665" s="1328"/>
      <c r="CZ665" s="1328"/>
      <c r="DA665" s="1328"/>
      <c r="DB665" s="14"/>
      <c r="DC665" s="2806"/>
      <c r="DD665" s="14"/>
      <c r="DE665" s="14"/>
      <c r="DF665" s="14"/>
      <c r="DG665" s="14"/>
      <c r="DH665" s="14"/>
      <c r="DI665" s="14"/>
      <c r="DJ665" s="14"/>
      <c r="DK665" s="14"/>
      <c r="DL665" s="14"/>
      <c r="DM665" s="14"/>
      <c r="DN665" s="14"/>
      <c r="DO665" s="14"/>
      <c r="DP665" s="14"/>
      <c r="DQ665" s="14"/>
      <c r="DR665" s="14"/>
    </row>
    <row r="666" spans="1:128">
      <c r="A666" s="244" t="s">
        <v>972</v>
      </c>
      <c r="B666" s="248"/>
      <c r="C666" s="248"/>
      <c r="D666" s="248"/>
      <c r="E666" s="248"/>
      <c r="F666" s="248"/>
      <c r="G666" s="248"/>
      <c r="H666" s="248">
        <f t="shared" ref="H666:N666" si="972">H656-H665</f>
        <v>-24.934999999999604</v>
      </c>
      <c r="I666" s="248">
        <f t="shared" si="972"/>
        <v>-31.207000000000221</v>
      </c>
      <c r="J666" s="249">
        <f t="shared" si="972"/>
        <v>7008.5479999999998</v>
      </c>
      <c r="K666" s="249">
        <f t="shared" si="972"/>
        <v>3797.7565999999993</v>
      </c>
      <c r="L666" s="249">
        <f>L656-L665</f>
        <v>-138.99999999999989</v>
      </c>
      <c r="M666" s="249">
        <f t="shared" si="972"/>
        <v>-17.899999999999977</v>
      </c>
      <c r="N666" s="249">
        <f t="shared" si="972"/>
        <v>3796.3625000000006</v>
      </c>
      <c r="O666" s="919"/>
      <c r="P666" s="244"/>
      <c r="Q666" s="244"/>
      <c r="R666" s="1996">
        <f t="shared" ref="R666:W666" si="973">R656-R665</f>
        <v>16.674999999999898</v>
      </c>
      <c r="S666" s="1996">
        <f t="shared" si="973"/>
        <v>-1.4700000000000273</v>
      </c>
      <c r="T666" s="1996">
        <f>T656-T665</f>
        <v>-94.452000000000226</v>
      </c>
      <c r="U666" s="1996">
        <f t="shared" si="973"/>
        <v>-16.999999999999886</v>
      </c>
      <c r="V666" s="1996">
        <f t="shared" si="973"/>
        <v>-56</v>
      </c>
      <c r="W666" s="1996">
        <f t="shared" si="973"/>
        <v>-89</v>
      </c>
      <c r="X666" s="1995"/>
      <c r="Y666" s="3080"/>
      <c r="Z666" s="3056">
        <f>Z656-Z665</f>
        <v>-176</v>
      </c>
      <c r="AA666" s="3056">
        <f ca="1">AA656-AA665</f>
        <v>-211</v>
      </c>
      <c r="AB666" s="3080"/>
      <c r="AC666" s="3056">
        <f ca="1">AC656-AC665</f>
        <v>-250.27533783554009</v>
      </c>
      <c r="AD666" s="3080">
        <f ca="1">+AD667*AD664</f>
        <v>0</v>
      </c>
      <c r="AE666" s="3080">
        <f ca="1">+AE667*AE664</f>
        <v>0</v>
      </c>
      <c r="AF666" s="3080">
        <f t="shared" ref="AF666:AH666" ca="1" si="974">+AF667*AF664</f>
        <v>0</v>
      </c>
      <c r="AG666" s="3080">
        <f t="shared" ca="1" si="974"/>
        <v>0</v>
      </c>
      <c r="AH666" s="3080">
        <f t="shared" ca="1" si="974"/>
        <v>0</v>
      </c>
      <c r="AI666" s="3080">
        <f t="shared" ref="AI666:AN666" ca="1" si="975">+AI667*AI664</f>
        <v>0</v>
      </c>
      <c r="AJ666" s="3080">
        <f t="shared" ca="1" si="975"/>
        <v>0</v>
      </c>
      <c r="AK666" s="3080">
        <f t="shared" ca="1" si="975"/>
        <v>0</v>
      </c>
      <c r="AL666" s="3080">
        <f t="shared" ca="1" si="975"/>
        <v>0</v>
      </c>
      <c r="AM666" s="3080">
        <f t="shared" ca="1" si="975"/>
        <v>0</v>
      </c>
      <c r="AN666" s="3080">
        <f t="shared" ca="1" si="975"/>
        <v>0.245</v>
      </c>
      <c r="AO666" s="2882"/>
      <c r="AP666" s="3080"/>
      <c r="AQ666" s="3080"/>
      <c r="AR666" s="3080"/>
      <c r="AS666" s="3080"/>
      <c r="AT666" s="2882"/>
      <c r="AU666" s="11"/>
      <c r="AV666" s="245"/>
      <c r="AW666" s="89"/>
      <c r="AX666" s="89"/>
      <c r="AY666" s="89"/>
      <c r="AZ666" s="89"/>
      <c r="BA666" s="89"/>
      <c r="BB666" s="89"/>
      <c r="BC666" s="89"/>
      <c r="BD666" s="89"/>
      <c r="BE666" s="89"/>
      <c r="BF666" s="249">
        <f>BF656-BF665</f>
        <v>0.18240000000005807</v>
      </c>
      <c r="BG666" s="249">
        <f>BG656-BG665</f>
        <v>-101.84579171941667</v>
      </c>
      <c r="BH666" s="249">
        <f>BH656-BH665</f>
        <v>4.8364632091368946</v>
      </c>
      <c r="BI666" s="244">
        <f>+BI667*BI664</f>
        <v>-44.36590804215426</v>
      </c>
      <c r="BJ666" s="244"/>
      <c r="BK666" s="244">
        <f>+BK667*BK664</f>
        <v>7.7750000000000075</v>
      </c>
      <c r="BL666" s="244">
        <f>+BL667*BL664</f>
        <v>7.7750000000000075</v>
      </c>
      <c r="BM666" s="244">
        <f>+BM667*BM664</f>
        <v>7.7750000000000075</v>
      </c>
      <c r="BN666" s="244">
        <f>+BN667*BN664</f>
        <v>-41.224999999999994</v>
      </c>
      <c r="BO666" s="13"/>
      <c r="BP666" s="244">
        <f>+BP667*BP664</f>
        <v>7.0237380607948117</v>
      </c>
      <c r="BQ666" s="244">
        <f>+BQ667*BQ664</f>
        <v>7.0237380607948117</v>
      </c>
      <c r="BR666" s="244">
        <f>+BR667*BR664</f>
        <v>7.0237380607948117</v>
      </c>
      <c r="BS666" s="244">
        <f>+BS667*BS664</f>
        <v>3572.2059041307757</v>
      </c>
      <c r="BT666" s="13"/>
      <c r="BU666" s="249">
        <f>BU656-BU665</f>
        <v>15.873050071862739</v>
      </c>
      <c r="BV666" s="249">
        <f>BV656-BV665</f>
        <v>26.408399928174347</v>
      </c>
      <c r="BW666" s="249">
        <f>BW656-BW665</f>
        <v>-31.647774947442187</v>
      </c>
      <c r="BX666" s="244">
        <f>+BX667*BX664</f>
        <v>12.58</v>
      </c>
      <c r="BY666" s="13"/>
      <c r="BZ666" s="13"/>
      <c r="CA666" s="13"/>
      <c r="CB666" s="13"/>
      <c r="CC666" s="13"/>
      <c r="CD666" s="13"/>
      <c r="CE666" s="13"/>
      <c r="CF666" s="13"/>
      <c r="CG666" s="13"/>
      <c r="CH666" s="13"/>
      <c r="CI666" s="13"/>
      <c r="CJ666" s="13"/>
      <c r="CK666" s="13"/>
      <c r="CL666" s="13"/>
      <c r="CM666" s="13"/>
      <c r="CN666" s="13"/>
      <c r="CO666" s="14"/>
      <c r="CP666" s="14"/>
      <c r="CQ666" s="14"/>
      <c r="CR666" s="14"/>
      <c r="CS666" s="14"/>
      <c r="CT666" s="1328"/>
      <c r="CU666" s="1328"/>
      <c r="CV666" s="1328"/>
      <c r="CW666" s="14"/>
      <c r="CX666" s="14"/>
      <c r="CY666" s="1328"/>
      <c r="CZ666" s="1328"/>
      <c r="DA666" s="1328"/>
      <c r="DB666" s="14"/>
      <c r="DC666" s="2806"/>
      <c r="DD666" s="14"/>
      <c r="DE666" s="14"/>
      <c r="DF666" s="14"/>
      <c r="DG666" s="14"/>
      <c r="DH666" s="14"/>
      <c r="DI666" s="14"/>
      <c r="DJ666" s="14"/>
      <c r="DK666" s="14"/>
      <c r="DL666" s="14"/>
      <c r="DM666" s="14"/>
      <c r="DN666" s="14"/>
      <c r="DO666" s="14"/>
      <c r="DP666" s="14"/>
      <c r="DQ666" s="14"/>
      <c r="DR666" s="14"/>
    </row>
    <row r="667" spans="1:128">
      <c r="A667" s="246" t="s">
        <v>973</v>
      </c>
      <c r="B667" s="248"/>
      <c r="C667" s="248"/>
      <c r="D667" s="248"/>
      <c r="E667" s="248"/>
      <c r="F667" s="248"/>
      <c r="G667" s="248"/>
      <c r="H667" s="248">
        <f t="shared" ref="H667:N667" si="976">+H666/H664</f>
        <v>-60.084337349396641</v>
      </c>
      <c r="I667" s="248">
        <f t="shared" si="976"/>
        <v>-75.197590361446316</v>
      </c>
      <c r="J667" s="249">
        <f t="shared" si="976"/>
        <v>17305.056790123454</v>
      </c>
      <c r="K667" s="249">
        <f t="shared" si="976"/>
        <v>9542.1020100502501</v>
      </c>
      <c r="L667" s="249">
        <f t="shared" si="976"/>
        <v>-374.67808392315436</v>
      </c>
      <c r="M667" s="249">
        <f t="shared" si="976"/>
        <v>-45.558208243983735</v>
      </c>
      <c r="N667" s="249">
        <f t="shared" si="976"/>
        <v>10123.633333333335</v>
      </c>
      <c r="O667" s="919"/>
      <c r="P667" s="248"/>
      <c r="Q667" s="248"/>
      <c r="R667" s="1996">
        <f t="shared" ref="R667:W667" si="977">+R666/R664</f>
        <v>44.466666666666391</v>
      </c>
      <c r="S667" s="1996">
        <f t="shared" si="977"/>
        <v>-3.8684210526316507</v>
      </c>
      <c r="T667" s="1996">
        <f t="shared" si="977"/>
        <v>-243.43298969072222</v>
      </c>
      <c r="U667" s="1996">
        <f t="shared" si="977"/>
        <v>-47.895489548954572</v>
      </c>
      <c r="V667" s="1996">
        <f t="shared" si="977"/>
        <v>-156.89748549323016</v>
      </c>
      <c r="W667" s="1996">
        <f t="shared" si="977"/>
        <v>-226.31727379553467</v>
      </c>
      <c r="X667" s="1996"/>
      <c r="Y667" s="3056"/>
      <c r="Z667" s="3056">
        <f>+Z666/Z664</f>
        <v>-466.64220183486236</v>
      </c>
      <c r="AA667" s="3056">
        <f ca="1">+AA666/AA664</f>
        <v>-560.82240762812876</v>
      </c>
      <c r="AB667" s="3056"/>
      <c r="AC667" s="3056">
        <f ca="1">+AC666/AC664</f>
        <v>-676.41983198794617</v>
      </c>
      <c r="AD667" s="3056">
        <f ca="1">+AD669+AD668</f>
        <v>0</v>
      </c>
      <c r="AE667" s="3056">
        <f ca="1">+AE669+AE668</f>
        <v>0</v>
      </c>
      <c r="AF667" s="3056">
        <f t="shared" ref="AF667:AH667" ca="1" si="978">+AF669+AF668</f>
        <v>0</v>
      </c>
      <c r="AG667" s="3056">
        <f t="shared" ca="1" si="978"/>
        <v>0</v>
      </c>
      <c r="AH667" s="3056">
        <f t="shared" ca="1" si="978"/>
        <v>0</v>
      </c>
      <c r="AI667" s="3056">
        <f t="shared" ref="AI667:AN667" ca="1" si="979">+AI669+AI668</f>
        <v>0</v>
      </c>
      <c r="AJ667" s="3056">
        <f t="shared" ca="1" si="979"/>
        <v>0</v>
      </c>
      <c r="AK667" s="3056">
        <f t="shared" ca="1" si="979"/>
        <v>0</v>
      </c>
      <c r="AL667" s="3056">
        <f t="shared" ca="1" si="979"/>
        <v>0</v>
      </c>
      <c r="AM667" s="3056">
        <f t="shared" ca="1" si="979"/>
        <v>0</v>
      </c>
      <c r="AN667" s="3056">
        <f t="shared" ca="1" si="979"/>
        <v>1</v>
      </c>
      <c r="AO667" s="2882"/>
      <c r="AP667" s="3056"/>
      <c r="AQ667" s="3056"/>
      <c r="AR667" s="3056"/>
      <c r="AS667" s="3056"/>
      <c r="AT667" s="2882"/>
      <c r="AU667" s="11"/>
      <c r="AV667" s="6"/>
      <c r="AW667" s="89"/>
      <c r="AX667" s="89"/>
      <c r="AY667" s="89"/>
      <c r="AZ667" s="89"/>
      <c r="BA667" s="89"/>
      <c r="BB667" s="89"/>
      <c r="BC667" s="89"/>
      <c r="BD667" s="89"/>
      <c r="BE667" s="89"/>
      <c r="BF667" s="249">
        <f>BF666/BF664</f>
        <v>0.45829145728657811</v>
      </c>
      <c r="BG667" s="249">
        <f>BG666/BG664</f>
        <v>-274.52795753286136</v>
      </c>
      <c r="BH667" s="249">
        <f>BH666/BH664</f>
        <v>12.30953061710753</v>
      </c>
      <c r="BI667" s="249">
        <f>+BI669+BI668</f>
        <v>-112.9179484646871</v>
      </c>
      <c r="BJ667" s="249"/>
      <c r="BK667" s="248">
        <f>+BK669+BK668</f>
        <v>19.788551346199682</v>
      </c>
      <c r="BL667" s="248">
        <f>+BL669+BL668</f>
        <v>19.788551346199682</v>
      </c>
      <c r="BM667" s="248">
        <f>+BM669+BM668</f>
        <v>19.788551346199682</v>
      </c>
      <c r="BN667" s="248">
        <f>+BN669+BN668</f>
        <v>-104.92386228258277</v>
      </c>
      <c r="BO667" s="13"/>
      <c r="BP667" s="248">
        <f>+BP669+BP668</f>
        <v>19.788551346199682</v>
      </c>
      <c r="BQ667" s="248">
        <f>+BQ669+BQ668</f>
        <v>19.788551346199682</v>
      </c>
      <c r="BR667" s="248">
        <f>+BR669+BR668</f>
        <v>19.788551346199682</v>
      </c>
      <c r="BS667" s="248">
        <f>+BS669+BS668</f>
        <v>10064.267679294737</v>
      </c>
      <c r="BT667" s="13"/>
      <c r="BU667" s="248">
        <f>+BU666/BU664</f>
        <v>42.328133524967306</v>
      </c>
      <c r="BV667" s="248">
        <f>+BV666/BV664</f>
        <v>70.422399808464931</v>
      </c>
      <c r="BW667" s="248">
        <f>+BW666/BW664</f>
        <v>-84.394066526512503</v>
      </c>
      <c r="BX667" s="248">
        <f>+BX669+BX668</f>
        <v>34</v>
      </c>
      <c r="BY667" s="13"/>
      <c r="BZ667" s="13"/>
      <c r="CA667" s="13"/>
      <c r="CB667" s="13"/>
      <c r="CC667" s="13"/>
      <c r="CD667" s="13"/>
      <c r="CE667" s="13"/>
      <c r="CF667" s="13"/>
      <c r="CG667" s="13"/>
      <c r="CH667" s="13"/>
      <c r="CI667" s="13"/>
      <c r="CJ667" s="13"/>
      <c r="CK667" s="13"/>
      <c r="CL667" s="13"/>
      <c r="CM667" s="13"/>
      <c r="CN667" s="13"/>
      <c r="CO667" s="14"/>
      <c r="CP667" s="14"/>
      <c r="CQ667" s="14"/>
      <c r="CR667" s="14"/>
      <c r="CS667" s="14"/>
      <c r="CT667" s="1328"/>
      <c r="CU667" s="1328"/>
      <c r="CV667" s="1328"/>
      <c r="CW667" s="14"/>
      <c r="CX667" s="14"/>
      <c r="CY667" s="1328"/>
      <c r="CZ667" s="1328"/>
      <c r="DA667" s="1328"/>
      <c r="DB667" s="14"/>
      <c r="DC667" s="2806"/>
      <c r="DD667" s="14"/>
      <c r="DE667" s="14"/>
      <c r="DF667" s="14"/>
      <c r="DG667" s="14"/>
      <c r="DH667" s="14"/>
      <c r="DI667" s="14"/>
      <c r="DJ667" s="14"/>
      <c r="DK667" s="14"/>
      <c r="DL667" s="14"/>
      <c r="DM667" s="14"/>
      <c r="DN667" s="14"/>
      <c r="DO667" s="14"/>
      <c r="DP667" s="14"/>
      <c r="DQ667" s="14"/>
      <c r="DR667" s="14"/>
    </row>
    <row r="668" spans="1:128">
      <c r="A668" s="250" t="s">
        <v>974</v>
      </c>
      <c r="B668" s="76"/>
      <c r="C668" s="76"/>
      <c r="D668" s="76"/>
      <c r="E668" s="76"/>
      <c r="F668" s="76"/>
      <c r="G668" s="76"/>
      <c r="H668" s="76">
        <v>0</v>
      </c>
      <c r="I668" s="76">
        <v>0</v>
      </c>
      <c r="J668" s="77">
        <f>(7066.3-128.4+26.8)/J664</f>
        <v>17196.790123456791</v>
      </c>
      <c r="K668" s="77">
        <f>(3298.6)/K664</f>
        <v>8287.9396984924624</v>
      </c>
      <c r="L668" s="76">
        <f>(-129.4-3.9)/L664</f>
        <v>-359.31358695652176</v>
      </c>
      <c r="M668" s="77">
        <f>+(-41-8)/M664</f>
        <v>-124.71241362878246</v>
      </c>
      <c r="N668" s="77">
        <v>0</v>
      </c>
      <c r="O668" s="919"/>
      <c r="P668" s="76"/>
      <c r="Q668" s="76"/>
      <c r="R668" s="76">
        <v>0</v>
      </c>
      <c r="S668" s="76">
        <v>0</v>
      </c>
      <c r="T668" s="1437">
        <v>0</v>
      </c>
      <c r="U668" s="1437">
        <f>+(-3-27)/U664</f>
        <v>-84.521452145214511</v>
      </c>
      <c r="V668" s="1437">
        <f>+(-17-47)/V664</f>
        <v>-179.31141199226306</v>
      </c>
      <c r="W668" s="1437">
        <f>+(-7+8)/W664</f>
        <v>2.5428907168037602</v>
      </c>
      <c r="X668" s="1437"/>
      <c r="Y668" s="2878"/>
      <c r="Z668" s="2878">
        <f>+(-9-25)/Z664</f>
        <v>-90.146788990825684</v>
      </c>
      <c r="AA668" s="2878">
        <f ca="1">+(-57+47)/AA664</f>
        <v>-26.579261025029798</v>
      </c>
      <c r="AB668" s="1437"/>
      <c r="AC668" s="2878">
        <v>0</v>
      </c>
      <c r="AD668" s="2878">
        <v>0</v>
      </c>
      <c r="AE668" s="2878">
        <v>0</v>
      </c>
      <c r="AF668" s="2878">
        <v>0</v>
      </c>
      <c r="AG668" s="2878">
        <v>0</v>
      </c>
      <c r="AH668" s="2878">
        <v>0</v>
      </c>
      <c r="AI668" s="2878">
        <v>0</v>
      </c>
      <c r="AJ668" s="2878">
        <v>0</v>
      </c>
      <c r="AK668" s="2878">
        <v>0</v>
      </c>
      <c r="AL668" s="2878">
        <v>0</v>
      </c>
      <c r="AM668" s="2878">
        <v>0</v>
      </c>
      <c r="AN668" s="2878">
        <v>1</v>
      </c>
      <c r="AO668" s="2882"/>
      <c r="AP668" s="2878"/>
      <c r="AQ668" s="2878"/>
      <c r="AR668" s="2878"/>
      <c r="AS668" s="2878"/>
      <c r="AT668" s="2882"/>
      <c r="AU668" s="11"/>
      <c r="AV668" s="6"/>
      <c r="AW668" s="89"/>
      <c r="AX668" s="89"/>
      <c r="AY668" s="89"/>
      <c r="AZ668" s="89"/>
      <c r="BA668" s="89"/>
      <c r="BB668" s="89"/>
      <c r="BC668" s="89"/>
      <c r="BD668" s="89"/>
      <c r="BE668" s="89"/>
      <c r="BF668" s="77">
        <v>0</v>
      </c>
      <c r="BG668" s="77">
        <f>L668</f>
        <v>-359.31358695652176</v>
      </c>
      <c r="BH668" s="77">
        <f>M668</f>
        <v>-124.71241362878246</v>
      </c>
      <c r="BI668" s="76">
        <f>SUM(L668-BH668-BG668-BF668)</f>
        <v>124.71241362878246</v>
      </c>
      <c r="BJ668" s="76"/>
      <c r="BK668" s="76">
        <v>0</v>
      </c>
      <c r="BL668" s="76">
        <v>0</v>
      </c>
      <c r="BM668" s="76">
        <v>0</v>
      </c>
      <c r="BN668" s="13">
        <f>M668-SUM(BK668:BM668)</f>
        <v>-124.71241362878246</v>
      </c>
      <c r="BO668" s="13"/>
      <c r="BP668" s="76">
        <v>0</v>
      </c>
      <c r="BQ668" s="76">
        <v>0</v>
      </c>
      <c r="BR668" s="76">
        <v>0</v>
      </c>
      <c r="BS668" s="111">
        <f>N668-SUM(BP668:BR668)</f>
        <v>0</v>
      </c>
      <c r="BT668" s="13" t="s">
        <v>337</v>
      </c>
      <c r="BU668" s="76">
        <f>+BU669-BU667</f>
        <v>-42.328133524967306</v>
      </c>
      <c r="BV668" s="76">
        <f>+BV669-BV667</f>
        <v>-60.422399808464931</v>
      </c>
      <c r="BW668" s="76">
        <f>+BW669-BW667</f>
        <v>119.3940665265125</v>
      </c>
      <c r="BX668" s="76">
        <v>0</v>
      </c>
      <c r="BY668" s="13"/>
      <c r="BZ668" s="13"/>
      <c r="CA668" s="13"/>
      <c r="CB668" s="13"/>
      <c r="CC668" s="13"/>
      <c r="CD668" s="13"/>
      <c r="CE668" s="13"/>
      <c r="CF668" s="13"/>
      <c r="CG668" s="13"/>
      <c r="CH668" s="13"/>
      <c r="CI668" s="13"/>
      <c r="CJ668" s="13"/>
      <c r="CK668" s="13"/>
      <c r="CL668" s="13"/>
      <c r="CM668" s="13"/>
      <c r="CN668" s="13"/>
      <c r="CO668" s="14"/>
      <c r="CP668" s="14"/>
      <c r="CQ668" s="14"/>
      <c r="CR668" s="14"/>
      <c r="CS668" s="14"/>
      <c r="CT668" s="1328"/>
      <c r="CU668" s="1328"/>
      <c r="CV668" s="1328"/>
      <c r="CW668" s="14"/>
      <c r="CX668" s="14"/>
      <c r="CY668" s="1328"/>
      <c r="CZ668" s="1328"/>
      <c r="DA668" s="1328"/>
      <c r="DB668" s="14"/>
      <c r="DC668" s="2806"/>
      <c r="DD668" s="14"/>
      <c r="DE668" s="14"/>
      <c r="DF668" s="14"/>
      <c r="DG668" s="14"/>
      <c r="DH668" s="14"/>
      <c r="DI668" s="14"/>
      <c r="DJ668" s="14"/>
      <c r="DK668" s="14"/>
      <c r="DL668" s="14"/>
      <c r="DM668" s="14"/>
      <c r="DN668" s="14"/>
      <c r="DO668" s="14"/>
      <c r="DP668" s="14"/>
      <c r="DQ668" s="14"/>
      <c r="DR668" s="14"/>
    </row>
    <row r="669" spans="1:128">
      <c r="A669" s="250" t="s">
        <v>1837</v>
      </c>
      <c r="B669" s="76"/>
      <c r="C669" s="76"/>
      <c r="D669" s="76"/>
      <c r="E669" s="76"/>
      <c r="F669" s="76"/>
      <c r="G669" s="76"/>
      <c r="H669" s="76">
        <f>+H667</f>
        <v>-60.084337349396641</v>
      </c>
      <c r="I669" s="76">
        <f t="shared" ref="I669:N669" si="980">+I667-I668</f>
        <v>-75.197590361446316</v>
      </c>
      <c r="J669" s="77">
        <f t="shared" si="980"/>
        <v>108.26666666666279</v>
      </c>
      <c r="K669" s="77">
        <f t="shared" si="980"/>
        <v>1254.1623115577877</v>
      </c>
      <c r="L669" s="77">
        <f>+L667-L668</f>
        <v>-15.364496966632601</v>
      </c>
      <c r="M669" s="77">
        <f t="shared" si="980"/>
        <v>79.154205384798729</v>
      </c>
      <c r="N669" s="77">
        <f t="shared" si="980"/>
        <v>10123.633333333335</v>
      </c>
      <c r="O669" s="919"/>
      <c r="P669" s="76"/>
      <c r="Q669" s="76"/>
      <c r="R669" s="13">
        <f>+SUM(BU669:BX669)</f>
        <v>79</v>
      </c>
      <c r="S669" s="76">
        <v>100</v>
      </c>
      <c r="T669" s="1437">
        <v>0</v>
      </c>
      <c r="U669" s="1997">
        <v>-262.03092783505156</v>
      </c>
      <c r="V669" s="1997">
        <v>-376.3814432989692</v>
      </c>
      <c r="W669" s="1997">
        <f>W667-W668</f>
        <v>-228.86016451233843</v>
      </c>
      <c r="X669" s="1437"/>
      <c r="Y669" s="2878"/>
      <c r="Z669" s="3057">
        <f>Z667-Z668</f>
        <v>-376.49541284403665</v>
      </c>
      <c r="AA669" s="3057">
        <f ca="1">AA667-AA668</f>
        <v>-534.24314660309892</v>
      </c>
      <c r="AB669" s="1997"/>
      <c r="AC669" s="3057">
        <f ca="1">AC667-AC668</f>
        <v>-676.41983198794617</v>
      </c>
      <c r="AD669" s="2878">
        <f ca="1">IF((-AD27-AD28)&lt;AD17*30%, 0, (-AD27-AD28)-AD17*30%)</f>
        <v>0</v>
      </c>
      <c r="AE669" s="2878">
        <f t="shared" ref="AE669:AS669" ca="1" si="981">IF((-AE27-AE28)&lt;AE17*30%, 0, (-AE27-AE28)-AE17*30%)</f>
        <v>0</v>
      </c>
      <c r="AF669" s="2878">
        <f t="shared" ca="1" si="981"/>
        <v>0</v>
      </c>
      <c r="AG669" s="2878">
        <f ca="1">IF((-AG27-AG28)&lt;AG17*30%, 0, (-AG27-AG28)-AG17*30%)</f>
        <v>0</v>
      </c>
      <c r="AH669" s="2878">
        <f t="shared" ca="1" si="981"/>
        <v>0</v>
      </c>
      <c r="AI669" s="2878">
        <f t="shared" ca="1" si="981"/>
        <v>0</v>
      </c>
      <c r="AJ669" s="2878">
        <f t="shared" ca="1" si="981"/>
        <v>0</v>
      </c>
      <c r="AK669" s="2878">
        <f t="shared" ca="1" si="981"/>
        <v>0</v>
      </c>
      <c r="AL669" s="2878">
        <f t="shared" ca="1" si="981"/>
        <v>0</v>
      </c>
      <c r="AM669" s="2878">
        <f t="shared" ca="1" si="981"/>
        <v>0</v>
      </c>
      <c r="AN669" s="2878">
        <f t="shared" ca="1" si="981"/>
        <v>0</v>
      </c>
      <c r="AO669" s="2878">
        <f t="shared" si="981"/>
        <v>0</v>
      </c>
      <c r="AP669" s="2878">
        <f t="shared" si="981"/>
        <v>0</v>
      </c>
      <c r="AQ669" s="2878">
        <f t="shared" si="981"/>
        <v>0</v>
      </c>
      <c r="AR669" s="2878">
        <f t="shared" si="981"/>
        <v>0</v>
      </c>
      <c r="AS669" s="2878">
        <f t="shared" si="981"/>
        <v>0</v>
      </c>
      <c r="AT669" s="2882"/>
      <c r="AU669" s="11"/>
      <c r="AV669" s="123"/>
      <c r="AW669" s="89"/>
      <c r="AX669" s="89"/>
      <c r="AY669" s="89"/>
      <c r="AZ669" s="89"/>
      <c r="BA669" s="89"/>
      <c r="BB669" s="89"/>
      <c r="BC669" s="89"/>
      <c r="BD669" s="89"/>
      <c r="BE669" s="89"/>
      <c r="BF669" s="251">
        <f>BF667-BF668</f>
        <v>0.45829145728657811</v>
      </c>
      <c r="BG669" s="251">
        <f>BG667-BG668</f>
        <v>84.785629423660396</v>
      </c>
      <c r="BH669" s="251">
        <f>BH667-BH668</f>
        <v>137.02194424588998</v>
      </c>
      <c r="BI669" s="252">
        <f>L669-BH669-BG669-BF669</f>
        <v>-237.63036209346956</v>
      </c>
      <c r="BJ669" s="252"/>
      <c r="BK669" s="252">
        <f>$M669/4</f>
        <v>19.788551346199682</v>
      </c>
      <c r="BL669" s="252">
        <f>BK669</f>
        <v>19.788551346199682</v>
      </c>
      <c r="BM669" s="252">
        <f>BL669</f>
        <v>19.788551346199682</v>
      </c>
      <c r="BN669" s="13">
        <f>M669-SUM(BK669:BM669)</f>
        <v>19.788551346199682</v>
      </c>
      <c r="BO669" s="13"/>
      <c r="BP669" s="252">
        <f>$M669/4</f>
        <v>19.788551346199682</v>
      </c>
      <c r="BQ669" s="252">
        <f>BP669</f>
        <v>19.788551346199682</v>
      </c>
      <c r="BR669" s="252">
        <f>BQ669</f>
        <v>19.788551346199682</v>
      </c>
      <c r="BS669" s="111">
        <f>N669-SUM(BP669:BR669)</f>
        <v>10064.267679294737</v>
      </c>
      <c r="BT669" s="13"/>
      <c r="BU669" s="13">
        <v>0</v>
      </c>
      <c r="BV669" s="13">
        <v>10</v>
      </c>
      <c r="BW669" s="13">
        <v>35</v>
      </c>
      <c r="BX669" s="13">
        <v>34</v>
      </c>
      <c r="BY669" s="13"/>
      <c r="BZ669" s="13"/>
      <c r="CA669" s="13"/>
      <c r="CB669" s="13"/>
      <c r="CC669" s="13"/>
      <c r="CD669" s="13"/>
      <c r="CE669" s="13"/>
      <c r="CF669" s="13"/>
      <c r="CG669" s="13"/>
      <c r="CH669" s="13"/>
      <c r="CI669" s="13"/>
      <c r="CJ669" s="13"/>
      <c r="CK669" s="13"/>
      <c r="CL669" s="13"/>
      <c r="CM669" s="13"/>
      <c r="CN669" s="13"/>
      <c r="CO669" s="14"/>
      <c r="CP669" s="14"/>
      <c r="CQ669" s="14"/>
      <c r="CR669" s="14"/>
      <c r="CS669" s="14"/>
      <c r="CT669" s="1328"/>
      <c r="CU669" s="1328"/>
      <c r="CV669" s="1328"/>
      <c r="CW669" s="14"/>
      <c r="CX669" s="14"/>
      <c r="CY669" s="1328"/>
      <c r="CZ669" s="1328"/>
      <c r="DA669" s="1328"/>
      <c r="DB669" s="14"/>
      <c r="DC669" s="2806"/>
      <c r="DD669" s="14"/>
      <c r="DE669" s="14"/>
      <c r="DF669" s="14"/>
      <c r="DG669" s="14"/>
      <c r="DH669" s="14"/>
      <c r="DI669" s="14"/>
      <c r="DJ669" s="14"/>
      <c r="DK669" s="14"/>
      <c r="DL669" s="14"/>
      <c r="DM669" s="14"/>
      <c r="DN669" s="14"/>
      <c r="DO669" s="14"/>
      <c r="DP669" s="14"/>
      <c r="DQ669" s="14"/>
      <c r="DR669" s="14"/>
    </row>
    <row r="670" spans="1:128">
      <c r="A670" s="253" t="s">
        <v>798</v>
      </c>
      <c r="B670" s="38"/>
      <c r="C670" s="38"/>
      <c r="D670" s="38"/>
      <c r="E670" s="38"/>
      <c r="F670" s="38"/>
      <c r="G670" s="38"/>
      <c r="H670" s="38">
        <f t="shared" ref="H670:N670" si="982">H656/H663</f>
        <v>0.40136686714051412</v>
      </c>
      <c r="I670" s="38">
        <f t="shared" si="982"/>
        <v>0.39790776645853859</v>
      </c>
      <c r="J670" s="39">
        <f t="shared" si="982"/>
        <v>-3.8534072498987444E-2</v>
      </c>
      <c r="K670" s="39">
        <f t="shared" si="982"/>
        <v>-0.10757884367054064</v>
      </c>
      <c r="L670" s="38">
        <f t="shared" si="982"/>
        <v>0.30580953720635817</v>
      </c>
      <c r="M670" s="38">
        <f t="shared" si="982"/>
        <v>0.38452536978093999</v>
      </c>
      <c r="N670" s="39">
        <f t="shared" si="982"/>
        <v>7.3104786443050115E-2</v>
      </c>
      <c r="O670" s="919"/>
      <c r="P670" s="38"/>
      <c r="Q670" s="38"/>
      <c r="R670" s="38">
        <f t="shared" ref="R670:AH670" si="983">R656/R663</f>
        <v>0.41264108352144441</v>
      </c>
      <c r="S670" s="38">
        <f t="shared" si="983"/>
        <v>0.37879656160458447</v>
      </c>
      <c r="T670" s="1110">
        <f>T656/T663</f>
        <v>0.34465351078476358</v>
      </c>
      <c r="U670" s="1110">
        <f>U656/U663</f>
        <v>0.34830144474814534</v>
      </c>
      <c r="V670" s="1110">
        <f>V656/V663</f>
        <v>0.33759061097687265</v>
      </c>
      <c r="W670" s="1110">
        <f>W656/W663</f>
        <v>0.35212569316081332</v>
      </c>
      <c r="X670" s="1110"/>
      <c r="Y670" s="2802"/>
      <c r="Z670" s="2802">
        <f>Z656/Z663</f>
        <v>0.2901631240731587</v>
      </c>
      <c r="AA670" s="2802">
        <f ca="1">(AA656)/AA663</f>
        <v>0.28161434977578476</v>
      </c>
      <c r="AB670" s="1110"/>
      <c r="AC670" s="2802">
        <f ca="1">AC656/AC663</f>
        <v>0.266665888882193</v>
      </c>
      <c r="AD670" s="2802">
        <f ca="1">AD656/AD663</f>
        <v>0.245</v>
      </c>
      <c r="AE670" s="2802">
        <f t="shared" ca="1" si="983"/>
        <v>0.245</v>
      </c>
      <c r="AF670" s="2802">
        <f t="shared" ca="1" si="983"/>
        <v>0.245</v>
      </c>
      <c r="AG670" s="2802">
        <f t="shared" ca="1" si="983"/>
        <v>0.245</v>
      </c>
      <c r="AH670" s="2802">
        <f t="shared" ca="1" si="983"/>
        <v>0.24499999999999997</v>
      </c>
      <c r="AI670" s="2802">
        <f t="shared" ref="AI670:AN670" ca="1" si="984">AI656/AI663</f>
        <v>0.245</v>
      </c>
      <c r="AJ670" s="2802">
        <f t="shared" ca="1" si="984"/>
        <v>0.24499999999999997</v>
      </c>
      <c r="AK670" s="2802">
        <f t="shared" ca="1" si="984"/>
        <v>0.245</v>
      </c>
      <c r="AL670" s="2802">
        <f t="shared" ca="1" si="984"/>
        <v>0.245</v>
      </c>
      <c r="AM670" s="2802">
        <f t="shared" ca="1" si="984"/>
        <v>0.245</v>
      </c>
      <c r="AN670" s="2802">
        <f t="shared" ca="1" si="984"/>
        <v>0.24506725515272029</v>
      </c>
      <c r="AO670" s="2882"/>
      <c r="AP670" s="2802"/>
      <c r="AQ670" s="2802"/>
      <c r="AR670" s="2802"/>
      <c r="AS670" s="2802"/>
      <c r="AT670" s="2882"/>
      <c r="AU670" s="11"/>
      <c r="AV670" s="123"/>
      <c r="AW670" s="89"/>
      <c r="AX670" s="89"/>
      <c r="AY670" s="89"/>
      <c r="AZ670" s="89"/>
      <c r="BA670" s="89"/>
      <c r="BB670" s="89"/>
      <c r="BC670" s="89"/>
      <c r="BD670" s="89"/>
      <c r="BE670" s="89"/>
      <c r="BF670" s="39">
        <f>BF656/BF663</f>
        <v>0.39847848898216176</v>
      </c>
      <c r="BG670" s="39">
        <f>BG656/BG663</f>
        <v>0.19912251096861291</v>
      </c>
      <c r="BH670" s="39">
        <f>BH656/BH663</f>
        <v>0.40223895000965071</v>
      </c>
      <c r="BI670" s="38">
        <f>BI656/BI663</f>
        <v>0.27137952559300882</v>
      </c>
      <c r="BJ670" s="38"/>
      <c r="BK670" s="38">
        <f>BK656/BK663</f>
        <v>0.41145339587703056</v>
      </c>
      <c r="BL670" s="38">
        <f>BL656/BL663</f>
        <v>0.40511247691163671</v>
      </c>
      <c r="BM670" s="38">
        <f>BM656/BM663</f>
        <v>0.40780001341232247</v>
      </c>
      <c r="BN670" s="38">
        <f>BN656/BN663</f>
        <v>0.32632947751378977</v>
      </c>
      <c r="BO670" s="6"/>
      <c r="BP670" s="38">
        <f>BP656/BP663</f>
        <v>0.37175558162581551</v>
      </c>
      <c r="BQ670" s="38">
        <f>BQ656/BQ663</f>
        <v>0.36580885982948835</v>
      </c>
      <c r="BR670" s="38">
        <f>BR656/BR663</f>
        <v>0.35442993538291584</v>
      </c>
      <c r="BS670" s="38">
        <f>BS656/BS663</f>
        <v>24.57534251871407</v>
      </c>
      <c r="BT670" s="6"/>
      <c r="BU670" s="38">
        <f>BU656/BU663</f>
        <v>-0.46655968308887164</v>
      </c>
      <c r="BV670" s="38">
        <f>BV656/BV663</f>
        <v>0.6997828893773248</v>
      </c>
      <c r="BW670" s="38">
        <f>BW656/BW663</f>
        <v>0.26841578122335491</v>
      </c>
      <c r="BX670" s="38">
        <f>BX656/BX663</f>
        <v>0.52043684058997297</v>
      </c>
      <c r="BY670" s="6"/>
      <c r="BZ670" s="6"/>
      <c r="CA670" s="6"/>
      <c r="CB670" s="6"/>
      <c r="CC670" s="6"/>
      <c r="CD670" s="6"/>
      <c r="CE670" s="6"/>
      <c r="CF670" s="6"/>
      <c r="CG670" s="6"/>
      <c r="CH670" s="6"/>
      <c r="CI670" s="6"/>
      <c r="CJ670" s="6"/>
      <c r="CK670" s="6"/>
      <c r="CL670" s="6"/>
      <c r="CM670" s="6"/>
      <c r="CN670" s="6"/>
      <c r="CO670" s="11"/>
      <c r="CP670" s="11"/>
      <c r="CQ670" s="11"/>
      <c r="CR670" s="11"/>
      <c r="CS670" s="11"/>
      <c r="CT670" s="906"/>
      <c r="CU670" s="906"/>
      <c r="CV670" s="906"/>
      <c r="CW670" s="11"/>
      <c r="CX670" s="11"/>
      <c r="CY670" s="906"/>
      <c r="CZ670" s="906"/>
      <c r="DA670" s="906"/>
      <c r="DB670" s="11"/>
      <c r="DC670" s="2862"/>
      <c r="DD670" s="11"/>
      <c r="DE670" s="11"/>
      <c r="DF670" s="11"/>
      <c r="DG670" s="11"/>
      <c r="DH670" s="11"/>
      <c r="DI670" s="1364">
        <f>DI40</f>
        <v>0.22660098522167488</v>
      </c>
      <c r="DJ670" s="1364">
        <f>DJ40</f>
        <v>0.29238754325259514</v>
      </c>
      <c r="DK670" s="1364">
        <f>DK40</f>
        <v>0.28382838283828382</v>
      </c>
      <c r="DL670" s="3048">
        <v>0.28999999999999998</v>
      </c>
      <c r="DM670" s="11"/>
      <c r="DN670" s="3048">
        <f>21%+3.5%</f>
        <v>0.245</v>
      </c>
      <c r="DO670" s="3048">
        <f t="shared" ref="DO670:DQ670" si="985">21%+3.5%</f>
        <v>0.245</v>
      </c>
      <c r="DP670" s="3048">
        <f t="shared" si="985"/>
        <v>0.245</v>
      </c>
      <c r="DQ670" s="3048">
        <f t="shared" si="985"/>
        <v>0.245</v>
      </c>
      <c r="DR670" s="11"/>
    </row>
    <row r="671" spans="1:128">
      <c r="A671" s="253" t="s">
        <v>975</v>
      </c>
      <c r="B671" s="38"/>
      <c r="C671" s="38"/>
      <c r="D671" s="38"/>
      <c r="E671" s="38"/>
      <c r="F671" s="38"/>
      <c r="G671" s="38"/>
      <c r="H671" s="38">
        <f t="shared" ref="H671:S671" si="986">H656/(H663+H603)</f>
        <v>0.40136686714051412</v>
      </c>
      <c r="I671" s="38">
        <f t="shared" si="986"/>
        <v>0.39790776645853859</v>
      </c>
      <c r="J671" s="39">
        <f t="shared" si="986"/>
        <v>-3.8534072498987444E-2</v>
      </c>
      <c r="K671" s="39">
        <f t="shared" si="986"/>
        <v>-0.10757884367054064</v>
      </c>
      <c r="L671" s="38">
        <f t="shared" si="986"/>
        <v>0.30580953720635817</v>
      </c>
      <c r="M671" s="38">
        <f t="shared" si="986"/>
        <v>0.38452536978093999</v>
      </c>
      <c r="N671" s="39">
        <f t="shared" si="986"/>
        <v>7.3104786443050115E-2</v>
      </c>
      <c r="O671" s="919"/>
      <c r="P671" s="38"/>
      <c r="Q671" s="38"/>
      <c r="R671" s="38">
        <f t="shared" si="986"/>
        <v>0.41264108352144441</v>
      </c>
      <c r="S671" s="38">
        <f t="shared" si="986"/>
        <v>0.37879656160458447</v>
      </c>
      <c r="T671" s="1110">
        <f t="shared" ref="T671:AH671" si="987">T656/(T663+T603)</f>
        <v>0.34465351078476358</v>
      </c>
      <c r="U671" s="1110">
        <f>U656/(U663+U603)</f>
        <v>0.34830144474814534</v>
      </c>
      <c r="V671" s="1110">
        <f>V656/(V663+V603)</f>
        <v>0.33759061097687265</v>
      </c>
      <c r="W671" s="1110">
        <f t="shared" si="987"/>
        <v>0.35212569316081332</v>
      </c>
      <c r="X671" s="1110"/>
      <c r="Y671" s="2802"/>
      <c r="Z671" s="2802">
        <f>Z656/(Z663+Z603)</f>
        <v>0.2901631240731587</v>
      </c>
      <c r="AA671" s="2802">
        <f ca="1">(AA656+47)/(AA663+AA603)</f>
        <v>0.30269058295964124</v>
      </c>
      <c r="AB671" s="1110"/>
      <c r="AC671" s="2802">
        <f ca="1">AC656/(AC663+AC603)</f>
        <v>0.266665888882193</v>
      </c>
      <c r="AD671" s="2802">
        <f t="shared" ca="1" si="987"/>
        <v>0.245</v>
      </c>
      <c r="AE671" s="2802">
        <f t="shared" ca="1" si="987"/>
        <v>0.245</v>
      </c>
      <c r="AF671" s="2802">
        <f t="shared" ca="1" si="987"/>
        <v>0.245</v>
      </c>
      <c r="AG671" s="2802">
        <f ca="1">AG656/(AG663+AG603)</f>
        <v>0.245</v>
      </c>
      <c r="AH671" s="2802">
        <f t="shared" ca="1" si="987"/>
        <v>0.24499999999999997</v>
      </c>
      <c r="AI671" s="2802">
        <f t="shared" ref="AI671:AN671" ca="1" si="988">AI656/(AI663+AI603)</f>
        <v>0.245</v>
      </c>
      <c r="AJ671" s="2802">
        <f t="shared" ca="1" si="988"/>
        <v>0.24499999999999997</v>
      </c>
      <c r="AK671" s="2802">
        <f t="shared" ca="1" si="988"/>
        <v>0.245</v>
      </c>
      <c r="AL671" s="2802">
        <f t="shared" ca="1" si="988"/>
        <v>0.245</v>
      </c>
      <c r="AM671" s="2802">
        <f t="shared" ca="1" si="988"/>
        <v>0.245</v>
      </c>
      <c r="AN671" s="2802">
        <f t="shared" ca="1" si="988"/>
        <v>0.24506725515272029</v>
      </c>
      <c r="AO671" s="2882"/>
      <c r="AP671" s="2802"/>
      <c r="AQ671" s="2802"/>
      <c r="AR671" s="2802"/>
      <c r="AS671" s="2802"/>
      <c r="AT671" s="2882"/>
      <c r="AU671" s="11"/>
      <c r="AV671" s="123"/>
      <c r="AW671" s="89"/>
      <c r="AX671" s="89"/>
      <c r="AY671" s="89"/>
      <c r="AZ671" s="89"/>
      <c r="BA671" s="89"/>
      <c r="BB671" s="89"/>
      <c r="BC671" s="89"/>
      <c r="BD671" s="89"/>
      <c r="BE671" s="89"/>
      <c r="BF671" s="39">
        <f>BF656/(BF663+BF603)</f>
        <v>0.39847848898216176</v>
      </c>
      <c r="BG671" s="39">
        <f>BG656/(BG663+BG603)</f>
        <v>0.19912251096861291</v>
      </c>
      <c r="BH671" s="39">
        <f>BH656/(BH663+BH603)</f>
        <v>0.40223895000965071</v>
      </c>
      <c r="BI671" s="38">
        <f>BI656/(BI663+BI603)</f>
        <v>0.27137952559300882</v>
      </c>
      <c r="BJ671" s="38"/>
      <c r="BK671" s="38">
        <f>BK656/(BK663+BK603)</f>
        <v>0.41145339587703056</v>
      </c>
      <c r="BL671" s="38">
        <f>BL656/(BL663+BL603)</f>
        <v>0.40511247691163671</v>
      </c>
      <c r="BM671" s="38">
        <f>BM656/(BM663+BM603)</f>
        <v>0.40780001341232247</v>
      </c>
      <c r="BN671" s="38">
        <f>BN656/(BN663+BN603)</f>
        <v>0.32632947751378977</v>
      </c>
      <c r="BO671" s="6"/>
      <c r="BP671" s="38">
        <f>BP656/(BP663+BP603)</f>
        <v>0.37175558162581551</v>
      </c>
      <c r="BQ671" s="38">
        <f>BQ656/(BQ663+BQ603)</f>
        <v>0.36580885982948835</v>
      </c>
      <c r="BR671" s="38">
        <f>BR656/(BR663+BR603)</f>
        <v>0.35442993538291584</v>
      </c>
      <c r="BS671" s="38">
        <f>BS656/(BS663+BS603)</f>
        <v>24.57534251871407</v>
      </c>
      <c r="BT671" s="6"/>
      <c r="BU671" s="38">
        <f>BU656/(BU663+BU603)</f>
        <v>-0.46655968308887164</v>
      </c>
      <c r="BV671" s="38">
        <f>BV656/(BV663+BV603)</f>
        <v>0.6997828893773248</v>
      </c>
      <c r="BW671" s="38">
        <f>BW656/(BW663+BW603)</f>
        <v>0.26841578122335491</v>
      </c>
      <c r="BX671" s="38">
        <f>BX656/(BX663+BX603)</f>
        <v>0.52043684058997297</v>
      </c>
      <c r="BY671" s="6"/>
      <c r="BZ671" s="6"/>
      <c r="CA671" s="6"/>
      <c r="CB671" s="6"/>
      <c r="CC671" s="6"/>
      <c r="CD671" s="6"/>
      <c r="CE671" s="6"/>
      <c r="CF671" s="6"/>
      <c r="CG671" s="6"/>
      <c r="CH671" s="6"/>
      <c r="CI671" s="6"/>
      <c r="CJ671" s="6"/>
      <c r="CK671" s="6"/>
      <c r="CL671" s="6"/>
      <c r="CM671" s="6"/>
      <c r="CN671" s="6"/>
      <c r="CO671" s="11"/>
      <c r="CP671" s="11"/>
      <c r="CQ671" s="11"/>
      <c r="CR671" s="11"/>
      <c r="CS671" s="11"/>
      <c r="CT671" s="906"/>
      <c r="CU671" s="906"/>
      <c r="CV671" s="906"/>
      <c r="CW671" s="11"/>
      <c r="CX671" s="11"/>
      <c r="CY671" s="906"/>
      <c r="CZ671" s="906"/>
      <c r="DA671" s="906"/>
      <c r="DB671" s="11"/>
      <c r="DC671" s="2862"/>
      <c r="DD671" s="11"/>
      <c r="DE671" s="11"/>
      <c r="DF671" s="11"/>
      <c r="DG671" s="11"/>
      <c r="DH671" s="11"/>
      <c r="DI671" s="11"/>
      <c r="DJ671" s="11"/>
      <c r="DK671" s="11"/>
      <c r="DL671" s="11"/>
      <c r="DM671" s="11"/>
      <c r="DN671" s="11"/>
      <c r="DO671" s="11"/>
      <c r="DP671" s="11"/>
      <c r="DQ671" s="11"/>
      <c r="DR671" s="11"/>
    </row>
    <row r="672" spans="1:128">
      <c r="A672" s="253"/>
      <c r="B672" s="38"/>
      <c r="C672" s="38"/>
      <c r="D672" s="38"/>
      <c r="E672" s="38"/>
      <c r="F672" s="38"/>
      <c r="G672" s="38"/>
      <c r="H672" s="38"/>
      <c r="I672" s="38"/>
      <c r="J672" s="39"/>
      <c r="K672" s="39"/>
      <c r="L672" s="38"/>
      <c r="M672" s="38"/>
      <c r="N672" s="39"/>
      <c r="O672" s="919"/>
      <c r="P672" s="38"/>
      <c r="Q672" s="38"/>
      <c r="R672" s="38"/>
      <c r="S672" s="38"/>
      <c r="T672" s="1110"/>
      <c r="U672" s="1110"/>
      <c r="V672" s="1110"/>
      <c r="W672" s="1110"/>
      <c r="X672" s="1110"/>
      <c r="Y672" s="2802"/>
      <c r="Z672" s="2802"/>
      <c r="AA672" s="2802"/>
      <c r="AB672" s="1110"/>
      <c r="AC672" s="2802"/>
      <c r="AD672" s="2802"/>
      <c r="AE672" s="2802"/>
      <c r="AF672" s="2802"/>
      <c r="AG672" s="2802"/>
      <c r="AH672" s="2802"/>
      <c r="AI672" s="2802"/>
      <c r="AJ672" s="2802"/>
      <c r="AK672" s="2802"/>
      <c r="AL672" s="2802"/>
      <c r="AM672" s="2802"/>
      <c r="AN672" s="2802"/>
      <c r="AO672" s="2882"/>
      <c r="AP672" s="2802"/>
      <c r="AQ672" s="2802"/>
      <c r="AR672" s="2802"/>
      <c r="AS672" s="2802"/>
      <c r="AT672" s="2882"/>
      <c r="AU672" s="11"/>
      <c r="AV672" s="123"/>
      <c r="AW672" s="89"/>
      <c r="AX672" s="89"/>
      <c r="AY672" s="89"/>
      <c r="AZ672" s="89"/>
      <c r="BA672" s="89"/>
      <c r="BB672" s="89"/>
      <c r="BC672" s="89"/>
      <c r="BD672" s="89"/>
      <c r="BE672" s="89"/>
      <c r="BF672" s="39"/>
      <c r="BG672" s="39"/>
      <c r="BH672" s="39"/>
      <c r="BI672" s="38"/>
      <c r="BJ672" s="38"/>
      <c r="BK672" s="38"/>
      <c r="BL672" s="38"/>
      <c r="BM672" s="38"/>
      <c r="BN672" s="38"/>
      <c r="BO672" s="6"/>
      <c r="BP672" s="38"/>
      <c r="BQ672" s="38"/>
      <c r="BR672" s="38"/>
      <c r="BS672" s="38"/>
      <c r="BT672" s="6"/>
      <c r="BU672" s="6"/>
      <c r="BV672" s="6"/>
      <c r="BW672" s="6"/>
      <c r="BX672" s="6"/>
      <c r="BY672" s="6"/>
      <c r="BZ672" s="6"/>
      <c r="CA672" s="6"/>
      <c r="CB672" s="6"/>
      <c r="CC672" s="6"/>
      <c r="CD672" s="6"/>
      <c r="CE672" s="6"/>
      <c r="CF672" s="6"/>
      <c r="CG672" s="6"/>
      <c r="CH672" s="6"/>
      <c r="CI672" s="6"/>
      <c r="CJ672" s="6"/>
      <c r="CK672" s="6"/>
      <c r="CL672" s="6"/>
      <c r="CM672" s="6"/>
      <c r="CN672" s="6"/>
      <c r="CO672" s="11"/>
      <c r="CP672" s="11"/>
      <c r="CQ672" s="11"/>
      <c r="CR672" s="11"/>
      <c r="CS672" s="11"/>
      <c r="CT672" s="906"/>
      <c r="CU672" s="906"/>
      <c r="CV672" s="906"/>
      <c r="CW672" s="11"/>
      <c r="CX672" s="11"/>
      <c r="CY672" s="906"/>
      <c r="CZ672" s="906"/>
      <c r="DA672" s="906"/>
      <c r="DB672" s="11"/>
      <c r="DC672" s="2862"/>
      <c r="DD672" s="11"/>
      <c r="DE672" s="11"/>
      <c r="DF672" s="11"/>
      <c r="DG672" s="11"/>
      <c r="DH672" s="11"/>
      <c r="DI672" s="11"/>
      <c r="DJ672" s="11"/>
      <c r="DK672" s="11"/>
      <c r="DL672" s="11"/>
      <c r="DM672" s="11"/>
      <c r="DN672" s="11"/>
      <c r="DO672" s="11"/>
      <c r="DP672" s="11"/>
      <c r="DQ672" s="11"/>
      <c r="DR672" s="11"/>
    </row>
    <row r="673" spans="1:122">
      <c r="A673" s="6" t="s">
        <v>332</v>
      </c>
      <c r="B673" s="38"/>
      <c r="C673" s="38"/>
      <c r="D673" s="38"/>
      <c r="E673" s="38"/>
      <c r="F673" s="38"/>
      <c r="G673" s="38"/>
      <c r="H673" s="14">
        <f t="shared" ref="H673:N673" si="989">H675-H674</f>
        <v>734.1</v>
      </c>
      <c r="I673" s="14">
        <f t="shared" si="989"/>
        <v>754.04562499999997</v>
      </c>
      <c r="J673" s="14">
        <f t="shared" si="989"/>
        <v>772.030125</v>
      </c>
      <c r="K673" s="14">
        <f t="shared" si="989"/>
        <v>846.25048900000002</v>
      </c>
      <c r="L673" s="14">
        <f t="shared" si="989"/>
        <v>810.49000239133488</v>
      </c>
      <c r="M673" s="14">
        <f t="shared" si="989"/>
        <v>810.02167197154085</v>
      </c>
      <c r="N673" s="14">
        <f t="shared" si="989"/>
        <v>656.46250000000009</v>
      </c>
      <c r="O673" s="919"/>
      <c r="P673" s="14"/>
      <c r="Q673" s="14"/>
      <c r="R673" s="14">
        <f t="shared" ref="R673:AH673" si="990">R675-R674</f>
        <v>231.55</v>
      </c>
      <c r="S673" s="14">
        <f t="shared" si="990"/>
        <v>512.1</v>
      </c>
      <c r="T673" s="1357">
        <f t="shared" si="990"/>
        <v>797.94799999999998</v>
      </c>
      <c r="U673" s="1357">
        <f t="shared" si="990"/>
        <v>929.62358453729007</v>
      </c>
      <c r="V673" s="1357">
        <f t="shared" si="990"/>
        <v>1013.69209527097</v>
      </c>
      <c r="W673" s="1357">
        <f t="shared" si="990"/>
        <v>774.57292641827371</v>
      </c>
      <c r="X673" s="1357"/>
      <c r="Y673" s="1357"/>
      <c r="Z673" s="1357">
        <f t="shared" si="990"/>
        <v>596.05190311418687</v>
      </c>
      <c r="AA673" s="1357">
        <f t="shared" ca="1" si="990"/>
        <v>723.52466367713009</v>
      </c>
      <c r="AB673" s="1357"/>
      <c r="AC673" s="2806">
        <f t="shared" ca="1" si="990"/>
        <v>668.44033875920513</v>
      </c>
      <c r="AD673" s="2806">
        <f t="shared" ca="1" si="990"/>
        <v>650.27509437448032</v>
      </c>
      <c r="AE673" s="2806">
        <f t="shared" ca="1" si="990"/>
        <v>690.69379181409647</v>
      </c>
      <c r="AF673" s="2806">
        <f t="shared" ca="1" si="990"/>
        <v>775.58992467076234</v>
      </c>
      <c r="AG673" s="2806">
        <f t="shared" ca="1" si="990"/>
        <v>804.70105973746502</v>
      </c>
      <c r="AH673" s="2806">
        <f t="shared" ca="1" si="990"/>
        <v>868.47141697549614</v>
      </c>
      <c r="AI673" s="2806">
        <f t="shared" ref="AI673:AN673" ca="1" si="991">AI675-AI674</f>
        <v>829.3797774163238</v>
      </c>
      <c r="AJ673" s="2806">
        <f t="shared" ca="1" si="991"/>
        <v>858.69099546633174</v>
      </c>
      <c r="AK673" s="2806">
        <f t="shared" ca="1" si="991"/>
        <v>862.99246883380238</v>
      </c>
      <c r="AL673" s="2806">
        <f t="shared" ca="1" si="991"/>
        <v>854.38449920965832</v>
      </c>
      <c r="AM673" s="2806">
        <f t="shared" ca="1" si="991"/>
        <v>845.63026428435319</v>
      </c>
      <c r="AN673" s="2806">
        <f t="shared" ca="1" si="991"/>
        <v>895.38677689473525</v>
      </c>
      <c r="AO673" s="2882"/>
      <c r="AP673" s="2806"/>
      <c r="AQ673" s="2806"/>
      <c r="AR673" s="2806"/>
      <c r="AS673" s="2806"/>
      <c r="AT673" s="2882"/>
      <c r="AU673" s="11"/>
      <c r="AV673" s="123"/>
      <c r="AW673" s="89"/>
      <c r="AX673" s="89"/>
      <c r="AY673" s="89"/>
      <c r="AZ673" s="89"/>
      <c r="BA673" s="89"/>
      <c r="BB673" s="89"/>
      <c r="BC673" s="89"/>
      <c r="BD673" s="89"/>
      <c r="BE673" s="89"/>
      <c r="BF673" s="14">
        <f>BF675-BF674</f>
        <v>151.9</v>
      </c>
      <c r="BG673" s="14">
        <f>BG675-BG674</f>
        <v>240.00299999999993</v>
      </c>
      <c r="BH673" s="14">
        <f>BH675-BH674</f>
        <v>212.3</v>
      </c>
      <c r="BI673" s="14">
        <f>BI675-BI674</f>
        <v>173.90000000000009</v>
      </c>
      <c r="BJ673" s="14"/>
      <c r="BK673" s="14">
        <f>BK675-BK674</f>
        <v>167.17309258565811</v>
      </c>
      <c r="BL673" s="14">
        <f>BL675-BL674</f>
        <v>235.22250280846282</v>
      </c>
      <c r="BM673" s="14">
        <f>BM675-BM674</f>
        <v>177.63721915371653</v>
      </c>
      <c r="BN673" s="14">
        <f>BN675-BN674</f>
        <v>249.47500000000002</v>
      </c>
      <c r="BO673" s="13"/>
      <c r="BP673" s="14">
        <f>BP675-BP674</f>
        <v>176.90896601759971</v>
      </c>
      <c r="BQ673" s="14">
        <f>BQ675-BQ674</f>
        <v>193.20687839355926</v>
      </c>
      <c r="BR673" s="14">
        <f>BR675-BR674</f>
        <v>128.61671737502343</v>
      </c>
      <c r="BS673" s="14">
        <f>BS675-BS674</f>
        <v>112.1167173750234</v>
      </c>
      <c r="BT673" s="13"/>
      <c r="BU673" s="14">
        <f>BU675-BU674</f>
        <v>21.569378393559262</v>
      </c>
      <c r="BV673" s="14">
        <f>BV675-BV674</f>
        <v>69.669378393559256</v>
      </c>
      <c r="BW673" s="14">
        <f>BW675-BW674</f>
        <v>92.469378393559268</v>
      </c>
      <c r="BX673" s="14">
        <f>BX675-BX674</f>
        <v>50.169378393559256</v>
      </c>
      <c r="BY673" s="13"/>
      <c r="BZ673" s="13"/>
      <c r="CA673" s="13"/>
      <c r="CB673" s="13"/>
      <c r="CC673" s="13"/>
      <c r="CD673" s="13"/>
      <c r="CE673" s="13"/>
      <c r="CF673" s="13"/>
      <c r="CG673" s="13"/>
      <c r="CH673" s="13"/>
      <c r="CI673" s="13"/>
      <c r="CJ673" s="13"/>
      <c r="CK673" s="13"/>
      <c r="CL673" s="13"/>
      <c r="CM673" s="13"/>
      <c r="CN673" s="13"/>
      <c r="CO673" s="14"/>
      <c r="CP673" s="14"/>
      <c r="CQ673" s="14"/>
      <c r="CR673" s="14"/>
      <c r="CS673" s="14"/>
      <c r="CT673" s="1328"/>
      <c r="CU673" s="1328"/>
      <c r="CV673" s="1328"/>
      <c r="CW673" s="14"/>
      <c r="CX673" s="14"/>
      <c r="CY673" s="1328"/>
      <c r="CZ673" s="1328"/>
      <c r="DA673" s="1328"/>
      <c r="DB673" s="14"/>
      <c r="DC673" s="2806"/>
      <c r="DD673" s="14"/>
      <c r="DE673" s="14"/>
      <c r="DF673" s="14"/>
      <c r="DG673" s="14"/>
      <c r="DH673" s="14"/>
      <c r="DI673" s="14"/>
      <c r="DJ673" s="14"/>
      <c r="DK673" s="14"/>
      <c r="DL673" s="14"/>
      <c r="DM673" s="14"/>
      <c r="DN673" s="14"/>
      <c r="DO673" s="14"/>
      <c r="DP673" s="14"/>
      <c r="DQ673" s="14"/>
      <c r="DR673" s="14"/>
    </row>
    <row r="674" spans="1:122">
      <c r="A674" s="6" t="s">
        <v>333</v>
      </c>
      <c r="B674" s="38"/>
      <c r="C674" s="38"/>
      <c r="D674" s="38"/>
      <c r="E674" s="38"/>
      <c r="F674" s="38"/>
      <c r="G674" s="38"/>
      <c r="H674" s="14">
        <f>H64</f>
        <v>0</v>
      </c>
      <c r="I674" s="14">
        <f t="shared" ref="I674:AA674" si="992">I63+I64</f>
        <v>-27.545624999999962</v>
      </c>
      <c r="J674" s="14">
        <f t="shared" si="992"/>
        <v>-163.13012500000002</v>
      </c>
      <c r="K674" s="14">
        <f t="shared" si="992"/>
        <v>-38.150488999999951</v>
      </c>
      <c r="L674" s="14">
        <f t="shared" si="992"/>
        <v>-158.29000239133487</v>
      </c>
      <c r="M674" s="14">
        <f t="shared" si="992"/>
        <v>11.478328028459089</v>
      </c>
      <c r="N674" s="14">
        <f>N63+N64</f>
        <v>-1575.7624999999998</v>
      </c>
      <c r="O674" s="919"/>
      <c r="P674" s="14"/>
      <c r="Q674" s="14"/>
      <c r="R674" s="14">
        <f t="shared" si="992"/>
        <v>-48.75</v>
      </c>
      <c r="S674" s="14">
        <f t="shared" si="992"/>
        <v>-49.4</v>
      </c>
      <c r="T674" s="1357">
        <f t="shared" si="992"/>
        <v>-46.948</v>
      </c>
      <c r="U674" s="1357">
        <f t="shared" si="992"/>
        <v>-37.623584537290128</v>
      </c>
      <c r="V674" s="1357">
        <f t="shared" si="992"/>
        <v>-35.692095270969972</v>
      </c>
      <c r="W674" s="1357">
        <f t="shared" si="992"/>
        <v>-12.572926418273733</v>
      </c>
      <c r="X674" s="1357"/>
      <c r="Y674" s="1357"/>
      <c r="Z674" s="1357">
        <f t="shared" si="992"/>
        <v>-9.0519031141868513</v>
      </c>
      <c r="AA674" s="1357">
        <f t="shared" ca="1" si="992"/>
        <v>-7.5246636771300448</v>
      </c>
      <c r="AB674" s="1357"/>
      <c r="AC674" s="2806">
        <f t="shared" ref="AC674:AH674" si="993">AC63+AC64</f>
        <v>-7.03</v>
      </c>
      <c r="AD674" s="2806">
        <f t="shared" si="993"/>
        <v>-4.41</v>
      </c>
      <c r="AE674" s="2806">
        <f t="shared" ca="1" si="993"/>
        <v>-4.41</v>
      </c>
      <c r="AF674" s="2806">
        <f t="shared" ca="1" si="993"/>
        <v>-3.6749999999999985</v>
      </c>
      <c r="AG674" s="2806">
        <f t="shared" ca="1" si="993"/>
        <v>-3.1850000000000018</v>
      </c>
      <c r="AH674" s="2806">
        <f t="shared" ca="1" si="993"/>
        <v>-3.1723727961497614</v>
      </c>
      <c r="AI674" s="2806">
        <f t="shared" ref="AI674:AN674" ca="1" si="994">AI63+AI64</f>
        <v>-2.672271033069566</v>
      </c>
      <c r="AJ674" s="2806">
        <f t="shared" ca="1" si="994"/>
        <v>-2.6641896226054129</v>
      </c>
      <c r="AK674" s="2806">
        <f t="shared" ca="1" si="994"/>
        <v>-2.6577244942340901</v>
      </c>
      <c r="AL674" s="2806">
        <f t="shared" ca="1" si="994"/>
        <v>-2.6525523915370335</v>
      </c>
      <c r="AM674" s="2806">
        <f t="shared" ca="1" si="994"/>
        <v>-2.6484147093793866</v>
      </c>
      <c r="AN674" s="2806">
        <f t="shared" ca="1" si="994"/>
        <v>-2.6451045636532666</v>
      </c>
      <c r="AO674" s="2882"/>
      <c r="AP674" s="2806"/>
      <c r="AQ674" s="2806"/>
      <c r="AR674" s="2806"/>
      <c r="AS674" s="2806"/>
      <c r="AT674" s="2882"/>
      <c r="AU674" s="11"/>
      <c r="AV674" s="123"/>
      <c r="AW674" s="89"/>
      <c r="AX674" s="89"/>
      <c r="AY674" s="89"/>
      <c r="AZ674" s="89"/>
      <c r="BA674" s="89"/>
      <c r="BB674" s="89"/>
      <c r="BC674" s="89"/>
      <c r="BD674" s="89"/>
      <c r="BE674" s="89"/>
      <c r="BF674" s="14">
        <f>BF64</f>
        <v>0</v>
      </c>
      <c r="BG674" s="14">
        <f>BG64</f>
        <v>-122.00299999999993</v>
      </c>
      <c r="BH674" s="14">
        <f>BH64</f>
        <v>-3.9</v>
      </c>
      <c r="BI674" s="14">
        <f>BI64</f>
        <v>0</v>
      </c>
      <c r="BJ674" s="14"/>
      <c r="BK674" s="14">
        <f>BK63+BK64</f>
        <v>37.026907414341885</v>
      </c>
      <c r="BL674" s="14">
        <f>BL63+BL64</f>
        <v>-1.5225028084628349</v>
      </c>
      <c r="BM674" s="14">
        <f>BM63+BM64</f>
        <v>-5.1372191537165328</v>
      </c>
      <c r="BN674" s="14">
        <f>BN63+BN64</f>
        <v>-38.375</v>
      </c>
      <c r="BO674" s="13"/>
      <c r="BP674" s="14">
        <f>BP63+BP64</f>
        <v>-25.608966017599702</v>
      </c>
      <c r="BQ674" s="14">
        <f>BQ63+BQ64</f>
        <v>39.693121606440748</v>
      </c>
      <c r="BR674" s="14">
        <f>BR63+BR64</f>
        <v>-1460.7167173750233</v>
      </c>
      <c r="BS674" s="14">
        <f>BS63+BS64</f>
        <v>-83.516717375023404</v>
      </c>
      <c r="BT674" s="13"/>
      <c r="BU674" s="14">
        <f>BU63+BU64</f>
        <v>-12.76937839355926</v>
      </c>
      <c r="BV674" s="14">
        <f>BV63+BV64</f>
        <v>-12.76937839355926</v>
      </c>
      <c r="BW674" s="14">
        <f>BW63+BW64</f>
        <v>-12.76937839355926</v>
      </c>
      <c r="BX674" s="14">
        <f>BX63+BX64</f>
        <v>-12.76937839355926</v>
      </c>
      <c r="BY674" s="13"/>
      <c r="BZ674" s="13"/>
      <c r="CA674" s="13"/>
      <c r="CB674" s="13"/>
      <c r="CC674" s="13"/>
      <c r="CD674" s="13"/>
      <c r="CE674" s="13"/>
      <c r="CF674" s="13"/>
      <c r="CG674" s="13"/>
      <c r="CH674" s="13"/>
      <c r="CI674" s="13"/>
      <c r="CJ674" s="13"/>
      <c r="CK674" s="13"/>
      <c r="CL674" s="13"/>
      <c r="CM674" s="13"/>
      <c r="CN674" s="13"/>
      <c r="CO674" s="14"/>
      <c r="CP674" s="14"/>
      <c r="CQ674" s="14"/>
      <c r="CR674" s="14"/>
      <c r="CS674" s="14"/>
      <c r="CT674" s="1328"/>
      <c r="CU674" s="1328"/>
      <c r="CV674" s="1328"/>
      <c r="CW674" s="14"/>
      <c r="CX674" s="14"/>
      <c r="CY674" s="1328"/>
      <c r="CZ674" s="1328"/>
      <c r="DA674" s="1328"/>
      <c r="DB674" s="14"/>
      <c r="DC674" s="2806"/>
      <c r="DD674" s="14"/>
      <c r="DE674" s="14"/>
      <c r="DF674" s="14"/>
      <c r="DG674" s="14"/>
      <c r="DH674" s="14"/>
      <c r="DI674" s="14"/>
      <c r="DJ674" s="14"/>
      <c r="DK674" s="14"/>
      <c r="DL674" s="14"/>
      <c r="DM674" s="14"/>
      <c r="DN674" s="14"/>
      <c r="DO674" s="14"/>
      <c r="DP674" s="14"/>
      <c r="DQ674" s="14"/>
      <c r="DR674" s="14"/>
    </row>
    <row r="675" spans="1:122">
      <c r="A675" s="6" t="s">
        <v>334</v>
      </c>
      <c r="B675" s="38"/>
      <c r="C675" s="38"/>
      <c r="D675" s="38"/>
      <c r="E675" s="38"/>
      <c r="F675" s="38"/>
      <c r="G675" s="38"/>
      <c r="H675" s="14">
        <f t="shared" ref="H675:N675" si="995">-H39</f>
        <v>734.1</v>
      </c>
      <c r="I675" s="14">
        <f t="shared" si="995"/>
        <v>726.5</v>
      </c>
      <c r="J675" s="14">
        <f t="shared" si="995"/>
        <v>608.9</v>
      </c>
      <c r="K675" s="14">
        <f t="shared" si="995"/>
        <v>808.1</v>
      </c>
      <c r="L675" s="14">
        <f t="shared" si="995"/>
        <v>652.20000000000005</v>
      </c>
      <c r="M675" s="14">
        <f t="shared" si="995"/>
        <v>821.5</v>
      </c>
      <c r="N675" s="14">
        <f t="shared" si="995"/>
        <v>-919.29999999999973</v>
      </c>
      <c r="O675" s="919"/>
      <c r="P675" s="14"/>
      <c r="Q675" s="14"/>
      <c r="R675" s="14">
        <f t="shared" ref="R675:AH675" si="996">-R39</f>
        <v>182.8</v>
      </c>
      <c r="S675" s="14">
        <f t="shared" si="996"/>
        <v>462.70000000000005</v>
      </c>
      <c r="T675" s="1357">
        <f t="shared" si="996"/>
        <v>751</v>
      </c>
      <c r="U675" s="1357">
        <f t="shared" si="996"/>
        <v>892</v>
      </c>
      <c r="V675" s="1357">
        <f t="shared" si="996"/>
        <v>978</v>
      </c>
      <c r="W675" s="1357">
        <f t="shared" si="996"/>
        <v>762</v>
      </c>
      <c r="X675" s="1357"/>
      <c r="Y675" s="1357"/>
      <c r="Z675" s="1357">
        <f t="shared" si="996"/>
        <v>587</v>
      </c>
      <c r="AA675" s="1357">
        <f t="shared" si="996"/>
        <v>716</v>
      </c>
      <c r="AB675" s="1357"/>
      <c r="AC675" s="2806">
        <f t="shared" ca="1" si="996"/>
        <v>661.41033875920516</v>
      </c>
      <c r="AD675" s="2806">
        <f t="shared" ca="1" si="996"/>
        <v>645.86509437448035</v>
      </c>
      <c r="AE675" s="2806">
        <f t="shared" ca="1" si="996"/>
        <v>686.2837918140965</v>
      </c>
      <c r="AF675" s="2806">
        <f t="shared" ca="1" si="996"/>
        <v>771.91492467076239</v>
      </c>
      <c r="AG675" s="2806">
        <f t="shared" ca="1" si="996"/>
        <v>801.51605973746507</v>
      </c>
      <c r="AH675" s="2806">
        <f t="shared" ca="1" si="996"/>
        <v>865.29904417934642</v>
      </c>
      <c r="AI675" s="2806">
        <f t="shared" ref="AI675:AN675" ca="1" si="997">-AI39</f>
        <v>826.70750638325421</v>
      </c>
      <c r="AJ675" s="2806">
        <f t="shared" ca="1" si="997"/>
        <v>856.02680584372638</v>
      </c>
      <c r="AK675" s="2806">
        <f t="shared" ca="1" si="997"/>
        <v>860.33474433956826</v>
      </c>
      <c r="AL675" s="2806">
        <f t="shared" ca="1" si="997"/>
        <v>851.73194681812129</v>
      </c>
      <c r="AM675" s="2806">
        <f t="shared" ca="1" si="997"/>
        <v>842.98184957497381</v>
      </c>
      <c r="AN675" s="2806">
        <f t="shared" ca="1" si="997"/>
        <v>892.74167233108199</v>
      </c>
      <c r="AO675" s="2882"/>
      <c r="AP675" s="2806"/>
      <c r="AQ675" s="2806"/>
      <c r="AR675" s="2806"/>
      <c r="AS675" s="2806"/>
      <c r="AT675" s="2882"/>
      <c r="AU675" s="11"/>
      <c r="AV675" s="123"/>
      <c r="AW675" s="89"/>
      <c r="AX675" s="89"/>
      <c r="AY675" s="89"/>
      <c r="AZ675" s="89"/>
      <c r="BA675" s="89"/>
      <c r="BB675" s="89"/>
      <c r="BC675" s="89"/>
      <c r="BD675" s="89"/>
      <c r="BE675" s="89"/>
      <c r="BF675" s="14">
        <f>-BF39</f>
        <v>151.9</v>
      </c>
      <c r="BG675" s="14">
        <f>-BG39</f>
        <v>118</v>
      </c>
      <c r="BH675" s="14">
        <f>-BH39</f>
        <v>208.4</v>
      </c>
      <c r="BI675" s="14">
        <f>-BI39</f>
        <v>173.90000000000009</v>
      </c>
      <c r="BJ675" s="14"/>
      <c r="BK675" s="14">
        <f>-BK39</f>
        <v>204.2</v>
      </c>
      <c r="BL675" s="14">
        <f>-BL39</f>
        <v>233.7</v>
      </c>
      <c r="BM675" s="14">
        <f>-BM39</f>
        <v>172.5</v>
      </c>
      <c r="BN675" s="14">
        <f>-BN39</f>
        <v>211.10000000000002</v>
      </c>
      <c r="BO675" s="13"/>
      <c r="BP675" s="14">
        <f>-BP39</f>
        <v>151.30000000000001</v>
      </c>
      <c r="BQ675" s="14">
        <f>-BQ39</f>
        <v>232.9</v>
      </c>
      <c r="BR675" s="14">
        <f>-BR39</f>
        <v>-1332.1</v>
      </c>
      <c r="BS675" s="14">
        <f>-BS39</f>
        <v>28.6</v>
      </c>
      <c r="BT675" s="13"/>
      <c r="BU675" s="14">
        <f>-BU39</f>
        <v>8.8000000000000007</v>
      </c>
      <c r="BV675" s="14">
        <f>-BV39</f>
        <v>56.9</v>
      </c>
      <c r="BW675" s="14">
        <f>-BW39</f>
        <v>79.7</v>
      </c>
      <c r="BX675" s="14">
        <f>-BX39</f>
        <v>37.4</v>
      </c>
      <c r="BY675" s="13"/>
      <c r="BZ675" s="13"/>
      <c r="CA675" s="13"/>
      <c r="CB675" s="13"/>
      <c r="CC675" s="13"/>
      <c r="CD675" s="13"/>
      <c r="CE675" s="13"/>
      <c r="CF675" s="13"/>
      <c r="CG675" s="13"/>
      <c r="CH675" s="13"/>
      <c r="CI675" s="13"/>
      <c r="CJ675" s="13"/>
      <c r="CK675" s="13"/>
      <c r="CL675" s="13"/>
      <c r="CM675" s="13"/>
      <c r="CN675" s="13"/>
      <c r="CO675" s="14"/>
      <c r="CP675" s="14"/>
      <c r="CQ675" s="14"/>
      <c r="CR675" s="14"/>
      <c r="CS675" s="14"/>
      <c r="CT675" s="1328"/>
      <c r="CU675" s="1328"/>
      <c r="CV675" s="1328"/>
      <c r="CW675" s="14"/>
      <c r="CX675" s="14"/>
      <c r="CY675" s="1328"/>
      <c r="CZ675" s="1328"/>
      <c r="DA675" s="1328"/>
      <c r="DB675" s="14"/>
      <c r="DC675" s="2806"/>
      <c r="DD675" s="14"/>
      <c r="DE675" s="14"/>
      <c r="DF675" s="14"/>
      <c r="DG675" s="14"/>
      <c r="DH675" s="14"/>
      <c r="DI675" s="14"/>
      <c r="DJ675" s="14"/>
      <c r="DK675" s="14"/>
      <c r="DL675" s="14"/>
      <c r="DM675" s="14"/>
      <c r="DN675" s="14"/>
      <c r="DO675" s="14"/>
      <c r="DP675" s="14"/>
      <c r="DQ675" s="14"/>
      <c r="DR675" s="14"/>
    </row>
    <row r="676" spans="1:122">
      <c r="A676" s="253"/>
      <c r="B676" s="38"/>
      <c r="C676" s="38"/>
      <c r="D676" s="38"/>
      <c r="E676" s="38"/>
      <c r="F676" s="38"/>
      <c r="G676" s="38"/>
      <c r="H676" s="38"/>
      <c r="I676" s="38"/>
      <c r="J676" s="38"/>
      <c r="K676" s="38"/>
      <c r="L676" s="38"/>
      <c r="M676" s="38"/>
      <c r="N676" s="38"/>
      <c r="O676" s="919"/>
      <c r="P676" s="38"/>
      <c r="Q676" s="38"/>
      <c r="R676" s="38"/>
      <c r="S676" s="38"/>
      <c r="T676" s="1110"/>
      <c r="U676" s="1110"/>
      <c r="V676" s="1110"/>
      <c r="W676" s="1110"/>
      <c r="X676" s="1110"/>
      <c r="Y676" s="1110"/>
      <c r="Z676" s="1110"/>
      <c r="AA676" s="1110"/>
      <c r="AB676" s="1110"/>
      <c r="AC676" s="39"/>
      <c r="AD676" s="39"/>
      <c r="AE676" s="39"/>
      <c r="AF676" s="39"/>
      <c r="AG676" s="39"/>
      <c r="AH676" s="39"/>
      <c r="AI676" s="39"/>
      <c r="AJ676" s="39"/>
      <c r="AK676" s="39"/>
      <c r="AL676" s="1110"/>
      <c r="AM676" s="39"/>
      <c r="AN676" s="1108"/>
      <c r="AO676" s="123"/>
      <c r="AP676" s="39"/>
      <c r="AQ676" s="39"/>
      <c r="AR676" s="39"/>
      <c r="AS676" s="39"/>
      <c r="AT676" s="123"/>
      <c r="AU676" s="11"/>
      <c r="AV676" s="123"/>
      <c r="AW676" s="89"/>
      <c r="AX676" s="89"/>
      <c r="AY676" s="89"/>
      <c r="AZ676" s="89"/>
      <c r="BA676" s="89"/>
      <c r="BB676" s="89"/>
      <c r="BC676" s="89"/>
      <c r="BD676" s="89"/>
      <c r="BE676" s="89"/>
      <c r="BF676" s="98"/>
      <c r="BG676" s="98"/>
      <c r="BH676" s="98"/>
      <c r="BI676" s="89"/>
      <c r="BJ676" s="89"/>
      <c r="BK676" s="89"/>
      <c r="BL676" s="89"/>
      <c r="BM676" s="89"/>
      <c r="BN676" s="89"/>
      <c r="BO676" s="6"/>
      <c r="BP676" s="89"/>
      <c r="BQ676" s="89"/>
      <c r="BR676" s="89"/>
      <c r="BS676" s="89"/>
      <c r="BT676" s="6"/>
      <c r="BU676" s="6"/>
      <c r="BV676" s="6"/>
      <c r="BW676" s="6"/>
      <c r="BX676" s="6"/>
      <c r="BY676" s="6"/>
      <c r="BZ676" s="6"/>
      <c r="CA676" s="6"/>
      <c r="CB676" s="6"/>
      <c r="CC676" s="6"/>
      <c r="CD676" s="6"/>
      <c r="CE676" s="6"/>
      <c r="CF676" s="6"/>
      <c r="CG676" s="6"/>
      <c r="CH676" s="6"/>
      <c r="CI676" s="6"/>
      <c r="CJ676" s="6"/>
      <c r="CK676" s="6"/>
      <c r="CL676" s="6"/>
      <c r="CM676" s="6"/>
      <c r="CN676" s="6"/>
      <c r="CO676" s="11"/>
      <c r="CP676" s="11"/>
      <c r="CQ676" s="11"/>
      <c r="CR676" s="11"/>
      <c r="CS676" s="11"/>
      <c r="CT676" s="906"/>
      <c r="CU676" s="906"/>
      <c r="CV676" s="906"/>
      <c r="CW676" s="11"/>
      <c r="CX676" s="11"/>
      <c r="CY676" s="906"/>
      <c r="CZ676" s="906"/>
      <c r="DA676" s="906"/>
      <c r="DB676" s="11"/>
      <c r="DC676" s="2862"/>
      <c r="DD676" s="11"/>
      <c r="DE676" s="11"/>
      <c r="DF676" s="11"/>
      <c r="DG676" s="11"/>
      <c r="DH676" s="11"/>
      <c r="DI676" s="11"/>
      <c r="DJ676" s="11"/>
      <c r="DK676" s="11"/>
      <c r="DL676" s="11"/>
      <c r="DM676" s="11"/>
      <c r="DN676" s="11"/>
      <c r="DO676" s="11"/>
      <c r="DP676" s="11"/>
      <c r="DQ676" s="11"/>
      <c r="DR676" s="11"/>
    </row>
    <row r="677" spans="1:122">
      <c r="A677" s="253"/>
      <c r="B677" s="38"/>
      <c r="C677" s="38"/>
      <c r="D677" s="38"/>
      <c r="E677" s="38"/>
      <c r="F677" s="38"/>
      <c r="G677" s="38"/>
      <c r="H677" s="38"/>
      <c r="I677" s="38"/>
      <c r="J677" s="38"/>
      <c r="K677" s="38"/>
      <c r="L677" s="38"/>
      <c r="M677" s="38"/>
      <c r="N677" s="38"/>
      <c r="O677" s="919"/>
      <c r="P677" s="38"/>
      <c r="Q677" s="38"/>
      <c r="R677" s="38"/>
      <c r="S677" s="38"/>
      <c r="T677" s="1110"/>
      <c r="U677" s="1110"/>
      <c r="V677" s="1110"/>
      <c r="W677" s="1110"/>
      <c r="X677" s="1110"/>
      <c r="Y677" s="1110"/>
      <c r="Z677" s="1110"/>
      <c r="AA677" s="1110"/>
      <c r="AB677" s="1110"/>
      <c r="AC677" s="1174" t="s">
        <v>1527</v>
      </c>
      <c r="AD677" s="39"/>
      <c r="AE677" s="39"/>
      <c r="AF677" s="39"/>
      <c r="AG677" s="39"/>
      <c r="AH677" s="39"/>
      <c r="AI677" s="39"/>
      <c r="AJ677" s="39"/>
      <c r="AK677" s="39"/>
      <c r="AL677" s="1110"/>
      <c r="AM677" s="39"/>
      <c r="AN677" s="1108"/>
      <c r="AO677" s="123"/>
      <c r="AP677" s="39"/>
      <c r="AQ677" s="39"/>
      <c r="AR677" s="39"/>
      <c r="AS677" s="39"/>
      <c r="AT677" s="123"/>
      <c r="AU677" s="11"/>
      <c r="AV677" s="123"/>
      <c r="AW677" s="89"/>
      <c r="AX677" s="89"/>
      <c r="AY677" s="89"/>
      <c r="AZ677" s="89"/>
      <c r="BA677" s="89"/>
      <c r="BB677" s="89"/>
      <c r="BC677" s="89"/>
      <c r="BD677" s="89"/>
      <c r="BE677" s="89"/>
      <c r="BF677" s="98"/>
      <c r="BG677" s="98"/>
      <c r="BH677" s="98"/>
      <c r="BI677" s="89"/>
      <c r="BJ677" s="89"/>
      <c r="BK677" s="89"/>
      <c r="BL677" s="89"/>
      <c r="BM677" s="89"/>
      <c r="BN677" s="89"/>
      <c r="BO677" s="6"/>
      <c r="BP677" s="89"/>
      <c r="BQ677" s="89"/>
      <c r="BR677" s="89"/>
      <c r="BS677" s="89"/>
      <c r="BT677" s="6"/>
      <c r="BU677" s="6"/>
      <c r="BV677" s="6"/>
      <c r="BW677" s="6"/>
      <c r="BX677" s="6"/>
      <c r="BY677" s="6"/>
      <c r="BZ677" s="6"/>
      <c r="CA677" s="6"/>
      <c r="CB677" s="6"/>
      <c r="CC677" s="6"/>
      <c r="CD677" s="6"/>
      <c r="CE677" s="6"/>
      <c r="CF677" s="6"/>
      <c r="CG677" s="6"/>
      <c r="CH677" s="6"/>
      <c r="CI677" s="6"/>
      <c r="CJ677" s="6"/>
      <c r="CK677" s="6"/>
      <c r="CL677" s="6"/>
      <c r="CM677" s="6"/>
      <c r="CN677" s="6"/>
      <c r="CO677" s="11"/>
      <c r="CP677" s="11"/>
      <c r="CQ677" s="11"/>
      <c r="CR677" s="11"/>
      <c r="CS677" s="11"/>
      <c r="CT677" s="906"/>
      <c r="CU677" s="906"/>
      <c r="CV677" s="906"/>
      <c r="CW677" s="11"/>
      <c r="CX677" s="11"/>
      <c r="CY677" s="906"/>
      <c r="CZ677" s="906"/>
      <c r="DA677" s="906"/>
      <c r="DB677" s="11"/>
      <c r="DC677" s="2862"/>
      <c r="DD677" s="11"/>
      <c r="DE677" s="11"/>
      <c r="DF677" s="11"/>
      <c r="DG677" s="11"/>
      <c r="DH677" s="11"/>
      <c r="DI677" s="11"/>
      <c r="DJ677" s="11"/>
      <c r="DK677" s="11"/>
      <c r="DL677" s="11"/>
      <c r="DM677" s="11"/>
      <c r="DN677" s="11"/>
      <c r="DO677" s="11"/>
      <c r="DP677" s="11"/>
      <c r="DQ677" s="11"/>
      <c r="DR677" s="11"/>
    </row>
    <row r="678" spans="1:122">
      <c r="A678" s="253" t="s">
        <v>1042</v>
      </c>
      <c r="B678" s="38"/>
      <c r="C678" s="38"/>
      <c r="D678" s="38"/>
      <c r="E678" s="38"/>
      <c r="F678" s="38"/>
      <c r="G678" s="38"/>
      <c r="H678" s="38"/>
      <c r="I678" s="38"/>
      <c r="J678" s="38"/>
      <c r="K678" s="38"/>
      <c r="L678" s="38"/>
      <c r="M678" s="38"/>
      <c r="N678" s="38"/>
      <c r="O678" s="919"/>
      <c r="P678" s="38"/>
      <c r="Q678" s="38"/>
      <c r="R678" s="1076">
        <v>410</v>
      </c>
      <c r="S678" s="1076">
        <f>R680</f>
        <v>260</v>
      </c>
      <c r="T678" s="1076">
        <f>S680</f>
        <v>110</v>
      </c>
      <c r="U678" s="1076"/>
      <c r="V678" s="1076"/>
      <c r="W678" s="38"/>
      <c r="X678" s="38"/>
      <c r="Y678" s="38"/>
      <c r="AF678" s="39"/>
      <c r="AG678" s="39"/>
      <c r="AH678" s="39"/>
      <c r="AI678" s="39"/>
      <c r="AJ678" s="39"/>
      <c r="AK678" s="39"/>
      <c r="AL678" s="1110"/>
      <c r="AM678" s="39"/>
      <c r="AN678" s="1108"/>
      <c r="AO678" s="123"/>
      <c r="AP678" s="39"/>
      <c r="AQ678" s="39"/>
      <c r="AR678" s="39"/>
      <c r="AS678" s="39"/>
      <c r="AT678" s="39"/>
      <c r="AU678" s="11"/>
      <c r="AV678" s="123"/>
      <c r="AW678" s="89"/>
      <c r="AX678" s="89"/>
      <c r="AY678" s="89"/>
      <c r="AZ678" s="89"/>
      <c r="BA678" s="89"/>
      <c r="BB678" s="89"/>
      <c r="BC678" s="89"/>
      <c r="BD678" s="89"/>
      <c r="BE678" s="89"/>
      <c r="BF678" s="98"/>
      <c r="BG678" s="98"/>
      <c r="BH678" s="98"/>
      <c r="BI678" s="89"/>
      <c r="BJ678" s="89"/>
      <c r="BK678" s="89"/>
      <c r="BL678" s="89"/>
      <c r="BM678" s="89"/>
      <c r="BN678" s="89"/>
      <c r="BO678" s="6"/>
      <c r="BP678" s="89"/>
      <c r="BQ678" s="89"/>
      <c r="BR678" s="89"/>
      <c r="BS678" s="89"/>
      <c r="BT678" s="6"/>
      <c r="BU678" s="1077">
        <f>R678</f>
        <v>410</v>
      </c>
      <c r="BV678" s="1077">
        <f>BU680</f>
        <v>372.5</v>
      </c>
      <c r="BW678" s="1077">
        <f>BV680</f>
        <v>335</v>
      </c>
      <c r="BX678" s="1077">
        <f>BW680</f>
        <v>297.5</v>
      </c>
      <c r="BY678" s="6"/>
      <c r="BZ678" s="6"/>
      <c r="CA678" s="6"/>
      <c r="CB678" s="6"/>
      <c r="CC678" s="6"/>
      <c r="CD678" s="6"/>
      <c r="CE678" s="6"/>
      <c r="CF678" s="6"/>
      <c r="CG678" s="6"/>
      <c r="CH678" s="6"/>
      <c r="CI678" s="6"/>
      <c r="CJ678" s="6"/>
      <c r="CK678" s="6"/>
      <c r="CL678" s="6"/>
      <c r="CM678" s="6"/>
      <c r="CN678" s="6"/>
      <c r="CO678" s="11"/>
      <c r="CP678" s="11"/>
      <c r="CQ678" s="11"/>
      <c r="CR678" s="11"/>
      <c r="CS678" s="11"/>
      <c r="CT678" s="906"/>
      <c r="CU678" s="906"/>
      <c r="CV678" s="906"/>
      <c r="CW678" s="11"/>
      <c r="CX678" s="11"/>
      <c r="CY678" s="906"/>
      <c r="CZ678" s="906"/>
      <c r="DA678" s="906"/>
      <c r="DB678" s="11"/>
      <c r="DC678" s="2862"/>
      <c r="DD678" s="11"/>
      <c r="DE678" s="11"/>
      <c r="DF678" s="11"/>
      <c r="DG678" s="11"/>
      <c r="DH678" s="11"/>
      <c r="DI678" s="11"/>
      <c r="DJ678" s="11"/>
      <c r="DK678" s="11"/>
      <c r="DL678" s="11"/>
      <c r="DM678" s="11"/>
      <c r="DN678" s="11"/>
      <c r="DO678" s="11"/>
      <c r="DP678" s="11"/>
      <c r="DQ678" s="11"/>
      <c r="DR678" s="11"/>
    </row>
    <row r="679" spans="1:122">
      <c r="A679" s="253" t="s">
        <v>1043</v>
      </c>
      <c r="B679" s="38"/>
      <c r="C679" s="38"/>
      <c r="D679" s="38"/>
      <c r="E679" s="38"/>
      <c r="F679" s="38"/>
      <c r="G679" s="38"/>
      <c r="H679" s="38"/>
      <c r="I679" s="38"/>
      <c r="J679" s="38"/>
      <c r="K679" s="38"/>
      <c r="L679" s="38"/>
      <c r="M679" s="38"/>
      <c r="N679" s="38"/>
      <c r="O679" s="919"/>
      <c r="P679" s="38"/>
      <c r="Q679" s="38"/>
      <c r="R679" s="1076">
        <v>-150</v>
      </c>
      <c r="S679" s="1076">
        <v>-150</v>
      </c>
      <c r="T679" s="1076">
        <v>-110</v>
      </c>
      <c r="U679" s="1076"/>
      <c r="V679" s="1076"/>
      <c r="W679" s="38"/>
      <c r="X679" s="38"/>
      <c r="Y679" s="38"/>
      <c r="Z679" s="38"/>
      <c r="AA679" s="39"/>
      <c r="AB679" s="39"/>
      <c r="AC679" s="39"/>
      <c r="AD679" s="39"/>
      <c r="AE679" s="39"/>
      <c r="AF679" s="39"/>
      <c r="AG679" s="39"/>
      <c r="AH679" s="39"/>
      <c r="AI679" s="39"/>
      <c r="AJ679" s="39"/>
      <c r="AK679" s="39"/>
      <c r="AL679" s="1110"/>
      <c r="AM679" s="39"/>
      <c r="AN679" s="1108"/>
      <c r="AO679" s="123"/>
      <c r="AP679" s="39"/>
      <c r="AQ679" s="39"/>
      <c r="AR679" s="39"/>
      <c r="AS679" s="39"/>
      <c r="AT679" s="39"/>
      <c r="AU679" s="11"/>
      <c r="AV679" s="123"/>
      <c r="AW679" s="89"/>
      <c r="AX679" s="89"/>
      <c r="AY679" s="89"/>
      <c r="AZ679" s="89"/>
      <c r="BA679" s="89"/>
      <c r="BB679" s="89"/>
      <c r="BC679" s="89"/>
      <c r="BD679" s="89"/>
      <c r="BE679" s="89"/>
      <c r="BF679" s="98"/>
      <c r="BG679" s="98"/>
      <c r="BH679" s="98"/>
      <c r="BI679" s="89"/>
      <c r="BJ679" s="89"/>
      <c r="BK679" s="89"/>
      <c r="BL679" s="89"/>
      <c r="BM679" s="89"/>
      <c r="BN679" s="89"/>
      <c r="BO679" s="6"/>
      <c r="BP679" s="89"/>
      <c r="BQ679" s="89"/>
      <c r="BR679" s="89"/>
      <c r="BS679" s="89"/>
      <c r="BT679" s="6"/>
      <c r="BU679" s="1077">
        <f>$R$679/4</f>
        <v>-37.5</v>
      </c>
      <c r="BV679" s="1077">
        <f>$R$679/4</f>
        <v>-37.5</v>
      </c>
      <c r="BW679" s="1077">
        <f>$R$679/4</f>
        <v>-37.5</v>
      </c>
      <c r="BX679" s="1077">
        <f>$R$679/4</f>
        <v>-37.5</v>
      </c>
      <c r="BY679" s="6"/>
      <c r="BZ679" s="6"/>
      <c r="CA679" s="6"/>
      <c r="CB679" s="6"/>
      <c r="CC679" s="6"/>
      <c r="CD679" s="6"/>
      <c r="CE679" s="6"/>
      <c r="CF679" s="6"/>
      <c r="CG679" s="6"/>
      <c r="CH679" s="6"/>
      <c r="CI679" s="6"/>
      <c r="CJ679" s="6"/>
      <c r="CK679" s="6"/>
      <c r="CL679" s="6"/>
      <c r="CM679" s="6"/>
      <c r="CN679" s="6"/>
      <c r="CO679" s="11"/>
      <c r="CP679" s="11"/>
      <c r="CQ679" s="11"/>
      <c r="CR679" s="11"/>
      <c r="CS679" s="11"/>
      <c r="CT679" s="906"/>
      <c r="CU679" s="906"/>
      <c r="CV679" s="906"/>
      <c r="CW679" s="11"/>
      <c r="CX679" s="11"/>
      <c r="CY679" s="906"/>
      <c r="CZ679" s="906"/>
      <c r="DA679" s="906"/>
      <c r="DB679" s="11"/>
      <c r="DC679" s="2862"/>
      <c r="DD679" s="11"/>
      <c r="DE679" s="11"/>
      <c r="DF679" s="11"/>
      <c r="DG679" s="11"/>
      <c r="DH679" s="11"/>
      <c r="DI679" s="11"/>
      <c r="DJ679" s="11"/>
      <c r="DK679" s="11"/>
      <c r="DL679" s="11"/>
      <c r="DM679" s="11"/>
      <c r="DN679" s="11"/>
      <c r="DO679" s="11"/>
      <c r="DP679" s="11"/>
      <c r="DQ679" s="11"/>
      <c r="DR679" s="11"/>
    </row>
    <row r="680" spans="1:122">
      <c r="A680" s="253" t="s">
        <v>1044</v>
      </c>
      <c r="B680" s="38"/>
      <c r="C680" s="38"/>
      <c r="D680" s="38"/>
      <c r="E680" s="38"/>
      <c r="F680" s="38"/>
      <c r="G680" s="38"/>
      <c r="H680" s="38"/>
      <c r="I680" s="38"/>
      <c r="J680" s="38"/>
      <c r="K680" s="38"/>
      <c r="L680" s="38"/>
      <c r="M680" s="38"/>
      <c r="N680" s="38"/>
      <c r="O680" s="919"/>
      <c r="P680" s="38"/>
      <c r="Q680" s="38"/>
      <c r="R680" s="1076">
        <f>R678+R679</f>
        <v>260</v>
      </c>
      <c r="S680" s="1076">
        <f>S678+S679</f>
        <v>110</v>
      </c>
      <c r="T680" s="1076">
        <f>T678+T679</f>
        <v>0</v>
      </c>
      <c r="U680" s="1076"/>
      <c r="V680" s="1076"/>
      <c r="W680" s="38"/>
      <c r="X680" s="38"/>
      <c r="Y680" s="38"/>
      <c r="Z680" s="38"/>
      <c r="AA680" s="39"/>
      <c r="AB680" s="39"/>
      <c r="AC680" s="39"/>
      <c r="AD680" s="39"/>
      <c r="AE680" s="39"/>
      <c r="AF680" s="39"/>
      <c r="AG680" s="39"/>
      <c r="AH680" s="39"/>
      <c r="AI680" s="39"/>
      <c r="AJ680" s="39"/>
      <c r="AK680" s="39"/>
      <c r="AL680" s="1110"/>
      <c r="AM680" s="39"/>
      <c r="AN680" s="1108"/>
      <c r="AO680" s="123"/>
      <c r="AP680" s="39"/>
      <c r="AQ680" s="39"/>
      <c r="AR680" s="39"/>
      <c r="AS680" s="39"/>
      <c r="AT680" s="39"/>
      <c r="AU680" s="11"/>
      <c r="AV680" s="123"/>
      <c r="AW680" s="89"/>
      <c r="AX680" s="89"/>
      <c r="AY680" s="89"/>
      <c r="AZ680" s="89"/>
      <c r="BA680" s="89"/>
      <c r="BB680" s="89"/>
      <c r="BC680" s="89"/>
      <c r="BD680" s="89"/>
      <c r="BE680" s="89"/>
      <c r="BF680" s="98"/>
      <c r="BG680" s="98"/>
      <c r="BH680" s="98"/>
      <c r="BI680" s="89"/>
      <c r="BJ680" s="89"/>
      <c r="BK680" s="89"/>
      <c r="BL680" s="89"/>
      <c r="BM680" s="89"/>
      <c r="BN680" s="89"/>
      <c r="BO680" s="6"/>
      <c r="BP680" s="89"/>
      <c r="BQ680" s="89"/>
      <c r="BR680" s="89"/>
      <c r="BS680" s="89"/>
      <c r="BT680" s="6"/>
      <c r="BU680" s="1077">
        <f>BU678+BU679</f>
        <v>372.5</v>
      </c>
      <c r="BV680" s="1077">
        <f>BV678+BV679</f>
        <v>335</v>
      </c>
      <c r="BW680" s="1077">
        <f>BW678+BW679</f>
        <v>297.5</v>
      </c>
      <c r="BX680" s="1077">
        <f>BX678+BX679</f>
        <v>260</v>
      </c>
      <c r="BY680" s="6"/>
      <c r="BZ680" s="6"/>
      <c r="CA680" s="6"/>
      <c r="CB680" s="6"/>
      <c r="CC680" s="6"/>
      <c r="CD680" s="6"/>
      <c r="CE680" s="6"/>
      <c r="CF680" s="6"/>
      <c r="CG680" s="6"/>
      <c r="CH680" s="6"/>
      <c r="CI680" s="6"/>
      <c r="CJ680" s="6"/>
      <c r="CK680" s="6"/>
      <c r="CL680" s="6"/>
      <c r="CM680" s="6"/>
      <c r="CN680" s="6"/>
      <c r="CO680" s="11"/>
      <c r="CP680" s="11"/>
      <c r="CQ680" s="11"/>
      <c r="CR680" s="11"/>
      <c r="CS680" s="11"/>
      <c r="CT680" s="906"/>
      <c r="CU680" s="906"/>
      <c r="CV680" s="906"/>
      <c r="CW680" s="11"/>
      <c r="CX680" s="11"/>
      <c r="CY680" s="906"/>
      <c r="CZ680" s="906"/>
      <c r="DA680" s="906"/>
      <c r="DB680" s="11"/>
      <c r="DC680" s="2862"/>
      <c r="DD680" s="11"/>
      <c r="DE680" s="11"/>
      <c r="DF680" s="11"/>
      <c r="DG680" s="11"/>
      <c r="DH680" s="11"/>
      <c r="DI680" s="11"/>
      <c r="DJ680" s="11"/>
      <c r="DK680" s="11"/>
      <c r="DL680" s="11"/>
      <c r="DM680" s="11"/>
      <c r="DN680" s="11"/>
      <c r="DO680" s="11"/>
      <c r="DP680" s="11"/>
      <c r="DQ680" s="11"/>
      <c r="DR680" s="11"/>
    </row>
    <row r="681" spans="1:122">
      <c r="A681" s="253"/>
      <c r="B681" s="38"/>
      <c r="C681" s="38"/>
      <c r="D681" s="38"/>
      <c r="E681" s="38"/>
      <c r="F681" s="38"/>
      <c r="G681" s="38"/>
      <c r="H681" s="38"/>
      <c r="I681" s="38"/>
      <c r="J681" s="38"/>
      <c r="K681" s="38"/>
      <c r="L681" s="38"/>
      <c r="M681" s="38"/>
      <c r="N681" s="38"/>
      <c r="O681" s="919"/>
      <c r="P681" s="38"/>
      <c r="Q681" s="38"/>
      <c r="R681" s="38"/>
      <c r="S681" s="38"/>
      <c r="T681" s="38"/>
      <c r="U681" s="38"/>
      <c r="V681" s="38"/>
      <c r="W681" s="38"/>
      <c r="X681" s="38"/>
      <c r="Y681" s="38"/>
      <c r="Z681" s="38"/>
      <c r="AA681" s="39"/>
      <c r="AB681" s="39"/>
      <c r="AC681" s="39"/>
      <c r="AD681" s="39"/>
      <c r="AE681" s="39"/>
      <c r="AF681" s="39"/>
      <c r="AG681" s="39"/>
      <c r="AH681" s="39"/>
      <c r="AI681" s="39"/>
      <c r="AJ681" s="39"/>
      <c r="AK681" s="39"/>
      <c r="AL681" s="1110"/>
      <c r="AM681" s="39"/>
      <c r="AN681" s="1108"/>
      <c r="AO681" s="123"/>
      <c r="AP681" s="39"/>
      <c r="AQ681" s="39"/>
      <c r="AR681" s="39"/>
      <c r="AS681" s="39"/>
      <c r="AT681" s="39"/>
      <c r="AU681" s="11"/>
      <c r="AV681" s="123"/>
      <c r="AW681" s="89"/>
      <c r="AX681" s="89"/>
      <c r="AY681" s="89"/>
      <c r="AZ681" s="89"/>
      <c r="BA681" s="89"/>
      <c r="BB681" s="89"/>
      <c r="BC681" s="89"/>
      <c r="BD681" s="89"/>
      <c r="BE681" s="89"/>
      <c r="BF681" s="98"/>
      <c r="BG681" s="98"/>
      <c r="BH681" s="98"/>
      <c r="BI681" s="89"/>
      <c r="BJ681" s="89"/>
      <c r="BK681" s="89"/>
      <c r="BL681" s="89"/>
      <c r="BM681" s="89"/>
      <c r="BN681" s="89"/>
      <c r="BO681" s="6"/>
      <c r="BP681" s="89"/>
      <c r="BQ681" s="89"/>
      <c r="BR681" s="89"/>
      <c r="BS681" s="89"/>
      <c r="BT681" s="6"/>
      <c r="BU681" s="6"/>
      <c r="BV681" s="6"/>
      <c r="BW681" s="6"/>
      <c r="BX681" s="6"/>
      <c r="BY681" s="6"/>
      <c r="BZ681" s="6"/>
      <c r="CA681" s="6"/>
      <c r="CB681" s="6"/>
      <c r="CC681" s="6"/>
      <c r="CD681" s="6"/>
      <c r="CE681" s="6"/>
      <c r="CF681" s="6"/>
      <c r="CG681" s="6"/>
      <c r="CH681" s="6"/>
      <c r="CI681" s="6"/>
      <c r="CJ681" s="6"/>
      <c r="CK681" s="6"/>
      <c r="CL681" s="6"/>
      <c r="CM681" s="6"/>
      <c r="CN681" s="6"/>
      <c r="CO681" s="11"/>
      <c r="CP681" s="11"/>
      <c r="CQ681" s="11"/>
      <c r="CR681" s="11"/>
      <c r="CS681" s="11"/>
      <c r="CT681" s="906"/>
      <c r="CU681" s="906"/>
      <c r="CV681" s="906"/>
      <c r="CW681" s="11"/>
      <c r="CX681" s="11"/>
      <c r="CY681" s="906"/>
      <c r="CZ681" s="906"/>
      <c r="DA681" s="906"/>
      <c r="DB681" s="11"/>
      <c r="DC681" s="2862"/>
      <c r="DD681" s="11"/>
      <c r="DE681" s="11"/>
      <c r="DF681" s="11"/>
      <c r="DG681" s="11"/>
      <c r="DH681" s="11"/>
      <c r="DI681" s="11"/>
      <c r="DJ681" s="11"/>
      <c r="DK681" s="11"/>
      <c r="DL681" s="11"/>
      <c r="DM681" s="11"/>
      <c r="DN681" s="11"/>
      <c r="DO681" s="11"/>
      <c r="DP681" s="11"/>
      <c r="DQ681" s="11"/>
      <c r="DR681" s="11"/>
    </row>
    <row r="682" spans="1:122">
      <c r="A682" s="253" t="s">
        <v>1045</v>
      </c>
      <c r="B682" s="38"/>
      <c r="C682" s="38"/>
      <c r="D682" s="38"/>
      <c r="E682" s="38"/>
      <c r="F682" s="38"/>
      <c r="G682" s="38"/>
      <c r="H682" s="38"/>
      <c r="I682" s="38"/>
      <c r="J682" s="38"/>
      <c r="K682" s="38"/>
      <c r="L682" s="38"/>
      <c r="M682" s="38"/>
      <c r="N682" s="38"/>
      <c r="O682" s="919"/>
      <c r="P682" s="38"/>
      <c r="Q682" s="38"/>
      <c r="R682" s="1076">
        <f>R663</f>
        <v>443.00000000000034</v>
      </c>
      <c r="S682" s="1076">
        <f>S663</f>
        <v>1221.5000000000002</v>
      </c>
      <c r="T682" s="1076">
        <f>T663</f>
        <v>2179.0000000000005</v>
      </c>
      <c r="U682" s="38"/>
      <c r="V682" s="38"/>
      <c r="W682" s="38"/>
      <c r="X682" s="38"/>
      <c r="Y682" s="38"/>
      <c r="Z682" s="38"/>
      <c r="AA682" s="39"/>
      <c r="AB682" s="39"/>
      <c r="AC682" s="39"/>
      <c r="AD682" s="39"/>
      <c r="AE682" s="39"/>
      <c r="AF682" s="39"/>
      <c r="AG682" s="39"/>
      <c r="AH682" s="39"/>
      <c r="AI682" s="39"/>
      <c r="AJ682" s="39"/>
      <c r="AK682" s="39"/>
      <c r="AL682" s="1110"/>
      <c r="AM682" s="39"/>
      <c r="AN682" s="1108"/>
      <c r="AO682" s="123"/>
      <c r="AP682" s="39"/>
      <c r="AQ682" s="39"/>
      <c r="AR682" s="39"/>
      <c r="AS682" s="39"/>
      <c r="AT682" s="39"/>
      <c r="AU682" s="11"/>
      <c r="AV682" s="123"/>
      <c r="AW682" s="89"/>
      <c r="AX682" s="89"/>
      <c r="AY682" s="89"/>
      <c r="AZ682" s="89"/>
      <c r="BA682" s="89"/>
      <c r="BB682" s="89"/>
      <c r="BC682" s="89"/>
      <c r="BD682" s="89"/>
      <c r="BE682" s="89"/>
      <c r="BF682" s="98"/>
      <c r="BG682" s="98"/>
      <c r="BH682" s="98"/>
      <c r="BI682" s="89"/>
      <c r="BJ682" s="89"/>
      <c r="BK682" s="89"/>
      <c r="BL682" s="89"/>
      <c r="BM682" s="89"/>
      <c r="BN682" s="89"/>
      <c r="BO682" s="6"/>
      <c r="BP682" s="89"/>
      <c r="BQ682" s="89"/>
      <c r="BR682" s="89"/>
      <c r="BS682" s="89"/>
      <c r="BT682" s="6"/>
      <c r="BU682" s="1076">
        <f>BU663</f>
        <v>-18.861466858300638</v>
      </c>
      <c r="BV682" s="1076">
        <f>BV663</f>
        <v>81.310933524868403</v>
      </c>
      <c r="BW682" s="1076">
        <f>BW663</f>
        <v>296.92739985984582</v>
      </c>
      <c r="BX682" s="1076">
        <f>BX663</f>
        <v>83.623133473586776</v>
      </c>
      <c r="BY682" s="6"/>
      <c r="BZ682" s="6"/>
      <c r="CA682" s="6"/>
      <c r="CB682" s="6"/>
      <c r="CC682" s="6"/>
      <c r="CD682" s="6"/>
      <c r="CE682" s="6"/>
      <c r="CF682" s="6"/>
      <c r="CG682" s="6"/>
      <c r="CH682" s="6"/>
      <c r="CI682" s="6"/>
      <c r="CJ682" s="6"/>
      <c r="CK682" s="6"/>
      <c r="CL682" s="6"/>
      <c r="CM682" s="6"/>
      <c r="CN682" s="6"/>
      <c r="CO682" s="11"/>
      <c r="CP682" s="11"/>
      <c r="CQ682" s="11"/>
      <c r="CR682" s="11"/>
      <c r="CS682" s="11"/>
      <c r="CT682" s="906"/>
      <c r="CU682" s="906"/>
      <c r="CV682" s="906"/>
      <c r="CW682" s="11"/>
      <c r="CX682" s="11"/>
      <c r="CY682" s="906"/>
      <c r="CZ682" s="906"/>
      <c r="DA682" s="906"/>
      <c r="DB682" s="11"/>
      <c r="DC682" s="2862"/>
      <c r="DD682" s="11"/>
      <c r="DE682" s="11"/>
      <c r="DF682" s="11"/>
      <c r="DG682" s="11"/>
      <c r="DH682" s="11"/>
      <c r="DI682" s="11"/>
      <c r="DJ682" s="11"/>
      <c r="DK682" s="11"/>
      <c r="DL682" s="11"/>
      <c r="DM682" s="11"/>
      <c r="DN682" s="11"/>
      <c r="DO682" s="11"/>
      <c r="DP682" s="11"/>
      <c r="DQ682" s="11"/>
      <c r="DR682" s="11"/>
    </row>
    <row r="683" spans="1:122">
      <c r="A683" s="6" t="s">
        <v>1046</v>
      </c>
      <c r="B683" s="6"/>
      <c r="C683" s="6"/>
      <c r="D683" s="6"/>
      <c r="E683" s="6"/>
      <c r="F683" s="6"/>
      <c r="G683" s="6"/>
      <c r="H683" s="6"/>
      <c r="I683" s="6"/>
      <c r="J683" s="89"/>
      <c r="K683" s="89"/>
      <c r="L683" s="6"/>
      <c r="M683" s="6"/>
      <c r="N683" s="6" t="s">
        <v>337</v>
      </c>
      <c r="O683" s="919"/>
      <c r="P683" s="6"/>
      <c r="Q683" s="6"/>
      <c r="R683" s="1076">
        <f>R682+R679</f>
        <v>293.00000000000034</v>
      </c>
      <c r="S683" s="1076">
        <f>S682+S679</f>
        <v>1071.5000000000002</v>
      </c>
      <c r="T683" s="1076">
        <f>T682+T679</f>
        <v>2069.0000000000005</v>
      </c>
      <c r="U683" s="6"/>
      <c r="V683" s="6"/>
      <c r="W683" s="6"/>
      <c r="X683" s="6"/>
      <c r="Y683" s="6"/>
      <c r="Z683" s="6"/>
      <c r="AA683" s="6"/>
      <c r="AB683" s="6"/>
      <c r="AC683" s="6"/>
      <c r="AD683" s="6"/>
      <c r="AE683" s="6"/>
      <c r="AF683" s="6"/>
      <c r="AG683" s="11"/>
      <c r="AH683" s="11"/>
      <c r="AI683" s="11"/>
      <c r="AJ683" s="11"/>
      <c r="AK683" s="11"/>
      <c r="AL683" s="1108"/>
      <c r="AM683" s="6"/>
      <c r="AN683" s="6"/>
      <c r="AO683" s="6"/>
      <c r="AP683" s="6"/>
      <c r="AQ683" s="6"/>
      <c r="AR683" s="6"/>
      <c r="AS683" s="6"/>
      <c r="AT683" s="6"/>
      <c r="AU683" s="11"/>
      <c r="AV683" s="6"/>
      <c r="AW683" s="6"/>
      <c r="AX683" s="6"/>
      <c r="AY683" s="6"/>
      <c r="AZ683" s="90"/>
      <c r="BA683" s="6"/>
      <c r="BB683" s="6"/>
      <c r="BC683" s="6"/>
      <c r="BD683" s="6"/>
      <c r="BE683" s="6"/>
      <c r="BF683" s="6"/>
      <c r="BG683" s="6"/>
      <c r="BH683" s="6"/>
      <c r="BI683" s="90"/>
      <c r="BJ683" s="90"/>
      <c r="BK683" s="90"/>
      <c r="BL683" s="90"/>
      <c r="BM683" s="90"/>
      <c r="BN683" s="90"/>
      <c r="BO683" s="6"/>
      <c r="BP683" s="90"/>
      <c r="BQ683" s="90"/>
      <c r="BR683" s="90"/>
      <c r="BS683" s="90"/>
      <c r="BT683" s="6"/>
      <c r="BU683" s="1076">
        <f>BU682+BU679</f>
        <v>-56.361466858300638</v>
      </c>
      <c r="BV683" s="1076">
        <f>BV682+BV679</f>
        <v>43.810933524868403</v>
      </c>
      <c r="BW683" s="1076">
        <f>BW682+BW679</f>
        <v>259.42739985984582</v>
      </c>
      <c r="BX683" s="1076">
        <f>BX682+BX679</f>
        <v>46.123133473586776</v>
      </c>
      <c r="BY683" s="6"/>
      <c r="BZ683" s="6"/>
      <c r="CA683" s="6"/>
      <c r="CB683" s="6"/>
      <c r="CC683" s="6"/>
      <c r="CD683" s="6"/>
      <c r="CE683" s="6"/>
      <c r="CF683" s="6"/>
      <c r="CG683" s="6"/>
      <c r="CH683" s="6"/>
      <c r="CI683" s="6"/>
      <c r="CJ683" s="6"/>
      <c r="CK683" s="6"/>
      <c r="CL683" s="6"/>
      <c r="CM683" s="6"/>
      <c r="CN683" s="6"/>
      <c r="CO683" s="11"/>
      <c r="CP683" s="11"/>
      <c r="CQ683" s="11"/>
      <c r="CR683" s="11"/>
      <c r="CS683" s="11"/>
      <c r="CT683" s="906"/>
      <c r="CU683" s="906"/>
      <c r="CV683" s="906"/>
      <c r="CW683" s="11"/>
      <c r="CX683" s="11"/>
      <c r="CY683" s="906"/>
      <c r="CZ683" s="906"/>
      <c r="DA683" s="906"/>
      <c r="DB683" s="11"/>
      <c r="DC683" s="2862"/>
      <c r="DD683" s="11"/>
      <c r="DE683" s="11"/>
      <c r="DF683" s="11"/>
      <c r="DG683" s="11"/>
      <c r="DH683" s="11"/>
      <c r="DI683" s="11"/>
      <c r="DJ683" s="11"/>
      <c r="DK683" s="11"/>
      <c r="DL683" s="11"/>
      <c r="DM683" s="11"/>
      <c r="DN683" s="11"/>
      <c r="DO683" s="11"/>
      <c r="DP683" s="11"/>
      <c r="DQ683" s="11"/>
      <c r="DR683" s="11"/>
    </row>
    <row r="684" spans="1:122">
      <c r="A684" s="6" t="s">
        <v>744</v>
      </c>
      <c r="B684" s="6"/>
      <c r="C684" s="6"/>
      <c r="D684" s="6"/>
      <c r="E684" s="6"/>
      <c r="F684" s="6"/>
      <c r="G684" s="6"/>
      <c r="H684" s="6"/>
      <c r="I684" s="6"/>
      <c r="J684" s="89"/>
      <c r="K684" s="89"/>
      <c r="L684" s="6"/>
      <c r="M684" s="6"/>
      <c r="N684" s="6"/>
      <c r="O684" s="919"/>
      <c r="P684" s="6"/>
      <c r="Q684" s="6"/>
      <c r="R684" s="1076">
        <f>(R682-R683)*R664</f>
        <v>56.25</v>
      </c>
      <c r="S684" s="1076">
        <f>(S682-S683)*S664</f>
        <v>57</v>
      </c>
      <c r="T684" s="1076">
        <f>(T682-T683)*T664</f>
        <v>42.68</v>
      </c>
      <c r="U684" s="6"/>
      <c r="V684" s="6"/>
      <c r="W684" s="6"/>
      <c r="X684" s="6"/>
      <c r="Y684" s="6"/>
      <c r="Z684" s="6"/>
      <c r="AA684" s="6"/>
      <c r="AB684" s="6"/>
      <c r="AC684" s="6"/>
      <c r="AD684" s="6"/>
      <c r="AE684" s="6"/>
      <c r="AF684" s="6"/>
      <c r="AG684" s="11"/>
      <c r="AH684" s="11"/>
      <c r="AI684" s="11"/>
      <c r="AJ684" s="11"/>
      <c r="AK684" s="11"/>
      <c r="AL684" s="1108"/>
      <c r="AM684" s="6"/>
      <c r="AN684" s="6"/>
      <c r="AO684" s="6"/>
      <c r="AP684" s="6"/>
      <c r="AQ684" s="6"/>
      <c r="AR684" s="6"/>
      <c r="AS684" s="6"/>
      <c r="AT684" s="6"/>
      <c r="AU684" s="11"/>
      <c r="AV684" s="6"/>
      <c r="AW684" s="6"/>
      <c r="AX684" s="6"/>
      <c r="AY684" s="6"/>
      <c r="AZ684" s="90"/>
      <c r="BA684" s="6"/>
      <c r="BB684" s="6"/>
      <c r="BC684" s="6"/>
      <c r="BD684" s="6"/>
      <c r="BE684" s="6"/>
      <c r="BF684" s="6"/>
      <c r="BG684" s="6"/>
      <c r="BH684" s="6"/>
      <c r="BI684" s="90"/>
      <c r="BJ684" s="90"/>
      <c r="BK684" s="90"/>
      <c r="BL684" s="90"/>
      <c r="BM684" s="90"/>
      <c r="BN684" s="90"/>
      <c r="BO684" s="6"/>
      <c r="BP684" s="90"/>
      <c r="BQ684" s="90"/>
      <c r="BR684" s="90"/>
      <c r="BS684" s="90"/>
      <c r="BT684" s="6"/>
      <c r="BU684" s="1076">
        <f>(BU682-BU683)*BU664</f>
        <v>14.0625</v>
      </c>
      <c r="BV684" s="1076">
        <f>(BV682-BV683)*BV664</f>
        <v>14.0625</v>
      </c>
      <c r="BW684" s="1076">
        <f>(BW682-BW683)*BW664</f>
        <v>14.0625</v>
      </c>
      <c r="BX684" s="1076">
        <f>(BX682-BX683)*BX664</f>
        <v>13.875</v>
      </c>
      <c r="BY684" s="6"/>
      <c r="BZ684" s="6"/>
      <c r="CA684" s="6"/>
      <c r="CB684" s="6"/>
      <c r="CC684" s="6"/>
      <c r="CD684" s="6"/>
      <c r="CE684" s="6"/>
      <c r="CF684" s="6"/>
      <c r="CG684" s="6"/>
      <c r="CH684" s="6"/>
      <c r="CI684" s="6"/>
      <c r="CJ684" s="6"/>
      <c r="CK684" s="6"/>
      <c r="CL684" s="6"/>
      <c r="CM684" s="6"/>
      <c r="CN684" s="6"/>
      <c r="CO684" s="11"/>
      <c r="CP684" s="11"/>
      <c r="CQ684" s="11"/>
      <c r="CR684" s="11"/>
      <c r="CS684" s="11"/>
      <c r="CT684" s="906"/>
      <c r="CU684" s="906"/>
      <c r="CV684" s="906"/>
      <c r="CW684" s="11"/>
      <c r="CX684" s="11"/>
      <c r="CY684" s="906"/>
      <c r="CZ684" s="906"/>
      <c r="DA684" s="906"/>
      <c r="DB684" s="11"/>
      <c r="DC684" s="2862"/>
      <c r="DD684" s="11"/>
      <c r="DE684" s="11"/>
      <c r="DF684" s="11"/>
      <c r="DG684" s="11"/>
      <c r="DH684" s="11"/>
      <c r="DI684" s="11"/>
      <c r="DJ684" s="11"/>
      <c r="DK684" s="11"/>
      <c r="DL684" s="11"/>
      <c r="DM684" s="11"/>
      <c r="DN684" s="11"/>
      <c r="DO684" s="11"/>
      <c r="DP684" s="11"/>
      <c r="DQ684" s="11"/>
      <c r="DR684" s="11"/>
    </row>
    <row r="685" spans="1:122">
      <c r="A685" s="6"/>
      <c r="B685" s="6"/>
      <c r="C685" s="6"/>
      <c r="D685" s="6"/>
      <c r="E685" s="6"/>
      <c r="F685" s="6"/>
      <c r="G685" s="6"/>
      <c r="H685" s="6"/>
      <c r="I685" s="6"/>
      <c r="J685" s="89"/>
      <c r="K685" s="89"/>
      <c r="L685" s="6"/>
      <c r="M685" s="6"/>
      <c r="N685" s="6"/>
      <c r="O685" s="919"/>
      <c r="P685" s="6"/>
      <c r="Q685" s="6"/>
      <c r="R685" s="6"/>
      <c r="S685" s="6"/>
      <c r="T685" s="6"/>
      <c r="U685" s="6"/>
      <c r="V685" s="6"/>
      <c r="W685" s="6"/>
      <c r="X685" s="6"/>
      <c r="Y685" s="6"/>
      <c r="Z685" s="6"/>
      <c r="AA685" s="6"/>
      <c r="AB685" s="6"/>
      <c r="AC685" s="6"/>
      <c r="AD685" s="6"/>
      <c r="AE685" s="6"/>
      <c r="AF685" s="6"/>
      <c r="AG685" s="11"/>
      <c r="AH685" s="11"/>
      <c r="AI685" s="11"/>
      <c r="AJ685" s="11"/>
      <c r="AK685" s="11"/>
      <c r="AL685" s="1108"/>
      <c r="AM685" s="6"/>
      <c r="AN685" s="6"/>
      <c r="AO685" s="6"/>
      <c r="AP685" s="6"/>
      <c r="AQ685" s="6"/>
      <c r="AR685" s="6"/>
      <c r="AS685" s="6"/>
      <c r="AT685" s="6"/>
      <c r="AU685" s="11"/>
      <c r="AV685" s="6"/>
      <c r="AW685" s="6"/>
      <c r="AX685" s="6"/>
      <c r="AY685" s="6"/>
      <c r="AZ685" s="90"/>
      <c r="BA685" s="6"/>
      <c r="BB685" s="6"/>
      <c r="BC685" s="6"/>
      <c r="BD685" s="6"/>
      <c r="BE685" s="6"/>
      <c r="BF685" s="6"/>
      <c r="BG685" s="6"/>
      <c r="BH685" s="6"/>
      <c r="BI685" s="90"/>
      <c r="BJ685" s="90"/>
      <c r="BK685" s="90"/>
      <c r="BL685" s="90"/>
      <c r="BM685" s="90"/>
      <c r="BN685" s="90"/>
      <c r="BO685" s="6"/>
      <c r="BP685" s="90"/>
      <c r="BQ685" s="90"/>
      <c r="BR685" s="90"/>
      <c r="BS685" s="90"/>
      <c r="BT685" s="6"/>
      <c r="BU685" s="6"/>
      <c r="BV685" s="6"/>
      <c r="BW685" s="6"/>
      <c r="BX685" s="6"/>
      <c r="BY685" s="6"/>
      <c r="BZ685" s="6"/>
      <c r="CA685" s="6"/>
      <c r="CB685" s="6"/>
      <c r="CC685" s="6"/>
      <c r="CD685" s="6"/>
      <c r="CE685" s="6"/>
      <c r="CF685" s="6"/>
      <c r="CG685" s="6"/>
      <c r="CH685" s="6"/>
      <c r="CI685" s="6"/>
      <c r="CJ685" s="6"/>
      <c r="CK685" s="6"/>
      <c r="CL685" s="6"/>
      <c r="CM685" s="6"/>
      <c r="CN685" s="6"/>
      <c r="CO685" s="11"/>
      <c r="CP685" s="11"/>
      <c r="CQ685" s="11"/>
      <c r="CR685" s="11"/>
      <c r="CS685" s="11"/>
      <c r="CT685" s="906"/>
      <c r="CU685" s="906"/>
      <c r="CV685" s="906"/>
      <c r="CW685" s="11"/>
      <c r="CX685" s="11"/>
      <c r="CY685" s="906"/>
      <c r="CZ685" s="906"/>
      <c r="DA685" s="906"/>
      <c r="DB685" s="11"/>
      <c r="DC685" s="2862"/>
      <c r="DD685" s="11"/>
      <c r="DE685" s="11"/>
      <c r="DF685" s="11"/>
      <c r="DG685" s="11"/>
      <c r="DH685" s="11"/>
      <c r="DI685" s="11"/>
      <c r="DJ685" s="11"/>
      <c r="DK685" s="11"/>
      <c r="DL685" s="11"/>
      <c r="DM685" s="11"/>
      <c r="DN685" s="11"/>
      <c r="DO685" s="11"/>
      <c r="DP685" s="11"/>
      <c r="DQ685" s="11"/>
      <c r="DR685" s="11"/>
    </row>
    <row r="686" spans="1:122">
      <c r="A686" s="6"/>
      <c r="B686" s="6"/>
      <c r="C686" s="6"/>
      <c r="D686" s="6"/>
      <c r="E686" s="6"/>
      <c r="F686" s="6"/>
      <c r="G686" s="6"/>
      <c r="H686" s="6"/>
      <c r="I686" s="6"/>
      <c r="J686" s="89"/>
      <c r="K686" s="89"/>
      <c r="L686" s="6"/>
      <c r="M686" s="6"/>
      <c r="N686" s="6"/>
      <c r="O686" s="919"/>
      <c r="P686" s="6"/>
      <c r="Q686" s="6"/>
      <c r="R686" s="6"/>
      <c r="S686" s="6"/>
      <c r="T686" s="6"/>
      <c r="U686" s="6"/>
      <c r="V686" s="6"/>
      <c r="W686" s="6"/>
      <c r="X686" s="6"/>
      <c r="Y686" s="6"/>
      <c r="Z686" s="6"/>
      <c r="AA686" s="6"/>
      <c r="AB686" s="6"/>
      <c r="AC686" s="6"/>
      <c r="AD686" s="6"/>
      <c r="AE686" s="6"/>
      <c r="AF686" s="6"/>
      <c r="AG686" s="11"/>
      <c r="AH686" s="11"/>
      <c r="AI686" s="11"/>
      <c r="AJ686" s="11"/>
      <c r="AK686" s="11"/>
      <c r="AL686" s="1108"/>
      <c r="AM686" s="6"/>
      <c r="AN686" s="6"/>
      <c r="AO686" s="6"/>
      <c r="AP686" s="6"/>
      <c r="AQ686" s="6"/>
      <c r="AR686" s="6"/>
      <c r="AS686" s="6"/>
      <c r="AT686" s="6"/>
      <c r="AU686" s="11"/>
      <c r="AV686" s="6"/>
      <c r="AW686" s="6"/>
      <c r="AX686" s="6"/>
      <c r="AY686" s="6"/>
      <c r="AZ686" s="90"/>
      <c r="BA686" s="6"/>
      <c r="BB686" s="6"/>
      <c r="BC686" s="6"/>
      <c r="BD686" s="6"/>
      <c r="BE686" s="6"/>
      <c r="BF686" s="6"/>
      <c r="BG686" s="6"/>
      <c r="BH686" s="6"/>
      <c r="BI686" s="90"/>
      <c r="BJ686" s="90"/>
      <c r="BK686" s="90"/>
      <c r="BL686" s="90"/>
      <c r="BM686" s="90"/>
      <c r="BN686" s="90"/>
      <c r="BO686" s="6"/>
      <c r="BP686" s="90"/>
      <c r="BQ686" s="90"/>
      <c r="BR686" s="90"/>
      <c r="BS686" s="90"/>
      <c r="BT686" s="6"/>
      <c r="BU686" s="6"/>
      <c r="BV686" s="6"/>
      <c r="BW686" s="6"/>
      <c r="BX686" s="6"/>
      <c r="BY686" s="6"/>
      <c r="BZ686" s="6"/>
      <c r="CA686" s="6"/>
      <c r="CB686" s="6"/>
      <c r="CC686" s="6"/>
      <c r="CD686" s="6"/>
      <c r="CE686" s="6"/>
      <c r="CF686" s="6"/>
      <c r="CG686" s="6"/>
      <c r="CH686" s="6"/>
      <c r="CI686" s="6"/>
      <c r="CJ686" s="6"/>
      <c r="CK686" s="6"/>
      <c r="CL686" s="6"/>
      <c r="CM686" s="6"/>
      <c r="CN686" s="6"/>
      <c r="CO686" s="11"/>
      <c r="CP686" s="11"/>
      <c r="CQ686" s="11"/>
      <c r="CR686" s="11"/>
      <c r="CS686" s="11"/>
      <c r="CT686" s="906"/>
      <c r="CU686" s="906"/>
      <c r="CV686" s="906"/>
      <c r="CW686" s="11"/>
      <c r="CX686" s="11"/>
      <c r="CY686" s="906"/>
      <c r="CZ686" s="906"/>
      <c r="DA686" s="906"/>
      <c r="DB686" s="11"/>
      <c r="DC686" s="2862"/>
      <c r="DD686" s="11"/>
      <c r="DE686" s="11"/>
      <c r="DF686" s="11"/>
      <c r="DG686" s="11"/>
      <c r="DH686" s="11"/>
      <c r="DI686" s="11"/>
      <c r="DJ686" s="11"/>
      <c r="DK686" s="11"/>
      <c r="DL686" s="11"/>
      <c r="DM686" s="11"/>
      <c r="DN686" s="11"/>
      <c r="DO686" s="11"/>
      <c r="DP686" s="11"/>
      <c r="DQ686" s="11"/>
      <c r="DR686" s="11"/>
    </row>
    <row r="687" spans="1:122" customFormat="1"/>
    <row r="688" spans="1:122">
      <c r="A688" s="6"/>
      <c r="B688" s="6"/>
      <c r="C688" s="6"/>
      <c r="D688" s="6"/>
      <c r="E688" s="6"/>
      <c r="F688" s="6"/>
      <c r="G688" s="6"/>
      <c r="H688" s="6"/>
      <c r="I688" s="6"/>
      <c r="J688" s="89"/>
      <c r="K688" s="89"/>
      <c r="L688" s="6"/>
      <c r="M688" s="6"/>
      <c r="N688" s="6"/>
      <c r="O688" s="919"/>
      <c r="P688" s="6"/>
      <c r="Q688" s="6"/>
      <c r="R688" s="6"/>
      <c r="S688" s="6"/>
      <c r="T688" s="6"/>
      <c r="U688" s="6"/>
      <c r="V688" s="6"/>
      <c r="W688" s="6"/>
      <c r="X688" s="6"/>
      <c r="Y688" s="6"/>
      <c r="Z688" s="6"/>
      <c r="AA688" s="6"/>
      <c r="AB688" s="6"/>
      <c r="AC688" s="6"/>
      <c r="AD688" s="6"/>
      <c r="AE688" s="6"/>
      <c r="AF688" s="6"/>
      <c r="AG688" s="11"/>
      <c r="AH688" s="11"/>
      <c r="AI688" s="11"/>
      <c r="AJ688" s="11"/>
      <c r="AK688" s="11"/>
      <c r="AL688" s="1108"/>
      <c r="AM688" s="1108"/>
      <c r="AN688" s="1108"/>
      <c r="AO688" s="6"/>
      <c r="AP688" s="6"/>
      <c r="AQ688" s="6"/>
      <c r="AR688" s="6"/>
      <c r="AS688" s="6"/>
      <c r="AT688" s="6"/>
      <c r="AU688" s="11"/>
      <c r="AV688" s="6"/>
      <c r="AW688" s="6"/>
      <c r="AX688" s="6"/>
      <c r="AY688" s="6"/>
      <c r="AZ688" s="90"/>
      <c r="BA688" s="6"/>
      <c r="BB688" s="6"/>
      <c r="BC688" s="6"/>
      <c r="BD688" s="6"/>
      <c r="BE688" s="6"/>
      <c r="BF688" s="6"/>
      <c r="BG688" s="6"/>
      <c r="BH688" s="11"/>
      <c r="BI688" s="90"/>
      <c r="BJ688" s="90"/>
      <c r="BK688" s="90"/>
      <c r="BL688" s="90"/>
      <c r="BM688" s="90"/>
      <c r="BN688" s="90"/>
      <c r="BO688" s="6"/>
      <c r="BP688" s="6"/>
      <c r="BQ688" s="6"/>
      <c r="BR688" s="6"/>
      <c r="BS688" s="6"/>
      <c r="BT688" s="6"/>
      <c r="BU688" s="6"/>
      <c r="BV688" s="6"/>
      <c r="BW688" s="6"/>
      <c r="BX688" s="6"/>
      <c r="BY688" s="6"/>
      <c r="BZ688" s="6"/>
      <c r="CA688" s="6"/>
      <c r="CB688" s="6"/>
      <c r="CC688" s="6"/>
      <c r="CD688" s="6"/>
      <c r="CE688" s="6"/>
      <c r="CF688" s="6"/>
      <c r="CG688" s="6"/>
      <c r="CH688" s="6"/>
      <c r="CI688" s="6"/>
      <c r="CJ688" s="6"/>
      <c r="CK688" s="6"/>
      <c r="CL688" s="6"/>
      <c r="CM688" s="6"/>
      <c r="CN688" s="6"/>
      <c r="CO688" s="11"/>
      <c r="CP688" s="11"/>
      <c r="CQ688" s="11"/>
      <c r="CR688" s="11"/>
      <c r="CS688" s="11"/>
      <c r="CT688" s="906"/>
      <c r="CU688" s="906"/>
      <c r="CV688" s="906"/>
      <c r="CW688" s="11"/>
      <c r="CX688" s="11"/>
      <c r="CY688" s="906"/>
      <c r="CZ688" s="906"/>
      <c r="DA688" s="906"/>
      <c r="DB688" s="11"/>
      <c r="DC688" s="2862"/>
      <c r="DD688" s="11"/>
      <c r="DE688" s="11"/>
      <c r="DF688" s="11"/>
      <c r="DG688" s="11"/>
      <c r="DH688" s="11"/>
      <c r="DI688" s="11"/>
      <c r="DJ688" s="11"/>
      <c r="DK688" s="11"/>
      <c r="DL688" s="11"/>
      <c r="DM688" s="11"/>
      <c r="DN688" s="11"/>
      <c r="DO688" s="11"/>
      <c r="DP688" s="11"/>
      <c r="DQ688" s="11"/>
      <c r="DR688" s="11"/>
    </row>
    <row r="689" spans="1:122">
      <c r="A689" s="6" t="s">
        <v>763</v>
      </c>
      <c r="B689" s="6"/>
      <c r="C689" s="6"/>
      <c r="D689" s="6"/>
      <c r="E689" s="6"/>
      <c r="F689" s="6"/>
      <c r="G689" s="6"/>
      <c r="H689" s="6"/>
      <c r="I689" s="13">
        <f t="shared" ref="I689:Z689" si="998">I282</f>
        <v>-16.8</v>
      </c>
      <c r="J689" s="13">
        <f t="shared" si="998"/>
        <v>-3.4</v>
      </c>
      <c r="K689" s="13">
        <f t="shared" si="998"/>
        <v>-29.5</v>
      </c>
      <c r="L689" s="13">
        <f t="shared" si="998"/>
        <v>-110</v>
      </c>
      <c r="M689" s="13">
        <f t="shared" si="998"/>
        <v>-42.3</v>
      </c>
      <c r="N689" s="13">
        <f t="shared" si="998"/>
        <v>-40.200000000000003</v>
      </c>
      <c r="O689" s="919"/>
      <c r="P689" s="13"/>
      <c r="Q689" s="13"/>
      <c r="R689" s="13">
        <f t="shared" si="998"/>
        <v>-55.6</v>
      </c>
      <c r="S689" s="13">
        <f t="shared" si="998"/>
        <v>-89.9</v>
      </c>
      <c r="T689" s="13">
        <f t="shared" si="998"/>
        <v>-79</v>
      </c>
      <c r="U689" s="13">
        <f t="shared" si="998"/>
        <v>-91</v>
      </c>
      <c r="V689" s="13">
        <f t="shared" si="998"/>
        <v>-176</v>
      </c>
      <c r="W689" s="13">
        <f t="shared" si="998"/>
        <v>-98</v>
      </c>
      <c r="X689" s="13"/>
      <c r="Y689" s="13"/>
      <c r="Z689" s="13">
        <f t="shared" si="998"/>
        <v>-98</v>
      </c>
      <c r="AA689" s="13">
        <f t="shared" ref="AA689:AH689" si="999">AA282</f>
        <v>-81</v>
      </c>
      <c r="AB689" s="13"/>
      <c r="AC689" s="13">
        <f t="shared" si="999"/>
        <v>-85.05</v>
      </c>
      <c r="AD689" s="13">
        <f t="shared" si="999"/>
        <v>-89.302499999999995</v>
      </c>
      <c r="AE689" s="13">
        <f t="shared" si="999"/>
        <v>-93.767624999999995</v>
      </c>
      <c r="AF689" s="13">
        <f t="shared" si="999"/>
        <v>-98.456006250000002</v>
      </c>
      <c r="AG689" s="14">
        <f t="shared" si="999"/>
        <v>-103.3788065625</v>
      </c>
      <c r="AH689" s="14">
        <f t="shared" si="999"/>
        <v>-108.54774689062501</v>
      </c>
      <c r="AI689" s="14">
        <f t="shared" ref="AI689:AN689" si="1000">AI282</f>
        <v>-113.97513423515626</v>
      </c>
      <c r="AJ689" s="14">
        <f t="shared" si="1000"/>
        <v>-119.67389094691409</v>
      </c>
      <c r="AK689" s="14">
        <f t="shared" si="1000"/>
        <v>-125.65758549425979</v>
      </c>
      <c r="AL689" s="1357">
        <f t="shared" si="1000"/>
        <v>-131.94046476897279</v>
      </c>
      <c r="AM689" s="1357">
        <f t="shared" si="1000"/>
        <v>-138.53748800742144</v>
      </c>
      <c r="AN689" s="1357">
        <f t="shared" si="1000"/>
        <v>-145.46436240779252</v>
      </c>
      <c r="AO689" s="6"/>
      <c r="AP689" s="6"/>
      <c r="AQ689" s="6"/>
      <c r="AR689" s="6"/>
      <c r="AS689" s="6"/>
      <c r="AT689" s="6"/>
      <c r="AU689" s="11"/>
      <c r="AV689" s="6"/>
      <c r="AW689" s="6"/>
      <c r="AX689" s="6"/>
      <c r="AY689" s="6"/>
      <c r="AZ689" s="90"/>
      <c r="BA689" s="6"/>
      <c r="BB689" s="6"/>
      <c r="BC689" s="6"/>
      <c r="BD689" s="6"/>
      <c r="BE689" s="6"/>
      <c r="BF689" s="6"/>
      <c r="BG689" s="6"/>
      <c r="BH689" s="11"/>
      <c r="BI689" s="90"/>
      <c r="BJ689" s="90"/>
      <c r="BK689" s="90"/>
      <c r="BL689" s="90"/>
      <c r="BM689" s="90"/>
      <c r="BN689" s="90"/>
      <c r="BO689" s="6"/>
      <c r="BP689" s="6"/>
      <c r="BQ689" s="6"/>
      <c r="BR689" s="6"/>
      <c r="BS689" s="6"/>
      <c r="BT689" s="6"/>
      <c r="BU689" s="6"/>
      <c r="BV689" s="6"/>
      <c r="BW689" s="6"/>
      <c r="BX689" s="6"/>
      <c r="BY689" s="6"/>
      <c r="BZ689" s="6"/>
      <c r="CA689" s="6"/>
      <c r="CB689" s="6"/>
      <c r="CC689" s="6"/>
      <c r="CD689" s="6"/>
      <c r="CE689" s="6"/>
      <c r="CF689" s="6"/>
      <c r="CG689" s="6"/>
      <c r="CH689" s="6"/>
      <c r="CI689" s="6"/>
      <c r="CJ689" s="6"/>
      <c r="CK689" s="6"/>
      <c r="CL689" s="6"/>
      <c r="CM689" s="6"/>
      <c r="CN689" s="6"/>
      <c r="CO689" s="11"/>
      <c r="CP689" s="11"/>
      <c r="CQ689" s="11"/>
      <c r="CR689" s="11"/>
      <c r="CS689" s="11"/>
      <c r="CT689" s="906"/>
      <c r="CU689" s="906"/>
      <c r="CV689" s="906"/>
      <c r="CW689" s="11"/>
      <c r="CX689" s="11"/>
      <c r="CY689" s="906"/>
      <c r="CZ689" s="906"/>
      <c r="DA689" s="906"/>
      <c r="DB689" s="11"/>
      <c r="DC689" s="2862"/>
      <c r="DD689" s="11"/>
      <c r="DE689" s="11"/>
      <c r="DF689" s="11"/>
      <c r="DG689" s="11"/>
      <c r="DH689" s="11"/>
      <c r="DI689" s="11"/>
      <c r="DJ689" s="11"/>
      <c r="DK689" s="11"/>
      <c r="DL689" s="11"/>
      <c r="DM689" s="11"/>
      <c r="DN689" s="11"/>
      <c r="DO689" s="11"/>
      <c r="DP689" s="11"/>
      <c r="DQ689" s="11"/>
      <c r="DR689" s="11"/>
    </row>
    <row r="690" spans="1:122">
      <c r="A690" s="183" t="s">
        <v>386</v>
      </c>
      <c r="B690" s="6"/>
      <c r="C690" s="6"/>
      <c r="D690" s="6"/>
      <c r="E690" s="6"/>
      <c r="F690" s="6"/>
      <c r="G690" s="6"/>
      <c r="H690" s="6"/>
      <c r="I690" s="37">
        <f>-I307</f>
        <v>44674.600000000006</v>
      </c>
      <c r="J690" s="37">
        <f>-J307</f>
        <v>12452.999999999991</v>
      </c>
      <c r="K690" s="37">
        <f>-K307</f>
        <v>-12705.399999999996</v>
      </c>
      <c r="L690" s="37">
        <f>-L307</f>
        <v>492.90000000000151</v>
      </c>
      <c r="M690" s="37">
        <f>-M307</f>
        <v>-3557.6000000000045</v>
      </c>
      <c r="N690" s="14">
        <f t="shared" ref="N690:V690" si="1001">+N293+N294+N256</f>
        <v>122.7</v>
      </c>
      <c r="O690" s="919"/>
      <c r="P690" s="14"/>
      <c r="Q690" s="14"/>
      <c r="R690" s="14">
        <f t="shared" si="1001"/>
        <v>116.89999999999999</v>
      </c>
      <c r="S690" s="14">
        <f t="shared" si="1001"/>
        <v>105.39999999999999</v>
      </c>
      <c r="T690" s="14">
        <f t="shared" si="1001"/>
        <v>-801</v>
      </c>
      <c r="U690" s="14">
        <f t="shared" si="1001"/>
        <v>-816</v>
      </c>
      <c r="V690" s="14">
        <f t="shared" si="1001"/>
        <v>-1810</v>
      </c>
      <c r="W690" s="14">
        <f t="shared" ref="W690:AF690" si="1002">+W293+W294+W256</f>
        <v>-3061</v>
      </c>
      <c r="X690" s="14"/>
      <c r="Y690" s="14"/>
      <c r="Z690" s="14">
        <f t="shared" si="1002"/>
        <v>-2505</v>
      </c>
      <c r="AA690" s="14">
        <f t="shared" si="1002"/>
        <v>-2852</v>
      </c>
      <c r="AB690" s="14"/>
      <c r="AC690" s="14">
        <f t="shared" si="1002"/>
        <v>-887.5839221940679</v>
      </c>
      <c r="AD690" s="14">
        <f t="shared" si="1002"/>
        <v>-656.94303160161223</v>
      </c>
      <c r="AE690" s="14">
        <f t="shared" si="1002"/>
        <v>-1236.8922788823047</v>
      </c>
      <c r="AF690" s="14">
        <f t="shared" si="1002"/>
        <v>-1259.7945596675588</v>
      </c>
      <c r="AG690" s="14">
        <f t="shared" ref="AG690:AL690" si="1003">+AG293+AG294+AG256</f>
        <v>-1266.2933763996677</v>
      </c>
      <c r="AH690" s="14">
        <f t="shared" si="1003"/>
        <v>-1270.8166219863938</v>
      </c>
      <c r="AI690" s="14">
        <f t="shared" si="1003"/>
        <v>-1273.0484845082451</v>
      </c>
      <c r="AJ690" s="14">
        <f t="shared" si="1003"/>
        <v>-1272.6302870191967</v>
      </c>
      <c r="AK690" s="14">
        <f t="shared" si="1003"/>
        <v>-1269.1547742480589</v>
      </c>
      <c r="AL690" s="1357">
        <f t="shared" si="1003"/>
        <v>-1262.1596393469849</v>
      </c>
      <c r="AM690" s="1357">
        <f>+AM293+AM294+AM256</f>
        <v>-1251.1201896163982</v>
      </c>
      <c r="AN690" s="1357">
        <f>+AN293+AN294+AN256</f>
        <v>-1235.4410366934299</v>
      </c>
      <c r="AO690" s="14"/>
      <c r="AP690" s="14"/>
      <c r="AQ690" s="14"/>
      <c r="AR690" s="14"/>
      <c r="AS690" s="14"/>
      <c r="AT690" s="6"/>
      <c r="AU690" s="11"/>
      <c r="AV690" s="6"/>
      <c r="AW690" s="6"/>
      <c r="AX690" s="6"/>
      <c r="AY690" s="6"/>
      <c r="AZ690" s="90"/>
      <c r="BA690" s="6"/>
      <c r="BB690" s="6"/>
      <c r="BC690" s="6"/>
      <c r="BD690" s="6"/>
      <c r="BE690" s="6"/>
      <c r="BF690" s="6"/>
      <c r="BG690" s="6"/>
      <c r="BH690" s="11"/>
      <c r="BI690" s="90"/>
      <c r="BJ690" s="90"/>
      <c r="BK690" s="90"/>
      <c r="BL690" s="90"/>
      <c r="BM690" s="90"/>
      <c r="BN690" s="90"/>
      <c r="BO690" s="6"/>
      <c r="BP690" s="6"/>
      <c r="BQ690" s="6"/>
      <c r="BR690" s="6"/>
      <c r="BS690" s="6"/>
      <c r="BT690" s="6"/>
      <c r="BU690" s="6"/>
      <c r="BV690" s="6"/>
      <c r="BW690" s="6"/>
      <c r="BX690" s="6"/>
      <c r="BY690" s="6"/>
      <c r="BZ690" s="6"/>
      <c r="CA690" s="6"/>
      <c r="CB690" s="6"/>
      <c r="CC690" s="6"/>
      <c r="CD690" s="6"/>
      <c r="CE690" s="6"/>
      <c r="CF690" s="6"/>
      <c r="CG690" s="6"/>
      <c r="CH690" s="6"/>
      <c r="CI690" s="6"/>
      <c r="CJ690" s="6"/>
      <c r="CK690" s="6"/>
      <c r="CL690" s="6"/>
      <c r="CM690" s="6"/>
      <c r="CN690" s="6"/>
      <c r="CO690" s="11"/>
      <c r="CP690" s="11"/>
      <c r="CQ690" s="11"/>
      <c r="CR690" s="11"/>
      <c r="CS690" s="11"/>
      <c r="CT690" s="906"/>
      <c r="CU690" s="906"/>
      <c r="CV690" s="906"/>
      <c r="CW690" s="11"/>
      <c r="CX690" s="11"/>
      <c r="CY690" s="906"/>
      <c r="CZ690" s="906"/>
      <c r="DA690" s="906"/>
      <c r="DB690" s="11"/>
      <c r="DC690" s="2862"/>
      <c r="DD690" s="11"/>
      <c r="DE690" s="11"/>
      <c r="DF690" s="11"/>
      <c r="DG690" s="11"/>
      <c r="DH690" s="11"/>
      <c r="DI690" s="11"/>
      <c r="DJ690" s="11"/>
      <c r="DK690" s="11"/>
      <c r="DL690" s="11"/>
      <c r="DM690" s="11"/>
      <c r="DN690" s="11"/>
      <c r="DO690" s="11"/>
      <c r="DP690" s="11"/>
      <c r="DQ690" s="11"/>
      <c r="DR690" s="11"/>
    </row>
    <row r="691" spans="1:122">
      <c r="A691" s="6" t="s">
        <v>337</v>
      </c>
      <c r="B691" s="6"/>
      <c r="C691" s="6"/>
      <c r="D691" s="6"/>
      <c r="E691" s="6"/>
      <c r="F691" s="6"/>
      <c r="G691" s="6"/>
      <c r="H691" s="6"/>
      <c r="I691" s="6">
        <v>1504</v>
      </c>
      <c r="J691" s="89"/>
      <c r="K691" s="89"/>
      <c r="L691" s="6"/>
      <c r="M691" s="6">
        <v>1000</v>
      </c>
      <c r="N691" s="6">
        <v>-623.4</v>
      </c>
      <c r="O691" s="919"/>
      <c r="P691" s="6"/>
      <c r="Q691" s="6"/>
      <c r="R691" s="6"/>
      <c r="S691" s="6"/>
      <c r="T691" s="6"/>
      <c r="U691" s="6"/>
      <c r="V691" s="6"/>
      <c r="W691" s="6"/>
      <c r="X691" s="6"/>
      <c r="Y691" s="6"/>
      <c r="Z691" s="6"/>
      <c r="AA691" s="6"/>
      <c r="AB691" s="6"/>
      <c r="AC691" s="6"/>
      <c r="AD691" s="6"/>
      <c r="AE691" s="6"/>
      <c r="AF691" s="6"/>
      <c r="AG691" s="6"/>
      <c r="AH691" s="6"/>
      <c r="AI691" s="6"/>
      <c r="AJ691" s="6"/>
      <c r="AK691" s="6"/>
      <c r="AL691" s="6"/>
      <c r="AM691" s="6"/>
      <c r="AN691" s="6"/>
      <c r="AO691" s="6"/>
      <c r="AP691" s="6"/>
      <c r="AQ691" s="6"/>
      <c r="AR691" s="6"/>
      <c r="AS691" s="6"/>
      <c r="AT691" s="6"/>
      <c r="AU691" s="11"/>
      <c r="AV691" s="6"/>
      <c r="AW691" s="6"/>
      <c r="AX691" s="6"/>
      <c r="AY691" s="6"/>
      <c r="AZ691" s="90"/>
      <c r="BA691" s="6"/>
      <c r="BB691" s="6"/>
      <c r="BC691" s="6"/>
      <c r="BD691" s="6"/>
      <c r="BE691" s="6"/>
      <c r="BF691" s="6"/>
      <c r="BG691" s="6"/>
      <c r="BH691" s="11"/>
      <c r="BI691" s="90"/>
      <c r="BJ691" s="90"/>
      <c r="BK691" s="90"/>
      <c r="BL691" s="90"/>
      <c r="BM691" s="90"/>
      <c r="BN691" s="90"/>
      <c r="BO691" s="6"/>
      <c r="BP691" s="6"/>
      <c r="BQ691" s="6"/>
      <c r="BR691" s="6"/>
      <c r="BS691" s="6"/>
      <c r="BT691" s="6"/>
      <c r="BU691" s="6"/>
      <c r="BV691" s="6"/>
      <c r="BW691" s="6"/>
      <c r="BX691" s="6"/>
      <c r="BY691" s="6"/>
      <c r="BZ691" s="6"/>
      <c r="CA691" s="6"/>
      <c r="CB691" s="6"/>
      <c r="CC691" s="6"/>
      <c r="CD691" s="6"/>
      <c r="CE691" s="6"/>
      <c r="CF691" s="6"/>
      <c r="CG691" s="6"/>
      <c r="CH691" s="6"/>
      <c r="CI691" s="6"/>
      <c r="CJ691" s="6"/>
      <c r="CK691" s="6"/>
      <c r="CL691" s="6"/>
      <c r="CM691" s="6"/>
      <c r="CN691" s="6"/>
      <c r="CO691" s="11"/>
      <c r="CP691" s="11"/>
      <c r="CQ691" s="11"/>
      <c r="CR691" s="11"/>
      <c r="CS691" s="11"/>
      <c r="CT691" s="906"/>
      <c r="CU691" s="906"/>
      <c r="CV691" s="906"/>
      <c r="CW691" s="11"/>
      <c r="CX691" s="11"/>
      <c r="CY691" s="906"/>
      <c r="CZ691" s="906"/>
      <c r="DA691" s="906"/>
      <c r="DB691" s="11"/>
      <c r="DC691" s="2862"/>
      <c r="DD691" s="11"/>
      <c r="DE691" s="11"/>
      <c r="DF691" s="11"/>
      <c r="DG691" s="11"/>
      <c r="DH691" s="11"/>
      <c r="DI691" s="11"/>
      <c r="DJ691" s="11"/>
      <c r="DK691" s="11"/>
      <c r="DL691" s="11"/>
      <c r="DM691" s="11"/>
      <c r="DN691" s="11"/>
      <c r="DO691" s="11"/>
      <c r="DP691" s="11"/>
      <c r="DQ691" s="11"/>
      <c r="DR691" s="11"/>
    </row>
    <row r="692" spans="1:122">
      <c r="A692" s="4"/>
      <c r="B692" s="6"/>
      <c r="C692" s="6"/>
      <c r="D692" s="6"/>
      <c r="E692" s="6"/>
      <c r="F692" s="6"/>
      <c r="G692" s="6"/>
      <c r="H692" s="6"/>
      <c r="I692" s="254"/>
      <c r="J692" s="89"/>
      <c r="K692" s="4"/>
      <c r="L692" s="11"/>
      <c r="M692" s="6"/>
      <c r="N692" s="6"/>
      <c r="O692" s="919"/>
      <c r="P692" s="6"/>
      <c r="Q692" s="6"/>
      <c r="R692" s="6"/>
      <c r="S692" s="6"/>
      <c r="T692" s="6"/>
      <c r="U692" s="6"/>
      <c r="V692" s="6"/>
      <c r="W692" s="6"/>
      <c r="X692" s="6"/>
      <c r="Y692" s="6"/>
      <c r="Z692" s="6"/>
      <c r="AA692" s="6"/>
      <c r="AB692" s="6"/>
      <c r="AC692" s="6"/>
      <c r="AD692" s="6"/>
      <c r="AE692" s="6"/>
      <c r="AF692" s="6"/>
      <c r="AG692" s="11"/>
      <c r="AH692" s="11"/>
      <c r="AI692" s="11"/>
      <c r="AJ692" s="11"/>
      <c r="AK692" s="11"/>
      <c r="AL692" s="1108"/>
      <c r="AM692" s="1108"/>
      <c r="AN692" s="1108"/>
      <c r="AO692" s="6"/>
      <c r="AP692" s="6"/>
      <c r="AQ692" s="6"/>
      <c r="AR692" s="6"/>
      <c r="AS692" s="6"/>
      <c r="AT692" s="6"/>
      <c r="AU692" s="11"/>
      <c r="AV692" s="6"/>
      <c r="AW692" s="6"/>
      <c r="AX692" s="6"/>
      <c r="AY692" s="6"/>
      <c r="AZ692" s="90"/>
      <c r="BA692" s="6"/>
      <c r="BB692" s="6"/>
      <c r="BC692" s="6"/>
      <c r="BD692" s="6"/>
      <c r="BE692" s="6"/>
      <c r="BF692" s="6"/>
      <c r="BG692" s="6"/>
      <c r="BH692" s="11"/>
      <c r="BI692" s="90"/>
      <c r="BJ692" s="90"/>
      <c r="BK692" s="90"/>
      <c r="BL692" s="90"/>
      <c r="BM692" s="90"/>
      <c r="BN692" s="90"/>
      <c r="BO692" s="6"/>
      <c r="BP692" s="6"/>
      <c r="BQ692" s="6"/>
      <c r="BR692" s="6"/>
      <c r="BS692" s="6"/>
      <c r="BT692" s="6"/>
      <c r="BU692" s="6"/>
      <c r="BV692" s="6"/>
      <c r="BW692" s="6"/>
      <c r="BX692" s="6"/>
      <c r="BY692" s="6"/>
      <c r="BZ692" s="6"/>
      <c r="CA692" s="6"/>
      <c r="CB692" s="6"/>
      <c r="CC692" s="6"/>
      <c r="CD692" s="6"/>
      <c r="CE692" s="6"/>
      <c r="CF692" s="6"/>
      <c r="CG692" s="6"/>
      <c r="CH692" s="6"/>
      <c r="CI692" s="6"/>
      <c r="CJ692" s="6"/>
      <c r="CK692" s="6"/>
      <c r="CL692" s="6"/>
      <c r="CM692" s="6"/>
      <c r="CN692" s="6"/>
      <c r="CO692" s="11"/>
      <c r="CP692" s="11"/>
      <c r="CQ692" s="11"/>
      <c r="CR692" s="11"/>
      <c r="CS692" s="11"/>
      <c r="CT692" s="906"/>
      <c r="CU692" s="906"/>
      <c r="CV692" s="906"/>
      <c r="CW692" s="11"/>
      <c r="CX692" s="11"/>
      <c r="CY692" s="906"/>
      <c r="CZ692" s="906"/>
      <c r="DA692" s="906"/>
      <c r="DB692" s="11"/>
      <c r="DC692" s="2862"/>
      <c r="DD692" s="11"/>
      <c r="DE692" s="11"/>
      <c r="DF692" s="11"/>
      <c r="DG692" s="11"/>
      <c r="DH692" s="11"/>
      <c r="DI692" s="11"/>
      <c r="DJ692" s="11"/>
      <c r="DK692" s="11"/>
      <c r="DL692" s="11"/>
      <c r="DM692" s="11"/>
      <c r="DN692" s="11"/>
      <c r="DO692" s="11"/>
      <c r="DP692" s="11"/>
      <c r="DQ692" s="11"/>
      <c r="DR692" s="11"/>
    </row>
    <row r="693" spans="1:122">
      <c r="A693" s="6" t="s">
        <v>1427</v>
      </c>
      <c r="B693" s="6"/>
      <c r="C693" s="6"/>
      <c r="D693" s="6"/>
      <c r="E693" s="6"/>
      <c r="F693" s="6"/>
      <c r="G693" s="6"/>
      <c r="H693" s="6"/>
      <c r="I693" s="6"/>
      <c r="J693" s="89"/>
      <c r="K693" s="89"/>
      <c r="L693" s="6"/>
      <c r="M693" s="6"/>
      <c r="N693" s="13">
        <v>0</v>
      </c>
      <c r="O693" s="919"/>
      <c r="P693" s="13"/>
      <c r="Q693" s="13"/>
      <c r="R693" s="13">
        <v>0</v>
      </c>
      <c r="S693" s="13">
        <v>0</v>
      </c>
      <c r="T693" s="13">
        <v>0</v>
      </c>
      <c r="U693" s="13">
        <v>0</v>
      </c>
      <c r="V693" s="13">
        <v>0</v>
      </c>
      <c r="W693" s="13">
        <v>0</v>
      </c>
      <c r="X693" s="13"/>
      <c r="Y693" s="13"/>
      <c r="Z693" s="13">
        <v>0</v>
      </c>
      <c r="AA693" s="13">
        <v>0</v>
      </c>
      <c r="AB693" s="13"/>
      <c r="AC693" s="13">
        <v>0</v>
      </c>
      <c r="AD693" s="13">
        <v>0</v>
      </c>
      <c r="AE693" s="13">
        <v>0</v>
      </c>
      <c r="AF693" s="13">
        <v>0</v>
      </c>
      <c r="AG693" s="14">
        <v>0</v>
      </c>
      <c r="AH693" s="14">
        <v>0</v>
      </c>
      <c r="AI693" s="14">
        <v>0</v>
      </c>
      <c r="AJ693" s="14">
        <v>0</v>
      </c>
      <c r="AK693" s="14">
        <v>0</v>
      </c>
      <c r="AL693" s="1357">
        <v>0</v>
      </c>
      <c r="AM693" s="1357">
        <v>0</v>
      </c>
      <c r="AN693" s="1357">
        <v>0</v>
      </c>
      <c r="AO693" s="13"/>
      <c r="AP693" s="13"/>
      <c r="AQ693" s="13"/>
      <c r="AR693" s="13"/>
      <c r="AS693" s="13"/>
      <c r="AT693" s="6"/>
      <c r="AU693" s="11"/>
      <c r="AV693" s="6"/>
      <c r="AW693" s="6"/>
      <c r="AX693" s="6"/>
      <c r="AY693" s="6"/>
      <c r="AZ693" s="90"/>
      <c r="BA693" s="6"/>
      <c r="BB693" s="6"/>
      <c r="BC693" s="6"/>
      <c r="BD693" s="6"/>
      <c r="BE693" s="6"/>
      <c r="BF693" s="6"/>
      <c r="BG693" s="6"/>
      <c r="BH693" s="11"/>
      <c r="BI693" s="90"/>
      <c r="BJ693" s="90"/>
      <c r="BK693" s="90"/>
      <c r="BL693" s="90"/>
      <c r="BM693" s="90"/>
      <c r="BN693" s="90"/>
      <c r="BO693" s="6"/>
      <c r="BP693" s="6"/>
      <c r="BQ693" s="6"/>
      <c r="BR693" s="6"/>
      <c r="BS693" s="6"/>
      <c r="BT693" s="6"/>
      <c r="BU693" s="6"/>
      <c r="BV693" s="6"/>
      <c r="BW693" s="6"/>
      <c r="BX693" s="6"/>
      <c r="BY693" s="6"/>
      <c r="BZ693" s="6"/>
      <c r="CA693" s="6"/>
      <c r="CB693" s="6"/>
      <c r="CC693" s="6"/>
      <c r="CD693" s="6"/>
      <c r="CE693" s="6"/>
      <c r="CF693" s="6"/>
      <c r="CG693" s="6"/>
      <c r="CH693" s="6"/>
      <c r="CI693" s="6"/>
      <c r="CJ693" s="6"/>
      <c r="CK693" s="6"/>
      <c r="CL693" s="6"/>
      <c r="CM693" s="6"/>
      <c r="CN693" s="6"/>
      <c r="CO693" s="11"/>
      <c r="CP693" s="11"/>
      <c r="CQ693" s="11"/>
      <c r="CR693" s="11"/>
      <c r="CS693" s="11"/>
      <c r="CT693" s="906"/>
      <c r="CU693" s="906"/>
      <c r="CV693" s="906"/>
      <c r="CW693" s="11"/>
      <c r="CX693" s="11"/>
      <c r="CY693" s="906"/>
      <c r="CZ693" s="906"/>
      <c r="DA693" s="906"/>
      <c r="DB693" s="11"/>
      <c r="DC693" s="2862"/>
      <c r="DD693" s="11"/>
      <c r="DE693" s="11"/>
      <c r="DF693" s="11"/>
      <c r="DG693" s="11"/>
      <c r="DH693" s="11"/>
      <c r="DI693" s="11"/>
      <c r="DJ693" s="11"/>
      <c r="DK693" s="11"/>
      <c r="DL693" s="11"/>
      <c r="DM693" s="11"/>
      <c r="DN693" s="11"/>
      <c r="DO693" s="11"/>
      <c r="DP693" s="11"/>
      <c r="DQ693" s="11"/>
      <c r="DR693" s="11"/>
    </row>
    <row r="694" spans="1:122">
      <c r="A694" s="6"/>
      <c r="B694" s="6"/>
      <c r="C694" s="6"/>
      <c r="D694" s="6"/>
      <c r="E694" s="6"/>
      <c r="F694" s="6"/>
      <c r="G694" s="6"/>
      <c r="H694" s="6"/>
      <c r="I694" s="6"/>
      <c r="J694" s="89"/>
      <c r="K694" s="89"/>
      <c r="L694" s="6"/>
      <c r="M694" s="6"/>
      <c r="N694" s="6"/>
      <c r="O694" s="919"/>
      <c r="P694" s="6"/>
      <c r="Q694" s="6"/>
      <c r="R694" s="6"/>
      <c r="S694" s="6"/>
      <c r="T694" s="6"/>
      <c r="U694" s="6"/>
      <c r="V694" s="6"/>
      <c r="W694" s="6"/>
      <c r="X694" s="6"/>
      <c r="Y694" s="6"/>
      <c r="Z694" s="6"/>
      <c r="AA694" s="6"/>
      <c r="AB694" s="6"/>
      <c r="AC694" s="6"/>
      <c r="AD694" s="6"/>
      <c r="AE694" s="6"/>
      <c r="AF694" s="6"/>
      <c r="AG694" s="11"/>
      <c r="AH694" s="11"/>
      <c r="AI694" s="11"/>
      <c r="AJ694" s="11"/>
      <c r="AK694" s="11"/>
      <c r="AL694" s="1108"/>
      <c r="AM694" s="1108"/>
      <c r="AN694" s="1108"/>
      <c r="AO694" s="6"/>
      <c r="AP694" s="6"/>
      <c r="AQ694" s="6"/>
      <c r="AR694" s="6"/>
      <c r="AS694" s="6"/>
      <c r="AT694" s="6"/>
      <c r="AU694" s="11"/>
      <c r="AV694" s="6"/>
      <c r="AW694" s="6"/>
      <c r="AX694" s="6"/>
      <c r="AY694" s="6"/>
      <c r="AZ694" s="90"/>
      <c r="BA694" s="6"/>
      <c r="BB694" s="6"/>
      <c r="BC694" s="6"/>
      <c r="BD694" s="6"/>
      <c r="BE694" s="6"/>
      <c r="BF694" s="6"/>
      <c r="BG694" s="6"/>
      <c r="BH694" s="11"/>
      <c r="BI694" s="90"/>
      <c r="BJ694" s="90"/>
      <c r="BK694" s="90"/>
      <c r="BL694" s="90"/>
      <c r="BM694" s="90"/>
      <c r="BN694" s="90"/>
      <c r="BO694" s="6"/>
      <c r="BP694" s="6"/>
      <c r="BQ694" s="6"/>
      <c r="BR694" s="6"/>
      <c r="BS694" s="6"/>
      <c r="BT694" s="6"/>
      <c r="BU694" s="6"/>
      <c r="BV694" s="6"/>
      <c r="BW694" s="6"/>
      <c r="BX694" s="6"/>
      <c r="BY694" s="6"/>
      <c r="BZ694" s="6"/>
      <c r="CA694" s="6"/>
      <c r="CB694" s="6"/>
      <c r="CC694" s="6"/>
      <c r="CD694" s="6"/>
      <c r="CE694" s="6"/>
      <c r="CF694" s="6"/>
      <c r="CG694" s="6"/>
      <c r="CH694" s="6"/>
      <c r="CI694" s="6"/>
      <c r="CJ694" s="6"/>
      <c r="CK694" s="6"/>
      <c r="CL694" s="6"/>
      <c r="CM694" s="6"/>
      <c r="CN694" s="6"/>
      <c r="CO694" s="11"/>
      <c r="CP694" s="11"/>
      <c r="CQ694" s="11"/>
      <c r="CR694" s="11"/>
      <c r="CS694" s="11"/>
      <c r="CT694" s="906"/>
      <c r="CU694" s="906"/>
      <c r="CV694" s="906"/>
      <c r="CW694" s="11"/>
      <c r="CX694" s="11"/>
      <c r="CY694" s="906"/>
      <c r="CZ694" s="906"/>
      <c r="DA694" s="906"/>
      <c r="DB694" s="11"/>
      <c r="DC694" s="2862"/>
      <c r="DD694" s="11"/>
      <c r="DE694" s="11"/>
      <c r="DF694" s="11"/>
      <c r="DG694" s="11"/>
      <c r="DH694" s="11"/>
      <c r="DI694" s="11"/>
      <c r="DJ694" s="11"/>
      <c r="DK694" s="11"/>
      <c r="DL694" s="11"/>
      <c r="DM694" s="11"/>
      <c r="DN694" s="11"/>
      <c r="DO694" s="11"/>
      <c r="DP694" s="11"/>
      <c r="DQ694" s="11"/>
      <c r="DR694" s="11"/>
    </row>
    <row r="695" spans="1:122">
      <c r="A695" s="6"/>
      <c r="B695" s="6"/>
      <c r="C695" s="6"/>
      <c r="D695" s="6"/>
      <c r="E695" s="6"/>
      <c r="F695" s="6"/>
      <c r="G695" s="6"/>
      <c r="H695" s="6"/>
      <c r="I695" s="6"/>
      <c r="J695" s="89"/>
      <c r="K695" s="89"/>
      <c r="L695" s="6"/>
      <c r="M695" s="6"/>
      <c r="N695" s="6"/>
      <c r="O695" s="919"/>
      <c r="P695" s="6"/>
      <c r="Q695" s="6"/>
      <c r="R695" s="6"/>
      <c r="S695" s="6"/>
      <c r="T695" s="6"/>
      <c r="U695" s="6"/>
      <c r="V695" s="6"/>
      <c r="W695" s="6"/>
      <c r="X695" s="6"/>
      <c r="Y695" s="6"/>
      <c r="Z695" s="6"/>
      <c r="AA695" s="6"/>
      <c r="AB695" s="6"/>
      <c r="AC695" s="6"/>
      <c r="AD695" s="6"/>
      <c r="AE695" s="6"/>
      <c r="AF695" s="6"/>
      <c r="AG695" s="11"/>
      <c r="AH695" s="11"/>
      <c r="AI695" s="11"/>
      <c r="AJ695" s="11"/>
      <c r="AK695" s="11"/>
      <c r="AL695" s="1108"/>
      <c r="AM695" s="1108"/>
      <c r="AN695" s="1108"/>
      <c r="AO695" s="6"/>
      <c r="AP695" s="6"/>
      <c r="AQ695" s="6"/>
      <c r="AR695" s="6"/>
      <c r="AS695" s="6"/>
      <c r="AT695" s="6"/>
      <c r="AU695" s="11"/>
      <c r="AV695" s="6"/>
      <c r="AW695" s="6"/>
      <c r="AX695" s="6"/>
      <c r="AY695" s="6"/>
      <c r="AZ695" s="90"/>
      <c r="BA695" s="6"/>
      <c r="BB695" s="6"/>
      <c r="BC695" s="6"/>
      <c r="BD695" s="6"/>
      <c r="BE695" s="6"/>
      <c r="BF695" s="6"/>
      <c r="BG695" s="6"/>
      <c r="BH695" s="11"/>
      <c r="BI695" s="90"/>
      <c r="BJ695" s="90"/>
      <c r="BK695" s="90"/>
      <c r="BL695" s="90"/>
      <c r="BM695" s="90"/>
      <c r="BN695" s="90"/>
      <c r="BO695" s="6"/>
      <c r="BP695" s="6"/>
      <c r="BQ695" s="6"/>
      <c r="BR695" s="6"/>
      <c r="BS695" s="6"/>
      <c r="BT695" s="6"/>
      <c r="BU695" s="6"/>
      <c r="BV695" s="6"/>
      <c r="BW695" s="6"/>
      <c r="BX695" s="6"/>
      <c r="BY695" s="6"/>
      <c r="BZ695" s="6"/>
      <c r="CA695" s="6"/>
      <c r="CB695" s="6"/>
      <c r="CC695" s="6"/>
      <c r="CD695" s="6"/>
      <c r="CE695" s="6"/>
      <c r="CF695" s="6"/>
      <c r="CG695" s="6"/>
      <c r="CH695" s="6"/>
      <c r="CI695" s="6"/>
      <c r="CJ695" s="6"/>
      <c r="CK695" s="6"/>
      <c r="CL695" s="6"/>
      <c r="CM695" s="6"/>
      <c r="CN695" s="6"/>
      <c r="CO695" s="11"/>
      <c r="CP695" s="11"/>
      <c r="CQ695" s="11"/>
      <c r="CR695" s="11"/>
      <c r="CS695" s="11"/>
      <c r="CT695" s="906"/>
      <c r="CU695" s="906"/>
      <c r="CV695" s="906"/>
      <c r="CW695" s="11"/>
      <c r="CX695" s="11"/>
      <c r="CY695" s="906"/>
      <c r="CZ695" s="906"/>
      <c r="DA695" s="906"/>
      <c r="DB695" s="11"/>
      <c r="DC695" s="2862"/>
      <c r="DD695" s="11"/>
      <c r="DE695" s="11"/>
      <c r="DF695" s="11"/>
      <c r="DG695" s="11"/>
      <c r="DH695" s="11"/>
      <c r="DI695" s="11"/>
      <c r="DJ695" s="11"/>
      <c r="DK695" s="11"/>
      <c r="DL695" s="11"/>
      <c r="DM695" s="11"/>
      <c r="DN695" s="11"/>
      <c r="DO695" s="11"/>
      <c r="DP695" s="11"/>
      <c r="DQ695" s="11"/>
      <c r="DR695" s="11"/>
    </row>
    <row r="696" spans="1:122">
      <c r="A696" s="6"/>
      <c r="B696" s="6"/>
      <c r="C696" s="6"/>
      <c r="D696" s="6"/>
      <c r="E696" s="6"/>
      <c r="F696" s="6"/>
      <c r="G696" s="6"/>
      <c r="H696" s="6"/>
      <c r="I696" s="6">
        <v>424</v>
      </c>
      <c r="J696" s="89"/>
      <c r="K696" s="89"/>
      <c r="L696" s="6"/>
      <c r="M696" s="6"/>
      <c r="N696" s="13">
        <f>N252</f>
        <v>0</v>
      </c>
      <c r="O696" s="919"/>
      <c r="P696" s="6"/>
      <c r="Q696" s="6"/>
      <c r="R696" s="13">
        <v>0</v>
      </c>
      <c r="S696" s="13">
        <v>0</v>
      </c>
      <c r="T696" s="13">
        <v>0</v>
      </c>
      <c r="U696" s="13">
        <v>0</v>
      </c>
      <c r="V696" s="13">
        <f t="shared" ref="V696:AE696" si="1004">V252</f>
        <v>0</v>
      </c>
      <c r="W696" s="13">
        <f t="shared" si="1004"/>
        <v>0</v>
      </c>
      <c r="X696" s="13"/>
      <c r="Y696" s="13"/>
      <c r="Z696" s="13">
        <f t="shared" si="1004"/>
        <v>0</v>
      </c>
      <c r="AA696" s="13">
        <f t="shared" si="1004"/>
        <v>0</v>
      </c>
      <c r="AB696" s="13"/>
      <c r="AC696" s="13">
        <f t="shared" si="1004"/>
        <v>0</v>
      </c>
      <c r="AD696" s="13">
        <f t="shared" si="1004"/>
        <v>0</v>
      </c>
      <c r="AE696" s="13">
        <f t="shared" si="1004"/>
        <v>0</v>
      </c>
      <c r="AF696" s="13">
        <f t="shared" ref="AF696:AK696" si="1005">AF252</f>
        <v>0</v>
      </c>
      <c r="AG696" s="14">
        <f>AG252</f>
        <v>0</v>
      </c>
      <c r="AH696" s="14">
        <f t="shared" si="1005"/>
        <v>0</v>
      </c>
      <c r="AI696" s="14">
        <f t="shared" si="1005"/>
        <v>0</v>
      </c>
      <c r="AJ696" s="14">
        <f t="shared" si="1005"/>
        <v>0</v>
      </c>
      <c r="AK696" s="14">
        <f t="shared" si="1005"/>
        <v>0</v>
      </c>
      <c r="AL696" s="1357">
        <f>AL252</f>
        <v>0</v>
      </c>
      <c r="AM696" s="1357">
        <f>AM252</f>
        <v>0</v>
      </c>
      <c r="AN696" s="1357">
        <f>AN252</f>
        <v>0</v>
      </c>
      <c r="AO696" s="13"/>
      <c r="AP696" s="13"/>
      <c r="AQ696" s="13"/>
      <c r="AR696" s="13"/>
      <c r="AS696" s="13"/>
      <c r="AT696" s="6"/>
      <c r="AU696" s="11"/>
      <c r="AV696" s="6"/>
      <c r="AW696" s="6"/>
      <c r="AX696" s="6"/>
      <c r="AY696" s="6"/>
      <c r="AZ696" s="90"/>
      <c r="BA696" s="6"/>
      <c r="BB696" s="6"/>
      <c r="BC696" s="6"/>
      <c r="BD696" s="6"/>
      <c r="BE696" s="6"/>
      <c r="BF696" s="6"/>
      <c r="BG696" s="6"/>
      <c r="BH696" s="11"/>
      <c r="BI696" s="90"/>
      <c r="BJ696" s="90"/>
      <c r="BK696" s="90"/>
      <c r="BL696" s="90"/>
      <c r="BM696" s="90"/>
      <c r="BN696" s="90"/>
      <c r="BO696" s="6"/>
      <c r="BP696" s="6"/>
      <c r="BQ696" s="6"/>
      <c r="BR696" s="6"/>
      <c r="BS696" s="6"/>
      <c r="BT696" s="6"/>
      <c r="BU696" s="6"/>
      <c r="BV696" s="6"/>
      <c r="BW696" s="6"/>
      <c r="BX696" s="6"/>
      <c r="BY696" s="6"/>
      <c r="BZ696" s="6"/>
      <c r="CA696" s="6"/>
      <c r="CB696" s="6"/>
      <c r="CC696" s="6"/>
      <c r="CD696" s="6"/>
      <c r="CE696" s="6"/>
      <c r="CF696" s="6"/>
      <c r="CG696" s="6"/>
      <c r="CH696" s="6"/>
      <c r="CI696" s="6"/>
      <c r="CJ696" s="6"/>
      <c r="CK696" s="6"/>
      <c r="CL696" s="6"/>
      <c r="CM696" s="6"/>
      <c r="CN696" s="6"/>
      <c r="CO696" s="11"/>
      <c r="CP696" s="11"/>
      <c r="CQ696" s="11"/>
      <c r="CR696" s="11"/>
      <c r="CS696" s="11"/>
      <c r="CT696" s="906"/>
      <c r="CU696" s="906"/>
      <c r="CV696" s="906"/>
      <c r="CW696" s="11"/>
      <c r="CX696" s="11"/>
      <c r="CY696" s="906"/>
      <c r="CZ696" s="906"/>
      <c r="DA696" s="906"/>
      <c r="DB696" s="11"/>
      <c r="DC696" s="2862"/>
      <c r="DD696" s="11"/>
      <c r="DE696" s="11"/>
      <c r="DF696" s="11"/>
      <c r="DG696" s="11"/>
      <c r="DH696" s="11"/>
      <c r="DI696" s="11"/>
      <c r="DJ696" s="11"/>
      <c r="DK696" s="11"/>
      <c r="DL696" s="11"/>
      <c r="DM696" s="11"/>
      <c r="DN696" s="11"/>
      <c r="DO696" s="11"/>
      <c r="DP696" s="11"/>
      <c r="DQ696" s="11"/>
      <c r="DR696" s="11"/>
    </row>
    <row r="697" spans="1:122">
      <c r="AG697" s="1048"/>
      <c r="AH697" s="1048"/>
      <c r="AI697" s="1048"/>
      <c r="AJ697" s="1048"/>
      <c r="AK697" s="1048"/>
      <c r="AM697" s="1577"/>
      <c r="AN697" s="1577"/>
      <c r="CO697" s="1048"/>
      <c r="CP697" s="1048"/>
      <c r="CQ697" s="1048"/>
      <c r="CR697" s="1048"/>
      <c r="CS697" s="1048"/>
      <c r="CT697" s="1048"/>
      <c r="CU697" s="1048"/>
      <c r="CV697" s="1048"/>
      <c r="CW697" s="1048"/>
      <c r="CX697" s="1048"/>
      <c r="CY697" s="1048"/>
      <c r="CZ697" s="1048"/>
      <c r="DA697" s="1048"/>
      <c r="DB697" s="1048"/>
      <c r="DD697" s="1048"/>
      <c r="DE697" s="1048"/>
      <c r="DF697" s="1048"/>
      <c r="DG697" s="1048"/>
      <c r="DH697" s="1048"/>
      <c r="DI697" s="1048"/>
      <c r="DJ697" s="1048"/>
      <c r="DK697" s="1048"/>
      <c r="DL697" s="1048"/>
      <c r="DM697" s="1048"/>
      <c r="DN697" s="1048"/>
      <c r="DO697" s="1048"/>
      <c r="DP697" s="1048"/>
      <c r="DQ697" s="1048"/>
      <c r="DR697" s="1048"/>
    </row>
    <row r="698" spans="1:122">
      <c r="A698" s="6" t="s">
        <v>754</v>
      </c>
      <c r="N698" s="13">
        <f>'Free Cash Flow'!H14</f>
        <v>299.05500000000006</v>
      </c>
      <c r="R698" s="13">
        <f>'Free Cash Flow'!I14</f>
        <v>1059.3900000000001</v>
      </c>
      <c r="S698" s="13">
        <f>'Free Cash Flow'!J14</f>
        <v>1453.3100000000004</v>
      </c>
      <c r="T698" s="13">
        <f>'Free Cash Flow'!K14</f>
        <v>1933.0000000000005</v>
      </c>
      <c r="U698" s="13">
        <f>'Free Cash Flow'!L14</f>
        <v>1436</v>
      </c>
      <c r="V698" s="13">
        <f>'Free Cash Flow'!M14</f>
        <v>1580</v>
      </c>
      <c r="W698" s="13">
        <f>'Free Cash Flow'!N14</f>
        <v>1378.2598425196852</v>
      </c>
      <c r="X698" s="13"/>
      <c r="Y698" s="13"/>
      <c r="Z698" s="13">
        <f>'Free Cash Flow'!Q14</f>
        <v>1203</v>
      </c>
      <c r="AA698" s="13">
        <f ca="1">'Free Cash Flow'!R14</f>
        <v>1639.6503184713379</v>
      </c>
      <c r="AB698" s="13"/>
      <c r="AC698" s="13">
        <f ca="1">'Free Cash Flow'!T14</f>
        <v>1162.1109675070129</v>
      </c>
      <c r="AD698" s="13">
        <f ca="1">'Free Cash Flow'!U14</f>
        <v>1365.1687398028698</v>
      </c>
      <c r="AE698" s="13">
        <f ca="1">'Free Cash Flow'!V14</f>
        <v>1711.8139758902987</v>
      </c>
      <c r="AF698" s="13">
        <f ca="1">'Free Cash Flow'!W14</f>
        <v>2099.5989261196091</v>
      </c>
      <c r="AG698" s="14">
        <f ca="1">'Free Cash Flow'!X14</f>
        <v>2193.3422799679656</v>
      </c>
      <c r="AH698" s="14">
        <f ca="1">'Free Cash Flow'!Y14</f>
        <v>2363.9554337636728</v>
      </c>
      <c r="AI698" s="14">
        <f ca="1">'Free Cash Flow'!Z14</f>
        <v>2284.5031938190464</v>
      </c>
      <c r="AJ698" s="14">
        <f ca="1">'Free Cash Flow'!AA14</f>
        <v>2391.3895209053057</v>
      </c>
      <c r="AK698" s="14">
        <f ca="1">'Free Cash Flow'!AB14</f>
        <v>2400.02209657512</v>
      </c>
      <c r="AL698" s="1357">
        <f ca="1">'Free Cash Flow'!AC14</f>
        <v>2393.8979986026038</v>
      </c>
      <c r="AM698" s="1357">
        <f ca="1">'Free Cash Flow'!AD14</f>
        <v>2350.8770554659036</v>
      </c>
      <c r="AN698" s="1357">
        <f ca="1">'Free Cash Flow'!AE14</f>
        <v>2487.7580671207352</v>
      </c>
      <c r="AO698" s="13"/>
      <c r="AP698" s="13"/>
      <c r="AQ698" s="13"/>
      <c r="AR698" s="13"/>
      <c r="AS698" s="13"/>
      <c r="CO698" s="1048"/>
      <c r="CP698" s="1048"/>
      <c r="CQ698" s="1048"/>
      <c r="CR698" s="1048"/>
      <c r="CS698" s="1048"/>
      <c r="CT698" s="1048"/>
      <c r="CU698" s="1048"/>
      <c r="CV698" s="1048"/>
      <c r="CW698" s="1048"/>
      <c r="CX698" s="1048"/>
      <c r="CY698" s="1048"/>
      <c r="CZ698" s="1048"/>
      <c r="DA698" s="1048"/>
      <c r="DB698" s="1048"/>
      <c r="DD698" s="1048"/>
      <c r="DE698" s="1048"/>
      <c r="DF698" s="1048"/>
      <c r="DG698" s="1048"/>
      <c r="DH698" s="1048"/>
      <c r="DI698" s="1048"/>
      <c r="DJ698" s="1048"/>
      <c r="DK698" s="1048"/>
      <c r="DL698" s="1048"/>
      <c r="DM698" s="1048"/>
      <c r="DN698" s="1048"/>
      <c r="DO698" s="1048"/>
      <c r="DP698" s="1048"/>
      <c r="DQ698" s="1048"/>
      <c r="DR698" s="1048"/>
    </row>
    <row r="699" spans="1:122">
      <c r="A699" s="862" t="s">
        <v>1591</v>
      </c>
      <c r="T699" s="13">
        <f>Multiples!D25</f>
        <v>21.3</v>
      </c>
      <c r="U699" s="13">
        <f>Multiples!E25</f>
        <v>21.3</v>
      </c>
      <c r="V699" s="13">
        <f>Multiples!F25</f>
        <v>321.3</v>
      </c>
      <c r="W699" s="13">
        <f>Multiples!G25</f>
        <v>321.3</v>
      </c>
      <c r="X699" s="13"/>
      <c r="Y699" s="13"/>
      <c r="Z699" s="13">
        <f>Multiples!H25</f>
        <v>321.3</v>
      </c>
      <c r="AA699" s="13">
        <f>Multiples!I25</f>
        <v>321.3</v>
      </c>
      <c r="AB699" s="13"/>
      <c r="AC699" s="13">
        <f>Multiples!J25</f>
        <v>250</v>
      </c>
      <c r="AD699" s="13">
        <f>Multiples!K25</f>
        <v>250</v>
      </c>
      <c r="AE699" s="13"/>
      <c r="AF699" s="13"/>
      <c r="AG699" s="14"/>
      <c r="AH699" s="14"/>
      <c r="AI699" s="14"/>
      <c r="AJ699" s="14"/>
      <c r="AK699" s="14"/>
      <c r="AL699" s="1357"/>
    </row>
    <row r="701" spans="1:122">
      <c r="AL701"/>
    </row>
    <row r="702" spans="1:122">
      <c r="AL702"/>
    </row>
    <row r="703" spans="1:122">
      <c r="AL703"/>
    </row>
    <row r="704" spans="1:122">
      <c r="AL704"/>
    </row>
    <row r="705" spans="38:38">
      <c r="AL705"/>
    </row>
    <row r="706" spans="38:38">
      <c r="AL706"/>
    </row>
    <row r="707" spans="38:38">
      <c r="AL707"/>
    </row>
    <row r="708" spans="38:38">
      <c r="AL708"/>
    </row>
    <row r="709" spans="38:38">
      <c r="AL709"/>
    </row>
    <row r="710" spans="38:38">
      <c r="AL710"/>
    </row>
    <row r="711" spans="38:38">
      <c r="AL711"/>
    </row>
    <row r="712" spans="38:38">
      <c r="AL712"/>
    </row>
    <row r="713" spans="38:38">
      <c r="AL713"/>
    </row>
    <row r="714" spans="38:38">
      <c r="AL714"/>
    </row>
    <row r="715" spans="38:38">
      <c r="AL715"/>
    </row>
    <row r="716" spans="38:38">
      <c r="AL716"/>
    </row>
    <row r="717" spans="38:38">
      <c r="AL717"/>
    </row>
    <row r="718" spans="38:38">
      <c r="AL718"/>
    </row>
    <row r="719" spans="38:38">
      <c r="AL719"/>
    </row>
    <row r="720" spans="38:38">
      <c r="AL720"/>
    </row>
    <row r="721" spans="38:38">
      <c r="AL721"/>
    </row>
    <row r="722" spans="38:38">
      <c r="AL722"/>
    </row>
    <row r="723" spans="38:38">
      <c r="AL723"/>
    </row>
    <row r="724" spans="38:38">
      <c r="AL724"/>
    </row>
    <row r="725" spans="38:38">
      <c r="AL725"/>
    </row>
  </sheetData>
  <mergeCells count="5">
    <mergeCell ref="BZ3:CC3"/>
    <mergeCell ref="BF3:BI3"/>
    <mergeCell ref="BK3:BN3"/>
    <mergeCell ref="BP3:BS3"/>
    <mergeCell ref="BU3:BX3"/>
  </mergeCells>
  <phoneticPr fontId="3" type="noConversion"/>
  <pageMargins left="0" right="0" top="0" bottom="0" header="0" footer="0"/>
  <pageSetup paperSize="5" scale="81" orientation="landscape" r:id="rId1"/>
  <headerFooter alignWithMargins="0"/>
  <ignoredErrors>
    <ignoredError sqref="CI38:CI52 CS7:CS18 CX13:CX19 Z6 CX48:CX52 CX7 W6 Z14:Z21 X30:AA30 CX25:CX30 W9:Y10 AC83:AG95 X98 CX100 CX32:CX39 X38:X40 X37:Y37 X7:Y7 CS50:CS52 X33:AA33 AC77:AG78 CX109 W62:Z63 U398:W401 AC500:AF515 CX21:CX23 CS20:CS38 CX41:CX42 DC415:DC416 X27:Z28 DC48 DC67 W8 X31:Z32 DC60:DC65 DC56:DC57 X36:AA36 X34:Z34 DC375:DC409 X29:Y29 DC7:DF7 DC100 DC26:DG26 DC25:DE25 DC33:DG33 DC32:DE32 DC31 DC41 DC43:DG43 DC42:DE42 DC9:DD9 DC8 DC13:DG14 DC12 DC24:DG24 DC23:DE23 DG23 DC22:DG22 DC21:DE21 DG21 DC18:DG19 DC17:DE17 DG17 DC27 DC28:DE30 DG29:DG30 DC36:DE36 DG36 DC37:DC39 DG38 DC44 DG44:DH44 AG500:AM511 AG515:AM515 DH415:DH416 DH110:DL110 DH116:DL116 DH119:DL121 AC21 DH100 Z480:Z492 AA131:AA135 AA21 Z512:AA512 Z77:AA78 Z83:AA95 Z40:AB40 AC254:AM258 DC20 DH7:DH39 DH45:DH48 DH50:DH52 DC11:DG11 DC10:DF10 DC50:DC52 DC54 DI118:DK118 DC35:DG35 DC34:DE34 DC16:DG16 DC15:DF15 Z509:AA509 AA502:AA508 Z513:Z515 Z494 Z497 Z499 Z501:Z508 X35:Y35 AB54:AB55 AB57:AB58 DH109 DL109 DH111:DH115 DJ111:DK111 DJ113 AC485:AM485 AC216:AM217 DI387:DJ389 AH77:AM97 DF9:DG9 AC26:AD26 AC50:AD51 DM7:DM17 DM21:DM23 DM415:DM418 DM25:DM34 DM38:DM39 DM44:DM48 DM109:DM115 AN77:AN95 AC25 AC29:AD36 AC27:AC28 AC40:AD41 AC37:AC38 AC44:AD45 AC43 AC46:AC47 DM374:DM411 DH374:DH411 DC411 DI391:DJ400 DL390 DM100 DM50:DM52 AN254:AN259 AN500:AN509 DI390:DK390 AC390:AC400 AA137" formula="1"/>
    <ignoredError sqref="AD392:AK393 U416:Y416 AD415:AG416 U411:Y411 AD411:AK411 AL380:AM390 Z394:Z401 AA416 Z380:AA384 U415:AA415 AD380:AK387 AD388:AK389 AD391:AK391 AA237 Z403:Z408 Z386:AA393 Z385 AC268:AC269 AN387:AN391 AE390:AK390" formulaRange="1"/>
  </ignoredError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M53"/>
  <sheetViews>
    <sheetView showGridLines="0" zoomScaleNormal="100" workbookViewId="0">
      <pane xSplit="1" ySplit="6" topLeftCell="R7" activePane="bottomRight" state="frozen"/>
      <selection activeCell="S18" sqref="S18"/>
      <selection pane="topRight" activeCell="S18" sqref="S18"/>
      <selection pane="bottomLeft" activeCell="S18" sqref="S18"/>
      <selection pane="bottomRight" activeCell="Y62" sqref="Y62"/>
    </sheetView>
  </sheetViews>
  <sheetFormatPr defaultRowHeight="12.75" outlineLevelRow="1" outlineLevelCol="1"/>
  <cols>
    <col min="1" max="1" width="32.140625" customWidth="1"/>
    <col min="2" max="5" width="9.140625" hidden="1" customWidth="1" outlineLevel="1"/>
    <col min="6" max="6" width="9.140625" hidden="1" customWidth="1" outlineLevel="1" collapsed="1"/>
    <col min="7" max="7" width="9.140625" hidden="1" customWidth="1" outlineLevel="1"/>
    <col min="8" max="8" width="9.140625" hidden="1" customWidth="1" outlineLevel="1" collapsed="1"/>
    <col min="9" max="17" width="9.140625" hidden="1" customWidth="1" outlineLevel="1"/>
    <col min="18" max="18" width="9.140625" collapsed="1"/>
    <col min="19" max="19" width="9.140625" hidden="1" customWidth="1" outlineLevel="1"/>
    <col min="20" max="20" width="9.140625" collapsed="1"/>
  </cols>
  <sheetData>
    <row r="1" spans="1:39" ht="15.75">
      <c r="A1" s="313" t="s">
        <v>754</v>
      </c>
      <c r="B1" s="6"/>
      <c r="C1" s="6"/>
      <c r="D1" s="6"/>
      <c r="E1" s="6"/>
      <c r="F1" s="6"/>
      <c r="G1" s="6"/>
      <c r="H1" s="6"/>
      <c r="I1" s="6"/>
      <c r="J1" s="6"/>
      <c r="K1" s="91"/>
      <c r="L1" s="91"/>
      <c r="M1" s="91"/>
      <c r="N1" s="91"/>
      <c r="O1" s="91"/>
      <c r="P1" s="91"/>
      <c r="Q1" s="91"/>
      <c r="R1" s="91"/>
      <c r="S1" s="91"/>
      <c r="T1" s="91"/>
      <c r="U1" s="91"/>
      <c r="V1" s="91"/>
      <c r="W1" s="91"/>
      <c r="X1" s="91"/>
      <c r="Y1" s="91"/>
      <c r="Z1" s="91"/>
      <c r="AA1" s="91"/>
      <c r="AB1" s="91"/>
      <c r="AC1" s="91"/>
      <c r="AD1" s="91"/>
      <c r="AE1" s="91"/>
      <c r="AF1" s="91"/>
    </row>
    <row r="2" spans="1:39">
      <c r="A2" s="43" t="s">
        <v>365</v>
      </c>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row>
    <row r="3" spans="1:39" hidden="1" outlineLevel="1">
      <c r="A3" s="6"/>
      <c r="B3" s="6"/>
      <c r="C3" s="6"/>
      <c r="D3" s="123"/>
      <c r="E3" s="6"/>
      <c r="F3" s="314"/>
      <c r="G3" s="6"/>
      <c r="H3" s="6"/>
      <c r="I3" s="6"/>
      <c r="J3" s="6"/>
      <c r="K3" s="91"/>
      <c r="L3" s="91"/>
      <c r="M3" s="91"/>
      <c r="N3" s="91"/>
      <c r="O3" s="91"/>
      <c r="P3" s="91"/>
      <c r="Q3" s="91"/>
      <c r="R3" s="91"/>
      <c r="S3" s="91"/>
      <c r="T3" s="91"/>
      <c r="U3" s="91"/>
      <c r="V3" s="91"/>
      <c r="W3" s="91"/>
      <c r="X3" s="91"/>
      <c r="Y3" s="91"/>
      <c r="Z3" s="91"/>
      <c r="AA3" s="91"/>
      <c r="AB3" s="91"/>
      <c r="AC3" s="91"/>
      <c r="AD3" s="91"/>
      <c r="AE3" s="91"/>
      <c r="AF3" s="91"/>
    </row>
    <row r="4" spans="1:39" hidden="1" outlineLevel="1">
      <c r="A4" s="6"/>
      <c r="B4" s="6"/>
      <c r="C4" s="6"/>
      <c r="D4" s="123"/>
      <c r="E4" s="123"/>
      <c r="F4" s="314"/>
      <c r="G4" s="6"/>
      <c r="H4" s="6"/>
      <c r="I4" s="6"/>
      <c r="J4" s="6"/>
      <c r="K4" s="91"/>
      <c r="L4" s="1148"/>
      <c r="M4" s="91"/>
      <c r="N4" s="91"/>
      <c r="O4" s="91"/>
      <c r="P4" s="91"/>
      <c r="Q4" s="91"/>
      <c r="R4" s="91"/>
      <c r="S4" s="91"/>
      <c r="T4" s="91"/>
      <c r="U4" s="91"/>
      <c r="V4" s="91"/>
      <c r="W4" s="91"/>
      <c r="X4" s="91"/>
      <c r="Y4" s="91"/>
      <c r="Z4" s="91"/>
      <c r="AA4" s="91"/>
      <c r="AB4" s="91"/>
      <c r="AC4" s="91"/>
      <c r="AD4" s="91"/>
      <c r="AE4" s="91"/>
      <c r="AF4" s="91"/>
    </row>
    <row r="5" spans="1:39" collapsed="1">
      <c r="A5" s="6"/>
      <c r="B5" s="6"/>
      <c r="C5" s="6"/>
      <c r="D5" s="6"/>
      <c r="E5" s="6"/>
      <c r="F5" s="6"/>
      <c r="G5" s="6"/>
      <c r="H5" s="6"/>
      <c r="I5" s="6"/>
      <c r="J5" s="6"/>
      <c r="K5" s="6"/>
      <c r="L5" s="6"/>
      <c r="M5" s="6"/>
      <c r="N5" s="6"/>
      <c r="O5" s="1550" t="s">
        <v>858</v>
      </c>
      <c r="P5" s="1550"/>
      <c r="Q5" s="6"/>
      <c r="R5" s="13"/>
      <c r="S5" s="13"/>
      <c r="T5" s="13"/>
      <c r="U5" s="13"/>
      <c r="V5" s="13"/>
      <c r="W5" s="13"/>
      <c r="X5" s="13"/>
      <c r="Y5" s="13"/>
      <c r="Z5" s="13"/>
      <c r="AA5" s="13"/>
      <c r="AB5" s="13"/>
      <c r="AC5" s="13"/>
      <c r="AD5" s="13"/>
      <c r="AE5" s="13"/>
      <c r="AF5" s="91"/>
      <c r="AG5" s="91"/>
      <c r="AH5" s="91"/>
      <c r="AI5" s="91"/>
      <c r="AJ5" s="91"/>
      <c r="AK5" s="91"/>
      <c r="AL5" s="91"/>
      <c r="AM5" s="91"/>
    </row>
    <row r="6" spans="1:39">
      <c r="A6" s="315" t="s">
        <v>366</v>
      </c>
      <c r="B6" s="316">
        <v>2002</v>
      </c>
      <c r="C6" s="138">
        <v>2003</v>
      </c>
      <c r="D6" s="138">
        <v>2004</v>
      </c>
      <c r="E6" s="138">
        <v>2005</v>
      </c>
      <c r="F6" s="138">
        <v>2006</v>
      </c>
      <c r="G6" s="138">
        <v>2007</v>
      </c>
      <c r="H6" s="138">
        <v>2008</v>
      </c>
      <c r="I6" s="138">
        <v>2009</v>
      </c>
      <c r="J6" s="138">
        <v>2010</v>
      </c>
      <c r="K6" s="138">
        <v>2011</v>
      </c>
      <c r="L6" s="138" t="s">
        <v>852</v>
      </c>
      <c r="M6" s="138" t="s">
        <v>853</v>
      </c>
      <c r="N6" s="138" t="s">
        <v>1531</v>
      </c>
      <c r="O6" s="138" t="s">
        <v>842</v>
      </c>
      <c r="P6" s="138" t="s">
        <v>843</v>
      </c>
      <c r="Q6" s="138" t="s">
        <v>1628</v>
      </c>
      <c r="R6" s="138" t="s">
        <v>1764</v>
      </c>
      <c r="S6" s="1706" t="s">
        <v>1765</v>
      </c>
      <c r="T6" s="138" t="s">
        <v>469</v>
      </c>
      <c r="U6" s="138" t="s">
        <v>618</v>
      </c>
      <c r="V6" s="138" t="s">
        <v>385</v>
      </c>
      <c r="W6" s="138" t="s">
        <v>1080</v>
      </c>
      <c r="X6" s="138" t="s">
        <v>345</v>
      </c>
      <c r="Y6" s="138" t="s">
        <v>346</v>
      </c>
      <c r="Z6" s="138" t="s">
        <v>1122</v>
      </c>
      <c r="AA6" s="138" t="s">
        <v>1123</v>
      </c>
      <c r="AB6" s="138" t="s">
        <v>1519</v>
      </c>
      <c r="AC6" s="138" t="s">
        <v>1609</v>
      </c>
      <c r="AD6" s="138" t="s">
        <v>1698</v>
      </c>
      <c r="AE6" s="138" t="s">
        <v>1803</v>
      </c>
      <c r="AF6" s="91"/>
      <c r="AG6" s="91"/>
      <c r="AH6" s="91"/>
      <c r="AI6" s="91"/>
      <c r="AJ6" s="91"/>
      <c r="AK6" s="91"/>
      <c r="AL6" s="91"/>
      <c r="AM6" s="91"/>
    </row>
    <row r="7" spans="1:39">
      <c r="A7" s="11" t="s">
        <v>450</v>
      </c>
      <c r="B7" s="14"/>
      <c r="C7" s="37">
        <f>'GAAP Financial Statements'!I13</f>
        <v>3013.0000000000009</v>
      </c>
      <c r="D7" s="37">
        <f>'GAAP Financial Statements'!J13</f>
        <v>3323.6999999999994</v>
      </c>
      <c r="E7" s="37">
        <f>'GAAP Financial Statements'!K13</f>
        <v>3213.2000000000007</v>
      </c>
      <c r="F7" s="37">
        <f>'GAAP Financial Statements'!L13</f>
        <v>3111.1</v>
      </c>
      <c r="G7" s="37">
        <f>'GAAP Financial Statements'!M13</f>
        <v>3077.5</v>
      </c>
      <c r="H7" s="37">
        <f>'GAAP Financial Statements'!N13</f>
        <v>2689.8</v>
      </c>
      <c r="I7" s="37">
        <f>'GAAP Financial Statements'!R13</f>
        <v>1773.6000000000004</v>
      </c>
      <c r="J7" s="37">
        <f>'GAAP Financial Statements'!S13</f>
        <v>2369.0000000000005</v>
      </c>
      <c r="K7" s="37">
        <f>'GAAP Financial Statements'!T13</f>
        <v>3157.0000000000005</v>
      </c>
      <c r="L7" s="37">
        <f>'GAAP Financial Statements'!U13</f>
        <v>3487.9999999999995</v>
      </c>
      <c r="M7" s="37">
        <f>'GAAP Financial Statements'!V13</f>
        <v>3736</v>
      </c>
      <c r="N7" s="37">
        <f>'GAAP Financial Statements'!W13</f>
        <v>3255</v>
      </c>
      <c r="O7" s="37">
        <f>'GAAP Financial Statements'!X13</f>
        <v>3335</v>
      </c>
      <c r="P7" s="37">
        <f>'GAAP Financial Statements'!Y13</f>
        <v>3255</v>
      </c>
      <c r="Q7" s="37">
        <f>'GAAP Financial Statements'!Z13</f>
        <v>3107</v>
      </c>
      <c r="R7" s="37">
        <f>'GAAP Financial Statements'!AA13</f>
        <v>3411.3</v>
      </c>
      <c r="S7" s="1626">
        <f>'GAAP Financial Statements'!AB13</f>
        <v>3085.3</v>
      </c>
      <c r="T7" s="37">
        <f>'GAAP Financial Statements'!AC13</f>
        <v>3033.3769990247988</v>
      </c>
      <c r="U7" s="37">
        <f>'GAAP Financial Statements'!AD13</f>
        <v>3254.5966914621472</v>
      </c>
      <c r="V7" s="37">
        <f>'GAAP Financial Statements'!AE13</f>
        <v>3437.930202675122</v>
      </c>
      <c r="W7" s="37">
        <f>'GAAP Financial Statements'!AF13</f>
        <v>3787.376984689949</v>
      </c>
      <c r="X7" s="37">
        <f>'GAAP Financial Statements'!AG13</f>
        <v>3896.5745466622916</v>
      </c>
      <c r="Y7" s="37">
        <f>'GAAP Financial Statements'!AH13</f>
        <v>4147.9318053780662</v>
      </c>
      <c r="Z7" s="37">
        <f>'GAAP Financial Statements'!AI13</f>
        <v>3964.1735814839999</v>
      </c>
      <c r="AA7" s="37">
        <f>'GAAP Financial Statements'!AJ13</f>
        <v>4065.5174407364157</v>
      </c>
      <c r="AB7" s="37">
        <f>'GAAP Financial Statements'!AK13</f>
        <v>4069.1023564071133</v>
      </c>
      <c r="AC7" s="37">
        <f>'GAAP Financial Statements'!AL13</f>
        <v>4008.6410035399576</v>
      </c>
      <c r="AD7" s="37">
        <f>'GAAP Financial Statements'!AM13</f>
        <v>3957.6065772678735</v>
      </c>
      <c r="AE7" s="37">
        <f>'GAAP Financial Statements'!AN13</f>
        <v>4154.4134834056522</v>
      </c>
      <c r="AF7" s="91"/>
      <c r="AG7" s="91"/>
      <c r="AH7" s="91"/>
      <c r="AI7" s="91"/>
      <c r="AJ7" s="91"/>
      <c r="AK7" s="91"/>
      <c r="AL7" s="91"/>
      <c r="AM7" s="91"/>
    </row>
    <row r="8" spans="1:39">
      <c r="A8" s="11" t="s">
        <v>369</v>
      </c>
      <c r="B8" s="14"/>
      <c r="C8" s="14">
        <f>'GAAP Financial Statements'!I31</f>
        <v>-706.9</v>
      </c>
      <c r="D8" s="14">
        <f>'GAAP Financial Statements'!J31</f>
        <v>-672.2</v>
      </c>
      <c r="E8" s="14">
        <f>'GAAP Financial Statements'!K31</f>
        <v>-699.1</v>
      </c>
      <c r="F8" s="14">
        <f>'GAAP Financial Statements'!L31</f>
        <v>-453.4</v>
      </c>
      <c r="G8" s="14">
        <f>'GAAP Financial Statements'!M31</f>
        <v>-454.79999999999995</v>
      </c>
      <c r="H8" s="14">
        <f>'GAAP Financial Statements'!N31</f>
        <v>-504.40000000000003</v>
      </c>
      <c r="I8" s="14">
        <f>'GAAP Financial Statements'!R31+'GAAP Financial Statements'!R252</f>
        <v>-535.29999999999995</v>
      </c>
      <c r="J8" s="14">
        <f>'GAAP Financial Statements'!S31+'GAAP Financial Statements'!S252</f>
        <v>-523.29999999999995</v>
      </c>
      <c r="K8" s="14">
        <f>'GAAP Financial Statements'!T31+'GAAP Financial Statements'!T252</f>
        <v>-429</v>
      </c>
      <c r="L8" s="14">
        <f>'GAAP Financial Statements'!U31+'GAAP Financial Statements'!U252</f>
        <v>-396</v>
      </c>
      <c r="M8" s="14">
        <f>'GAAP Financial Statements'!V31+'GAAP Financial Statements'!V252</f>
        <v>-368</v>
      </c>
      <c r="N8" s="14">
        <f>'GAAP Financial Statements'!W31+'GAAP Financial Statements'!W252</f>
        <v>-350</v>
      </c>
      <c r="O8" s="14">
        <f>'GAAP Financial Statements'!X31+'GAAP Financial Statements'!X252</f>
        <v>-367</v>
      </c>
      <c r="P8" s="14">
        <f>'GAAP Financial Statements'!Y31+'GAAP Financial Statements'!Y252</f>
        <v>-350</v>
      </c>
      <c r="Q8" s="14">
        <f>'GAAP Financial Statements'!Z31+'GAAP Financial Statements'!Z252</f>
        <v>-368</v>
      </c>
      <c r="R8" s="14">
        <f>'GAAP Financial Statements'!AA31+'GAAP Financial Statements'!AA252</f>
        <v>-396</v>
      </c>
      <c r="S8" s="1357">
        <f>'GAAP Financial Statements'!AB31+'GAAP Financial Statements'!AB252</f>
        <v>-379</v>
      </c>
      <c r="T8" s="1357">
        <f ca="1">'GAAP Financial Statements'!AC31+'GAAP Financial Statements'!AC252</f>
        <v>-393.76249999999999</v>
      </c>
      <c r="U8" s="1357">
        <f ca="1">'GAAP Financial Statements'!AD31+'GAAP Financial Statements'!AD252</f>
        <v>-400.13271260004353</v>
      </c>
      <c r="V8" s="1357">
        <f ca="1">'GAAP Financial Statements'!AE31+'GAAP Financial Statements'!AE252</f>
        <v>-421.67982772532974</v>
      </c>
      <c r="W8" s="14">
        <f ca="1">'GAAP Financial Statements'!AF31+'GAAP Financial Statements'!AF252</f>
        <v>-422.4341436869168</v>
      </c>
      <c r="X8" s="14">
        <f ca="1">'GAAP Financial Statements'!AG31+'GAAP Financial Statements'!AG252</f>
        <v>-406.42850545979462</v>
      </c>
      <c r="Y8" s="14">
        <f ca="1">'GAAP Financial Statements'!AH31+'GAAP Financial Statements'!AH252</f>
        <v>-386.94445551492504</v>
      </c>
      <c r="Z8" s="14">
        <f ca="1">'GAAP Financial Statements'!AI31+'GAAP Financial Statements'!AI252</f>
        <v>-364.39253857648282</v>
      </c>
      <c r="AA8" s="14">
        <f ca="1">'GAAP Financial Statements'!AJ31+'GAAP Financial Statements'!AJ252</f>
        <v>-341.41703604660472</v>
      </c>
      <c r="AB8" s="14">
        <f ca="1">'GAAP Financial Statements'!AK31+'GAAP Financial Statements'!AK252</f>
        <v>-318.37041901833248</v>
      </c>
      <c r="AC8" s="14">
        <f ca="1">'GAAP Financial Statements'!AL31+'GAAP Financial Statements'!AL252</f>
        <v>-295.52113597454172</v>
      </c>
      <c r="AD8" s="14">
        <f ca="1">'GAAP Financial Statements'!AM31+'GAAP Financial Statements'!AM252</f>
        <v>-277.12303056347071</v>
      </c>
      <c r="AE8" s="14">
        <f ca="1">'GAAP Financial Statements'!AN31+'GAAP Financial Statements'!AN252</f>
        <v>-260.07968772595478</v>
      </c>
      <c r="AF8" s="91"/>
      <c r="AG8" s="91"/>
      <c r="AH8" s="91"/>
      <c r="AI8" s="91"/>
      <c r="AJ8" s="91"/>
      <c r="AK8" s="91"/>
      <c r="AL8" s="91"/>
      <c r="AM8" s="91"/>
    </row>
    <row r="9" spans="1:39">
      <c r="A9" s="11" t="s">
        <v>686</v>
      </c>
      <c r="B9" s="14"/>
      <c r="C9" s="14">
        <f>'GAAP Financial Statements'!I279</f>
        <v>-234.1</v>
      </c>
      <c r="D9" s="14">
        <f>'GAAP Financial Statements'!J279</f>
        <v>-262.2</v>
      </c>
      <c r="E9" s="14">
        <f>'GAAP Financial Statements'!K279</f>
        <v>-375.6</v>
      </c>
      <c r="F9" s="14">
        <f>'GAAP Financial Statements'!L279</f>
        <v>-394.1</v>
      </c>
      <c r="G9" s="14">
        <f>'GAAP Financial Statements'!M279</f>
        <v>-469.1</v>
      </c>
      <c r="H9" s="14">
        <f>'GAAP Financial Statements'!N279</f>
        <v>-474.1</v>
      </c>
      <c r="I9" s="14">
        <f>'GAAP Financial Statements'!R279</f>
        <v>-261.60000000000002</v>
      </c>
      <c r="J9" s="14">
        <f>'GAAP Financial Statements'!S279</f>
        <v>-284.3</v>
      </c>
      <c r="K9" s="14">
        <f>'GAAP Financial Statements'!T279</f>
        <v>-245</v>
      </c>
      <c r="L9" s="14">
        <f>'GAAP Financial Statements'!U279</f>
        <v>-254</v>
      </c>
      <c r="M9" s="14">
        <f>'GAAP Financial Statements'!V279</f>
        <v>-270</v>
      </c>
      <c r="N9" s="1357">
        <f>'GAAP Financial Statements'!W279</f>
        <v>-206</v>
      </c>
      <c r="O9" s="1357">
        <f>+M9+'Segment Detail'!AJ76</f>
        <v>-212</v>
      </c>
      <c r="P9" s="1357">
        <f>+N9</f>
        <v>-206</v>
      </c>
      <c r="Q9" s="1357">
        <f>'GAAP Financial Statements'!Z279</f>
        <v>-193</v>
      </c>
      <c r="R9" s="14">
        <f>'GAAP Financial Statements'!AA279</f>
        <v>-196</v>
      </c>
      <c r="S9" s="1357">
        <f>'GAAP Financial Statements'!AB279</f>
        <v>0</v>
      </c>
      <c r="T9" s="14">
        <f>'GAAP Financial Statements'!AC279</f>
        <v>-180.06950525844732</v>
      </c>
      <c r="U9" s="1357">
        <f>'GAAP Financial Statements'!AD279</f>
        <v>-184.00572813616898</v>
      </c>
      <c r="V9" s="1357">
        <f>'GAAP Financial Statements'!AE279</f>
        <v>-194.37195620936308</v>
      </c>
      <c r="W9" s="1357">
        <f>'GAAP Financial Statements'!AF279</f>
        <v>-199.31737350942876</v>
      </c>
      <c r="X9" s="1357">
        <f>'GAAP Financial Statements'!AG279</f>
        <v>-207.02558013073693</v>
      </c>
      <c r="Y9" s="1357">
        <f>'GAAP Financial Statements'!AH279</f>
        <v>-218.95389144146759</v>
      </c>
      <c r="Z9" s="1357">
        <f>'GAAP Financial Statements'!AI279</f>
        <v>-218.94700216810344</v>
      </c>
      <c r="AA9" s="1357">
        <f>'GAAP Financial Statements'!AJ279</f>
        <v>-225.28788442773111</v>
      </c>
      <c r="AB9" s="1357">
        <f>'GAAP Financial Statements'!AK279</f>
        <v>-236.04014372663985</v>
      </c>
      <c r="AC9" s="1357">
        <f>'GAAP Financial Statements'!AL279</f>
        <v>-235.29547152840053</v>
      </c>
      <c r="AD9" s="1357">
        <f>'GAAP Financial Statements'!AM279</f>
        <v>-240.1392561533286</v>
      </c>
      <c r="AE9" s="1357">
        <f>'GAAP Financial Statements'!AN279</f>
        <v>-253.66167875502467</v>
      </c>
      <c r="AF9" s="91"/>
      <c r="AG9" s="91"/>
      <c r="AH9" s="91"/>
      <c r="AI9" s="91"/>
      <c r="AJ9" s="91"/>
      <c r="AK9" s="91"/>
      <c r="AL9" s="91"/>
      <c r="AM9" s="91"/>
    </row>
    <row r="10" spans="1:39">
      <c r="A10" s="11" t="s">
        <v>370</v>
      </c>
      <c r="B10" s="14"/>
      <c r="C10" s="14">
        <f>'GAAP Financial Statements'!I37</f>
        <v>-227.9</v>
      </c>
      <c r="D10" s="14">
        <f>'GAAP Financial Statements'!J37</f>
        <v>-237.20000000000002</v>
      </c>
      <c r="E10" s="14">
        <f>'GAAP Financial Statements'!K37</f>
        <v>-493.4</v>
      </c>
      <c r="F10" s="14">
        <f>'GAAP Financial Statements'!L37</f>
        <v>-562.20000000000005</v>
      </c>
      <c r="G10" s="14">
        <f>'GAAP Financial Statements'!M37</f>
        <v>-524.9</v>
      </c>
      <c r="H10" s="14">
        <f>'GAAP Financial Statements'!N37</f>
        <v>-547.54500000000007</v>
      </c>
      <c r="I10" s="14">
        <f>'GAAP Financial Statements'!R37</f>
        <v>-55</v>
      </c>
      <c r="J10" s="14">
        <f>'GAAP Financial Statements'!S37</f>
        <v>-248</v>
      </c>
      <c r="K10" s="14">
        <f>'GAAP Financial Statements'!T37</f>
        <v>-235</v>
      </c>
      <c r="L10" s="1357">
        <f>'GAAP Financial Statements'!U37</f>
        <v>-422</v>
      </c>
      <c r="M10" s="1357">
        <f>'GAAP Financial Statements'!V37</f>
        <v>-425</v>
      </c>
      <c r="N10" s="1357">
        <f>'GAAP Financial Statements'!W37</f>
        <v>-367.74015748031496</v>
      </c>
      <c r="O10" s="1357">
        <f>+'GAAP Financial Statements'!V37/'GAAP Financial Statements'!V34*'GAAP Financial Statements'!X34</f>
        <v>-390.96479116327237</v>
      </c>
      <c r="P10" s="1357">
        <f>+'GAAP Financial Statements'!W37/'GAAP Financial Statements'!W34*'GAAP Financial Statements'!Y34</f>
        <v>-367.74015748031502</v>
      </c>
      <c r="Q10" s="1357">
        <f>'GAAP Financial Statements'!Z37</f>
        <v>-346</v>
      </c>
      <c r="R10" s="1357">
        <f>'GAAP Financial Statements'!AA37</f>
        <v>-444.64968152866243</v>
      </c>
      <c r="S10" s="1357">
        <f ca="1">'GAAP Financial Statements'!AA37/'GAAP Financial Statements'!AA34*'GAAP Financial Statements'!AB34</f>
        <v>-480.64410557872861</v>
      </c>
      <c r="T10" s="1357">
        <f ca="1">'GAAP Financial Statements'!AC37</f>
        <v>-462.98723713144358</v>
      </c>
      <c r="U10" s="1357">
        <f ca="1">'GAAP Financial Statements'!AD37</f>
        <v>-423.04163681528462</v>
      </c>
      <c r="V10" s="1357">
        <f ca="1">'GAAP Financial Statements'!AE37</f>
        <v>-456.3787215563741</v>
      </c>
      <c r="W10" s="1357">
        <f ca="1">'GAAP Financial Statements'!AF37</f>
        <v>-521.04257415276459</v>
      </c>
      <c r="X10" s="1357">
        <f ca="1">'GAAP Financial Statements'!AG37</f>
        <v>-557.05366151753822</v>
      </c>
      <c r="Y10" s="1357">
        <f ca="1">'GAAP Financial Statements'!AH37</f>
        <v>-618.68881658823261</v>
      </c>
      <c r="Z10" s="1357">
        <f ca="1">'GAAP Financial Statements'!AI37</f>
        <v>-607.63001719169188</v>
      </c>
      <c r="AA10" s="1357">
        <f ca="1">'GAAP Financial Statements'!AJ37</f>
        <v>-646.30023841201341</v>
      </c>
      <c r="AB10" s="1357">
        <f ca="1">'GAAP Financial Statements'!AK37</f>
        <v>-666.75942686316546</v>
      </c>
      <c r="AC10" s="1357">
        <f ca="1">'GAAP Financial Statements'!AL37</f>
        <v>-677.12689772040642</v>
      </c>
      <c r="AD10" s="1357">
        <f ca="1">'GAAP Financial Statements'!AM37</f>
        <v>-687.03020740360375</v>
      </c>
      <c r="AE10" s="1357">
        <f ca="1">'GAAP Financial Statements'!AN37</f>
        <v>-745.43929639645353</v>
      </c>
      <c r="AF10" s="91"/>
      <c r="AG10" s="91"/>
      <c r="AH10" s="91"/>
      <c r="AI10" s="91"/>
      <c r="AJ10" s="91"/>
      <c r="AK10" s="91"/>
      <c r="AL10" s="91"/>
      <c r="AM10" s="91"/>
    </row>
    <row r="11" spans="1:39">
      <c r="A11" s="11" t="s">
        <v>371</v>
      </c>
      <c r="B11" s="14"/>
      <c r="C11" s="14">
        <f>'GAAP Financial Statements'!I275-'GAAP Financial Statements'!I274</f>
        <v>-23.600000000000136</v>
      </c>
      <c r="D11" s="14">
        <f>'GAAP Financial Statements'!J275-'GAAP Financial Statements'!J274</f>
        <v>-421.59999999999991</v>
      </c>
      <c r="E11" s="14">
        <f>'GAAP Financial Statements'!K275-'GAAP Financial Statements'!K274</f>
        <v>272.40000000000009</v>
      </c>
      <c r="F11" s="14">
        <f>'GAAP Financial Statements'!L275-'GAAP Financial Statements'!L274-'GAAP Financial Statements'!L272-'GAAP Financial Statements'!L254</f>
        <v>-32.799999999999898</v>
      </c>
      <c r="G11" s="14">
        <f>'GAAP Financial Statements'!M275-'GAAP Financial Statements'!M274-'GAAP Financial Statements'!M272-'GAAP Financial Statements'!M254</f>
        <v>282</v>
      </c>
      <c r="H11" s="14">
        <f>'GAAP Financial Statements'!N275-'GAAP Financial Statements'!N274-'GAAP Financial Statements'!N272-'GAAP Financial Statements'!N254</f>
        <v>-863.80000000000007</v>
      </c>
      <c r="I11" s="14">
        <f>'GAAP Financial Statements'!R275-'GAAP Financial Statements'!R274-'GAAP Financial Statements'!R272-'GAAP Financial Statements'!R270+300</f>
        <v>137.68999999999974</v>
      </c>
      <c r="J11" s="14">
        <f>'GAAP Financial Statements'!S275-'GAAP Financial Statements'!S274-'GAAP Financial Statements'!S272-'GAAP Financial Statements'!S270</f>
        <v>139.90999999999997</v>
      </c>
      <c r="K11" s="14">
        <f>'GAAP Financial Statements'!T275-'GAAP Financial Statements'!T274-'GAAP Financial Statements'!T272-'GAAP Financial Statements'!T270</f>
        <v>-315</v>
      </c>
      <c r="L11" s="1357">
        <f>'GAAP Financial Statements'!U275-'GAAP Financial Statements'!U274-'GAAP Financial Statements'!U272-'GAAP Financial Statements'!U270</f>
        <v>-979.99999999999955</v>
      </c>
      <c r="M11" s="1357">
        <f>'GAAP Financial Statements'!V275-'GAAP Financial Statements'!V274-'GAAP Financial Statements'!V272-'GAAP Financial Statements'!V270</f>
        <v>-1093</v>
      </c>
      <c r="N11" s="1357">
        <f>'GAAP Financial Statements'!W275-'GAAP Financial Statements'!W274-'GAAP Financial Statements'!W272-'GAAP Financial Statements'!W270</f>
        <v>-953</v>
      </c>
      <c r="O11" s="1357">
        <f>+-777+48-19-135+90+4</f>
        <v>-789</v>
      </c>
      <c r="P11" s="1357">
        <f>+N11</f>
        <v>-953</v>
      </c>
      <c r="Q11" s="1357">
        <f>'GAAP Financial Statements'!Z275-'GAAP Financial Statements'!Z274-'GAAP Financial Statements'!Z272-'GAAP Financial Statements'!Z270</f>
        <v>-997</v>
      </c>
      <c r="R11" s="1357">
        <f ca="1">'GAAP Financial Statements'!AA275-'GAAP Financial Statements'!AA274-'GAAP Financial Statements'!AA272-'GAAP Financial Statements'!AA270</f>
        <v>-735</v>
      </c>
      <c r="S11" s="1357">
        <f ca="1">R11</f>
        <v>-735</v>
      </c>
      <c r="T11" s="2806">
        <f>'GAAP Financial Statements'!AC275-'GAAP Financial Statements'!AC274-'GAAP Financial Statements'!AC272-'GAAP Financial Statements'!AC270</f>
        <v>-834.44678912789504</v>
      </c>
      <c r="U11" s="2806">
        <f>'GAAP Financial Statements'!AD275-'GAAP Financial Statements'!AD274-'GAAP Financial Statements'!AD272-'GAAP Financial Statements'!AD270</f>
        <v>-882.24787410777969</v>
      </c>
      <c r="V11" s="2806">
        <f>'GAAP Financial Statements'!AE275-'GAAP Financial Statements'!AE274-'GAAP Financial Statements'!AE272-'GAAP Financial Statements'!AE270</f>
        <v>-653.68572129375684</v>
      </c>
      <c r="W11" s="2806">
        <f>'GAAP Financial Statements'!AF275-'GAAP Financial Statements'!AF274-'GAAP Financial Statements'!AF272-'GAAP Financial Statements'!AF270</f>
        <v>-544.9839672212297</v>
      </c>
      <c r="X11" s="2806">
        <f>'GAAP Financial Statements'!AG275-'GAAP Financial Statements'!AG274-'GAAP Financial Statements'!AG272-'GAAP Financial Statements'!AG270</f>
        <v>-532.72451958625618</v>
      </c>
      <c r="Y11" s="2806">
        <f>'GAAP Financial Statements'!AH275-'GAAP Financial Statements'!AH274-'GAAP Financial Statements'!AH272-'GAAP Financial Statements'!AH270</f>
        <v>-559.38920806976898</v>
      </c>
      <c r="Z11" s="2806">
        <f>'GAAP Financial Statements'!AI275-'GAAP Financial Statements'!AI274-'GAAP Financial Statements'!AI272-'GAAP Financial Statements'!AI270</f>
        <v>-488.70082972867539</v>
      </c>
      <c r="AA11" s="2806">
        <f>'GAAP Financial Statements'!AJ275-'GAAP Financial Statements'!AJ274-'GAAP Financial Statements'!AJ272-'GAAP Financial Statements'!AJ270</f>
        <v>-461.1227609447609</v>
      </c>
      <c r="AB11" s="2806">
        <f>'GAAP Financial Statements'!AK275-'GAAP Financial Statements'!AK274-'GAAP Financial Statements'!AK272-'GAAP Financial Statements'!AK270</f>
        <v>-447.91027022385526</v>
      </c>
      <c r="AC11" s="2806">
        <f>'GAAP Financial Statements'!AL275-'GAAP Financial Statements'!AL274-'GAAP Financial Statements'!AL272-'GAAP Financial Statements'!AL270</f>
        <v>-406.79949971400526</v>
      </c>
      <c r="AD11" s="2806">
        <f>'GAAP Financial Statements'!AM275-'GAAP Financial Statements'!AM274-'GAAP Financial Statements'!AM272-'GAAP Financial Statements'!AM270</f>
        <v>-402.4370276815668</v>
      </c>
      <c r="AE11" s="2806">
        <f>'GAAP Financial Statements'!AN275-'GAAP Financial Statements'!AN274-'GAAP Financial Statements'!AN272-'GAAP Financial Statements'!AN270</f>
        <v>-407.47475340748406</v>
      </c>
      <c r="AF11" s="3343"/>
      <c r="AG11" s="91"/>
      <c r="AH11" s="91"/>
      <c r="AI11" s="91"/>
      <c r="AJ11" s="91"/>
      <c r="AK11" s="91"/>
      <c r="AL11" s="91"/>
      <c r="AM11" s="91"/>
    </row>
    <row r="12" spans="1:39">
      <c r="A12" s="11" t="s">
        <v>383</v>
      </c>
      <c r="B12" s="14"/>
      <c r="C12" s="14">
        <f>'GAAP Financial Statements'!I43</f>
        <v>-0.7</v>
      </c>
      <c r="D12" s="14">
        <f>'GAAP Financial Statements'!J43</f>
        <v>-0.6</v>
      </c>
      <c r="E12" s="14">
        <f>'GAAP Financial Statements'!K43</f>
        <v>-0.5</v>
      </c>
      <c r="F12" s="14">
        <f>'GAAP Financial Statements'!L43</f>
        <v>-0.6</v>
      </c>
      <c r="G12" s="14">
        <f>'GAAP Financial Statements'!M43</f>
        <v>-0.1</v>
      </c>
      <c r="H12" s="14">
        <f>'GAAP Financial Statements'!N43</f>
        <v>-0.9</v>
      </c>
      <c r="I12" s="14">
        <f>'GAAP Financial Statements'!R43</f>
        <v>0</v>
      </c>
      <c r="J12" s="14">
        <f>'GAAP Financial Statements'!S43</f>
        <v>0</v>
      </c>
      <c r="K12" s="14">
        <f>'GAAP Financial Statements'!T43</f>
        <v>0</v>
      </c>
      <c r="L12" s="14">
        <f>'GAAP Financial Statements'!U43</f>
        <v>0</v>
      </c>
      <c r="M12" s="14">
        <f>'GAAP Financial Statements'!V43</f>
        <v>0</v>
      </c>
      <c r="N12" s="1357">
        <f>'GAAP Financial Statements'!W43</f>
        <v>0</v>
      </c>
      <c r="O12" s="1357">
        <v>0</v>
      </c>
      <c r="P12" s="1357">
        <v>0</v>
      </c>
      <c r="Q12" s="1357">
        <f>'GAAP Financial Statements'!Z43</f>
        <v>0</v>
      </c>
      <c r="R12" s="1357">
        <f>'GAAP Financial Statements'!AA43</f>
        <v>0</v>
      </c>
      <c r="S12" s="1357">
        <f>R12</f>
        <v>0</v>
      </c>
      <c r="T12" s="2806">
        <f>'GAAP Financial Statements'!AC43</f>
        <v>0</v>
      </c>
      <c r="U12" s="2806">
        <f>'GAAP Financial Statements'!AD43</f>
        <v>0</v>
      </c>
      <c r="V12" s="2806">
        <f>'GAAP Financial Statements'!AE43</f>
        <v>0</v>
      </c>
      <c r="W12" s="2806">
        <f>'GAAP Financial Statements'!AF43</f>
        <v>0</v>
      </c>
      <c r="X12" s="2806">
        <f>'GAAP Financial Statements'!AG43</f>
        <v>0</v>
      </c>
      <c r="Y12" s="2806">
        <f>'GAAP Financial Statements'!AH43</f>
        <v>0</v>
      </c>
      <c r="Z12" s="2806">
        <f>'GAAP Financial Statements'!AI43</f>
        <v>0</v>
      </c>
      <c r="AA12" s="2806">
        <f>'GAAP Financial Statements'!AJ43</f>
        <v>0</v>
      </c>
      <c r="AB12" s="2806">
        <f>'GAAP Financial Statements'!AK43</f>
        <v>0</v>
      </c>
      <c r="AC12" s="2806">
        <f>'GAAP Financial Statements'!AL43</f>
        <v>0</v>
      </c>
      <c r="AD12" s="2806">
        <f>'GAAP Financial Statements'!AM43</f>
        <v>0</v>
      </c>
      <c r="AE12" s="2806">
        <f>'GAAP Financial Statements'!AN43</f>
        <v>0</v>
      </c>
      <c r="AF12" s="91"/>
      <c r="AG12" s="91"/>
      <c r="AH12" s="91"/>
      <c r="AI12" s="91"/>
      <c r="AJ12" s="91"/>
      <c r="AK12" s="91"/>
      <c r="AL12" s="91"/>
      <c r="AM12" s="91"/>
    </row>
    <row r="13" spans="1:39">
      <c r="A13" s="948" t="s">
        <v>591</v>
      </c>
      <c r="B13" s="317"/>
      <c r="C13" s="317"/>
      <c r="D13" s="317"/>
      <c r="E13" s="317"/>
      <c r="F13" s="317"/>
      <c r="G13" s="317"/>
      <c r="H13" s="317"/>
      <c r="I13" s="317"/>
      <c r="J13" s="317"/>
      <c r="K13" s="317"/>
      <c r="L13" s="317"/>
      <c r="M13" s="317"/>
      <c r="N13" s="317"/>
      <c r="O13" s="317"/>
      <c r="P13" s="1439"/>
      <c r="Q13" s="1439"/>
      <c r="R13" s="1439"/>
      <c r="S13" s="1439"/>
      <c r="T13" s="1439"/>
      <c r="U13" s="1439"/>
      <c r="V13" s="1439"/>
      <c r="W13" s="1439"/>
      <c r="X13" s="1439"/>
      <c r="Y13" s="1439"/>
      <c r="Z13" s="1439"/>
      <c r="AA13" s="1439"/>
      <c r="AB13" s="1439"/>
      <c r="AC13" s="1439"/>
      <c r="AD13" s="1439"/>
      <c r="AE13" s="1439"/>
      <c r="AF13" s="91"/>
      <c r="AG13" s="91"/>
      <c r="AH13" s="91"/>
      <c r="AI13" s="91"/>
      <c r="AJ13" s="91"/>
      <c r="AK13" s="91"/>
      <c r="AL13" s="91"/>
      <c r="AM13" s="91"/>
    </row>
    <row r="14" spans="1:39">
      <c r="A14" s="9" t="s">
        <v>754</v>
      </c>
      <c r="B14" s="318"/>
      <c r="C14" s="319">
        <f t="shared" ref="C14:AA14" si="0">SUM(C7:C13)</f>
        <v>1819.8000000000006</v>
      </c>
      <c r="D14" s="319">
        <f t="shared" si="0"/>
        <v>1729.8999999999996</v>
      </c>
      <c r="E14" s="319">
        <f t="shared" si="0"/>
        <v>1917.0000000000009</v>
      </c>
      <c r="F14" s="319">
        <f t="shared" si="0"/>
        <v>1668</v>
      </c>
      <c r="G14" s="319">
        <f t="shared" si="0"/>
        <v>1910.6</v>
      </c>
      <c r="H14" s="319">
        <f t="shared" si="0"/>
        <v>299.05500000000006</v>
      </c>
      <c r="I14" s="319">
        <f t="shared" si="0"/>
        <v>1059.3900000000001</v>
      </c>
      <c r="J14" s="319">
        <f t="shared" si="0"/>
        <v>1453.3100000000004</v>
      </c>
      <c r="K14" s="319">
        <f t="shared" si="0"/>
        <v>1933.0000000000005</v>
      </c>
      <c r="L14" s="319">
        <f t="shared" si="0"/>
        <v>1436</v>
      </c>
      <c r="M14" s="319">
        <f t="shared" si="0"/>
        <v>1580</v>
      </c>
      <c r="N14" s="319">
        <f t="shared" si="0"/>
        <v>1378.2598425196852</v>
      </c>
      <c r="O14" s="319">
        <f t="shared" si="0"/>
        <v>1576.0352088367276</v>
      </c>
      <c r="P14" s="1805">
        <f t="shared" si="0"/>
        <v>1378.2598425196848</v>
      </c>
      <c r="Q14" s="1805">
        <f t="shared" si="0"/>
        <v>1203</v>
      </c>
      <c r="R14" s="1805">
        <f t="shared" ca="1" si="0"/>
        <v>1639.6503184713379</v>
      </c>
      <c r="S14" s="1805">
        <f t="shared" ca="1" si="0"/>
        <v>1490.6558944212716</v>
      </c>
      <c r="T14" s="1805">
        <f t="shared" ca="1" si="0"/>
        <v>1162.1109675070129</v>
      </c>
      <c r="U14" s="1805">
        <f t="shared" ca="1" si="0"/>
        <v>1365.1687398028698</v>
      </c>
      <c r="V14" s="319">
        <f t="shared" ca="1" si="0"/>
        <v>1711.8139758902987</v>
      </c>
      <c r="W14" s="319">
        <f t="shared" ca="1" si="0"/>
        <v>2099.5989261196091</v>
      </c>
      <c r="X14" s="319">
        <f t="shared" ca="1" si="0"/>
        <v>2193.3422799679656</v>
      </c>
      <c r="Y14" s="319">
        <f t="shared" ca="1" si="0"/>
        <v>2363.9554337636728</v>
      </c>
      <c r="Z14" s="319">
        <f t="shared" ca="1" si="0"/>
        <v>2284.5031938190464</v>
      </c>
      <c r="AA14" s="319">
        <f t="shared" ca="1" si="0"/>
        <v>2391.3895209053057</v>
      </c>
      <c r="AB14" s="319">
        <f ca="1">SUM(AB7:AB13)</f>
        <v>2400.02209657512</v>
      </c>
      <c r="AC14" s="319">
        <f ca="1">SUM(AC7:AC13)</f>
        <v>2393.8979986026038</v>
      </c>
      <c r="AD14" s="319">
        <f ca="1">SUM(AD7:AD13)</f>
        <v>2350.8770554659036</v>
      </c>
      <c r="AE14" s="319">
        <f ca="1">SUM(AE7:AE13)</f>
        <v>2487.7580671207352</v>
      </c>
      <c r="AF14" s="91"/>
      <c r="AG14" s="91"/>
      <c r="AH14" s="91"/>
      <c r="AI14" s="91"/>
      <c r="AJ14" s="91"/>
      <c r="AK14" s="91"/>
      <c r="AL14" s="91"/>
      <c r="AM14" s="91"/>
    </row>
    <row r="15" spans="1:39">
      <c r="A15" s="19" t="s">
        <v>380</v>
      </c>
      <c r="B15" s="318"/>
      <c r="C15" s="319"/>
      <c r="D15" s="319"/>
      <c r="E15" s="319"/>
      <c r="F15" s="317">
        <f>'GAAP Financial Statements'!O679*'GAAP Financial Statements'!O664</f>
        <v>0</v>
      </c>
      <c r="G15" s="317">
        <f>'GAAP Financial Statements'!P679*'GAAP Financial Statements'!P664</f>
        <v>0</v>
      </c>
      <c r="H15" s="317">
        <f>'GAAP Financial Statements'!Q679*'GAAP Financial Statements'!Q664</f>
        <v>0</v>
      </c>
      <c r="I15" s="317">
        <f>-'GAAP Financial Statements'!R684</f>
        <v>-56.25</v>
      </c>
      <c r="J15" s="317">
        <f>'GAAP Financial Statements'!S39-J10</f>
        <v>-214.70000000000005</v>
      </c>
      <c r="K15" s="317">
        <f>'GAAP Financial Statements'!T39-K10</f>
        <v>-516</v>
      </c>
      <c r="L15" s="317">
        <f>'GAAP Financial Statements'!U39-L10</f>
        <v>-470</v>
      </c>
      <c r="M15" s="317">
        <f>'GAAP Financial Statements'!V39-M10</f>
        <v>-553</v>
      </c>
      <c r="N15" s="317">
        <f>'GAAP Financial Statements'!W39-N10</f>
        <v>-394.25984251968504</v>
      </c>
      <c r="O15" s="317">
        <f>'GAAP Financial Statements'!X39-O10</f>
        <v>-487.03520883672763</v>
      </c>
      <c r="P15" s="1439">
        <f>'GAAP Financial Statements'!Y39-P10</f>
        <v>-394.25984251968498</v>
      </c>
      <c r="Q15" s="1439">
        <f>'GAAP Financial Statements'!Z39-Q10</f>
        <v>-241</v>
      </c>
      <c r="R15" s="1439">
        <f>'GAAP Financial Statements'!AA39-R10</f>
        <v>-271.35031847133757</v>
      </c>
      <c r="S15" s="1439">
        <f ca="1">'GAAP Financial Statements'!AB39-S10</f>
        <v>-147.35589442127139</v>
      </c>
      <c r="T15" s="1439">
        <f ca="1">'GAAP Financial Statements'!AC39-T10</f>
        <v>-198.42310162776158</v>
      </c>
      <c r="U15" s="1439">
        <f ca="1">'GAAP Financial Statements'!AD39-U10</f>
        <v>-222.82345755919573</v>
      </c>
      <c r="V15" s="317">
        <f ca="1">'GAAP Financial Statements'!AE39-V10</f>
        <v>-229.9050702577224</v>
      </c>
      <c r="W15" s="317">
        <f ca="1">'GAAP Financial Statements'!AF39-W10</f>
        <v>-250.8723505179978</v>
      </c>
      <c r="X15" s="317">
        <f ca="1">'GAAP Financial Statements'!AG39-X10</f>
        <v>-244.46239821992685</v>
      </c>
      <c r="Y15" s="317">
        <f ca="1">'GAAP Financial Statements'!AH39-Y10</f>
        <v>-246.61022759111381</v>
      </c>
      <c r="Z15" s="317">
        <f ca="1">'GAAP Financial Statements'!AI39-Z10</f>
        <v>-219.07748919156234</v>
      </c>
      <c r="AA15" s="317">
        <f ca="1">'GAAP Financial Statements'!AJ39-AA10</f>
        <v>-209.72656743171297</v>
      </c>
      <c r="AB15" s="317">
        <f ca="1">'GAAP Financial Statements'!AK39-AB10</f>
        <v>-193.5753174764028</v>
      </c>
      <c r="AC15" s="317">
        <f ca="1">'GAAP Financial Statements'!AL39-AC10</f>
        <v>-174.60504909771487</v>
      </c>
      <c r="AD15" s="317">
        <f ca="1">'GAAP Financial Statements'!AM39-AD10</f>
        <v>-155.95164217137005</v>
      </c>
      <c r="AE15" s="317">
        <f ca="1">'GAAP Financial Statements'!AN39-AE10</f>
        <v>-147.30237593462846</v>
      </c>
      <c r="AF15" s="91"/>
      <c r="AG15" s="91"/>
      <c r="AH15" s="91"/>
      <c r="AI15" s="91"/>
      <c r="AJ15" s="91"/>
      <c r="AK15" s="91"/>
      <c r="AL15" s="91"/>
      <c r="AM15" s="91"/>
    </row>
    <row r="16" spans="1:39">
      <c r="A16" s="9" t="s">
        <v>282</v>
      </c>
      <c r="B16" s="318"/>
      <c r="C16" s="319"/>
      <c r="D16" s="319"/>
      <c r="E16" s="319"/>
      <c r="F16" s="319">
        <f t="shared" ref="F16:AA16" si="1">F14+F15</f>
        <v>1668</v>
      </c>
      <c r="G16" s="319">
        <f t="shared" si="1"/>
        <v>1910.6</v>
      </c>
      <c r="H16" s="319">
        <f t="shared" si="1"/>
        <v>299.05500000000006</v>
      </c>
      <c r="I16" s="319">
        <f t="shared" si="1"/>
        <v>1003.1400000000001</v>
      </c>
      <c r="J16" s="319">
        <f t="shared" si="1"/>
        <v>1238.6100000000004</v>
      </c>
      <c r="K16" s="319">
        <f t="shared" si="1"/>
        <v>1417.0000000000005</v>
      </c>
      <c r="L16" s="319">
        <f t="shared" si="1"/>
        <v>966</v>
      </c>
      <c r="M16" s="319">
        <f t="shared" si="1"/>
        <v>1027</v>
      </c>
      <c r="N16" s="319">
        <f t="shared" si="1"/>
        <v>984.00000000000023</v>
      </c>
      <c r="O16" s="319">
        <f t="shared" si="1"/>
        <v>1089</v>
      </c>
      <c r="P16" s="319">
        <f t="shared" si="1"/>
        <v>983.99999999999977</v>
      </c>
      <c r="Q16" s="319">
        <f t="shared" si="1"/>
        <v>962</v>
      </c>
      <c r="R16" s="319">
        <f t="shared" ca="1" si="1"/>
        <v>1368.3000000000002</v>
      </c>
      <c r="S16" s="1805">
        <f t="shared" ca="1" si="1"/>
        <v>1343.3000000000002</v>
      </c>
      <c r="T16" s="319">
        <f t="shared" ca="1" si="1"/>
        <v>963.68786587925138</v>
      </c>
      <c r="U16" s="319">
        <f t="shared" ca="1" si="1"/>
        <v>1142.3452822436741</v>
      </c>
      <c r="V16" s="319">
        <f t="shared" ca="1" si="1"/>
        <v>1481.9089056325763</v>
      </c>
      <c r="W16" s="319">
        <f t="shared" ca="1" si="1"/>
        <v>1848.7265756016113</v>
      </c>
      <c r="X16" s="319">
        <f t="shared" ca="1" si="1"/>
        <v>1948.8798817480388</v>
      </c>
      <c r="Y16" s="319">
        <f t="shared" ca="1" si="1"/>
        <v>2117.3452061725588</v>
      </c>
      <c r="Z16" s="319">
        <f t="shared" ca="1" si="1"/>
        <v>2065.4257046274843</v>
      </c>
      <c r="AA16" s="319">
        <f t="shared" ca="1" si="1"/>
        <v>2181.662953473593</v>
      </c>
      <c r="AB16" s="319">
        <f ca="1">AB14+AB15</f>
        <v>2206.4467790987173</v>
      </c>
      <c r="AC16" s="319">
        <f ca="1">AC14+AC15</f>
        <v>2219.2929495048888</v>
      </c>
      <c r="AD16" s="319">
        <f ca="1">AD14+AD15</f>
        <v>2194.9254132945334</v>
      </c>
      <c r="AE16" s="319">
        <f ca="1">AE14+AE15</f>
        <v>2340.4556911861068</v>
      </c>
      <c r="AF16" s="91"/>
      <c r="AG16" s="91"/>
      <c r="AH16" s="91"/>
      <c r="AI16" s="91"/>
      <c r="AJ16" s="91"/>
      <c r="AK16" s="91"/>
      <c r="AL16" s="91"/>
      <c r="AM16" s="91"/>
    </row>
    <row r="17" spans="1:39">
      <c r="A17" s="9"/>
      <c r="B17" s="6"/>
      <c r="C17" s="11"/>
      <c r="D17" s="11"/>
      <c r="E17" s="11"/>
      <c r="F17" s="14"/>
      <c r="G17" s="855"/>
      <c r="H17" s="855"/>
      <c r="I17" s="9"/>
      <c r="J17" s="9"/>
      <c r="K17" s="9"/>
      <c r="L17" s="9"/>
      <c r="M17" s="1355"/>
      <c r="N17" s="1355"/>
      <c r="O17" s="1355"/>
      <c r="P17" s="1355"/>
      <c r="Q17" s="1355"/>
      <c r="R17" s="1355"/>
      <c r="S17" s="1355"/>
      <c r="T17" s="1355"/>
      <c r="U17" s="1355"/>
      <c r="V17" s="1355"/>
      <c r="W17" s="1355"/>
      <c r="X17" s="1355"/>
      <c r="Y17" s="1355"/>
      <c r="Z17" s="1355"/>
      <c r="AA17" s="1355"/>
      <c r="AB17" s="1355"/>
      <c r="AC17" s="1355"/>
      <c r="AD17" s="1355"/>
      <c r="AE17" s="1355"/>
      <c r="AF17" s="1355"/>
      <c r="AG17" s="1355"/>
      <c r="AH17" s="1355"/>
      <c r="AI17" s="1355"/>
      <c r="AJ17" s="1355"/>
      <c r="AK17" s="1355"/>
      <c r="AL17" s="1355"/>
      <c r="AM17" s="1355"/>
    </row>
    <row r="18" spans="1:39">
      <c r="A18" s="69" t="s">
        <v>372</v>
      </c>
      <c r="B18" s="14"/>
      <c r="C18" s="1357">
        <f>'GAAP Financial Statements'!I57</f>
        <v>880.4</v>
      </c>
      <c r="D18" s="1357">
        <f>'GAAP Financial Statements'!J57</f>
        <v>857.2</v>
      </c>
      <c r="E18" s="1357">
        <f>'GAAP Financial Statements'!K57</f>
        <v>789.7</v>
      </c>
      <c r="F18" s="1357">
        <f>'GAAP Financial Statements'!L57</f>
        <v>771.8</v>
      </c>
      <c r="G18" s="1357">
        <f>'GAAP Financial Statements'!M57</f>
        <v>721.9</v>
      </c>
      <c r="H18" s="1357">
        <f>'GAAP Financial Statements'!N57</f>
        <v>669.8</v>
      </c>
      <c r="I18" s="1357">
        <f>'GAAP Financial Statements'!R57</f>
        <v>682.9</v>
      </c>
      <c r="J18" s="1357">
        <f>'GAAP Financial Statements'!S57</f>
        <v>698</v>
      </c>
      <c r="K18" s="1357">
        <f>'GAAP Financial Statements'!T57</f>
        <v>681</v>
      </c>
      <c r="L18" s="1357">
        <f>'GAAP Financial Statements'!U57</f>
        <v>659</v>
      </c>
      <c r="M18" s="1357">
        <f>'GAAP Financial Statements'!V57</f>
        <v>615</v>
      </c>
      <c r="N18" s="1357">
        <f>'GAAP Financial Statements'!W57</f>
        <v>561</v>
      </c>
      <c r="O18" s="1357">
        <f>+M18</f>
        <v>615</v>
      </c>
      <c r="P18" s="1357">
        <f>+N18</f>
        <v>561</v>
      </c>
      <c r="Q18" s="1357">
        <f>'GAAP Financial Statements'!Z57</f>
        <v>489</v>
      </c>
      <c r="R18" s="1357">
        <f>'GAAP Financial Statements'!AA57</f>
        <v>448</v>
      </c>
      <c r="S18" s="1357"/>
      <c r="T18" s="1357">
        <f>'GAAP Financial Statements'!AC57</f>
        <v>407.31640260015325</v>
      </c>
      <c r="U18" s="1357">
        <f>'GAAP Financial Statements'!AD57</f>
        <v>380.87292592802828</v>
      </c>
      <c r="V18" s="1357">
        <f>'GAAP Financial Statements'!AE57</f>
        <v>363.63096242724106</v>
      </c>
      <c r="W18" s="1357">
        <f>'GAAP Financial Statements'!AF57</f>
        <v>344.84450530584246</v>
      </c>
      <c r="X18" s="1357">
        <f>'GAAP Financial Statements'!AG57</f>
        <v>327.22403990034542</v>
      </c>
      <c r="Y18" s="1357">
        <f>'GAAP Financial Statements'!AH57</f>
        <v>310.80549166905735</v>
      </c>
      <c r="Z18" s="1357">
        <f>'GAAP Financial Statements'!AI57</f>
        <v>295.52253573413083</v>
      </c>
      <c r="AA18" s="1357">
        <f>'GAAP Financial Statements'!AJ57</f>
        <v>281.31292886456316</v>
      </c>
      <c r="AB18" s="1357">
        <f>'GAAP Financial Statements'!AK57</f>
        <v>268.11825978006073</v>
      </c>
      <c r="AC18" s="2806">
        <f>'GAAP Financial Statements'!AL57</f>
        <v>255.8837152129222</v>
      </c>
      <c r="AD18" s="2806">
        <f>'GAAP Financial Statements'!AM57</f>
        <v>244.55786067396593</v>
      </c>
      <c r="AE18" s="2806">
        <f>'GAAP Financial Statements'!AN57</f>
        <v>234.09243494223327</v>
      </c>
      <c r="AF18" s="3343"/>
      <c r="AG18" s="91"/>
      <c r="AH18" s="91"/>
      <c r="AI18" s="91"/>
      <c r="AJ18" s="91"/>
      <c r="AK18" s="91"/>
      <c r="AL18" s="91"/>
      <c r="AM18" s="91"/>
    </row>
    <row r="19" spans="1:39">
      <c r="A19" s="11" t="s">
        <v>373</v>
      </c>
      <c r="B19" s="60"/>
      <c r="C19" s="1661">
        <f t="shared" ref="C19:AA19" si="2">C14/C18</f>
        <v>2.0670149931849169</v>
      </c>
      <c r="D19" s="1661">
        <f t="shared" si="2"/>
        <v>2.0180821278581424</v>
      </c>
      <c r="E19" s="1661">
        <f t="shared" si="2"/>
        <v>2.4275041154868946</v>
      </c>
      <c r="F19" s="1661">
        <f t="shared" si="2"/>
        <v>2.1611816532780512</v>
      </c>
      <c r="G19" s="1661">
        <f t="shared" si="2"/>
        <v>2.6466269566421943</v>
      </c>
      <c r="H19" s="1661">
        <f t="shared" si="2"/>
        <v>0.44648402508211421</v>
      </c>
      <c r="I19" s="1661">
        <f t="shared" si="2"/>
        <v>1.5513105872016402</v>
      </c>
      <c r="J19" s="1661">
        <f t="shared" si="2"/>
        <v>2.0821060171919776</v>
      </c>
      <c r="K19" s="1661">
        <f t="shared" si="2"/>
        <v>2.8384728340675482</v>
      </c>
      <c r="L19" s="1661">
        <f t="shared" si="2"/>
        <v>2.1790591805766311</v>
      </c>
      <c r="M19" s="1661">
        <f t="shared" si="2"/>
        <v>2.5691056910569108</v>
      </c>
      <c r="N19" s="1661">
        <f t="shared" si="2"/>
        <v>2.4567911631366939</v>
      </c>
      <c r="O19" s="1661">
        <f t="shared" si="2"/>
        <v>2.5626588761572808</v>
      </c>
      <c r="P19" s="1661">
        <f t="shared" si="2"/>
        <v>2.456791163136693</v>
      </c>
      <c r="Q19" s="1661">
        <f>Q14/Q18</f>
        <v>2.4601226993865031</v>
      </c>
      <c r="R19" s="2869">
        <f t="shared" ca="1" si="2"/>
        <v>3.6599337465878077</v>
      </c>
      <c r="S19" s="2869"/>
      <c r="T19" s="2869">
        <f ca="1">T14/T18</f>
        <v>2.8530915035302722</v>
      </c>
      <c r="U19" s="2869">
        <f t="shared" ca="1" si="2"/>
        <v>3.5843155206596102</v>
      </c>
      <c r="V19" s="2869">
        <f t="shared" ca="1" si="2"/>
        <v>4.7075583565929584</v>
      </c>
      <c r="W19" s="2869">
        <f t="shared" ca="1" si="2"/>
        <v>6.0885381492666548</v>
      </c>
      <c r="X19" s="2869">
        <f t="shared" ca="1" si="2"/>
        <v>6.7028763554045048</v>
      </c>
      <c r="Y19" s="2869">
        <f t="shared" ca="1" si="2"/>
        <v>7.6058998220043987</v>
      </c>
      <c r="Z19" s="2869">
        <f t="shared" ca="1" si="2"/>
        <v>7.7303857323230254</v>
      </c>
      <c r="AA19" s="2869">
        <f t="shared" ca="1" si="2"/>
        <v>8.500816263786545</v>
      </c>
      <c r="AB19" s="2869">
        <f ca="1">AB14/AB18</f>
        <v>8.9513563848425495</v>
      </c>
      <c r="AC19" s="2869">
        <f ca="1">AC14/AC18</f>
        <v>9.3554136362707911</v>
      </c>
      <c r="AD19" s="2869">
        <f ca="1">AD14/AD18</f>
        <v>9.6127642308745589</v>
      </c>
      <c r="AE19" s="2869">
        <f ca="1">AE14/AE18</f>
        <v>10.627246744366756</v>
      </c>
      <c r="AF19" s="3343"/>
      <c r="AG19" s="91"/>
      <c r="AH19" s="91"/>
      <c r="AI19" s="91"/>
      <c r="AJ19" s="91"/>
      <c r="AK19" s="91"/>
      <c r="AL19" s="91"/>
      <c r="AM19" s="91"/>
    </row>
    <row r="20" spans="1:39">
      <c r="A20" s="11" t="s">
        <v>676</v>
      </c>
      <c r="B20" s="60"/>
      <c r="C20" s="1110"/>
      <c r="D20" s="1110">
        <f t="shared" ref="D20:N20" si="3">+D19/C19-1</f>
        <v>-2.3673202897951495E-2</v>
      </c>
      <c r="E20" s="1110">
        <f t="shared" si="3"/>
        <v>0.20287677194945752</v>
      </c>
      <c r="F20" s="1110">
        <f t="shared" si="3"/>
        <v>-0.10971040605442017</v>
      </c>
      <c r="G20" s="1110">
        <f t="shared" si="3"/>
        <v>0.22462031483000344</v>
      </c>
      <c r="H20" s="1110">
        <f t="shared" si="3"/>
        <v>-0.83130073395437121</v>
      </c>
      <c r="I20" s="1110">
        <f t="shared" si="3"/>
        <v>2.4745041256881115</v>
      </c>
      <c r="J20" s="1110">
        <f t="shared" si="3"/>
        <v>0.34215935504431938</v>
      </c>
      <c r="K20" s="1110">
        <f t="shared" si="3"/>
        <v>0.36327007877132078</v>
      </c>
      <c r="L20" s="1110">
        <f t="shared" si="3"/>
        <v>-0.23231282877771053</v>
      </c>
      <c r="M20" s="1110">
        <f t="shared" si="3"/>
        <v>0.17899766741400014</v>
      </c>
      <c r="N20" s="1110">
        <f t="shared" si="3"/>
        <v>-4.3717363715780611E-2</v>
      </c>
      <c r="O20" s="1110"/>
      <c r="P20" s="1110">
        <f t="shared" ref="P20:AC20" si="4">+P19/O19-1</f>
        <v>-4.1311668129367596E-2</v>
      </c>
      <c r="Q20" s="1110">
        <f t="shared" si="4"/>
        <v>1.3560518695274748E-3</v>
      </c>
      <c r="R20" s="2802">
        <f t="shared" ca="1" si="4"/>
        <v>0.48770374237858527</v>
      </c>
      <c r="S20" s="2802"/>
      <c r="T20" s="2802">
        <f ca="1">+T19/R19-1</f>
        <v>-0.22045269092910835</v>
      </c>
      <c r="U20" s="2802">
        <f t="shared" ca="1" si="4"/>
        <v>0.25629182107358206</v>
      </c>
      <c r="V20" s="2802">
        <f t="shared" ca="1" si="4"/>
        <v>0.31337722068804963</v>
      </c>
      <c r="W20" s="2802">
        <f t="shared" ca="1" si="4"/>
        <v>0.29335372778536617</v>
      </c>
      <c r="X20" s="2802">
        <f t="shared" ca="1" si="4"/>
        <v>0.10090077307175038</v>
      </c>
      <c r="Y20" s="2802">
        <f t="shared" ca="1" si="4"/>
        <v>0.13472178490533993</v>
      </c>
      <c r="Z20" s="2802">
        <f t="shared" ca="1" si="4"/>
        <v>1.63670194496226E-2</v>
      </c>
      <c r="AA20" s="2802">
        <f t="shared" ca="1" si="4"/>
        <v>9.9662624627141483E-2</v>
      </c>
      <c r="AB20" s="2802">
        <f t="shared" ca="1" si="4"/>
        <v>5.2999630514931173E-2</v>
      </c>
      <c r="AC20" s="2802">
        <f t="shared" ca="1" si="4"/>
        <v>4.5139220700947336E-2</v>
      </c>
      <c r="AD20" s="2802">
        <f ca="1">+AD19/AC19-1</f>
        <v>2.7508200557378126E-2</v>
      </c>
      <c r="AE20" s="2802">
        <f ca="1">+AE19/AD19-1</f>
        <v>0.10553494178436762</v>
      </c>
      <c r="AF20" s="3343"/>
    </row>
    <row r="21" spans="1:39" s="875" customFormat="1">
      <c r="A21" s="9" t="s">
        <v>482</v>
      </c>
      <c r="B21" s="2480"/>
      <c r="C21" s="1920"/>
      <c r="D21" s="1920"/>
      <c r="E21" s="1920"/>
      <c r="F21" s="1924">
        <f t="shared" ref="F21:AA21" si="5">F16/F18</f>
        <v>2.1611816532780512</v>
      </c>
      <c r="G21" s="1924">
        <f t="shared" si="5"/>
        <v>2.6466269566421943</v>
      </c>
      <c r="H21" s="1924">
        <f t="shared" si="5"/>
        <v>0.44648402508211421</v>
      </c>
      <c r="I21" s="1924">
        <f t="shared" si="5"/>
        <v>1.4689412798359938</v>
      </c>
      <c r="J21" s="1924">
        <f t="shared" si="5"/>
        <v>1.7745128939828085</v>
      </c>
      <c r="K21" s="1924">
        <f t="shared" si="5"/>
        <v>2.080763582966227</v>
      </c>
      <c r="L21" s="1924">
        <f t="shared" si="5"/>
        <v>1.4658573596358118</v>
      </c>
      <c r="M21" s="1924">
        <f t="shared" si="5"/>
        <v>1.6699186991869919</v>
      </c>
      <c r="N21" s="1924">
        <f t="shared" si="5"/>
        <v>1.7540106951871661</v>
      </c>
      <c r="O21" s="1924">
        <f t="shared" si="5"/>
        <v>1.7707317073170732</v>
      </c>
      <c r="P21" s="1924">
        <f t="shared" si="5"/>
        <v>1.7540106951871655</v>
      </c>
      <c r="Q21" s="1924">
        <f t="shared" si="5"/>
        <v>1.9672801635991819</v>
      </c>
      <c r="R21" s="3589">
        <f t="shared" ca="1" si="5"/>
        <v>3.0542410714285717</v>
      </c>
      <c r="S21" s="3589"/>
      <c r="T21" s="3589">
        <f t="shared" ca="1" si="5"/>
        <v>2.3659441646038166</v>
      </c>
      <c r="U21" s="3589">
        <f ca="1">U16/U18</f>
        <v>2.9992819244378048</v>
      </c>
      <c r="V21" s="3589">
        <f t="shared" ca="1" si="5"/>
        <v>4.0753100223941781</v>
      </c>
      <c r="W21" s="3589">
        <f t="shared" ca="1" si="5"/>
        <v>5.3610440275450424</v>
      </c>
      <c r="X21" s="3589">
        <f t="shared" ca="1" si="5"/>
        <v>5.9557967756328694</v>
      </c>
      <c r="Y21" s="3589">
        <f t="shared" ca="1" si="5"/>
        <v>6.8124446411876383</v>
      </c>
      <c r="Z21" s="3589">
        <f t="shared" ca="1" si="5"/>
        <v>6.9890632858052513</v>
      </c>
      <c r="AA21" s="3589">
        <f t="shared" ca="1" si="5"/>
        <v>7.7552886114379218</v>
      </c>
      <c r="AB21" s="3589">
        <f ca="1">AB16/AB18</f>
        <v>8.2293790095037949</v>
      </c>
      <c r="AC21" s="3589">
        <f ca="1">AC16/AC18</f>
        <v>8.6730527093457415</v>
      </c>
      <c r="AD21" s="3589">
        <f ca="1">AD16/AD18</f>
        <v>8.975076111827434</v>
      </c>
      <c r="AE21" s="3589">
        <f ca="1">AE16/AE18</f>
        <v>9.9979979778657029</v>
      </c>
      <c r="AF21" s="3343"/>
    </row>
    <row r="22" spans="1:39" s="875" customFormat="1">
      <c r="A22" s="9" t="s">
        <v>676</v>
      </c>
      <c r="B22" s="2480"/>
      <c r="C22" s="1313"/>
      <c r="D22" s="1313"/>
      <c r="E22" s="1313"/>
      <c r="F22" s="1313"/>
      <c r="G22" s="1313"/>
      <c r="H22" s="1313"/>
      <c r="I22" s="1313">
        <f t="shared" ref="I22:N22" si="6">+I21/H21-1</f>
        <v>2.2900197931288502</v>
      </c>
      <c r="J22" s="1313">
        <f t="shared" si="6"/>
        <v>0.20802166726564564</v>
      </c>
      <c r="K22" s="1313">
        <f t="shared" si="6"/>
        <v>0.17258296066592882</v>
      </c>
      <c r="L22" s="1313">
        <f t="shared" si="6"/>
        <v>-0.29551950464926791</v>
      </c>
      <c r="M22" s="1313">
        <f t="shared" si="6"/>
        <v>0.13920954737497682</v>
      </c>
      <c r="N22" s="1313">
        <f t="shared" si="6"/>
        <v>5.0356940155897867E-2</v>
      </c>
      <c r="O22" s="1313"/>
      <c r="P22" s="1313">
        <f t="shared" ref="P22:AC22" si="7">+P21/O21-1</f>
        <v>-9.44299583093966E-3</v>
      </c>
      <c r="Q22" s="1313">
        <f t="shared" si="7"/>
        <v>0.12158960546660702</v>
      </c>
      <c r="R22" s="3344">
        <f t="shared" ca="1" si="7"/>
        <v>0.5525196298633801</v>
      </c>
      <c r="S22" s="3344"/>
      <c r="T22" s="3344">
        <f ca="1">+T21/R21-1</f>
        <v>-0.22535775360483101</v>
      </c>
      <c r="U22" s="3344">
        <f t="shared" ca="1" si="7"/>
        <v>0.26768922500757419</v>
      </c>
      <c r="V22" s="3344">
        <f t="shared" ca="1" si="7"/>
        <v>0.35876190537108887</v>
      </c>
      <c r="W22" s="3344">
        <f t="shared" ca="1" si="7"/>
        <v>0.31549354480656588</v>
      </c>
      <c r="X22" s="3344">
        <f t="shared" ca="1" si="7"/>
        <v>0.1109397246193069</v>
      </c>
      <c r="Y22" s="3344">
        <f t="shared" ca="1" si="7"/>
        <v>0.1438343009048928</v>
      </c>
      <c r="Z22" s="3344">
        <f t="shared" ca="1" si="7"/>
        <v>2.5925883279812156E-2</v>
      </c>
      <c r="AA22" s="3344">
        <f t="shared" ca="1" si="7"/>
        <v>0.10963204857350051</v>
      </c>
      <c r="AB22" s="3344">
        <f t="shared" ca="1" si="7"/>
        <v>6.1131238541742849E-2</v>
      </c>
      <c r="AC22" s="3344">
        <f t="shared" ca="1" si="7"/>
        <v>5.3913387550818204E-2</v>
      </c>
      <c r="AD22" s="3344">
        <f ca="1">+AD21/AC21-1</f>
        <v>3.4823194623992526E-2</v>
      </c>
      <c r="AE22" s="3344">
        <f ca="1">+AE21/AD21-1</f>
        <v>0.11397361462932376</v>
      </c>
      <c r="AF22" s="3345"/>
    </row>
    <row r="23" spans="1:39">
      <c r="A23" s="11" t="s">
        <v>239</v>
      </c>
      <c r="B23" s="60"/>
      <c r="C23" s="125"/>
      <c r="D23" s="125"/>
      <c r="E23" s="125"/>
      <c r="F23" s="125">
        <f>'GAAP Financial Statements'!L98</f>
        <v>2.1680085536860458</v>
      </c>
      <c r="G23" s="125">
        <f>'GAAP Financial Statements'!M98</f>
        <v>1.7606888290353013</v>
      </c>
      <c r="H23" s="125">
        <f>'GAAP Financial Statements'!N98</f>
        <v>1.5049268438339778</v>
      </c>
      <c r="I23" s="125">
        <f>'GAAP Financial Statements'!R98</f>
        <v>0.49760213794113389</v>
      </c>
      <c r="J23" s="125">
        <f>'GAAP Financial Statements'!S98</f>
        <v>1.109025787965616</v>
      </c>
      <c r="K23" s="125">
        <f>'GAAP Financial Statements'!T98</f>
        <v>2.0807635829662261</v>
      </c>
      <c r="L23" s="125">
        <f>'GAAP Financial Statements'!U98</f>
        <v>2.5235625546972527</v>
      </c>
      <c r="M23" s="125">
        <f>'GAAP Financial Statements'!V98</f>
        <v>3.0601676531090476</v>
      </c>
      <c r="N23" s="125">
        <f>'GAAP Financial Statements'!W98</f>
        <v>2.964349376114082</v>
      </c>
      <c r="O23" s="125">
        <f>'GAAP Financial Statements'!X98</f>
        <v>2.7852564102564101</v>
      </c>
      <c r="P23" s="125">
        <f>'GAAP Financial Statements'!Y98</f>
        <v>2.964349376114082</v>
      </c>
      <c r="Q23" s="125">
        <f>'GAAP Financial Statements'!Z98</f>
        <v>3.3087934560327197</v>
      </c>
      <c r="R23" s="125">
        <f ca="1">'GAAP Financial Statements'!AA98</f>
        <v>4.1071428571428568</v>
      </c>
      <c r="S23" s="125"/>
      <c r="T23" s="125">
        <f ca="1">'GAAP Financial Statements'!AC98</f>
        <v>4.3466981503566471</v>
      </c>
      <c r="U23" s="125">
        <f ca="1">'GAAP Financial Statements'!AD98</f>
        <v>5.0957125911953502</v>
      </c>
      <c r="V23" s="125">
        <f ca="1">'GAAP Financial Statements'!AE98</f>
        <v>5.6934770578983427</v>
      </c>
      <c r="W23" s="125">
        <f ca="1">'GAAP Financial Statements'!AF98</f>
        <v>6.7817906368453151</v>
      </c>
      <c r="X23" s="125">
        <f ca="1">'GAAP Financial Statements'!AG98</f>
        <v>7.4380004671453053</v>
      </c>
      <c r="Y23" s="125">
        <f ca="1">'GAAP Financial Statements'!AH98</f>
        <v>8.474936607653186</v>
      </c>
      <c r="Z23" s="125">
        <f ca="1">'GAAP Financial Statements'!AI98</f>
        <v>8.5217852673920493</v>
      </c>
      <c r="AA23" s="125">
        <f ca="1">'GAAP Financial Statements'!AJ98</f>
        <v>9.2838030510183103</v>
      </c>
      <c r="AB23" s="125">
        <f ca="1">'GAAP Financial Statements'!AK98</f>
        <v>9.8000037234513595</v>
      </c>
      <c r="AC23" s="2869">
        <f ca="1">'GAAP Financial Statements'!AL98</f>
        <v>10.174218589521463</v>
      </c>
      <c r="AD23" s="2869">
        <f ca="1">'GAAP Financial Statements'!AM98</f>
        <v>10.543856870012212</v>
      </c>
      <c r="AE23" s="2869">
        <f ca="1">'GAAP Financial Statements'!AN98</f>
        <v>11.674201714777229</v>
      </c>
      <c r="AF23" s="2807"/>
    </row>
    <row r="24" spans="1:39">
      <c r="A24" s="11" t="s">
        <v>676</v>
      </c>
      <c r="B24" s="60"/>
      <c r="C24" s="39"/>
      <c r="D24" s="39"/>
      <c r="E24" s="39"/>
      <c r="F24" s="39"/>
      <c r="G24" s="39">
        <f t="shared" ref="G24:N24" si="8">+G23/F23-1</f>
        <v>-0.18787736051973591</v>
      </c>
      <c r="H24" s="39">
        <f t="shared" si="8"/>
        <v>-0.14526245693366391</v>
      </c>
      <c r="I24" s="39">
        <f t="shared" si="8"/>
        <v>-0.6693512777847499</v>
      </c>
      <c r="J24" s="39">
        <f t="shared" si="8"/>
        <v>1.2287399980922373</v>
      </c>
      <c r="K24" s="39">
        <f t="shared" si="8"/>
        <v>0.87620847553342696</v>
      </c>
      <c r="L24" s="39">
        <f t="shared" si="8"/>
        <v>0.21280599841131198</v>
      </c>
      <c r="M24" s="39">
        <f t="shared" si="8"/>
        <v>0.21263792229480538</v>
      </c>
      <c r="N24" s="39">
        <f t="shared" si="8"/>
        <v>-3.1311446906386542E-2</v>
      </c>
      <c r="O24" s="39"/>
      <c r="P24" s="39">
        <f t="shared" ref="P24:AC24" si="9">+P23/O23-1</f>
        <v>6.4300351378128395E-2</v>
      </c>
      <c r="Q24" s="39">
        <f t="shared" si="9"/>
        <v>0.11619550741693074</v>
      </c>
      <c r="R24" s="39">
        <f t="shared" ca="1" si="9"/>
        <v>0.24128112307963967</v>
      </c>
      <c r="S24" s="39"/>
      <c r="T24" s="39">
        <f ca="1">+T23/R23-1</f>
        <v>5.8326506173792536E-2</v>
      </c>
      <c r="U24" s="39">
        <f t="shared" ca="1" si="9"/>
        <v>0.17231802506857918</v>
      </c>
      <c r="V24" s="39">
        <f t="shared" ca="1" si="9"/>
        <v>0.11730733553062667</v>
      </c>
      <c r="W24" s="39">
        <f t="shared" ca="1" si="9"/>
        <v>0.19115095536166193</v>
      </c>
      <c r="X24" s="39">
        <f t="shared" ca="1" si="9"/>
        <v>9.6760555646589363E-2</v>
      </c>
      <c r="Y24" s="39">
        <f t="shared" ca="1" si="9"/>
        <v>0.13941060438059583</v>
      </c>
      <c r="Z24" s="39">
        <f t="shared" ca="1" si="9"/>
        <v>5.5279068042299873E-3</v>
      </c>
      <c r="AA24" s="39">
        <f t="shared" ca="1" si="9"/>
        <v>8.9419970078577604E-2</v>
      </c>
      <c r="AB24" s="39">
        <f t="shared" ca="1" si="9"/>
        <v>5.5602286002440549E-2</v>
      </c>
      <c r="AC24" s="2802">
        <f t="shared" ca="1" si="9"/>
        <v>3.8185175907087476E-2</v>
      </c>
      <c r="AD24" s="2802">
        <f ca="1">+AD23/AC23-1</f>
        <v>3.6330876640634058E-2</v>
      </c>
      <c r="AE24" s="2802">
        <f ca="1">+AE23/AD23-1</f>
        <v>0.10720411503117355</v>
      </c>
      <c r="AF24" s="2807"/>
    </row>
    <row r="25" spans="1:39">
      <c r="A25" s="11" t="s">
        <v>241</v>
      </c>
      <c r="B25" s="60"/>
      <c r="C25" s="39"/>
      <c r="D25" s="39"/>
      <c r="E25" s="39"/>
      <c r="F25" s="39"/>
      <c r="G25" s="39">
        <f t="shared" ref="G25:AA25" si="10">G21/G23</f>
        <v>1.5031770026577083</v>
      </c>
      <c r="H25" s="39">
        <f t="shared" si="10"/>
        <v>0.29668154761904819</v>
      </c>
      <c r="I25" s="39">
        <f t="shared" si="10"/>
        <v>2.9520397277910586</v>
      </c>
      <c r="J25" s="39">
        <f t="shared" si="10"/>
        <v>1.6000645911380964</v>
      </c>
      <c r="K25" s="39">
        <f t="shared" si="10"/>
        <v>1.0000000000000004</v>
      </c>
      <c r="L25" s="39">
        <f t="shared" si="10"/>
        <v>0.58086824790902325</v>
      </c>
      <c r="M25" s="39">
        <f t="shared" si="10"/>
        <v>0.54569516722078926</v>
      </c>
      <c r="N25" s="39">
        <f t="shared" si="10"/>
        <v>0.59170174383644025</v>
      </c>
      <c r="O25" s="39">
        <f t="shared" si="10"/>
        <v>0.6357517752392714</v>
      </c>
      <c r="P25" s="39">
        <f t="shared" si="10"/>
        <v>0.59170174383644003</v>
      </c>
      <c r="Q25" s="39">
        <f t="shared" si="10"/>
        <v>0.59456118665018542</v>
      </c>
      <c r="R25" s="39">
        <f t="shared" ca="1" si="10"/>
        <v>0.74364130434782627</v>
      </c>
      <c r="S25" s="39"/>
      <c r="T25" s="39">
        <f t="shared" ca="1" si="10"/>
        <v>0.5443083652840468</v>
      </c>
      <c r="U25" s="39">
        <f t="shared" ca="1" si="10"/>
        <v>0.58858930341168136</v>
      </c>
      <c r="V25" s="39">
        <f t="shared" ca="1" si="10"/>
        <v>0.71578579854654134</v>
      </c>
      <c r="W25" s="39">
        <f t="shared" ca="1" si="10"/>
        <v>0.79050568126043463</v>
      </c>
      <c r="X25" s="39">
        <f t="shared" ca="1" si="10"/>
        <v>0.80072551782437518</v>
      </c>
      <c r="Y25" s="39">
        <f t="shared" ca="1" si="10"/>
        <v>0.80383428886485653</v>
      </c>
      <c r="Z25" s="39">
        <f t="shared" ca="1" si="10"/>
        <v>0.82014074123040392</v>
      </c>
      <c r="AA25" s="39">
        <f t="shared" ca="1" si="10"/>
        <v>0.83535686494203143</v>
      </c>
      <c r="AB25" s="39">
        <f ca="1">AB21/AB23</f>
        <v>0.83973223293894594</v>
      </c>
      <c r="AC25" s="2802">
        <f ca="1">AC21/AC23</f>
        <v>0.85245393865217445</v>
      </c>
      <c r="AD25" s="2802">
        <f ca="1">AD21/AD23</f>
        <v>0.85121376574766039</v>
      </c>
      <c r="AE25" s="2802">
        <f ca="1">AE21/AE23</f>
        <v>0.8564181279487586</v>
      </c>
      <c r="AF25" s="2807"/>
    </row>
    <row r="26" spans="1:39">
      <c r="A26" s="11" t="s">
        <v>1116</v>
      </c>
      <c r="B26" s="60"/>
      <c r="C26" s="125">
        <f>'GAAP Financial Statements'!I69</f>
        <v>1.3127321388005457</v>
      </c>
      <c r="D26" s="125">
        <f>'GAAP Financial Statements'!J69</f>
        <v>1.7189627566495587</v>
      </c>
      <c r="E26" s="125">
        <f>'GAAP Financial Statements'!K69</f>
        <v>1.5993478675446382</v>
      </c>
      <c r="F26" s="125">
        <f>'GAAP Financial Statements'!L69</f>
        <v>1.8105856408508225</v>
      </c>
      <c r="G26" s="125">
        <f>'GAAP Financial Statements'!M69</f>
        <v>1.8808399058435503</v>
      </c>
      <c r="H26" s="125">
        <f>'GAAP Financial Statements'!N69</f>
        <v>1.8861413854882036</v>
      </c>
      <c r="I26" s="125">
        <f>'GAAP Financial Statements'!R69</f>
        <v>0.76255674330063017</v>
      </c>
      <c r="J26" s="125">
        <f>'GAAP Financial Statements'!S69</f>
        <v>1.2416905444126076</v>
      </c>
      <c r="K26" s="125">
        <f>'GAAP Financial Statements'!T69</f>
        <v>2.2306196769456688</v>
      </c>
      <c r="L26" s="125">
        <f>'GAAP Financial Statements'!U69</f>
        <v>2.6682494923561602</v>
      </c>
      <c r="M26" s="125">
        <f>'GAAP Financial Statements'!V69</f>
        <v>3.1728583816732194</v>
      </c>
      <c r="N26" s="125">
        <f>'GAAP Financial Statements'!W69</f>
        <v>1.906287118684004</v>
      </c>
      <c r="O26" s="125"/>
      <c r="P26" s="125"/>
      <c r="Q26" s="125">
        <f>'GAAP Financial Statements'!Z69</f>
        <v>3.8240247380077976</v>
      </c>
      <c r="R26" s="125">
        <f ca="1">'GAAP Financial Statements'!AA69</f>
        <v>4.4899003042921199</v>
      </c>
      <c r="S26" s="125"/>
      <c r="T26" s="125">
        <f ca="1">'GAAP Financial Statements'!AC69</f>
        <v>4.206952674719858</v>
      </c>
      <c r="U26" s="125">
        <f ca="1">'GAAP Financial Statements'!AD69</f>
        <v>5.1313937832015464</v>
      </c>
      <c r="V26" s="125">
        <f ca="1">'GAAP Financial Statements'!AE69</f>
        <v>5.7308501130124805</v>
      </c>
      <c r="W26" s="125">
        <f ca="1">'GAAP Financial Statements'!AF69</f>
        <v>6.8146315254944057</v>
      </c>
      <c r="X26" s="125">
        <f ca="1">'GAAP Financial Statements'!AG69</f>
        <v>7.4679952071497047</v>
      </c>
      <c r="Y26" s="125">
        <f ca="1">'GAAP Financial Statements'!AH69</f>
        <v>8.5063906451729192</v>
      </c>
      <c r="Z26" s="125">
        <f ca="1">'GAAP Financial Statements'!AI69</f>
        <v>8.5496510193316766</v>
      </c>
      <c r="AA26" s="125">
        <f ca="1">'GAAP Financial Statements'!AJ69</f>
        <v>9.3129878231797072</v>
      </c>
      <c r="AB26" s="125">
        <f ca="1">'GAAP Financial Statements'!AK69</f>
        <v>9.83055043291826</v>
      </c>
      <c r="AC26" s="2869">
        <f ca="1">'GAAP Financial Statements'!AL69</f>
        <v>10.206163537862214</v>
      </c>
      <c r="AD26" s="2869">
        <f ca="1">'GAAP Financial Statements'!AM69</f>
        <v>10.577229100308877</v>
      </c>
      <c r="AE26" s="2869">
        <f ca="1">'GAAP Financial Statements'!AN69</f>
        <v>11.709022321415487</v>
      </c>
      <c r="AF26" s="2807"/>
    </row>
    <row r="27" spans="1:39">
      <c r="A27" s="11" t="s">
        <v>676</v>
      </c>
      <c r="B27" s="60"/>
      <c r="C27" s="39"/>
      <c r="D27" s="39">
        <f t="shared" ref="D27:N27" si="11">+D26/C26-1</f>
        <v>0.30945430971179633</v>
      </c>
      <c r="E27" s="39">
        <f t="shared" si="11"/>
        <v>-6.9585503608037835E-2</v>
      </c>
      <c r="F27" s="39">
        <f t="shared" si="11"/>
        <v>0.13207744080747252</v>
      </c>
      <c r="G27" s="39">
        <f t="shared" si="11"/>
        <v>3.8801956343647026E-2</v>
      </c>
      <c r="H27" s="39">
        <f t="shared" si="11"/>
        <v>2.8186767136226809E-3</v>
      </c>
      <c r="I27" s="39">
        <f t="shared" si="11"/>
        <v>-0.5957054178612109</v>
      </c>
      <c r="J27" s="39">
        <f t="shared" si="11"/>
        <v>0.62832543980675792</v>
      </c>
      <c r="K27" s="39">
        <f t="shared" si="11"/>
        <v>0.796437676829441</v>
      </c>
      <c r="L27" s="39">
        <f t="shared" si="11"/>
        <v>0.19619203575291988</v>
      </c>
      <c r="M27" s="39">
        <f t="shared" si="11"/>
        <v>0.18911608182167083</v>
      </c>
      <c r="N27" s="39">
        <f t="shared" si="11"/>
        <v>-0.39918934620753044</v>
      </c>
      <c r="O27" s="39"/>
      <c r="P27" s="39"/>
      <c r="Q27" s="39">
        <f>+Q26/N26-1</f>
        <v>1.0060067030446569</v>
      </c>
      <c r="R27" s="39">
        <f ca="1">+R26/Q26-1</f>
        <v>0.17412951324975579</v>
      </c>
      <c r="S27" s="39"/>
      <c r="T27" s="39">
        <f ca="1">+T26/R26-1</f>
        <v>-6.3018688700454684E-2</v>
      </c>
      <c r="U27" s="39">
        <f t="shared" ref="U27:AE27" ca="1" si="12">+U26/T26-1</f>
        <v>0.21974126641280733</v>
      </c>
      <c r="V27" s="39">
        <f t="shared" ca="1" si="12"/>
        <v>0.11682134623410745</v>
      </c>
      <c r="W27" s="39">
        <f t="shared" ca="1" si="12"/>
        <v>0.1891135505395769</v>
      </c>
      <c r="X27" s="39">
        <f t="shared" ca="1" si="12"/>
        <v>9.5876597173446987E-2</v>
      </c>
      <c r="Y27" s="39">
        <f t="shared" ca="1" si="12"/>
        <v>0.13904607718937423</v>
      </c>
      <c r="Z27" s="39">
        <f t="shared" ca="1" si="12"/>
        <v>5.0856321985759401E-3</v>
      </c>
      <c r="AA27" s="39">
        <f t="shared" ca="1" si="12"/>
        <v>8.9282802552062668E-2</v>
      </c>
      <c r="AB27" s="39">
        <f t="shared" ca="1" si="12"/>
        <v>5.5574281805711889E-2</v>
      </c>
      <c r="AC27" s="2802">
        <f t="shared" ca="1" si="12"/>
        <v>3.8208756214320072E-2</v>
      </c>
      <c r="AD27" s="2802">
        <f t="shared" ca="1" si="12"/>
        <v>3.6357007319166135E-2</v>
      </c>
      <c r="AE27" s="2802">
        <f t="shared" ca="1" si="12"/>
        <v>0.10700280861587452</v>
      </c>
      <c r="AF27" s="2807"/>
    </row>
    <row r="28" spans="1:39">
      <c r="A28" s="11" t="s">
        <v>240</v>
      </c>
      <c r="B28" s="52"/>
      <c r="C28" s="88">
        <f>C19/C26</f>
        <v>1.5745900721784458</v>
      </c>
      <c r="D28" s="88">
        <f>D19/D26</f>
        <v>1.1740115485640883</v>
      </c>
      <c r="E28" s="88">
        <f>E19/E26</f>
        <v>1.5178087048777351</v>
      </c>
      <c r="F28" s="88">
        <f t="shared" ref="F28:N28" si="13">F21/F26</f>
        <v>1.1936368015502863</v>
      </c>
      <c r="G28" s="88">
        <f t="shared" si="13"/>
        <v>1.4071516392327879</v>
      </c>
      <c r="H28" s="88">
        <f t="shared" si="13"/>
        <v>0.23671821662857342</v>
      </c>
      <c r="I28" s="88">
        <f t="shared" si="13"/>
        <v>1.9263370139222267</v>
      </c>
      <c r="J28" s="88">
        <f t="shared" si="13"/>
        <v>1.4291104188300452</v>
      </c>
      <c r="K28" s="88">
        <f t="shared" si="13"/>
        <v>0.93281862635380497</v>
      </c>
      <c r="L28" s="88">
        <f t="shared" si="13"/>
        <v>0.54937042575482964</v>
      </c>
      <c r="M28" s="88">
        <f t="shared" si="13"/>
        <v>0.52631365737362457</v>
      </c>
      <c r="N28" s="88">
        <f t="shared" si="13"/>
        <v>0.92011884148807488</v>
      </c>
      <c r="O28" s="88"/>
      <c r="P28" s="88"/>
      <c r="Q28" s="88">
        <f t="shared" ref="Q28:AA28" si="14">Q21/Q26</f>
        <v>0.51445278165854025</v>
      </c>
      <c r="R28" s="88">
        <f t="shared" ca="1" si="14"/>
        <v>0.68024696862620093</v>
      </c>
      <c r="S28" s="88"/>
      <c r="T28" s="88">
        <f t="shared" ca="1" si="14"/>
        <v>0.56238906104675057</v>
      </c>
      <c r="U28" s="88">
        <f t="shared" ca="1" si="14"/>
        <v>0.58449654249035476</v>
      </c>
      <c r="V28" s="88">
        <f t="shared" ca="1" si="14"/>
        <v>0.71111788688047706</v>
      </c>
      <c r="W28" s="88">
        <f t="shared" ca="1" si="14"/>
        <v>0.78669609757896564</v>
      </c>
      <c r="X28" s="88">
        <f t="shared" ca="1" si="14"/>
        <v>0.79750945339800328</v>
      </c>
      <c r="Y28" s="88">
        <f t="shared" ca="1" si="14"/>
        <v>0.80086195489428458</v>
      </c>
      <c r="Z28" s="88">
        <f t="shared" ca="1" si="14"/>
        <v>0.81746766856357422</v>
      </c>
      <c r="AA28" s="88">
        <f t="shared" ca="1" si="14"/>
        <v>0.83273904773452778</v>
      </c>
      <c r="AB28" s="88">
        <f ca="1">AB21/AB26</f>
        <v>0.83712291246145942</v>
      </c>
      <c r="AC28" s="3304">
        <f ca="1">AC21/AC26</f>
        <v>0.84978578651723247</v>
      </c>
      <c r="AD28" s="3304">
        <f ca="1">AD21/AD26</f>
        <v>0.84852810000733969</v>
      </c>
      <c r="AE28" s="3304">
        <f ca="1">AE21/AE26</f>
        <v>0.85387128860277539</v>
      </c>
      <c r="AF28" s="2807"/>
    </row>
    <row r="29" spans="1:39">
      <c r="A29" s="11" t="s">
        <v>402</v>
      </c>
      <c r="B29" s="52"/>
      <c r="C29" s="162">
        <f>'GAAP Financial Statements'!I158</f>
        <v>0.24</v>
      </c>
      <c r="D29" s="162">
        <f>'GAAP Financial Statements'!J158</f>
        <v>0.5</v>
      </c>
      <c r="E29" s="162">
        <f>'GAAP Financial Statements'!K158</f>
        <v>0.56000000000000005</v>
      </c>
      <c r="F29" s="162">
        <f>'GAAP Financial Statements'!L158</f>
        <v>0.74</v>
      </c>
      <c r="G29" s="162">
        <f>'GAAP Financial Statements'!M158</f>
        <v>0.89702998038666293</v>
      </c>
      <c r="H29" s="162">
        <f>'GAAP Financial Statements'!N158</f>
        <v>1.0531501940877874</v>
      </c>
      <c r="I29" s="162">
        <f>'GAAP Financial Statements'!R158</f>
        <v>0.44135985748218526</v>
      </c>
      <c r="J29" s="162">
        <f>'GAAP Financial Statements'!S158</f>
        <v>0.2</v>
      </c>
      <c r="K29" s="162">
        <f>'GAAP Financial Statements'!T158</f>
        <v>0.3</v>
      </c>
      <c r="L29" s="162">
        <f>'GAAP Financial Statements'!U158</f>
        <v>0.44</v>
      </c>
      <c r="M29" s="162">
        <f>'GAAP Financial Statements'!V158</f>
        <v>0.49199999999999999</v>
      </c>
      <c r="N29" s="162">
        <f>'GAAP Financial Statements'!W158</f>
        <v>0.54</v>
      </c>
      <c r="O29" s="162"/>
      <c r="P29" s="162"/>
      <c r="Q29" s="162">
        <f>'GAAP Financial Statements'!Z158</f>
        <v>0.6</v>
      </c>
      <c r="R29" s="162">
        <f>'GAAP Financial Statements'!AA158</f>
        <v>0.65999999999999992</v>
      </c>
      <c r="S29" s="162"/>
      <c r="T29" s="162">
        <f>'GAAP Financial Statements'!AC158</f>
        <v>0.72</v>
      </c>
      <c r="U29" s="162">
        <f>'GAAP Financial Statements'!AD158</f>
        <v>0.77760000000000007</v>
      </c>
      <c r="V29" s="162">
        <f>'GAAP Financial Statements'!AE158</f>
        <v>0.83980800000000011</v>
      </c>
      <c r="W29" s="162">
        <f>'GAAP Financial Statements'!AF158</f>
        <v>0.90699264000000013</v>
      </c>
      <c r="X29" s="162">
        <f>'GAAP Financial Statements'!AG158</f>
        <v>0.97955205120000022</v>
      </c>
      <c r="Y29" s="162">
        <f>'GAAP Financial Statements'!AH158</f>
        <v>1.0579162152960002</v>
      </c>
      <c r="Z29" s="162">
        <f>'GAAP Financial Statements'!AI158</f>
        <v>1.1425495125196803</v>
      </c>
      <c r="AA29" s="162">
        <f>'GAAP Financial Statements'!AJ158</f>
        <v>1.2339534735212547</v>
      </c>
      <c r="AB29" s="162">
        <f>'GAAP Financial Statements'!AK158</f>
        <v>1.3326697514029553</v>
      </c>
      <c r="AC29" s="162">
        <f>'GAAP Financial Statements'!AL158</f>
        <v>1.4392833315151918</v>
      </c>
      <c r="AD29" s="162">
        <f>'GAAP Financial Statements'!AM158</f>
        <v>1.5544259980364072</v>
      </c>
      <c r="AE29" s="162">
        <f>'GAAP Financial Statements'!AN158</f>
        <v>1.6787800778793198</v>
      </c>
    </row>
    <row r="30" spans="1:39">
      <c r="A30" s="11" t="s">
        <v>1185</v>
      </c>
      <c r="B30" s="52"/>
      <c r="C30" s="162"/>
      <c r="D30" s="162"/>
      <c r="E30" s="162"/>
      <c r="F30" s="14">
        <f>'GAAP Financial Statements'!L156</f>
        <v>519.1</v>
      </c>
      <c r="G30" s="14">
        <f>'GAAP Financial Statements'!M156</f>
        <v>640.29999999999995</v>
      </c>
      <c r="H30" s="14">
        <f>'GAAP Financial Statements'!N156</f>
        <v>705.4</v>
      </c>
      <c r="I30" s="14">
        <f>'GAAP Financial Statements'!R156</f>
        <v>297.3</v>
      </c>
      <c r="J30" s="14">
        <f>'GAAP Financial Statements'!S156</f>
        <v>135.74</v>
      </c>
      <c r="K30" s="14">
        <f>'GAAP Financial Statements'!T156</f>
        <v>199.2</v>
      </c>
      <c r="L30" s="14">
        <f>'GAAP Financial Statements'!U156</f>
        <v>282.48</v>
      </c>
      <c r="M30" s="14">
        <f>'GAAP Financial Statements'!V156</f>
        <v>294.70799999999997</v>
      </c>
      <c r="N30" s="14">
        <f>'GAAP Financial Statements'!W156</f>
        <v>297</v>
      </c>
      <c r="O30" s="14"/>
      <c r="P30" s="14"/>
      <c r="Q30" s="14">
        <f>'GAAP Financial Statements'!Z156</f>
        <v>290.39999999999998</v>
      </c>
      <c r="R30" s="14">
        <f>'GAAP Financial Statements'!AA156</f>
        <v>293.03999999999996</v>
      </c>
      <c r="S30" s="14"/>
      <c r="T30" s="14">
        <f>'GAAP Financial Statements'!AC156</f>
        <v>289.48780987211035</v>
      </c>
      <c r="U30" s="14">
        <f>'GAAP Financial Statements'!AD156</f>
        <v>293.05638720163483</v>
      </c>
      <c r="V30" s="14">
        <f>'GAAP Financial Statements'!AE156</f>
        <v>303.62932707949994</v>
      </c>
      <c r="W30" s="14">
        <f>'GAAP Financial Statements'!AF156</f>
        <v>310.93398317169579</v>
      </c>
      <c r="X30" s="14">
        <f>'GAAP Financial Statements'!AG156</f>
        <v>318.63599978386674</v>
      </c>
      <c r="Y30" s="14">
        <f>'GAAP Financial Statements'!AH156</f>
        <v>326.88266762162863</v>
      </c>
      <c r="Z30" s="14">
        <f>'GAAP Financial Statements'!AI156</f>
        <v>335.739175848944</v>
      </c>
      <c r="AA30" s="14">
        <f>'GAAP Financial Statements'!AJ156</f>
        <v>345.27905609726878</v>
      </c>
      <c r="AB30" s="14">
        <f>'GAAP Financial Statements'!AK156</f>
        <v>355.58521547587509</v>
      </c>
      <c r="AC30" s="14">
        <f>'GAAP Financial Statements'!AL156</f>
        <v>366.75109409194386</v>
      </c>
      <c r="AD30" s="14">
        <f>'GAAP Financial Statements'!AM156</f>
        <v>378.8819617939447</v>
      </c>
      <c r="AE30" s="14">
        <f>'GAAP Financial Statements'!AN156</f>
        <v>392.09637056701547</v>
      </c>
    </row>
    <row r="31" spans="1:39">
      <c r="A31" s="11" t="s">
        <v>1383</v>
      </c>
      <c r="B31" s="52"/>
      <c r="C31" s="162"/>
      <c r="D31" s="162"/>
      <c r="E31" s="162"/>
      <c r="F31" s="88">
        <f t="shared" ref="F31:N31" si="15">+F30/F14</f>
        <v>0.31121103117505999</v>
      </c>
      <c r="G31" s="88">
        <f t="shared" si="15"/>
        <v>0.33513032555218253</v>
      </c>
      <c r="H31" s="88">
        <f t="shared" si="15"/>
        <v>2.3587634381635478</v>
      </c>
      <c r="I31" s="88">
        <f t="shared" si="15"/>
        <v>0.28063319457423608</v>
      </c>
      <c r="J31" s="88">
        <f t="shared" si="15"/>
        <v>9.3400582119437678E-2</v>
      </c>
      <c r="K31" s="88">
        <f t="shared" si="15"/>
        <v>0.1030522503879979</v>
      </c>
      <c r="L31" s="88">
        <f t="shared" si="15"/>
        <v>0.19671309192200559</v>
      </c>
      <c r="M31" s="88">
        <f t="shared" si="15"/>
        <v>0.18652405063291139</v>
      </c>
      <c r="N31" s="88">
        <f t="shared" si="15"/>
        <v>0.21548911956763919</v>
      </c>
      <c r="O31" s="88"/>
      <c r="P31" s="88"/>
      <c r="Q31" s="88">
        <f t="shared" ref="Q31:AA31" si="16">+Q30/Q14</f>
        <v>0.24139650872817953</v>
      </c>
      <c r="R31" s="88">
        <f t="shared" ca="1" si="16"/>
        <v>0.17872103380750357</v>
      </c>
      <c r="S31" s="88"/>
      <c r="T31" s="88">
        <f t="shared" ca="1" si="16"/>
        <v>0.24910513536682838</v>
      </c>
      <c r="U31" s="88">
        <f t="shared" ca="1" si="16"/>
        <v>0.21466678708446851</v>
      </c>
      <c r="V31" s="88">
        <f t="shared" ca="1" si="16"/>
        <v>0.17737285204812347</v>
      </c>
      <c r="W31" s="88">
        <f t="shared" ca="1" si="16"/>
        <v>0.14809208525665946</v>
      </c>
      <c r="X31" s="88">
        <f t="shared" ca="1" si="16"/>
        <v>0.14527417936270326</v>
      </c>
      <c r="Y31" s="88">
        <f t="shared" ca="1" si="16"/>
        <v>0.13827784693097875</v>
      </c>
      <c r="Z31" s="88">
        <f t="shared" ca="1" si="16"/>
        <v>0.14696375857881055</v>
      </c>
      <c r="AA31" s="88">
        <f t="shared" ca="1" si="16"/>
        <v>0.14438428080363791</v>
      </c>
      <c r="AB31" s="88">
        <f ca="1">+AB30/AB14</f>
        <v>0.14815914236094008</v>
      </c>
      <c r="AC31" s="88">
        <f ca="1">+AC30/AC14</f>
        <v>0.15320247324908096</v>
      </c>
      <c r="AD31" s="88">
        <f ca="1">+AD30/AD14</f>
        <v>0.16116621705632189</v>
      </c>
      <c r="AE31" s="88">
        <f ca="1">+AE30/AE14</f>
        <v>0.15761033026045709</v>
      </c>
    </row>
    <row r="32" spans="1:39">
      <c r="A32" s="11"/>
      <c r="B32" s="52"/>
      <c r="C32" s="162"/>
      <c r="D32" s="162"/>
      <c r="E32" s="162"/>
      <c r="F32" s="88"/>
      <c r="G32" s="88"/>
      <c r="H32" s="88"/>
      <c r="I32" s="88"/>
      <c r="J32" s="88"/>
      <c r="K32" s="88"/>
      <c r="L32" s="88"/>
      <c r="M32" s="88"/>
      <c r="N32" s="88"/>
      <c r="O32" s="88"/>
      <c r="P32" s="88"/>
      <c r="Q32" s="88"/>
      <c r="R32" s="88"/>
      <c r="S32" s="88"/>
      <c r="T32" s="88"/>
      <c r="U32" s="88"/>
      <c r="V32" s="88"/>
      <c r="W32" s="88"/>
      <c r="X32" s="88"/>
      <c r="Y32" s="88"/>
      <c r="Z32" s="88"/>
      <c r="AA32" s="88"/>
      <c r="AB32" s="88"/>
      <c r="AC32" s="88"/>
      <c r="AD32" s="88"/>
    </row>
    <row r="33" spans="1:33">
      <c r="A33" s="183" t="s">
        <v>431</v>
      </c>
      <c r="B33" s="52"/>
      <c r="C33" s="162"/>
      <c r="D33" s="162"/>
      <c r="E33" s="162"/>
      <c r="F33" s="14">
        <f>+'GAAP Financial Statements'!L307</f>
        <v>-492.90000000000151</v>
      </c>
      <c r="G33" s="14">
        <f>+'GAAP Financial Statements'!M307</f>
        <v>3557.6000000000045</v>
      </c>
      <c r="H33" s="14">
        <f>+'GAAP Financial Statements'!N307</f>
        <v>584.69999999999845</v>
      </c>
      <c r="I33" s="14">
        <v>0</v>
      </c>
      <c r="J33" s="14">
        <v>0</v>
      </c>
      <c r="K33" s="14">
        <f>+'GAAP Financial Statements'!T307</f>
        <v>1064.3000000000002</v>
      </c>
      <c r="L33" s="14">
        <f>+'GAAP Financial Statements'!U307</f>
        <v>1146</v>
      </c>
      <c r="M33" s="14">
        <f>+'GAAP Financial Statements'!V307</f>
        <v>2278</v>
      </c>
      <c r="N33" s="14">
        <f>+'GAAP Financial Statements'!W307</f>
        <v>5817</v>
      </c>
      <c r="O33" s="14"/>
      <c r="P33" s="14"/>
      <c r="Q33" s="14">
        <f>+'GAAP Financial Statements'!Z307</f>
        <v>2598</v>
      </c>
      <c r="R33" s="14">
        <f>+'GAAP Financial Statements'!AA307</f>
        <v>3138</v>
      </c>
      <c r="S33" s="14"/>
      <c r="T33" s="14">
        <f>+'GAAP Financial Statements'!AC307</f>
        <v>3050.6839221940681</v>
      </c>
      <c r="U33" s="14">
        <f>+'GAAP Financial Statements'!AD307</f>
        <v>835.23603160161292</v>
      </c>
      <c r="V33" s="14">
        <f>+'GAAP Financial Statements'!AE307</f>
        <v>1420.5340688823053</v>
      </c>
      <c r="W33" s="14">
        <f>+'GAAP Financial Statements'!AF307</f>
        <v>1448.9456033675597</v>
      </c>
      <c r="X33" s="14">
        <f>+'GAAP Financial Statements'!AG307</f>
        <v>1461.1189514106663</v>
      </c>
      <c r="Y33" s="14">
        <f>+'GAAP Financial Statements'!AH307</f>
        <v>1471.4869642477206</v>
      </c>
      <c r="Z33" s="14">
        <f>+'GAAP Financial Statements'!AI307</f>
        <v>1479.7389370374149</v>
      </c>
      <c r="AA33" s="14">
        <f>+'GAAP Financial Statements'!AJ307</f>
        <v>1485.5214531242418</v>
      </c>
      <c r="AB33" s="14">
        <f>+'GAAP Financial Statements'!AK307</f>
        <v>1488.4326753362584</v>
      </c>
      <c r="AC33" s="14">
        <f>+'GAAP Financial Statements'!AL307</f>
        <v>1488.0158774678275</v>
      </c>
      <c r="AD33" s="14">
        <f>+'GAAP Financial Statements'!AM307</f>
        <v>1483.7521148808628</v>
      </c>
      <c r="AE33" s="14">
        <f>+'GAAP Financial Statements'!AN307</f>
        <v>1475.0519197158319</v>
      </c>
    </row>
    <row r="34" spans="1:33">
      <c r="A34" s="11" t="s">
        <v>1384</v>
      </c>
      <c r="B34" s="52"/>
      <c r="C34" s="162"/>
      <c r="D34" s="162"/>
      <c r="E34" s="162"/>
      <c r="F34" s="88"/>
      <c r="G34" s="14">
        <f t="shared" ref="G34:N34" si="17">G30+G33</f>
        <v>4197.9000000000042</v>
      </c>
      <c r="H34" s="14">
        <f t="shared" si="17"/>
        <v>1290.0999999999985</v>
      </c>
      <c r="I34" s="14">
        <f t="shared" si="17"/>
        <v>297.3</v>
      </c>
      <c r="J34" s="14">
        <f t="shared" si="17"/>
        <v>135.74</v>
      </c>
      <c r="K34" s="14">
        <f t="shared" si="17"/>
        <v>1263.5000000000002</v>
      </c>
      <c r="L34" s="14">
        <f t="shared" si="17"/>
        <v>1428.48</v>
      </c>
      <c r="M34" s="14">
        <f t="shared" si="17"/>
        <v>2572.7080000000001</v>
      </c>
      <c r="N34" s="14">
        <f t="shared" si="17"/>
        <v>6114</v>
      </c>
      <c r="O34" s="14"/>
      <c r="P34" s="14"/>
      <c r="Q34" s="14">
        <f t="shared" ref="Q34:AA34" si="18">Q30+Q33</f>
        <v>2888.4</v>
      </c>
      <c r="R34" s="14">
        <f t="shared" si="18"/>
        <v>3431.04</v>
      </c>
      <c r="S34" s="14"/>
      <c r="T34" s="14">
        <f t="shared" si="18"/>
        <v>3340.1717320661783</v>
      </c>
      <c r="U34" s="14">
        <f t="shared" si="18"/>
        <v>1128.2924188032478</v>
      </c>
      <c r="V34" s="14">
        <f t="shared" si="18"/>
        <v>1724.1633959618052</v>
      </c>
      <c r="W34" s="14">
        <f t="shared" si="18"/>
        <v>1759.8795865392553</v>
      </c>
      <c r="X34" s="14">
        <f t="shared" si="18"/>
        <v>1779.7549511945331</v>
      </c>
      <c r="Y34" s="14">
        <f t="shared" si="18"/>
        <v>1798.3696318693492</v>
      </c>
      <c r="Z34" s="14">
        <f t="shared" si="18"/>
        <v>1815.4781128863588</v>
      </c>
      <c r="AA34" s="14">
        <f t="shared" si="18"/>
        <v>1830.8005092215105</v>
      </c>
      <c r="AB34" s="14">
        <f>AB30+AB33</f>
        <v>1844.0178908121334</v>
      </c>
      <c r="AC34" s="14">
        <f>AC30+AC33</f>
        <v>1854.7669715597713</v>
      </c>
      <c r="AD34" s="14">
        <f>AD30+AD33</f>
        <v>1862.6340766748076</v>
      </c>
      <c r="AE34" s="14">
        <f>AE30+AE33</f>
        <v>1867.1482902828475</v>
      </c>
    </row>
    <row r="35" spans="1:33">
      <c r="A35" s="11" t="s">
        <v>1385</v>
      </c>
      <c r="B35" s="52"/>
      <c r="C35" s="162"/>
      <c r="D35" s="162"/>
      <c r="E35" s="162"/>
      <c r="F35" s="88"/>
      <c r="G35" s="88">
        <f t="shared" ref="G35:N35" si="19">+G34/G14</f>
        <v>2.1971631948079162</v>
      </c>
      <c r="H35" s="88">
        <f t="shared" si="19"/>
        <v>4.3139221882262406</v>
      </c>
      <c r="I35" s="88">
        <f t="shared" si="19"/>
        <v>0.28063319457423608</v>
      </c>
      <c r="J35" s="88">
        <f t="shared" si="19"/>
        <v>9.3400582119437678E-2</v>
      </c>
      <c r="K35" s="88">
        <f t="shared" si="19"/>
        <v>0.65364718054837034</v>
      </c>
      <c r="L35" s="88">
        <f t="shared" si="19"/>
        <v>0.99476323119777155</v>
      </c>
      <c r="M35" s="88">
        <f t="shared" si="19"/>
        <v>1.6282962025316456</v>
      </c>
      <c r="N35" s="88">
        <f t="shared" si="19"/>
        <v>4.4360285422105923</v>
      </c>
      <c r="O35" s="88"/>
      <c r="P35" s="88"/>
      <c r="Q35" s="88">
        <f t="shared" ref="Q35:AA35" si="20">+Q34/Q14</f>
        <v>2.4009975062344142</v>
      </c>
      <c r="R35" s="88">
        <f t="shared" ca="1" si="20"/>
        <v>2.0925437340803206</v>
      </c>
      <c r="S35" s="88"/>
      <c r="T35" s="88">
        <f t="shared" ca="1" si="20"/>
        <v>2.8742278710539932</v>
      </c>
      <c r="U35" s="88">
        <f t="shared" ca="1" si="20"/>
        <v>0.82648568334942463</v>
      </c>
      <c r="V35" s="88">
        <f t="shared" ca="1" si="20"/>
        <v>1.0072142301940745</v>
      </c>
      <c r="W35" s="88">
        <f t="shared" ca="1" si="20"/>
        <v>0.83819798374149068</v>
      </c>
      <c r="X35" s="88">
        <f t="shared" ca="1" si="20"/>
        <v>0.81143511774210042</v>
      </c>
      <c r="Y35" s="88">
        <f t="shared" ca="1" si="20"/>
        <v>0.76074599638545226</v>
      </c>
      <c r="Z35" s="88">
        <f t="shared" ca="1" si="20"/>
        <v>0.79469274448743066</v>
      </c>
      <c r="AA35" s="88">
        <f t="shared" ca="1" si="20"/>
        <v>0.76558021736602178</v>
      </c>
      <c r="AB35" s="88">
        <f ca="1">+AB34/AB14</f>
        <v>0.76833371386187821</v>
      </c>
      <c r="AC35" s="88">
        <f ca="1">+AC34/AC14</f>
        <v>0.77478947417244137</v>
      </c>
      <c r="AD35" s="88">
        <f ca="1">+AD34/AD14</f>
        <v>0.79231454164908055</v>
      </c>
      <c r="AE35" s="88">
        <f ca="1">+AE34/AE14</f>
        <v>0.75053451336762622</v>
      </c>
    </row>
    <row r="36" spans="1:33">
      <c r="A36" s="11"/>
      <c r="B36" s="52"/>
      <c r="C36" s="162"/>
      <c r="D36" s="162"/>
      <c r="E36" s="162"/>
      <c r="F36" s="88"/>
      <c r="G36" s="88"/>
      <c r="H36" s="88"/>
      <c r="I36" s="88"/>
      <c r="J36" s="88"/>
      <c r="K36" s="88"/>
      <c r="L36" s="88"/>
      <c r="M36" s="88"/>
      <c r="N36" s="88"/>
      <c r="O36" s="88"/>
      <c r="P36" s="88"/>
      <c r="Q36" s="88"/>
      <c r="R36" s="88"/>
      <c r="S36" s="88"/>
      <c r="T36" s="88"/>
      <c r="U36" s="88"/>
      <c r="V36" s="88"/>
      <c r="W36" s="88"/>
      <c r="X36" s="88"/>
      <c r="Y36" s="88"/>
      <c r="Z36" s="88"/>
      <c r="AA36" s="88"/>
      <c r="AB36" s="88"/>
      <c r="AC36" s="88"/>
      <c r="AD36" s="88"/>
      <c r="AE36" s="88"/>
    </row>
    <row r="37" spans="1:33">
      <c r="A37" s="11" t="s">
        <v>692</v>
      </c>
      <c r="B37" s="52"/>
      <c r="C37" s="162"/>
      <c r="D37" s="162"/>
      <c r="E37" s="162"/>
      <c r="F37" s="88"/>
      <c r="G37" s="88"/>
      <c r="H37" s="14"/>
      <c r="I37" s="14">
        <f>+'GAAP Financial Statements'!R20</f>
        <v>452.3</v>
      </c>
      <c r="J37" s="14">
        <f>+'GAAP Financial Statements'!S20</f>
        <v>432.30000000000007</v>
      </c>
      <c r="K37" s="14">
        <f>+'GAAP Financial Statements'!T20</f>
        <v>373.99999999999994</v>
      </c>
      <c r="L37" s="14">
        <f>+'GAAP Financial Statements'!U20</f>
        <v>369</v>
      </c>
      <c r="M37" s="14">
        <f>+'GAAP Financial Statements'!V20</f>
        <v>356.99999999999977</v>
      </c>
      <c r="N37" s="14">
        <f>+'GAAP Financial Statements'!W20</f>
        <v>248.99999999999977</v>
      </c>
      <c r="O37" s="14"/>
      <c r="P37" s="14"/>
      <c r="Q37" s="14">
        <f>+'GAAP Financial Statements'!Z20</f>
        <v>240</v>
      </c>
      <c r="R37" s="14">
        <f ca="1">+'GAAP Financial Statements'!AA20</f>
        <v>230.30000000000015</v>
      </c>
      <c r="S37" s="14"/>
      <c r="T37" s="14">
        <f ca="1">+'GAAP Financial Statements'!AC20</f>
        <v>202.61333088960856</v>
      </c>
      <c r="U37" s="14">
        <f ca="1">+'GAAP Financial Statements'!AD20</f>
        <v>200.2799201907556</v>
      </c>
      <c r="V37" s="14">
        <f ca="1">+'GAAP Financial Statements'!AE20</f>
        <v>197.09204101470471</v>
      </c>
      <c r="W37" s="14">
        <f ca="1">+'GAAP Financial Statements'!AF20</f>
        <v>199.26967908155288</v>
      </c>
      <c r="X37" s="14">
        <f ca="1">+'GAAP Financial Statements'!AG20</f>
        <v>205.6519198250887</v>
      </c>
      <c r="Y37" s="14">
        <f ca="1">+'GAAP Financial Statements'!AH20</f>
        <v>216.20605608560521</v>
      </c>
      <c r="Z37" s="14">
        <f ca="1">+'GAAP Financial Statements'!AI20</f>
        <v>214.55746161639954</v>
      </c>
      <c r="AA37" s="14">
        <f ca="1">+'GAAP Financial Statements'!AJ20</f>
        <v>219.23919870478289</v>
      </c>
      <c r="AB37" s="14">
        <f ca="1">+'GAAP Financial Statements'!AK20</f>
        <v>228.31369725081188</v>
      </c>
      <c r="AC37" s="14">
        <f ca="1">+'GAAP Financial Statements'!AL20</f>
        <v>225.83619732191275</v>
      </c>
      <c r="AD37" s="14">
        <f ca="1">+'GAAP Financial Statements'!AM20</f>
        <v>228.93144758459334</v>
      </c>
      <c r="AE37" s="14">
        <f ca="1">+'GAAP Financial Statements'!AN20</f>
        <v>240.69388998690007</v>
      </c>
    </row>
    <row r="38" spans="1:33">
      <c r="A38" s="11" t="s">
        <v>1265</v>
      </c>
      <c r="B38" s="52"/>
      <c r="C38" s="162"/>
      <c r="D38" s="162"/>
      <c r="E38" s="162"/>
      <c r="F38" s="88"/>
      <c r="G38" s="88"/>
      <c r="H38" s="88"/>
      <c r="I38" s="88">
        <f t="shared" ref="I38:N38" si="21">-I37/I9</f>
        <v>1.7289755351681957</v>
      </c>
      <c r="J38" s="88">
        <f t="shared" si="21"/>
        <v>1.5205768554344004</v>
      </c>
      <c r="K38" s="88">
        <f t="shared" si="21"/>
        <v>1.5265306122448978</v>
      </c>
      <c r="L38" s="88">
        <f t="shared" si="21"/>
        <v>1.4527559055118111</v>
      </c>
      <c r="M38" s="88">
        <f t="shared" si="21"/>
        <v>1.3222222222222213</v>
      </c>
      <c r="N38" s="88">
        <f t="shared" si="21"/>
        <v>1.2087378640776687</v>
      </c>
      <c r="O38" s="88"/>
      <c r="P38" s="88"/>
      <c r="Q38" s="88">
        <f t="shared" ref="Q38:AA38" si="22">-Q37/Q9</f>
        <v>1.2435233160621761</v>
      </c>
      <c r="R38" s="88">
        <f t="shared" ca="1" si="22"/>
        <v>1.1750000000000007</v>
      </c>
      <c r="S38" s="88"/>
      <c r="T38" s="88">
        <f t="shared" ca="1" si="22"/>
        <v>1.1251951328394272</v>
      </c>
      <c r="U38" s="88">
        <f t="shared" ca="1" si="22"/>
        <v>1.088443942585001</v>
      </c>
      <c r="V38" s="88">
        <f t="shared" ca="1" si="22"/>
        <v>1.0139942245701934</v>
      </c>
      <c r="W38" s="88">
        <f t="shared" ca="1" si="22"/>
        <v>0.99976071113603338</v>
      </c>
      <c r="X38" s="88">
        <f t="shared" ca="1" si="22"/>
        <v>0.9933647798268177</v>
      </c>
      <c r="Y38" s="88">
        <f t="shared" ca="1" si="22"/>
        <v>0.98745016433472732</v>
      </c>
      <c r="Z38" s="88">
        <f t="shared" ca="1" si="22"/>
        <v>0.97995158413571837</v>
      </c>
      <c r="AA38" s="88">
        <f t="shared" ca="1" si="22"/>
        <v>0.97315130488125057</v>
      </c>
      <c r="AB38" s="88">
        <f ca="1">-AB37/AB9</f>
        <v>0.96726638802264064</v>
      </c>
      <c r="AC38" s="88">
        <f ca="1">-AC37/AC9</f>
        <v>0.95979831594274423</v>
      </c>
      <c r="AD38" s="88">
        <f ca="1">-AD37/AD9</f>
        <v>0.95332787838078803</v>
      </c>
      <c r="AE38" s="88">
        <f ca="1">-AE37/AE9</f>
        <v>0.9488776198605533</v>
      </c>
    </row>
    <row r="39" spans="1:33">
      <c r="A39" s="11"/>
      <c r="B39" s="60"/>
      <c r="C39" s="125"/>
      <c r="D39" s="125"/>
      <c r="E39" s="39"/>
      <c r="F39" s="39"/>
      <c r="G39" s="39"/>
      <c r="H39" s="39"/>
      <c r="I39" s="39"/>
      <c r="J39" s="39"/>
      <c r="K39" s="39"/>
      <c r="L39" s="39"/>
      <c r="M39" s="91"/>
      <c r="N39" s="91"/>
      <c r="O39" s="91"/>
      <c r="P39" s="91"/>
      <c r="Q39" s="91"/>
      <c r="R39" s="91"/>
      <c r="S39" s="91"/>
      <c r="T39" s="91"/>
      <c r="U39" s="91"/>
      <c r="V39" s="91"/>
      <c r="X39" s="1048"/>
      <c r="Y39" s="1048"/>
      <c r="Z39" s="1048"/>
      <c r="AA39" s="1048"/>
      <c r="AB39" s="1048"/>
      <c r="AC39" s="1048"/>
    </row>
    <row r="40" spans="1:33">
      <c r="A40" s="11"/>
      <c r="B40" s="60"/>
      <c r="C40" s="125"/>
      <c r="D40" s="125"/>
      <c r="E40" s="39"/>
      <c r="F40" s="39"/>
      <c r="G40" s="39"/>
      <c r="H40" s="39"/>
      <c r="I40" s="39"/>
      <c r="J40" s="39"/>
      <c r="K40" s="39"/>
      <c r="L40" s="39"/>
      <c r="M40" s="91"/>
      <c r="N40" s="91"/>
      <c r="O40" s="91"/>
      <c r="P40" s="91"/>
      <c r="Q40" s="91"/>
      <c r="R40" s="91"/>
      <c r="S40" s="91"/>
      <c r="T40" s="91"/>
      <c r="U40" s="91"/>
      <c r="V40" s="91"/>
      <c r="X40" s="1048"/>
      <c r="Y40" s="1048"/>
      <c r="Z40" s="1048"/>
      <c r="AA40" s="1048"/>
      <c r="AB40" s="1048"/>
      <c r="AC40" s="1048"/>
    </row>
    <row r="41" spans="1:33">
      <c r="A41" s="9" t="s">
        <v>1796</v>
      </c>
      <c r="B41" s="60"/>
      <c r="C41" s="125"/>
      <c r="D41" s="125"/>
      <c r="E41" s="39"/>
      <c r="F41" s="39"/>
      <c r="G41" s="39"/>
      <c r="H41" s="39"/>
      <c r="I41" s="39"/>
      <c r="J41" s="39"/>
      <c r="K41" s="39"/>
      <c r="L41" s="39"/>
      <c r="M41" s="91"/>
      <c r="N41" s="91"/>
      <c r="O41" s="91"/>
      <c r="P41" s="91"/>
      <c r="Q41" s="319">
        <f>'GAAP Financial Statements'!Z277+'GAAP Financial Statements'!Z279</f>
        <v>1201</v>
      </c>
      <c r="R41" s="319">
        <f>'GAAP Financial Statements'!AA277+'GAAP Financial Statements'!AA279</f>
        <v>1489</v>
      </c>
      <c r="S41" s="91"/>
      <c r="T41" s="319">
        <f ca="1">'GAAP Financial Statements'!AC277+'GAAP Financial Statements'!AC279+500</f>
        <v>1321.2109675070128</v>
      </c>
      <c r="U41" s="319">
        <f ca="1">'GAAP Financial Statements'!AD277+'GAAP Financial Statements'!AD279</f>
        <v>1525.4617398028702</v>
      </c>
      <c r="V41" s="319">
        <f ca="1">'GAAP Financial Statements'!AE277+'GAAP Financial Statements'!AE279</f>
        <v>1877.4557658902984</v>
      </c>
      <c r="W41" s="319">
        <f ca="1">'GAAP Financial Statements'!AF277+'GAAP Financial Statements'!AF279</f>
        <v>2270.7499698196093</v>
      </c>
      <c r="X41" s="319">
        <f ca="1">'GAAP Financial Statements'!AG277+'GAAP Financial Statements'!AG279</f>
        <v>2370.1678549789658</v>
      </c>
      <c r="Y41" s="319">
        <f ca="1">'GAAP Financial Statements'!AH277+'GAAP Financial Statements'!AH279</f>
        <v>2546.6257760250023</v>
      </c>
      <c r="Z41" s="319">
        <f ca="1">'GAAP Financial Statements'!AI277+'GAAP Financial Statements'!AI279</f>
        <v>2473.1936463482157</v>
      </c>
      <c r="AA41" s="319">
        <f ca="1">'GAAP Financial Statements'!AJ277+'GAAP Financial Statements'!AJ279</f>
        <v>2586.2806870103504</v>
      </c>
      <c r="AB41" s="319">
        <f ca="1">'GAAP Financial Statements'!AK277+'GAAP Financial Statements'!AK279</f>
        <v>2601.2999976633164</v>
      </c>
      <c r="AC41" s="319">
        <f ca="1">'GAAP Financial Statements'!AL277+'GAAP Financial Statements'!AL279</f>
        <v>2601.754236723446</v>
      </c>
      <c r="AD41" s="319">
        <f ca="1">'GAAP Financial Statements'!AM277+'GAAP Financial Statements'!AM279</f>
        <v>2565.5089807303716</v>
      </c>
      <c r="AE41" s="319">
        <f ca="1">'GAAP Financial Statements'!AN277+'GAAP Financial Statements'!AN279</f>
        <v>2709.3689501431363</v>
      </c>
    </row>
    <row r="42" spans="1:33" s="2068" customFormat="1">
      <c r="A42" s="186" t="s">
        <v>676</v>
      </c>
      <c r="B42" s="3263"/>
      <c r="C42" s="3264"/>
      <c r="D42" s="3264"/>
      <c r="E42" s="1104"/>
      <c r="F42" s="1104"/>
      <c r="G42" s="1104"/>
      <c r="H42" s="1104"/>
      <c r="I42" s="1104"/>
      <c r="J42" s="1104"/>
      <c r="K42" s="1104"/>
      <c r="L42" s="1104"/>
      <c r="R42" s="1104">
        <f>R41/Q41-1</f>
        <v>0.23980016652789349</v>
      </c>
      <c r="T42" s="1104">
        <f ca="1">T41/R41-1</f>
        <v>-0.11268571691940044</v>
      </c>
      <c r="U42" s="1104">
        <f ca="1">U41/T41-1</f>
        <v>0.15459360943790612</v>
      </c>
      <c r="V42" s="1104">
        <f t="shared" ref="V42:AE42" ca="1" si="23">V41/U41-1</f>
        <v>0.23074588952517106</v>
      </c>
      <c r="W42" s="1104">
        <f t="shared" ca="1" si="23"/>
        <v>0.20948254072063799</v>
      </c>
      <c r="X42" s="1104">
        <f t="shared" ca="1" si="23"/>
        <v>4.3781960357024419E-2</v>
      </c>
      <c r="Y42" s="1104">
        <f t="shared" ca="1" si="23"/>
        <v>7.4449546126176047E-2</v>
      </c>
      <c r="Z42" s="1104">
        <f t="shared" ca="1" si="23"/>
        <v>-2.8835068885309845E-2</v>
      </c>
      <c r="AA42" s="1104">
        <f t="shared" ca="1" si="23"/>
        <v>4.5725105605504357E-2</v>
      </c>
      <c r="AB42" s="1104">
        <f t="shared" ca="1" si="23"/>
        <v>5.8073010900947519E-3</v>
      </c>
      <c r="AC42" s="1104">
        <f t="shared" ca="1" si="23"/>
        <v>1.7462002096557683E-4</v>
      </c>
      <c r="AD42" s="1104">
        <f t="shared" ca="1" si="23"/>
        <v>-1.393108368249274E-2</v>
      </c>
      <c r="AE42" s="1104">
        <f t="shared" ca="1" si="23"/>
        <v>5.6074630996539865E-2</v>
      </c>
    </row>
    <row r="43" spans="1:33">
      <c r="A43" s="11"/>
      <c r="B43" s="60"/>
      <c r="C43" s="125"/>
      <c r="D43" s="125"/>
      <c r="E43" s="39"/>
      <c r="F43" s="39"/>
      <c r="G43" s="39"/>
      <c r="H43" s="39"/>
      <c r="I43" s="39"/>
      <c r="J43" s="39"/>
      <c r="K43" s="39"/>
      <c r="L43" s="39"/>
      <c r="M43" s="91"/>
      <c r="N43" s="91"/>
      <c r="O43" s="91"/>
      <c r="P43" s="91"/>
      <c r="Q43" s="91"/>
      <c r="R43" s="91"/>
      <c r="S43" s="91"/>
      <c r="T43" s="91"/>
      <c r="U43" s="91"/>
      <c r="V43" s="91"/>
      <c r="W43" s="91"/>
      <c r="X43" s="91"/>
      <c r="Y43" s="91"/>
      <c r="Z43" s="91"/>
      <c r="AA43" s="91"/>
      <c r="AB43" s="91"/>
      <c r="AC43" s="91"/>
      <c r="AD43" s="91"/>
      <c r="AE43" s="91"/>
      <c r="AF43" s="91"/>
      <c r="AG43" s="91"/>
    </row>
    <row r="44" spans="1:33" hidden="1" outlineLevel="1">
      <c r="A44" s="320" t="s">
        <v>374</v>
      </c>
      <c r="B44" s="6"/>
      <c r="C44" s="6"/>
      <c r="D44" s="11"/>
      <c r="E44" s="11"/>
      <c r="F44" s="11"/>
      <c r="G44" s="6"/>
      <c r="H44" s="11"/>
      <c r="I44" s="11"/>
      <c r="J44" s="11"/>
      <c r="K44" s="304"/>
      <c r="L44" s="304"/>
      <c r="M44" s="91"/>
      <c r="N44" s="91"/>
      <c r="O44" s="91"/>
      <c r="P44" s="91"/>
      <c r="Q44" s="91"/>
      <c r="R44" s="91"/>
      <c r="S44" s="91"/>
      <c r="T44" s="91"/>
      <c r="U44" s="91"/>
      <c r="V44" s="91"/>
      <c r="W44" s="91"/>
      <c r="X44" s="91"/>
      <c r="Y44" s="91"/>
      <c r="Z44" s="91"/>
      <c r="AA44" s="91"/>
      <c r="AB44" s="91"/>
      <c r="AC44" s="91"/>
      <c r="AD44" s="91"/>
      <c r="AE44" s="91"/>
      <c r="AF44" s="91"/>
      <c r="AG44" s="91"/>
    </row>
    <row r="45" spans="1:33" hidden="1" outlineLevel="1">
      <c r="A45" s="242" t="s">
        <v>375</v>
      </c>
      <c r="B45" s="321"/>
      <c r="C45" s="321"/>
      <c r="D45" s="6"/>
      <c r="E45" s="321">
        <f t="shared" ref="E45:L45" si="24">E46/F19</f>
        <v>5.8334861775677558</v>
      </c>
      <c r="F45" s="321">
        <f t="shared" si="24"/>
        <v>5.2398565642080586</v>
      </c>
      <c r="G45" s="321">
        <f t="shared" si="24"/>
        <v>34.16637402008552</v>
      </c>
      <c r="H45" s="321">
        <f t="shared" si="24"/>
        <v>10.816798617169841</v>
      </c>
      <c r="I45" s="321">
        <f t="shared" si="24"/>
        <v>8.8651756843686638</v>
      </c>
      <c r="J45" s="321">
        <f t="shared" si="24"/>
        <v>7.1531631220091567</v>
      </c>
      <c r="K45" s="321">
        <f t="shared" si="24"/>
        <v>10.249590886978229</v>
      </c>
      <c r="L45" s="321">
        <f t="shared" si="24"/>
        <v>9.562826362842193</v>
      </c>
      <c r="M45" s="322">
        <v>11</v>
      </c>
      <c r="N45" s="91"/>
      <c r="O45" s="91"/>
      <c r="P45" s="91"/>
      <c r="Q45" s="91"/>
      <c r="R45" s="91"/>
      <c r="S45" s="91"/>
      <c r="T45" s="91"/>
      <c r="U45" s="91"/>
      <c r="V45" s="91"/>
      <c r="W45" s="91"/>
      <c r="X45" s="91"/>
      <c r="Y45" s="91"/>
      <c r="Z45" s="91"/>
      <c r="AA45" s="91"/>
      <c r="AB45" s="91"/>
      <c r="AC45" s="91"/>
      <c r="AD45" s="91"/>
      <c r="AE45" s="91"/>
      <c r="AF45" s="91"/>
      <c r="AG45" s="91"/>
    </row>
    <row r="46" spans="1:33" hidden="1" outlineLevel="1">
      <c r="A46" s="242" t="s">
        <v>377</v>
      </c>
      <c r="B46" s="60"/>
      <c r="C46" s="60"/>
      <c r="D46" s="6"/>
      <c r="E46" s="60">
        <f t="shared" ref="E46:L46" si="25">F46/(1+$H$52)</f>
        <v>12.607223301610542</v>
      </c>
      <c r="F46" s="60">
        <f t="shared" si="25"/>
        <v>13.867945631771597</v>
      </c>
      <c r="G46" s="60">
        <f t="shared" si="25"/>
        <v>15.254740194948758</v>
      </c>
      <c r="H46" s="60">
        <f t="shared" si="25"/>
        <v>16.780214214443635</v>
      </c>
      <c r="I46" s="60">
        <f t="shared" si="25"/>
        <v>18.458235635888002</v>
      </c>
      <c r="J46" s="60">
        <f t="shared" si="25"/>
        <v>20.304059199476804</v>
      </c>
      <c r="K46" s="60">
        <f t="shared" si="25"/>
        <v>22.334465119424486</v>
      </c>
      <c r="L46" s="60">
        <f t="shared" si="25"/>
        <v>24.567911631366936</v>
      </c>
      <c r="M46" s="60">
        <f>M45*N19</f>
        <v>27.024702794503632</v>
      </c>
      <c r="N46" s="91"/>
      <c r="O46" s="91"/>
      <c r="P46" s="91"/>
      <c r="Q46" s="91"/>
      <c r="R46" s="91"/>
      <c r="S46" s="91"/>
      <c r="T46" s="91"/>
      <c r="U46" s="91"/>
      <c r="V46" s="91"/>
      <c r="W46" s="91"/>
      <c r="X46" s="91"/>
      <c r="Y46" s="91"/>
      <c r="Z46" s="91"/>
      <c r="AA46" s="91"/>
      <c r="AB46" s="91"/>
      <c r="AC46" s="91"/>
      <c r="AD46" s="91"/>
      <c r="AE46" s="91"/>
      <c r="AF46" s="91"/>
      <c r="AG46" s="91"/>
    </row>
    <row r="47" spans="1:33" hidden="1" outlineLevel="1">
      <c r="A47" s="242" t="s">
        <v>378</v>
      </c>
      <c r="B47" s="6"/>
      <c r="C47" s="60"/>
      <c r="D47" s="6"/>
      <c r="E47" s="60">
        <f>+FMV!F22/FMV!F39</f>
        <v>0.66632625730649331</v>
      </c>
      <c r="F47" s="60">
        <f>+E47*1.1</f>
        <v>0.73295888303714274</v>
      </c>
      <c r="G47" s="60">
        <f>+F47*1.1</f>
        <v>0.8062547713408571</v>
      </c>
      <c r="H47" s="60">
        <f>+I47</f>
        <v>0.66632625730649331</v>
      </c>
      <c r="I47" s="60">
        <f>+J47</f>
        <v>0.66632625730649331</v>
      </c>
      <c r="J47" s="60">
        <f>+K47</f>
        <v>0.66632625730649331</v>
      </c>
      <c r="K47" s="60">
        <f>+L47</f>
        <v>0.66632625730649331</v>
      </c>
      <c r="L47" s="60">
        <f>+FMV!F22/FMV!F39</f>
        <v>0.66632625730649331</v>
      </c>
      <c r="M47" s="60">
        <f>+L47</f>
        <v>0.66632625730649331</v>
      </c>
      <c r="N47" s="91"/>
      <c r="O47" s="91"/>
      <c r="P47" s="91"/>
      <c r="Q47" s="91"/>
      <c r="R47" s="91"/>
      <c r="S47" s="91"/>
      <c r="T47" s="91"/>
      <c r="U47" s="91"/>
      <c r="V47" s="91"/>
      <c r="W47" s="91"/>
      <c r="X47" s="91"/>
      <c r="Y47" s="91"/>
      <c r="Z47" s="91"/>
      <c r="AA47" s="91"/>
      <c r="AB47" s="91"/>
      <c r="AC47" s="91"/>
      <c r="AD47" s="91"/>
      <c r="AE47" s="91"/>
      <c r="AF47" s="91"/>
      <c r="AG47" s="91"/>
    </row>
    <row r="48" spans="1:33" hidden="1" outlineLevel="1">
      <c r="A48" s="242" t="s">
        <v>1264</v>
      </c>
      <c r="B48" s="6"/>
      <c r="C48" s="60"/>
      <c r="D48" s="6"/>
      <c r="E48" s="60">
        <f>NPV($H$52,F29:$K29)</f>
        <v>2.80030285729275</v>
      </c>
      <c r="F48" s="60">
        <f>NPV($H$52,G29:$K29)</f>
        <v>2.3403331430220251</v>
      </c>
      <c r="G48" s="60">
        <f>NPV($H$52,H29:$K29)</f>
        <v>1.6773364769375649</v>
      </c>
      <c r="H48" s="60">
        <f>NPV($H$52,I29:$N29)</f>
        <v>1.7027550640783091</v>
      </c>
      <c r="I48" s="60">
        <f>NPV($H$52,J29:$N29)</f>
        <v>1.431670713003955</v>
      </c>
      <c r="J48" s="60">
        <f>NPV($H$52,K29:$N29)</f>
        <v>1.3748377843043504</v>
      </c>
      <c r="K48" s="60">
        <f>NPV($H$52,L29:$N29)</f>
        <v>1.2123215627347856</v>
      </c>
      <c r="L48" s="60">
        <f>NPV($H$52,M29:$N29)</f>
        <v>0.89355371900826441</v>
      </c>
      <c r="M48" s="60">
        <f>NPV($H$52,$N29:N29)</f>
        <v>0.49090909090909091</v>
      </c>
      <c r="N48" s="91"/>
      <c r="O48" s="91"/>
      <c r="P48" s="91"/>
      <c r="Q48" s="91"/>
      <c r="R48" s="91"/>
      <c r="S48" s="91"/>
      <c r="T48" s="91"/>
      <c r="U48" s="91"/>
      <c r="V48" s="91"/>
      <c r="W48" s="91"/>
      <c r="X48" s="91"/>
      <c r="Y48" s="91"/>
      <c r="Z48" s="91"/>
      <c r="AA48" s="91"/>
      <c r="AB48" s="91"/>
      <c r="AC48" s="91"/>
      <c r="AD48" s="91"/>
      <c r="AE48" s="91"/>
      <c r="AF48" s="91"/>
      <c r="AG48" s="91"/>
    </row>
    <row r="49" spans="1:33" hidden="1" outlineLevel="1">
      <c r="A49" s="323" t="s">
        <v>648</v>
      </c>
      <c r="B49" s="6"/>
      <c r="C49" s="60"/>
      <c r="D49" s="6"/>
      <c r="E49" s="60">
        <f t="shared" ref="E49:M49" si="26">+E47+E46+E48</f>
        <v>16.073852416209785</v>
      </c>
      <c r="F49" s="60">
        <f t="shared" si="26"/>
        <v>16.941237657830765</v>
      </c>
      <c r="G49" s="60">
        <f t="shared" si="26"/>
        <v>17.738331443227182</v>
      </c>
      <c r="H49" s="60">
        <f t="shared" si="26"/>
        <v>19.14929553582844</v>
      </c>
      <c r="I49" s="60">
        <f t="shared" si="26"/>
        <v>20.556232606198449</v>
      </c>
      <c r="J49" s="60">
        <f t="shared" si="26"/>
        <v>22.345223241087648</v>
      </c>
      <c r="K49" s="60">
        <f t="shared" si="26"/>
        <v>24.213112939465766</v>
      </c>
      <c r="L49" s="60">
        <f t="shared" si="26"/>
        <v>26.127791607681694</v>
      </c>
      <c r="M49" s="60">
        <f t="shared" si="26"/>
        <v>28.181938142719218</v>
      </c>
      <c r="N49" s="91"/>
      <c r="O49" s="91"/>
      <c r="P49" s="91"/>
      <c r="Q49" s="91"/>
      <c r="R49" s="91"/>
      <c r="S49" s="91"/>
      <c r="T49" s="91"/>
      <c r="U49" s="91"/>
      <c r="V49" s="91"/>
      <c r="W49" s="91"/>
      <c r="X49" s="91"/>
      <c r="Y49" s="91"/>
      <c r="Z49" s="91"/>
      <c r="AA49" s="91"/>
      <c r="AB49" s="91"/>
      <c r="AC49" s="91"/>
      <c r="AD49" s="91"/>
      <c r="AE49" s="91"/>
      <c r="AF49" s="91"/>
      <c r="AG49" s="91"/>
    </row>
    <row r="50" spans="1:33" hidden="1" outlineLevel="1">
      <c r="A50" s="242" t="s">
        <v>649</v>
      </c>
      <c r="B50" s="6"/>
      <c r="C50" s="60"/>
      <c r="D50" s="6"/>
      <c r="E50" s="321">
        <f t="shared" ref="E50:M50" si="27">E49/F26</f>
        <v>8.8777089873840112</v>
      </c>
      <c r="F50" s="321">
        <f t="shared" si="27"/>
        <v>9.007272551585233</v>
      </c>
      <c r="G50" s="321">
        <f t="shared" si="27"/>
        <v>9.4045608562031742</v>
      </c>
      <c r="H50" s="321">
        <f t="shared" si="27"/>
        <v>25.111961442951959</v>
      </c>
      <c r="I50" s="321">
        <f t="shared" si="27"/>
        <v>16.555036759116781</v>
      </c>
      <c r="J50" s="321">
        <f t="shared" si="27"/>
        <v>10.017495798156142</v>
      </c>
      <c r="K50" s="321">
        <f t="shared" si="27"/>
        <v>9.0745310769588929</v>
      </c>
      <c r="L50" s="321">
        <f t="shared" si="27"/>
        <v>8.2347802721352785</v>
      </c>
      <c r="M50" s="321">
        <f t="shared" si="27"/>
        <v>14.783679681041166</v>
      </c>
      <c r="N50" s="91"/>
      <c r="O50" s="91"/>
      <c r="P50" s="91"/>
      <c r="Q50" s="91"/>
      <c r="R50" s="91"/>
      <c r="S50" s="91"/>
      <c r="T50" s="91"/>
      <c r="U50" s="91"/>
      <c r="V50" s="91"/>
      <c r="W50" s="91"/>
      <c r="X50" s="91"/>
      <c r="Y50" s="91"/>
      <c r="Z50" s="91"/>
      <c r="AA50" s="91"/>
      <c r="AB50" s="91"/>
      <c r="AC50" s="91"/>
      <c r="AD50" s="91"/>
      <c r="AE50" s="91"/>
      <c r="AF50" s="91"/>
      <c r="AG50" s="91"/>
    </row>
    <row r="51" spans="1:33" hidden="1" outlineLevel="1">
      <c r="A51" s="242"/>
      <c r="B51" s="6"/>
      <c r="C51" s="6"/>
      <c r="D51" s="6" t="s">
        <v>337</v>
      </c>
      <c r="E51" s="6"/>
      <c r="F51" s="6"/>
      <c r="G51" s="6"/>
      <c r="H51" s="60"/>
      <c r="I51" s="6"/>
      <c r="J51" s="6"/>
      <c r="K51" s="91"/>
      <c r="L51" s="91"/>
      <c r="M51" s="91"/>
      <c r="N51" s="91"/>
      <c r="O51" s="91"/>
      <c r="P51" s="91"/>
      <c r="Q51" s="91"/>
      <c r="R51" s="91"/>
      <c r="S51" s="91"/>
      <c r="T51" s="91"/>
      <c r="U51" s="91"/>
      <c r="V51" s="91"/>
      <c r="W51" s="91"/>
      <c r="X51" s="91"/>
      <c r="Y51" s="91"/>
      <c r="Z51" s="91"/>
      <c r="AA51" s="91"/>
      <c r="AB51" s="91"/>
      <c r="AC51" s="91"/>
      <c r="AD51" s="91"/>
      <c r="AE51" s="91"/>
      <c r="AF51" s="91"/>
      <c r="AG51" s="91"/>
    </row>
    <row r="52" spans="1:33" hidden="1" outlineLevel="1">
      <c r="A52" s="242" t="s">
        <v>379</v>
      </c>
      <c r="B52" s="6"/>
      <c r="C52" s="6"/>
      <c r="D52" s="6"/>
      <c r="F52" s="6"/>
      <c r="G52" s="6"/>
      <c r="H52" s="910">
        <v>0.1</v>
      </c>
      <c r="J52" s="6"/>
      <c r="K52" s="91"/>
      <c r="L52" s="91"/>
      <c r="M52" s="91"/>
      <c r="N52" s="91"/>
      <c r="O52" s="91"/>
      <c r="P52" s="91"/>
      <c r="Q52" s="91"/>
      <c r="R52" s="91"/>
      <c r="S52" s="91"/>
      <c r="T52" s="91"/>
      <c r="U52" s="91"/>
      <c r="V52" s="91"/>
      <c r="W52" s="91"/>
      <c r="X52" s="91"/>
      <c r="Y52" s="91"/>
      <c r="Z52" s="91"/>
      <c r="AA52" s="91"/>
      <c r="AB52" s="91"/>
      <c r="AC52" s="91"/>
      <c r="AD52" s="91"/>
      <c r="AE52" s="91"/>
      <c r="AF52" s="91"/>
      <c r="AG52" s="91"/>
    </row>
    <row r="53" spans="1:33" collapsed="1"/>
  </sheetData>
  <phoneticPr fontId="3" type="noConversion"/>
  <pageMargins left="0" right="0" top="0" bottom="0" header="0" footer="0"/>
  <pageSetup paperSize="5" orientation="landscape" r:id="rId1"/>
  <headerFooter alignWithMargins="0"/>
  <ignoredErrors>
    <ignoredError sqref="P10 T22:AD23 P21:R23 AE21:AE23 T21 V21:AD21" formula="1"/>
  </ignoredError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DN112"/>
  <sheetViews>
    <sheetView showGridLines="0" zoomScaleNormal="100" workbookViewId="0">
      <pane xSplit="2" ySplit="5" topLeftCell="AB6" activePane="bottomRight" state="frozen"/>
      <selection activeCell="S18" sqref="S18"/>
      <selection pane="topRight" activeCell="S18" sqref="S18"/>
      <selection pane="bottomLeft" activeCell="S18" sqref="S18"/>
      <selection pane="bottomRight" activeCell="AC100" sqref="AC100"/>
    </sheetView>
  </sheetViews>
  <sheetFormatPr defaultRowHeight="12.75" outlineLevelRow="1" outlineLevelCol="1"/>
  <cols>
    <col min="1" max="1" width="3.140625" customWidth="1"/>
    <col min="2" max="2" width="25.5703125" customWidth="1"/>
    <col min="3" max="9" width="8.7109375" hidden="1" customWidth="1" outlineLevel="1"/>
    <col min="10" max="10" width="2.140625" hidden="1" customWidth="1" outlineLevel="1"/>
    <col min="11" max="14" width="8.7109375" hidden="1" customWidth="1" outlineLevel="1"/>
    <col min="15" max="15" width="8.7109375" hidden="1" customWidth="1" outlineLevel="1" collapsed="1"/>
    <col min="16" max="16" width="8.7109375" hidden="1" customWidth="1" outlineLevel="1"/>
    <col min="17" max="17" width="9" hidden="1" customWidth="1" outlineLevel="1"/>
    <col min="18" max="18" width="9.140625" hidden="1" customWidth="1" outlineLevel="1" collapsed="1"/>
    <col min="19" max="21" width="9.140625" hidden="1" customWidth="1" outlineLevel="1"/>
    <col min="22" max="22" width="1.85546875" hidden="1" customWidth="1" outlineLevel="1"/>
    <col min="23" max="24" width="9.140625" hidden="1" customWidth="1" outlineLevel="1"/>
    <col min="25" max="25" width="9.140625" hidden="1" customWidth="1" outlineLevel="1" collapsed="1"/>
    <col min="26" max="26" width="9.140625" hidden="1" customWidth="1" outlineLevel="1"/>
    <col min="27" max="27" width="9.140625" hidden="1" customWidth="1" outlineLevel="1" collapsed="1"/>
    <col min="28" max="28" width="9.140625" customWidth="1" collapsed="1"/>
    <col min="29" max="29" width="9.28515625" customWidth="1"/>
    <col min="30" max="31" width="9.28515625" style="2690" customWidth="1"/>
    <col min="32" max="33" width="9.28515625" customWidth="1"/>
    <col min="34" max="34" width="9.28515625" style="1577" customWidth="1"/>
    <col min="35" max="35" width="9.28515625" style="2693" customWidth="1"/>
    <col min="36" max="45" width="9.28515625" customWidth="1"/>
    <col min="52" max="52" width="3.42578125" customWidth="1" collapsed="1"/>
    <col min="53" max="56" width="9.140625" hidden="1" customWidth="1" outlineLevel="1"/>
    <col min="57" max="57" width="4.7109375" hidden="1" customWidth="1" outlineLevel="1"/>
    <col min="58" max="61" width="9.140625" hidden="1" customWidth="1" outlineLevel="1"/>
    <col min="62" max="62" width="3.85546875" hidden="1" customWidth="1" outlineLevel="1"/>
    <col min="63" max="66" width="9.140625" hidden="1" customWidth="1" outlineLevel="1"/>
    <col min="67" max="67" width="5.28515625" hidden="1" customWidth="1" outlineLevel="1"/>
    <col min="68" max="71" width="9.140625" hidden="1" customWidth="1" outlineLevel="1"/>
    <col min="72" max="72" width="4.5703125" hidden="1" customWidth="1" outlineLevel="1"/>
    <col min="73" max="76" width="9.140625" hidden="1" customWidth="1" outlineLevel="1"/>
    <col min="77" max="77" width="4.85546875" hidden="1" customWidth="1" outlineLevel="1"/>
    <col min="78" max="81" width="8" hidden="1" customWidth="1" outlineLevel="1"/>
    <col min="82" max="82" width="4.5703125" hidden="1" customWidth="1" outlineLevel="1"/>
    <col min="83" max="86" width="8" hidden="1" customWidth="1" outlineLevel="1"/>
    <col min="87" max="87" width="5" hidden="1" customWidth="1" outlineLevel="1"/>
    <col min="88" max="88" width="8" hidden="1" customWidth="1" outlineLevel="1"/>
    <col min="89" max="91" width="9.140625" hidden="1" customWidth="1" outlineLevel="1"/>
    <col min="92" max="92" width="6.140625" hidden="1" customWidth="1" outlineLevel="1"/>
    <col min="93" max="96" width="9.140625" hidden="1" customWidth="1" outlineLevel="1"/>
    <col min="97" max="97" width="3.140625" hidden="1" customWidth="1" outlineLevel="1"/>
    <col min="98" max="101" width="9.140625" hidden="1" customWidth="1" outlineLevel="1"/>
    <col min="102" max="102" width="1.7109375" hidden="1" customWidth="1" outlineLevel="1"/>
    <col min="103" max="106" width="9.140625" hidden="1" customWidth="1" outlineLevel="1"/>
    <col min="107" max="107" width="6.28515625" hidden="1" customWidth="1" outlineLevel="1"/>
    <col min="108" max="117" width="9.140625" hidden="1" customWidth="1" outlineLevel="1"/>
    <col min="118" max="118" width="9.140625" customWidth="1" collapsed="1"/>
  </cols>
  <sheetData>
    <row r="1" spans="1:117" ht="15">
      <c r="A1" s="5" t="str">
        <f>'GAAP Financial Statements'!A1</f>
        <v>CBS</v>
      </c>
      <c r="B1" s="6"/>
      <c r="C1" s="6"/>
      <c r="D1" s="6"/>
      <c r="E1" s="6"/>
      <c r="F1" s="6"/>
      <c r="G1" s="6"/>
      <c r="H1" s="6"/>
      <c r="I1" s="6"/>
      <c r="J1" s="6"/>
      <c r="K1" s="6"/>
      <c r="L1" s="6"/>
      <c r="M1" s="6"/>
      <c r="N1" s="6"/>
      <c r="O1" s="6"/>
      <c r="P1" s="6"/>
      <c r="Q1" s="6"/>
      <c r="R1" s="6"/>
      <c r="S1" s="6"/>
      <c r="T1" s="6"/>
      <c r="U1" s="6"/>
      <c r="V1" s="6"/>
      <c r="W1" s="6"/>
      <c r="X1" s="6"/>
      <c r="Y1" s="6"/>
      <c r="Z1" s="6"/>
      <c r="AA1" s="6"/>
      <c r="AB1" s="6"/>
      <c r="AC1" s="6"/>
      <c r="AD1" s="2684"/>
      <c r="AE1" s="2684"/>
      <c r="AF1" s="6"/>
      <c r="AG1" s="6"/>
      <c r="AH1" s="6"/>
      <c r="AI1" s="2684"/>
      <c r="AJ1" s="6"/>
      <c r="AK1" s="6"/>
      <c r="AL1" s="6"/>
      <c r="AM1" s="6"/>
      <c r="AN1" s="6"/>
      <c r="AO1" s="6"/>
      <c r="AP1" s="6"/>
      <c r="AQ1" s="6"/>
      <c r="AR1" s="6"/>
      <c r="AS1" s="6"/>
      <c r="AT1" s="6"/>
      <c r="AU1" s="6"/>
      <c r="AV1" s="6"/>
      <c r="AW1" s="6"/>
      <c r="AX1" s="6"/>
      <c r="AY1" s="6"/>
      <c r="AZ1" s="6"/>
      <c r="BA1" s="6"/>
      <c r="BB1" s="6"/>
      <c r="BC1" s="6"/>
      <c r="BD1" s="6"/>
      <c r="BE1" s="4"/>
      <c r="BF1" s="6"/>
      <c r="BG1" s="6"/>
      <c r="BH1" s="6"/>
      <c r="BI1" s="6"/>
      <c r="BJ1" s="6"/>
      <c r="BK1" s="6"/>
      <c r="BL1" s="6"/>
      <c r="BM1" s="6"/>
      <c r="BN1" s="6"/>
      <c r="BO1" s="4"/>
      <c r="BP1" s="6"/>
      <c r="BQ1" s="6"/>
      <c r="BR1" s="6"/>
      <c r="BS1" s="6"/>
      <c r="BT1" s="4"/>
      <c r="BU1" s="6"/>
      <c r="BV1" s="6"/>
      <c r="BW1" s="6"/>
      <c r="BX1" s="6"/>
      <c r="BY1" s="4"/>
      <c r="BZ1" s="6"/>
      <c r="CA1" s="6"/>
      <c r="CB1" s="6"/>
      <c r="CC1" s="6"/>
      <c r="CD1" s="7"/>
      <c r="CE1" s="6"/>
      <c r="CF1" s="6"/>
      <c r="CG1" s="6"/>
      <c r="CH1" s="6"/>
      <c r="CI1" s="8"/>
      <c r="CJ1" s="6"/>
      <c r="CK1" s="6"/>
      <c r="CL1" s="6"/>
      <c r="CM1" s="6"/>
      <c r="CN1" s="4"/>
      <c r="CO1" s="6"/>
      <c r="CP1" s="6"/>
      <c r="CQ1" s="6"/>
      <c r="CR1" s="6"/>
      <c r="CS1" s="6"/>
      <c r="CT1" s="6"/>
      <c r="CU1" s="6"/>
      <c r="CV1" s="6"/>
      <c r="CW1" s="6"/>
      <c r="CX1" s="6"/>
      <c r="CY1" s="6"/>
      <c r="CZ1" s="6"/>
      <c r="DA1" s="6"/>
      <c r="DB1" s="6"/>
      <c r="DC1" s="6"/>
      <c r="DD1" s="6"/>
      <c r="DE1" s="6"/>
      <c r="DF1" s="6"/>
      <c r="DG1" s="6"/>
      <c r="DH1" s="6"/>
    </row>
    <row r="2" spans="1:117">
      <c r="A2" s="9" t="s">
        <v>799</v>
      </c>
      <c r="B2" s="6"/>
      <c r="C2" s="6"/>
      <c r="D2" s="6"/>
      <c r="E2" s="6"/>
      <c r="F2" s="6"/>
      <c r="G2" s="6"/>
      <c r="H2" s="10"/>
      <c r="I2" s="6"/>
      <c r="J2" s="6"/>
      <c r="K2" s="6"/>
      <c r="L2" s="6"/>
      <c r="M2" s="6"/>
      <c r="N2" s="6"/>
      <c r="O2" s="6"/>
      <c r="P2" s="6"/>
      <c r="Q2" s="11"/>
      <c r="R2" s="11"/>
      <c r="S2" s="6"/>
      <c r="T2" s="6"/>
      <c r="U2" s="6"/>
      <c r="V2" s="6"/>
      <c r="W2" s="6"/>
      <c r="X2" s="6"/>
      <c r="Y2" s="6"/>
      <c r="Z2" s="6"/>
      <c r="AA2" s="6"/>
      <c r="AB2" s="6"/>
      <c r="AC2" s="6"/>
      <c r="AD2" s="2684"/>
      <c r="AE2" s="2684"/>
      <c r="AF2" s="6"/>
      <c r="AG2" s="6"/>
      <c r="AH2" s="6"/>
      <c r="AI2" s="2684"/>
      <c r="AJ2" s="6"/>
      <c r="AK2" s="6"/>
      <c r="AL2" s="6"/>
      <c r="AM2" s="6"/>
      <c r="AN2" s="6"/>
      <c r="AO2" s="6"/>
      <c r="AP2" s="6"/>
      <c r="AQ2" s="6"/>
      <c r="AR2" s="6"/>
      <c r="AS2" s="6"/>
      <c r="AT2" s="6"/>
      <c r="AU2" s="6"/>
      <c r="AV2" s="6"/>
      <c r="AW2" s="6"/>
      <c r="AX2" s="6"/>
      <c r="AY2" s="6"/>
      <c r="AZ2" s="6"/>
      <c r="BA2" s="6"/>
      <c r="BB2" s="6"/>
      <c r="BC2" s="6"/>
      <c r="BD2" s="6"/>
      <c r="BE2" s="4"/>
      <c r="BF2" s="6"/>
      <c r="BG2" s="6"/>
      <c r="BH2" s="6"/>
      <c r="BI2" s="6"/>
      <c r="BJ2" s="6"/>
      <c r="BK2" s="6"/>
      <c r="BL2" s="6"/>
      <c r="BM2" s="6"/>
      <c r="BN2" s="6"/>
      <c r="BO2" s="4"/>
      <c r="BP2" s="6"/>
      <c r="BQ2" s="6"/>
      <c r="BR2" s="6"/>
      <c r="BS2" s="6"/>
      <c r="BT2" s="4"/>
      <c r="BU2" s="6"/>
      <c r="BV2" s="6"/>
      <c r="BW2" s="6"/>
      <c r="BX2" s="6"/>
      <c r="BY2" s="4"/>
      <c r="BZ2" s="6"/>
      <c r="CA2" s="6"/>
      <c r="CB2" s="6"/>
      <c r="CC2" s="6"/>
      <c r="CD2" s="7"/>
      <c r="CE2" s="6"/>
      <c r="CF2" s="6"/>
      <c r="CG2" s="6"/>
      <c r="CH2" s="6"/>
      <c r="CI2" s="8"/>
      <c r="CJ2" s="6"/>
      <c r="CK2" s="6"/>
      <c r="CL2" s="6"/>
      <c r="CM2" s="6"/>
      <c r="CN2" s="4"/>
      <c r="CO2" s="6"/>
      <c r="CP2" s="6"/>
      <c r="CQ2" s="6"/>
      <c r="CR2" s="6"/>
      <c r="CS2" s="6"/>
      <c r="CT2" s="6"/>
      <c r="CU2" s="6"/>
      <c r="CV2" s="6"/>
      <c r="CW2" s="6"/>
      <c r="CX2" s="6"/>
      <c r="CY2" s="6"/>
      <c r="CZ2" s="6"/>
      <c r="DA2" s="6"/>
      <c r="DB2" s="6"/>
      <c r="DC2" s="6"/>
      <c r="DD2" s="6"/>
      <c r="DE2" s="6"/>
      <c r="DF2" s="6"/>
      <c r="DG2" s="6"/>
      <c r="DH2" s="6"/>
    </row>
    <row r="3" spans="1:117">
      <c r="A3" s="12"/>
      <c r="B3" s="6"/>
      <c r="C3" s="6"/>
      <c r="D3" s="6"/>
      <c r="E3" s="6"/>
      <c r="F3" s="6"/>
      <c r="G3" s="6"/>
      <c r="H3" s="6"/>
      <c r="I3" s="6"/>
      <c r="J3" s="13"/>
      <c r="K3" s="6"/>
      <c r="L3" s="6"/>
      <c r="M3" s="6"/>
      <c r="N3" s="6"/>
      <c r="O3" s="6"/>
      <c r="P3" s="6"/>
      <c r="Q3" s="11"/>
      <c r="R3" s="14"/>
      <c r="S3" s="6"/>
      <c r="T3" s="6"/>
      <c r="U3" s="6"/>
      <c r="V3" s="6"/>
      <c r="W3" s="6"/>
      <c r="X3" s="6"/>
      <c r="Y3" s="15"/>
      <c r="Z3" s="6"/>
      <c r="AA3" s="6"/>
      <c r="AB3" s="6"/>
      <c r="AC3" s="6"/>
      <c r="AD3" s="2684"/>
      <c r="AE3" s="2684"/>
      <c r="AF3" s="6"/>
      <c r="AG3" s="6"/>
      <c r="AH3" s="6"/>
      <c r="AI3" s="2684"/>
      <c r="AJ3" s="6"/>
      <c r="AK3" s="6"/>
      <c r="AL3" s="6"/>
      <c r="AM3" s="6"/>
      <c r="AN3" s="6"/>
      <c r="AO3" s="6"/>
      <c r="AP3" s="6"/>
      <c r="AQ3" s="6"/>
      <c r="AR3" s="6"/>
      <c r="AS3" s="6"/>
      <c r="AT3" s="6"/>
      <c r="AU3" s="6"/>
      <c r="AV3" s="6"/>
      <c r="AW3" s="6"/>
      <c r="AX3" s="6"/>
      <c r="AY3" s="6"/>
      <c r="AZ3" s="6"/>
      <c r="BA3" s="6"/>
      <c r="BB3" s="6"/>
      <c r="BC3" s="6"/>
      <c r="BD3" s="6"/>
      <c r="BE3" s="4"/>
      <c r="BF3" s="6"/>
      <c r="BG3" s="6"/>
      <c r="BH3" s="6"/>
      <c r="BI3" s="6"/>
      <c r="BJ3" s="6"/>
      <c r="BK3" s="6"/>
      <c r="BL3" s="6"/>
      <c r="BM3" s="6"/>
      <c r="BN3" s="6"/>
      <c r="BO3" s="4"/>
      <c r="BP3" s="6"/>
      <c r="BQ3" s="6"/>
      <c r="BR3" s="6"/>
      <c r="BS3" s="6"/>
      <c r="BT3" s="4"/>
      <c r="BU3" s="6"/>
      <c r="BV3" s="6"/>
      <c r="BW3" s="6"/>
      <c r="BX3" s="6"/>
      <c r="BY3" s="4"/>
      <c r="BZ3" s="6"/>
      <c r="CA3" s="6"/>
      <c r="CB3" s="6"/>
      <c r="CC3" s="6"/>
      <c r="CD3" s="7"/>
      <c r="CE3" s="6"/>
      <c r="CF3" s="6"/>
      <c r="CG3" s="6"/>
      <c r="CH3" s="6"/>
      <c r="CI3" s="8"/>
      <c r="CJ3" s="6"/>
      <c r="CK3" s="6"/>
      <c r="CL3" s="6"/>
      <c r="CM3" s="6"/>
      <c r="CN3" s="4"/>
      <c r="CO3" s="6"/>
      <c r="CP3" s="6"/>
      <c r="CQ3" s="6"/>
      <c r="CR3" s="6"/>
      <c r="CS3" s="6"/>
      <c r="CT3" s="6"/>
      <c r="CU3" s="6"/>
      <c r="CV3" s="6"/>
      <c r="CW3" s="6"/>
      <c r="CX3" s="6"/>
      <c r="CY3" s="6"/>
      <c r="CZ3" s="6"/>
      <c r="DA3" s="6"/>
      <c r="DB3" s="6"/>
      <c r="DC3" s="6"/>
      <c r="DD3" s="6"/>
      <c r="DE3" s="6"/>
      <c r="DF3" s="6"/>
      <c r="DG3" s="6"/>
      <c r="DH3" s="6"/>
    </row>
    <row r="4" spans="1:117">
      <c r="A4" s="6"/>
      <c r="B4" s="6"/>
      <c r="C4" s="16" t="s">
        <v>632</v>
      </c>
      <c r="D4" s="16"/>
      <c r="E4" s="16"/>
      <c r="F4" s="16"/>
      <c r="G4" s="17"/>
      <c r="H4" s="17"/>
      <c r="I4" s="16"/>
      <c r="J4" s="6"/>
      <c r="K4" s="16" t="s">
        <v>805</v>
      </c>
      <c r="L4" s="16"/>
      <c r="M4" s="16"/>
      <c r="N4" s="16"/>
      <c r="O4" s="17"/>
      <c r="P4" s="17"/>
      <c r="Q4" s="18"/>
      <c r="R4" s="19"/>
      <c r="S4" s="20"/>
      <c r="T4" s="20"/>
      <c r="U4" s="20"/>
      <c r="V4" s="6"/>
      <c r="W4" s="20"/>
      <c r="X4" s="20"/>
      <c r="Y4" s="21"/>
      <c r="Z4" s="20"/>
      <c r="AA4" s="20"/>
      <c r="AB4" s="20"/>
      <c r="AC4" s="20"/>
      <c r="AD4" s="2685"/>
      <c r="AE4" s="2685"/>
      <c r="AF4" s="20"/>
      <c r="AG4" s="20"/>
      <c r="AH4" s="20"/>
      <c r="AI4" s="2685"/>
      <c r="AJ4" s="20"/>
      <c r="AK4" s="20"/>
      <c r="AL4" s="20"/>
      <c r="AM4" s="20"/>
      <c r="AN4" s="19"/>
      <c r="AO4" s="19"/>
      <c r="AP4" s="19"/>
      <c r="AQ4" s="19"/>
      <c r="AR4" s="19"/>
      <c r="AS4" s="19"/>
      <c r="AT4" s="19"/>
      <c r="AU4" s="19"/>
      <c r="AV4" s="84"/>
      <c r="AW4" s="84"/>
      <c r="AX4" s="84"/>
      <c r="AY4" s="84"/>
      <c r="AZ4" s="6"/>
      <c r="BA4" s="22">
        <v>1999</v>
      </c>
      <c r="BB4" s="22"/>
      <c r="BC4" s="22"/>
      <c r="BD4" s="22"/>
      <c r="BE4" s="4"/>
      <c r="BF4" s="3592" t="s">
        <v>806</v>
      </c>
      <c r="BG4" s="3592"/>
      <c r="BH4" s="3592"/>
      <c r="BI4" s="3592"/>
      <c r="BJ4" s="23"/>
      <c r="BK4" s="3592">
        <v>2001</v>
      </c>
      <c r="BL4" s="3592"/>
      <c r="BM4" s="3592"/>
      <c r="BN4" s="3592"/>
      <c r="BO4" s="24"/>
      <c r="BP4" s="22" t="s">
        <v>807</v>
      </c>
      <c r="BQ4" s="22"/>
      <c r="BR4" s="22"/>
      <c r="BS4" s="22"/>
      <c r="BT4" s="4"/>
      <c r="BU4" s="22" t="s">
        <v>808</v>
      </c>
      <c r="BV4" s="22"/>
      <c r="BW4" s="22"/>
      <c r="BX4" s="22"/>
      <c r="BY4" s="4"/>
      <c r="BZ4" s="22" t="s">
        <v>809</v>
      </c>
      <c r="CA4" s="22"/>
      <c r="CB4" s="22"/>
      <c r="CC4" s="22"/>
      <c r="CD4" s="7"/>
      <c r="CE4" s="25" t="s">
        <v>810</v>
      </c>
      <c r="CF4" s="25"/>
      <c r="CG4" s="25"/>
      <c r="CH4" s="25"/>
      <c r="CI4" s="8"/>
      <c r="CJ4" s="25">
        <v>2005</v>
      </c>
      <c r="CK4" s="25"/>
      <c r="CL4" s="25"/>
      <c r="CM4" s="25"/>
      <c r="CN4" s="4"/>
      <c r="CO4" s="25">
        <v>2006</v>
      </c>
      <c r="CP4" s="22"/>
      <c r="CQ4" s="25"/>
      <c r="CR4" s="22"/>
      <c r="CS4" s="6"/>
      <c r="CT4" s="25">
        <v>2007</v>
      </c>
      <c r="CU4" s="22"/>
      <c r="CV4" s="25"/>
      <c r="CW4" s="22"/>
      <c r="CX4" s="6"/>
      <c r="CY4" s="25">
        <v>2008</v>
      </c>
      <c r="CZ4" s="22"/>
      <c r="DA4" s="25"/>
      <c r="DB4" s="22"/>
      <c r="DC4" s="6"/>
      <c r="DD4" s="25">
        <f>'GAAP Financial Statements'!BU3</f>
        <v>2009</v>
      </c>
      <c r="DE4" s="22"/>
      <c r="DF4" s="25"/>
      <c r="DG4" s="22"/>
      <c r="DH4" s="6"/>
      <c r="DI4" s="25">
        <f>'GAAP Financial Statements'!BZ3</f>
        <v>2010</v>
      </c>
      <c r="DJ4" s="22"/>
      <c r="DK4" s="25"/>
      <c r="DL4" s="22"/>
    </row>
    <row r="5" spans="1:117">
      <c r="A5" s="26" t="s">
        <v>800</v>
      </c>
      <c r="B5" s="20"/>
      <c r="C5" s="27">
        <v>1998</v>
      </c>
      <c r="D5" s="27">
        <v>1999</v>
      </c>
      <c r="E5" s="27" t="s">
        <v>801</v>
      </c>
      <c r="F5" s="28">
        <v>2001</v>
      </c>
      <c r="G5" s="29">
        <v>2002</v>
      </c>
      <c r="H5" s="28">
        <v>2003</v>
      </c>
      <c r="I5" s="28">
        <v>2004</v>
      </c>
      <c r="J5" s="29"/>
      <c r="K5" s="27">
        <v>1998</v>
      </c>
      <c r="L5" s="27">
        <v>1999</v>
      </c>
      <c r="M5" s="27" t="s">
        <v>801</v>
      </c>
      <c r="N5" s="28">
        <v>2001</v>
      </c>
      <c r="O5" s="29">
        <v>2002</v>
      </c>
      <c r="P5" s="28">
        <v>2003</v>
      </c>
      <c r="Q5" s="30">
        <v>2004</v>
      </c>
      <c r="R5" s="31" t="s">
        <v>367</v>
      </c>
      <c r="S5" s="29" t="s">
        <v>832</v>
      </c>
      <c r="T5" s="29" t="s">
        <v>833</v>
      </c>
      <c r="U5" s="29" t="s">
        <v>1244</v>
      </c>
      <c r="V5" s="6"/>
      <c r="W5" s="28" t="s">
        <v>28</v>
      </c>
      <c r="X5" s="28" t="s">
        <v>29</v>
      </c>
      <c r="Y5" s="29" t="s">
        <v>437</v>
      </c>
      <c r="Z5" s="29" t="s">
        <v>815</v>
      </c>
      <c r="AA5" s="29" t="s">
        <v>1263</v>
      </c>
      <c r="AB5" s="29" t="s">
        <v>662</v>
      </c>
      <c r="AC5" s="31" t="s">
        <v>844</v>
      </c>
      <c r="AD5" s="2694" t="s">
        <v>1529</v>
      </c>
      <c r="AE5" s="2694" t="s">
        <v>842</v>
      </c>
      <c r="AF5" s="29" t="s">
        <v>843</v>
      </c>
      <c r="AG5" s="29" t="s">
        <v>1629</v>
      </c>
      <c r="AH5" s="2212" t="s">
        <v>1766</v>
      </c>
      <c r="AI5" s="2700" t="s">
        <v>1758</v>
      </c>
      <c r="AJ5" s="29" t="s">
        <v>469</v>
      </c>
      <c r="AK5" s="29" t="s">
        <v>618</v>
      </c>
      <c r="AL5" s="29" t="s">
        <v>385</v>
      </c>
      <c r="AM5" s="29" t="s">
        <v>1080</v>
      </c>
      <c r="AN5" s="31" t="s">
        <v>345</v>
      </c>
      <c r="AO5" s="31" t="s">
        <v>346</v>
      </c>
      <c r="AP5" s="31" t="s">
        <v>1122</v>
      </c>
      <c r="AQ5" s="31" t="s">
        <v>1123</v>
      </c>
      <c r="AR5" s="31" t="s">
        <v>1519</v>
      </c>
      <c r="AS5" s="31" t="s">
        <v>1609</v>
      </c>
      <c r="AT5" s="31" t="s">
        <v>1698</v>
      </c>
      <c r="AU5" s="31" t="s">
        <v>1803</v>
      </c>
      <c r="AV5" s="1217"/>
      <c r="AW5" s="1217"/>
      <c r="AX5" s="1217"/>
      <c r="AY5" s="1217"/>
      <c r="AZ5" s="6"/>
      <c r="BA5" s="27" t="s">
        <v>670</v>
      </c>
      <c r="BB5" s="27" t="s">
        <v>671</v>
      </c>
      <c r="BC5" s="27" t="s">
        <v>672</v>
      </c>
      <c r="BD5" s="32" t="s">
        <v>673</v>
      </c>
      <c r="BE5" s="4"/>
      <c r="BF5" s="27" t="s">
        <v>670</v>
      </c>
      <c r="BG5" s="27" t="s">
        <v>671</v>
      </c>
      <c r="BH5" s="27" t="s">
        <v>672</v>
      </c>
      <c r="BI5" s="32" t="s">
        <v>673</v>
      </c>
      <c r="BJ5" s="33"/>
      <c r="BK5" s="27" t="s">
        <v>670</v>
      </c>
      <c r="BL5" s="27" t="s">
        <v>671</v>
      </c>
      <c r="BM5" s="27" t="s">
        <v>672</v>
      </c>
      <c r="BN5" s="32" t="s">
        <v>673</v>
      </c>
      <c r="BO5" s="34"/>
      <c r="BP5" s="27" t="s">
        <v>670</v>
      </c>
      <c r="BQ5" s="27" t="s">
        <v>671</v>
      </c>
      <c r="BR5" s="27" t="s">
        <v>672</v>
      </c>
      <c r="BS5" s="32" t="s">
        <v>673</v>
      </c>
      <c r="BT5" s="4"/>
      <c r="BU5" s="27" t="s">
        <v>670</v>
      </c>
      <c r="BV5" s="27" t="s">
        <v>671</v>
      </c>
      <c r="BW5" s="27" t="s">
        <v>672</v>
      </c>
      <c r="BX5" s="32" t="s">
        <v>673</v>
      </c>
      <c r="BY5" s="4"/>
      <c r="BZ5" s="32" t="s">
        <v>670</v>
      </c>
      <c r="CA5" s="32" t="s">
        <v>671</v>
      </c>
      <c r="CB5" s="32" t="s">
        <v>672</v>
      </c>
      <c r="CC5" s="32" t="s">
        <v>673</v>
      </c>
      <c r="CD5" s="7"/>
      <c r="CE5" s="35" t="s">
        <v>670</v>
      </c>
      <c r="CF5" s="35" t="s">
        <v>671</v>
      </c>
      <c r="CG5" s="35" t="s">
        <v>672</v>
      </c>
      <c r="CH5" s="35" t="s">
        <v>673</v>
      </c>
      <c r="CI5" s="8"/>
      <c r="CJ5" s="35" t="s">
        <v>670</v>
      </c>
      <c r="CK5" s="35" t="s">
        <v>671</v>
      </c>
      <c r="CL5" s="35" t="s">
        <v>672</v>
      </c>
      <c r="CM5" s="35" t="s">
        <v>673</v>
      </c>
      <c r="CN5" s="4"/>
      <c r="CO5" s="35" t="s">
        <v>670</v>
      </c>
      <c r="CP5" s="35" t="s">
        <v>671</v>
      </c>
      <c r="CQ5" s="35" t="s">
        <v>672</v>
      </c>
      <c r="CR5" s="32" t="s">
        <v>673</v>
      </c>
      <c r="CS5" s="6"/>
      <c r="CT5" s="35" t="s">
        <v>670</v>
      </c>
      <c r="CU5" s="35" t="s">
        <v>671</v>
      </c>
      <c r="CV5" s="35" t="s">
        <v>672</v>
      </c>
      <c r="CW5" s="32" t="s">
        <v>673</v>
      </c>
      <c r="CX5" s="6"/>
      <c r="CY5" s="35" t="s">
        <v>670</v>
      </c>
      <c r="CZ5" s="35" t="s">
        <v>671</v>
      </c>
      <c r="DA5" s="35" t="s">
        <v>672</v>
      </c>
      <c r="DB5" s="32" t="s">
        <v>673</v>
      </c>
      <c r="DC5" s="6"/>
      <c r="DD5" s="35" t="str">
        <f>'GAAP Financial Statements'!BU4</f>
        <v>1Q</v>
      </c>
      <c r="DE5" s="35" t="str">
        <f>'GAAP Financial Statements'!BV4</f>
        <v>2Q</v>
      </c>
      <c r="DF5" s="35" t="str">
        <f>'GAAP Financial Statements'!BW4</f>
        <v>3Q</v>
      </c>
      <c r="DG5" s="35" t="str">
        <f>'GAAP Financial Statements'!BX4</f>
        <v>4Q</v>
      </c>
      <c r="DH5" s="6"/>
      <c r="DI5" s="35" t="str">
        <f>'GAAP Financial Statements'!BZ4</f>
        <v>1Q</v>
      </c>
      <c r="DJ5" s="35" t="str">
        <f>'GAAP Financial Statements'!CA4</f>
        <v>2Q</v>
      </c>
      <c r="DK5" s="35" t="str">
        <f>'GAAP Financial Statements'!CB4</f>
        <v>3Q</v>
      </c>
      <c r="DL5" s="35" t="str">
        <f>'GAAP Financial Statements'!CC4</f>
        <v>4Q</v>
      </c>
    </row>
    <row r="6" spans="1:117">
      <c r="A6" s="36" t="s">
        <v>1054</v>
      </c>
      <c r="B6" s="6"/>
      <c r="C6" s="6"/>
      <c r="D6" s="37"/>
      <c r="E6" s="6"/>
      <c r="F6" s="6"/>
      <c r="G6" s="6"/>
      <c r="H6" s="6"/>
      <c r="I6" s="6"/>
      <c r="J6" s="38"/>
      <c r="K6" s="6"/>
      <c r="L6" s="6"/>
      <c r="M6" s="6"/>
      <c r="N6" s="6"/>
      <c r="O6" s="6"/>
      <c r="P6" s="6"/>
      <c r="Q6" s="39"/>
      <c r="R6" s="39"/>
      <c r="S6" s="6"/>
      <c r="T6" s="6"/>
      <c r="U6" s="174"/>
      <c r="V6" s="6"/>
      <c r="W6" s="174"/>
      <c r="X6" s="10"/>
      <c r="Y6" s="10"/>
      <c r="Z6" s="1097"/>
      <c r="AA6" s="6"/>
      <c r="AB6" s="10"/>
      <c r="AC6" s="1108"/>
      <c r="AD6" s="2686"/>
      <c r="AE6" s="2686"/>
      <c r="AF6" s="1108"/>
      <c r="AG6" s="1108"/>
      <c r="AH6" s="1108"/>
      <c r="AI6" s="2686"/>
      <c r="AJ6" s="1108"/>
      <c r="AK6" s="1108"/>
      <c r="AL6" s="6"/>
      <c r="AM6" s="6"/>
      <c r="AN6" s="11"/>
      <c r="AO6" s="11"/>
      <c r="AP6" s="11"/>
      <c r="AQ6" s="11"/>
      <c r="AR6" s="11"/>
      <c r="AS6" s="11"/>
      <c r="AT6" s="6"/>
      <c r="AU6" s="6"/>
      <c r="AV6" s="6"/>
      <c r="AW6" s="6"/>
      <c r="AX6" s="6"/>
      <c r="AY6" s="6"/>
      <c r="AZ6" s="6"/>
      <c r="BA6" s="6"/>
      <c r="BB6" s="6"/>
      <c r="BC6" s="6"/>
      <c r="BD6" s="6"/>
      <c r="BE6" s="4"/>
      <c r="BF6" s="6"/>
      <c r="BG6" s="6"/>
      <c r="BH6" s="6"/>
      <c r="BI6" s="6"/>
      <c r="BJ6" s="6"/>
      <c r="BK6" s="6"/>
      <c r="BL6" s="6"/>
      <c r="BM6" s="6"/>
      <c r="BN6" s="6"/>
      <c r="BO6" s="4"/>
      <c r="BP6" s="6"/>
      <c r="BQ6" s="6"/>
      <c r="BR6" s="6"/>
      <c r="BS6" s="6"/>
      <c r="BT6" s="4"/>
      <c r="BU6" s="38"/>
      <c r="BV6" s="6"/>
      <c r="BW6" s="6"/>
      <c r="BX6" s="6"/>
      <c r="BY6" s="4"/>
      <c r="BZ6" s="6"/>
      <c r="CA6" s="6"/>
      <c r="CB6" s="6"/>
      <c r="CC6" s="6"/>
      <c r="CD6" s="7"/>
      <c r="CE6" s="11"/>
      <c r="CF6" s="11"/>
      <c r="CG6" s="11"/>
      <c r="CH6" s="11"/>
      <c r="CI6" s="8"/>
      <c r="CJ6" s="11"/>
      <c r="CK6" s="11"/>
      <c r="CL6" s="11"/>
      <c r="CM6" s="11"/>
      <c r="CN6" s="40"/>
      <c r="CO6" s="37"/>
      <c r="CP6" s="11"/>
      <c r="CQ6" s="11"/>
      <c r="CR6" s="6"/>
      <c r="CS6" s="856"/>
      <c r="CT6" s="6"/>
      <c r="CU6" s="6"/>
      <c r="CV6" s="6"/>
      <c r="CW6" s="6"/>
      <c r="CX6" s="6"/>
      <c r="CY6" s="6"/>
      <c r="CZ6" s="6"/>
      <c r="DA6" s="6"/>
      <c r="DB6" s="6"/>
      <c r="DC6" s="6"/>
      <c r="DD6" s="6"/>
      <c r="DE6" s="6"/>
      <c r="DF6" s="6"/>
      <c r="DG6" s="6"/>
      <c r="DH6" s="6"/>
      <c r="DI6" s="1096"/>
    </row>
    <row r="7" spans="1:117">
      <c r="A7" s="6"/>
      <c r="B7" s="6" t="s">
        <v>738</v>
      </c>
      <c r="C7" s="10">
        <f>'Segment Detail'!E42</f>
        <v>1651</v>
      </c>
      <c r="D7" s="10">
        <f>'Segment Detail'!K42</f>
        <v>2041</v>
      </c>
      <c r="E7" s="10">
        <f>'Segment Detail'!N42</f>
        <v>2287.7456999999999</v>
      </c>
      <c r="F7" s="10">
        <f>'Segment Detail'!R42</f>
        <v>2061.7669767277284</v>
      </c>
      <c r="G7" s="10">
        <f>'Segment Detail'!T42</f>
        <v>2121.6</v>
      </c>
      <c r="H7" s="10">
        <f>'Segment Detail'!U42</f>
        <v>2097.6</v>
      </c>
      <c r="I7" s="10">
        <f>'Segment Detail'!X42</f>
        <v>2096.1</v>
      </c>
      <c r="J7" s="10"/>
      <c r="K7" s="10">
        <f>'Segment Detail'!F42</f>
        <v>1651</v>
      </c>
      <c r="L7" s="10">
        <f>'Segment Detail'!L42</f>
        <v>2041</v>
      </c>
      <c r="M7" s="10">
        <f>'Segment Detail'!O42</f>
        <v>2287.7456999999999</v>
      </c>
      <c r="N7" s="10">
        <f>'Segment Detail'!S42</f>
        <v>2061.7669767277284</v>
      </c>
      <c r="O7" s="10">
        <f>'Segment Detail'!Y42</f>
        <v>2121.6</v>
      </c>
      <c r="P7" s="10">
        <f>'Segment Detail'!Z42</f>
        <v>2097.6</v>
      </c>
      <c r="Q7" s="37">
        <f>'Segment Detail'!AA42</f>
        <v>2096.1</v>
      </c>
      <c r="R7" s="37">
        <f>'Segment Detail'!AB42</f>
        <v>2114.8000000000002</v>
      </c>
      <c r="S7" s="10">
        <f>'Segment Detail'!AC42</f>
        <v>1959.9</v>
      </c>
      <c r="T7" s="10">
        <f>'Segment Detail'!AD42</f>
        <v>1753.6999999999998</v>
      </c>
      <c r="U7" s="10">
        <f>'Segment Detail'!AE42</f>
        <v>1539.1000000000001</v>
      </c>
      <c r="V7" s="10"/>
      <c r="W7" s="10">
        <f>T7</f>
        <v>1753.6999999999998</v>
      </c>
      <c r="X7" s="10">
        <f>U7</f>
        <v>1539.1000000000001</v>
      </c>
      <c r="Y7" s="10">
        <f>'Segment Detail'!AF42</f>
        <v>1222.4000000000001</v>
      </c>
      <c r="Z7" s="10">
        <f>'Segment Detail'!AG42</f>
        <v>1336.3519999999999</v>
      </c>
      <c r="AA7" s="10">
        <f>'Segment Detail'!AH42</f>
        <v>1340.2</v>
      </c>
      <c r="AB7" s="10">
        <f>'Segment Detail'!AI42</f>
        <v>1313.4</v>
      </c>
      <c r="AC7" s="1626">
        <f>'Segment Detail'!AJ42</f>
        <v>1306.4000000000001</v>
      </c>
      <c r="AD7" s="2687">
        <f>'Segment Detail'!AK42</f>
        <v>1303</v>
      </c>
      <c r="AE7" s="2687">
        <f>+AC7</f>
        <v>1306.4000000000001</v>
      </c>
      <c r="AF7" s="1626">
        <f>+AD7</f>
        <v>1303</v>
      </c>
      <c r="AG7" s="2938">
        <f>'Segment Detail'!AL42</f>
        <v>1232</v>
      </c>
      <c r="AH7" s="2938">
        <f>'Segment Detail'!AM42</f>
        <v>1220</v>
      </c>
      <c r="AI7" s="2939">
        <v>0</v>
      </c>
      <c r="AJ7" s="2938">
        <f>'Segment Detail'!AN42</f>
        <v>0</v>
      </c>
      <c r="AK7" s="2938">
        <f>'Segment Detail'!AO42</f>
        <v>0</v>
      </c>
      <c r="AL7" s="2938">
        <f>'Segment Detail'!AP42</f>
        <v>0</v>
      </c>
      <c r="AM7" s="2938">
        <f>'Segment Detail'!AQ42</f>
        <v>0</v>
      </c>
      <c r="AN7" s="2938">
        <f>'Segment Detail'!AR42</f>
        <v>0</v>
      </c>
      <c r="AO7" s="2938">
        <f>'Segment Detail'!AS42</f>
        <v>0</v>
      </c>
      <c r="AP7" s="2938">
        <f>'Segment Detail'!AT42</f>
        <v>0</v>
      </c>
      <c r="AQ7" s="2938">
        <f>'Segment Detail'!AU42</f>
        <v>0</v>
      </c>
      <c r="AR7" s="2938">
        <f>'Segment Detail'!AV42</f>
        <v>0</v>
      </c>
      <c r="AS7" s="2938">
        <f>'Segment Detail'!AW42</f>
        <v>0</v>
      </c>
      <c r="AT7" s="2938">
        <f>'Segment Detail'!AX42</f>
        <v>0</v>
      </c>
      <c r="AU7" s="2938">
        <f>'Segment Detail'!AY42</f>
        <v>0</v>
      </c>
      <c r="AV7" s="10"/>
      <c r="AW7" s="10"/>
      <c r="AX7" s="10"/>
      <c r="AY7" s="10"/>
      <c r="AZ7" s="10"/>
      <c r="BA7" s="10">
        <f>'Segment Detail'!BF42</f>
        <v>365</v>
      </c>
      <c r="BB7" s="10">
        <f>'Segment Detail'!BG42</f>
        <v>462.8</v>
      </c>
      <c r="BC7" s="10">
        <f>'Segment Detail'!BH42</f>
        <v>476.79</v>
      </c>
      <c r="BD7" s="10">
        <f>'Segment Detail'!BI42</f>
        <v>530.91599999999994</v>
      </c>
      <c r="BE7" s="4"/>
      <c r="BF7" s="10">
        <f>'Segment Detail'!BK42</f>
        <v>495.21599999999995</v>
      </c>
      <c r="BG7" s="10">
        <f>'Segment Detail'!BL42</f>
        <v>588.52969999999993</v>
      </c>
      <c r="BH7" s="10">
        <f>'Segment Detail'!BM42</f>
        <v>589</v>
      </c>
      <c r="BI7" s="10">
        <f>'Segment Detail'!BN42</f>
        <v>615</v>
      </c>
      <c r="BJ7" s="10"/>
      <c r="BK7" s="10">
        <f>'Segment Detail'!BU42</f>
        <v>456.87386110548692</v>
      </c>
      <c r="BL7" s="10">
        <f>'Segment Detail'!BV42</f>
        <v>549.32038834951447</v>
      </c>
      <c r="BM7" s="10">
        <f>'Segment Detail'!BW42</f>
        <v>490.2727272727272</v>
      </c>
      <c r="BN7" s="10">
        <f>'Segment Detail'!BX42</f>
        <v>565.29999999999995</v>
      </c>
      <c r="BO7" s="4"/>
      <c r="BP7" s="10">
        <f>'Segment Detail'!BZ42</f>
        <v>451.3</v>
      </c>
      <c r="BQ7" s="10">
        <f>'Segment Detail'!CA42</f>
        <v>565.79999999999995</v>
      </c>
      <c r="BR7" s="10">
        <f>'Segment Detail'!CB42</f>
        <v>539.20000000000005</v>
      </c>
      <c r="BS7" s="10">
        <f>'Segment Detail'!CC42</f>
        <v>565.29999999999995</v>
      </c>
      <c r="BT7" s="4">
        <f>G7-SUM(BP7:BS7)</f>
        <v>0</v>
      </c>
      <c r="BU7" s="10">
        <f>'Segment Detail'!CE42</f>
        <v>443.8</v>
      </c>
      <c r="BV7" s="10">
        <f>'Segment Detail'!CF42</f>
        <v>551</v>
      </c>
      <c r="BW7" s="10">
        <f>'Segment Detail'!CG42</f>
        <v>551.70000000000005</v>
      </c>
      <c r="BX7" s="10">
        <f>'Segment Detail'!CH42</f>
        <v>551.1</v>
      </c>
      <c r="BY7" s="4">
        <f>H7-SUM(BU7:BX7)</f>
        <v>0</v>
      </c>
      <c r="BZ7" s="10">
        <f>'Segment Detail'!CJ42</f>
        <v>455.1</v>
      </c>
      <c r="CA7" s="10">
        <f>'Segment Detail'!CK42</f>
        <v>561.29999999999995</v>
      </c>
      <c r="CB7" s="10">
        <f>'Segment Detail'!CL42</f>
        <v>529.29999999999995</v>
      </c>
      <c r="CC7" s="10">
        <f>'Segment Detail'!CM42</f>
        <v>550.4</v>
      </c>
      <c r="CD7" s="7">
        <f>I7-SUM(BZ7:CC7)</f>
        <v>0</v>
      </c>
      <c r="CE7" s="37">
        <f>'Segment Detail'!CO42</f>
        <v>455.1</v>
      </c>
      <c r="CF7" s="37">
        <f>'Segment Detail'!CP42</f>
        <v>561.29999999999995</v>
      </c>
      <c r="CG7" s="37">
        <f>'Segment Detail'!CQ42</f>
        <v>529.29999999999995</v>
      </c>
      <c r="CH7" s="37">
        <f>'Segment Detail'!CR42</f>
        <v>550.4</v>
      </c>
      <c r="CI7" s="8">
        <f>Q7-SUM(CE7:CH7)</f>
        <v>0</v>
      </c>
      <c r="CJ7" s="37">
        <f>'Segment Detail'!CT42</f>
        <v>462.8</v>
      </c>
      <c r="CK7" s="37">
        <f>'Segment Detail'!CU42</f>
        <v>566.5</v>
      </c>
      <c r="CL7" s="37">
        <f>'Segment Detail'!CV42</f>
        <v>542</v>
      </c>
      <c r="CM7" s="37">
        <f>'Segment Detail'!CW42</f>
        <v>543.5</v>
      </c>
      <c r="CN7" s="41">
        <f>R7-SUM(CJ7:CM7)</f>
        <v>0</v>
      </c>
      <c r="CO7" s="37">
        <f>'Segment Detail'!CY42</f>
        <v>434.5</v>
      </c>
      <c r="CP7" s="37">
        <f>'Segment Detail'!CZ42</f>
        <v>519.1</v>
      </c>
      <c r="CQ7" s="37">
        <f>'Segment Detail'!DA42</f>
        <v>508.1</v>
      </c>
      <c r="CR7" s="10">
        <f>'Segment Detail'!DB42</f>
        <v>498.2</v>
      </c>
      <c r="CS7" s="857">
        <f>S7-SUM(CO7:CR7)</f>
        <v>0</v>
      </c>
      <c r="CT7" s="10">
        <f>'Segment Detail'!DD42</f>
        <v>397.5</v>
      </c>
      <c r="CU7" s="10">
        <f>'Segment Detail'!DE42</f>
        <v>463.4</v>
      </c>
      <c r="CV7" s="10">
        <f>'Segment Detail'!DF42</f>
        <v>445.7</v>
      </c>
      <c r="CW7" s="10">
        <f>'Segment Detail'!DG42</f>
        <v>447.1</v>
      </c>
      <c r="CX7" s="48">
        <f>T7-SUM(CT7:CW7)</f>
        <v>0</v>
      </c>
      <c r="CY7" s="10">
        <f>'Segment Detail'!DI42</f>
        <v>363.5</v>
      </c>
      <c r="CZ7" s="10">
        <f>'Segment Detail'!DJ42</f>
        <v>416.4</v>
      </c>
      <c r="DA7" s="10">
        <f>'Segment Detail'!DK42</f>
        <v>392.5</v>
      </c>
      <c r="DB7" s="10">
        <f>'Segment Detail'!DL42</f>
        <v>366.7</v>
      </c>
      <c r="DC7" s="48">
        <f>U7-SUM(CY7:DB7)</f>
        <v>0</v>
      </c>
      <c r="DD7" s="10">
        <f>'Segment Detail'!DN42</f>
        <v>259.7</v>
      </c>
      <c r="DE7" s="10">
        <f>'Segment Detail'!DO42</f>
        <v>322</v>
      </c>
      <c r="DF7" s="10">
        <f>'Segment Detail'!DP42</f>
        <v>318.89999999999998</v>
      </c>
      <c r="DG7" s="10">
        <f>'Segment Detail'!DQ42</f>
        <v>321.8</v>
      </c>
      <c r="DH7" s="42">
        <f>Y7-SUM(DD7:DG7)</f>
        <v>0</v>
      </c>
      <c r="DI7" s="10">
        <f>Drivers!BQ128</f>
        <v>282.7</v>
      </c>
      <c r="DJ7" s="10">
        <f>Drivers!BR128</f>
        <v>340.3</v>
      </c>
      <c r="DK7" s="10">
        <f>Drivers!BS128</f>
        <v>346.5</v>
      </c>
      <c r="DL7" s="10">
        <f>Drivers!BT128</f>
        <v>366.85199999999998</v>
      </c>
      <c r="DM7" s="42">
        <f>Z7-SUM(DI7:DL7)</f>
        <v>0</v>
      </c>
    </row>
    <row r="8" spans="1:117">
      <c r="A8" s="6"/>
      <c r="B8" s="43" t="s">
        <v>676</v>
      </c>
      <c r="C8" s="38"/>
      <c r="D8" s="38">
        <f t="shared" ref="D8:I8" si="0">D7/C7-1</f>
        <v>0.23622047244094491</v>
      </c>
      <c r="E8" s="38">
        <f t="shared" si="0"/>
        <v>0.12089451249387562</v>
      </c>
      <c r="F8" s="38">
        <f t="shared" si="0"/>
        <v>-9.8777903187522775E-2</v>
      </c>
      <c r="G8" s="38">
        <f t="shared" si="0"/>
        <v>2.9020264631085313E-2</v>
      </c>
      <c r="H8" s="38">
        <f t="shared" si="0"/>
        <v>-1.1312217194570096E-2</v>
      </c>
      <c r="I8" s="38">
        <f t="shared" si="0"/>
        <v>-7.1510297482835217E-4</v>
      </c>
      <c r="J8" s="38"/>
      <c r="K8" s="38"/>
      <c r="L8" s="38">
        <f>L7/K7-1</f>
        <v>0.23622047244094491</v>
      </c>
      <c r="M8" s="38">
        <f>M7/L7-1</f>
        <v>0.12089451249387562</v>
      </c>
      <c r="N8" s="38">
        <f>N7/M7-1</f>
        <v>-9.8777903187522775E-2</v>
      </c>
      <c r="O8" s="38">
        <f>O7/N7-1</f>
        <v>2.9020264631085313E-2</v>
      </c>
      <c r="P8" s="38">
        <f>P7/O7-1</f>
        <v>-1.1312217194570096E-2</v>
      </c>
      <c r="Q8" s="39">
        <f t="shared" ref="Q8:AH8" si="1">Q7/P7-1</f>
        <v>-7.1510297482835217E-4</v>
      </c>
      <c r="R8" s="39">
        <f t="shared" si="1"/>
        <v>8.921330089213475E-3</v>
      </c>
      <c r="S8" s="38">
        <f t="shared" si="1"/>
        <v>-7.3245696992623399E-2</v>
      </c>
      <c r="T8" s="38">
        <f t="shared" si="1"/>
        <v>-0.1052094494617074</v>
      </c>
      <c r="U8" s="38">
        <f>U7/T7-1</f>
        <v>-0.12236984661002437</v>
      </c>
      <c r="V8" s="38"/>
      <c r="W8" s="38">
        <f t="shared" ref="W8:W18" si="2">T8</f>
        <v>-0.1052094494617074</v>
      </c>
      <c r="X8" s="38">
        <f>X7/W7-1</f>
        <v>-0.12236984661002437</v>
      </c>
      <c r="Y8" s="38">
        <f>Y7/X7-1</f>
        <v>-0.2057696056136703</v>
      </c>
      <c r="Z8" s="38">
        <f t="shared" si="1"/>
        <v>9.3219895287957932E-2</v>
      </c>
      <c r="AA8" s="38">
        <f t="shared" si="1"/>
        <v>2.8794808553436191E-3</v>
      </c>
      <c r="AB8" s="38">
        <f t="shared" si="1"/>
        <v>-1.9997015370840088E-2</v>
      </c>
      <c r="AC8" s="1110">
        <f t="shared" si="1"/>
        <v>-5.3296786965129073E-3</v>
      </c>
      <c r="AD8" s="2688">
        <f>AD7/AC7-1</f>
        <v>-2.6025719534599201E-3</v>
      </c>
      <c r="AE8" s="2688"/>
      <c r="AF8" s="1110">
        <f>AF7/AE7-1</f>
        <v>-2.6025719534599201E-3</v>
      </c>
      <c r="AG8" s="2802">
        <f>AG7/AF7-1</f>
        <v>-5.448963929393702E-2</v>
      </c>
      <c r="AH8" s="2802">
        <f t="shared" si="1"/>
        <v>-9.7402597402597157E-3</v>
      </c>
      <c r="AI8" s="2940"/>
      <c r="AJ8" s="2802"/>
      <c r="AK8" s="2802"/>
      <c r="AL8" s="2802"/>
      <c r="AM8" s="2802"/>
      <c r="AN8" s="2802"/>
      <c r="AO8" s="2802"/>
      <c r="AP8" s="2802"/>
      <c r="AQ8" s="2802"/>
      <c r="AR8" s="2802"/>
      <c r="AS8" s="2802"/>
      <c r="AT8" s="2802"/>
      <c r="AU8" s="2802"/>
      <c r="AV8" s="38"/>
      <c r="AW8" s="38"/>
      <c r="AX8" s="38"/>
      <c r="AY8" s="38"/>
      <c r="AZ8" s="10"/>
      <c r="BA8" s="38"/>
      <c r="BB8" s="38"/>
      <c r="BC8" s="38"/>
      <c r="BD8" s="38"/>
      <c r="BE8" s="4"/>
      <c r="BF8" s="38"/>
      <c r="BG8" s="38"/>
      <c r="BH8" s="38"/>
      <c r="BI8" s="38"/>
      <c r="BJ8" s="10"/>
      <c r="BK8" s="38"/>
      <c r="BL8" s="38"/>
      <c r="BM8" s="38"/>
      <c r="BN8" s="38"/>
      <c r="BO8" s="4"/>
      <c r="BP8" s="38"/>
      <c r="BQ8" s="38"/>
      <c r="BR8" s="38"/>
      <c r="BS8" s="38"/>
      <c r="BT8" s="4"/>
      <c r="BU8" s="38"/>
      <c r="BV8" s="38"/>
      <c r="BW8" s="38"/>
      <c r="BX8" s="38"/>
      <c r="BY8" s="4"/>
      <c r="BZ8" s="38"/>
      <c r="CA8" s="38"/>
      <c r="CB8" s="38"/>
      <c r="CC8" s="38"/>
      <c r="CD8" s="7"/>
      <c r="CE8" s="39"/>
      <c r="CF8" s="39"/>
      <c r="CG8" s="39"/>
      <c r="CH8" s="39"/>
      <c r="CI8" s="8"/>
      <c r="CJ8" s="39">
        <f>CJ7/CE7-1</f>
        <v>1.691935838277292E-2</v>
      </c>
      <c r="CK8" s="39">
        <f>CK7/CF7-1</f>
        <v>9.2642080883664768E-3</v>
      </c>
      <c r="CL8" s="39">
        <f>CL7/CG7-1</f>
        <v>2.3993954279236895E-2</v>
      </c>
      <c r="CM8" s="39">
        <f>CM7/CH7-1</f>
        <v>-1.2536337209302251E-2</v>
      </c>
      <c r="CN8" s="44"/>
      <c r="CO8" s="39">
        <f>CO7/CJ7-1</f>
        <v>-6.114952463267076E-2</v>
      </c>
      <c r="CP8" s="39">
        <f>CP7/CK7-1</f>
        <v>-8.367166813768756E-2</v>
      </c>
      <c r="CQ8" s="39">
        <f>CQ7/CL7-1</f>
        <v>-6.2546125461254598E-2</v>
      </c>
      <c r="CR8" s="38">
        <f>CR7/CM7-1</f>
        <v>-8.3348666053357889E-2</v>
      </c>
      <c r="CS8" s="856"/>
      <c r="CT8" s="39">
        <f>CT7/CO7-1</f>
        <v>-8.5155350978135758E-2</v>
      </c>
      <c r="CU8" s="39">
        <f>CU7/CP7-1</f>
        <v>-0.10730109805432486</v>
      </c>
      <c r="CV8" s="39">
        <f>CV7/CQ7-1</f>
        <v>-0.1228104703798466</v>
      </c>
      <c r="CW8" s="38">
        <f>CW7/CR7-1</f>
        <v>-0.1025692492974708</v>
      </c>
      <c r="CX8" s="6"/>
      <c r="CY8" s="39">
        <f>CY7/CT7-1</f>
        <v>-8.5534591194968534E-2</v>
      </c>
      <c r="CZ8" s="39">
        <f>CZ7/CU7-1</f>
        <v>-0.10142425550280532</v>
      </c>
      <c r="DA8" s="39">
        <f>DA7/CV7-1</f>
        <v>-0.11936280008974642</v>
      </c>
      <c r="DB8" s="38">
        <f>DB7/CW7-1</f>
        <v>-0.17982554238425419</v>
      </c>
      <c r="DC8" s="6"/>
      <c r="DD8" s="39">
        <f>DD7/CY7-1</f>
        <v>-0.28555708390646495</v>
      </c>
      <c r="DE8" s="39">
        <f>DE7/CZ7-1</f>
        <v>-0.22670509125840532</v>
      </c>
      <c r="DF8" s="39">
        <f>DF7/DA7-1</f>
        <v>-0.18751592356687907</v>
      </c>
      <c r="DG8" s="38">
        <f>DG7/DB7-1</f>
        <v>-0.12244341423506944</v>
      </c>
      <c r="DH8" s="6"/>
      <c r="DI8" s="39">
        <f>DI7/DD7-1</f>
        <v>8.856372737774354E-2</v>
      </c>
      <c r="DJ8" s="39">
        <f>DJ7/DE7-1</f>
        <v>5.6832298136646031E-2</v>
      </c>
      <c r="DK8" s="39">
        <f>DK7/DF7-1</f>
        <v>8.6547507055503292E-2</v>
      </c>
      <c r="DL8" s="38">
        <f>DL7/DG7-1</f>
        <v>0.1399999999999999</v>
      </c>
    </row>
    <row r="9" spans="1:117">
      <c r="A9" s="6"/>
      <c r="B9" s="6" t="s">
        <v>678</v>
      </c>
      <c r="C9" s="10">
        <f>'Segment Detail'!E51</f>
        <v>743</v>
      </c>
      <c r="D9" s="10">
        <f>'Segment Detail'!K51</f>
        <v>965</v>
      </c>
      <c r="E9" s="10">
        <f>'Segment Detail'!N51</f>
        <v>1178.0820205</v>
      </c>
      <c r="F9" s="10">
        <f>'Segment Detail'!R51</f>
        <v>1042.7610649999999</v>
      </c>
      <c r="G9" s="10">
        <f>'Segment Detail'!T51</f>
        <v>1038.4000000000001</v>
      </c>
      <c r="H9" s="10">
        <f>'Segment Detail'!U51</f>
        <v>1002.2</v>
      </c>
      <c r="I9" s="10">
        <f>'Segment Detail'!X51</f>
        <v>948.2</v>
      </c>
      <c r="J9" s="10"/>
      <c r="K9" s="10">
        <f>'Segment Detail'!F51</f>
        <v>743</v>
      </c>
      <c r="L9" s="10">
        <f>'Segment Detail'!L51</f>
        <v>965</v>
      </c>
      <c r="M9" s="10">
        <f>'Segment Detail'!O51</f>
        <v>1178.0820205</v>
      </c>
      <c r="N9" s="10">
        <f>'Segment Detail'!S51</f>
        <v>1042.7610649999999</v>
      </c>
      <c r="O9" s="10">
        <f>'Segment Detail'!Y51</f>
        <v>1038.4000000000001</v>
      </c>
      <c r="P9" s="10">
        <f>'Segment Detail'!Z51</f>
        <v>1002.2</v>
      </c>
      <c r="Q9" s="37">
        <f>'Segment Detail'!AA51</f>
        <v>948.2</v>
      </c>
      <c r="R9" s="37">
        <f>'Segment Detail'!AB51</f>
        <v>925.00000000000023</v>
      </c>
      <c r="S9" s="10">
        <f>'Segment Detail'!AC51</f>
        <v>820</v>
      </c>
      <c r="T9" s="10">
        <f>'Segment Detail'!AD51</f>
        <v>685.29999999999973</v>
      </c>
      <c r="U9" s="10">
        <f>'Segment Detail'!AE51</f>
        <v>553.30000000000018</v>
      </c>
      <c r="V9" s="10"/>
      <c r="W9" s="10">
        <f t="shared" si="2"/>
        <v>685.29999999999973</v>
      </c>
      <c r="X9" s="10">
        <f t="shared" ref="X9:X18" si="3">U9</f>
        <v>553.30000000000018</v>
      </c>
      <c r="Y9" s="10">
        <f>'Segment Detail'!AF51</f>
        <v>326.92365782972217</v>
      </c>
      <c r="Z9" s="10">
        <f>'Segment Detail'!AG51</f>
        <v>442.66661051406254</v>
      </c>
      <c r="AA9" s="10">
        <f>'Segment Detail'!AH51</f>
        <v>423.36</v>
      </c>
      <c r="AB9" s="10">
        <f>'Segment Detail'!AI51</f>
        <v>432.72</v>
      </c>
      <c r="AC9" s="1626">
        <f>'Segment Detail'!AJ51</f>
        <v>427.38000000000005</v>
      </c>
      <c r="AD9" s="2687">
        <f>'Segment Detail'!AK51</f>
        <v>409.91</v>
      </c>
      <c r="AE9" s="2687">
        <f>+AC9</f>
        <v>427.38000000000005</v>
      </c>
      <c r="AF9" s="1626">
        <f>+AD9</f>
        <v>409.91</v>
      </c>
      <c r="AG9" s="2938">
        <f>'Segment Detail'!AL51</f>
        <v>306.5</v>
      </c>
      <c r="AH9" s="2938">
        <f>'Segment Detail'!AM51</f>
        <v>326</v>
      </c>
      <c r="AI9" s="2939">
        <v>0</v>
      </c>
      <c r="AJ9" s="2938">
        <f>'Segment Detail'!AN51</f>
        <v>0</v>
      </c>
      <c r="AK9" s="2938">
        <f>'Segment Detail'!AO51</f>
        <v>0</v>
      </c>
      <c r="AL9" s="2938">
        <f>'Segment Detail'!AP51</f>
        <v>0</v>
      </c>
      <c r="AM9" s="2938">
        <f>'Segment Detail'!AQ51</f>
        <v>0</v>
      </c>
      <c r="AN9" s="2938">
        <f>'Segment Detail'!AR51</f>
        <v>0</v>
      </c>
      <c r="AO9" s="2938">
        <f>'Segment Detail'!AS51</f>
        <v>0</v>
      </c>
      <c r="AP9" s="2938">
        <f>'Segment Detail'!AT51</f>
        <v>0</v>
      </c>
      <c r="AQ9" s="2938">
        <f>'Segment Detail'!AU51</f>
        <v>0</v>
      </c>
      <c r="AR9" s="2938">
        <f>'Segment Detail'!AV51</f>
        <v>0</v>
      </c>
      <c r="AS9" s="2938">
        <f>'Segment Detail'!AW51</f>
        <v>0</v>
      </c>
      <c r="AT9" s="2938">
        <f>'Segment Detail'!AX51</f>
        <v>0</v>
      </c>
      <c r="AU9" s="2938">
        <f>'Segment Detail'!AY51</f>
        <v>0</v>
      </c>
      <c r="AV9" s="10"/>
      <c r="AW9" s="10"/>
      <c r="AX9" s="10"/>
      <c r="AY9" s="10"/>
      <c r="AZ9" s="10"/>
      <c r="BA9" s="10">
        <f>'Segment Detail'!BF51</f>
        <v>153</v>
      </c>
      <c r="BB9" s="10">
        <f>'Segment Detail'!BG51</f>
        <v>234.1</v>
      </c>
      <c r="BC9" s="10">
        <f>'Segment Detail'!BH51</f>
        <v>247.29</v>
      </c>
      <c r="BD9" s="10">
        <f>'Segment Detail'!BI51</f>
        <v>283.17500000000001</v>
      </c>
      <c r="BE9" s="4"/>
      <c r="BF9" s="10">
        <f>'Segment Detail'!BK51</f>
        <v>212.273</v>
      </c>
      <c r="BG9" s="10">
        <f>'Segment Detail'!BL51</f>
        <v>292.24065000000002</v>
      </c>
      <c r="BH9" s="10">
        <f>'Segment Detail'!BM51</f>
        <v>290.04292430000021</v>
      </c>
      <c r="BI9" s="10">
        <f>'Segment Detail'!BN51</f>
        <v>383.52544619999981</v>
      </c>
      <c r="BJ9" s="10"/>
      <c r="BK9" s="10">
        <f>'Segment Detail'!BU51</f>
        <v>216.53131500000001</v>
      </c>
      <c r="BL9" s="10">
        <f>'Segment Detail'!BV51</f>
        <v>291.92435999999998</v>
      </c>
      <c r="BM9" s="10">
        <f>'Segment Detail'!BW51</f>
        <v>259.46038999999996</v>
      </c>
      <c r="BN9" s="10">
        <f>'Segment Detail'!BX51</f>
        <v>274.84500000000003</v>
      </c>
      <c r="BO9" s="4"/>
      <c r="BP9" s="10">
        <f>'Segment Detail'!BZ51</f>
        <v>197.5</v>
      </c>
      <c r="BQ9" s="10">
        <f>'Segment Detail'!CA51</f>
        <v>287.10000000000002</v>
      </c>
      <c r="BR9" s="10">
        <f>'Segment Detail'!CB51</f>
        <v>266.39999999999998</v>
      </c>
      <c r="BS9" s="10">
        <f>'Segment Detail'!CC51</f>
        <v>287.39999999999998</v>
      </c>
      <c r="BT9" s="4">
        <f>G9-SUM(BP9:BS9)</f>
        <v>0</v>
      </c>
      <c r="BU9" s="10">
        <f>'Segment Detail'!CE51</f>
        <v>197.5</v>
      </c>
      <c r="BV9" s="10">
        <f>'Segment Detail'!CF51</f>
        <v>273</v>
      </c>
      <c r="BW9" s="10">
        <f>'Segment Detail'!CG51</f>
        <v>272.8</v>
      </c>
      <c r="BX9" s="10">
        <f>'Segment Detail'!CH51</f>
        <v>259.10000000000002</v>
      </c>
      <c r="BY9" s="4">
        <f>H9-SUM(BU9:BX9)</f>
        <v>-0.19999999999993179</v>
      </c>
      <c r="BZ9" s="10">
        <f>'Segment Detail'!CJ51</f>
        <v>206.5</v>
      </c>
      <c r="CA9" s="10">
        <f>'Segment Detail'!CK51</f>
        <v>275</v>
      </c>
      <c r="CB9" s="10">
        <f>'Segment Detail'!CL51</f>
        <v>228.7</v>
      </c>
      <c r="CC9" s="10">
        <f>'Segment Detail'!CM51</f>
        <v>238</v>
      </c>
      <c r="CD9" s="7">
        <f>I9-SUM(BZ9:CC9)</f>
        <v>0</v>
      </c>
      <c r="CE9" s="37">
        <f>'Segment Detail'!CO51</f>
        <v>206.5</v>
      </c>
      <c r="CF9" s="37">
        <f>'Segment Detail'!CP51</f>
        <v>275</v>
      </c>
      <c r="CG9" s="37">
        <f>'Segment Detail'!CQ51</f>
        <v>228.7</v>
      </c>
      <c r="CH9" s="37">
        <f>'Segment Detail'!CR51</f>
        <v>238</v>
      </c>
      <c r="CI9" s="8">
        <f>Q9-SUM(CE9:CH9)</f>
        <v>0</v>
      </c>
      <c r="CJ9" s="37">
        <f>'Segment Detail'!CT51</f>
        <v>197.2</v>
      </c>
      <c r="CK9" s="37">
        <f>'Segment Detail'!CU51</f>
        <v>280.5</v>
      </c>
      <c r="CL9" s="37">
        <f>'Segment Detail'!CV51</f>
        <v>232.6</v>
      </c>
      <c r="CM9" s="37">
        <f>'Segment Detail'!CW51</f>
        <v>214.7</v>
      </c>
      <c r="CN9" s="45">
        <f>R9-SUM(CJ9:CM9)</f>
        <v>0</v>
      </c>
      <c r="CO9" s="37">
        <f>'Segment Detail'!CY51</f>
        <v>170.6</v>
      </c>
      <c r="CP9" s="37">
        <f>'Segment Detail'!CZ51</f>
        <v>227.9</v>
      </c>
      <c r="CQ9" s="37">
        <f>'Segment Detail'!DA51</f>
        <v>210.2</v>
      </c>
      <c r="CR9" s="10">
        <f>'Segment Detail'!DB51</f>
        <v>211.3</v>
      </c>
      <c r="CS9" s="857">
        <f>S9-SUM(CO9:CR9)</f>
        <v>0</v>
      </c>
      <c r="CT9" s="37">
        <f>'Segment Detail'!DD51</f>
        <v>161</v>
      </c>
      <c r="CU9" s="37">
        <f>'Segment Detail'!DE51</f>
        <v>187.3</v>
      </c>
      <c r="CV9" s="37">
        <f>'Segment Detail'!DF51</f>
        <v>169.6</v>
      </c>
      <c r="CW9" s="10">
        <f>'Segment Detail'!DG51</f>
        <v>167.4</v>
      </c>
      <c r="CX9" s="48">
        <f>T9-SUM(CT9:CW9)</f>
        <v>0</v>
      </c>
      <c r="CY9" s="37">
        <f>'Segment Detail'!DI51</f>
        <v>132.30000000000001</v>
      </c>
      <c r="CZ9" s="37">
        <f>'Segment Detail'!DJ51</f>
        <v>158.6</v>
      </c>
      <c r="DA9" s="37">
        <f>'Segment Detail'!DK51</f>
        <v>139.6</v>
      </c>
      <c r="DB9" s="10">
        <f>'Segment Detail'!DL51</f>
        <v>122.8</v>
      </c>
      <c r="DC9" s="48">
        <f>U9-SUM(CY9:DB9)</f>
        <v>0</v>
      </c>
      <c r="DD9" s="37">
        <f>'Segment Detail'!DN51</f>
        <v>52.2</v>
      </c>
      <c r="DE9" s="37">
        <f>'Segment Detail'!DO51</f>
        <v>95.3</v>
      </c>
      <c r="DF9" s="37">
        <f>'Segment Detail'!DP51</f>
        <v>93.1</v>
      </c>
      <c r="DG9" s="37">
        <f>'Segment Detail'!DQ51</f>
        <v>86.323657829722094</v>
      </c>
      <c r="DH9" s="42">
        <f>Y9-SUM(DD9:DG9)</f>
        <v>0</v>
      </c>
      <c r="DI9" s="10">
        <f>Drivers!BQ153</f>
        <v>79.349999999999994</v>
      </c>
      <c r="DJ9" s="10">
        <f>Drivers!BR153</f>
        <v>122.66800000000003</v>
      </c>
      <c r="DK9" s="10">
        <f>Drivers!BS153</f>
        <v>116.18400000000003</v>
      </c>
      <c r="DL9" s="10">
        <f>Drivers!BT153</f>
        <v>124.46461051406266</v>
      </c>
      <c r="DM9" s="42">
        <f>Z9-SUM(DI9:DL9)</f>
        <v>0</v>
      </c>
    </row>
    <row r="10" spans="1:117">
      <c r="A10" s="6"/>
      <c r="B10" s="43" t="s">
        <v>690</v>
      </c>
      <c r="C10" s="38">
        <f>C9/C7</f>
        <v>0.45003028467595396</v>
      </c>
      <c r="D10" s="38">
        <f t="shared" ref="D10:I10" si="4">D9/D7</f>
        <v>0.47280744732974034</v>
      </c>
      <c r="E10" s="38">
        <f t="shared" si="4"/>
        <v>0.5149532225107013</v>
      </c>
      <c r="F10" s="38">
        <f t="shared" si="4"/>
        <v>0.50576087247987012</v>
      </c>
      <c r="G10" s="38">
        <f t="shared" si="4"/>
        <v>0.48944193061840124</v>
      </c>
      <c r="H10" s="38">
        <f t="shared" si="4"/>
        <v>0.47778413424866517</v>
      </c>
      <c r="I10" s="38">
        <f t="shared" si="4"/>
        <v>0.45236391393540387</v>
      </c>
      <c r="J10" s="38"/>
      <c r="K10" s="38">
        <f t="shared" ref="K10:AH10" si="5">K9/K7</f>
        <v>0.45003028467595396</v>
      </c>
      <c r="L10" s="38">
        <f t="shared" si="5"/>
        <v>0.47280744732974034</v>
      </c>
      <c r="M10" s="38">
        <f t="shared" si="5"/>
        <v>0.5149532225107013</v>
      </c>
      <c r="N10" s="38">
        <f t="shared" si="5"/>
        <v>0.50576087247987012</v>
      </c>
      <c r="O10" s="38">
        <f t="shared" si="5"/>
        <v>0.48944193061840124</v>
      </c>
      <c r="P10" s="38">
        <f t="shared" si="5"/>
        <v>0.47778413424866517</v>
      </c>
      <c r="Q10" s="39">
        <f t="shared" si="5"/>
        <v>0.45236391393540387</v>
      </c>
      <c r="R10" s="39">
        <f t="shared" si="5"/>
        <v>0.43739360696046914</v>
      </c>
      <c r="S10" s="38">
        <f t="shared" si="5"/>
        <v>0.41838869330067857</v>
      </c>
      <c r="T10" s="38">
        <f t="shared" si="5"/>
        <v>0.39077379255288808</v>
      </c>
      <c r="U10" s="38">
        <f t="shared" si="5"/>
        <v>0.35949580923916585</v>
      </c>
      <c r="V10" s="38"/>
      <c r="W10" s="38">
        <f t="shared" si="2"/>
        <v>0.39077379255288808</v>
      </c>
      <c r="X10" s="38">
        <f t="shared" si="3"/>
        <v>0.35949580923916585</v>
      </c>
      <c r="Y10" s="38">
        <f t="shared" si="5"/>
        <v>0.26744409181096379</v>
      </c>
      <c r="Z10" s="38">
        <f t="shared" si="5"/>
        <v>0.3312500078677344</v>
      </c>
      <c r="AA10" s="38">
        <f t="shared" si="5"/>
        <v>0.31589315027607817</v>
      </c>
      <c r="AB10" s="38">
        <f t="shared" si="5"/>
        <v>0.32946550936500685</v>
      </c>
      <c r="AC10" s="39">
        <f t="shared" si="5"/>
        <v>0.32714329454990815</v>
      </c>
      <c r="AD10" s="2695">
        <f t="shared" si="5"/>
        <v>0.31458940905602456</v>
      </c>
      <c r="AE10" s="2688">
        <f t="shared" si="5"/>
        <v>0.32714329454990815</v>
      </c>
      <c r="AF10" s="1110">
        <f t="shared" si="5"/>
        <v>0.31458940905602456</v>
      </c>
      <c r="AG10" s="2802">
        <f t="shared" si="5"/>
        <v>0.24878246753246752</v>
      </c>
      <c r="AH10" s="2802">
        <f t="shared" si="5"/>
        <v>0.26721311475409837</v>
      </c>
      <c r="AI10" s="2940"/>
      <c r="AJ10" s="2802"/>
      <c r="AK10" s="2802"/>
      <c r="AL10" s="2802"/>
      <c r="AM10" s="2802"/>
      <c r="AN10" s="2802"/>
      <c r="AO10" s="2802"/>
      <c r="AP10" s="2802"/>
      <c r="AQ10" s="2802"/>
      <c r="AR10" s="2802"/>
      <c r="AS10" s="2802"/>
      <c r="AT10" s="2802"/>
      <c r="AU10" s="2802"/>
      <c r="AV10" s="38"/>
      <c r="AW10" s="38"/>
      <c r="AX10" s="38"/>
      <c r="AY10" s="38"/>
      <c r="AZ10" s="38"/>
      <c r="BA10" s="38">
        <f>BA9/BA7</f>
        <v>0.41917808219178082</v>
      </c>
      <c r="BB10" s="38">
        <f>BB9/BB7</f>
        <v>0.50583405358686251</v>
      </c>
      <c r="BC10" s="38">
        <f>BC9/BC7</f>
        <v>0.51865601208079026</v>
      </c>
      <c r="BD10" s="38">
        <f>BD9/BD7</f>
        <v>0.53337062736854801</v>
      </c>
      <c r="BE10" s="4"/>
      <c r="BF10" s="38">
        <f>BF9/BF7</f>
        <v>0.4286472973409583</v>
      </c>
      <c r="BG10" s="38">
        <f>BG9/BG7</f>
        <v>0.49656058139461789</v>
      </c>
      <c r="BH10" s="38">
        <f>BH9/BH7</f>
        <v>0.492432808658744</v>
      </c>
      <c r="BI10" s="38">
        <f>BI9/BI7</f>
        <v>0.62361861170731681</v>
      </c>
      <c r="BJ10" s="38"/>
      <c r="BK10" s="38">
        <f>BK9/BK7</f>
        <v>0.47394113218923112</v>
      </c>
      <c r="BL10" s="38">
        <f>BL9/BL7</f>
        <v>0.53142822693531289</v>
      </c>
      <c r="BM10" s="38">
        <f>BM9/BM7</f>
        <v>0.52921644539217505</v>
      </c>
      <c r="BN10" s="38">
        <f>BN9/BN7</f>
        <v>0.48619317176720334</v>
      </c>
      <c r="BO10" s="4"/>
      <c r="BP10" s="38">
        <f>BP9/BP7</f>
        <v>0.43762463992909373</v>
      </c>
      <c r="BQ10" s="38">
        <f>BQ9/BQ7</f>
        <v>0.50742311770943804</v>
      </c>
      <c r="BR10" s="38">
        <f>BR9/BR7</f>
        <v>0.4940652818991097</v>
      </c>
      <c r="BS10" s="38">
        <f>BS9/BS7</f>
        <v>0.5084026180788962</v>
      </c>
      <c r="BT10" s="4"/>
      <c r="BU10" s="38">
        <f>BU9/BU7</f>
        <v>0.44502027940513744</v>
      </c>
      <c r="BV10" s="38">
        <f>BV9/BV7</f>
        <v>0.49546279491833028</v>
      </c>
      <c r="BW10" s="38">
        <f>BW9/BW7</f>
        <v>0.4944716331339496</v>
      </c>
      <c r="BX10" s="38">
        <f>BX9/BX7</f>
        <v>0.47015060787515878</v>
      </c>
      <c r="BY10" s="4"/>
      <c r="BZ10" s="38">
        <f>BZ9/BZ7</f>
        <v>0.45374642935618542</v>
      </c>
      <c r="CA10" s="38">
        <f>CA9/CA7</f>
        <v>0.48993408159629437</v>
      </c>
      <c r="CB10" s="38">
        <f>CB9/CB7</f>
        <v>0.43208010580011336</v>
      </c>
      <c r="CC10" s="38">
        <f>CC9/CC7</f>
        <v>0.43241279069767441</v>
      </c>
      <c r="CD10" s="7"/>
      <c r="CE10" s="39">
        <f>CE9/CE7</f>
        <v>0.45374642935618542</v>
      </c>
      <c r="CF10" s="39">
        <f>CF9/CF7</f>
        <v>0.48993408159629437</v>
      </c>
      <c r="CG10" s="39">
        <f>CG9/CG7</f>
        <v>0.43208010580011336</v>
      </c>
      <c r="CH10" s="39">
        <f>CH9/CH7</f>
        <v>0.43241279069767441</v>
      </c>
      <c r="CI10" s="8"/>
      <c r="CJ10" s="39">
        <f>CJ9/CJ7</f>
        <v>0.42610198789974069</v>
      </c>
      <c r="CK10" s="39">
        <f>CK9/CK7</f>
        <v>0.49514563106796117</v>
      </c>
      <c r="CL10" s="39">
        <f>CL9/CL7</f>
        <v>0.42915129151291515</v>
      </c>
      <c r="CM10" s="39">
        <f>CM9/CM7</f>
        <v>0.39503219871205147</v>
      </c>
      <c r="CN10" s="44"/>
      <c r="CO10" s="39">
        <f>CO9/CO7</f>
        <v>0.39263521288837744</v>
      </c>
      <c r="CP10" s="39">
        <f>CP9/CP7</f>
        <v>0.43902908880755154</v>
      </c>
      <c r="CQ10" s="39">
        <f>CQ9/CQ7</f>
        <v>0.41369809092698284</v>
      </c>
      <c r="CR10" s="38">
        <f>CR9/CR7</f>
        <v>0.42412685668406264</v>
      </c>
      <c r="CS10" s="856"/>
      <c r="CT10" s="39">
        <f>CT9/CT7</f>
        <v>0.40503144654088052</v>
      </c>
      <c r="CU10" s="39">
        <f>CU9/CU7</f>
        <v>0.40418644799309456</v>
      </c>
      <c r="CV10" s="39">
        <f>CV9/CV7</f>
        <v>0.38052501682746243</v>
      </c>
      <c r="CW10" s="38">
        <f>CW9/CW7</f>
        <v>0.374412883023932</v>
      </c>
      <c r="CX10" s="6"/>
      <c r="CY10" s="39">
        <f>CY9/CY7</f>
        <v>0.36396148555708396</v>
      </c>
      <c r="CZ10" s="39">
        <f>CZ9/CZ7</f>
        <v>0.38088376560999038</v>
      </c>
      <c r="DA10" s="39">
        <f>DA9/DA7</f>
        <v>0.3556687898089172</v>
      </c>
      <c r="DB10" s="38">
        <f>DB9/DB7</f>
        <v>0.33487864739569129</v>
      </c>
      <c r="DC10" s="6"/>
      <c r="DD10" s="39">
        <f>DD9/DD7</f>
        <v>0.20100115517905276</v>
      </c>
      <c r="DE10" s="39">
        <f>DE9/DE7</f>
        <v>0.29596273291925462</v>
      </c>
      <c r="DF10" s="39">
        <f>DF9/DF7</f>
        <v>0.29194104735026655</v>
      </c>
      <c r="DG10" s="38">
        <f>DG9/DG7</f>
        <v>0.26825251034717867</v>
      </c>
      <c r="DH10" s="6"/>
      <c r="DI10" s="39">
        <f>DI9/DI7</f>
        <v>0.28068623983020868</v>
      </c>
      <c r="DJ10" s="39">
        <f>DJ9/DJ7</f>
        <v>0.36047017337643267</v>
      </c>
      <c r="DK10" s="39">
        <f>DK9/DK7</f>
        <v>0.33530735930735939</v>
      </c>
      <c r="DL10" s="38">
        <f>DL9/DL7</f>
        <v>0.33927744843714269</v>
      </c>
    </row>
    <row r="11" spans="1:117">
      <c r="A11" s="6"/>
      <c r="B11" s="6" t="s">
        <v>692</v>
      </c>
      <c r="C11" s="48">
        <f t="shared" ref="C11:I11" si="6">C9-C12</f>
        <v>21.61827849783981</v>
      </c>
      <c r="D11" s="48">
        <f t="shared" si="6"/>
        <v>26.533000000000015</v>
      </c>
      <c r="E11" s="48">
        <f t="shared" si="6"/>
        <v>54.905896799999937</v>
      </c>
      <c r="F11" s="48">
        <f t="shared" si="6"/>
        <v>63.641322986724845</v>
      </c>
      <c r="G11" s="48">
        <f t="shared" si="6"/>
        <v>21.571249999999964</v>
      </c>
      <c r="H11" s="48">
        <f t="shared" si="6"/>
        <v>18.171249999999986</v>
      </c>
      <c r="I11" s="48">
        <f t="shared" si="6"/>
        <v>20.671249999999986</v>
      </c>
      <c r="J11" s="48"/>
      <c r="K11" s="48">
        <f t="shared" ref="K11:AK11" si="7">K9-K12</f>
        <v>21.61827849783981</v>
      </c>
      <c r="L11" s="48">
        <f t="shared" si="7"/>
        <v>26.533000000000015</v>
      </c>
      <c r="M11" s="48">
        <f t="shared" si="7"/>
        <v>54.905896799999937</v>
      </c>
      <c r="N11" s="48">
        <f t="shared" si="7"/>
        <v>63.641322986724845</v>
      </c>
      <c r="O11" s="48">
        <f t="shared" si="7"/>
        <v>21.571249999999964</v>
      </c>
      <c r="P11" s="48">
        <f t="shared" si="7"/>
        <v>18.171249999999986</v>
      </c>
      <c r="Q11" s="49">
        <f t="shared" si="7"/>
        <v>20.671249999999986</v>
      </c>
      <c r="R11" s="49">
        <f t="shared" si="7"/>
        <v>22.686675000000037</v>
      </c>
      <c r="S11" s="48">
        <f t="shared" si="7"/>
        <v>23.600000000000023</v>
      </c>
      <c r="T11" s="48">
        <f t="shared" si="7"/>
        <v>23.899999999999977</v>
      </c>
      <c r="U11" s="48">
        <f t="shared" si="7"/>
        <v>25.600000000000023</v>
      </c>
      <c r="V11" s="48"/>
      <c r="W11" s="48">
        <f t="shared" si="2"/>
        <v>23.899999999999977</v>
      </c>
      <c r="X11" s="48">
        <f t="shared" si="3"/>
        <v>25.600000000000023</v>
      </c>
      <c r="Y11" s="48">
        <f t="shared" si="7"/>
        <v>27.600000000000023</v>
      </c>
      <c r="Z11" s="48">
        <f t="shared" si="7"/>
        <v>30.172869109947669</v>
      </c>
      <c r="AA11" s="48">
        <f t="shared" si="7"/>
        <v>39.899999999999977</v>
      </c>
      <c r="AB11" s="48">
        <f t="shared" si="7"/>
        <v>32.100000000000023</v>
      </c>
      <c r="AC11" s="49">
        <f t="shared" si="7"/>
        <v>31.300000000000011</v>
      </c>
      <c r="AD11" s="2696">
        <f t="shared" si="7"/>
        <v>30.800000000000011</v>
      </c>
      <c r="AE11" s="2689">
        <f t="shared" si="7"/>
        <v>31.300000000000011</v>
      </c>
      <c r="AF11" s="1366">
        <f t="shared" si="7"/>
        <v>30.800000000000011</v>
      </c>
      <c r="AG11" s="2796">
        <f t="shared" si="7"/>
        <v>28.5</v>
      </c>
      <c r="AH11" s="2796">
        <f>AH9-AH12</f>
        <v>26</v>
      </c>
      <c r="AI11" s="2941">
        <v>0</v>
      </c>
      <c r="AJ11" s="2796">
        <f t="shared" si="7"/>
        <v>0</v>
      </c>
      <c r="AK11" s="2796">
        <f t="shared" si="7"/>
        <v>0</v>
      </c>
      <c r="AL11" s="2796">
        <f t="shared" ref="AL11:AQ11" si="8">AL9-AL12</f>
        <v>0</v>
      </c>
      <c r="AM11" s="2796">
        <f t="shared" si="8"/>
        <v>0</v>
      </c>
      <c r="AN11" s="2796">
        <f t="shared" si="8"/>
        <v>0</v>
      </c>
      <c r="AO11" s="2796">
        <f t="shared" si="8"/>
        <v>0</v>
      </c>
      <c r="AP11" s="2796">
        <f t="shared" si="8"/>
        <v>0</v>
      </c>
      <c r="AQ11" s="2796">
        <f t="shared" si="8"/>
        <v>0</v>
      </c>
      <c r="AR11" s="2796">
        <f>AR9-AR12</f>
        <v>0</v>
      </c>
      <c r="AS11" s="2796">
        <f>AS9-AS12</f>
        <v>0</v>
      </c>
      <c r="AT11" s="2796">
        <f>AT9-AT12</f>
        <v>0</v>
      </c>
      <c r="AU11" s="2796">
        <f>AU9-AU12</f>
        <v>0</v>
      </c>
      <c r="AV11" s="48"/>
      <c r="AW11" s="48"/>
      <c r="AX11" s="48"/>
      <c r="AY11" s="48"/>
      <c r="AZ11" s="38"/>
      <c r="BA11" s="48">
        <f>BA9-BA12</f>
        <v>6.6332500000000039</v>
      </c>
      <c r="BB11" s="48">
        <f>BB9-BB12</f>
        <v>6.6332500000000039</v>
      </c>
      <c r="BC11" s="48">
        <f>BC9-BC12</f>
        <v>6.6332500000000039</v>
      </c>
      <c r="BD11" s="48">
        <f>BD9-BD12</f>
        <v>6.6332499999999754</v>
      </c>
      <c r="BE11" s="4"/>
      <c r="BF11" s="48">
        <f>BF9-BF12</f>
        <v>6.6332500000000039</v>
      </c>
      <c r="BG11" s="48">
        <f>BG9-BG12</f>
        <v>10.613200000000006</v>
      </c>
      <c r="BH11" s="48">
        <f>BH9-BH12</f>
        <v>10.613200000000006</v>
      </c>
      <c r="BI11" s="48">
        <f>BI9-BI12</f>
        <v>10.613200000000006</v>
      </c>
      <c r="BJ11" s="38"/>
      <c r="BK11" s="48">
        <f>BK9-BK12</f>
        <v>15.854875572388352</v>
      </c>
      <c r="BL11" s="48">
        <f>BL9-BL12</f>
        <v>15.85487557238838</v>
      </c>
      <c r="BM11" s="48">
        <f>BM9-BM12</f>
        <v>15.854875572388352</v>
      </c>
      <c r="BN11" s="48">
        <f>BN9-BN12</f>
        <v>15.854875572388323</v>
      </c>
      <c r="BO11" s="4"/>
      <c r="BP11" s="48">
        <f>BP9-BP12</f>
        <v>5.3928124999999909</v>
      </c>
      <c r="BQ11" s="48">
        <f>BQ9-BQ12</f>
        <v>5.3928124999999909</v>
      </c>
      <c r="BR11" s="48">
        <f>BR9-BR12</f>
        <v>5.3928124999999909</v>
      </c>
      <c r="BS11" s="48">
        <f>BS9-BS12</f>
        <v>5.3928124999999909</v>
      </c>
      <c r="BT11" s="4"/>
      <c r="BU11" s="48">
        <f>BU9-BU12</f>
        <v>3.8237499999999898</v>
      </c>
      <c r="BV11" s="48">
        <f>BV9-BV12</f>
        <v>3.9237499999999841</v>
      </c>
      <c r="BW11" s="48">
        <f>BW9-BW12</f>
        <v>3.5237500000000068</v>
      </c>
      <c r="BX11" s="48">
        <f>BX9-BX12</f>
        <v>6.9000000000000057</v>
      </c>
      <c r="BY11" s="4"/>
      <c r="BZ11" s="48">
        <f>BZ9-BZ12</f>
        <v>4.2237499999999955</v>
      </c>
      <c r="CA11" s="48">
        <f>CA9-CA12</f>
        <v>5.4237499999999841</v>
      </c>
      <c r="CB11" s="48">
        <f>CB9-CB12</f>
        <v>3.7237499999999955</v>
      </c>
      <c r="CC11" s="48">
        <f>CC9-CC12</f>
        <v>7.3000000000000114</v>
      </c>
      <c r="CD11" s="7"/>
      <c r="CE11" s="49">
        <f>CE9-CE12</f>
        <v>4.2237499999999955</v>
      </c>
      <c r="CF11" s="49">
        <f>CF9-CF12</f>
        <v>5.4237499999999841</v>
      </c>
      <c r="CG11" s="49">
        <f>CG9-CG12</f>
        <v>3.7237499999999955</v>
      </c>
      <c r="CH11" s="49">
        <f>CH9-CH12</f>
        <v>7.3000000000000114</v>
      </c>
      <c r="CI11" s="50"/>
      <c r="CJ11" s="49">
        <f>CJ9-CJ12</f>
        <v>4.5622250000000122</v>
      </c>
      <c r="CK11" s="49">
        <f>CK9-CK12</f>
        <v>5.1000000000000227</v>
      </c>
      <c r="CL11" s="49">
        <f>CL9-CL12</f>
        <v>4.2622250000000008</v>
      </c>
      <c r="CM11" s="49">
        <f>CM9-CM12</f>
        <v>8.7622250000000008</v>
      </c>
      <c r="CN11" s="44"/>
      <c r="CO11" s="49">
        <f>CO9-CO12</f>
        <v>5.75</v>
      </c>
      <c r="CP11" s="49">
        <f>CP9-CP12</f>
        <v>6.0500000000000114</v>
      </c>
      <c r="CQ11" s="49">
        <f>CQ9-CQ12</f>
        <v>6.25</v>
      </c>
      <c r="CR11" s="48">
        <f>CR9-CR12</f>
        <v>5.5500000000000114</v>
      </c>
      <c r="CS11" s="856"/>
      <c r="CT11" s="49">
        <f>CT9-CT12</f>
        <v>5.8499999999999943</v>
      </c>
      <c r="CU11" s="49">
        <f>CU9-CU12</f>
        <v>6.1500000000000057</v>
      </c>
      <c r="CV11" s="49">
        <f>CV9-CV12</f>
        <v>5.8499999999999943</v>
      </c>
      <c r="CW11" s="48">
        <f>CW9-CW12</f>
        <v>6.0500000000000114</v>
      </c>
      <c r="CX11" s="6"/>
      <c r="CY11" s="49">
        <f>CY9-CY12</f>
        <v>5.5499999999999972</v>
      </c>
      <c r="CZ11" s="49">
        <f>CZ9-CZ12</f>
        <v>6.1500000000000057</v>
      </c>
      <c r="DA11" s="49">
        <f>DA9-DA12</f>
        <v>7.0500000000000114</v>
      </c>
      <c r="DB11" s="48">
        <f>DB9-DB12</f>
        <v>6.8499999999999943</v>
      </c>
      <c r="DC11" s="48">
        <f>U11-SUM(CY11:DB11)</f>
        <v>0</v>
      </c>
      <c r="DD11" s="49">
        <f>DD9-DD12</f>
        <v>6.75</v>
      </c>
      <c r="DE11" s="49">
        <f>DE9-DE12</f>
        <v>7.5499999999999972</v>
      </c>
      <c r="DF11" s="49">
        <f>DF9-DF12</f>
        <v>8.5499999999999972</v>
      </c>
      <c r="DG11" s="48">
        <f>DG9-DG12</f>
        <v>4.75</v>
      </c>
      <c r="DH11" s="126"/>
      <c r="DI11" s="48">
        <f>DI9-DI12</f>
        <v>7.5</v>
      </c>
      <c r="DJ11" s="48">
        <f>DJ9-DJ12</f>
        <v>7.5</v>
      </c>
      <c r="DK11" s="48">
        <f>DK9-DK12</f>
        <v>7.5</v>
      </c>
      <c r="DL11" s="48">
        <f>DL9-DL12</f>
        <v>7.6728691099476407</v>
      </c>
    </row>
    <row r="12" spans="1:117">
      <c r="A12" s="6"/>
      <c r="B12" s="6" t="s">
        <v>683</v>
      </c>
      <c r="C12" s="10">
        <f>'Segment Detail'!E63</f>
        <v>721.38172150216019</v>
      </c>
      <c r="D12" s="10">
        <f>'Segment Detail'!K63</f>
        <v>938.46699999999998</v>
      </c>
      <c r="E12" s="10">
        <f>'Segment Detail'!N63</f>
        <v>1123.1761237000001</v>
      </c>
      <c r="F12" s="10">
        <f>'Segment Detail'!R63</f>
        <v>979.11974201327507</v>
      </c>
      <c r="G12" s="10">
        <f>'Segment Detail'!T63</f>
        <v>1016.8287500000001</v>
      </c>
      <c r="H12" s="10">
        <f>'Segment Detail'!U63</f>
        <v>984.02875000000006</v>
      </c>
      <c r="I12" s="10">
        <f>'Segment Detail'!X63</f>
        <v>927.52875000000006</v>
      </c>
      <c r="J12" s="10"/>
      <c r="K12" s="10">
        <f>'Segment Detail'!F63</f>
        <v>721.38172150216019</v>
      </c>
      <c r="L12" s="10">
        <f>'Segment Detail'!L63</f>
        <v>938.46699999999998</v>
      </c>
      <c r="M12" s="10">
        <f>'Segment Detail'!O63</f>
        <v>1123.1761237000001</v>
      </c>
      <c r="N12" s="10">
        <f>'Segment Detail'!S63</f>
        <v>979.11974201327507</v>
      </c>
      <c r="O12" s="10">
        <f>'Segment Detail'!Y63</f>
        <v>1016.8287500000001</v>
      </c>
      <c r="P12" s="10">
        <f>'Segment Detail'!Z63</f>
        <v>984.02875000000006</v>
      </c>
      <c r="Q12" s="37">
        <f>'Segment Detail'!AA63</f>
        <v>927.52875000000006</v>
      </c>
      <c r="R12" s="37">
        <f>'Segment Detail'!AB63</f>
        <v>902.31332500000019</v>
      </c>
      <c r="S12" s="10">
        <f>'Segment Detail'!AC63</f>
        <v>796.4</v>
      </c>
      <c r="T12" s="10">
        <f>'Segment Detail'!AD63</f>
        <v>661.39999999999975</v>
      </c>
      <c r="U12" s="10">
        <f>'Segment Detail'!AE63</f>
        <v>527.70000000000016</v>
      </c>
      <c r="V12" s="10"/>
      <c r="W12" s="10">
        <f t="shared" si="2"/>
        <v>661.39999999999975</v>
      </c>
      <c r="X12" s="10">
        <f t="shared" si="3"/>
        <v>527.70000000000016</v>
      </c>
      <c r="Y12" s="10">
        <f>'Segment Detail'!AF63</f>
        <v>299.32365782972215</v>
      </c>
      <c r="Z12" s="10">
        <f>'Segment Detail'!AG63</f>
        <v>412.49374140411487</v>
      </c>
      <c r="AA12" s="10">
        <f>'Segment Detail'!AH63</f>
        <v>383.46000000000004</v>
      </c>
      <c r="AB12" s="10">
        <f>'Segment Detail'!AI63</f>
        <v>400.62</v>
      </c>
      <c r="AC12" s="37">
        <f>'Segment Detail'!AJ63</f>
        <v>396.08000000000004</v>
      </c>
      <c r="AD12" s="2697">
        <f>'Segment Detail'!AK63</f>
        <v>379.11</v>
      </c>
      <c r="AE12" s="2687">
        <f>+AC12</f>
        <v>396.08000000000004</v>
      </c>
      <c r="AF12" s="1626">
        <f>+AD12</f>
        <v>379.11</v>
      </c>
      <c r="AG12" s="2938">
        <f>'Segment Detail'!AL63</f>
        <v>278</v>
      </c>
      <c r="AH12" s="2938">
        <f>'Segment Detail'!AM63</f>
        <v>300</v>
      </c>
      <c r="AI12" s="2939">
        <v>0</v>
      </c>
      <c r="AJ12" s="2938">
        <f>'Segment Detail'!AN63</f>
        <v>0</v>
      </c>
      <c r="AK12" s="2938">
        <f>'Segment Detail'!AO63</f>
        <v>0</v>
      </c>
      <c r="AL12" s="2938">
        <f>'Segment Detail'!AP63</f>
        <v>0</v>
      </c>
      <c r="AM12" s="2938">
        <f>'Segment Detail'!AQ63</f>
        <v>0</v>
      </c>
      <c r="AN12" s="2938">
        <f>'Segment Detail'!AR63</f>
        <v>0</v>
      </c>
      <c r="AO12" s="2938">
        <f>'Segment Detail'!AS63</f>
        <v>0</v>
      </c>
      <c r="AP12" s="2938">
        <f>'Segment Detail'!AT63</f>
        <v>0</v>
      </c>
      <c r="AQ12" s="2938">
        <f>'Segment Detail'!AU63</f>
        <v>0</v>
      </c>
      <c r="AR12" s="2938">
        <f>'Segment Detail'!AV63</f>
        <v>0</v>
      </c>
      <c r="AS12" s="2938">
        <f>'Segment Detail'!AW63</f>
        <v>0</v>
      </c>
      <c r="AT12" s="2938">
        <f>'Segment Detail'!AX63</f>
        <v>0</v>
      </c>
      <c r="AU12" s="2938">
        <f>'Segment Detail'!AY63</f>
        <v>0</v>
      </c>
      <c r="AV12" s="10"/>
      <c r="AW12" s="10"/>
      <c r="AX12" s="10"/>
      <c r="AY12" s="10"/>
      <c r="AZ12" s="10"/>
      <c r="BA12" s="10">
        <f>'Segment Detail'!BF63</f>
        <v>146.36675</v>
      </c>
      <c r="BB12" s="10">
        <f>'Segment Detail'!BG63</f>
        <v>227.46674999999999</v>
      </c>
      <c r="BC12" s="10">
        <f>'Segment Detail'!BH63</f>
        <v>240.65674999999999</v>
      </c>
      <c r="BD12" s="10">
        <f>'Segment Detail'!BI63</f>
        <v>276.54175000000004</v>
      </c>
      <c r="BE12" s="4"/>
      <c r="BF12" s="10">
        <f>'Segment Detail'!BK63</f>
        <v>205.63974999999999</v>
      </c>
      <c r="BG12" s="10">
        <f>'Segment Detail'!BL63</f>
        <v>281.62745000000001</v>
      </c>
      <c r="BH12" s="10">
        <f>'Segment Detail'!BM63</f>
        <v>279.4297243000002</v>
      </c>
      <c r="BI12" s="10">
        <f>'Segment Detail'!BN63</f>
        <v>372.9122461999998</v>
      </c>
      <c r="BJ12" s="10"/>
      <c r="BK12" s="10">
        <f>'Segment Detail'!BU63</f>
        <v>200.67643942761165</v>
      </c>
      <c r="BL12" s="10">
        <f>'Segment Detail'!BV63</f>
        <v>276.0694844276116</v>
      </c>
      <c r="BM12" s="10">
        <f>'Segment Detail'!BW63</f>
        <v>243.60551442761161</v>
      </c>
      <c r="BN12" s="10">
        <f>'Segment Detail'!BX63</f>
        <v>258.9901244276117</v>
      </c>
      <c r="BO12" s="4"/>
      <c r="BP12" s="10">
        <f>'Segment Detail'!BZ63</f>
        <v>192.10718750000001</v>
      </c>
      <c r="BQ12" s="10">
        <f>'Segment Detail'!CA63</f>
        <v>281.70718750000003</v>
      </c>
      <c r="BR12" s="10">
        <f>'Segment Detail'!CB63</f>
        <v>261.00718749999999</v>
      </c>
      <c r="BS12" s="10">
        <f>'Segment Detail'!CC63</f>
        <v>282.00718749999999</v>
      </c>
      <c r="BT12" s="4">
        <f>G12-SUM(BP12:BS12)</f>
        <v>0</v>
      </c>
      <c r="BU12" s="10">
        <f>'Segment Detail'!CE63</f>
        <v>193.67625000000001</v>
      </c>
      <c r="BV12" s="10">
        <f>'Segment Detail'!CF63</f>
        <v>269.07625000000002</v>
      </c>
      <c r="BW12" s="10">
        <f>'Segment Detail'!CG63</f>
        <v>269.27625</v>
      </c>
      <c r="BX12" s="10">
        <f>'Segment Detail'!CH63</f>
        <v>252.20000000000002</v>
      </c>
      <c r="BY12" s="4">
        <f>H12-SUM(BU12:BX12)</f>
        <v>-0.20000000000004547</v>
      </c>
      <c r="BZ12" s="10">
        <f>'Segment Detail'!CJ63</f>
        <v>202.27625</v>
      </c>
      <c r="CA12" s="10">
        <f>'Segment Detail'!CK63</f>
        <v>269.57625000000002</v>
      </c>
      <c r="CB12" s="10">
        <f>'Segment Detail'!CL63</f>
        <v>224.97624999999999</v>
      </c>
      <c r="CC12" s="10">
        <f>'Segment Detail'!CM63</f>
        <v>230.7</v>
      </c>
      <c r="CD12" s="7">
        <f>I12-SUM(BZ12:CC12)</f>
        <v>0</v>
      </c>
      <c r="CE12" s="37">
        <f>'Segment Detail'!CO63</f>
        <v>202.27625</v>
      </c>
      <c r="CF12" s="37">
        <f>'Segment Detail'!CP63</f>
        <v>269.57625000000002</v>
      </c>
      <c r="CG12" s="37">
        <f>'Segment Detail'!CQ63</f>
        <v>224.97624999999999</v>
      </c>
      <c r="CH12" s="37">
        <f>'Segment Detail'!CR63</f>
        <v>230.7</v>
      </c>
      <c r="CI12" s="8">
        <f>Q12-SUM(CE12:CH12)</f>
        <v>0</v>
      </c>
      <c r="CJ12" s="37">
        <f>'Segment Detail'!CT63</f>
        <v>192.63777499999998</v>
      </c>
      <c r="CK12" s="37">
        <f>'Segment Detail'!CU63</f>
        <v>275.39999999999998</v>
      </c>
      <c r="CL12" s="37">
        <f>'Segment Detail'!CV63</f>
        <v>228.33777499999999</v>
      </c>
      <c r="CM12" s="37">
        <f>'Segment Detail'!CW63</f>
        <v>205.93777499999999</v>
      </c>
      <c r="CN12" s="45">
        <f>R12-SUM(CJ12:CM12)</f>
        <v>0</v>
      </c>
      <c r="CO12" s="37">
        <f>'Segment Detail'!CY63</f>
        <v>164.85</v>
      </c>
      <c r="CP12" s="37">
        <f>'Segment Detail'!CZ63</f>
        <v>221.85</v>
      </c>
      <c r="CQ12" s="37">
        <f>'Segment Detail'!DA63</f>
        <v>203.95</v>
      </c>
      <c r="CR12" s="10">
        <f>'Segment Detail'!DB63</f>
        <v>205.75</v>
      </c>
      <c r="CS12" s="857">
        <f>S12-SUM(CO12:CR12)</f>
        <v>0</v>
      </c>
      <c r="CT12" s="37">
        <f>'Segment Detail'!DD63</f>
        <v>155.15</v>
      </c>
      <c r="CU12" s="37">
        <f>'Segment Detail'!DE63</f>
        <v>181.15</v>
      </c>
      <c r="CV12" s="37">
        <f>'Segment Detail'!DF63</f>
        <v>163.75</v>
      </c>
      <c r="CW12" s="10">
        <f>'Segment Detail'!DG63</f>
        <v>161.35</v>
      </c>
      <c r="CX12" s="48">
        <f>T12-SUM(CT12:CW12)</f>
        <v>0</v>
      </c>
      <c r="CY12" s="37">
        <f>'Segment Detail'!DI63</f>
        <v>126.75000000000001</v>
      </c>
      <c r="CZ12" s="37">
        <f>'Segment Detail'!DJ63</f>
        <v>152.44999999999999</v>
      </c>
      <c r="DA12" s="37">
        <f>'Segment Detail'!DK63</f>
        <v>132.54999999999998</v>
      </c>
      <c r="DB12" s="10">
        <f>'Segment Detail'!DL63</f>
        <v>115.95</v>
      </c>
      <c r="DC12" s="48">
        <f>U12-SUM(CY12:DB12)</f>
        <v>0</v>
      </c>
      <c r="DD12" s="37">
        <f>'Segment Detail'!DN63</f>
        <v>45.45</v>
      </c>
      <c r="DE12" s="37">
        <f>'Segment Detail'!DO63</f>
        <v>87.75</v>
      </c>
      <c r="DF12" s="37">
        <f>'Segment Detail'!DP63</f>
        <v>84.55</v>
      </c>
      <c r="DG12" s="10">
        <f>'Segment Detail'!DQ63</f>
        <v>81.573657829722094</v>
      </c>
      <c r="DH12" s="42">
        <f>Y12-SUM(DD12:DG12)</f>
        <v>0</v>
      </c>
      <c r="DI12" s="10">
        <f>'Segment Detail'!DS63</f>
        <v>71.849999999999994</v>
      </c>
      <c r="DJ12" s="10">
        <f>'Segment Detail'!DT63</f>
        <v>115.16800000000003</v>
      </c>
      <c r="DK12" s="10">
        <f>'Segment Detail'!DU63</f>
        <v>108.68400000000003</v>
      </c>
      <c r="DL12" s="10">
        <f>'Segment Detail'!DV63</f>
        <v>116.79174140411502</v>
      </c>
      <c r="DM12" s="42">
        <f>Z12-SUM(DI12:DL12)</f>
        <v>0</v>
      </c>
    </row>
    <row r="13" spans="1:117">
      <c r="A13" s="6"/>
      <c r="B13" s="43" t="s">
        <v>676</v>
      </c>
      <c r="C13" s="38"/>
      <c r="D13" s="38">
        <f t="shared" ref="D13:I13" si="9">D12/C12-1</f>
        <v>0.30092982955791414</v>
      </c>
      <c r="E13" s="38">
        <f t="shared" si="9"/>
        <v>0.19682005195707486</v>
      </c>
      <c r="F13" s="38">
        <f t="shared" si="9"/>
        <v>-0.12825805200716889</v>
      </c>
      <c r="G13" s="38">
        <f t="shared" si="9"/>
        <v>3.8513172974316223E-2</v>
      </c>
      <c r="H13" s="38">
        <f t="shared" si="9"/>
        <v>-3.2257152445778203E-2</v>
      </c>
      <c r="I13" s="38">
        <f t="shared" si="9"/>
        <v>-5.741702160633011E-2</v>
      </c>
      <c r="J13" s="38"/>
      <c r="K13" s="38"/>
      <c r="L13" s="38">
        <f>L12/K12-1</f>
        <v>0.30092982955791414</v>
      </c>
      <c r="M13" s="38">
        <f t="shared" ref="M13:AH13" si="10">M12/L12-1</f>
        <v>0.19682005195707486</v>
      </c>
      <c r="N13" s="38">
        <f t="shared" si="10"/>
        <v>-0.12825805200716889</v>
      </c>
      <c r="O13" s="38">
        <f t="shared" si="10"/>
        <v>3.8513172974316223E-2</v>
      </c>
      <c r="P13" s="38">
        <f t="shared" si="10"/>
        <v>-3.2257152445778203E-2</v>
      </c>
      <c r="Q13" s="39">
        <f t="shared" si="10"/>
        <v>-5.741702160633011E-2</v>
      </c>
      <c r="R13" s="39">
        <f t="shared" si="10"/>
        <v>-2.718559936821352E-2</v>
      </c>
      <c r="S13" s="39">
        <f t="shared" si="10"/>
        <v>-0.11737976384201154</v>
      </c>
      <c r="T13" s="38">
        <f t="shared" si="10"/>
        <v>-0.16951280763435483</v>
      </c>
      <c r="U13" s="38">
        <f>U12/T12-1</f>
        <v>-0.20214696099183493</v>
      </c>
      <c r="V13" s="38"/>
      <c r="W13" s="38">
        <f t="shared" si="2"/>
        <v>-0.16951280763435483</v>
      </c>
      <c r="X13" s="38">
        <f>X12/W12-1</f>
        <v>-0.20214696099183493</v>
      </c>
      <c r="Y13" s="38">
        <f>Y12/X12-1</f>
        <v>-0.43277684701587638</v>
      </c>
      <c r="Z13" s="38">
        <f t="shared" si="10"/>
        <v>0.37808599692702005</v>
      </c>
      <c r="AA13" s="38">
        <f t="shared" si="10"/>
        <v>-7.0385895566039247E-2</v>
      </c>
      <c r="AB13" s="38">
        <f t="shared" si="10"/>
        <v>4.4750430292598953E-2</v>
      </c>
      <c r="AC13" s="39">
        <f t="shared" si="10"/>
        <v>-1.133243472617429E-2</v>
      </c>
      <c r="AD13" s="2695">
        <f>AD12/AC12-1</f>
        <v>-4.2844879822258153E-2</v>
      </c>
      <c r="AE13" s="2688"/>
      <c r="AF13" s="1110">
        <f>AF12/AE12-1</f>
        <v>-4.2844879822258153E-2</v>
      </c>
      <c r="AG13" s="2802">
        <f>AG12/AF12-1</f>
        <v>-0.26670359526258869</v>
      </c>
      <c r="AH13" s="2802">
        <f t="shared" si="10"/>
        <v>7.9136690647481966E-2</v>
      </c>
      <c r="AI13" s="2940"/>
      <c r="AJ13" s="2802"/>
      <c r="AK13" s="2802"/>
      <c r="AL13" s="2802"/>
      <c r="AM13" s="2802"/>
      <c r="AN13" s="2802"/>
      <c r="AO13" s="2802"/>
      <c r="AP13" s="2802"/>
      <c r="AQ13" s="2802"/>
      <c r="AR13" s="2802"/>
      <c r="AS13" s="2802"/>
      <c r="AT13" s="2802"/>
      <c r="AU13" s="2802"/>
      <c r="AV13" s="38"/>
      <c r="AW13" s="38"/>
      <c r="AX13" s="38"/>
      <c r="AY13" s="38"/>
      <c r="AZ13" s="10"/>
      <c r="BA13" s="38"/>
      <c r="BB13" s="38"/>
      <c r="BC13" s="38"/>
      <c r="BD13" s="38"/>
      <c r="BE13" s="4"/>
      <c r="BF13" s="38"/>
      <c r="BG13" s="38"/>
      <c r="BH13" s="38"/>
      <c r="BI13" s="38"/>
      <c r="BJ13" s="10"/>
      <c r="BK13" s="38"/>
      <c r="BL13" s="38"/>
      <c r="BM13" s="38"/>
      <c r="BN13" s="38"/>
      <c r="BO13" s="4"/>
      <c r="BP13" s="38"/>
      <c r="BQ13" s="38"/>
      <c r="BR13" s="38"/>
      <c r="BS13" s="38"/>
      <c r="BT13" s="4"/>
      <c r="BU13" s="38"/>
      <c r="BV13" s="38"/>
      <c r="BW13" s="38"/>
      <c r="BX13" s="38"/>
      <c r="BY13" s="4"/>
      <c r="BZ13" s="38"/>
      <c r="CA13" s="38"/>
      <c r="CB13" s="38"/>
      <c r="CC13" s="38"/>
      <c r="CD13" s="7"/>
      <c r="CE13" s="39"/>
      <c r="CF13" s="39"/>
      <c r="CG13" s="39"/>
      <c r="CH13" s="39"/>
      <c r="CI13" s="8"/>
      <c r="CJ13" s="39">
        <f>CJ12/CE12-1</f>
        <v>-4.7650057779892729E-2</v>
      </c>
      <c r="CK13" s="39">
        <f>CK12/CF12-1</f>
        <v>2.1603349701614816E-2</v>
      </c>
      <c r="CL13" s="39">
        <f>CL12/CG12-1</f>
        <v>1.494168828931941E-2</v>
      </c>
      <c r="CM13" s="39">
        <f>CM12/CH12-1</f>
        <v>-0.10733517555266581</v>
      </c>
      <c r="CN13" s="44"/>
      <c r="CO13" s="39">
        <f>CO12/CJ12-1</f>
        <v>-0.14424883696876167</v>
      </c>
      <c r="CP13" s="39">
        <f>CP12/CK12-1</f>
        <v>-0.19444444444444442</v>
      </c>
      <c r="CQ13" s="39">
        <f>CQ12/CL12-1</f>
        <v>-0.10680569607897772</v>
      </c>
      <c r="CR13" s="38">
        <f>CR12/CM12-1</f>
        <v>-9.1180454872830108E-4</v>
      </c>
      <c r="CS13" s="856"/>
      <c r="CT13" s="39">
        <f>CT12/CO12-1</f>
        <v>-5.8841370943281679E-2</v>
      </c>
      <c r="CU13" s="39">
        <f>CU12/CP12-1</f>
        <v>-0.18345729096236196</v>
      </c>
      <c r="CV13" s="39">
        <f>CV12/CQ12-1</f>
        <v>-0.19710713410149538</v>
      </c>
      <c r="CW13" s="38">
        <f>CW12/CR12-1</f>
        <v>-0.21579586877278256</v>
      </c>
      <c r="CX13" s="6"/>
      <c r="CY13" s="39">
        <f>CY12/CT12-1</f>
        <v>-0.18304866258459551</v>
      </c>
      <c r="CZ13" s="39">
        <f>CZ12/CU12-1</f>
        <v>-0.15843223847640087</v>
      </c>
      <c r="DA13" s="39">
        <f>DA12/CV12-1</f>
        <v>-0.19053435114503825</v>
      </c>
      <c r="DB13" s="38">
        <f>DB12/CW12-1</f>
        <v>-0.28137589092035942</v>
      </c>
      <c r="DC13" s="6"/>
      <c r="DD13" s="39">
        <f>DD12/CY12-1</f>
        <v>-0.64142011834319534</v>
      </c>
      <c r="DE13" s="39">
        <f>DE12/CZ12-1</f>
        <v>-0.42440144309609706</v>
      </c>
      <c r="DF13" s="39">
        <f>DF12/DA12-1</f>
        <v>-0.36212749905695962</v>
      </c>
      <c r="DG13" s="38">
        <f>DG12/DB12-1</f>
        <v>-0.29647556852331103</v>
      </c>
      <c r="DH13" s="6"/>
      <c r="DI13" s="39">
        <f>DI12/DD12-1</f>
        <v>0.58085808580858056</v>
      </c>
      <c r="DJ13" s="39">
        <f>DJ12/DE12-1</f>
        <v>0.31245584045584085</v>
      </c>
      <c r="DK13" s="39">
        <f>DK12/DF12-1</f>
        <v>0.2854405677114138</v>
      </c>
      <c r="DL13" s="38">
        <f>DL12/DG12-1</f>
        <v>0.43173353397867231</v>
      </c>
    </row>
    <row r="14" spans="1:117" ht="10.5" customHeight="1">
      <c r="A14" s="6"/>
      <c r="B14" s="43" t="s">
        <v>690</v>
      </c>
      <c r="C14" s="38">
        <f t="shared" ref="C14:I14" si="11">C12/C7</f>
        <v>0.43693623349616001</v>
      </c>
      <c r="D14" s="38">
        <f t="shared" si="11"/>
        <v>0.45980744732974033</v>
      </c>
      <c r="E14" s="38">
        <f t="shared" si="11"/>
        <v>0.49095322251070128</v>
      </c>
      <c r="F14" s="38">
        <f t="shared" si="11"/>
        <v>0.47489350303168382</v>
      </c>
      <c r="G14" s="38">
        <f t="shared" si="11"/>
        <v>0.47927448623680247</v>
      </c>
      <c r="H14" s="38">
        <f t="shared" si="11"/>
        <v>0.46912125762776513</v>
      </c>
      <c r="I14" s="38">
        <f t="shared" si="11"/>
        <v>0.44250214684413919</v>
      </c>
      <c r="J14" s="38"/>
      <c r="K14" s="38">
        <f t="shared" ref="K14:AH14" si="12">K12/K7</f>
        <v>0.43693623349616001</v>
      </c>
      <c r="L14" s="38">
        <f t="shared" si="12"/>
        <v>0.45980744732974033</v>
      </c>
      <c r="M14" s="38">
        <f t="shared" si="12"/>
        <v>0.49095322251070128</v>
      </c>
      <c r="N14" s="38">
        <f t="shared" si="12"/>
        <v>0.47489350303168382</v>
      </c>
      <c r="O14" s="38">
        <f t="shared" si="12"/>
        <v>0.47927448623680247</v>
      </c>
      <c r="P14" s="38">
        <f t="shared" si="12"/>
        <v>0.46912125762776513</v>
      </c>
      <c r="Q14" s="39">
        <f t="shared" si="12"/>
        <v>0.44250214684413919</v>
      </c>
      <c r="R14" s="39">
        <f t="shared" si="12"/>
        <v>0.42666603224891247</v>
      </c>
      <c r="S14" s="39">
        <f t="shared" si="12"/>
        <v>0.40634726261543952</v>
      </c>
      <c r="T14" s="38">
        <f t="shared" si="12"/>
        <v>0.37714546387637554</v>
      </c>
      <c r="U14" s="38">
        <f t="shared" si="12"/>
        <v>0.34286271197453067</v>
      </c>
      <c r="V14" s="38"/>
      <c r="W14" s="38">
        <f t="shared" si="2"/>
        <v>0.37714546387637554</v>
      </c>
      <c r="X14" s="38">
        <f t="shared" si="3"/>
        <v>0.34286271197453067</v>
      </c>
      <c r="Y14" s="38">
        <f t="shared" si="12"/>
        <v>0.24486555777955016</v>
      </c>
      <c r="Z14" s="38">
        <f t="shared" si="12"/>
        <v>0.30867147383632076</v>
      </c>
      <c r="AA14" s="38">
        <f t="shared" si="12"/>
        <v>0.28612147440680497</v>
      </c>
      <c r="AB14" s="38">
        <f t="shared" si="12"/>
        <v>0.30502512562814066</v>
      </c>
      <c r="AC14" s="39">
        <f t="shared" si="12"/>
        <v>0.30318432333129214</v>
      </c>
      <c r="AD14" s="2695">
        <f t="shared" si="12"/>
        <v>0.29095165003837298</v>
      </c>
      <c r="AE14" s="2688">
        <f t="shared" si="12"/>
        <v>0.30318432333129214</v>
      </c>
      <c r="AF14" s="1110">
        <f t="shared" si="12"/>
        <v>0.29095165003837298</v>
      </c>
      <c r="AG14" s="2802">
        <f t="shared" si="12"/>
        <v>0.22564935064935066</v>
      </c>
      <c r="AH14" s="2802">
        <f t="shared" si="12"/>
        <v>0.24590163934426229</v>
      </c>
      <c r="AI14" s="2940"/>
      <c r="AJ14" s="2802"/>
      <c r="AK14" s="2802"/>
      <c r="AL14" s="2802"/>
      <c r="AM14" s="2802"/>
      <c r="AN14" s="2802"/>
      <c r="AO14" s="2802"/>
      <c r="AP14" s="2802"/>
      <c r="AQ14" s="2802"/>
      <c r="AR14" s="2802"/>
      <c r="AS14" s="2802"/>
      <c r="AT14" s="2802"/>
      <c r="AU14" s="2802"/>
      <c r="AV14" s="38"/>
      <c r="AW14" s="38"/>
      <c r="AX14" s="38"/>
      <c r="AY14" s="38"/>
      <c r="AZ14" s="38"/>
      <c r="BA14" s="38">
        <f>BA12/BA7</f>
        <v>0.40100479452054794</v>
      </c>
      <c r="BB14" s="38">
        <f>BB12/BB7</f>
        <v>0.49150118841832324</v>
      </c>
      <c r="BC14" s="38">
        <f>BC12/BC7</f>
        <v>0.50474370267832791</v>
      </c>
      <c r="BD14" s="38">
        <f>BD12/BD7</f>
        <v>0.52087665468737065</v>
      </c>
      <c r="BE14" s="4"/>
      <c r="BF14" s="38">
        <f>BF12/BF7</f>
        <v>0.41525263723304578</v>
      </c>
      <c r="BG14" s="38">
        <f>BG12/BG7</f>
        <v>0.47852716693821917</v>
      </c>
      <c r="BH14" s="38">
        <f>BH12/BH7</f>
        <v>0.47441379337860817</v>
      </c>
      <c r="BI14" s="38">
        <f>BI12/BI7</f>
        <v>0.60636137593495898</v>
      </c>
      <c r="BJ14" s="38"/>
      <c r="BK14" s="38">
        <f>BK12/BK7</f>
        <v>0.4392381716521046</v>
      </c>
      <c r="BL14" s="38">
        <f>BL12/BL7</f>
        <v>0.50256551601350297</v>
      </c>
      <c r="BM14" s="38">
        <f>BM12/BM7</f>
        <v>0.49687755585086746</v>
      </c>
      <c r="BN14" s="38">
        <f>BN12/BN7</f>
        <v>0.45814633721495085</v>
      </c>
      <c r="BO14" s="4"/>
      <c r="BP14" s="38">
        <f>BP12/BP7</f>
        <v>0.42567513294925768</v>
      </c>
      <c r="BQ14" s="38">
        <f>BQ12/BQ7</f>
        <v>0.49789181247790748</v>
      </c>
      <c r="BR14" s="38">
        <f>BR12/BR7</f>
        <v>0.48406377503709191</v>
      </c>
      <c r="BS14" s="38">
        <f>BS12/BS7</f>
        <v>0.49886288254024413</v>
      </c>
      <c r="BT14" s="4"/>
      <c r="BU14" s="38">
        <f>BU12/BU7</f>
        <v>0.43640434880576839</v>
      </c>
      <c r="BV14" s="38">
        <f>BV12/BV7</f>
        <v>0.48834165154264975</v>
      </c>
      <c r="BW14" s="38">
        <f>BW12/BW7</f>
        <v>0.48808455682436103</v>
      </c>
      <c r="BX14" s="38">
        <f>BX12/BX7</f>
        <v>0.45763019415714029</v>
      </c>
      <c r="BY14" s="4"/>
      <c r="BZ14" s="38">
        <f>BZ12/BZ7</f>
        <v>0.44446550208745328</v>
      </c>
      <c r="CA14" s="38">
        <f>CA12/CA7</f>
        <v>0.48027124532335658</v>
      </c>
      <c r="CB14" s="38">
        <f>CB12/CB7</f>
        <v>0.42504487058378992</v>
      </c>
      <c r="CC14" s="38">
        <f>CC12/CC7</f>
        <v>0.41914970930232559</v>
      </c>
      <c r="CD14" s="7"/>
      <c r="CE14" s="39">
        <f>CE12/CE7</f>
        <v>0.44446550208745328</v>
      </c>
      <c r="CF14" s="39">
        <f>CF12/CF7</f>
        <v>0.48027124532335658</v>
      </c>
      <c r="CG14" s="39">
        <f>CG12/CG7</f>
        <v>0.42504487058378992</v>
      </c>
      <c r="CH14" s="39">
        <f>CH12/CH7</f>
        <v>0.41914970930232559</v>
      </c>
      <c r="CI14" s="8"/>
      <c r="CJ14" s="39">
        <f>CJ12/CJ7</f>
        <v>0.41624411192739841</v>
      </c>
      <c r="CK14" s="39">
        <f>CK12/CK7</f>
        <v>0.48614298323036181</v>
      </c>
      <c r="CL14" s="39">
        <f>CL12/CL7</f>
        <v>0.42128740774907747</v>
      </c>
      <c r="CM14" s="39">
        <f>CM12/CM7</f>
        <v>0.37891034958601655</v>
      </c>
      <c r="CN14" s="44"/>
      <c r="CO14" s="39">
        <f>CO12/CO7</f>
        <v>0.37940161104718068</v>
      </c>
      <c r="CP14" s="39">
        <f>CP12/CP7</f>
        <v>0.42737430167597762</v>
      </c>
      <c r="CQ14" s="39">
        <f>CQ12/CQ7</f>
        <v>0.40139736272387322</v>
      </c>
      <c r="CR14" s="38">
        <f>CR12/CR7</f>
        <v>0.41298675230830995</v>
      </c>
      <c r="CS14" s="856"/>
      <c r="CT14" s="39">
        <f>CT12/CT7</f>
        <v>0.39031446540880504</v>
      </c>
      <c r="CU14" s="39">
        <f>CU12/CU7</f>
        <v>0.39091497626240834</v>
      </c>
      <c r="CV14" s="39">
        <f>CV12/CV7</f>
        <v>0.36739959614090195</v>
      </c>
      <c r="CW14" s="38">
        <f>CW12/CW7</f>
        <v>0.36088123462312677</v>
      </c>
      <c r="CX14" s="6"/>
      <c r="CY14" s="39">
        <f>CY12/CY7</f>
        <v>0.34869325997248973</v>
      </c>
      <c r="CZ14" s="39">
        <f>CZ12/CZ7</f>
        <v>0.36611431316042264</v>
      </c>
      <c r="DA14" s="39">
        <f>DA12/DA7</f>
        <v>0.33770700636942669</v>
      </c>
      <c r="DB14" s="38">
        <f>DB12/DB7</f>
        <v>0.31619852740659943</v>
      </c>
      <c r="DC14" s="6"/>
      <c r="DD14" s="39">
        <f>DD12/DD7</f>
        <v>0.1750096264921063</v>
      </c>
      <c r="DE14" s="39">
        <f>DE12/DE7</f>
        <v>0.27251552795031053</v>
      </c>
      <c r="DF14" s="39">
        <f>DF12/DF7</f>
        <v>0.26513013483850739</v>
      </c>
      <c r="DG14" s="38">
        <f>DG12/DG7</f>
        <v>0.25349178940249251</v>
      </c>
      <c r="DH14" s="6"/>
      <c r="DI14" s="39">
        <f>DI12/DI7</f>
        <v>0.25415634948708876</v>
      </c>
      <c r="DJ14" s="39">
        <f>DJ12/DJ7</f>
        <v>0.33843079635615642</v>
      </c>
      <c r="DK14" s="39">
        <f>DK12/DK7</f>
        <v>0.31366233766233775</v>
      </c>
      <c r="DL14" s="38">
        <f>DL12/DL7</f>
        <v>0.31836201357527022</v>
      </c>
    </row>
    <row r="15" spans="1:117" ht="10.5" customHeight="1">
      <c r="A15" s="6"/>
      <c r="B15" s="6" t="s">
        <v>733</v>
      </c>
      <c r="C15" s="48">
        <f>C12-C16</f>
        <v>654.2125923765783</v>
      </c>
      <c r="D15" s="48">
        <f t="shared" ref="D15:I15" si="13">D12-D16</f>
        <v>654.2125923765783</v>
      </c>
      <c r="E15" s="48">
        <f t="shared" si="13"/>
        <v>864.43000000000006</v>
      </c>
      <c r="F15" s="48">
        <f t="shared" si="13"/>
        <v>805</v>
      </c>
      <c r="G15" s="48">
        <f t="shared" si="13"/>
        <v>9.2287499999999909</v>
      </c>
      <c r="H15" s="48">
        <f t="shared" si="13"/>
        <v>9.2287499999999909</v>
      </c>
      <c r="I15" s="48">
        <f t="shared" si="13"/>
        <v>9.2287499999999909</v>
      </c>
      <c r="J15" s="38"/>
      <c r="K15" s="48">
        <f t="shared" ref="K15:AK15" si="14">K12-K16</f>
        <v>654.2125923765783</v>
      </c>
      <c r="L15" s="48">
        <f t="shared" si="14"/>
        <v>654.2125923765783</v>
      </c>
      <c r="M15" s="48">
        <f t="shared" si="14"/>
        <v>864.43000000000006</v>
      </c>
      <c r="N15" s="48">
        <f t="shared" si="14"/>
        <v>805</v>
      </c>
      <c r="O15" s="48">
        <f t="shared" si="14"/>
        <v>9.2287499999999909</v>
      </c>
      <c r="P15" s="48">
        <f t="shared" si="14"/>
        <v>9.2287499999999909</v>
      </c>
      <c r="Q15" s="49">
        <f t="shared" si="14"/>
        <v>9.2287499999999909</v>
      </c>
      <c r="R15" s="49">
        <f t="shared" si="14"/>
        <v>9.4133249999999862</v>
      </c>
      <c r="S15" s="49">
        <f t="shared" si="14"/>
        <v>9</v>
      </c>
      <c r="T15" s="48">
        <f t="shared" si="14"/>
        <v>7</v>
      </c>
      <c r="U15" s="48">
        <f t="shared" si="14"/>
        <v>7</v>
      </c>
      <c r="V15" s="48"/>
      <c r="W15" s="48">
        <f t="shared" si="2"/>
        <v>7</v>
      </c>
      <c r="X15" s="48">
        <f t="shared" si="3"/>
        <v>7</v>
      </c>
      <c r="Y15" s="48">
        <f t="shared" si="14"/>
        <v>7</v>
      </c>
      <c r="Z15" s="48">
        <f t="shared" si="14"/>
        <v>7</v>
      </c>
      <c r="AA15" s="48">
        <f t="shared" si="14"/>
        <v>0</v>
      </c>
      <c r="AB15" s="48">
        <f t="shared" si="14"/>
        <v>0</v>
      </c>
      <c r="AC15" s="49">
        <f t="shared" si="14"/>
        <v>0</v>
      </c>
      <c r="AD15" s="2696">
        <f t="shared" si="14"/>
        <v>0</v>
      </c>
      <c r="AE15" s="2689">
        <f t="shared" si="14"/>
        <v>0</v>
      </c>
      <c r="AF15" s="1366">
        <f t="shared" si="14"/>
        <v>0</v>
      </c>
      <c r="AG15" s="2796">
        <f t="shared" si="14"/>
        <v>0</v>
      </c>
      <c r="AH15" s="2796">
        <f t="shared" si="14"/>
        <v>0</v>
      </c>
      <c r="AI15" s="2941">
        <v>0</v>
      </c>
      <c r="AJ15" s="2796">
        <f t="shared" si="14"/>
        <v>0</v>
      </c>
      <c r="AK15" s="2796">
        <f t="shared" si="14"/>
        <v>0</v>
      </c>
      <c r="AL15" s="2796">
        <f t="shared" ref="AL15:AS15" si="15">AL12-AL16</f>
        <v>0</v>
      </c>
      <c r="AM15" s="2796">
        <f t="shared" si="15"/>
        <v>0</v>
      </c>
      <c r="AN15" s="2796">
        <f t="shared" si="15"/>
        <v>0</v>
      </c>
      <c r="AO15" s="2796">
        <f t="shared" si="15"/>
        <v>0</v>
      </c>
      <c r="AP15" s="2796">
        <f t="shared" si="15"/>
        <v>0</v>
      </c>
      <c r="AQ15" s="2796">
        <f t="shared" si="15"/>
        <v>0</v>
      </c>
      <c r="AR15" s="2796">
        <f t="shared" si="15"/>
        <v>0</v>
      </c>
      <c r="AS15" s="2796">
        <f t="shared" si="15"/>
        <v>0</v>
      </c>
      <c r="AT15" s="2796">
        <f>AT12-AT16</f>
        <v>0</v>
      </c>
      <c r="AU15" s="2796">
        <f>AU12-AU16</f>
        <v>0</v>
      </c>
      <c r="AV15" s="48"/>
      <c r="AW15" s="48"/>
      <c r="AX15" s="48"/>
      <c r="AY15" s="48"/>
      <c r="AZ15" s="38"/>
      <c r="BA15" s="48">
        <f>BA12-BA16</f>
        <v>161.06814809414462</v>
      </c>
      <c r="BB15" s="48">
        <f>BB12-BB16</f>
        <v>163.58814809414469</v>
      </c>
      <c r="BC15" s="48">
        <f>BC12-BC16</f>
        <v>164.77814809414451</v>
      </c>
      <c r="BD15" s="48">
        <f>BD12-BD16</f>
        <v>164.77814809414451</v>
      </c>
      <c r="BE15" s="4"/>
      <c r="BF15" s="48">
        <f>BF12-BF16</f>
        <v>154</v>
      </c>
      <c r="BG15" s="48">
        <f>BG12-BG16</f>
        <v>154</v>
      </c>
      <c r="BH15" s="48">
        <f>BH12-BH16</f>
        <v>154</v>
      </c>
      <c r="BI15" s="48">
        <f>BI12-BI16</f>
        <v>216.10750000000002</v>
      </c>
      <c r="BJ15" s="38"/>
      <c r="BK15" s="48">
        <f>BK12-BK16</f>
        <v>210</v>
      </c>
      <c r="BL15" s="48">
        <f>BL12-BL16</f>
        <v>210</v>
      </c>
      <c r="BM15" s="48">
        <f>BM12-BM16</f>
        <v>210</v>
      </c>
      <c r="BN15" s="48">
        <f>BN12-BN16</f>
        <v>175</v>
      </c>
      <c r="BO15" s="4"/>
      <c r="BP15" s="48">
        <f>BP12-BP16</f>
        <v>3.0762499999999875</v>
      </c>
      <c r="BQ15" s="48">
        <f>BQ12-BQ16</f>
        <v>3.0762500000000159</v>
      </c>
      <c r="BR15" s="48">
        <f>BR12-BR16</f>
        <v>3.0762500000000159</v>
      </c>
      <c r="BS15" s="48">
        <f>BS12-BS16</f>
        <v>0</v>
      </c>
      <c r="BT15" s="4">
        <f>G15-SUM(BP15:BS15)</f>
        <v>-2.8421709430404007E-14</v>
      </c>
      <c r="BU15" s="48">
        <f>BU12-BU16</f>
        <v>3.0762499999999875</v>
      </c>
      <c r="BV15" s="48">
        <f>BV12-BV16</f>
        <v>3.0762500000000159</v>
      </c>
      <c r="BW15" s="48">
        <f>BW12-BW16</f>
        <v>3.0762500000000159</v>
      </c>
      <c r="BX15" s="48">
        <f>BX12-BX16</f>
        <v>0</v>
      </c>
      <c r="BY15" s="4">
        <f>H15-SUM(BU15:BX15)</f>
        <v>-2.8421709430404007E-14</v>
      </c>
      <c r="BZ15" s="48">
        <f>BZ12-BZ16</f>
        <v>3.0762499999999875</v>
      </c>
      <c r="CA15" s="48">
        <f>CA12-CA16</f>
        <v>3.0762500000000159</v>
      </c>
      <c r="CB15" s="48">
        <f>CB12-CB16</f>
        <v>3.0762499999999875</v>
      </c>
      <c r="CC15" s="48">
        <f>CC12-CC16</f>
        <v>0</v>
      </c>
      <c r="CD15" s="7">
        <f>I15-SUM(BZ15:CC15)</f>
        <v>0</v>
      </c>
      <c r="CE15" s="49">
        <f>CE12-CE16</f>
        <v>3.0762499999999875</v>
      </c>
      <c r="CF15" s="49">
        <f>CF12-CF16</f>
        <v>3.0762500000000159</v>
      </c>
      <c r="CG15" s="49">
        <f>CG12-CG16</f>
        <v>3.0762499999999875</v>
      </c>
      <c r="CH15" s="49">
        <f>CH12-CH16</f>
        <v>0</v>
      </c>
      <c r="CI15" s="8">
        <f>Q15-SUM(CE15:CH15)</f>
        <v>0</v>
      </c>
      <c r="CJ15" s="49">
        <f>CJ12-CJ16</f>
        <v>3.1377750000000049</v>
      </c>
      <c r="CK15" s="49">
        <f>CK12-CK16</f>
        <v>2.5</v>
      </c>
      <c r="CL15" s="49">
        <f>CL12-CL16</f>
        <v>3.1377750000000049</v>
      </c>
      <c r="CM15" s="49">
        <f>CM12-CM16</f>
        <v>0.63777500000000487</v>
      </c>
      <c r="CN15" s="44"/>
      <c r="CO15" s="49">
        <f>CO12-CO16</f>
        <v>2.25</v>
      </c>
      <c r="CP15" s="49">
        <f>CP12-CP16</f>
        <v>2.25</v>
      </c>
      <c r="CQ15" s="49">
        <f>CQ12-CQ16</f>
        <v>2.25</v>
      </c>
      <c r="CR15" s="48">
        <f>CR12-CR16</f>
        <v>2.25</v>
      </c>
      <c r="CS15" s="856"/>
      <c r="CT15" s="49">
        <f>CT12-CT16</f>
        <v>1.75</v>
      </c>
      <c r="CU15" s="49">
        <f>CU12-CU16</f>
        <v>1.75</v>
      </c>
      <c r="CV15" s="49">
        <f>CV12-CV16</f>
        <v>1.75</v>
      </c>
      <c r="CW15" s="48">
        <f>CW12-CW16</f>
        <v>1.75</v>
      </c>
      <c r="CX15" s="6"/>
      <c r="CY15" s="49">
        <f>CY12-CY16</f>
        <v>1.75</v>
      </c>
      <c r="CZ15" s="49">
        <f>CZ12-CZ16</f>
        <v>1.75</v>
      </c>
      <c r="DA15" s="49">
        <f>DA12-DA16</f>
        <v>1.75</v>
      </c>
      <c r="DB15" s="48">
        <f>DB12-DB16</f>
        <v>1.75</v>
      </c>
      <c r="DC15" s="48">
        <f>U15-SUM(CY15:DB15)</f>
        <v>0</v>
      </c>
      <c r="DD15" s="49">
        <f>DD12-DD16</f>
        <v>1.75</v>
      </c>
      <c r="DE15" s="49">
        <f>DE12-DE16</f>
        <v>1.75</v>
      </c>
      <c r="DF15" s="49">
        <f>DF12-DF16</f>
        <v>1.75</v>
      </c>
      <c r="DG15" s="48">
        <f>DG12-DG16</f>
        <v>1.75</v>
      </c>
      <c r="DH15" s="42">
        <f>Y15-SUM(DD15:DG15)</f>
        <v>0</v>
      </c>
      <c r="DI15" s="48">
        <f>DI12-DI16</f>
        <v>1.75</v>
      </c>
      <c r="DJ15" s="48">
        <f>DJ12-DJ16</f>
        <v>1.75</v>
      </c>
      <c r="DK15" s="48">
        <f>DK12-DK16</f>
        <v>1.75</v>
      </c>
      <c r="DL15" s="48">
        <f>DL12-DL16</f>
        <v>1.75</v>
      </c>
      <c r="DM15" s="42">
        <f>Z15-SUM(DI15:DL15)</f>
        <v>0</v>
      </c>
    </row>
    <row r="16" spans="1:117">
      <c r="A16" s="6"/>
      <c r="B16" s="6" t="s">
        <v>685</v>
      </c>
      <c r="C16" s="10">
        <f>'Segment Detail'!E71</f>
        <v>67.16912912558189</v>
      </c>
      <c r="D16" s="10">
        <f>'Segment Detail'!K71</f>
        <v>284.25440762342168</v>
      </c>
      <c r="E16" s="10">
        <f>'Segment Detail'!N71</f>
        <v>258.7461237</v>
      </c>
      <c r="F16" s="10">
        <f>'Segment Detail'!R71</f>
        <v>174.11974201327507</v>
      </c>
      <c r="G16" s="10">
        <f>'Segment Detail'!T71</f>
        <v>1007.6000000000001</v>
      </c>
      <c r="H16" s="10">
        <f>'Segment Detail'!U71</f>
        <v>974.80000000000007</v>
      </c>
      <c r="I16" s="10">
        <f>'Segment Detail'!X71</f>
        <v>918.30000000000007</v>
      </c>
      <c r="J16" s="10"/>
      <c r="K16" s="10">
        <f>'Segment Detail'!F71</f>
        <v>67.16912912558189</v>
      </c>
      <c r="L16" s="10">
        <f>'Segment Detail'!L71</f>
        <v>284.25440762342168</v>
      </c>
      <c r="M16" s="10">
        <f>'Segment Detail'!O71</f>
        <v>258.7461237</v>
      </c>
      <c r="N16" s="10">
        <f>'Segment Detail'!S71</f>
        <v>174.11974201327507</v>
      </c>
      <c r="O16" s="10">
        <f>'Segment Detail'!Y71</f>
        <v>1007.6000000000001</v>
      </c>
      <c r="P16" s="10">
        <f>'Segment Detail'!Z71</f>
        <v>974.80000000000007</v>
      </c>
      <c r="Q16" s="37">
        <f>'Segment Detail'!AA71</f>
        <v>918.30000000000007</v>
      </c>
      <c r="R16" s="37">
        <f>'Segment Detail'!AB71</f>
        <v>892.9000000000002</v>
      </c>
      <c r="S16" s="37">
        <f>'Segment Detail'!AC71</f>
        <v>787.4</v>
      </c>
      <c r="T16" s="10">
        <f>'Segment Detail'!AD71</f>
        <v>654.39999999999975</v>
      </c>
      <c r="U16" s="10">
        <f>'Segment Detail'!AE71</f>
        <v>520.70000000000016</v>
      </c>
      <c r="V16" s="10"/>
      <c r="W16" s="10">
        <f t="shared" si="2"/>
        <v>654.39999999999975</v>
      </c>
      <c r="X16" s="10">
        <f t="shared" si="3"/>
        <v>520.70000000000016</v>
      </c>
      <c r="Y16" s="10">
        <f>'Segment Detail'!AF71</f>
        <v>292.32365782972215</v>
      </c>
      <c r="Z16" s="37">
        <f>'Segment Detail'!AG71</f>
        <v>405.49374140411487</v>
      </c>
      <c r="AA16" s="10">
        <f>'Segment Detail'!AH71</f>
        <v>383.46000000000004</v>
      </c>
      <c r="AB16" s="10">
        <f>'Segment Detail'!AI71</f>
        <v>400.62</v>
      </c>
      <c r="AC16" s="37">
        <f>'Segment Detail'!AJ71</f>
        <v>396.08000000000004</v>
      </c>
      <c r="AD16" s="2697">
        <f>'Segment Detail'!AK71</f>
        <v>379.11</v>
      </c>
      <c r="AE16" s="2687">
        <f>+AC16</f>
        <v>396.08000000000004</v>
      </c>
      <c r="AF16" s="1626">
        <f>+AD16</f>
        <v>379.11</v>
      </c>
      <c r="AG16" s="2938">
        <f>'Segment Detail'!AL71</f>
        <v>278</v>
      </c>
      <c r="AH16" s="2938">
        <f>'Segment Detail'!AM71</f>
        <v>300</v>
      </c>
      <c r="AI16" s="2939">
        <v>0</v>
      </c>
      <c r="AJ16" s="2938">
        <f>'Segment Detail'!AN71</f>
        <v>0</v>
      </c>
      <c r="AK16" s="2938">
        <f>'Segment Detail'!AO71</f>
        <v>0</v>
      </c>
      <c r="AL16" s="2938">
        <f>'Segment Detail'!AP71</f>
        <v>0</v>
      </c>
      <c r="AM16" s="2938">
        <f>'Segment Detail'!AQ71</f>
        <v>0</v>
      </c>
      <c r="AN16" s="2938">
        <f>'Segment Detail'!AR71</f>
        <v>0</v>
      </c>
      <c r="AO16" s="2938">
        <f>'Segment Detail'!AS71</f>
        <v>0</v>
      </c>
      <c r="AP16" s="2938">
        <f>'Segment Detail'!AT71</f>
        <v>0</v>
      </c>
      <c r="AQ16" s="2938">
        <f>'Segment Detail'!AU71</f>
        <v>0</v>
      </c>
      <c r="AR16" s="2938">
        <f>'Segment Detail'!AV71</f>
        <v>0</v>
      </c>
      <c r="AS16" s="2938">
        <f>'Segment Detail'!AW71</f>
        <v>0</v>
      </c>
      <c r="AT16" s="2938">
        <f>'Segment Detail'!AX71</f>
        <v>0</v>
      </c>
      <c r="AU16" s="2938">
        <f>'Segment Detail'!AY71</f>
        <v>0</v>
      </c>
      <c r="AV16" s="10"/>
      <c r="AW16" s="10"/>
      <c r="AX16" s="10"/>
      <c r="AY16" s="10"/>
      <c r="AZ16" s="10"/>
      <c r="BA16" s="10">
        <f>'Segment Detail'!BF71</f>
        <v>-14.701398094144622</v>
      </c>
      <c r="BB16" s="10">
        <f>'Segment Detail'!BG71</f>
        <v>63.878601905855305</v>
      </c>
      <c r="BC16" s="10">
        <f>'Segment Detail'!BH71</f>
        <v>75.878601905855476</v>
      </c>
      <c r="BD16" s="10">
        <f>'Segment Detail'!BI71</f>
        <v>111.76360190585552</v>
      </c>
      <c r="BE16" s="4"/>
      <c r="BF16" s="10">
        <f>'Segment Detail'!BK71</f>
        <v>51.639749999999992</v>
      </c>
      <c r="BG16" s="10">
        <f>'Segment Detail'!BL71</f>
        <v>127.62745000000001</v>
      </c>
      <c r="BH16" s="10">
        <f>'Segment Detail'!BM71</f>
        <v>125.4297243000002</v>
      </c>
      <c r="BI16" s="10">
        <f>'Segment Detail'!BN71</f>
        <v>156.80474619999978</v>
      </c>
      <c r="BJ16" s="10"/>
      <c r="BK16" s="10">
        <f>'Segment Detail'!BU71</f>
        <v>-9.3235605723883452</v>
      </c>
      <c r="BL16" s="10">
        <f>'Segment Detail'!BV71</f>
        <v>66.069484427611599</v>
      </c>
      <c r="BM16" s="10">
        <f>'Segment Detail'!BW71</f>
        <v>33.60551442761161</v>
      </c>
      <c r="BN16" s="10">
        <f>'Segment Detail'!BX71</f>
        <v>83.990124427611704</v>
      </c>
      <c r="BO16" s="4"/>
      <c r="BP16" s="10">
        <f>'Segment Detail'!BZ71</f>
        <v>189.03093750000002</v>
      </c>
      <c r="BQ16" s="10">
        <f>'Segment Detail'!CA71</f>
        <v>278.63093750000002</v>
      </c>
      <c r="BR16" s="10">
        <f>'Segment Detail'!CB71</f>
        <v>257.93093749999997</v>
      </c>
      <c r="BS16" s="10">
        <f>'Segment Detail'!CC71</f>
        <v>282.00718749999999</v>
      </c>
      <c r="BT16" s="4">
        <f>G16-SUM(BP16:BS16)</f>
        <v>0</v>
      </c>
      <c r="BU16" s="10">
        <f>'Segment Detail'!CE71</f>
        <v>190.60000000000002</v>
      </c>
      <c r="BV16" s="10">
        <f>'Segment Detail'!CF71</f>
        <v>266</v>
      </c>
      <c r="BW16" s="10">
        <f>'Segment Detail'!CG71</f>
        <v>266.2</v>
      </c>
      <c r="BX16" s="10">
        <f>'Segment Detail'!CH71</f>
        <v>252.20000000000002</v>
      </c>
      <c r="BY16" s="4">
        <f>H16-SUM(BU16:BX16)</f>
        <v>-0.19999999999993179</v>
      </c>
      <c r="BZ16" s="10">
        <f>'Segment Detail'!CJ71</f>
        <v>199.20000000000002</v>
      </c>
      <c r="CA16" s="10">
        <f>'Segment Detail'!CK71</f>
        <v>266.5</v>
      </c>
      <c r="CB16" s="10">
        <f>'Segment Detail'!CL71</f>
        <v>221.9</v>
      </c>
      <c r="CC16" s="10">
        <f>'Segment Detail'!CM71</f>
        <v>230.7</v>
      </c>
      <c r="CD16" s="7">
        <f>I16-SUM(BZ16:CC16)</f>
        <v>0</v>
      </c>
      <c r="CE16" s="37">
        <f>'Segment Detail'!CO71</f>
        <v>199.20000000000002</v>
      </c>
      <c r="CF16" s="37">
        <f>'Segment Detail'!CP71</f>
        <v>266.5</v>
      </c>
      <c r="CG16" s="37">
        <f>'Segment Detail'!CQ71</f>
        <v>221.9</v>
      </c>
      <c r="CH16" s="37">
        <f>'Segment Detail'!CR71</f>
        <v>230.7</v>
      </c>
      <c r="CI16" s="8">
        <f>Q16-SUM(CE16:CH16)</f>
        <v>0</v>
      </c>
      <c r="CJ16" s="37">
        <f>'Segment Detail'!CT71</f>
        <v>189.49999999999997</v>
      </c>
      <c r="CK16" s="37">
        <f>'Segment Detail'!CU71</f>
        <v>272.89999999999998</v>
      </c>
      <c r="CL16" s="37">
        <f>'Segment Detail'!CV71</f>
        <v>225.2</v>
      </c>
      <c r="CM16" s="37">
        <f>'Segment Detail'!CW71</f>
        <v>205.29999999999998</v>
      </c>
      <c r="CN16" s="45">
        <f>R16-SUM(CJ16:CM16)</f>
        <v>0</v>
      </c>
      <c r="CO16" s="37">
        <f>'Segment Detail'!CY71</f>
        <v>162.6</v>
      </c>
      <c r="CP16" s="37">
        <f>'Segment Detail'!CZ71</f>
        <v>219.6</v>
      </c>
      <c r="CQ16" s="37">
        <f>'Segment Detail'!DA71</f>
        <v>201.7</v>
      </c>
      <c r="CR16" s="10">
        <f>'Segment Detail'!DB71</f>
        <v>203.5</v>
      </c>
      <c r="CS16" s="857">
        <f>S16-SUM(CO16:CR16)</f>
        <v>0</v>
      </c>
      <c r="CT16" s="37">
        <f>'Segment Detail'!DD71</f>
        <v>153.4</v>
      </c>
      <c r="CU16" s="37">
        <f>'Segment Detail'!DE71</f>
        <v>179.4</v>
      </c>
      <c r="CV16" s="37">
        <f>'Segment Detail'!DF71</f>
        <v>162</v>
      </c>
      <c r="CW16" s="10">
        <f>'Segment Detail'!DG71</f>
        <v>159.6</v>
      </c>
      <c r="CX16" s="48">
        <f>T16-SUM(CT16:CW16)</f>
        <v>0</v>
      </c>
      <c r="CY16" s="37">
        <f>'Segment Detail'!DI71</f>
        <v>125.00000000000001</v>
      </c>
      <c r="CZ16" s="37">
        <f>'Segment Detail'!DJ71</f>
        <v>150.69999999999999</v>
      </c>
      <c r="DA16" s="37">
        <f>'Segment Detail'!DK71</f>
        <v>130.79999999999998</v>
      </c>
      <c r="DB16" s="10">
        <f>'Segment Detail'!DL71</f>
        <v>114.2</v>
      </c>
      <c r="DC16" s="48">
        <f>U16-SUM(CY16:DB16)</f>
        <v>0</v>
      </c>
      <c r="DD16" s="37">
        <f>'Segment Detail'!DN71</f>
        <v>43.7</v>
      </c>
      <c r="DE16" s="37">
        <f>'Segment Detail'!DO71</f>
        <v>86</v>
      </c>
      <c r="DF16" s="37">
        <f>'Segment Detail'!DP71</f>
        <v>82.8</v>
      </c>
      <c r="DG16" s="10">
        <f>'Segment Detail'!DQ71</f>
        <v>79.823657829722094</v>
      </c>
      <c r="DH16" s="42">
        <f>Y16-SUM(DD16:DG16)</f>
        <v>0</v>
      </c>
      <c r="DI16" s="10">
        <f>'Segment Detail'!DS71</f>
        <v>70.099999999999994</v>
      </c>
      <c r="DJ16" s="10">
        <f>'Segment Detail'!DT71</f>
        <v>113.41800000000003</v>
      </c>
      <c r="DK16" s="10">
        <f>'Segment Detail'!DU71</f>
        <v>106.93400000000003</v>
      </c>
      <c r="DL16" s="10">
        <f>'Segment Detail'!DV71</f>
        <v>115.04174140411502</v>
      </c>
      <c r="DM16" s="42">
        <f>Z16-SUM(DI16:DL16)</f>
        <v>0</v>
      </c>
    </row>
    <row r="17" spans="1:117">
      <c r="A17" s="6"/>
      <c r="B17" s="43" t="s">
        <v>676</v>
      </c>
      <c r="C17" s="38"/>
      <c r="D17" s="38">
        <f t="shared" ref="D17:I17" si="16">D16/C16-1</f>
        <v>3.2319203974190156</v>
      </c>
      <c r="E17" s="38">
        <f t="shared" si="16"/>
        <v>-8.9737514139850649E-2</v>
      </c>
      <c r="F17" s="38">
        <f t="shared" si="16"/>
        <v>-0.3270633796425253</v>
      </c>
      <c r="G17" s="38">
        <f t="shared" si="16"/>
        <v>4.7868222658127975</v>
      </c>
      <c r="H17" s="38">
        <f t="shared" si="16"/>
        <v>-3.2552600238189844E-2</v>
      </c>
      <c r="I17" s="38">
        <f t="shared" si="16"/>
        <v>-5.7960607304062384E-2</v>
      </c>
      <c r="J17" s="38"/>
      <c r="K17" s="38"/>
      <c r="L17" s="38">
        <f t="shared" ref="L17:AH17" si="17">L16/K16-1</f>
        <v>3.2319203974190156</v>
      </c>
      <c r="M17" s="38">
        <f t="shared" si="17"/>
        <v>-8.9737514139850649E-2</v>
      </c>
      <c r="N17" s="38">
        <f t="shared" si="17"/>
        <v>-0.3270633796425253</v>
      </c>
      <c r="O17" s="38">
        <f t="shared" si="17"/>
        <v>4.7868222658127975</v>
      </c>
      <c r="P17" s="38">
        <f t="shared" si="17"/>
        <v>-3.2552600238189844E-2</v>
      </c>
      <c r="Q17" s="39">
        <f t="shared" si="17"/>
        <v>-5.7960607304062384E-2</v>
      </c>
      <c r="R17" s="39">
        <f t="shared" si="17"/>
        <v>-2.7659806163563005E-2</v>
      </c>
      <c r="S17" s="39">
        <f t="shared" si="17"/>
        <v>-0.11815432859222785</v>
      </c>
      <c r="T17" s="38">
        <f t="shared" si="17"/>
        <v>-0.16891033782067588</v>
      </c>
      <c r="U17" s="38">
        <f>U16/T16-1</f>
        <v>-0.20430929095354466</v>
      </c>
      <c r="V17" s="38"/>
      <c r="W17" s="38">
        <f t="shared" si="2"/>
        <v>-0.16891033782067588</v>
      </c>
      <c r="X17" s="38">
        <f>X16/W16-1</f>
        <v>-0.20430929095354466</v>
      </c>
      <c r="Y17" s="38">
        <f>Y16/X16-1</f>
        <v>-0.43859485725038971</v>
      </c>
      <c r="Z17" s="38">
        <f t="shared" si="17"/>
        <v>0.38713966708884717</v>
      </c>
      <c r="AA17" s="38">
        <f t="shared" si="17"/>
        <v>-5.4338055447706646E-2</v>
      </c>
      <c r="AB17" s="38">
        <f t="shared" si="17"/>
        <v>4.4750430292598953E-2</v>
      </c>
      <c r="AC17" s="39">
        <f t="shared" si="17"/>
        <v>-1.133243472617429E-2</v>
      </c>
      <c r="AD17" s="2695">
        <f>AD16/AC16-1</f>
        <v>-4.2844879822258153E-2</v>
      </c>
      <c r="AE17" s="2688"/>
      <c r="AF17" s="1110">
        <f>AF16/AE16-1</f>
        <v>-4.2844879822258153E-2</v>
      </c>
      <c r="AG17" s="2802">
        <f>AG16/AF16-1</f>
        <v>-0.26670359526258869</v>
      </c>
      <c r="AH17" s="2802">
        <f t="shared" si="17"/>
        <v>7.9136690647481966E-2</v>
      </c>
      <c r="AI17" s="2940"/>
      <c r="AJ17" s="2802"/>
      <c r="AK17" s="2802"/>
      <c r="AL17" s="2802"/>
      <c r="AM17" s="2802"/>
      <c r="AN17" s="2802"/>
      <c r="AO17" s="2802"/>
      <c r="AP17" s="2802"/>
      <c r="AQ17" s="2802"/>
      <c r="AR17" s="2802"/>
      <c r="AS17" s="2802"/>
      <c r="AT17" s="2802"/>
      <c r="AU17" s="2802"/>
      <c r="AV17" s="38"/>
      <c r="AW17" s="38"/>
      <c r="AX17" s="38"/>
      <c r="AY17" s="38"/>
      <c r="AZ17" s="10"/>
      <c r="BA17" s="38"/>
      <c r="BB17" s="38"/>
      <c r="BC17" s="38"/>
      <c r="BD17" s="38"/>
      <c r="BE17" s="4"/>
      <c r="BF17" s="38"/>
      <c r="BG17" s="38"/>
      <c r="BH17" s="38"/>
      <c r="BI17" s="38"/>
      <c r="BJ17" s="10"/>
      <c r="BK17" s="38"/>
      <c r="BL17" s="38"/>
      <c r="BM17" s="38"/>
      <c r="BN17" s="38"/>
      <c r="BO17" s="4"/>
      <c r="BP17" s="38"/>
      <c r="BQ17" s="38"/>
      <c r="BR17" s="38"/>
      <c r="BS17" s="38"/>
      <c r="BT17" s="4"/>
      <c r="BU17" s="38"/>
      <c r="BV17" s="38"/>
      <c r="BW17" s="38"/>
      <c r="BX17" s="38"/>
      <c r="BY17" s="4"/>
      <c r="BZ17" s="38"/>
      <c r="CA17" s="38"/>
      <c r="CB17" s="38"/>
      <c r="CC17" s="38"/>
      <c r="CD17" s="7"/>
      <c r="CE17" s="39"/>
      <c r="CF17" s="39"/>
      <c r="CG17" s="39"/>
      <c r="CH17" s="39"/>
      <c r="CI17" s="8"/>
      <c r="CJ17" s="39">
        <f>CJ16/CE16-1</f>
        <v>-4.8694779116466136E-2</v>
      </c>
      <c r="CK17" s="39">
        <f>CK16/CF16-1</f>
        <v>2.4015009380862873E-2</v>
      </c>
      <c r="CL17" s="39">
        <f>CL16/CG16-1</f>
        <v>1.4871563767462792E-2</v>
      </c>
      <c r="CM17" s="39">
        <f>CM16/CH16-1</f>
        <v>-0.11009969657563934</v>
      </c>
      <c r="CN17" s="44"/>
      <c r="CO17" s="39">
        <f>CO16/CJ16-1</f>
        <v>-0.14195250659630598</v>
      </c>
      <c r="CP17" s="39">
        <f>CP16/CK16-1</f>
        <v>-0.19530963722975447</v>
      </c>
      <c r="CQ17" s="39">
        <f>CQ16/CL16-1</f>
        <v>-0.10435168738898759</v>
      </c>
      <c r="CR17" s="38">
        <f>CR16/CM16-1</f>
        <v>-8.7676570871894066E-3</v>
      </c>
      <c r="CS17" s="856"/>
      <c r="CT17" s="39">
        <f>CT16/CO16-1</f>
        <v>-5.6580565805657956E-2</v>
      </c>
      <c r="CU17" s="39">
        <f>CU16/CP16-1</f>
        <v>-0.18306010928961747</v>
      </c>
      <c r="CV17" s="39">
        <f>CV16/CQ16-1</f>
        <v>-0.19682697074863653</v>
      </c>
      <c r="CW17" s="38">
        <f>CW16/CR16-1</f>
        <v>-0.21572481572481572</v>
      </c>
      <c r="CX17" s="6"/>
      <c r="CY17" s="39">
        <f>CY16/CT16-1</f>
        <v>-0.18513689700130376</v>
      </c>
      <c r="CZ17" s="39">
        <f>CZ16/CU16-1</f>
        <v>-0.1599777034559644</v>
      </c>
      <c r="DA17" s="39">
        <f>DA16/CV16-1</f>
        <v>-0.19259259259259265</v>
      </c>
      <c r="DB17" s="38">
        <f>DB16/CW16-1</f>
        <v>-0.28446115288220553</v>
      </c>
      <c r="DC17" s="6"/>
      <c r="DD17" s="39">
        <f>DD16/CY16-1</f>
        <v>-0.65040000000000009</v>
      </c>
      <c r="DE17" s="39">
        <f>DE16/CZ16-1</f>
        <v>-0.42932979429329787</v>
      </c>
      <c r="DF17" s="39">
        <f>DF16/DA16-1</f>
        <v>-0.36697247706422009</v>
      </c>
      <c r="DG17" s="38">
        <f>DG16/DB16-1</f>
        <v>-0.30101875805847556</v>
      </c>
      <c r="DH17" s="6"/>
      <c r="DI17" s="39">
        <f>DI16/DD16-1</f>
        <v>0.60411899313501127</v>
      </c>
      <c r="DJ17" s="39">
        <f>DJ16/DE16-1</f>
        <v>0.31881395348837249</v>
      </c>
      <c r="DK17" s="39">
        <f>DK16/DF16-1</f>
        <v>0.29147342995169123</v>
      </c>
      <c r="DL17" s="38">
        <f>DL16/DG16-1</f>
        <v>0.44119856859377826</v>
      </c>
    </row>
    <row r="18" spans="1:117">
      <c r="A18" s="36"/>
      <c r="B18" s="43" t="s">
        <v>690</v>
      </c>
      <c r="C18" s="38">
        <f t="shared" ref="C18:I18" si="18">C16/C7</f>
        <v>4.0683906193568681E-2</v>
      </c>
      <c r="D18" s="38">
        <f t="shared" si="18"/>
        <v>0.13927212524420465</v>
      </c>
      <c r="E18" s="38">
        <f t="shared" si="18"/>
        <v>0.11310091139063227</v>
      </c>
      <c r="F18" s="38">
        <f t="shared" si="18"/>
        <v>8.4451707675337773E-2</v>
      </c>
      <c r="G18" s="38">
        <f t="shared" si="18"/>
        <v>0.47492458521870295</v>
      </c>
      <c r="H18" s="38">
        <f t="shared" si="18"/>
        <v>0.46472158657513352</v>
      </c>
      <c r="I18" s="38">
        <f t="shared" si="18"/>
        <v>0.43809932732216977</v>
      </c>
      <c r="J18" s="38"/>
      <c r="K18" s="38">
        <f t="shared" ref="K18:AH18" si="19">K16/K7</f>
        <v>4.0683906193568681E-2</v>
      </c>
      <c r="L18" s="38">
        <f t="shared" si="19"/>
        <v>0.13927212524420465</v>
      </c>
      <c r="M18" s="38">
        <f t="shared" si="19"/>
        <v>0.11310091139063227</v>
      </c>
      <c r="N18" s="38">
        <f t="shared" si="19"/>
        <v>8.4451707675337773E-2</v>
      </c>
      <c r="O18" s="38">
        <f t="shared" si="19"/>
        <v>0.47492458521870295</v>
      </c>
      <c r="P18" s="38">
        <f t="shared" si="19"/>
        <v>0.46472158657513352</v>
      </c>
      <c r="Q18" s="39">
        <f t="shared" si="19"/>
        <v>0.43809932732216977</v>
      </c>
      <c r="R18" s="39">
        <f t="shared" si="19"/>
        <v>0.42221486665405716</v>
      </c>
      <c r="S18" s="39">
        <f t="shared" si="19"/>
        <v>0.40175519159140771</v>
      </c>
      <c r="T18" s="38">
        <f t="shared" si="19"/>
        <v>0.37315390317614178</v>
      </c>
      <c r="U18" s="38">
        <f t="shared" si="19"/>
        <v>0.33831459944123199</v>
      </c>
      <c r="V18" s="38"/>
      <c r="W18" s="38">
        <f t="shared" si="2"/>
        <v>0.37315390317614178</v>
      </c>
      <c r="X18" s="38">
        <f t="shared" si="3"/>
        <v>0.33831459944123199</v>
      </c>
      <c r="Y18" s="38">
        <f t="shared" si="19"/>
        <v>0.23913911798897425</v>
      </c>
      <c r="Z18" s="38">
        <f t="shared" si="19"/>
        <v>0.30343333298720315</v>
      </c>
      <c r="AA18" s="38">
        <f t="shared" si="19"/>
        <v>0.28612147440680497</v>
      </c>
      <c r="AB18" s="38">
        <f t="shared" si="19"/>
        <v>0.30502512562814066</v>
      </c>
      <c r="AC18" s="39">
        <f t="shared" si="19"/>
        <v>0.30318432333129214</v>
      </c>
      <c r="AD18" s="2695">
        <f t="shared" si="19"/>
        <v>0.29095165003837298</v>
      </c>
      <c r="AE18" s="2688">
        <f t="shared" si="19"/>
        <v>0.30318432333129214</v>
      </c>
      <c r="AF18" s="1110">
        <f t="shared" si="19"/>
        <v>0.29095165003837298</v>
      </c>
      <c r="AG18" s="2802">
        <f t="shared" si="19"/>
        <v>0.22564935064935066</v>
      </c>
      <c r="AH18" s="2802">
        <f t="shared" si="19"/>
        <v>0.24590163934426229</v>
      </c>
      <c r="AI18" s="2940"/>
      <c r="AJ18" s="2802"/>
      <c r="AK18" s="2802"/>
      <c r="AL18" s="2802"/>
      <c r="AM18" s="2802"/>
      <c r="AN18" s="2802"/>
      <c r="AO18" s="2802"/>
      <c r="AP18" s="2802"/>
      <c r="AQ18" s="2802"/>
      <c r="AR18" s="2802"/>
      <c r="AS18" s="2802"/>
      <c r="AT18" s="2802"/>
      <c r="AU18" s="2802"/>
      <c r="AV18" s="38"/>
      <c r="AW18" s="38"/>
      <c r="AX18" s="38"/>
      <c r="AY18" s="38"/>
      <c r="AZ18" s="6"/>
      <c r="BA18" s="38">
        <f>BA16/BA7</f>
        <v>-4.0277802997656501E-2</v>
      </c>
      <c r="BB18" s="38">
        <f>BB16/BB7</f>
        <v>0.13802636539726729</v>
      </c>
      <c r="BC18" s="38">
        <f>BC16/BC7</f>
        <v>0.15914470082395912</v>
      </c>
      <c r="BD18" s="38">
        <f>BD16/BD7</f>
        <v>0.2105108942014472</v>
      </c>
      <c r="BE18" s="4"/>
      <c r="BF18" s="38">
        <f>BF16/BF7</f>
        <v>0.10427722448386158</v>
      </c>
      <c r="BG18" s="38">
        <f>BG16/BG7</f>
        <v>0.21685812967467916</v>
      </c>
      <c r="BH18" s="38">
        <f>BH16/BH7</f>
        <v>0.21295369151103599</v>
      </c>
      <c r="BI18" s="38">
        <f>BI16/BI7</f>
        <v>0.25496706699186955</v>
      </c>
      <c r="BJ18" s="6"/>
      <c r="BK18" s="38">
        <f>BK16/BK7</f>
        <v>-2.0407296994028823E-2</v>
      </c>
      <c r="BL18" s="38">
        <f>BL16/BL7</f>
        <v>0.12027495397744779</v>
      </c>
      <c r="BM18" s="38">
        <f>BM16/BM7</f>
        <v>6.8544531560120109E-2</v>
      </c>
      <c r="BN18" s="38">
        <f>BN16/BN7</f>
        <v>0.14857619746614489</v>
      </c>
      <c r="BO18" s="4"/>
      <c r="BP18" s="38">
        <f>BP16/BP7</f>
        <v>0.41885871371593181</v>
      </c>
      <c r="BQ18" s="38">
        <f>BQ16/BQ7</f>
        <v>0.49245482060798873</v>
      </c>
      <c r="BR18" s="38">
        <f>BR16/BR7</f>
        <v>0.47835856361275952</v>
      </c>
      <c r="BS18" s="38">
        <f>BS16/BS7</f>
        <v>0.49886288254024413</v>
      </c>
      <c r="BT18" s="4"/>
      <c r="BU18" s="38">
        <f>BU16/BU7</f>
        <v>0.42947273546642634</v>
      </c>
      <c r="BV18" s="38">
        <f>BV16/BV7</f>
        <v>0.48275862068965519</v>
      </c>
      <c r="BW18" s="38">
        <f>BW16/BW7</f>
        <v>0.48250860975167659</v>
      </c>
      <c r="BX18" s="38">
        <f>BX16/BX7</f>
        <v>0.45763019415714029</v>
      </c>
      <c r="BY18" s="4"/>
      <c r="BZ18" s="38">
        <f>BZ16/BZ7</f>
        <v>0.43770599868160848</v>
      </c>
      <c r="CA18" s="38">
        <f>CA16/CA7</f>
        <v>0.47479066452877255</v>
      </c>
      <c r="CB18" s="38">
        <f>CB16/CB7</f>
        <v>0.4192329491781599</v>
      </c>
      <c r="CC18" s="38">
        <f>CC16/CC7</f>
        <v>0.41914970930232559</v>
      </c>
      <c r="CD18" s="7"/>
      <c r="CE18" s="39">
        <f>CE16/CE7</f>
        <v>0.43770599868160848</v>
      </c>
      <c r="CF18" s="39">
        <f>CF16/CF7</f>
        <v>0.47479066452877255</v>
      </c>
      <c r="CG18" s="39">
        <f>CG16/CG7</f>
        <v>0.4192329491781599</v>
      </c>
      <c r="CH18" s="39">
        <f>CH16/CH7</f>
        <v>0.41914970930232559</v>
      </c>
      <c r="CI18" s="8"/>
      <c r="CJ18" s="39">
        <f>CJ16/CJ7</f>
        <v>0.40946413137424365</v>
      </c>
      <c r="CK18" s="39">
        <f>CK16/CK7</f>
        <v>0.48172992056487196</v>
      </c>
      <c r="CL18" s="39">
        <f>CL16/CL7</f>
        <v>0.41549815498154979</v>
      </c>
      <c r="CM18" s="39">
        <f>CM16/CM7</f>
        <v>0.37773689052437898</v>
      </c>
      <c r="CN18" s="44"/>
      <c r="CO18" s="39">
        <f>CO16/CO7</f>
        <v>0.37422324510932103</v>
      </c>
      <c r="CP18" s="39">
        <f>CP16/CP7</f>
        <v>0.42303987670968984</v>
      </c>
      <c r="CQ18" s="39">
        <f>CQ16/CQ7</f>
        <v>0.39696910057075374</v>
      </c>
      <c r="CR18" s="38">
        <f>CR16/CR7</f>
        <v>0.40847049377759936</v>
      </c>
      <c r="CS18" s="856"/>
      <c r="CT18" s="39">
        <f>CT16/CT7</f>
        <v>0.38591194968553461</v>
      </c>
      <c r="CU18" s="39">
        <f>CU16/CU7</f>
        <v>0.38713854121709107</v>
      </c>
      <c r="CV18" s="39">
        <f>CV16/CV7</f>
        <v>0.36347318824321295</v>
      </c>
      <c r="CW18" s="38">
        <f>CW16/CW7</f>
        <v>0.35696712144934017</v>
      </c>
      <c r="CX18" s="6"/>
      <c r="CY18" s="39">
        <f>CY16/CY7</f>
        <v>0.34387895460797802</v>
      </c>
      <c r="CZ18" s="39">
        <f>CZ16/CZ7</f>
        <v>0.36191162343900096</v>
      </c>
      <c r="DA18" s="39">
        <f>DA16/DA7</f>
        <v>0.33324840764331204</v>
      </c>
      <c r="DB18" s="38">
        <f>DB16/DB7</f>
        <v>0.31142623397872921</v>
      </c>
      <c r="DC18" s="6"/>
      <c r="DD18" s="39">
        <f>DD16/DD7</f>
        <v>0.16827108201771276</v>
      </c>
      <c r="DE18" s="39">
        <f>DE16/DE7</f>
        <v>0.26708074534161491</v>
      </c>
      <c r="DF18" s="39">
        <f>DF16/DF7</f>
        <v>0.25964252116650988</v>
      </c>
      <c r="DG18" s="38">
        <f>DG16/DG7</f>
        <v>0.24805362905445025</v>
      </c>
      <c r="DH18" s="6"/>
      <c r="DI18" s="39">
        <f>DI16/DI7</f>
        <v>0.2479660417403608</v>
      </c>
      <c r="DJ18" s="39">
        <f>DJ16/DJ7</f>
        <v>0.33328827505142533</v>
      </c>
      <c r="DK18" s="39">
        <f>DK16/DK7</f>
        <v>0.30861183261183267</v>
      </c>
      <c r="DL18" s="38">
        <f>DL16/DL7</f>
        <v>0.31359169748049631</v>
      </c>
    </row>
    <row r="19" spans="1:117" ht="5.0999999999999996" customHeight="1">
      <c r="A19" s="36"/>
      <c r="B19" s="43"/>
      <c r="C19" s="6"/>
      <c r="D19" s="13"/>
      <c r="E19" s="13"/>
      <c r="F19" s="13"/>
      <c r="G19" s="38"/>
      <c r="H19" s="38"/>
      <c r="I19" s="38"/>
      <c r="J19" s="38"/>
      <c r="K19" s="38"/>
      <c r="L19" s="38"/>
      <c r="M19" s="38"/>
      <c r="N19" s="38"/>
      <c r="O19" s="38"/>
      <c r="P19" s="38"/>
      <c r="Q19" s="39"/>
      <c r="R19" s="39"/>
      <c r="S19" s="11"/>
      <c r="T19" s="6"/>
      <c r="U19" s="6"/>
      <c r="V19" s="6"/>
      <c r="W19" s="6"/>
      <c r="X19" s="6"/>
      <c r="Y19" s="6"/>
      <c r="Z19" s="6"/>
      <c r="AA19" s="6"/>
      <c r="AB19" s="6"/>
      <c r="AC19" s="11"/>
      <c r="AD19" s="2684"/>
      <c r="AE19" s="2686"/>
      <c r="AF19" s="1108"/>
      <c r="AG19" s="2862"/>
      <c r="AH19" s="2862"/>
      <c r="AI19" s="2942"/>
      <c r="AJ19" s="2862"/>
      <c r="AK19" s="2862"/>
      <c r="AL19" s="2862"/>
      <c r="AM19" s="2862"/>
      <c r="AN19" s="2862"/>
      <c r="AO19" s="2862"/>
      <c r="AP19" s="2862"/>
      <c r="AQ19" s="2862"/>
      <c r="AR19" s="2862"/>
      <c r="AS19" s="2862"/>
      <c r="AT19" s="2862"/>
      <c r="AU19" s="2862"/>
      <c r="AV19" s="6"/>
      <c r="AW19" s="6"/>
      <c r="AX19" s="6"/>
      <c r="AY19" s="6"/>
      <c r="AZ19" s="6"/>
      <c r="BA19" s="6"/>
      <c r="BB19" s="6"/>
      <c r="BC19" s="6"/>
      <c r="BD19" s="6"/>
      <c r="BE19" s="4"/>
      <c r="BF19" s="6"/>
      <c r="BG19" s="6"/>
      <c r="BH19" s="6"/>
      <c r="BI19" s="6"/>
      <c r="BJ19" s="6"/>
      <c r="BK19" s="6"/>
      <c r="BL19" s="6"/>
      <c r="BM19" s="6"/>
      <c r="BN19" s="6"/>
      <c r="BO19" s="4"/>
      <c r="BP19" s="6"/>
      <c r="BQ19" s="6"/>
      <c r="BR19" s="6"/>
      <c r="BS19" s="6"/>
      <c r="BT19" s="4"/>
      <c r="BU19" s="51"/>
      <c r="BV19" s="52"/>
      <c r="BW19" s="52"/>
      <c r="BX19" s="52"/>
      <c r="BY19" s="4"/>
      <c r="BZ19" s="6"/>
      <c r="CA19" s="6"/>
      <c r="CB19" s="6"/>
      <c r="CC19" s="6"/>
      <c r="CD19" s="7"/>
      <c r="CE19" s="11"/>
      <c r="CF19" s="11"/>
      <c r="CG19" s="11"/>
      <c r="CH19" s="11"/>
      <c r="CI19" s="8"/>
      <c r="CJ19" s="11"/>
      <c r="CK19" s="11"/>
      <c r="CL19" s="11"/>
      <c r="CM19" s="11"/>
      <c r="CN19" s="44"/>
      <c r="CO19" s="11"/>
      <c r="CP19" s="11"/>
      <c r="CQ19" s="11"/>
      <c r="CR19" s="6"/>
      <c r="CS19" s="856"/>
      <c r="CT19" s="6"/>
      <c r="CU19" s="6"/>
      <c r="CV19" s="6"/>
      <c r="CW19" s="6"/>
      <c r="CX19" s="6"/>
      <c r="CY19" s="6"/>
      <c r="CZ19" s="6"/>
      <c r="DA19" s="6"/>
      <c r="DB19" s="6"/>
      <c r="DC19" s="6"/>
      <c r="DD19" s="6"/>
      <c r="DE19" s="6"/>
      <c r="DF19" s="6"/>
      <c r="DG19" s="6"/>
      <c r="DH19" s="6"/>
    </row>
    <row r="20" spans="1:117">
      <c r="A20" s="36" t="s">
        <v>1055</v>
      </c>
      <c r="B20" s="6"/>
      <c r="C20" s="6"/>
      <c r="D20" s="37"/>
      <c r="E20" s="6"/>
      <c r="F20" s="6"/>
      <c r="G20" s="6"/>
      <c r="H20" s="6"/>
      <c r="I20" s="6"/>
      <c r="J20" s="38"/>
      <c r="K20" s="6"/>
      <c r="L20" s="6"/>
      <c r="M20" s="6"/>
      <c r="N20" s="6"/>
      <c r="O20" s="6"/>
      <c r="P20" s="6"/>
      <c r="Q20" s="39"/>
      <c r="R20" s="53"/>
      <c r="S20" s="11"/>
      <c r="T20" s="6"/>
      <c r="U20" s="6"/>
      <c r="V20" s="6"/>
      <c r="W20" s="6"/>
      <c r="X20" s="10"/>
      <c r="Y20" s="10"/>
      <c r="Z20" s="10"/>
      <c r="AA20" s="6"/>
      <c r="AB20" s="10"/>
      <c r="AC20" s="11"/>
      <c r="AD20" s="2684"/>
      <c r="AE20" s="2686"/>
      <c r="AF20" s="1108"/>
      <c r="AG20" s="2862"/>
      <c r="AH20" s="2862"/>
      <c r="AI20" s="2942"/>
      <c r="AJ20" s="2862"/>
      <c r="AK20" s="2862"/>
      <c r="AL20" s="2862"/>
      <c r="AM20" s="2862"/>
      <c r="AN20" s="2862"/>
      <c r="AO20" s="2862"/>
      <c r="AP20" s="2862"/>
      <c r="AQ20" s="2862"/>
      <c r="AR20" s="2862"/>
      <c r="AS20" s="2862"/>
      <c r="AT20" s="2862"/>
      <c r="AU20" s="2862"/>
      <c r="AV20" s="6"/>
      <c r="AW20" s="6"/>
      <c r="AX20" s="6"/>
      <c r="AY20" s="6"/>
      <c r="AZ20" s="6"/>
      <c r="BA20" s="6"/>
      <c r="BB20" s="6"/>
      <c r="BC20" s="6"/>
      <c r="BD20" s="6"/>
      <c r="BE20" s="4"/>
      <c r="BF20" s="6"/>
      <c r="BG20" s="6"/>
      <c r="BH20" s="6"/>
      <c r="BI20" s="6"/>
      <c r="BJ20" s="6"/>
      <c r="BK20" s="6"/>
      <c r="BL20" s="6"/>
      <c r="BM20" s="6"/>
      <c r="BN20" s="6"/>
      <c r="BO20" s="4"/>
      <c r="BP20" s="6"/>
      <c r="BQ20" s="6"/>
      <c r="BR20" s="6"/>
      <c r="BS20" s="6"/>
      <c r="BT20" s="4"/>
      <c r="BU20" s="38"/>
      <c r="BV20" s="6"/>
      <c r="BW20" s="6"/>
      <c r="BX20" s="6"/>
      <c r="BY20" s="4"/>
      <c r="BZ20" s="6"/>
      <c r="CA20" s="6"/>
      <c r="CB20" s="6"/>
      <c r="CC20" s="6"/>
      <c r="CD20" s="7"/>
      <c r="CE20" s="11"/>
      <c r="CF20" s="11"/>
      <c r="CG20" s="11"/>
      <c r="CH20" s="11"/>
      <c r="CI20" s="8"/>
      <c r="CJ20" s="11"/>
      <c r="CK20" s="11"/>
      <c r="CL20" s="11"/>
      <c r="CM20" s="11"/>
      <c r="CN20" s="44"/>
      <c r="CO20" s="37"/>
      <c r="CP20" s="11"/>
      <c r="CQ20" s="11"/>
      <c r="CR20" s="6"/>
      <c r="CS20" s="856"/>
      <c r="CT20" s="6"/>
      <c r="CU20" s="52"/>
      <c r="CV20" s="6"/>
      <c r="CW20" s="6"/>
      <c r="CX20" s="6"/>
      <c r="CY20" s="6"/>
      <c r="CZ20" s="52"/>
      <c r="DA20" s="6"/>
      <c r="DB20" s="6"/>
      <c r="DC20" s="6"/>
      <c r="DD20" s="6"/>
      <c r="DE20" s="6"/>
      <c r="DF20" s="11"/>
      <c r="DG20" s="6"/>
      <c r="DH20" s="6"/>
    </row>
    <row r="21" spans="1:117">
      <c r="A21" s="6"/>
      <c r="B21" s="6" t="s">
        <v>738</v>
      </c>
      <c r="C21" s="10">
        <f>'Segment Detail'!E43</f>
        <v>1358</v>
      </c>
      <c r="D21" s="10">
        <f>'Segment Detail'!K43</f>
        <v>1546</v>
      </c>
      <c r="E21" s="10">
        <f>'Segment Detail'!N43</f>
        <v>1679.7543000000001</v>
      </c>
      <c r="F21" s="10">
        <f>'Segment Detail'!R43</f>
        <v>1624.2243232722712</v>
      </c>
      <c r="G21" s="10">
        <f>'Segment Detail'!T43</f>
        <v>1633.5</v>
      </c>
      <c r="H21" s="10">
        <f>'Segment Detail'!U43</f>
        <v>1748.3000000000002</v>
      </c>
      <c r="I21" s="10">
        <f>'Segment Detail'!X43</f>
        <v>1880.2</v>
      </c>
      <c r="J21" s="10"/>
      <c r="K21" s="10">
        <f>'Segment Detail'!F43</f>
        <v>1358</v>
      </c>
      <c r="L21" s="10">
        <f>'Segment Detail'!L43</f>
        <v>1546</v>
      </c>
      <c r="M21" s="10">
        <f>'Segment Detail'!O43</f>
        <v>1679.7543000000001</v>
      </c>
      <c r="N21" s="10">
        <f>'Segment Detail'!S43</f>
        <v>1624.2243232722712</v>
      </c>
      <c r="O21" s="10">
        <f>'Segment Detail'!Y43</f>
        <v>1633.5</v>
      </c>
      <c r="P21" s="10">
        <f>'Segment Detail'!Z43</f>
        <v>1748.3000000000002</v>
      </c>
      <c r="Q21" s="37">
        <f>'Segment Detail'!AA43</f>
        <v>1880.2</v>
      </c>
      <c r="R21" s="37">
        <f>'Segment Detail'!AB43</f>
        <v>1949.3</v>
      </c>
      <c r="S21" s="37">
        <f>'Segment Detail'!AC43</f>
        <v>2103.4</v>
      </c>
      <c r="T21" s="10">
        <f>'Segment Detail'!AD43</f>
        <v>2187.3000000000002</v>
      </c>
      <c r="U21" s="10">
        <f>'Segment Detail'!AE43</f>
        <v>2170.6</v>
      </c>
      <c r="V21" s="10"/>
      <c r="W21" s="10">
        <f>T21</f>
        <v>2187.3000000000002</v>
      </c>
      <c r="X21" s="10">
        <f>U21</f>
        <v>2170.6</v>
      </c>
      <c r="Y21" s="10">
        <f>'Segment Detail'!AF43</f>
        <v>1722.6000000000001</v>
      </c>
      <c r="Z21" s="10">
        <f>'Segment Detail'!AG43</f>
        <v>1819.2</v>
      </c>
      <c r="AA21" s="10">
        <f>'Segment Detail'!AH43</f>
        <v>1286</v>
      </c>
      <c r="AB21" s="10">
        <f>'Segment Detail'!AI43</f>
        <v>1284.5999999999999</v>
      </c>
      <c r="AC21" s="37">
        <f>'Segment Detail'!AJ43</f>
        <v>1304</v>
      </c>
      <c r="AD21" s="2697"/>
      <c r="AE21" s="2687"/>
      <c r="AF21" s="1626"/>
      <c r="AG21" s="2938"/>
      <c r="AH21" s="2938"/>
      <c r="AI21" s="2939"/>
      <c r="AJ21" s="2938"/>
      <c r="AK21" s="2938"/>
      <c r="AL21" s="2938"/>
      <c r="AM21" s="2938"/>
      <c r="AN21" s="2938"/>
      <c r="AO21" s="2938"/>
      <c r="AP21" s="2938"/>
      <c r="AQ21" s="2938"/>
      <c r="AR21" s="2938"/>
      <c r="AS21" s="2938"/>
      <c r="AT21" s="2938"/>
      <c r="AU21" s="2938"/>
      <c r="AV21" s="10"/>
      <c r="AW21" s="10"/>
      <c r="AX21" s="10"/>
      <c r="AY21" s="10"/>
      <c r="AZ21" s="10"/>
      <c r="BA21" s="10">
        <f>'Segment Detail'!BF43</f>
        <v>368.4</v>
      </c>
      <c r="BB21" s="10">
        <f>'Segment Detail'!BG43</f>
        <v>442.4</v>
      </c>
      <c r="BC21" s="10">
        <f>'Segment Detail'!BH43</f>
        <v>445.01</v>
      </c>
      <c r="BD21" s="10">
        <f>'Segment Detail'!BI43</f>
        <v>471.0840000000004</v>
      </c>
      <c r="BE21" s="4"/>
      <c r="BF21" s="10">
        <f>'Segment Detail'!BK43</f>
        <v>373.584</v>
      </c>
      <c r="BG21" s="10">
        <f>'Segment Detail'!BL43</f>
        <v>442.17030000000011</v>
      </c>
      <c r="BH21" s="10">
        <f>'Segment Detail'!BM43</f>
        <v>424.5</v>
      </c>
      <c r="BI21" s="10">
        <f>'Segment Detail'!BN43</f>
        <v>439.5</v>
      </c>
      <c r="BJ21" s="10"/>
      <c r="BK21" s="10">
        <f>'Segment Detail'!BU43</f>
        <v>378.02613889451305</v>
      </c>
      <c r="BL21" s="10">
        <f>'Segment Detail'!BV43</f>
        <v>435.5796116504855</v>
      </c>
      <c r="BM21" s="10">
        <f>'Segment Detail'!BW43</f>
        <v>419.7272727272728</v>
      </c>
      <c r="BN21" s="10">
        <f>'Segment Detail'!BX43</f>
        <v>390.8913</v>
      </c>
      <c r="BO21" s="4"/>
      <c r="BP21" s="10">
        <f>'Segment Detail'!BZ43</f>
        <v>348.2</v>
      </c>
      <c r="BQ21" s="10">
        <f>'Segment Detail'!CA43</f>
        <v>423.3</v>
      </c>
      <c r="BR21" s="10">
        <f>'Segment Detail'!CB43</f>
        <v>429</v>
      </c>
      <c r="BS21" s="10">
        <f>'Segment Detail'!CC43</f>
        <v>433</v>
      </c>
      <c r="BT21" s="4">
        <f>G21-SUM(BP21:BS21)</f>
        <v>0</v>
      </c>
      <c r="BU21" s="10">
        <f>'Segment Detail'!CE43</f>
        <v>378.3</v>
      </c>
      <c r="BV21" s="10">
        <f>'Segment Detail'!CF43</f>
        <v>462.4</v>
      </c>
      <c r="BW21" s="10">
        <f>'Segment Detail'!CG43</f>
        <v>434.6</v>
      </c>
      <c r="BX21" s="10">
        <f>'Segment Detail'!CH43</f>
        <v>473</v>
      </c>
      <c r="BY21" s="4">
        <f>H21-SUM(BU21:BX21)</f>
        <v>0</v>
      </c>
      <c r="BZ21" s="10">
        <f>'Segment Detail'!CJ43</f>
        <v>403.3</v>
      </c>
      <c r="CA21" s="10">
        <f>'Segment Detail'!CK43</f>
        <v>484</v>
      </c>
      <c r="CB21" s="10">
        <f>'Segment Detail'!CL43</f>
        <v>478.7</v>
      </c>
      <c r="CC21" s="10">
        <f>'Segment Detail'!CM43</f>
        <v>514.20000000000005</v>
      </c>
      <c r="CD21" s="7">
        <f>I21-SUM(BZ21:CC21)</f>
        <v>0</v>
      </c>
      <c r="CE21" s="37">
        <f>'Segment Detail'!CO43</f>
        <v>403.3</v>
      </c>
      <c r="CF21" s="37">
        <f>'Segment Detail'!CP43</f>
        <v>484</v>
      </c>
      <c r="CG21" s="37">
        <f>'Segment Detail'!CQ43</f>
        <v>478.7</v>
      </c>
      <c r="CH21" s="37">
        <f>'Segment Detail'!CR43</f>
        <v>514.20000000000005</v>
      </c>
      <c r="CI21" s="8">
        <f>Q21-SUM(CE21:CH21)</f>
        <v>0</v>
      </c>
      <c r="CJ21" s="37">
        <f>'Segment Detail'!CT43</f>
        <v>429.1</v>
      </c>
      <c r="CK21" s="37">
        <f>'Segment Detail'!CU43</f>
        <v>499.3</v>
      </c>
      <c r="CL21" s="37">
        <f>'Segment Detail'!CV43</f>
        <v>493.5</v>
      </c>
      <c r="CM21" s="37">
        <f>'Segment Detail'!CW43</f>
        <v>527.4</v>
      </c>
      <c r="CN21" s="45">
        <f>R21-SUM(CJ21:CM21)</f>
        <v>0</v>
      </c>
      <c r="CO21" s="37">
        <f>'Segment Detail'!CY43</f>
        <v>452.2</v>
      </c>
      <c r="CP21" s="37">
        <f>'Segment Detail'!CZ43</f>
        <v>534.4</v>
      </c>
      <c r="CQ21" s="37">
        <f>'Segment Detail'!DA43</f>
        <v>536.20000000000005</v>
      </c>
      <c r="CR21" s="10">
        <f>'Segment Detail'!DB43</f>
        <v>580.6</v>
      </c>
      <c r="CS21" s="857">
        <f>S21-SUM(CO21:CR21)</f>
        <v>0</v>
      </c>
      <c r="CT21" s="37">
        <f>'Segment Detail'!DD43</f>
        <v>462.3</v>
      </c>
      <c r="CU21" s="37">
        <f>'Segment Detail'!DE43</f>
        <v>554.20000000000005</v>
      </c>
      <c r="CV21" s="37">
        <f>'Segment Detail'!DF43</f>
        <v>552.20000000000005</v>
      </c>
      <c r="CW21" s="10">
        <f>'Segment Detail'!DG43</f>
        <v>618.6</v>
      </c>
      <c r="CX21" s="48">
        <f>T21-SUM(CT21:CW21)</f>
        <v>0</v>
      </c>
      <c r="CY21" s="37">
        <f>'Segment Detail'!DI43</f>
        <v>496.9</v>
      </c>
      <c r="CZ21" s="37">
        <f>'Segment Detail'!DJ43</f>
        <v>598.1</v>
      </c>
      <c r="DA21" s="37">
        <f>'Segment Detail'!DK43</f>
        <v>549.29999999999995</v>
      </c>
      <c r="DB21" s="10">
        <f>'Segment Detail'!DL43</f>
        <v>526.29999999999995</v>
      </c>
      <c r="DC21" s="48">
        <f>U21-SUM(CY21:DB21)</f>
        <v>0</v>
      </c>
      <c r="DD21" s="37">
        <f>'Segment Detail'!DN43</f>
        <v>379.9</v>
      </c>
      <c r="DE21" s="37">
        <f>'Segment Detail'!DO43</f>
        <v>434.1</v>
      </c>
      <c r="DF21" s="37">
        <f>'Segment Detail'!DP43</f>
        <v>424.9</v>
      </c>
      <c r="DG21" s="10">
        <f>'Segment Detail'!DQ43</f>
        <v>483.7</v>
      </c>
      <c r="DH21" s="42">
        <f>Y21-SUM(DD21:DG21)</f>
        <v>0</v>
      </c>
      <c r="DI21" s="10">
        <f>Drivers!BQ142</f>
        <v>392.2</v>
      </c>
      <c r="DJ21" s="10">
        <f>Drivers!BR142</f>
        <v>456.3</v>
      </c>
      <c r="DK21" s="10">
        <f>Drivers!BS142</f>
        <v>459.7</v>
      </c>
      <c r="DL21" s="10">
        <f>Drivers!BT142</f>
        <v>511</v>
      </c>
      <c r="DM21" s="42">
        <f>Z21-SUM(DI21:DL21)</f>
        <v>0</v>
      </c>
    </row>
    <row r="22" spans="1:117">
      <c r="A22" s="6"/>
      <c r="B22" s="43" t="s">
        <v>676</v>
      </c>
      <c r="C22" s="38"/>
      <c r="D22" s="38">
        <f t="shared" ref="D22:I22" si="20">D21/C21-1</f>
        <v>0.1384388807069219</v>
      </c>
      <c r="E22" s="38">
        <f t="shared" si="20"/>
        <v>8.65163648124192E-2</v>
      </c>
      <c r="F22" s="38">
        <f t="shared" si="20"/>
        <v>-3.305839236591257E-2</v>
      </c>
      <c r="G22" s="38">
        <f t="shared" si="20"/>
        <v>5.7108347626768641E-3</v>
      </c>
      <c r="H22" s="38">
        <f t="shared" si="20"/>
        <v>7.027854300581593E-2</v>
      </c>
      <c r="I22" s="38">
        <f t="shared" si="20"/>
        <v>7.5444717725790644E-2</v>
      </c>
      <c r="J22" s="38"/>
      <c r="K22" s="38"/>
      <c r="L22" s="38">
        <f t="shared" ref="L22:AC22" si="21">L21/K21-1</f>
        <v>0.1384388807069219</v>
      </c>
      <c r="M22" s="38">
        <f t="shared" si="21"/>
        <v>8.65163648124192E-2</v>
      </c>
      <c r="N22" s="38">
        <f t="shared" si="21"/>
        <v>-3.305839236591257E-2</v>
      </c>
      <c r="O22" s="38">
        <f t="shared" si="21"/>
        <v>5.7108347626768641E-3</v>
      </c>
      <c r="P22" s="38">
        <f t="shared" si="21"/>
        <v>7.027854300581593E-2</v>
      </c>
      <c r="Q22" s="39">
        <f t="shared" si="21"/>
        <v>7.5444717725790644E-2</v>
      </c>
      <c r="R22" s="39">
        <f t="shared" si="21"/>
        <v>3.6751409424529147E-2</v>
      </c>
      <c r="S22" s="39">
        <f t="shared" si="21"/>
        <v>7.9054019391576524E-2</v>
      </c>
      <c r="T22" s="38">
        <f t="shared" si="21"/>
        <v>3.9887800703622744E-2</v>
      </c>
      <c r="U22" s="38">
        <f>U21/T21-1</f>
        <v>-7.6349837699447587E-3</v>
      </c>
      <c r="V22" s="38"/>
      <c r="W22" s="38">
        <f t="shared" ref="W22:W32" si="22">T22</f>
        <v>3.9887800703622744E-2</v>
      </c>
      <c r="X22" s="38">
        <f>X21/W21-1</f>
        <v>-7.6349837699447587E-3</v>
      </c>
      <c r="Y22" s="38">
        <f>Y21/X21-1</f>
        <v>-0.20639454528701728</v>
      </c>
      <c r="Z22" s="39">
        <f t="shared" si="21"/>
        <v>5.6078021595262983E-2</v>
      </c>
      <c r="AA22" s="38">
        <f t="shared" si="21"/>
        <v>-0.29309586631486373</v>
      </c>
      <c r="AB22" s="38">
        <f t="shared" si="21"/>
        <v>-1.0886469673406785E-3</v>
      </c>
      <c r="AC22" s="39">
        <f t="shared" si="21"/>
        <v>1.5101977269188938E-2</v>
      </c>
      <c r="AD22" s="2695"/>
      <c r="AE22" s="2688"/>
      <c r="AF22" s="1110"/>
      <c r="AG22" s="2802"/>
      <c r="AH22" s="2802"/>
      <c r="AI22" s="2940"/>
      <c r="AJ22" s="2802"/>
      <c r="AK22" s="2802"/>
      <c r="AL22" s="2802"/>
      <c r="AM22" s="2802"/>
      <c r="AN22" s="2802"/>
      <c r="AO22" s="2802"/>
      <c r="AP22" s="2802"/>
      <c r="AQ22" s="2802"/>
      <c r="AR22" s="2802"/>
      <c r="AS22" s="2802"/>
      <c r="AT22" s="2802"/>
      <c r="AU22" s="2802"/>
      <c r="AV22" s="38"/>
      <c r="AW22" s="38"/>
      <c r="AX22" s="38"/>
      <c r="AY22" s="38"/>
      <c r="AZ22" s="10"/>
      <c r="BA22" s="38"/>
      <c r="BB22" s="38"/>
      <c r="BC22" s="38"/>
      <c r="BD22" s="38"/>
      <c r="BE22" s="4"/>
      <c r="BF22" s="38"/>
      <c r="BG22" s="38"/>
      <c r="BH22" s="38"/>
      <c r="BI22" s="38"/>
      <c r="BJ22" s="10"/>
      <c r="BK22" s="38"/>
      <c r="BL22" s="38"/>
      <c r="BM22" s="38"/>
      <c r="BN22" s="38"/>
      <c r="BO22" s="4"/>
      <c r="BP22" s="38"/>
      <c r="BQ22" s="38"/>
      <c r="BR22" s="38"/>
      <c r="BS22" s="38"/>
      <c r="BT22" s="4"/>
      <c r="BU22" s="38"/>
      <c r="BV22" s="38"/>
      <c r="BW22" s="38"/>
      <c r="BX22" s="38"/>
      <c r="BY22" s="4"/>
      <c r="BZ22" s="38"/>
      <c r="CA22" s="38"/>
      <c r="CB22" s="38"/>
      <c r="CC22" s="38"/>
      <c r="CD22" s="7"/>
      <c r="CE22" s="39"/>
      <c r="CF22" s="39"/>
      <c r="CG22" s="39"/>
      <c r="CH22" s="39"/>
      <c r="CI22" s="8"/>
      <c r="CJ22" s="39">
        <f>CJ21/CE21-1</f>
        <v>6.3972229109843903E-2</v>
      </c>
      <c r="CK22" s="39">
        <f>CK21/CF21-1</f>
        <v>3.1611570247933818E-2</v>
      </c>
      <c r="CL22" s="39">
        <f>CL21/CG21-1</f>
        <v>3.091706705661168E-2</v>
      </c>
      <c r="CM22" s="39">
        <f>CM21/CH21-1</f>
        <v>2.5670945157526104E-2</v>
      </c>
      <c r="CN22" s="44"/>
      <c r="CO22" s="39">
        <f>CO21/CJ21-1</f>
        <v>5.3833605220228398E-2</v>
      </c>
      <c r="CP22" s="39">
        <f>CP21/CK21-1</f>
        <v>7.029841778489887E-2</v>
      </c>
      <c r="CQ22" s="39">
        <f>CQ21/CL21-1</f>
        <v>8.6524822695035475E-2</v>
      </c>
      <c r="CR22" s="38">
        <f>CR21/CM21-1</f>
        <v>0.10087220326128188</v>
      </c>
      <c r="CS22" s="856"/>
      <c r="CT22" s="39">
        <f>CT21/CO21-1</f>
        <v>2.2335249889429587E-2</v>
      </c>
      <c r="CU22" s="39">
        <f>CU21/CP21-1</f>
        <v>3.7050898203592864E-2</v>
      </c>
      <c r="CV22" s="39">
        <f>CV21/CQ21-1</f>
        <v>2.9839612085042821E-2</v>
      </c>
      <c r="CW22" s="39">
        <f>CW21/CR21-1</f>
        <v>6.5449534963830436E-2</v>
      </c>
      <c r="CX22" s="6"/>
      <c r="CY22" s="39">
        <f>CY21/CT21-1</f>
        <v>7.4843175427211639E-2</v>
      </c>
      <c r="CZ22" s="39">
        <f>CZ21/CU21-1</f>
        <v>7.9213280404186071E-2</v>
      </c>
      <c r="DA22" s="39">
        <f>DA21/CV21-1</f>
        <v>-5.2517203911628396E-3</v>
      </c>
      <c r="DB22" s="39">
        <f>DB21/CW21-1</f>
        <v>-0.14920788878111879</v>
      </c>
      <c r="DC22" s="6"/>
      <c r="DD22" s="39">
        <f>DD21/CY21-1</f>
        <v>-0.23545985107667544</v>
      </c>
      <c r="DE22" s="39">
        <f>DE21/CZ21-1</f>
        <v>-0.27420163852198631</v>
      </c>
      <c r="DF22" s="39">
        <f>DF21/DA21-1</f>
        <v>-0.22647005279446564</v>
      </c>
      <c r="DG22" s="39">
        <f>DG21/DB21-1</f>
        <v>-8.0942428272848144E-2</v>
      </c>
      <c r="DH22" s="6"/>
      <c r="DI22" s="39">
        <f>DI21/DD21-1</f>
        <v>3.2376941300342299E-2</v>
      </c>
      <c r="DJ22" s="39">
        <f>DJ21/DE21-1</f>
        <v>5.1140290255701437E-2</v>
      </c>
      <c r="DK22" s="39">
        <f>DK21/DF21-1</f>
        <v>8.1901623911508681E-2</v>
      </c>
      <c r="DL22" s="39">
        <f>DL21/DG21-1</f>
        <v>5.6439942112879837E-2</v>
      </c>
    </row>
    <row r="23" spans="1:117">
      <c r="A23" s="6"/>
      <c r="B23" s="6" t="s">
        <v>678</v>
      </c>
      <c r="C23" s="10">
        <f>'Segment Detail'!E52</f>
        <v>521</v>
      </c>
      <c r="D23" s="10">
        <f>'Segment Detail'!K52</f>
        <v>540.5</v>
      </c>
      <c r="E23" s="10">
        <f>'Segment Detail'!N52</f>
        <v>559.11797949999982</v>
      </c>
      <c r="F23" s="10">
        <f>'Segment Detail'!R52</f>
        <v>473.43893500000007</v>
      </c>
      <c r="G23" s="10">
        <f>'Segment Detail'!T52</f>
        <v>423.6</v>
      </c>
      <c r="H23" s="10">
        <f>'Segment Detail'!U52</f>
        <v>423.8</v>
      </c>
      <c r="I23" s="10">
        <f>'Segment Detail'!X52</f>
        <v>453.9</v>
      </c>
      <c r="J23" s="10"/>
      <c r="K23" s="10">
        <f>'Segment Detail'!F52</f>
        <v>521</v>
      </c>
      <c r="L23" s="10">
        <f>'Segment Detail'!L52</f>
        <v>540.5</v>
      </c>
      <c r="M23" s="10">
        <f>'Segment Detail'!O52</f>
        <v>559.11797949999982</v>
      </c>
      <c r="N23" s="10">
        <f>'Segment Detail'!S52</f>
        <v>473.43893500000007</v>
      </c>
      <c r="O23" s="10">
        <f>'Segment Detail'!Y52</f>
        <v>423.6</v>
      </c>
      <c r="P23" s="10">
        <f>'Segment Detail'!Z52</f>
        <v>423.8</v>
      </c>
      <c r="Q23" s="37">
        <f>'Segment Detail'!AA52</f>
        <v>453.9</v>
      </c>
      <c r="R23" s="37">
        <f>'Segment Detail'!AB52</f>
        <v>469.9</v>
      </c>
      <c r="S23" s="37">
        <f>'Segment Detail'!AC52</f>
        <v>568</v>
      </c>
      <c r="T23" s="10">
        <f>'Segment Detail'!AD52</f>
        <v>620.9</v>
      </c>
      <c r="U23" s="10">
        <f>'Segment Detail'!AE52</f>
        <v>474.70000000000005</v>
      </c>
      <c r="V23" s="10"/>
      <c r="W23" s="10">
        <f t="shared" si="22"/>
        <v>620.9</v>
      </c>
      <c r="X23" s="10">
        <f t="shared" ref="X23:X32" si="23">U23</f>
        <v>474.70000000000005</v>
      </c>
      <c r="Y23" s="10">
        <f>'Segment Detail'!AF52</f>
        <v>184.4</v>
      </c>
      <c r="Z23" s="37">
        <f>'Segment Detail'!AG52</f>
        <v>288.59999999999991</v>
      </c>
      <c r="AA23" s="10">
        <f>'Segment Detail'!AH52</f>
        <v>380</v>
      </c>
      <c r="AB23" s="10">
        <f>'Segment Detail'!AI52</f>
        <v>378</v>
      </c>
      <c r="AC23" s="37">
        <f>'Segment Detail'!AJ52</f>
        <v>411</v>
      </c>
      <c r="AD23" s="2697"/>
      <c r="AE23" s="2687"/>
      <c r="AF23" s="1626"/>
      <c r="AG23" s="2938"/>
      <c r="AH23" s="2938"/>
      <c r="AI23" s="2939"/>
      <c r="AJ23" s="2938"/>
      <c r="AK23" s="2938"/>
      <c r="AL23" s="2938"/>
      <c r="AM23" s="2938"/>
      <c r="AN23" s="2938"/>
      <c r="AO23" s="2938"/>
      <c r="AP23" s="2938"/>
      <c r="AQ23" s="2938"/>
      <c r="AR23" s="2938"/>
      <c r="AS23" s="2938"/>
      <c r="AT23" s="2938"/>
      <c r="AU23" s="2938"/>
      <c r="AV23" s="10"/>
      <c r="AW23" s="10"/>
      <c r="AX23" s="10"/>
      <c r="AY23" s="10"/>
      <c r="AZ23" s="10"/>
      <c r="BA23" s="10">
        <f>'Segment Detail'!BF52</f>
        <v>106.9</v>
      </c>
      <c r="BB23" s="10">
        <f>'Segment Detail'!BG52</f>
        <v>164.4</v>
      </c>
      <c r="BC23" s="10">
        <f>'Segment Detail'!BH52</f>
        <v>154.91</v>
      </c>
      <c r="BD23" s="10">
        <f>'Segment Detail'!BI52</f>
        <v>161.72499999999999</v>
      </c>
      <c r="BE23" s="4"/>
      <c r="BF23" s="10">
        <f>'Segment Detail'!BK52</f>
        <v>123.82700000000003</v>
      </c>
      <c r="BG23" s="10">
        <f>'Segment Detail'!BL52</f>
        <v>168.55934999999999</v>
      </c>
      <c r="BH23" s="10">
        <f>'Segment Detail'!BM52</f>
        <v>167.05707569999981</v>
      </c>
      <c r="BI23" s="10">
        <f>'Segment Detail'!BN52</f>
        <v>99.674553800000183</v>
      </c>
      <c r="BJ23" s="10"/>
      <c r="BK23" s="10">
        <f>'Segment Detail'!BU52</f>
        <v>105.268685</v>
      </c>
      <c r="BL23" s="10">
        <f>'Segment Detail'!BV52</f>
        <v>144.37564000000003</v>
      </c>
      <c r="BM23" s="10">
        <f>'Segment Detail'!BW52</f>
        <v>113.63961000000006</v>
      </c>
      <c r="BN23" s="10">
        <f>'Segment Detail'!BX52</f>
        <v>110.15499999999997</v>
      </c>
      <c r="BO23" s="4"/>
      <c r="BP23" s="10">
        <f>'Segment Detail'!BZ52</f>
        <v>76.5</v>
      </c>
      <c r="BQ23" s="10">
        <f>'Segment Detail'!CA52</f>
        <v>122.1</v>
      </c>
      <c r="BR23" s="10">
        <f>'Segment Detail'!CB52</f>
        <v>114.2</v>
      </c>
      <c r="BS23" s="10">
        <f>'Segment Detail'!CC52</f>
        <v>110.8</v>
      </c>
      <c r="BT23" s="4">
        <f>G23-SUM(BP23:BS23)</f>
        <v>0</v>
      </c>
      <c r="BU23" s="10">
        <f>'Segment Detail'!CE52</f>
        <v>77.599999999999994</v>
      </c>
      <c r="BV23" s="10">
        <f>'Segment Detail'!CF52</f>
        <v>133</v>
      </c>
      <c r="BW23" s="10">
        <f>'Segment Detail'!CG52</f>
        <v>98.4</v>
      </c>
      <c r="BX23" s="10">
        <f>'Segment Detail'!CH52</f>
        <v>114.8</v>
      </c>
      <c r="BY23" s="4">
        <f>H23-SUM(BU23:BX23)</f>
        <v>0</v>
      </c>
      <c r="BZ23" s="10">
        <f>'Segment Detail'!CJ52</f>
        <v>68</v>
      </c>
      <c r="CA23" s="10">
        <f>'Segment Detail'!CK52</f>
        <v>134.1</v>
      </c>
      <c r="CB23" s="10">
        <f>'Segment Detail'!CL52</f>
        <v>114.4</v>
      </c>
      <c r="CC23" s="10">
        <f>'Segment Detail'!CM52</f>
        <v>137.4</v>
      </c>
      <c r="CD23" s="7">
        <f>I23-SUM(BZ23:CC23)</f>
        <v>0</v>
      </c>
      <c r="CE23" s="37">
        <f>'Segment Detail'!CO52</f>
        <v>68</v>
      </c>
      <c r="CF23" s="37">
        <f>'Segment Detail'!CP52</f>
        <v>134.1</v>
      </c>
      <c r="CG23" s="37">
        <f>'Segment Detail'!CQ52</f>
        <v>114.4</v>
      </c>
      <c r="CH23" s="37">
        <f>'Segment Detail'!CR52</f>
        <v>137.4</v>
      </c>
      <c r="CI23" s="8">
        <f>Q23-SUM(CE23:CH23)</f>
        <v>0</v>
      </c>
      <c r="CJ23" s="37">
        <f>'Segment Detail'!CT52</f>
        <v>69.3</v>
      </c>
      <c r="CK23" s="37">
        <f>'Segment Detail'!CU52</f>
        <v>134.9</v>
      </c>
      <c r="CL23" s="37">
        <f>'Segment Detail'!CV52</f>
        <v>118.2</v>
      </c>
      <c r="CM23" s="37">
        <f>'Segment Detail'!CW52</f>
        <v>147.5</v>
      </c>
      <c r="CN23" s="45">
        <f>R23-SUM(CJ23:CM23)</f>
        <v>0</v>
      </c>
      <c r="CO23" s="37">
        <f>'Segment Detail'!CY52</f>
        <v>99.1</v>
      </c>
      <c r="CP23" s="37">
        <f>'Segment Detail'!CZ52</f>
        <v>160</v>
      </c>
      <c r="CQ23" s="37">
        <f>'Segment Detail'!DA52</f>
        <v>142.1</v>
      </c>
      <c r="CR23" s="10">
        <f>'Segment Detail'!DB52</f>
        <v>166.8</v>
      </c>
      <c r="CS23" s="857">
        <f>S23-SUM(CO23:CR23)</f>
        <v>0</v>
      </c>
      <c r="CT23" s="37">
        <f>'Segment Detail'!DD52</f>
        <v>100.2</v>
      </c>
      <c r="CU23" s="37">
        <f>'Segment Detail'!DE52</f>
        <v>168.3</v>
      </c>
      <c r="CV23" s="37">
        <f>'Segment Detail'!DF52</f>
        <v>153.5</v>
      </c>
      <c r="CW23" s="10">
        <f>'Segment Detail'!DG52</f>
        <v>198.9</v>
      </c>
      <c r="CX23" s="48">
        <f>T23-SUM(CT23:CW23)</f>
        <v>0</v>
      </c>
      <c r="CY23" s="37">
        <f>'Segment Detail'!DI52</f>
        <v>101.5</v>
      </c>
      <c r="CZ23" s="37">
        <f>'Segment Detail'!DJ52</f>
        <v>156.19999999999999</v>
      </c>
      <c r="DA23" s="37">
        <f>'Segment Detail'!DK52</f>
        <v>118.60000000000001</v>
      </c>
      <c r="DB23" s="10">
        <f>'Segment Detail'!DL52</f>
        <v>98.4</v>
      </c>
      <c r="DC23" s="48">
        <f>U23-SUM(CY23:DB23)</f>
        <v>0</v>
      </c>
      <c r="DD23" s="37">
        <f>'Segment Detail'!DN52</f>
        <v>25.1</v>
      </c>
      <c r="DE23" s="37">
        <f>'Segment Detail'!DO52</f>
        <v>44.7</v>
      </c>
      <c r="DF23" s="37">
        <f>'Segment Detail'!DP52</f>
        <v>32.6</v>
      </c>
      <c r="DG23" s="37">
        <f>'Segment Detail'!DQ52</f>
        <v>82</v>
      </c>
      <c r="DH23" s="42">
        <f>Y23-SUM(DD23:DG23)</f>
        <v>0</v>
      </c>
      <c r="DI23" s="37">
        <f>Drivers!BQ161</f>
        <v>32.200000000000003</v>
      </c>
      <c r="DJ23" s="37">
        <f>Drivers!BR161</f>
        <v>78.7</v>
      </c>
      <c r="DK23" s="37">
        <f>Drivers!BS161</f>
        <v>76.900000000000006</v>
      </c>
      <c r="DL23" s="37">
        <f>Drivers!BT161</f>
        <v>100.8</v>
      </c>
      <c r="DM23" s="42">
        <f>Z23-SUM(DI23:DL23)</f>
        <v>0</v>
      </c>
    </row>
    <row r="24" spans="1:117">
      <c r="A24" s="6"/>
      <c r="B24" s="43" t="s">
        <v>690</v>
      </c>
      <c r="C24" s="38">
        <f t="shared" ref="C24:I24" si="24">C23/C21</f>
        <v>0.38365243004418265</v>
      </c>
      <c r="D24" s="38">
        <f t="shared" si="24"/>
        <v>0.34961190168175937</v>
      </c>
      <c r="E24" s="38">
        <f t="shared" si="24"/>
        <v>0.33285700146741687</v>
      </c>
      <c r="F24" s="38">
        <f t="shared" si="24"/>
        <v>0.2914861747952267</v>
      </c>
      <c r="G24" s="38">
        <f t="shared" si="24"/>
        <v>0.2593204775022957</v>
      </c>
      <c r="H24" s="38">
        <f t="shared" si="24"/>
        <v>0.24240690956929586</v>
      </c>
      <c r="I24" s="38">
        <f t="shared" si="24"/>
        <v>0.24141048824593125</v>
      </c>
      <c r="J24" s="38"/>
      <c r="K24" s="38">
        <f t="shared" ref="K24:AC24" si="25">K23/K21</f>
        <v>0.38365243004418265</v>
      </c>
      <c r="L24" s="38">
        <f t="shared" si="25"/>
        <v>0.34961190168175937</v>
      </c>
      <c r="M24" s="38">
        <f t="shared" si="25"/>
        <v>0.33285700146741687</v>
      </c>
      <c r="N24" s="38">
        <f t="shared" si="25"/>
        <v>0.2914861747952267</v>
      </c>
      <c r="O24" s="38">
        <f t="shared" si="25"/>
        <v>0.2593204775022957</v>
      </c>
      <c r="P24" s="38">
        <f t="shared" si="25"/>
        <v>0.24240690956929586</v>
      </c>
      <c r="Q24" s="39">
        <f t="shared" si="25"/>
        <v>0.24141048824593125</v>
      </c>
      <c r="R24" s="39">
        <f t="shared" si="25"/>
        <v>0.24106089365413225</v>
      </c>
      <c r="S24" s="39">
        <f t="shared" si="25"/>
        <v>0.27003898450128361</v>
      </c>
      <c r="T24" s="38">
        <f t="shared" si="25"/>
        <v>0.28386595345860188</v>
      </c>
      <c r="U24" s="38">
        <f t="shared" si="25"/>
        <v>0.21869529162443568</v>
      </c>
      <c r="V24" s="38"/>
      <c r="W24" s="38">
        <f t="shared" si="22"/>
        <v>0.28386595345860188</v>
      </c>
      <c r="X24" s="39">
        <f t="shared" si="23"/>
        <v>0.21869529162443568</v>
      </c>
      <c r="Y24" s="39">
        <f t="shared" si="25"/>
        <v>0.10704748635783118</v>
      </c>
      <c r="Z24" s="39">
        <f t="shared" si="25"/>
        <v>0.15864116094986802</v>
      </c>
      <c r="AA24" s="38">
        <f t="shared" si="25"/>
        <v>0.29548989113530327</v>
      </c>
      <c r="AB24" s="38">
        <f t="shared" si="25"/>
        <v>0.29425502101821582</v>
      </c>
      <c r="AC24" s="39">
        <f t="shared" si="25"/>
        <v>0.31518404907975461</v>
      </c>
      <c r="AD24" s="2695"/>
      <c r="AE24" s="2688"/>
      <c r="AF24" s="1110"/>
      <c r="AG24" s="2802"/>
      <c r="AH24" s="2802"/>
      <c r="AI24" s="2940"/>
      <c r="AJ24" s="2802"/>
      <c r="AK24" s="2802"/>
      <c r="AL24" s="2802"/>
      <c r="AM24" s="2802"/>
      <c r="AN24" s="2802"/>
      <c r="AO24" s="2802"/>
      <c r="AP24" s="2802"/>
      <c r="AQ24" s="2802"/>
      <c r="AR24" s="2802"/>
      <c r="AS24" s="2802"/>
      <c r="AT24" s="2802"/>
      <c r="AU24" s="2802"/>
      <c r="AV24" s="38"/>
      <c r="AW24" s="38"/>
      <c r="AX24" s="38"/>
      <c r="AY24" s="38"/>
      <c r="AZ24" s="38"/>
      <c r="BA24" s="38">
        <f>BA23/BA21</f>
        <v>0.29017372421281218</v>
      </c>
      <c r="BB24" s="38">
        <f>BB23/BB21</f>
        <v>0.37160940325497288</v>
      </c>
      <c r="BC24" s="38">
        <f>BC23/BC21</f>
        <v>0.34810453697669713</v>
      </c>
      <c r="BD24" s="38">
        <f>BD23/BD21</f>
        <v>0.34330395428416133</v>
      </c>
      <c r="BE24" s="4"/>
      <c r="BF24" s="38">
        <f>BF23/BF21</f>
        <v>0.33145691464302546</v>
      </c>
      <c r="BG24" s="38">
        <f>BG23/BG21</f>
        <v>0.38120911784441414</v>
      </c>
      <c r="BH24" s="38">
        <f>BH23/BH21</f>
        <v>0.39353845865724335</v>
      </c>
      <c r="BI24" s="38">
        <f>BI23/BI21</f>
        <v>0.22679079362912441</v>
      </c>
      <c r="BJ24" s="38"/>
      <c r="BK24" s="38">
        <f>BK23/BK21</f>
        <v>0.27846932835873256</v>
      </c>
      <c r="BL24" s="38">
        <f>BL23/BL21</f>
        <v>0.33145637706259046</v>
      </c>
      <c r="BM24" s="38">
        <f>BM23/BM21</f>
        <v>0.27074630929174798</v>
      </c>
      <c r="BN24" s="38">
        <f>BN23/BN21</f>
        <v>0.28180468585512131</v>
      </c>
      <c r="BO24" s="4"/>
      <c r="BP24" s="38">
        <f>BP23/BP21</f>
        <v>0.21970132107983917</v>
      </c>
      <c r="BQ24" s="38">
        <f>BQ23/BQ21</f>
        <v>0.28844790928419556</v>
      </c>
      <c r="BR24" s="38">
        <f>BR23/BR21</f>
        <v>0.26620046620046622</v>
      </c>
      <c r="BS24" s="38">
        <f>BS23/BS21</f>
        <v>0.2558891454965358</v>
      </c>
      <c r="BT24" s="4"/>
      <c r="BU24" s="38">
        <f>BU23/BU21</f>
        <v>0.20512820512820509</v>
      </c>
      <c r="BV24" s="38">
        <f>BV23/BV21</f>
        <v>0.28762975778546712</v>
      </c>
      <c r="BW24" s="38">
        <f>BW23/BW21</f>
        <v>0.22641509433962265</v>
      </c>
      <c r="BX24" s="38">
        <f>BX23/BX21</f>
        <v>0.24270613107822409</v>
      </c>
      <c r="BY24" s="4"/>
      <c r="BZ24" s="38">
        <f>BZ23/BZ21</f>
        <v>0.16860897594842547</v>
      </c>
      <c r="CA24" s="38">
        <f>CA23/CA21</f>
        <v>0.27706611570247935</v>
      </c>
      <c r="CB24" s="38">
        <f>CB23/CB21</f>
        <v>0.23898057238353876</v>
      </c>
      <c r="CC24" s="38">
        <f>CC23/CC21</f>
        <v>0.26721120186697783</v>
      </c>
      <c r="CD24" s="7"/>
      <c r="CE24" s="39">
        <f>CE23/CE21</f>
        <v>0.16860897594842547</v>
      </c>
      <c r="CF24" s="39">
        <f>CF23/CF21</f>
        <v>0.27706611570247935</v>
      </c>
      <c r="CG24" s="39">
        <f>CG23/CG21</f>
        <v>0.23898057238353876</v>
      </c>
      <c r="CH24" s="39">
        <f>CH23/CH21</f>
        <v>0.26721120186697783</v>
      </c>
      <c r="CI24" s="8"/>
      <c r="CJ24" s="39">
        <f>CJ23/CJ21</f>
        <v>0.16150081566068514</v>
      </c>
      <c r="CK24" s="39">
        <f>CK23/CK21</f>
        <v>0.27017824954936914</v>
      </c>
      <c r="CL24" s="39">
        <f>CL23/CL21</f>
        <v>0.23951367781155017</v>
      </c>
      <c r="CM24" s="39">
        <f>CM23/CM21</f>
        <v>0.27967387182404246</v>
      </c>
      <c r="CN24" s="44"/>
      <c r="CO24" s="39">
        <f>CO23/CO21</f>
        <v>0.21915081822202565</v>
      </c>
      <c r="CP24" s="39">
        <f>CP23/CP21</f>
        <v>0.29940119760479045</v>
      </c>
      <c r="CQ24" s="39">
        <f>CQ23/CQ21</f>
        <v>0.2650130548302872</v>
      </c>
      <c r="CR24" s="38">
        <f>CR23/CR21</f>
        <v>0.28728901136755081</v>
      </c>
      <c r="CS24" s="856"/>
      <c r="CT24" s="39">
        <f>CT23/CT21</f>
        <v>0.21674237508111616</v>
      </c>
      <c r="CU24" s="39">
        <f>CU23/CU21</f>
        <v>0.30368098159509205</v>
      </c>
      <c r="CV24" s="39">
        <f>CV23/CV21</f>
        <v>0.27797899311843532</v>
      </c>
      <c r="CW24" s="38">
        <f>CW23/CW21</f>
        <v>0.32153249272550921</v>
      </c>
      <c r="CX24" s="6"/>
      <c r="CY24" s="39">
        <f>CY23/CY21</f>
        <v>0.20426645200241497</v>
      </c>
      <c r="CZ24" s="39">
        <f>CZ23/CZ21</f>
        <v>0.2611603410800869</v>
      </c>
      <c r="DA24" s="39">
        <f>DA23/DA21</f>
        <v>0.21591115965774627</v>
      </c>
      <c r="DB24" s="38">
        <f>DB23/DB21</f>
        <v>0.18696560896826908</v>
      </c>
      <c r="DC24" s="6"/>
      <c r="DD24" s="39">
        <f>DD23/DD21</f>
        <v>6.6070018425901558E-2</v>
      </c>
      <c r="DE24" s="39">
        <f>DE23/DE21</f>
        <v>0.10297166551485833</v>
      </c>
      <c r="DF24" s="39">
        <f>DF23/DF21</f>
        <v>7.6723935043539665E-2</v>
      </c>
      <c r="DG24" s="38">
        <f>DG23/DG21</f>
        <v>0.16952656605333885</v>
      </c>
      <c r="DH24" s="6"/>
      <c r="DI24" s="39">
        <f>DI23/DI21</f>
        <v>8.2100968893421736E-2</v>
      </c>
      <c r="DJ24" s="39">
        <f>DJ23/DJ21</f>
        <v>0.17247424939732633</v>
      </c>
      <c r="DK24" s="39">
        <f>DK23/DK21</f>
        <v>0.16728301065912554</v>
      </c>
      <c r="DL24" s="38">
        <f>DL23/DL21</f>
        <v>0.19726027397260273</v>
      </c>
    </row>
    <row r="25" spans="1:117">
      <c r="A25" s="6"/>
      <c r="B25" s="6" t="s">
        <v>692</v>
      </c>
      <c r="C25" s="48">
        <f t="shared" ref="C25:I25" si="26">C23-C26</f>
        <v>17.781721502160167</v>
      </c>
      <c r="D25" s="48">
        <f t="shared" si="26"/>
        <v>20.097999999999956</v>
      </c>
      <c r="E25" s="48">
        <f t="shared" si="26"/>
        <v>40.314103199999977</v>
      </c>
      <c r="F25" s="48">
        <f t="shared" si="26"/>
        <v>50.135532253175541</v>
      </c>
      <c r="G25" s="48">
        <f t="shared" si="26"/>
        <v>153.30375000000004</v>
      </c>
      <c r="H25" s="48">
        <f t="shared" si="26"/>
        <v>163.60374999999999</v>
      </c>
      <c r="I25" s="48">
        <f t="shared" si="26"/>
        <v>170.80375000000004</v>
      </c>
      <c r="J25" s="48"/>
      <c r="K25" s="48">
        <f t="shared" ref="K25:AC25" si="27">K23-K26</f>
        <v>17.781721502160167</v>
      </c>
      <c r="L25" s="48">
        <f t="shared" si="27"/>
        <v>20.097999999999956</v>
      </c>
      <c r="M25" s="48">
        <f t="shared" si="27"/>
        <v>40.314103199999977</v>
      </c>
      <c r="N25" s="48">
        <f t="shared" si="27"/>
        <v>50.135532253175541</v>
      </c>
      <c r="O25" s="48">
        <f t="shared" si="27"/>
        <v>153.30375000000004</v>
      </c>
      <c r="P25" s="48">
        <f t="shared" si="27"/>
        <v>163.60374999999999</v>
      </c>
      <c r="Q25" s="49">
        <f t="shared" si="27"/>
        <v>170.80375000000004</v>
      </c>
      <c r="R25" s="49">
        <f t="shared" si="27"/>
        <v>156.05782499999998</v>
      </c>
      <c r="S25" s="49">
        <f t="shared" si="27"/>
        <v>162.89999999999998</v>
      </c>
      <c r="T25" s="48">
        <f t="shared" si="27"/>
        <v>165</v>
      </c>
      <c r="U25" s="48">
        <f t="shared" si="27"/>
        <v>193.89999999999998</v>
      </c>
      <c r="V25" s="48"/>
      <c r="W25" s="48">
        <f t="shared" si="22"/>
        <v>165</v>
      </c>
      <c r="X25" s="48">
        <f t="shared" si="23"/>
        <v>193.89999999999998</v>
      </c>
      <c r="Y25" s="48">
        <f t="shared" si="27"/>
        <v>215.60000000000002</v>
      </c>
      <c r="Z25" s="48">
        <f t="shared" si="27"/>
        <v>173.2</v>
      </c>
      <c r="AA25" s="48">
        <f t="shared" si="27"/>
        <v>112.19999999999999</v>
      </c>
      <c r="AB25" s="48">
        <f t="shared" si="27"/>
        <v>109.19999999999999</v>
      </c>
      <c r="AC25" s="49">
        <f t="shared" si="27"/>
        <v>107.60000000000002</v>
      </c>
      <c r="AD25" s="2696"/>
      <c r="AE25" s="2689"/>
      <c r="AF25" s="1366"/>
      <c r="AG25" s="2796"/>
      <c r="AH25" s="2796"/>
      <c r="AI25" s="2941"/>
      <c r="AJ25" s="2796"/>
      <c r="AK25" s="2796"/>
      <c r="AL25" s="2796"/>
      <c r="AM25" s="2796"/>
      <c r="AN25" s="2796"/>
      <c r="AO25" s="2796"/>
      <c r="AP25" s="2796"/>
      <c r="AQ25" s="2796"/>
      <c r="AR25" s="2796"/>
      <c r="AS25" s="2796"/>
      <c r="AT25" s="2796"/>
      <c r="AU25" s="2796"/>
      <c r="AV25" s="48"/>
      <c r="AW25" s="48"/>
      <c r="AX25" s="48"/>
      <c r="AY25" s="48"/>
      <c r="AZ25" s="38"/>
      <c r="BA25" s="48">
        <f>BA23-BA26</f>
        <v>5.0245000000000033</v>
      </c>
      <c r="BB25" s="48">
        <f>BB23-BB26</f>
        <v>5.0244999999999891</v>
      </c>
      <c r="BC25" s="48">
        <f>BC23-BC26</f>
        <v>5.0244999999999891</v>
      </c>
      <c r="BD25" s="48">
        <f>BD23-BD26</f>
        <v>5.0244999999999891</v>
      </c>
      <c r="BE25" s="4"/>
      <c r="BF25" s="48">
        <f>BF23-BF26</f>
        <v>5.8667499999999961</v>
      </c>
      <c r="BG25" s="48">
        <f>BG23-BG26</f>
        <v>9.3867999999999938</v>
      </c>
      <c r="BH25" s="48">
        <f>BH23-BH26</f>
        <v>9.3867999999999938</v>
      </c>
      <c r="BI25" s="48">
        <f>BI23-BI26</f>
        <v>9.3867999999999938</v>
      </c>
      <c r="BJ25" s="38"/>
      <c r="BK25" s="48">
        <f>BK23-BK26</f>
        <v>12.589338237586759</v>
      </c>
      <c r="BL25" s="48">
        <f>BL23-BL26</f>
        <v>12.589338237586759</v>
      </c>
      <c r="BM25" s="48">
        <f>BM23-BM26</f>
        <v>12.589338237586759</v>
      </c>
      <c r="BN25" s="48">
        <f>BN23-BN26</f>
        <v>12.589338237586759</v>
      </c>
      <c r="BO25" s="4"/>
      <c r="BP25" s="48">
        <f>BP23-BP26</f>
        <v>38.325937500000002</v>
      </c>
      <c r="BQ25" s="48">
        <f>BQ23-BQ26</f>
        <v>38.325937500000009</v>
      </c>
      <c r="BR25" s="48">
        <f>BR23-BR26</f>
        <v>38.325937499999995</v>
      </c>
      <c r="BS25" s="48">
        <f>BS23-BS26</f>
        <v>38.325937500000009</v>
      </c>
      <c r="BT25" s="4"/>
      <c r="BU25" s="48">
        <f>BU23-BU26</f>
        <v>39.895000000000003</v>
      </c>
      <c r="BV25" s="48">
        <f>BV23-BV26</f>
        <v>42.39500000000001</v>
      </c>
      <c r="BW25" s="48">
        <f>BW23-BW26</f>
        <v>41.594999999999999</v>
      </c>
      <c r="BX25" s="48">
        <f>BX23-BX26</f>
        <v>39.718749999999986</v>
      </c>
      <c r="BY25" s="4"/>
      <c r="BZ25" s="48">
        <f>BZ23-BZ26</f>
        <v>41.895000000000003</v>
      </c>
      <c r="CA25" s="48">
        <f>CA23-CA26</f>
        <v>44.194999999999993</v>
      </c>
      <c r="CB25" s="48">
        <f>CB23-CB26</f>
        <v>44.495000000000005</v>
      </c>
      <c r="CC25" s="48">
        <f>CC23-CC26</f>
        <v>40.21875</v>
      </c>
      <c r="CD25" s="7"/>
      <c r="CE25" s="49">
        <f>CE23-CE26</f>
        <v>41.895000000000003</v>
      </c>
      <c r="CF25" s="49">
        <f>CF23-CF26</f>
        <v>44.194999999999993</v>
      </c>
      <c r="CG25" s="49">
        <f>CG23-CG26</f>
        <v>44.495000000000005</v>
      </c>
      <c r="CH25" s="49">
        <f>CH23-CH26</f>
        <v>40.21875</v>
      </c>
      <c r="CI25" s="8"/>
      <c r="CJ25" s="49">
        <f>CJ23-CJ26</f>
        <v>40.248899999999992</v>
      </c>
      <c r="CK25" s="49">
        <f>CK23-CK26</f>
        <v>43.2</v>
      </c>
      <c r="CL25" s="49">
        <f>CL23-CL26</f>
        <v>39.748899999999992</v>
      </c>
      <c r="CM25" s="49">
        <f>CM23-CM26</f>
        <v>32.860025000000007</v>
      </c>
      <c r="CN25" s="44"/>
      <c r="CO25" s="49">
        <f>CO23-CO26</f>
        <v>42.075000000000003</v>
      </c>
      <c r="CP25" s="49">
        <f>CP23-CP26</f>
        <v>40.775000000000006</v>
      </c>
      <c r="CQ25" s="49">
        <f>CQ23-CQ26</f>
        <v>39.275000000000006</v>
      </c>
      <c r="CR25" s="48">
        <f>CR23-CR26</f>
        <v>40.775000000000006</v>
      </c>
      <c r="CS25" s="856" t="s">
        <v>337</v>
      </c>
      <c r="CT25" s="49">
        <f>CT23-CT26</f>
        <v>40.450000000000003</v>
      </c>
      <c r="CU25" s="49">
        <f>CU23-CU26</f>
        <v>40.25</v>
      </c>
      <c r="CV25" s="49">
        <f>CV23-CV26</f>
        <v>40.950000000000003</v>
      </c>
      <c r="CW25" s="48">
        <f>CW23-CW26</f>
        <v>43.349999999999994</v>
      </c>
      <c r="CX25" s="6"/>
      <c r="CY25" s="49">
        <f>CY23-CY26</f>
        <v>44.9</v>
      </c>
      <c r="CZ25" s="49">
        <f>CZ23-CZ26</f>
        <v>48.7</v>
      </c>
      <c r="DA25" s="49">
        <f>DA23-DA26</f>
        <v>49.600000000000009</v>
      </c>
      <c r="DB25" s="48">
        <f>DB23-DB26</f>
        <v>50.7</v>
      </c>
      <c r="DC25" s="48">
        <f>U25-SUM(CY25:DB25)</f>
        <v>0</v>
      </c>
      <c r="DD25" s="49">
        <f>DD23-DD26</f>
        <v>50.8</v>
      </c>
      <c r="DE25" s="49">
        <f>DE23-DE26</f>
        <v>54.5</v>
      </c>
      <c r="DF25" s="49">
        <f>DF23-DF26</f>
        <v>55</v>
      </c>
      <c r="DG25" s="48">
        <f>DG23-DG26</f>
        <v>55.3</v>
      </c>
      <c r="DH25" s="126"/>
      <c r="DI25" s="48">
        <f>DI23-DI26</f>
        <v>43.975000000000001</v>
      </c>
      <c r="DJ25" s="48">
        <f>DJ23-DJ26</f>
        <v>46.275000000000006</v>
      </c>
      <c r="DK25" s="48">
        <f>DK23-DK26</f>
        <v>42.475000000000001</v>
      </c>
      <c r="DL25" s="48">
        <f>DL23-DL26</f>
        <v>40.475000000000001</v>
      </c>
    </row>
    <row r="26" spans="1:117">
      <c r="A26" s="6"/>
      <c r="B26" s="6" t="s">
        <v>683</v>
      </c>
      <c r="C26" s="10">
        <f>'Segment Detail'!E64</f>
        <v>503.21827849783983</v>
      </c>
      <c r="D26" s="10">
        <f>'Segment Detail'!K64</f>
        <v>520.40200000000004</v>
      </c>
      <c r="E26" s="10">
        <f>'Segment Detail'!N64</f>
        <v>518.80387629999984</v>
      </c>
      <c r="F26" s="10">
        <f>'Segment Detail'!R64</f>
        <v>423.30340274682453</v>
      </c>
      <c r="G26" s="10">
        <f>'Segment Detail'!T64</f>
        <v>270.29624999999999</v>
      </c>
      <c r="H26" s="10">
        <f>'Segment Detail'!U64</f>
        <v>260.19625000000002</v>
      </c>
      <c r="I26" s="10">
        <f>'Segment Detail'!X64</f>
        <v>283.09624999999994</v>
      </c>
      <c r="J26" s="10"/>
      <c r="K26" s="10">
        <f>'Segment Detail'!F64</f>
        <v>503.21827849783983</v>
      </c>
      <c r="L26" s="10">
        <f>'Segment Detail'!L64</f>
        <v>520.40200000000004</v>
      </c>
      <c r="M26" s="10">
        <f>'Segment Detail'!O64</f>
        <v>518.80387629999984</v>
      </c>
      <c r="N26" s="10">
        <f>'Segment Detail'!S64</f>
        <v>423.30340274682453</v>
      </c>
      <c r="O26" s="10">
        <f>'Segment Detail'!Y64</f>
        <v>270.29624999999999</v>
      </c>
      <c r="P26" s="10">
        <f>'Segment Detail'!Z64</f>
        <v>260.19625000000002</v>
      </c>
      <c r="Q26" s="37">
        <f>'Segment Detail'!AA64</f>
        <v>283.09624999999994</v>
      </c>
      <c r="R26" s="37">
        <f>'Segment Detail'!AB64</f>
        <v>313.842175</v>
      </c>
      <c r="S26" s="37">
        <f>'Segment Detail'!AC64</f>
        <v>405.1</v>
      </c>
      <c r="T26" s="10">
        <f>'Segment Detail'!AD64</f>
        <v>455.9</v>
      </c>
      <c r="U26" s="10">
        <f>'Segment Detail'!AE64</f>
        <v>280.80000000000007</v>
      </c>
      <c r="V26" s="10"/>
      <c r="W26" s="10">
        <f t="shared" si="22"/>
        <v>455.9</v>
      </c>
      <c r="X26" s="10">
        <f t="shared" si="23"/>
        <v>280.80000000000007</v>
      </c>
      <c r="Y26" s="10">
        <f>'Segment Detail'!AF64</f>
        <v>-31.200000000000017</v>
      </c>
      <c r="Z26" s="10">
        <f>'Segment Detail'!AG64</f>
        <v>115.39999999999992</v>
      </c>
      <c r="AA26" s="10">
        <f>'Segment Detail'!AH64</f>
        <v>267.8</v>
      </c>
      <c r="AB26" s="10">
        <f>'Segment Detail'!AI64</f>
        <v>268.8</v>
      </c>
      <c r="AC26" s="37">
        <f>'Segment Detail'!AJ64</f>
        <v>303.39999999999998</v>
      </c>
      <c r="AD26" s="2697"/>
      <c r="AE26" s="2687"/>
      <c r="AF26" s="1626"/>
      <c r="AG26" s="1626"/>
      <c r="AH26" s="1626"/>
      <c r="AI26" s="2687"/>
      <c r="AJ26" s="1626"/>
      <c r="AK26" s="1626"/>
      <c r="AL26" s="10"/>
      <c r="AM26" s="10"/>
      <c r="AN26" s="10"/>
      <c r="AO26" s="10"/>
      <c r="AP26" s="10"/>
      <c r="AQ26" s="10"/>
      <c r="AR26" s="10"/>
      <c r="AS26" s="10"/>
      <c r="AT26" s="10"/>
      <c r="AU26" s="10"/>
      <c r="AV26" s="10"/>
      <c r="AW26" s="10"/>
      <c r="AX26" s="10"/>
      <c r="AY26" s="10"/>
      <c r="AZ26" s="10"/>
      <c r="BA26" s="10">
        <f>'Segment Detail'!BF64</f>
        <v>101.8755</v>
      </c>
      <c r="BB26" s="10">
        <f>'Segment Detail'!BG64</f>
        <v>159.37550000000002</v>
      </c>
      <c r="BC26" s="10">
        <f>'Segment Detail'!BH64</f>
        <v>149.88550000000001</v>
      </c>
      <c r="BD26" s="10">
        <f>'Segment Detail'!BI64</f>
        <v>156.70050000000001</v>
      </c>
      <c r="BE26" s="4"/>
      <c r="BF26" s="10">
        <f>'Segment Detail'!BK64</f>
        <v>117.96025000000003</v>
      </c>
      <c r="BG26" s="10">
        <f>'Segment Detail'!BL64</f>
        <v>159.17255</v>
      </c>
      <c r="BH26" s="10">
        <f>'Segment Detail'!BM64</f>
        <v>157.67027569999982</v>
      </c>
      <c r="BI26" s="10">
        <f>'Segment Detail'!BN64</f>
        <v>90.287753800000189</v>
      </c>
      <c r="BJ26" s="10"/>
      <c r="BK26" s="10">
        <f>'Segment Detail'!BU64</f>
        <v>92.679346762413246</v>
      </c>
      <c r="BL26" s="10">
        <f>'Segment Detail'!BV64</f>
        <v>131.78630176241327</v>
      </c>
      <c r="BM26" s="10">
        <f>'Segment Detail'!BW64</f>
        <v>101.0502717624133</v>
      </c>
      <c r="BN26" s="10">
        <f>'Segment Detail'!BX64</f>
        <v>97.565661762413214</v>
      </c>
      <c r="BO26" s="4"/>
      <c r="BP26" s="10">
        <f>'Segment Detail'!BZ64</f>
        <v>38.174062499999998</v>
      </c>
      <c r="BQ26" s="10">
        <f>'Segment Detail'!CA64</f>
        <v>83.774062499999985</v>
      </c>
      <c r="BR26" s="10">
        <f>'Segment Detail'!CB64</f>
        <v>75.874062500000008</v>
      </c>
      <c r="BS26" s="10">
        <f>'Segment Detail'!CC64</f>
        <v>72.474062499999988</v>
      </c>
      <c r="BT26" s="4">
        <f>G26-SUM(BP26:BS26)</f>
        <v>0</v>
      </c>
      <c r="BU26" s="10">
        <f>'Segment Detail'!CE64</f>
        <v>37.704999999999991</v>
      </c>
      <c r="BV26" s="10">
        <f>'Segment Detail'!CF64</f>
        <v>90.60499999999999</v>
      </c>
      <c r="BW26" s="10">
        <f>'Segment Detail'!CG64</f>
        <v>56.805000000000007</v>
      </c>
      <c r="BX26" s="10">
        <f>'Segment Detail'!CH64</f>
        <v>75.081250000000011</v>
      </c>
      <c r="BY26" s="4">
        <f>H26-SUM(BU26:BX26)</f>
        <v>0</v>
      </c>
      <c r="BZ26" s="10">
        <f>'Segment Detail'!CJ64</f>
        <v>26.104999999999997</v>
      </c>
      <c r="CA26" s="10">
        <f>'Segment Detail'!CK64</f>
        <v>89.905000000000001</v>
      </c>
      <c r="CB26" s="10">
        <f>'Segment Detail'!CL64</f>
        <v>69.905000000000001</v>
      </c>
      <c r="CC26" s="10">
        <f>'Segment Detail'!CM64</f>
        <v>97.181250000000006</v>
      </c>
      <c r="CD26" s="7">
        <f>I26-SUM(BZ26:CC26)</f>
        <v>0</v>
      </c>
      <c r="CE26" s="37">
        <f>'Segment Detail'!CO64</f>
        <v>26.104999999999997</v>
      </c>
      <c r="CF26" s="37">
        <f>'Segment Detail'!CP64</f>
        <v>89.905000000000001</v>
      </c>
      <c r="CG26" s="37">
        <f>'Segment Detail'!CQ64</f>
        <v>69.905000000000001</v>
      </c>
      <c r="CH26" s="37">
        <f>'Segment Detail'!CR64</f>
        <v>97.181250000000006</v>
      </c>
      <c r="CI26" s="8">
        <f>Q26-SUM(CE26:CH26)</f>
        <v>0</v>
      </c>
      <c r="CJ26" s="37">
        <f>'Segment Detail'!CT64</f>
        <v>29.051100000000005</v>
      </c>
      <c r="CK26" s="37">
        <f>'Segment Detail'!CU64</f>
        <v>91.7</v>
      </c>
      <c r="CL26" s="37">
        <f>'Segment Detail'!CV64</f>
        <v>78.451100000000011</v>
      </c>
      <c r="CM26" s="37">
        <f>'Segment Detail'!CW64</f>
        <v>114.63997499999999</v>
      </c>
      <c r="CN26" s="45">
        <f>R26-SUM(CJ26:CM26)</f>
        <v>0</v>
      </c>
      <c r="CO26" s="37">
        <f>'Segment Detail'!CY64</f>
        <v>57.024999999999991</v>
      </c>
      <c r="CP26" s="37">
        <f>'Segment Detail'!CZ64</f>
        <v>119.22499999999999</v>
      </c>
      <c r="CQ26" s="37">
        <f>'Segment Detail'!DA64</f>
        <v>102.82499999999999</v>
      </c>
      <c r="CR26" s="10">
        <f>'Segment Detail'!DB64</f>
        <v>126.02500000000001</v>
      </c>
      <c r="CS26" s="857">
        <f>S26-SUM(CO26:CR26)</f>
        <v>0</v>
      </c>
      <c r="CT26" s="37">
        <f>'Segment Detail'!DD64</f>
        <v>59.75</v>
      </c>
      <c r="CU26" s="37">
        <f>'Segment Detail'!DE64</f>
        <v>128.05000000000001</v>
      </c>
      <c r="CV26" s="37">
        <f>'Segment Detail'!DF64</f>
        <v>112.55</v>
      </c>
      <c r="CW26" s="10">
        <f>'Segment Detail'!DG64</f>
        <v>155.55000000000001</v>
      </c>
      <c r="CX26" s="48">
        <f>T26-SUM(CT26:CW26)</f>
        <v>0</v>
      </c>
      <c r="CY26" s="37">
        <f>'Segment Detail'!DI64</f>
        <v>56.6</v>
      </c>
      <c r="CZ26" s="37">
        <f>'Segment Detail'!DJ64</f>
        <v>107.49999999999999</v>
      </c>
      <c r="DA26" s="37">
        <f>'Segment Detail'!DK64</f>
        <v>69</v>
      </c>
      <c r="DB26" s="10">
        <f>'Segment Detail'!DL64</f>
        <v>47.7</v>
      </c>
      <c r="DC26" s="48">
        <f>U26-SUM(CY26:DB26)</f>
        <v>0</v>
      </c>
      <c r="DD26" s="37">
        <f>'Segment Detail'!DN64</f>
        <v>-25.699999999999996</v>
      </c>
      <c r="DE26" s="37">
        <f>'Segment Detail'!DO64</f>
        <v>-9.7999999999999972</v>
      </c>
      <c r="DF26" s="37">
        <f>'Segment Detail'!DP64</f>
        <v>-22.4</v>
      </c>
      <c r="DG26" s="37">
        <f>'Segment Detail'!DQ64</f>
        <v>26.700000000000003</v>
      </c>
      <c r="DH26" s="42">
        <f>Y26-SUM(DD26:DG26)</f>
        <v>-2.8421709430404007E-14</v>
      </c>
      <c r="DI26" s="37">
        <f>'Segment Detail'!DS64</f>
        <v>-11.774999999999999</v>
      </c>
      <c r="DJ26" s="37">
        <f>'Segment Detail'!DT64</f>
        <v>32.424999999999997</v>
      </c>
      <c r="DK26" s="37">
        <f>'Segment Detail'!DU64</f>
        <v>34.425000000000004</v>
      </c>
      <c r="DL26" s="37">
        <f>'Segment Detail'!DV64</f>
        <v>60.324999999999996</v>
      </c>
      <c r="DM26" s="42">
        <f>Z26-SUM(DI26:DL26)</f>
        <v>0</v>
      </c>
    </row>
    <row r="27" spans="1:117">
      <c r="A27" s="6"/>
      <c r="B27" s="43" t="s">
        <v>676</v>
      </c>
      <c r="C27" s="38"/>
      <c r="D27" s="38">
        <f t="shared" ref="D27:I27" si="28">D26/C26-1</f>
        <v>3.4147649710689176E-2</v>
      </c>
      <c r="E27" s="38">
        <f t="shared" si="28"/>
        <v>-3.0709407342789374E-3</v>
      </c>
      <c r="F27" s="38">
        <f t="shared" si="28"/>
        <v>-0.18407818043740265</v>
      </c>
      <c r="G27" s="38">
        <f t="shared" si="28"/>
        <v>-0.36145977507848503</v>
      </c>
      <c r="H27" s="38">
        <f t="shared" si="28"/>
        <v>-3.736640815401604E-2</v>
      </c>
      <c r="I27" s="38">
        <f t="shared" si="28"/>
        <v>8.8010492080496716E-2</v>
      </c>
      <c r="J27" s="38"/>
      <c r="K27" s="38"/>
      <c r="L27" s="38">
        <f t="shared" ref="L27:AC27" si="29">L26/K26-1</f>
        <v>3.4147649710689176E-2</v>
      </c>
      <c r="M27" s="38">
        <f t="shared" si="29"/>
        <v>-3.0709407342789374E-3</v>
      </c>
      <c r="N27" s="38">
        <f t="shared" si="29"/>
        <v>-0.18407818043740265</v>
      </c>
      <c r="O27" s="38">
        <f t="shared" si="29"/>
        <v>-0.36145977507848503</v>
      </c>
      <c r="P27" s="38">
        <f t="shared" si="29"/>
        <v>-3.736640815401604E-2</v>
      </c>
      <c r="Q27" s="39">
        <f t="shared" si="29"/>
        <v>8.8010492080496716E-2</v>
      </c>
      <c r="R27" s="39">
        <f t="shared" si="29"/>
        <v>0.10860590700159412</v>
      </c>
      <c r="S27" s="39">
        <f t="shared" si="29"/>
        <v>0.29077616798953176</v>
      </c>
      <c r="T27" s="38">
        <f t="shared" si="29"/>
        <v>0.1254011355220932</v>
      </c>
      <c r="U27" s="38">
        <f>U26/T26-1</f>
        <v>-0.3840754551436717</v>
      </c>
      <c r="V27" s="38"/>
      <c r="W27" s="38">
        <f t="shared" si="22"/>
        <v>0.1254011355220932</v>
      </c>
      <c r="X27" s="38">
        <f>X26/W26-1</f>
        <v>-0.3840754551436717</v>
      </c>
      <c r="Y27" s="38">
        <f>Y26/X26-1</f>
        <v>-1.1111111111111112</v>
      </c>
      <c r="Z27" s="38">
        <f t="shared" si="29"/>
        <v>-4.6987179487179436</v>
      </c>
      <c r="AA27" s="38">
        <f t="shared" si="29"/>
        <v>1.3206239168110936</v>
      </c>
      <c r="AB27" s="38">
        <f t="shared" si="29"/>
        <v>3.7341299477222645E-3</v>
      </c>
      <c r="AC27" s="39">
        <f t="shared" si="29"/>
        <v>0.12872023809523792</v>
      </c>
      <c r="AD27" s="2695"/>
      <c r="AE27" s="2688"/>
      <c r="AF27" s="1110"/>
      <c r="AG27" s="1110"/>
      <c r="AH27" s="1110"/>
      <c r="AI27" s="2688"/>
      <c r="AJ27" s="1110"/>
      <c r="AK27" s="1110"/>
      <c r="AL27" s="38"/>
      <c r="AM27" s="38"/>
      <c r="AN27" s="38"/>
      <c r="AO27" s="38"/>
      <c r="AP27" s="38"/>
      <c r="AQ27" s="38"/>
      <c r="AR27" s="38"/>
      <c r="AS27" s="38"/>
      <c r="AT27" s="38"/>
      <c r="AU27" s="38"/>
      <c r="AV27" s="38"/>
      <c r="AW27" s="38"/>
      <c r="AX27" s="38"/>
      <c r="AY27" s="38"/>
      <c r="AZ27" s="10"/>
      <c r="BA27" s="38"/>
      <c r="BB27" s="38"/>
      <c r="BC27" s="38"/>
      <c r="BD27" s="38"/>
      <c r="BE27" s="4"/>
      <c r="BF27" s="38"/>
      <c r="BG27" s="38"/>
      <c r="BH27" s="38"/>
      <c r="BI27" s="38"/>
      <c r="BJ27" s="10"/>
      <c r="BK27" s="38"/>
      <c r="BL27" s="38"/>
      <c r="BM27" s="38"/>
      <c r="BN27" s="38"/>
      <c r="BO27" s="4"/>
      <c r="BP27" s="38"/>
      <c r="BQ27" s="38"/>
      <c r="BR27" s="38"/>
      <c r="BS27" s="38"/>
      <c r="BT27" s="4"/>
      <c r="BU27" s="38"/>
      <c r="BV27" s="38"/>
      <c r="BW27" s="38"/>
      <c r="BX27" s="38"/>
      <c r="BY27" s="4"/>
      <c r="BZ27" s="38"/>
      <c r="CA27" s="38"/>
      <c r="CB27" s="38"/>
      <c r="CC27" s="38"/>
      <c r="CD27" s="7"/>
      <c r="CE27" s="39"/>
      <c r="CF27" s="39"/>
      <c r="CG27" s="39"/>
      <c r="CH27" s="39"/>
      <c r="CI27" s="8"/>
      <c r="CJ27" s="39">
        <f>CJ26/CE26-1</f>
        <v>0.11285577475579434</v>
      </c>
      <c r="CK27" s="39">
        <f>CK26/CF26-1</f>
        <v>1.9965519159112377E-2</v>
      </c>
      <c r="CL27" s="39">
        <f>CL26/CG26-1</f>
        <v>0.1222530577211931</v>
      </c>
      <c r="CM27" s="39">
        <f>CM26/CH26-1</f>
        <v>0.17965116727763819</v>
      </c>
      <c r="CN27" s="44"/>
      <c r="CO27" s="39">
        <f>CO26/CJ26-1</f>
        <v>0.96292050903408066</v>
      </c>
      <c r="CP27" s="39">
        <f>CP26/CK26-1</f>
        <v>0.30016357688113393</v>
      </c>
      <c r="CQ27" s="39">
        <f>CQ26/CL26-1</f>
        <v>0.31068907892942188</v>
      </c>
      <c r="CR27" s="38">
        <f>CR26/CM26-1</f>
        <v>9.9311125983759352E-2</v>
      </c>
      <c r="CS27" s="856"/>
      <c r="CT27" s="39">
        <f>CT26/CO26-1</f>
        <v>4.778605874616404E-2</v>
      </c>
      <c r="CU27" s="39">
        <f>CU26/CP26-1</f>
        <v>7.4019710631159752E-2</v>
      </c>
      <c r="CV27" s="39">
        <f>CV26/CQ26-1</f>
        <v>9.4578166788232609E-2</v>
      </c>
      <c r="CW27" s="38">
        <f>CW26/CR26-1</f>
        <v>0.2342789129141043</v>
      </c>
      <c r="CX27" s="6"/>
      <c r="CY27" s="39">
        <f>CY26/CT26-1</f>
        <v>-5.2719665271966476E-2</v>
      </c>
      <c r="CZ27" s="39">
        <f>CZ26/CU26-1</f>
        <v>-0.16048418586489666</v>
      </c>
      <c r="DA27" s="39">
        <f>DA26/CV26-1</f>
        <v>-0.38693913816081738</v>
      </c>
      <c r="DB27" s="38">
        <f>DB26/CW26-1</f>
        <v>-0.69334619093539063</v>
      </c>
      <c r="DC27" s="6"/>
      <c r="DD27" s="39">
        <f>DD26/CY26-1</f>
        <v>-1.4540636042402826</v>
      </c>
      <c r="DE27" s="39">
        <f>DE26/CZ26-1</f>
        <v>-1.0911627906976744</v>
      </c>
      <c r="DF27" s="39">
        <f>DF26/DA26-1</f>
        <v>-1.3246376811594203</v>
      </c>
      <c r="DG27" s="38">
        <f>DG26/DB26-1</f>
        <v>-0.44025157232704404</v>
      </c>
      <c r="DH27" s="6"/>
      <c r="DI27" s="39">
        <f>DI26/DD26-1</f>
        <v>-0.54182879377431903</v>
      </c>
      <c r="DJ27" s="39">
        <f>DJ26/DE26-1</f>
        <v>-4.308673469387756</v>
      </c>
      <c r="DK27" s="39">
        <f>DK26/DF26-1</f>
        <v>-2.5368303571428577</v>
      </c>
      <c r="DL27" s="38">
        <f>DL26/DG26-1</f>
        <v>1.2593632958801493</v>
      </c>
    </row>
    <row r="28" spans="1:117" ht="10.5" customHeight="1">
      <c r="A28" s="6"/>
      <c r="B28" s="43" t="s">
        <v>690</v>
      </c>
      <c r="C28" s="38">
        <f t="shared" ref="C28:I28" si="30">C26/C21</f>
        <v>0.37055837886438869</v>
      </c>
      <c r="D28" s="38">
        <f t="shared" si="30"/>
        <v>0.33661190168175942</v>
      </c>
      <c r="E28" s="38">
        <f t="shared" si="30"/>
        <v>0.3088570014674169</v>
      </c>
      <c r="F28" s="38">
        <f t="shared" si="30"/>
        <v>0.26061880534704041</v>
      </c>
      <c r="G28" s="38">
        <f t="shared" si="30"/>
        <v>0.1654706152433425</v>
      </c>
      <c r="H28" s="38">
        <f t="shared" si="30"/>
        <v>0.14882814734313332</v>
      </c>
      <c r="I28" s="38">
        <f t="shared" si="30"/>
        <v>0.15056709392617804</v>
      </c>
      <c r="J28" s="38"/>
      <c r="K28" s="38">
        <f t="shared" ref="K28:AC28" si="31">K26/K21</f>
        <v>0.37055837886438869</v>
      </c>
      <c r="L28" s="38">
        <f t="shared" si="31"/>
        <v>0.33661190168175942</v>
      </c>
      <c r="M28" s="38">
        <f t="shared" si="31"/>
        <v>0.3088570014674169</v>
      </c>
      <c r="N28" s="38">
        <f t="shared" si="31"/>
        <v>0.26061880534704041</v>
      </c>
      <c r="O28" s="38">
        <f t="shared" si="31"/>
        <v>0.1654706152433425</v>
      </c>
      <c r="P28" s="38">
        <f t="shared" si="31"/>
        <v>0.14882814734313332</v>
      </c>
      <c r="Q28" s="39">
        <f t="shared" si="31"/>
        <v>0.15056709392617804</v>
      </c>
      <c r="R28" s="39">
        <f t="shared" si="31"/>
        <v>0.16100250089775817</v>
      </c>
      <c r="S28" s="39">
        <f t="shared" si="31"/>
        <v>0.19259294475610916</v>
      </c>
      <c r="T28" s="38">
        <f t="shared" si="31"/>
        <v>0.20843048507292092</v>
      </c>
      <c r="U28" s="38">
        <f t="shared" si="31"/>
        <v>0.12936515249239844</v>
      </c>
      <c r="V28" s="38"/>
      <c r="W28" s="38">
        <f t="shared" si="22"/>
        <v>0.20843048507292092</v>
      </c>
      <c r="X28" s="38">
        <f t="shared" si="23"/>
        <v>0.12936515249239844</v>
      </c>
      <c r="Y28" s="38">
        <f t="shared" si="31"/>
        <v>-1.8112156043190535E-2</v>
      </c>
      <c r="Z28" s="38">
        <f t="shared" si="31"/>
        <v>6.3434476693051842E-2</v>
      </c>
      <c r="AA28" s="38">
        <f t="shared" si="31"/>
        <v>0.20824261275272163</v>
      </c>
      <c r="AB28" s="38">
        <f t="shared" si="31"/>
        <v>0.20924801494628681</v>
      </c>
      <c r="AC28" s="39">
        <f t="shared" si="31"/>
        <v>0.23266871165644171</v>
      </c>
      <c r="AD28" s="2695"/>
      <c r="AE28" s="2688"/>
      <c r="AF28" s="1110"/>
      <c r="AG28" s="1110"/>
      <c r="AH28" s="1110"/>
      <c r="AI28" s="2688"/>
      <c r="AJ28" s="1110"/>
      <c r="AK28" s="1110"/>
      <c r="AL28" s="38"/>
      <c r="AM28" s="38"/>
      <c r="AN28" s="38"/>
      <c r="AO28" s="38"/>
      <c r="AP28" s="38"/>
      <c r="AQ28" s="38"/>
      <c r="AR28" s="38"/>
      <c r="AS28" s="38"/>
      <c r="AT28" s="38"/>
      <c r="AU28" s="38"/>
      <c r="AV28" s="38"/>
      <c r="AW28" s="38"/>
      <c r="AX28" s="38"/>
      <c r="AY28" s="38"/>
      <c r="AZ28" s="38"/>
      <c r="BA28" s="38">
        <f>BA26/BA21</f>
        <v>0.27653501628664495</v>
      </c>
      <c r="BB28" s="38">
        <f>BB26/BB21</f>
        <v>0.36025203435804709</v>
      </c>
      <c r="BC28" s="38">
        <f>BC26/BC21</f>
        <v>0.33681377946563001</v>
      </c>
      <c r="BD28" s="38">
        <f>BD26/BD21</f>
        <v>0.33263812823190742</v>
      </c>
      <c r="BE28" s="4"/>
      <c r="BF28" s="38">
        <f>BF26/BF21</f>
        <v>0.31575294980513091</v>
      </c>
      <c r="BG28" s="38">
        <f>BG26/BG21</f>
        <v>0.359980193151824</v>
      </c>
      <c r="BH28" s="38">
        <f>BH26/BH21</f>
        <v>0.371425855594817</v>
      </c>
      <c r="BI28" s="38">
        <f>BI26/BI21</f>
        <v>0.20543288691695152</v>
      </c>
      <c r="BJ28" s="38"/>
      <c r="BK28" s="38">
        <f>BK26/BK21</f>
        <v>0.24516650365353468</v>
      </c>
      <c r="BL28" s="38">
        <f>BL26/BL21</f>
        <v>0.30255388047905291</v>
      </c>
      <c r="BM28" s="38">
        <f>BM26/BM21</f>
        <v>0.24075221775753652</v>
      </c>
      <c r="BN28" s="38">
        <f>BN26/BN21</f>
        <v>0.24959793620992132</v>
      </c>
      <c r="BO28" s="4"/>
      <c r="BP28" s="38">
        <f>BP26/BP21</f>
        <v>0.10963257466973003</v>
      </c>
      <c r="BQ28" s="38">
        <f>BQ26/BQ21</f>
        <v>0.19790706945428771</v>
      </c>
      <c r="BR28" s="38">
        <f>BR26/BR21</f>
        <v>0.17686261655011656</v>
      </c>
      <c r="BS28" s="38">
        <f>BS26/BS21</f>
        <v>0.1673765877598152</v>
      </c>
      <c r="BT28" s="4"/>
      <c r="BU28" s="38">
        <f>BU26/BU21</f>
        <v>9.9669574411842432E-2</v>
      </c>
      <c r="BV28" s="38">
        <f>BV26/BV21</f>
        <v>0.19594506920415225</v>
      </c>
      <c r="BW28" s="38">
        <f>BW26/BW21</f>
        <v>0.13070639668660838</v>
      </c>
      <c r="BX28" s="38">
        <f>BX26/BX21</f>
        <v>0.15873414376321354</v>
      </c>
      <c r="BY28" s="4"/>
      <c r="BZ28" s="38">
        <f>BZ26/BZ21</f>
        <v>6.4728489957847746E-2</v>
      </c>
      <c r="CA28" s="38">
        <f>CA26/CA21</f>
        <v>0.18575413223140497</v>
      </c>
      <c r="CB28" s="38">
        <f>CB26/CB21</f>
        <v>0.14603091706705662</v>
      </c>
      <c r="CC28" s="38">
        <f>CC26/CC21</f>
        <v>0.18899504084014002</v>
      </c>
      <c r="CD28" s="7"/>
      <c r="CE28" s="39">
        <f>CE26/CE21</f>
        <v>6.4728489957847746E-2</v>
      </c>
      <c r="CF28" s="39">
        <f>CF26/CF21</f>
        <v>0.18575413223140497</v>
      </c>
      <c r="CG28" s="39">
        <f>CG26/CG21</f>
        <v>0.14603091706705662</v>
      </c>
      <c r="CH28" s="39">
        <f>CH26/CH21</f>
        <v>0.18899504084014002</v>
      </c>
      <c r="CI28" s="8"/>
      <c r="CJ28" s="39">
        <f>CJ26/CJ21</f>
        <v>6.7702400372873464E-2</v>
      </c>
      <c r="CK28" s="39">
        <f>CK26/CK21</f>
        <v>0.18365711996795514</v>
      </c>
      <c r="CL28" s="39">
        <f>CL26/CL21</f>
        <v>0.15896879432624117</v>
      </c>
      <c r="CM28" s="39">
        <f>CM26/CM21</f>
        <v>0.21736817406143344</v>
      </c>
      <c r="CN28" s="44"/>
      <c r="CO28" s="39">
        <f>CO26/CO21</f>
        <v>0.12610570544007074</v>
      </c>
      <c r="CP28" s="39">
        <f>CP26/CP21</f>
        <v>0.22310067365269462</v>
      </c>
      <c r="CQ28" s="39">
        <f>CQ26/CQ21</f>
        <v>0.19176613204028345</v>
      </c>
      <c r="CR28" s="38">
        <f>CR26/CR21</f>
        <v>0.21705993799517739</v>
      </c>
      <c r="CS28" s="856"/>
      <c r="CT28" s="39">
        <f>CT26/CT21</f>
        <v>0.12924507895306078</v>
      </c>
      <c r="CU28" s="39">
        <f>CU26/CU21</f>
        <v>0.23105377120173223</v>
      </c>
      <c r="CV28" s="39">
        <f>CV26/CV21</f>
        <v>0.20382107931908727</v>
      </c>
      <c r="CW28" s="38">
        <f>CW26/CW21</f>
        <v>0.25145489815712901</v>
      </c>
      <c r="CX28" s="6"/>
      <c r="CY28" s="39">
        <f>CY26/CY21</f>
        <v>0.11390621855504127</v>
      </c>
      <c r="CZ28" s="39">
        <f>CZ26/CZ21</f>
        <v>0.17973583012874098</v>
      </c>
      <c r="DA28" s="39">
        <f>DA26/DA21</f>
        <v>0.12561441835062809</v>
      </c>
      <c r="DB28" s="38">
        <f>DB26/DB21</f>
        <v>9.0632718981569466E-2</v>
      </c>
      <c r="DC28" s="6"/>
      <c r="DD28" s="39">
        <f>DD26/DD21</f>
        <v>-6.7649381416162141E-2</v>
      </c>
      <c r="DE28" s="39">
        <f>DE26/DE21</f>
        <v>-2.2575443446210541E-2</v>
      </c>
      <c r="DF28" s="39">
        <f>DF26/DF21</f>
        <v>-5.2718286655683691E-2</v>
      </c>
      <c r="DG28" s="38">
        <f>DG26/DG21</f>
        <v>5.5199503824684727E-2</v>
      </c>
      <c r="DH28" s="6"/>
      <c r="DI28" s="39">
        <f>DI26/DI21</f>
        <v>-3.0022947475777662E-2</v>
      </c>
      <c r="DJ28" s="39">
        <f>DJ26/DJ21</f>
        <v>7.1060705676090283E-2</v>
      </c>
      <c r="DK28" s="39">
        <f>DK26/DK21</f>
        <v>7.4885795083750289E-2</v>
      </c>
      <c r="DL28" s="38">
        <f>DL26/DL21</f>
        <v>0.11805283757338551</v>
      </c>
    </row>
    <row r="29" spans="1:117" ht="10.5" customHeight="1">
      <c r="A29" s="6"/>
      <c r="B29" s="6" t="s">
        <v>733</v>
      </c>
      <c r="C29" s="48">
        <f>C26-C30</f>
        <v>280.37682530424797</v>
      </c>
      <c r="D29" s="48">
        <f t="shared" ref="D29:I29" si="32">D26-D30</f>
        <v>280.37682530424797</v>
      </c>
      <c r="E29" s="48">
        <f t="shared" si="32"/>
        <v>370.47</v>
      </c>
      <c r="F29" s="48">
        <f t="shared" si="32"/>
        <v>345</v>
      </c>
      <c r="G29" s="48">
        <f t="shared" si="32"/>
        <v>52.296249999999986</v>
      </c>
      <c r="H29" s="48">
        <f t="shared" si="32"/>
        <v>52.296249999999986</v>
      </c>
      <c r="I29" s="48">
        <f t="shared" si="32"/>
        <v>52.296249999999986</v>
      </c>
      <c r="J29" s="38"/>
      <c r="K29" s="48">
        <f t="shared" ref="K29:AC29" si="33">K26-K30</f>
        <v>280.37682530424797</v>
      </c>
      <c r="L29" s="48">
        <f t="shared" si="33"/>
        <v>280.37682530424797</v>
      </c>
      <c r="M29" s="48">
        <f t="shared" si="33"/>
        <v>370.47</v>
      </c>
      <c r="N29" s="48">
        <f t="shared" si="33"/>
        <v>345</v>
      </c>
      <c r="O29" s="48">
        <f t="shared" si="33"/>
        <v>52.296249999999986</v>
      </c>
      <c r="P29" s="48">
        <f t="shared" si="33"/>
        <v>52.296249999999986</v>
      </c>
      <c r="Q29" s="49">
        <f t="shared" si="33"/>
        <v>52.296249999999986</v>
      </c>
      <c r="R29" s="49">
        <f t="shared" si="33"/>
        <v>53.342174999999997</v>
      </c>
      <c r="S29" s="49">
        <f t="shared" si="33"/>
        <v>53.300000000000011</v>
      </c>
      <c r="T29" s="48">
        <f t="shared" si="33"/>
        <v>51</v>
      </c>
      <c r="U29" s="48">
        <f t="shared" si="33"/>
        <v>50</v>
      </c>
      <c r="V29" s="48"/>
      <c r="W29" s="48">
        <f t="shared" si="22"/>
        <v>51</v>
      </c>
      <c r="X29" s="48">
        <f t="shared" si="23"/>
        <v>50</v>
      </c>
      <c r="Y29" s="48">
        <f t="shared" si="33"/>
        <v>50</v>
      </c>
      <c r="Z29" s="48">
        <f t="shared" si="33"/>
        <v>75.699999999999989</v>
      </c>
      <c r="AA29" s="48">
        <f t="shared" si="33"/>
        <v>70.800000000000011</v>
      </c>
      <c r="AB29" s="48">
        <f t="shared" si="33"/>
        <v>59.800000000000011</v>
      </c>
      <c r="AC29" s="49">
        <f t="shared" si="33"/>
        <v>60.400000000000006</v>
      </c>
      <c r="AD29" s="2696"/>
      <c r="AE29" s="2689"/>
      <c r="AF29" s="1366"/>
      <c r="AG29" s="2796"/>
      <c r="AH29" s="2796"/>
      <c r="AI29" s="2941"/>
      <c r="AJ29" s="2796"/>
      <c r="AK29" s="2796"/>
      <c r="AL29" s="2796"/>
      <c r="AM29" s="2796"/>
      <c r="AN29" s="2796"/>
      <c r="AO29" s="2796"/>
      <c r="AP29" s="2796"/>
      <c r="AQ29" s="2796"/>
      <c r="AR29" s="2796"/>
      <c r="AS29" s="2796"/>
      <c r="AT29" s="2796"/>
      <c r="AU29" s="2796"/>
      <c r="AV29" s="2796"/>
      <c r="AW29" s="2796"/>
      <c r="AX29" s="48"/>
      <c r="AY29" s="48"/>
      <c r="AZ29" s="38"/>
      <c r="BA29" s="48">
        <f>BA26-BA30</f>
        <v>69.029206326061995</v>
      </c>
      <c r="BB29" s="48">
        <f>BB26-BB30</f>
        <v>70.109206326062008</v>
      </c>
      <c r="BC29" s="48">
        <f>BC26-BC30</f>
        <v>70.619206326061942</v>
      </c>
      <c r="BD29" s="48">
        <f>BD26-BD30</f>
        <v>70.619206326061942</v>
      </c>
      <c r="BE29" s="4"/>
      <c r="BF29" s="48">
        <f>BF26-BF30</f>
        <v>66</v>
      </c>
      <c r="BG29" s="48">
        <f>BG26-BG30</f>
        <v>66</v>
      </c>
      <c r="BH29" s="48">
        <f>BH26-BH30</f>
        <v>66</v>
      </c>
      <c r="BI29" s="48">
        <f>BI26-BI30</f>
        <v>92.617500000000007</v>
      </c>
      <c r="BJ29" s="38"/>
      <c r="BK29" s="48">
        <f>BK26-BK30</f>
        <v>90</v>
      </c>
      <c r="BL29" s="48">
        <f>BL26-BL30</f>
        <v>90</v>
      </c>
      <c r="BM29" s="48">
        <f>BM26-BM30</f>
        <v>90</v>
      </c>
      <c r="BN29" s="48">
        <f>BN26-BN30</f>
        <v>75</v>
      </c>
      <c r="BO29" s="4"/>
      <c r="BP29" s="48">
        <f>BP26-BP30</f>
        <v>12.305</v>
      </c>
      <c r="BQ29" s="48">
        <f>BQ26-BQ30</f>
        <v>12.305000000000007</v>
      </c>
      <c r="BR29" s="48">
        <f>BR26-BR30</f>
        <v>12.305</v>
      </c>
      <c r="BS29" s="48">
        <f>BS26-BS30</f>
        <v>15.381250000000001</v>
      </c>
      <c r="BT29" s="4">
        <f>G29-SUM(BP29:BS29)</f>
        <v>0</v>
      </c>
      <c r="BU29" s="48">
        <f>BU26-BU30</f>
        <v>12.305</v>
      </c>
      <c r="BV29" s="48">
        <f>BV26-BV30</f>
        <v>12.305000000000007</v>
      </c>
      <c r="BW29" s="48">
        <f>BW26-BW30</f>
        <v>12.305</v>
      </c>
      <c r="BX29" s="48">
        <f>BX26-BX30</f>
        <v>15.381250000000001</v>
      </c>
      <c r="BY29" s="4">
        <f>H29-SUM(BU29:BX29)</f>
        <v>0</v>
      </c>
      <c r="BZ29" s="48">
        <f>BZ26-BZ30</f>
        <v>12.305</v>
      </c>
      <c r="CA29" s="48">
        <f>CA26-CA30</f>
        <v>12.305000000000007</v>
      </c>
      <c r="CB29" s="48">
        <f>CB26-CB30</f>
        <v>12.305</v>
      </c>
      <c r="CC29" s="48">
        <f>CC26-CC30</f>
        <v>15.381249999999994</v>
      </c>
      <c r="CD29" s="7">
        <f>I29-SUM(BZ29:CC29)</f>
        <v>0</v>
      </c>
      <c r="CE29" s="49">
        <f>CE26-CE30</f>
        <v>12.305</v>
      </c>
      <c r="CF29" s="49">
        <f>CF26-CF30</f>
        <v>12.305000000000007</v>
      </c>
      <c r="CG29" s="49">
        <f>CG26-CG30</f>
        <v>12.305</v>
      </c>
      <c r="CH29" s="49">
        <f>CH26-CH30</f>
        <v>15.381249999999994</v>
      </c>
      <c r="CI29" s="8">
        <f>Q29-SUM(CE29:CH29)</f>
        <v>0</v>
      </c>
      <c r="CJ29" s="49">
        <f>CJ26-CJ30</f>
        <v>12.551100000000002</v>
      </c>
      <c r="CK29" s="49">
        <f>CK26-CK30</f>
        <v>10</v>
      </c>
      <c r="CL29" s="49">
        <f>CL26-CL30</f>
        <v>12.551100000000005</v>
      </c>
      <c r="CM29" s="49">
        <f>CM26-CM30</f>
        <v>18.239975000000001</v>
      </c>
      <c r="CN29" s="44"/>
      <c r="CO29" s="49">
        <f>CO26-CO30</f>
        <v>12.524999999999999</v>
      </c>
      <c r="CP29" s="49">
        <f>CP26-CP30</f>
        <v>11.325000000000003</v>
      </c>
      <c r="CQ29" s="49">
        <f>CQ26-CQ30</f>
        <v>14.325000000000003</v>
      </c>
      <c r="CR29" s="48">
        <f>CR26-CR30</f>
        <v>15.125</v>
      </c>
      <c r="CS29" s="856"/>
      <c r="CT29" s="49">
        <f>CT26-CT30</f>
        <v>12.75</v>
      </c>
      <c r="CU29" s="49">
        <f>CU26-CU30</f>
        <v>12.75</v>
      </c>
      <c r="CV29" s="49">
        <f>CV26-CV30</f>
        <v>12.75</v>
      </c>
      <c r="CW29" s="48">
        <f>CW26-CW30</f>
        <v>12.75</v>
      </c>
      <c r="CX29" s="6"/>
      <c r="CY29" s="49">
        <f>CY26-CY30</f>
        <v>12.5</v>
      </c>
      <c r="CZ29" s="49">
        <f>CZ26-CZ30</f>
        <v>12.5</v>
      </c>
      <c r="DA29" s="49">
        <f>DA26-DA30</f>
        <v>12.5</v>
      </c>
      <c r="DB29" s="48">
        <f>DB26-DB30</f>
        <v>12.5</v>
      </c>
      <c r="DC29" s="48">
        <f>U29-SUM(CY29:DB29)</f>
        <v>0</v>
      </c>
      <c r="DD29" s="49">
        <f>DD26-DD30</f>
        <v>12.5</v>
      </c>
      <c r="DE29" s="49">
        <f>DE26-DE30</f>
        <v>12.5</v>
      </c>
      <c r="DF29" s="49">
        <f>DF26-DF30</f>
        <v>12.5</v>
      </c>
      <c r="DG29" s="48">
        <f>DG26-DG30</f>
        <v>12.5</v>
      </c>
      <c r="DH29" s="42">
        <f>Y29-SUM(DD29:DG29)</f>
        <v>0</v>
      </c>
      <c r="DI29" s="49">
        <f>DI26-DI30</f>
        <v>18.924999999999997</v>
      </c>
      <c r="DJ29" s="49">
        <f>DJ26-DJ30</f>
        <v>18.924999999999997</v>
      </c>
      <c r="DK29" s="49">
        <f>DK26-DK30</f>
        <v>18.924999999999997</v>
      </c>
      <c r="DL29" s="48">
        <f>DL26-DL30</f>
        <v>18.924999999999997</v>
      </c>
      <c r="DM29" s="42">
        <f>Z29-SUM(DI29:DL29)</f>
        <v>0</v>
      </c>
    </row>
    <row r="30" spans="1:117">
      <c r="A30" s="6"/>
      <c r="B30" s="6" t="s">
        <v>685</v>
      </c>
      <c r="C30" s="10">
        <f>'Segment Detail'!E72</f>
        <v>222.84145319359186</v>
      </c>
      <c r="D30" s="10">
        <f>'Segment Detail'!K72</f>
        <v>240.02517469575207</v>
      </c>
      <c r="E30" s="10">
        <f>'Segment Detail'!N72</f>
        <v>148.33387629999982</v>
      </c>
      <c r="F30" s="10">
        <f>'Segment Detail'!R72</f>
        <v>78.303402746824531</v>
      </c>
      <c r="G30" s="10">
        <f>'Segment Detail'!T72</f>
        <v>218</v>
      </c>
      <c r="H30" s="10">
        <f>'Segment Detail'!U72</f>
        <v>207.90000000000003</v>
      </c>
      <c r="I30" s="10">
        <f>'Segment Detail'!X72</f>
        <v>230.79999999999995</v>
      </c>
      <c r="J30" s="10"/>
      <c r="K30" s="10">
        <f>'Segment Detail'!F72</f>
        <v>222.84145319359186</v>
      </c>
      <c r="L30" s="10">
        <f>'Segment Detail'!L72</f>
        <v>240.02517469575207</v>
      </c>
      <c r="M30" s="10">
        <f>'Segment Detail'!O72</f>
        <v>148.33387629999982</v>
      </c>
      <c r="N30" s="10">
        <f>'Segment Detail'!S72</f>
        <v>78.303402746824531</v>
      </c>
      <c r="O30" s="10">
        <f>'Segment Detail'!Y72</f>
        <v>218</v>
      </c>
      <c r="P30" s="10">
        <f>'Segment Detail'!Z72</f>
        <v>207.90000000000003</v>
      </c>
      <c r="Q30" s="37">
        <f>'Segment Detail'!AA72</f>
        <v>230.79999999999995</v>
      </c>
      <c r="R30" s="37">
        <f>'Segment Detail'!AB72</f>
        <v>260.5</v>
      </c>
      <c r="S30" s="37">
        <f>'Segment Detail'!AC72</f>
        <v>351.8</v>
      </c>
      <c r="T30" s="10">
        <f>'Segment Detail'!AD72</f>
        <v>404.9</v>
      </c>
      <c r="U30" s="10">
        <f>'Segment Detail'!AE72</f>
        <v>230.80000000000007</v>
      </c>
      <c r="V30" s="10"/>
      <c r="W30" s="10">
        <f t="shared" si="22"/>
        <v>404.9</v>
      </c>
      <c r="X30" s="10">
        <f t="shared" si="23"/>
        <v>230.80000000000007</v>
      </c>
      <c r="Y30" s="10">
        <f>'Segment Detail'!AF72</f>
        <v>-81.200000000000017</v>
      </c>
      <c r="Z30" s="37">
        <f>'Segment Detail'!AG72</f>
        <v>39.699999999999932</v>
      </c>
      <c r="AA30" s="10">
        <f>'Segment Detail'!AH72</f>
        <v>197</v>
      </c>
      <c r="AB30" s="10">
        <f>'Segment Detail'!AI72</f>
        <v>209</v>
      </c>
      <c r="AC30" s="37">
        <f>'Segment Detail'!AJ72</f>
        <v>242.99999999999997</v>
      </c>
      <c r="AD30" s="2697"/>
      <c r="AE30" s="2687"/>
      <c r="AF30" s="1626"/>
      <c r="AG30" s="2938"/>
      <c r="AH30" s="2938"/>
      <c r="AI30" s="2939"/>
      <c r="AJ30" s="2938"/>
      <c r="AK30" s="2938"/>
      <c r="AL30" s="2938"/>
      <c r="AM30" s="2938"/>
      <c r="AN30" s="2938"/>
      <c r="AO30" s="2938"/>
      <c r="AP30" s="2938"/>
      <c r="AQ30" s="2938"/>
      <c r="AR30" s="2938"/>
      <c r="AS30" s="2938"/>
      <c r="AT30" s="2938"/>
      <c r="AU30" s="2938"/>
      <c r="AV30" s="2938"/>
      <c r="AW30" s="2938"/>
      <c r="AX30" s="10"/>
      <c r="AY30" s="10"/>
      <c r="AZ30" s="10"/>
      <c r="BA30" s="10">
        <f>'Segment Detail'!BF72</f>
        <v>32.846293673938007</v>
      </c>
      <c r="BB30" s="10">
        <f>'Segment Detail'!BG72</f>
        <v>89.266293673938009</v>
      </c>
      <c r="BC30" s="10">
        <f>'Segment Detail'!BH72</f>
        <v>79.266293673938065</v>
      </c>
      <c r="BD30" s="10">
        <f>'Segment Detail'!BI72</f>
        <v>86.081293673938063</v>
      </c>
      <c r="BE30" s="4"/>
      <c r="BF30" s="10">
        <f>'Segment Detail'!BK72</f>
        <v>51.96025000000003</v>
      </c>
      <c r="BG30" s="10">
        <f>'Segment Detail'!BL72</f>
        <v>93.172550000000001</v>
      </c>
      <c r="BH30" s="10">
        <f>'Segment Detail'!BM72</f>
        <v>91.67027569999982</v>
      </c>
      <c r="BI30" s="10">
        <f>'Segment Detail'!BN72</f>
        <v>-2.3297461999998177</v>
      </c>
      <c r="BJ30" s="10"/>
      <c r="BK30" s="10">
        <f>'Segment Detail'!BU72</f>
        <v>2.6793467624132461</v>
      </c>
      <c r="BL30" s="10">
        <f>'Segment Detail'!BV72</f>
        <v>41.786301762413274</v>
      </c>
      <c r="BM30" s="10">
        <f>'Segment Detail'!BW72</f>
        <v>11.050271762413303</v>
      </c>
      <c r="BN30" s="10">
        <f>'Segment Detail'!BX72</f>
        <v>22.565661762413214</v>
      </c>
      <c r="BO30" s="4"/>
      <c r="BP30" s="10">
        <f>'Segment Detail'!BZ72</f>
        <v>25.869062499999998</v>
      </c>
      <c r="BQ30" s="10">
        <f>'Segment Detail'!CA72</f>
        <v>71.469062499999978</v>
      </c>
      <c r="BR30" s="10">
        <f>'Segment Detail'!CB72</f>
        <v>63.569062500000008</v>
      </c>
      <c r="BS30" s="10">
        <f>'Segment Detail'!CC72</f>
        <v>57.092812499999987</v>
      </c>
      <c r="BT30" s="4">
        <f>G30-SUM(BP30:BS30)</f>
        <v>0</v>
      </c>
      <c r="BU30" s="10">
        <f>'Segment Detail'!CE72</f>
        <v>25.399999999999991</v>
      </c>
      <c r="BV30" s="10">
        <f>'Segment Detail'!CF72</f>
        <v>78.299999999999983</v>
      </c>
      <c r="BW30" s="10">
        <f>'Segment Detail'!CG72</f>
        <v>44.500000000000007</v>
      </c>
      <c r="BX30" s="10">
        <f>'Segment Detail'!CH72</f>
        <v>59.70000000000001</v>
      </c>
      <c r="BY30" s="4">
        <f>H30-SUM(BU30:BX30)</f>
        <v>0</v>
      </c>
      <c r="BZ30" s="10">
        <f>'Segment Detail'!CJ72</f>
        <v>13.799999999999997</v>
      </c>
      <c r="CA30" s="10">
        <f>'Segment Detail'!CK72</f>
        <v>77.599999999999994</v>
      </c>
      <c r="CB30" s="10">
        <f>'Segment Detail'!CL72</f>
        <v>57.6</v>
      </c>
      <c r="CC30" s="10">
        <f>'Segment Detail'!CM72</f>
        <v>81.800000000000011</v>
      </c>
      <c r="CD30" s="7">
        <f>I30-SUM(BZ30:CC30)</f>
        <v>0</v>
      </c>
      <c r="CE30" s="37">
        <f>'Segment Detail'!CO72</f>
        <v>13.799999999999997</v>
      </c>
      <c r="CF30" s="37">
        <f>'Segment Detail'!CP72</f>
        <v>77.599999999999994</v>
      </c>
      <c r="CG30" s="37">
        <f>'Segment Detail'!CQ72</f>
        <v>57.6</v>
      </c>
      <c r="CH30" s="37">
        <f>'Segment Detail'!CR72</f>
        <v>81.800000000000011</v>
      </c>
      <c r="CI30" s="8">
        <f>Q30-SUM(CE30:CH30)</f>
        <v>0</v>
      </c>
      <c r="CJ30" s="37">
        <f>'Segment Detail'!CT72</f>
        <v>16.500000000000004</v>
      </c>
      <c r="CK30" s="37">
        <f>'Segment Detail'!CU72</f>
        <v>81.7</v>
      </c>
      <c r="CL30" s="37">
        <f>'Segment Detail'!CV72</f>
        <v>65.900000000000006</v>
      </c>
      <c r="CM30" s="37">
        <f>'Segment Detail'!CW72</f>
        <v>96.399999999999991</v>
      </c>
      <c r="CN30" s="45">
        <f>R30-SUM(CJ30:CM30)</f>
        <v>0</v>
      </c>
      <c r="CO30" s="37">
        <f>'Segment Detail'!CY72</f>
        <v>44.499999999999993</v>
      </c>
      <c r="CP30" s="37">
        <f>'Segment Detail'!CZ72</f>
        <v>107.89999999999999</v>
      </c>
      <c r="CQ30" s="37">
        <f>'Segment Detail'!DA72</f>
        <v>88.499999999999986</v>
      </c>
      <c r="CR30" s="10">
        <f>'Segment Detail'!DB72</f>
        <v>110.9</v>
      </c>
      <c r="CS30" s="857">
        <f>S30-SUM(CO30:CR30)</f>
        <v>0</v>
      </c>
      <c r="CT30" s="37">
        <f>'Segment Detail'!DD72</f>
        <v>47</v>
      </c>
      <c r="CU30" s="37">
        <f>'Segment Detail'!DE72</f>
        <v>115.30000000000001</v>
      </c>
      <c r="CV30" s="37">
        <f>'Segment Detail'!DF72</f>
        <v>99.8</v>
      </c>
      <c r="CW30" s="10">
        <f>'Segment Detail'!DG72</f>
        <v>142.80000000000001</v>
      </c>
      <c r="CX30" s="48">
        <f>T30-SUM(CT30:CW30)</f>
        <v>0</v>
      </c>
      <c r="CY30" s="37">
        <f>'Segment Detail'!DI72</f>
        <v>44.1</v>
      </c>
      <c r="CZ30" s="37">
        <f>'Segment Detail'!DJ72</f>
        <v>94.999999999999986</v>
      </c>
      <c r="DA30" s="37">
        <f>'Segment Detail'!DK72</f>
        <v>56.5</v>
      </c>
      <c r="DB30" s="10">
        <f>'Segment Detail'!DL72</f>
        <v>35.200000000000003</v>
      </c>
      <c r="DC30" s="48">
        <f>U30-SUM(CY30:DB30)</f>
        <v>0</v>
      </c>
      <c r="DD30" s="37">
        <f>'Segment Detail'!DN72</f>
        <v>-38.199999999999996</v>
      </c>
      <c r="DE30" s="37">
        <f>'Segment Detail'!DO72</f>
        <v>-22.299999999999997</v>
      </c>
      <c r="DF30" s="37">
        <f>'Segment Detail'!DP72</f>
        <v>-34.9</v>
      </c>
      <c r="DG30" s="10">
        <f>'Segment Detail'!DQ72</f>
        <v>14.200000000000003</v>
      </c>
      <c r="DH30" s="42">
        <f>Y30-SUM(DD30:DG30)</f>
        <v>0</v>
      </c>
      <c r="DI30" s="10">
        <f>'Segment Detail'!DS72</f>
        <v>-30.699999999999996</v>
      </c>
      <c r="DJ30" s="10">
        <f>'Segment Detail'!DT72</f>
        <v>13.5</v>
      </c>
      <c r="DK30" s="10">
        <f>'Segment Detail'!DU72</f>
        <v>15.500000000000007</v>
      </c>
      <c r="DL30" s="10">
        <f>'Segment Detail'!DV72</f>
        <v>41.4</v>
      </c>
      <c r="DM30" s="42">
        <f>Z30-SUM(DI30:DL30)</f>
        <v>-7.815970093361102E-14</v>
      </c>
    </row>
    <row r="31" spans="1:117">
      <c r="A31" s="6"/>
      <c r="B31" s="43" t="s">
        <v>676</v>
      </c>
      <c r="C31" s="38"/>
      <c r="D31" s="38">
        <f t="shared" ref="D31:I31" si="34">D30/C30-1</f>
        <v>7.7111871493819262E-2</v>
      </c>
      <c r="E31" s="38">
        <f t="shared" si="34"/>
        <v>-0.3820070061899844</v>
      </c>
      <c r="F31" s="38">
        <f t="shared" si="34"/>
        <v>-0.47211382389509748</v>
      </c>
      <c r="G31" s="38">
        <f t="shared" si="34"/>
        <v>1.7840424854185617</v>
      </c>
      <c r="H31" s="38">
        <f t="shared" si="34"/>
        <v>-4.633027522935762E-2</v>
      </c>
      <c r="I31" s="38">
        <f t="shared" si="34"/>
        <v>0.11014911014910966</v>
      </c>
      <c r="J31" s="38"/>
      <c r="K31" s="38"/>
      <c r="L31" s="38">
        <f t="shared" ref="L31:AC31" si="35">L30/K30-1</f>
        <v>7.7111871493819262E-2</v>
      </c>
      <c r="M31" s="38">
        <f t="shared" si="35"/>
        <v>-0.3820070061899844</v>
      </c>
      <c r="N31" s="38">
        <f t="shared" si="35"/>
        <v>-0.47211382389509748</v>
      </c>
      <c r="O31" s="38">
        <f t="shared" si="35"/>
        <v>1.7840424854185617</v>
      </c>
      <c r="P31" s="38">
        <f t="shared" si="35"/>
        <v>-4.633027522935762E-2</v>
      </c>
      <c r="Q31" s="39">
        <f t="shared" si="35"/>
        <v>0.11014911014910966</v>
      </c>
      <c r="R31" s="39">
        <f t="shared" si="35"/>
        <v>0.12868284228769511</v>
      </c>
      <c r="S31" s="39">
        <f t="shared" si="35"/>
        <v>0.35047984644913632</v>
      </c>
      <c r="T31" s="38">
        <f t="shared" si="35"/>
        <v>0.15093803297328012</v>
      </c>
      <c r="U31" s="38">
        <f>U30/T30-1</f>
        <v>-0.42998271178068637</v>
      </c>
      <c r="V31" s="38"/>
      <c r="W31" s="38">
        <f t="shared" si="22"/>
        <v>0.15093803297328012</v>
      </c>
      <c r="X31" s="38">
        <f>X30/W30-1</f>
        <v>-0.42998271178068637</v>
      </c>
      <c r="Y31" s="38">
        <f>Y30/X30-1</f>
        <v>-1.3518197573656845</v>
      </c>
      <c r="Z31" s="38">
        <f t="shared" si="35"/>
        <v>-1.4889162561576346</v>
      </c>
      <c r="AA31" s="38">
        <f t="shared" si="35"/>
        <v>3.9622166246851469</v>
      </c>
      <c r="AB31" s="38">
        <f t="shared" si="35"/>
        <v>6.0913705583756306E-2</v>
      </c>
      <c r="AC31" s="39">
        <f t="shared" si="35"/>
        <v>0.16267942583732053</v>
      </c>
      <c r="AD31" s="2695"/>
      <c r="AE31" s="2688"/>
      <c r="AF31" s="1110"/>
      <c r="AG31" s="2802"/>
      <c r="AH31" s="2802"/>
      <c r="AI31" s="2940"/>
      <c r="AJ31" s="2802"/>
      <c r="AK31" s="2802"/>
      <c r="AL31" s="2802"/>
      <c r="AM31" s="2802"/>
      <c r="AN31" s="2802"/>
      <c r="AO31" s="2802"/>
      <c r="AP31" s="2802"/>
      <c r="AQ31" s="2802"/>
      <c r="AR31" s="2802"/>
      <c r="AS31" s="2802"/>
      <c r="AT31" s="2802"/>
      <c r="AU31" s="2802"/>
      <c r="AV31" s="2802"/>
      <c r="AW31" s="2802"/>
      <c r="AX31" s="38"/>
      <c r="AY31" s="38"/>
      <c r="AZ31" s="10"/>
      <c r="BA31" s="38"/>
      <c r="BB31" s="38"/>
      <c r="BC31" s="38"/>
      <c r="BD31" s="38"/>
      <c r="BE31" s="4"/>
      <c r="BF31" s="38"/>
      <c r="BG31" s="38"/>
      <c r="BH31" s="38"/>
      <c r="BI31" s="38"/>
      <c r="BJ31" s="10"/>
      <c r="BK31" s="38"/>
      <c r="BL31" s="38"/>
      <c r="BM31" s="38"/>
      <c r="BN31" s="38"/>
      <c r="BO31" s="4"/>
      <c r="BP31" s="38"/>
      <c r="BQ31" s="38"/>
      <c r="BR31" s="38"/>
      <c r="BS31" s="38"/>
      <c r="BT31" s="4"/>
      <c r="BU31" s="38"/>
      <c r="BV31" s="38"/>
      <c r="BW31" s="38"/>
      <c r="BX31" s="38"/>
      <c r="BY31" s="4"/>
      <c r="BZ31" s="38"/>
      <c r="CA31" s="38"/>
      <c r="CB31" s="38"/>
      <c r="CC31" s="38"/>
      <c r="CD31" s="7"/>
      <c r="CE31" s="39"/>
      <c r="CF31" s="39"/>
      <c r="CG31" s="39"/>
      <c r="CH31" s="39"/>
      <c r="CI31" s="8"/>
      <c r="CJ31" s="39">
        <f>CJ30/CE30-1</f>
        <v>0.1956521739130439</v>
      </c>
      <c r="CK31" s="39">
        <f>CK30/CF30-1</f>
        <v>5.2835051546391787E-2</v>
      </c>
      <c r="CL31" s="39">
        <f>CL30/CG30-1</f>
        <v>0.14409722222222232</v>
      </c>
      <c r="CM31" s="39">
        <f>CM30/CH30-1</f>
        <v>0.17848410757946187</v>
      </c>
      <c r="CN31" s="44"/>
      <c r="CO31" s="39">
        <f>CO30/CJ30-1</f>
        <v>1.6969696969696959</v>
      </c>
      <c r="CP31" s="39">
        <f>CP30/CK30-1</f>
        <v>0.32068543451652376</v>
      </c>
      <c r="CQ31" s="39">
        <f>CQ30/CL30-1</f>
        <v>0.34294385432473407</v>
      </c>
      <c r="CR31" s="38">
        <f>CR30/CM30-1</f>
        <v>0.15041493775933623</v>
      </c>
      <c r="CS31" s="856"/>
      <c r="CT31" s="39">
        <f>CT30/CO30-1</f>
        <v>5.6179775280899014E-2</v>
      </c>
      <c r="CU31" s="39">
        <f>CU30/CP30-1</f>
        <v>6.8582020389249543E-2</v>
      </c>
      <c r="CV31" s="39">
        <f>CV30/CQ30-1</f>
        <v>0.12768361581920917</v>
      </c>
      <c r="CW31" s="38">
        <f>CW30/CR30-1</f>
        <v>0.28764652840396754</v>
      </c>
      <c r="CX31" s="6"/>
      <c r="CY31" s="39">
        <f>CY30/CT30-1</f>
        <v>-6.1702127659574391E-2</v>
      </c>
      <c r="CZ31" s="39">
        <f>CZ30/CU30-1</f>
        <v>-0.17606244579358221</v>
      </c>
      <c r="DA31" s="39">
        <f>DA30/CV30-1</f>
        <v>-0.43386773547094182</v>
      </c>
      <c r="DB31" s="38">
        <f>DB30/CW30-1</f>
        <v>-0.75350140056022408</v>
      </c>
      <c r="DC31" s="6"/>
      <c r="DD31" s="39">
        <f>DD30/CY30-1</f>
        <v>-1.8662131519274374</v>
      </c>
      <c r="DE31" s="39">
        <f>DE30/CZ30-1</f>
        <v>-1.2347368421052631</v>
      </c>
      <c r="DF31" s="39">
        <f>DF30/DA30-1</f>
        <v>-1.6176991150442479</v>
      </c>
      <c r="DG31" s="38">
        <f>DG30/DB30-1</f>
        <v>-0.59659090909090906</v>
      </c>
      <c r="DH31" s="6"/>
      <c r="DI31" s="39">
        <f>DI30/DD30-1</f>
        <v>-0.19633507853403143</v>
      </c>
      <c r="DJ31" s="39">
        <f>DJ30/DE30-1</f>
        <v>-1.6053811659192827</v>
      </c>
      <c r="DK31" s="39">
        <f>DK30/DF30-1</f>
        <v>-1.4441260744985676</v>
      </c>
      <c r="DL31" s="38">
        <f>DL30/DG30-1</f>
        <v>1.9154929577464781</v>
      </c>
    </row>
    <row r="32" spans="1:117">
      <c r="A32" s="36"/>
      <c r="B32" s="43" t="s">
        <v>690</v>
      </c>
      <c r="C32" s="38">
        <f t="shared" ref="C32:I32" si="36">C30/C21</f>
        <v>0.1640953263575787</v>
      </c>
      <c r="D32" s="38">
        <f t="shared" si="36"/>
        <v>0.15525561105805438</v>
      </c>
      <c r="E32" s="38">
        <f t="shared" si="36"/>
        <v>8.8306888870592445E-2</v>
      </c>
      <c r="F32" s="38">
        <f t="shared" si="36"/>
        <v>4.8209721788348328E-2</v>
      </c>
      <c r="G32" s="38">
        <f t="shared" si="36"/>
        <v>0.13345576981940618</v>
      </c>
      <c r="H32" s="38">
        <f t="shared" si="36"/>
        <v>0.11891551793170509</v>
      </c>
      <c r="I32" s="38">
        <f t="shared" si="36"/>
        <v>0.12275289862780553</v>
      </c>
      <c r="J32" s="38"/>
      <c r="K32" s="38">
        <f t="shared" ref="K32:AC32" si="37">K30/K21</f>
        <v>0.1640953263575787</v>
      </c>
      <c r="L32" s="38">
        <f t="shared" si="37"/>
        <v>0.15525561105805438</v>
      </c>
      <c r="M32" s="38">
        <f t="shared" si="37"/>
        <v>8.8306888870592445E-2</v>
      </c>
      <c r="N32" s="38">
        <f t="shared" si="37"/>
        <v>4.8209721788348328E-2</v>
      </c>
      <c r="O32" s="38">
        <f t="shared" si="37"/>
        <v>0.13345576981940618</v>
      </c>
      <c r="P32" s="38">
        <f t="shared" si="37"/>
        <v>0.11891551793170509</v>
      </c>
      <c r="Q32" s="39">
        <f t="shared" si="37"/>
        <v>0.12275289862780553</v>
      </c>
      <c r="R32" s="39">
        <f t="shared" si="37"/>
        <v>0.13363771610321654</v>
      </c>
      <c r="S32" s="39">
        <f t="shared" si="37"/>
        <v>0.16725301892174574</v>
      </c>
      <c r="T32" s="38">
        <f t="shared" si="37"/>
        <v>0.18511406757189225</v>
      </c>
      <c r="U32" s="38">
        <f t="shared" si="37"/>
        <v>0.10633004699161526</v>
      </c>
      <c r="V32" s="38"/>
      <c r="W32" s="38">
        <f t="shared" si="22"/>
        <v>0.18511406757189225</v>
      </c>
      <c r="X32" s="38">
        <f t="shared" si="23"/>
        <v>0.10633004699161526</v>
      </c>
      <c r="Y32" s="38">
        <f t="shared" si="37"/>
        <v>-4.7138047138047146E-2</v>
      </c>
      <c r="Z32" s="38">
        <f t="shared" si="37"/>
        <v>2.1822779243623532E-2</v>
      </c>
      <c r="AA32" s="38">
        <f t="shared" si="37"/>
        <v>0.15318818040435458</v>
      </c>
      <c r="AB32" s="38">
        <f t="shared" si="37"/>
        <v>0.16269655924023044</v>
      </c>
      <c r="AC32" s="1110">
        <f t="shared" si="37"/>
        <v>0.18634969325153372</v>
      </c>
      <c r="AD32" s="2688"/>
      <c r="AE32" s="2688"/>
      <c r="AF32" s="1110"/>
      <c r="AG32" s="2802"/>
      <c r="AH32" s="2802"/>
      <c r="AI32" s="2940"/>
      <c r="AJ32" s="2802"/>
      <c r="AK32" s="2802"/>
      <c r="AL32" s="2802"/>
      <c r="AM32" s="2802"/>
      <c r="AN32" s="2802"/>
      <c r="AO32" s="2802"/>
      <c r="AP32" s="2802"/>
      <c r="AQ32" s="2802"/>
      <c r="AR32" s="2802"/>
      <c r="AS32" s="2802"/>
      <c r="AT32" s="2802"/>
      <c r="AU32" s="2802"/>
      <c r="AV32" s="2802"/>
      <c r="AW32" s="2802"/>
      <c r="AX32" s="38"/>
      <c r="AY32" s="38"/>
      <c r="AZ32" s="6"/>
      <c r="BA32" s="38">
        <f>BA30/BA21</f>
        <v>8.9159320504717726E-2</v>
      </c>
      <c r="BB32" s="38">
        <f>BB30/BB21</f>
        <v>0.20177733651432644</v>
      </c>
      <c r="BC32" s="38">
        <f>BC30/BC21</f>
        <v>0.17812249988525666</v>
      </c>
      <c r="BD32" s="38">
        <f>BD30/BD21</f>
        <v>0.18273024274638491</v>
      </c>
      <c r="BE32" s="4"/>
      <c r="BF32" s="38">
        <f>BF30/BF21</f>
        <v>0.13908585485459771</v>
      </c>
      <c r="BG32" s="38">
        <f>BG30/BG21</f>
        <v>0.21071643663086367</v>
      </c>
      <c r="BH32" s="38">
        <f>BH30/BH21</f>
        <v>0.21594882379269686</v>
      </c>
      <c r="BI32" s="38">
        <f>BI30/BI21</f>
        <v>-5.3009014789529409E-3</v>
      </c>
      <c r="BJ32" s="6"/>
      <c r="BK32" s="38">
        <f>BK30/BK21</f>
        <v>7.0877288280874907E-3</v>
      </c>
      <c r="BL32" s="38">
        <f>BL30/BL21</f>
        <v>9.5932639280516013E-2</v>
      </c>
      <c r="BM32" s="38">
        <f>BM30/BM21</f>
        <v>2.6327266490480034E-2</v>
      </c>
      <c r="BN32" s="38">
        <f>BN30/BN21</f>
        <v>5.7728738814123555E-2</v>
      </c>
      <c r="BO32" s="4"/>
      <c r="BP32" s="38">
        <f>BP30/BP21</f>
        <v>7.429368897185526E-2</v>
      </c>
      <c r="BQ32" s="38">
        <f>BQ30/BQ21</f>
        <v>0.16883785140562244</v>
      </c>
      <c r="BR32" s="38">
        <f>BR30/BR21</f>
        <v>0.1481796328671329</v>
      </c>
      <c r="BS32" s="38">
        <f>BS30/BS21</f>
        <v>0.13185407043879904</v>
      </c>
      <c r="BT32" s="4"/>
      <c r="BU32" s="38">
        <f>BU30/BU21</f>
        <v>6.7142479513613504E-2</v>
      </c>
      <c r="BV32" s="38">
        <f>BV30/BV21</f>
        <v>0.16933391003460205</v>
      </c>
      <c r="BW32" s="38">
        <f>BW30/BW21</f>
        <v>0.10239300506212611</v>
      </c>
      <c r="BX32" s="38">
        <f>BX30/BX21</f>
        <v>0.12621564482029601</v>
      </c>
      <c r="BY32" s="4"/>
      <c r="BZ32" s="38">
        <f>BZ30/BZ21</f>
        <v>3.421770394247458E-2</v>
      </c>
      <c r="CA32" s="38">
        <f>CA30/CA21</f>
        <v>0.16033057851239668</v>
      </c>
      <c r="CB32" s="38">
        <f>CB30/CB21</f>
        <v>0.12032588259870483</v>
      </c>
      <c r="CC32" s="38">
        <f>CC30/CC21</f>
        <v>0.1590820692337612</v>
      </c>
      <c r="CD32" s="7"/>
      <c r="CE32" s="39">
        <f>CE30/CE21</f>
        <v>3.421770394247458E-2</v>
      </c>
      <c r="CF32" s="39">
        <f>CF30/CF21</f>
        <v>0.16033057851239668</v>
      </c>
      <c r="CG32" s="39">
        <f>CG30/CG21</f>
        <v>0.12032588259870483</v>
      </c>
      <c r="CH32" s="39">
        <f>CH30/CH21</f>
        <v>0.1590820692337612</v>
      </c>
      <c r="CI32" s="8"/>
      <c r="CJ32" s="39">
        <f>CJ30/CJ21</f>
        <v>3.8452575157305997E-2</v>
      </c>
      <c r="CK32" s="39">
        <f>CK30/CK21</f>
        <v>0.1636290807129982</v>
      </c>
      <c r="CL32" s="39">
        <f>CL30/CL21</f>
        <v>0.13353596757852079</v>
      </c>
      <c r="CM32" s="39">
        <f>CM30/CM21</f>
        <v>0.18278346605991658</v>
      </c>
      <c r="CN32" s="44"/>
      <c r="CO32" s="39">
        <f>CO30/CO21</f>
        <v>9.8407784166298085E-2</v>
      </c>
      <c r="CP32" s="39">
        <f>CP30/CP21</f>
        <v>0.20190868263473052</v>
      </c>
      <c r="CQ32" s="39">
        <f>CQ30/CQ21</f>
        <v>0.16505035434539347</v>
      </c>
      <c r="CR32" s="38">
        <f>CR30/CR21</f>
        <v>0.19100930072338959</v>
      </c>
      <c r="CS32" s="856"/>
      <c r="CT32" s="39">
        <f>CT30/CT21</f>
        <v>0.10166558511788881</v>
      </c>
      <c r="CU32" s="39">
        <f>CU30/CU21</f>
        <v>0.20804763623240707</v>
      </c>
      <c r="CV32" s="39">
        <f>CV30/CV21</f>
        <v>0.18073161897863091</v>
      </c>
      <c r="CW32" s="38">
        <f>CW30/CW21</f>
        <v>0.23084384093113483</v>
      </c>
      <c r="CX32" s="6"/>
      <c r="CY32" s="39">
        <f>CY30/CY21</f>
        <v>8.8750251559669965E-2</v>
      </c>
      <c r="CZ32" s="39">
        <f>CZ30/CZ21</f>
        <v>0.15883631499749204</v>
      </c>
      <c r="DA32" s="39">
        <f>DA30/DA21</f>
        <v>0.10285818314218097</v>
      </c>
      <c r="DB32" s="38">
        <f>DB30/DB21</f>
        <v>6.6882006460193821E-2</v>
      </c>
      <c r="DC32" s="6"/>
      <c r="DD32" s="39">
        <f>DD30/DD21</f>
        <v>-0.1005527770465912</v>
      </c>
      <c r="DE32" s="39">
        <f>DE30/DE21</f>
        <v>-5.1370651923519917E-2</v>
      </c>
      <c r="DF32" s="39">
        <f>DF30/DF21</f>
        <v>-8.2136973405507185E-2</v>
      </c>
      <c r="DG32" s="38">
        <f>DG30/DG21</f>
        <v>2.9357039487285515E-2</v>
      </c>
      <c r="DH32" s="6"/>
      <c r="DI32" s="39">
        <f>DI30/DI21</f>
        <v>-7.8276389597144308E-2</v>
      </c>
      <c r="DJ32" s="39">
        <f>DJ30/DJ21</f>
        <v>2.9585798816568046E-2</v>
      </c>
      <c r="DK32" s="39">
        <f>DK30/DK21</f>
        <v>3.3717641940395927E-2</v>
      </c>
      <c r="DL32" s="38">
        <f>DL30/DL21</f>
        <v>8.1017612524461838E-2</v>
      </c>
    </row>
    <row r="33" spans="1:117" ht="5.0999999999999996" customHeight="1">
      <c r="A33" s="36"/>
      <c r="B33" s="43"/>
      <c r="C33" s="6"/>
      <c r="D33" s="13"/>
      <c r="E33" s="13"/>
      <c r="F33" s="13"/>
      <c r="G33" s="38"/>
      <c r="H33" s="38"/>
      <c r="I33" s="38"/>
      <c r="J33" s="38"/>
      <c r="K33" s="38"/>
      <c r="L33" s="38"/>
      <c r="M33" s="38"/>
      <c r="N33" s="38"/>
      <c r="O33" s="38"/>
      <c r="P33" s="38"/>
      <c r="Q33" s="39"/>
      <c r="R33" s="39"/>
      <c r="S33" s="11"/>
      <c r="T33" s="6"/>
      <c r="U33" s="6"/>
      <c r="V33" s="6"/>
      <c r="W33" s="6"/>
      <c r="X33" s="6"/>
      <c r="Y33" s="6"/>
      <c r="Z33" s="6"/>
      <c r="AA33" s="6"/>
      <c r="AB33" s="6"/>
      <c r="AC33" s="1108"/>
      <c r="AD33" s="2686"/>
      <c r="AE33" s="2686"/>
      <c r="AF33" s="1108"/>
      <c r="AG33" s="2862"/>
      <c r="AH33" s="2862"/>
      <c r="AI33" s="2942"/>
      <c r="AJ33" s="2862"/>
      <c r="AK33" s="2862"/>
      <c r="AL33" s="2862"/>
      <c r="AM33" s="2862"/>
      <c r="AN33" s="2862"/>
      <c r="AO33" s="2862"/>
      <c r="AP33" s="2862"/>
      <c r="AQ33" s="2862"/>
      <c r="AR33" s="2862"/>
      <c r="AS33" s="2862"/>
      <c r="AT33" s="2802"/>
      <c r="AU33" s="2862"/>
      <c r="AV33" s="2802"/>
      <c r="AW33" s="2862"/>
      <c r="AX33" s="6"/>
      <c r="AY33" s="6"/>
      <c r="AZ33" s="6"/>
      <c r="BA33" s="6"/>
      <c r="BB33" s="6"/>
      <c r="BC33" s="6"/>
      <c r="BD33" s="6"/>
      <c r="BE33" s="4"/>
      <c r="BF33" s="6"/>
      <c r="BG33" s="6"/>
      <c r="BH33" s="6"/>
      <c r="BI33" s="6"/>
      <c r="BJ33" s="6"/>
      <c r="BK33" s="6"/>
      <c r="BL33" s="6"/>
      <c r="BM33" s="6"/>
      <c r="BN33" s="6"/>
      <c r="BO33" s="4"/>
      <c r="BP33" s="6"/>
      <c r="BQ33" s="6"/>
      <c r="BR33" s="6"/>
      <c r="BS33" s="6"/>
      <c r="BT33" s="4"/>
      <c r="BU33" s="51"/>
      <c r="BV33" s="52"/>
      <c r="BW33" s="52"/>
      <c r="BX33" s="52"/>
      <c r="BY33" s="4"/>
      <c r="BZ33" s="6"/>
      <c r="CA33" s="6"/>
      <c r="CB33" s="6"/>
      <c r="CC33" s="6"/>
      <c r="CD33" s="7"/>
      <c r="CE33" s="11"/>
      <c r="CF33" s="11"/>
      <c r="CG33" s="11"/>
      <c r="CH33" s="11"/>
      <c r="CI33" s="8"/>
      <c r="CJ33" s="11"/>
      <c r="CK33" s="11"/>
      <c r="CL33" s="11"/>
      <c r="CM33" s="11"/>
      <c r="CN33" s="44"/>
      <c r="CO33" s="11"/>
      <c r="CP33" s="11"/>
      <c r="CQ33" s="11"/>
      <c r="CR33" s="6"/>
      <c r="CS33" s="856"/>
      <c r="CT33" s="6"/>
      <c r="CU33" s="6"/>
      <c r="CV33" s="6"/>
      <c r="CW33" s="6"/>
      <c r="CX33" s="6"/>
      <c r="CY33" s="6"/>
      <c r="CZ33" s="6"/>
      <c r="DA33" s="6"/>
      <c r="DB33" s="6"/>
      <c r="DC33" s="6"/>
      <c r="DD33" s="6"/>
      <c r="DE33" s="6"/>
      <c r="DF33" s="6"/>
      <c r="DG33" s="6"/>
      <c r="DH33" s="6"/>
    </row>
    <row r="34" spans="1:117">
      <c r="A34" s="36" t="s">
        <v>1058</v>
      </c>
      <c r="B34" s="6"/>
      <c r="C34" s="6"/>
      <c r="D34" s="37"/>
      <c r="E34" s="6"/>
      <c r="F34" s="6"/>
      <c r="G34" s="6"/>
      <c r="H34" s="6"/>
      <c r="I34" s="6"/>
      <c r="J34" s="6"/>
      <c r="K34" s="6"/>
      <c r="L34" s="6"/>
      <c r="M34" s="6"/>
      <c r="N34" s="6"/>
      <c r="O34" s="6"/>
      <c r="P34" s="6"/>
      <c r="Q34" s="14"/>
      <c r="R34" s="11"/>
      <c r="S34" s="11"/>
      <c r="T34" s="6"/>
      <c r="U34" s="6"/>
      <c r="V34" s="6"/>
      <c r="W34" s="6"/>
      <c r="X34" s="11"/>
      <c r="Y34" s="6"/>
      <c r="Z34" s="6"/>
      <c r="AA34" s="6"/>
      <c r="AB34" s="10"/>
      <c r="AC34" s="1108"/>
      <c r="AD34" s="2686"/>
      <c r="AE34" s="2686"/>
      <c r="AF34" s="1108"/>
      <c r="AG34" s="2862"/>
      <c r="AH34" s="2862"/>
      <c r="AI34" s="2942"/>
      <c r="AJ34" s="2862"/>
      <c r="AK34" s="2862"/>
      <c r="AL34" s="2862"/>
      <c r="AM34" s="2862"/>
      <c r="AN34" s="2862"/>
      <c r="AO34" s="2862"/>
      <c r="AP34" s="2862"/>
      <c r="AQ34" s="2862"/>
      <c r="AR34" s="2862"/>
      <c r="AS34" s="2862"/>
      <c r="AT34" s="2802"/>
      <c r="AU34" s="2862"/>
      <c r="AV34" s="2802"/>
      <c r="AW34" s="2862"/>
      <c r="AX34" s="6"/>
      <c r="AY34" s="6"/>
      <c r="AZ34" s="6"/>
      <c r="BA34" s="6"/>
      <c r="BB34" s="6"/>
      <c r="BC34" s="6"/>
      <c r="BD34" s="6"/>
      <c r="BE34" s="4"/>
      <c r="BF34" s="6"/>
      <c r="BG34" s="6"/>
      <c r="BH34" s="6"/>
      <c r="BI34" s="6"/>
      <c r="BJ34" s="6"/>
      <c r="BK34" s="6"/>
      <c r="BL34" s="6"/>
      <c r="BM34" s="6"/>
      <c r="BN34" s="6"/>
      <c r="BO34" s="4"/>
      <c r="BP34" s="6"/>
      <c r="BQ34" s="6"/>
      <c r="BR34" s="6"/>
      <c r="BS34" s="6"/>
      <c r="BT34" s="4"/>
      <c r="BU34" s="6"/>
      <c r="BV34" s="6"/>
      <c r="BW34" s="6"/>
      <c r="BX34" s="6"/>
      <c r="BY34" s="4"/>
      <c r="BZ34" s="6"/>
      <c r="CA34" s="6"/>
      <c r="CB34" s="6"/>
      <c r="CC34" s="6"/>
      <c r="CD34" s="7"/>
      <c r="CE34" s="11"/>
      <c r="CF34" s="11"/>
      <c r="CG34" s="11"/>
      <c r="CH34" s="11"/>
      <c r="CI34" s="8"/>
      <c r="CJ34" s="11"/>
      <c r="CK34" s="11"/>
      <c r="CL34" s="11"/>
      <c r="CM34" s="54"/>
      <c r="CN34" s="55"/>
      <c r="CO34" s="11"/>
      <c r="CP34" s="11"/>
      <c r="CQ34" s="11"/>
      <c r="CR34" s="6"/>
      <c r="CS34" s="856"/>
      <c r="CT34" s="6"/>
      <c r="CU34" s="6"/>
      <c r="CV34" s="38"/>
      <c r="CW34" s="6"/>
      <c r="CX34" s="6"/>
      <c r="CY34" s="6"/>
      <c r="CZ34" s="6"/>
      <c r="DA34" s="38"/>
      <c r="DB34" s="6"/>
      <c r="DC34" s="6"/>
      <c r="DD34" s="6"/>
      <c r="DE34" s="6"/>
      <c r="DF34" s="6"/>
      <c r="DG34" s="6"/>
      <c r="DH34" s="6"/>
      <c r="DI34" s="863"/>
      <c r="DJ34" s="863"/>
      <c r="DK34" s="863"/>
      <c r="DL34" s="863"/>
    </row>
    <row r="35" spans="1:117">
      <c r="A35" s="6"/>
      <c r="B35" s="6" t="s">
        <v>738</v>
      </c>
      <c r="C35" s="10">
        <f>'Segment Detail'!E109</f>
        <v>7501.3009999999995</v>
      </c>
      <c r="D35" s="10">
        <f>'Segment Detail'!K109</f>
        <v>7087.7</v>
      </c>
      <c r="E35" s="10">
        <f>'Segment Detail'!N109</f>
        <v>7048.7</v>
      </c>
      <c r="F35" s="10">
        <f>'Segment Detail'!R109</f>
        <v>7239.9</v>
      </c>
      <c r="G35" s="10">
        <f>'Segment Detail'!T109</f>
        <v>7483</v>
      </c>
      <c r="H35" s="10">
        <f>'Segment Detail'!U109</f>
        <v>7761</v>
      </c>
      <c r="I35" s="10">
        <f>'Segment Detail'!X109</f>
        <v>8504.6</v>
      </c>
      <c r="J35" s="10"/>
      <c r="K35" s="10">
        <f>'Segment Detail'!F109</f>
        <v>8250.2009999999991</v>
      </c>
      <c r="L35" s="10">
        <f>'Segment Detail'!L109</f>
        <v>7872.3</v>
      </c>
      <c r="M35" s="10">
        <f>'Segment Detail'!O109</f>
        <v>7885.0999999999985</v>
      </c>
      <c r="N35" s="10">
        <f>'Segment Detail'!S109</f>
        <v>8170.7128805933853</v>
      </c>
      <c r="O35" s="10">
        <f>'Segment Detail'!Y109</f>
        <v>8364.9</v>
      </c>
      <c r="P35" s="10">
        <f>'Segment Detail'!Z109</f>
        <v>8680.5</v>
      </c>
      <c r="Q35" s="37">
        <f>'Segment Detail'!AA109</f>
        <v>9448.5</v>
      </c>
      <c r="R35" s="37">
        <f>'Segment Detail'!AB109</f>
        <v>9325.2000000000007</v>
      </c>
      <c r="S35" s="37">
        <f>'Segment Detail'!AC109</f>
        <v>9487.1</v>
      </c>
      <c r="T35" s="10">
        <f>'Segment Detail'!AD109</f>
        <v>9107.6</v>
      </c>
      <c r="U35" s="10">
        <f>'Segment Detail'!AE109</f>
        <v>9130.9209999999985</v>
      </c>
      <c r="V35" s="10"/>
      <c r="W35" s="10">
        <f>T35</f>
        <v>9107.6</v>
      </c>
      <c r="X35" s="37">
        <f>U35</f>
        <v>9130.9209999999985</v>
      </c>
      <c r="Y35" s="10">
        <f>'Segment Detail'!AF109</f>
        <v>8920.2775538125006</v>
      </c>
      <c r="Z35" s="10">
        <f>'Segment Detail'!AG109+Drivers!J24</f>
        <v>9746.3347968581547</v>
      </c>
      <c r="AA35" s="1626">
        <f>'Segment Detail'!AH109+Drivers!K24</f>
        <v>9872.2779027474917</v>
      </c>
      <c r="AB35" s="1626">
        <f>'Segment Detail'!AI109+Drivers!L24</f>
        <v>10343.538390966376</v>
      </c>
      <c r="AC35" s="1626">
        <f>'Segment Detail'!AJ109+Drivers!M24</f>
        <v>11437.761992194752</v>
      </c>
      <c r="AD35" s="2687">
        <f>'Segment Detail'!AK109+Drivers!N24</f>
        <v>11240.842460706477</v>
      </c>
      <c r="AE35" s="2687">
        <f>+AC35</f>
        <v>11437.761992194752</v>
      </c>
      <c r="AF35" s="1626">
        <f>+AD35</f>
        <v>11240.842460706477</v>
      </c>
      <c r="AG35" s="2938">
        <f>'Segment Detail'!AL109+Drivers!Q24</f>
        <v>11529.892644457748</v>
      </c>
      <c r="AH35" s="2938">
        <f>'Segment Detail'!AM109+Drivers!R24</f>
        <v>12049.288927399981</v>
      </c>
      <c r="AI35" s="2943">
        <f>AH35</f>
        <v>12049.288927399981</v>
      </c>
      <c r="AJ35" s="2938">
        <f>'Segment Detail'!AN109+Drivers!T21+Drivers!T24</f>
        <v>12382.53366448658</v>
      </c>
      <c r="AK35" s="2938">
        <f>'Segment Detail'!AO109+Drivers!U21+Drivers!U24</f>
        <v>13237.028843585811</v>
      </c>
      <c r="AL35" s="2938">
        <f>'Segment Detail'!AP109+Drivers!V21+Drivers!V24</f>
        <v>14311.747117688974</v>
      </c>
      <c r="AM35" s="2938">
        <f>'Segment Detail'!AQ109+Drivers!W21+Drivers!W24</f>
        <v>14863.459433598324</v>
      </c>
      <c r="AN35" s="2938">
        <f>'Segment Detail'!AR109+Drivers!X21+Drivers!X24</f>
        <v>15551.885597481518</v>
      </c>
      <c r="AO35" s="2938">
        <f>'Segment Detail'!AS109+Drivers!Y21+Drivers!Y24</f>
        <v>16660.996993368666</v>
      </c>
      <c r="AP35" s="2938">
        <f>'Segment Detail'!AT109+Drivers!Z21+Drivers!Z24</f>
        <v>16573.204592255097</v>
      </c>
      <c r="AQ35" s="2938">
        <f>'Segment Detail'!AU109+Drivers!AA21+Drivers!AA24</f>
        <v>17119.043432255017</v>
      </c>
      <c r="AR35" s="2938">
        <f>'Segment Detail'!AV109+Drivers!AB21+Drivers!AB24</f>
        <v>18104.587793899384</v>
      </c>
      <c r="AS35" s="2938">
        <f>'Segment Detail'!AW109+Drivers!AC21+Drivers!AC24</f>
        <v>17936.976013038977</v>
      </c>
      <c r="AT35" s="2938">
        <f>'Segment Detail'!AX109+Drivers!AD21+Drivers!AD24</f>
        <v>18326.832100709467</v>
      </c>
      <c r="AU35" s="2938">
        <f>'Segment Detail'!AY109+Drivers!AE21+Drivers!AE24</f>
        <v>19583.511850217754</v>
      </c>
      <c r="AV35" s="2802"/>
      <c r="AW35" s="2862"/>
      <c r="AX35" s="10"/>
      <c r="AY35" s="10"/>
      <c r="AZ35" s="10"/>
      <c r="BA35" s="10">
        <f>'Segment Detail'!BF109</f>
        <v>1819</v>
      </c>
      <c r="BB35" s="10">
        <f>'Segment Detail'!BG109</f>
        <v>1558</v>
      </c>
      <c r="BC35" s="10">
        <f>'Segment Detail'!BH109</f>
        <v>1692</v>
      </c>
      <c r="BD35" s="10">
        <f>'Segment Detail'!BI109</f>
        <v>2018.7</v>
      </c>
      <c r="BE35" s="4"/>
      <c r="BF35" s="10">
        <f>'Segment Detail'!BK109</f>
        <v>1850.1</v>
      </c>
      <c r="BG35" s="10">
        <f>'Segment Detail'!BL109</f>
        <v>1644.1</v>
      </c>
      <c r="BH35" s="10">
        <f>'Segment Detail'!BM109</f>
        <v>1638.8</v>
      </c>
      <c r="BI35" s="10">
        <f>'Segment Detail'!BN109</f>
        <v>1915.7</v>
      </c>
      <c r="BJ35" s="10"/>
      <c r="BK35" s="10">
        <f>'Segment Detail'!BU109</f>
        <v>2030.8</v>
      </c>
      <c r="BL35" s="10">
        <f>'Segment Detail'!BV109</f>
        <v>1626.4</v>
      </c>
      <c r="BM35" s="10">
        <f>'Segment Detail'!BW109</f>
        <v>1582.5</v>
      </c>
      <c r="BN35" s="10">
        <f>'Segment Detail'!BX109</f>
        <v>2005.3</v>
      </c>
      <c r="BO35" s="4"/>
      <c r="BP35" s="10">
        <f>'Segment Detail'!BZ109</f>
        <v>1850.8</v>
      </c>
      <c r="BQ35" s="10">
        <f>'Segment Detail'!CA109</f>
        <v>1699</v>
      </c>
      <c r="BR35" s="10">
        <f>'Segment Detail'!CB109</f>
        <v>1810.1</v>
      </c>
      <c r="BS35" s="10">
        <f>'Segment Detail'!CC109</f>
        <v>2123.1</v>
      </c>
      <c r="BT35" s="4">
        <f>G35-SUM(BP35:BS35)</f>
        <v>0</v>
      </c>
      <c r="BU35" s="10">
        <f>'Segment Detail'!CE109</f>
        <v>1924.5</v>
      </c>
      <c r="BV35" s="10">
        <f>'Segment Detail'!CF109</f>
        <v>1862</v>
      </c>
      <c r="BW35" s="10">
        <f>'Segment Detail'!CG109</f>
        <v>1882.6</v>
      </c>
      <c r="BX35" s="10">
        <f>'Segment Detail'!CH109</f>
        <v>2091.9</v>
      </c>
      <c r="BY35" s="4">
        <f>H35-SUM(BU35:BX35)</f>
        <v>0</v>
      </c>
      <c r="BZ35" s="10">
        <f>'Segment Detail'!CJ109</f>
        <v>2272.6999999999998</v>
      </c>
      <c r="CA35" s="10">
        <f>'Segment Detail'!CK109</f>
        <v>2063.9</v>
      </c>
      <c r="CB35" s="10">
        <f>'Segment Detail'!CL109</f>
        <v>1969.1</v>
      </c>
      <c r="CC35" s="10">
        <f>'Segment Detail'!CM109</f>
        <v>2198.9</v>
      </c>
      <c r="CD35" s="7">
        <f>I35-SUM(BZ35:CC35)</f>
        <v>0</v>
      </c>
      <c r="CE35" s="37">
        <f>'Segment Detail'!CO109</f>
        <v>2502</v>
      </c>
      <c r="CF35" s="37">
        <f>'Segment Detail'!CP109</f>
        <v>2286.8000000000002</v>
      </c>
      <c r="CG35" s="37">
        <f>'Segment Detail'!CQ109</f>
        <v>2202.8000000000002</v>
      </c>
      <c r="CH35" s="37">
        <f>'Segment Detail'!CR109</f>
        <v>2456.9</v>
      </c>
      <c r="CI35" s="56"/>
      <c r="CJ35" s="37">
        <f>'Segment Detail'!CT109</f>
        <v>2395.1</v>
      </c>
      <c r="CK35" s="37">
        <f>'Segment Detail'!CU109</f>
        <v>2284.1999999999998</v>
      </c>
      <c r="CL35" s="37">
        <f>'Segment Detail'!CV109</f>
        <v>2154.9</v>
      </c>
      <c r="CM35" s="37">
        <f>'Segment Detail'!CW109</f>
        <v>2491</v>
      </c>
      <c r="CN35" s="45">
        <f>R35-SUM(CJ35:CM35)</f>
        <v>0</v>
      </c>
      <c r="CO35" s="37">
        <f>'Segment Detail'!CY109</f>
        <v>2515.6999999999998</v>
      </c>
      <c r="CP35" s="37">
        <f>'Segment Detail'!CZ109</f>
        <v>2259.8000000000002</v>
      </c>
      <c r="CQ35" s="37">
        <f>'Segment Detail'!DA109</f>
        <v>2150.6</v>
      </c>
      <c r="CR35" s="10">
        <f>'Segment Detail'!DB109</f>
        <v>2561</v>
      </c>
      <c r="CS35" s="857">
        <f>S35-SUM(CO35:CR35)</f>
        <v>0</v>
      </c>
      <c r="CT35" s="37">
        <f>'Segment Detail'!DD109</f>
        <v>2534</v>
      </c>
      <c r="CU35" s="37">
        <f>'Segment Detail'!DE109</f>
        <v>2131.1999999999998</v>
      </c>
      <c r="CV35" s="37">
        <f>'Segment Detail'!DF109</f>
        <v>2040.5</v>
      </c>
      <c r="CW35" s="10">
        <f>'Segment Detail'!DG109</f>
        <v>2401.9</v>
      </c>
      <c r="CX35" s="48">
        <f>T35-SUM(CT35:CW35)</f>
        <v>0</v>
      </c>
      <c r="CY35" s="37">
        <f>'Segment Detail'!DI109</f>
        <v>2588.0841239049996</v>
      </c>
      <c r="CZ35" s="37">
        <f>'Segment Detail'!DJ109</f>
        <v>2192.0583159999996</v>
      </c>
      <c r="DA35" s="37">
        <f>'Segment Detail'!DK109</f>
        <v>2102.1841090437501</v>
      </c>
      <c r="DB35" s="10">
        <f>'Segment Detail'!DL109</f>
        <v>2248.5944510512495</v>
      </c>
      <c r="DC35" s="48">
        <f>U35-SUM(CY35:DB35)</f>
        <v>0</v>
      </c>
      <c r="DD35" s="10">
        <f>'Segment Detail'!DN109</f>
        <v>2276.8499849578998</v>
      </c>
      <c r="DE35" s="10">
        <f>'Segment Detail'!DO109</f>
        <v>1980.1972104639999</v>
      </c>
      <c r="DF35" s="10">
        <f>'Segment Detail'!DP109</f>
        <v>2306.5512915964623</v>
      </c>
      <c r="DG35" s="37">
        <f>'Segment Detail'!DQ109</f>
        <v>2356.6790667941373</v>
      </c>
      <c r="DH35" s="42">
        <f>Y35-SUM(DD35:DG35)</f>
        <v>0</v>
      </c>
      <c r="DI35" s="37">
        <f>Drivers!BQ12+Drivers!BQ15+Drivers!BQ30+Drivers!BQ33+Drivers!BQ123+Drivers!BQ24</f>
        <v>2633.0486891680002</v>
      </c>
      <c r="DJ35" s="37">
        <f>Drivers!BR12+Drivers!BR15+Drivers!BR30+Drivers!BR33+Drivers!BR123+Drivers!BR24</f>
        <v>2246.4509292809162</v>
      </c>
      <c r="DK35" s="37">
        <f>Drivers!BS12+Drivers!BS15+Drivers!BS30+Drivers!BS33+Drivers!BS123+Drivers!BS24</f>
        <v>2189.0740993829704</v>
      </c>
      <c r="DL35" s="37">
        <f>Drivers!BT12+Drivers!BT15+Drivers!BT30+Drivers!BT33+Drivers!BT123+Drivers!BT24</f>
        <v>2677.7610790262688</v>
      </c>
      <c r="DM35" s="42">
        <f>Z35-SUM(DI35:DL35)</f>
        <v>0</v>
      </c>
    </row>
    <row r="36" spans="1:117">
      <c r="A36" s="6"/>
      <c r="B36" s="43" t="s">
        <v>676</v>
      </c>
      <c r="C36" s="38"/>
      <c r="D36" s="38">
        <f t="shared" ref="D36:I36" si="38">D35/C35-1</f>
        <v>-5.5137235527543793E-2</v>
      </c>
      <c r="E36" s="38">
        <f t="shared" si="38"/>
        <v>-5.5024902295526257E-3</v>
      </c>
      <c r="F36" s="38">
        <f t="shared" si="38"/>
        <v>2.7125569253904969E-2</v>
      </c>
      <c r="G36" s="38">
        <f t="shared" si="38"/>
        <v>3.3577811848229944E-2</v>
      </c>
      <c r="H36" s="38">
        <f t="shared" si="38"/>
        <v>3.7150875317386145E-2</v>
      </c>
      <c r="I36" s="38">
        <f t="shared" si="38"/>
        <v>9.5812395309882836E-2</v>
      </c>
      <c r="J36" s="38"/>
      <c r="K36" s="38"/>
      <c r="L36" s="38">
        <f t="shared" ref="L36:AL36" si="39">L35/K35-1</f>
        <v>-4.5805065840213932E-2</v>
      </c>
      <c r="M36" s="38">
        <f t="shared" si="39"/>
        <v>1.625954295440879E-3</v>
      </c>
      <c r="N36" s="38">
        <f t="shared" si="39"/>
        <v>3.6221846342264108E-2</v>
      </c>
      <c r="O36" s="38">
        <f t="shared" si="39"/>
        <v>2.3766239524563026E-2</v>
      </c>
      <c r="P36" s="38">
        <f t="shared" si="39"/>
        <v>3.7729082236488187E-2</v>
      </c>
      <c r="Q36" s="39">
        <f t="shared" si="39"/>
        <v>8.8474166234663976E-2</v>
      </c>
      <c r="R36" s="39">
        <f t="shared" si="39"/>
        <v>-1.3049690427051841E-2</v>
      </c>
      <c r="S36" s="39">
        <f t="shared" si="39"/>
        <v>1.7361557929052474E-2</v>
      </c>
      <c r="T36" s="38">
        <f t="shared" si="39"/>
        <v>-4.000168650061664E-2</v>
      </c>
      <c r="U36" s="38">
        <f>U35/T35-1</f>
        <v>2.5606087223855045E-3</v>
      </c>
      <c r="V36" s="38"/>
      <c r="W36" s="38"/>
      <c r="X36" s="39">
        <f>X35/W35-1</f>
        <v>2.5606087223855045E-3</v>
      </c>
      <c r="Y36" s="38">
        <f>Y35/X35-1</f>
        <v>-2.3069244185498716E-2</v>
      </c>
      <c r="Z36" s="38">
        <f t="shared" si="39"/>
        <v>9.2604432772677603E-2</v>
      </c>
      <c r="AA36" s="1110">
        <f t="shared" si="39"/>
        <v>1.2922099282895116E-2</v>
      </c>
      <c r="AB36" s="1110">
        <f t="shared" si="39"/>
        <v>4.7735739700736302E-2</v>
      </c>
      <c r="AC36" s="2802">
        <f t="shared" si="39"/>
        <v>0.10578813166914203</v>
      </c>
      <c r="AD36" s="2940">
        <f>AD35/AC35-1</f>
        <v>-1.7216613846542272E-2</v>
      </c>
      <c r="AE36" s="2940"/>
      <c r="AF36" s="2802">
        <f>AF35/AE35-1</f>
        <v>-1.7216613846542272E-2</v>
      </c>
      <c r="AG36" s="2802">
        <f>AG35/AF35-1</f>
        <v>2.5714281181475229E-2</v>
      </c>
      <c r="AH36" s="2802">
        <f t="shared" si="39"/>
        <v>4.5047798705385E-2</v>
      </c>
      <c r="AI36" s="2943"/>
      <c r="AJ36" s="2802">
        <f>AJ35/AH35-1</f>
        <v>2.7656796935859207E-2</v>
      </c>
      <c r="AK36" s="2802">
        <f t="shared" si="39"/>
        <v>6.9008104661967939E-2</v>
      </c>
      <c r="AL36" s="2802">
        <f t="shared" si="39"/>
        <v>8.119029480123352E-2</v>
      </c>
      <c r="AM36" s="2802">
        <f t="shared" ref="AM36:AU36" si="40">AM35/AL35-1</f>
        <v>3.8549613221396717E-2</v>
      </c>
      <c r="AN36" s="2802">
        <f t="shared" si="40"/>
        <v>4.6316684682909726E-2</v>
      </c>
      <c r="AO36" s="2802">
        <f t="shared" si="40"/>
        <v>7.1316843795890428E-2</v>
      </c>
      <c r="AP36" s="2802">
        <f t="shared" si="40"/>
        <v>-5.2693365918324853E-3</v>
      </c>
      <c r="AQ36" s="2802">
        <f t="shared" si="40"/>
        <v>3.2935020922567837E-2</v>
      </c>
      <c r="AR36" s="2802">
        <f t="shared" si="40"/>
        <v>5.7570060239898968E-2</v>
      </c>
      <c r="AS36" s="2802">
        <f t="shared" si="40"/>
        <v>-9.2579727728949734E-3</v>
      </c>
      <c r="AT36" s="2802">
        <f t="shared" si="40"/>
        <v>2.1734772203914954E-2</v>
      </c>
      <c r="AU36" s="2802">
        <f t="shared" si="40"/>
        <v>6.857048411872757E-2</v>
      </c>
      <c r="AV36" s="2802"/>
      <c r="AW36" s="2862"/>
      <c r="AX36" s="38"/>
      <c r="AY36" s="38"/>
      <c r="AZ36" s="10"/>
      <c r="BA36" s="38"/>
      <c r="BB36" s="38"/>
      <c r="BC36" s="38"/>
      <c r="BD36" s="38"/>
      <c r="BE36" s="4"/>
      <c r="BF36" s="38"/>
      <c r="BG36" s="38"/>
      <c r="BH36" s="38"/>
      <c r="BI36" s="38"/>
      <c r="BJ36" s="10"/>
      <c r="BK36" s="38"/>
      <c r="BL36" s="38"/>
      <c r="BM36" s="38"/>
      <c r="BN36" s="38"/>
      <c r="BO36" s="4"/>
      <c r="BP36" s="38"/>
      <c r="BQ36" s="38"/>
      <c r="BR36" s="38"/>
      <c r="BS36" s="38"/>
      <c r="BT36" s="4"/>
      <c r="BU36" s="38"/>
      <c r="BV36" s="38"/>
      <c r="BW36" s="38"/>
      <c r="BX36" s="38"/>
      <c r="BY36" s="4"/>
      <c r="BZ36" s="38"/>
      <c r="CA36" s="38"/>
      <c r="CB36" s="38"/>
      <c r="CC36" s="38"/>
      <c r="CD36" s="7"/>
      <c r="CE36" s="39"/>
      <c r="CF36" s="39"/>
      <c r="CG36" s="39"/>
      <c r="CH36" s="39"/>
      <c r="CI36" s="57"/>
      <c r="CJ36" s="39">
        <f>CJ35/CE35-1</f>
        <v>-4.2725819344524463E-2</v>
      </c>
      <c r="CK36" s="39">
        <f>CK35/CF35-1</f>
        <v>-1.1369599440267386E-3</v>
      </c>
      <c r="CL36" s="39">
        <f>CL35/CG35-1</f>
        <v>-2.1745051752315225E-2</v>
      </c>
      <c r="CM36" s="39">
        <f>CM35/CH35-1</f>
        <v>1.3879278765924541E-2</v>
      </c>
      <c r="CN36" s="44"/>
      <c r="CO36" s="39">
        <f>CO35/CJ35-1</f>
        <v>5.0352803640766552E-2</v>
      </c>
      <c r="CP36" s="39">
        <f>CP35/CK35-1</f>
        <v>-1.0682076875930147E-2</v>
      </c>
      <c r="CQ36" s="39">
        <f>CQ35/CL35-1</f>
        <v>-1.9954522251613982E-3</v>
      </c>
      <c r="CR36" s="38">
        <f>CR35/CM35-1</f>
        <v>2.8101164191087991E-2</v>
      </c>
      <c r="CS36" s="856"/>
      <c r="CT36" s="39">
        <f>CT35/CO35-1</f>
        <v>7.2743172874349948E-3</v>
      </c>
      <c r="CU36" s="39">
        <f>CU35/CP35-1</f>
        <v>-5.6907690946101597E-2</v>
      </c>
      <c r="CV36" s="39">
        <f>CV35/CQ35-1</f>
        <v>-5.1195015344554951E-2</v>
      </c>
      <c r="CW36" s="38">
        <f>CW35/CR35-1</f>
        <v>-6.212417024599759E-2</v>
      </c>
      <c r="CX36" s="6"/>
      <c r="CY36" s="39">
        <f>CY35/CT35-1</f>
        <v>2.1343379599447321E-2</v>
      </c>
      <c r="CZ36" s="39">
        <f>CZ35/CU35-1</f>
        <v>2.8555891516516496E-2</v>
      </c>
      <c r="DA36" s="39">
        <f>DA35/CV35-1</f>
        <v>3.0229899065792765E-2</v>
      </c>
      <c r="DB36" s="38">
        <f>DB35/CW35-1</f>
        <v>-6.3826782525813086E-2</v>
      </c>
      <c r="DC36" s="6"/>
      <c r="DD36" s="39">
        <f>DD35/CY35-1</f>
        <v>-0.12025657747071139</v>
      </c>
      <c r="DE36" s="39">
        <f>DE35/CZ35-1</f>
        <v>-9.664939294251873E-2</v>
      </c>
      <c r="DF36" s="39">
        <f>DF35/DA35-1</f>
        <v>9.7216595669955552E-2</v>
      </c>
      <c r="DG36" s="38">
        <f>DG35/DB35-1</f>
        <v>4.8067634291437678E-2</v>
      </c>
      <c r="DH36" s="6"/>
      <c r="DI36" s="39">
        <f>DI35/DD35-1</f>
        <v>0.15644364212106265</v>
      </c>
      <c r="DJ36" s="39">
        <f>DJ35/DE35-1</f>
        <v>0.1344581829577105</v>
      </c>
      <c r="DK36" s="39">
        <f>DK35/DF35-1</f>
        <v>-5.0931966109533544E-2</v>
      </c>
      <c r="DL36" s="38">
        <f>DL35/DG35-1</f>
        <v>0.13624341844259225</v>
      </c>
    </row>
    <row r="37" spans="1:117">
      <c r="A37" s="6"/>
      <c r="B37" s="6" t="s">
        <v>678</v>
      </c>
      <c r="C37" s="10">
        <f>'Segment Detail'!E147</f>
        <v>830.72239553282589</v>
      </c>
      <c r="D37" s="10">
        <f>'Segment Detail'!K147</f>
        <v>920</v>
      </c>
      <c r="E37" s="10">
        <f>'Segment Detail'!N147</f>
        <v>1225.7</v>
      </c>
      <c r="F37" s="10">
        <f>'Segment Detail'!R147</f>
        <v>1244</v>
      </c>
      <c r="G37" s="10">
        <f>'Segment Detail'!T147</f>
        <v>1339.1000000000001</v>
      </c>
      <c r="H37" s="10">
        <f>'Segment Detail'!U147</f>
        <v>1389.2</v>
      </c>
      <c r="I37" s="10">
        <f>'Segment Detail'!X147</f>
        <v>1706.7</v>
      </c>
      <c r="J37" s="10"/>
      <c r="K37" s="10">
        <f>'Segment Detail'!F147</f>
        <v>951.32239553282591</v>
      </c>
      <c r="L37" s="10">
        <f>'Segment Detail'!L147</f>
        <v>1092</v>
      </c>
      <c r="M37" s="10">
        <f>'Segment Detail'!O147</f>
        <v>1487.1000000000001</v>
      </c>
      <c r="N37" s="10">
        <f>'Segment Detail'!S147</f>
        <v>1481.3069945181419</v>
      </c>
      <c r="O37" s="10">
        <f>'Segment Detail'!Y147</f>
        <v>1558.3999999999999</v>
      </c>
      <c r="P37" s="10">
        <f>'Segment Detail'!Z147</f>
        <v>1656.5</v>
      </c>
      <c r="Q37" s="37">
        <f>'Segment Detail'!AA147</f>
        <v>1981.2</v>
      </c>
      <c r="R37" s="37">
        <f>'Segment Detail'!AB147</f>
        <v>1824.7</v>
      </c>
      <c r="S37" s="37">
        <f>'Segment Detail'!AC147</f>
        <v>1947.7</v>
      </c>
      <c r="T37" s="10">
        <f>'Segment Detail'!AD147</f>
        <v>1936.5</v>
      </c>
      <c r="U37" s="10">
        <f>'Segment Detail'!AE147</f>
        <v>1753.7</v>
      </c>
      <c r="V37" s="10"/>
      <c r="W37" s="10">
        <f>T37</f>
        <v>1936.5</v>
      </c>
      <c r="X37" s="37">
        <f>U37</f>
        <v>1753.7</v>
      </c>
      <c r="Y37" s="10">
        <f>'Segment Detail'!AF147+Drivers!I71</f>
        <v>1428.8035190765279</v>
      </c>
      <c r="Z37" s="37">
        <f>'Segment Detail'!AG147+Drivers!J71</f>
        <v>1806.8254062516394</v>
      </c>
      <c r="AA37" s="1626">
        <f>'Segment Detail'!AH147+Drivers!K71</f>
        <v>2486.8120056193061</v>
      </c>
      <c r="AB37" s="1626">
        <f>'Segment Detail'!AI147+Drivers!L71</f>
        <v>2793.5680959851566</v>
      </c>
      <c r="AC37" s="2938">
        <f>'Segment Detail'!AJ147+Drivers!M71</f>
        <v>2999.2192147048686</v>
      </c>
      <c r="AD37" s="2939">
        <f>'Segment Detail'!AK147+Drivers!N71</f>
        <v>2862.0729885845076</v>
      </c>
      <c r="AE37" s="2939">
        <f>+AC37</f>
        <v>2999.2192147048686</v>
      </c>
      <c r="AF37" s="2938">
        <f>+AD37</f>
        <v>2862.0729885845076</v>
      </c>
      <c r="AG37" s="2938">
        <f>'Segment Detail'!AL147+Drivers!Q71</f>
        <v>2772.4661595041898</v>
      </c>
      <c r="AH37" s="2938">
        <f>'Segment Detail'!AM147+Drivers!R71</f>
        <v>3129.4298379912243</v>
      </c>
      <c r="AI37" s="2943">
        <f>AH37</f>
        <v>3129.4298379912243</v>
      </c>
      <c r="AJ37" s="2938">
        <f>'Segment Detail'!AN147+Drivers!T67+Drivers!T71</f>
        <v>3069.7877493285105</v>
      </c>
      <c r="AK37" s="2938">
        <f>'Segment Detail'!AO147+Drivers!U67+Drivers!U71</f>
        <v>3315.6969863327759</v>
      </c>
      <c r="AL37" s="2938">
        <f>'Segment Detail'!AP147+Drivers!V67+Drivers!V71</f>
        <v>3499.8506394602136</v>
      </c>
      <c r="AM37" s="2938">
        <f>'Segment Detail'!AQ147+Drivers!W67+Drivers!W71</f>
        <v>3848.2590990909848</v>
      </c>
      <c r="AN37" s="2938">
        <f>'Segment Detail'!AR147+Drivers!X67+Drivers!X71</f>
        <v>3955.1612326897721</v>
      </c>
      <c r="AO37" s="2938">
        <f>'Segment Detail'!AS147+Drivers!Y67+Drivers!Y71</f>
        <v>4202.2890415008642</v>
      </c>
      <c r="AP37" s="2938">
        <f>'Segment Detail'!AT147+Drivers!Z67+Drivers!Z71</f>
        <v>4012.6844420846546</v>
      </c>
      <c r="AQ37" s="2938">
        <f>'Segment Detail'!AU147+Drivers!AA67+Drivers!AA71</f>
        <v>4106.8846131332111</v>
      </c>
      <c r="AR37" s="2938">
        <f>'Segment Detail'!AV147+Drivers!AB67+Drivers!AB71</f>
        <v>4102.0482353870757</v>
      </c>
      <c r="AS37" s="2938">
        <f>'Segment Detail'!AW147+Drivers!AC67+Drivers!AC71</f>
        <v>4031.8382794525601</v>
      </c>
      <c r="AT37" s="2938">
        <f>'Segment Detail'!AX147+Drivers!AD67+Drivers!AD71</f>
        <v>3969.2408173379408</v>
      </c>
      <c r="AU37" s="2938">
        <f>'Segment Detail'!AY147+Drivers!AE67+Drivers!AE71</f>
        <v>4152.646927142544</v>
      </c>
      <c r="AV37" s="2802"/>
      <c r="AW37" s="2862"/>
      <c r="AX37" s="10"/>
      <c r="AY37" s="10"/>
      <c r="AZ37" s="10"/>
      <c r="BA37" s="10">
        <f>'Segment Detail'!BF147</f>
        <v>178.3</v>
      </c>
      <c r="BB37" s="10">
        <f>'Segment Detail'!BG147</f>
        <v>235.5</v>
      </c>
      <c r="BC37" s="10">
        <f>'Segment Detail'!BH147</f>
        <v>265.3</v>
      </c>
      <c r="BD37" s="10">
        <f>'Segment Detail'!BI147</f>
        <v>240.9</v>
      </c>
      <c r="BE37" s="4"/>
      <c r="BF37" s="10">
        <f>'Segment Detail'!BK147</f>
        <v>288.8</v>
      </c>
      <c r="BG37" s="10">
        <f>'Segment Detail'!BL147</f>
        <v>308.60000000000002</v>
      </c>
      <c r="BH37" s="10">
        <f>'Segment Detail'!BM147</f>
        <v>347.3</v>
      </c>
      <c r="BI37" s="10">
        <f>'Segment Detail'!BN147</f>
        <v>281</v>
      </c>
      <c r="BJ37" s="10"/>
      <c r="BK37" s="10">
        <f>'Segment Detail'!BU147</f>
        <v>314.7</v>
      </c>
      <c r="BL37" s="10">
        <f>'Segment Detail'!BV147</f>
        <v>360.8</v>
      </c>
      <c r="BM37" s="10">
        <f>'Segment Detail'!BW147</f>
        <v>283.7</v>
      </c>
      <c r="BN37" s="10">
        <f>'Segment Detail'!BX147</f>
        <v>283.5</v>
      </c>
      <c r="BO37" s="4"/>
      <c r="BP37" s="10">
        <f>'Segment Detail'!BZ147</f>
        <v>248.1</v>
      </c>
      <c r="BQ37" s="10">
        <f>'Segment Detail'!CA147</f>
        <v>384.6</v>
      </c>
      <c r="BR37" s="10">
        <f>'Segment Detail'!CB147</f>
        <v>348.7</v>
      </c>
      <c r="BS37" s="10">
        <f>'Segment Detail'!CC147</f>
        <v>357.7</v>
      </c>
      <c r="BT37" s="4">
        <f>G37-SUM(BP37:BS37)</f>
        <v>0</v>
      </c>
      <c r="BU37" s="10">
        <f>'Segment Detail'!CE147</f>
        <v>279.60000000000002</v>
      </c>
      <c r="BV37" s="10">
        <f>'Segment Detail'!CF147</f>
        <v>429.2</v>
      </c>
      <c r="BW37" s="10">
        <f>'Segment Detail'!CG147</f>
        <v>400.1</v>
      </c>
      <c r="BX37" s="10">
        <f>'Segment Detail'!CH147</f>
        <v>280.3</v>
      </c>
      <c r="BY37" s="4">
        <f>H37-SUM(BU37:BX37)</f>
        <v>0</v>
      </c>
      <c r="BZ37" s="10">
        <f>'Segment Detail'!CJ147</f>
        <v>371.1</v>
      </c>
      <c r="CA37" s="10">
        <f>'Segment Detail'!CK147</f>
        <v>576.4</v>
      </c>
      <c r="CB37" s="10">
        <f>'Segment Detail'!CL147</f>
        <v>425.2</v>
      </c>
      <c r="CC37" s="10">
        <f>'Segment Detail'!CM147</f>
        <v>334</v>
      </c>
      <c r="CD37" s="7">
        <f>I37-SUM(BZ37:CC37)</f>
        <v>0</v>
      </c>
      <c r="CE37" s="37">
        <f>'Segment Detail'!CO147</f>
        <v>432.7</v>
      </c>
      <c r="CF37" s="37">
        <f>'Segment Detail'!CP147</f>
        <v>632.70000000000005</v>
      </c>
      <c r="CG37" s="37">
        <f>'Segment Detail'!CQ147</f>
        <v>508.1</v>
      </c>
      <c r="CH37" s="37">
        <f>'Segment Detail'!CR147</f>
        <v>407.70000000000005</v>
      </c>
      <c r="CI37" s="8">
        <f>Q37-SUM(CE37:CH37)</f>
        <v>0</v>
      </c>
      <c r="CJ37" s="37">
        <f>'Segment Detail'!CT147</f>
        <v>412</v>
      </c>
      <c r="CK37" s="37">
        <f>'Segment Detail'!CU147</f>
        <v>547.5</v>
      </c>
      <c r="CL37" s="37">
        <f>'Segment Detail'!CV147</f>
        <v>421</v>
      </c>
      <c r="CM37" s="37">
        <f>'Segment Detail'!CW147</f>
        <v>444.2</v>
      </c>
      <c r="CN37" s="45">
        <f>R37-SUM(CJ37:CM37)</f>
        <v>0</v>
      </c>
      <c r="CO37" s="37">
        <f>'Segment Detail'!CY147</f>
        <v>423.7</v>
      </c>
      <c r="CP37" s="37">
        <f>'Segment Detail'!CZ147</f>
        <v>535.4</v>
      </c>
      <c r="CQ37" s="37">
        <f>'Segment Detail'!DA147</f>
        <v>457.1</v>
      </c>
      <c r="CR37" s="10">
        <f>'Segment Detail'!DB147</f>
        <v>531.5</v>
      </c>
      <c r="CS37" s="857">
        <f>S37-SUM(CO37:CR37)</f>
        <v>0</v>
      </c>
      <c r="CT37" s="10">
        <f>'Segment Detail'!DD147</f>
        <v>395.2</v>
      </c>
      <c r="CU37" s="37">
        <f>'Segment Detail'!DE147</f>
        <v>560.20000000000005</v>
      </c>
      <c r="CV37" s="37">
        <f>'Segment Detail'!DF147</f>
        <v>486.4</v>
      </c>
      <c r="CW37" s="10">
        <f>'Segment Detail'!DG147</f>
        <v>494.7</v>
      </c>
      <c r="CX37" s="48">
        <f>T37-SUM(CT37:CW37)</f>
        <v>0</v>
      </c>
      <c r="CY37" s="10">
        <f>'Segment Detail'!DI147</f>
        <v>497.47924972624998</v>
      </c>
      <c r="CZ37" s="37">
        <f>'Segment Detail'!DJ147</f>
        <v>515.09473068</v>
      </c>
      <c r="DA37" s="37">
        <f>'Segment Detail'!DK147</f>
        <v>415.66897686793749</v>
      </c>
      <c r="DB37" s="10">
        <f>'Segment Detail'!DL147</f>
        <v>325.45704272581253</v>
      </c>
      <c r="DC37" s="48">
        <f>U37-SUM(CY37:DB37)</f>
        <v>0</v>
      </c>
      <c r="DD37" s="10">
        <f>'Segment Detail'!DN147</f>
        <v>244.63853314169933</v>
      </c>
      <c r="DE37" s="10">
        <f>'Segment Detail'!DO147</f>
        <v>311.91093352486837</v>
      </c>
      <c r="DF37" s="10">
        <f>'Segment Detail'!DP147</f>
        <v>483.42739985984576</v>
      </c>
      <c r="DG37" s="37">
        <f>'Segment Detail'!DQ147+Drivers!BO71</f>
        <v>388.8266525501146</v>
      </c>
      <c r="DH37" s="42">
        <f>Y37-SUM(DD37:DG37)</f>
        <v>0</v>
      </c>
      <c r="DI37" s="37">
        <f>Drivers!BQ55+Drivers!BQ59+Drivers!BQ79+Drivers!BQ83+Drivers!BQ149+Drivers!BQ71</f>
        <v>290.40527607536001</v>
      </c>
      <c r="DJ37" s="37">
        <f>Drivers!BR55+Drivers!BR59+Drivers!BR79+Drivers!BR83+Drivers!BR149+Drivers!BR71</f>
        <v>437.22434590584726</v>
      </c>
      <c r="DK37" s="37">
        <f>Drivers!BS55+Drivers!BS59+Drivers!BS79+Drivers!BS83+Drivers!BS149+Drivers!BS71</f>
        <v>521.197925833402</v>
      </c>
      <c r="DL37" s="37">
        <f>Drivers!BT55+Drivers!BT59+Drivers!BT79+Drivers!BT83+Drivers!BT149+Drivers!BT71</f>
        <v>557.99785843702989</v>
      </c>
      <c r="DM37" s="42">
        <f>Z37-SUM(DI37:DL37)</f>
        <v>0</v>
      </c>
    </row>
    <row r="38" spans="1:117">
      <c r="A38" s="6"/>
      <c r="B38" s="43" t="s">
        <v>690</v>
      </c>
      <c r="C38" s="38">
        <f t="shared" ref="C38:I38" si="41">C37/C35</f>
        <v>0.11074377571741567</v>
      </c>
      <c r="D38" s="38">
        <f t="shared" si="41"/>
        <v>0.12980233362021532</v>
      </c>
      <c r="E38" s="38">
        <f t="shared" si="41"/>
        <v>0.17389022089179565</v>
      </c>
      <c r="F38" s="38">
        <f t="shared" si="41"/>
        <v>0.17182557770134949</v>
      </c>
      <c r="G38" s="38">
        <f t="shared" si="41"/>
        <v>0.17895229186155287</v>
      </c>
      <c r="H38" s="38">
        <f t="shared" si="41"/>
        <v>0.17899755186187347</v>
      </c>
      <c r="I38" s="38">
        <f t="shared" si="41"/>
        <v>0.20067963219904522</v>
      </c>
      <c r="J38" s="38"/>
      <c r="K38" s="38">
        <f t="shared" ref="K38:AL38" si="42">K37/K35</f>
        <v>0.11530899617267822</v>
      </c>
      <c r="L38" s="38">
        <f t="shared" si="42"/>
        <v>0.1387142258298083</v>
      </c>
      <c r="M38" s="38">
        <f t="shared" si="42"/>
        <v>0.18859621311080396</v>
      </c>
      <c r="N38" s="38">
        <f t="shared" si="42"/>
        <v>0.1812947066144569</v>
      </c>
      <c r="O38" s="38">
        <f t="shared" si="42"/>
        <v>0.18630228693708231</v>
      </c>
      <c r="P38" s="38">
        <f t="shared" si="42"/>
        <v>0.19083002131213639</v>
      </c>
      <c r="Q38" s="39">
        <f t="shared" si="42"/>
        <v>0.20968407683759327</v>
      </c>
      <c r="R38" s="39">
        <f t="shared" si="42"/>
        <v>0.19567408741903658</v>
      </c>
      <c r="S38" s="39">
        <f t="shared" si="42"/>
        <v>0.20529982818774967</v>
      </c>
      <c r="T38" s="38">
        <f t="shared" si="42"/>
        <v>0.21262462119548509</v>
      </c>
      <c r="U38" s="38">
        <f t="shared" si="42"/>
        <v>0.19206167702031376</v>
      </c>
      <c r="V38" s="38"/>
      <c r="W38" s="38">
        <f t="shared" si="42"/>
        <v>0.21262462119548509</v>
      </c>
      <c r="X38" s="39">
        <f t="shared" si="42"/>
        <v>0.19206167702031376</v>
      </c>
      <c r="Y38" s="38">
        <f t="shared" si="42"/>
        <v>0.16017478273037158</v>
      </c>
      <c r="Z38" s="38">
        <f t="shared" si="42"/>
        <v>0.18538511593446294</v>
      </c>
      <c r="AA38" s="1110">
        <f t="shared" si="42"/>
        <v>0.25189850104677636</v>
      </c>
      <c r="AB38" s="1110">
        <f t="shared" si="42"/>
        <v>0.27007857373304139</v>
      </c>
      <c r="AC38" s="2802">
        <f t="shared" si="42"/>
        <v>0.26222081004584352</v>
      </c>
      <c r="AD38" s="2940">
        <f t="shared" si="42"/>
        <v>0.25461374435138456</v>
      </c>
      <c r="AE38" s="2940">
        <f t="shared" si="42"/>
        <v>0.26222081004584352</v>
      </c>
      <c r="AF38" s="2802">
        <f t="shared" si="42"/>
        <v>0.25461374435138456</v>
      </c>
      <c r="AG38" s="2802">
        <f t="shared" si="42"/>
        <v>0.24045897433718727</v>
      </c>
      <c r="AH38" s="2802">
        <f t="shared" si="42"/>
        <v>0.25971904706135207</v>
      </c>
      <c r="AI38" s="2943"/>
      <c r="AJ38" s="2802">
        <f>AJ37/AJ35</f>
        <v>0.24791273195830182</v>
      </c>
      <c r="AK38" s="2802">
        <f t="shared" si="42"/>
        <v>0.25048649704646098</v>
      </c>
      <c r="AL38" s="2802">
        <f t="shared" si="42"/>
        <v>0.24454391282071233</v>
      </c>
      <c r="AM38" s="2802">
        <f t="shared" ref="AM38:AR38" si="43">AM37/AM35</f>
        <v>0.25890736381276969</v>
      </c>
      <c r="AN38" s="2802">
        <f t="shared" si="43"/>
        <v>0.25432036571374173</v>
      </c>
      <c r="AO38" s="2802">
        <f t="shared" si="43"/>
        <v>0.25222314385948452</v>
      </c>
      <c r="AP38" s="2802">
        <f t="shared" si="43"/>
        <v>0.242118802054724</v>
      </c>
      <c r="AQ38" s="2802">
        <f t="shared" si="43"/>
        <v>0.23990152425194408</v>
      </c>
      <c r="AR38" s="2802">
        <f t="shared" si="43"/>
        <v>0.22657506937381491</v>
      </c>
      <c r="AS38" s="2802">
        <f>AS37/AS35</f>
        <v>0.22477803820006698</v>
      </c>
      <c r="AT38" s="2802">
        <f>AT37/AT35</f>
        <v>0.21658084689848192</v>
      </c>
      <c r="AU38" s="2802">
        <f>AU37/AU35</f>
        <v>0.21204812287518132</v>
      </c>
      <c r="AV38" s="2802"/>
      <c r="AW38" s="2862"/>
      <c r="AX38" s="38"/>
      <c r="AY38" s="38"/>
      <c r="AZ38" s="38"/>
      <c r="BA38" s="38">
        <f>BA37/BA35</f>
        <v>9.8020890599230359E-2</v>
      </c>
      <c r="BB38" s="38">
        <f>BB37/BB35</f>
        <v>0.15115532734274711</v>
      </c>
      <c r="BC38" s="38">
        <f>BC37/BC35</f>
        <v>0.15679669030732862</v>
      </c>
      <c r="BD38" s="38">
        <f>BD37/BD35</f>
        <v>0.11933422499628474</v>
      </c>
      <c r="BE38" s="4"/>
      <c r="BF38" s="38">
        <f>BF37/BF35</f>
        <v>0.15609967028809255</v>
      </c>
      <c r="BG38" s="38">
        <f>BG37/BG35</f>
        <v>0.18770147801228637</v>
      </c>
      <c r="BH38" s="38">
        <f>BH37/BH35</f>
        <v>0.2119233585550403</v>
      </c>
      <c r="BI38" s="38">
        <f>BI37/BI35</f>
        <v>0.1466826747403038</v>
      </c>
      <c r="BJ38" s="38"/>
      <c r="BK38" s="38">
        <f>BK37/BK35</f>
        <v>0.15496356115816426</v>
      </c>
      <c r="BL38" s="38">
        <f>BL37/BL35</f>
        <v>0.2218396458435809</v>
      </c>
      <c r="BM38" s="38">
        <f>BM37/BM35</f>
        <v>0.17927330173775671</v>
      </c>
      <c r="BN38" s="38">
        <f>BN37/BN35</f>
        <v>0.14137535530843265</v>
      </c>
      <c r="BO38" s="4"/>
      <c r="BP38" s="38">
        <f>BP37/BP35</f>
        <v>0.13405014047979252</v>
      </c>
      <c r="BQ38" s="38">
        <f>BQ37/BQ35</f>
        <v>0.22636845203060627</v>
      </c>
      <c r="BR38" s="38">
        <f>BR37/BR35</f>
        <v>0.19264129053643445</v>
      </c>
      <c r="BS38" s="38">
        <f>BS37/BS35</f>
        <v>0.16848005275304978</v>
      </c>
      <c r="BT38" s="4"/>
      <c r="BU38" s="38">
        <f>BU37/BU35</f>
        <v>0.14528448947778644</v>
      </c>
      <c r="BV38" s="38">
        <f>BV37/BV35</f>
        <v>0.23050483351235229</v>
      </c>
      <c r="BW38" s="38">
        <f>BW37/BW35</f>
        <v>0.21252523106342294</v>
      </c>
      <c r="BX38" s="38">
        <f>BX37/BX35</f>
        <v>0.13399302069888619</v>
      </c>
      <c r="BY38" s="4"/>
      <c r="BZ38" s="38">
        <f>BZ37/BZ35</f>
        <v>0.16328595943151319</v>
      </c>
      <c r="CA38" s="38">
        <f>CA37/CA35</f>
        <v>0.27927709675856388</v>
      </c>
      <c r="CB38" s="38">
        <f>CB37/CB35</f>
        <v>0.21593621451424508</v>
      </c>
      <c r="CC38" s="38">
        <f>CC37/CC35</f>
        <v>0.15189412888262313</v>
      </c>
      <c r="CD38" s="7"/>
      <c r="CE38" s="39">
        <f>CE37/CE35</f>
        <v>0.17294164668265388</v>
      </c>
      <c r="CF38" s="39">
        <f>CF37/CF35</f>
        <v>0.27667482945600841</v>
      </c>
      <c r="CG38" s="39">
        <f>CG37/CG35</f>
        <v>0.23066097693844198</v>
      </c>
      <c r="CH38" s="39">
        <f>CH37/CH35</f>
        <v>0.16594081973218283</v>
      </c>
      <c r="CI38" s="8"/>
      <c r="CJ38" s="39">
        <f>CJ37/CJ35</f>
        <v>0.17201786981754416</v>
      </c>
      <c r="CK38" s="39">
        <f>CK37/CK35</f>
        <v>0.23969004465458368</v>
      </c>
      <c r="CL38" s="39">
        <f>CL37/CL35</f>
        <v>0.1953686946029978</v>
      </c>
      <c r="CM38" s="39">
        <f>CM37/CM35</f>
        <v>0.17832195905258932</v>
      </c>
      <c r="CN38" s="44"/>
      <c r="CO38" s="39">
        <f>CO37/CO35</f>
        <v>0.16842230790634813</v>
      </c>
      <c r="CP38" s="39">
        <f>CP37/CP35</f>
        <v>0.23692362155943</v>
      </c>
      <c r="CQ38" s="39">
        <f>CQ37/CQ35</f>
        <v>0.21254533618525065</v>
      </c>
      <c r="CR38" s="38">
        <f>CR37/CR35</f>
        <v>0.20753611870363139</v>
      </c>
      <c r="CS38" s="856"/>
      <c r="CT38" s="39">
        <f>CT37/CT35</f>
        <v>0.15595895816890293</v>
      </c>
      <c r="CU38" s="39">
        <f>CU37/CU35</f>
        <v>0.26285660660660665</v>
      </c>
      <c r="CV38" s="39">
        <f>CV37/CV35</f>
        <v>0.23837294780691007</v>
      </c>
      <c r="CW38" s="38">
        <f>CW37/CW35</f>
        <v>0.2059619467921229</v>
      </c>
      <c r="CX38" s="6"/>
      <c r="CY38" s="39">
        <f>CY37/CY35</f>
        <v>0.19221911881891782</v>
      </c>
      <c r="CZ38" s="39">
        <f>CZ37/CZ35</f>
        <v>0.23498222055512144</v>
      </c>
      <c r="DA38" s="39">
        <f>DA37/DA35</f>
        <v>0.19773195653021022</v>
      </c>
      <c r="DB38" s="38">
        <f>DB37/DB35</f>
        <v>0.14473799069176604</v>
      </c>
      <c r="DC38" s="6"/>
      <c r="DD38" s="38">
        <f>DD37/DD35</f>
        <v>0.10744604816211588</v>
      </c>
      <c r="DE38" s="38">
        <f>DE37/DE35</f>
        <v>0.15751508580894394</v>
      </c>
      <c r="DF38" s="38">
        <f>DF37/DF35</f>
        <v>0.20958883577448872</v>
      </c>
      <c r="DG38" s="38">
        <f>DG37/DG35</f>
        <v>0.16498922489223253</v>
      </c>
      <c r="DH38" s="6"/>
      <c r="DI38" s="38">
        <f>DI37/DI35</f>
        <v>0.11029240639189368</v>
      </c>
      <c r="DJ38" s="38">
        <f>DJ37/DJ35</f>
        <v>0.19462893233363515</v>
      </c>
      <c r="DK38" s="38">
        <f>DK37/DK35</f>
        <v>0.2380905817579729</v>
      </c>
      <c r="DL38" s="38">
        <f>DL37/DL35</f>
        <v>0.20838224246650794</v>
      </c>
    </row>
    <row r="39" spans="1:117">
      <c r="A39" s="6"/>
      <c r="B39" s="6" t="s">
        <v>692</v>
      </c>
      <c r="C39" s="48">
        <f t="shared" ref="C39:I39" si="44">C37-C40</f>
        <v>140.29999999999995</v>
      </c>
      <c r="D39" s="48">
        <f t="shared" si="44"/>
        <v>159.68269739952711</v>
      </c>
      <c r="E39" s="48">
        <f t="shared" si="44"/>
        <v>211.46100000000001</v>
      </c>
      <c r="F39" s="48">
        <f t="shared" si="44"/>
        <v>253.39650000000006</v>
      </c>
      <c r="G39" s="48">
        <f t="shared" si="44"/>
        <v>128.79999999999995</v>
      </c>
      <c r="H39" s="48">
        <f t="shared" si="44"/>
        <v>139.09999999999991</v>
      </c>
      <c r="I39" s="48">
        <f t="shared" si="44"/>
        <v>136.90000000000009</v>
      </c>
      <c r="J39" s="48"/>
      <c r="K39" s="48">
        <f t="shared" ref="K39:AJ39" si="45">K37-K40</f>
        <v>154.30699292029476</v>
      </c>
      <c r="L39" s="48">
        <f t="shared" si="45"/>
        <v>177.35938297872337</v>
      </c>
      <c r="M39" s="48">
        <f t="shared" si="45"/>
        <v>236.55299999999988</v>
      </c>
      <c r="N39" s="48">
        <f t="shared" si="45"/>
        <v>285.97495082076853</v>
      </c>
      <c r="O39" s="48">
        <f t="shared" si="45"/>
        <v>152.09999999999991</v>
      </c>
      <c r="P39" s="48">
        <f t="shared" si="45"/>
        <v>163</v>
      </c>
      <c r="Q39" s="49">
        <f t="shared" si="45"/>
        <v>163.20000000000005</v>
      </c>
      <c r="R39" s="49">
        <f t="shared" si="45"/>
        <v>159.70000000000005</v>
      </c>
      <c r="S39" s="49">
        <f t="shared" si="45"/>
        <v>153.5</v>
      </c>
      <c r="T39" s="48">
        <f t="shared" si="45"/>
        <v>170.70000000000005</v>
      </c>
      <c r="U39" s="48">
        <f t="shared" si="45"/>
        <v>167.79999999999995</v>
      </c>
      <c r="V39" s="48"/>
      <c r="W39" s="48">
        <f>T39</f>
        <v>170.70000000000005</v>
      </c>
      <c r="X39" s="49">
        <f>U39</f>
        <v>167.79999999999995</v>
      </c>
      <c r="Y39" s="48">
        <f t="shared" si="45"/>
        <v>162.5</v>
      </c>
      <c r="Z39" s="48">
        <f t="shared" si="45"/>
        <v>181.92713089005247</v>
      </c>
      <c r="AA39" s="48">
        <f t="shared" si="45"/>
        <v>175.54644283716971</v>
      </c>
      <c r="AB39" s="48">
        <f t="shared" si="45"/>
        <v>191.18499999999995</v>
      </c>
      <c r="AC39" s="2796">
        <f>AC37-AC40</f>
        <v>179.02799999999979</v>
      </c>
      <c r="AD39" s="2941">
        <f t="shared" si="45"/>
        <v>176.95491349999975</v>
      </c>
      <c r="AE39" s="2941">
        <f t="shared" si="45"/>
        <v>179.02799999999979</v>
      </c>
      <c r="AF39" s="2796">
        <f t="shared" si="45"/>
        <v>176.95491349999975</v>
      </c>
      <c r="AG39" s="2796">
        <f t="shared" si="45"/>
        <v>164.89909568459598</v>
      </c>
      <c r="AH39" s="2796">
        <f ca="1">AH37-AH40</f>
        <v>152.06095423786837</v>
      </c>
      <c r="AI39" s="2943">
        <f ca="1">AH39</f>
        <v>152.06095423786837</v>
      </c>
      <c r="AJ39" s="2796">
        <f t="shared" ca="1" si="45"/>
        <v>146.66078556904267</v>
      </c>
      <c r="AK39" s="2796">
        <f t="shared" ref="AK39:AQ39" ca="1" si="46">AK37-AK40</f>
        <v>142.66078556904267</v>
      </c>
      <c r="AL39" s="2796">
        <f t="shared" ca="1" si="46"/>
        <v>140.9233777759132</v>
      </c>
      <c r="AM39" s="2796">
        <f t="shared" ca="1" si="46"/>
        <v>143.44459433598331</v>
      </c>
      <c r="AN39" s="2796">
        <f t="shared" ca="1" si="46"/>
        <v>150.32885597481527</v>
      </c>
      <c r="AO39" s="2796">
        <f t="shared" ca="1" si="46"/>
        <v>161.41996993368684</v>
      </c>
      <c r="AP39" s="2796">
        <f t="shared" ca="1" si="46"/>
        <v>160.5420459225511</v>
      </c>
      <c r="AQ39" s="2796">
        <f t="shared" ca="1" si="46"/>
        <v>166.00043432255052</v>
      </c>
      <c r="AR39" s="2796">
        <f ca="1">AR37-AR40</f>
        <v>175.85587793899413</v>
      </c>
      <c r="AS39" s="2796">
        <f ca="1">AS37-AS40</f>
        <v>174.1797601303897</v>
      </c>
      <c r="AT39" s="2796">
        <f ca="1">AT37-AT40</f>
        <v>178.07832100709447</v>
      </c>
      <c r="AU39" s="2796">
        <f ca="1">AU37-AU40</f>
        <v>190.64511850217741</v>
      </c>
      <c r="AV39" s="2802"/>
      <c r="AW39" s="2862"/>
      <c r="AX39" s="48"/>
      <c r="AY39" s="48"/>
      <c r="AZ39" s="38"/>
      <c r="BA39" s="48">
        <f>BA37-BA40</f>
        <v>39.920674349881779</v>
      </c>
      <c r="BB39" s="48">
        <f>BB37-BB40</f>
        <v>39.920674349881779</v>
      </c>
      <c r="BC39" s="48">
        <f>BC37-BC40</f>
        <v>39.920674349881779</v>
      </c>
      <c r="BD39" s="48">
        <f>BD37-BD40</f>
        <v>39.920674349881807</v>
      </c>
      <c r="BE39" s="4"/>
      <c r="BF39" s="48">
        <f>BF37-BF40</f>
        <v>52.865250000000003</v>
      </c>
      <c r="BG39" s="48">
        <f>BG37-BG40</f>
        <v>52.865250000000003</v>
      </c>
      <c r="BH39" s="48">
        <f>BH37-BH40</f>
        <v>52.865250000000003</v>
      </c>
      <c r="BI39" s="48">
        <f>BI37-BI40</f>
        <v>52.865250000000003</v>
      </c>
      <c r="BJ39" s="38"/>
      <c r="BK39" s="48">
        <f>BK37-BK40</f>
        <v>36.799125000000174</v>
      </c>
      <c r="BL39" s="48">
        <f>BL37-BL40</f>
        <v>67.49912500000022</v>
      </c>
      <c r="BM39" s="48">
        <f>BM37-BM40</f>
        <v>25</v>
      </c>
      <c r="BN39" s="48">
        <f>BN37-BN40</f>
        <v>124.09824999999967</v>
      </c>
      <c r="BO39" s="4"/>
      <c r="BP39" s="48">
        <f>BP37-BP40</f>
        <v>30.700000000000017</v>
      </c>
      <c r="BQ39" s="48">
        <f>BQ37-BQ40</f>
        <v>31</v>
      </c>
      <c r="BR39" s="48">
        <f>BR37-BR40</f>
        <v>31</v>
      </c>
      <c r="BS39" s="48">
        <f>BS37-BS40</f>
        <v>36.100000000000023</v>
      </c>
      <c r="BT39" s="4"/>
      <c r="BU39" s="48">
        <f>BU37-BU40</f>
        <v>34</v>
      </c>
      <c r="BV39" s="48">
        <f>BV37-BV40</f>
        <v>34</v>
      </c>
      <c r="BW39" s="48">
        <f>BW37-BW40</f>
        <v>34.800000000000011</v>
      </c>
      <c r="BX39" s="48">
        <f>BX37-BX40</f>
        <v>36.300000000000011</v>
      </c>
      <c r="BY39" s="4"/>
      <c r="BZ39" s="48">
        <f>BZ37-BZ40</f>
        <v>32.399999999999977</v>
      </c>
      <c r="CA39" s="48">
        <f>CA37-CA40</f>
        <v>34.899999999999977</v>
      </c>
      <c r="CB39" s="48">
        <f>CB37-CB40</f>
        <v>33.699999999999989</v>
      </c>
      <c r="CC39" s="48">
        <f>CC37-CC40</f>
        <v>35.899999999999977</v>
      </c>
      <c r="CD39" s="7"/>
      <c r="CE39" s="49">
        <f>CE37-CE40</f>
        <v>39</v>
      </c>
      <c r="CF39" s="49">
        <f>CF37-CF40</f>
        <v>41.899999999999977</v>
      </c>
      <c r="CG39" s="49">
        <f>CG37-CG40</f>
        <v>39.399999999999977</v>
      </c>
      <c r="CH39" s="49">
        <f>CH37-CH40</f>
        <v>42.899999999999977</v>
      </c>
      <c r="CI39" s="8"/>
      <c r="CJ39" s="49">
        <f>CJ37-CJ40</f>
        <v>35.800000000000011</v>
      </c>
      <c r="CK39" s="49">
        <f>CK37-CK40</f>
        <v>38</v>
      </c>
      <c r="CL39" s="49">
        <f>CL37-CL40</f>
        <v>40.225000000000023</v>
      </c>
      <c r="CM39" s="49">
        <f>CM37-CM40</f>
        <v>45.675000000000011</v>
      </c>
      <c r="CN39" s="44"/>
      <c r="CO39" s="49">
        <f>CO37-CO40</f>
        <v>36.399999999999977</v>
      </c>
      <c r="CP39" s="49">
        <f>CP37-CP40</f>
        <v>38</v>
      </c>
      <c r="CQ39" s="49">
        <f>CQ37-CQ40</f>
        <v>38.199999999999989</v>
      </c>
      <c r="CR39" s="48">
        <f>CR37-CR40</f>
        <v>40.899999999999977</v>
      </c>
      <c r="CS39" s="856"/>
      <c r="CT39" s="49">
        <f>CT37-CT40</f>
        <v>43.975000000000023</v>
      </c>
      <c r="CU39" s="49">
        <f>CU37-CU40</f>
        <v>43.774999999999977</v>
      </c>
      <c r="CV39" s="49">
        <f>CV37-CV40</f>
        <v>43.675000000000011</v>
      </c>
      <c r="CW39" s="48">
        <f>CW37-CW40</f>
        <v>40.274999999999977</v>
      </c>
      <c r="CX39" s="6"/>
      <c r="CY39" s="49">
        <f>CY37-CY40</f>
        <v>40.725000000000023</v>
      </c>
      <c r="CZ39" s="49">
        <f>CZ37-CZ40</f>
        <v>40.024999999999977</v>
      </c>
      <c r="DA39" s="49">
        <f>DA37-DA40</f>
        <v>43.524999999999977</v>
      </c>
      <c r="DB39" s="48">
        <f>DB37-DB40</f>
        <v>43.524999999999977</v>
      </c>
      <c r="DC39" s="48">
        <f>U39-SUM(CY39:DB39)</f>
        <v>0</v>
      </c>
      <c r="DD39" s="48">
        <f>DD37-DD40</f>
        <v>40.5</v>
      </c>
      <c r="DE39" s="48">
        <f>DE37-DE40</f>
        <v>38.800000000000011</v>
      </c>
      <c r="DF39" s="48">
        <f>DF37-DF40</f>
        <v>39.800000000000011</v>
      </c>
      <c r="DG39" s="48">
        <f>DG37-DG40</f>
        <v>43.399999999999977</v>
      </c>
      <c r="DH39" s="42">
        <f>Y39-SUM(DD39:DG39)</f>
        <v>0</v>
      </c>
      <c r="DI39" s="48">
        <f>DI37-DI40</f>
        <v>45.650000000000091</v>
      </c>
      <c r="DJ39" s="48">
        <f>DJ37-DJ40</f>
        <v>45.75</v>
      </c>
      <c r="DK39" s="48">
        <f>DK37-DK40</f>
        <v>45.050000000000011</v>
      </c>
      <c r="DL39" s="48">
        <f>DL37-DL40</f>
        <v>45.477130890052649</v>
      </c>
      <c r="DM39" s="42">
        <f>Z39-SUM(DI39:DL39)</f>
        <v>-2.8421709430404007E-13</v>
      </c>
    </row>
    <row r="40" spans="1:117">
      <c r="A40" s="6"/>
      <c r="B40" s="6" t="s">
        <v>683</v>
      </c>
      <c r="C40" s="10">
        <f>'Segment Detail'!E154</f>
        <v>690.42239553282593</v>
      </c>
      <c r="D40" s="10">
        <f>'Segment Detail'!K154</f>
        <v>760.31730260047289</v>
      </c>
      <c r="E40" s="10">
        <f>'Segment Detail'!N154</f>
        <v>1014.239</v>
      </c>
      <c r="F40" s="10">
        <f>'Segment Detail'!R154</f>
        <v>990.60349999999994</v>
      </c>
      <c r="G40" s="10">
        <f>'Segment Detail'!T154</f>
        <v>1210.3000000000002</v>
      </c>
      <c r="H40" s="10">
        <f>'Segment Detail'!U154</f>
        <v>1250.1000000000001</v>
      </c>
      <c r="I40" s="10">
        <f>'Segment Detail'!X154</f>
        <v>1569.8</v>
      </c>
      <c r="J40" s="10"/>
      <c r="K40" s="10">
        <f>'Segment Detail'!F154</f>
        <v>797.01540261253115</v>
      </c>
      <c r="L40" s="10">
        <f>'Segment Detail'!L154</f>
        <v>914.64061702127663</v>
      </c>
      <c r="M40" s="10">
        <f>'Segment Detail'!O154</f>
        <v>1250.5470000000003</v>
      </c>
      <c r="N40" s="10">
        <f>'Segment Detail'!S154</f>
        <v>1195.3320436973734</v>
      </c>
      <c r="O40" s="10">
        <f>'Segment Detail'!Y154</f>
        <v>1406.3</v>
      </c>
      <c r="P40" s="10">
        <f>'Segment Detail'!Z154</f>
        <v>1493.5</v>
      </c>
      <c r="Q40" s="37">
        <f>'Segment Detail'!AA154</f>
        <v>1818</v>
      </c>
      <c r="R40" s="37">
        <f>'Segment Detail'!AB154</f>
        <v>1665</v>
      </c>
      <c r="S40" s="37">
        <f>'Segment Detail'!AC154</f>
        <v>1794.2</v>
      </c>
      <c r="T40" s="10">
        <f>'Segment Detail'!AD154</f>
        <v>1765.8</v>
      </c>
      <c r="U40" s="10">
        <f>'Segment Detail'!AE154</f>
        <v>1585.9</v>
      </c>
      <c r="V40" s="10"/>
      <c r="W40" s="10">
        <f>T40</f>
        <v>1765.8</v>
      </c>
      <c r="X40" s="37">
        <f>U40</f>
        <v>1585.9</v>
      </c>
      <c r="Y40" s="10">
        <f>'Segment Detail'!AF154+Drivers!I71</f>
        <v>1266.3035190765279</v>
      </c>
      <c r="Z40" s="10">
        <f>'Segment Detail'!AG154+Drivers!J71</f>
        <v>1624.8982753615869</v>
      </c>
      <c r="AA40" s="10">
        <f>'Segment Detail'!AH154+Drivers!K71</f>
        <v>2311.2655627821364</v>
      </c>
      <c r="AB40" s="10">
        <f>'Segment Detail'!AI154+Drivers!L71</f>
        <v>2602.3830959851566</v>
      </c>
      <c r="AC40" s="2938">
        <f>'Segment Detail'!AJ154+Drivers!M71</f>
        <v>2820.1912147048688</v>
      </c>
      <c r="AD40" s="2939">
        <f>'Segment Detail'!AK154+Drivers!N71</f>
        <v>2685.1180750845078</v>
      </c>
      <c r="AE40" s="2939">
        <f>+AC40</f>
        <v>2820.1912147048688</v>
      </c>
      <c r="AF40" s="2938">
        <f>+AD40</f>
        <v>2685.1180750845078</v>
      </c>
      <c r="AG40" s="2938">
        <f>'Segment Detail'!AL154+Drivers!Q71</f>
        <v>2607.5670638195938</v>
      </c>
      <c r="AH40" s="2938">
        <f ca="1">'Segment Detail'!AM154+Drivers!R71</f>
        <v>2977.3688837533559</v>
      </c>
      <c r="AI40" s="2943">
        <f ca="1">AH40</f>
        <v>2977.3688837533559</v>
      </c>
      <c r="AJ40" s="2938">
        <f ca="1">'Segment Detail'!AN154+Drivers!T67+Drivers!T71</f>
        <v>2923.1269637594678</v>
      </c>
      <c r="AK40" s="2938">
        <f ca="1">'Segment Detail'!AO154+Drivers!U67+Drivers!U71</f>
        <v>3173.0362007637332</v>
      </c>
      <c r="AL40" s="2938">
        <f ca="1">'Segment Detail'!AP154+Drivers!V67+Drivers!V71</f>
        <v>3358.9272616843004</v>
      </c>
      <c r="AM40" s="2938">
        <f ca="1">'Segment Detail'!AQ154+Drivers!W67+Drivers!W71</f>
        <v>3704.8145047550015</v>
      </c>
      <c r="AN40" s="2938">
        <f ca="1">'Segment Detail'!AR154+Drivers!X67+Drivers!X71</f>
        <v>3804.8323767149568</v>
      </c>
      <c r="AO40" s="2938">
        <f ca="1">'Segment Detail'!AS154+Drivers!Y67+Drivers!Y71</f>
        <v>4040.8690715671773</v>
      </c>
      <c r="AP40" s="2938">
        <f ca="1">'Segment Detail'!AT154+Drivers!Z67+Drivers!Z71</f>
        <v>3852.1423961621035</v>
      </c>
      <c r="AQ40" s="2938">
        <f ca="1">'Segment Detail'!AU154+Drivers!AA67+Drivers!AA71</f>
        <v>3940.8841788106606</v>
      </c>
      <c r="AR40" s="2938">
        <f ca="1">'Segment Detail'!AV154+Drivers!AB67+Drivers!AB71</f>
        <v>3926.1923574480816</v>
      </c>
      <c r="AS40" s="2938">
        <f ca="1">'Segment Detail'!AW154+Drivers!AC67+Drivers!AC71</f>
        <v>3857.6585193221704</v>
      </c>
      <c r="AT40" s="2938">
        <f ca="1">'Segment Detail'!AX154+Drivers!AD67+Drivers!AD71</f>
        <v>3791.1624963308464</v>
      </c>
      <c r="AU40" s="2938">
        <f ca="1">'Segment Detail'!AY154+Drivers!AE67+Drivers!AE71</f>
        <v>3962.0018086403666</v>
      </c>
      <c r="AV40" s="2802"/>
      <c r="AW40" s="2938"/>
      <c r="AX40" s="10"/>
      <c r="AY40" s="10"/>
      <c r="AZ40" s="10"/>
      <c r="BA40" s="10">
        <f>'Segment Detail'!BF154</f>
        <v>138.37932565011823</v>
      </c>
      <c r="BB40" s="10">
        <f>'Segment Detail'!BG154</f>
        <v>195.57932565011822</v>
      </c>
      <c r="BC40" s="10">
        <f>'Segment Detail'!BH154</f>
        <v>225.37932565011823</v>
      </c>
      <c r="BD40" s="10">
        <f>'Segment Detail'!BI154</f>
        <v>200.9793256501182</v>
      </c>
      <c r="BE40" s="4"/>
      <c r="BF40" s="10">
        <f>'Segment Detail'!BK154</f>
        <v>235.93475000000001</v>
      </c>
      <c r="BG40" s="10">
        <f>'Segment Detail'!BL154</f>
        <v>255.73475000000002</v>
      </c>
      <c r="BH40" s="10">
        <f>'Segment Detail'!BM154</f>
        <v>294.43475000000001</v>
      </c>
      <c r="BI40" s="10">
        <f>'Segment Detail'!BN154</f>
        <v>228.13475</v>
      </c>
      <c r="BJ40" s="10"/>
      <c r="BK40" s="10">
        <f>'Segment Detail'!BU154</f>
        <v>277.90087499999981</v>
      </c>
      <c r="BL40" s="10">
        <f>'Segment Detail'!BV154</f>
        <v>293.30087499999979</v>
      </c>
      <c r="BM40" s="10">
        <f>'Segment Detail'!BW154</f>
        <v>258.7</v>
      </c>
      <c r="BN40" s="10">
        <f>'Segment Detail'!BX154</f>
        <v>159.40175000000033</v>
      </c>
      <c r="BO40" s="4"/>
      <c r="BP40" s="10">
        <f>'Segment Detail'!BZ154</f>
        <v>217.39999999999998</v>
      </c>
      <c r="BQ40" s="10">
        <f>'Segment Detail'!CA154</f>
        <v>353.6</v>
      </c>
      <c r="BR40" s="10">
        <f>'Segment Detail'!CB154</f>
        <v>317.7</v>
      </c>
      <c r="BS40" s="10">
        <f>'Segment Detail'!CC154</f>
        <v>321.59999999999997</v>
      </c>
      <c r="BT40" s="4">
        <f>G40-SUM(BP40:BS40)</f>
        <v>0</v>
      </c>
      <c r="BU40" s="10">
        <f>'Segment Detail'!CE154</f>
        <v>245.60000000000002</v>
      </c>
      <c r="BV40" s="10">
        <f>'Segment Detail'!CF154</f>
        <v>395.2</v>
      </c>
      <c r="BW40" s="10">
        <f>'Segment Detail'!CG154</f>
        <v>365.3</v>
      </c>
      <c r="BX40" s="10">
        <f>'Segment Detail'!CH154</f>
        <v>244</v>
      </c>
      <c r="BY40" s="4">
        <f>H40-SUM(BU40:BX40)</f>
        <v>0</v>
      </c>
      <c r="BZ40" s="10">
        <f>'Segment Detail'!CJ154</f>
        <v>338.70000000000005</v>
      </c>
      <c r="CA40" s="10">
        <f>'Segment Detail'!CK154</f>
        <v>541.5</v>
      </c>
      <c r="CB40" s="10">
        <f>'Segment Detail'!CL154</f>
        <v>391.5</v>
      </c>
      <c r="CC40" s="10">
        <f>'Segment Detail'!CM154</f>
        <v>298.10000000000002</v>
      </c>
      <c r="CD40" s="7">
        <f>I40-SUM(BZ40:CC40)</f>
        <v>0</v>
      </c>
      <c r="CE40" s="37">
        <f>'Segment Detail'!CO154</f>
        <v>393.7</v>
      </c>
      <c r="CF40" s="37">
        <f>'Segment Detail'!CP154</f>
        <v>590.80000000000007</v>
      </c>
      <c r="CG40" s="37">
        <f>'Segment Detail'!CQ154</f>
        <v>468.70000000000005</v>
      </c>
      <c r="CH40" s="37">
        <f>'Segment Detail'!CR154</f>
        <v>364.80000000000007</v>
      </c>
      <c r="CI40" s="8">
        <f>Q40-SUM(CE40:CH40)</f>
        <v>0</v>
      </c>
      <c r="CJ40" s="37">
        <f>'Segment Detail'!CT154</f>
        <v>376.2</v>
      </c>
      <c r="CK40" s="37">
        <f>'Segment Detail'!CU154</f>
        <v>509.5</v>
      </c>
      <c r="CL40" s="37">
        <f>'Segment Detail'!CV154</f>
        <v>380.77499999999998</v>
      </c>
      <c r="CM40" s="37">
        <f>'Segment Detail'!CW154</f>
        <v>398.52499999999998</v>
      </c>
      <c r="CN40" s="45">
        <f>R40-SUM(CJ40:CM40)</f>
        <v>0</v>
      </c>
      <c r="CO40" s="37">
        <f>'Segment Detail'!CY154</f>
        <v>387.3</v>
      </c>
      <c r="CP40" s="37">
        <f>'Segment Detail'!CZ154</f>
        <v>497.4</v>
      </c>
      <c r="CQ40" s="37">
        <f>'Segment Detail'!DA154</f>
        <v>418.90000000000003</v>
      </c>
      <c r="CR40" s="10">
        <f>'Segment Detail'!DB154</f>
        <v>490.6</v>
      </c>
      <c r="CS40" s="857">
        <f>S40-SUM(CO40:CR40)</f>
        <v>0</v>
      </c>
      <c r="CT40" s="37">
        <f>'Segment Detail'!DD154</f>
        <v>351.22499999999997</v>
      </c>
      <c r="CU40" s="37">
        <f>'Segment Detail'!DE154</f>
        <v>516.42500000000007</v>
      </c>
      <c r="CV40" s="37">
        <f>'Segment Detail'!DF154</f>
        <v>442.72499999999997</v>
      </c>
      <c r="CW40" s="10">
        <f>'Segment Detail'!DG154</f>
        <v>454.42500000000001</v>
      </c>
      <c r="CX40" s="48">
        <f>T40-SUM(CT40:CW40)</f>
        <v>1</v>
      </c>
      <c r="CY40" s="37">
        <f>'Segment Detail'!DI154</f>
        <v>456.75424972624995</v>
      </c>
      <c r="CZ40" s="37">
        <f>'Segment Detail'!DJ154</f>
        <v>475.06973068000002</v>
      </c>
      <c r="DA40" s="37">
        <f>'Segment Detail'!DK154</f>
        <v>372.14397686793751</v>
      </c>
      <c r="DB40" s="10">
        <f>'Segment Detail'!DL154</f>
        <v>281.93204272581255</v>
      </c>
      <c r="DC40" s="48">
        <f>U40-SUM(CY40:DB40)</f>
        <v>0</v>
      </c>
      <c r="DD40" s="10">
        <f>'Segment Detail'!DN154</f>
        <v>204.13853314169933</v>
      </c>
      <c r="DE40" s="10">
        <f>'Segment Detail'!DO154</f>
        <v>273.11093352486836</v>
      </c>
      <c r="DF40" s="10">
        <f>'Segment Detail'!DP154</f>
        <v>443.62739985984575</v>
      </c>
      <c r="DG40" s="10">
        <f>'Segment Detail'!DQ154+Drivers!BO71</f>
        <v>345.42665255011462</v>
      </c>
      <c r="DH40" s="42">
        <f>Y40-SUM(DD40:DG40)</f>
        <v>0</v>
      </c>
      <c r="DI40" s="10">
        <f>'Segment Detail'!DS154+Drivers!BQ71</f>
        <v>244.75527607535992</v>
      </c>
      <c r="DJ40" s="10">
        <f>'Segment Detail'!DT154+Drivers!BR71</f>
        <v>391.47434590584726</v>
      </c>
      <c r="DK40" s="10">
        <f>'Segment Detail'!DU154+Drivers!BS71</f>
        <v>476.14792583340198</v>
      </c>
      <c r="DL40" s="10">
        <f>'Segment Detail'!DV154+Drivers!BT71</f>
        <v>512.52072754697724</v>
      </c>
      <c r="DM40" s="42">
        <f>Z40-SUM(DI40:DL40)</f>
        <v>0</v>
      </c>
    </row>
    <row r="41" spans="1:117">
      <c r="A41" s="6"/>
      <c r="B41" s="43" t="s">
        <v>676</v>
      </c>
      <c r="C41" s="38"/>
      <c r="D41" s="38">
        <f t="shared" ref="D41:I41" si="47">D40/C40-1</f>
        <v>0.1012349939977053</v>
      </c>
      <c r="E41" s="38">
        <f t="shared" si="47"/>
        <v>0.33396806376897148</v>
      </c>
      <c r="F41" s="38">
        <f t="shared" si="47"/>
        <v>-2.3303678915916337E-2</v>
      </c>
      <c r="G41" s="38">
        <f t="shared" si="47"/>
        <v>0.22178046009326668</v>
      </c>
      <c r="H41" s="38">
        <f t="shared" si="47"/>
        <v>3.288440882425836E-2</v>
      </c>
      <c r="I41" s="38">
        <f t="shared" si="47"/>
        <v>0.25573954083673289</v>
      </c>
      <c r="J41" s="38"/>
      <c r="K41" s="38"/>
      <c r="L41" s="38">
        <f t="shared" ref="L41:AL41" si="48">L40/K40-1</f>
        <v>0.14758210948393558</v>
      </c>
      <c r="M41" s="38">
        <f t="shared" si="48"/>
        <v>0.36725504720386759</v>
      </c>
      <c r="N41" s="38">
        <f t="shared" si="48"/>
        <v>-4.4152643845154826E-2</v>
      </c>
      <c r="O41" s="38">
        <f t="shared" si="48"/>
        <v>0.17649318230444599</v>
      </c>
      <c r="P41" s="38">
        <f t="shared" si="48"/>
        <v>6.2006684206783902E-2</v>
      </c>
      <c r="Q41" s="39">
        <f t="shared" si="48"/>
        <v>0.21727485771677268</v>
      </c>
      <c r="R41" s="39">
        <f t="shared" si="48"/>
        <v>-8.4158415841584122E-2</v>
      </c>
      <c r="S41" s="39">
        <f t="shared" si="48"/>
        <v>7.7597597597597545E-2</v>
      </c>
      <c r="T41" s="38">
        <f t="shared" si="48"/>
        <v>-1.5828781629695698E-2</v>
      </c>
      <c r="U41" s="38">
        <f>U40/T40-1</f>
        <v>-0.101880167629403</v>
      </c>
      <c r="V41" s="38"/>
      <c r="W41" s="38"/>
      <c r="X41" s="39">
        <f>X40/W40-1</f>
        <v>-0.101880167629403</v>
      </c>
      <c r="Y41" s="38">
        <f>Y40/X40-1</f>
        <v>-0.20152372843399469</v>
      </c>
      <c r="Z41" s="38">
        <f t="shared" si="48"/>
        <v>0.28318231046737519</v>
      </c>
      <c r="AA41" s="38">
        <f t="shared" si="48"/>
        <v>0.42240631172299881</v>
      </c>
      <c r="AB41" s="38">
        <f t="shared" si="48"/>
        <v>0.12595589961224252</v>
      </c>
      <c r="AC41" s="2802">
        <f t="shared" si="48"/>
        <v>8.3695639990797988E-2</v>
      </c>
      <c r="AD41" s="2940">
        <f>AD40/AC40-1</f>
        <v>-4.7895028860479694E-2</v>
      </c>
      <c r="AE41" s="2940"/>
      <c r="AF41" s="2802">
        <f>AF40/AE40-1</f>
        <v>-4.7895028860479694E-2</v>
      </c>
      <c r="AG41" s="2802">
        <f>AG40/AF40-1</f>
        <v>-2.8881788098824357E-2</v>
      </c>
      <c r="AH41" s="2802">
        <f t="shared" ca="1" si="48"/>
        <v>0.14181871870711249</v>
      </c>
      <c r="AI41" s="2943"/>
      <c r="AJ41" s="2802">
        <f ca="1">AJ40/AH40-1</f>
        <v>-1.8218071764594113E-2</v>
      </c>
      <c r="AK41" s="2802">
        <f t="shared" ca="1" si="48"/>
        <v>8.5493801707078099E-2</v>
      </c>
      <c r="AL41" s="2802">
        <f t="shared" ca="1" si="48"/>
        <v>5.8584601359361832E-2</v>
      </c>
      <c r="AM41" s="2802">
        <f t="shared" ref="AM41:AU41" ca="1" si="49">AM40/AL40-1</f>
        <v>0.10297550858462445</v>
      </c>
      <c r="AN41" s="2802">
        <f t="shared" ca="1" si="49"/>
        <v>2.6996728670648951E-2</v>
      </c>
      <c r="AO41" s="2802">
        <f t="shared" ca="1" si="49"/>
        <v>6.2036029838458129E-2</v>
      </c>
      <c r="AP41" s="2802">
        <f t="shared" ca="1" si="49"/>
        <v>-4.6704476701067588E-2</v>
      </c>
      <c r="AQ41" s="2802">
        <f t="shared" ca="1" si="49"/>
        <v>2.3036994358508256E-2</v>
      </c>
      <c r="AR41" s="2802">
        <f t="shared" ca="1" si="49"/>
        <v>-3.7280520553164553E-3</v>
      </c>
      <c r="AS41" s="2802">
        <f t="shared" ca="1" si="49"/>
        <v>-1.7455547738485344E-2</v>
      </c>
      <c r="AT41" s="2802">
        <f t="shared" ca="1" si="49"/>
        <v>-1.7237405192362165E-2</v>
      </c>
      <c r="AU41" s="2802">
        <f t="shared" ca="1" si="49"/>
        <v>4.5062513800150139E-2</v>
      </c>
      <c r="AV41" s="2802"/>
      <c r="AW41" s="2802"/>
      <c r="AX41" s="38"/>
      <c r="AY41" s="38"/>
      <c r="AZ41" s="10"/>
      <c r="BA41" s="38"/>
      <c r="BB41" s="38"/>
      <c r="BC41" s="38"/>
      <c r="BD41" s="38"/>
      <c r="BE41" s="4"/>
      <c r="BF41" s="38"/>
      <c r="BG41" s="38"/>
      <c r="BH41" s="38"/>
      <c r="BI41" s="38"/>
      <c r="BJ41" s="10"/>
      <c r="BK41" s="38"/>
      <c r="BL41" s="38"/>
      <c r="BM41" s="38"/>
      <c r="BN41" s="38"/>
      <c r="BO41" s="4"/>
      <c r="BP41" s="38"/>
      <c r="BQ41" s="38"/>
      <c r="BR41" s="38"/>
      <c r="BS41" s="38"/>
      <c r="BT41" s="4"/>
      <c r="BU41" s="38"/>
      <c r="BV41" s="38"/>
      <c r="BW41" s="38"/>
      <c r="BX41" s="38"/>
      <c r="BY41" s="4"/>
      <c r="BZ41" s="38"/>
      <c r="CA41" s="38"/>
      <c r="CB41" s="38"/>
      <c r="CC41" s="38"/>
      <c r="CD41" s="7"/>
      <c r="CE41" s="39"/>
      <c r="CF41" s="39"/>
      <c r="CG41" s="39"/>
      <c r="CH41" s="39"/>
      <c r="CI41" s="8"/>
      <c r="CJ41" s="39">
        <f>CJ40/CE40-1</f>
        <v>-4.4450088900177764E-2</v>
      </c>
      <c r="CK41" s="39">
        <f>CK40/CF40-1</f>
        <v>-0.1376100203114422</v>
      </c>
      <c r="CL41" s="39">
        <f>CL40/CG40-1</f>
        <v>-0.18759334328995103</v>
      </c>
      <c r="CM41" s="39">
        <f>CM40/CH40-1</f>
        <v>9.2447916666666297E-2</v>
      </c>
      <c r="CN41" s="44"/>
      <c r="CO41" s="39">
        <f>CO40/CJ40-1</f>
        <v>2.9505582137161035E-2</v>
      </c>
      <c r="CP41" s="39">
        <f>CP40/CK40-1</f>
        <v>-2.3748773307163962E-2</v>
      </c>
      <c r="CQ41" s="39">
        <f>CQ40/CL40-1</f>
        <v>0.100124745584663</v>
      </c>
      <c r="CR41" s="38">
        <f>CR40/CM40-1</f>
        <v>0.23103945800138015</v>
      </c>
      <c r="CS41" s="856"/>
      <c r="CT41" s="39">
        <f>CT40/CO40-1</f>
        <v>-9.3144848954299087E-2</v>
      </c>
      <c r="CU41" s="39">
        <f>CU40/CP40-1</f>
        <v>3.8248894250100696E-2</v>
      </c>
      <c r="CV41" s="39">
        <f>CV40/CQ40-1</f>
        <v>5.6875149200286357E-2</v>
      </c>
      <c r="CW41" s="38">
        <f>CW40/CR40-1</f>
        <v>-7.3736241337138186E-2</v>
      </c>
      <c r="CX41" s="6"/>
      <c r="CY41" s="39">
        <f>CY40/CT40-1</f>
        <v>0.30046053021923269</v>
      </c>
      <c r="CZ41" s="39">
        <f>CZ40/CU40-1</f>
        <v>-8.007991348211263E-2</v>
      </c>
      <c r="DA41" s="39">
        <f>DA40/CV40-1</f>
        <v>-0.15942407393316949</v>
      </c>
      <c r="DB41" s="38">
        <f>DB40/CW40-1</f>
        <v>-0.37958509605366664</v>
      </c>
      <c r="DC41" s="6"/>
      <c r="DD41" s="39">
        <f>DD40/CY40-1</f>
        <v>-0.55306703054422102</v>
      </c>
      <c r="DE41" s="39">
        <f>DE40/CZ40-1</f>
        <v>-0.42511400771851771</v>
      </c>
      <c r="DF41" s="39">
        <f>DF40/DA40-1</f>
        <v>0.1920853955330184</v>
      </c>
      <c r="DG41" s="38">
        <f>DG40/DB40-1</f>
        <v>0.22521246329581812</v>
      </c>
      <c r="DH41" s="6"/>
      <c r="DI41" s="39">
        <f>DI40/DD40-1</f>
        <v>0.19896656603027107</v>
      </c>
      <c r="DJ41" s="39">
        <f>DJ40/DE40-1</f>
        <v>0.43338950533154397</v>
      </c>
      <c r="DK41" s="39">
        <f>DK40/DF40-1</f>
        <v>7.3305945448433496E-2</v>
      </c>
      <c r="DL41" s="38">
        <f>DL40/DG40-1</f>
        <v>0.48373243281399825</v>
      </c>
    </row>
    <row r="42" spans="1:117" ht="10.5" customHeight="1">
      <c r="A42" s="6"/>
      <c r="B42" s="43" t="s">
        <v>690</v>
      </c>
      <c r="C42" s="38">
        <f t="shared" ref="C42:I42" si="50">C40/C35</f>
        <v>9.2040353471061348E-2</v>
      </c>
      <c r="D42" s="38">
        <f t="shared" si="50"/>
        <v>0.10727278279279215</v>
      </c>
      <c r="E42" s="38">
        <f t="shared" si="50"/>
        <v>0.14389022089179565</v>
      </c>
      <c r="F42" s="38">
        <f t="shared" si="50"/>
        <v>0.13682557770134945</v>
      </c>
      <c r="G42" s="38">
        <f t="shared" si="50"/>
        <v>0.16173994387277832</v>
      </c>
      <c r="H42" s="38">
        <f t="shared" si="50"/>
        <v>0.16107460378817165</v>
      </c>
      <c r="I42" s="38">
        <f t="shared" si="50"/>
        <v>0.18458246125626129</v>
      </c>
      <c r="J42" s="38"/>
      <c r="K42" s="38">
        <f t="shared" ref="K42:AJ42" si="51">K40/K35</f>
        <v>9.6605573926323879E-2</v>
      </c>
      <c r="L42" s="38">
        <f t="shared" si="51"/>
        <v>0.11618467500238515</v>
      </c>
      <c r="M42" s="38">
        <f t="shared" si="51"/>
        <v>0.15859621311080399</v>
      </c>
      <c r="N42" s="38">
        <f t="shared" si="51"/>
        <v>0.1462947066144569</v>
      </c>
      <c r="O42" s="38">
        <f t="shared" si="51"/>
        <v>0.16811916460447823</v>
      </c>
      <c r="P42" s="38">
        <f t="shared" si="51"/>
        <v>0.17205230113472728</v>
      </c>
      <c r="Q42" s="39">
        <f t="shared" si="51"/>
        <v>0.19241149388791873</v>
      </c>
      <c r="R42" s="39">
        <f t="shared" si="51"/>
        <v>0.17854844936301634</v>
      </c>
      <c r="S42" s="39">
        <f t="shared" si="51"/>
        <v>0.18911996289698643</v>
      </c>
      <c r="T42" s="38">
        <f t="shared" si="51"/>
        <v>0.19388203258816811</v>
      </c>
      <c r="U42" s="38">
        <f t="shared" si="51"/>
        <v>0.17368456040743319</v>
      </c>
      <c r="V42" s="38"/>
      <c r="W42" s="38">
        <f t="shared" si="51"/>
        <v>0.19388203258816811</v>
      </c>
      <c r="X42" s="39">
        <f t="shared" si="51"/>
        <v>0.17368456040743319</v>
      </c>
      <c r="Y42" s="38">
        <f t="shared" si="51"/>
        <v>0.14195786077702408</v>
      </c>
      <c r="Z42" s="38">
        <f t="shared" si="51"/>
        <v>0.16671890605331882</v>
      </c>
      <c r="AA42" s="38">
        <f t="shared" si="51"/>
        <v>0.23411674443837349</v>
      </c>
      <c r="AB42" s="38">
        <f t="shared" si="51"/>
        <v>0.25159505360931145</v>
      </c>
      <c r="AC42" s="2802">
        <f t="shared" si="51"/>
        <v>0.24656844727398566</v>
      </c>
      <c r="AD42" s="2940">
        <f t="shared" si="51"/>
        <v>0.23887160455015846</v>
      </c>
      <c r="AE42" s="2940">
        <f t="shared" si="51"/>
        <v>0.24656844727398566</v>
      </c>
      <c r="AF42" s="2802">
        <f t="shared" si="51"/>
        <v>0.23887160455015846</v>
      </c>
      <c r="AG42" s="2802">
        <f t="shared" si="51"/>
        <v>0.2261570982686481</v>
      </c>
      <c r="AH42" s="2802">
        <f t="shared" ca="1" si="51"/>
        <v>0.24709913603140882</v>
      </c>
      <c r="AI42" s="2943"/>
      <c r="AJ42" s="2802">
        <f t="shared" ca="1" si="51"/>
        <v>0.23606856584957808</v>
      </c>
      <c r="AK42" s="2802">
        <f t="shared" ref="AK42:AQ42" ca="1" si="52">AK40/AK35</f>
        <v>0.23970909471133114</v>
      </c>
      <c r="AL42" s="2802">
        <f t="shared" ca="1" si="52"/>
        <v>0.23469721998740095</v>
      </c>
      <c r="AM42" s="2802">
        <f t="shared" ca="1" si="52"/>
        <v>0.24925654228115962</v>
      </c>
      <c r="AN42" s="2802">
        <f t="shared" ca="1" si="52"/>
        <v>0.24465408730444324</v>
      </c>
      <c r="AO42" s="2802">
        <f t="shared" ca="1" si="52"/>
        <v>0.24253464982770873</v>
      </c>
      <c r="AP42" s="2802">
        <f t="shared" ca="1" si="52"/>
        <v>0.23243195814780845</v>
      </c>
      <c r="AQ42" s="2802">
        <f t="shared" ca="1" si="52"/>
        <v>0.23020469539702226</v>
      </c>
      <c r="AR42" s="2802">
        <f ca="1">AR40/AR35</f>
        <v>0.21686173704385978</v>
      </c>
      <c r="AS42" s="2802">
        <f ca="1">AS40/AS35</f>
        <v>0.21506738463149594</v>
      </c>
      <c r="AT42" s="2802">
        <f ca="1">AT40/AT35</f>
        <v>0.20686403823081256</v>
      </c>
      <c r="AU42" s="2802">
        <f ca="1">AU40/AU35</f>
        <v>0.20231314173592987</v>
      </c>
      <c r="AV42" s="2802"/>
      <c r="AW42" s="2802"/>
      <c r="AX42" s="38"/>
      <c r="AY42" s="38"/>
      <c r="AZ42" s="38"/>
      <c r="BA42" s="38">
        <f>BA40/BA35</f>
        <v>7.6074395629531735E-2</v>
      </c>
      <c r="BB42" s="38">
        <f>BB40/BB35</f>
        <v>0.12553230144423505</v>
      </c>
      <c r="BC42" s="38">
        <f>BC40/BC35</f>
        <v>0.13320291114073182</v>
      </c>
      <c r="BD42" s="38">
        <f>BD40/BD35</f>
        <v>9.9558788155802339E-2</v>
      </c>
      <c r="BE42" s="4"/>
      <c r="BF42" s="38">
        <f>BF40/BF35</f>
        <v>0.12752540403221449</v>
      </c>
      <c r="BG42" s="38">
        <f>BG40/BG35</f>
        <v>0.15554695578127853</v>
      </c>
      <c r="BH42" s="38">
        <f>BH40/BH35</f>
        <v>0.17966484622894802</v>
      </c>
      <c r="BI42" s="38">
        <f>BI40/BI35</f>
        <v>0.11908688729968157</v>
      </c>
      <c r="BJ42" s="38"/>
      <c r="BK42" s="38">
        <f>BK40/BK35</f>
        <v>0.13684305446129597</v>
      </c>
      <c r="BL42" s="38">
        <f>BL40/BL35</f>
        <v>0.18033747848007856</v>
      </c>
      <c r="BM42" s="38">
        <f>BM40/BM35</f>
        <v>0.16347551342812006</v>
      </c>
      <c r="BN42" s="38">
        <f>BN40/BN35</f>
        <v>7.9490225901361566E-2</v>
      </c>
      <c r="BO42" s="38"/>
      <c r="BP42" s="38">
        <f>BP40/BP35</f>
        <v>0.11746271882429218</v>
      </c>
      <c r="BQ42" s="38">
        <f>BQ40/BQ35</f>
        <v>0.20812242495585639</v>
      </c>
      <c r="BR42" s="38">
        <f>BR40/BR35</f>
        <v>0.17551516490801614</v>
      </c>
      <c r="BS42" s="38">
        <f>BS40/BS35</f>
        <v>0.15147661438462626</v>
      </c>
      <c r="BT42" s="4"/>
      <c r="BU42" s="38">
        <f>BU40/BU35</f>
        <v>0.12761756300337751</v>
      </c>
      <c r="BV42" s="38">
        <f>BV40/BV35</f>
        <v>0.21224489795918366</v>
      </c>
      <c r="BW42" s="38">
        <f>BW40/BW35</f>
        <v>0.19404015722936366</v>
      </c>
      <c r="BX42" s="38">
        <f>BX40/BX35</f>
        <v>0.11664037477890912</v>
      </c>
      <c r="BY42" s="4"/>
      <c r="BZ42" s="38">
        <f>BZ40/BZ35</f>
        <v>0.14902978835746031</v>
      </c>
      <c r="CA42" s="38">
        <f>CA40/CA35</f>
        <v>0.26236736275982364</v>
      </c>
      <c r="CB42" s="38">
        <f>CB40/CB35</f>
        <v>0.19882179675994111</v>
      </c>
      <c r="CC42" s="38">
        <f>CC40/CC35</f>
        <v>0.13556778389194599</v>
      </c>
      <c r="CD42" s="7"/>
      <c r="CE42" s="39">
        <f>CE40/CE35</f>
        <v>0.15735411670663468</v>
      </c>
      <c r="CF42" s="39">
        <f>CF40/CF35</f>
        <v>0.25835228266573379</v>
      </c>
      <c r="CG42" s="39">
        <f>CG40/CG35</f>
        <v>0.21277465044488833</v>
      </c>
      <c r="CH42" s="39">
        <f>CH40/CH35</f>
        <v>0.14847979160731004</v>
      </c>
      <c r="CI42" s="8"/>
      <c r="CJ42" s="39">
        <f>CJ40/CJ35</f>
        <v>0.15707068598388377</v>
      </c>
      <c r="CK42" s="39">
        <f>CK40/CK35</f>
        <v>0.22305402329042992</v>
      </c>
      <c r="CL42" s="39">
        <f>CL40/CL35</f>
        <v>0.17670193512459972</v>
      </c>
      <c r="CM42" s="39">
        <f>CM40/CM35</f>
        <v>0.15998594941790445</v>
      </c>
      <c r="CN42" s="44"/>
      <c r="CO42" s="39">
        <f>CO40/CO35</f>
        <v>0.15395317406686013</v>
      </c>
      <c r="CP42" s="39">
        <f>CP40/CP35</f>
        <v>0.220107974157005</v>
      </c>
      <c r="CQ42" s="39">
        <f>CQ40/CQ35</f>
        <v>0.1947828512973124</v>
      </c>
      <c r="CR42" s="38">
        <f>CR40/CR35</f>
        <v>0.19156579461147991</v>
      </c>
      <c r="CS42" s="856"/>
      <c r="CT42" s="39">
        <f>CT40/CT35</f>
        <v>0.13860497237569058</v>
      </c>
      <c r="CU42" s="39">
        <f>CU40/CU35</f>
        <v>0.24231653528528535</v>
      </c>
      <c r="CV42" s="39">
        <f>CV40/CV35</f>
        <v>0.21696888017642732</v>
      </c>
      <c r="CW42" s="38">
        <f>CW40/CW35</f>
        <v>0.18919397143927724</v>
      </c>
      <c r="CX42" s="6"/>
      <c r="CY42" s="39">
        <f>CY40/CY35</f>
        <v>0.17648354066523997</v>
      </c>
      <c r="CZ42" s="39">
        <f>CZ40/CZ35</f>
        <v>0.21672312602836799</v>
      </c>
      <c r="DA42" s="39">
        <f>DA40/DA35</f>
        <v>0.17702729997194197</v>
      </c>
      <c r="DB42" s="38">
        <f>DB40/DB35</f>
        <v>0.12538145444324358</v>
      </c>
      <c r="DC42" s="6"/>
      <c r="DD42" s="39">
        <f>DD40/DD35</f>
        <v>8.9658314992357283E-2</v>
      </c>
      <c r="DE42" s="39">
        <f>DE40/DE35</f>
        <v>0.13792107780056562</v>
      </c>
      <c r="DF42" s="39">
        <f>DF40/DF35</f>
        <v>0.19233363744224061</v>
      </c>
      <c r="DG42" s="38">
        <f>DG40/DG35</f>
        <v>0.14657348020662359</v>
      </c>
      <c r="DH42" s="6"/>
      <c r="DI42" s="39">
        <f>DI40/DI35</f>
        <v>9.2955089316141173E-2</v>
      </c>
      <c r="DJ42" s="39">
        <f>DJ40/DJ35</f>
        <v>0.17426347524588809</v>
      </c>
      <c r="DK42" s="39">
        <f>DK40/DK35</f>
        <v>0.21751110479431132</v>
      </c>
      <c r="DL42" s="38">
        <f>DL40/DL35</f>
        <v>0.1913989756447384</v>
      </c>
    </row>
    <row r="43" spans="1:117" ht="10.5" customHeight="1">
      <c r="A43" s="6"/>
      <c r="B43" s="6" t="s">
        <v>733</v>
      </c>
      <c r="C43" s="48">
        <f t="shared" ref="C43:I43" si="53">C40-C44</f>
        <v>690.42239553282593</v>
      </c>
      <c r="D43" s="48">
        <f t="shared" si="53"/>
        <v>600</v>
      </c>
      <c r="E43" s="48">
        <f t="shared" si="53"/>
        <v>520</v>
      </c>
      <c r="F43" s="48">
        <f t="shared" si="53"/>
        <v>500</v>
      </c>
      <c r="G43" s="48">
        <f t="shared" si="53"/>
        <v>12</v>
      </c>
      <c r="H43" s="48">
        <f t="shared" si="53"/>
        <v>12</v>
      </c>
      <c r="I43" s="48">
        <f t="shared" si="53"/>
        <v>12</v>
      </c>
      <c r="J43" s="38"/>
      <c r="K43" s="48">
        <f t="shared" ref="K43:AG43" si="54">K40-K44</f>
        <v>797.01540261253115</v>
      </c>
      <c r="L43" s="48">
        <f t="shared" si="54"/>
        <v>600</v>
      </c>
      <c r="M43" s="48">
        <f t="shared" si="54"/>
        <v>520</v>
      </c>
      <c r="N43" s="48">
        <f t="shared" si="54"/>
        <v>500</v>
      </c>
      <c r="O43" s="48">
        <f t="shared" si="54"/>
        <v>12</v>
      </c>
      <c r="P43" s="48">
        <f t="shared" si="54"/>
        <v>12</v>
      </c>
      <c r="Q43" s="49">
        <f t="shared" si="54"/>
        <v>10.5</v>
      </c>
      <c r="R43" s="49">
        <f t="shared" si="54"/>
        <v>19.099999999999909</v>
      </c>
      <c r="S43" s="49">
        <f t="shared" si="54"/>
        <v>18</v>
      </c>
      <c r="T43" s="48">
        <f t="shared" si="54"/>
        <v>16.5</v>
      </c>
      <c r="U43" s="48">
        <f t="shared" si="54"/>
        <v>15.5</v>
      </c>
      <c r="V43" s="48"/>
      <c r="W43" s="48">
        <f>T43</f>
        <v>16.5</v>
      </c>
      <c r="X43" s="49">
        <f>U43</f>
        <v>15.5</v>
      </c>
      <c r="Y43" s="48">
        <f t="shared" si="54"/>
        <v>14</v>
      </c>
      <c r="Z43" s="48">
        <f t="shared" si="54"/>
        <v>14</v>
      </c>
      <c r="AA43" s="48">
        <f t="shared" si="54"/>
        <v>14</v>
      </c>
      <c r="AB43" s="48">
        <f t="shared" si="54"/>
        <v>13</v>
      </c>
      <c r="AC43" s="2796">
        <f t="shared" si="54"/>
        <v>13</v>
      </c>
      <c r="AD43" s="2941">
        <f t="shared" si="54"/>
        <v>11</v>
      </c>
      <c r="AE43" s="2941">
        <f t="shared" si="54"/>
        <v>13</v>
      </c>
      <c r="AF43" s="2796">
        <f t="shared" si="54"/>
        <v>11</v>
      </c>
      <c r="AG43" s="2796">
        <f t="shared" si="54"/>
        <v>9</v>
      </c>
      <c r="AH43" s="2796">
        <f t="shared" ref="AH43:AO43" ca="1" si="55">AH40-AH44</f>
        <v>7</v>
      </c>
      <c r="AI43" s="2943">
        <f ca="1">AH43</f>
        <v>7</v>
      </c>
      <c r="AJ43" s="2796">
        <f t="shared" ca="1" si="55"/>
        <v>6</v>
      </c>
      <c r="AK43" s="2796">
        <f t="shared" ca="1" si="55"/>
        <v>6</v>
      </c>
      <c r="AL43" s="2796">
        <f t="shared" ca="1" si="55"/>
        <v>6</v>
      </c>
      <c r="AM43" s="2796">
        <f t="shared" ca="1" si="55"/>
        <v>5</v>
      </c>
      <c r="AN43" s="2796">
        <f t="shared" ca="1" si="55"/>
        <v>4</v>
      </c>
      <c r="AO43" s="2796">
        <f t="shared" ca="1" si="55"/>
        <v>4</v>
      </c>
      <c r="AP43" s="2796">
        <f t="shared" ref="AP43:AU43" ca="1" si="56">AP40-AP44</f>
        <v>3</v>
      </c>
      <c r="AQ43" s="2796">
        <f t="shared" ca="1" si="56"/>
        <v>3</v>
      </c>
      <c r="AR43" s="2796">
        <f t="shared" ca="1" si="56"/>
        <v>3</v>
      </c>
      <c r="AS43" s="2796">
        <f t="shared" ca="1" si="56"/>
        <v>3</v>
      </c>
      <c r="AT43" s="2796">
        <f t="shared" ca="1" si="56"/>
        <v>3</v>
      </c>
      <c r="AU43" s="2796">
        <f t="shared" ca="1" si="56"/>
        <v>3</v>
      </c>
      <c r="AV43" s="2802"/>
      <c r="AW43" s="2796"/>
      <c r="AX43" s="48"/>
      <c r="AY43" s="48"/>
      <c r="AZ43" s="38"/>
      <c r="BA43" s="48">
        <f>BA40-BA44</f>
        <v>150</v>
      </c>
      <c r="BB43" s="48">
        <f>BB40-BB44</f>
        <v>150</v>
      </c>
      <c r="BC43" s="48">
        <f>BC40-BC44</f>
        <v>150</v>
      </c>
      <c r="BD43" s="48">
        <f>BD40-BD44</f>
        <v>150</v>
      </c>
      <c r="BE43" s="4"/>
      <c r="BF43" s="48">
        <f>BF40-BF44</f>
        <v>130</v>
      </c>
      <c r="BG43" s="48">
        <f>BG40-BG44</f>
        <v>130</v>
      </c>
      <c r="BH43" s="48">
        <f>BH40-BH44</f>
        <v>130</v>
      </c>
      <c r="BI43" s="48">
        <f>BI40-BI44</f>
        <v>130</v>
      </c>
      <c r="BJ43" s="38"/>
      <c r="BK43" s="48">
        <f>BK40-BK44</f>
        <v>125</v>
      </c>
      <c r="BL43" s="48">
        <f>BL40-BL44</f>
        <v>125</v>
      </c>
      <c r="BM43" s="48">
        <f>BM40-BM44</f>
        <v>125</v>
      </c>
      <c r="BN43" s="48">
        <f>BN40-BN44</f>
        <v>125</v>
      </c>
      <c r="BO43" s="4"/>
      <c r="BP43" s="48">
        <f>BP40-BP44</f>
        <v>2.9999999999999716</v>
      </c>
      <c r="BQ43" s="48">
        <f>BQ40-BQ44</f>
        <v>3</v>
      </c>
      <c r="BR43" s="48">
        <f>BR40-BR44</f>
        <v>3</v>
      </c>
      <c r="BS43" s="48">
        <f>BS40-BS44</f>
        <v>3</v>
      </c>
      <c r="BT43" s="4">
        <f>G43-SUM(BP43:BS43)</f>
        <v>2.8421709430404007E-14</v>
      </c>
      <c r="BU43" s="48">
        <f>BU40-BU44</f>
        <v>3</v>
      </c>
      <c r="BV43" s="48">
        <f>BV40-BV44</f>
        <v>3</v>
      </c>
      <c r="BW43" s="48">
        <f>BW40-BW44</f>
        <v>3</v>
      </c>
      <c r="BX43" s="48">
        <f>BX40-BX44</f>
        <v>3</v>
      </c>
      <c r="BY43" s="4">
        <f>H43-SUM(BU43:BX43)</f>
        <v>0</v>
      </c>
      <c r="BZ43" s="48">
        <f>BZ40-BZ44</f>
        <v>3</v>
      </c>
      <c r="CA43" s="48">
        <f>CA40-CA44</f>
        <v>3</v>
      </c>
      <c r="CB43" s="48">
        <f>CB40-CB44</f>
        <v>3</v>
      </c>
      <c r="CC43" s="48">
        <f>CC40-CC44</f>
        <v>3</v>
      </c>
      <c r="CD43" s="7">
        <f>I43-SUM(BZ43:CC43)</f>
        <v>0</v>
      </c>
      <c r="CE43" s="49">
        <f>CE40-CE44</f>
        <v>3</v>
      </c>
      <c r="CF43" s="49">
        <f>CF40-CF44</f>
        <v>3</v>
      </c>
      <c r="CG43" s="49">
        <f>CG40-CG44</f>
        <v>3</v>
      </c>
      <c r="CH43" s="49">
        <f>CH40-CH44</f>
        <v>1.5</v>
      </c>
      <c r="CI43" s="8">
        <f>Q43-SUM(CE43:CH43)</f>
        <v>0</v>
      </c>
      <c r="CJ43" s="49">
        <f>CJ40-CJ44</f>
        <v>3</v>
      </c>
      <c r="CK43" s="49">
        <f>CK40-CK44</f>
        <v>7</v>
      </c>
      <c r="CL43" s="49">
        <f>CL40-CL44</f>
        <v>4.7749999999999773</v>
      </c>
      <c r="CM43" s="49">
        <f>CM40-CM44</f>
        <v>4.3249999999999886</v>
      </c>
      <c r="CN43" s="44"/>
      <c r="CO43" s="49">
        <f>CO40-CO44</f>
        <v>4.5</v>
      </c>
      <c r="CP43" s="49">
        <f>CP40-CP44</f>
        <v>5.5</v>
      </c>
      <c r="CQ43" s="49">
        <f>CQ40-CQ44</f>
        <v>4.5</v>
      </c>
      <c r="CR43" s="48">
        <f>CR40-CR44</f>
        <v>3.5</v>
      </c>
      <c r="CS43" s="856"/>
      <c r="CT43" s="49">
        <f>CT40-CT44</f>
        <v>4.125</v>
      </c>
      <c r="CU43" s="49">
        <f>CU40-CU44</f>
        <v>4.125</v>
      </c>
      <c r="CV43" s="49">
        <f>CV40-CV44</f>
        <v>4.125</v>
      </c>
      <c r="CW43" s="48">
        <f>CW40-CW44</f>
        <v>4.125</v>
      </c>
      <c r="CX43" s="6"/>
      <c r="CY43" s="49">
        <f>CY40-CY44</f>
        <v>3.875</v>
      </c>
      <c r="CZ43" s="49">
        <f>CZ40-CZ44</f>
        <v>3.875</v>
      </c>
      <c r="DA43" s="49">
        <f>DA40-DA44</f>
        <v>3.875</v>
      </c>
      <c r="DB43" s="48">
        <f>DB40-DB44</f>
        <v>3.875</v>
      </c>
      <c r="DC43" s="48">
        <f>U43-SUM(CY43:DB43)</f>
        <v>0</v>
      </c>
      <c r="DD43" s="48">
        <f>DD40-DD44</f>
        <v>3.5</v>
      </c>
      <c r="DE43" s="48">
        <f>DE40-DE44</f>
        <v>3.5</v>
      </c>
      <c r="DF43" s="48">
        <f>DF40-DF44</f>
        <v>3.5</v>
      </c>
      <c r="DG43" s="48">
        <f>DG40-DG44</f>
        <v>3.5</v>
      </c>
      <c r="DH43" s="42">
        <f>Y43-SUM(DD43:DG43)</f>
        <v>0</v>
      </c>
      <c r="DI43" s="48">
        <f>DI40-DI44</f>
        <v>3.5</v>
      </c>
      <c r="DJ43" s="48">
        <f>DJ40-DJ44</f>
        <v>3.5</v>
      </c>
      <c r="DK43" s="48">
        <f>DK40-DK44</f>
        <v>3.5</v>
      </c>
      <c r="DL43" s="48">
        <f>DL40-DL44</f>
        <v>3.5</v>
      </c>
      <c r="DM43" s="42">
        <f>Z43-SUM(DI43:DL43)</f>
        <v>0</v>
      </c>
    </row>
    <row r="44" spans="1:117">
      <c r="A44" s="6"/>
      <c r="B44" s="6" t="s">
        <v>685</v>
      </c>
      <c r="C44" s="10"/>
      <c r="D44" s="10">
        <f>'Segment Detail'!K158</f>
        <v>160.31730260047289</v>
      </c>
      <c r="E44" s="10">
        <f>'Segment Detail'!N158</f>
        <v>494.23900000000003</v>
      </c>
      <c r="F44" s="10">
        <f>'Segment Detail'!R158</f>
        <v>490.60349999999994</v>
      </c>
      <c r="G44" s="10">
        <f>'Segment Detail'!T158</f>
        <v>1198.3000000000002</v>
      </c>
      <c r="H44" s="10">
        <f>'Segment Detail'!U158</f>
        <v>1238.1000000000001</v>
      </c>
      <c r="I44" s="10">
        <f>'Segment Detail'!X158</f>
        <v>1557.8</v>
      </c>
      <c r="J44" s="10"/>
      <c r="K44" s="10"/>
      <c r="L44" s="10">
        <f>'Segment Detail'!L158</f>
        <v>314.64061702127663</v>
      </c>
      <c r="M44" s="10">
        <f>'Segment Detail'!O158</f>
        <v>730.54700000000025</v>
      </c>
      <c r="N44" s="10">
        <f>'Segment Detail'!S158</f>
        <v>695.33204369737336</v>
      </c>
      <c r="O44" s="10">
        <f>'Segment Detail'!Y158</f>
        <v>1394.3</v>
      </c>
      <c r="P44" s="10">
        <f>'Segment Detail'!Z158</f>
        <v>1481.5</v>
      </c>
      <c r="Q44" s="37">
        <f>'Segment Detail'!AA158</f>
        <v>1807.5</v>
      </c>
      <c r="R44" s="37">
        <f>'Segment Detail'!AB158</f>
        <v>1645.9</v>
      </c>
      <c r="S44" s="37">
        <f>'Segment Detail'!AC158</f>
        <v>1776.2</v>
      </c>
      <c r="T44" s="10">
        <f>'Segment Detail'!AD158</f>
        <v>1749.3</v>
      </c>
      <c r="U44" s="10">
        <f>'Segment Detail'!AE158</f>
        <v>1570.4</v>
      </c>
      <c r="V44" s="10"/>
      <c r="W44" s="10">
        <f>T44</f>
        <v>1749.3</v>
      </c>
      <c r="X44" s="37">
        <f>U44</f>
        <v>1570.4</v>
      </c>
      <c r="Y44" s="10">
        <f>'Segment Detail'!AF158+Drivers!I71</f>
        <v>1252.3035190765279</v>
      </c>
      <c r="Z44" s="10">
        <f>'Segment Detail'!AG158+Drivers!J71</f>
        <v>1610.8982753615869</v>
      </c>
      <c r="AA44" s="10">
        <f>'Segment Detail'!AH158+Drivers!K71</f>
        <v>2297.2655627821364</v>
      </c>
      <c r="AB44" s="10">
        <f>'Segment Detail'!AI158+Drivers!L71</f>
        <v>2589.3830959851566</v>
      </c>
      <c r="AC44" s="2938">
        <f>'Segment Detail'!AJ158+Drivers!M71</f>
        <v>2807.1912147048688</v>
      </c>
      <c r="AD44" s="2939">
        <f>'Segment Detail'!AK158+Drivers!N71</f>
        <v>2674.1180750845078</v>
      </c>
      <c r="AE44" s="2939">
        <f>+AC44</f>
        <v>2807.1912147048688</v>
      </c>
      <c r="AF44" s="2938">
        <f>+AD44</f>
        <v>2674.1180750845078</v>
      </c>
      <c r="AG44" s="2938">
        <f>'Segment Detail'!AL158+Drivers!Q71</f>
        <v>2598.5670638195938</v>
      </c>
      <c r="AH44" s="2938">
        <f ca="1">'Segment Detail'!AM158+Drivers!R71</f>
        <v>2970.3688837533559</v>
      </c>
      <c r="AI44" s="2943">
        <f ca="1">AH44</f>
        <v>2970.3688837533559</v>
      </c>
      <c r="AJ44" s="2938">
        <f ca="1">'Segment Detail'!AN158+Drivers!T67+Drivers!T71</f>
        <v>2917.1269637594678</v>
      </c>
      <c r="AK44" s="2938">
        <f ca="1">'Segment Detail'!AO158+Drivers!U67+Drivers!U71</f>
        <v>3167.0362007637332</v>
      </c>
      <c r="AL44" s="2938">
        <f ca="1">'Segment Detail'!AP158+Drivers!V67+Drivers!V71</f>
        <v>3352.9272616843004</v>
      </c>
      <c r="AM44" s="2938">
        <f ca="1">'Segment Detail'!AQ158+Drivers!W67+Drivers!W71</f>
        <v>3699.8145047550015</v>
      </c>
      <c r="AN44" s="2938">
        <f ca="1">'Segment Detail'!AR158+Drivers!X67+Drivers!X71</f>
        <v>3800.8323767149568</v>
      </c>
      <c r="AO44" s="2938">
        <f ca="1">'Segment Detail'!AS158+Drivers!Y67+Drivers!Y71</f>
        <v>4036.8690715671773</v>
      </c>
      <c r="AP44" s="2938">
        <f ca="1">'Segment Detail'!AT158+Drivers!Z67+Drivers!Z71</f>
        <v>3849.1423961621035</v>
      </c>
      <c r="AQ44" s="2938">
        <f ca="1">'Segment Detail'!AU158+Drivers!AA67+Drivers!AA71</f>
        <v>3937.8841788106606</v>
      </c>
      <c r="AR44" s="2938">
        <f ca="1">'Segment Detail'!AV158+Drivers!AB67+Drivers!AB71</f>
        <v>3923.1923574480816</v>
      </c>
      <c r="AS44" s="2938">
        <f ca="1">'Segment Detail'!AW158+Drivers!AC67+Drivers!AC71</f>
        <v>3854.6585193221704</v>
      </c>
      <c r="AT44" s="2938">
        <f ca="1">'Segment Detail'!AX158+Drivers!AD67+Drivers!AD71</f>
        <v>3788.1624963308464</v>
      </c>
      <c r="AU44" s="2938">
        <f ca="1">'Segment Detail'!AY158+Drivers!AE67+Drivers!AE71</f>
        <v>3959.0018086403666</v>
      </c>
      <c r="AV44" s="2802"/>
      <c r="AW44" s="2938"/>
      <c r="AX44" s="10"/>
      <c r="AY44" s="10"/>
      <c r="AZ44" s="10"/>
      <c r="BA44" s="10">
        <f>'Segment Detail'!BF158</f>
        <v>-11.620674349881767</v>
      </c>
      <c r="BB44" s="10">
        <f>'Segment Detail'!BG158</f>
        <v>45.579325650118221</v>
      </c>
      <c r="BC44" s="10">
        <f>'Segment Detail'!BH158</f>
        <v>75.379325650118233</v>
      </c>
      <c r="BD44" s="10">
        <f>'Segment Detail'!BI158</f>
        <v>50.979325650118199</v>
      </c>
      <c r="BE44" s="4"/>
      <c r="BF44" s="10">
        <f>'Segment Detail'!BK158</f>
        <v>105.93475000000001</v>
      </c>
      <c r="BG44" s="10">
        <f>'Segment Detail'!BL158</f>
        <v>125.73475000000002</v>
      </c>
      <c r="BH44" s="10">
        <f>'Segment Detail'!BM158</f>
        <v>164.43475000000001</v>
      </c>
      <c r="BI44" s="10">
        <f>'Segment Detail'!BN158</f>
        <v>98.134749999999997</v>
      </c>
      <c r="BJ44" s="10"/>
      <c r="BK44" s="10">
        <f>'Segment Detail'!BU158</f>
        <v>152.90087499999981</v>
      </c>
      <c r="BL44" s="10">
        <f>'Segment Detail'!BV158</f>
        <v>168.30087499999979</v>
      </c>
      <c r="BM44" s="10">
        <f>'Segment Detail'!BW158</f>
        <v>133.69999999999999</v>
      </c>
      <c r="BN44" s="10">
        <f>'Segment Detail'!BX158</f>
        <v>34.401750000000334</v>
      </c>
      <c r="BO44" s="4"/>
      <c r="BP44" s="10">
        <f>'Segment Detail'!BZ158</f>
        <v>214.4</v>
      </c>
      <c r="BQ44" s="10">
        <f>'Segment Detail'!CA158</f>
        <v>350.6</v>
      </c>
      <c r="BR44" s="10">
        <f>'Segment Detail'!CB158</f>
        <v>314.7</v>
      </c>
      <c r="BS44" s="10">
        <f>'Segment Detail'!CC158</f>
        <v>318.59999999999997</v>
      </c>
      <c r="BT44" s="4">
        <f>G44-SUM(BP44:BS44)</f>
        <v>0</v>
      </c>
      <c r="BU44" s="10">
        <f>'Segment Detail'!CE158</f>
        <v>242.60000000000002</v>
      </c>
      <c r="BV44" s="10">
        <f>'Segment Detail'!CF158</f>
        <v>392.2</v>
      </c>
      <c r="BW44" s="10">
        <f>'Segment Detail'!CG158</f>
        <v>362.3</v>
      </c>
      <c r="BX44" s="10">
        <f>'Segment Detail'!CH158</f>
        <v>241</v>
      </c>
      <c r="BY44" s="4">
        <f>H44-SUM(BU44:BX44)</f>
        <v>0</v>
      </c>
      <c r="BZ44" s="10">
        <f>'Segment Detail'!CJ158</f>
        <v>335.70000000000005</v>
      </c>
      <c r="CA44" s="10">
        <f>'Segment Detail'!CK158</f>
        <v>538.5</v>
      </c>
      <c r="CB44" s="10">
        <f>'Segment Detail'!CL158</f>
        <v>388.5</v>
      </c>
      <c r="CC44" s="10">
        <f>'Segment Detail'!CM158</f>
        <v>295.10000000000002</v>
      </c>
      <c r="CD44" s="7">
        <f>I44-SUM(BZ44:CC44)</f>
        <v>0</v>
      </c>
      <c r="CE44" s="37">
        <f>'Segment Detail'!CO158</f>
        <v>390.7</v>
      </c>
      <c r="CF44" s="37">
        <f>'Segment Detail'!CP158</f>
        <v>587.80000000000007</v>
      </c>
      <c r="CG44" s="37">
        <f>'Segment Detail'!CQ158</f>
        <v>465.70000000000005</v>
      </c>
      <c r="CH44" s="37">
        <f>'Segment Detail'!CR158</f>
        <v>363.30000000000007</v>
      </c>
      <c r="CI44" s="8">
        <f>Q44-SUM(CE44:CH44)</f>
        <v>0</v>
      </c>
      <c r="CJ44" s="37">
        <f>'Segment Detail'!CT158</f>
        <v>373.2</v>
      </c>
      <c r="CK44" s="37">
        <f>'Segment Detail'!CU158</f>
        <v>502.5</v>
      </c>
      <c r="CL44" s="37">
        <f>'Segment Detail'!CV158</f>
        <v>376</v>
      </c>
      <c r="CM44" s="37">
        <f>'Segment Detail'!CW158</f>
        <v>394.2</v>
      </c>
      <c r="CN44" s="45">
        <f>R44-SUM(CJ44:CM44)</f>
        <v>0</v>
      </c>
      <c r="CO44" s="37">
        <f>'Segment Detail'!CY158</f>
        <v>382.8</v>
      </c>
      <c r="CP44" s="37">
        <f>'Segment Detail'!CZ158</f>
        <v>491.9</v>
      </c>
      <c r="CQ44" s="37">
        <f>'Segment Detail'!DA158</f>
        <v>414.40000000000003</v>
      </c>
      <c r="CR44" s="10">
        <f>'Segment Detail'!DB158</f>
        <v>487.1</v>
      </c>
      <c r="CS44" s="857">
        <f>S44-SUM(CO44:CR44)</f>
        <v>0</v>
      </c>
      <c r="CT44" s="37">
        <f>'Segment Detail'!DD158</f>
        <v>347.09999999999997</v>
      </c>
      <c r="CU44" s="37">
        <f>'Segment Detail'!DE158</f>
        <v>512.30000000000007</v>
      </c>
      <c r="CV44" s="37">
        <f>'Segment Detail'!DF158</f>
        <v>438.59999999999997</v>
      </c>
      <c r="CW44" s="10">
        <f>'Segment Detail'!DG158</f>
        <v>450.3</v>
      </c>
      <c r="CX44" s="48">
        <f>T44-SUM(CT44:CW44)</f>
        <v>1</v>
      </c>
      <c r="CY44" s="37">
        <f>'Segment Detail'!DI158</f>
        <v>452.87924972624995</v>
      </c>
      <c r="CZ44" s="37">
        <f>'Segment Detail'!DJ158</f>
        <v>471.19473068000002</v>
      </c>
      <c r="DA44" s="37">
        <f>'Segment Detail'!DK158</f>
        <v>368.26897686793751</v>
      </c>
      <c r="DB44" s="10">
        <f>'Segment Detail'!DL158</f>
        <v>278.05704272581255</v>
      </c>
      <c r="DC44" s="48">
        <f>U44-SUM(CY44:DB44)</f>
        <v>0</v>
      </c>
      <c r="DD44" s="10">
        <f>'Segment Detail'!DN158</f>
        <v>200.63853314169933</v>
      </c>
      <c r="DE44" s="37">
        <f>'Segment Detail'!DO158</f>
        <v>269.61093352486836</v>
      </c>
      <c r="DF44" s="37">
        <f>'Segment Detail'!DP158</f>
        <v>440.12739985984575</v>
      </c>
      <c r="DG44" s="37">
        <f>'Segment Detail'!DQ158+Drivers!BO71</f>
        <v>341.92665255011462</v>
      </c>
      <c r="DH44" s="42">
        <f>Y44-SUM(DD44:DG44)</f>
        <v>0</v>
      </c>
      <c r="DI44" s="37">
        <f>'Segment Detail'!DS158+Drivers!BQ71</f>
        <v>241.25527607535992</v>
      </c>
      <c r="DJ44" s="37">
        <f>'Segment Detail'!DT158+Drivers!BR71</f>
        <v>387.97434590584726</v>
      </c>
      <c r="DK44" s="37">
        <f>'Segment Detail'!DU158+Drivers!BS71</f>
        <v>472.64792583340198</v>
      </c>
      <c r="DL44" s="37">
        <f>'Segment Detail'!DV158+Drivers!BT71</f>
        <v>509.02072754697724</v>
      </c>
      <c r="DM44" s="42">
        <f>Z44-SUM(DI44:DL44)</f>
        <v>0</v>
      </c>
    </row>
    <row r="45" spans="1:117">
      <c r="A45" s="6"/>
      <c r="B45" s="43" t="s">
        <v>676</v>
      </c>
      <c r="C45" s="38"/>
      <c r="D45" s="38"/>
      <c r="E45" s="38">
        <f>E44/D44-1</f>
        <v>2.0828799635663415</v>
      </c>
      <c r="F45" s="38">
        <f>F44/E44-1</f>
        <v>-7.3557529859037407E-3</v>
      </c>
      <c r="G45" s="38">
        <f>G44/F44-1</f>
        <v>1.4425019389384715</v>
      </c>
      <c r="H45" s="38">
        <f>H44/G44-1</f>
        <v>3.3213719435867484E-2</v>
      </c>
      <c r="I45" s="38">
        <f>I44/H44-1</f>
        <v>0.25821823762216289</v>
      </c>
      <c r="J45" s="38"/>
      <c r="K45" s="38"/>
      <c r="L45" s="38"/>
      <c r="M45" s="38">
        <f t="shared" ref="M45:AL45" si="57">M44/L44-1</f>
        <v>1.3218458154453696</v>
      </c>
      <c r="N45" s="38">
        <f t="shared" si="57"/>
        <v>-4.8203546524216656E-2</v>
      </c>
      <c r="O45" s="38">
        <f t="shared" si="57"/>
        <v>1.0052290307029712</v>
      </c>
      <c r="P45" s="38">
        <f t="shared" si="57"/>
        <v>6.2540342824356276E-2</v>
      </c>
      <c r="Q45" s="39">
        <f t="shared" si="57"/>
        <v>0.22004724940938236</v>
      </c>
      <c r="R45" s="39">
        <f t="shared" si="57"/>
        <v>-8.9405255878284851E-2</v>
      </c>
      <c r="S45" s="39">
        <f t="shared" si="57"/>
        <v>7.9166413512363976E-2</v>
      </c>
      <c r="T45" s="38">
        <f t="shared" si="57"/>
        <v>-1.5144690913185488E-2</v>
      </c>
      <c r="U45" s="38">
        <f>U44/T44-1</f>
        <v>-0.10226947922025942</v>
      </c>
      <c r="V45" s="38"/>
      <c r="W45" s="38"/>
      <c r="X45" s="39">
        <f>X44/W44-1</f>
        <v>-0.10226947922025942</v>
      </c>
      <c r="Y45" s="38">
        <f>Y44/X44-1</f>
        <v>-0.20255761648208881</v>
      </c>
      <c r="Z45" s="38">
        <f t="shared" si="57"/>
        <v>0.28634811834553786</v>
      </c>
      <c r="AA45" s="38">
        <f t="shared" si="57"/>
        <v>0.42607736187841261</v>
      </c>
      <c r="AB45" s="38">
        <f t="shared" si="57"/>
        <v>0.12715880041715644</v>
      </c>
      <c r="AC45" s="2802">
        <f t="shared" si="57"/>
        <v>8.4115834021402325E-2</v>
      </c>
      <c r="AD45" s="2940">
        <f>AD44/AC44-1</f>
        <v>-4.7404373069880656E-2</v>
      </c>
      <c r="AE45" s="2940"/>
      <c r="AF45" s="2802">
        <f>AF44/AE44-1</f>
        <v>-4.7404373069880656E-2</v>
      </c>
      <c r="AG45" s="2802">
        <f>AG44/AF44-1</f>
        <v>-2.8252683368338749E-2</v>
      </c>
      <c r="AH45" s="2802">
        <f t="shared" ca="1" si="57"/>
        <v>0.14307955530970839</v>
      </c>
      <c r="AI45" s="2943"/>
      <c r="AJ45" s="2802">
        <f ca="1">AJ44/AH44-1</f>
        <v>-1.7924346125862911E-2</v>
      </c>
      <c r="AK45" s="2802">
        <f t="shared" ca="1" si="57"/>
        <v>8.5669646919376063E-2</v>
      </c>
      <c r="AL45" s="2802">
        <f t="shared" ca="1" si="57"/>
        <v>5.8695590810025955E-2</v>
      </c>
      <c r="AM45" s="2802">
        <f t="shared" ref="AM45:AU45" ca="1" si="58">AM44/AL44-1</f>
        <v>0.10345802816385774</v>
      </c>
      <c r="AN45" s="2802">
        <f t="shared" ca="1" si="58"/>
        <v>2.7303496386136938E-2</v>
      </c>
      <c r="AO45" s="2802">
        <f t="shared" ca="1" si="58"/>
        <v>6.2101316621657077E-2</v>
      </c>
      <c r="AP45" s="2802">
        <f t="shared" ca="1" si="58"/>
        <v>-4.6503037893224297E-2</v>
      </c>
      <c r="AQ45" s="2802">
        <f t="shared" ca="1" si="58"/>
        <v>2.3054949262734326E-2</v>
      </c>
      <c r="AR45" s="2802">
        <f t="shared" ca="1" si="58"/>
        <v>-3.730892198819391E-3</v>
      </c>
      <c r="AS45" s="2802">
        <f t="shared" ca="1" si="58"/>
        <v>-1.7468895705764043E-2</v>
      </c>
      <c r="AT45" s="2802">
        <f t="shared" ca="1" si="58"/>
        <v>-1.725082070383166E-2</v>
      </c>
      <c r="AU45" s="2802">
        <f t="shared" ca="1" si="58"/>
        <v>4.5098200638170161E-2</v>
      </c>
      <c r="AV45" s="2802"/>
      <c r="AW45" s="2802"/>
      <c r="AX45" s="38"/>
      <c r="AY45" s="38"/>
      <c r="AZ45" s="10"/>
      <c r="BA45" s="38"/>
      <c r="BB45" s="38"/>
      <c r="BC45" s="38"/>
      <c r="BD45" s="38"/>
      <c r="BE45" s="4"/>
      <c r="BF45" s="38"/>
      <c r="BG45" s="38"/>
      <c r="BH45" s="38"/>
      <c r="BI45" s="38"/>
      <c r="BJ45" s="10"/>
      <c r="BK45" s="38"/>
      <c r="BL45" s="38"/>
      <c r="BM45" s="38"/>
      <c r="BN45" s="38"/>
      <c r="BO45" s="4"/>
      <c r="BP45" s="38"/>
      <c r="BQ45" s="38"/>
      <c r="BR45" s="38"/>
      <c r="BS45" s="38"/>
      <c r="BT45" s="4"/>
      <c r="BU45" s="38"/>
      <c r="BV45" s="38"/>
      <c r="BW45" s="38"/>
      <c r="BX45" s="38"/>
      <c r="BY45" s="4"/>
      <c r="BZ45" s="38"/>
      <c r="CA45" s="38"/>
      <c r="CB45" s="38"/>
      <c r="CC45" s="38"/>
      <c r="CD45" s="7"/>
      <c r="CE45" s="39"/>
      <c r="CF45" s="39"/>
      <c r="CG45" s="39"/>
      <c r="CH45" s="39"/>
      <c r="CI45" s="8"/>
      <c r="CJ45" s="39">
        <f>CJ44/CE44-1</f>
        <v>-4.47914000511902E-2</v>
      </c>
      <c r="CK45" s="39">
        <f>CK44/CF44-1</f>
        <v>-0.14511738686628117</v>
      </c>
      <c r="CL45" s="39">
        <f>CL44/CG44-1</f>
        <v>-0.19261327034571618</v>
      </c>
      <c r="CM45" s="39">
        <f>CM44/CH44-1</f>
        <v>8.5053674649050226E-2</v>
      </c>
      <c r="CN45" s="44"/>
      <c r="CO45" s="39">
        <f>CO44/CJ44-1</f>
        <v>2.5723472668810254E-2</v>
      </c>
      <c r="CP45" s="39">
        <f>CP44/CK44-1</f>
        <v>-2.1094527363184179E-2</v>
      </c>
      <c r="CQ45" s="39">
        <f>CQ44/CL44-1</f>
        <v>0.10212765957446823</v>
      </c>
      <c r="CR45" s="38">
        <f>CR44/CM44-1</f>
        <v>0.23566717402333848</v>
      </c>
      <c r="CS45" s="856"/>
      <c r="CT45" s="39">
        <f>CT44/CO44-1</f>
        <v>-9.3260188087774365E-2</v>
      </c>
      <c r="CU45" s="39">
        <f>CU44/CP44-1</f>
        <v>4.1471843870705571E-2</v>
      </c>
      <c r="CV45" s="39">
        <f>CV44/CQ44-1</f>
        <v>5.8397683397683142E-2</v>
      </c>
      <c r="CW45" s="38">
        <f>CW44/CR44-1</f>
        <v>-7.5549168548552648E-2</v>
      </c>
      <c r="CX45" s="6"/>
      <c r="CY45" s="39">
        <f>CY44/CT44-1</f>
        <v>0.30475151174373383</v>
      </c>
      <c r="CZ45" s="39">
        <f>CZ44/CU44-1</f>
        <v>-8.0236715440171857E-2</v>
      </c>
      <c r="DA45" s="39">
        <f>DA44/CV44-1</f>
        <v>-0.16035344991350309</v>
      </c>
      <c r="DB45" s="38">
        <f>DB44/CW44-1</f>
        <v>-0.38250712252762042</v>
      </c>
      <c r="DC45" s="6"/>
      <c r="DD45" s="39">
        <f>DD44/CY44-1</f>
        <v>-0.55697123844164098</v>
      </c>
      <c r="DE45" s="39">
        <f>DE44/CZ44-1</f>
        <v>-0.42781420085962762</v>
      </c>
      <c r="DF45" s="39">
        <f>DF44/DA44-1</f>
        <v>0.19512483403584913</v>
      </c>
      <c r="DG45" s="38">
        <f>DG44/DB44-1</f>
        <v>0.22969966593251456</v>
      </c>
      <c r="DH45" s="6"/>
      <c r="DI45" s="39">
        <f>DI44/DD44-1</f>
        <v>0.2024373997240867</v>
      </c>
      <c r="DJ45" s="39">
        <f>DJ44/DE44-1</f>
        <v>0.4390156246021133</v>
      </c>
      <c r="DK45" s="39">
        <f>DK44/DF44-1</f>
        <v>7.3888892134214013E-2</v>
      </c>
      <c r="DL45" s="38">
        <f>DL44/DG44-1</f>
        <v>0.48868397286570819</v>
      </c>
    </row>
    <row r="46" spans="1:117">
      <c r="A46" s="36"/>
      <c r="B46" s="43" t="s">
        <v>690</v>
      </c>
      <c r="C46" s="38"/>
      <c r="D46" s="38">
        <f t="shared" ref="D46:I46" si="59">D44/D35</f>
        <v>2.2619086953521297E-2</v>
      </c>
      <c r="E46" s="38">
        <f t="shared" si="59"/>
        <v>7.0117752209627307E-2</v>
      </c>
      <c r="F46" s="38">
        <f t="shared" si="59"/>
        <v>6.7763850329424433E-2</v>
      </c>
      <c r="G46" s="38">
        <f t="shared" si="59"/>
        <v>0.16013630896699188</v>
      </c>
      <c r="H46" s="38">
        <f t="shared" si="59"/>
        <v>0.15952841128720527</v>
      </c>
      <c r="I46" s="38">
        <f t="shared" si="59"/>
        <v>0.1831714601509771</v>
      </c>
      <c r="J46" s="38"/>
      <c r="K46" s="38"/>
      <c r="L46" s="38">
        <f t="shared" ref="L46:AJ46" si="60">L44/L35</f>
        <v>3.9968067403589373E-2</v>
      </c>
      <c r="M46" s="38">
        <f t="shared" si="60"/>
        <v>9.2649046936627358E-2</v>
      </c>
      <c r="N46" s="38">
        <f t="shared" si="60"/>
        <v>8.5100535762171581E-2</v>
      </c>
      <c r="O46" s="38">
        <f t="shared" si="60"/>
        <v>0.16668459873997299</v>
      </c>
      <c r="P46" s="38">
        <f t="shared" si="60"/>
        <v>0.17066989228731064</v>
      </c>
      <c r="Q46" s="39">
        <f t="shared" si="60"/>
        <v>0.1913002063819654</v>
      </c>
      <c r="R46" s="39">
        <f t="shared" si="60"/>
        <v>0.17650023591987302</v>
      </c>
      <c r="S46" s="39">
        <f t="shared" si="60"/>
        <v>0.18722264970328129</v>
      </c>
      <c r="T46" s="38">
        <f t="shared" si="60"/>
        <v>0.19207035882120427</v>
      </c>
      <c r="U46" s="38">
        <f t="shared" si="60"/>
        <v>0.17198703175725652</v>
      </c>
      <c r="V46" s="38"/>
      <c r="W46" s="38">
        <f t="shared" si="60"/>
        <v>0.19207035882120427</v>
      </c>
      <c r="X46" s="39">
        <f t="shared" si="60"/>
        <v>0.17198703175725652</v>
      </c>
      <c r="Y46" s="38">
        <f t="shared" si="60"/>
        <v>0.14038840288565876</v>
      </c>
      <c r="Z46" s="38">
        <f t="shared" si="60"/>
        <v>0.1652824686343505</v>
      </c>
      <c r="AA46" s="38">
        <f t="shared" si="60"/>
        <v>0.2326986320090117</v>
      </c>
      <c r="AB46" s="38">
        <f t="shared" si="60"/>
        <v>0.25033823031455255</v>
      </c>
      <c r="AC46" s="2802">
        <f t="shared" si="60"/>
        <v>0.24543186128724531</v>
      </c>
      <c r="AD46" s="2940">
        <f t="shared" si="60"/>
        <v>0.23789303020944944</v>
      </c>
      <c r="AE46" s="2940">
        <f t="shared" si="60"/>
        <v>0.24543186128724531</v>
      </c>
      <c r="AF46" s="2802">
        <f t="shared" si="60"/>
        <v>0.23789303020944944</v>
      </c>
      <c r="AG46" s="2802">
        <f t="shared" si="60"/>
        <v>0.22537651858091559</v>
      </c>
      <c r="AH46" s="2802">
        <f t="shared" ca="1" si="60"/>
        <v>0.24651818888654603</v>
      </c>
      <c r="AI46" s="2943"/>
      <c r="AJ46" s="2802">
        <f t="shared" ca="1" si="60"/>
        <v>0.23558401235167742</v>
      </c>
      <c r="AK46" s="2802">
        <f t="shared" ref="AK46:AQ46" ca="1" si="61">AK44/AK35</f>
        <v>0.23925582078778693</v>
      </c>
      <c r="AL46" s="2802">
        <f t="shared" ca="1" si="61"/>
        <v>0.23427798396047422</v>
      </c>
      <c r="AM46" s="2802">
        <f t="shared" ca="1" si="61"/>
        <v>0.2489201468395508</v>
      </c>
      <c r="AN46" s="2802">
        <f t="shared" ca="1" si="61"/>
        <v>0.24439688376633031</v>
      </c>
      <c r="AO46" s="2802">
        <f t="shared" ca="1" si="61"/>
        <v>0.24229456815663034</v>
      </c>
      <c r="AP46" s="2802">
        <f t="shared" ca="1" si="61"/>
        <v>0.23225094306510066</v>
      </c>
      <c r="AQ46" s="2802">
        <f t="shared" ca="1" si="61"/>
        <v>0.23002945196056088</v>
      </c>
      <c r="AR46" s="2802">
        <f ca="1">AR44/AR35</f>
        <v>0.21669603318834252</v>
      </c>
      <c r="AS46" s="2802">
        <f ca="1">AS44/AS35</f>
        <v>0.21490013235899366</v>
      </c>
      <c r="AT46" s="2802">
        <f ca="1">AT44/AT35</f>
        <v>0.20670034381906074</v>
      </c>
      <c r="AU46" s="2802">
        <f ca="1">AU44/AU35</f>
        <v>0.20215995164301165</v>
      </c>
      <c r="AV46" s="2802"/>
      <c r="AW46" s="2802"/>
      <c r="AX46" s="38"/>
      <c r="AY46" s="38"/>
      <c r="AZ46" s="6"/>
      <c r="BA46" s="38">
        <f>BA44/BA35</f>
        <v>-6.3884960692038306E-3</v>
      </c>
      <c r="BB46" s="38">
        <f>BB44/BB35</f>
        <v>2.9255022881975751E-2</v>
      </c>
      <c r="BC46" s="38">
        <f>BC44/BC35</f>
        <v>4.4550428871228273E-2</v>
      </c>
      <c r="BD46" s="38">
        <f>BD44/BD35</f>
        <v>2.525354220543825E-2</v>
      </c>
      <c r="BE46" s="4"/>
      <c r="BF46" s="38">
        <f>BF44/BF35</f>
        <v>5.725893194962435E-2</v>
      </c>
      <c r="BG46" s="38">
        <f>BG44/BG35</f>
        <v>7.6476339638708118E-2</v>
      </c>
      <c r="BH46" s="38">
        <f>BH44/BH35</f>
        <v>0.10033850988528192</v>
      </c>
      <c r="BI46" s="38">
        <f>BI44/BI35</f>
        <v>5.1226575142245649E-2</v>
      </c>
      <c r="BJ46" s="6"/>
      <c r="BK46" s="38">
        <f>BK44/BK35</f>
        <v>7.5290956765806494E-2</v>
      </c>
      <c r="BL46" s="38">
        <f>BL44/BL35</f>
        <v>0.10348061669945879</v>
      </c>
      <c r="BM46" s="38">
        <f>BM44/BM35</f>
        <v>8.44865718799368E-2</v>
      </c>
      <c r="BN46" s="38">
        <f>BN44/BN35</f>
        <v>1.7155413155139049E-2</v>
      </c>
      <c r="BO46" s="4"/>
      <c r="BP46" s="38">
        <f>BP44/BP35</f>
        <v>0.11584179814134429</v>
      </c>
      <c r="BQ46" s="38">
        <f>BQ44/BQ35</f>
        <v>0.20635668040023544</v>
      </c>
      <c r="BR46" s="38">
        <f>BR44/BR35</f>
        <v>0.1738577979117176</v>
      </c>
      <c r="BS46" s="38">
        <f>BS44/BS35</f>
        <v>0.15006358626536667</v>
      </c>
      <c r="BT46" s="4"/>
      <c r="BU46" s="38">
        <f>BU44/BU35</f>
        <v>0.1260587165497532</v>
      </c>
      <c r="BV46" s="38">
        <f>BV44/BV35</f>
        <v>0.21063372717508055</v>
      </c>
      <c r="BW46" s="38">
        <f>BW44/BW35</f>
        <v>0.19244661638159993</v>
      </c>
      <c r="BX46" s="38">
        <f>BX44/BX35</f>
        <v>0.11520627181031598</v>
      </c>
      <c r="BY46" s="4"/>
      <c r="BZ46" s="38">
        <f>BZ44/BZ35</f>
        <v>0.14770977251727024</v>
      </c>
      <c r="CA46" s="38">
        <f>CA44/CA35</f>
        <v>0.26091380396337033</v>
      </c>
      <c r="CB46" s="38">
        <f>CB44/CB35</f>
        <v>0.19729825808745113</v>
      </c>
      <c r="CC46" s="38">
        <f>CC44/CC35</f>
        <v>0.13420346536904817</v>
      </c>
      <c r="CD46" s="7"/>
      <c r="CE46" s="39">
        <f>CE44/CE35</f>
        <v>0.1561550759392486</v>
      </c>
      <c r="CF46" s="39">
        <f>CF44/CF35</f>
        <v>0.25704040580724158</v>
      </c>
      <c r="CG46" s="39">
        <f>CG44/CG35</f>
        <v>0.21141274741238425</v>
      </c>
      <c r="CH46" s="39">
        <f>CH44/CH35</f>
        <v>0.1478692661483984</v>
      </c>
      <c r="CI46" s="8"/>
      <c r="CJ46" s="39">
        <f>CJ44/CJ35</f>
        <v>0.15581812867938707</v>
      </c>
      <c r="CK46" s="39">
        <f>CK44/CK35</f>
        <v>0.21998949303913845</v>
      </c>
      <c r="CL46" s="39">
        <f>CL44/CL35</f>
        <v>0.1744860550373567</v>
      </c>
      <c r="CM46" s="39">
        <f>CM44/CM35</f>
        <v>0.15824969891609794</v>
      </c>
      <c r="CN46" s="44"/>
      <c r="CO46" s="39">
        <f>CO44/CO35</f>
        <v>0.1521644075207696</v>
      </c>
      <c r="CP46" s="39">
        <f>CP44/CP35</f>
        <v>0.21767413045402245</v>
      </c>
      <c r="CQ46" s="39">
        <f>CQ44/CQ35</f>
        <v>0.19269041197805267</v>
      </c>
      <c r="CR46" s="38">
        <f>CR44/CR35</f>
        <v>0.19019914096056229</v>
      </c>
      <c r="CS46" s="856"/>
      <c r="CT46" s="39">
        <f>CT44/CT35</f>
        <v>0.13697711128650353</v>
      </c>
      <c r="CU46" s="39">
        <f>CU44/CU35</f>
        <v>0.24038100600600606</v>
      </c>
      <c r="CV46" s="39">
        <f>CV44/CV35</f>
        <v>0.21494731683410928</v>
      </c>
      <c r="CW46" s="38">
        <f>CW44/CW35</f>
        <v>0.18747658104001</v>
      </c>
      <c r="CX46" s="6"/>
      <c r="CY46" s="39">
        <f>CY44/CY35</f>
        <v>0.17498629412514172</v>
      </c>
      <c r="CZ46" s="39">
        <f>CZ44/CZ35</f>
        <v>0.21495538108667731</v>
      </c>
      <c r="DA46" s="39">
        <f>DA44/DA35</f>
        <v>0.17518397902620297</v>
      </c>
      <c r="DB46" s="38">
        <f>DB44/DB35</f>
        <v>0.12365815569624704</v>
      </c>
      <c r="DC46" s="6"/>
      <c r="DD46" s="39">
        <f>DD44/DD35</f>
        <v>8.8121103483859625E-2</v>
      </c>
      <c r="DE46" s="39">
        <f>DE44/DE35</f>
        <v>0.13615357707816036</v>
      </c>
      <c r="DF46" s="39">
        <f>DF44/DF35</f>
        <v>0.19081622050347505</v>
      </c>
      <c r="DG46" s="38">
        <f>DG44/DG35</f>
        <v>0.14508833950617125</v>
      </c>
      <c r="DH46" s="6"/>
      <c r="DI46" s="39">
        <f>DI44/DI35</f>
        <v>9.1625831709018862E-2</v>
      </c>
      <c r="DJ46" s="39">
        <f>DJ44/DJ35</f>
        <v>0.17270546213535007</v>
      </c>
      <c r="DK46" s="39">
        <f>DK44/DK35</f>
        <v>0.21591225530767835</v>
      </c>
      <c r="DL46" s="38">
        <f>DL44/DL35</f>
        <v>0.19009191355192737</v>
      </c>
    </row>
    <row r="47" spans="1:117">
      <c r="A47" s="36"/>
      <c r="B47" s="43"/>
      <c r="C47" s="38"/>
      <c r="D47" s="38"/>
      <c r="E47" s="38"/>
      <c r="F47" s="38"/>
      <c r="G47" s="38"/>
      <c r="H47" s="38"/>
      <c r="I47" s="38"/>
      <c r="J47" s="38"/>
      <c r="K47" s="38"/>
      <c r="L47" s="38"/>
      <c r="M47" s="38"/>
      <c r="N47" s="38"/>
      <c r="O47" s="38"/>
      <c r="P47" s="38"/>
      <c r="Q47" s="39"/>
      <c r="R47" s="39"/>
      <c r="S47" s="39"/>
      <c r="T47" s="38"/>
      <c r="U47" s="38"/>
      <c r="V47" s="38"/>
      <c r="W47" s="38"/>
      <c r="X47" s="38"/>
      <c r="Y47" s="10"/>
      <c r="Z47" s="10"/>
      <c r="AA47" s="38"/>
      <c r="AB47" s="38"/>
      <c r="AC47" s="2802"/>
      <c r="AD47" s="2940"/>
      <c r="AE47" s="2940"/>
      <c r="AF47" s="2802"/>
      <c r="AG47" s="2802"/>
      <c r="AH47" s="2802"/>
      <c r="AI47" s="2943"/>
      <c r="AJ47" s="2802"/>
      <c r="AK47" s="2802"/>
      <c r="AL47" s="2802"/>
      <c r="AM47" s="2802"/>
      <c r="AN47" s="2802"/>
      <c r="AO47" s="2802"/>
      <c r="AP47" s="2802"/>
      <c r="AQ47" s="2802"/>
      <c r="AR47" s="2802"/>
      <c r="AS47" s="2802"/>
      <c r="AT47" s="2802"/>
      <c r="AU47" s="2862"/>
      <c r="AV47" s="2802"/>
      <c r="AW47" s="2802"/>
      <c r="AX47" s="38"/>
      <c r="AY47" s="38"/>
      <c r="AZ47" s="6"/>
      <c r="BA47" s="38"/>
      <c r="BB47" s="38"/>
      <c r="BC47" s="38"/>
      <c r="BD47" s="38"/>
      <c r="BE47" s="4"/>
      <c r="BF47" s="38"/>
      <c r="BG47" s="38"/>
      <c r="BH47" s="38"/>
      <c r="BI47" s="38"/>
      <c r="BJ47" s="6"/>
      <c r="BK47" s="38"/>
      <c r="BL47" s="38"/>
      <c r="BM47" s="38"/>
      <c r="BN47" s="38"/>
      <c r="BO47" s="4"/>
      <c r="BP47" s="38"/>
      <c r="BQ47" s="38"/>
      <c r="BR47" s="38"/>
      <c r="BS47" s="38"/>
      <c r="BT47" s="4"/>
      <c r="BU47" s="38"/>
      <c r="BV47" s="38"/>
      <c r="BW47" s="38"/>
      <c r="BX47" s="38"/>
      <c r="BY47" s="4"/>
      <c r="BZ47" s="38"/>
      <c r="CA47" s="38"/>
      <c r="CB47" s="38"/>
      <c r="CC47" s="38"/>
      <c r="CD47" s="7"/>
      <c r="CE47" s="39"/>
      <c r="CF47" s="39"/>
      <c r="CG47" s="39"/>
      <c r="CH47" s="39"/>
      <c r="CI47" s="8"/>
      <c r="CJ47" s="39"/>
      <c r="CK47" s="39"/>
      <c r="CL47" s="39"/>
      <c r="CM47" s="39"/>
      <c r="CN47" s="44"/>
      <c r="CO47" s="39"/>
      <c r="CP47" s="39"/>
      <c r="CQ47" s="39"/>
      <c r="CR47" s="38"/>
      <c r="CS47" s="856"/>
      <c r="CT47" s="39"/>
      <c r="CU47" s="39"/>
      <c r="CV47" s="39"/>
      <c r="CW47" s="38"/>
      <c r="CX47" s="6"/>
      <c r="CY47" s="39"/>
      <c r="CZ47" s="39"/>
      <c r="DA47" s="39"/>
      <c r="DB47" s="38"/>
      <c r="DC47" s="6"/>
      <c r="DD47" s="6"/>
      <c r="DE47" s="6"/>
      <c r="DF47" s="6"/>
      <c r="DG47" s="6"/>
      <c r="DH47" s="6"/>
      <c r="DI47" s="863"/>
      <c r="DJ47" s="863"/>
      <c r="DK47" s="863"/>
      <c r="DL47" s="863"/>
    </row>
    <row r="48" spans="1:117">
      <c r="A48" s="36" t="s">
        <v>1724</v>
      </c>
      <c r="B48" s="6"/>
      <c r="C48" s="38"/>
      <c r="D48" s="38"/>
      <c r="E48" s="38"/>
      <c r="F48" s="38"/>
      <c r="G48" s="38"/>
      <c r="H48" s="38"/>
      <c r="I48" s="38"/>
      <c r="J48" s="38"/>
      <c r="K48" s="38"/>
      <c r="L48" s="38"/>
      <c r="M48" s="38"/>
      <c r="N48" s="38"/>
      <c r="O48" s="38"/>
      <c r="P48" s="38"/>
      <c r="Q48" s="39"/>
      <c r="R48" s="39"/>
      <c r="S48" s="39"/>
      <c r="T48" s="38"/>
      <c r="U48" s="38"/>
      <c r="V48" s="38"/>
      <c r="W48" s="38"/>
      <c r="X48" s="38"/>
      <c r="Y48" s="1110"/>
      <c r="Z48" s="1110"/>
      <c r="AA48" s="1110"/>
      <c r="AB48" s="1110"/>
      <c r="AC48" s="2802"/>
      <c r="AD48" s="2940"/>
      <c r="AE48" s="2940"/>
      <c r="AF48" s="2802"/>
      <c r="AG48" s="2802"/>
      <c r="AH48" s="2802"/>
      <c r="AI48" s="2943"/>
      <c r="AJ48" s="2802"/>
      <c r="AK48" s="2802"/>
      <c r="AL48" s="2802"/>
      <c r="AM48" s="2802"/>
      <c r="AN48" s="2802"/>
      <c r="AO48" s="2802"/>
      <c r="AP48" s="2802"/>
      <c r="AQ48" s="2802"/>
      <c r="AR48" s="2802"/>
      <c r="AS48" s="2802"/>
      <c r="AT48" s="2802"/>
      <c r="AU48" s="2862"/>
      <c r="AV48" s="2802"/>
      <c r="AW48" s="2802"/>
      <c r="AX48" s="38"/>
      <c r="AY48" s="38"/>
      <c r="AZ48" s="6"/>
      <c r="BA48" s="38"/>
      <c r="BB48" s="38"/>
      <c r="BC48" s="38"/>
      <c r="BD48" s="38"/>
      <c r="BE48" s="4"/>
      <c r="BF48" s="38"/>
      <c r="BG48" s="38"/>
      <c r="BH48" s="38"/>
      <c r="BI48" s="38"/>
      <c r="BJ48" s="6"/>
      <c r="BK48" s="38"/>
      <c r="BL48" s="38"/>
      <c r="BM48" s="38"/>
      <c r="BN48" s="38"/>
      <c r="BO48" s="4"/>
      <c r="BP48" s="38"/>
      <c r="BQ48" s="38"/>
      <c r="BR48" s="38"/>
      <c r="BS48" s="38"/>
      <c r="BT48" s="4"/>
      <c r="BU48" s="38"/>
      <c r="BV48" s="38"/>
      <c r="BW48" s="38"/>
      <c r="BX48" s="38"/>
      <c r="BY48" s="4"/>
      <c r="BZ48" s="38"/>
      <c r="CA48" s="38"/>
      <c r="CB48" s="38"/>
      <c r="CC48" s="38"/>
      <c r="CD48" s="7"/>
      <c r="CE48" s="39"/>
      <c r="CF48" s="39"/>
      <c r="CG48" s="39"/>
      <c r="CH48" s="39"/>
      <c r="CI48" s="8"/>
      <c r="CJ48" s="39"/>
      <c r="CK48" s="39"/>
      <c r="CL48" s="39"/>
      <c r="CM48" s="39"/>
      <c r="CN48" s="44"/>
      <c r="CO48" s="39"/>
      <c r="CP48" s="39"/>
      <c r="CQ48" s="39"/>
      <c r="CR48" s="38"/>
      <c r="CS48" s="856"/>
      <c r="CT48" s="39"/>
      <c r="CU48" s="39"/>
      <c r="CV48" s="39"/>
      <c r="CW48" s="38"/>
      <c r="CX48" s="6"/>
      <c r="CY48" s="39"/>
      <c r="CZ48" s="39"/>
      <c r="DA48" s="39"/>
      <c r="DB48" s="38"/>
      <c r="DC48" s="6"/>
      <c r="DD48" s="6"/>
      <c r="DE48" s="6"/>
      <c r="DF48" s="6"/>
      <c r="DG48" s="6"/>
      <c r="DH48" s="6"/>
      <c r="DI48" s="1096"/>
      <c r="DJ48" s="1096"/>
      <c r="DK48" s="1096"/>
      <c r="DL48" s="1096"/>
    </row>
    <row r="49" spans="1:117">
      <c r="A49" s="6"/>
      <c r="B49" s="6" t="s">
        <v>738</v>
      </c>
      <c r="C49" s="38"/>
      <c r="D49" s="38"/>
      <c r="E49" s="38"/>
      <c r="F49" s="38"/>
      <c r="G49" s="38"/>
      <c r="H49" s="38"/>
      <c r="I49" s="38"/>
      <c r="J49" s="38"/>
      <c r="K49" s="38"/>
      <c r="L49" s="38"/>
      <c r="M49" s="38"/>
      <c r="N49" s="38"/>
      <c r="O49" s="38"/>
      <c r="P49" s="38"/>
      <c r="Q49" s="39"/>
      <c r="R49" s="10">
        <f>SUM(CN49:CQ49)</f>
        <v>0</v>
      </c>
      <c r="S49" s="10">
        <f>SUM(CO49:CR49)</f>
        <v>0</v>
      </c>
      <c r="T49" s="10">
        <f>SUM(CT49:CW49)</f>
        <v>166.1</v>
      </c>
      <c r="U49" s="10">
        <f>SUM(CY49:DB49)</f>
        <v>423.67899999999997</v>
      </c>
      <c r="V49" s="38"/>
      <c r="W49" s="10">
        <f>'CBS Interactive'!L13</f>
        <v>571.995</v>
      </c>
      <c r="X49" s="10">
        <f>'CBS Interactive'!M13</f>
        <v>616.43666239999993</v>
      </c>
      <c r="Y49" s="1626">
        <f>'CBS Interactive'!N13</f>
        <v>540.92244618749999</v>
      </c>
      <c r="Z49" s="1626">
        <f>'CBS Interactive'!O13</f>
        <v>565.61320314184491</v>
      </c>
      <c r="AA49" s="1626">
        <f>'CBS Interactive'!P13</f>
        <v>554.52209725250862</v>
      </c>
      <c r="AB49" s="1626">
        <f>'CBS Interactive'!Q13</f>
        <v>583.06160903362195</v>
      </c>
      <c r="AC49" s="2938">
        <f>'CBS Interactive'!R13</f>
        <v>665.83800780524825</v>
      </c>
      <c r="AD49" s="2939">
        <f>'CBS Interactive'!S13+'CBS Interactive'!S143</f>
        <v>697.15753929352184</v>
      </c>
      <c r="AE49" s="2939">
        <f>+AC49</f>
        <v>665.83800780524825</v>
      </c>
      <c r="AF49" s="2938">
        <f>+AD49</f>
        <v>697.15753929352184</v>
      </c>
      <c r="AG49" s="2938">
        <f>'CBS Interactive'!T13+'CBS Interactive'!T143</f>
        <v>742.10735554225073</v>
      </c>
      <c r="AH49" s="2938">
        <f>'CBS Interactive'!U13+'CBS Interactive'!U143</f>
        <v>766.71107260001997</v>
      </c>
      <c r="AI49" s="2943">
        <f>AH49</f>
        <v>766.71107260001997</v>
      </c>
      <c r="AJ49" s="2938">
        <f>'CBS Interactive'!V13+'CBS Interactive'!V143</f>
        <v>845.39733158644003</v>
      </c>
      <c r="AK49" s="2938">
        <f>'CBS Interactive'!W13+'CBS Interactive'!W143</f>
        <v>954.93989705688364</v>
      </c>
      <c r="AL49" s="2938">
        <f>'CBS Interactive'!X13+'CBS Interactive'!X143</f>
        <v>1036.5792963853805</v>
      </c>
      <c r="AM49" s="2938">
        <f>'CBS Interactive'!Y13+'CBS Interactive'!Y143</f>
        <v>1094.7670968673624</v>
      </c>
      <c r="AN49" s="2938">
        <f>'CBS Interactive'!Z13+'CBS Interactive'!Z143</f>
        <v>1148.5436672875921</v>
      </c>
      <c r="AO49" s="2938">
        <f>'CBS Interactive'!AA13+'CBS Interactive'!AA143</f>
        <v>1206.319021403521</v>
      </c>
      <c r="AP49" s="2938">
        <f>'CBS Interactive'!AB13+'CBS Interactive'!AB143</f>
        <v>1266.2826219237886</v>
      </c>
      <c r="AQ49" s="2938">
        <f>'CBS Interactive'!AC13+'CBS Interactive'!AC143</f>
        <v>1325.376994785529</v>
      </c>
      <c r="AR49" s="2938">
        <f>'CBS Interactive'!AD13+'CBS Interactive'!AD143</f>
        <v>1383.5232407501244</v>
      </c>
      <c r="AS49" s="2938">
        <f>'CBS Interactive'!AE13+'CBS Interactive'!AE143</f>
        <v>1441.0234947677577</v>
      </c>
      <c r="AT49" s="2938">
        <f>'CBS Interactive'!AF13+'CBS Interactive'!AF143</f>
        <v>1499.1401371178895</v>
      </c>
      <c r="AU49" s="2938">
        <f>'CBS Interactive'!AG13+'CBS Interactive'!AG143</f>
        <v>1557.9139168837933</v>
      </c>
      <c r="AV49" s="2938"/>
      <c r="AW49" s="2938"/>
      <c r="AX49" s="10"/>
      <c r="AY49" s="10"/>
      <c r="AZ49" s="6"/>
      <c r="BA49" s="38"/>
      <c r="BB49" s="38"/>
      <c r="BC49" s="38"/>
      <c r="BD49" s="38"/>
      <c r="BE49" s="4"/>
      <c r="BF49" s="38"/>
      <c r="BG49" s="38"/>
      <c r="BH49" s="38"/>
      <c r="BI49" s="38"/>
      <c r="BJ49" s="6"/>
      <c r="BK49" s="38"/>
      <c r="BL49" s="38"/>
      <c r="BM49" s="38"/>
      <c r="BN49" s="38"/>
      <c r="BO49" s="4"/>
      <c r="BP49" s="38"/>
      <c r="BQ49" s="38"/>
      <c r="BR49" s="38"/>
      <c r="BS49" s="38"/>
      <c r="BT49" s="4"/>
      <c r="BU49" s="38"/>
      <c r="BV49" s="38"/>
      <c r="BW49" s="38"/>
      <c r="BX49" s="38"/>
      <c r="BY49" s="4"/>
      <c r="BZ49" s="38"/>
      <c r="CA49" s="38"/>
      <c r="CB49" s="38"/>
      <c r="CC49" s="38"/>
      <c r="CD49" s="7"/>
      <c r="CE49" s="39"/>
      <c r="CF49" s="39"/>
      <c r="CG49" s="39"/>
      <c r="CH49" s="39"/>
      <c r="CI49" s="8"/>
      <c r="CJ49" s="39"/>
      <c r="CK49" s="39"/>
      <c r="CL49" s="39"/>
      <c r="CM49" s="39"/>
      <c r="CN49" s="44"/>
      <c r="CO49" s="39"/>
      <c r="CP49" s="39"/>
      <c r="CQ49" s="39"/>
      <c r="CR49" s="38"/>
      <c r="CS49" s="856"/>
      <c r="CT49" s="499">
        <v>38.6</v>
      </c>
      <c r="CU49" s="499">
        <v>31.8</v>
      </c>
      <c r="CV49" s="499">
        <v>37.1</v>
      </c>
      <c r="CW49" s="499">
        <v>58.6</v>
      </c>
      <c r="CX49" s="6"/>
      <c r="CY49" s="499">
        <v>52.9</v>
      </c>
      <c r="CZ49" s="499">
        <v>40.200000000000003</v>
      </c>
      <c r="DA49" s="10">
        <f>'CBS Interactive'!BE13</f>
        <v>143.30000000000001</v>
      </c>
      <c r="DB49" s="10">
        <f>'CBS Interactive'!BF13</f>
        <v>187.279</v>
      </c>
      <c r="DC49" s="48">
        <f>U49-SUM(CY49:DB49)</f>
        <v>0</v>
      </c>
      <c r="DD49" s="10">
        <f>'CBS Interactive'!BH13</f>
        <v>134.30000000000001</v>
      </c>
      <c r="DE49" s="10">
        <f>'CBS Interactive'!BI13</f>
        <v>127.1</v>
      </c>
      <c r="DF49" s="10">
        <f>'CBS Interactive'!BJ13</f>
        <v>122.09</v>
      </c>
      <c r="DG49" s="10">
        <f>'CBS Interactive'!BK13</f>
        <v>157.43244618750001</v>
      </c>
      <c r="DH49" s="42">
        <f>Y49-SUM(DD49:DG49)</f>
        <v>0</v>
      </c>
      <c r="DI49" s="10">
        <f>Drivers!BQ18</f>
        <v>139.251310832</v>
      </c>
      <c r="DJ49" s="10">
        <f>Drivers!BR18</f>
        <v>131.94907071908415</v>
      </c>
      <c r="DK49" s="10">
        <f>Drivers!BS18</f>
        <v>128.62590061702946</v>
      </c>
      <c r="DL49" s="10">
        <f>Drivers!BT18</f>
        <v>165.78692097373127</v>
      </c>
      <c r="DM49" s="42">
        <f>Z49-SUM(DI49:DL49)</f>
        <v>0</v>
      </c>
    </row>
    <row r="50" spans="1:117">
      <c r="A50" s="6"/>
      <c r="B50" s="43" t="s">
        <v>676</v>
      </c>
      <c r="C50" s="38"/>
      <c r="D50" s="38"/>
      <c r="E50" s="38"/>
      <c r="F50" s="38"/>
      <c r="G50" s="38"/>
      <c r="H50" s="38"/>
      <c r="I50" s="38"/>
      <c r="J50" s="38"/>
      <c r="K50" s="38"/>
      <c r="L50" s="38"/>
      <c r="M50" s="38"/>
      <c r="N50" s="38"/>
      <c r="O50" s="38"/>
      <c r="P50" s="38"/>
      <c r="Q50" s="39"/>
      <c r="R50" s="39"/>
      <c r="S50" s="39"/>
      <c r="T50" s="38"/>
      <c r="U50" s="38"/>
      <c r="V50" s="38"/>
      <c r="W50" s="38"/>
      <c r="X50" s="38">
        <f>X49/W49-1</f>
        <v>7.769589314591907E-2</v>
      </c>
      <c r="Y50" s="1110">
        <f>Y49/X49-1</f>
        <v>-0.12250117622546508</v>
      </c>
      <c r="Z50" s="1110">
        <f t="shared" ref="Z50:AM50" si="62">Z49/Y49-1</f>
        <v>4.5645650551884076E-2</v>
      </c>
      <c r="AA50" s="1110">
        <f t="shared" si="62"/>
        <v>-1.9608993969249422E-2</v>
      </c>
      <c r="AB50" s="1110">
        <f t="shared" si="62"/>
        <v>5.1466861144971565E-2</v>
      </c>
      <c r="AC50" s="2802">
        <f t="shared" si="62"/>
        <v>0.14196852869257093</v>
      </c>
      <c r="AD50" s="2940">
        <f>AD49/AC49-1</f>
        <v>4.7037764623124811E-2</v>
      </c>
      <c r="AE50" s="2940"/>
      <c r="AF50" s="2802">
        <f>AF49/AE49-1</f>
        <v>4.7037764623124811E-2</v>
      </c>
      <c r="AG50" s="2802">
        <f>AG49/AF49-1</f>
        <v>6.4475837547822712E-2</v>
      </c>
      <c r="AH50" s="2802">
        <f t="shared" si="62"/>
        <v>3.3153851493348263E-2</v>
      </c>
      <c r="AI50" s="2943"/>
      <c r="AJ50" s="2802">
        <f>AJ49/AH49-1</f>
        <v>0.10262830654001687</v>
      </c>
      <c r="AK50" s="2802">
        <f t="shared" si="62"/>
        <v>0.12957524394461983</v>
      </c>
      <c r="AL50" s="2802">
        <f t="shared" si="62"/>
        <v>8.5491662438765825E-2</v>
      </c>
      <c r="AM50" s="2802">
        <f t="shared" si="62"/>
        <v>5.6134442087437453E-2</v>
      </c>
      <c r="AN50" s="2802">
        <f t="shared" ref="AN50:AU50" si="63">AN49/AM49-1</f>
        <v>4.9121471200686884E-2</v>
      </c>
      <c r="AO50" s="2802">
        <f t="shared" si="63"/>
        <v>5.0303141065912937E-2</v>
      </c>
      <c r="AP50" s="2802">
        <f t="shared" si="63"/>
        <v>4.9707912630360118E-2</v>
      </c>
      <c r="AQ50" s="2802">
        <f t="shared" si="63"/>
        <v>4.6667601559564842E-2</v>
      </c>
      <c r="AR50" s="2802">
        <f t="shared" si="63"/>
        <v>4.387147671444569E-2</v>
      </c>
      <c r="AS50" s="2802">
        <f t="shared" si="63"/>
        <v>4.1560743125975685E-2</v>
      </c>
      <c r="AT50" s="2802">
        <f t="shared" si="63"/>
        <v>4.0330114367426173E-2</v>
      </c>
      <c r="AU50" s="2802">
        <f t="shared" si="63"/>
        <v>3.920499378990483E-2</v>
      </c>
      <c r="AV50" s="2802"/>
      <c r="AW50" s="2802"/>
      <c r="AX50" s="38"/>
      <c r="AY50" s="38"/>
      <c r="AZ50" s="6"/>
      <c r="BA50" s="38"/>
      <c r="BB50" s="38"/>
      <c r="BC50" s="38"/>
      <c r="BD50" s="38"/>
      <c r="BE50" s="4"/>
      <c r="BF50" s="38"/>
      <c r="BG50" s="38"/>
      <c r="BH50" s="38"/>
      <c r="BI50" s="38"/>
      <c r="BJ50" s="6"/>
      <c r="BK50" s="38"/>
      <c r="BL50" s="38"/>
      <c r="BM50" s="38"/>
      <c r="BN50" s="38"/>
      <c r="BO50" s="4"/>
      <c r="BP50" s="38"/>
      <c r="BQ50" s="38"/>
      <c r="BR50" s="38"/>
      <c r="BS50" s="38"/>
      <c r="BT50" s="4"/>
      <c r="BU50" s="38"/>
      <c r="BV50" s="38"/>
      <c r="BW50" s="38"/>
      <c r="BX50" s="38"/>
      <c r="BY50" s="4"/>
      <c r="BZ50" s="38"/>
      <c r="CA50" s="38"/>
      <c r="CB50" s="38"/>
      <c r="CC50" s="38"/>
      <c r="CD50" s="7"/>
      <c r="CE50" s="39"/>
      <c r="CF50" s="39"/>
      <c r="CG50" s="39"/>
      <c r="CH50" s="39"/>
      <c r="CI50" s="8"/>
      <c r="CJ50" s="39"/>
      <c r="CK50" s="39"/>
      <c r="CL50" s="39"/>
      <c r="CM50" s="39"/>
      <c r="CN50" s="44"/>
      <c r="CO50" s="39"/>
      <c r="CP50" s="39"/>
      <c r="CQ50" s="39"/>
      <c r="CR50" s="38"/>
      <c r="CS50" s="856"/>
      <c r="CT50" s="39"/>
      <c r="CU50" s="39"/>
      <c r="CV50" s="39"/>
      <c r="CW50" s="38"/>
      <c r="CX50" s="6"/>
      <c r="CY50" s="39">
        <f>CY49/CT49-1</f>
        <v>0.3704663212435233</v>
      </c>
      <c r="CZ50" s="39">
        <f>CZ49/CU49-1</f>
        <v>0.26415094339622658</v>
      </c>
      <c r="DA50" s="39">
        <f>DA49/CV49-1</f>
        <v>2.8625336927223723</v>
      </c>
      <c r="DB50" s="39">
        <f>DB49/CW49-1</f>
        <v>2.1958873720136518</v>
      </c>
      <c r="DC50" s="6"/>
      <c r="DD50" s="39">
        <f>DD49/CY49-1</f>
        <v>1.5387523629489608</v>
      </c>
      <c r="DE50" s="39">
        <f>DE49/CZ49-1</f>
        <v>2.161691542288557</v>
      </c>
      <c r="DF50" s="39">
        <f>DF49/DA49-1</f>
        <v>-0.14801116538729941</v>
      </c>
      <c r="DG50" s="39">
        <f>DG49/DB49-1</f>
        <v>-0.15936946380800832</v>
      </c>
      <c r="DH50" s="6"/>
      <c r="DI50" s="39">
        <f>DI49/DD49-1</f>
        <v>3.6867541563663453E-2</v>
      </c>
      <c r="DJ50" s="39">
        <f>DJ49/DE49-1</f>
        <v>3.8151618560851031E-2</v>
      </c>
      <c r="DK50" s="39">
        <f>DK49/DF49-1</f>
        <v>5.3533463977635032E-2</v>
      </c>
      <c r="DL50" s="39">
        <f>DL49/DG49-1</f>
        <v>5.3067045507767752E-2</v>
      </c>
    </row>
    <row r="51" spans="1:117">
      <c r="A51" s="6"/>
      <c r="B51" s="6" t="s">
        <v>678</v>
      </c>
      <c r="C51" s="38"/>
      <c r="D51" s="38"/>
      <c r="E51" s="38"/>
      <c r="F51" s="38"/>
      <c r="G51" s="38"/>
      <c r="H51" s="38"/>
      <c r="I51" s="38"/>
      <c r="J51" s="38"/>
      <c r="K51" s="38"/>
      <c r="L51" s="38"/>
      <c r="M51" s="38"/>
      <c r="N51" s="38"/>
      <c r="O51" s="38"/>
      <c r="P51" s="38"/>
      <c r="Q51" s="39"/>
      <c r="R51" s="10">
        <f>SUM(CN51:CQ51)</f>
        <v>0</v>
      </c>
      <c r="S51" s="10">
        <f>SUM(CO51:CR51)</f>
        <v>0</v>
      </c>
      <c r="T51" s="10">
        <f>SUM(CT51:CW51)</f>
        <v>-10.299999999999999</v>
      </c>
      <c r="U51" s="10">
        <f>SUM(CY51:DB51)</f>
        <v>41.899999999999991</v>
      </c>
      <c r="V51" s="38"/>
      <c r="W51" s="10">
        <f>'CBS Interactive'!L28</f>
        <v>57.716624999999937</v>
      </c>
      <c r="X51" s="10">
        <f>'CBS Interactive'!M28</f>
        <v>42.303718959999912</v>
      </c>
      <c r="Y51" s="1626">
        <f>'CBS Interactive'!N28</f>
        <v>74.072823093750003</v>
      </c>
      <c r="Z51" s="1626">
        <f>'CBS Interactive'!O28</f>
        <v>79.007983234298194</v>
      </c>
      <c r="AA51" s="1626">
        <f>'CBS Interactive'!P28</f>
        <v>76.827994380694065</v>
      </c>
      <c r="AB51" s="1626">
        <f>'CBS Interactive'!Q28</f>
        <v>90.711904014843327</v>
      </c>
      <c r="AC51" s="2938">
        <f>'CBS Interactive'!R28</f>
        <v>127.40078529513147</v>
      </c>
      <c r="AD51" s="2939">
        <f>'CBS Interactive'!S28+'CBS Interactive'!S170</f>
        <v>145.01701141549236</v>
      </c>
      <c r="AE51" s="2939">
        <f>+AC51</f>
        <v>127.40078529513147</v>
      </c>
      <c r="AF51" s="2938">
        <f>+AD51</f>
        <v>145.01701141549236</v>
      </c>
      <c r="AG51" s="2938">
        <f>'CBS Interactive'!T28+'CBS Interactive'!T170</f>
        <v>153.03384049581018</v>
      </c>
      <c r="AH51" s="2938">
        <f>'CBS Interactive'!U28+'CBS Interactive'!U170</f>
        <v>150.87016200877571</v>
      </c>
      <c r="AI51" s="2943">
        <f>AH51</f>
        <v>150.87016200877571</v>
      </c>
      <c r="AJ51" s="2938">
        <f>'CBS Interactive'!V28+'CBS Interactive'!V170</f>
        <v>152.73724969628859</v>
      </c>
      <c r="AK51" s="2938">
        <f>'CBS Interactive'!W28+'CBS Interactive'!W170</f>
        <v>141.77644012937105</v>
      </c>
      <c r="AL51" s="2938">
        <f>'CBS Interactive'!X28+'CBS Interactive'!X170</f>
        <v>146.23113821490807</v>
      </c>
      <c r="AM51" s="2938">
        <f>'CBS Interactive'!Y28+'CBS Interactive'!Y170</f>
        <v>152.75150939896406</v>
      </c>
      <c r="AN51" s="2938">
        <f>'CBS Interactive'!Z28+'CBS Interactive'!Z170</f>
        <v>160.74339090851925</v>
      </c>
      <c r="AO51" s="2938">
        <f>'CBS Interactive'!AA28+'CBS Interactive'!AA170</f>
        <v>170.89112927272254</v>
      </c>
      <c r="AP51" s="2938">
        <f>'CBS Interactive'!AB28+'CBS Interactive'!AB170</f>
        <v>182.88530247219944</v>
      </c>
      <c r="AQ51" s="2938">
        <f>'CBS Interactive'!AC28+'CBS Interactive'!AC170</f>
        <v>196.41422205902307</v>
      </c>
      <c r="AR51" s="2938">
        <f>'CBS Interactive'!AD28+'CBS Interactive'!AD170</f>
        <v>211.46636357112288</v>
      </c>
      <c r="AS51" s="2938">
        <f>'CBS Interactive'!AE28+'CBS Interactive'!AE170</f>
        <v>228.09988114284135</v>
      </c>
      <c r="AT51" s="2938">
        <f>'CBS Interactive'!AF28+'CBS Interactive'!AF170</f>
        <v>246.81062271042254</v>
      </c>
      <c r="AU51" s="2938">
        <f>'CBS Interactive'!AG28+'CBS Interactive'!AG170</f>
        <v>267.63092460166274</v>
      </c>
      <c r="AV51" s="2938"/>
      <c r="AW51" s="2938"/>
      <c r="AX51" s="10"/>
      <c r="AY51" s="10"/>
      <c r="AZ51" s="6"/>
      <c r="BA51" s="38"/>
      <c r="BB51" s="38"/>
      <c r="BC51" s="38"/>
      <c r="BD51" s="38"/>
      <c r="BE51" s="4"/>
      <c r="BF51" s="38"/>
      <c r="BG51" s="38"/>
      <c r="BH51" s="38"/>
      <c r="BI51" s="38"/>
      <c r="BJ51" s="6"/>
      <c r="BK51" s="38"/>
      <c r="BL51" s="38"/>
      <c r="BM51" s="38"/>
      <c r="BN51" s="38"/>
      <c r="BO51" s="4"/>
      <c r="BP51" s="38"/>
      <c r="BQ51" s="38"/>
      <c r="BR51" s="38"/>
      <c r="BS51" s="38"/>
      <c r="BT51" s="4"/>
      <c r="BU51" s="38"/>
      <c r="BV51" s="38"/>
      <c r="BW51" s="38"/>
      <c r="BX51" s="38"/>
      <c r="BY51" s="4"/>
      <c r="BZ51" s="38"/>
      <c r="CA51" s="38"/>
      <c r="CB51" s="38"/>
      <c r="CC51" s="38"/>
      <c r="CD51" s="7"/>
      <c r="CE51" s="39"/>
      <c r="CF51" s="39"/>
      <c r="CG51" s="39"/>
      <c r="CH51" s="39"/>
      <c r="CI51" s="8"/>
      <c r="CJ51" s="39"/>
      <c r="CK51" s="39"/>
      <c r="CL51" s="39"/>
      <c r="CM51" s="39"/>
      <c r="CN51" s="44"/>
      <c r="CO51" s="39"/>
      <c r="CP51" s="39"/>
      <c r="CQ51" s="39"/>
      <c r="CR51" s="38"/>
      <c r="CS51" s="856"/>
      <c r="CT51" s="499">
        <v>3.8</v>
      </c>
      <c r="CU51" s="499">
        <v>-10.7</v>
      </c>
      <c r="CV51" s="499">
        <v>-10.3</v>
      </c>
      <c r="CW51" s="499">
        <v>6.9</v>
      </c>
      <c r="CX51" s="6"/>
      <c r="CY51" s="499">
        <v>1.1000000000000001</v>
      </c>
      <c r="CZ51" s="499">
        <v>-16.8</v>
      </c>
      <c r="DA51" s="10">
        <f>'CBS Interactive'!BE28</f>
        <v>3.3</v>
      </c>
      <c r="DB51" s="10">
        <f>'CBS Interactive'!BF28</f>
        <v>54.3</v>
      </c>
      <c r="DC51" s="48">
        <f>U51-SUM(CY51:DB51)</f>
        <v>0</v>
      </c>
      <c r="DD51" s="10">
        <f>'CBS Interactive'!BH28</f>
        <v>8.1999999999999993</v>
      </c>
      <c r="DE51" s="10">
        <f>'CBS Interactive'!BI28</f>
        <v>5.7</v>
      </c>
      <c r="DF51" s="10">
        <f>'CBS Interactive'!BJ28</f>
        <v>4.0999999999999996</v>
      </c>
      <c r="DG51" s="10">
        <f>'CBS Interactive'!BK28</f>
        <v>56.072823093750003</v>
      </c>
      <c r="DH51" s="42">
        <f>Y51-SUM(DD51:DG51)</f>
        <v>0</v>
      </c>
      <c r="DI51" s="10">
        <f>Drivers!BQ63</f>
        <v>9.9447239246400017</v>
      </c>
      <c r="DJ51" s="10">
        <f>Drivers!BR63</f>
        <v>6.007654094152727</v>
      </c>
      <c r="DK51" s="10">
        <f>Drivers!BS63</f>
        <v>6.1180741665979568</v>
      </c>
      <c r="DL51" s="10">
        <f>Drivers!BT63</f>
        <v>56.937531048907509</v>
      </c>
      <c r="DM51" s="42">
        <f>Z51-SUM(DI51:DL51)</f>
        <v>0</v>
      </c>
    </row>
    <row r="52" spans="1:117">
      <c r="A52" s="6"/>
      <c r="B52" s="43" t="s">
        <v>690</v>
      </c>
      <c r="C52" s="38"/>
      <c r="D52" s="38"/>
      <c r="E52" s="38"/>
      <c r="F52" s="38"/>
      <c r="G52" s="38"/>
      <c r="H52" s="38"/>
      <c r="I52" s="38"/>
      <c r="J52" s="38"/>
      <c r="K52" s="38"/>
      <c r="L52" s="38"/>
      <c r="M52" s="38"/>
      <c r="N52" s="38"/>
      <c r="O52" s="38"/>
      <c r="P52" s="38"/>
      <c r="Q52" s="39"/>
      <c r="R52" s="39"/>
      <c r="S52" s="39"/>
      <c r="T52" s="38">
        <f>T51/T49</f>
        <v>-6.2010836845273927E-2</v>
      </c>
      <c r="U52" s="38">
        <f>U51/U49</f>
        <v>9.8895626169812512E-2</v>
      </c>
      <c r="V52" s="38"/>
      <c r="W52" s="38">
        <f>W51/W49</f>
        <v>0.10090407258804698</v>
      </c>
      <c r="X52" s="38">
        <f>X51/X49</f>
        <v>6.8626221541231811E-2</v>
      </c>
      <c r="Y52" s="1110">
        <f>Y51/Y49</f>
        <v>0.13693797256117957</v>
      </c>
      <c r="Z52" s="1110">
        <f t="shared" ref="Z52:AM52" si="64">Z51/Z49</f>
        <v>0.13968553561944436</v>
      </c>
      <c r="AA52" s="1110">
        <f t="shared" si="64"/>
        <v>0.1385481205552562</v>
      </c>
      <c r="AB52" s="1110">
        <f t="shared" si="64"/>
        <v>0.15557859171210237</v>
      </c>
      <c r="AC52" s="2802">
        <f t="shared" si="64"/>
        <v>0.19133901009206894</v>
      </c>
      <c r="AD52" s="2940">
        <f t="shared" si="64"/>
        <v>0.20801182407415142</v>
      </c>
      <c r="AE52" s="2940">
        <f t="shared" si="64"/>
        <v>0.19133901009206894</v>
      </c>
      <c r="AF52" s="2802">
        <f t="shared" si="64"/>
        <v>0.20801182407415142</v>
      </c>
      <c r="AG52" s="2802">
        <f t="shared" si="64"/>
        <v>0.20621523200506459</v>
      </c>
      <c r="AH52" s="2802">
        <f t="shared" si="64"/>
        <v>0.1967757704309066</v>
      </c>
      <c r="AI52" s="2943"/>
      <c r="AJ52" s="2802">
        <f t="shared" si="64"/>
        <v>0.1806691883089668</v>
      </c>
      <c r="AK52" s="2802">
        <f t="shared" si="64"/>
        <v>0.1484663491035664</v>
      </c>
      <c r="AL52" s="2802">
        <f t="shared" si="64"/>
        <v>0.14107086522451834</v>
      </c>
      <c r="AM52" s="2802">
        <f t="shared" si="64"/>
        <v>0.139528772682388</v>
      </c>
      <c r="AN52" s="2802">
        <f t="shared" ref="AN52:AS52" si="65">AN51/AN49</f>
        <v>0.13995409620613888</v>
      </c>
      <c r="AO52" s="2802">
        <f t="shared" si="65"/>
        <v>0.14166329655806564</v>
      </c>
      <c r="AP52" s="2802">
        <f t="shared" si="65"/>
        <v>0.14442692279418048</v>
      </c>
      <c r="AQ52" s="2802">
        <f t="shared" si="65"/>
        <v>0.1481949836399617</v>
      </c>
      <c r="AR52" s="2802">
        <f t="shared" si="65"/>
        <v>0.15284626766115555</v>
      </c>
      <c r="AS52" s="2802">
        <f t="shared" si="65"/>
        <v>0.15829018886302268</v>
      </c>
      <c r="AT52" s="2802">
        <f>AT51/AT49</f>
        <v>0.16463479070403531</v>
      </c>
      <c r="AU52" s="2802">
        <f>AU51/AU49</f>
        <v>0.17178800555103177</v>
      </c>
      <c r="AV52" s="38"/>
      <c r="AW52" s="38"/>
      <c r="AX52" s="38"/>
      <c r="AY52" s="38"/>
      <c r="AZ52" s="6"/>
      <c r="BA52" s="38"/>
      <c r="BB52" s="38"/>
      <c r="BC52" s="38"/>
      <c r="BD52" s="38"/>
      <c r="BE52" s="4"/>
      <c r="BF52" s="38"/>
      <c r="BG52" s="38"/>
      <c r="BH52" s="38"/>
      <c r="BI52" s="38"/>
      <c r="BJ52" s="6"/>
      <c r="BK52" s="38"/>
      <c r="BL52" s="38"/>
      <c r="BM52" s="38"/>
      <c r="BN52" s="38"/>
      <c r="BO52" s="4"/>
      <c r="BP52" s="38"/>
      <c r="BQ52" s="38"/>
      <c r="BR52" s="38"/>
      <c r="BS52" s="38"/>
      <c r="BT52" s="4"/>
      <c r="BU52" s="38"/>
      <c r="BV52" s="38"/>
      <c r="BW52" s="38"/>
      <c r="BX52" s="38"/>
      <c r="BY52" s="4"/>
      <c r="BZ52" s="38"/>
      <c r="CA52" s="38"/>
      <c r="CB52" s="38"/>
      <c r="CC52" s="38"/>
      <c r="CD52" s="7"/>
      <c r="CE52" s="39"/>
      <c r="CF52" s="39"/>
      <c r="CG52" s="39"/>
      <c r="CH52" s="39"/>
      <c r="CI52" s="8"/>
      <c r="CJ52" s="39"/>
      <c r="CK52" s="39"/>
      <c r="CL52" s="39"/>
      <c r="CM52" s="39"/>
      <c r="CN52" s="44"/>
      <c r="CO52" s="39"/>
      <c r="CP52" s="39"/>
      <c r="CQ52" s="39"/>
      <c r="CR52" s="38"/>
      <c r="CS52" s="856"/>
      <c r="CT52" s="39">
        <f>CT51/CT49</f>
        <v>9.8445595854922269E-2</v>
      </c>
      <c r="CU52" s="39">
        <f>CU51/CU49</f>
        <v>-0.33647798742138363</v>
      </c>
      <c r="CV52" s="39">
        <f>CV51/CV49</f>
        <v>-0.27762803234501349</v>
      </c>
      <c r="CW52" s="39">
        <f>CW51/CW49</f>
        <v>0.11774744027303755</v>
      </c>
      <c r="CX52" s="6"/>
      <c r="CY52" s="39">
        <f>CY51/CY49</f>
        <v>2.0793950850661626E-2</v>
      </c>
      <c r="CZ52" s="39">
        <f>CZ51/CZ49</f>
        <v>-0.41791044776119401</v>
      </c>
      <c r="DA52" s="39">
        <f>DA51/DA49</f>
        <v>2.3028611304954639E-2</v>
      </c>
      <c r="DB52" s="39">
        <f>DB51/DB49</f>
        <v>0.28994174466971734</v>
      </c>
      <c r="DC52" s="6"/>
      <c r="DD52" s="39">
        <f>DD51/DD49</f>
        <v>6.1057334326135505E-2</v>
      </c>
      <c r="DE52" s="39">
        <f>DE51/DE49</f>
        <v>4.4846577498033051E-2</v>
      </c>
      <c r="DF52" s="39">
        <f>DF51/DF49</f>
        <v>3.3581783929887782E-2</v>
      </c>
      <c r="DG52" s="39">
        <f>DG51/DG49</f>
        <v>0.35617069067813378</v>
      </c>
      <c r="DH52" s="6"/>
      <c r="DI52" s="39">
        <f>DI51/DI49</f>
        <v>7.1415657527546236E-2</v>
      </c>
      <c r="DJ52" s="39">
        <f>DJ51/DJ49</f>
        <v>4.553009779767872E-2</v>
      </c>
      <c r="DK52" s="39">
        <f>DK51/DK49</f>
        <v>4.7564869417815785E-2</v>
      </c>
      <c r="DL52" s="39">
        <f>DL51/DL49</f>
        <v>0.34343801498026005</v>
      </c>
    </row>
    <row r="53" spans="1:117">
      <c r="A53" s="6"/>
      <c r="B53" s="6" t="s">
        <v>692</v>
      </c>
      <c r="C53" s="38"/>
      <c r="D53" s="38"/>
      <c r="E53" s="38"/>
      <c r="F53" s="38"/>
      <c r="G53" s="38"/>
      <c r="H53" s="38"/>
      <c r="I53" s="38"/>
      <c r="J53" s="38"/>
      <c r="K53" s="38"/>
      <c r="L53" s="38"/>
      <c r="M53" s="38"/>
      <c r="N53" s="38"/>
      <c r="O53" s="38"/>
      <c r="P53" s="38"/>
      <c r="Q53" s="39"/>
      <c r="R53" s="39"/>
      <c r="S53" s="39"/>
      <c r="T53" s="38"/>
      <c r="U53" s="48">
        <f>SUM(CY53:DB53)</f>
        <v>21</v>
      </c>
      <c r="V53" s="38"/>
      <c r="W53" s="48">
        <f>'CBS Interactive'!L31</f>
        <v>34.450000000000003</v>
      </c>
      <c r="X53" s="48">
        <f>'CBS Interactive'!M31</f>
        <v>32.44997</v>
      </c>
      <c r="Y53" s="48">
        <f>'CBS Interactive'!N31</f>
        <v>27</v>
      </c>
      <c r="Z53" s="48">
        <f>'CBS Interactive'!O31</f>
        <v>27</v>
      </c>
      <c r="AA53" s="48">
        <f>'CBS Interactive'!P31</f>
        <v>26.470557162830264</v>
      </c>
      <c r="AB53" s="48">
        <f>'CBS Interactive'!Q31</f>
        <v>20</v>
      </c>
      <c r="AC53" s="2796">
        <f>'CBS Interactive'!R31</f>
        <v>20.2</v>
      </c>
      <c r="AD53" s="2941">
        <f>'CBS Interactive'!S31+'CBS Interactive'!S174</f>
        <v>20.410086500000002</v>
      </c>
      <c r="AE53" s="2941">
        <f>+AC53</f>
        <v>20.2</v>
      </c>
      <c r="AF53" s="2796">
        <f>+AD53</f>
        <v>20.410086500000002</v>
      </c>
      <c r="AG53" s="2796">
        <f>'CBS Interactive'!T31+'CBS Interactive'!T174</f>
        <v>21.140904315403915</v>
      </c>
      <c r="AH53" s="2944">
        <f>'CBS Interactive'!U31+'CBS Interactive'!U174</f>
        <v>21.253545762131768</v>
      </c>
      <c r="AI53" s="2943">
        <f>AH53</f>
        <v>21.253545762131768</v>
      </c>
      <c r="AJ53" s="2796">
        <f>'CBS Interactive'!V31+'CBS Interactive'!V174</f>
        <v>22.706869320566085</v>
      </c>
      <c r="AK53" s="2796">
        <f>'CBS Interactive'!W31+'CBS Interactive'!W174</f>
        <v>24.773458621713129</v>
      </c>
      <c r="AL53" s="2796">
        <f>'CBS Interactive'!X31+'CBS Interactive'!X174</f>
        <v>24.962802422791533</v>
      </c>
      <c r="AM53" s="2796">
        <f>'CBS Interactive'!Y31+'CBS Interactive'!Y174</f>
        <v>25.455455172769565</v>
      </c>
      <c r="AN53" s="2796">
        <f>'CBS Interactive'!Z31+'CBS Interactive'!Z174</f>
        <v>25.804106885633409</v>
      </c>
      <c r="AO53" s="2796">
        <f>'CBS Interactive'!AA31+'CBS Interactive'!AA174</f>
        <v>26.128988639678376</v>
      </c>
      <c r="AP53" s="2796">
        <f>'CBS Interactive'!AB31+'CBS Interactive'!AB174</f>
        <v>26.228753536717882</v>
      </c>
      <c r="AQ53" s="2796">
        <f>'CBS Interactive'!AC31+'CBS Interactive'!AC174</f>
        <v>26.329017258242587</v>
      </c>
      <c r="AR53" s="2796">
        <f>'CBS Interactive'!AD31+'CBS Interactive'!AD174</f>
        <v>26.42978229837491</v>
      </c>
      <c r="AS53" s="2796">
        <f>'CBS Interactive'!AE31+'CBS Interactive'!AE174</f>
        <v>26.513549912232712</v>
      </c>
      <c r="AT53" s="2796">
        <f>'CBS Interactive'!AF31+'CBS Interactive'!AF174</f>
        <v>26.597736364159793</v>
      </c>
      <c r="AU53" s="2796">
        <f>'CBS Interactive'!AG31+'CBS Interactive'!AG174</f>
        <v>26.682343748346511</v>
      </c>
      <c r="AV53" s="48"/>
      <c r="AW53" s="48"/>
      <c r="AX53" s="48"/>
      <c r="AY53" s="48"/>
      <c r="AZ53" s="6"/>
      <c r="BA53" s="38"/>
      <c r="BB53" s="38"/>
      <c r="BC53" s="38"/>
      <c r="BD53" s="38"/>
      <c r="BE53" s="4"/>
      <c r="BF53" s="38"/>
      <c r="BG53" s="38"/>
      <c r="BH53" s="38"/>
      <c r="BI53" s="38"/>
      <c r="BJ53" s="6"/>
      <c r="BK53" s="38"/>
      <c r="BL53" s="38"/>
      <c r="BM53" s="38"/>
      <c r="BN53" s="38"/>
      <c r="BO53" s="4"/>
      <c r="BP53" s="38"/>
      <c r="BQ53" s="38"/>
      <c r="BR53" s="38"/>
      <c r="BS53" s="38"/>
      <c r="BT53" s="4"/>
      <c r="BU53" s="38"/>
      <c r="BV53" s="38"/>
      <c r="BW53" s="38"/>
      <c r="BX53" s="38"/>
      <c r="BY53" s="4"/>
      <c r="BZ53" s="38"/>
      <c r="CA53" s="38"/>
      <c r="CB53" s="38"/>
      <c r="CC53" s="38"/>
      <c r="CD53" s="7"/>
      <c r="CE53" s="39"/>
      <c r="CF53" s="39"/>
      <c r="CG53" s="39"/>
      <c r="CH53" s="39"/>
      <c r="CI53" s="8"/>
      <c r="CJ53" s="39"/>
      <c r="CK53" s="39"/>
      <c r="CL53" s="39"/>
      <c r="CM53" s="39"/>
      <c r="CN53" s="44"/>
      <c r="CO53" s="39"/>
      <c r="CP53" s="39"/>
      <c r="CQ53" s="39"/>
      <c r="CR53" s="38"/>
      <c r="CS53" s="856"/>
      <c r="CT53" s="48">
        <f>CT51-CT58-CT57</f>
        <v>0.79999999999999982</v>
      </c>
      <c r="CU53" s="48">
        <f t="shared" ref="CU53:CZ53" si="66">CU51-CU58-CU57</f>
        <v>1</v>
      </c>
      <c r="CV53" s="48">
        <f t="shared" si="66"/>
        <v>1.0999999999999996</v>
      </c>
      <c r="CW53" s="48">
        <f t="shared" si="66"/>
        <v>4.5</v>
      </c>
      <c r="CX53" s="48"/>
      <c r="CY53" s="48">
        <f t="shared" si="66"/>
        <v>2.8000000000000003</v>
      </c>
      <c r="CZ53" s="48">
        <f t="shared" si="66"/>
        <v>3.5</v>
      </c>
      <c r="DA53" s="48">
        <f>'CBS Interactive'!BE31</f>
        <v>4.6999999999999993</v>
      </c>
      <c r="DB53" s="48">
        <f>'CBS Interactive'!BF31</f>
        <v>10</v>
      </c>
      <c r="DC53" s="48">
        <f>U53-SUM(CY53:DB53)</f>
        <v>0</v>
      </c>
      <c r="DD53" s="48">
        <f>'CBS Interactive'!BH31</f>
        <v>6.8000000000000007</v>
      </c>
      <c r="DE53" s="48">
        <f>'CBS Interactive'!BI31</f>
        <v>6.8000000000000007</v>
      </c>
      <c r="DF53" s="48">
        <f>'CBS Interactive'!BJ31</f>
        <v>6.6999999999999993</v>
      </c>
      <c r="DG53" s="48">
        <f>'CBS Interactive'!BK31</f>
        <v>6.6999999999999993</v>
      </c>
      <c r="DH53" s="42">
        <f>Y53-SUM(DD53:DG53)</f>
        <v>0</v>
      </c>
      <c r="DI53" s="48">
        <f>'Segment Detail'!DS172</f>
        <v>6.75</v>
      </c>
      <c r="DJ53" s="48">
        <f>'Segment Detail'!DT172</f>
        <v>6.75</v>
      </c>
      <c r="DK53" s="48">
        <f>'Segment Detail'!DU172</f>
        <v>6.75</v>
      </c>
      <c r="DL53" s="48">
        <f>'Segment Detail'!DV172</f>
        <v>6.75</v>
      </c>
      <c r="DM53" s="42">
        <f>Z53-SUM(DI53:DL53)</f>
        <v>0</v>
      </c>
    </row>
    <row r="54" spans="1:117">
      <c r="A54" s="6"/>
      <c r="B54" s="6" t="s">
        <v>683</v>
      </c>
      <c r="C54" s="38"/>
      <c r="D54" s="38"/>
      <c r="E54" s="38"/>
      <c r="F54" s="38"/>
      <c r="G54" s="38"/>
      <c r="H54" s="38"/>
      <c r="I54" s="38"/>
      <c r="J54" s="38"/>
      <c r="K54" s="38"/>
      <c r="L54" s="38"/>
      <c r="M54" s="38"/>
      <c r="N54" s="38"/>
      <c r="O54" s="38"/>
      <c r="P54" s="38"/>
      <c r="Q54" s="39"/>
      <c r="R54" s="10">
        <f>SUM(CN54:CQ54)</f>
        <v>0</v>
      </c>
      <c r="S54" s="10">
        <f>SUM(CO54:CR54)</f>
        <v>0</v>
      </c>
      <c r="T54" s="10">
        <f>T58+T57</f>
        <v>-17.700000000000003</v>
      </c>
      <c r="U54" s="10">
        <f>SUM(CY54:DB54)</f>
        <v>20.9</v>
      </c>
      <c r="V54" s="38"/>
      <c r="W54" s="10">
        <f>W51-W53</f>
        <v>23.266624999999934</v>
      </c>
      <c r="X54" s="10">
        <f>X51-X53</f>
        <v>9.853748959999912</v>
      </c>
      <c r="Y54" s="10">
        <f>Y51-Y53</f>
        <v>47.072823093750003</v>
      </c>
      <c r="Z54" s="10">
        <f t="shared" ref="Z54:AM54" si="67">Z51-Z53</f>
        <v>52.007983234298194</v>
      </c>
      <c r="AA54" s="10">
        <f t="shared" si="67"/>
        <v>50.357437217863804</v>
      </c>
      <c r="AB54" s="10">
        <f t="shared" si="67"/>
        <v>70.711904014843327</v>
      </c>
      <c r="AC54" s="2938">
        <f t="shared" si="67"/>
        <v>107.20078529513147</v>
      </c>
      <c r="AD54" s="2939">
        <f t="shared" si="67"/>
        <v>124.60692491549236</v>
      </c>
      <c r="AE54" s="2939">
        <f t="shared" si="67"/>
        <v>107.20078529513147</v>
      </c>
      <c r="AF54" s="2938">
        <f t="shared" si="67"/>
        <v>124.60692491549236</v>
      </c>
      <c r="AG54" s="2938">
        <f t="shared" si="67"/>
        <v>131.89293618040625</v>
      </c>
      <c r="AH54" s="2938">
        <f t="shared" si="67"/>
        <v>129.61661624664393</v>
      </c>
      <c r="AI54" s="2943">
        <f>AH54</f>
        <v>129.61661624664393</v>
      </c>
      <c r="AJ54" s="2938">
        <f t="shared" si="67"/>
        <v>130.0303803757225</v>
      </c>
      <c r="AK54" s="2938">
        <f t="shared" si="67"/>
        <v>117.00298150765792</v>
      </c>
      <c r="AL54" s="2938">
        <f t="shared" si="67"/>
        <v>121.26833579211655</v>
      </c>
      <c r="AM54" s="2938">
        <f t="shared" si="67"/>
        <v>127.2960542261945</v>
      </c>
      <c r="AN54" s="2938">
        <f t="shared" ref="AN54:AS54" si="68">AN51-AN53</f>
        <v>134.93928402288583</v>
      </c>
      <c r="AO54" s="2938">
        <f t="shared" si="68"/>
        <v>144.76214063304417</v>
      </c>
      <c r="AP54" s="2938">
        <f t="shared" si="68"/>
        <v>156.65654893548157</v>
      </c>
      <c r="AQ54" s="2938">
        <f t="shared" si="68"/>
        <v>170.0852048007805</v>
      </c>
      <c r="AR54" s="2938">
        <f t="shared" si="68"/>
        <v>185.03658127274798</v>
      </c>
      <c r="AS54" s="2938">
        <f t="shared" si="68"/>
        <v>201.58633123060864</v>
      </c>
      <c r="AT54" s="2938">
        <f>AT51-AT53</f>
        <v>220.21288634626274</v>
      </c>
      <c r="AU54" s="2938">
        <f>AU51-AU53</f>
        <v>240.94858085331623</v>
      </c>
      <c r="AV54" s="10"/>
      <c r="AW54" s="10"/>
      <c r="AX54" s="10"/>
      <c r="AY54" s="10"/>
      <c r="AZ54" s="6"/>
      <c r="BA54" s="38"/>
      <c r="BB54" s="38"/>
      <c r="BC54" s="38"/>
      <c r="BD54" s="38"/>
      <c r="BE54" s="4"/>
      <c r="BF54" s="38"/>
      <c r="BG54" s="38"/>
      <c r="BH54" s="38"/>
      <c r="BI54" s="38"/>
      <c r="BJ54" s="6"/>
      <c r="BK54" s="38"/>
      <c r="BL54" s="38"/>
      <c r="BM54" s="38"/>
      <c r="BN54" s="38"/>
      <c r="BO54" s="4"/>
      <c r="BP54" s="38"/>
      <c r="BQ54" s="38"/>
      <c r="BR54" s="38"/>
      <c r="BS54" s="38"/>
      <c r="BT54" s="4"/>
      <c r="BU54" s="38"/>
      <c r="BV54" s="38"/>
      <c r="BW54" s="38"/>
      <c r="BX54" s="38"/>
      <c r="BY54" s="4"/>
      <c r="BZ54" s="38"/>
      <c r="CA54" s="38"/>
      <c r="CB54" s="38"/>
      <c r="CC54" s="38"/>
      <c r="CD54" s="7"/>
      <c r="CE54" s="39"/>
      <c r="CF54" s="39"/>
      <c r="CG54" s="39"/>
      <c r="CH54" s="39"/>
      <c r="CI54" s="8"/>
      <c r="CJ54" s="39"/>
      <c r="CK54" s="39"/>
      <c r="CL54" s="39"/>
      <c r="CM54" s="39"/>
      <c r="CN54" s="44"/>
      <c r="CO54" s="39"/>
      <c r="CP54" s="39"/>
      <c r="CQ54" s="39"/>
      <c r="CR54" s="38"/>
      <c r="CS54" s="856"/>
      <c r="CT54" s="10">
        <f>CT58+CT57</f>
        <v>3</v>
      </c>
      <c r="CU54" s="10">
        <f>CU58+CU57</f>
        <v>-11.7</v>
      </c>
      <c r="CV54" s="10">
        <f>CV58+CV57</f>
        <v>-11.4</v>
      </c>
      <c r="CW54" s="10">
        <f>CW58+CW57</f>
        <v>2.4</v>
      </c>
      <c r="CX54" s="6"/>
      <c r="CY54" s="10">
        <f>CY58+CY57</f>
        <v>-1.7000000000000002</v>
      </c>
      <c r="CZ54" s="10">
        <f>CZ58+CZ57</f>
        <v>-20.3</v>
      </c>
      <c r="DA54" s="10">
        <f>DA51-DA53</f>
        <v>-1.3999999999999995</v>
      </c>
      <c r="DB54" s="10">
        <f>DB51-DB53</f>
        <v>44.3</v>
      </c>
      <c r="DC54" s="48">
        <f>U54-SUM(CY54:DB54)</f>
        <v>0</v>
      </c>
      <c r="DD54" s="10">
        <f>DD51-DD53</f>
        <v>1.3999999999999986</v>
      </c>
      <c r="DE54" s="10">
        <f>DE51-DE53</f>
        <v>-1.1000000000000005</v>
      </c>
      <c r="DF54" s="10">
        <f>DF51-DF53</f>
        <v>-2.5999999999999996</v>
      </c>
      <c r="DG54" s="10">
        <f>DG51-DG53</f>
        <v>49.37282309375</v>
      </c>
      <c r="DH54" s="42">
        <f>Y54-SUM(DD54:DG54)</f>
        <v>0</v>
      </c>
      <c r="DI54" s="10">
        <f>DI51-DI53</f>
        <v>3.1947239246400017</v>
      </c>
      <c r="DJ54" s="10">
        <f>DJ51-DJ53</f>
        <v>-0.742345905847273</v>
      </c>
      <c r="DK54" s="10">
        <f>DK51-DK53</f>
        <v>-0.63192583340204322</v>
      </c>
      <c r="DL54" s="10">
        <f>DL51-DL53</f>
        <v>50.187531048907509</v>
      </c>
      <c r="DM54" s="42">
        <f>Z54-SUM(DI54:DL54)</f>
        <v>0</v>
      </c>
    </row>
    <row r="55" spans="1:117">
      <c r="A55" s="6"/>
      <c r="B55" s="43" t="s">
        <v>676</v>
      </c>
      <c r="C55" s="38"/>
      <c r="D55" s="38"/>
      <c r="E55" s="38"/>
      <c r="F55" s="38"/>
      <c r="G55" s="38"/>
      <c r="H55" s="38"/>
      <c r="I55" s="38"/>
      <c r="J55" s="38"/>
      <c r="K55" s="38"/>
      <c r="L55" s="38"/>
      <c r="M55" s="38"/>
      <c r="N55" s="38"/>
      <c r="O55" s="38"/>
      <c r="P55" s="38"/>
      <c r="Q55" s="39"/>
      <c r="R55" s="39"/>
      <c r="S55" s="39"/>
      <c r="T55" s="38"/>
      <c r="U55" s="38"/>
      <c r="V55" s="38"/>
      <c r="W55" s="38"/>
      <c r="X55" s="38">
        <f>X54/W54-1</f>
        <v>-0.57648567594139932</v>
      </c>
      <c r="Y55" s="38">
        <f>Y54/X54-1</f>
        <v>3.7771486045398932</v>
      </c>
      <c r="Z55" s="38">
        <f t="shared" ref="Z55:AM55" si="69">Z54/Y54-1</f>
        <v>0.10484096377052521</v>
      </c>
      <c r="AA55" s="38">
        <f t="shared" si="69"/>
        <v>-3.1736397256525217E-2</v>
      </c>
      <c r="AB55" s="38">
        <f t="shared" si="69"/>
        <v>0.40419981479436728</v>
      </c>
      <c r="AC55" s="2802">
        <f t="shared" si="69"/>
        <v>0.51602176166305269</v>
      </c>
      <c r="AD55" s="2940">
        <f>AD54/AC54-1</f>
        <v>0.16236951597360538</v>
      </c>
      <c r="AE55" s="2940"/>
      <c r="AF55" s="2802">
        <f>AF54/AE54-1</f>
        <v>0.16236951597360538</v>
      </c>
      <c r="AG55" s="2802">
        <f>AG54/AF54-1</f>
        <v>5.8471961087678048E-2</v>
      </c>
      <c r="AH55" s="2802">
        <f t="shared" si="69"/>
        <v>-1.7258846452919308E-2</v>
      </c>
      <c r="AI55" s="2943"/>
      <c r="AJ55" s="2802">
        <f>AJ54/AH54-1</f>
        <v>3.1922151731782478E-3</v>
      </c>
      <c r="AK55" s="2802">
        <f t="shared" si="69"/>
        <v>-0.10018734722164113</v>
      </c>
      <c r="AL55" s="2802">
        <f t="shared" si="69"/>
        <v>3.6455090541256396E-2</v>
      </c>
      <c r="AM55" s="2802">
        <f t="shared" si="69"/>
        <v>4.9705625089231376E-2</v>
      </c>
      <c r="AN55" s="2802">
        <f t="shared" ref="AN55:AU55" si="70">AN54/AM54-1</f>
        <v>6.0042943539396321E-2</v>
      </c>
      <c r="AO55" s="2802">
        <f t="shared" si="70"/>
        <v>7.279464005820846E-2</v>
      </c>
      <c r="AP55" s="2802">
        <f t="shared" si="70"/>
        <v>8.2165186632521481E-2</v>
      </c>
      <c r="AQ55" s="2802">
        <f t="shared" si="70"/>
        <v>8.5720360601263312E-2</v>
      </c>
      <c r="AR55" s="2802">
        <f t="shared" si="70"/>
        <v>8.7905214856753178E-2</v>
      </c>
      <c r="AS55" s="2802">
        <f t="shared" si="70"/>
        <v>8.944042223448756E-2</v>
      </c>
      <c r="AT55" s="2802">
        <f t="shared" si="70"/>
        <v>9.2399891411019786E-2</v>
      </c>
      <c r="AU55" s="2802">
        <f t="shared" si="70"/>
        <v>9.4162039520469643E-2</v>
      </c>
      <c r="AV55" s="38"/>
      <c r="AW55" s="38"/>
      <c r="AX55" s="38"/>
      <c r="AY55" s="38"/>
      <c r="AZ55" s="6"/>
      <c r="BA55" s="38"/>
      <c r="BB55" s="38"/>
      <c r="BC55" s="38"/>
      <c r="BD55" s="38"/>
      <c r="BE55" s="4"/>
      <c r="BF55" s="38"/>
      <c r="BG55" s="38"/>
      <c r="BH55" s="38"/>
      <c r="BI55" s="38"/>
      <c r="BJ55" s="6"/>
      <c r="BK55" s="38"/>
      <c r="BL55" s="38"/>
      <c r="BM55" s="38"/>
      <c r="BN55" s="38"/>
      <c r="BO55" s="4"/>
      <c r="BP55" s="38"/>
      <c r="BQ55" s="38"/>
      <c r="BR55" s="38"/>
      <c r="BS55" s="38"/>
      <c r="BT55" s="4"/>
      <c r="BU55" s="38"/>
      <c r="BV55" s="38"/>
      <c r="BW55" s="38"/>
      <c r="BX55" s="38"/>
      <c r="BY55" s="4"/>
      <c r="BZ55" s="38"/>
      <c r="CA55" s="38"/>
      <c r="CB55" s="38"/>
      <c r="CC55" s="38"/>
      <c r="CD55" s="7"/>
      <c r="CE55" s="39"/>
      <c r="CF55" s="39"/>
      <c r="CG55" s="39"/>
      <c r="CH55" s="39"/>
      <c r="CI55" s="8"/>
      <c r="CJ55" s="39"/>
      <c r="CK55" s="39"/>
      <c r="CL55" s="39"/>
      <c r="CM55" s="39"/>
      <c r="CN55" s="44"/>
      <c r="CO55" s="39"/>
      <c r="CP55" s="39"/>
      <c r="CQ55" s="39"/>
      <c r="CR55" s="38"/>
      <c r="CS55" s="856"/>
      <c r="CT55" s="39"/>
      <c r="CU55" s="39"/>
      <c r="CV55" s="39"/>
      <c r="CW55" s="38"/>
      <c r="CX55" s="6"/>
      <c r="CY55" s="1087" t="s">
        <v>348</v>
      </c>
      <c r="CZ55" s="1087" t="s">
        <v>348</v>
      </c>
      <c r="DA55" s="1087" t="s">
        <v>348</v>
      </c>
      <c r="DB55" s="1087" t="s">
        <v>348</v>
      </c>
      <c r="DC55" s="6"/>
      <c r="DD55" s="1087" t="s">
        <v>348</v>
      </c>
      <c r="DE55" s="1087" t="s">
        <v>348</v>
      </c>
      <c r="DF55" s="1087" t="s">
        <v>348</v>
      </c>
      <c r="DG55" s="1087" t="s">
        <v>348</v>
      </c>
      <c r="DH55" s="6"/>
      <c r="DI55" s="1087" t="s">
        <v>348</v>
      </c>
      <c r="DJ55" s="1087" t="s">
        <v>348</v>
      </c>
      <c r="DK55" s="1087" t="s">
        <v>348</v>
      </c>
      <c r="DL55" s="1087">
        <f>DL54/DG54-1</f>
        <v>1.6501141804480701E-2</v>
      </c>
    </row>
    <row r="56" spans="1:117">
      <c r="A56" s="6"/>
      <c r="B56" s="43" t="s">
        <v>690</v>
      </c>
      <c r="C56" s="38"/>
      <c r="D56" s="38"/>
      <c r="E56" s="38"/>
      <c r="F56" s="38"/>
      <c r="G56" s="38"/>
      <c r="H56" s="38"/>
      <c r="I56" s="38"/>
      <c r="J56" s="38"/>
      <c r="K56" s="38"/>
      <c r="L56" s="38"/>
      <c r="M56" s="38"/>
      <c r="N56" s="38"/>
      <c r="O56" s="38"/>
      <c r="P56" s="38"/>
      <c r="Q56" s="39"/>
      <c r="R56" s="39"/>
      <c r="S56" s="39"/>
      <c r="T56" s="38">
        <f>T54/T49</f>
        <v>-0.10656231186032512</v>
      </c>
      <c r="U56" s="38">
        <f>U54/U49</f>
        <v>4.932979921119527E-2</v>
      </c>
      <c r="V56" s="38"/>
      <c r="W56" s="38">
        <f>W54/W49</f>
        <v>4.0676273393998083E-2</v>
      </c>
      <c r="X56" s="38">
        <f>X54/X49</f>
        <v>1.5985014456531315E-2</v>
      </c>
      <c r="Y56" s="38">
        <f>Y54/Y49</f>
        <v>8.7023238590903565E-2</v>
      </c>
      <c r="Z56" s="38">
        <f t="shared" ref="Z56:AK56" si="71">Z54/Z49</f>
        <v>9.1949733396261599E-2</v>
      </c>
      <c r="AA56" s="38">
        <f t="shared" si="71"/>
        <v>9.0812318332073455E-2</v>
      </c>
      <c r="AB56" s="38">
        <f t="shared" si="71"/>
        <v>0.12127689924919369</v>
      </c>
      <c r="AC56" s="2802">
        <f t="shared" si="71"/>
        <v>0.16100130067445287</v>
      </c>
      <c r="AD56" s="2940">
        <f t="shared" si="71"/>
        <v>0.17873567722119912</v>
      </c>
      <c r="AE56" s="2940">
        <f t="shared" si="71"/>
        <v>0.16100130067445287</v>
      </c>
      <c r="AF56" s="2802">
        <f t="shared" si="71"/>
        <v>0.17873567722119912</v>
      </c>
      <c r="AG56" s="2802">
        <f t="shared" si="71"/>
        <v>0.17772756892300756</v>
      </c>
      <c r="AH56" s="2802">
        <f t="shared" si="71"/>
        <v>0.16905535980730865</v>
      </c>
      <c r="AI56" s="2943"/>
      <c r="AJ56" s="2802">
        <f t="shared" si="71"/>
        <v>0.15380978330238221</v>
      </c>
      <c r="AK56" s="2802">
        <f t="shared" si="71"/>
        <v>0.12252392204814154</v>
      </c>
      <c r="AL56" s="2802">
        <f t="shared" ref="AL56:AQ56" si="72">AL54/AL49</f>
        <v>0.1169889618816304</v>
      </c>
      <c r="AM56" s="2802">
        <f t="shared" si="72"/>
        <v>0.11627683604160893</v>
      </c>
      <c r="AN56" s="2802">
        <f t="shared" si="72"/>
        <v>0.11748729096348533</v>
      </c>
      <c r="AO56" s="2802">
        <f t="shared" si="72"/>
        <v>0.12000319821254013</v>
      </c>
      <c r="AP56" s="2802">
        <f t="shared" si="72"/>
        <v>0.12371373200832725</v>
      </c>
      <c r="AQ56" s="2802">
        <f t="shared" si="72"/>
        <v>0.12832967938175471</v>
      </c>
      <c r="AR56" s="2802">
        <f>AR54/AR49</f>
        <v>0.1337430234799844</v>
      </c>
      <c r="AS56" s="2802">
        <f>AS54/AS49</f>
        <v>0.13989107878015358</v>
      </c>
      <c r="AT56" s="2802">
        <f>AT54/AT49</f>
        <v>0.14689279600613189</v>
      </c>
      <c r="AU56" s="2802">
        <f>AU54/AU49</f>
        <v>0.15466103630120462</v>
      </c>
      <c r="AV56" s="38"/>
      <c r="AW56" s="38"/>
      <c r="AX56" s="38"/>
      <c r="AY56" s="38"/>
      <c r="AZ56" s="6"/>
      <c r="BA56" s="38"/>
      <c r="BB56" s="38"/>
      <c r="BC56" s="38"/>
      <c r="BD56" s="38"/>
      <c r="BE56" s="4"/>
      <c r="BF56" s="38"/>
      <c r="BG56" s="38"/>
      <c r="BH56" s="38"/>
      <c r="BI56" s="38"/>
      <c r="BJ56" s="6"/>
      <c r="BK56" s="38"/>
      <c r="BL56" s="38"/>
      <c r="BM56" s="38"/>
      <c r="BN56" s="38"/>
      <c r="BO56" s="4"/>
      <c r="BP56" s="38"/>
      <c r="BQ56" s="38"/>
      <c r="BR56" s="38"/>
      <c r="BS56" s="38"/>
      <c r="BT56" s="4"/>
      <c r="BU56" s="38"/>
      <c r="BV56" s="38"/>
      <c r="BW56" s="38"/>
      <c r="BX56" s="38"/>
      <c r="BY56" s="4"/>
      <c r="BZ56" s="38"/>
      <c r="CA56" s="38"/>
      <c r="CB56" s="38"/>
      <c r="CC56" s="38"/>
      <c r="CD56" s="7"/>
      <c r="CE56" s="39"/>
      <c r="CF56" s="39"/>
      <c r="CG56" s="39"/>
      <c r="CH56" s="39"/>
      <c r="CI56" s="8"/>
      <c r="CJ56" s="39"/>
      <c r="CK56" s="39"/>
      <c r="CL56" s="39"/>
      <c r="CM56" s="39"/>
      <c r="CN56" s="44"/>
      <c r="CO56" s="39"/>
      <c r="CP56" s="39"/>
      <c r="CQ56" s="39"/>
      <c r="CR56" s="38"/>
      <c r="CS56" s="856"/>
      <c r="CT56" s="1087">
        <f>+IF(CT54&gt;0,CT54/CT49,"NM")</f>
        <v>7.7720207253886009E-2</v>
      </c>
      <c r="CU56" s="1087" t="str">
        <f>+IF(CU54&gt;0,CU54/CU49,"NM")</f>
        <v>NM</v>
      </c>
      <c r="CV56" s="1087" t="str">
        <f>+IF(CV54&gt;0,CV54/CV49,"NM")</f>
        <v>NM</v>
      </c>
      <c r="CW56" s="1087">
        <f>+IF(CW54&gt;0,CW54/CW49,"NM")</f>
        <v>4.0955631399317405E-2</v>
      </c>
      <c r="CX56" s="6"/>
      <c r="CY56" s="1087" t="str">
        <f>+IF(CY54&gt;0,CY54/CY49,"NM")</f>
        <v>NM</v>
      </c>
      <c r="CZ56" s="1087" t="str">
        <f>+IF(CZ54&gt;0,CZ54/CZ49,"NM")</f>
        <v>NM</v>
      </c>
      <c r="DA56" s="1087" t="str">
        <f>+IF(DA54&gt;0,DA54/DA49,"NM")</f>
        <v>NM</v>
      </c>
      <c r="DB56" s="1087">
        <f>+IF(DB54&gt;0,DB54/DB49,"NM")</f>
        <v>0.23654547493312117</v>
      </c>
      <c r="DC56" s="6"/>
      <c r="DD56" s="1087">
        <f>+IF(DD54&gt;0,DD54/DD49,"NM")</f>
        <v>1.0424422933730443E-2</v>
      </c>
      <c r="DE56" s="1087" t="str">
        <f>+IF(DE54&gt;0,DE54/DE49,"NM")</f>
        <v>NM</v>
      </c>
      <c r="DF56" s="1087" t="str">
        <f>+IF(DF54&gt;0,DF54/DF49,"NM")</f>
        <v>NM</v>
      </c>
      <c r="DG56" s="1087">
        <f>+IF(DG54&gt;0,DG54/DG49,"NM")</f>
        <v>0.31361275448231052</v>
      </c>
      <c r="DH56" s="6"/>
      <c r="DI56" s="1087">
        <f>+IF(DI54&gt;0,DI54/DI49,"NM")</f>
        <v>2.2942146149663771E-2</v>
      </c>
      <c r="DJ56" s="1087" t="str">
        <f>+IF(DJ54&gt;0,DJ54/DJ49,"NM")</f>
        <v>NM</v>
      </c>
      <c r="DK56" s="1087" t="str">
        <f>+IF(DK54&gt;0,DK54/DK49,"NM")</f>
        <v>NM</v>
      </c>
      <c r="DL56" s="1087">
        <f>+IF(DL54&gt;0,DL54/DL49,"NM")</f>
        <v>0.30272310236619726</v>
      </c>
    </row>
    <row r="57" spans="1:117">
      <c r="A57" s="6"/>
      <c r="B57" s="6" t="s">
        <v>733</v>
      </c>
      <c r="C57" s="38"/>
      <c r="D57" s="38"/>
      <c r="E57" s="38"/>
      <c r="F57" s="38"/>
      <c r="G57" s="38"/>
      <c r="H57" s="38"/>
      <c r="I57" s="38"/>
      <c r="J57" s="38"/>
      <c r="K57" s="38"/>
      <c r="L57" s="38"/>
      <c r="M57" s="38"/>
      <c r="N57" s="38"/>
      <c r="O57" s="38"/>
      <c r="P57" s="38"/>
      <c r="Q57" s="39"/>
      <c r="R57" s="10">
        <f>SUM(CN57:CQ57)</f>
        <v>0</v>
      </c>
      <c r="S57" s="10">
        <f>SUM(CO57:CR57)</f>
        <v>0</v>
      </c>
      <c r="T57" s="48">
        <f>SUM(CT57:CW57)</f>
        <v>4</v>
      </c>
      <c r="U57" s="48">
        <f>SUM(DA57:DB57)</f>
        <v>26</v>
      </c>
      <c r="V57" s="38"/>
      <c r="W57" s="48">
        <f>'CBS Interactive'!L32</f>
        <v>9.1769999999999996</v>
      </c>
      <c r="X57" s="48">
        <f>'CBS Interactive'!M32</f>
        <v>31.065999999999999</v>
      </c>
      <c r="Y57" s="48">
        <f>'CBS Interactive'!N32</f>
        <v>52</v>
      </c>
      <c r="Z57" s="48">
        <f>'CBS Interactive'!O32</f>
        <v>25</v>
      </c>
      <c r="AA57" s="48">
        <f>'CBS Interactive'!P32</f>
        <v>25</v>
      </c>
      <c r="AB57" s="48">
        <f>'CBS Interactive'!Q32</f>
        <v>20</v>
      </c>
      <c r="AC57" s="2796">
        <f>'CBS Interactive'!R32</f>
        <v>15</v>
      </c>
      <c r="AD57" s="2941">
        <f>'CBS Interactive'!S32+'CBS Interactive'!S175</f>
        <v>10</v>
      </c>
      <c r="AE57" s="2941">
        <f>+AC57</f>
        <v>15</v>
      </c>
      <c r="AF57" s="2796">
        <f>+AD57</f>
        <v>10</v>
      </c>
      <c r="AG57" s="2796">
        <f>'CBS Interactive'!T32+'CBS Interactive'!T175</f>
        <v>5</v>
      </c>
      <c r="AH57" s="2796">
        <f ca="1">'CBS Interactive'!U32+'CBS Interactive'!U175</f>
        <v>5</v>
      </c>
      <c r="AI57" s="2943">
        <f ca="1">AH57</f>
        <v>5</v>
      </c>
      <c r="AJ57" s="2796">
        <f>'CBS Interactive'!V32+'CBS Interactive'!V175</f>
        <v>7.3708543999999989</v>
      </c>
      <c r="AK57" s="2796">
        <f>'CBS Interactive'!W32+'CBS Interactive'!W175</f>
        <v>6.4966835199999995</v>
      </c>
      <c r="AL57" s="2796">
        <f>'CBS Interactive'!X32+'CBS Interactive'!X175</f>
        <v>6.5973468159999999</v>
      </c>
      <c r="AM57" s="2796">
        <f>'CBS Interactive'!Y32+'CBS Interactive'!Y175</f>
        <v>5.6778774527999989</v>
      </c>
      <c r="AN57" s="2796">
        <f>'CBS Interactive'!Z32+'CBS Interactive'!Z175</f>
        <v>5.7423019622399991</v>
      </c>
      <c r="AO57" s="2796">
        <f>'CBS Interactive'!AA32+'CBS Interactive'!AA175</f>
        <v>5.7423019622399991</v>
      </c>
      <c r="AP57" s="2796">
        <f>'CBS Interactive'!AB32+'CBS Interactive'!AB175</f>
        <v>5.7423019622399991</v>
      </c>
      <c r="AQ57" s="2796">
        <f>'CBS Interactive'!AC32+'CBS Interactive'!AC175</f>
        <v>5.7423019622399991</v>
      </c>
      <c r="AR57" s="2796">
        <f>'CBS Interactive'!AD32+'CBS Interactive'!AD175</f>
        <v>5.7423019622399991</v>
      </c>
      <c r="AS57" s="2796">
        <f>'CBS Interactive'!AE32+'CBS Interactive'!AE175</f>
        <v>5.7423019622399991</v>
      </c>
      <c r="AT57" s="2796">
        <f>'CBS Interactive'!AF32+'CBS Interactive'!AF175</f>
        <v>5.7423019622399991</v>
      </c>
      <c r="AU57" s="2796">
        <f>'CBS Interactive'!AG32+'CBS Interactive'!AG175</f>
        <v>5.7423019622399991</v>
      </c>
      <c r="AV57" s="48"/>
      <c r="AW57" s="48"/>
      <c r="AX57" s="48"/>
      <c r="AY57" s="48"/>
      <c r="AZ57" s="6"/>
      <c r="BA57" s="38"/>
      <c r="BB57" s="38"/>
      <c r="BC57" s="38"/>
      <c r="BD57" s="38"/>
      <c r="BE57" s="4"/>
      <c r="BF57" s="38"/>
      <c r="BG57" s="38"/>
      <c r="BH57" s="38"/>
      <c r="BI57" s="38"/>
      <c r="BJ57" s="6"/>
      <c r="BK57" s="38"/>
      <c r="BL57" s="38"/>
      <c r="BM57" s="38"/>
      <c r="BN57" s="38"/>
      <c r="BO57" s="4"/>
      <c r="BP57" s="38"/>
      <c r="BQ57" s="38"/>
      <c r="BR57" s="38"/>
      <c r="BS57" s="38"/>
      <c r="BT57" s="4"/>
      <c r="BU57" s="38"/>
      <c r="BV57" s="38"/>
      <c r="BW57" s="38"/>
      <c r="BX57" s="38"/>
      <c r="BY57" s="4"/>
      <c r="BZ57" s="38"/>
      <c r="CA57" s="38"/>
      <c r="CB57" s="38"/>
      <c r="CC57" s="38"/>
      <c r="CD57" s="7"/>
      <c r="CE57" s="39"/>
      <c r="CF57" s="39"/>
      <c r="CG57" s="39"/>
      <c r="CH57" s="39"/>
      <c r="CI57" s="8"/>
      <c r="CJ57" s="39"/>
      <c r="CK57" s="39"/>
      <c r="CL57" s="39"/>
      <c r="CM57" s="39"/>
      <c r="CN57" s="44"/>
      <c r="CO57" s="39"/>
      <c r="CP57" s="39"/>
      <c r="CQ57" s="39"/>
      <c r="CR57" s="38"/>
      <c r="CS57" s="856"/>
      <c r="CT57" s="48">
        <v>1</v>
      </c>
      <c r="CU57" s="48">
        <v>1</v>
      </c>
      <c r="CV57" s="48">
        <v>1</v>
      </c>
      <c r="CW57" s="48">
        <v>1</v>
      </c>
      <c r="CX57" s="48"/>
      <c r="CY57" s="48">
        <v>1</v>
      </c>
      <c r="CZ57" s="48">
        <v>1</v>
      </c>
      <c r="DA57" s="48">
        <f>'CBS Interactive'!BE32</f>
        <v>13</v>
      </c>
      <c r="DB57" s="48">
        <f>'CBS Interactive'!BF32</f>
        <v>13</v>
      </c>
      <c r="DC57" s="49"/>
      <c r="DD57" s="48">
        <f>'CBS Interactive'!BH32</f>
        <v>13</v>
      </c>
      <c r="DE57" s="48">
        <f>'CBS Interactive'!BI32</f>
        <v>13</v>
      </c>
      <c r="DF57" s="48">
        <f>'CBS Interactive'!BJ32</f>
        <v>13</v>
      </c>
      <c r="DG57" s="48">
        <f>'CBS Interactive'!BK32</f>
        <v>13</v>
      </c>
      <c r="DH57" s="42">
        <f>Y57-SUM(DD57:DG57)</f>
        <v>0</v>
      </c>
      <c r="DI57" s="48">
        <f>'Segment Detail'!DS179</f>
        <v>6.25</v>
      </c>
      <c r="DJ57" s="48">
        <f>'Segment Detail'!DT179</f>
        <v>6.25</v>
      </c>
      <c r="DK57" s="48">
        <f>'Segment Detail'!DU179</f>
        <v>6.25</v>
      </c>
      <c r="DL57" s="48">
        <f>'Segment Detail'!DV179</f>
        <v>6.25</v>
      </c>
      <c r="DM57" s="42">
        <f>Z57-SUM(DI57:DL57)</f>
        <v>0</v>
      </c>
    </row>
    <row r="58" spans="1:117">
      <c r="A58" s="6"/>
      <c r="B58" s="6" t="s">
        <v>685</v>
      </c>
      <c r="C58" s="38"/>
      <c r="D58" s="38"/>
      <c r="E58" s="38"/>
      <c r="F58" s="38"/>
      <c r="G58" s="38"/>
      <c r="H58" s="38"/>
      <c r="I58" s="38"/>
      <c r="J58" s="38"/>
      <c r="K58" s="38"/>
      <c r="L58" s="38"/>
      <c r="M58" s="38"/>
      <c r="N58" s="38"/>
      <c r="O58" s="38"/>
      <c r="P58" s="38"/>
      <c r="Q58" s="39"/>
      <c r="R58" s="10">
        <f>SUM(CN58:CQ58)</f>
        <v>0</v>
      </c>
      <c r="S58" s="10">
        <f>SUM(CO58:CR58)</f>
        <v>0</v>
      </c>
      <c r="T58" s="10">
        <f>SUM(CT58:CW58)</f>
        <v>-21.700000000000003</v>
      </c>
      <c r="U58" s="10">
        <f>SUM(CY58:DB58)</f>
        <v>-7.1000000000000014</v>
      </c>
      <c r="V58" s="38"/>
      <c r="W58" s="10">
        <f>W54-W57</f>
        <v>14.089624999999934</v>
      </c>
      <c r="X58" s="10">
        <f>X54-X57</f>
        <v>-21.212251040000087</v>
      </c>
      <c r="Y58" s="10">
        <f>Y54-Y57</f>
        <v>-4.927176906249997</v>
      </c>
      <c r="Z58" s="10">
        <f t="shared" ref="Z58:AM58" si="73">Z54-Z57</f>
        <v>27.007983234298194</v>
      </c>
      <c r="AA58" s="10">
        <f t="shared" si="73"/>
        <v>25.357437217863804</v>
      </c>
      <c r="AB58" s="10">
        <f t="shared" si="73"/>
        <v>50.711904014843327</v>
      </c>
      <c r="AC58" s="2938">
        <f t="shared" si="73"/>
        <v>92.200785295131467</v>
      </c>
      <c r="AD58" s="2939">
        <f t="shared" si="73"/>
        <v>114.60692491549236</v>
      </c>
      <c r="AE58" s="2939">
        <f t="shared" si="73"/>
        <v>92.200785295131467</v>
      </c>
      <c r="AF58" s="2938">
        <f t="shared" si="73"/>
        <v>114.60692491549236</v>
      </c>
      <c r="AG58" s="2938">
        <f t="shared" si="73"/>
        <v>126.89293618040625</v>
      </c>
      <c r="AH58" s="2938">
        <f t="shared" ca="1" si="73"/>
        <v>124.61661624664393</v>
      </c>
      <c r="AI58" s="2943">
        <f ca="1">AH58</f>
        <v>124.61661624664393</v>
      </c>
      <c r="AJ58" s="2938">
        <f t="shared" si="73"/>
        <v>122.6595259757225</v>
      </c>
      <c r="AK58" s="2938">
        <f t="shared" si="73"/>
        <v>110.50629798765792</v>
      </c>
      <c r="AL58" s="2938">
        <f t="shared" si="73"/>
        <v>114.67098897611655</v>
      </c>
      <c r="AM58" s="2938">
        <f t="shared" si="73"/>
        <v>121.6181767733945</v>
      </c>
      <c r="AN58" s="2938">
        <f t="shared" ref="AN58:AS58" si="74">AN54-AN57</f>
        <v>129.19698206064584</v>
      </c>
      <c r="AO58" s="2938">
        <f t="shared" si="74"/>
        <v>139.01983867080418</v>
      </c>
      <c r="AP58" s="2938">
        <f t="shared" si="74"/>
        <v>150.91424697324157</v>
      </c>
      <c r="AQ58" s="2938">
        <f t="shared" si="74"/>
        <v>164.34290283854051</v>
      </c>
      <c r="AR58" s="2938">
        <f t="shared" si="74"/>
        <v>179.29427931050799</v>
      </c>
      <c r="AS58" s="2938">
        <f t="shared" si="74"/>
        <v>195.84402926836864</v>
      </c>
      <c r="AT58" s="2938">
        <f>AT54-AT57</f>
        <v>214.47058438402274</v>
      </c>
      <c r="AU58" s="2938">
        <f>AU54-AU57</f>
        <v>235.20627889107624</v>
      </c>
      <c r="AV58" s="10"/>
      <c r="AW58" s="10"/>
      <c r="AX58" s="10"/>
      <c r="AY58" s="10"/>
      <c r="AZ58" s="6"/>
      <c r="BA58" s="38"/>
      <c r="BB58" s="38"/>
      <c r="BC58" s="38"/>
      <c r="BD58" s="38"/>
      <c r="BE58" s="4"/>
      <c r="BF58" s="38"/>
      <c r="BG58" s="38"/>
      <c r="BH58" s="38"/>
      <c r="BI58" s="38"/>
      <c r="BJ58" s="6"/>
      <c r="BK58" s="38"/>
      <c r="BL58" s="38"/>
      <c r="BM58" s="38"/>
      <c r="BN58" s="38"/>
      <c r="BO58" s="4"/>
      <c r="BP58" s="38"/>
      <c r="BQ58" s="38"/>
      <c r="BR58" s="38"/>
      <c r="BS58" s="38"/>
      <c r="BT58" s="4"/>
      <c r="BU58" s="38"/>
      <c r="BV58" s="38"/>
      <c r="BW58" s="38"/>
      <c r="BX58" s="38"/>
      <c r="BY58" s="4"/>
      <c r="BZ58" s="38"/>
      <c r="CA58" s="38"/>
      <c r="CB58" s="38"/>
      <c r="CC58" s="38"/>
      <c r="CD58" s="7"/>
      <c r="CE58" s="39"/>
      <c r="CF58" s="39"/>
      <c r="CG58" s="39"/>
      <c r="CH58" s="39"/>
      <c r="CI58" s="8"/>
      <c r="CJ58" s="39"/>
      <c r="CK58" s="39"/>
      <c r="CL58" s="39"/>
      <c r="CM58" s="39"/>
      <c r="CN58" s="44"/>
      <c r="CO58" s="39"/>
      <c r="CP58" s="39"/>
      <c r="CQ58" s="39"/>
      <c r="CR58" s="38"/>
      <c r="CS58" s="856"/>
      <c r="CT58" s="10">
        <v>2</v>
      </c>
      <c r="CU58" s="10">
        <v>-12.7</v>
      </c>
      <c r="CV58" s="10">
        <v>-12.4</v>
      </c>
      <c r="CW58" s="10">
        <v>1.4</v>
      </c>
      <c r="CX58" s="6"/>
      <c r="CY58" s="10">
        <v>-2.7</v>
      </c>
      <c r="CZ58" s="10">
        <v>-21.3</v>
      </c>
      <c r="DA58" s="10">
        <f>DA54-DA57</f>
        <v>-14.399999999999999</v>
      </c>
      <c r="DB58" s="10">
        <f>DB54-DB57</f>
        <v>31.299999999999997</v>
      </c>
      <c r="DC58" s="48">
        <f>U58-SUM(CY58:DB58)</f>
        <v>0</v>
      </c>
      <c r="DD58" s="10">
        <f>DD54-DD57</f>
        <v>-11.600000000000001</v>
      </c>
      <c r="DE58" s="10">
        <f>DE54-DE57</f>
        <v>-14.100000000000001</v>
      </c>
      <c r="DF58" s="10">
        <f>DF54-DF57</f>
        <v>-15.6</v>
      </c>
      <c r="DG58" s="10">
        <f>DG54-DG57</f>
        <v>36.37282309375</v>
      </c>
      <c r="DH58" s="42">
        <f>Y58-SUM(DD58:DG58)</f>
        <v>7.1054273576010019E-15</v>
      </c>
      <c r="DI58" s="10">
        <f>DI54-DI57</f>
        <v>-3.0552760753599983</v>
      </c>
      <c r="DJ58" s="10">
        <f>DJ54-DJ57</f>
        <v>-6.992345905847273</v>
      </c>
      <c r="DK58" s="10">
        <f>DK54-DK57</f>
        <v>-6.8819258334020432</v>
      </c>
      <c r="DL58" s="10">
        <f>DL54-DL57</f>
        <v>43.937531048907509</v>
      </c>
      <c r="DM58" s="42">
        <f>Z58-SUM(DI58:DL58)</f>
        <v>0</v>
      </c>
    </row>
    <row r="59" spans="1:117">
      <c r="A59" s="6"/>
      <c r="B59" s="43" t="s">
        <v>676</v>
      </c>
      <c r="C59" s="38"/>
      <c r="D59" s="38"/>
      <c r="E59" s="38"/>
      <c r="F59" s="38"/>
      <c r="G59" s="38"/>
      <c r="H59" s="38"/>
      <c r="I59" s="38"/>
      <c r="J59" s="38"/>
      <c r="K59" s="38"/>
      <c r="L59" s="38"/>
      <c r="M59" s="38"/>
      <c r="N59" s="38"/>
      <c r="O59" s="38"/>
      <c r="P59" s="38"/>
      <c r="Q59" s="39"/>
      <c r="R59" s="39"/>
      <c r="S59" s="39"/>
      <c r="T59" s="38"/>
      <c r="U59" s="38"/>
      <c r="V59" s="38"/>
      <c r="W59" s="38"/>
      <c r="X59" s="38">
        <f>X58/W58-1</f>
        <v>-2.5055227545090935</v>
      </c>
      <c r="Y59" s="38">
        <f>Y58/X58-1</f>
        <v>-0.76772022464948275</v>
      </c>
      <c r="Z59" s="38">
        <f t="shared" ref="Z59:AM59" si="75">Z58/Y58-1</f>
        <v>-6.481431608440781</v>
      </c>
      <c r="AA59" s="38">
        <f t="shared" si="75"/>
        <v>-6.1113264256559385E-2</v>
      </c>
      <c r="AB59" s="38">
        <f t="shared" si="75"/>
        <v>0.99988285800103682</v>
      </c>
      <c r="AC59" s="2802">
        <f t="shared" si="75"/>
        <v>0.81812903866012165</v>
      </c>
      <c r="AD59" s="2940">
        <f>AD58/AC58-1</f>
        <v>0.24301462887370895</v>
      </c>
      <c r="AE59" s="2940"/>
      <c r="AF59" s="2802">
        <f>AF58/AE58-1</f>
        <v>0.24301462887370895</v>
      </c>
      <c r="AG59" s="2802">
        <f>AG58/AF58-1</f>
        <v>0.10720129934533373</v>
      </c>
      <c r="AH59" s="2802">
        <f t="shared" ca="1" si="75"/>
        <v>-1.7938901898574056E-2</v>
      </c>
      <c r="AI59" s="2943"/>
      <c r="AJ59" s="2802">
        <f ca="1">AJ58/AH58-1</f>
        <v>-1.5704890165272323E-2</v>
      </c>
      <c r="AK59" s="2802">
        <f t="shared" si="75"/>
        <v>-9.9080995881803968E-2</v>
      </c>
      <c r="AL59" s="2802">
        <f t="shared" si="75"/>
        <v>3.7687363202808299E-2</v>
      </c>
      <c r="AM59" s="2802">
        <f t="shared" si="75"/>
        <v>6.0583656418319531E-2</v>
      </c>
      <c r="AN59" s="2802">
        <f t="shared" ref="AN59:AU59" si="76">AN58/AM58-1</f>
        <v>6.2316386319230643E-2</v>
      </c>
      <c r="AO59" s="2802">
        <f t="shared" si="76"/>
        <v>7.603007789723315E-2</v>
      </c>
      <c r="AP59" s="2802">
        <f t="shared" si="76"/>
        <v>8.5559071397018904E-2</v>
      </c>
      <c r="AQ59" s="2802">
        <f t="shared" si="76"/>
        <v>8.8982028765514531E-2</v>
      </c>
      <c r="AR59" s="2802">
        <f t="shared" si="76"/>
        <v>9.0976709147315704E-2</v>
      </c>
      <c r="AS59" s="2802">
        <f t="shared" si="76"/>
        <v>9.2304952625952064E-2</v>
      </c>
      <c r="AT59" s="2802">
        <f t="shared" si="76"/>
        <v>9.5109129368094125E-2</v>
      </c>
      <c r="AU59" s="2802">
        <f t="shared" si="76"/>
        <v>9.6683163178802101E-2</v>
      </c>
      <c r="AV59" s="38"/>
      <c r="AW59" s="38"/>
      <c r="AX59" s="38"/>
      <c r="AY59" s="38"/>
      <c r="AZ59" s="6"/>
      <c r="BA59" s="38"/>
      <c r="BB59" s="38"/>
      <c r="BC59" s="38"/>
      <c r="BD59" s="38"/>
      <c r="BE59" s="4"/>
      <c r="BF59" s="38"/>
      <c r="BG59" s="38"/>
      <c r="BH59" s="38"/>
      <c r="BI59" s="38"/>
      <c r="BJ59" s="6"/>
      <c r="BK59" s="38"/>
      <c r="BL59" s="38"/>
      <c r="BM59" s="38"/>
      <c r="BN59" s="38"/>
      <c r="BO59" s="4"/>
      <c r="BP59" s="38"/>
      <c r="BQ59" s="38"/>
      <c r="BR59" s="38"/>
      <c r="BS59" s="38"/>
      <c r="BT59" s="4"/>
      <c r="BU59" s="38"/>
      <c r="BV59" s="38"/>
      <c r="BW59" s="38"/>
      <c r="BX59" s="38"/>
      <c r="BY59" s="4"/>
      <c r="BZ59" s="38"/>
      <c r="CA59" s="38"/>
      <c r="CB59" s="38"/>
      <c r="CC59" s="38"/>
      <c r="CD59" s="7"/>
      <c r="CE59" s="39"/>
      <c r="CF59" s="39"/>
      <c r="CG59" s="39"/>
      <c r="CH59" s="39"/>
      <c r="CI59" s="8"/>
      <c r="CJ59" s="39"/>
      <c r="CK59" s="39"/>
      <c r="CL59" s="39"/>
      <c r="CM59" s="39"/>
      <c r="CN59" s="44"/>
      <c r="CO59" s="39"/>
      <c r="CP59" s="39"/>
      <c r="CQ59" s="39"/>
      <c r="CR59" s="38"/>
      <c r="CS59" s="856"/>
      <c r="CT59" s="39"/>
      <c r="CU59" s="39"/>
      <c r="CV59" s="39"/>
      <c r="CW59" s="38"/>
      <c r="CX59" s="6"/>
      <c r="CY59" s="39">
        <f>CY58/CT58-1</f>
        <v>-2.35</v>
      </c>
      <c r="CZ59" s="39">
        <f>CZ58/CU58-1</f>
        <v>0.67716535433070879</v>
      </c>
      <c r="DA59" s="39">
        <f>DA58/CV58-1</f>
        <v>0.16129032258064502</v>
      </c>
      <c r="DB59" s="39">
        <f>DB58/CW58-1</f>
        <v>21.357142857142858</v>
      </c>
      <c r="DC59" s="6"/>
      <c r="DD59" s="39">
        <f>DD58/CY58-1</f>
        <v>3.2962962962962967</v>
      </c>
      <c r="DE59" s="39">
        <f>DE58/CZ58-1</f>
        <v>-0.3380281690140845</v>
      </c>
      <c r="DF59" s="39">
        <f>DF58/DA58-1</f>
        <v>8.3333333333333481E-2</v>
      </c>
      <c r="DG59" s="39">
        <f>DG58/DB58-1</f>
        <v>0.16207102535942508</v>
      </c>
      <c r="DH59" s="6"/>
      <c r="DI59" s="39">
        <f>DI58/DD58-1</f>
        <v>-0.73661413143448295</v>
      </c>
      <c r="DJ59" s="39">
        <f>DJ58/DE58-1</f>
        <v>-0.50408894284771111</v>
      </c>
      <c r="DK59" s="39">
        <f>DK58/DF58-1</f>
        <v>-0.55885090811525362</v>
      </c>
      <c r="DL59" s="39">
        <f>DL58/DG58-1</f>
        <v>0.20797692649975708</v>
      </c>
    </row>
    <row r="60" spans="1:117">
      <c r="A60" s="36"/>
      <c r="B60" s="43" t="s">
        <v>690</v>
      </c>
      <c r="C60" s="38"/>
      <c r="D60" s="38"/>
      <c r="E60" s="38"/>
      <c r="F60" s="38"/>
      <c r="G60" s="38"/>
      <c r="H60" s="38"/>
      <c r="I60" s="38"/>
      <c r="J60" s="38"/>
      <c r="K60" s="38"/>
      <c r="L60" s="38"/>
      <c r="M60" s="38"/>
      <c r="N60" s="38"/>
      <c r="O60" s="38"/>
      <c r="P60" s="38"/>
      <c r="Q60" s="39"/>
      <c r="R60" s="39"/>
      <c r="S60" s="39"/>
      <c r="T60" s="38">
        <f>T58/T49</f>
        <v>-0.13064419024683926</v>
      </c>
      <c r="U60" s="38">
        <f>U58/U49</f>
        <v>-1.6757970066961076E-2</v>
      </c>
      <c r="V60" s="38"/>
      <c r="W60" s="38">
        <f>W58/W49</f>
        <v>2.4632426856878005E-2</v>
      </c>
      <c r="X60" s="38">
        <f>X58/X49</f>
        <v>-3.4411079570467948E-2</v>
      </c>
      <c r="Y60" s="38">
        <f>Y58/Y49</f>
        <v>-9.1088416481465238E-3</v>
      </c>
      <c r="Z60" s="38">
        <f t="shared" ref="Z60:AK60" si="77">Z58/Z49</f>
        <v>4.7749916522944233E-2</v>
      </c>
      <c r="AA60" s="38">
        <f t="shared" si="77"/>
        <v>4.5728452199655038E-2</v>
      </c>
      <c r="AB60" s="38">
        <f t="shared" si="77"/>
        <v>8.6975206786284995E-2</v>
      </c>
      <c r="AC60" s="2802">
        <f t="shared" si="77"/>
        <v>0.13847329863166866</v>
      </c>
      <c r="AD60" s="2940">
        <f t="shared" si="77"/>
        <v>0.16439171701654623</v>
      </c>
      <c r="AE60" s="2940">
        <f t="shared" si="77"/>
        <v>0.13847329863166866</v>
      </c>
      <c r="AF60" s="2802">
        <f t="shared" si="77"/>
        <v>0.16439171701654623</v>
      </c>
      <c r="AG60" s="2802">
        <f t="shared" si="77"/>
        <v>0.17098999926727151</v>
      </c>
      <c r="AH60" s="2802">
        <f t="shared" ca="1" si="77"/>
        <v>0.16253399839923047</v>
      </c>
      <c r="AI60" s="2943"/>
      <c r="AJ60" s="2802">
        <f t="shared" si="77"/>
        <v>0.14509097839893151</v>
      </c>
      <c r="AK60" s="2802">
        <f t="shared" si="77"/>
        <v>0.11572068391763435</v>
      </c>
      <c r="AL60" s="2802">
        <f t="shared" ref="AL60:AQ60" si="78">AL58/AL49</f>
        <v>0.11062442533434899</v>
      </c>
      <c r="AM60" s="2802">
        <f t="shared" si="78"/>
        <v>0.11109045670206991</v>
      </c>
      <c r="AN60" s="2802">
        <f t="shared" si="78"/>
        <v>0.11248765348709661</v>
      </c>
      <c r="AO60" s="2802">
        <f t="shared" si="78"/>
        <v>0.11524301300418706</v>
      </c>
      <c r="AP60" s="2802">
        <f t="shared" si="78"/>
        <v>0.11917896081047566</v>
      </c>
      <c r="AQ60" s="2802">
        <f t="shared" si="78"/>
        <v>0.12399709930466561</v>
      </c>
      <c r="AR60" s="2802">
        <f>AR58/AR49</f>
        <v>0.12959253161030926</v>
      </c>
      <c r="AS60" s="2802">
        <f>AS58/AS49</f>
        <v>0.13590620137663462</v>
      </c>
      <c r="AT60" s="2802">
        <f>AT58/AT49</f>
        <v>0.14306239895380587</v>
      </c>
      <c r="AU60" s="2802">
        <f>AU58/AU49</f>
        <v>0.15097514460975225</v>
      </c>
      <c r="AV60" s="38"/>
      <c r="AW60" s="38"/>
      <c r="AX60" s="38"/>
      <c r="AY60" s="38"/>
      <c r="AZ60" s="6"/>
      <c r="BA60" s="38"/>
      <c r="BB60" s="38"/>
      <c r="BC60" s="38"/>
      <c r="BD60" s="38"/>
      <c r="BE60" s="4"/>
      <c r="BF60" s="38"/>
      <c r="BG60" s="38"/>
      <c r="BH60" s="38"/>
      <c r="BI60" s="38"/>
      <c r="BJ60" s="6"/>
      <c r="BK60" s="38"/>
      <c r="BL60" s="38"/>
      <c r="BM60" s="38"/>
      <c r="BN60" s="38"/>
      <c r="BO60" s="4"/>
      <c r="BP60" s="38"/>
      <c r="BQ60" s="38"/>
      <c r="BR60" s="38"/>
      <c r="BS60" s="38"/>
      <c r="BT60" s="4"/>
      <c r="BU60" s="38"/>
      <c r="BV60" s="38"/>
      <c r="BW60" s="38"/>
      <c r="BX60" s="38"/>
      <c r="BY60" s="4"/>
      <c r="BZ60" s="38"/>
      <c r="CA60" s="38"/>
      <c r="CB60" s="38"/>
      <c r="CC60" s="38"/>
      <c r="CD60" s="7"/>
      <c r="CE60" s="39"/>
      <c r="CF60" s="39"/>
      <c r="CG60" s="39"/>
      <c r="CH60" s="39"/>
      <c r="CI60" s="8"/>
      <c r="CJ60" s="39"/>
      <c r="CK60" s="39"/>
      <c r="CL60" s="39"/>
      <c r="CM60" s="39"/>
      <c r="CN60" s="44"/>
      <c r="CO60" s="39"/>
      <c r="CP60" s="39"/>
      <c r="CQ60" s="39"/>
      <c r="CR60" s="38"/>
      <c r="CS60" s="856"/>
      <c r="CT60" s="39">
        <f>CT58/CT49</f>
        <v>5.181347150259067E-2</v>
      </c>
      <c r="CU60" s="39">
        <f t="shared" ref="CU60:DB60" si="79">CU58/CU49</f>
        <v>-0.3993710691823899</v>
      </c>
      <c r="CV60" s="39">
        <f t="shared" si="79"/>
        <v>-0.33423180592991913</v>
      </c>
      <c r="CW60" s="39">
        <f t="shared" si="79"/>
        <v>2.3890784982935152E-2</v>
      </c>
      <c r="CX60" s="6"/>
      <c r="CY60" s="39">
        <f t="shared" si="79"/>
        <v>-5.1039697542533083E-2</v>
      </c>
      <c r="CZ60" s="39">
        <f t="shared" si="79"/>
        <v>-0.52985074626865669</v>
      </c>
      <c r="DA60" s="39">
        <f t="shared" si="79"/>
        <v>-0.1004884856943475</v>
      </c>
      <c r="DB60" s="39">
        <f t="shared" si="79"/>
        <v>0.16713032427554611</v>
      </c>
      <c r="DC60" s="6"/>
      <c r="DD60" s="39">
        <f>DD58/DD49</f>
        <v>-8.6373790022338054E-2</v>
      </c>
      <c r="DE60" s="39">
        <f>DE58/DE49</f>
        <v>-0.11093627065302912</v>
      </c>
      <c r="DF60" s="39">
        <f>DF58/DF49</f>
        <v>-0.12777459251371939</v>
      </c>
      <c r="DG60" s="39">
        <f>DG58/DG49</f>
        <v>0.23103765440086244</v>
      </c>
      <c r="DH60" s="6"/>
      <c r="DI60" s="39">
        <f>DI58/DI49</f>
        <v>-2.1940734755782957E-2</v>
      </c>
      <c r="DJ60" s="39">
        <f>DJ58/DJ49</f>
        <v>-5.2992763554460948E-2</v>
      </c>
      <c r="DK60" s="39">
        <f>DK58/DK49</f>
        <v>-5.3503421942150499E-2</v>
      </c>
      <c r="DL60" s="39">
        <f>DL58/DL49</f>
        <v>0.26502410920502806</v>
      </c>
    </row>
    <row r="61" spans="1:117">
      <c r="A61" s="36"/>
      <c r="B61" s="43"/>
      <c r="C61" s="38"/>
      <c r="D61" s="38"/>
      <c r="E61" s="38"/>
      <c r="F61" s="38"/>
      <c r="G61" s="38"/>
      <c r="H61" s="38"/>
      <c r="I61" s="38"/>
      <c r="J61" s="38"/>
      <c r="K61" s="38"/>
      <c r="L61" s="38"/>
      <c r="M61" s="38"/>
      <c r="N61" s="38"/>
      <c r="O61" s="38"/>
      <c r="P61" s="38"/>
      <c r="Q61" s="39"/>
      <c r="R61" s="39"/>
      <c r="S61" s="39"/>
      <c r="T61" s="38"/>
      <c r="U61" s="38"/>
      <c r="V61" s="38"/>
      <c r="W61" s="38"/>
      <c r="X61" s="38"/>
      <c r="Y61" s="38"/>
      <c r="Z61" s="38"/>
      <c r="AA61" s="38"/>
      <c r="AB61" s="38"/>
      <c r="AC61" s="2802"/>
      <c r="AD61" s="2945"/>
      <c r="AE61" s="2945"/>
      <c r="AF61" s="2807"/>
      <c r="AG61" s="2807"/>
      <c r="AH61" s="2807"/>
      <c r="AI61" s="2943"/>
      <c r="AJ61" s="2807"/>
      <c r="AK61" s="2807"/>
      <c r="AL61" s="2807"/>
      <c r="AM61" s="2807"/>
      <c r="AN61" s="2807"/>
      <c r="AO61" s="2807"/>
      <c r="AP61" s="2807"/>
      <c r="AQ61" s="2807"/>
      <c r="AR61" s="2807"/>
      <c r="AS61" s="2807"/>
      <c r="AT61" s="2807"/>
      <c r="AU61" s="6"/>
      <c r="AW61" s="38"/>
      <c r="AX61" s="38"/>
      <c r="AY61" s="38"/>
      <c r="AZ61" s="6"/>
      <c r="BA61" s="38"/>
      <c r="BB61" s="38"/>
      <c r="BC61" s="38"/>
      <c r="BD61" s="38"/>
      <c r="BE61" s="4"/>
      <c r="BF61" s="38"/>
      <c r="BG61" s="38"/>
      <c r="BH61" s="38"/>
      <c r="BI61" s="38"/>
      <c r="BJ61" s="6"/>
      <c r="BK61" s="38"/>
      <c r="BL61" s="38"/>
      <c r="BM61" s="38"/>
      <c r="BN61" s="38"/>
      <c r="BO61" s="4"/>
      <c r="BP61" s="38"/>
      <c r="BQ61" s="38"/>
      <c r="BR61" s="38"/>
      <c r="BS61" s="38"/>
      <c r="BT61" s="4"/>
      <c r="BU61" s="38"/>
      <c r="BV61" s="38"/>
      <c r="BW61" s="38"/>
      <c r="BX61" s="38"/>
      <c r="BY61" s="4"/>
      <c r="BZ61" s="38"/>
      <c r="CA61" s="38"/>
      <c r="CB61" s="38"/>
      <c r="CC61" s="38"/>
      <c r="CD61" s="7"/>
      <c r="CE61" s="39"/>
      <c r="CF61" s="39"/>
      <c r="CG61" s="39"/>
      <c r="CH61" s="39"/>
      <c r="CI61" s="8"/>
      <c r="CJ61" s="39"/>
      <c r="CK61" s="39"/>
      <c r="CL61" s="39"/>
      <c r="CM61" s="39"/>
      <c r="CN61" s="44"/>
      <c r="CO61" s="39"/>
      <c r="CP61" s="39"/>
      <c r="CQ61" s="39"/>
      <c r="CR61" s="38"/>
      <c r="CS61" s="856"/>
      <c r="CT61" s="39"/>
      <c r="CU61" s="39"/>
      <c r="CV61" s="39"/>
      <c r="CW61" s="38"/>
      <c r="CX61" s="6"/>
      <c r="CY61" s="39"/>
      <c r="CZ61" s="39"/>
      <c r="DA61" s="39"/>
      <c r="DB61" s="38"/>
      <c r="DC61" s="6"/>
      <c r="DD61" s="6"/>
      <c r="DE61" s="6"/>
      <c r="DF61" s="6"/>
      <c r="DG61" s="6"/>
      <c r="DH61" s="6"/>
    </row>
    <row r="62" spans="1:117" ht="5.0999999999999996" customHeight="1">
      <c r="A62" s="6"/>
      <c r="B62" s="6"/>
      <c r="C62" s="6"/>
      <c r="D62" s="6"/>
      <c r="E62" s="6"/>
      <c r="F62" s="6"/>
      <c r="G62" s="6"/>
      <c r="H62" s="6"/>
      <c r="I62" s="38"/>
      <c r="J62" s="38"/>
      <c r="K62" s="38"/>
      <c r="L62" s="38"/>
      <c r="M62" s="38"/>
      <c r="N62" s="38"/>
      <c r="O62" s="38"/>
      <c r="P62" s="38"/>
      <c r="Q62" s="39"/>
      <c r="R62" s="39"/>
      <c r="S62" s="39"/>
      <c r="T62" s="38"/>
      <c r="U62" s="38"/>
      <c r="V62" s="38"/>
      <c r="W62" s="38"/>
      <c r="X62" s="38"/>
      <c r="Y62" s="6"/>
      <c r="Z62" s="6"/>
      <c r="AA62" s="6"/>
      <c r="AB62" s="6"/>
      <c r="AC62" s="2862"/>
      <c r="AD62" s="2942"/>
      <c r="AE62" s="2942"/>
      <c r="AF62" s="2862"/>
      <c r="AG62" s="2862"/>
      <c r="AH62" s="2862"/>
      <c r="AI62" s="2943"/>
      <c r="AJ62" s="2862"/>
      <c r="AK62" s="2862"/>
      <c r="AL62" s="2862"/>
      <c r="AM62" s="2862"/>
      <c r="AN62" s="2862"/>
      <c r="AO62" s="2862"/>
      <c r="AP62" s="2862"/>
      <c r="AQ62" s="2862"/>
      <c r="AR62" s="2862"/>
      <c r="AS62" s="2862"/>
      <c r="AT62" s="2862"/>
      <c r="AU62" s="6"/>
      <c r="AV62" s="6"/>
      <c r="AW62" s="6"/>
      <c r="AX62" s="6"/>
      <c r="AY62" s="6"/>
      <c r="AZ62" s="6"/>
      <c r="BA62" s="6"/>
      <c r="BB62" s="6"/>
      <c r="BC62" s="6"/>
      <c r="BD62" s="6"/>
      <c r="BE62" s="4"/>
      <c r="BF62" s="6"/>
      <c r="BG62" s="6"/>
      <c r="BH62" s="6"/>
      <c r="BI62" s="6"/>
      <c r="BJ62" s="6"/>
      <c r="BK62" s="6"/>
      <c r="BL62" s="6"/>
      <c r="BM62" s="6"/>
      <c r="BN62" s="6"/>
      <c r="BO62" s="4"/>
      <c r="BP62" s="6"/>
      <c r="BQ62" s="6"/>
      <c r="BR62" s="6"/>
      <c r="BS62" s="6"/>
      <c r="BT62" s="4"/>
      <c r="BU62" s="6"/>
      <c r="BV62" s="6"/>
      <c r="BW62" s="10"/>
      <c r="BX62" s="6"/>
      <c r="BY62" s="4"/>
      <c r="BZ62" s="6"/>
      <c r="CA62" s="6"/>
      <c r="CB62" s="51"/>
      <c r="CC62" s="6"/>
      <c r="CD62" s="7"/>
      <c r="CE62" s="11"/>
      <c r="CF62" s="11"/>
      <c r="CG62" s="58"/>
      <c r="CH62" s="11"/>
      <c r="CI62" s="8"/>
      <c r="CJ62" s="11"/>
      <c r="CK62" s="11"/>
      <c r="CL62" s="11"/>
      <c r="CM62" s="11"/>
      <c r="CN62" s="44"/>
      <c r="CO62" s="11"/>
      <c r="CP62" s="11"/>
      <c r="CQ62" s="11"/>
      <c r="CR62" s="6"/>
      <c r="CS62" s="856"/>
      <c r="CT62" s="6"/>
      <c r="CU62" s="6"/>
      <c r="CV62" s="6"/>
      <c r="CW62" s="6"/>
      <c r="CX62" s="6"/>
      <c r="CY62" s="6"/>
      <c r="CZ62" s="6"/>
      <c r="DA62" s="6"/>
      <c r="DB62" s="6"/>
      <c r="DC62" s="6"/>
      <c r="DD62" s="6"/>
      <c r="DE62" s="6"/>
      <c r="DF62" s="6"/>
      <c r="DG62" s="6"/>
      <c r="DH62" s="6"/>
    </row>
    <row r="63" spans="1:117">
      <c r="A63" s="36" t="s">
        <v>689</v>
      </c>
      <c r="B63" s="6"/>
      <c r="C63" s="6"/>
      <c r="D63" s="37"/>
      <c r="E63" s="6"/>
      <c r="F63" s="6"/>
      <c r="G63" s="6"/>
      <c r="H63" s="6"/>
      <c r="I63" s="6"/>
      <c r="J63" s="38"/>
      <c r="K63" s="6"/>
      <c r="L63" s="6"/>
      <c r="M63" s="6"/>
      <c r="N63" s="6"/>
      <c r="O63" s="6"/>
      <c r="P63" s="6"/>
      <c r="Q63" s="39"/>
      <c r="R63" s="39"/>
      <c r="S63" s="11"/>
      <c r="T63" s="6"/>
      <c r="U63" s="10"/>
      <c r="V63" s="10"/>
      <c r="W63" s="10"/>
      <c r="X63" s="10"/>
      <c r="Y63" s="10"/>
      <c r="Z63" s="6"/>
      <c r="AA63" s="6"/>
      <c r="AB63" s="6"/>
      <c r="AC63" s="2862"/>
      <c r="AD63" s="2942"/>
      <c r="AE63" s="2942"/>
      <c r="AF63" s="2862"/>
      <c r="AG63" s="2862"/>
      <c r="AH63" s="2862"/>
      <c r="AI63" s="2943"/>
      <c r="AJ63" s="2862"/>
      <c r="AK63" s="2862"/>
      <c r="AL63" s="2862"/>
      <c r="AM63" s="2862"/>
      <c r="AN63" s="2862"/>
      <c r="AO63" s="2862"/>
      <c r="AP63" s="2862"/>
      <c r="AQ63" s="2862"/>
      <c r="AR63" s="2862"/>
      <c r="AS63" s="2862"/>
      <c r="AT63" s="2862"/>
      <c r="AU63" s="6"/>
      <c r="AV63" s="6"/>
      <c r="AW63" s="6"/>
      <c r="AX63" s="6"/>
      <c r="AY63" s="6"/>
      <c r="AZ63" s="6"/>
      <c r="BA63" s="6"/>
      <c r="BB63" s="6"/>
      <c r="BC63" s="6"/>
      <c r="BD63" s="6"/>
      <c r="BE63" s="4"/>
      <c r="BF63" s="6"/>
      <c r="BG63" s="6"/>
      <c r="BH63" s="6"/>
      <c r="BI63" s="6"/>
      <c r="BJ63" s="6"/>
      <c r="BK63" s="6"/>
      <c r="BL63" s="6"/>
      <c r="BM63" s="6"/>
      <c r="BN63" s="6"/>
      <c r="BO63" s="4"/>
      <c r="BP63" s="6"/>
      <c r="BQ63" s="6"/>
      <c r="BR63" s="6"/>
      <c r="BS63" s="6"/>
      <c r="BT63" s="4"/>
      <c r="BU63" s="38"/>
      <c r="BV63" s="6"/>
      <c r="BW63" s="6"/>
      <c r="BX63" s="6"/>
      <c r="BY63" s="4"/>
      <c r="BZ63" s="6"/>
      <c r="CA63" s="6"/>
      <c r="CB63" s="6"/>
      <c r="CC63" s="6"/>
      <c r="CD63" s="7"/>
      <c r="CE63" s="11"/>
      <c r="CF63" s="11"/>
      <c r="CG63" s="11"/>
      <c r="CH63" s="11"/>
      <c r="CI63" s="8"/>
      <c r="CJ63" s="11"/>
      <c r="CK63" s="11"/>
      <c r="CL63" s="59"/>
      <c r="CM63" s="59"/>
      <c r="CN63" s="44"/>
      <c r="CO63" s="37"/>
      <c r="CP63" s="11"/>
      <c r="CQ63" s="11"/>
      <c r="CR63" s="6"/>
      <c r="CS63" s="856"/>
      <c r="CT63" s="6"/>
      <c r="CU63" s="6"/>
      <c r="CV63" s="6"/>
      <c r="CW63" s="6"/>
      <c r="CX63" s="6"/>
      <c r="CY63" s="6"/>
      <c r="CZ63" s="6"/>
      <c r="DA63" s="6"/>
      <c r="DB63" s="6"/>
      <c r="DC63" s="6"/>
      <c r="DD63" s="6"/>
      <c r="DE63" s="6"/>
      <c r="DF63" s="6"/>
      <c r="DG63" s="6"/>
      <c r="DH63" s="6"/>
    </row>
    <row r="64" spans="1:117" ht="11.25" customHeight="1">
      <c r="A64" s="6"/>
      <c r="B64" s="6" t="s">
        <v>738</v>
      </c>
      <c r="C64" s="10"/>
      <c r="D64" s="10"/>
      <c r="E64" s="10"/>
      <c r="F64" s="10"/>
      <c r="G64" s="10"/>
      <c r="H64" s="10"/>
      <c r="I64" s="10"/>
      <c r="J64" s="10"/>
      <c r="K64" s="10">
        <f>'Segment Detail'!F11</f>
        <v>985.8</v>
      </c>
      <c r="L64" s="10">
        <f>'Segment Detail'!L11</f>
        <v>1001.5</v>
      </c>
      <c r="M64" s="10">
        <f>'Segment Detail'!O11</f>
        <v>999.57732341354404</v>
      </c>
      <c r="N64" s="10">
        <f>'Segment Detail'!S11</f>
        <v>1037.6858059180383</v>
      </c>
      <c r="O64" s="10">
        <f>'Segment Detail'!Y11</f>
        <v>1050.5</v>
      </c>
      <c r="P64" s="10">
        <f>'Segment Detail'!Z11</f>
        <v>1069.3</v>
      </c>
      <c r="Q64" s="37">
        <f>'Segment Detail'!AA11</f>
        <v>1160.8</v>
      </c>
      <c r="R64" s="37">
        <f>'Segment Detail'!AB11</f>
        <v>1187.0999999999999</v>
      </c>
      <c r="S64" s="37">
        <f>'Segment Detail'!AC11</f>
        <v>807</v>
      </c>
      <c r="T64" s="10">
        <f>'Segment Detail'!AD11</f>
        <v>886.1</v>
      </c>
      <c r="U64" s="10">
        <f>'Segment Detail'!AE11</f>
        <v>857.7</v>
      </c>
      <c r="V64" s="10"/>
      <c r="W64" s="10">
        <f>T64</f>
        <v>886.1</v>
      </c>
      <c r="X64" s="10">
        <f>U64</f>
        <v>857.7</v>
      </c>
      <c r="Y64" s="10">
        <f>'Segment Detail'!AF11</f>
        <v>793.5</v>
      </c>
      <c r="Z64" s="10">
        <f>'Segment Detail'!AG11</f>
        <v>790.8</v>
      </c>
      <c r="AA64" s="10">
        <f>'Segment Detail'!AH11</f>
        <v>787</v>
      </c>
      <c r="AB64" s="10">
        <f>'Segment Detail'!AI11</f>
        <v>790</v>
      </c>
      <c r="AC64" s="2938">
        <f>'Segment Detail'!AJ11</f>
        <v>809</v>
      </c>
      <c r="AD64" s="2939">
        <f>'Segment Detail'!AK11</f>
        <v>778</v>
      </c>
      <c r="AE64" s="2939">
        <f>+AC64</f>
        <v>809</v>
      </c>
      <c r="AF64" s="2938">
        <f>+AD64</f>
        <v>778</v>
      </c>
      <c r="AG64" s="2938">
        <f>'Segment Detail'!AL11</f>
        <v>780</v>
      </c>
      <c r="AH64" s="2938">
        <f>'Segment Detail'!AM11</f>
        <v>767</v>
      </c>
      <c r="AI64" s="2943">
        <f>AH64</f>
        <v>767</v>
      </c>
      <c r="AJ64" s="2938">
        <f>'Segment Detail'!AN11</f>
        <v>804</v>
      </c>
      <c r="AK64" s="2938">
        <f>'Segment Detail'!AO11</f>
        <v>816.06</v>
      </c>
      <c r="AL64" s="2938">
        <f>'Segment Detail'!AP11</f>
        <v>832.38119999999992</v>
      </c>
      <c r="AM64" s="2938">
        <f>'Segment Detail'!AQ11</f>
        <v>849.02882399999999</v>
      </c>
      <c r="AN64" s="2938">
        <f>'Segment Detail'!AR11</f>
        <v>866.00940047999995</v>
      </c>
      <c r="AO64" s="2938">
        <f>'Segment Detail'!AS11</f>
        <v>883.32958848959993</v>
      </c>
      <c r="AP64" s="2938">
        <f>'Segment Detail'!AT11</f>
        <v>900.99618025939196</v>
      </c>
      <c r="AQ64" s="2938">
        <f>'Segment Detail'!AU11</f>
        <v>919.0161038645798</v>
      </c>
      <c r="AR64" s="2938">
        <f>'Segment Detail'!AV11</f>
        <v>937.39642594187137</v>
      </c>
      <c r="AS64" s="2938">
        <f>'Segment Detail'!AW11</f>
        <v>956.14435446070877</v>
      </c>
      <c r="AT64" s="2938">
        <f>'Segment Detail'!AX11</f>
        <v>975.26724154992291</v>
      </c>
      <c r="AU64" s="2938">
        <f>'Segment Detail'!AY11</f>
        <v>994.77258638092144</v>
      </c>
      <c r="AV64" s="10"/>
      <c r="AW64" s="10"/>
      <c r="AX64" s="10"/>
      <c r="AY64" s="10"/>
      <c r="AZ64" s="10"/>
      <c r="BA64" s="10"/>
      <c r="BB64" s="10"/>
      <c r="BC64" s="10"/>
      <c r="BD64" s="10"/>
      <c r="BE64" s="4"/>
      <c r="BF64" s="10"/>
      <c r="BG64" s="10"/>
      <c r="BH64" s="10"/>
      <c r="BI64" s="10"/>
      <c r="BJ64" s="10"/>
      <c r="BK64" s="10"/>
      <c r="BL64" s="10"/>
      <c r="BM64" s="10"/>
      <c r="BN64" s="10"/>
      <c r="BO64" s="4"/>
      <c r="BP64" s="10"/>
      <c r="BQ64" s="10"/>
      <c r="BR64" s="10"/>
      <c r="BS64" s="10"/>
      <c r="BT64" s="4"/>
      <c r="BU64" s="10"/>
      <c r="BV64" s="10"/>
      <c r="BW64" s="10"/>
      <c r="BX64" s="10"/>
      <c r="BY64" s="4"/>
      <c r="BZ64" s="10"/>
      <c r="CA64" s="10"/>
      <c r="CB64" s="10"/>
      <c r="CC64" s="10"/>
      <c r="CD64" s="7"/>
      <c r="CE64" s="37">
        <f>'Segment Detail'!CO11</f>
        <v>158.80000000000001</v>
      </c>
      <c r="CF64" s="37">
        <f>'Segment Detail'!CP11</f>
        <v>332.6</v>
      </c>
      <c r="CG64" s="37">
        <f>'Segment Detail'!CQ11</f>
        <v>428.7</v>
      </c>
      <c r="CH64" s="37">
        <f>'Segment Detail'!CR11</f>
        <v>240.7</v>
      </c>
      <c r="CI64" s="56"/>
      <c r="CJ64" s="37">
        <f>'Segment Detail'!CT11</f>
        <v>167.6</v>
      </c>
      <c r="CK64" s="37">
        <f>'Segment Detail'!CU11</f>
        <v>319.10000000000002</v>
      </c>
      <c r="CL64" s="37">
        <f>'Segment Detail'!CV11</f>
        <v>424.1</v>
      </c>
      <c r="CM64" s="37">
        <f>'Segment Detail'!CW11</f>
        <v>276.3</v>
      </c>
      <c r="CN64" s="45">
        <f>R64-SUM(CJ64:CM64)</f>
        <v>0</v>
      </c>
      <c r="CO64" s="37">
        <f>'Segment Detail'!CY11</f>
        <v>181.10000000000002</v>
      </c>
      <c r="CP64" s="37">
        <f>'Segment Detail'!CZ11</f>
        <v>176</v>
      </c>
      <c r="CQ64" s="37">
        <f>'Segment Detail'!DA11</f>
        <v>197.4</v>
      </c>
      <c r="CR64" s="10">
        <f>'Segment Detail'!DB11</f>
        <v>252.5</v>
      </c>
      <c r="CS64" s="857">
        <f>S64-SUM(CO64:CR64)</f>
        <v>0</v>
      </c>
      <c r="CT64" s="37">
        <f>'Segment Detail'!DD11</f>
        <v>229.3</v>
      </c>
      <c r="CU64" s="37">
        <f>'Segment Detail'!DE11</f>
        <v>200.3</v>
      </c>
      <c r="CV64" s="37">
        <f>'Segment Detail'!DF11</f>
        <v>214.2</v>
      </c>
      <c r="CW64" s="10">
        <f>'Segment Detail'!DG11</f>
        <v>242.3</v>
      </c>
      <c r="CX64" s="48">
        <f>T64-SUM(CT64:CW64)</f>
        <v>0</v>
      </c>
      <c r="CY64" s="37">
        <f>'Segment Detail'!DI11</f>
        <v>201.6</v>
      </c>
      <c r="CZ64" s="37">
        <f>'Segment Detail'!DJ11</f>
        <v>186</v>
      </c>
      <c r="DA64" s="37">
        <f>'Segment Detail'!DK11</f>
        <v>225</v>
      </c>
      <c r="DB64" s="10">
        <f>'Segment Detail'!DL11</f>
        <v>245.1</v>
      </c>
      <c r="DC64" s="48">
        <f>U64-SUM(CY64:DB64)</f>
        <v>0</v>
      </c>
      <c r="DD64" s="10">
        <f>'Segment Detail'!DN11</f>
        <v>161.69999999999999</v>
      </c>
      <c r="DE64" s="10">
        <f>'Segment Detail'!DO11</f>
        <v>181.4</v>
      </c>
      <c r="DF64" s="10">
        <f>'Segment Detail'!DP11</f>
        <v>230.4</v>
      </c>
      <c r="DG64" s="10">
        <f>'Segment Detail'!DQ11</f>
        <v>220</v>
      </c>
      <c r="DH64" s="42">
        <f>Y64-SUM(DD64:DG64)</f>
        <v>0</v>
      </c>
      <c r="DI64" s="10">
        <f>Drivers!BQ39</f>
        <v>151.69999999999999</v>
      </c>
      <c r="DJ64" s="10">
        <f>Drivers!BR39</f>
        <v>189.7</v>
      </c>
      <c r="DK64" s="10">
        <f>Drivers!BS39</f>
        <v>217.7</v>
      </c>
      <c r="DL64" s="10">
        <f>Drivers!BT39</f>
        <v>231.7</v>
      </c>
      <c r="DM64" s="42">
        <f>Z64-SUM(DI64:DL64)</f>
        <v>0</v>
      </c>
    </row>
    <row r="65" spans="1:117" ht="11.25" customHeight="1">
      <c r="A65" s="6"/>
      <c r="B65" s="43" t="s">
        <v>676</v>
      </c>
      <c r="C65" s="38"/>
      <c r="D65" s="38"/>
      <c r="E65" s="38"/>
      <c r="F65" s="38"/>
      <c r="G65" s="38"/>
      <c r="H65" s="38"/>
      <c r="I65" s="38"/>
      <c r="J65" s="38"/>
      <c r="K65" s="38"/>
      <c r="L65" s="38">
        <f t="shared" ref="L65:AM65" si="80">L64/K64-1</f>
        <v>1.5926151349158202E-2</v>
      </c>
      <c r="M65" s="38">
        <f t="shared" si="80"/>
        <v>-1.9197968911193186E-3</v>
      </c>
      <c r="N65" s="38">
        <f t="shared" si="80"/>
        <v>3.8124596878963191E-2</v>
      </c>
      <c r="O65" s="38">
        <f t="shared" si="80"/>
        <v>1.2348818889957647E-2</v>
      </c>
      <c r="P65" s="38">
        <f t="shared" si="80"/>
        <v>1.7896239885768717E-2</v>
      </c>
      <c r="Q65" s="39">
        <f t="shared" si="80"/>
        <v>8.5569999064808666E-2</v>
      </c>
      <c r="R65" s="39">
        <f t="shared" si="80"/>
        <v>2.2656788421778096E-2</v>
      </c>
      <c r="S65" s="39">
        <f t="shared" si="80"/>
        <v>-0.32019206469547634</v>
      </c>
      <c r="T65" s="38">
        <f t="shared" si="80"/>
        <v>9.8017348203221832E-2</v>
      </c>
      <c r="U65" s="39">
        <f>U64/T64-1</f>
        <v>-3.2050558627694348E-2</v>
      </c>
      <c r="V65" s="39"/>
      <c r="W65" s="39">
        <f t="shared" ref="W65:W75" si="81">T65</f>
        <v>9.8017348203221832E-2</v>
      </c>
      <c r="X65" s="38">
        <f>X64/W64-1</f>
        <v>-3.2050558627694348E-2</v>
      </c>
      <c r="Y65" s="38">
        <f>Y64/X64-1</f>
        <v>-7.4851346624693949E-2</v>
      </c>
      <c r="Z65" s="38">
        <f t="shared" si="80"/>
        <v>-3.4026465028356156E-3</v>
      </c>
      <c r="AA65" s="38">
        <f t="shared" si="80"/>
        <v>-4.8052604957005141E-3</v>
      </c>
      <c r="AB65" s="38">
        <f t="shared" si="80"/>
        <v>3.8119440914865521E-3</v>
      </c>
      <c r="AC65" s="1110">
        <f t="shared" si="80"/>
        <v>2.4050632911392311E-2</v>
      </c>
      <c r="AD65" s="2688">
        <f>AD64/AC64-1</f>
        <v>-3.8318912237330083E-2</v>
      </c>
      <c r="AE65" s="2940"/>
      <c r="AF65" s="2802">
        <f>AF64/AE64-1</f>
        <v>-3.8318912237330083E-2</v>
      </c>
      <c r="AG65" s="2802">
        <f>AG64/AF64-1</f>
        <v>2.5706940874035134E-3</v>
      </c>
      <c r="AH65" s="2802">
        <f t="shared" si="80"/>
        <v>-1.6666666666666718E-2</v>
      </c>
      <c r="AI65" s="2943"/>
      <c r="AJ65" s="2802">
        <f>AJ64/AH64-1</f>
        <v>4.8239895697522739E-2</v>
      </c>
      <c r="AK65" s="2802">
        <f t="shared" si="80"/>
        <v>1.4999999999999902E-2</v>
      </c>
      <c r="AL65" s="2802">
        <f t="shared" si="80"/>
        <v>2.0000000000000018E-2</v>
      </c>
      <c r="AM65" s="2802">
        <f t="shared" si="80"/>
        <v>2.0000000000000018E-2</v>
      </c>
      <c r="AN65" s="2802">
        <f t="shared" ref="AN65:AU65" si="82">AN64/AM64-1</f>
        <v>2.0000000000000018E-2</v>
      </c>
      <c r="AO65" s="2802">
        <f t="shared" si="82"/>
        <v>2.0000000000000018E-2</v>
      </c>
      <c r="AP65" s="2802">
        <f t="shared" si="82"/>
        <v>2.0000000000000018E-2</v>
      </c>
      <c r="AQ65" s="2802">
        <f t="shared" si="82"/>
        <v>2.0000000000000018E-2</v>
      </c>
      <c r="AR65" s="2802">
        <f t="shared" si="82"/>
        <v>2.0000000000000018E-2</v>
      </c>
      <c r="AS65" s="2802">
        <f t="shared" si="82"/>
        <v>2.0000000000000018E-2</v>
      </c>
      <c r="AT65" s="2802">
        <f t="shared" si="82"/>
        <v>2.0000000000000018E-2</v>
      </c>
      <c r="AU65" s="2802">
        <f t="shared" si="82"/>
        <v>2.0000000000000018E-2</v>
      </c>
      <c r="AV65" s="38"/>
      <c r="AW65" s="38"/>
      <c r="AX65" s="38"/>
      <c r="AY65" s="38"/>
      <c r="AZ65" s="10"/>
      <c r="BA65" s="38"/>
      <c r="BB65" s="38"/>
      <c r="BC65" s="38"/>
      <c r="BD65" s="38"/>
      <c r="BE65" s="4"/>
      <c r="BF65" s="38"/>
      <c r="BG65" s="38"/>
      <c r="BH65" s="38"/>
      <c r="BI65" s="38"/>
      <c r="BJ65" s="10"/>
      <c r="BK65" s="38"/>
      <c r="BL65" s="38"/>
      <c r="BM65" s="38"/>
      <c r="BN65" s="38"/>
      <c r="BO65" s="4"/>
      <c r="BP65" s="38"/>
      <c r="BQ65" s="38"/>
      <c r="BR65" s="38"/>
      <c r="BS65" s="38"/>
      <c r="BT65" s="4"/>
      <c r="BU65" s="38"/>
      <c r="BV65" s="38"/>
      <c r="BW65" s="38"/>
      <c r="BX65" s="38"/>
      <c r="BY65" s="4"/>
      <c r="BZ65" s="38"/>
      <c r="CA65" s="38"/>
      <c r="CB65" s="38"/>
      <c r="CC65" s="38"/>
      <c r="CD65" s="7"/>
      <c r="CE65" s="39"/>
      <c r="CF65" s="39"/>
      <c r="CG65" s="39"/>
      <c r="CH65" s="39"/>
      <c r="CI65" s="8"/>
      <c r="CJ65" s="39">
        <f>CJ64/CE64-1</f>
        <v>5.5415617128463435E-2</v>
      </c>
      <c r="CK65" s="39">
        <f>CK64/CF64-1</f>
        <v>-4.0589296452194779E-2</v>
      </c>
      <c r="CL65" s="39">
        <f>CL64/CG64-1</f>
        <v>-1.073011429904358E-2</v>
      </c>
      <c r="CM65" s="39">
        <f>CM64/CH64-1</f>
        <v>0.14790195263813888</v>
      </c>
      <c r="CN65" s="44"/>
      <c r="CO65" s="39">
        <f>CO64/CJ64-1</f>
        <v>8.0548926014319955E-2</v>
      </c>
      <c r="CP65" s="39">
        <f>CP64/CK64-1</f>
        <v>-0.44844876214352869</v>
      </c>
      <c r="CQ65" s="39">
        <f>CQ64/CL64-1</f>
        <v>-0.53454373968403679</v>
      </c>
      <c r="CR65" s="38">
        <f>CR64/CM64-1</f>
        <v>-8.6138255519363049E-2</v>
      </c>
      <c r="CS65" s="856"/>
      <c r="CT65" s="39">
        <f>CT64/CO64-1</f>
        <v>0.26615129762562106</v>
      </c>
      <c r="CU65" s="39">
        <f>CU64/CP64-1</f>
        <v>0.13806818181818192</v>
      </c>
      <c r="CV65" s="39">
        <f>CV64/CQ64-1</f>
        <v>8.5106382978723305E-2</v>
      </c>
      <c r="CW65" s="38">
        <f>CW64/CR64-1</f>
        <v>-4.0396039603960321E-2</v>
      </c>
      <c r="CX65" s="6"/>
      <c r="CY65" s="39">
        <f>CY64/CT64-1</f>
        <v>-0.12080244221543834</v>
      </c>
      <c r="CZ65" s="39">
        <f>CZ64/CU64-1</f>
        <v>-7.1392910634048956E-2</v>
      </c>
      <c r="DA65" s="39">
        <f>DA64/CV64-1</f>
        <v>5.0420168067226934E-2</v>
      </c>
      <c r="DB65" s="39">
        <f>DB64/CW64-1</f>
        <v>1.1555922410235064E-2</v>
      </c>
      <c r="DC65" s="6"/>
      <c r="DD65" s="39">
        <f>DD64/CY64-1</f>
        <v>-0.19791666666666674</v>
      </c>
      <c r="DE65" s="39">
        <f>DE64/CZ64-1</f>
        <v>-2.4731182795698858E-2</v>
      </c>
      <c r="DF65" s="39">
        <f>DF64/DA64-1</f>
        <v>2.4000000000000021E-2</v>
      </c>
      <c r="DG65" s="39">
        <f>DG64/DB64-1</f>
        <v>-0.10240718074255406</v>
      </c>
      <c r="DH65" s="6"/>
      <c r="DI65" s="39">
        <f>DI64/DD64-1</f>
        <v>-6.1842918985776096E-2</v>
      </c>
      <c r="DJ65" s="39">
        <f>DJ64/DE64-1</f>
        <v>4.57552370452039E-2</v>
      </c>
      <c r="DK65" s="39">
        <f>DK64/DF64-1</f>
        <v>-5.5121527777777901E-2</v>
      </c>
      <c r="DL65" s="39">
        <f>DL64/DG64-1</f>
        <v>5.3181818181818219E-2</v>
      </c>
    </row>
    <row r="66" spans="1:117" ht="11.25" customHeight="1">
      <c r="A66" s="6"/>
      <c r="B66" s="6" t="s">
        <v>678</v>
      </c>
      <c r="C66" s="10"/>
      <c r="D66" s="10"/>
      <c r="E66" s="10"/>
      <c r="F66" s="10"/>
      <c r="G66" s="10"/>
      <c r="H66" s="10"/>
      <c r="I66" s="10"/>
      <c r="J66" s="10"/>
      <c r="K66" s="10">
        <f>'Segment Detail'!F19</f>
        <v>172.32</v>
      </c>
      <c r="L66" s="10">
        <f>'Segment Detail'!L19</f>
        <v>169.5</v>
      </c>
      <c r="M66" s="10">
        <f>'Segment Detail'!O19</f>
        <v>185.21512158784435</v>
      </c>
      <c r="N66" s="10">
        <f>'Segment Detail'!S19</f>
        <v>136.91243026151145</v>
      </c>
      <c r="O66" s="10">
        <f>'Segment Detail'!Y19</f>
        <v>160.89999999999998</v>
      </c>
      <c r="P66" s="10">
        <f>'Segment Detail'!Z19</f>
        <v>148.1</v>
      </c>
      <c r="Q66" s="37">
        <f>'Segment Detail'!AA19</f>
        <v>180.2</v>
      </c>
      <c r="R66" s="37">
        <f>'Segment Detail'!AB19</f>
        <v>184.8</v>
      </c>
      <c r="S66" s="37">
        <f>'Segment Detail'!AC19</f>
        <v>78</v>
      </c>
      <c r="T66" s="10">
        <f>'Segment Detail'!AD19</f>
        <v>97.2</v>
      </c>
      <c r="U66" s="10">
        <f>'Segment Detail'!AE19</f>
        <v>88.2</v>
      </c>
      <c r="V66" s="10"/>
      <c r="W66" s="10">
        <f t="shared" si="81"/>
        <v>97.2</v>
      </c>
      <c r="X66" s="10">
        <f t="shared" ref="X66:X75" si="83">U66</f>
        <v>88.2</v>
      </c>
      <c r="Y66" s="10">
        <f>'Segment Detail'!AF19</f>
        <v>52.4</v>
      </c>
      <c r="Z66" s="10">
        <f>'Segment Detail'!AG19</f>
        <v>71.800000000000011</v>
      </c>
      <c r="AA66" s="10">
        <f>'Segment Detail'!AH19</f>
        <v>92</v>
      </c>
      <c r="AB66" s="10">
        <f>'Segment Detail'!AI19</f>
        <v>89</v>
      </c>
      <c r="AC66" s="1626">
        <f>'Segment Detail'!AJ19</f>
        <v>113</v>
      </c>
      <c r="AD66" s="2687">
        <f>'Segment Detail'!AK19</f>
        <v>107</v>
      </c>
      <c r="AE66" s="2939">
        <f>+AC66</f>
        <v>113</v>
      </c>
      <c r="AF66" s="2938">
        <f>+AD66</f>
        <v>107</v>
      </c>
      <c r="AG66" s="2938">
        <f>'Segment Detail'!AL19</f>
        <v>120</v>
      </c>
      <c r="AH66" s="2938">
        <f>'Segment Detail'!AM19</f>
        <v>125</v>
      </c>
      <c r="AI66" s="2943">
        <f>AH66</f>
        <v>125</v>
      </c>
      <c r="AJ66" s="2938">
        <f>'Segment Detail'!AN19</f>
        <v>136.852</v>
      </c>
      <c r="AK66" s="2938">
        <f>'Segment Detail'!AO19</f>
        <v>136.163265</v>
      </c>
      <c r="AL66" s="2938">
        <f>'Segment Detail'!AP19</f>
        <v>141.05962499999998</v>
      </c>
      <c r="AM66" s="2938">
        <f>'Segment Detail'!AQ19</f>
        <v>146.05391220000001</v>
      </c>
      <c r="AN66" s="2938">
        <f>'Segment Detail'!AR19</f>
        <v>151.14808514399999</v>
      </c>
      <c r="AO66" s="2938">
        <f>'Segment Detail'!AS19</f>
        <v>156.34414154688</v>
      </c>
      <c r="AP66" s="2938">
        <f>'Segment Detail'!AT19</f>
        <v>161.64411907781761</v>
      </c>
      <c r="AQ66" s="2938">
        <f>'Segment Detail'!AU19</f>
        <v>167.05009615937396</v>
      </c>
      <c r="AR66" s="2938">
        <f>'Segment Detail'!AV19</f>
        <v>172.56419278256143</v>
      </c>
      <c r="AS66" s="2938">
        <f>'Segment Detail'!AW19</f>
        <v>178.18857133821265</v>
      </c>
      <c r="AT66" s="2938">
        <f>'Segment Detail'!AX19</f>
        <v>183.92543746497691</v>
      </c>
      <c r="AU66" s="2938">
        <f>'Segment Detail'!AY19</f>
        <v>189.77704091427645</v>
      </c>
      <c r="AV66" s="10"/>
      <c r="AW66" s="10"/>
      <c r="AX66" s="10"/>
      <c r="AY66" s="10"/>
      <c r="AZ66" s="10"/>
      <c r="BA66" s="10"/>
      <c r="BB66" s="10"/>
      <c r="BC66" s="10"/>
      <c r="BD66" s="10"/>
      <c r="BE66" s="4"/>
      <c r="BF66" s="10"/>
      <c r="BG66" s="10"/>
      <c r="BH66" s="10"/>
      <c r="BI66" s="10"/>
      <c r="BJ66" s="10"/>
      <c r="BK66" s="10"/>
      <c r="BL66" s="10"/>
      <c r="BM66" s="10"/>
      <c r="BN66" s="10"/>
      <c r="BO66" s="4"/>
      <c r="BP66" s="10"/>
      <c r="BQ66" s="10"/>
      <c r="BR66" s="10"/>
      <c r="BS66" s="10"/>
      <c r="BT66" s="4"/>
      <c r="BU66" s="10"/>
      <c r="BV66" s="10"/>
      <c r="BW66" s="10"/>
      <c r="BX66" s="10"/>
      <c r="BY66" s="4"/>
      <c r="BZ66" s="10"/>
      <c r="CA66" s="10"/>
      <c r="CB66" s="10"/>
      <c r="CC66" s="10"/>
      <c r="CD66" s="7"/>
      <c r="CE66" s="37">
        <f>'Segment Detail'!CO19</f>
        <v>0</v>
      </c>
      <c r="CF66" s="37">
        <f>'Segment Detail'!CP19</f>
        <v>44.2</v>
      </c>
      <c r="CG66" s="37">
        <f>'Segment Detail'!CQ19</f>
        <v>110.7</v>
      </c>
      <c r="CH66" s="37">
        <f>'Segment Detail'!CR19</f>
        <v>25.3</v>
      </c>
      <c r="CI66" s="8">
        <f>Q66-SUM(CE66:CH66)</f>
        <v>0</v>
      </c>
      <c r="CJ66" s="37">
        <f>'Segment Detail'!CT19</f>
        <v>-3.9</v>
      </c>
      <c r="CK66" s="37">
        <f>'Segment Detail'!CU19</f>
        <v>32.9</v>
      </c>
      <c r="CL66" s="37">
        <f>'Segment Detail'!CV19</f>
        <v>115.3</v>
      </c>
      <c r="CM66" s="37">
        <f>'Segment Detail'!CW19</f>
        <v>40.5</v>
      </c>
      <c r="CN66" s="45">
        <f>R66-SUM(CJ66:CM66)</f>
        <v>0</v>
      </c>
      <c r="CO66" s="37">
        <f>'Segment Detail'!CY19</f>
        <v>5.7999999999999989</v>
      </c>
      <c r="CP66" s="37">
        <f>'Segment Detail'!CZ19</f>
        <v>10.6</v>
      </c>
      <c r="CQ66" s="37">
        <f>'Segment Detail'!DA19</f>
        <v>23.2</v>
      </c>
      <c r="CR66" s="10">
        <f>'Segment Detail'!DB19</f>
        <v>38.400000000000006</v>
      </c>
      <c r="CS66" s="857">
        <f>S66-SUM(CO66:CR66)</f>
        <v>0</v>
      </c>
      <c r="CT66" s="37">
        <f>'Segment Detail'!DD19</f>
        <v>23.8</v>
      </c>
      <c r="CU66" s="37">
        <f>'Segment Detail'!DE19</f>
        <v>20.100000000000001</v>
      </c>
      <c r="CV66" s="37">
        <f>'Segment Detail'!DF19</f>
        <v>23.8</v>
      </c>
      <c r="CW66" s="10">
        <f>'Segment Detail'!DG19</f>
        <v>29.5</v>
      </c>
      <c r="CX66" s="48">
        <f>T66-SUM(CT66:CW66)</f>
        <v>0</v>
      </c>
      <c r="CY66" s="37">
        <f>'Segment Detail'!DI19</f>
        <v>17.100000000000001</v>
      </c>
      <c r="CZ66" s="37">
        <f>'Segment Detail'!DJ19</f>
        <v>17</v>
      </c>
      <c r="DA66" s="37">
        <f>'Segment Detail'!DK19</f>
        <v>25.8</v>
      </c>
      <c r="DB66" s="10">
        <f>'Segment Detail'!DL19</f>
        <v>28.3</v>
      </c>
      <c r="DC66" s="48">
        <f>U66-SUM(CY66:DB66)</f>
        <v>0</v>
      </c>
      <c r="DD66" s="10">
        <f>'Segment Detail'!DN19</f>
        <v>0.1</v>
      </c>
      <c r="DE66" s="10">
        <f>'Segment Detail'!DO19</f>
        <v>10.3</v>
      </c>
      <c r="DF66" s="10">
        <f>'Segment Detail'!DP19</f>
        <v>28.4</v>
      </c>
      <c r="DG66" s="10">
        <f>'Segment Detail'!DQ19</f>
        <v>13.6</v>
      </c>
      <c r="DH66" s="42">
        <f>Y66-SUM(DD66:DG66)</f>
        <v>0</v>
      </c>
      <c r="DI66" s="10">
        <f>Drivers!BQ91</f>
        <v>3.6</v>
      </c>
      <c r="DJ66" s="10">
        <f>Drivers!BR91</f>
        <v>16.899999999999999</v>
      </c>
      <c r="DK66" s="10">
        <f>Drivers!BS91</f>
        <v>31.2</v>
      </c>
      <c r="DL66" s="10">
        <f>Drivers!BT91</f>
        <v>20.100000000000001</v>
      </c>
      <c r="DM66" s="42">
        <f>Z66-SUM(DI66:DL66)</f>
        <v>0</v>
      </c>
    </row>
    <row r="67" spans="1:117" ht="11.25" customHeight="1">
      <c r="A67" s="6"/>
      <c r="B67" s="43" t="s">
        <v>690</v>
      </c>
      <c r="C67" s="38"/>
      <c r="D67" s="38"/>
      <c r="E67" s="38"/>
      <c r="F67" s="38"/>
      <c r="G67" s="38"/>
      <c r="H67" s="38"/>
      <c r="I67" s="38"/>
      <c r="J67" s="38"/>
      <c r="K67" s="38">
        <f t="shared" ref="K67:AM67" si="84">K66/K64</f>
        <v>0.1748021911138162</v>
      </c>
      <c r="L67" s="38">
        <f t="shared" si="84"/>
        <v>0.1692461308037943</v>
      </c>
      <c r="M67" s="38">
        <f t="shared" si="84"/>
        <v>0.18529344078688884</v>
      </c>
      <c r="N67" s="38">
        <f t="shared" si="84"/>
        <v>0.13194015903531159</v>
      </c>
      <c r="O67" s="38">
        <f t="shared" si="84"/>
        <v>0.15316515944788195</v>
      </c>
      <c r="P67" s="38">
        <f t="shared" si="84"/>
        <v>0.1385018236229309</v>
      </c>
      <c r="Q67" s="39">
        <f t="shared" si="84"/>
        <v>0.15523776705720194</v>
      </c>
      <c r="R67" s="39">
        <f t="shared" si="84"/>
        <v>0.15567349001769018</v>
      </c>
      <c r="S67" s="39">
        <f t="shared" si="84"/>
        <v>9.6654275092936809E-2</v>
      </c>
      <c r="T67" s="38">
        <f t="shared" si="84"/>
        <v>0.10969416544408081</v>
      </c>
      <c r="U67" s="38">
        <f t="shared" si="84"/>
        <v>0.10283315844700944</v>
      </c>
      <c r="V67" s="38"/>
      <c r="W67" s="38">
        <f t="shared" si="81"/>
        <v>0.10969416544408081</v>
      </c>
      <c r="X67" s="38">
        <f t="shared" si="83"/>
        <v>0.10283315844700944</v>
      </c>
      <c r="Y67" s="38">
        <f t="shared" si="84"/>
        <v>6.6036546943919347E-2</v>
      </c>
      <c r="Z67" s="38">
        <f t="shared" si="84"/>
        <v>9.0794132524026322E-2</v>
      </c>
      <c r="AA67" s="38">
        <f t="shared" si="84"/>
        <v>0.11689961880559085</v>
      </c>
      <c r="AB67" s="38">
        <f t="shared" si="84"/>
        <v>0.11265822784810127</v>
      </c>
      <c r="AC67" s="1110">
        <f t="shared" si="84"/>
        <v>0.13967861557478367</v>
      </c>
      <c r="AD67" s="2688">
        <f t="shared" si="84"/>
        <v>0.13753213367609254</v>
      </c>
      <c r="AE67" s="2940">
        <f t="shared" si="84"/>
        <v>0.13967861557478367</v>
      </c>
      <c r="AF67" s="2802">
        <f t="shared" si="84"/>
        <v>0.13753213367609254</v>
      </c>
      <c r="AG67" s="2802">
        <f t="shared" si="84"/>
        <v>0.15384615384615385</v>
      </c>
      <c r="AH67" s="2802">
        <f t="shared" si="84"/>
        <v>0.16297262059973924</v>
      </c>
      <c r="AI67" s="2943"/>
      <c r="AJ67" s="2802">
        <f t="shared" si="84"/>
        <v>0.17021393034825871</v>
      </c>
      <c r="AK67" s="2802">
        <f t="shared" si="84"/>
        <v>0.16685447761194031</v>
      </c>
      <c r="AL67" s="2802">
        <f t="shared" si="84"/>
        <v>0.16946517412935322</v>
      </c>
      <c r="AM67" s="2802">
        <f t="shared" si="84"/>
        <v>0.17202468051897377</v>
      </c>
      <c r="AN67" s="2802">
        <f t="shared" ref="AN67:AS67" si="85">AN66/AN64</f>
        <v>0.1745340005087978</v>
      </c>
      <c r="AO67" s="2802">
        <f t="shared" si="85"/>
        <v>0.1769941181458802</v>
      </c>
      <c r="AP67" s="2802">
        <f t="shared" si="85"/>
        <v>0.17940599818223552</v>
      </c>
      <c r="AQ67" s="2802">
        <f t="shared" si="85"/>
        <v>0.18177058645317207</v>
      </c>
      <c r="AR67" s="2802">
        <f t="shared" si="85"/>
        <v>0.18408881024820792</v>
      </c>
      <c r="AS67" s="2802">
        <f t="shared" si="85"/>
        <v>0.18636157867471362</v>
      </c>
      <c r="AT67" s="2802">
        <f>AT66/AT64</f>
        <v>0.18858978301442514</v>
      </c>
      <c r="AU67" s="2802">
        <f>AU66/AU64</f>
        <v>0.19077429707296581</v>
      </c>
      <c r="AV67" s="38"/>
      <c r="AW67" s="38"/>
      <c r="AX67" s="38"/>
      <c r="AY67" s="38"/>
      <c r="AZ67" s="38"/>
      <c r="BA67" s="38"/>
      <c r="BB67" s="38"/>
      <c r="BC67" s="38"/>
      <c r="BD67" s="38"/>
      <c r="BE67" s="4"/>
      <c r="BF67" s="38"/>
      <c r="BG67" s="38"/>
      <c r="BH67" s="38"/>
      <c r="BI67" s="38"/>
      <c r="BJ67" s="38"/>
      <c r="BK67" s="38"/>
      <c r="BL67" s="38"/>
      <c r="BM67" s="38"/>
      <c r="BN67" s="38"/>
      <c r="BO67" s="4"/>
      <c r="BP67" s="38"/>
      <c r="BQ67" s="38"/>
      <c r="BR67" s="38"/>
      <c r="BS67" s="38"/>
      <c r="BT67" s="4"/>
      <c r="BU67" s="38"/>
      <c r="BV67" s="38"/>
      <c r="BW67" s="38"/>
      <c r="BX67" s="38"/>
      <c r="BY67" s="4"/>
      <c r="BZ67" s="38"/>
      <c r="CA67" s="38"/>
      <c r="CB67" s="38"/>
      <c r="CC67" s="38"/>
      <c r="CD67" s="7"/>
      <c r="CE67" s="39">
        <f>CE66/CE64</f>
        <v>0</v>
      </c>
      <c r="CF67" s="39">
        <f>CF66/CF64</f>
        <v>0.13289236319903788</v>
      </c>
      <c r="CG67" s="39">
        <f>CG66/CG64</f>
        <v>0.25822253324002803</v>
      </c>
      <c r="CH67" s="39">
        <f>CH66/CH64</f>
        <v>0.10511009555463233</v>
      </c>
      <c r="CI67" s="8"/>
      <c r="CJ67" s="39">
        <f>CJ66/CJ64</f>
        <v>-2.3269689737470168E-2</v>
      </c>
      <c r="CK67" s="39">
        <f>CK66/CK64</f>
        <v>0.10310247571294263</v>
      </c>
      <c r="CL67" s="39">
        <f>CL66/CL64</f>
        <v>0.27186984201839187</v>
      </c>
      <c r="CM67" s="39">
        <f>CM66/CM64</f>
        <v>0.14657980456026057</v>
      </c>
      <c r="CN67" s="44"/>
      <c r="CO67" s="39">
        <f>CO66/CO64</f>
        <v>3.2026504693539473E-2</v>
      </c>
      <c r="CP67" s="39">
        <f>CP66/CP64</f>
        <v>6.0227272727272727E-2</v>
      </c>
      <c r="CQ67" s="39">
        <f>CQ66/CQ64</f>
        <v>0.11752786220871327</v>
      </c>
      <c r="CR67" s="38">
        <f>CR66/CR64</f>
        <v>0.1520792079207921</v>
      </c>
      <c r="CS67" s="856"/>
      <c r="CT67" s="39">
        <f>CT66/CT64</f>
        <v>0.10379415612734409</v>
      </c>
      <c r="CU67" s="39">
        <f>CU66/CU64</f>
        <v>0.10034947578632052</v>
      </c>
      <c r="CV67" s="39">
        <f>CV66/CV64</f>
        <v>0.11111111111111112</v>
      </c>
      <c r="CW67" s="38">
        <f>CW66/CW64</f>
        <v>0.12174989682212133</v>
      </c>
      <c r="CX67" s="6"/>
      <c r="CY67" s="39">
        <f>CY66/CY64</f>
        <v>8.4821428571428575E-2</v>
      </c>
      <c r="CZ67" s="39">
        <f>CZ66/CZ64</f>
        <v>9.1397849462365593E-2</v>
      </c>
      <c r="DA67" s="39">
        <f>DA66/DA64</f>
        <v>0.11466666666666667</v>
      </c>
      <c r="DB67" s="38">
        <f>DB66/DB64</f>
        <v>0.11546307629538964</v>
      </c>
      <c r="DC67" s="6"/>
      <c r="DD67" s="38">
        <f>DD66/DD64</f>
        <v>6.1842918985776133E-4</v>
      </c>
      <c r="DE67" s="38">
        <f>DE66/DE64</f>
        <v>5.6780595369349506E-2</v>
      </c>
      <c r="DF67" s="38">
        <f>DF66/DF64</f>
        <v>0.12326388888888888</v>
      </c>
      <c r="DG67" s="38">
        <f>DG66/DG64</f>
        <v>6.1818181818181814E-2</v>
      </c>
      <c r="DH67" s="6"/>
      <c r="DI67" s="38">
        <f>DI66/DI64</f>
        <v>2.3731048121292026E-2</v>
      </c>
      <c r="DJ67" s="38">
        <f>DJ66/DJ64</f>
        <v>8.9088033737480227E-2</v>
      </c>
      <c r="DK67" s="38">
        <f>DK66/DK64</f>
        <v>0.14331649058337162</v>
      </c>
      <c r="DL67" s="38">
        <f>DL66/DL64</f>
        <v>8.6750107898144163E-2</v>
      </c>
    </row>
    <row r="68" spans="1:117" ht="11.25" customHeight="1">
      <c r="A68" s="6"/>
      <c r="B68" s="6" t="s">
        <v>692</v>
      </c>
      <c r="C68" s="48"/>
      <c r="D68" s="48"/>
      <c r="E68" s="48"/>
      <c r="F68" s="48"/>
      <c r="G68" s="48"/>
      <c r="H68" s="48"/>
      <c r="I68" s="48"/>
      <c r="J68" s="48"/>
      <c r="K68" s="48">
        <f t="shared" ref="K68:AH68" si="86">K66-K69</f>
        <v>55.46004759638268</v>
      </c>
      <c r="L68" s="48">
        <f t="shared" si="86"/>
        <v>56.34331270823418</v>
      </c>
      <c r="M68" s="48">
        <f t="shared" si="86"/>
        <v>56.235144991661542</v>
      </c>
      <c r="N68" s="48">
        <f t="shared" si="86"/>
        <v>58.379087224898683</v>
      </c>
      <c r="O68" s="48">
        <f t="shared" si="86"/>
        <v>59.09999999999998</v>
      </c>
      <c r="P68" s="48">
        <f t="shared" si="86"/>
        <v>62.599999999999994</v>
      </c>
      <c r="Q68" s="49">
        <f t="shared" si="86"/>
        <v>60.999999999999986</v>
      </c>
      <c r="R68" s="49">
        <f t="shared" si="86"/>
        <v>57.2</v>
      </c>
      <c r="S68" s="49">
        <f t="shared" si="86"/>
        <v>6.5</v>
      </c>
      <c r="T68" s="48">
        <f t="shared" si="86"/>
        <v>6.0999999999999943</v>
      </c>
      <c r="U68" s="48">
        <f t="shared" si="86"/>
        <v>6.5</v>
      </c>
      <c r="V68" s="48"/>
      <c r="W68" s="48">
        <f t="shared" si="81"/>
        <v>6.0999999999999943</v>
      </c>
      <c r="X68" s="48">
        <f t="shared" si="83"/>
        <v>6.5</v>
      </c>
      <c r="Y68" s="48">
        <f t="shared" si="86"/>
        <v>4.7000000000000028</v>
      </c>
      <c r="Z68" s="48">
        <f t="shared" si="86"/>
        <v>4.0999999999999943</v>
      </c>
      <c r="AA68" s="48">
        <f t="shared" si="86"/>
        <v>4.6829999999999927</v>
      </c>
      <c r="AB68" s="48">
        <f t="shared" si="86"/>
        <v>4.7950000000000017</v>
      </c>
      <c r="AC68" s="1366">
        <f t="shared" si="86"/>
        <v>4.9359999999999928</v>
      </c>
      <c r="AD68" s="2689">
        <f t="shared" si="86"/>
        <v>4.6062000000000012</v>
      </c>
      <c r="AE68" s="2941">
        <f t="shared" si="86"/>
        <v>4.9359999999999928</v>
      </c>
      <c r="AF68" s="2796">
        <f t="shared" si="86"/>
        <v>4.6062000000000012</v>
      </c>
      <c r="AG68" s="2796">
        <f t="shared" si="86"/>
        <v>4.4769599999999912</v>
      </c>
      <c r="AH68" s="2796">
        <f t="shared" si="86"/>
        <v>4.1990679999999969</v>
      </c>
      <c r="AI68" s="2943">
        <f>AH68</f>
        <v>4.1990679999999969</v>
      </c>
      <c r="AJ68" s="2796">
        <f>AJ66-AJ69</f>
        <v>4.194854399999997</v>
      </c>
      <c r="AK68" s="2796">
        <f>AK66-AK69</f>
        <v>3.9850135199999954</v>
      </c>
      <c r="AL68" s="2796">
        <f t="shared" ref="AL68:AQ68" si="87">AL66-AL69</f>
        <v>3.7592528159999858</v>
      </c>
      <c r="AM68" s="2796">
        <f t="shared" si="87"/>
        <v>3.9230215727999962</v>
      </c>
      <c r="AN68" s="2796">
        <f t="shared" si="87"/>
        <v>4.0723489646400139</v>
      </c>
      <c r="AO68" s="2796">
        <f t="shared" si="87"/>
        <v>4.2104895122400023</v>
      </c>
      <c r="AP68" s="2796">
        <f t="shared" si="87"/>
        <v>4.3400541571305666</v>
      </c>
      <c r="AQ68" s="2796">
        <f t="shared" si="87"/>
        <v>4.4631391239897766</v>
      </c>
      <c r="AR68" s="2796">
        <f>AR66-AR69</f>
        <v>4.5814290134428575</v>
      </c>
      <c r="AS68" s="2796">
        <f>AS66-AS69</f>
        <v>4.6962792792903372</v>
      </c>
      <c r="AT68" s="2796">
        <f>AT66-AT69</f>
        <v>4.8087822133390716</v>
      </c>
      <c r="AU68" s="2796">
        <f>AU66-AU69</f>
        <v>4.9198197363761551</v>
      </c>
      <c r="AV68" s="48"/>
      <c r="AW68" s="48"/>
      <c r="AX68" s="48"/>
      <c r="AY68" s="48"/>
      <c r="AZ68" s="38"/>
      <c r="BA68" s="48"/>
      <c r="BB68" s="48"/>
      <c r="BC68" s="48"/>
      <c r="BD68" s="48"/>
      <c r="BE68" s="4"/>
      <c r="BF68" s="48"/>
      <c r="BG68" s="48"/>
      <c r="BH68" s="48"/>
      <c r="BI68" s="48"/>
      <c r="BJ68" s="38"/>
      <c r="BK68" s="48"/>
      <c r="BL68" s="48"/>
      <c r="BM68" s="48"/>
      <c r="BN68" s="48"/>
      <c r="BO68" s="4"/>
      <c r="BP68" s="48"/>
      <c r="BQ68" s="48"/>
      <c r="BR68" s="48"/>
      <c r="BS68" s="48"/>
      <c r="BT68" s="4"/>
      <c r="BU68" s="48"/>
      <c r="BV68" s="48"/>
      <c r="BW68" s="48"/>
      <c r="BX68" s="48"/>
      <c r="BY68" s="4"/>
      <c r="BZ68" s="48"/>
      <c r="CA68" s="48"/>
      <c r="CB68" s="48"/>
      <c r="CC68" s="48"/>
      <c r="CD68" s="7"/>
      <c r="CE68" s="49">
        <f>CE66-CE69</f>
        <v>15.399999999999999</v>
      </c>
      <c r="CF68" s="49">
        <f>CF66-CF69</f>
        <v>15.5</v>
      </c>
      <c r="CG68" s="49">
        <f>CG66-CG69</f>
        <v>15.899999999999991</v>
      </c>
      <c r="CH68" s="49">
        <f>CH66-CH69</f>
        <v>14.200000000000003</v>
      </c>
      <c r="CI68" s="8"/>
      <c r="CJ68" s="49">
        <f>CJ66-CJ69</f>
        <v>12.799999999999995</v>
      </c>
      <c r="CK68" s="49">
        <f>CK66-CK69</f>
        <v>15</v>
      </c>
      <c r="CL68" s="49">
        <f>CL66-CL69</f>
        <v>14.600000000000009</v>
      </c>
      <c r="CM68" s="49">
        <f>CM66-CM69</f>
        <v>14.800000000000004</v>
      </c>
      <c r="CN68" s="44"/>
      <c r="CO68" s="49">
        <f>CO66-CO69</f>
        <v>1.3499999999999996</v>
      </c>
      <c r="CP68" s="49">
        <f>CP66-CP69</f>
        <v>1.6500000000000004</v>
      </c>
      <c r="CQ68" s="49">
        <f>CQ66-CQ69</f>
        <v>1.6499999999999986</v>
      </c>
      <c r="CR68" s="48">
        <f>CR66-CR69</f>
        <v>1.8500000000000014</v>
      </c>
      <c r="CS68" s="856"/>
      <c r="CT68" s="49">
        <f>CT66-CT69</f>
        <v>1.6499999999999986</v>
      </c>
      <c r="CU68" s="49">
        <f>CU66-CU69</f>
        <v>1.25</v>
      </c>
      <c r="CV68" s="49">
        <f>CV66-CV69</f>
        <v>1.4499999999999993</v>
      </c>
      <c r="CW68" s="48">
        <f>CW66-CW69</f>
        <v>1.75</v>
      </c>
      <c r="CX68" s="6"/>
      <c r="CY68" s="49">
        <f>CY66-CY69</f>
        <v>1.75</v>
      </c>
      <c r="CZ68" s="49">
        <f>CZ66-CZ69</f>
        <v>1.6500000000000004</v>
      </c>
      <c r="DA68" s="49">
        <f>DA66-DA69</f>
        <v>1.6499999999999986</v>
      </c>
      <c r="DB68" s="48">
        <f>DB66-DB69</f>
        <v>1.4499999999999993</v>
      </c>
      <c r="DC68" s="48">
        <f>U68-SUM(CY68:DB68)</f>
        <v>0</v>
      </c>
      <c r="DD68" s="48">
        <f>DD66-DD69</f>
        <v>1.4500000000000002</v>
      </c>
      <c r="DE68" s="48">
        <f>DE66-DE69</f>
        <v>1.25</v>
      </c>
      <c r="DF68" s="48">
        <f>DF66-DF69</f>
        <v>1.0500000000000007</v>
      </c>
      <c r="DG68" s="48">
        <f>DG66-DG69</f>
        <v>0.94999999999999929</v>
      </c>
      <c r="DH68" s="42">
        <f>Y68-SUM(DD68:DG68)</f>
        <v>0</v>
      </c>
      <c r="DI68" s="48">
        <f>DI66-DI69</f>
        <v>0.85000000000000009</v>
      </c>
      <c r="DJ68" s="48">
        <f>DJ66-DJ69</f>
        <v>0.85000000000000142</v>
      </c>
      <c r="DK68" s="48">
        <f>DK66-DK69</f>
        <v>0.94999999999999929</v>
      </c>
      <c r="DL68" s="48">
        <f>DL66-DL69</f>
        <v>1.4499999999999993</v>
      </c>
      <c r="DM68" s="42">
        <f>Z68-SUM(DI68:DL68)</f>
        <v>0</v>
      </c>
    </row>
    <row r="69" spans="1:117" ht="11.25" customHeight="1">
      <c r="A69" s="6"/>
      <c r="B69" s="6" t="s">
        <v>683</v>
      </c>
      <c r="C69" s="10"/>
      <c r="D69" s="10"/>
      <c r="E69" s="10"/>
      <c r="F69" s="10"/>
      <c r="G69" s="10"/>
      <c r="H69" s="10"/>
      <c r="I69" s="10"/>
      <c r="J69" s="10"/>
      <c r="K69" s="10">
        <f>'Segment Detail'!F25</f>
        <v>116.85995240361731</v>
      </c>
      <c r="L69" s="10">
        <f>'Segment Detail'!L25</f>
        <v>113.15668729176582</v>
      </c>
      <c r="M69" s="10">
        <f>'Segment Detail'!O25</f>
        <v>128.97997659618281</v>
      </c>
      <c r="N69" s="10">
        <f>'Segment Detail'!S25</f>
        <v>78.533343036612763</v>
      </c>
      <c r="O69" s="10">
        <f>'Segment Detail'!Y25</f>
        <v>101.8</v>
      </c>
      <c r="P69" s="10">
        <f>'Segment Detail'!Z25</f>
        <v>85.5</v>
      </c>
      <c r="Q69" s="37">
        <f>'Segment Detail'!AA25</f>
        <v>119.2</v>
      </c>
      <c r="R69" s="37">
        <f>'Segment Detail'!AB25</f>
        <v>127.60000000000001</v>
      </c>
      <c r="S69" s="37">
        <f>'Segment Detail'!AC25</f>
        <v>71.5</v>
      </c>
      <c r="T69" s="10">
        <f>'Segment Detail'!AD25</f>
        <v>91.100000000000009</v>
      </c>
      <c r="U69" s="10">
        <f>'Segment Detail'!AE25</f>
        <v>81.7</v>
      </c>
      <c r="V69" s="10"/>
      <c r="W69" s="10">
        <f t="shared" si="81"/>
        <v>91.100000000000009</v>
      </c>
      <c r="X69" s="10">
        <f t="shared" si="83"/>
        <v>81.7</v>
      </c>
      <c r="Y69" s="10">
        <f>'Segment Detail'!AF25</f>
        <v>47.699999999999996</v>
      </c>
      <c r="Z69" s="10">
        <f>'Segment Detail'!AG25</f>
        <v>67.700000000000017</v>
      </c>
      <c r="AA69" s="10">
        <f>'Segment Detail'!AH25</f>
        <v>87.317000000000007</v>
      </c>
      <c r="AB69" s="10">
        <f>'Segment Detail'!AI25</f>
        <v>84.204999999999998</v>
      </c>
      <c r="AC69" s="1626">
        <f>'Segment Detail'!AJ25</f>
        <v>108.06400000000001</v>
      </c>
      <c r="AD69" s="2687">
        <f>'Segment Detail'!AK25</f>
        <v>102.3938</v>
      </c>
      <c r="AE69" s="2939">
        <f>+AC69</f>
        <v>108.06400000000001</v>
      </c>
      <c r="AF69" s="2938">
        <f>+AD69</f>
        <v>102.3938</v>
      </c>
      <c r="AG69" s="2938">
        <f>'Segment Detail'!AL25</f>
        <v>115.52304000000001</v>
      </c>
      <c r="AH69" s="2938">
        <f>'Segment Detail'!AM25</f>
        <v>120.800932</v>
      </c>
      <c r="AI69" s="2943">
        <f>AH69</f>
        <v>120.800932</v>
      </c>
      <c r="AJ69" s="2938">
        <f>'Segment Detail'!AN25</f>
        <v>132.65714560000001</v>
      </c>
      <c r="AK69" s="2938">
        <f>'Segment Detail'!AO25</f>
        <v>132.17825148</v>
      </c>
      <c r="AL69" s="2938">
        <f>'Segment Detail'!AP25</f>
        <v>137.300372184</v>
      </c>
      <c r="AM69" s="2938">
        <f>'Segment Detail'!AQ25</f>
        <v>142.13089062720002</v>
      </c>
      <c r="AN69" s="2938">
        <f>'Segment Detail'!AR25</f>
        <v>147.07573617935998</v>
      </c>
      <c r="AO69" s="2938">
        <f>'Segment Detail'!AS25</f>
        <v>152.13365203463999</v>
      </c>
      <c r="AP69" s="2938">
        <f>'Segment Detail'!AT25</f>
        <v>157.30406492068704</v>
      </c>
      <c r="AQ69" s="2938">
        <f>'Segment Detail'!AU25</f>
        <v>162.58695703538419</v>
      </c>
      <c r="AR69" s="2938">
        <f>'Segment Detail'!AV25</f>
        <v>167.98276376911858</v>
      </c>
      <c r="AS69" s="2938">
        <f>'Segment Detail'!AW25</f>
        <v>173.49229205892232</v>
      </c>
      <c r="AT69" s="2938">
        <f>'Segment Detail'!AX25</f>
        <v>179.11665525163784</v>
      </c>
      <c r="AU69" s="2938">
        <f>'Segment Detail'!AY25</f>
        <v>184.8572211779003</v>
      </c>
      <c r="AV69" s="10"/>
      <c r="AW69" s="10"/>
      <c r="AX69" s="10"/>
      <c r="AY69" s="10"/>
      <c r="AZ69" s="10"/>
      <c r="BA69" s="10"/>
      <c r="BB69" s="10"/>
      <c r="BC69" s="10"/>
      <c r="BD69" s="10"/>
      <c r="BE69" s="4"/>
      <c r="BF69" s="10"/>
      <c r="BG69" s="10"/>
      <c r="BH69" s="10"/>
      <c r="BI69" s="10"/>
      <c r="BJ69" s="10"/>
      <c r="BK69" s="10"/>
      <c r="BL69" s="10"/>
      <c r="BM69" s="10"/>
      <c r="BN69" s="10"/>
      <c r="BO69" s="4"/>
      <c r="BP69" s="10"/>
      <c r="BQ69" s="10"/>
      <c r="BR69" s="10"/>
      <c r="BS69" s="10"/>
      <c r="BT69" s="4"/>
      <c r="BU69" s="10"/>
      <c r="BV69" s="10"/>
      <c r="BW69" s="10"/>
      <c r="BX69" s="10"/>
      <c r="BY69" s="4"/>
      <c r="BZ69" s="10"/>
      <c r="CA69" s="10"/>
      <c r="CB69" s="10"/>
      <c r="CC69" s="10"/>
      <c r="CD69" s="7"/>
      <c r="CE69" s="37">
        <f>'Segment Detail'!CO25</f>
        <v>-15.399999999999999</v>
      </c>
      <c r="CF69" s="37">
        <f>'Segment Detail'!CP25</f>
        <v>28.700000000000003</v>
      </c>
      <c r="CG69" s="37">
        <f>'Segment Detail'!CQ25</f>
        <v>94.800000000000011</v>
      </c>
      <c r="CH69" s="37">
        <f>'Segment Detail'!CR25</f>
        <v>11.099999999999998</v>
      </c>
      <c r="CI69" s="8">
        <f>Q69-SUM(CE69:CH69)</f>
        <v>0</v>
      </c>
      <c r="CJ69" s="37">
        <f>'Segment Detail'!CT25</f>
        <v>-16.699999999999996</v>
      </c>
      <c r="CK69" s="37">
        <f>'Segment Detail'!CU25</f>
        <v>17.899999999999999</v>
      </c>
      <c r="CL69" s="37">
        <f>'Segment Detail'!CV25</f>
        <v>100.69999999999999</v>
      </c>
      <c r="CM69" s="37">
        <f>'Segment Detail'!CW25</f>
        <v>25.699999999999996</v>
      </c>
      <c r="CN69" s="45">
        <f>R69-SUM(CJ69:CM69)</f>
        <v>0</v>
      </c>
      <c r="CO69" s="37">
        <f>'Segment Detail'!CY25</f>
        <v>4.4499999999999993</v>
      </c>
      <c r="CP69" s="37">
        <f>'Segment Detail'!CZ25</f>
        <v>8.9499999999999993</v>
      </c>
      <c r="CQ69" s="37">
        <f>'Segment Detail'!DA25</f>
        <v>21.55</v>
      </c>
      <c r="CR69" s="10">
        <f>'Segment Detail'!DB25</f>
        <v>36.550000000000004</v>
      </c>
      <c r="CS69" s="857">
        <f>S69-SUM(CO69:CR69)</f>
        <v>0</v>
      </c>
      <c r="CT69" s="37">
        <f>'Segment Detail'!DD25</f>
        <v>22.150000000000002</v>
      </c>
      <c r="CU69" s="37">
        <f>'Segment Detail'!DE25</f>
        <v>18.850000000000001</v>
      </c>
      <c r="CV69" s="37">
        <f>'Segment Detail'!DF25</f>
        <v>22.35</v>
      </c>
      <c r="CW69" s="10">
        <f>'Segment Detail'!DG25</f>
        <v>27.75</v>
      </c>
      <c r="CX69" s="48">
        <f>T69-SUM(CT69:CW69)</f>
        <v>0</v>
      </c>
      <c r="CY69" s="37">
        <f>'Segment Detail'!DI25</f>
        <v>15.350000000000001</v>
      </c>
      <c r="CZ69" s="37">
        <f>'Segment Detail'!DJ25</f>
        <v>15.35</v>
      </c>
      <c r="DA69" s="37">
        <f>'Segment Detail'!DK25</f>
        <v>24.150000000000002</v>
      </c>
      <c r="DB69" s="10">
        <f>'Segment Detail'!DL25</f>
        <v>26.85</v>
      </c>
      <c r="DC69" s="48">
        <f>U69-SUM(CY69:DB69)</f>
        <v>0</v>
      </c>
      <c r="DD69" s="10">
        <f>'Segment Detail'!DN25</f>
        <v>-1.35</v>
      </c>
      <c r="DE69" s="10">
        <f>'Segment Detail'!DO25</f>
        <v>9.0500000000000007</v>
      </c>
      <c r="DF69" s="10">
        <f>'Segment Detail'!DP25</f>
        <v>27.349999999999998</v>
      </c>
      <c r="DG69" s="10">
        <f>'Segment Detail'!DQ25</f>
        <v>12.65</v>
      </c>
      <c r="DH69" s="42">
        <f>Y69-SUM(DD69:DG69)</f>
        <v>0</v>
      </c>
      <c r="DI69" s="10">
        <f>'Segment Detail'!DS25</f>
        <v>2.75</v>
      </c>
      <c r="DJ69" s="10">
        <f>'Segment Detail'!DT25</f>
        <v>16.049999999999997</v>
      </c>
      <c r="DK69" s="10">
        <f>'Segment Detail'!DU25</f>
        <v>30.25</v>
      </c>
      <c r="DL69" s="10">
        <f>'Segment Detail'!DV25</f>
        <v>18.650000000000002</v>
      </c>
      <c r="DM69" s="42">
        <f>Z69-SUM(DI69:DL69)</f>
        <v>0</v>
      </c>
    </row>
    <row r="70" spans="1:117" ht="11.25" customHeight="1">
      <c r="A70" s="6"/>
      <c r="B70" s="43" t="s">
        <v>676</v>
      </c>
      <c r="C70" s="38"/>
      <c r="D70" s="38"/>
      <c r="E70" s="38"/>
      <c r="F70" s="38"/>
      <c r="G70" s="38"/>
      <c r="H70" s="38"/>
      <c r="I70" s="38"/>
      <c r="J70" s="38"/>
      <c r="K70" s="38"/>
      <c r="L70" s="38">
        <f t="shared" ref="L70:AM70" si="88">L69/K69-1</f>
        <v>-3.1689770838353226E-2</v>
      </c>
      <c r="M70" s="38">
        <f t="shared" si="88"/>
        <v>0.13983521153829681</v>
      </c>
      <c r="N70" s="38">
        <f t="shared" si="88"/>
        <v>-0.39111988458108482</v>
      </c>
      <c r="O70" s="38">
        <f t="shared" si="88"/>
        <v>0.29626469552607948</v>
      </c>
      <c r="P70" s="38">
        <f t="shared" si="88"/>
        <v>-0.16011787819253431</v>
      </c>
      <c r="Q70" s="39">
        <f t="shared" si="88"/>
        <v>0.3941520467836257</v>
      </c>
      <c r="R70" s="39">
        <f t="shared" si="88"/>
        <v>7.0469798657718075E-2</v>
      </c>
      <c r="S70" s="39">
        <f t="shared" si="88"/>
        <v>-0.43965517241379315</v>
      </c>
      <c r="T70" s="38">
        <f t="shared" si="88"/>
        <v>0.2741258741258743</v>
      </c>
      <c r="U70" s="38">
        <f>U69/T69-1</f>
        <v>-0.10318331503841938</v>
      </c>
      <c r="V70" s="38"/>
      <c r="W70" s="38">
        <f t="shared" si="81"/>
        <v>0.2741258741258743</v>
      </c>
      <c r="X70" s="38">
        <f>X69/W69-1</f>
        <v>-0.10318331503841938</v>
      </c>
      <c r="Y70" s="38">
        <f>Y69/X69-1</f>
        <v>-0.41615667074663409</v>
      </c>
      <c r="Z70" s="38">
        <f t="shared" si="88"/>
        <v>0.41928721174004235</v>
      </c>
      <c r="AA70" s="38">
        <f t="shared" si="88"/>
        <v>0.2897636632200884</v>
      </c>
      <c r="AB70" s="38">
        <f t="shared" si="88"/>
        <v>-3.5640253329821348E-2</v>
      </c>
      <c r="AC70" s="1110">
        <f t="shared" si="88"/>
        <v>0.28334421946440247</v>
      </c>
      <c r="AD70" s="2688">
        <f>AD69/AC69-1</f>
        <v>-5.2470758069292356E-2</v>
      </c>
      <c r="AE70" s="2940"/>
      <c r="AF70" s="2802">
        <f>AF69/AE69-1</f>
        <v>-5.2470758069292356E-2</v>
      </c>
      <c r="AG70" s="2802">
        <f>AG69/AF69-1</f>
        <v>0.12822299787682456</v>
      </c>
      <c r="AH70" s="2802">
        <f t="shared" si="88"/>
        <v>4.568692098130378E-2</v>
      </c>
      <c r="AI70" s="2943"/>
      <c r="AJ70" s="2802">
        <f>AJ69/AH69-1</f>
        <v>9.814670635157019E-2</v>
      </c>
      <c r="AK70" s="2802">
        <f t="shared" si="88"/>
        <v>-3.6100137526252629E-3</v>
      </c>
      <c r="AL70" s="2802">
        <f t="shared" si="88"/>
        <v>3.8751614933981937E-2</v>
      </c>
      <c r="AM70" s="2802">
        <f t="shared" si="88"/>
        <v>3.5182121988180048E-2</v>
      </c>
      <c r="AN70" s="2802">
        <f t="shared" ref="AN70:AU70" si="89">AN69/AM69-1</f>
        <v>3.4790787071967033E-2</v>
      </c>
      <c r="AO70" s="2802">
        <f t="shared" si="89"/>
        <v>3.4389872773520125E-2</v>
      </c>
      <c r="AP70" s="2802">
        <f t="shared" si="89"/>
        <v>3.3985990718672587E-2</v>
      </c>
      <c r="AQ70" s="2802">
        <f t="shared" si="89"/>
        <v>3.3583951675761226E-2</v>
      </c>
      <c r="AR70" s="2802">
        <f t="shared" si="89"/>
        <v>3.318720537072406E-2</v>
      </c>
      <c r="AS70" s="2802">
        <f t="shared" si="89"/>
        <v>3.2798176230605547E-2</v>
      </c>
      <c r="AT70" s="2802">
        <f t="shared" si="89"/>
        <v>3.241851915130245E-2</v>
      </c>
      <c r="AU70" s="2802">
        <f t="shared" si="89"/>
        <v>3.2049313997057682E-2</v>
      </c>
      <c r="AV70" s="38"/>
      <c r="AW70" s="38"/>
      <c r="AX70" s="38"/>
      <c r="AY70" s="38"/>
      <c r="AZ70" s="10"/>
      <c r="BA70" s="38"/>
      <c r="BB70" s="38"/>
      <c r="BC70" s="38"/>
      <c r="BD70" s="38"/>
      <c r="BE70" s="4"/>
      <c r="BF70" s="38"/>
      <c r="BG70" s="38"/>
      <c r="BH70" s="38"/>
      <c r="BI70" s="38"/>
      <c r="BJ70" s="10"/>
      <c r="BK70" s="38"/>
      <c r="BL70" s="38"/>
      <c r="BM70" s="38"/>
      <c r="BN70" s="38"/>
      <c r="BO70" s="4"/>
      <c r="BP70" s="38"/>
      <c r="BQ70" s="38"/>
      <c r="BR70" s="38"/>
      <c r="BS70" s="38"/>
      <c r="BT70" s="4"/>
      <c r="BU70" s="38"/>
      <c r="BV70" s="38"/>
      <c r="BW70" s="38"/>
      <c r="BX70" s="38"/>
      <c r="BY70" s="4"/>
      <c r="BZ70" s="38"/>
      <c r="CA70" s="38"/>
      <c r="CB70" s="38"/>
      <c r="CC70" s="38"/>
      <c r="CD70" s="7"/>
      <c r="CE70" s="39"/>
      <c r="CF70" s="39"/>
      <c r="CG70" s="39"/>
      <c r="CH70" s="39"/>
      <c r="CI70" s="8"/>
      <c r="CJ70" s="39">
        <f>CJ69/CE69-1</f>
        <v>8.4415584415584277E-2</v>
      </c>
      <c r="CK70" s="39">
        <f>CK69/CF69-1</f>
        <v>-0.37630662020905936</v>
      </c>
      <c r="CL70" s="39">
        <f>CL69/CG69-1</f>
        <v>6.2236286919830963E-2</v>
      </c>
      <c r="CM70" s="39">
        <f>CM69/CH69-1</f>
        <v>1.3153153153153152</v>
      </c>
      <c r="CN70" s="44"/>
      <c r="CO70" s="39">
        <f>CO69/CJ69-1</f>
        <v>-1.2664670658682635</v>
      </c>
      <c r="CP70" s="39">
        <f>CP69/CK69-1</f>
        <v>-0.5</v>
      </c>
      <c r="CQ70" s="39">
        <f>CQ69/CL69-1</f>
        <v>-0.7859980139026812</v>
      </c>
      <c r="CR70" s="38">
        <f>CR69/CM69-1</f>
        <v>0.42217898832684875</v>
      </c>
      <c r="CS70" s="856"/>
      <c r="CT70" s="39">
        <f>CT69/CO69-1</f>
        <v>3.9775280898876417</v>
      </c>
      <c r="CU70" s="39">
        <f>CU69/CP69-1</f>
        <v>1.1061452513966485</v>
      </c>
      <c r="CV70" s="39">
        <f>CV69/CQ69-1</f>
        <v>3.7122969837587005E-2</v>
      </c>
      <c r="CW70" s="38">
        <f>CW69/CR69-1</f>
        <v>-0.24076607387140914</v>
      </c>
      <c r="CX70" s="6"/>
      <c r="CY70" s="39">
        <f>CY69/CT69-1</f>
        <v>-0.30699774266365687</v>
      </c>
      <c r="CZ70" s="39">
        <f>CZ69/CU69-1</f>
        <v>-0.18567639257294433</v>
      </c>
      <c r="DA70" s="39">
        <f>DA69/CV69-1</f>
        <v>8.0536912751677958E-2</v>
      </c>
      <c r="DB70" s="38">
        <f>DB69/CW69-1</f>
        <v>-3.2432432432432434E-2</v>
      </c>
      <c r="DC70" s="6"/>
      <c r="DD70" s="39">
        <f>DD69/CY69-1</f>
        <v>-1.0879478827361564</v>
      </c>
      <c r="DE70" s="39">
        <f>DE69/CZ69-1</f>
        <v>-0.4104234527687296</v>
      </c>
      <c r="DF70" s="39">
        <f>DF69/DA69-1</f>
        <v>0.13250517598343658</v>
      </c>
      <c r="DG70" s="38">
        <f>DG69/DB69-1</f>
        <v>-0.52886405959031657</v>
      </c>
      <c r="DH70" s="6"/>
      <c r="DI70" s="39">
        <f>DI69/DD69-1</f>
        <v>-3.0370370370370368</v>
      </c>
      <c r="DJ70" s="39">
        <f>DJ69/DE69-1</f>
        <v>0.77348066298342499</v>
      </c>
      <c r="DK70" s="39">
        <f>DK69/DF69-1</f>
        <v>0.10603290676416832</v>
      </c>
      <c r="DL70" s="38">
        <f>DL69/DG69-1</f>
        <v>0.47430830039525707</v>
      </c>
    </row>
    <row r="71" spans="1:117" ht="11.25" customHeight="1">
      <c r="A71" s="6"/>
      <c r="B71" s="43" t="s">
        <v>690</v>
      </c>
      <c r="C71" s="38"/>
      <c r="D71" s="38"/>
      <c r="E71" s="38"/>
      <c r="F71" s="38"/>
      <c r="G71" s="38"/>
      <c r="H71" s="38"/>
      <c r="I71" s="38"/>
      <c r="J71" s="38"/>
      <c r="K71" s="38">
        <f t="shared" ref="K71:AJ71" si="90">K69/K64</f>
        <v>0.11854326679206463</v>
      </c>
      <c r="L71" s="38">
        <f t="shared" si="90"/>
        <v>0.11298720648204276</v>
      </c>
      <c r="M71" s="38">
        <f t="shared" si="90"/>
        <v>0.12903451646513728</v>
      </c>
      <c r="N71" s="38">
        <f t="shared" si="90"/>
        <v>7.5681234713560031E-2</v>
      </c>
      <c r="O71" s="38">
        <f t="shared" si="90"/>
        <v>9.6906235126130405E-2</v>
      </c>
      <c r="P71" s="38">
        <f t="shared" si="90"/>
        <v>7.9958851585149163E-2</v>
      </c>
      <c r="Q71" s="39">
        <f t="shared" si="90"/>
        <v>0.10268780151619573</v>
      </c>
      <c r="R71" s="39">
        <f t="shared" si="90"/>
        <v>0.107488838345548</v>
      </c>
      <c r="S71" s="39">
        <f t="shared" si="90"/>
        <v>8.8599752168525406E-2</v>
      </c>
      <c r="T71" s="38">
        <f t="shared" si="90"/>
        <v>0.10281006658390701</v>
      </c>
      <c r="U71" s="38">
        <f t="shared" si="90"/>
        <v>9.5254751078465663E-2</v>
      </c>
      <c r="V71" s="38"/>
      <c r="W71" s="38">
        <f t="shared" si="81"/>
        <v>0.10281006658390701</v>
      </c>
      <c r="X71" s="38">
        <f t="shared" si="83"/>
        <v>9.5254751078465663E-2</v>
      </c>
      <c r="Y71" s="38">
        <f t="shared" si="90"/>
        <v>6.0113421550094512E-2</v>
      </c>
      <c r="Z71" s="38">
        <f t="shared" si="90"/>
        <v>8.5609509357612565E-2</v>
      </c>
      <c r="AA71" s="38">
        <f t="shared" si="90"/>
        <v>0.11094917407878019</v>
      </c>
      <c r="AB71" s="38">
        <f t="shared" si="90"/>
        <v>0.10658860759493671</v>
      </c>
      <c r="AC71" s="1110">
        <f t="shared" si="90"/>
        <v>0.13357725587144623</v>
      </c>
      <c r="AD71" s="2688">
        <f t="shared" si="90"/>
        <v>0.13161156812339331</v>
      </c>
      <c r="AE71" s="2940">
        <f t="shared" si="90"/>
        <v>0.13357725587144623</v>
      </c>
      <c r="AF71" s="2802">
        <f t="shared" si="90"/>
        <v>0.13161156812339331</v>
      </c>
      <c r="AG71" s="2802">
        <f t="shared" si="90"/>
        <v>0.14810646153846155</v>
      </c>
      <c r="AH71" s="2802">
        <f t="shared" si="90"/>
        <v>0.1574979556714472</v>
      </c>
      <c r="AI71" s="2943"/>
      <c r="AJ71" s="2802">
        <f t="shared" si="90"/>
        <v>0.16499644975124378</v>
      </c>
      <c r="AK71" s="2802">
        <f t="shared" ref="AK71:AQ71" si="91">AK69/AK64</f>
        <v>0.16197124167340637</v>
      </c>
      <c r="AL71" s="2802">
        <f t="shared" si="91"/>
        <v>0.16494891064815015</v>
      </c>
      <c r="AM71" s="2802">
        <f t="shared" si="91"/>
        <v>0.16740408171018706</v>
      </c>
      <c r="AN71" s="2802">
        <f t="shared" si="91"/>
        <v>0.16983157007053368</v>
      </c>
      <c r="AO71" s="2802">
        <f t="shared" si="91"/>
        <v>0.17222750603743778</v>
      </c>
      <c r="AP71" s="2802">
        <f t="shared" si="91"/>
        <v>0.17458904750894733</v>
      </c>
      <c r="AQ71" s="2802">
        <f t="shared" si="91"/>
        <v>0.17691415455255388</v>
      </c>
      <c r="AR71" s="2802">
        <f>AR69/AR64</f>
        <v>0.17920141267909562</v>
      </c>
      <c r="AS71" s="2802">
        <f>AS69/AS64</f>
        <v>0.18144989430678243</v>
      </c>
      <c r="AT71" s="2802">
        <f>AT69/AT64</f>
        <v>0.18365905017683201</v>
      </c>
      <c r="AU71" s="2802">
        <f>AU69/AU64</f>
        <v>0.1858286242591673</v>
      </c>
      <c r="AV71" s="38"/>
      <c r="AW71" s="38"/>
      <c r="AX71" s="38"/>
      <c r="AY71" s="38"/>
      <c r="AZ71" s="38"/>
      <c r="BA71" s="38"/>
      <c r="BB71" s="38"/>
      <c r="BC71" s="38"/>
      <c r="BD71" s="38"/>
      <c r="BE71" s="4"/>
      <c r="BF71" s="38"/>
      <c r="BG71" s="38"/>
      <c r="BH71" s="38"/>
      <c r="BI71" s="38"/>
      <c r="BJ71" s="38"/>
      <c r="BK71" s="38"/>
      <c r="BL71" s="38"/>
      <c r="BM71" s="38"/>
      <c r="BN71" s="38"/>
      <c r="BO71" s="4"/>
      <c r="BP71" s="38"/>
      <c r="BQ71" s="38"/>
      <c r="BR71" s="38"/>
      <c r="BS71" s="38"/>
      <c r="BT71" s="4"/>
      <c r="BU71" s="38"/>
      <c r="BV71" s="38"/>
      <c r="BW71" s="38"/>
      <c r="BX71" s="38"/>
      <c r="BY71" s="4"/>
      <c r="BZ71" s="38"/>
      <c r="CA71" s="38"/>
      <c r="CB71" s="38"/>
      <c r="CC71" s="38"/>
      <c r="CD71" s="7"/>
      <c r="CE71" s="39">
        <f>CE69/CE64</f>
        <v>-9.6977329974811066E-2</v>
      </c>
      <c r="CF71" s="39">
        <f>CF69/CF64</f>
        <v>8.6289837642814199E-2</v>
      </c>
      <c r="CG71" s="39">
        <f>CG69/CG64</f>
        <v>0.22113365990202943</v>
      </c>
      <c r="CH71" s="39">
        <f>CH69/CH64</f>
        <v>4.6115496468633145E-2</v>
      </c>
      <c r="CI71" s="8"/>
      <c r="CJ71" s="39">
        <f>CJ69/CJ64</f>
        <v>-9.9642004773269663E-2</v>
      </c>
      <c r="CK71" s="39">
        <f>CK69/CK64</f>
        <v>5.6095267941084291E-2</v>
      </c>
      <c r="CL71" s="39">
        <f>CL69/CL64</f>
        <v>0.23744399905682617</v>
      </c>
      <c r="CM71" s="39">
        <f>CM69/CM64</f>
        <v>9.3014838943177691E-2</v>
      </c>
      <c r="CN71" s="44"/>
      <c r="CO71" s="39">
        <f>CO69/CO64</f>
        <v>2.4572059635560455E-2</v>
      </c>
      <c r="CP71" s="39">
        <f>CP69/CP64</f>
        <v>5.0852272727272725E-2</v>
      </c>
      <c r="CQ71" s="39">
        <f>CQ69/CQ64</f>
        <v>0.10916919959473151</v>
      </c>
      <c r="CR71" s="38">
        <f>CR69/CR64</f>
        <v>0.14475247524752477</v>
      </c>
      <c r="CS71" s="856"/>
      <c r="CT71" s="39">
        <f>CT69/CT64</f>
        <v>9.6598342782381164E-2</v>
      </c>
      <c r="CU71" s="39">
        <f>CU69/CU64</f>
        <v>9.4108836744882685E-2</v>
      </c>
      <c r="CV71" s="39">
        <f>CV69/CV64</f>
        <v>0.10434173669467789</v>
      </c>
      <c r="CW71" s="38">
        <f>CW69/CW64</f>
        <v>0.1145274453157243</v>
      </c>
      <c r="CX71" s="6"/>
      <c r="CY71" s="39">
        <f>CY69/CY64</f>
        <v>7.6140873015873023E-2</v>
      </c>
      <c r="CZ71" s="39">
        <f>CZ69/CZ64</f>
        <v>8.2526881720430101E-2</v>
      </c>
      <c r="DA71" s="39">
        <f>DA69/DA64</f>
        <v>0.10733333333333334</v>
      </c>
      <c r="DB71" s="38">
        <f>DB69/DB64</f>
        <v>0.10954712362301103</v>
      </c>
      <c r="DC71" s="6"/>
      <c r="DD71" s="39">
        <f>DD69/DD64</f>
        <v>-8.3487940630797789E-3</v>
      </c>
      <c r="DE71" s="39">
        <f>DE69/DE64</f>
        <v>4.988974641675855E-2</v>
      </c>
      <c r="DF71" s="39">
        <f>DF69/DF64</f>
        <v>0.11870659722222221</v>
      </c>
      <c r="DG71" s="38">
        <f>DG69/DG64</f>
        <v>5.7500000000000002E-2</v>
      </c>
      <c r="DH71" s="6"/>
      <c r="DI71" s="39">
        <f>DI69/DI64</f>
        <v>1.8127883981542518E-2</v>
      </c>
      <c r="DJ71" s="39">
        <f>DJ69/DJ64</f>
        <v>8.4607274644175001E-2</v>
      </c>
      <c r="DK71" s="39">
        <f>DK69/DK64</f>
        <v>0.13895268718419845</v>
      </c>
      <c r="DL71" s="38">
        <f>DL69/DL64</f>
        <v>8.0492015537332776E-2</v>
      </c>
    </row>
    <row r="72" spans="1:117" ht="11.25" customHeight="1">
      <c r="A72" s="6"/>
      <c r="B72" s="6" t="s">
        <v>733</v>
      </c>
      <c r="C72" s="48"/>
      <c r="D72" s="48"/>
      <c r="E72" s="48"/>
      <c r="F72" s="48"/>
      <c r="G72" s="48"/>
      <c r="H72" s="48"/>
      <c r="I72" s="48"/>
      <c r="J72" s="38"/>
      <c r="K72" s="48">
        <f t="shared" ref="K72:AF72" si="92">K69-K73</f>
        <v>8</v>
      </c>
      <c r="L72" s="48">
        <f t="shared" si="92"/>
        <v>8</v>
      </c>
      <c r="M72" s="48">
        <f t="shared" si="92"/>
        <v>8</v>
      </c>
      <c r="N72" s="48">
        <f t="shared" si="92"/>
        <v>8</v>
      </c>
      <c r="O72" s="48">
        <f t="shared" si="92"/>
        <v>8</v>
      </c>
      <c r="P72" s="48">
        <f t="shared" si="92"/>
        <v>8</v>
      </c>
      <c r="Q72" s="49">
        <f t="shared" si="92"/>
        <v>8</v>
      </c>
      <c r="R72" s="49">
        <f t="shared" si="92"/>
        <v>10</v>
      </c>
      <c r="S72" s="49">
        <f t="shared" si="92"/>
        <v>3</v>
      </c>
      <c r="T72" s="48">
        <f t="shared" si="92"/>
        <v>3</v>
      </c>
      <c r="U72" s="48">
        <f t="shared" si="92"/>
        <v>3</v>
      </c>
      <c r="V72" s="48"/>
      <c r="W72" s="48">
        <f t="shared" si="81"/>
        <v>3</v>
      </c>
      <c r="X72" s="48">
        <f t="shared" si="83"/>
        <v>3</v>
      </c>
      <c r="Y72" s="48">
        <f t="shared" si="92"/>
        <v>3</v>
      </c>
      <c r="Z72" s="48">
        <f t="shared" si="92"/>
        <v>3</v>
      </c>
      <c r="AA72" s="48">
        <f t="shared" si="92"/>
        <v>2.4000000000000057</v>
      </c>
      <c r="AB72" s="48">
        <f t="shared" si="92"/>
        <v>1.9200000000000017</v>
      </c>
      <c r="AC72" s="1366">
        <f t="shared" si="92"/>
        <v>1.5360000000000014</v>
      </c>
      <c r="AD72" s="2689">
        <f t="shared" si="92"/>
        <v>1.2288000000000068</v>
      </c>
      <c r="AE72" s="2941">
        <f t="shared" si="92"/>
        <v>1.5360000000000014</v>
      </c>
      <c r="AF72" s="2796">
        <f t="shared" si="92"/>
        <v>1.2288000000000068</v>
      </c>
      <c r="AG72" s="2796">
        <f>AG69-AG73</f>
        <v>0.98304000000000258</v>
      </c>
      <c r="AH72" s="2796">
        <f t="shared" ref="AH72:AO72" si="93">AH69-AH73</f>
        <v>0.7864320000000049</v>
      </c>
      <c r="AI72" s="2943">
        <f>AH72</f>
        <v>0.7864320000000049</v>
      </c>
      <c r="AJ72" s="2796">
        <f t="shared" si="93"/>
        <v>0.62914559999998687</v>
      </c>
      <c r="AK72" s="2796">
        <f t="shared" si="93"/>
        <v>0.50331647999999518</v>
      </c>
      <c r="AL72" s="2796">
        <f t="shared" si="93"/>
        <v>0.40265318400000183</v>
      </c>
      <c r="AM72" s="2796">
        <f t="shared" si="93"/>
        <v>0.32212254719999578</v>
      </c>
      <c r="AN72" s="2796">
        <f t="shared" si="93"/>
        <v>0.25769803776000799</v>
      </c>
      <c r="AO72" s="2796">
        <f t="shared" si="93"/>
        <v>0.20615843020800639</v>
      </c>
      <c r="AP72" s="2796">
        <f t="shared" ref="AP72:AU72" si="94">AP69-AP73</f>
        <v>0.16492674416639375</v>
      </c>
      <c r="AQ72" s="2796">
        <f t="shared" si="94"/>
        <v>0.131941395333115</v>
      </c>
      <c r="AR72" s="2796">
        <f t="shared" si="94"/>
        <v>0.105553116266492</v>
      </c>
      <c r="AS72" s="2796">
        <f t="shared" si="94"/>
        <v>8.4442493013199282E-2</v>
      </c>
      <c r="AT72" s="2796">
        <f t="shared" si="94"/>
        <v>6.7553994410559426E-2</v>
      </c>
      <c r="AU72" s="2796">
        <f t="shared" si="94"/>
        <v>5.4043195528436172E-2</v>
      </c>
      <c r="AV72" s="48"/>
      <c r="AW72" s="48"/>
      <c r="AX72" s="48"/>
      <c r="AY72" s="48"/>
      <c r="AZ72" s="38"/>
      <c r="BA72" s="48"/>
      <c r="BB72" s="48"/>
      <c r="BC72" s="48"/>
      <c r="BD72" s="48"/>
      <c r="BE72" s="4"/>
      <c r="BF72" s="48"/>
      <c r="BG72" s="48"/>
      <c r="BH72" s="48"/>
      <c r="BI72" s="48"/>
      <c r="BJ72" s="38"/>
      <c r="BK72" s="48"/>
      <c r="BL72" s="48"/>
      <c r="BM72" s="48"/>
      <c r="BN72" s="48"/>
      <c r="BO72" s="4"/>
      <c r="BP72" s="48"/>
      <c r="BQ72" s="48"/>
      <c r="BR72" s="48"/>
      <c r="BS72" s="48"/>
      <c r="BT72" s="4"/>
      <c r="BU72" s="48"/>
      <c r="BV72" s="48"/>
      <c r="BW72" s="48"/>
      <c r="BX72" s="48"/>
      <c r="BY72" s="4"/>
      <c r="BZ72" s="48"/>
      <c r="CA72" s="48"/>
      <c r="CB72" s="48"/>
      <c r="CC72" s="48"/>
      <c r="CD72" s="7"/>
      <c r="CE72" s="49">
        <f>CE69-CE73</f>
        <v>2</v>
      </c>
      <c r="CF72" s="49">
        <f>CF69-CF73</f>
        <v>2</v>
      </c>
      <c r="CG72" s="49">
        <f>CG69-CG73</f>
        <v>2</v>
      </c>
      <c r="CH72" s="49">
        <f>CH69-CH73</f>
        <v>2</v>
      </c>
      <c r="CI72" s="8">
        <f>Q72-SUM(CE72:CH72)</f>
        <v>0</v>
      </c>
      <c r="CJ72" s="49">
        <f>CJ69-CJ73</f>
        <v>2.5</v>
      </c>
      <c r="CK72" s="49">
        <f>CK69-CK73</f>
        <v>2.5</v>
      </c>
      <c r="CL72" s="49">
        <f>CL69-CL73</f>
        <v>2.5</v>
      </c>
      <c r="CM72" s="49">
        <f>CM69-CM73</f>
        <v>2.5</v>
      </c>
      <c r="CN72" s="44"/>
      <c r="CO72" s="49">
        <f>CO69-CO73</f>
        <v>0.75</v>
      </c>
      <c r="CP72" s="49">
        <f>CP69-CP73</f>
        <v>0.75</v>
      </c>
      <c r="CQ72" s="49">
        <f>CQ69-CQ73</f>
        <v>0.75</v>
      </c>
      <c r="CR72" s="48">
        <f>CR69-CR73</f>
        <v>0.75</v>
      </c>
      <c r="CS72" s="856"/>
      <c r="CT72" s="49">
        <f>CT69-CT73</f>
        <v>0.75</v>
      </c>
      <c r="CU72" s="49">
        <f>CU69-CU73</f>
        <v>0.75</v>
      </c>
      <c r="CV72" s="49">
        <f>CV69-CV73</f>
        <v>0.75</v>
      </c>
      <c r="CW72" s="48">
        <f>CW69-CW73</f>
        <v>0.75</v>
      </c>
      <c r="CX72" s="6"/>
      <c r="CY72" s="49">
        <f>CY69-CY73</f>
        <v>0.75</v>
      </c>
      <c r="CZ72" s="49">
        <f>CZ69-CZ73</f>
        <v>0.75</v>
      </c>
      <c r="DA72" s="49">
        <f>DA69-DA73</f>
        <v>0.75</v>
      </c>
      <c r="DB72" s="48">
        <f>DB69-DB73</f>
        <v>0.75</v>
      </c>
      <c r="DC72" s="48">
        <f>U72-SUM(CY72:DB72)</f>
        <v>0</v>
      </c>
      <c r="DD72" s="49">
        <f>DD69-DD73</f>
        <v>0.75</v>
      </c>
      <c r="DE72" s="49">
        <f>DE69-DE73</f>
        <v>0.75</v>
      </c>
      <c r="DF72" s="49">
        <f>DF69-DF73</f>
        <v>0.75</v>
      </c>
      <c r="DG72" s="48">
        <f>DG69-DG73</f>
        <v>0.75</v>
      </c>
      <c r="DH72" s="42">
        <f>Y72-SUM(DD72:DG72)</f>
        <v>0</v>
      </c>
      <c r="DI72" s="48">
        <f>DI69-DI73</f>
        <v>0.75</v>
      </c>
      <c r="DJ72" s="48">
        <f>DJ69-DJ73</f>
        <v>0.75</v>
      </c>
      <c r="DK72" s="48">
        <f>DK69-DK73</f>
        <v>0.75</v>
      </c>
      <c r="DL72" s="48">
        <f>DL69-DL73</f>
        <v>0.75</v>
      </c>
      <c r="DM72" s="42">
        <f>Z72-SUM(DI72:DL72)</f>
        <v>0</v>
      </c>
    </row>
    <row r="73" spans="1:117" ht="11.25" customHeight="1">
      <c r="A73" s="6"/>
      <c r="B73" s="6" t="s">
        <v>685</v>
      </c>
      <c r="C73" s="10"/>
      <c r="D73" s="10"/>
      <c r="E73" s="10"/>
      <c r="F73" s="10"/>
      <c r="G73" s="10"/>
      <c r="H73" s="10"/>
      <c r="I73" s="10"/>
      <c r="J73" s="10"/>
      <c r="K73" s="10">
        <f>'Segment Detail'!F29</f>
        <v>108.85995240361731</v>
      </c>
      <c r="L73" s="10">
        <f>'Segment Detail'!L29</f>
        <v>105.15668729176582</v>
      </c>
      <c r="M73" s="10">
        <f>'Segment Detail'!O29</f>
        <v>120.97997659618281</v>
      </c>
      <c r="N73" s="10">
        <f>'Segment Detail'!S29</f>
        <v>70.533343036612763</v>
      </c>
      <c r="O73" s="10">
        <f>'Segment Detail'!Y29</f>
        <v>93.8</v>
      </c>
      <c r="P73" s="10">
        <f>'Segment Detail'!Z29</f>
        <v>77.5</v>
      </c>
      <c r="Q73" s="37">
        <f>'Segment Detail'!AA29</f>
        <v>111.2</v>
      </c>
      <c r="R73" s="37">
        <f>'Segment Detail'!AB29</f>
        <v>117.60000000000001</v>
      </c>
      <c r="S73" s="37">
        <f>'Segment Detail'!AC29</f>
        <v>68.5</v>
      </c>
      <c r="T73" s="10">
        <f>'Segment Detail'!AD29</f>
        <v>88.100000000000009</v>
      </c>
      <c r="U73" s="10">
        <f>'Segment Detail'!AE29</f>
        <v>78.7</v>
      </c>
      <c r="V73" s="10"/>
      <c r="W73" s="10">
        <f t="shared" si="81"/>
        <v>88.100000000000009</v>
      </c>
      <c r="X73" s="10">
        <f t="shared" si="83"/>
        <v>78.7</v>
      </c>
      <c r="Y73" s="10">
        <f>'Segment Detail'!AF29</f>
        <v>44.699999999999996</v>
      </c>
      <c r="Z73" s="10">
        <f>'Segment Detail'!AG29</f>
        <v>64.700000000000017</v>
      </c>
      <c r="AA73" s="10">
        <f>'Segment Detail'!AH29</f>
        <v>84.917000000000002</v>
      </c>
      <c r="AB73" s="10">
        <f>'Segment Detail'!AI29</f>
        <v>82.284999999999997</v>
      </c>
      <c r="AC73" s="1626">
        <f>'Segment Detail'!AJ29</f>
        <v>106.52800000000001</v>
      </c>
      <c r="AD73" s="2687">
        <f>'Segment Detail'!AK29</f>
        <v>101.16499999999999</v>
      </c>
      <c r="AE73" s="2939">
        <f>+AC73</f>
        <v>106.52800000000001</v>
      </c>
      <c r="AF73" s="2938">
        <f>+AD73</f>
        <v>101.16499999999999</v>
      </c>
      <c r="AG73" s="2938">
        <f>'Segment Detail'!AL29</f>
        <v>114.54</v>
      </c>
      <c r="AH73" s="2938">
        <f>'Segment Detail'!AM29</f>
        <v>120.0145</v>
      </c>
      <c r="AI73" s="2943">
        <f>AH73</f>
        <v>120.0145</v>
      </c>
      <c r="AJ73" s="2938">
        <f>'Segment Detail'!AN29</f>
        <v>132.02800000000002</v>
      </c>
      <c r="AK73" s="2938">
        <f>'Segment Detail'!AO29</f>
        <v>131.674935</v>
      </c>
      <c r="AL73" s="2938">
        <f>'Segment Detail'!AP29</f>
        <v>136.897719</v>
      </c>
      <c r="AM73" s="2938">
        <f>'Segment Detail'!AQ29</f>
        <v>141.80876808000002</v>
      </c>
      <c r="AN73" s="2938">
        <f>'Segment Detail'!AR29</f>
        <v>146.81803814159997</v>
      </c>
      <c r="AO73" s="2938">
        <f>'Segment Detail'!AS29</f>
        <v>151.92749360443199</v>
      </c>
      <c r="AP73" s="2938">
        <f>'Segment Detail'!AT29</f>
        <v>157.13913817652065</v>
      </c>
      <c r="AQ73" s="2938">
        <f>'Segment Detail'!AU29</f>
        <v>162.45501564005107</v>
      </c>
      <c r="AR73" s="2938">
        <f>'Segment Detail'!AV29</f>
        <v>167.87721065285209</v>
      </c>
      <c r="AS73" s="2938">
        <f>'Segment Detail'!AW29</f>
        <v>173.40784956590912</v>
      </c>
      <c r="AT73" s="2938">
        <f>'Segment Detail'!AX29</f>
        <v>179.04910125722728</v>
      </c>
      <c r="AU73" s="2938">
        <f>'Segment Detail'!AY29</f>
        <v>184.80317798237186</v>
      </c>
      <c r="AV73" s="10"/>
      <c r="AW73" s="10"/>
      <c r="AX73" s="10"/>
      <c r="AY73" s="10"/>
      <c r="AZ73" s="10"/>
      <c r="BA73" s="10"/>
      <c r="BB73" s="10"/>
      <c r="BC73" s="10"/>
      <c r="BD73" s="10"/>
      <c r="BE73" s="4"/>
      <c r="BF73" s="10"/>
      <c r="BG73" s="10"/>
      <c r="BH73" s="10"/>
      <c r="BI73" s="10"/>
      <c r="BJ73" s="10"/>
      <c r="BK73" s="10"/>
      <c r="BL73" s="10"/>
      <c r="BM73" s="10"/>
      <c r="BN73" s="10"/>
      <c r="BO73" s="4"/>
      <c r="BP73" s="10"/>
      <c r="BQ73" s="10"/>
      <c r="BR73" s="10"/>
      <c r="BS73" s="10"/>
      <c r="BT73" s="4"/>
      <c r="BU73" s="10"/>
      <c r="BV73" s="10"/>
      <c r="BW73" s="10"/>
      <c r="BX73" s="10"/>
      <c r="BY73" s="4"/>
      <c r="BZ73" s="10"/>
      <c r="CA73" s="10"/>
      <c r="CB73" s="10"/>
      <c r="CC73" s="10"/>
      <c r="CD73" s="7"/>
      <c r="CE73" s="37">
        <f>'Segment Detail'!CO29</f>
        <v>-17.399999999999999</v>
      </c>
      <c r="CF73" s="37">
        <f>'Segment Detail'!CP29</f>
        <v>26.700000000000003</v>
      </c>
      <c r="CG73" s="37">
        <f>'Segment Detail'!CQ29</f>
        <v>92.800000000000011</v>
      </c>
      <c r="CH73" s="37">
        <f>'Segment Detail'!CR29</f>
        <v>9.0999999999999979</v>
      </c>
      <c r="CI73" s="8">
        <f>Q73-SUM(CE73:CH73)</f>
        <v>0</v>
      </c>
      <c r="CJ73" s="37">
        <f>'Segment Detail'!CT29</f>
        <v>-19.199999999999996</v>
      </c>
      <c r="CK73" s="37">
        <f>'Segment Detail'!CU29</f>
        <v>15.399999999999999</v>
      </c>
      <c r="CL73" s="37">
        <f>'Segment Detail'!CV29</f>
        <v>98.199999999999989</v>
      </c>
      <c r="CM73" s="37">
        <f>'Segment Detail'!CW29</f>
        <v>23.199999999999996</v>
      </c>
      <c r="CN73" s="45">
        <f>R73-SUM(CJ73:CM73)</f>
        <v>0</v>
      </c>
      <c r="CO73" s="37">
        <f>'Segment Detail'!CY29</f>
        <v>3.6999999999999993</v>
      </c>
      <c r="CP73" s="37">
        <f>'Segment Detail'!CZ29</f>
        <v>8.1999999999999993</v>
      </c>
      <c r="CQ73" s="37">
        <f>'Segment Detail'!DA29</f>
        <v>20.8</v>
      </c>
      <c r="CR73" s="10">
        <f>'Segment Detail'!DB29</f>
        <v>35.800000000000004</v>
      </c>
      <c r="CS73" s="857">
        <f>S73-SUM(CO73:CR73)</f>
        <v>0</v>
      </c>
      <c r="CT73" s="37">
        <f>'Segment Detail'!DD29</f>
        <v>21.400000000000002</v>
      </c>
      <c r="CU73" s="37">
        <f>'Segment Detail'!DE29</f>
        <v>18.100000000000001</v>
      </c>
      <c r="CV73" s="37">
        <f>'Segment Detail'!DF29</f>
        <v>21.6</v>
      </c>
      <c r="CW73" s="10">
        <f>'Segment Detail'!DG29</f>
        <v>27</v>
      </c>
      <c r="CX73" s="48">
        <f>T73-SUM(CT73:CW73)</f>
        <v>0</v>
      </c>
      <c r="CY73" s="37">
        <f>'Segment Detail'!DI29</f>
        <v>14.600000000000001</v>
      </c>
      <c r="CZ73" s="37">
        <f>'Segment Detail'!DJ29</f>
        <v>14.6</v>
      </c>
      <c r="DA73" s="37">
        <f>'Segment Detail'!DK29</f>
        <v>23.400000000000002</v>
      </c>
      <c r="DB73" s="10">
        <f>'Segment Detail'!DL29</f>
        <v>26.1</v>
      </c>
      <c r="DC73" s="48">
        <f>U73-SUM(CY73:DB73)</f>
        <v>0</v>
      </c>
      <c r="DD73" s="10">
        <f>'Segment Detail'!DN29</f>
        <v>-2.1</v>
      </c>
      <c r="DE73" s="10">
        <f>'Segment Detail'!DO29</f>
        <v>8.3000000000000007</v>
      </c>
      <c r="DF73" s="10">
        <f>'Segment Detail'!DP29</f>
        <v>26.599999999999998</v>
      </c>
      <c r="DG73" s="10">
        <f>'Segment Detail'!DQ29</f>
        <v>11.9</v>
      </c>
      <c r="DH73" s="42">
        <f>Y73-SUM(DD73:DG73)</f>
        <v>0</v>
      </c>
      <c r="DI73" s="10">
        <f>'Segment Detail'!DS29</f>
        <v>2</v>
      </c>
      <c r="DJ73" s="10">
        <f>'Segment Detail'!DT29</f>
        <v>15.299999999999997</v>
      </c>
      <c r="DK73" s="10">
        <f>'Segment Detail'!DU29</f>
        <v>29.5</v>
      </c>
      <c r="DL73" s="10">
        <f>'Segment Detail'!DV29</f>
        <v>17.900000000000002</v>
      </c>
      <c r="DM73" s="42">
        <f>Z73-SUM(DI73:DL73)</f>
        <v>0</v>
      </c>
    </row>
    <row r="74" spans="1:117" ht="11.25" customHeight="1">
      <c r="A74" s="6"/>
      <c r="B74" s="43" t="s">
        <v>676</v>
      </c>
      <c r="C74" s="38"/>
      <c r="D74" s="38"/>
      <c r="E74" s="38"/>
      <c r="F74" s="38"/>
      <c r="G74" s="38"/>
      <c r="H74" s="38"/>
      <c r="I74" s="38"/>
      <c r="J74" s="38"/>
      <c r="K74" s="38"/>
      <c r="L74" s="38">
        <f t="shared" ref="L74:AM74" si="95">L73/K73-1</f>
        <v>-3.4018617775258497E-2</v>
      </c>
      <c r="M74" s="38">
        <f t="shared" si="95"/>
        <v>0.15047344787986683</v>
      </c>
      <c r="N74" s="38">
        <f t="shared" si="95"/>
        <v>-0.41698333045603975</v>
      </c>
      <c r="O74" s="38">
        <f t="shared" si="95"/>
        <v>0.32986749190818698</v>
      </c>
      <c r="P74" s="38">
        <f t="shared" si="95"/>
        <v>-0.17377398720682302</v>
      </c>
      <c r="Q74" s="39">
        <f t="shared" si="95"/>
        <v>0.43483870967741933</v>
      </c>
      <c r="R74" s="39">
        <f t="shared" si="95"/>
        <v>5.755395683453246E-2</v>
      </c>
      <c r="S74" s="39">
        <f t="shared" si="95"/>
        <v>-0.41751700680272108</v>
      </c>
      <c r="T74" s="38">
        <f t="shared" si="95"/>
        <v>0.28613138686131401</v>
      </c>
      <c r="U74" s="38">
        <f>U73/T73-1</f>
        <v>-0.1066969353007946</v>
      </c>
      <c r="V74" s="38"/>
      <c r="W74" s="38">
        <f t="shared" si="81"/>
        <v>0.28613138686131401</v>
      </c>
      <c r="X74" s="38">
        <f>X73/W73-1</f>
        <v>-0.1066969353007946</v>
      </c>
      <c r="Y74" s="38">
        <f>Y73/X73-1</f>
        <v>-0.43202033036848797</v>
      </c>
      <c r="Z74" s="38">
        <f t="shared" si="95"/>
        <v>0.4474272930648775</v>
      </c>
      <c r="AA74" s="38">
        <f t="shared" si="95"/>
        <v>0.31247295208655301</v>
      </c>
      <c r="AB74" s="38">
        <f t="shared" si="95"/>
        <v>-3.0994971560464935E-2</v>
      </c>
      <c r="AC74" s="1110">
        <f t="shared" si="95"/>
        <v>0.29462234915233654</v>
      </c>
      <c r="AD74" s="2688">
        <f>AD73/AC73-1</f>
        <v>-5.0343571643136187E-2</v>
      </c>
      <c r="AE74" s="2940"/>
      <c r="AF74" s="2802">
        <f>AF73/AE73-1</f>
        <v>-5.0343571643136187E-2</v>
      </c>
      <c r="AG74" s="2802">
        <f>AG73/AF73-1</f>
        <v>0.13220975633865484</v>
      </c>
      <c r="AH74" s="2802">
        <f t="shared" si="95"/>
        <v>4.779552994587033E-2</v>
      </c>
      <c r="AI74" s="2943"/>
      <c r="AJ74" s="2802">
        <f>AJ73/AH73-1</f>
        <v>0.10010040453445224</v>
      </c>
      <c r="AK74" s="2802">
        <f t="shared" si="95"/>
        <v>-2.6741676008120718E-3</v>
      </c>
      <c r="AL74" s="2802">
        <f t="shared" si="95"/>
        <v>3.9664223111254948E-2</v>
      </c>
      <c r="AM74" s="2802">
        <f t="shared" si="95"/>
        <v>3.5873856159721829E-2</v>
      </c>
      <c r="AN74" s="2802">
        <f t="shared" ref="AN74:AU74" si="96">AN73/AM73-1</f>
        <v>3.5324120852485041E-2</v>
      </c>
      <c r="AO74" s="2802">
        <f t="shared" si="96"/>
        <v>3.4801278695088866E-2</v>
      </c>
      <c r="AP74" s="2802">
        <f t="shared" si="96"/>
        <v>3.430349865217952E-2</v>
      </c>
      <c r="AQ74" s="2802">
        <f t="shared" si="96"/>
        <v>3.3829111736370265E-2</v>
      </c>
      <c r="AR74" s="2802">
        <f t="shared" si="96"/>
        <v>3.3376593461508675E-2</v>
      </c>
      <c r="AS74" s="2802">
        <f t="shared" si="96"/>
        <v>3.294454852775508E-2</v>
      </c>
      <c r="AT74" s="2802">
        <f t="shared" si="96"/>
        <v>3.2531697414158955E-2</v>
      </c>
      <c r="AU74" s="2802">
        <f t="shared" si="96"/>
        <v>3.2136864607201332E-2</v>
      </c>
      <c r="AV74" s="38"/>
      <c r="AW74" s="38"/>
      <c r="AX74" s="38"/>
      <c r="AY74" s="38"/>
      <c r="AZ74" s="10"/>
      <c r="BA74" s="38"/>
      <c r="BB74" s="38"/>
      <c r="BC74" s="38"/>
      <c r="BD74" s="38"/>
      <c r="BE74" s="4"/>
      <c r="BF74" s="38"/>
      <c r="BG74" s="38"/>
      <c r="BH74" s="38"/>
      <c r="BI74" s="38"/>
      <c r="BJ74" s="10"/>
      <c r="BK74" s="38"/>
      <c r="BL74" s="38"/>
      <c r="BM74" s="38"/>
      <c r="BN74" s="38"/>
      <c r="BO74" s="4"/>
      <c r="BP74" s="38"/>
      <c r="BQ74" s="38"/>
      <c r="BR74" s="38"/>
      <c r="BS74" s="38"/>
      <c r="BT74" s="4"/>
      <c r="BU74" s="38"/>
      <c r="BV74" s="38"/>
      <c r="BW74" s="38"/>
      <c r="BX74" s="38"/>
      <c r="BY74" s="4"/>
      <c r="BZ74" s="38"/>
      <c r="CA74" s="38"/>
      <c r="CB74" s="38"/>
      <c r="CC74" s="38"/>
      <c r="CD74" s="7"/>
      <c r="CE74" s="39"/>
      <c r="CF74" s="39"/>
      <c r="CG74" s="39"/>
      <c r="CH74" s="39"/>
      <c r="CI74" s="8"/>
      <c r="CJ74" s="39">
        <f>CJ73/CE73-1</f>
        <v>0.10344827586206873</v>
      </c>
      <c r="CK74" s="39">
        <f>CK73/CF73-1</f>
        <v>-0.42322097378277168</v>
      </c>
      <c r="CL74" s="39">
        <f>CL73/CG73-1</f>
        <v>5.8189655172413479E-2</v>
      </c>
      <c r="CM74" s="39">
        <f>CM73/CH73-1</f>
        <v>1.5494505494505497</v>
      </c>
      <c r="CN74" s="44"/>
      <c r="CO74" s="39">
        <f>CO73/CJ73-1</f>
        <v>-1.1927083333333333</v>
      </c>
      <c r="CP74" s="39">
        <f>CP73/CK73-1</f>
        <v>-0.46753246753246758</v>
      </c>
      <c r="CQ74" s="39">
        <f>CQ73/CL73-1</f>
        <v>-0.78818737270875761</v>
      </c>
      <c r="CR74" s="38">
        <f>CR73/CM73-1</f>
        <v>0.54310344827586254</v>
      </c>
      <c r="CS74" s="856"/>
      <c r="CT74" s="39">
        <f>CT73/CO73-1</f>
        <v>4.7837837837837851</v>
      </c>
      <c r="CU74" s="39">
        <f>CU73/CP73-1</f>
        <v>1.2073170731707319</v>
      </c>
      <c r="CV74" s="39">
        <f>CV73/CQ73-1</f>
        <v>3.8461538461538547E-2</v>
      </c>
      <c r="CW74" s="38">
        <f>CW73/CR73-1</f>
        <v>-0.24581005586592186</v>
      </c>
      <c r="CX74" s="6"/>
      <c r="CY74" s="39">
        <f>CY73/CT73-1</f>
        <v>-0.31775700934579443</v>
      </c>
      <c r="CZ74" s="39">
        <f>CZ73/CU73-1</f>
        <v>-0.19337016574585641</v>
      </c>
      <c r="DA74" s="39">
        <f>DA73/CV73-1</f>
        <v>8.3333333333333259E-2</v>
      </c>
      <c r="DB74" s="38">
        <f>DB73/CW73-1</f>
        <v>-3.3333333333333326E-2</v>
      </c>
      <c r="DC74" s="6"/>
      <c r="DD74" s="39">
        <f>DD73/CY73-1</f>
        <v>-1.1438356164383561</v>
      </c>
      <c r="DE74" s="39">
        <f>DE73/CZ73-1</f>
        <v>-0.43150684931506844</v>
      </c>
      <c r="DF74" s="39">
        <f>DF73/DA73-1</f>
        <v>0.13675213675213649</v>
      </c>
      <c r="DG74" s="38">
        <f>DG73/DB73-1</f>
        <v>-0.54406130268199238</v>
      </c>
      <c r="DH74" s="6"/>
      <c r="DI74" s="39">
        <f>DI73/DD73-1</f>
        <v>-1.9523809523809523</v>
      </c>
      <c r="DJ74" s="39">
        <f>DJ73/DE73-1</f>
        <v>0.84337349397590322</v>
      </c>
      <c r="DK74" s="39">
        <f>DK73/DF73-1</f>
        <v>0.10902255639097747</v>
      </c>
      <c r="DL74" s="38">
        <f>DL73/DG73-1</f>
        <v>0.50420168067226911</v>
      </c>
    </row>
    <row r="75" spans="1:117" ht="11.25" customHeight="1">
      <c r="A75" s="36"/>
      <c r="B75" s="43" t="s">
        <v>690</v>
      </c>
      <c r="C75" s="38"/>
      <c r="D75" s="38"/>
      <c r="E75" s="38"/>
      <c r="F75" s="38"/>
      <c r="G75" s="38"/>
      <c r="H75" s="38"/>
      <c r="I75" s="38"/>
      <c r="J75" s="38"/>
      <c r="K75" s="38">
        <f t="shared" ref="K75:AJ75" si="97">K73/K64</f>
        <v>0.11042803043580576</v>
      </c>
      <c r="L75" s="38">
        <f t="shared" si="97"/>
        <v>0.10499918850900232</v>
      </c>
      <c r="M75" s="38">
        <f t="shared" si="97"/>
        <v>0.12103113362259731</v>
      </c>
      <c r="N75" s="38">
        <f t="shared" si="97"/>
        <v>6.7971772028058208E-2</v>
      </c>
      <c r="O75" s="38">
        <f t="shared" si="97"/>
        <v>8.9290813898143737E-2</v>
      </c>
      <c r="P75" s="38">
        <f t="shared" si="97"/>
        <v>7.2477321612269718E-2</v>
      </c>
      <c r="Q75" s="39">
        <f t="shared" si="97"/>
        <v>9.5796002756719512E-2</v>
      </c>
      <c r="R75" s="39">
        <f t="shared" si="97"/>
        <v>9.9064948193075583E-2</v>
      </c>
      <c r="S75" s="39">
        <f t="shared" si="97"/>
        <v>8.48822800495663E-2</v>
      </c>
      <c r="T75" s="38">
        <f t="shared" si="97"/>
        <v>9.9424444193657605E-2</v>
      </c>
      <c r="U75" s="38">
        <f t="shared" si="97"/>
        <v>9.1757024600676224E-2</v>
      </c>
      <c r="V75" s="38"/>
      <c r="W75" s="38">
        <f t="shared" si="81"/>
        <v>9.9424444193657605E-2</v>
      </c>
      <c r="X75" s="38">
        <f t="shared" si="83"/>
        <v>9.1757024600676224E-2</v>
      </c>
      <c r="Y75" s="38">
        <f t="shared" si="97"/>
        <v>5.6332703213610578E-2</v>
      </c>
      <c r="Z75" s="38">
        <f t="shared" si="97"/>
        <v>8.1815882650480551E-2</v>
      </c>
      <c r="AA75" s="38">
        <f t="shared" si="97"/>
        <v>0.10789961880559085</v>
      </c>
      <c r="AB75" s="38">
        <f t="shared" si="97"/>
        <v>0.10415822784810126</v>
      </c>
      <c r="AC75" s="1110">
        <f t="shared" si="97"/>
        <v>0.13167861557478369</v>
      </c>
      <c r="AD75" s="2688">
        <f t="shared" si="97"/>
        <v>0.13003213367609254</v>
      </c>
      <c r="AE75" s="2940">
        <f t="shared" si="97"/>
        <v>0.13167861557478369</v>
      </c>
      <c r="AF75" s="2802">
        <f t="shared" si="97"/>
        <v>0.13003213367609254</v>
      </c>
      <c r="AG75" s="2802">
        <f t="shared" si="97"/>
        <v>0.14684615384615385</v>
      </c>
      <c r="AH75" s="2802">
        <f t="shared" si="97"/>
        <v>0.15647262059973924</v>
      </c>
      <c r="AI75" s="2943"/>
      <c r="AJ75" s="2802">
        <f t="shared" si="97"/>
        <v>0.16421393034825874</v>
      </c>
      <c r="AK75" s="2802">
        <f t="shared" ref="AK75:AQ75" si="98">AK73/AK64</f>
        <v>0.16135447761194033</v>
      </c>
      <c r="AL75" s="2802">
        <f t="shared" si="98"/>
        <v>0.16446517412935324</v>
      </c>
      <c r="AM75" s="2802">
        <f t="shared" si="98"/>
        <v>0.16702468051897379</v>
      </c>
      <c r="AN75" s="2802">
        <f t="shared" si="98"/>
        <v>0.16953400050879777</v>
      </c>
      <c r="AO75" s="2802">
        <f t="shared" si="98"/>
        <v>0.1719941181458802</v>
      </c>
      <c r="AP75" s="2802">
        <f t="shared" si="98"/>
        <v>0.17440599818223551</v>
      </c>
      <c r="AQ75" s="2802">
        <f t="shared" si="98"/>
        <v>0.17677058645317209</v>
      </c>
      <c r="AR75" s="2802">
        <f>AR73/AR64</f>
        <v>0.17908881024820791</v>
      </c>
      <c r="AS75" s="2802">
        <f>AS73/AS64</f>
        <v>0.18136157867471364</v>
      </c>
      <c r="AT75" s="2802">
        <f>AT73/AT64</f>
        <v>0.18358978301442511</v>
      </c>
      <c r="AU75" s="2802">
        <f>AU73/AU64</f>
        <v>0.18577429707296583</v>
      </c>
      <c r="AV75" s="38"/>
      <c r="AW75" s="38"/>
      <c r="AX75" s="38"/>
      <c r="AY75" s="38"/>
      <c r="AZ75" s="6"/>
      <c r="BA75" s="38"/>
      <c r="BB75" s="38"/>
      <c r="BC75" s="38"/>
      <c r="BD75" s="38"/>
      <c r="BE75" s="4"/>
      <c r="BF75" s="38"/>
      <c r="BG75" s="38"/>
      <c r="BH75" s="38"/>
      <c r="BI75" s="38"/>
      <c r="BJ75" s="6"/>
      <c r="BK75" s="38"/>
      <c r="BL75" s="38"/>
      <c r="BM75" s="38"/>
      <c r="BN75" s="38"/>
      <c r="BO75" s="4"/>
      <c r="BP75" s="38"/>
      <c r="BQ75" s="38"/>
      <c r="BR75" s="38"/>
      <c r="BS75" s="38"/>
      <c r="BT75" s="4"/>
      <c r="BU75" s="38"/>
      <c r="BV75" s="38"/>
      <c r="BW75" s="38"/>
      <c r="BX75" s="38"/>
      <c r="BY75" s="4"/>
      <c r="BZ75" s="38"/>
      <c r="CA75" s="38"/>
      <c r="CB75" s="38"/>
      <c r="CC75" s="38"/>
      <c r="CD75" s="7"/>
      <c r="CE75" s="39">
        <f>CE73/CE64</f>
        <v>-0.10957178841309823</v>
      </c>
      <c r="CF75" s="39">
        <f>CF73/CF64</f>
        <v>8.0276608538785335E-2</v>
      </c>
      <c r="CG75" s="39">
        <f>CG73/CG64</f>
        <v>0.21646839281548871</v>
      </c>
      <c r="CH75" s="39">
        <f>CH73/CH64</f>
        <v>3.7806398005816359E-2</v>
      </c>
      <c r="CI75" s="8"/>
      <c r="CJ75" s="39">
        <f>CJ73/CJ64</f>
        <v>-0.11455847255369926</v>
      </c>
      <c r="CK75" s="39">
        <f>CK73/CK64</f>
        <v>4.8260733312441233E-2</v>
      </c>
      <c r="CL75" s="39">
        <f>CL73/CL64</f>
        <v>0.23154916293327041</v>
      </c>
      <c r="CM75" s="39">
        <f>CM73/CM64</f>
        <v>8.3966702859210984E-2</v>
      </c>
      <c r="CN75" s="44"/>
      <c r="CO75" s="39">
        <f>CO73/CO64</f>
        <v>2.043070127001656E-2</v>
      </c>
      <c r="CP75" s="39">
        <f>CP73/CP64</f>
        <v>4.6590909090909086E-2</v>
      </c>
      <c r="CQ75" s="39">
        <f>CQ73/CQ64</f>
        <v>0.10536980749746708</v>
      </c>
      <c r="CR75" s="38">
        <f>CR73/CR64</f>
        <v>0.1417821782178218</v>
      </c>
      <c r="CS75" s="856"/>
      <c r="CT75" s="39">
        <f>CT73/CT64</f>
        <v>9.3327518534670736E-2</v>
      </c>
      <c r="CU75" s="39">
        <f>CU73/CU64</f>
        <v>9.0364453320019966E-2</v>
      </c>
      <c r="CV75" s="39">
        <f>CV73/CV64</f>
        <v>0.1008403361344538</v>
      </c>
      <c r="CW75" s="38">
        <f>CW73/CW64</f>
        <v>0.11143210895583987</v>
      </c>
      <c r="CX75" s="6"/>
      <c r="CY75" s="39">
        <f>CY73/CY64</f>
        <v>7.2420634920634927E-2</v>
      </c>
      <c r="CZ75" s="39">
        <f>CZ73/CZ64</f>
        <v>7.8494623655913975E-2</v>
      </c>
      <c r="DA75" s="39">
        <f>DA73/DA64</f>
        <v>0.10400000000000001</v>
      </c>
      <c r="DB75" s="38">
        <f>DB73/DB64</f>
        <v>0.10648714810281519</v>
      </c>
      <c r="DC75" s="6"/>
      <c r="DD75" s="39">
        <f>DD73/DD64</f>
        <v>-1.2987012987012988E-2</v>
      </c>
      <c r="DE75" s="39">
        <f>DE73/DE64</f>
        <v>4.575523704520397E-2</v>
      </c>
      <c r="DF75" s="39">
        <f>DF73/DF64</f>
        <v>0.11545138888888888</v>
      </c>
      <c r="DG75" s="38">
        <f>DG73/DG64</f>
        <v>5.4090909090909092E-2</v>
      </c>
      <c r="DH75" s="6"/>
      <c r="DI75" s="39">
        <f>DI73/DI64</f>
        <v>1.3183915622940015E-2</v>
      </c>
      <c r="DJ75" s="39">
        <f>DJ73/DJ64</f>
        <v>8.0653663679493934E-2</v>
      </c>
      <c r="DK75" s="39">
        <f>DK73/DK64</f>
        <v>0.13550757923748277</v>
      </c>
      <c r="DL75" s="38">
        <f>DL73/DL64</f>
        <v>7.7255071212775153E-2</v>
      </c>
    </row>
    <row r="76" spans="1:117" ht="4.5" customHeight="1">
      <c r="A76" s="36"/>
      <c r="B76" s="6"/>
      <c r="C76" s="60"/>
      <c r="D76" s="6"/>
      <c r="E76" s="6"/>
      <c r="F76" s="6"/>
      <c r="G76" s="6"/>
      <c r="H76" s="10"/>
      <c r="I76" s="10"/>
      <c r="J76" s="10"/>
      <c r="K76" s="10"/>
      <c r="L76" s="10"/>
      <c r="M76" s="10"/>
      <c r="N76" s="10"/>
      <c r="O76" s="10"/>
      <c r="P76" s="10"/>
      <c r="Q76" s="37"/>
      <c r="R76" s="37"/>
      <c r="S76" s="37"/>
      <c r="T76" s="10"/>
      <c r="U76" s="10"/>
      <c r="V76" s="10"/>
      <c r="W76" s="10"/>
      <c r="X76" s="10"/>
      <c r="Y76" s="10"/>
      <c r="Z76" s="10"/>
      <c r="AA76" s="10"/>
      <c r="AB76" s="10"/>
      <c r="AC76" s="1108"/>
      <c r="AD76" s="2686"/>
      <c r="AE76" s="2942"/>
      <c r="AF76" s="2862"/>
      <c r="AG76" s="2862"/>
      <c r="AH76" s="2862"/>
      <c r="AI76" s="2943"/>
      <c r="AJ76" s="2862"/>
      <c r="AK76" s="2862"/>
      <c r="AL76" s="2862"/>
      <c r="AM76" s="2862"/>
      <c r="AN76" s="2862"/>
      <c r="AO76" s="2862"/>
      <c r="AP76" s="2862"/>
      <c r="AQ76" s="2862"/>
      <c r="AR76" s="2862"/>
      <c r="AS76" s="2862"/>
      <c r="AT76" s="2862"/>
      <c r="AU76" s="6"/>
      <c r="AV76" s="6"/>
      <c r="AW76" s="6"/>
      <c r="AX76" s="6"/>
      <c r="AY76" s="6"/>
      <c r="AZ76" s="6"/>
      <c r="BA76" s="6"/>
      <c r="BB76" s="6"/>
      <c r="BC76" s="6"/>
      <c r="BD76" s="6"/>
      <c r="BE76" s="4"/>
      <c r="BF76" s="6"/>
      <c r="BG76" s="6"/>
      <c r="BH76" s="6"/>
      <c r="BI76" s="6"/>
      <c r="BJ76" s="6"/>
      <c r="BK76" s="6"/>
      <c r="BL76" s="6"/>
      <c r="BM76" s="6"/>
      <c r="BN76" s="6"/>
      <c r="BO76" s="4"/>
      <c r="BP76" s="6"/>
      <c r="BQ76" s="6"/>
      <c r="BR76" s="6"/>
      <c r="BS76" s="6"/>
      <c r="BT76" s="4"/>
      <c r="BU76" s="6"/>
      <c r="BV76" s="6"/>
      <c r="BW76" s="6"/>
      <c r="BX76" s="6"/>
      <c r="BY76" s="4"/>
      <c r="BZ76" s="6"/>
      <c r="CA76" s="6"/>
      <c r="CB76" s="6"/>
      <c r="CC76" s="6"/>
      <c r="CD76" s="7"/>
      <c r="CE76" s="11"/>
      <c r="CF76" s="11"/>
      <c r="CG76" s="11"/>
      <c r="CH76" s="11"/>
      <c r="CI76" s="8"/>
      <c r="CJ76" s="11"/>
      <c r="CK76" s="11"/>
      <c r="CL76" s="11"/>
      <c r="CM76" s="11"/>
      <c r="CN76" s="44"/>
      <c r="CO76" s="11"/>
      <c r="CP76" s="37"/>
      <c r="CQ76" s="37"/>
      <c r="CR76" s="6"/>
      <c r="CS76" s="856"/>
      <c r="CT76" s="11"/>
      <c r="CU76" s="37"/>
      <c r="CV76" s="37"/>
      <c r="CW76" s="6"/>
      <c r="CX76" s="6"/>
      <c r="CY76" s="11"/>
      <c r="CZ76" s="37"/>
      <c r="DA76" s="37"/>
      <c r="DB76" s="6"/>
      <c r="DC76" s="6"/>
      <c r="DD76" s="6"/>
      <c r="DE76" s="6"/>
      <c r="DF76" s="6"/>
      <c r="DG76" s="6"/>
      <c r="DH76" s="6"/>
    </row>
    <row r="77" spans="1:117">
      <c r="A77" s="36" t="s">
        <v>802</v>
      </c>
      <c r="B77" s="48"/>
      <c r="C77" s="48">
        <f t="shared" ref="C77:I77" si="99">C7+C21+C35+C64</f>
        <v>10510.300999999999</v>
      </c>
      <c r="D77" s="48">
        <f t="shared" si="99"/>
        <v>10674.7</v>
      </c>
      <c r="E77" s="48">
        <f t="shared" si="99"/>
        <v>11016.2</v>
      </c>
      <c r="F77" s="48">
        <f t="shared" si="99"/>
        <v>10925.891299999999</v>
      </c>
      <c r="G77" s="48">
        <f t="shared" si="99"/>
        <v>11238.1</v>
      </c>
      <c r="H77" s="48">
        <f t="shared" si="99"/>
        <v>11606.9</v>
      </c>
      <c r="I77" s="48">
        <f t="shared" si="99"/>
        <v>12480.900000000001</v>
      </c>
      <c r="J77" s="48"/>
      <c r="K77" s="48">
        <f t="shared" ref="K77:R77" si="100">K7+K21+K35+K64</f>
        <v>12245.000999999998</v>
      </c>
      <c r="L77" s="48">
        <f t="shared" si="100"/>
        <v>12460.8</v>
      </c>
      <c r="M77" s="48">
        <f t="shared" si="100"/>
        <v>12852.177323413543</v>
      </c>
      <c r="N77" s="48">
        <f t="shared" si="100"/>
        <v>12894.389986511422</v>
      </c>
      <c r="O77" s="48">
        <f t="shared" si="100"/>
        <v>13170.5</v>
      </c>
      <c r="P77" s="48">
        <f t="shared" si="100"/>
        <v>13595.699999999999</v>
      </c>
      <c r="Q77" s="49">
        <f t="shared" si="100"/>
        <v>14585.599999999999</v>
      </c>
      <c r="R77" s="49">
        <f t="shared" si="100"/>
        <v>14576.400000000001</v>
      </c>
      <c r="S77" s="48">
        <f>S7+S21+S35+S64+S49</f>
        <v>14357.400000000001</v>
      </c>
      <c r="T77" s="48">
        <f>T7+T21+T35+T64+T49</f>
        <v>14100.800000000001</v>
      </c>
      <c r="U77" s="48">
        <f>U7+U21+U35+U64+U49</f>
        <v>14122</v>
      </c>
      <c r="V77" s="48"/>
      <c r="W77" s="48">
        <f>W7+W21+W35+W64+W49</f>
        <v>14506.695000000002</v>
      </c>
      <c r="X77" s="48">
        <f>X7+X21+X35+X64+X49</f>
        <v>14314.757662399999</v>
      </c>
      <c r="Y77" s="48">
        <f>Y7+Y21+Y35+Y64+Y49</f>
        <v>13199.7</v>
      </c>
      <c r="Z77" s="48">
        <f t="shared" ref="Z77:AK77" si="101">Z7+Z21+Z35+Z64+Z49</f>
        <v>14258.3</v>
      </c>
      <c r="AA77" s="48">
        <f>AA7+AA21+AA35+AA64+AA49</f>
        <v>13840</v>
      </c>
      <c r="AB77" s="48">
        <f t="shared" si="101"/>
        <v>14314.599999999999</v>
      </c>
      <c r="AC77" s="1366">
        <f>AC7+AC21+AC35+AC64+AC49</f>
        <v>15523</v>
      </c>
      <c r="AD77" s="2689">
        <f>AD7+AD21+AD35+AD64+AD49</f>
        <v>14018.999999999998</v>
      </c>
      <c r="AE77" s="2941">
        <f t="shared" si="101"/>
        <v>14219</v>
      </c>
      <c r="AF77" s="2796">
        <f t="shared" si="101"/>
        <v>14018.999999999998</v>
      </c>
      <c r="AG77" s="2796">
        <f>AG7+AG21+AG35+AG64+AG49</f>
        <v>14283.999999999998</v>
      </c>
      <c r="AH77" s="2796">
        <f>AH7+AH21+AH35+AH64+AH49</f>
        <v>14803</v>
      </c>
      <c r="AI77" s="2943">
        <f>AI7+AI21+AI35+AI64+AI49</f>
        <v>13583</v>
      </c>
      <c r="AJ77" s="2796">
        <f t="shared" si="101"/>
        <v>14031.930996073021</v>
      </c>
      <c r="AK77" s="2796">
        <f t="shared" si="101"/>
        <v>15008.028740642694</v>
      </c>
      <c r="AL77" s="2796">
        <f t="shared" ref="AL77:AQ77" si="102">AL7+AL21+AL35+AL64+AL49</f>
        <v>16180.707614074354</v>
      </c>
      <c r="AM77" s="2796">
        <f t="shared" si="102"/>
        <v>16807.255354465688</v>
      </c>
      <c r="AN77" s="2796">
        <f t="shared" si="102"/>
        <v>17566.438665249108</v>
      </c>
      <c r="AO77" s="2796">
        <f t="shared" si="102"/>
        <v>18750.645603261786</v>
      </c>
      <c r="AP77" s="2796">
        <f t="shared" si="102"/>
        <v>18740.483394438277</v>
      </c>
      <c r="AQ77" s="2796">
        <f t="shared" si="102"/>
        <v>19363.436530905125</v>
      </c>
      <c r="AR77" s="2796">
        <f>AR7+AR21+AR35+AR64+AR49</f>
        <v>20425.50746059138</v>
      </c>
      <c r="AS77" s="2796">
        <f>AS7+AS21+AS35+AS64+AS49</f>
        <v>20334.143862267443</v>
      </c>
      <c r="AT77" s="2796">
        <f>AT7+AT21+AT35+AT64+AT49</f>
        <v>20801.23947937728</v>
      </c>
      <c r="AU77" s="2796">
        <f>AU7+AU21+AU35+AU64+AU49</f>
        <v>22136.198353482469</v>
      </c>
      <c r="AV77" s="48"/>
      <c r="AW77" s="48"/>
      <c r="AX77" s="48"/>
      <c r="AY77" s="48"/>
      <c r="AZ77" s="48"/>
      <c r="BA77" s="48">
        <f>BA7+BA21+BA35+BA64</f>
        <v>2552.4</v>
      </c>
      <c r="BB77" s="48">
        <f>BB7+BB21+BB35+BB64</f>
        <v>2463.1999999999998</v>
      </c>
      <c r="BC77" s="48">
        <f>BC7+BC21+BC35+BC64</f>
        <v>2613.8000000000002</v>
      </c>
      <c r="BD77" s="48">
        <f>BD7+BD21+BD35+BD64</f>
        <v>3020.7000000000003</v>
      </c>
      <c r="BE77" s="48"/>
      <c r="BF77" s="48">
        <f>BF7+BF21+BF35+BF64</f>
        <v>2718.8999999999996</v>
      </c>
      <c r="BG77" s="48">
        <f>BG7+BG21+BG35+BG64</f>
        <v>2674.8</v>
      </c>
      <c r="BH77" s="48">
        <f>BH7+BH21+BH35+BH64</f>
        <v>2652.3</v>
      </c>
      <c r="BI77" s="48">
        <f>BI7+BI21+BI35+BI64</f>
        <v>2970.2</v>
      </c>
      <c r="BJ77" s="48"/>
      <c r="BK77" s="48">
        <f>BK7+BK21+BK35+BK64</f>
        <v>2865.7</v>
      </c>
      <c r="BL77" s="48">
        <f>BL7+BL21+BL35+BL64</f>
        <v>2611.3000000000002</v>
      </c>
      <c r="BM77" s="48">
        <f>BM7+BM21+BM35+BM64</f>
        <v>2492.5</v>
      </c>
      <c r="BN77" s="48">
        <f>BN7+BN21+BN35+BN64</f>
        <v>2961.4912999999997</v>
      </c>
      <c r="BO77" s="48"/>
      <c r="BP77" s="48">
        <f>BP7+BP21+BP35+BP64</f>
        <v>2650.3</v>
      </c>
      <c r="BQ77" s="48">
        <f>BQ7+BQ21+BQ35+BQ64</f>
        <v>2688.1</v>
      </c>
      <c r="BR77" s="48">
        <f>BR7+BR21+BR35+BR64</f>
        <v>2778.3</v>
      </c>
      <c r="BS77" s="48">
        <f>BS7+BS21+BS35+BS64</f>
        <v>3121.3999999999996</v>
      </c>
      <c r="BT77" s="48"/>
      <c r="BU77" s="48">
        <f>BU7+BU21+BU35+BU64</f>
        <v>2746.6</v>
      </c>
      <c r="BV77" s="48">
        <f>BV7+BV21+BV35+BV64</f>
        <v>2875.4</v>
      </c>
      <c r="BW77" s="48">
        <f>BW7+BW21+BW35+BW64</f>
        <v>2868.9</v>
      </c>
      <c r="BX77" s="48">
        <f>BX7+BX21+BX35+BX64</f>
        <v>3116</v>
      </c>
      <c r="BY77" s="4"/>
      <c r="BZ77" s="48">
        <f>BZ7+BZ21+BZ35+BZ64</f>
        <v>3131.1</v>
      </c>
      <c r="CA77" s="48">
        <f>CA7+CA21+CA35+CA64</f>
        <v>3109.2</v>
      </c>
      <c r="CB77" s="48">
        <f>CB7+CB21+CB35+CB64</f>
        <v>2977.1</v>
      </c>
      <c r="CC77" s="48">
        <f>CC7+CC21+CC35+CC64</f>
        <v>3263.5</v>
      </c>
      <c r="CD77" s="7"/>
      <c r="CE77" s="49">
        <f>CE7+CE21+CE35+CE64</f>
        <v>3519.2000000000003</v>
      </c>
      <c r="CF77" s="49">
        <f>CF7+CF21+CF35+CF64</f>
        <v>3664.7000000000003</v>
      </c>
      <c r="CG77" s="49">
        <f>CG7+CG21+CG35+CG64</f>
        <v>3639.5</v>
      </c>
      <c r="CH77" s="49">
        <f>CH7+CH21+CH35+CH64</f>
        <v>3762.2</v>
      </c>
      <c r="CI77" s="50">
        <f>Q77-SUM(CE77:CH77)</f>
        <v>0</v>
      </c>
      <c r="CJ77" s="49">
        <f>CJ7+CJ21+CJ35+CJ64</f>
        <v>3454.6</v>
      </c>
      <c r="CK77" s="49">
        <f>CK7+CK21+CK35+CK64</f>
        <v>3669.1</v>
      </c>
      <c r="CL77" s="49">
        <f>CL7+CL21+CL35+CL64</f>
        <v>3614.5</v>
      </c>
      <c r="CM77" s="49">
        <f>CM7+CM21+CM35+CM64</f>
        <v>3838.2000000000003</v>
      </c>
      <c r="CN77" s="45">
        <f>R77-SUM(CJ77:CM77)</f>
        <v>0</v>
      </c>
      <c r="CO77" s="49">
        <f>CO7+CO21+CO35+CO64</f>
        <v>3583.4999999999995</v>
      </c>
      <c r="CP77" s="49">
        <f>CP7+CP21+CP35+CP64</f>
        <v>3489.3</v>
      </c>
      <c r="CQ77" s="49">
        <f>CQ7+CQ21+CQ35+CQ64</f>
        <v>3392.3</v>
      </c>
      <c r="CR77" s="48">
        <f>CR7+CR21+CR35+CR64</f>
        <v>3892.3</v>
      </c>
      <c r="CS77" s="857">
        <f>S77-SUM(CO77:CR77)</f>
        <v>0</v>
      </c>
      <c r="CT77" s="49">
        <f>CT7+CT21+CT35+CT64+CT49</f>
        <v>3661.7000000000003</v>
      </c>
      <c r="CU77" s="49">
        <f>CU7+CU21+CU35+CU64+CU49</f>
        <v>3380.9</v>
      </c>
      <c r="CV77" s="49">
        <f>CV7+CV21+CV35+CV64+CV49</f>
        <v>3289.7</v>
      </c>
      <c r="CW77" s="49">
        <f>CW7+CW21+CW35+CW64+CW49</f>
        <v>3768.5000000000005</v>
      </c>
      <c r="CX77" s="48"/>
      <c r="CY77" s="49">
        <f>CY7+CY21+CY35+CY64+CY49</f>
        <v>3702.9841239049997</v>
      </c>
      <c r="CZ77" s="49">
        <f>CZ7+CZ21+CZ35+CZ64+CZ49</f>
        <v>3432.7583159999995</v>
      </c>
      <c r="DA77" s="49">
        <f>DA7+DA21+DA35+DA64+DA49</f>
        <v>3412.2841090437505</v>
      </c>
      <c r="DB77" s="49">
        <f>DB7+DB21+DB35+DB64+DB49</f>
        <v>3573.9734510512494</v>
      </c>
      <c r="DC77" s="48">
        <f>U77-SUM(CY77:DB77)</f>
        <v>0</v>
      </c>
      <c r="DD77" s="49">
        <f>DD7+DD21+DD35+DD64+DD49</f>
        <v>3212.4499849578997</v>
      </c>
      <c r="DE77" s="49">
        <f>DE7+DE21+DE35+DE64+DE49</f>
        <v>3044.7972104639998</v>
      </c>
      <c r="DF77" s="49">
        <f>DF7+DF21+DF35+DF64+DF49</f>
        <v>3402.8412915964623</v>
      </c>
      <c r="DG77" s="49">
        <f>DG7+DG21+DG35+DG64+DG49</f>
        <v>3539.6115129816371</v>
      </c>
      <c r="DH77" s="42">
        <f>Y77-SUM(DD77:DG77)</f>
        <v>0</v>
      </c>
      <c r="DI77" s="49">
        <f>DI7+DI21+DI35+DI64+DI49</f>
        <v>3598.9</v>
      </c>
      <c r="DJ77" s="49">
        <f>DJ7+DJ21+DJ35+DJ64+DJ49</f>
        <v>3364.7</v>
      </c>
      <c r="DK77" s="49">
        <f>DK7+DK21+DK35+DK64+DK49</f>
        <v>3341.5999999999995</v>
      </c>
      <c r="DL77" s="49">
        <f>DL7+DL21+DL35+DL64+DL49</f>
        <v>3953.1</v>
      </c>
      <c r="DM77" s="42">
        <f>Z77-SUM(DI77:DL77)</f>
        <v>0</v>
      </c>
    </row>
    <row r="78" spans="1:117" hidden="1" outlineLevel="1">
      <c r="A78" s="6" t="s">
        <v>861</v>
      </c>
      <c r="B78" s="6"/>
      <c r="C78" s="10"/>
      <c r="D78" s="10"/>
      <c r="E78" s="10"/>
      <c r="F78" s="10"/>
      <c r="G78" s="10"/>
      <c r="H78" s="10"/>
      <c r="I78" s="10"/>
      <c r="J78" s="10"/>
      <c r="K78" s="10"/>
      <c r="L78" s="10"/>
      <c r="M78" s="10"/>
      <c r="N78" s="10"/>
      <c r="O78" s="1021">
        <f>O79-O77</f>
        <v>-7.1000000000003638</v>
      </c>
      <c r="P78" s="1021">
        <f>P79-P77</f>
        <v>-41.199999999998909</v>
      </c>
      <c r="Q78" s="1022">
        <f>Q79-Q77</f>
        <v>-38.299999999999272</v>
      </c>
      <c r="R78" s="1022">
        <f>R79-R77</f>
        <v>-40.000000000001819</v>
      </c>
      <c r="S78" s="1022">
        <f>SUM(CO78:CR78)</f>
        <v>-37.200000000000003</v>
      </c>
      <c r="T78" s="1022">
        <f>SUM(CT78:CW78)</f>
        <v>-28.3</v>
      </c>
      <c r="U78" s="1022">
        <f>SUM(CY78:DB78)</f>
        <v>-171.60000000000002</v>
      </c>
      <c r="V78" s="62"/>
      <c r="W78" s="1022">
        <v>-28.3</v>
      </c>
      <c r="X78" s="334">
        <f>W78</f>
        <v>-28.3</v>
      </c>
      <c r="Y78" s="334">
        <f>SUM(DD78:DG78)</f>
        <v>-185.10000000000002</v>
      </c>
      <c r="Z78" s="334">
        <f>SUM(DI78:DL78)</f>
        <v>-198.5</v>
      </c>
      <c r="AA78" s="334">
        <f>Drivers!K190</f>
        <v>-203</v>
      </c>
      <c r="AB78" s="334">
        <f>Drivers!L190</f>
        <v>-237</v>
      </c>
      <c r="AC78" s="1439">
        <f>Drivers!M190</f>
        <v>-239</v>
      </c>
      <c r="AD78" s="2691">
        <f>Drivers!N190</f>
        <v>-213</v>
      </c>
      <c r="AE78" s="3322">
        <f>+AC78</f>
        <v>-239</v>
      </c>
      <c r="AF78" s="2872">
        <f>+AD78</f>
        <v>-213</v>
      </c>
      <c r="AG78" s="2872">
        <f>Drivers!Q190</f>
        <v>-398</v>
      </c>
      <c r="AH78" s="2872">
        <f>Drivers!R190</f>
        <v>-417</v>
      </c>
      <c r="AI78" s="3323">
        <f>AH78</f>
        <v>-417</v>
      </c>
      <c r="AJ78" s="2872">
        <f>Drivers!T190</f>
        <v>-474.02990408263861</v>
      </c>
      <c r="AK78" s="2872">
        <f>Drivers!U190</f>
        <v>-583.71943648008494</v>
      </c>
      <c r="AL78" s="2872">
        <f>Drivers!V190</f>
        <v>-707.34458122827368</v>
      </c>
      <c r="AM78" s="2872">
        <f>Drivers!W190</f>
        <v>-931.27150250552563</v>
      </c>
      <c r="AN78" s="2872">
        <f>Drivers!X190</f>
        <v>-1108.7331012116742</v>
      </c>
      <c r="AO78" s="2872">
        <f>Drivers!Y190</f>
        <v>-1219.3435930762118</v>
      </c>
      <c r="AP78" s="2872">
        <f>Drivers!Z190</f>
        <v>-1311.576118182365</v>
      </c>
      <c r="AQ78" s="2872">
        <f>Drivers!AA190</f>
        <v>-1406.6535040665119</v>
      </c>
      <c r="AR78" s="2872">
        <f>Drivers!AB190</f>
        <v>-1506.3386090606325</v>
      </c>
      <c r="AS78" s="2872">
        <f>Drivers!AC190</f>
        <v>-1579.3440840326045</v>
      </c>
      <c r="AT78" s="2872">
        <f>Drivers!AD190</f>
        <v>-1662.5762749814701</v>
      </c>
      <c r="AU78" s="2872">
        <f>Drivers!AE190</f>
        <v>-1755.1187480442193</v>
      </c>
      <c r="AV78" s="886"/>
      <c r="AW78" s="886"/>
      <c r="AX78" s="886"/>
      <c r="AY78" s="886"/>
      <c r="AZ78" s="6"/>
      <c r="BA78" s="10"/>
      <c r="BB78" s="10"/>
      <c r="BC78" s="10"/>
      <c r="BD78" s="10"/>
      <c r="BE78" s="4"/>
      <c r="BF78" s="10"/>
      <c r="BG78" s="10"/>
      <c r="BH78" s="10"/>
      <c r="BI78" s="10"/>
      <c r="BJ78" s="6"/>
      <c r="BK78" s="10"/>
      <c r="BL78" s="10"/>
      <c r="BM78" s="10"/>
      <c r="BN78" s="10"/>
      <c r="BO78" s="4"/>
      <c r="BP78" s="10"/>
      <c r="BQ78" s="10"/>
      <c r="BR78" s="10"/>
      <c r="BS78" s="10"/>
      <c r="BT78" s="4"/>
      <c r="BU78" s="10"/>
      <c r="BV78" s="10"/>
      <c r="BW78" s="10"/>
      <c r="BX78" s="10"/>
      <c r="BY78" s="4"/>
      <c r="BZ78" s="10"/>
      <c r="CA78" s="10"/>
      <c r="CB78" s="10"/>
      <c r="CC78" s="10"/>
      <c r="CD78" s="7"/>
      <c r="CE78" s="37">
        <v>-6.7</v>
      </c>
      <c r="CF78" s="37">
        <v>-7.5</v>
      </c>
      <c r="CG78" s="37">
        <v>-10.7</v>
      </c>
      <c r="CH78" s="37">
        <f>Q78-SUM(CE78:CG78)</f>
        <v>-13.399999999999274</v>
      </c>
      <c r="CI78" s="8"/>
      <c r="CJ78" s="896">
        <v>-6.8</v>
      </c>
      <c r="CK78" s="896">
        <v>-11.4</v>
      </c>
      <c r="CL78" s="896">
        <v>-11.7</v>
      </c>
      <c r="CM78" s="896">
        <f>R78-SUM(CJ78:CL78)</f>
        <v>-10.10000000000182</v>
      </c>
      <c r="CN78" s="45"/>
      <c r="CO78" s="896">
        <v>-8.1</v>
      </c>
      <c r="CP78" s="896">
        <v>-6.2</v>
      </c>
      <c r="CQ78" s="896">
        <v>-13.5</v>
      </c>
      <c r="CR78" s="917">
        <v>-9.4</v>
      </c>
      <c r="CS78" s="857">
        <f>S78-SUM(CO78:CR78)</f>
        <v>0</v>
      </c>
      <c r="CT78" s="1017">
        <v>-4.3</v>
      </c>
      <c r="CU78" s="896">
        <v>-6</v>
      </c>
      <c r="CV78" s="1017">
        <v>-8.3000000000000007</v>
      </c>
      <c r="CW78" s="917">
        <v>-9.6999999999999993</v>
      </c>
      <c r="CX78" s="48">
        <f>T78-SUM(CT78:CW78)</f>
        <v>0</v>
      </c>
      <c r="CY78" s="917">
        <f>Drivers!BG190</f>
        <v>-49.1</v>
      </c>
      <c r="CZ78" s="917">
        <f>Drivers!BH190</f>
        <v>-34.799999999999997</v>
      </c>
      <c r="DA78" s="917">
        <f>Drivers!BI190</f>
        <v>-40.700000000000003</v>
      </c>
      <c r="DB78" s="917">
        <f>Drivers!BJ190</f>
        <v>-47</v>
      </c>
      <c r="DC78" s="49">
        <f>U78-SUM(CY78:DB78)</f>
        <v>0</v>
      </c>
      <c r="DD78" s="917">
        <f>Drivers!BL190</f>
        <v>-50.3</v>
      </c>
      <c r="DE78" s="917">
        <f>Drivers!BM190</f>
        <v>-32.6</v>
      </c>
      <c r="DF78" s="917">
        <f>Drivers!BN190</f>
        <v>-54.5</v>
      </c>
      <c r="DG78" s="917">
        <f>Drivers!BO190</f>
        <v>-47.7</v>
      </c>
      <c r="DH78" s="42">
        <f>Y78-SUM(DD78:DG78)</f>
        <v>0</v>
      </c>
      <c r="DI78" s="896">
        <f>Drivers!BQ190</f>
        <v>-68</v>
      </c>
      <c r="DJ78" s="896">
        <f>Drivers!BR190</f>
        <v>-33.700000000000003</v>
      </c>
      <c r="DK78" s="896">
        <f>Drivers!BS190</f>
        <v>-44.1</v>
      </c>
      <c r="DL78" s="896">
        <f>Drivers!BT190</f>
        <v>-52.7</v>
      </c>
      <c r="DM78" s="42">
        <f>Z78-SUM(DI78:DL78)</f>
        <v>0</v>
      </c>
    </row>
    <row r="79" spans="1:117" hidden="1" outlineLevel="1">
      <c r="A79" s="36" t="s">
        <v>675</v>
      </c>
      <c r="B79" s="48"/>
      <c r="C79" s="48"/>
      <c r="D79" s="48"/>
      <c r="E79" s="48"/>
      <c r="F79" s="48"/>
      <c r="G79" s="48"/>
      <c r="H79" s="48"/>
      <c r="I79" s="48"/>
      <c r="J79" s="48"/>
      <c r="K79" s="48"/>
      <c r="L79" s="48"/>
      <c r="M79" s="48"/>
      <c r="N79" s="48"/>
      <c r="O79" s="63">
        <v>13163.4</v>
      </c>
      <c r="P79" s="63">
        <v>13554.5</v>
      </c>
      <c r="Q79" s="63">
        <v>14547.3</v>
      </c>
      <c r="R79" s="64">
        <v>14536.4</v>
      </c>
      <c r="S79" s="64">
        <v>14320.2</v>
      </c>
      <c r="T79" s="122">
        <v>14072.9</v>
      </c>
      <c r="U79" s="122">
        <v>13950.4</v>
      </c>
      <c r="V79" s="48"/>
      <c r="W79" s="122">
        <v>14072.9</v>
      </c>
      <c r="X79" s="48">
        <f>X77+X78</f>
        <v>14286.4576624</v>
      </c>
      <c r="Y79" s="48">
        <f t="shared" ref="Y79:AM79" si="103">Y77+Y78</f>
        <v>13014.6</v>
      </c>
      <c r="Z79" s="48">
        <f t="shared" si="103"/>
        <v>14059.8</v>
      </c>
      <c r="AA79" s="48">
        <f t="shared" si="103"/>
        <v>13637</v>
      </c>
      <c r="AB79" s="48">
        <f t="shared" si="103"/>
        <v>14077.599999999999</v>
      </c>
      <c r="AC79" s="1366">
        <f>AC77+AC78</f>
        <v>15284</v>
      </c>
      <c r="AD79" s="2689">
        <f t="shared" si="103"/>
        <v>13805.999999999998</v>
      </c>
      <c r="AE79" s="2941">
        <f t="shared" si="103"/>
        <v>13980</v>
      </c>
      <c r="AF79" s="2796">
        <f t="shared" si="103"/>
        <v>13805.999999999998</v>
      </c>
      <c r="AG79" s="2796">
        <f t="shared" si="103"/>
        <v>13885.999999999998</v>
      </c>
      <c r="AH79" s="2796">
        <f>AH77+AH78</f>
        <v>14386</v>
      </c>
      <c r="AI79" s="3324">
        <f>AI77+AI78</f>
        <v>13166</v>
      </c>
      <c r="AJ79" s="2796">
        <f t="shared" si="103"/>
        <v>13557.901091990381</v>
      </c>
      <c r="AK79" s="2796">
        <f t="shared" si="103"/>
        <v>14424.309304162609</v>
      </c>
      <c r="AL79" s="2796">
        <f t="shared" si="103"/>
        <v>15473.36303284608</v>
      </c>
      <c r="AM79" s="2796">
        <f t="shared" si="103"/>
        <v>15875.983851960162</v>
      </c>
      <c r="AN79" s="3325">
        <f t="shared" ref="AN79:AS79" si="104">AN77+AN78</f>
        <v>16457.705564037435</v>
      </c>
      <c r="AO79" s="2796">
        <f t="shared" si="104"/>
        <v>17531.302010185573</v>
      </c>
      <c r="AP79" s="2796">
        <f t="shared" si="104"/>
        <v>17428.907276255912</v>
      </c>
      <c r="AQ79" s="2796">
        <f t="shared" si="104"/>
        <v>17956.783026838613</v>
      </c>
      <c r="AR79" s="2796">
        <f t="shared" si="104"/>
        <v>18919.168851530747</v>
      </c>
      <c r="AS79" s="2796">
        <f t="shared" si="104"/>
        <v>18754.799778234839</v>
      </c>
      <c r="AT79" s="2796">
        <f>AT77+AT78</f>
        <v>19138.663204395809</v>
      </c>
      <c r="AU79" s="2796">
        <f>AU77+AU78</f>
        <v>20381.079605438248</v>
      </c>
      <c r="AV79" s="48"/>
      <c r="AW79" s="48"/>
      <c r="AX79" s="48"/>
      <c r="AY79" s="48"/>
      <c r="AZ79" s="48"/>
      <c r="BA79" s="48"/>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
      <c r="BZ79" s="48"/>
      <c r="CA79" s="48"/>
      <c r="CB79" s="48"/>
      <c r="CC79" s="48"/>
      <c r="CD79" s="7"/>
      <c r="CE79" s="49">
        <f>CE77+CE78</f>
        <v>3512.5000000000005</v>
      </c>
      <c r="CF79" s="49">
        <f>CF77+CF78</f>
        <v>3657.2000000000003</v>
      </c>
      <c r="CG79" s="49">
        <f>CG77+CG78</f>
        <v>3628.8</v>
      </c>
      <c r="CH79" s="49">
        <f>CH77+CH78</f>
        <v>3748.8000000000006</v>
      </c>
      <c r="CI79" s="65"/>
      <c r="CJ79" s="49">
        <f>CJ77+CJ78</f>
        <v>3447.7999999999997</v>
      </c>
      <c r="CK79" s="49">
        <f>CK77+CK78</f>
        <v>3657.7</v>
      </c>
      <c r="CL79" s="49">
        <f>CL77+CL78</f>
        <v>3602.8</v>
      </c>
      <c r="CM79" s="49">
        <f>CM77+CM78</f>
        <v>3828.0999999999985</v>
      </c>
      <c r="CN79" s="66"/>
      <c r="CO79" s="49">
        <f>CO77+CO78</f>
        <v>3575.3999999999996</v>
      </c>
      <c r="CP79" s="49">
        <f>CP77+CP78</f>
        <v>3483.1000000000004</v>
      </c>
      <c r="CQ79" s="49">
        <f>CQ77+CQ78</f>
        <v>3378.8</v>
      </c>
      <c r="CR79" s="48">
        <f>S79-SUM(CO79:CQ79)</f>
        <v>3882.9000000000015</v>
      </c>
      <c r="CS79" s="858"/>
      <c r="CT79" s="49">
        <f>CT77+CT78</f>
        <v>3657.4</v>
      </c>
      <c r="CU79" s="49">
        <f>CU77+CU78</f>
        <v>3374.9</v>
      </c>
      <c r="CV79" s="49">
        <f>CV77+CV78</f>
        <v>3281.3999999999996</v>
      </c>
      <c r="CW79" s="48">
        <f>T79-SUM(CT79:CV79)</f>
        <v>3759.1999999999989</v>
      </c>
      <c r="CX79" s="48"/>
      <c r="CY79" s="49">
        <f>CY77+CY78</f>
        <v>3653.8841239049998</v>
      </c>
      <c r="CZ79" s="49">
        <f>CZ77+CZ78</f>
        <v>3397.9583159999993</v>
      </c>
      <c r="DA79" s="49">
        <f>DA77+DA78</f>
        <v>3371.5841090437507</v>
      </c>
      <c r="DB79" s="48">
        <f>U79-SUM(CY79:DA79)</f>
        <v>3526.9734510512499</v>
      </c>
      <c r="DC79" s="49">
        <f>U79-SUM(CY79:DB79)</f>
        <v>0</v>
      </c>
      <c r="DD79" s="49">
        <f>DD77+DD78</f>
        <v>3162.1499849578995</v>
      </c>
      <c r="DE79" s="49">
        <f>DE77+DE78</f>
        <v>3012.1972104639999</v>
      </c>
      <c r="DF79" s="49">
        <f>DF77+DF78</f>
        <v>3348.3412915964623</v>
      </c>
      <c r="DG79" s="49">
        <f>DG77+DG78</f>
        <v>3491.9115129816373</v>
      </c>
      <c r="DH79" s="42">
        <f>Y79-SUM(DD79:DG79)</f>
        <v>0</v>
      </c>
      <c r="DI79" s="49">
        <f>DI77+DI78</f>
        <v>3530.9</v>
      </c>
      <c r="DJ79" s="49">
        <f>DJ77+DJ78</f>
        <v>3331</v>
      </c>
      <c r="DK79" s="49">
        <f>DK77+DK78</f>
        <v>3297.4999999999995</v>
      </c>
      <c r="DL79" s="49">
        <f>DL77+DL78</f>
        <v>3900.4</v>
      </c>
      <c r="DM79" s="42">
        <f>Z79-SUM(DI79:DL79)</f>
        <v>0</v>
      </c>
    </row>
    <row r="80" spans="1:117" collapsed="1">
      <c r="A80" s="43" t="s">
        <v>676</v>
      </c>
      <c r="B80" s="48"/>
      <c r="C80" s="48"/>
      <c r="D80" s="48"/>
      <c r="E80" s="48"/>
      <c r="F80" s="48"/>
      <c r="G80" s="48"/>
      <c r="H80" s="48"/>
      <c r="I80" s="48"/>
      <c r="J80" s="48"/>
      <c r="K80" s="48"/>
      <c r="L80" s="48"/>
      <c r="M80" s="48"/>
      <c r="N80" s="48"/>
      <c r="O80" s="49"/>
      <c r="P80" s="39">
        <f>P79/O79-1</f>
        <v>2.9711168846954461E-2</v>
      </c>
      <c r="Q80" s="39">
        <f t="shared" ref="Q80:AM80" si="105">Q79/P79-1</f>
        <v>7.3245047770113203E-2</v>
      </c>
      <c r="R80" s="39">
        <f t="shared" si="105"/>
        <v>-7.4927993510820468E-4</v>
      </c>
      <c r="S80" s="39">
        <f t="shared" si="105"/>
        <v>-1.4873008447758629E-2</v>
      </c>
      <c r="T80" s="38">
        <f t="shared" si="105"/>
        <v>-1.726931188111902E-2</v>
      </c>
      <c r="U80" s="38">
        <f>U79/T79-1</f>
        <v>-8.7046735214489912E-3</v>
      </c>
      <c r="V80" s="38"/>
      <c r="W80" s="38"/>
      <c r="X80" s="38">
        <f>X79/W79-1</f>
        <v>1.5175099830170069E-2</v>
      </c>
      <c r="Y80" s="38">
        <f>Y79/X79-1</f>
        <v>-8.9025403809325998E-2</v>
      </c>
      <c r="Z80" s="38">
        <f t="shared" si="105"/>
        <v>8.0309805910285359E-2</v>
      </c>
      <c r="AA80" s="38">
        <f t="shared" si="105"/>
        <v>-3.007155151566876E-2</v>
      </c>
      <c r="AB80" s="38">
        <f t="shared" si="105"/>
        <v>3.2309158905917679E-2</v>
      </c>
      <c r="AC80" s="1110">
        <f t="shared" si="105"/>
        <v>8.5696425527078679E-2</v>
      </c>
      <c r="AD80" s="2688">
        <f>AD79/AC79-1</f>
        <v>-9.6702433917822628E-2</v>
      </c>
      <c r="AE80" s="2688"/>
      <c r="AF80" s="1110">
        <f>AF79/AE79-1</f>
        <v>-1.244635193133059E-2</v>
      </c>
      <c r="AG80" s="1110">
        <f>AG79/AF79-1</f>
        <v>5.7945820657685498E-3</v>
      </c>
      <c r="AH80" s="1110">
        <f t="shared" si="105"/>
        <v>3.6007489557828176E-2</v>
      </c>
      <c r="AI80" s="2701"/>
      <c r="AJ80" s="1110">
        <f>AJ79/AI79-1</f>
        <v>2.9766147044689495E-2</v>
      </c>
      <c r="AK80" s="1110">
        <f t="shared" si="105"/>
        <v>6.3904302464935059E-2</v>
      </c>
      <c r="AL80" s="1110">
        <f t="shared" si="105"/>
        <v>7.2728177589808984E-2</v>
      </c>
      <c r="AM80" s="1110">
        <f t="shared" si="105"/>
        <v>2.6020252886164386E-2</v>
      </c>
      <c r="AN80" s="1110">
        <f t="shared" ref="AN80:AU80" si="106">AN79/AM79-1</f>
        <v>3.6641616513451547E-2</v>
      </c>
      <c r="AO80" s="1110">
        <f t="shared" si="106"/>
        <v>6.5233664678878922E-2</v>
      </c>
      <c r="AP80" s="1110">
        <f t="shared" si="106"/>
        <v>-5.8406805079377344E-3</v>
      </c>
      <c r="AQ80" s="1110">
        <f t="shared" si="106"/>
        <v>3.0287369266221775E-2</v>
      </c>
      <c r="AR80" s="1110">
        <f t="shared" si="106"/>
        <v>5.3594556622627243E-2</v>
      </c>
      <c r="AS80" s="1110">
        <f t="shared" si="106"/>
        <v>-8.6879648141947596E-3</v>
      </c>
      <c r="AT80" s="1110">
        <f t="shared" si="106"/>
        <v>2.046747662997972E-2</v>
      </c>
      <c r="AU80" s="1110">
        <f t="shared" si="106"/>
        <v>6.4916571642113396E-2</v>
      </c>
      <c r="AV80" s="38"/>
      <c r="AW80" s="38"/>
      <c r="AX80" s="38"/>
      <c r="AY80" s="38"/>
      <c r="AZ80" s="48"/>
      <c r="BA80" s="48"/>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
      <c r="BZ80" s="48"/>
      <c r="CA80" s="48"/>
      <c r="CB80" s="48"/>
      <c r="CC80" s="48"/>
      <c r="CD80" s="7"/>
      <c r="CE80" s="49" t="s">
        <v>337</v>
      </c>
      <c r="CF80" s="49"/>
      <c r="CG80" s="49"/>
      <c r="CH80" s="49"/>
      <c r="CI80" s="67"/>
      <c r="CJ80" s="39">
        <f>CJ79/CE79-1</f>
        <v>-1.8419928825622933E-2</v>
      </c>
      <c r="CK80" s="39">
        <f>CK79/CF79-1</f>
        <v>1.3671661380287858E-4</v>
      </c>
      <c r="CL80" s="39">
        <f>CL79/CG79-1</f>
        <v>-7.1649029982363555E-3</v>
      </c>
      <c r="CM80" s="39">
        <f>CM79/CH79-1</f>
        <v>2.1153435766111173E-2</v>
      </c>
      <c r="CN80" s="66"/>
      <c r="CO80" s="39">
        <f>CO79/CJ79-1</f>
        <v>3.700910725680151E-2</v>
      </c>
      <c r="CP80" s="39">
        <f>CP79/CK79-1</f>
        <v>-4.7734915383984333E-2</v>
      </c>
      <c r="CQ80" s="39">
        <f>CQ79/CL79-1</f>
        <v>-6.2173864771844167E-2</v>
      </c>
      <c r="CR80" s="39">
        <f>CR79/CM79-1</f>
        <v>1.4315195527808244E-2</v>
      </c>
      <c r="CS80" s="858"/>
      <c r="CT80" s="39">
        <f>CT79/CO79-1</f>
        <v>2.2934496839514651E-2</v>
      </c>
      <c r="CU80" s="39">
        <f>CU79/CP79-1</f>
        <v>-3.1064281817920869E-2</v>
      </c>
      <c r="CV80" s="39">
        <f>CV79/CQ79-1</f>
        <v>-2.882680241505875E-2</v>
      </c>
      <c r="CW80" s="39">
        <f>CW79/CR79-1</f>
        <v>-3.1857632182132556E-2</v>
      </c>
      <c r="CX80" s="48"/>
      <c r="CY80" s="39">
        <f>CY79/CT79-1</f>
        <v>-9.6130477798439529E-4</v>
      </c>
      <c r="CZ80" s="39">
        <f>CZ79/CU79-1</f>
        <v>6.8322960680313738E-3</v>
      </c>
      <c r="DA80" s="39">
        <f>DA79/CV79-1</f>
        <v>2.7483424466310469E-2</v>
      </c>
      <c r="DB80" s="39">
        <f>DB79/CW79-1</f>
        <v>-6.17755237680222E-2</v>
      </c>
      <c r="DC80" s="48"/>
      <c r="DD80" s="39">
        <f>DD79/CY79-1</f>
        <v>-0.13457847109326815</v>
      </c>
      <c r="DE80" s="39">
        <f>DE79/CZ79-1</f>
        <v>-0.11352732130925869</v>
      </c>
      <c r="DF80" s="39">
        <f>DF79/DA79-1</f>
        <v>-6.8937379865278148E-3</v>
      </c>
      <c r="DG80" s="39">
        <f>DG79/DB79-1</f>
        <v>-9.941083639050885E-3</v>
      </c>
      <c r="DH80" s="48"/>
      <c r="DI80" s="39">
        <f>DI79/DD79-1</f>
        <v>0.1166137016891089</v>
      </c>
      <c r="DJ80" s="39">
        <f>DJ79/DE79-1</f>
        <v>0.10583728994519981</v>
      </c>
      <c r="DK80" s="39">
        <f>DK79/DF79-1</f>
        <v>-1.5184023123348322E-2</v>
      </c>
      <c r="DL80" s="39">
        <f>DL79/DG79-1</f>
        <v>0.1169813397331958</v>
      </c>
    </row>
    <row r="81" spans="1:117" ht="5.0999999999999996" customHeight="1">
      <c r="A81" s="36"/>
      <c r="B81" s="6"/>
      <c r="C81" s="10"/>
      <c r="D81" s="10"/>
      <c r="E81" s="10"/>
      <c r="F81" s="10"/>
      <c r="G81" s="10"/>
      <c r="H81" s="10"/>
      <c r="I81" s="10"/>
      <c r="J81" s="10"/>
      <c r="K81" s="10"/>
      <c r="L81" s="10"/>
      <c r="M81" s="10"/>
      <c r="N81" s="10"/>
      <c r="O81" s="10"/>
      <c r="P81" s="10"/>
      <c r="Q81" s="37"/>
      <c r="R81" s="14"/>
      <c r="S81" s="14"/>
      <c r="T81" s="13"/>
      <c r="U81" s="13"/>
      <c r="V81" s="13"/>
      <c r="W81" s="13"/>
      <c r="X81" s="13"/>
      <c r="Y81" s="13"/>
      <c r="Z81" s="13"/>
      <c r="AA81" s="13"/>
      <c r="AB81" s="13"/>
      <c r="AC81" s="1357"/>
      <c r="AD81" s="2692"/>
      <c r="AE81" s="2692"/>
      <c r="AF81" s="1357"/>
      <c r="AG81" s="1357"/>
      <c r="AH81" s="1357"/>
      <c r="AI81" s="2701"/>
      <c r="AJ81" s="1357"/>
      <c r="AK81" s="1357"/>
      <c r="AL81" s="1357"/>
      <c r="AM81" s="1357"/>
      <c r="AN81" s="1357"/>
      <c r="AO81" s="1357"/>
      <c r="AP81" s="1357"/>
      <c r="AQ81" s="1357"/>
      <c r="AR81" s="1357"/>
      <c r="AS81" s="1357"/>
      <c r="AT81" s="1357"/>
      <c r="AU81" s="6"/>
      <c r="AV81" s="13"/>
      <c r="AW81" s="13"/>
      <c r="AX81" s="13"/>
      <c r="AY81" s="13"/>
      <c r="AZ81" s="6"/>
      <c r="BA81" s="10"/>
      <c r="BB81" s="10"/>
      <c r="BC81" s="10"/>
      <c r="BD81" s="10"/>
      <c r="BE81" s="4"/>
      <c r="BF81" s="10"/>
      <c r="BG81" s="10"/>
      <c r="BH81" s="10"/>
      <c r="BI81" s="10"/>
      <c r="BJ81" s="6"/>
      <c r="BK81" s="10"/>
      <c r="BL81" s="10"/>
      <c r="BM81" s="10"/>
      <c r="BN81" s="10"/>
      <c r="BO81" s="4"/>
      <c r="BP81" s="10"/>
      <c r="BQ81" s="10"/>
      <c r="BR81" s="10"/>
      <c r="BS81" s="10"/>
      <c r="BT81" s="4"/>
      <c r="BU81" s="10"/>
      <c r="BV81" s="10"/>
      <c r="BW81" s="10"/>
      <c r="BX81" s="10"/>
      <c r="BY81" s="4"/>
      <c r="BZ81" s="10"/>
      <c r="CA81" s="10"/>
      <c r="CB81" s="10"/>
      <c r="CC81" s="10"/>
      <c r="CD81" s="7"/>
      <c r="CE81" s="37"/>
      <c r="CF81" s="37"/>
      <c r="CG81" s="37"/>
      <c r="CH81" s="37"/>
      <c r="CI81" s="8"/>
      <c r="CJ81" s="37"/>
      <c r="CK81" s="37"/>
      <c r="CL81" s="37"/>
      <c r="CM81" s="37"/>
      <c r="CN81" s="45"/>
      <c r="CO81" s="68"/>
      <c r="CP81" s="68"/>
      <c r="CQ81" s="68"/>
      <c r="CR81" s="6"/>
      <c r="CS81" s="856"/>
      <c r="CT81" s="11" t="s">
        <v>337</v>
      </c>
      <c r="CU81" s="11"/>
      <c r="CV81" s="11"/>
      <c r="CW81" s="11"/>
      <c r="CX81" s="6"/>
      <c r="CY81" s="11" t="s">
        <v>337</v>
      </c>
      <c r="CZ81" s="11"/>
      <c r="DA81" s="11"/>
      <c r="DB81" s="11"/>
      <c r="DC81" s="6"/>
      <c r="DD81" s="6"/>
      <c r="DE81" s="6"/>
      <c r="DF81" s="6"/>
      <c r="DG81" s="6"/>
      <c r="DH81" s="6"/>
    </row>
    <row r="82" spans="1:117">
      <c r="A82" s="9" t="s">
        <v>862</v>
      </c>
      <c r="B82" s="49"/>
      <c r="C82" s="48">
        <f t="shared" ref="C82:I82" si="107">C9+C23+C37+C66</f>
        <v>2094.7223955328259</v>
      </c>
      <c r="D82" s="48">
        <f t="shared" si="107"/>
        <v>2425.5</v>
      </c>
      <c r="E82" s="48">
        <f t="shared" si="107"/>
        <v>2962.8999999999996</v>
      </c>
      <c r="F82" s="48">
        <f t="shared" si="107"/>
        <v>2760.2</v>
      </c>
      <c r="G82" s="48">
        <f t="shared" si="107"/>
        <v>2801.1000000000004</v>
      </c>
      <c r="H82" s="48">
        <f t="shared" si="107"/>
        <v>2815.2</v>
      </c>
      <c r="I82" s="48">
        <f t="shared" si="107"/>
        <v>3108.8</v>
      </c>
      <c r="J82" s="48"/>
      <c r="K82" s="48">
        <f t="shared" ref="K82:S82" si="108">K9+K23+K37+K66</f>
        <v>2387.642395532826</v>
      </c>
      <c r="L82" s="48">
        <f t="shared" si="108"/>
        <v>2767</v>
      </c>
      <c r="M82" s="48">
        <f t="shared" si="108"/>
        <v>3409.5151215878445</v>
      </c>
      <c r="N82" s="48">
        <f t="shared" si="108"/>
        <v>3134.4194247796536</v>
      </c>
      <c r="O82" s="48">
        <f t="shared" si="108"/>
        <v>3181.2999999999997</v>
      </c>
      <c r="P82" s="48">
        <f t="shared" si="108"/>
        <v>3230.6</v>
      </c>
      <c r="Q82" s="49">
        <f t="shared" si="108"/>
        <v>3563.5</v>
      </c>
      <c r="R82" s="49">
        <f t="shared" si="108"/>
        <v>3404.4000000000005</v>
      </c>
      <c r="S82" s="49">
        <f t="shared" si="108"/>
        <v>3413.7</v>
      </c>
      <c r="T82" s="48">
        <f>T9+T23+T37+T66+T51</f>
        <v>3329.5999999999995</v>
      </c>
      <c r="U82" s="48">
        <f>U9+U23+U37+U66+U51</f>
        <v>2911.8</v>
      </c>
      <c r="V82" s="48"/>
      <c r="W82" s="48">
        <f t="shared" ref="W82:AB82" si="109">W9+W23+W37+W66+W51</f>
        <v>3397.6166249999997</v>
      </c>
      <c r="X82" s="48">
        <f t="shared" si="109"/>
        <v>2912.2037189600001</v>
      </c>
      <c r="Y82" s="48">
        <f t="shared" si="109"/>
        <v>2066.6000000000004</v>
      </c>
      <c r="Z82" s="48">
        <f t="shared" si="109"/>
        <v>2688.9</v>
      </c>
      <c r="AA82" s="48">
        <f t="shared" si="109"/>
        <v>3459.0000000000005</v>
      </c>
      <c r="AB82" s="48">
        <f t="shared" si="109"/>
        <v>3783.9999999999995</v>
      </c>
      <c r="AC82" s="1366">
        <f>AC9+AC23+AC37+AC66+AC51</f>
        <v>4078</v>
      </c>
      <c r="AD82" s="2689">
        <f t="shared" ref="AD82:AK82" si="110">AD9+AD23+AD37+AD66+AD51</f>
        <v>3524</v>
      </c>
      <c r="AE82" s="2689">
        <f t="shared" si="110"/>
        <v>3667</v>
      </c>
      <c r="AF82" s="1366">
        <f t="shared" si="110"/>
        <v>3524</v>
      </c>
      <c r="AG82" s="1366">
        <f t="shared" si="110"/>
        <v>3352</v>
      </c>
      <c r="AH82" s="1366">
        <f>AH9+AH23+AH37+AH66+AH51</f>
        <v>3731.3</v>
      </c>
      <c r="AI82" s="1366">
        <f>AI9+AI23+AI37+AI66+AI51</f>
        <v>3405.3</v>
      </c>
      <c r="AJ82" s="1366">
        <f t="shared" si="110"/>
        <v>3359.3769990247988</v>
      </c>
      <c r="AK82" s="1366">
        <f t="shared" si="110"/>
        <v>3593.6366914621472</v>
      </c>
      <c r="AL82" s="1366">
        <f>AL9+AL23+AL37+AL66+AL51</f>
        <v>3787.1414026751218</v>
      </c>
      <c r="AM82" s="1366">
        <f t="shared" ref="AM82:AQ82" si="111">AM9+AM23+AM37+AM66+AM51</f>
        <v>4147.0645206899489</v>
      </c>
      <c r="AN82" s="1366">
        <f t="shared" si="111"/>
        <v>4267.0527087422915</v>
      </c>
      <c r="AO82" s="1366">
        <f t="shared" si="111"/>
        <v>4529.5243123204664</v>
      </c>
      <c r="AP82" s="1366">
        <f t="shared" si="111"/>
        <v>4357.2138636346717</v>
      </c>
      <c r="AQ82" s="1366">
        <f t="shared" si="111"/>
        <v>4470.3489313516084</v>
      </c>
      <c r="AR82" s="1366">
        <f>AR9+AR23+AR37+AR66+AR51</f>
        <v>4486.0787917407606</v>
      </c>
      <c r="AS82" s="1366">
        <f>AS9+AS23+AS37+AS66+AS51</f>
        <v>4438.1267319336148</v>
      </c>
      <c r="AT82" s="1366">
        <f>AT9+AT23+AT37+AT66+AT51</f>
        <v>4399.9768775133407</v>
      </c>
      <c r="AU82" s="1366">
        <f>AU9+AU23+AU37+AU66+AU51</f>
        <v>4610.0548926584834</v>
      </c>
      <c r="AV82" s="48"/>
      <c r="AW82" s="48"/>
      <c r="AX82" s="48"/>
      <c r="AY82" s="48"/>
      <c r="AZ82" s="48"/>
      <c r="BA82" s="48">
        <f>BA9+BA23+BA37+BA66</f>
        <v>438.2</v>
      </c>
      <c r="BB82" s="48">
        <f>BB9+BB23+BB37+BB66</f>
        <v>634</v>
      </c>
      <c r="BC82" s="48">
        <f>BC9+BC23+BC37+BC66</f>
        <v>667.5</v>
      </c>
      <c r="BD82" s="48">
        <f>BD9+BD23+BD37+BD66</f>
        <v>685.8</v>
      </c>
      <c r="BE82" s="48"/>
      <c r="BF82" s="48">
        <f>BF9+BF23+BF37+BF66</f>
        <v>624.90000000000009</v>
      </c>
      <c r="BG82" s="48">
        <f>BG9+BG23+BG37+BG66</f>
        <v>769.40000000000009</v>
      </c>
      <c r="BH82" s="48">
        <f>BH9+BH23+BH37+BH66</f>
        <v>804.40000000000009</v>
      </c>
      <c r="BI82" s="48">
        <f>BI9+BI23+BI37+BI66</f>
        <v>764.2</v>
      </c>
      <c r="BJ82" s="48"/>
      <c r="BK82" s="48">
        <f>BK9+BK23+BK37+BK66</f>
        <v>636.5</v>
      </c>
      <c r="BL82" s="48">
        <f>BL9+BL23+BL37+BL66</f>
        <v>797.1</v>
      </c>
      <c r="BM82" s="48">
        <f>BM9+BM23+BM37+BM66</f>
        <v>656.8</v>
      </c>
      <c r="BN82" s="48">
        <f>BN9+BN23+BN37+BN66</f>
        <v>668.5</v>
      </c>
      <c r="BO82" s="48"/>
      <c r="BP82" s="48">
        <f>BP9+BP23+BP37+BP66</f>
        <v>522.1</v>
      </c>
      <c r="BQ82" s="48">
        <f>BQ9+BQ23+BQ37+BQ66</f>
        <v>793.80000000000007</v>
      </c>
      <c r="BR82" s="48">
        <f>BR9+BR23+BR37+BR66</f>
        <v>729.3</v>
      </c>
      <c r="BS82" s="48">
        <f>BS9+BS23+BS37+BS66</f>
        <v>755.9</v>
      </c>
      <c r="BT82" s="48"/>
      <c r="BU82" s="48">
        <f>BU9+BU23+BU37+BU66</f>
        <v>554.70000000000005</v>
      </c>
      <c r="BV82" s="48">
        <f>BV9+BV23+BV37+BV66</f>
        <v>835.2</v>
      </c>
      <c r="BW82" s="48">
        <f>BW9+BW23+BW37+BW66</f>
        <v>771.30000000000007</v>
      </c>
      <c r="BX82" s="48">
        <f>BX9+BX23+BX37+BX66</f>
        <v>654.20000000000005</v>
      </c>
      <c r="BY82" s="4"/>
      <c r="BZ82" s="48">
        <f>BZ9+BZ23+BZ37+BZ66</f>
        <v>645.6</v>
      </c>
      <c r="CA82" s="48">
        <f>CA9+CA23+CA37+CA66</f>
        <v>985.5</v>
      </c>
      <c r="CB82" s="48">
        <f>CB9+CB23+CB37+CB66</f>
        <v>768.3</v>
      </c>
      <c r="CC82" s="48">
        <f>CC9+CC23+CC37+CC66</f>
        <v>709.4</v>
      </c>
      <c r="CD82" s="7"/>
      <c r="CE82" s="49">
        <f>CE9+CE23+CE37+CE66</f>
        <v>707.2</v>
      </c>
      <c r="CF82" s="49">
        <f>CF9+CF23+CF37+CF66</f>
        <v>1086.0000000000002</v>
      </c>
      <c r="CG82" s="49">
        <f>CG9+CG23+CG37+CG66</f>
        <v>961.90000000000009</v>
      </c>
      <c r="CH82" s="49">
        <f>CH9+CH23+CH37+CH66</f>
        <v>808.4</v>
      </c>
      <c r="CI82" s="8">
        <f>Q82-SUM(CE82:CH82)</f>
        <v>0</v>
      </c>
      <c r="CJ82" s="49">
        <f>CJ9+CJ23+CJ37+CJ66</f>
        <v>674.6</v>
      </c>
      <c r="CK82" s="49">
        <f>CK9+CK23+CK37+CK66</f>
        <v>995.8</v>
      </c>
      <c r="CL82" s="49">
        <f>CL9+CL23+CL37+CL66</f>
        <v>887.09999999999991</v>
      </c>
      <c r="CM82" s="49">
        <f>CM9+CM23+CM37+CM66</f>
        <v>846.9</v>
      </c>
      <c r="CN82" s="45">
        <f>R82-SUM(CJ82:CM82)</f>
        <v>0</v>
      </c>
      <c r="CO82" s="49">
        <f>CO9+CO23+CO37+CO66</f>
        <v>699.19999999999993</v>
      </c>
      <c r="CP82" s="49">
        <f>CP9+CP23+CP37+CP66</f>
        <v>933.9</v>
      </c>
      <c r="CQ82" s="49">
        <f>CQ9+CQ23+CQ37+CQ66</f>
        <v>832.6</v>
      </c>
      <c r="CR82" s="48">
        <f>CR9+CR23+CR37+CR66</f>
        <v>948</v>
      </c>
      <c r="CS82" s="857">
        <f>S82-SUM(CO82:CR82)</f>
        <v>0</v>
      </c>
      <c r="CT82" s="49">
        <f t="shared" ref="CT82:CY82" si="112">CT9+CT23+CT37+CT66+CT51</f>
        <v>683.99999999999989</v>
      </c>
      <c r="CU82" s="49">
        <f t="shared" si="112"/>
        <v>925.2</v>
      </c>
      <c r="CV82" s="49">
        <f t="shared" si="112"/>
        <v>823</v>
      </c>
      <c r="CW82" s="49">
        <f t="shared" si="112"/>
        <v>897.4</v>
      </c>
      <c r="CX82" s="49"/>
      <c r="CY82" s="49">
        <f t="shared" si="112"/>
        <v>749.47924972625003</v>
      </c>
      <c r="CZ82" s="49">
        <f>CZ9+CZ23+CZ37+CZ66+CZ51</f>
        <v>830.09473068</v>
      </c>
      <c r="DA82" s="49">
        <f>DA9+DA23+DA37+DA66+DA51</f>
        <v>702.96897686793739</v>
      </c>
      <c r="DB82" s="49">
        <f>DB9+DB23+DB37+DB66+DB51</f>
        <v>629.25704272581243</v>
      </c>
      <c r="DC82" s="48">
        <f>U82-SUM(CY82:DB82)</f>
        <v>0</v>
      </c>
      <c r="DD82" s="49">
        <f>DD9+DD23+DD37+DD66+DD51</f>
        <v>330.23853314169935</v>
      </c>
      <c r="DE82" s="49">
        <f>DE9+DE23+DE37+DE66+DE51</f>
        <v>467.91093352486837</v>
      </c>
      <c r="DF82" s="49">
        <f>DF9+DF23+DF37+DF66+DF51</f>
        <v>641.62739985984581</v>
      </c>
      <c r="DG82" s="49">
        <f>DG9+DG23+DG37+DG66+DG51</f>
        <v>626.82313347358672</v>
      </c>
      <c r="DH82" s="42">
        <f>Y82-SUM(DD82:DG82)</f>
        <v>0</v>
      </c>
      <c r="DI82" s="49">
        <f>DI9+DI23+DI37+DI66+DI51</f>
        <v>415.50000000000006</v>
      </c>
      <c r="DJ82" s="49">
        <f>DJ9+DJ23+DJ37+DJ66+DJ51</f>
        <v>661.5</v>
      </c>
      <c r="DK82" s="49">
        <f>DK9+DK23+DK37+DK66+DK51</f>
        <v>751.6</v>
      </c>
      <c r="DL82" s="49">
        <f>DL9+DL23+DL37+DL66+DL51</f>
        <v>860.30000000000018</v>
      </c>
      <c r="DM82" s="42">
        <f>Z82-SUM(DI82:DL82)</f>
        <v>0</v>
      </c>
    </row>
    <row r="83" spans="1:117" hidden="1" outlineLevel="1">
      <c r="A83" s="69" t="s">
        <v>863</v>
      </c>
      <c r="B83" s="11"/>
      <c r="C83" s="13"/>
      <c r="D83" s="13"/>
      <c r="E83" s="13"/>
      <c r="F83" s="13"/>
      <c r="G83" s="13"/>
      <c r="H83" s="13"/>
      <c r="I83" s="13"/>
      <c r="J83" s="13"/>
      <c r="K83" s="13"/>
      <c r="L83" s="13"/>
      <c r="M83" s="13"/>
      <c r="N83" s="13"/>
      <c r="O83" s="70">
        <f>-159+91.7+'Segment Detail'!Y198+'Segment Detail'!Y208</f>
        <v>-54.100000000000051</v>
      </c>
      <c r="P83" s="70">
        <f>-187.9+103.8+'Segment Detail'!Z198+'Segment Detail'!Z208</f>
        <v>-71.299999999999983</v>
      </c>
      <c r="Q83" s="71">
        <f>-237.7+128.1+'Segment Detail'!AA198+'Segment Detail'!AA208</f>
        <v>-96.69999999999996</v>
      </c>
      <c r="R83" s="71">
        <v>-118.7</v>
      </c>
      <c r="S83" s="71">
        <f>-162.9</f>
        <v>-162.9</v>
      </c>
      <c r="T83" s="77">
        <v>-159</v>
      </c>
      <c r="U83" s="14">
        <f>SUM(CY83:DB83)</f>
        <v>-145.5</v>
      </c>
      <c r="V83" s="14"/>
      <c r="W83" s="14">
        <f t="shared" ref="W83:X85" si="113">T83</f>
        <v>-159</v>
      </c>
      <c r="X83" s="14">
        <f t="shared" si="113"/>
        <v>-145.5</v>
      </c>
      <c r="Y83" s="14">
        <f>SUM(DD83:DG83)</f>
        <v>-147.1</v>
      </c>
      <c r="Z83" s="14">
        <f>+SUM(DI83:DL83)</f>
        <v>-218.20000000000002</v>
      </c>
      <c r="AA83" s="14">
        <f>Drivers!K195</f>
        <v>-234</v>
      </c>
      <c r="AB83" s="14">
        <f>Drivers!L195</f>
        <v>-248</v>
      </c>
      <c r="AC83" s="1357">
        <f>Drivers!M195</f>
        <v>-342</v>
      </c>
      <c r="AD83" s="2692">
        <f>Drivers!N195</f>
        <v>-269</v>
      </c>
      <c r="AE83" s="2692">
        <f t="shared" ref="AE83:AF85" si="114">+AC83</f>
        <v>-342</v>
      </c>
      <c r="AF83" s="1357">
        <f t="shared" si="114"/>
        <v>-269</v>
      </c>
      <c r="AG83" s="1357">
        <f>Drivers!Q195</f>
        <v>-245</v>
      </c>
      <c r="AH83" s="1357">
        <f>Drivers!R195</f>
        <v>-320</v>
      </c>
      <c r="AI83" s="2701">
        <f>AH83</f>
        <v>-320</v>
      </c>
      <c r="AJ83" s="1357">
        <f>Drivers!T195</f>
        <v>-326</v>
      </c>
      <c r="AK83" s="1357">
        <f>Drivers!U195</f>
        <v>-339.03999999999996</v>
      </c>
      <c r="AL83" s="14">
        <f>Drivers!V195</f>
        <v>-349.21119999999996</v>
      </c>
      <c r="AM83" s="14">
        <f>Drivers!W195</f>
        <v>-359.68753599999997</v>
      </c>
      <c r="AN83" s="14">
        <f>Drivers!X195</f>
        <v>-370.47816207999995</v>
      </c>
      <c r="AO83" s="14">
        <f>Drivers!Y195</f>
        <v>-381.59250694239995</v>
      </c>
      <c r="AP83" s="14">
        <f>Drivers!Z195</f>
        <v>-393.04028215067194</v>
      </c>
      <c r="AQ83" s="14">
        <f>Drivers!AA195</f>
        <v>-404.83149061519214</v>
      </c>
      <c r="AR83" s="14">
        <f>Drivers!AB195</f>
        <v>-416.97643533364788</v>
      </c>
      <c r="AS83" s="14">
        <f>Drivers!AC195</f>
        <v>-429.48572839365733</v>
      </c>
      <c r="AT83" s="14">
        <f>Drivers!AD195</f>
        <v>-442.37030024546704</v>
      </c>
      <c r="AU83" s="14">
        <f>Drivers!AE195</f>
        <v>-455.64140925283107</v>
      </c>
      <c r="AV83" s="14"/>
      <c r="AW83" s="14"/>
      <c r="AX83" s="14"/>
      <c r="AY83" s="14"/>
      <c r="AZ83" s="6"/>
      <c r="BA83" s="13"/>
      <c r="BB83" s="13"/>
      <c r="BC83" s="13"/>
      <c r="BD83" s="13"/>
      <c r="BE83" s="4"/>
      <c r="BF83" s="13"/>
      <c r="BG83" s="13"/>
      <c r="BH83" s="13"/>
      <c r="BI83" s="13"/>
      <c r="BJ83" s="6"/>
      <c r="BK83" s="13"/>
      <c r="BL83" s="13"/>
      <c r="BM83" s="13"/>
      <c r="BN83" s="13"/>
      <c r="BO83" s="4"/>
      <c r="BP83" s="13"/>
      <c r="BQ83" s="13"/>
      <c r="BR83" s="13"/>
      <c r="BS83" s="13"/>
      <c r="BT83" s="4"/>
      <c r="BU83" s="13"/>
      <c r="BV83" s="13"/>
      <c r="BW83" s="13"/>
      <c r="BX83" s="13"/>
      <c r="BY83" s="4"/>
      <c r="BZ83" s="13"/>
      <c r="CA83" s="13"/>
      <c r="CB83" s="13"/>
      <c r="CC83" s="13"/>
      <c r="CD83" s="7"/>
      <c r="CE83" s="309">
        <f>-13.5-(1.8/4)</f>
        <v>-13.95</v>
      </c>
      <c r="CF83" s="309">
        <f>-38.1-(1.8/4)</f>
        <v>-38.550000000000004</v>
      </c>
      <c r="CG83" s="309">
        <f>-20.4-(1.8/4)</f>
        <v>-20.849999999999998</v>
      </c>
      <c r="CH83" s="309">
        <f>Q83-SUM(CE83:CG83)</f>
        <v>-23.349999999999966</v>
      </c>
      <c r="CI83" s="8"/>
      <c r="CJ83" s="14">
        <f>(-18.9)-(-1.8/4)</f>
        <v>-18.45</v>
      </c>
      <c r="CK83" s="14">
        <f>-26.8-(-1.8/4)</f>
        <v>-26.35</v>
      </c>
      <c r="CL83" s="14">
        <f>-36.3-(-1.8/4)</f>
        <v>-35.849999999999994</v>
      </c>
      <c r="CM83" s="14">
        <f>-38.5-(-1.8/4)</f>
        <v>-38.049999999999997</v>
      </c>
      <c r="CN83" s="66"/>
      <c r="CO83" s="37">
        <f>-27.7-CO85</f>
        <v>-27.7</v>
      </c>
      <c r="CP83" s="37">
        <f>-39.7-CP85</f>
        <v>-39.700000000000003</v>
      </c>
      <c r="CQ83" s="37">
        <f>-41.3-CQ85</f>
        <v>-41.3</v>
      </c>
      <c r="CR83" s="37">
        <f>+-54.2</f>
        <v>-54.2</v>
      </c>
      <c r="CS83" s="857">
        <f>S83-SUM(CO83:CR83)</f>
        <v>0</v>
      </c>
      <c r="CT83" s="47">
        <v>-26.8</v>
      </c>
      <c r="CU83" s="47">
        <v>-41.6</v>
      </c>
      <c r="CV83" s="47">
        <v>-41.3</v>
      </c>
      <c r="CW83" s="37">
        <v>-49.3</v>
      </c>
      <c r="CX83" s="48">
        <f>T83-SUM(CT83:CW83)</f>
        <v>0</v>
      </c>
      <c r="CY83" s="47">
        <v>-26</v>
      </c>
      <c r="CZ83" s="47">
        <v>-41.9</v>
      </c>
      <c r="DA83" s="47">
        <v>-38.5</v>
      </c>
      <c r="DB83" s="10">
        <f>-50.7+11.6</f>
        <v>-39.1</v>
      </c>
      <c r="DC83" s="48">
        <f>U83-SUM(CY83:DB83)</f>
        <v>0</v>
      </c>
      <c r="DD83" s="10">
        <v>-28.5</v>
      </c>
      <c r="DE83" s="10">
        <v>-34.700000000000003</v>
      </c>
      <c r="DF83" s="10">
        <v>-34.799999999999997</v>
      </c>
      <c r="DG83" s="37">
        <v>-49.1</v>
      </c>
      <c r="DH83" s="42">
        <f>Y83-SUM(DD83:DG83)</f>
        <v>0</v>
      </c>
      <c r="DI83" s="37">
        <v>-38.700000000000003</v>
      </c>
      <c r="DJ83" s="37">
        <v>-55.9</v>
      </c>
      <c r="DK83" s="37">
        <v>-58.7</v>
      </c>
      <c r="DL83" s="37">
        <v>-64.900000000000006</v>
      </c>
      <c r="DM83" s="42">
        <f>Z83-SUM(DI83:DL83)</f>
        <v>0</v>
      </c>
    </row>
    <row r="84" spans="1:117" hidden="1" outlineLevel="1">
      <c r="A84" s="69" t="s">
        <v>1106</v>
      </c>
      <c r="B84" s="11"/>
      <c r="C84" s="13"/>
      <c r="D84" s="13"/>
      <c r="E84" s="13"/>
      <c r="F84" s="13"/>
      <c r="G84" s="13"/>
      <c r="H84" s="13"/>
      <c r="I84" s="13"/>
      <c r="J84" s="13"/>
      <c r="K84" s="13"/>
      <c r="L84" s="13"/>
      <c r="M84" s="13"/>
      <c r="N84" s="13"/>
      <c r="O84" s="70">
        <v>-67.8</v>
      </c>
      <c r="P84" s="70">
        <v>-146.5</v>
      </c>
      <c r="Q84" s="71">
        <v>-113.8</v>
      </c>
      <c r="R84" s="71">
        <v>-118.7</v>
      </c>
      <c r="S84" s="71">
        <v>-139.69999999999999</v>
      </c>
      <c r="T84" s="77">
        <v>-96.5</v>
      </c>
      <c r="U84" s="14">
        <f>SUM(CY84:DB84)</f>
        <v>-79.2</v>
      </c>
      <c r="V84" s="14"/>
      <c r="W84" s="14">
        <f t="shared" si="113"/>
        <v>-96.5</v>
      </c>
      <c r="X84" s="14">
        <f t="shared" si="113"/>
        <v>-79.2</v>
      </c>
      <c r="Y84" s="1357">
        <f>SUM(DD84:DG84)</f>
        <v>-143.70000000000002</v>
      </c>
      <c r="Z84" s="1357">
        <f>SUM(DI84:DL84)</f>
        <v>-105.1</v>
      </c>
      <c r="AA84" s="1357">
        <f>Drivers!K196</f>
        <v>-75</v>
      </c>
      <c r="AB84" s="1357">
        <f>Drivers!L196</f>
        <v>-48</v>
      </c>
      <c r="AC84" s="1357">
        <f>Drivers!M196</f>
        <v>0</v>
      </c>
      <c r="AD84" s="2692">
        <f>Drivers!N196</f>
        <v>0</v>
      </c>
      <c r="AE84" s="2692">
        <f t="shared" si="114"/>
        <v>0</v>
      </c>
      <c r="AF84" s="1357">
        <f t="shared" si="114"/>
        <v>0</v>
      </c>
      <c r="AG84" s="1357">
        <f>Drivers!Q196</f>
        <v>0</v>
      </c>
      <c r="AH84" s="1357">
        <f>Drivers!R196</f>
        <v>0</v>
      </c>
      <c r="AI84" s="2701">
        <f>AH84</f>
        <v>0</v>
      </c>
      <c r="AJ84" s="1357">
        <f>Drivers!T196</f>
        <v>0</v>
      </c>
      <c r="AK84" s="1357">
        <f>Drivers!U196</f>
        <v>0</v>
      </c>
      <c r="AL84" s="14">
        <f>Drivers!V196</f>
        <v>0</v>
      </c>
      <c r="AM84" s="14">
        <f>Drivers!W196</f>
        <v>0</v>
      </c>
      <c r="AN84" s="14">
        <f>Drivers!X196</f>
        <v>0</v>
      </c>
      <c r="AO84" s="14">
        <f>Drivers!Y196</f>
        <v>0</v>
      </c>
      <c r="AP84" s="14">
        <f>Drivers!Z196</f>
        <v>0</v>
      </c>
      <c r="AQ84" s="14">
        <f>Drivers!AA196</f>
        <v>0</v>
      </c>
      <c r="AR84" s="14">
        <f>Drivers!AB196</f>
        <v>0</v>
      </c>
      <c r="AS84" s="14">
        <f>Drivers!AC196</f>
        <v>0</v>
      </c>
      <c r="AT84" s="14">
        <f>Drivers!AD196</f>
        <v>0</v>
      </c>
      <c r="AU84" s="14">
        <f>Drivers!AE196</f>
        <v>0</v>
      </c>
      <c r="AV84" s="14"/>
      <c r="AW84" s="14"/>
      <c r="AX84" s="14"/>
      <c r="AY84" s="14"/>
      <c r="AZ84" s="10"/>
      <c r="BA84" s="10"/>
      <c r="BB84" s="10"/>
      <c r="BC84" s="10"/>
      <c r="BD84" s="10"/>
      <c r="BE84" s="4"/>
      <c r="BF84" s="10"/>
      <c r="BG84" s="10"/>
      <c r="BH84" s="10"/>
      <c r="BI84" s="10"/>
      <c r="BJ84" s="10"/>
      <c r="BK84" s="10"/>
      <c r="BL84" s="10"/>
      <c r="BM84" s="10"/>
      <c r="BN84" s="10"/>
      <c r="BO84" s="4"/>
      <c r="BP84" s="10"/>
      <c r="BQ84" s="10"/>
      <c r="BR84" s="10"/>
      <c r="BS84" s="10"/>
      <c r="BT84" s="4"/>
      <c r="BU84" s="10"/>
      <c r="BV84" s="10"/>
      <c r="BW84" s="10"/>
      <c r="BX84" s="10"/>
      <c r="BY84" s="4"/>
      <c r="BZ84" s="10"/>
      <c r="CA84" s="10"/>
      <c r="CB84" s="10"/>
      <c r="CC84" s="10"/>
      <c r="CD84" s="7"/>
      <c r="CE84" s="1105">
        <f t="shared" ref="CE84:CH85" si="115">$Q84/4</f>
        <v>-28.45</v>
      </c>
      <c r="CF84" s="1105">
        <f t="shared" si="115"/>
        <v>-28.45</v>
      </c>
      <c r="CG84" s="1105">
        <f t="shared" si="115"/>
        <v>-28.45</v>
      </c>
      <c r="CH84" s="1105">
        <f t="shared" si="115"/>
        <v>-28.45</v>
      </c>
      <c r="CI84" s="8"/>
      <c r="CJ84" s="37">
        <v>-29.7</v>
      </c>
      <c r="CK84" s="37">
        <v>-29.6</v>
      </c>
      <c r="CL84" s="37">
        <v>-29.7</v>
      </c>
      <c r="CM84" s="37">
        <v>-29.7</v>
      </c>
      <c r="CN84" s="45"/>
      <c r="CO84" s="37">
        <v>-35.299999999999997</v>
      </c>
      <c r="CP84" s="37">
        <f>-35.3</f>
        <v>-35.299999999999997</v>
      </c>
      <c r="CQ84" s="37">
        <v>-34.9</v>
      </c>
      <c r="CR84" s="37">
        <v>-34.200000000000003</v>
      </c>
      <c r="CS84" s="857">
        <f>S84-SUM(CO84:CR84)</f>
        <v>0</v>
      </c>
      <c r="CT84" s="47">
        <v>-24.1</v>
      </c>
      <c r="CU84" s="47">
        <v>-24.2</v>
      </c>
      <c r="CV84" s="47">
        <v>-24.1</v>
      </c>
      <c r="CW84" s="37">
        <v>-24.1</v>
      </c>
      <c r="CX84" s="48">
        <f>T84-SUM(CT84:CW84)</f>
        <v>0</v>
      </c>
      <c r="CY84" s="47">
        <v>-22.4</v>
      </c>
      <c r="CZ84" s="47">
        <v>-22.5</v>
      </c>
      <c r="DA84" s="47">
        <v>-18.3</v>
      </c>
      <c r="DB84" s="10">
        <v>-16</v>
      </c>
      <c r="DC84" s="48">
        <f>U84-SUM(CY84:DB84)</f>
        <v>0</v>
      </c>
      <c r="DD84" s="10">
        <v>-36</v>
      </c>
      <c r="DE84" s="10">
        <v>-35.9</v>
      </c>
      <c r="DF84" s="10">
        <v>-35.9</v>
      </c>
      <c r="DG84" s="10">
        <v>-35.9</v>
      </c>
      <c r="DH84" s="42">
        <f>Y84-SUM(DD84:DG84)</f>
        <v>0</v>
      </c>
      <c r="DI84" s="37">
        <v>-26.3</v>
      </c>
      <c r="DJ84" s="37">
        <v>-26.2</v>
      </c>
      <c r="DK84" s="37">
        <v>-26.3</v>
      </c>
      <c r="DL84" s="37">
        <v>-26.3</v>
      </c>
      <c r="DM84" s="42">
        <f>Z84-SUM(DI84:DL84)</f>
        <v>0</v>
      </c>
    </row>
    <row r="85" spans="1:117" hidden="1" outlineLevel="1">
      <c r="A85" s="11" t="s">
        <v>861</v>
      </c>
      <c r="B85" s="11"/>
      <c r="C85" s="13"/>
      <c r="D85" s="13"/>
      <c r="E85" s="13"/>
      <c r="F85" s="13"/>
      <c r="G85" s="13"/>
      <c r="H85" s="13"/>
      <c r="I85" s="13"/>
      <c r="J85" s="13"/>
      <c r="K85" s="13"/>
      <c r="L85" s="13"/>
      <c r="M85" s="13"/>
      <c r="N85" s="13"/>
      <c r="O85" s="1021">
        <f t="shared" ref="O85:T85" si="116">O86-O82-O83-O84</f>
        <v>-4.9737991503207013E-13</v>
      </c>
      <c r="P85" s="1021">
        <f t="shared" si="116"/>
        <v>0.20000000000098339</v>
      </c>
      <c r="Q85" s="1022">
        <f t="shared" si="116"/>
        <v>-1.8000000000006793</v>
      </c>
      <c r="R85" s="1022">
        <f t="shared" si="116"/>
        <v>-1.7999999999998124</v>
      </c>
      <c r="S85" s="1022">
        <f t="shared" si="116"/>
        <v>0</v>
      </c>
      <c r="T85" s="1022">
        <f t="shared" si="116"/>
        <v>3.4000000000005457</v>
      </c>
      <c r="U85" s="334">
        <f>SUM(CY85:DB85)</f>
        <v>2.6999999999999997</v>
      </c>
      <c r="V85" s="62"/>
      <c r="W85" s="334">
        <f t="shared" si="113"/>
        <v>3.4000000000005457</v>
      </c>
      <c r="X85" s="334">
        <f t="shared" si="113"/>
        <v>2.6999999999999997</v>
      </c>
      <c r="Y85" s="1439">
        <f>SUM(DD85:DG85)</f>
        <v>-2.1999999999999993</v>
      </c>
      <c r="Z85" s="1439">
        <f>SUM(DI85:DL85)</f>
        <v>3.4000000000000004</v>
      </c>
      <c r="AA85" s="1439">
        <f>Drivers!K197</f>
        <v>7</v>
      </c>
      <c r="AB85" s="1439">
        <f>Drivers!L197</f>
        <v>0</v>
      </c>
      <c r="AC85" s="1439">
        <f>Drivers!M197</f>
        <v>0</v>
      </c>
      <c r="AD85" s="2691">
        <f>Drivers!N197</f>
        <v>0</v>
      </c>
      <c r="AE85" s="2691">
        <f t="shared" si="114"/>
        <v>0</v>
      </c>
      <c r="AF85" s="1439">
        <f t="shared" si="114"/>
        <v>0</v>
      </c>
      <c r="AG85" s="1439">
        <f>Drivers!Q197</f>
        <v>0</v>
      </c>
      <c r="AH85" s="1439">
        <f>Drivers!R197</f>
        <v>0</v>
      </c>
      <c r="AI85" s="2701">
        <f>AH85</f>
        <v>0</v>
      </c>
      <c r="AJ85" s="1439">
        <f>Drivers!T197</f>
        <v>0</v>
      </c>
      <c r="AK85" s="1439">
        <f>Drivers!U197</f>
        <v>0</v>
      </c>
      <c r="AL85" s="334">
        <f>Drivers!V197</f>
        <v>0</v>
      </c>
      <c r="AM85" s="334">
        <f>Drivers!W197</f>
        <v>0</v>
      </c>
      <c r="AN85" s="317">
        <f>Drivers!X197</f>
        <v>0</v>
      </c>
      <c r="AO85" s="317">
        <f>Drivers!Y197</f>
        <v>0</v>
      </c>
      <c r="AP85" s="317">
        <f>Drivers!Z197</f>
        <v>0</v>
      </c>
      <c r="AQ85" s="317">
        <f>Drivers!AA197</f>
        <v>0</v>
      </c>
      <c r="AR85" s="317">
        <f>Drivers!AB197</f>
        <v>0</v>
      </c>
      <c r="AS85" s="317">
        <f>Drivers!AC197</f>
        <v>0</v>
      </c>
      <c r="AT85" s="317">
        <f>Drivers!AD197</f>
        <v>0</v>
      </c>
      <c r="AU85" s="317">
        <f>Drivers!AE197</f>
        <v>0</v>
      </c>
      <c r="AV85" s="886"/>
      <c r="AW85" s="886"/>
      <c r="AX85" s="886"/>
      <c r="AY85" s="886"/>
      <c r="AZ85" s="6"/>
      <c r="BA85" s="10"/>
      <c r="BB85" s="10"/>
      <c r="BC85" s="10"/>
      <c r="BD85" s="13"/>
      <c r="BE85" s="4"/>
      <c r="BF85" s="13"/>
      <c r="BG85" s="13"/>
      <c r="BH85" s="13"/>
      <c r="BI85" s="13"/>
      <c r="BJ85" s="6"/>
      <c r="BK85" s="13"/>
      <c r="BL85" s="13"/>
      <c r="BM85" s="13"/>
      <c r="BN85" s="13"/>
      <c r="BO85" s="4"/>
      <c r="BP85" s="13"/>
      <c r="BQ85" s="13"/>
      <c r="BR85" s="13"/>
      <c r="BS85" s="13"/>
      <c r="BT85" s="4"/>
      <c r="BU85" s="13"/>
      <c r="BV85" s="13"/>
      <c r="BW85" s="13"/>
      <c r="BX85" s="13"/>
      <c r="BY85" s="4"/>
      <c r="BZ85" s="13"/>
      <c r="CA85" s="13"/>
      <c r="CB85" s="13"/>
      <c r="CC85" s="13"/>
      <c r="CD85" s="7"/>
      <c r="CE85" s="317">
        <f t="shared" si="115"/>
        <v>-0.45000000000016982</v>
      </c>
      <c r="CF85" s="317">
        <f t="shared" si="115"/>
        <v>-0.45000000000016982</v>
      </c>
      <c r="CG85" s="317">
        <f t="shared" si="115"/>
        <v>-0.45000000000016982</v>
      </c>
      <c r="CH85" s="317">
        <f t="shared" si="115"/>
        <v>-0.45000000000016982</v>
      </c>
      <c r="CI85" s="8"/>
      <c r="CJ85" s="317">
        <f>$R85/4</f>
        <v>-0.4499999999999531</v>
      </c>
      <c r="CK85" s="317">
        <f>$R85/4</f>
        <v>-0.4499999999999531</v>
      </c>
      <c r="CL85" s="317">
        <f>$R85/4</f>
        <v>-0.4499999999999531</v>
      </c>
      <c r="CM85" s="317">
        <f>$R85/4</f>
        <v>-0.4499999999999531</v>
      </c>
      <c r="CN85" s="45"/>
      <c r="CO85" s="896">
        <v>0</v>
      </c>
      <c r="CP85" s="896">
        <v>0</v>
      </c>
      <c r="CQ85" s="896">
        <v>0</v>
      </c>
      <c r="CR85" s="896">
        <v>0</v>
      </c>
      <c r="CS85" s="857"/>
      <c r="CT85" s="896">
        <f>$T85/4</f>
        <v>0.85000000000013642</v>
      </c>
      <c r="CU85" s="896">
        <f>$T85/4</f>
        <v>0.85000000000013642</v>
      </c>
      <c r="CV85" s="896">
        <f>$T85/4</f>
        <v>0.85000000000013642</v>
      </c>
      <c r="CW85" s="896">
        <f>T85-CV85-CU85-CT85</f>
        <v>0.85000000000013642</v>
      </c>
      <c r="CX85" s="48">
        <f>T85-SUM(CT85:CW85)</f>
        <v>0</v>
      </c>
      <c r="CY85" s="896">
        <v>0.6</v>
      </c>
      <c r="CZ85" s="896">
        <v>0.7</v>
      </c>
      <c r="DA85" s="896">
        <v>0.7</v>
      </c>
      <c r="DB85" s="917">
        <v>0.7</v>
      </c>
      <c r="DC85" s="48">
        <f>U85-SUM(CY85:DB85)</f>
        <v>0</v>
      </c>
      <c r="DD85" s="917">
        <f>Drivers!BL197</f>
        <v>0.5</v>
      </c>
      <c r="DE85" s="917">
        <f>Drivers!BM197</f>
        <v>0.7</v>
      </c>
      <c r="DF85" s="917">
        <f>Drivers!BN197</f>
        <v>-4.0999999999999996</v>
      </c>
      <c r="DG85" s="917">
        <v>0.7</v>
      </c>
      <c r="DH85" s="42">
        <f>Y85-SUM(DD85:DG85)</f>
        <v>0</v>
      </c>
      <c r="DI85" s="917">
        <v>0.8</v>
      </c>
      <c r="DJ85" s="917">
        <f>Drivers!BR197</f>
        <v>0.8</v>
      </c>
      <c r="DK85" s="917">
        <f>Drivers!BS197</f>
        <v>0.8</v>
      </c>
      <c r="DL85" s="917">
        <f>Drivers!BT197</f>
        <v>1</v>
      </c>
      <c r="DM85" s="42">
        <f>Z85-SUM(DI85:DL85)</f>
        <v>0</v>
      </c>
    </row>
    <row r="86" spans="1:117" hidden="1" outlineLevel="1">
      <c r="A86" s="36" t="s">
        <v>679</v>
      </c>
      <c r="B86" s="48"/>
      <c r="C86" s="48"/>
      <c r="D86" s="48"/>
      <c r="E86" s="48"/>
      <c r="F86" s="48"/>
      <c r="G86" s="48"/>
      <c r="H86" s="48"/>
      <c r="I86" s="48"/>
      <c r="J86" s="48"/>
      <c r="K86" s="48"/>
      <c r="L86" s="48"/>
      <c r="M86" s="48"/>
      <c r="N86" s="48"/>
      <c r="O86" s="72">
        <f t="shared" ref="O86:T86" si="117">O94+O93+O90</f>
        <v>3059.3999999999992</v>
      </c>
      <c r="P86" s="72">
        <f t="shared" si="117"/>
        <v>3013.0000000000009</v>
      </c>
      <c r="Q86" s="73">
        <f t="shared" si="117"/>
        <v>3351.1999999999994</v>
      </c>
      <c r="R86" s="49">
        <f t="shared" si="117"/>
        <v>3165.2000000000007</v>
      </c>
      <c r="S86" s="49">
        <f t="shared" si="117"/>
        <v>3111.1</v>
      </c>
      <c r="T86" s="48">
        <f t="shared" si="117"/>
        <v>3077.5</v>
      </c>
      <c r="U86" s="48">
        <f>U82+U83+U85+U84</f>
        <v>2689.8</v>
      </c>
      <c r="V86" s="48"/>
      <c r="W86" s="48">
        <f>W82+W83+W85+W84</f>
        <v>3145.5166250000002</v>
      </c>
      <c r="X86" s="48">
        <f>X82+X83+X85+X84</f>
        <v>2690.2037189600001</v>
      </c>
      <c r="Y86" s="1366">
        <f>Y82+Y83+Y85+Y84</f>
        <v>1773.6000000000004</v>
      </c>
      <c r="Z86" s="1366">
        <f t="shared" ref="Z86:AM86" si="118">Z82+Z83+Z85+Z84</f>
        <v>2369.0000000000005</v>
      </c>
      <c r="AA86" s="1366">
        <f t="shared" si="118"/>
        <v>3157.0000000000005</v>
      </c>
      <c r="AB86" s="1366">
        <f>AB82+AB83+AB85+AB84</f>
        <v>3487.9999999999995</v>
      </c>
      <c r="AC86" s="1366">
        <f>AC82+AC83+AC85+AC84</f>
        <v>3736</v>
      </c>
      <c r="AD86" s="2689">
        <f t="shared" si="118"/>
        <v>3255</v>
      </c>
      <c r="AE86" s="2689">
        <f t="shared" si="118"/>
        <v>3325</v>
      </c>
      <c r="AF86" s="1366">
        <f t="shared" si="118"/>
        <v>3255</v>
      </c>
      <c r="AG86" s="1366">
        <f t="shared" si="118"/>
        <v>3107</v>
      </c>
      <c r="AH86" s="1366">
        <f>AH82+AH83+AH85+AH84</f>
        <v>3411.3</v>
      </c>
      <c r="AI86" s="2703">
        <f>AI82+AI83+AI85+AI84</f>
        <v>3085.3</v>
      </c>
      <c r="AJ86" s="1366">
        <f>AJ82+AJ83+AJ85+AJ84</f>
        <v>3033.3769990247988</v>
      </c>
      <c r="AK86" s="1366">
        <f t="shared" si="118"/>
        <v>3254.5966914621472</v>
      </c>
      <c r="AL86" s="48">
        <f>AL82+AL83+AL85+AL84</f>
        <v>3437.930202675122</v>
      </c>
      <c r="AM86" s="48">
        <f t="shared" si="118"/>
        <v>3787.376984689949</v>
      </c>
      <c r="AN86" s="49">
        <f t="shared" ref="AN86:AS86" si="119">AN82+AN83+AN85+AN84</f>
        <v>3896.5745466622916</v>
      </c>
      <c r="AO86" s="49">
        <f t="shared" si="119"/>
        <v>4147.9318053780662</v>
      </c>
      <c r="AP86" s="49">
        <f t="shared" si="119"/>
        <v>3964.1735814839999</v>
      </c>
      <c r="AQ86" s="49">
        <f t="shared" si="119"/>
        <v>4065.5174407364161</v>
      </c>
      <c r="AR86" s="49">
        <f t="shared" si="119"/>
        <v>4069.1023564071129</v>
      </c>
      <c r="AS86" s="49">
        <f t="shared" si="119"/>
        <v>4008.6410035399576</v>
      </c>
      <c r="AT86" s="49">
        <f>AT82+AT83+AT85+AT84</f>
        <v>3957.6065772678735</v>
      </c>
      <c r="AU86" s="49">
        <f>AU82+AU83+AU85+AU84</f>
        <v>4154.4134834056522</v>
      </c>
      <c r="AV86" s="48"/>
      <c r="AW86" s="48"/>
      <c r="AX86" s="48"/>
      <c r="AY86" s="48"/>
      <c r="AZ86" s="48"/>
      <c r="BA86" s="48"/>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
      <c r="BZ86" s="48"/>
      <c r="CA86" s="48"/>
      <c r="CB86" s="48"/>
      <c r="CC86" s="48"/>
      <c r="CD86" s="7"/>
      <c r="CE86" s="49">
        <f>CE82+CE83+CE85+CE84</f>
        <v>664.3499999999998</v>
      </c>
      <c r="CF86" s="49">
        <f>CF82+CF83+CF85+CF84</f>
        <v>1018.55</v>
      </c>
      <c r="CG86" s="49">
        <f>CG82+CG83+CG85+CG84</f>
        <v>912.14999999999986</v>
      </c>
      <c r="CH86" s="49">
        <f>CH82+CH83+CH85+CH84</f>
        <v>756.14999999999975</v>
      </c>
      <c r="CI86" s="67"/>
      <c r="CJ86" s="49">
        <f>CJ82+CJ83+CJ85+CJ84</f>
        <v>626</v>
      </c>
      <c r="CK86" s="49">
        <f>CK82+CK83+CK85+CK84</f>
        <v>939.4</v>
      </c>
      <c r="CL86" s="49">
        <f>CL82+CL83+CL85+CL84</f>
        <v>821.09999999999991</v>
      </c>
      <c r="CM86" s="49">
        <f>CM82+CM83+CM85+CM84</f>
        <v>778.7</v>
      </c>
      <c r="CN86" s="66"/>
      <c r="CO86" s="48">
        <f>CO82+CO83+CO85+CO84</f>
        <v>636.19999999999993</v>
      </c>
      <c r="CP86" s="48">
        <f>CP82+CP83+CP85+CP84</f>
        <v>858.9</v>
      </c>
      <c r="CQ86" s="48">
        <f>CQ82+CQ83+CQ85+CQ84</f>
        <v>756.40000000000009</v>
      </c>
      <c r="CR86" s="48">
        <f>CR82+CR83+CR85+CR84</f>
        <v>859.59999999999991</v>
      </c>
      <c r="CS86" s="857">
        <f>S86-SUM(CO86:CR86)</f>
        <v>0</v>
      </c>
      <c r="CT86" s="49">
        <f>CT82+CT83+CT85+CT84</f>
        <v>633.95000000000005</v>
      </c>
      <c r="CU86" s="49">
        <f>CU82+CU83+CU85+CU84</f>
        <v>860.25000000000011</v>
      </c>
      <c r="CV86" s="49">
        <f>CV82+CV83+CV85+CV84</f>
        <v>758.45000000000016</v>
      </c>
      <c r="CW86" s="49">
        <f>CW82+CW83+CW85+CW84</f>
        <v>824.85000000000014</v>
      </c>
      <c r="CX86" s="48">
        <f>T86-SUM(CT86:CW86)</f>
        <v>0</v>
      </c>
      <c r="CY86" s="49">
        <f>CY82+CY83+CY85+CY84</f>
        <v>701.67924972625008</v>
      </c>
      <c r="CZ86" s="49">
        <f>CZ82+CZ83+CZ85+CZ84</f>
        <v>766.39473068000007</v>
      </c>
      <c r="DA86" s="49">
        <f>DA82+DA83+DA85+DA84</f>
        <v>646.86897686793748</v>
      </c>
      <c r="DB86" s="49">
        <f>DB82+DB83+DB85+DB84</f>
        <v>574.85704272581245</v>
      </c>
      <c r="DC86" s="48">
        <f>U86-SUM(CY86:DB86)</f>
        <v>0</v>
      </c>
      <c r="DD86" s="49">
        <f>DD82+DD83+DD85+DD84</f>
        <v>266.23853314169935</v>
      </c>
      <c r="DE86" s="49">
        <f>DE82+DE83+DE85+DE84</f>
        <v>398.01093352486839</v>
      </c>
      <c r="DF86" s="49">
        <f>DF82+DF83+DF85+DF84</f>
        <v>566.82739985984585</v>
      </c>
      <c r="DG86" s="49">
        <f>DG82+DG83+DG85+DG84</f>
        <v>542.52313347358677</v>
      </c>
      <c r="DH86" s="42">
        <f>Y86-SUM(DD86:DG86)</f>
        <v>0</v>
      </c>
      <c r="DI86" s="49">
        <f>DI82+DI83+DI85+DI84</f>
        <v>351.30000000000007</v>
      </c>
      <c r="DJ86" s="49">
        <f>DJ82+DJ83+DJ85+DJ84</f>
        <v>580.19999999999993</v>
      </c>
      <c r="DK86" s="49">
        <f>DK82+DK83+DK85+DK84</f>
        <v>667.4</v>
      </c>
      <c r="DL86" s="49">
        <f>DL82+DL83+DL85+DL84</f>
        <v>770.10000000000025</v>
      </c>
      <c r="DM86" s="42">
        <f>Z86-SUM(DI86:DL86)</f>
        <v>0</v>
      </c>
    </row>
    <row r="87" spans="1:117" collapsed="1">
      <c r="A87" s="43" t="s">
        <v>676</v>
      </c>
      <c r="B87" s="48"/>
      <c r="C87" s="48"/>
      <c r="D87" s="48"/>
      <c r="E87" s="48"/>
      <c r="F87" s="48"/>
      <c r="G87" s="48"/>
      <c r="H87" s="48"/>
      <c r="I87" s="48"/>
      <c r="J87" s="48"/>
      <c r="K87" s="48"/>
      <c r="L87" s="48"/>
      <c r="M87" s="48"/>
      <c r="N87" s="48"/>
      <c r="O87" s="48"/>
      <c r="P87" s="38">
        <f t="shared" ref="P87:AM87" si="120">P86/O86-1</f>
        <v>-1.5166372491337565E-2</v>
      </c>
      <c r="Q87" s="39">
        <f t="shared" si="120"/>
        <v>0.11224692997012897</v>
      </c>
      <c r="R87" s="39">
        <f t="shared" si="120"/>
        <v>-5.550250656481226E-2</v>
      </c>
      <c r="S87" s="39">
        <f t="shared" si="120"/>
        <v>-1.7092126879818315E-2</v>
      </c>
      <c r="T87" s="38">
        <f t="shared" si="120"/>
        <v>-1.0800038571566306E-2</v>
      </c>
      <c r="U87" s="38">
        <f>U86/T86-1</f>
        <v>-0.12597887896019488</v>
      </c>
      <c r="V87" s="38"/>
      <c r="W87" s="38"/>
      <c r="X87" s="38">
        <f t="shared" si="120"/>
        <v>-0.14474980116819447</v>
      </c>
      <c r="Y87" s="1110">
        <f>Y86/X86-1</f>
        <v>-0.34071907361511922</v>
      </c>
      <c r="Z87" s="1110">
        <f t="shared" si="120"/>
        <v>0.33570139828597201</v>
      </c>
      <c r="AA87" s="1110">
        <f t="shared" si="120"/>
        <v>0.33262980160405231</v>
      </c>
      <c r="AB87" s="1110">
        <f t="shared" si="120"/>
        <v>0.10484637313905587</v>
      </c>
      <c r="AC87" s="1110">
        <f t="shared" si="120"/>
        <v>7.1100917431192734E-2</v>
      </c>
      <c r="AD87" s="2688">
        <f>AD86/AC86-1</f>
        <v>-0.12874732334047112</v>
      </c>
      <c r="AE87" s="2688"/>
      <c r="AF87" s="1110">
        <f>AF86/AE86-1</f>
        <v>-2.1052631578947323E-2</v>
      </c>
      <c r="AG87" s="1110">
        <f>AG86/AF86-1</f>
        <v>-4.5468509984639027E-2</v>
      </c>
      <c r="AH87" s="1110">
        <f t="shared" si="120"/>
        <v>9.7940135178628873E-2</v>
      </c>
      <c r="AI87" s="2701"/>
      <c r="AJ87" s="1110">
        <f>AJ86/AI86-1</f>
        <v>-1.6829157934463823E-2</v>
      </c>
      <c r="AK87" s="1110">
        <f t="shared" si="120"/>
        <v>7.2928519108725443E-2</v>
      </c>
      <c r="AL87" s="38">
        <f t="shared" si="120"/>
        <v>5.6330638967930335E-2</v>
      </c>
      <c r="AM87" s="38">
        <f t="shared" si="120"/>
        <v>0.10164452487805464</v>
      </c>
      <c r="AN87" s="39">
        <f t="shared" ref="AN87:AU87" si="121">AN86/AM86-1</f>
        <v>2.8831975906745466E-2</v>
      </c>
      <c r="AO87" s="39">
        <f t="shared" si="121"/>
        <v>6.4507237242793503E-2</v>
      </c>
      <c r="AP87" s="39">
        <f t="shared" si="121"/>
        <v>-4.4301168031695148E-2</v>
      </c>
      <c r="AQ87" s="39">
        <f t="shared" si="121"/>
        <v>2.5564939871900894E-2</v>
      </c>
      <c r="AR87" s="39">
        <f t="shared" si="121"/>
        <v>8.8178582996012445E-4</v>
      </c>
      <c r="AS87" s="39">
        <f t="shared" si="121"/>
        <v>-1.485864634787426E-2</v>
      </c>
      <c r="AT87" s="39">
        <f t="shared" si="121"/>
        <v>-1.2731104188929976E-2</v>
      </c>
      <c r="AU87" s="39">
        <f t="shared" si="121"/>
        <v>4.9728769723655475E-2</v>
      </c>
      <c r="AV87" s="38"/>
      <c r="AW87" s="38"/>
      <c r="AX87" s="38"/>
      <c r="AY87" s="38"/>
      <c r="AZ87" s="48"/>
      <c r="BA87" s="48"/>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
      <c r="BZ87" s="48"/>
      <c r="CA87" s="48"/>
      <c r="CB87" s="48"/>
      <c r="CC87" s="48"/>
      <c r="CD87" s="7"/>
      <c r="CE87" s="49"/>
      <c r="CF87" s="49"/>
      <c r="CG87" s="49"/>
      <c r="CH87" s="49"/>
      <c r="CI87" s="67"/>
      <c r="CJ87" s="39">
        <f>CJ86/CE86-1</f>
        <v>-5.7725596447655292E-2</v>
      </c>
      <c r="CK87" s="39">
        <f>CK86/CF86-1</f>
        <v>-7.7708507191595833E-2</v>
      </c>
      <c r="CL87" s="39">
        <f>CL86/CG86-1</f>
        <v>-9.9819108699227055E-2</v>
      </c>
      <c r="CM87" s="39">
        <f>CM86/CH86-1</f>
        <v>2.9822125239701514E-2</v>
      </c>
      <c r="CN87" s="66"/>
      <c r="CO87" s="39">
        <f>CO86/CJ86-1</f>
        <v>1.629392971246002E-2</v>
      </c>
      <c r="CP87" s="39">
        <f>CP86/CK86-1</f>
        <v>-8.5692995529061067E-2</v>
      </c>
      <c r="CQ87" s="39">
        <f>CQ86/CL86-1</f>
        <v>-7.879673608573845E-2</v>
      </c>
      <c r="CR87" s="39">
        <f>CR86/CM86-1</f>
        <v>0.1038911005522023</v>
      </c>
      <c r="CS87" s="48"/>
      <c r="CT87" s="39">
        <f>CT86/CO86-1</f>
        <v>-3.5366237032378178E-3</v>
      </c>
      <c r="CU87" s="39">
        <f>CU86/CP86-1</f>
        <v>1.5717778553965278E-3</v>
      </c>
      <c r="CV87" s="39">
        <f>CV86/CQ86-1</f>
        <v>2.7102062400847782E-3</v>
      </c>
      <c r="CW87" s="39">
        <f>CW86/CR86-1</f>
        <v>-4.0425779432293862E-2</v>
      </c>
      <c r="CX87" s="48"/>
      <c r="CY87" s="39">
        <f>CY86/CT86-1</f>
        <v>0.10683689522241502</v>
      </c>
      <c r="CZ87" s="39">
        <f>CZ86/CU86-1</f>
        <v>-0.10910231830281902</v>
      </c>
      <c r="DA87" s="39">
        <f>DA86/CV86-1</f>
        <v>-0.14711717731170504</v>
      </c>
      <c r="DB87" s="39">
        <f>DB86/CW86-1</f>
        <v>-0.3030768712786418</v>
      </c>
      <c r="DC87" s="48"/>
      <c r="DD87" s="39">
        <f>DD86/CY86-1</f>
        <v>-0.62056946497196774</v>
      </c>
      <c r="DE87" s="39">
        <f>DE86/CZ86-1</f>
        <v>-0.4806710985972924</v>
      </c>
      <c r="DF87" s="39">
        <f>DF86/DA86-1</f>
        <v>-0.12373692334983111</v>
      </c>
      <c r="DG87" s="39">
        <f>DG86/DB86-1</f>
        <v>-5.6246869828552981E-2</v>
      </c>
      <c r="DH87" s="48"/>
      <c r="DI87" s="39">
        <f>DI86/DD86-1</f>
        <v>0.31949344767847232</v>
      </c>
      <c r="DJ87" s="39">
        <f>DJ86/DE86-1</f>
        <v>0.45774889865870505</v>
      </c>
      <c r="DK87" s="39">
        <f>DK86/DF86-1</f>
        <v>0.17743073140963506</v>
      </c>
      <c r="DL87" s="39">
        <f>DL86/DG86-1</f>
        <v>0.41947864060527351</v>
      </c>
    </row>
    <row r="88" spans="1:117">
      <c r="A88" s="36"/>
      <c r="B88" s="48"/>
      <c r="C88" s="48"/>
      <c r="D88" s="48"/>
      <c r="E88" s="48"/>
      <c r="F88" s="48"/>
      <c r="G88" s="48"/>
      <c r="H88" s="48"/>
      <c r="I88" s="48"/>
      <c r="J88" s="48"/>
      <c r="K88" s="48"/>
      <c r="L88" s="48"/>
      <c r="M88" s="48"/>
      <c r="N88" s="48"/>
      <c r="O88" s="74"/>
      <c r="P88" s="74"/>
      <c r="Q88" s="74"/>
      <c r="R88" s="74"/>
      <c r="S88" s="74"/>
      <c r="T88" s="74"/>
      <c r="U88" s="74"/>
      <c r="V88" s="74"/>
      <c r="W88" s="74"/>
      <c r="X88" s="74"/>
      <c r="Y88" s="2213"/>
      <c r="Z88" s="2213"/>
      <c r="AA88" s="2213"/>
      <c r="AB88" s="2213"/>
      <c r="AC88" s="1630"/>
      <c r="AD88" s="2698"/>
      <c r="AE88" s="2698"/>
      <c r="AF88" s="2213"/>
      <c r="AG88" s="2213"/>
      <c r="AH88" s="2398"/>
      <c r="AI88" s="2701"/>
      <c r="AJ88" s="2213"/>
      <c r="AK88" s="2213"/>
      <c r="AL88" s="74"/>
      <c r="AM88" s="74"/>
      <c r="AN88" s="1272"/>
      <c r="AO88" s="1272"/>
      <c r="AP88" s="1272"/>
      <c r="AQ88" s="1272"/>
      <c r="AR88" s="1272"/>
      <c r="AS88" s="1272"/>
      <c r="AT88" s="74"/>
      <c r="AU88" s="6"/>
      <c r="AV88" s="74"/>
      <c r="AW88" s="74"/>
      <c r="AX88" s="74"/>
      <c r="AY88" s="74"/>
      <c r="AZ88" s="48"/>
      <c r="BA88" s="74"/>
      <c r="BB88" s="74"/>
      <c r="BC88" s="74"/>
      <c r="BD88" s="74"/>
      <c r="BE88" s="48"/>
      <c r="BF88" s="74"/>
      <c r="BG88" s="74"/>
      <c r="BH88" s="74"/>
      <c r="BI88" s="74"/>
      <c r="BJ88" s="48"/>
      <c r="BK88" s="74"/>
      <c r="BL88" s="74"/>
      <c r="BM88" s="74"/>
      <c r="BN88" s="74"/>
      <c r="BO88" s="48"/>
      <c r="BP88" s="74"/>
      <c r="BQ88" s="74"/>
      <c r="BR88" s="74"/>
      <c r="BS88" s="74"/>
      <c r="BT88" s="48"/>
      <c r="BU88" s="74"/>
      <c r="BV88" s="74"/>
      <c r="BW88" s="74"/>
      <c r="BX88" s="74"/>
      <c r="BY88" s="4"/>
      <c r="BZ88" s="74"/>
      <c r="CA88" s="74"/>
      <c r="CB88" s="74"/>
      <c r="CC88" s="74"/>
      <c r="CD88" s="7"/>
      <c r="CE88" s="74"/>
      <c r="CF88" s="74"/>
      <c r="CG88" s="74"/>
      <c r="CH88" s="74"/>
      <c r="CI88" s="67"/>
      <c r="CJ88" s="74"/>
      <c r="CK88" s="74"/>
      <c r="CL88" s="74"/>
      <c r="CM88" s="74"/>
      <c r="CN88" s="66"/>
      <c r="CO88" s="75"/>
      <c r="CP88" s="75"/>
      <c r="CQ88" s="75"/>
      <c r="CR88" s="75"/>
      <c r="CS88" s="48"/>
      <c r="CT88" s="75"/>
      <c r="CU88" s="75"/>
      <c r="CV88" s="75"/>
      <c r="CW88" s="75"/>
      <c r="CX88" s="49"/>
      <c r="CY88" s="75"/>
      <c r="CZ88" s="75"/>
      <c r="DA88" s="75"/>
      <c r="DB88" s="75"/>
      <c r="DC88" s="49"/>
      <c r="DD88" s="48"/>
      <c r="DE88" s="48"/>
      <c r="DF88" s="48"/>
      <c r="DG88" s="48"/>
      <c r="DH88" s="48"/>
      <c r="DI88" s="1096"/>
      <c r="DJ88" s="1096"/>
      <c r="DK88" s="1096"/>
      <c r="DL88" s="1096"/>
    </row>
    <row r="89" spans="1:117" ht="11.25" customHeight="1">
      <c r="A89" s="36"/>
      <c r="B89" s="48"/>
      <c r="C89" s="48"/>
      <c r="D89" s="48"/>
      <c r="E89" s="48"/>
      <c r="F89" s="48"/>
      <c r="G89" s="48"/>
      <c r="H89" s="48"/>
      <c r="I89" s="48"/>
      <c r="J89" s="48"/>
      <c r="K89" s="48"/>
      <c r="L89" s="48"/>
      <c r="M89" s="48"/>
      <c r="N89" s="48"/>
      <c r="O89" s="48"/>
      <c r="P89" s="38"/>
      <c r="Q89" s="39"/>
      <c r="R89" s="49"/>
      <c r="S89" s="854"/>
      <c r="T89" s="38"/>
      <c r="U89" s="38"/>
      <c r="V89" s="38"/>
      <c r="W89" s="38"/>
      <c r="X89" s="38"/>
      <c r="Y89" s="1110"/>
      <c r="Z89" s="1821"/>
      <c r="AA89" s="1821"/>
      <c r="AB89" s="1821"/>
      <c r="AC89" s="1821"/>
      <c r="AD89" s="2699"/>
      <c r="AE89" s="2699"/>
      <c r="AF89" s="1821"/>
      <c r="AG89" s="1821"/>
      <c r="AH89" s="1110"/>
      <c r="AI89" s="2702"/>
      <c r="AJ89" s="1110"/>
      <c r="AK89" s="1110"/>
      <c r="AL89" s="38"/>
      <c r="AM89" s="38"/>
      <c r="AN89" s="39"/>
      <c r="AO89" s="39"/>
      <c r="AP89" s="39"/>
      <c r="AQ89" s="39"/>
      <c r="AR89" s="39"/>
      <c r="AS89" s="39"/>
      <c r="AT89" s="38"/>
      <c r="AU89" s="6"/>
      <c r="AV89" s="38"/>
      <c r="AW89" s="38"/>
      <c r="AX89" s="38"/>
      <c r="AY89" s="38"/>
      <c r="AZ89" s="48"/>
      <c r="BA89" s="48"/>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
      <c r="BZ89" s="48"/>
      <c r="CA89" s="48"/>
      <c r="CB89" s="48"/>
      <c r="CC89" s="48"/>
      <c r="CD89" s="7"/>
      <c r="CE89" s="49"/>
      <c r="CF89" s="49"/>
      <c r="CG89" s="49"/>
      <c r="CH89" s="49"/>
      <c r="CI89" s="67"/>
      <c r="CJ89" s="49"/>
      <c r="CK89" s="49"/>
      <c r="CL89" s="49"/>
      <c r="CM89" s="49"/>
      <c r="CN89" s="66"/>
      <c r="CO89" s="49"/>
      <c r="CP89" s="49"/>
      <c r="CQ89" s="49"/>
      <c r="CR89" s="49"/>
      <c r="CS89" s="48"/>
      <c r="CT89" s="48" t="s">
        <v>337</v>
      </c>
      <c r="CU89" s="48"/>
      <c r="CV89" s="48"/>
      <c r="CW89" s="48"/>
      <c r="CX89" s="48"/>
      <c r="CY89" s="48" t="s">
        <v>337</v>
      </c>
      <c r="CZ89" s="48"/>
      <c r="DA89" s="48"/>
      <c r="DB89" s="48"/>
      <c r="DC89" s="48"/>
      <c r="DD89" s="48"/>
      <c r="DE89" s="48"/>
      <c r="DF89" s="48"/>
      <c r="DG89" s="48"/>
      <c r="DH89" s="48"/>
    </row>
    <row r="90" spans="1:117" hidden="1" outlineLevel="1">
      <c r="A90" s="6" t="s">
        <v>692</v>
      </c>
      <c r="B90" s="48"/>
      <c r="C90" s="48"/>
      <c r="D90" s="48"/>
      <c r="E90" s="48"/>
      <c r="F90" s="48"/>
      <c r="G90" s="48"/>
      <c r="H90" s="48"/>
      <c r="I90" s="48"/>
      <c r="J90" s="48"/>
      <c r="K90" s="48"/>
      <c r="L90" s="48"/>
      <c r="M90" s="48"/>
      <c r="N90" s="48"/>
      <c r="O90" s="48">
        <f>O11+O25+O39+O68+'Segment Detail'!Y198</f>
        <v>393.70910810080977</v>
      </c>
      <c r="P90" s="48">
        <f>P11+P25+P39+P68+'Segment Detail'!Z198</f>
        <v>413.92500000000007</v>
      </c>
      <c r="Q90" s="49">
        <f>Q11+Q25+Q39+Q68+'Segment Detail'!AA198</f>
        <v>424.5750000000001</v>
      </c>
      <c r="R90" s="49">
        <f>R11+R25+R39+R68+'Segment Detail'!AB198</f>
        <v>402.84450000000004</v>
      </c>
      <c r="S90" s="49">
        <f>S11+S25+S39+S68+'Segment Detail'!AC198</f>
        <v>352.2</v>
      </c>
      <c r="T90" s="48">
        <f>T11+T25+T39+T68+'Segment Detail'!AD198</f>
        <v>374.20000000000005</v>
      </c>
      <c r="U90" s="48">
        <f>U11+U25+U39+U68+'Segment Detail'!AE198+U53</f>
        <v>423.99999999999994</v>
      </c>
      <c r="V90" s="48"/>
      <c r="W90" s="48">
        <f>W11+W25+W39+W68+'Segment Detail'!AD198+W53</f>
        <v>408.65000000000003</v>
      </c>
      <c r="X90" s="48">
        <f>X11+X25+X39+X68+'Segment Detail'!AE198+X53</f>
        <v>435.44996999999995</v>
      </c>
      <c r="Y90" s="1366">
        <f>Y11+Y25+Y39+Y68+'Segment Detail'!AF198+Y53</f>
        <v>452.3</v>
      </c>
      <c r="Z90" s="1366">
        <f>Z11+Z25+Z39+Z68+'Segment Detail'!AG198+Z53</f>
        <v>432.30000000000007</v>
      </c>
      <c r="AA90" s="1366">
        <f>AA11+AA25+AA39+AA68+'Segment Detail'!AH198+AA53</f>
        <v>373.99999999999994</v>
      </c>
      <c r="AB90" s="1366">
        <f>AB11+AB25+AB39+AB68+'Segment Detail'!AI198+AB53</f>
        <v>369</v>
      </c>
      <c r="AC90" s="1366">
        <f>AC11+AC25+AC39+AC68+'Segment Detail'!AJ198+AC53</f>
        <v>356.99999999999977</v>
      </c>
      <c r="AD90" s="2689">
        <f>AD11+AD25+AD39+AD68+'Segment Detail'!AK198+AD53</f>
        <v>248.99999999999977</v>
      </c>
      <c r="AE90" s="2689">
        <f>+AC90-'Segment Detail'!AJ59</f>
        <v>249.39999999999975</v>
      </c>
      <c r="AF90" s="1366">
        <f>+AD90-'Segment Detail'!AK59</f>
        <v>248.99999999999977</v>
      </c>
      <c r="AG90" s="1366">
        <f>AG11+AG25+AG39+AG68+'Segment Detail'!AL198+AG53</f>
        <v>239.99999999999989</v>
      </c>
      <c r="AH90" s="2796">
        <f ca="1">AH11+AH39+AH68+AH53+'Segment Detail'!AM198</f>
        <v>230.30000000000015</v>
      </c>
      <c r="AI90" s="2704">
        <f ca="1">AH90-AH11</f>
        <v>204.30000000000015</v>
      </c>
      <c r="AJ90" s="1366">
        <f ca="1">AJ11+AJ25+AJ39+AJ68+'Segment Detail'!AN198+AJ53</f>
        <v>202.00911728960875</v>
      </c>
      <c r="AK90" s="1366">
        <f ca="1">'Segment Detail'!AO198+AK11+AK25+AK39+AK68+AK53</f>
        <v>199.8658657107558</v>
      </c>
      <c r="AL90" s="1366">
        <f ca="1">'Segment Detail'!AP198+AL11+AL25+AL39+AL68+AL53</f>
        <v>197.09204101470471</v>
      </c>
      <c r="AM90" s="1366">
        <f ca="1">'Segment Detail'!AQ198+AM11+AM25+AM39+AM68+AM53</f>
        <v>199.26967908155288</v>
      </c>
      <c r="AN90" s="1366">
        <f ca="1">'Segment Detail'!AR198+AN11+AN25+AN39+AN68+AN53</f>
        <v>205.6519198250887</v>
      </c>
      <c r="AO90" s="1366">
        <f ca="1">'Segment Detail'!AS198+AO11+AO25+AO39+AO68+AO53</f>
        <v>216.20605608560521</v>
      </c>
      <c r="AP90" s="1366">
        <f ca="1">'Segment Detail'!AT198+AP11+AP25+AP39+AP68+AP53</f>
        <v>214.55746161639954</v>
      </c>
      <c r="AQ90" s="1366">
        <f ca="1">'Segment Detail'!AU198+AQ11+AQ25+AQ39+AQ68+AQ53</f>
        <v>219.23919870478289</v>
      </c>
      <c r="AR90" s="1366">
        <f ca="1">'Segment Detail'!AV198+AR11+AR25+AR39+AR68+AR53</f>
        <v>228.31369725081188</v>
      </c>
      <c r="AS90" s="1366">
        <f ca="1">'Segment Detail'!AW198+AS11+AS25+AS39+AS68+AS53</f>
        <v>225.83619732191275</v>
      </c>
      <c r="AT90" s="1366">
        <f ca="1">'Segment Detail'!AX198+AT11+AT25+AT39+AT68+AT53</f>
        <v>228.93144758459334</v>
      </c>
      <c r="AU90" s="1366">
        <f ca="1">'Segment Detail'!AY198+AU11+AU25+AU39+AU68+AU53</f>
        <v>240.69388998690007</v>
      </c>
      <c r="AV90" s="48"/>
      <c r="AW90" s="48"/>
      <c r="AX90" s="48"/>
      <c r="AY90" s="48"/>
      <c r="AZ90" s="48"/>
      <c r="BA90" s="48"/>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
      <c r="BZ90" s="48"/>
      <c r="CA90" s="48"/>
      <c r="CB90" s="48"/>
      <c r="CC90" s="48"/>
      <c r="CD90" s="7"/>
      <c r="CE90" s="39"/>
      <c r="CF90" s="39"/>
      <c r="CG90" s="39"/>
      <c r="CH90" s="39"/>
      <c r="CI90" s="67"/>
      <c r="CJ90" s="49"/>
      <c r="CK90" s="49" t="s">
        <v>337</v>
      </c>
      <c r="CL90" s="49"/>
      <c r="CM90" s="49"/>
      <c r="CN90" s="66"/>
      <c r="CO90" s="49"/>
      <c r="CP90" s="49"/>
      <c r="CQ90" s="49"/>
      <c r="CR90" s="48"/>
      <c r="CS90" s="48"/>
      <c r="CT90" s="48"/>
      <c r="CU90" s="48"/>
      <c r="CV90" s="48"/>
      <c r="CW90" s="48"/>
      <c r="CX90" s="48"/>
      <c r="CY90" s="48"/>
      <c r="CZ90" s="48"/>
      <c r="DA90" s="48"/>
      <c r="DB90" s="48"/>
      <c r="DC90" s="48"/>
      <c r="DD90" s="48"/>
      <c r="DE90" s="48"/>
      <c r="DF90" s="48"/>
      <c r="DG90" s="48"/>
      <c r="DH90" s="48"/>
    </row>
    <row r="91" spans="1:117" collapsed="1">
      <c r="A91" s="36" t="s">
        <v>864</v>
      </c>
      <c r="B91" s="48"/>
      <c r="C91" s="48"/>
      <c r="D91" s="48"/>
      <c r="E91" s="48"/>
      <c r="F91" s="48"/>
      <c r="G91" s="48"/>
      <c r="H91" s="48"/>
      <c r="I91" s="48"/>
      <c r="J91" s="48"/>
      <c r="K91" s="48"/>
      <c r="L91" s="48"/>
      <c r="M91" s="48"/>
      <c r="N91" s="48"/>
      <c r="O91" s="48">
        <f t="shared" ref="O91:AM91" si="122">O86-O90</f>
        <v>2665.6908918991894</v>
      </c>
      <c r="P91" s="48">
        <f t="shared" si="122"/>
        <v>2599.0750000000007</v>
      </c>
      <c r="Q91" s="49">
        <f t="shared" si="122"/>
        <v>2926.6249999999991</v>
      </c>
      <c r="R91" s="49">
        <f t="shared" si="122"/>
        <v>2762.3555000000006</v>
      </c>
      <c r="S91" s="49">
        <f t="shared" si="122"/>
        <v>2758.9</v>
      </c>
      <c r="T91" s="48">
        <f t="shared" si="122"/>
        <v>2703.3</v>
      </c>
      <c r="U91" s="48">
        <f t="shared" si="122"/>
        <v>2265.8000000000002</v>
      </c>
      <c r="V91" s="48"/>
      <c r="W91" s="48">
        <f t="shared" si="122"/>
        <v>2736.8666250000001</v>
      </c>
      <c r="X91" s="48">
        <f t="shared" si="122"/>
        <v>2254.7537489599999</v>
      </c>
      <c r="Y91" s="1366">
        <f t="shared" si="122"/>
        <v>1321.3000000000004</v>
      </c>
      <c r="Z91" s="1366">
        <f t="shared" si="122"/>
        <v>1936.7000000000003</v>
      </c>
      <c r="AA91" s="1366">
        <f t="shared" si="122"/>
        <v>2783.0000000000005</v>
      </c>
      <c r="AB91" s="1366">
        <f t="shared" si="122"/>
        <v>3118.9999999999995</v>
      </c>
      <c r="AC91" s="1366">
        <f t="shared" si="122"/>
        <v>3379</v>
      </c>
      <c r="AD91" s="2689">
        <f t="shared" si="122"/>
        <v>3006</v>
      </c>
      <c r="AE91" s="2689">
        <f t="shared" si="122"/>
        <v>3075.6000000000004</v>
      </c>
      <c r="AF91" s="1366">
        <f t="shared" si="122"/>
        <v>3006</v>
      </c>
      <c r="AG91" s="1366">
        <f t="shared" si="122"/>
        <v>2867</v>
      </c>
      <c r="AH91" s="1366">
        <f t="shared" ca="1" si="122"/>
        <v>3181</v>
      </c>
      <c r="AI91" s="2704">
        <f t="shared" ca="1" si="122"/>
        <v>2881</v>
      </c>
      <c r="AJ91" s="1366">
        <f t="shared" ca="1" si="122"/>
        <v>2831.3678817351902</v>
      </c>
      <c r="AK91" s="1366">
        <f t="shared" ca="1" si="122"/>
        <v>3054.7308257513914</v>
      </c>
      <c r="AL91" s="48">
        <f t="shared" ca="1" si="122"/>
        <v>3240.8381616604174</v>
      </c>
      <c r="AM91" s="48">
        <f t="shared" ca="1" si="122"/>
        <v>3588.107305608396</v>
      </c>
      <c r="AN91" s="49">
        <f t="shared" ref="AN91:AS91" ca="1" si="123">AN86-AN90</f>
        <v>3690.9226268372031</v>
      </c>
      <c r="AO91" s="49">
        <f t="shared" ca="1" si="123"/>
        <v>3931.7257492924609</v>
      </c>
      <c r="AP91" s="49">
        <f t="shared" ca="1" si="123"/>
        <v>3749.6161198676004</v>
      </c>
      <c r="AQ91" s="49">
        <f t="shared" ca="1" si="123"/>
        <v>3846.2782420316335</v>
      </c>
      <c r="AR91" s="49">
        <f t="shared" ca="1" si="123"/>
        <v>3840.788659156301</v>
      </c>
      <c r="AS91" s="49">
        <f t="shared" ca="1" si="123"/>
        <v>3782.8048062180451</v>
      </c>
      <c r="AT91" s="49">
        <f ca="1">AT86-AT90</f>
        <v>3728.6751296832799</v>
      </c>
      <c r="AU91" s="49">
        <f ca="1">AU86-AU90</f>
        <v>3913.7195934187521</v>
      </c>
      <c r="AV91" s="48"/>
      <c r="AW91" s="48"/>
      <c r="AX91" s="48"/>
      <c r="AY91" s="48"/>
      <c r="AZ91" s="48"/>
      <c r="BA91" s="48"/>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
      <c r="BZ91" s="48"/>
      <c r="CA91" s="48"/>
      <c r="CB91" s="48"/>
      <c r="CC91" s="48"/>
      <c r="CD91" s="7"/>
      <c r="CE91" s="49"/>
      <c r="CF91" s="49"/>
      <c r="CG91" s="49"/>
      <c r="CH91" s="49"/>
      <c r="CI91" s="67"/>
      <c r="CJ91" s="49"/>
      <c r="CK91" s="49"/>
      <c r="CL91" s="49"/>
      <c r="CM91" s="49"/>
      <c r="CN91" s="66"/>
      <c r="CO91" s="49"/>
      <c r="CP91" s="49"/>
      <c r="CQ91" s="49"/>
      <c r="CR91" s="48"/>
      <c r="CS91" s="48"/>
      <c r="CT91" s="48"/>
      <c r="CU91" s="48"/>
      <c r="CV91" s="48"/>
      <c r="CW91" s="48"/>
      <c r="CX91" s="48"/>
      <c r="CY91" s="48"/>
      <c r="CZ91" s="48"/>
      <c r="DA91" s="48"/>
      <c r="DB91" s="48"/>
      <c r="DC91" s="48"/>
      <c r="DD91" s="48"/>
      <c r="DE91" s="48"/>
      <c r="DF91" s="48"/>
      <c r="DG91" s="48"/>
      <c r="DH91" s="48"/>
    </row>
    <row r="92" spans="1:117">
      <c r="A92" s="43" t="s">
        <v>676</v>
      </c>
      <c r="B92" s="48"/>
      <c r="C92" s="48"/>
      <c r="D92" s="48"/>
      <c r="E92" s="48"/>
      <c r="F92" s="48"/>
      <c r="G92" s="48"/>
      <c r="H92" s="48"/>
      <c r="I92" s="48"/>
      <c r="J92" s="48"/>
      <c r="K92" s="48"/>
      <c r="L92" s="48"/>
      <c r="M92" s="48"/>
      <c r="N92" s="48"/>
      <c r="O92" s="48"/>
      <c r="P92" s="38">
        <f t="shared" ref="P92:AM92" si="124">P91/O91-1</f>
        <v>-2.4990103729441659E-2</v>
      </c>
      <c r="Q92" s="39">
        <f t="shared" si="124"/>
        <v>0.12602560526341033</v>
      </c>
      <c r="R92" s="39">
        <f t="shared" si="124"/>
        <v>-5.6129329859479271E-2</v>
      </c>
      <c r="S92" s="39">
        <f t="shared" si="124"/>
        <v>-1.2509251615153705E-3</v>
      </c>
      <c r="T92" s="38">
        <f t="shared" si="124"/>
        <v>-2.0152959512849344E-2</v>
      </c>
      <c r="U92" s="38">
        <f>U91/T91-1</f>
        <v>-0.16183923352939</v>
      </c>
      <c r="V92" s="38"/>
      <c r="W92" s="38"/>
      <c r="X92" s="38">
        <f>X91/W91-1</f>
        <v>-0.17615504958704375</v>
      </c>
      <c r="Y92" s="38">
        <f>Y91/X91-1</f>
        <v>-0.4139936564649479</v>
      </c>
      <c r="Z92" s="38">
        <f t="shared" si="124"/>
        <v>0.46575342465753411</v>
      </c>
      <c r="AA92" s="38">
        <f t="shared" si="124"/>
        <v>0.43698043062942116</v>
      </c>
      <c r="AB92" s="38">
        <f t="shared" si="124"/>
        <v>0.12073302191879232</v>
      </c>
      <c r="AC92" s="1110">
        <f t="shared" si="124"/>
        <v>8.3360051298493332E-2</v>
      </c>
      <c r="AD92" s="2688">
        <f>AD91/AC91-1</f>
        <v>-0.11038768866528559</v>
      </c>
      <c r="AE92" s="2688"/>
      <c r="AF92" s="2802">
        <f>AF91/AE91-1</f>
        <v>-2.2629730784237356E-2</v>
      </c>
      <c r="AG92" s="2802">
        <f>AG91/AF91-1</f>
        <v>-4.6240851630073188E-2</v>
      </c>
      <c r="AH92" s="2802">
        <f t="shared" ca="1" si="124"/>
        <v>0.10952214858737364</v>
      </c>
      <c r="AI92" s="3065"/>
      <c r="AJ92" s="2802">
        <f ca="1">AJ91/AI91-1</f>
        <v>-1.7227392663939578E-2</v>
      </c>
      <c r="AK92" s="2802">
        <f t="shared" ca="1" si="124"/>
        <v>7.8888704451685054E-2</v>
      </c>
      <c r="AL92" s="2802">
        <f t="shared" ca="1" si="124"/>
        <v>6.0924299561892825E-2</v>
      </c>
      <c r="AM92" s="2802">
        <f t="shared" ca="1" si="124"/>
        <v>0.10715411465349378</v>
      </c>
      <c r="AN92" s="2802">
        <f t="shared" ref="AN92:AU92" ca="1" si="125">AN91/AM91-1</f>
        <v>2.8654472252850782E-2</v>
      </c>
      <c r="AO92" s="2802">
        <f t="shared" ca="1" si="125"/>
        <v>6.5241986029277665E-2</v>
      </c>
      <c r="AP92" s="2802">
        <f t="shared" ca="1" si="125"/>
        <v>-4.6317988852002778E-2</v>
      </c>
      <c r="AQ92" s="2802">
        <f t="shared" ca="1" si="125"/>
        <v>2.5779204876963835E-2</v>
      </c>
      <c r="AR92" s="2802">
        <f t="shared" ca="1" si="125"/>
        <v>-1.4272453862913537E-3</v>
      </c>
      <c r="AS92" s="2802">
        <f t="shared" ca="1" si="125"/>
        <v>-1.509686110950792E-2</v>
      </c>
      <c r="AT92" s="2802">
        <f t="shared" ca="1" si="125"/>
        <v>-1.430940249567958E-2</v>
      </c>
      <c r="AU92" s="2802">
        <f t="shared" ca="1" si="125"/>
        <v>4.9627403112265878E-2</v>
      </c>
      <c r="AV92" s="2802"/>
      <c r="AW92" s="38"/>
      <c r="AX92" s="38"/>
      <c r="AY92" s="38"/>
      <c r="AZ92" s="48"/>
      <c r="BA92" s="48"/>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
      <c r="BZ92" s="48"/>
      <c r="CA92" s="48"/>
      <c r="CB92" s="48"/>
      <c r="CC92" s="48"/>
      <c r="CD92" s="7"/>
      <c r="CE92" s="49"/>
      <c r="CF92" s="49"/>
      <c r="CG92" s="49"/>
      <c r="CH92" s="49"/>
      <c r="CI92" s="67"/>
      <c r="CJ92" s="49"/>
      <c r="CK92" s="49"/>
      <c r="CL92" s="49"/>
      <c r="CM92" s="49"/>
      <c r="CN92" s="66"/>
      <c r="CO92" s="49"/>
      <c r="CP92" s="49"/>
      <c r="CQ92" s="49"/>
      <c r="CR92" s="48"/>
      <c r="CS92" s="48"/>
      <c r="CT92" s="48"/>
      <c r="CU92" s="48"/>
      <c r="CV92" s="48"/>
      <c r="CW92" s="48"/>
      <c r="CX92" s="48"/>
      <c r="CY92" s="48"/>
      <c r="CZ92" s="48"/>
      <c r="DA92" s="48"/>
      <c r="DB92" s="48"/>
      <c r="DC92" s="48"/>
      <c r="DD92" s="48"/>
      <c r="DE92" s="48"/>
      <c r="DF92" s="48"/>
      <c r="DG92" s="48"/>
      <c r="DH92" s="48"/>
    </row>
    <row r="93" spans="1:117">
      <c r="A93" s="6" t="s">
        <v>733</v>
      </c>
      <c r="B93" s="48"/>
      <c r="C93" s="48"/>
      <c r="D93" s="48"/>
      <c r="E93" s="48"/>
      <c r="F93" s="48"/>
      <c r="G93" s="48"/>
      <c r="H93" s="48"/>
      <c r="I93" s="48"/>
      <c r="J93" s="48"/>
      <c r="K93" s="48"/>
      <c r="L93" s="48"/>
      <c r="M93" s="48"/>
      <c r="N93" s="48"/>
      <c r="O93" s="48">
        <f>O15+O29+O43+O72+'Segment Detail'!Y208</f>
        <v>87.090891899190026</v>
      </c>
      <c r="P93" s="48">
        <f>P15+P29+P43+P72+'Segment Detail'!Z208</f>
        <v>87.77499999999992</v>
      </c>
      <c r="Q93" s="49">
        <f>Q15+Q29+Q43+Q72+'Segment Detail'!AA208</f>
        <v>84.024999999999977</v>
      </c>
      <c r="R93" s="49">
        <f>R15+R29+R43+R72+'Segment Detail'!AB208</f>
        <v>95.855499999999893</v>
      </c>
      <c r="S93" s="49">
        <f>S15+S29+S43+S72+'Segment Detail'!AC208</f>
        <v>87.300000000000011</v>
      </c>
      <c r="T93" s="48">
        <f>T15+T29+T43+T72+'Segment Detail'!AD208</f>
        <v>81.5</v>
      </c>
      <c r="U93" s="48">
        <f>U15+U29+U43+U72+'Segment Detail'!AE208+U57</f>
        <v>105.5</v>
      </c>
      <c r="V93" s="48"/>
      <c r="W93" s="48">
        <f>W15+W29+W43+W72+'Segment Detail'!AD208+W57</f>
        <v>90.676999999999992</v>
      </c>
      <c r="X93" s="48">
        <f>X15+X29+X43+X72+'Segment Detail'!AE208+X57</f>
        <v>110.566</v>
      </c>
      <c r="Y93" s="48">
        <f>Y15+Y29+Y43+Y72+'Segment Detail'!AF208+Y57</f>
        <v>130</v>
      </c>
      <c r="Z93" s="48">
        <f>Z15+Z29+Z43+Z72+'Segment Detail'!AG208+Z57</f>
        <v>130</v>
      </c>
      <c r="AA93" s="48">
        <f>AA15+AA29+AA43+AA72+'Segment Detail'!AH208+AA57</f>
        <v>121</v>
      </c>
      <c r="AB93" s="48">
        <f>AB15+AB29+AB43+AB72+'Segment Detail'!AI208+AB57</f>
        <v>106</v>
      </c>
      <c r="AC93" s="1366">
        <f>AC15+AC29+AC43+AC72+'Segment Detail'!AJ208+AC57</f>
        <v>100</v>
      </c>
      <c r="AD93" s="2689">
        <f>AD15+AD29+AD43+AD72+'Segment Detail'!AK208+AD57</f>
        <v>32.000000000000007</v>
      </c>
      <c r="AE93" s="2689">
        <f>+AC93-'Segment Detail'!AJ68</f>
        <v>39.6</v>
      </c>
      <c r="AF93" s="2796">
        <f>+AD93-'Segment Detail'!AK68</f>
        <v>32.000000000000007</v>
      </c>
      <c r="AG93" s="2796">
        <f>AG15+AG29+AG43+AG72+'Segment Detail'!AL208+AG57</f>
        <v>24.000000000000004</v>
      </c>
      <c r="AH93" s="2796">
        <f ca="1">AH15+AH29+AH43+AH72+'Segment Detail'!AM208+AH57</f>
        <v>20.000000000000004</v>
      </c>
      <c r="AI93" s="3066">
        <f ca="1">AI15+AI29+AI43+AI72+'Segment Detail'!AM208+AI57</f>
        <v>20.000000000000004</v>
      </c>
      <c r="AJ93" s="2796">
        <f ca="1">AJ15+AJ29+AJ43+AJ72+'Segment Detail'!AN208+AJ57</f>
        <v>18.999999999999986</v>
      </c>
      <c r="AK93" s="2796">
        <f ca="1">AK15+AK29+AK43+AK72+'Segment Detail'!AO208+AK57</f>
        <v>17.999999999999993</v>
      </c>
      <c r="AL93" s="2796">
        <f ca="1">AL15+AL29+AL43+AL72+'Segment Detail'!AP208+AL57</f>
        <v>18</v>
      </c>
      <c r="AM93" s="2796">
        <f ca="1">AM15+AM29+AM43+AM72+'Segment Detail'!AQ208+AM57</f>
        <v>14.999999999999995</v>
      </c>
      <c r="AN93" s="2796">
        <f ca="1">AN15+AN29+AN43+AN72+'Segment Detail'!AR208+AN57</f>
        <v>13.000000000000007</v>
      </c>
      <c r="AO93" s="2796">
        <f ca="1">AO15+AO29+AO43+AO72+'Segment Detail'!AS208+AO57</f>
        <v>12.948460392448006</v>
      </c>
      <c r="AP93" s="2796">
        <f ca="1">AP15+AP29+AP43+AP72+'Segment Detail'!AT208+AP57</f>
        <v>10.907228706406393</v>
      </c>
      <c r="AQ93" s="2796">
        <f ca="1">AQ15+AQ29+AQ43+AQ72+'Segment Detail'!AU208+AQ57</f>
        <v>10.874243357573114</v>
      </c>
      <c r="AR93" s="2796">
        <f ca="1">AR15+AR29+AR43+AR72+'Segment Detail'!AV208+AR57</f>
        <v>10.847855078506491</v>
      </c>
      <c r="AS93" s="2796">
        <f ca="1">AS15+AS29+AS43+AS72+'Segment Detail'!AW208+AS57</f>
        <v>10.826744455253198</v>
      </c>
      <c r="AT93" s="2796">
        <f ca="1">AT15+AT29+AT43+AT72+'Segment Detail'!AX208+AT57</f>
        <v>10.809855956650559</v>
      </c>
      <c r="AU93" s="2796">
        <f ca="1">AU15+AU29+AU43+AU72+'Segment Detail'!AY208+AU57</f>
        <v>10.796345157768435</v>
      </c>
      <c r="AV93" s="2796"/>
      <c r="AW93" s="48"/>
      <c r="AX93" s="48"/>
      <c r="AY93" s="48"/>
      <c r="AZ93" s="48"/>
      <c r="BA93" s="48"/>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
      <c r="BZ93" s="48"/>
      <c r="CA93" s="48"/>
      <c r="CB93" s="48"/>
      <c r="CC93" s="48"/>
      <c r="CD93" s="7"/>
      <c r="CE93" s="49"/>
      <c r="CF93" s="49"/>
      <c r="CG93" s="49"/>
      <c r="CH93" s="49"/>
      <c r="CI93" s="67"/>
      <c r="CJ93" s="49"/>
      <c r="CK93" s="49"/>
      <c r="CL93" s="49"/>
      <c r="CM93" s="49"/>
      <c r="CN93" s="66"/>
      <c r="CO93" s="49"/>
      <c r="CP93" s="49"/>
      <c r="CQ93" s="49"/>
      <c r="CR93" s="48"/>
      <c r="CS93" s="48"/>
      <c r="CT93" s="48"/>
      <c r="CU93" s="48"/>
      <c r="CV93" s="48"/>
      <c r="CW93" s="48"/>
      <c r="CX93" s="48"/>
      <c r="CY93" s="48"/>
      <c r="CZ93" s="48"/>
      <c r="DA93" s="48"/>
      <c r="DB93" s="48"/>
      <c r="DC93" s="48"/>
      <c r="DD93" s="48"/>
      <c r="DE93" s="48"/>
      <c r="DF93" s="48"/>
      <c r="DG93" s="48"/>
      <c r="DH93" s="48"/>
    </row>
    <row r="94" spans="1:117">
      <c r="A94" s="36" t="s">
        <v>130</v>
      </c>
      <c r="B94" s="48"/>
      <c r="C94" s="48"/>
      <c r="D94" s="48"/>
      <c r="E94" s="48"/>
      <c r="F94" s="48"/>
      <c r="G94" s="48"/>
      <c r="H94" s="48"/>
      <c r="I94" s="48"/>
      <c r="J94" s="48"/>
      <c r="K94" s="48"/>
      <c r="L94" s="48"/>
      <c r="M94" s="48"/>
      <c r="N94" s="48"/>
      <c r="O94" s="76">
        <f>13163.4-7777.5-2326.5-480.8</f>
        <v>2578.5999999999995</v>
      </c>
      <c r="P94" s="76">
        <f>13554.5-8165.4-2376.1-501.7</f>
        <v>2511.3000000000006</v>
      </c>
      <c r="Q94" s="77">
        <f>14547.3-8643.6-2552.5-508.6</f>
        <v>2842.599999999999</v>
      </c>
      <c r="R94" s="78">
        <f>1824.7+925+469.9+184.8-120.5-118.7-498.7</f>
        <v>2666.5000000000005</v>
      </c>
      <c r="S94" s="64">
        <f>2606.4+65.2</f>
        <v>2671.6</v>
      </c>
      <c r="T94" s="122">
        <v>2621.8</v>
      </c>
      <c r="U94" s="48">
        <f t="shared" ref="U94:AM94" si="126">U91-U93</f>
        <v>2160.3000000000002</v>
      </c>
      <c r="V94" s="48"/>
      <c r="W94" s="48">
        <f t="shared" si="126"/>
        <v>2646.189625</v>
      </c>
      <c r="X94" s="48">
        <f t="shared" si="126"/>
        <v>2144.1877489600001</v>
      </c>
      <c r="Y94" s="48">
        <f t="shared" si="126"/>
        <v>1191.3000000000004</v>
      </c>
      <c r="Z94" s="48">
        <f t="shared" si="126"/>
        <v>1806.7000000000003</v>
      </c>
      <c r="AA94" s="48">
        <f t="shared" si="126"/>
        <v>2662.0000000000005</v>
      </c>
      <c r="AB94" s="48">
        <f t="shared" si="126"/>
        <v>3012.9999999999995</v>
      </c>
      <c r="AC94" s="1366">
        <f t="shared" si="126"/>
        <v>3279</v>
      </c>
      <c r="AD94" s="2689">
        <f t="shared" si="126"/>
        <v>2974</v>
      </c>
      <c r="AE94" s="2689">
        <f t="shared" si="126"/>
        <v>3036.0000000000005</v>
      </c>
      <c r="AF94" s="2796">
        <f t="shared" si="126"/>
        <v>2974</v>
      </c>
      <c r="AG94" s="2796">
        <f t="shared" si="126"/>
        <v>2843</v>
      </c>
      <c r="AH94" s="2796">
        <f t="shared" ca="1" si="126"/>
        <v>3161</v>
      </c>
      <c r="AI94" s="3066">
        <f t="shared" ca="1" si="126"/>
        <v>2861</v>
      </c>
      <c r="AJ94" s="2796">
        <f t="shared" ca="1" si="126"/>
        <v>2812.3678817351902</v>
      </c>
      <c r="AK94" s="2796">
        <f t="shared" ca="1" si="126"/>
        <v>3036.7308257513914</v>
      </c>
      <c r="AL94" s="2796">
        <f t="shared" ca="1" si="126"/>
        <v>3222.8381616604174</v>
      </c>
      <c r="AM94" s="2796">
        <f t="shared" ca="1" si="126"/>
        <v>3573.107305608396</v>
      </c>
      <c r="AN94" s="2796">
        <f t="shared" ref="AN94:AS94" ca="1" si="127">AN91-AN93</f>
        <v>3677.9226268372031</v>
      </c>
      <c r="AO94" s="2796">
        <f t="shared" ca="1" si="127"/>
        <v>3918.777288900013</v>
      </c>
      <c r="AP94" s="2796">
        <f t="shared" ca="1" si="127"/>
        <v>3738.7088911611941</v>
      </c>
      <c r="AQ94" s="2796">
        <f t="shared" ca="1" si="127"/>
        <v>3835.4039986740604</v>
      </c>
      <c r="AR94" s="2796">
        <f t="shared" ca="1" si="127"/>
        <v>3829.9408040777944</v>
      </c>
      <c r="AS94" s="2796">
        <f t="shared" ca="1" si="127"/>
        <v>3771.9780617627921</v>
      </c>
      <c r="AT94" s="2796">
        <f ca="1">AT91-AT93</f>
        <v>3717.8652737266293</v>
      </c>
      <c r="AU94" s="2796">
        <f t="shared" ref="AU94" ca="1" si="128">AU91-AU93</f>
        <v>3902.9232482609837</v>
      </c>
      <c r="AV94" s="2796"/>
      <c r="AW94" s="48"/>
      <c r="AX94" s="48"/>
      <c r="AY94" s="48"/>
      <c r="AZ94" s="48"/>
      <c r="BA94" s="48"/>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
      <c r="BZ94" s="48"/>
      <c r="CA94" s="48"/>
      <c r="CB94" s="48"/>
      <c r="CC94" s="48"/>
      <c r="CD94" s="7"/>
      <c r="CE94" s="49"/>
      <c r="CF94" s="49"/>
      <c r="CG94" s="49"/>
      <c r="CH94" s="49"/>
      <c r="CI94" s="67"/>
      <c r="CJ94" s="49"/>
      <c r="CK94" s="49"/>
      <c r="CL94" s="49"/>
      <c r="CM94" s="49"/>
      <c r="CN94" s="66"/>
      <c r="CO94" s="49"/>
      <c r="CP94" s="49"/>
      <c r="CQ94" s="49"/>
      <c r="CR94" s="48"/>
      <c r="CS94" s="48"/>
      <c r="CT94" s="48"/>
      <c r="CU94" s="48"/>
      <c r="CV94" s="48"/>
      <c r="CW94" s="48"/>
      <c r="CX94" s="48"/>
      <c r="CY94" s="48"/>
      <c r="CZ94" s="48"/>
      <c r="DA94" s="48"/>
      <c r="DB94" s="48"/>
      <c r="DC94" s="48"/>
      <c r="DD94" s="48"/>
      <c r="DE94" s="48"/>
      <c r="DF94" s="48"/>
      <c r="DG94" s="48"/>
      <c r="DH94" s="48"/>
    </row>
    <row r="95" spans="1:117">
      <c r="A95" s="43" t="s">
        <v>676</v>
      </c>
      <c r="B95" s="48"/>
      <c r="C95" s="48"/>
      <c r="D95" s="48"/>
      <c r="E95" s="48"/>
      <c r="F95" s="48"/>
      <c r="G95" s="48"/>
      <c r="H95" s="48"/>
      <c r="I95" s="48"/>
      <c r="J95" s="48"/>
      <c r="K95" s="48"/>
      <c r="L95" s="48"/>
      <c r="M95" s="48"/>
      <c r="N95" s="48"/>
      <c r="O95" s="48"/>
      <c r="P95" s="38">
        <f t="shared" ref="P95:AM95" si="129">P94/O94-1</f>
        <v>-2.6099433801287097E-2</v>
      </c>
      <c r="Q95" s="39">
        <f t="shared" si="129"/>
        <v>0.13192370485405891</v>
      </c>
      <c r="R95" s="39">
        <f t="shared" si="129"/>
        <v>-6.1950327165270713E-2</v>
      </c>
      <c r="S95" s="39">
        <f t="shared" si="129"/>
        <v>1.9126195387209055E-3</v>
      </c>
      <c r="T95" s="38">
        <f t="shared" si="129"/>
        <v>-1.8640515047162687E-2</v>
      </c>
      <c r="U95" s="38">
        <f>U94/T94-1</f>
        <v>-0.17602410557632164</v>
      </c>
      <c r="V95" s="38"/>
      <c r="W95" s="38"/>
      <c r="X95" s="38">
        <f>X94/W94-1</f>
        <v>-0.18970744624546698</v>
      </c>
      <c r="Y95" s="38">
        <f>Y94/X94-1</f>
        <v>-0.44440499644780684</v>
      </c>
      <c r="Z95" s="38">
        <f t="shared" si="129"/>
        <v>0.5165785276588597</v>
      </c>
      <c r="AA95" s="38">
        <f t="shared" si="129"/>
        <v>0.47340454973155488</v>
      </c>
      <c r="AB95" s="38">
        <f t="shared" si="129"/>
        <v>0.13185574755822649</v>
      </c>
      <c r="AC95" s="39">
        <f t="shared" si="129"/>
        <v>8.8284102223697536E-2</v>
      </c>
      <c r="AD95" s="2695">
        <f>AD94/AC94-1</f>
        <v>-9.3016163464470836E-2</v>
      </c>
      <c r="AE95" s="2695"/>
      <c r="AF95" s="2802">
        <f>AF94/AE94-1</f>
        <v>-2.0421607378129258E-2</v>
      </c>
      <c r="AG95" s="2802">
        <f>AG94/AF94-1</f>
        <v>-4.4048419636852687E-2</v>
      </c>
      <c r="AH95" s="2802">
        <f t="shared" ca="1" si="129"/>
        <v>0.11185367569468863</v>
      </c>
      <c r="AI95" s="3065"/>
      <c r="AJ95" s="2802">
        <f ca="1">AJ94/AI94-1</f>
        <v>-1.6998293696193545E-2</v>
      </c>
      <c r="AK95" s="2802">
        <f t="shared" ca="1" si="129"/>
        <v>7.9777238772109849E-2</v>
      </c>
      <c r="AL95" s="2802">
        <f t="shared" ca="1" si="129"/>
        <v>6.1285423894288149E-2</v>
      </c>
      <c r="AM95" s="2802">
        <f t="shared" ca="1" si="129"/>
        <v>0.10868344185409495</v>
      </c>
      <c r="AN95" s="2802">
        <f t="shared" ref="AN95:AT95" ca="1" si="130">AN94/AM94-1</f>
        <v>2.9334501391628409E-2</v>
      </c>
      <c r="AO95" s="2802">
        <f t="shared" ca="1" si="130"/>
        <v>6.5486603852221492E-2</v>
      </c>
      <c r="AP95" s="2802">
        <f t="shared" ca="1" si="130"/>
        <v>-4.5950148340622721E-2</v>
      </c>
      <c r="AQ95" s="2802">
        <f t="shared" ca="1" si="130"/>
        <v>2.5863235231142534E-2</v>
      </c>
      <c r="AR95" s="2802">
        <f t="shared" ca="1" si="130"/>
        <v>-1.4244117694393044E-3</v>
      </c>
      <c r="AS95" s="2802">
        <f t="shared" ca="1" si="130"/>
        <v>-1.5134109188655986E-2</v>
      </c>
      <c r="AT95" s="2802">
        <f t="shared" ca="1" si="130"/>
        <v>-1.4345997550917255E-2</v>
      </c>
      <c r="AU95" s="2802">
        <f ca="1">AU94/AT94-1</f>
        <v>4.9775330978806487E-2</v>
      </c>
      <c r="AV95" s="2802"/>
      <c r="AW95" s="38"/>
      <c r="AX95" s="38"/>
      <c r="AY95" s="38"/>
      <c r="AZ95" s="48"/>
      <c r="BA95" s="48"/>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
      <c r="BZ95" s="48"/>
      <c r="CA95" s="48"/>
      <c r="CB95" s="48"/>
      <c r="CC95" s="48"/>
      <c r="CD95" s="7"/>
      <c r="CE95" s="49"/>
      <c r="CF95" s="49"/>
      <c r="CG95" s="49"/>
      <c r="CH95" s="49"/>
      <c r="CI95" s="67"/>
      <c r="CJ95" s="49"/>
      <c r="CK95" s="49"/>
      <c r="CL95" s="49"/>
      <c r="CM95" s="49"/>
      <c r="CN95" s="66"/>
      <c r="CO95" s="49"/>
      <c r="CP95" s="49"/>
      <c r="CQ95" s="49"/>
      <c r="CR95" s="48"/>
      <c r="CS95" s="48"/>
      <c r="CT95" s="48"/>
      <c r="CU95" s="48"/>
      <c r="CV95" s="48"/>
      <c r="CW95" s="48"/>
      <c r="CX95" s="48"/>
      <c r="CY95" s="48"/>
      <c r="CZ95" s="48"/>
      <c r="DA95" s="48"/>
      <c r="DB95" s="48"/>
      <c r="DC95" s="48"/>
      <c r="DD95" s="48"/>
      <c r="DE95" s="48"/>
      <c r="DF95" s="48"/>
      <c r="DG95" s="48"/>
      <c r="DH95" s="48"/>
    </row>
    <row r="96" spans="1:117">
      <c r="A96" s="11" t="s">
        <v>129</v>
      </c>
      <c r="B96" s="48"/>
      <c r="C96" s="48"/>
      <c r="D96" s="48"/>
      <c r="E96" s="48"/>
      <c r="F96" s="48"/>
      <c r="G96" s="48"/>
      <c r="H96" s="48"/>
      <c r="I96" s="48"/>
      <c r="J96" s="48"/>
      <c r="K96" s="48"/>
      <c r="L96" s="48"/>
      <c r="M96" s="48"/>
      <c r="N96" s="48"/>
      <c r="O96" s="48">
        <f>'GAAP Financial Statements'!H12</f>
        <v>0</v>
      </c>
      <c r="P96" s="48">
        <f>'GAAP Financial Statements'!I12</f>
        <v>0</v>
      </c>
      <c r="Q96" s="49">
        <f>'GAAP Financial Statements'!J12</f>
        <v>0</v>
      </c>
      <c r="R96" s="49">
        <f>'GAAP Financial Statements'!K12</f>
        <v>0</v>
      </c>
      <c r="S96" s="49">
        <f>'GAAP Financial Statements'!L12</f>
        <v>64.3</v>
      </c>
      <c r="T96" s="48">
        <f>'GAAP Financial Statements'!M12</f>
        <v>106.6</v>
      </c>
      <c r="U96" s="48">
        <f>'GAAP Financial Statements'!N12</f>
        <v>137.9</v>
      </c>
      <c r="V96" s="48"/>
      <c r="W96" s="48">
        <f>T96</f>
        <v>106.6</v>
      </c>
      <c r="X96" s="48">
        <f>U96</f>
        <v>137.9</v>
      </c>
      <c r="Y96" s="48">
        <f>'GAAP Financial Statements'!R12</f>
        <v>135.6</v>
      </c>
      <c r="Z96" s="48">
        <f>'GAAP Financial Statements'!S12</f>
        <v>143.73599999999999</v>
      </c>
      <c r="AA96" s="48">
        <f>'GAAP Financial Statements'!T12</f>
        <v>139</v>
      </c>
      <c r="AB96" s="48">
        <f>'GAAP Financial Statements'!U12</f>
        <v>153</v>
      </c>
      <c r="AC96" s="49">
        <f>'GAAP Financial Statements'!V12</f>
        <v>229</v>
      </c>
      <c r="AD96" s="2696">
        <f>'GAAP Financial Statements'!W12</f>
        <v>154</v>
      </c>
      <c r="AE96" s="2696">
        <f>+AC96</f>
        <v>229</v>
      </c>
      <c r="AF96" s="2796">
        <f>+AD96</f>
        <v>154</v>
      </c>
      <c r="AG96" s="2796">
        <f>'GAAP Financial Statements'!Z12</f>
        <v>174</v>
      </c>
      <c r="AH96" s="2796">
        <f>'GAAP Financial Statements'!AA12</f>
        <v>182.3</v>
      </c>
      <c r="AI96" s="3065">
        <f>AH96</f>
        <v>182.3</v>
      </c>
      <c r="AJ96" s="2796">
        <f>'GAAP Financial Statements'!AC12</f>
        <v>173.1</v>
      </c>
      <c r="AK96" s="2796">
        <f>'GAAP Financial Statements'!AD12</f>
        <v>178.29300000000001</v>
      </c>
      <c r="AL96" s="2796">
        <f>'GAAP Financial Statements'!AE12</f>
        <v>183.64179000000001</v>
      </c>
      <c r="AM96" s="2796">
        <f>'GAAP Financial Statements'!AF12</f>
        <v>189.15104370000003</v>
      </c>
      <c r="AN96" s="2796">
        <f>'GAAP Financial Statements'!AG12</f>
        <v>194.82557501100004</v>
      </c>
      <c r="AO96" s="2796">
        <f>'GAAP Financial Statements'!AH12</f>
        <v>200.67034226133003</v>
      </c>
      <c r="AP96" s="2796">
        <f>'GAAP Financial Statements'!AI12</f>
        <v>206.69045252916993</v>
      </c>
      <c r="AQ96" s="2796">
        <f>'GAAP Financial Statements'!AJ12</f>
        <v>212.89116610504504</v>
      </c>
      <c r="AR96" s="2796">
        <f>'GAAP Financial Statements'!AK12</f>
        <v>219.27790108819642</v>
      </c>
      <c r="AS96" s="2796">
        <f>'GAAP Financial Statements'!AL12</f>
        <v>225.85623812084231</v>
      </c>
      <c r="AT96" s="2796">
        <f>'GAAP Financial Statements'!AM12</f>
        <v>232.63192526446758</v>
      </c>
      <c r="AU96" s="2796">
        <f>'GAAP Financial Statements'!AN12</f>
        <v>239.61088302240162</v>
      </c>
      <c r="AV96" s="2796"/>
      <c r="AW96" s="48"/>
      <c r="AX96" s="48"/>
      <c r="AY96" s="48"/>
      <c r="AZ96" s="48"/>
      <c r="BA96" s="48"/>
      <c r="BB96" s="48"/>
      <c r="BC96" s="48"/>
      <c r="BD96" s="48"/>
      <c r="BE96" s="48"/>
      <c r="BF96" s="48"/>
      <c r="BG96" s="48"/>
      <c r="BH96" s="48"/>
      <c r="BI96" s="48"/>
      <c r="BJ96" s="48"/>
      <c r="BK96" s="48"/>
      <c r="BL96" s="48"/>
      <c r="BM96" s="48"/>
      <c r="BN96" s="48"/>
      <c r="BO96" s="48"/>
      <c r="BP96" s="48"/>
      <c r="BQ96" s="48"/>
      <c r="BR96" s="48"/>
      <c r="BS96" s="48"/>
      <c r="BT96" s="48"/>
      <c r="BU96" s="48"/>
      <c r="BV96" s="48"/>
      <c r="BW96" s="48"/>
      <c r="BX96" s="48"/>
      <c r="BY96" s="4"/>
      <c r="BZ96" s="48"/>
      <c r="CA96" s="48"/>
      <c r="CB96" s="48"/>
      <c r="CC96" s="48"/>
      <c r="CD96" s="7"/>
      <c r="CE96" s="49"/>
      <c r="CF96" s="49"/>
      <c r="CG96" s="49"/>
      <c r="CH96" s="49"/>
      <c r="CI96" s="67"/>
      <c r="CJ96" s="49"/>
      <c r="CK96" s="49"/>
      <c r="CL96" s="49"/>
      <c r="CM96" s="49"/>
      <c r="CN96" s="66"/>
      <c r="CO96" s="49"/>
      <c r="CP96" s="49"/>
      <c r="CQ96" s="49"/>
      <c r="CR96" s="48"/>
      <c r="CS96" s="48"/>
      <c r="CT96" s="48"/>
      <c r="CU96" s="48"/>
      <c r="CV96" s="48"/>
      <c r="CW96" s="48"/>
      <c r="CX96" s="48"/>
      <c r="CY96" s="48"/>
      <c r="CZ96" s="48"/>
      <c r="DA96" s="48"/>
      <c r="DB96" s="48"/>
      <c r="DC96" s="48"/>
      <c r="DD96" s="48"/>
      <c r="DE96" s="48"/>
      <c r="DF96" s="48"/>
      <c r="DG96" s="48"/>
      <c r="DH96" s="48"/>
    </row>
    <row r="97" spans="1:112">
      <c r="A97" s="36" t="s">
        <v>803</v>
      </c>
      <c r="B97" s="48"/>
      <c r="C97" s="48"/>
      <c r="D97" s="48"/>
      <c r="E97" s="48"/>
      <c r="F97" s="48"/>
      <c r="G97" s="48"/>
      <c r="H97" s="48"/>
      <c r="I97" s="48"/>
      <c r="J97" s="48"/>
      <c r="K97" s="48"/>
      <c r="L97" s="48"/>
      <c r="M97" s="48"/>
      <c r="N97" s="48"/>
      <c r="O97" s="48">
        <f>O94-O96</f>
        <v>2578.5999999999995</v>
      </c>
      <c r="P97" s="48">
        <f>P94-P96</f>
        <v>2511.3000000000006</v>
      </c>
      <c r="Q97" s="48">
        <f>Q94-Q96</f>
        <v>2842.599999999999</v>
      </c>
      <c r="R97" s="48">
        <f>R94-R96</f>
        <v>2666.5000000000005</v>
      </c>
      <c r="S97" s="48">
        <f t="shared" ref="S97:AM97" si="131">S94-S96</f>
        <v>2607.2999999999997</v>
      </c>
      <c r="T97" s="48">
        <f t="shared" si="131"/>
        <v>2515.2000000000003</v>
      </c>
      <c r="U97" s="48">
        <f t="shared" si="131"/>
        <v>2022.4</v>
      </c>
      <c r="V97" s="48"/>
      <c r="W97" s="48">
        <f t="shared" si="131"/>
        <v>2539.5896250000001</v>
      </c>
      <c r="X97" s="48">
        <f t="shared" si="131"/>
        <v>2006.28774896</v>
      </c>
      <c r="Y97" s="48">
        <f t="shared" si="131"/>
        <v>1055.7000000000005</v>
      </c>
      <c r="Z97" s="48">
        <f t="shared" si="131"/>
        <v>1662.9640000000004</v>
      </c>
      <c r="AA97" s="48">
        <f t="shared" si="131"/>
        <v>2523.0000000000005</v>
      </c>
      <c r="AB97" s="48">
        <f t="shared" si="131"/>
        <v>2859.9999999999995</v>
      </c>
      <c r="AC97" s="49">
        <f t="shared" si="131"/>
        <v>3050</v>
      </c>
      <c r="AD97" s="2696">
        <f t="shared" si="131"/>
        <v>2820</v>
      </c>
      <c r="AE97" s="2696">
        <f t="shared" si="131"/>
        <v>2807.0000000000005</v>
      </c>
      <c r="AF97" s="2796">
        <f t="shared" si="131"/>
        <v>2820</v>
      </c>
      <c r="AG97" s="2796">
        <f t="shared" si="131"/>
        <v>2669</v>
      </c>
      <c r="AH97" s="2796">
        <f ca="1">AH94-AH96</f>
        <v>2978.7</v>
      </c>
      <c r="AI97" s="3066">
        <f ca="1">AI94-AI96</f>
        <v>2678.7</v>
      </c>
      <c r="AJ97" s="2796">
        <f t="shared" ca="1" si="131"/>
        <v>2639.2678817351903</v>
      </c>
      <c r="AK97" s="2796">
        <f t="shared" ca="1" si="131"/>
        <v>2858.4378257513913</v>
      </c>
      <c r="AL97" s="2796">
        <f t="shared" ca="1" si="131"/>
        <v>3039.1963716604173</v>
      </c>
      <c r="AM97" s="2796">
        <f t="shared" ca="1" si="131"/>
        <v>3383.9562619083958</v>
      </c>
      <c r="AN97" s="2796">
        <f t="shared" ref="AN97:AS97" ca="1" si="132">AN94-AN96</f>
        <v>3483.0970518262029</v>
      </c>
      <c r="AO97" s="2796">
        <f t="shared" ca="1" si="132"/>
        <v>3718.106946638683</v>
      </c>
      <c r="AP97" s="2796">
        <f t="shared" ca="1" si="132"/>
        <v>3532.0184386320243</v>
      </c>
      <c r="AQ97" s="2796">
        <f t="shared" ca="1" si="132"/>
        <v>3622.5128325690152</v>
      </c>
      <c r="AR97" s="2796">
        <f t="shared" ca="1" si="132"/>
        <v>3610.662902989598</v>
      </c>
      <c r="AS97" s="2796">
        <f t="shared" ca="1" si="132"/>
        <v>3546.12182364195</v>
      </c>
      <c r="AT97" s="2796">
        <f ca="1">AT94-AT96</f>
        <v>3485.2333484621618</v>
      </c>
      <c r="AU97" s="2796">
        <f ca="1">AU94-AU96</f>
        <v>3663.3123652385821</v>
      </c>
      <c r="AV97" s="2796"/>
      <c r="AW97" s="48"/>
      <c r="AX97" s="48"/>
      <c r="AY97" s="48"/>
      <c r="AZ97" s="48"/>
      <c r="BA97" s="48"/>
      <c r="BB97" s="48"/>
      <c r="BC97" s="48"/>
      <c r="BD97" s="48"/>
      <c r="BE97" s="48"/>
      <c r="BF97" s="48"/>
      <c r="BG97" s="48"/>
      <c r="BH97" s="48"/>
      <c r="BI97" s="48"/>
      <c r="BJ97" s="48"/>
      <c r="BK97" s="48"/>
      <c r="BL97" s="48"/>
      <c r="BM97" s="48"/>
      <c r="BN97" s="48"/>
      <c r="BO97" s="48"/>
      <c r="BP97" s="48"/>
      <c r="BQ97" s="48"/>
      <c r="BR97" s="48"/>
      <c r="BS97" s="48"/>
      <c r="BT97" s="48"/>
      <c r="BU97" s="48"/>
      <c r="BV97" s="48"/>
      <c r="BW97" s="48"/>
      <c r="BX97" s="48"/>
      <c r="BY97" s="4"/>
      <c r="BZ97" s="48"/>
      <c r="CA97" s="48"/>
      <c r="CB97" s="48"/>
      <c r="CC97" s="48"/>
      <c r="CD97" s="7"/>
      <c r="CE97" s="48"/>
      <c r="CF97" s="48"/>
      <c r="CG97" s="48"/>
      <c r="CH97" s="48"/>
      <c r="CI97" s="67"/>
      <c r="CJ97" s="49"/>
      <c r="CK97" s="49"/>
      <c r="CL97" s="49"/>
      <c r="CM97" s="49"/>
      <c r="CN97" s="66"/>
      <c r="CO97" s="49"/>
      <c r="CP97" s="48"/>
      <c r="CQ97" s="49"/>
      <c r="CR97" s="48"/>
      <c r="CS97" s="48"/>
      <c r="CT97" s="48"/>
      <c r="CU97" s="48"/>
      <c r="CV97" s="48"/>
      <c r="CW97" s="48"/>
      <c r="CX97" s="48"/>
      <c r="CY97" s="48"/>
      <c r="CZ97" s="48"/>
      <c r="DA97" s="48"/>
      <c r="DB97" s="48"/>
      <c r="DC97" s="48"/>
      <c r="DD97" s="48"/>
      <c r="DE97" s="48"/>
      <c r="DF97" s="48"/>
      <c r="DG97" s="48"/>
      <c r="DH97" s="48"/>
    </row>
    <row r="98" spans="1:112">
      <c r="A98" s="43" t="s">
        <v>676</v>
      </c>
      <c r="B98" s="48"/>
      <c r="C98" s="48"/>
      <c r="D98" s="48"/>
      <c r="E98" s="48"/>
      <c r="F98" s="48"/>
      <c r="G98" s="48"/>
      <c r="H98" s="48"/>
      <c r="I98" s="48"/>
      <c r="J98" s="48"/>
      <c r="K98" s="48"/>
      <c r="L98" s="48"/>
      <c r="M98" s="48"/>
      <c r="N98" s="48"/>
      <c r="O98" s="48"/>
      <c r="P98" s="38">
        <f t="shared" ref="P98:AM98" si="133">P97/O97-1</f>
        <v>-2.6099433801287097E-2</v>
      </c>
      <c r="Q98" s="39">
        <f t="shared" si="133"/>
        <v>0.13192370485405891</v>
      </c>
      <c r="R98" s="39">
        <f t="shared" si="133"/>
        <v>-6.1950327165270713E-2</v>
      </c>
      <c r="S98" s="38">
        <f t="shared" si="133"/>
        <v>-2.2201387586724408E-2</v>
      </c>
      <c r="T98" s="38">
        <f t="shared" si="133"/>
        <v>-3.5323898285582578E-2</v>
      </c>
      <c r="U98" s="38">
        <f>U97/T97-1</f>
        <v>-0.19592875318066161</v>
      </c>
      <c r="V98" s="38"/>
      <c r="W98" s="38"/>
      <c r="X98" s="38">
        <f>X97/W97-1</f>
        <v>-0.20999529640148062</v>
      </c>
      <c r="Y98" s="38">
        <f>Y97/X97-1</f>
        <v>-0.47380429325392426</v>
      </c>
      <c r="Z98" s="38">
        <f t="shared" si="133"/>
        <v>0.57522402197593969</v>
      </c>
      <c r="AA98" s="38">
        <f t="shared" si="133"/>
        <v>0.51717054608518276</v>
      </c>
      <c r="AB98" s="38">
        <f t="shared" si="133"/>
        <v>0.13357114546175142</v>
      </c>
      <c r="AC98" s="39">
        <f t="shared" si="133"/>
        <v>6.6433566433566682E-2</v>
      </c>
      <c r="AD98" s="2695">
        <f>AD97/AC97-1</f>
        <v>-7.5409836065573721E-2</v>
      </c>
      <c r="AE98" s="2695"/>
      <c r="AF98" s="38">
        <f>AF97/AE97-1</f>
        <v>4.6312789454932002E-3</v>
      </c>
      <c r="AG98" s="38">
        <f>AG97/AF97-1</f>
        <v>-5.3546099290780136E-2</v>
      </c>
      <c r="AH98" s="1110">
        <f t="shared" ca="1" si="133"/>
        <v>0.11603596852753828</v>
      </c>
      <c r="AI98" s="2705"/>
      <c r="AJ98" s="38">
        <f ca="1">AJ97/AI97-1</f>
        <v>-1.4720617562552607E-2</v>
      </c>
      <c r="AK98" s="38">
        <f t="shared" ca="1" si="133"/>
        <v>8.304194717517932E-2</v>
      </c>
      <c r="AL98" s="38">
        <f t="shared" ca="1" si="133"/>
        <v>6.3236829669895078E-2</v>
      </c>
      <c r="AM98" s="38">
        <f t="shared" ca="1" si="133"/>
        <v>0.11343784609074947</v>
      </c>
      <c r="AN98" s="39">
        <f t="shared" ref="AN98:AU98" ca="1" si="134">AN97/AM97-1</f>
        <v>2.9297302401271708E-2</v>
      </c>
      <c r="AO98" s="39">
        <f t="shared" ca="1" si="134"/>
        <v>6.7471532178313476E-2</v>
      </c>
      <c r="AP98" s="39">
        <f t="shared" ca="1" si="134"/>
        <v>-5.0049261809128498E-2</v>
      </c>
      <c r="AQ98" s="39">
        <f t="shared" ca="1" si="134"/>
        <v>2.5621155582653099E-2</v>
      </c>
      <c r="AR98" s="39">
        <f t="shared" ca="1" si="134"/>
        <v>-3.2711905042482892E-3</v>
      </c>
      <c r="AS98" s="39">
        <f t="shared" ca="1" si="134"/>
        <v>-1.7875132927587467E-2</v>
      </c>
      <c r="AT98" s="39">
        <f t="shared" ca="1" si="134"/>
        <v>-1.7170440895133754E-2</v>
      </c>
      <c r="AU98" s="39">
        <f t="shared" ca="1" si="134"/>
        <v>5.1095292329564224E-2</v>
      </c>
      <c r="AV98" s="38"/>
      <c r="AW98" s="38"/>
      <c r="AX98" s="38"/>
      <c r="AY98" s="38"/>
      <c r="AZ98" s="48"/>
      <c r="BA98" s="48"/>
      <c r="BB98" s="48"/>
      <c r="BC98" s="48"/>
      <c r="BD98" s="48"/>
      <c r="BE98" s="48"/>
      <c r="BF98" s="48"/>
      <c r="BG98" s="48"/>
      <c r="BH98" s="48"/>
      <c r="BI98" s="48"/>
      <c r="BJ98" s="48"/>
      <c r="BK98" s="48"/>
      <c r="BL98" s="48"/>
      <c r="BM98" s="48"/>
      <c r="BN98" s="48"/>
      <c r="BO98" s="48"/>
      <c r="BP98" s="48"/>
      <c r="BQ98" s="48"/>
      <c r="BR98" s="48"/>
      <c r="BS98" s="48"/>
      <c r="BT98" s="48"/>
      <c r="BU98" s="48"/>
      <c r="BV98" s="48"/>
      <c r="BW98" s="48"/>
      <c r="BX98" s="48"/>
      <c r="BY98" s="4"/>
      <c r="BZ98" s="48"/>
      <c r="CA98" s="48"/>
      <c r="CB98" s="48"/>
      <c r="CC98" s="48"/>
      <c r="CD98" s="7"/>
      <c r="CE98" s="48"/>
      <c r="CF98" s="48"/>
      <c r="CG98" s="48"/>
      <c r="CH98" s="48"/>
      <c r="CI98" s="67"/>
      <c r="CJ98" s="48"/>
      <c r="CK98" s="48"/>
      <c r="CL98" s="48"/>
      <c r="CM98" s="48"/>
      <c r="CN98" s="67"/>
      <c r="CO98" s="49"/>
      <c r="CP98" s="48"/>
      <c r="CQ98" s="49"/>
      <c r="CR98" s="48"/>
      <c r="CS98" s="48"/>
      <c r="CT98" s="48"/>
      <c r="CU98" s="48"/>
      <c r="CV98" s="48"/>
      <c r="CW98" s="48"/>
      <c r="CX98" s="48"/>
      <c r="CY98" s="48"/>
      <c r="CZ98" s="48"/>
      <c r="DA98" s="48"/>
      <c r="DB98" s="48"/>
      <c r="DC98" s="48"/>
      <c r="DD98" s="48"/>
      <c r="DE98" s="48"/>
      <c r="DF98" s="48"/>
      <c r="DG98" s="48"/>
      <c r="DH98" s="48"/>
    </row>
    <row r="99" spans="1:112" ht="5.0999999999999996" customHeight="1">
      <c r="A99" s="6"/>
      <c r="B99" s="6"/>
      <c r="C99" s="38"/>
      <c r="D99" s="6"/>
      <c r="E99" s="13"/>
      <c r="F99" s="6"/>
      <c r="G99" s="6"/>
      <c r="H99" s="6"/>
      <c r="I99" s="38"/>
      <c r="J99" s="38"/>
      <c r="K99" s="38"/>
      <c r="L99" s="38"/>
      <c r="M99" s="38"/>
      <c r="N99" s="38"/>
      <c r="O99" s="38"/>
      <c r="P99" s="38"/>
      <c r="Q99" s="38"/>
      <c r="R99" s="38"/>
      <c r="S99" s="6"/>
      <c r="T99" s="6"/>
      <c r="U99" s="6"/>
      <c r="V99" s="6"/>
      <c r="W99" s="6"/>
      <c r="X99" s="6"/>
      <c r="Y99" s="6"/>
      <c r="Z99" s="6"/>
      <c r="AA99" s="6"/>
      <c r="AB99" s="6"/>
      <c r="AC99" s="11"/>
      <c r="AD99" s="2684"/>
      <c r="AE99" s="2684"/>
      <c r="AF99" s="6"/>
      <c r="AG99" s="6"/>
      <c r="AH99" s="1108"/>
      <c r="AI99" s="2686"/>
      <c r="AJ99" s="6"/>
      <c r="AK99" s="6"/>
      <c r="AL99" s="6"/>
      <c r="AM99" s="6"/>
      <c r="AN99" s="11"/>
      <c r="AO99" s="11"/>
      <c r="AP99" s="11"/>
      <c r="AQ99" s="11"/>
      <c r="AR99" s="11"/>
      <c r="AS99" s="11"/>
      <c r="AT99" s="6"/>
      <c r="AU99" s="6"/>
      <c r="AV99" s="6"/>
      <c r="AW99" s="6"/>
      <c r="AX99" s="6"/>
      <c r="AY99" s="6"/>
      <c r="AZ99" s="6"/>
      <c r="BA99" s="6"/>
      <c r="BB99" s="6"/>
      <c r="BC99" s="6"/>
      <c r="BD99" s="6"/>
      <c r="BE99" s="4"/>
      <c r="BF99" s="6"/>
      <c r="BG99" s="6"/>
      <c r="BH99" s="6"/>
      <c r="BI99" s="6"/>
      <c r="BJ99" s="6"/>
      <c r="BK99" s="6"/>
      <c r="BL99" s="6"/>
      <c r="BM99" s="6"/>
      <c r="BN99" s="6"/>
      <c r="BO99" s="4"/>
      <c r="BP99" s="6"/>
      <c r="BQ99" s="6"/>
      <c r="BR99" s="6"/>
      <c r="BS99" s="6"/>
      <c r="BT99" s="4"/>
      <c r="BU99" s="6"/>
      <c r="BV99" s="13"/>
      <c r="BW99" s="6"/>
      <c r="BX99" s="6"/>
      <c r="BY99" s="4"/>
      <c r="BZ99" s="6"/>
      <c r="CA99" s="6"/>
      <c r="CB99" s="6"/>
      <c r="CC99" s="6"/>
      <c r="CD99" s="7"/>
      <c r="CE99" s="6"/>
      <c r="CF99" s="6"/>
      <c r="CG99" s="6"/>
      <c r="CH99" s="6"/>
      <c r="CI99" s="8"/>
      <c r="CJ99" s="6"/>
      <c r="CK99" s="6"/>
      <c r="CL99" s="6"/>
      <c r="CM99" s="6"/>
      <c r="CN99" s="40"/>
      <c r="CO99" s="11"/>
      <c r="CP99" s="6"/>
      <c r="CQ99" s="11"/>
      <c r="CR99" s="6"/>
      <c r="CS99" s="6"/>
      <c r="CT99" s="6"/>
      <c r="CU99" s="6"/>
      <c r="CV99" s="6"/>
      <c r="CW99" s="6"/>
      <c r="CX99" s="6"/>
      <c r="CY99" s="6"/>
      <c r="CZ99" s="6"/>
      <c r="DA99" s="6"/>
      <c r="DB99" s="6"/>
      <c r="DC99" s="6"/>
      <c r="DD99" s="6"/>
      <c r="DE99" s="6"/>
      <c r="DF99" s="6"/>
      <c r="DG99" s="6"/>
      <c r="DH99" s="6"/>
    </row>
    <row r="100" spans="1:112">
      <c r="A100" s="6"/>
      <c r="B100" s="6"/>
      <c r="C100" s="6"/>
      <c r="D100" s="6"/>
      <c r="E100" s="6"/>
      <c r="F100" s="6"/>
      <c r="G100" s="6"/>
      <c r="H100" s="6"/>
      <c r="I100" s="6"/>
      <c r="J100" s="6"/>
      <c r="K100" s="6"/>
      <c r="L100" s="6"/>
      <c r="M100" s="6"/>
      <c r="N100" s="6"/>
      <c r="O100" s="6"/>
      <c r="P100" s="6"/>
      <c r="Q100" s="6"/>
      <c r="R100" s="6"/>
      <c r="S100" s="48"/>
      <c r="T100" s="48"/>
      <c r="U100" s="6"/>
      <c r="V100" s="6"/>
      <c r="W100" s="6"/>
      <c r="X100" s="6"/>
      <c r="Y100" s="6"/>
      <c r="Z100" s="6"/>
      <c r="AA100" s="6"/>
      <c r="AB100" s="6"/>
      <c r="AC100" s="11"/>
      <c r="AD100" s="2684"/>
      <c r="AE100" s="2684"/>
      <c r="AF100" s="6"/>
      <c r="AG100" s="6"/>
      <c r="AH100" s="1108"/>
      <c r="AI100" s="2686"/>
      <c r="AJ100" s="6"/>
      <c r="AK100" s="6"/>
      <c r="AL100" s="6"/>
      <c r="AM100" s="6"/>
      <c r="AN100" s="11"/>
      <c r="AO100" s="11"/>
      <c r="AP100" s="11"/>
      <c r="AQ100" s="11"/>
      <c r="AR100" s="11"/>
      <c r="AS100" s="11"/>
      <c r="AT100" s="6"/>
      <c r="AU100" s="6"/>
      <c r="AV100" s="6"/>
      <c r="AW100" s="6"/>
      <c r="AX100" s="6"/>
      <c r="AY100" s="6"/>
      <c r="AZ100" s="6"/>
      <c r="BA100" s="6"/>
      <c r="BB100" s="6"/>
      <c r="BC100" s="6"/>
      <c r="BD100" s="6"/>
      <c r="BE100" s="4"/>
      <c r="BF100" s="6"/>
      <c r="BG100" s="6"/>
      <c r="BH100" s="6"/>
      <c r="BI100" s="6"/>
      <c r="BJ100" s="6"/>
      <c r="BK100" s="6"/>
      <c r="BL100" s="6"/>
      <c r="BM100" s="6"/>
      <c r="BN100" s="6"/>
      <c r="BO100" s="4"/>
      <c r="BP100" s="6"/>
      <c r="BQ100" s="6"/>
      <c r="BR100" s="6"/>
      <c r="BS100" s="6"/>
      <c r="BT100" s="4"/>
      <c r="BU100" s="6"/>
      <c r="BV100" s="6"/>
      <c r="BW100" s="6"/>
      <c r="BX100" s="6"/>
      <c r="BY100" s="79"/>
      <c r="BZ100" s="80"/>
      <c r="CA100" s="80"/>
      <c r="CB100" s="80"/>
      <c r="CC100" s="80"/>
      <c r="CD100" s="81"/>
      <c r="CE100" s="80"/>
      <c r="CF100" s="80"/>
      <c r="CG100" s="80"/>
      <c r="CH100" s="80"/>
      <c r="CI100" s="82"/>
      <c r="CJ100" s="6"/>
      <c r="CK100" s="6"/>
      <c r="CL100" s="6"/>
      <c r="CM100" s="6"/>
      <c r="CN100" s="40"/>
      <c r="CO100" s="11"/>
      <c r="CP100" s="6"/>
      <c r="CQ100" s="11"/>
      <c r="CR100" s="6"/>
      <c r="CS100" s="6"/>
      <c r="CT100" s="6"/>
      <c r="CU100" s="6"/>
      <c r="CV100" s="6"/>
      <c r="CW100" s="6"/>
      <c r="CX100" s="6"/>
      <c r="CY100" s="6"/>
      <c r="CZ100" s="6"/>
      <c r="DA100" s="6"/>
      <c r="DB100" s="6"/>
      <c r="DC100" s="6"/>
      <c r="DD100" s="6"/>
      <c r="DE100" s="6"/>
      <c r="DF100" s="6"/>
      <c r="DG100" s="6"/>
      <c r="DH100" s="6"/>
    </row>
    <row r="101" spans="1:112">
      <c r="A101" s="6"/>
      <c r="B101" s="6"/>
      <c r="C101" s="6"/>
      <c r="D101" s="6"/>
      <c r="E101" s="6"/>
      <c r="F101" s="6"/>
      <c r="G101" s="6"/>
      <c r="H101" s="6"/>
      <c r="I101" s="6"/>
      <c r="J101" s="6"/>
      <c r="K101" s="6"/>
      <c r="L101" s="6"/>
      <c r="M101" s="6"/>
      <c r="N101" s="6"/>
      <c r="O101" s="6"/>
      <c r="P101" s="6"/>
      <c r="Q101" s="6"/>
      <c r="R101" s="83"/>
      <c r="S101" s="83"/>
      <c r="T101" s="83"/>
      <c r="U101" s="6"/>
      <c r="V101" s="6"/>
      <c r="W101" s="6"/>
      <c r="X101" s="6"/>
      <c r="Y101" s="6"/>
      <c r="Z101" s="6"/>
      <c r="AA101" s="6"/>
      <c r="AB101" s="6"/>
      <c r="AC101" s="11"/>
      <c r="AD101" s="2684"/>
      <c r="AE101" s="2684"/>
      <c r="AF101" s="6"/>
      <c r="AG101" s="6"/>
      <c r="AH101" s="1108"/>
      <c r="AI101" s="2686"/>
      <c r="AJ101" s="2686"/>
      <c r="AK101" s="2686"/>
      <c r="AL101" s="2686"/>
      <c r="AM101" s="2686"/>
      <c r="AN101" s="2686"/>
      <c r="AO101" s="11"/>
      <c r="AP101" s="11"/>
      <c r="AQ101" s="11"/>
      <c r="AR101" s="11"/>
      <c r="AS101" s="11"/>
      <c r="AT101" s="6"/>
      <c r="AU101" s="6"/>
      <c r="AV101" s="6"/>
      <c r="AW101" s="6"/>
      <c r="AX101" s="6"/>
      <c r="AY101" s="6"/>
      <c r="AZ101" s="6"/>
      <c r="BA101" s="6"/>
      <c r="BB101" s="6"/>
      <c r="BC101" s="6"/>
      <c r="BD101" s="6"/>
      <c r="BE101" s="4"/>
      <c r="BF101" s="6"/>
      <c r="BG101" s="6"/>
      <c r="BH101" s="6"/>
      <c r="BI101" s="6"/>
      <c r="BJ101" s="6"/>
      <c r="BK101" s="6"/>
      <c r="BL101" s="6"/>
      <c r="BM101" s="6"/>
      <c r="BN101" s="6"/>
      <c r="BO101" s="4"/>
      <c r="BP101" s="6"/>
      <c r="BQ101" s="6"/>
      <c r="BR101" s="6"/>
      <c r="BS101" s="6"/>
      <c r="BT101" s="4"/>
      <c r="BU101" s="6"/>
      <c r="BV101" s="6"/>
      <c r="BW101" s="6"/>
      <c r="BX101" s="6"/>
      <c r="BY101" s="79"/>
      <c r="BZ101" s="80"/>
      <c r="CA101" s="80"/>
      <c r="CB101" s="80"/>
      <c r="CC101" s="80"/>
      <c r="CD101" s="81"/>
      <c r="CE101" s="80"/>
      <c r="CF101" s="80"/>
      <c r="CG101" s="80"/>
      <c r="CH101" s="80"/>
      <c r="CI101" s="82"/>
      <c r="CJ101" s="6"/>
      <c r="CK101" s="6"/>
      <c r="CL101" s="6"/>
      <c r="CM101" s="6"/>
      <c r="CN101" s="4"/>
      <c r="CO101" s="11"/>
      <c r="CP101" s="6"/>
      <c r="CQ101" s="11"/>
      <c r="CR101" s="6"/>
      <c r="CS101" s="6"/>
      <c r="CT101" s="6"/>
      <c r="CU101" s="6"/>
      <c r="CV101" s="6"/>
      <c r="CW101" s="6"/>
      <c r="CX101" s="6"/>
      <c r="CY101" s="6"/>
      <c r="CZ101" s="6"/>
      <c r="DA101" s="6"/>
      <c r="DB101" s="6"/>
      <c r="DC101" s="6"/>
      <c r="DD101" s="6"/>
      <c r="DE101" s="6"/>
      <c r="DF101" s="6"/>
      <c r="DG101" s="6"/>
      <c r="DH101" s="6"/>
    </row>
    <row r="102" spans="1:112">
      <c r="A102" s="6"/>
      <c r="B102" s="6"/>
      <c r="C102" s="6"/>
      <c r="D102" s="6"/>
      <c r="E102" s="6"/>
      <c r="F102" s="6"/>
      <c r="G102" s="6"/>
      <c r="H102" s="6"/>
      <c r="I102" s="6"/>
      <c r="J102" s="6"/>
      <c r="K102" s="6"/>
      <c r="L102" s="6"/>
      <c r="M102" s="6"/>
      <c r="N102" s="6"/>
      <c r="O102" s="6"/>
      <c r="P102" s="6"/>
      <c r="Q102" s="6"/>
      <c r="R102" s="6" t="s">
        <v>337</v>
      </c>
      <c r="S102" s="6"/>
      <c r="T102" s="6"/>
      <c r="U102" s="6"/>
      <c r="V102" s="6"/>
      <c r="W102" s="6"/>
      <c r="X102" s="6"/>
      <c r="Y102" s="6"/>
      <c r="Z102" s="6"/>
      <c r="AA102" s="6"/>
      <c r="AB102" s="6"/>
      <c r="AC102" s="6"/>
      <c r="AD102" s="2684"/>
      <c r="AE102" s="2684"/>
      <c r="AF102" s="6"/>
      <c r="AG102" s="6"/>
      <c r="AH102" s="6"/>
      <c r="AI102" s="2684"/>
      <c r="AJ102" s="6"/>
      <c r="AK102" s="6"/>
      <c r="AL102" s="6"/>
      <c r="AM102" s="6"/>
      <c r="AN102" s="11"/>
      <c r="AO102" s="11"/>
      <c r="AP102" s="11"/>
      <c r="AQ102" s="11"/>
      <c r="AR102" s="11"/>
      <c r="AS102" s="11"/>
      <c r="AT102" s="6"/>
      <c r="AU102" s="6"/>
      <c r="AV102" s="6"/>
      <c r="AW102" s="6"/>
      <c r="AX102" s="6"/>
      <c r="AY102" s="6"/>
      <c r="AZ102" s="6"/>
      <c r="BA102" s="6"/>
      <c r="BB102" s="6"/>
      <c r="BC102" s="6"/>
      <c r="BD102" s="6"/>
      <c r="BE102" s="4"/>
      <c r="BF102" s="6"/>
      <c r="BG102" s="6"/>
      <c r="BH102" s="6"/>
      <c r="BI102" s="6"/>
      <c r="BJ102" s="6"/>
      <c r="BK102" s="6"/>
      <c r="BL102" s="6"/>
      <c r="BM102" s="6"/>
      <c r="BN102" s="6"/>
      <c r="BO102" s="4"/>
      <c r="BP102" s="6"/>
      <c r="BQ102" s="6"/>
      <c r="BR102" s="6"/>
      <c r="BS102" s="6"/>
      <c r="BT102" s="4"/>
      <c r="BU102" s="6"/>
      <c r="BV102" s="6"/>
      <c r="BW102" s="6"/>
      <c r="BX102" s="6"/>
      <c r="BY102" s="79"/>
      <c r="BZ102" s="80"/>
      <c r="CA102" s="80"/>
      <c r="CB102" s="80"/>
      <c r="CC102" s="80"/>
      <c r="CD102" s="81"/>
      <c r="CE102" s="80"/>
      <c r="CF102" s="80"/>
      <c r="CG102" s="80"/>
      <c r="CH102" s="80"/>
      <c r="CI102" s="82"/>
      <c r="CJ102" s="6"/>
      <c r="CK102" s="6"/>
      <c r="CL102" s="6"/>
      <c r="CM102" s="6"/>
      <c r="CN102" s="4"/>
      <c r="CO102" s="11"/>
      <c r="CP102" s="6"/>
      <c r="CQ102" s="11"/>
      <c r="CR102" s="6"/>
      <c r="CS102" s="6"/>
      <c r="CT102" s="6"/>
      <c r="CU102" s="6"/>
      <c r="CV102" s="6"/>
      <c r="CW102" s="6"/>
      <c r="CX102" s="6"/>
      <c r="CY102" s="6"/>
      <c r="CZ102" s="6"/>
      <c r="DA102" s="6"/>
      <c r="DB102" s="6"/>
      <c r="DC102" s="6"/>
      <c r="DD102" s="6"/>
      <c r="DE102" s="6"/>
      <c r="DF102" s="6"/>
      <c r="DG102" s="6"/>
      <c r="DH102" s="6"/>
    </row>
    <row r="103" spans="1:112">
      <c r="AF103" s="1677"/>
    </row>
    <row r="104" spans="1:112" ht="10.5" customHeight="1"/>
    <row r="106" spans="1:112">
      <c r="AF106" s="1678"/>
    </row>
    <row r="112" spans="1:112" ht="3.75" customHeight="1"/>
  </sheetData>
  <mergeCells count="2">
    <mergeCell ref="BF4:BI4"/>
    <mergeCell ref="BK4:BN4"/>
  </mergeCells>
  <phoneticPr fontId="3" type="noConversion"/>
  <pageMargins left="0.39" right="0.26" top="1" bottom="1" header="0.62" footer="0.5"/>
  <pageSetup scale="44" orientation="landscape" horizontalDpi="300" r:id="rId1"/>
  <headerFooter alignWithMargins="0"/>
  <colBreaks count="1" manualBreakCount="1">
    <brk id="57" max="58" man="1"/>
  </colBreaks>
  <ignoredErrors>
    <ignoredError sqref="AB5:AC5 AD5:AH5" numberStoredAsText="1"/>
    <ignoredError sqref="AE52:AF60 AF50 AE62:AF65 AI68:AI76 AI41:AI58 AI83:AI85 AI87:AI89 AI96 AI39" 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9" tint="0.39997558519241921"/>
    <pageSetUpPr fitToPage="1"/>
  </sheetPr>
  <dimension ref="A1:EB384"/>
  <sheetViews>
    <sheetView showGridLines="0" zoomScaleNormal="100" workbookViewId="0">
      <pane xSplit="1" ySplit="4" topLeftCell="R5" activePane="bottomRight" state="frozen"/>
      <selection pane="topRight" activeCell="B1" sqref="B1"/>
      <selection pane="bottomLeft" activeCell="A5" sqref="A5"/>
      <selection pane="bottomRight" activeCell="AD200" sqref="AD200"/>
    </sheetView>
  </sheetViews>
  <sheetFormatPr defaultRowHeight="12.75" outlineLevelRow="2" outlineLevelCol="1"/>
  <cols>
    <col min="1" max="1" width="31.7109375" bestFit="1" customWidth="1"/>
    <col min="2" max="2" width="9.7109375" hidden="1" customWidth="1" outlineLevel="1"/>
    <col min="3" max="3" width="9.7109375" hidden="1" customWidth="1" outlineLevel="1" collapsed="1"/>
    <col min="4" max="4" width="9.7109375" hidden="1" customWidth="1" outlineLevel="1"/>
    <col min="5" max="6" width="9.7109375" hidden="1" customWidth="1" outlineLevel="1" collapsed="1"/>
    <col min="7" max="14" width="9.7109375" hidden="1" customWidth="1" outlineLevel="1"/>
    <col min="15" max="16" width="9.7109375" style="2763" hidden="1" customWidth="1" outlineLevel="1"/>
    <col min="17" max="17" width="9.7109375" hidden="1" customWidth="1" outlineLevel="1"/>
    <col min="18" max="18" width="9.7109375" customWidth="1" collapsed="1"/>
    <col min="19" max="19" width="9.7109375" style="2763" hidden="1" customWidth="1" outlineLevel="1"/>
    <col min="20" max="20" width="9.7109375" customWidth="1" collapsed="1"/>
    <col min="21" max="28" width="9.7109375" customWidth="1"/>
    <col min="29" max="29" width="9.7109375" style="1577" customWidth="1"/>
    <col min="30" max="31" width="9.7109375" customWidth="1"/>
    <col min="32" max="32" width="15.85546875" hidden="1" customWidth="1" outlineLevel="1"/>
    <col min="33" max="36" width="9.7109375" hidden="1" customWidth="1" outlineLevel="1"/>
    <col min="37" max="37" width="9.7109375" customWidth="1" collapsed="1"/>
    <col min="38" max="38" width="31.7109375" customWidth="1"/>
    <col min="39" max="58" width="9.7109375" hidden="1" customWidth="1" outlineLevel="1"/>
    <col min="59" max="59" width="9.7109375" hidden="1" customWidth="1" outlineLevel="1" collapsed="1"/>
    <col min="60" max="62" width="9.7109375" hidden="1" customWidth="1" outlineLevel="1"/>
    <col min="63" max="63" width="6.140625" hidden="1" customWidth="1" outlineLevel="1"/>
    <col min="64" max="67" width="9.7109375" hidden="1" customWidth="1" outlineLevel="1"/>
    <col min="68" max="68" width="6.7109375" hidden="1" customWidth="1" outlineLevel="1"/>
    <col min="69" max="69" width="9.7109375" hidden="1" customWidth="1" outlineLevel="1" collapsed="1"/>
    <col min="70" max="72" width="9.7109375" hidden="1" customWidth="1" outlineLevel="1"/>
    <col min="73" max="74" width="9.28515625" hidden="1" customWidth="1" outlineLevel="1"/>
    <col min="75" max="78" width="9.140625" hidden="1" customWidth="1" outlineLevel="1"/>
    <col min="79" max="79" width="9.28515625" hidden="1" customWidth="1" outlineLevel="1"/>
    <col min="80" max="83" width="9.140625" hidden="1" customWidth="1" outlineLevel="1"/>
    <col min="84" max="85" width="9.28515625" hidden="1" customWidth="1" outlineLevel="1"/>
    <col min="86" max="88" width="9.140625" hidden="1" customWidth="1" outlineLevel="1"/>
    <col min="89" max="89" width="8.85546875" hidden="1" customWidth="1" outlineLevel="1" collapsed="1"/>
    <col min="90" max="90" width="8.85546875" hidden="1" customWidth="1" outlineLevel="1"/>
    <col min="91" max="91" width="9.140625" hidden="1" customWidth="1" outlineLevel="1"/>
    <col min="92" max="92" width="8.5703125" hidden="1" customWidth="1" outlineLevel="1"/>
    <col min="93" max="93" width="9.7109375" hidden="1" customWidth="1" outlineLevel="1"/>
    <col min="94" max="97" width="8.7109375" hidden="1" customWidth="1" outlineLevel="1"/>
    <col min="98" max="98" width="7" hidden="1" customWidth="1" outlineLevel="1"/>
    <col min="99" max="102" width="9" hidden="1" customWidth="1" outlineLevel="1"/>
    <col min="103" max="103" width="5.28515625" style="1577" hidden="1" customWidth="1" outlineLevel="1"/>
    <col min="104" max="104" width="9.140625" style="1577" customWidth="1" collapsed="1"/>
    <col min="105" max="107" width="9.140625" style="1577" customWidth="1"/>
    <col min="108" max="108" width="4" style="1577" customWidth="1"/>
    <col min="109" max="112" width="9.140625" style="1577" customWidth="1"/>
    <col min="113" max="113" width="8" style="1577" customWidth="1"/>
    <col min="114" max="114" width="5.5703125" customWidth="1"/>
    <col min="115" max="115" width="9.28515625" hidden="1" customWidth="1" outlineLevel="1"/>
    <col min="116" max="116" width="9.140625" customWidth="1" collapsed="1"/>
    <col min="117" max="117" width="9.140625" customWidth="1"/>
    <col min="118" max="118" width="8.140625" customWidth="1"/>
    <col min="119" max="119" width="8.140625" style="1577" customWidth="1"/>
    <col min="120" max="124" width="7.7109375" style="1577" customWidth="1"/>
    <col min="125" max="127" width="7.7109375" customWidth="1"/>
    <col min="128" max="129" width="6.85546875" customWidth="1"/>
    <col min="130" max="130" width="7.140625" customWidth="1"/>
  </cols>
  <sheetData>
    <row r="1" spans="1:127" ht="11.25" customHeight="1">
      <c r="A1" s="36" t="s">
        <v>425</v>
      </c>
      <c r="B1" s="6"/>
      <c r="C1" s="6"/>
      <c r="D1" s="6"/>
      <c r="E1" s="6"/>
      <c r="F1" s="6"/>
      <c r="G1" s="6"/>
      <c r="H1" s="6"/>
      <c r="I1" s="6"/>
      <c r="J1" s="6"/>
      <c r="K1" s="6"/>
      <c r="L1" s="6"/>
      <c r="M1" s="6"/>
      <c r="N1" s="6"/>
      <c r="O1" s="6"/>
      <c r="P1" s="6"/>
      <c r="Q1" s="6"/>
      <c r="R1" s="6"/>
      <c r="S1" s="6"/>
      <c r="T1" s="6"/>
      <c r="U1" s="6"/>
      <c r="V1" s="6"/>
      <c r="W1" s="6"/>
      <c r="X1" s="6"/>
      <c r="Y1" s="6"/>
      <c r="Z1" s="6"/>
      <c r="AA1" s="6"/>
      <c r="AB1" s="6"/>
      <c r="AC1" s="1108"/>
      <c r="AD1" s="6"/>
      <c r="AE1" s="877"/>
      <c r="AF1" s="877"/>
      <c r="AG1" s="6"/>
      <c r="AH1" s="6"/>
      <c r="AI1" s="6"/>
      <c r="AJ1" s="6"/>
      <c r="AK1" s="1108"/>
      <c r="AL1" s="36" t="str">
        <f>+A1</f>
        <v xml:space="preserve">CBS Corporation </v>
      </c>
      <c r="AM1" s="84"/>
      <c r="AN1" s="84"/>
      <c r="AO1" s="84"/>
      <c r="AP1" s="84"/>
      <c r="AQ1" s="1103"/>
      <c r="AR1" s="84"/>
      <c r="AS1" s="84"/>
      <c r="AT1" s="84"/>
      <c r="AU1" s="84"/>
      <c r="AV1" s="1103"/>
      <c r="AW1" s="84"/>
      <c r="AX1" s="84"/>
      <c r="AY1" s="84"/>
      <c r="AZ1" s="84"/>
      <c r="BA1" s="1103"/>
      <c r="BB1" s="84"/>
      <c r="BC1" s="84"/>
      <c r="BD1" s="84"/>
      <c r="BE1" s="84"/>
      <c r="BF1" s="1103"/>
      <c r="BG1" s="84"/>
      <c r="BH1" s="84"/>
      <c r="BI1" s="84"/>
      <c r="BJ1" s="84"/>
      <c r="BK1" s="1103"/>
      <c r="BL1" s="84"/>
      <c r="BM1" s="84"/>
      <c r="BN1" s="84"/>
      <c r="BO1" s="84"/>
      <c r="BP1" s="1103"/>
      <c r="BQ1" s="1109"/>
      <c r="BR1" s="1109"/>
      <c r="BS1" s="1108"/>
      <c r="BT1" s="1108"/>
      <c r="BU1" s="1146"/>
      <c r="BV1" s="1146"/>
      <c r="BW1" s="1108"/>
      <c r="BX1" s="1108"/>
      <c r="BY1" s="1108"/>
      <c r="BZ1" s="1108"/>
      <c r="CA1" s="1146"/>
      <c r="CB1" s="1164"/>
      <c r="CC1" s="1108"/>
      <c r="CD1" s="1108"/>
      <c r="CE1" s="1108"/>
      <c r="CF1" s="54"/>
      <c r="CG1" s="242"/>
      <c r="CH1" s="11"/>
      <c r="CI1" s="11"/>
      <c r="CJ1" s="11"/>
      <c r="CK1" s="1471"/>
      <c r="CL1" s="906"/>
      <c r="CM1" s="906"/>
      <c r="CN1" s="11"/>
      <c r="CO1" s="1108"/>
      <c r="CP1" s="1470"/>
      <c r="CQ1" s="1108"/>
      <c r="CR1" s="1108"/>
      <c r="CS1" s="1108"/>
      <c r="CT1" s="1108"/>
      <c r="CU1" s="1108"/>
      <c r="CV1" s="1108"/>
      <c r="CW1" s="1108"/>
      <c r="CX1" s="1108"/>
      <c r="CY1" s="1108"/>
      <c r="CZ1" s="1108"/>
      <c r="DA1" s="1108"/>
      <c r="DB1" s="1108"/>
      <c r="DC1" s="1108"/>
      <c r="DD1" s="1108"/>
      <c r="DE1" s="1108"/>
      <c r="DF1" s="1108"/>
      <c r="DG1" s="1108"/>
      <c r="DH1" s="1108"/>
      <c r="DI1" s="1108"/>
      <c r="DJ1" s="11"/>
      <c r="DK1" s="54"/>
      <c r="DL1" s="1108"/>
      <c r="DM1" s="1108"/>
      <c r="DN1" s="1108"/>
      <c r="DO1" s="1108"/>
      <c r="DP1" s="1108"/>
      <c r="DQ1" s="1108"/>
      <c r="DR1" s="1108"/>
      <c r="DS1" s="1108"/>
      <c r="DT1" s="1108"/>
    </row>
    <row r="2" spans="1:127" ht="11.25" customHeight="1">
      <c r="A2" s="43" t="s">
        <v>426</v>
      </c>
      <c r="B2" s="6"/>
      <c r="C2" s="6"/>
      <c r="D2" s="6"/>
      <c r="E2" s="6"/>
      <c r="F2" s="6"/>
      <c r="G2" s="6"/>
      <c r="H2" s="6"/>
      <c r="I2" s="6"/>
      <c r="J2" s="6"/>
      <c r="K2" s="6"/>
      <c r="L2" s="6"/>
      <c r="M2" s="6"/>
      <c r="N2" s="6"/>
      <c r="O2" s="2764" t="s">
        <v>323</v>
      </c>
      <c r="P2" s="2764"/>
      <c r="Q2" s="6"/>
      <c r="R2" s="6"/>
      <c r="S2" s="862" t="s">
        <v>1759</v>
      </c>
      <c r="T2" s="6"/>
      <c r="U2" s="6"/>
      <c r="V2" s="6"/>
      <c r="W2" s="6"/>
      <c r="X2" s="6"/>
      <c r="Y2" s="6"/>
      <c r="Z2" s="6"/>
      <c r="AA2" s="6"/>
      <c r="AB2" s="6"/>
      <c r="AC2" s="1108"/>
      <c r="AD2" s="6"/>
      <c r="AE2" s="6"/>
      <c r="AF2" s="6"/>
      <c r="AG2" s="6"/>
      <c r="AH2" s="6"/>
      <c r="AI2" s="6"/>
      <c r="AJ2" s="6"/>
      <c r="AK2" s="1108"/>
      <c r="AL2" s="26" t="s">
        <v>426</v>
      </c>
      <c r="AM2" s="16">
        <f>+'GAAP Financial Statements'!J4</f>
        <v>2004</v>
      </c>
      <c r="AN2" s="384"/>
      <c r="AO2" s="384"/>
      <c r="AP2" s="384"/>
      <c r="AQ2" s="1103" t="s">
        <v>337</v>
      </c>
      <c r="AR2" s="16">
        <f>+'GAAP Financial Statements'!K4</f>
        <v>2005</v>
      </c>
      <c r="AS2" s="384"/>
      <c r="AT2" s="384"/>
      <c r="AU2" s="384"/>
      <c r="AV2" s="1103" t="s">
        <v>337</v>
      </c>
      <c r="AW2" s="16">
        <f>+'GAAP Financial Statements'!L4</f>
        <v>2006</v>
      </c>
      <c r="AX2" s="384"/>
      <c r="AY2" s="384"/>
      <c r="AZ2" s="384"/>
      <c r="BA2" s="1103" t="s">
        <v>337</v>
      </c>
      <c r="BB2" s="16">
        <f>+'GAAP Financial Statements'!M4</f>
        <v>2007</v>
      </c>
      <c r="BC2" s="384"/>
      <c r="BD2" s="384"/>
      <c r="BE2" s="384"/>
      <c r="BF2" s="1103" t="s">
        <v>337</v>
      </c>
      <c r="BG2" s="16">
        <f>+'GAAP Financial Statements'!N4</f>
        <v>2008</v>
      </c>
      <c r="BH2" s="384"/>
      <c r="BI2" s="384"/>
      <c r="BJ2" s="384"/>
      <c r="BK2" s="1103" t="s">
        <v>337</v>
      </c>
      <c r="BL2" s="1123">
        <f>+'GAAP Financial Statements'!R4</f>
        <v>2009</v>
      </c>
      <c r="BM2" s="384"/>
      <c r="BN2" s="384"/>
      <c r="BO2" s="384"/>
      <c r="BP2" s="1103" t="s">
        <v>337</v>
      </c>
      <c r="BQ2" s="1147">
        <f>+'GAAP Financial Statements'!S4</f>
        <v>2010</v>
      </c>
      <c r="BR2" s="384"/>
      <c r="BS2" s="384"/>
      <c r="BT2" s="384"/>
      <c r="BU2" s="1108"/>
      <c r="BV2" s="1147">
        <f>+'GAAP Financial Statements'!T4</f>
        <v>2011</v>
      </c>
      <c r="BW2" s="384"/>
      <c r="BX2" s="384"/>
      <c r="BY2" s="384"/>
      <c r="BZ2" s="1108"/>
      <c r="CA2" s="2327">
        <f>+'GAAP Financial Statements'!CJ3</f>
        <v>2012</v>
      </c>
      <c r="CB2" s="1739"/>
      <c r="CC2" s="1739"/>
      <c r="CD2" s="1739"/>
      <c r="CE2" s="1108"/>
      <c r="CF2" s="2328" t="str">
        <f>+'GAAP Financial Statements'!CO3</f>
        <v>2013A</v>
      </c>
      <c r="CG2" s="1739"/>
      <c r="CH2" s="1739"/>
      <c r="CI2" s="1739"/>
      <c r="CJ2" s="1108"/>
      <c r="CK2" s="2328" t="str">
        <f>+'GAAP Financial Statements'!CT3</f>
        <v>2014A</v>
      </c>
      <c r="CL2" s="1738"/>
      <c r="CM2" s="1738"/>
      <c r="CN2" s="1739"/>
      <c r="CO2" s="1108"/>
      <c r="CP2" s="1738" t="str">
        <f>+'GAAP Financial Statements'!CY3</f>
        <v>2015A</v>
      </c>
      <c r="CQ2" s="1738"/>
      <c r="CR2" s="1738"/>
      <c r="CS2" s="1739"/>
      <c r="CT2" s="11"/>
      <c r="CU2" s="1738" t="s">
        <v>1764</v>
      </c>
      <c r="CV2" s="1738"/>
      <c r="CW2" s="1738"/>
      <c r="CX2" s="1738"/>
      <c r="CY2" s="1108"/>
      <c r="CZ2" s="1738" t="str">
        <f>+'GAAP Financial Statements'!DI3</f>
        <v>2017E</v>
      </c>
      <c r="DA2" s="1738"/>
      <c r="DB2" s="1738"/>
      <c r="DC2" s="1738"/>
      <c r="DD2" s="1108"/>
      <c r="DE2" s="1738" t="str">
        <f>+'GAAP Financial Statements'!DN3</f>
        <v>2018E</v>
      </c>
      <c r="DF2" s="1738"/>
      <c r="DG2" s="1738"/>
      <c r="DH2" s="1738"/>
      <c r="DI2" s="1108"/>
      <c r="DJ2" s="11"/>
      <c r="DK2" s="1187"/>
      <c r="DL2" s="1108"/>
      <c r="DM2" s="1108"/>
      <c r="DN2" s="1108"/>
      <c r="DO2" s="1108"/>
      <c r="DP2" s="1108"/>
      <c r="DQ2" s="1108"/>
      <c r="DR2" s="1108"/>
      <c r="DS2" s="1108"/>
      <c r="DT2" s="1108"/>
    </row>
    <row r="3" spans="1:127" ht="11.25" customHeight="1">
      <c r="A3" s="1102"/>
      <c r="B3" s="255" t="s">
        <v>757</v>
      </c>
      <c r="C3" s="255" t="s">
        <v>758</v>
      </c>
      <c r="D3" s="255" t="s">
        <v>759</v>
      </c>
      <c r="E3" s="255" t="s">
        <v>367</v>
      </c>
      <c r="F3" s="255">
        <v>2006</v>
      </c>
      <c r="G3" s="255">
        <v>2007</v>
      </c>
      <c r="H3" s="255">
        <v>2008</v>
      </c>
      <c r="I3" s="255">
        <v>2009</v>
      </c>
      <c r="J3" s="255">
        <v>2010</v>
      </c>
      <c r="K3" s="255">
        <v>2011</v>
      </c>
      <c r="L3" s="255" t="s">
        <v>852</v>
      </c>
      <c r="M3" s="1276" t="s">
        <v>853</v>
      </c>
      <c r="N3" s="255" t="s">
        <v>1531</v>
      </c>
      <c r="O3" s="2765" t="s">
        <v>842</v>
      </c>
      <c r="P3" s="2765" t="s">
        <v>322</v>
      </c>
      <c r="Q3" s="255" t="s">
        <v>1628</v>
      </c>
      <c r="R3" s="255" t="s">
        <v>1764</v>
      </c>
      <c r="S3" s="255" t="s">
        <v>1758</v>
      </c>
      <c r="T3" s="255" t="s">
        <v>469</v>
      </c>
      <c r="U3" s="255" t="s">
        <v>618</v>
      </c>
      <c r="V3" s="255" t="s">
        <v>385</v>
      </c>
      <c r="W3" s="255" t="s">
        <v>1080</v>
      </c>
      <c r="X3" s="255" t="s">
        <v>345</v>
      </c>
      <c r="Y3" s="255" t="s">
        <v>346</v>
      </c>
      <c r="Z3" s="255" t="s">
        <v>1122</v>
      </c>
      <c r="AA3" s="255" t="s">
        <v>1123</v>
      </c>
      <c r="AB3" s="255" t="s">
        <v>1519</v>
      </c>
      <c r="AC3" s="2230" t="s">
        <v>1609</v>
      </c>
      <c r="AD3" s="2230" t="s">
        <v>1698</v>
      </c>
      <c r="AE3" s="2230" t="s">
        <v>1803</v>
      </c>
      <c r="AF3" s="86"/>
      <c r="AG3" s="86"/>
      <c r="AH3" s="86"/>
      <c r="AI3" s="86"/>
      <c r="AJ3" s="86"/>
      <c r="AK3" s="1108"/>
      <c r="AL3" s="316"/>
      <c r="AM3" s="102" t="s">
        <v>670</v>
      </c>
      <c r="AN3" s="102" t="s">
        <v>671</v>
      </c>
      <c r="AO3" s="102" t="s">
        <v>672</v>
      </c>
      <c r="AP3" s="102" t="s">
        <v>673</v>
      </c>
      <c r="AQ3" s="1103"/>
      <c r="AR3" s="86" t="str">
        <f>+AM3</f>
        <v>1Q</v>
      </c>
      <c r="AS3" s="86" t="str">
        <f>+AN3</f>
        <v>2Q</v>
      </c>
      <c r="AT3" s="86" t="str">
        <f>+AO3</f>
        <v>3Q</v>
      </c>
      <c r="AU3" s="86" t="str">
        <f>+AP3</f>
        <v>4Q</v>
      </c>
      <c r="AV3" s="1103"/>
      <c r="AW3" s="102" t="s">
        <v>670</v>
      </c>
      <c r="AX3" s="102" t="s">
        <v>671</v>
      </c>
      <c r="AY3" s="102" t="s">
        <v>672</v>
      </c>
      <c r="AZ3" s="102" t="s">
        <v>673</v>
      </c>
      <c r="BA3" s="1103"/>
      <c r="BB3" s="102" t="s">
        <v>670</v>
      </c>
      <c r="BC3" s="102" t="s">
        <v>671</v>
      </c>
      <c r="BD3" s="102" t="s">
        <v>672</v>
      </c>
      <c r="BE3" s="102" t="s">
        <v>673</v>
      </c>
      <c r="BF3" s="1103"/>
      <c r="BG3" s="102" t="s">
        <v>670</v>
      </c>
      <c r="BH3" s="102" t="s">
        <v>671</v>
      </c>
      <c r="BI3" s="102" t="s">
        <v>672</v>
      </c>
      <c r="BJ3" s="102" t="s">
        <v>673</v>
      </c>
      <c r="BK3" s="1103"/>
      <c r="BL3" s="102" t="s">
        <v>670</v>
      </c>
      <c r="BM3" s="102" t="s">
        <v>671</v>
      </c>
      <c r="BN3" s="102" t="s">
        <v>672</v>
      </c>
      <c r="BO3" s="102" t="s">
        <v>673</v>
      </c>
      <c r="BP3" s="1103"/>
      <c r="BQ3" s="102" t="s">
        <v>670</v>
      </c>
      <c r="BR3" s="102" t="s">
        <v>671</v>
      </c>
      <c r="BS3" s="102" t="s">
        <v>672</v>
      </c>
      <c r="BT3" s="102" t="s">
        <v>673</v>
      </c>
      <c r="BU3" s="1108"/>
      <c r="BV3" s="102" t="str">
        <f>'GAAP Financial Statements'!CE4</f>
        <v>1Q</v>
      </c>
      <c r="BW3" s="102" t="str">
        <f>'GAAP Financial Statements'!CF4</f>
        <v>2Q</v>
      </c>
      <c r="BX3" s="102" t="str">
        <f>'GAAP Financial Statements'!CG4</f>
        <v>3Q</v>
      </c>
      <c r="BY3" s="102" t="str">
        <f>'GAAP Financial Statements'!CH4</f>
        <v>4Q</v>
      </c>
      <c r="BZ3" s="1108"/>
      <c r="CA3" s="1706" t="str">
        <f>'GAAP Financial Statements'!CJ4</f>
        <v>1Q</v>
      </c>
      <c r="CB3" s="1706" t="str">
        <f>'GAAP Financial Statements'!CK4</f>
        <v>2Q</v>
      </c>
      <c r="CC3" s="1706" t="str">
        <f>'GAAP Financial Statements'!CL4</f>
        <v>3Q</v>
      </c>
      <c r="CD3" s="1706" t="str">
        <f>'GAAP Financial Statements'!CM4</f>
        <v>4Q</v>
      </c>
      <c r="CE3" s="1108"/>
      <c r="CF3" s="1706" t="str">
        <f>'GAAP Financial Statements'!CO4</f>
        <v>1Q</v>
      </c>
      <c r="CG3" s="1706" t="str">
        <f>'GAAP Financial Statements'!CP4</f>
        <v>2Q</v>
      </c>
      <c r="CH3" s="1706" t="str">
        <f>'GAAP Financial Statements'!CQ4</f>
        <v>3Q</v>
      </c>
      <c r="CI3" s="1706" t="str">
        <f>'GAAP Financial Statements'!CR4</f>
        <v>4Q</v>
      </c>
      <c r="CJ3" s="1108"/>
      <c r="CK3" s="1706" t="str">
        <f>'GAAP Financial Statements'!CT4</f>
        <v>1Q</v>
      </c>
      <c r="CL3" s="1706" t="str">
        <f>'GAAP Financial Statements'!CU4</f>
        <v>2Q</v>
      </c>
      <c r="CM3" s="1706" t="str">
        <f>'GAAP Financial Statements'!CV4</f>
        <v>3Q</v>
      </c>
      <c r="CN3" s="1706" t="str">
        <f>'GAAP Financial Statements'!CW4</f>
        <v>4Q</v>
      </c>
      <c r="CO3" s="1108"/>
      <c r="CP3" s="1706" t="str">
        <f>'GAAP Financial Statements'!CY4</f>
        <v>1Q</v>
      </c>
      <c r="CQ3" s="1706" t="str">
        <f>'GAAP Financial Statements'!CZ4</f>
        <v>2Q</v>
      </c>
      <c r="CR3" s="1706" t="str">
        <f>'GAAP Financial Statements'!DA4</f>
        <v>3Q</v>
      </c>
      <c r="CS3" s="1706" t="str">
        <f>'GAAP Financial Statements'!DB4</f>
        <v>4Q</v>
      </c>
      <c r="CT3" s="11"/>
      <c r="CU3" s="1706" t="str">
        <f>'GAAP Financial Statements'!DD4</f>
        <v>1Q</v>
      </c>
      <c r="CV3" s="1706" t="str">
        <f>'GAAP Financial Statements'!DE4</f>
        <v>2Q</v>
      </c>
      <c r="CW3" s="1706" t="str">
        <f>'GAAP Financial Statements'!DF4</f>
        <v>3Q</v>
      </c>
      <c r="CX3" s="1706" t="str">
        <f>'GAAP Financial Statements'!DG4</f>
        <v>4Q</v>
      </c>
      <c r="CY3" s="1108"/>
      <c r="CZ3" s="1706" t="str">
        <f>'GAAP Financial Statements'!DI4</f>
        <v>1Q</v>
      </c>
      <c r="DA3" s="1706" t="str">
        <f>'GAAP Financial Statements'!DJ4</f>
        <v>2Q</v>
      </c>
      <c r="DB3" s="1706" t="str">
        <f>'GAAP Financial Statements'!DK4</f>
        <v>3Q</v>
      </c>
      <c r="DC3" s="1706" t="str">
        <f>'GAAP Financial Statements'!DL4</f>
        <v>4QE</v>
      </c>
      <c r="DD3" s="1108"/>
      <c r="DE3" s="1706" t="str">
        <f>'GAAP Financial Statements'!DN4</f>
        <v>1QE</v>
      </c>
      <c r="DF3" s="1706" t="str">
        <f>'GAAP Financial Statements'!DO4</f>
        <v>2QE</v>
      </c>
      <c r="DG3" s="1706" t="str">
        <f>'GAAP Financial Statements'!DP4</f>
        <v>3QE</v>
      </c>
      <c r="DH3" s="1706" t="str">
        <f>'GAAP Financial Statements'!DQ4</f>
        <v>4QE</v>
      </c>
      <c r="DI3" s="1108"/>
      <c r="DJ3" s="11"/>
      <c r="DK3" s="138"/>
      <c r="DL3" s="1108"/>
      <c r="DM3" s="1108"/>
      <c r="DN3" s="1108"/>
      <c r="DO3" s="1108"/>
      <c r="DP3" s="1108"/>
      <c r="DQ3" s="1108"/>
      <c r="DR3" s="1108"/>
      <c r="DS3" s="1108"/>
      <c r="DT3" s="1108"/>
    </row>
    <row r="4" spans="1:127" ht="11.25" hidden="1" customHeight="1">
      <c r="A4" s="259"/>
      <c r="B4" s="86"/>
      <c r="C4" s="86"/>
      <c r="D4" s="86"/>
      <c r="E4" s="86"/>
      <c r="F4" s="86"/>
      <c r="G4" s="86"/>
      <c r="H4" s="86"/>
      <c r="I4" s="86"/>
      <c r="J4" s="86"/>
      <c r="K4" s="920"/>
      <c r="L4" s="920"/>
      <c r="M4" s="465"/>
      <c r="N4" s="86"/>
      <c r="O4" s="2707"/>
      <c r="P4" s="2707"/>
      <c r="Q4" s="86"/>
      <c r="R4" s="86"/>
      <c r="S4" s="2707"/>
      <c r="T4" s="86"/>
      <c r="U4" s="86"/>
      <c r="V4" s="86"/>
      <c r="W4" s="86"/>
      <c r="X4" s="86"/>
      <c r="Y4" s="86"/>
      <c r="Z4" s="86"/>
      <c r="AA4" s="86"/>
      <c r="AB4" s="86"/>
      <c r="AC4" s="1534"/>
      <c r="AD4" s="86"/>
      <c r="AE4" s="86"/>
      <c r="AF4" s="86"/>
      <c r="AG4" s="86"/>
      <c r="AH4" s="86"/>
      <c r="AI4" s="86"/>
      <c r="AJ4" s="86"/>
      <c r="AK4" s="1108"/>
      <c r="AL4" s="259"/>
      <c r="AM4" s="86"/>
      <c r="AN4" s="86"/>
      <c r="AO4" s="86"/>
      <c r="AP4" s="86"/>
      <c r="AQ4" s="1103"/>
      <c r="AR4" s="86"/>
      <c r="AS4" s="86"/>
      <c r="AT4" s="86"/>
      <c r="AU4" s="86"/>
      <c r="AV4" s="1103"/>
      <c r="AW4" s="86"/>
      <c r="AX4" s="86"/>
      <c r="AY4" s="86"/>
      <c r="AZ4" s="86"/>
      <c r="BA4" s="1103"/>
      <c r="BB4" s="86"/>
      <c r="BC4" s="86"/>
      <c r="BD4" s="86"/>
      <c r="BE4" s="86"/>
      <c r="BF4" s="1103"/>
      <c r="BG4" s="86"/>
      <c r="BH4" s="86"/>
      <c r="BI4" s="86"/>
      <c r="BJ4" s="86"/>
      <c r="BK4" s="1103"/>
      <c r="BL4" s="6"/>
      <c r="BM4" s="6"/>
      <c r="BN4" s="6"/>
      <c r="BO4" s="6"/>
      <c r="BP4" s="1103"/>
      <c r="BQ4" s="1103"/>
      <c r="BR4" s="1103"/>
      <c r="BS4" s="1103"/>
      <c r="BT4" s="1103"/>
      <c r="BU4" s="1103"/>
      <c r="BV4" s="1103"/>
      <c r="BW4" s="1103"/>
      <c r="BX4" s="1103"/>
      <c r="BY4" s="1103"/>
      <c r="BZ4" s="1108"/>
      <c r="CA4" s="1108"/>
      <c r="CB4" s="1108"/>
      <c r="CC4" s="1108"/>
      <c r="CD4" s="1108"/>
      <c r="CE4" s="1108"/>
      <c r="CF4" s="1108"/>
      <c r="CG4" s="1108"/>
      <c r="CH4" s="1108"/>
      <c r="CI4" s="1108"/>
      <c r="CJ4" s="1108"/>
      <c r="CK4" s="1470"/>
      <c r="CL4" s="1470"/>
      <c r="CM4" s="1470"/>
      <c r="CN4" s="1108"/>
      <c r="CO4" s="1108"/>
      <c r="CP4" s="906"/>
      <c r="CQ4" s="906"/>
      <c r="CR4" s="906"/>
      <c r="CS4" s="11"/>
      <c r="CT4" s="11"/>
      <c r="CU4" s="906"/>
      <c r="CV4" s="906"/>
      <c r="CW4" s="906"/>
      <c r="CX4" s="906"/>
      <c r="CY4" s="1108"/>
      <c r="CZ4" s="906"/>
      <c r="DA4" s="906"/>
      <c r="DB4" s="906"/>
      <c r="DC4" s="906"/>
      <c r="DD4" s="1108"/>
      <c r="DE4" s="1108"/>
      <c r="DF4" s="1108"/>
      <c r="DG4" s="1108"/>
      <c r="DH4" s="1108"/>
      <c r="DI4" s="1108"/>
      <c r="DJ4" s="11"/>
      <c r="DK4" s="11"/>
      <c r="DL4" s="1108"/>
      <c r="DM4" s="1108"/>
      <c r="DN4" s="1108"/>
      <c r="DO4" s="1108"/>
      <c r="DP4" s="1108"/>
      <c r="DQ4" s="1108"/>
      <c r="DR4" s="1108"/>
      <c r="DS4" s="1108"/>
      <c r="DT4" s="1108"/>
    </row>
    <row r="5" spans="1:127" ht="11.25" customHeight="1">
      <c r="A5" s="1542" t="s">
        <v>415</v>
      </c>
      <c r="B5" s="134"/>
      <c r="C5" s="134"/>
      <c r="D5" s="134"/>
      <c r="E5" s="134"/>
      <c r="F5" s="134"/>
      <c r="G5" s="134"/>
      <c r="H5" s="134"/>
      <c r="I5" s="134"/>
      <c r="J5" s="134"/>
      <c r="K5" s="134"/>
      <c r="L5" s="134"/>
      <c r="M5" s="134"/>
      <c r="N5" s="134"/>
      <c r="O5" s="2708"/>
      <c r="P5" s="2708"/>
      <c r="Q5" s="134"/>
      <c r="R5" s="134"/>
      <c r="S5" s="2708"/>
      <c r="T5" s="134"/>
      <c r="U5" s="134"/>
      <c r="V5" s="134"/>
      <c r="W5" s="134"/>
      <c r="X5" s="134"/>
      <c r="Y5" s="134"/>
      <c r="Z5" s="134"/>
      <c r="AA5" s="134"/>
      <c r="AB5" s="134"/>
      <c r="AC5" s="134"/>
      <c r="AD5" s="134"/>
      <c r="AE5" s="1192"/>
      <c r="AF5" s="1192"/>
      <c r="AG5" s="134"/>
      <c r="AH5" s="134"/>
      <c r="AI5" s="134"/>
      <c r="AJ5" s="134"/>
      <c r="AK5" s="134"/>
      <c r="AL5" s="1542" t="str">
        <f>A5</f>
        <v>THE CONTENT GROUP</v>
      </c>
      <c r="AM5" s="134"/>
      <c r="AN5" s="134"/>
      <c r="AO5" s="134"/>
      <c r="AP5" s="134"/>
      <c r="AQ5" s="1543"/>
      <c r="AR5" s="134"/>
      <c r="AS5" s="134"/>
      <c r="AT5" s="134"/>
      <c r="AU5" s="134"/>
      <c r="AV5" s="1543"/>
      <c r="AW5" s="134"/>
      <c r="AX5" s="134"/>
      <c r="AY5" s="134"/>
      <c r="AZ5" s="134"/>
      <c r="BA5" s="1543"/>
      <c r="BB5" s="134"/>
      <c r="BC5" s="134"/>
      <c r="BD5" s="134"/>
      <c r="BE5" s="134"/>
      <c r="BF5" s="1543"/>
      <c r="BG5" s="134"/>
      <c r="BH5" s="134"/>
      <c r="BI5" s="134"/>
      <c r="BJ5" s="134"/>
      <c r="BK5" s="1543"/>
      <c r="BL5" s="134"/>
      <c r="BM5" s="134"/>
      <c r="BN5" s="134"/>
      <c r="BO5" s="134"/>
      <c r="BP5" s="1543"/>
      <c r="BQ5" s="1543"/>
      <c r="BR5" s="1543"/>
      <c r="BS5" s="1543"/>
      <c r="BT5" s="1543"/>
      <c r="BU5" s="1543"/>
      <c r="BV5" s="1543"/>
      <c r="BW5" s="1543"/>
      <c r="BX5" s="1543"/>
      <c r="BY5" s="1543"/>
      <c r="BZ5" s="1543"/>
      <c r="CA5" s="1543"/>
      <c r="CB5" s="1543"/>
      <c r="CC5" s="1543"/>
      <c r="CD5" s="1543"/>
      <c r="CE5" s="11"/>
      <c r="CF5" s="1543"/>
      <c r="CG5" s="1543"/>
      <c r="CH5" s="1543"/>
      <c r="CI5" s="1543"/>
      <c r="CJ5" s="11"/>
      <c r="CK5" s="1543"/>
      <c r="CL5" s="1543"/>
      <c r="CM5" s="1543"/>
      <c r="CN5" s="1543"/>
      <c r="CO5" s="11"/>
      <c r="CP5" s="1619"/>
      <c r="CQ5" s="1619"/>
      <c r="CR5" s="1619"/>
      <c r="CS5" s="1543"/>
      <c r="CT5" s="11"/>
      <c r="CU5" s="1619"/>
      <c r="CV5" s="1619"/>
      <c r="CW5" s="1619"/>
      <c r="CX5" s="1619"/>
      <c r="CY5" s="1108"/>
      <c r="CZ5" s="1619"/>
      <c r="DA5" s="1619"/>
      <c r="DB5" s="1619"/>
      <c r="DC5" s="1619"/>
      <c r="DD5" s="1108"/>
      <c r="DE5" s="1619"/>
      <c r="DF5" s="1619"/>
      <c r="DG5" s="1619"/>
      <c r="DH5" s="1619"/>
      <c r="DI5" s="1108"/>
      <c r="DJ5" s="11"/>
      <c r="DK5" s="11"/>
      <c r="DL5" s="1108"/>
      <c r="DM5" s="1108"/>
      <c r="DN5" s="1108"/>
      <c r="DO5" s="1108"/>
      <c r="DP5" s="1108"/>
      <c r="DQ5" s="1108"/>
      <c r="DR5" s="1108"/>
      <c r="DS5" s="1108"/>
      <c r="DT5" s="1108"/>
    </row>
    <row r="6" spans="1:127" s="1577" customFormat="1" ht="11.25" customHeight="1">
      <c r="A6" s="1822"/>
      <c r="B6" s="1108"/>
      <c r="C6" s="1108"/>
      <c r="D6" s="1108"/>
      <c r="E6" s="1108"/>
      <c r="F6" s="1108"/>
      <c r="G6" s="1108"/>
      <c r="H6" s="1108"/>
      <c r="I6" s="1108"/>
      <c r="J6" s="1108"/>
      <c r="K6" s="1108"/>
      <c r="L6" s="1108"/>
      <c r="M6" s="1108"/>
      <c r="N6" s="1108"/>
      <c r="O6" s="2709"/>
      <c r="P6" s="2709"/>
      <c r="Q6" s="1108"/>
      <c r="R6" s="1108"/>
      <c r="S6" s="2709"/>
      <c r="T6" s="1108"/>
      <c r="U6" s="1108"/>
      <c r="V6" s="1108"/>
      <c r="W6" s="1108"/>
      <c r="X6" s="1108"/>
      <c r="Y6" s="1108"/>
      <c r="Z6" s="1108"/>
      <c r="AA6" s="1108"/>
      <c r="AB6" s="1108"/>
      <c r="AC6" s="1108"/>
      <c r="AD6" s="1108"/>
      <c r="AE6" s="1470"/>
      <c r="AF6" s="1470"/>
      <c r="AG6" s="1108"/>
      <c r="AH6" s="1108"/>
      <c r="AI6" s="1108"/>
      <c r="AJ6" s="1108"/>
      <c r="AK6" s="1108"/>
      <c r="AL6" s="1822"/>
      <c r="AM6" s="1108"/>
      <c r="AN6" s="1108"/>
      <c r="AO6" s="1108"/>
      <c r="AP6" s="1108"/>
      <c r="AQ6" s="1741"/>
      <c r="AR6" s="1108"/>
      <c r="AS6" s="1108"/>
      <c r="AT6" s="1108"/>
      <c r="AU6" s="1108"/>
      <c r="AV6" s="1741"/>
      <c r="AW6" s="1108"/>
      <c r="AX6" s="1108"/>
      <c r="AY6" s="1108"/>
      <c r="AZ6" s="1108"/>
      <c r="BA6" s="1741"/>
      <c r="BB6" s="1108"/>
      <c r="BC6" s="1108"/>
      <c r="BD6" s="1108"/>
      <c r="BE6" s="1108"/>
      <c r="BF6" s="1741"/>
      <c r="BG6" s="1108"/>
      <c r="BH6" s="1108"/>
      <c r="BI6" s="1108"/>
      <c r="BJ6" s="1108"/>
      <c r="BK6" s="1741"/>
      <c r="BL6" s="1108"/>
      <c r="BM6" s="1108"/>
      <c r="BN6" s="1108"/>
      <c r="BO6" s="1108"/>
      <c r="BP6" s="1741"/>
      <c r="BQ6" s="1741"/>
      <c r="BR6" s="1741"/>
      <c r="BS6" s="1741"/>
      <c r="BT6" s="1741"/>
      <c r="BU6" s="1741"/>
      <c r="BV6" s="1741"/>
      <c r="BW6" s="1741"/>
      <c r="BX6" s="1741"/>
      <c r="BY6" s="1741"/>
      <c r="BZ6" s="1108"/>
      <c r="CA6" s="1108"/>
      <c r="CB6" s="1108"/>
      <c r="CC6" s="1108"/>
      <c r="CD6" s="1108"/>
      <c r="CE6" s="1108"/>
      <c r="CF6" s="1108"/>
      <c r="CG6" s="1108"/>
      <c r="CH6" s="1108"/>
      <c r="CI6" s="1108"/>
      <c r="CJ6" s="1108"/>
      <c r="CK6" s="1108"/>
      <c r="CL6" s="1108"/>
      <c r="CM6" s="1108"/>
      <c r="CN6" s="1108"/>
      <c r="CO6" s="1108"/>
      <c r="CP6" s="1108"/>
      <c r="CQ6" s="1108"/>
      <c r="CR6" s="1108"/>
      <c r="CS6" s="1108"/>
      <c r="CT6" s="1108"/>
      <c r="CU6" s="2862"/>
      <c r="CV6" s="2862"/>
      <c r="CW6" s="2862"/>
      <c r="CX6" s="2862"/>
      <c r="CY6" s="2862"/>
      <c r="CZ6" s="2862"/>
      <c r="DA6" s="2862"/>
      <c r="DB6" s="2862"/>
      <c r="DC6" s="2806"/>
      <c r="DD6" s="1108"/>
      <c r="DE6" s="1108"/>
      <c r="DF6" s="1108"/>
      <c r="DG6" s="1108"/>
      <c r="DH6" s="1108"/>
      <c r="DI6" s="1108"/>
      <c r="DJ6" s="1108"/>
      <c r="DK6" s="1108" t="s">
        <v>1068</v>
      </c>
      <c r="DL6" s="1108"/>
      <c r="DM6" s="1108"/>
      <c r="DN6" s="1108"/>
      <c r="DO6" s="1108"/>
      <c r="DP6" s="1108"/>
      <c r="DQ6" s="1108"/>
      <c r="DR6" s="1108"/>
      <c r="DS6" s="1108"/>
      <c r="DT6" s="1108"/>
      <c r="DU6" s="1108"/>
      <c r="DV6" s="1108"/>
      <c r="DW6" s="1108"/>
    </row>
    <row r="7" spans="1:127" ht="11.25" customHeight="1">
      <c r="A7" s="1822" t="s">
        <v>715</v>
      </c>
      <c r="B7" s="1108"/>
      <c r="C7" s="1108"/>
      <c r="D7" s="1108"/>
      <c r="E7" s="1108"/>
      <c r="F7" s="1108"/>
      <c r="G7" s="1108"/>
      <c r="H7" s="1108"/>
      <c r="I7" s="1108"/>
      <c r="J7" s="1108"/>
      <c r="K7" s="1108"/>
      <c r="L7" s="1108"/>
      <c r="M7" s="1108"/>
      <c r="N7" s="1108"/>
      <c r="O7" s="2709"/>
      <c r="P7" s="2709"/>
      <c r="Q7" s="1108"/>
      <c r="R7" s="1108"/>
      <c r="S7" s="2709"/>
      <c r="T7" s="1108"/>
      <c r="U7" s="1108"/>
      <c r="V7" s="1108"/>
      <c r="W7" s="1108"/>
      <c r="X7" s="1108"/>
      <c r="Y7" s="1108"/>
      <c r="Z7" s="1108"/>
      <c r="AA7" s="1108"/>
      <c r="AB7" s="1108"/>
      <c r="AC7" s="1108"/>
      <c r="AD7" s="6"/>
      <c r="AE7" s="1470"/>
      <c r="AF7" s="6"/>
      <c r="AG7" s="6"/>
      <c r="AH7" s="6"/>
      <c r="AI7" s="6"/>
      <c r="AJ7" s="6"/>
      <c r="AK7" s="1108"/>
      <c r="AL7" s="259" t="str">
        <f>A7</f>
        <v>REVENUE</v>
      </c>
      <c r="AM7" s="6"/>
      <c r="AN7" s="6"/>
      <c r="AO7" s="6"/>
      <c r="AP7" s="6"/>
      <c r="AQ7" s="1103"/>
      <c r="AR7" s="6"/>
      <c r="AS7" s="6"/>
      <c r="AT7" s="6"/>
      <c r="AU7" s="6"/>
      <c r="AV7" s="1103"/>
      <c r="AW7" s="6"/>
      <c r="AX7" s="6"/>
      <c r="AY7" s="6"/>
      <c r="AZ7" s="6"/>
      <c r="BA7" s="1103"/>
      <c r="BB7" s="6"/>
      <c r="BC7" s="6"/>
      <c r="BD7" s="6"/>
      <c r="BE7" s="6"/>
      <c r="BF7" s="1103"/>
      <c r="BG7" s="6"/>
      <c r="BH7" s="6"/>
      <c r="BI7" s="6"/>
      <c r="BJ7" s="6"/>
      <c r="BK7" s="1103"/>
      <c r="BL7" s="6"/>
      <c r="BM7" s="6"/>
      <c r="BN7" s="6"/>
      <c r="BO7" s="6"/>
      <c r="BP7" s="1103"/>
      <c r="BQ7" s="1103"/>
      <c r="BR7" s="1103"/>
      <c r="BS7" s="1103"/>
      <c r="BT7" s="1103"/>
      <c r="BU7" s="1103"/>
      <c r="BV7" s="1120"/>
      <c r="BW7" s="1120"/>
      <c r="BX7" s="1120"/>
      <c r="BY7" s="1120"/>
      <c r="BZ7" s="1108"/>
      <c r="CA7" s="1108"/>
      <c r="CB7" s="1108"/>
      <c r="CC7" s="1108"/>
      <c r="CD7" s="1108"/>
      <c r="CE7" s="2248"/>
      <c r="CF7" s="2248"/>
      <c r="CG7" s="2248"/>
      <c r="CH7" s="2248"/>
      <c r="CI7" s="2248"/>
      <c r="CJ7" s="2248"/>
      <c r="CK7" s="2248"/>
      <c r="CL7" s="2248"/>
      <c r="CM7" s="2248"/>
      <c r="CN7" s="2248"/>
      <c r="CO7" s="2248"/>
      <c r="CP7" s="2248"/>
      <c r="CQ7" s="2248"/>
      <c r="CR7" s="2248"/>
      <c r="CS7" s="2248"/>
      <c r="CT7" s="2248"/>
      <c r="CU7" s="3090"/>
      <c r="CV7" s="3090"/>
      <c r="CW7" s="3090"/>
      <c r="CX7" s="3090"/>
      <c r="CY7" s="3090"/>
      <c r="CZ7" s="3090"/>
      <c r="DA7" s="3090"/>
      <c r="DB7" s="3090"/>
      <c r="DC7" s="3090"/>
      <c r="DD7" s="3090"/>
      <c r="DE7" s="3090"/>
      <c r="DF7" s="3090"/>
      <c r="DG7" s="3090"/>
      <c r="DH7" s="3090"/>
      <c r="DI7" s="3090"/>
      <c r="DJ7" s="745"/>
      <c r="DK7" s="11"/>
      <c r="DL7" s="1108"/>
      <c r="DM7" s="1108"/>
      <c r="DN7" s="1108"/>
      <c r="DO7" s="1108"/>
      <c r="DP7" s="1108"/>
      <c r="DQ7" s="1108"/>
      <c r="DR7" s="1108"/>
      <c r="DS7" s="1108"/>
      <c r="DT7" s="1108"/>
      <c r="DU7" s="1108"/>
      <c r="DV7" s="1108"/>
      <c r="DW7" s="1108"/>
    </row>
    <row r="8" spans="1:127" ht="11.25" hidden="1" customHeight="1" outlineLevel="1">
      <c r="A8" s="1823" t="s">
        <v>694</v>
      </c>
      <c r="B8" s="1105">
        <f>'Segment Detail'!Y86</f>
        <v>3549.6</v>
      </c>
      <c r="C8" s="1740">
        <f>'Segment Detail'!Z86</f>
        <v>3776.4337261343653</v>
      </c>
      <c r="D8" s="1740">
        <f>'Segment Detail'!AA86</f>
        <v>4241.6940847562983</v>
      </c>
      <c r="E8" s="1740">
        <f>'Segment Detail'!AB86</f>
        <v>4353.346865010566</v>
      </c>
      <c r="F8" s="1740">
        <f>'Segment Detail'!AC86</f>
        <v>4291.7732929501017</v>
      </c>
      <c r="G8" s="1740">
        <f>'Segment Detail'!AD86</f>
        <v>4395.7259545005963</v>
      </c>
      <c r="H8" s="1740">
        <f>'Segment Detail'!AE86</f>
        <v>3885.1769222423109</v>
      </c>
      <c r="I8" s="1740">
        <f>'Segment Detail'!AF86</f>
        <v>3847.1615952932957</v>
      </c>
      <c r="J8" s="1740">
        <f>'Segment Detail'!AG86</f>
        <v>4316.4534645476988</v>
      </c>
      <c r="K8" s="1740">
        <f>'Segment Detail'!AH86</f>
        <v>4333.7175553410325</v>
      </c>
      <c r="L8" s="1740">
        <f>'Segment Detail'!AI86</f>
        <v>4143.7087486422452</v>
      </c>
      <c r="M8" s="1780">
        <f>SUM(CF8:CI8)</f>
        <v>4663.1081007825578</v>
      </c>
      <c r="N8" s="1780">
        <f>SUM(CK8:CN8)</f>
        <v>4398.0079172208298</v>
      </c>
      <c r="O8" s="2710">
        <f>M8</f>
        <v>4663.1081007825578</v>
      </c>
      <c r="P8" s="2710">
        <f>N8</f>
        <v>4398.0079172208298</v>
      </c>
      <c r="Q8" s="1780">
        <f>SUM(CP8:CS8)</f>
        <v>4652.8639556721682</v>
      </c>
      <c r="R8" s="1780">
        <f>SUM(CU8:CX8)</f>
        <v>5280.4842986046215</v>
      </c>
      <c r="S8" s="2710">
        <f>R8</f>
        <v>5280.4842986046215</v>
      </c>
      <c r="T8" s="1780">
        <f>SUM(CZ8:DC8)</f>
        <v>5163.3452220290146</v>
      </c>
      <c r="U8" s="1780">
        <f>SUM(DE8:DH8)</f>
        <v>5413.8800485240808</v>
      </c>
      <c r="V8" s="1740">
        <f>'Segment Detail'!AP86</f>
        <v>6153.6828550188684</v>
      </c>
      <c r="W8" s="1740">
        <f>'Segment Detail'!AQ86</f>
        <v>6066.944292690474</v>
      </c>
      <c r="X8" s="1740">
        <f>'Segment Detail'!AR86</f>
        <v>6427.9463816385451</v>
      </c>
      <c r="Y8" s="1740">
        <f>'Segment Detail'!AS86</f>
        <v>7079.2454993733272</v>
      </c>
      <c r="Z8" s="1740">
        <f>'Segment Detail'!AT86</f>
        <v>6809.4403223688369</v>
      </c>
      <c r="AA8" s="1740">
        <f>'Segment Detail'!AU86</f>
        <v>6933.2272659042565</v>
      </c>
      <c r="AB8" s="1740">
        <f>'Segment Detail'!AV86</f>
        <v>7730.0912153743911</v>
      </c>
      <c r="AC8" s="1740">
        <f>'Segment Detail'!AW86</f>
        <v>7241.8693698266852</v>
      </c>
      <c r="AD8" s="1740">
        <f>'Segment Detail'!AX86</f>
        <v>7451.0189870752247</v>
      </c>
      <c r="AE8" s="1740">
        <f>'Segment Detail'!AY86</f>
        <v>8256.5009208489428</v>
      </c>
      <c r="AF8" s="6"/>
      <c r="AG8" s="1283"/>
      <c r="AH8" s="1283"/>
      <c r="AI8" s="1283"/>
      <c r="AJ8" s="1283"/>
      <c r="AK8" s="11"/>
      <c r="AL8" s="1282" t="str">
        <f>A8</f>
        <v>CBS Network</v>
      </c>
      <c r="AM8" s="105">
        <f>'Segment Detail'!CO86</f>
        <v>1282.9771479999999</v>
      </c>
      <c r="AN8" s="105">
        <f>'Segment Detail'!CP86</f>
        <v>902.55344794619998</v>
      </c>
      <c r="AO8" s="105">
        <f>'Segment Detail'!CQ86</f>
        <v>754.55157772799998</v>
      </c>
      <c r="AP8" s="105">
        <f>'Segment Detail'!CR86</f>
        <v>1301.6119110820982</v>
      </c>
      <c r="AQ8" s="1120">
        <f>D8-SUM(AM8:AP8)</f>
        <v>0</v>
      </c>
      <c r="AR8" s="105">
        <f>'Segment Detail'!CT86</f>
        <v>1235.33440576</v>
      </c>
      <c r="AS8" s="105">
        <f>'Segment Detail'!CU86</f>
        <v>983.78325826135801</v>
      </c>
      <c r="AT8" s="105">
        <f>'Segment Detail'!CV86</f>
        <v>837.55225127808001</v>
      </c>
      <c r="AU8" s="105">
        <f>'Segment Detail'!CW86</f>
        <v>1296.6769497111281</v>
      </c>
      <c r="AV8" s="1120">
        <f>E8-SUM(AR8:AU8)</f>
        <v>0</v>
      </c>
      <c r="AW8" s="105">
        <f>'Segment Detail'!CY86</f>
        <v>1252.62908744064</v>
      </c>
      <c r="AX8" s="105">
        <f>'Segment Detail'!CZ86</f>
        <v>969.02650938743761</v>
      </c>
      <c r="AY8" s="105">
        <f>'Segment Detail'!DA86</f>
        <v>850.11553504725111</v>
      </c>
      <c r="AZ8" s="105">
        <f>'Segment Detail'!DB86</f>
        <v>1220.0021610747726</v>
      </c>
      <c r="BA8" s="1120">
        <f>F8-SUM(AW8:AZ8)</f>
        <v>0</v>
      </c>
      <c r="BB8" s="105">
        <f>'Segment Detail'!DD86</f>
        <v>1411.3133602546241</v>
      </c>
      <c r="BC8" s="105">
        <f>'Segment Detail'!DE86</f>
        <v>899.02650938743761</v>
      </c>
      <c r="BD8" s="105">
        <f>'Segment Detail'!DF86</f>
        <v>867.11784574819603</v>
      </c>
      <c r="BE8" s="105">
        <f>'Segment Detail'!DG86</f>
        <v>1218.2682391103385</v>
      </c>
      <c r="BF8" s="1120">
        <f>G8-SUM(BB8:BE8)</f>
        <v>0</v>
      </c>
      <c r="BG8" s="1283">
        <f>'Segment Detail'!DI86</f>
        <v>1193.0870930495316</v>
      </c>
      <c r="BH8" s="1283">
        <f>'Segment Detail'!DJ86</f>
        <v>943.97783485680952</v>
      </c>
      <c r="BI8" s="1283">
        <f>'Segment Detail'!DK86</f>
        <v>754.39252580093057</v>
      </c>
      <c r="BJ8" s="1283">
        <f>'Segment Detail'!DL86</f>
        <v>993.7194685350396</v>
      </c>
      <c r="BK8" s="1120">
        <f>H8-SUM(BG8:BJ8)</f>
        <v>0</v>
      </c>
      <c r="BL8" s="1283">
        <f>'Segment Detail'!DN86</f>
        <v>1090.4816030472718</v>
      </c>
      <c r="BM8" s="1283">
        <f>'Segment Detail'!DO86</f>
        <v>910.93861063682118</v>
      </c>
      <c r="BN8" s="1283">
        <f>'Segment Detail'!DP86</f>
        <v>754.39252580093057</v>
      </c>
      <c r="BO8" s="1283">
        <f>'Segment Detail'!DQ86</f>
        <v>1091.3488558082722</v>
      </c>
      <c r="BP8" s="1120">
        <f>I8-SUM(BL8:BO8)</f>
        <v>0</v>
      </c>
      <c r="BQ8" s="1283">
        <f>BL8*(1+BQ9)</f>
        <v>1363.1020038090899</v>
      </c>
      <c r="BR8" s="1284">
        <f>+(BM8-70/4)*1.05+25</f>
        <v>963.11054116866228</v>
      </c>
      <c r="BS8" s="1283">
        <f>BN8*(1+BS9)</f>
        <v>807.20000260699578</v>
      </c>
      <c r="BT8" s="108">
        <f>J8-SUM(BQ8:BS8)</f>
        <v>1183.0409169629506</v>
      </c>
      <c r="BU8" s="1120">
        <f>J8-SUM(BQ8:BT8)</f>
        <v>0</v>
      </c>
      <c r="BV8" s="1283">
        <f>BQ8*(1+BV9)</f>
        <v>1254.0538435043627</v>
      </c>
      <c r="BW8" s="1283">
        <f>BR8*(1+BW9)</f>
        <v>992.00385740372212</v>
      </c>
      <c r="BX8" s="1283">
        <f>BS8*(1+BX9)</f>
        <v>815.27200263306577</v>
      </c>
      <c r="BY8" s="1277">
        <f>K8-SUM(BV8:BX8)</f>
        <v>1272.3878517998819</v>
      </c>
      <c r="BZ8" s="1120">
        <f>K8-SUM(BV8:BY8)</f>
        <v>0</v>
      </c>
      <c r="CA8" s="1740">
        <f>BV8*(1+CA9)</f>
        <v>1291.6754588094936</v>
      </c>
      <c r="CB8" s="1740">
        <f>BW8*(1+CB9)</f>
        <v>892.80347166334991</v>
      </c>
      <c r="CC8" s="1740">
        <f>BX8*(1+CC9)</f>
        <v>692.98120223810588</v>
      </c>
      <c r="CD8" s="1780">
        <f>L8-SUM(CA8:CC8)</f>
        <v>1266.2486159312957</v>
      </c>
      <c r="CE8" s="1741">
        <f>L8-SUM(CA8:CD8)</f>
        <v>0</v>
      </c>
      <c r="CF8" s="1740">
        <f>CA8*(1+CF9)</f>
        <v>1504.8019095130601</v>
      </c>
      <c r="CG8" s="1740">
        <f>CB8*(1+CG9)</f>
        <v>1017.795957696219</v>
      </c>
      <c r="CH8" s="1740">
        <f>CC8*(1+CH9)</f>
        <v>803.85819459620279</v>
      </c>
      <c r="CI8" s="1740">
        <f>CD8*(1+CI9)</f>
        <v>1336.6520389770758</v>
      </c>
      <c r="CJ8" s="1741">
        <f>M8-SUM(CF8:CI8)</f>
        <v>0</v>
      </c>
      <c r="CK8" s="1740">
        <f>CF8*(1+CK9)</f>
        <v>1226.413556253144</v>
      </c>
      <c r="CL8" s="1740">
        <f>CG8*(1+CL9)</f>
        <v>966.90615981140809</v>
      </c>
      <c r="CM8" s="1740">
        <f>CH8*(1+CM9)</f>
        <v>811.89677654216484</v>
      </c>
      <c r="CN8" s="1740">
        <f>CI8*(1+CN9)</f>
        <v>1392.7914246141131</v>
      </c>
      <c r="CO8" s="1741">
        <f>$N8-SUM(CK8:CN8)</f>
        <v>0</v>
      </c>
      <c r="CP8" s="1740">
        <f>CK8*(1+CP9)</f>
        <v>1227.6399698093969</v>
      </c>
      <c r="CQ8" s="1740">
        <f>CL8*(1+CQ9)</f>
        <v>1012.3507493225442</v>
      </c>
      <c r="CR8" s="1740">
        <f>CM8*(1+CR9)</f>
        <v>865.48196379394778</v>
      </c>
      <c r="CS8" s="1740">
        <f>CN8*(1+CS9)</f>
        <v>1547.3912727462796</v>
      </c>
      <c r="CT8" s="1741">
        <f>$Q8-SUM(CP8:CS8)</f>
        <v>0</v>
      </c>
      <c r="CU8" s="2824">
        <f>CP8*(1+CU9)</f>
        <v>1832.8664749254294</v>
      </c>
      <c r="CV8" s="2824">
        <f>CQ8*(1+CV9)</f>
        <v>1058.7164136415167</v>
      </c>
      <c r="CW8" s="2824">
        <f>CR8*(1+CW9)</f>
        <v>905.72687511036634</v>
      </c>
      <c r="CX8" s="2824">
        <f>CS8*(1+CX9)</f>
        <v>1483.174534927309</v>
      </c>
      <c r="CY8" s="2835">
        <f>S8-SUM(CU8:CX8)</f>
        <v>0</v>
      </c>
      <c r="CZ8" s="2824">
        <f>CU8*(1+CZ9)</f>
        <v>1476.3739455524335</v>
      </c>
      <c r="DA8" s="2824">
        <f>CV8*(1+DA9)</f>
        <v>1181.5804534446147</v>
      </c>
      <c r="DB8" s="2824">
        <f>CW8*(1+DB9)</f>
        <v>954.63612636632615</v>
      </c>
      <c r="DC8" s="3091">
        <f>'CBS Network'!BS14</f>
        <v>1550.7546966656403</v>
      </c>
      <c r="DD8" s="2835">
        <f>T8-SUM(CZ8:DC8)</f>
        <v>0</v>
      </c>
      <c r="DE8" s="3091">
        <f>'CBS Network'!BU14</f>
        <v>1573.8467440851937</v>
      </c>
      <c r="DF8" s="3091">
        <f>'CBS Network'!BV14</f>
        <v>1180.0179601444288</v>
      </c>
      <c r="DG8" s="3091">
        <f>'CBS Network'!BW14</f>
        <v>1034.4625257831915</v>
      </c>
      <c r="DH8" s="3091">
        <f>'CBS Network'!BX14</f>
        <v>1625.5528185112667</v>
      </c>
      <c r="DI8" s="2835">
        <f>U8-SUM(DE8:DH8)</f>
        <v>0</v>
      </c>
      <c r="DJ8" s="1120"/>
      <c r="DK8" s="1283"/>
      <c r="DL8" s="1108"/>
      <c r="DM8" s="1108"/>
      <c r="DN8" s="1108"/>
      <c r="DO8" s="1108"/>
      <c r="DP8" s="1108"/>
      <c r="DQ8" s="1108"/>
      <c r="DR8" s="1108"/>
      <c r="DS8" s="1108"/>
      <c r="DT8" s="1108"/>
      <c r="DU8" s="1108"/>
      <c r="DV8" s="1108"/>
      <c r="DW8" s="1108"/>
    </row>
    <row r="9" spans="1:127" ht="11.25" hidden="1" customHeight="1" outlineLevel="1">
      <c r="A9" s="1824" t="s">
        <v>344</v>
      </c>
      <c r="B9" s="1364">
        <f>'Segment Detail'!Y87</f>
        <v>2.0000000000000018E-2</v>
      </c>
      <c r="C9" s="1364">
        <f t="shared" ref="C9:J9" si="0">C8/B8-1</f>
        <v>6.3904024716690655E-2</v>
      </c>
      <c r="D9" s="1364">
        <f t="shared" si="0"/>
        <v>0.12320098599960949</v>
      </c>
      <c r="E9" s="1364">
        <f t="shared" si="0"/>
        <v>2.6322685706053894E-2</v>
      </c>
      <c r="F9" s="1364">
        <f t="shared" si="0"/>
        <v>-1.414396186882183E-2</v>
      </c>
      <c r="G9" s="1364">
        <f t="shared" si="0"/>
        <v>2.422137761126697E-2</v>
      </c>
      <c r="H9" s="1364">
        <f t="shared" si="0"/>
        <v>-0.11614669284275014</v>
      </c>
      <c r="I9" s="1364">
        <f t="shared" si="0"/>
        <v>-9.7847093478241609E-3</v>
      </c>
      <c r="J9" s="1364">
        <f t="shared" si="0"/>
        <v>0.12198392441548211</v>
      </c>
      <c r="K9" s="1364">
        <f t="shared" ref="K9:W9" si="1">K8/J8-1</f>
        <v>3.9996008146800932E-3</v>
      </c>
      <c r="L9" s="1364">
        <f t="shared" si="1"/>
        <v>-4.3844298635616785E-2</v>
      </c>
      <c r="M9" s="1364">
        <f t="shared" si="1"/>
        <v>0.12534649118630803</v>
      </c>
      <c r="N9" s="1364">
        <f t="shared" si="1"/>
        <v>-5.6850533556629168E-2</v>
      </c>
      <c r="O9" s="2711"/>
      <c r="P9" s="2711">
        <f t="shared" si="1"/>
        <v>-5.6850533556629168E-2</v>
      </c>
      <c r="Q9" s="1364">
        <f t="shared" si="1"/>
        <v>5.7948062679338275E-2</v>
      </c>
      <c r="R9" s="1364">
        <f t="shared" si="1"/>
        <v>0.13488903800149576</v>
      </c>
      <c r="S9" s="2711"/>
      <c r="T9" s="1364">
        <f>T8/R8-1</f>
        <v>-2.2183396437058023E-2</v>
      </c>
      <c r="U9" s="1364">
        <f t="shared" si="1"/>
        <v>4.8521804319064055E-2</v>
      </c>
      <c r="V9" s="1364">
        <f t="shared" si="1"/>
        <v>0.13664927923485681</v>
      </c>
      <c r="W9" s="1364">
        <f t="shared" si="1"/>
        <v>-1.4095390414481823E-2</v>
      </c>
      <c r="X9" s="1364">
        <f t="shared" ref="X9:AE9" si="2">X8/W8-1</f>
        <v>5.9503115824387942E-2</v>
      </c>
      <c r="Y9" s="1364">
        <f t="shared" si="2"/>
        <v>0.10132304768366152</v>
      </c>
      <c r="Z9" s="1364">
        <f t="shared" si="2"/>
        <v>-3.8112137377969701E-2</v>
      </c>
      <c r="AA9" s="1364">
        <f t="shared" si="2"/>
        <v>1.8178725075067126E-2</v>
      </c>
      <c r="AB9" s="1364">
        <f t="shared" si="2"/>
        <v>0.11493405868705575</v>
      </c>
      <c r="AC9" s="1364">
        <f t="shared" si="2"/>
        <v>-6.3158613778926731E-2</v>
      </c>
      <c r="AD9" s="1364">
        <f t="shared" si="2"/>
        <v>2.888061169950995E-2</v>
      </c>
      <c r="AE9" s="1364">
        <f t="shared" si="2"/>
        <v>0.10810359430984318</v>
      </c>
      <c r="AF9" s="6"/>
      <c r="AG9" s="1104"/>
      <c r="AH9" s="1104"/>
      <c r="AI9" s="1104"/>
      <c r="AJ9" s="1104"/>
      <c r="AK9" s="186"/>
      <c r="AL9" s="1285" t="str">
        <f t="shared" ref="AL9:AL28" si="3">A9</f>
        <v xml:space="preserve">% Change </v>
      </c>
      <c r="AM9" s="1286" t="s">
        <v>1455</v>
      </c>
      <c r="AN9" s="1286" t="s">
        <v>1455</v>
      </c>
      <c r="AO9" s="1286" t="s">
        <v>1455</v>
      </c>
      <c r="AP9" s="1286" t="s">
        <v>1455</v>
      </c>
      <c r="AQ9" s="1287"/>
      <c r="AR9" s="1104">
        <f>AR8/AM8-1</f>
        <v>-3.7134521307935264E-2</v>
      </c>
      <c r="AS9" s="1104">
        <f>AS8/AN8-1</f>
        <v>9.000000000000008E-2</v>
      </c>
      <c r="AT9" s="1104">
        <f>AT8/AO8-1</f>
        <v>0.1100000000000001</v>
      </c>
      <c r="AU9" s="1104">
        <f>AU8/AP8-1</f>
        <v>-3.7914230262900972E-3</v>
      </c>
      <c r="AV9" s="1287"/>
      <c r="AW9" s="1104">
        <f>AW8/AR8-1</f>
        <v>1.4000000000000012E-2</v>
      </c>
      <c r="AX9" s="1104">
        <f>AX8/AS8-1</f>
        <v>-1.5000000000000013E-2</v>
      </c>
      <c r="AY9" s="1104">
        <f>AY8/AT8-1</f>
        <v>1.4999999999999902E-2</v>
      </c>
      <c r="AZ9" s="1104">
        <f>AZ8/AU8-1</f>
        <v>-5.9131758803483758E-2</v>
      </c>
      <c r="BA9" s="1287"/>
      <c r="BB9" s="1104">
        <f>BB8/AW8-1</f>
        <v>0.12668097396509159</v>
      </c>
      <c r="BC9" s="1104">
        <f>BC8/AX8-1</f>
        <v>-7.2237445850939608E-2</v>
      </c>
      <c r="BD9" s="1104">
        <f>BD8/AY8-1</f>
        <v>1.9999999999999796E-2</v>
      </c>
      <c r="BE9" s="1104">
        <f>BE8/AZ8-1</f>
        <v>-1.4212449942765382E-3</v>
      </c>
      <c r="BF9" s="1287"/>
      <c r="BG9" s="1104">
        <f>BG8/BB8-1</f>
        <v>-0.15462637380951372</v>
      </c>
      <c r="BH9" s="1104">
        <f>BH8/BC8-1</f>
        <v>5.0000000000000044E-2</v>
      </c>
      <c r="BI9" s="1104">
        <f>BI8/BD8-1</f>
        <v>-0.13</v>
      </c>
      <c r="BJ9" s="1104">
        <f>BJ8/BE8-1</f>
        <v>-0.18431800433316681</v>
      </c>
      <c r="BK9" s="1287"/>
      <c r="BL9" s="1104">
        <f>BL8/BG8-1</f>
        <v>-8.6000000000000076E-2</v>
      </c>
      <c r="BM9" s="1104">
        <f>BM8/BH8-1</f>
        <v>-3.5000000000000031E-2</v>
      </c>
      <c r="BN9" s="1104">
        <f>BN8/BI8-1</f>
        <v>0</v>
      </c>
      <c r="BO9" s="1104">
        <f>BO8/BJ8-1</f>
        <v>9.8246427049637708E-2</v>
      </c>
      <c r="BP9" s="1287"/>
      <c r="BQ9" s="1288">
        <v>0.25</v>
      </c>
      <c r="BR9" s="1104">
        <f>+BR8/BM8-1</f>
        <v>5.7272718405654732E-2</v>
      </c>
      <c r="BS9" s="1288">
        <v>7.0000000000000007E-2</v>
      </c>
      <c r="BT9" s="1104">
        <f>BT8/BO8-1</f>
        <v>8.4017187232738433E-2</v>
      </c>
      <c r="BU9" s="186"/>
      <c r="BV9" s="1288">
        <f>+-0.08</f>
        <v>-0.08</v>
      </c>
      <c r="BW9" s="1288">
        <v>0.03</v>
      </c>
      <c r="BX9" s="1288">
        <v>0.01</v>
      </c>
      <c r="BY9" s="1104">
        <f>BY8/BT8-1</f>
        <v>7.5523114674933334E-2</v>
      </c>
      <c r="BZ9" s="186"/>
      <c r="CA9" s="2048">
        <v>0.03</v>
      </c>
      <c r="CB9" s="2048">
        <f>+-0.1</f>
        <v>-0.1</v>
      </c>
      <c r="CC9" s="2048">
        <f>+-0.15</f>
        <v>-0.15</v>
      </c>
      <c r="CD9" s="1364">
        <f>CD8/BY8-1</f>
        <v>-4.8249720868537294E-3</v>
      </c>
      <c r="CE9" s="1477"/>
      <c r="CF9" s="2048">
        <v>0.16500000000000001</v>
      </c>
      <c r="CG9" s="2048">
        <v>0.14000000000000001</v>
      </c>
      <c r="CH9" s="2048">
        <v>0.16</v>
      </c>
      <c r="CI9" s="2048">
        <v>5.5599999999999997E-2</v>
      </c>
      <c r="CJ9" s="1477"/>
      <c r="CK9" s="2048">
        <v>-0.185</v>
      </c>
      <c r="CL9" s="2048">
        <v>-0.05</v>
      </c>
      <c r="CM9" s="2048">
        <v>0.01</v>
      </c>
      <c r="CN9" s="2048">
        <v>4.2000000000000003E-2</v>
      </c>
      <c r="CO9" s="1741"/>
      <c r="CP9" s="2048">
        <v>1E-3</v>
      </c>
      <c r="CQ9" s="2048">
        <v>4.7E-2</v>
      </c>
      <c r="CR9" s="2048">
        <v>6.6000000000000003E-2</v>
      </c>
      <c r="CS9" s="2048">
        <v>0.111</v>
      </c>
      <c r="CT9" s="1477"/>
      <c r="CU9" s="3048">
        <v>0.49299999999999999</v>
      </c>
      <c r="CV9" s="3048">
        <v>4.58E-2</v>
      </c>
      <c r="CW9" s="3048">
        <v>4.65E-2</v>
      </c>
      <c r="CX9" s="3048">
        <v>-4.1500000000000002E-2</v>
      </c>
      <c r="CY9" s="2835"/>
      <c r="CZ9" s="3048">
        <v>-0.19450000000000001</v>
      </c>
      <c r="DA9" s="3048">
        <v>0.11605</v>
      </c>
      <c r="DB9" s="3048">
        <v>5.3999999999999999E-2</v>
      </c>
      <c r="DC9" s="2827">
        <f>DC8/CX8-1</f>
        <v>4.5564537515231374E-2</v>
      </c>
      <c r="DD9" s="2835"/>
      <c r="DE9" s="2827">
        <f t="shared" ref="DE9:DF9" si="4">DE8/CZ8-1</f>
        <v>6.6021754736593996E-2</v>
      </c>
      <c r="DF9" s="2827">
        <f t="shared" si="4"/>
        <v>-1.3223757177354134E-3</v>
      </c>
      <c r="DG9" s="2827">
        <f>DG8/DB8-1</f>
        <v>8.3619713534948792E-2</v>
      </c>
      <c r="DH9" s="2827">
        <f>DH8/DC8-1</f>
        <v>4.8233367924955362E-2</v>
      </c>
      <c r="DI9" s="2835"/>
      <c r="DJ9" s="1120"/>
      <c r="DK9" s="1288"/>
      <c r="DL9" s="1108"/>
      <c r="DM9" s="1108"/>
      <c r="DN9" s="1108"/>
      <c r="DO9" s="1108"/>
      <c r="DP9" s="1108"/>
      <c r="DQ9" s="1108"/>
      <c r="DR9" s="1108"/>
      <c r="DS9" s="1108"/>
      <c r="DT9" s="1108"/>
      <c r="DU9" s="1108"/>
      <c r="DV9" s="1108"/>
      <c r="DW9" s="1108"/>
    </row>
    <row r="10" spans="1:127" ht="11.25" hidden="1" customHeight="1" outlineLevel="1">
      <c r="A10" s="1823" t="s">
        <v>595</v>
      </c>
      <c r="B10" s="1105">
        <f>'Segment Detail'!Y88</f>
        <v>224.89074090000003</v>
      </c>
      <c r="C10" s="1105">
        <f>'Segment Detail'!Z88</f>
        <v>213.64620385500001</v>
      </c>
      <c r="D10" s="1105">
        <f>'Segment Detail'!AA88</f>
        <v>228.60143812485003</v>
      </c>
      <c r="E10" s="1105">
        <f>'Segment Detail'!AB88</f>
        <v>285.60000000000002</v>
      </c>
      <c r="F10" s="1105">
        <f>'Segment Detail'!AC88</f>
        <v>170.76844676828472</v>
      </c>
      <c r="G10" s="1105">
        <f>'Segment Detail'!AD88</f>
        <v>0</v>
      </c>
      <c r="H10" s="1105">
        <f>'Segment Detail'!AE88</f>
        <v>0</v>
      </c>
      <c r="I10" s="1105">
        <f>'Segment Detail'!AF88</f>
        <v>0</v>
      </c>
      <c r="J10" s="1105">
        <f>'Segment Detail'!AG88</f>
        <v>0</v>
      </c>
      <c r="K10" s="1105">
        <f>'Segment Detail'!AH88</f>
        <v>0</v>
      </c>
      <c r="L10" s="1105">
        <f>'Segment Detail'!AI88</f>
        <v>0</v>
      </c>
      <c r="M10" s="1780">
        <f>SUM(CF10:CI10)</f>
        <v>0</v>
      </c>
      <c r="N10" s="1743">
        <v>0</v>
      </c>
      <c r="O10" s="2710">
        <v>0</v>
      </c>
      <c r="P10" s="2710">
        <v>0</v>
      </c>
      <c r="Q10" s="1743">
        <v>0</v>
      </c>
      <c r="R10" s="1105">
        <v>0</v>
      </c>
      <c r="S10" s="2710">
        <f>R10</f>
        <v>0</v>
      </c>
      <c r="T10" s="1105">
        <f>'Segment Detail'!AN88</f>
        <v>0</v>
      </c>
      <c r="U10" s="1105">
        <f>'Segment Detail'!AO88</f>
        <v>0</v>
      </c>
      <c r="V10" s="1105">
        <f>'Segment Detail'!AP88</f>
        <v>0</v>
      </c>
      <c r="W10" s="1105">
        <f>'Segment Detail'!AQ88</f>
        <v>0</v>
      </c>
      <c r="X10" s="1105">
        <f>'Segment Detail'!AR88</f>
        <v>0</v>
      </c>
      <c r="Y10" s="1105">
        <f>'Segment Detail'!AS88</f>
        <v>0</v>
      </c>
      <c r="Z10" s="1105">
        <f>'Segment Detail'!AT88</f>
        <v>0</v>
      </c>
      <c r="AA10" s="1105">
        <f>'Segment Detail'!AU88</f>
        <v>0</v>
      </c>
      <c r="AB10" s="1105">
        <f>'Segment Detail'!AV88</f>
        <v>0</v>
      </c>
      <c r="AC10" s="1105">
        <f>'Segment Detail'!AW88</f>
        <v>0</v>
      </c>
      <c r="AD10" s="1105">
        <f>'Segment Detail'!AX88</f>
        <v>0</v>
      </c>
      <c r="AE10" s="1105">
        <f>'Segment Detail'!AY88</f>
        <v>0</v>
      </c>
      <c r="AF10" s="6"/>
      <c r="AG10" s="105"/>
      <c r="AH10" s="105"/>
      <c r="AI10" s="105"/>
      <c r="AJ10" s="105"/>
      <c r="AK10" s="258"/>
      <c r="AL10" s="1282" t="str">
        <f t="shared" si="3"/>
        <v>CW</v>
      </c>
      <c r="AM10" s="105">
        <f>'Segment Detail'!CO88</f>
        <v>52.156635299999998</v>
      </c>
      <c r="AN10" s="105">
        <f>'Segment Detail'!CP88</f>
        <v>52.423931227500013</v>
      </c>
      <c r="AO10" s="105">
        <f>'Segment Detail'!CQ88</f>
        <v>48.485088369900005</v>
      </c>
      <c r="AP10" s="105">
        <f>'Segment Detail'!CR88</f>
        <v>75.535783227450025</v>
      </c>
      <c r="AQ10" s="1120">
        <f>D10-SUM(AM10:AP10)</f>
        <v>0</v>
      </c>
      <c r="AR10" s="105">
        <f>'Segment Detail'!CT88</f>
        <v>62.587962359999992</v>
      </c>
      <c r="AS10" s="105">
        <f>'Segment Detail'!CU88</f>
        <v>60.287520911625009</v>
      </c>
      <c r="AT10" s="105">
        <f>'Segment Detail'!CV88</f>
        <v>58.182106043880005</v>
      </c>
      <c r="AU10" s="105">
        <f>'Segment Detail'!CW88</f>
        <v>104.54241068449502</v>
      </c>
      <c r="AV10" s="1120">
        <f>E10-SUM(AR10:AU10)</f>
        <v>0</v>
      </c>
      <c r="AW10" s="105">
        <f>'Segment Detail'!CY88</f>
        <v>60.710323489199993</v>
      </c>
      <c r="AX10" s="105">
        <f>'Segment Detail'!CZ88</f>
        <v>69.330649048368755</v>
      </c>
      <c r="AY10" s="105">
        <f>'Segment Detail'!DA88</f>
        <v>40.727474230715998</v>
      </c>
      <c r="AZ10" s="105">
        <f>'Segment Detail'!DB88</f>
        <v>0</v>
      </c>
      <c r="BA10" s="1120">
        <f>F10-SUM(AW10:AZ10)</f>
        <v>0</v>
      </c>
      <c r="BB10" s="105">
        <f>'Segment Detail'!DD88</f>
        <v>0</v>
      </c>
      <c r="BC10" s="105">
        <f>'Segment Detail'!DE88</f>
        <v>0</v>
      </c>
      <c r="BD10" s="105">
        <f>'Segment Detail'!DF88</f>
        <v>0</v>
      </c>
      <c r="BE10" s="105">
        <f>'Segment Detail'!DG88</f>
        <v>0</v>
      </c>
      <c r="BF10" s="1120">
        <f>G10-SUM(BB10:BE10)</f>
        <v>0</v>
      </c>
      <c r="BG10" s="105">
        <f>'Segment Detail'!DI88</f>
        <v>0</v>
      </c>
      <c r="BH10" s="105">
        <f>'Segment Detail'!DJ88</f>
        <v>0</v>
      </c>
      <c r="BI10" s="105">
        <f>'Segment Detail'!DK88</f>
        <v>0</v>
      </c>
      <c r="BJ10" s="105">
        <f>'Segment Detail'!DL88</f>
        <v>0</v>
      </c>
      <c r="BK10" s="1120">
        <f>H10-SUM(BG10:BJ10)</f>
        <v>0</v>
      </c>
      <c r="BL10" s="105">
        <f>'Segment Detail'!DN88</f>
        <v>0</v>
      </c>
      <c r="BM10" s="105">
        <f>'Segment Detail'!DO88</f>
        <v>0</v>
      </c>
      <c r="BN10" s="105">
        <f>'Segment Detail'!DP88</f>
        <v>0</v>
      </c>
      <c r="BO10" s="105">
        <f>'Segment Detail'!DQ88</f>
        <v>0</v>
      </c>
      <c r="BP10" s="1120">
        <f>I10-SUM(BL10:BO10)</f>
        <v>0</v>
      </c>
      <c r="BQ10" s="105">
        <f>'Segment Detail'!DS88</f>
        <v>0</v>
      </c>
      <c r="BR10" s="105">
        <f>'Segment Detail'!DT88</f>
        <v>0</v>
      </c>
      <c r="BS10" s="105">
        <f>'Segment Detail'!DU88</f>
        <v>0</v>
      </c>
      <c r="BT10" s="105">
        <f>'Segment Detail'!DV88</f>
        <v>0</v>
      </c>
      <c r="BU10" s="1120">
        <f>J10-SUM(BQ10:BT10)</f>
        <v>0</v>
      </c>
      <c r="BV10" s="105">
        <f>'Segment Detail'!DX88</f>
        <v>0</v>
      </c>
      <c r="BW10" s="105">
        <f>'Segment Detail'!DY88</f>
        <v>0</v>
      </c>
      <c r="BX10" s="105">
        <f>'Segment Detail'!DZ88</f>
        <v>0</v>
      </c>
      <c r="BY10" s="105">
        <f>'Segment Detail'!EA88</f>
        <v>0</v>
      </c>
      <c r="BZ10" s="1120">
        <f>K10-SUM(BV10:BY10)</f>
        <v>0</v>
      </c>
      <c r="CA10" s="1105">
        <f>'Segment Detail'!EC88</f>
        <v>0</v>
      </c>
      <c r="CB10" s="1105">
        <f>'Segment Detail'!ED88</f>
        <v>0</v>
      </c>
      <c r="CC10" s="1105">
        <f>'Segment Detail'!EE88</f>
        <v>0</v>
      </c>
      <c r="CD10" s="1105">
        <f>'Segment Detail'!EF88</f>
        <v>0</v>
      </c>
      <c r="CE10" s="1108"/>
      <c r="CF10" s="1105">
        <f>'Segment Detail'!EH88</f>
        <v>0</v>
      </c>
      <c r="CG10" s="1635">
        <v>0</v>
      </c>
      <c r="CH10" s="1635">
        <v>0</v>
      </c>
      <c r="CI10" s="1635">
        <v>0</v>
      </c>
      <c r="CJ10" s="1108"/>
      <c r="CK10" s="1635">
        <v>0</v>
      </c>
      <c r="CL10" s="1635">
        <v>0</v>
      </c>
      <c r="CM10" s="1635">
        <v>0</v>
      </c>
      <c r="CN10" s="1635">
        <v>0</v>
      </c>
      <c r="CO10" s="1741"/>
      <c r="CP10" s="1635">
        <v>0</v>
      </c>
      <c r="CQ10" s="1635">
        <v>0</v>
      </c>
      <c r="CR10" s="1635">
        <v>0</v>
      </c>
      <c r="CS10" s="1635">
        <v>0</v>
      </c>
      <c r="CT10" s="1108"/>
      <c r="CU10" s="2829">
        <v>0</v>
      </c>
      <c r="CV10" s="2829">
        <v>0</v>
      </c>
      <c r="CW10" s="2829">
        <v>0</v>
      </c>
      <c r="CX10" s="2829">
        <v>0</v>
      </c>
      <c r="CY10" s="2835">
        <f>S10-SUM(CU10:CX10)</f>
        <v>0</v>
      </c>
      <c r="CZ10" s="2829">
        <v>0</v>
      </c>
      <c r="DA10" s="2829">
        <v>0</v>
      </c>
      <c r="DB10" s="2829">
        <v>0</v>
      </c>
      <c r="DC10" s="2829">
        <v>0</v>
      </c>
      <c r="DD10" s="2835">
        <f>T10-SUM(CZ10:DC10)</f>
        <v>0</v>
      </c>
      <c r="DE10" s="2829">
        <v>0</v>
      </c>
      <c r="DF10" s="2829">
        <v>0</v>
      </c>
      <c r="DG10" s="2829">
        <v>0</v>
      </c>
      <c r="DH10" s="2829">
        <v>0</v>
      </c>
      <c r="DI10" s="2835">
        <f t="shared" ref="DI10:DI12" si="5">U10-SUM(DE10:DH10)</f>
        <v>0</v>
      </c>
      <c r="DJ10" s="1120"/>
      <c r="DK10" s="105"/>
      <c r="DL10" s="1108"/>
      <c r="DM10" s="1108"/>
      <c r="DN10" s="1108"/>
      <c r="DO10" s="1108"/>
      <c r="DP10" s="1108"/>
      <c r="DQ10" s="1108"/>
      <c r="DR10" s="1108"/>
      <c r="DS10" s="1108"/>
      <c r="DT10" s="1108"/>
      <c r="DU10" s="1108"/>
      <c r="DV10" s="1108"/>
      <c r="DW10" s="1108"/>
    </row>
    <row r="11" spans="1:127" ht="11.25" hidden="1" customHeight="1" outlineLevel="1">
      <c r="A11" s="1824" t="s">
        <v>344</v>
      </c>
      <c r="B11" s="1825" t="s">
        <v>1455</v>
      </c>
      <c r="C11" s="1782">
        <f>C10/B10-1</f>
        <v>-5.0000000000000044E-2</v>
      </c>
      <c r="D11" s="1782">
        <f>D10/C10-1</f>
        <v>7.0000000000000062E-2</v>
      </c>
      <c r="E11" s="1782">
        <f>E10/D10-1</f>
        <v>0.24933597243609817</v>
      </c>
      <c r="F11" s="1782">
        <f>F10/E10-1</f>
        <v>-0.40207126481693034</v>
      </c>
      <c r="G11" s="1825" t="s">
        <v>1455</v>
      </c>
      <c r="H11" s="1825" t="s">
        <v>1455</v>
      </c>
      <c r="I11" s="1825" t="s">
        <v>1455</v>
      </c>
      <c r="J11" s="1825" t="s">
        <v>1455</v>
      </c>
      <c r="K11" s="1825" t="s">
        <v>1455</v>
      </c>
      <c r="L11" s="1825" t="s">
        <v>1455</v>
      </c>
      <c r="M11" s="1825" t="s">
        <v>1455</v>
      </c>
      <c r="N11" s="1825" t="s">
        <v>1455</v>
      </c>
      <c r="O11" s="2712"/>
      <c r="P11" s="2712" t="s">
        <v>1455</v>
      </c>
      <c r="Q11" s="1825" t="s">
        <v>1455</v>
      </c>
      <c r="R11" s="3037" t="s">
        <v>1455</v>
      </c>
      <c r="S11" s="2712"/>
      <c r="T11" s="1825" t="s">
        <v>1455</v>
      </c>
      <c r="U11" s="1825" t="s">
        <v>1455</v>
      </c>
      <c r="V11" s="1825" t="s">
        <v>1455</v>
      </c>
      <c r="W11" s="1825" t="s">
        <v>1455</v>
      </c>
      <c r="X11" s="1825" t="s">
        <v>1455</v>
      </c>
      <c r="Y11" s="1825" t="s">
        <v>1455</v>
      </c>
      <c r="Z11" s="1825" t="s">
        <v>1455</v>
      </c>
      <c r="AA11" s="1825" t="s">
        <v>1455</v>
      </c>
      <c r="AB11" s="1825" t="s">
        <v>1455</v>
      </c>
      <c r="AC11" s="1825" t="s">
        <v>1455</v>
      </c>
      <c r="AD11" s="1825" t="s">
        <v>1455</v>
      </c>
      <c r="AE11" s="1825" t="s">
        <v>1455</v>
      </c>
      <c r="AF11" s="6"/>
      <c r="AG11" s="1290"/>
      <c r="AH11" s="1290"/>
      <c r="AI11" s="1290"/>
      <c r="AJ11" s="1290"/>
      <c r="AK11" s="1291"/>
      <c r="AL11" s="1285" t="str">
        <f t="shared" si="3"/>
        <v xml:space="preserve">% Change </v>
      </c>
      <c r="AM11" s="1292" t="s">
        <v>1455</v>
      </c>
      <c r="AN11" s="1292" t="s">
        <v>1455</v>
      </c>
      <c r="AO11" s="1292" t="s">
        <v>1455</v>
      </c>
      <c r="AP11" s="1292" t="s">
        <v>1455</v>
      </c>
      <c r="AQ11" s="1293"/>
      <c r="AR11" s="1289">
        <f>AR10/AM10-1</f>
        <v>0.19999999999999996</v>
      </c>
      <c r="AS11" s="1289">
        <f>AS10/AN10-1</f>
        <v>0.14999999999999991</v>
      </c>
      <c r="AT11" s="1289">
        <f>AT10/AO10-1</f>
        <v>0.19999999999999996</v>
      </c>
      <c r="AU11" s="1289">
        <f>AU10/AP10-1</f>
        <v>0.38401173877685912</v>
      </c>
      <c r="AV11" s="1293"/>
      <c r="AW11" s="1289">
        <f>AW10/AR10-1</f>
        <v>-3.0000000000000027E-2</v>
      </c>
      <c r="AX11" s="1289">
        <f>AX10/AS10-1</f>
        <v>0.14999999999999991</v>
      </c>
      <c r="AY11" s="1289">
        <f>AY10/AT10-1</f>
        <v>-0.30000000000000004</v>
      </c>
      <c r="AZ11" s="1292" t="s">
        <v>1455</v>
      </c>
      <c r="BA11" s="1293"/>
      <c r="BB11" s="1292" t="s">
        <v>1455</v>
      </c>
      <c r="BC11" s="1292" t="s">
        <v>1455</v>
      </c>
      <c r="BD11" s="1292" t="s">
        <v>1455</v>
      </c>
      <c r="BE11" s="1292" t="s">
        <v>1455</v>
      </c>
      <c r="BF11" s="1293"/>
      <c r="BG11" s="1292" t="s">
        <v>1455</v>
      </c>
      <c r="BH11" s="1292" t="s">
        <v>1455</v>
      </c>
      <c r="BI11" s="1292" t="s">
        <v>1455</v>
      </c>
      <c r="BJ11" s="1292" t="s">
        <v>1455</v>
      </c>
      <c r="BK11" s="1293"/>
      <c r="BL11" s="1292" t="s">
        <v>1455</v>
      </c>
      <c r="BM11" s="1292" t="s">
        <v>1455</v>
      </c>
      <c r="BN11" s="1292" t="s">
        <v>1455</v>
      </c>
      <c r="BO11" s="1292" t="s">
        <v>1455</v>
      </c>
      <c r="BP11" s="1293"/>
      <c r="BQ11" s="1292" t="s">
        <v>1455</v>
      </c>
      <c r="BR11" s="1292" t="s">
        <v>1455</v>
      </c>
      <c r="BS11" s="1292" t="s">
        <v>1455</v>
      </c>
      <c r="BT11" s="1292" t="s">
        <v>1455</v>
      </c>
      <c r="BU11" s="186"/>
      <c r="BV11" s="1292" t="s">
        <v>1455</v>
      </c>
      <c r="BW11" s="1292" t="s">
        <v>1455</v>
      </c>
      <c r="BX11" s="1292" t="s">
        <v>1455</v>
      </c>
      <c r="BY11" s="1292" t="s">
        <v>1455</v>
      </c>
      <c r="BZ11" s="186"/>
      <c r="CA11" s="1742" t="s">
        <v>1455</v>
      </c>
      <c r="CB11" s="1742" t="s">
        <v>1455</v>
      </c>
      <c r="CC11" s="1742" t="s">
        <v>1455</v>
      </c>
      <c r="CD11" s="1742" t="s">
        <v>1455</v>
      </c>
      <c r="CE11" s="1477"/>
      <c r="CF11" s="1742" t="s">
        <v>1455</v>
      </c>
      <c r="CG11" s="1742" t="s">
        <v>1455</v>
      </c>
      <c r="CH11" s="1742" t="s">
        <v>1455</v>
      </c>
      <c r="CI11" s="1742" t="s">
        <v>1455</v>
      </c>
      <c r="CJ11" s="1477"/>
      <c r="CK11" s="1742" t="s">
        <v>1455</v>
      </c>
      <c r="CL11" s="1742" t="s">
        <v>1455</v>
      </c>
      <c r="CM11" s="1742" t="s">
        <v>1455</v>
      </c>
      <c r="CN11" s="1742" t="s">
        <v>1455</v>
      </c>
      <c r="CO11" s="1741"/>
      <c r="CP11" s="1742" t="s">
        <v>1455</v>
      </c>
      <c r="CQ11" s="1742" t="s">
        <v>1455</v>
      </c>
      <c r="CR11" s="1742" t="s">
        <v>1455</v>
      </c>
      <c r="CS11" s="1742" t="s">
        <v>1455</v>
      </c>
      <c r="CT11" s="1477"/>
      <c r="CU11" s="3092" t="s">
        <v>1455</v>
      </c>
      <c r="CV11" s="3092" t="s">
        <v>1455</v>
      </c>
      <c r="CW11" s="3092" t="s">
        <v>1455</v>
      </c>
      <c r="CX11" s="3092" t="s">
        <v>1455</v>
      </c>
      <c r="CY11" s="2835"/>
      <c r="CZ11" s="3092" t="s">
        <v>1455</v>
      </c>
      <c r="DA11" s="3092" t="s">
        <v>1455</v>
      </c>
      <c r="DB11" s="3092" t="s">
        <v>1455</v>
      </c>
      <c r="DC11" s="3092" t="s">
        <v>1455</v>
      </c>
      <c r="DD11" s="2835"/>
      <c r="DE11" s="3092" t="s">
        <v>1455</v>
      </c>
      <c r="DF11" s="3092" t="s">
        <v>1455</v>
      </c>
      <c r="DG11" s="3092" t="s">
        <v>1455</v>
      </c>
      <c r="DH11" s="3092" t="s">
        <v>1455</v>
      </c>
      <c r="DI11" s="2835"/>
      <c r="DJ11" s="1120"/>
      <c r="DK11" s="1742"/>
      <c r="DL11" s="1108"/>
      <c r="DM11" s="1108"/>
      <c r="DN11" s="1108"/>
      <c r="DO11" s="1108"/>
      <c r="DP11" s="1108"/>
      <c r="DQ11" s="1108"/>
      <c r="DR11" s="1108"/>
      <c r="DS11" s="1108"/>
      <c r="DT11" s="1108"/>
      <c r="DU11" s="1108"/>
      <c r="DV11" s="1108"/>
      <c r="DW11" s="1108"/>
    </row>
    <row r="12" spans="1:127" ht="11.25" hidden="1" customHeight="1" outlineLevel="1">
      <c r="A12" s="1826" t="s">
        <v>1207</v>
      </c>
      <c r="B12" s="1105">
        <f>'Segment Detail'!Y90</f>
        <v>3774.4907408999998</v>
      </c>
      <c r="C12" s="1740">
        <f>'Segment Detail'!Z90</f>
        <v>3990.0799299893652</v>
      </c>
      <c r="D12" s="1740">
        <f>'Segment Detail'!AA90</f>
        <v>4470.2955228811479</v>
      </c>
      <c r="E12" s="1740">
        <f>'Segment Detail'!AB90</f>
        <v>4638.9468650105664</v>
      </c>
      <c r="F12" s="1740">
        <f>'Segment Detail'!AC90</f>
        <v>4462.5417397183865</v>
      </c>
      <c r="G12" s="1740">
        <f>'Segment Detail'!AD90</f>
        <v>4395.7259545005963</v>
      </c>
      <c r="H12" s="1740">
        <f>'Segment Detail'!AE90</f>
        <v>3885.1769222423109</v>
      </c>
      <c r="I12" s="1740">
        <f>'Segment Detail'!AF90</f>
        <v>3847.1615952932957</v>
      </c>
      <c r="J12" s="1740">
        <f>'Segment Detail'!AG90</f>
        <v>4316.4534645476988</v>
      </c>
      <c r="K12" s="1740">
        <f>'Segment Detail'!AH90</f>
        <v>4333.7175553410325</v>
      </c>
      <c r="L12" s="1740">
        <f>'Segment Detail'!AI90</f>
        <v>4143.7087486422452</v>
      </c>
      <c r="M12" s="1740">
        <f t="shared" ref="M12:T12" si="6">M8+M10</f>
        <v>4663.1081007825578</v>
      </c>
      <c r="N12" s="1740">
        <f t="shared" si="6"/>
        <v>4398.0079172208298</v>
      </c>
      <c r="O12" s="2710">
        <f t="shared" si="6"/>
        <v>4663.1081007825578</v>
      </c>
      <c r="P12" s="2710">
        <f t="shared" si="6"/>
        <v>4398.0079172208298</v>
      </c>
      <c r="Q12" s="1740">
        <f t="shared" si="6"/>
        <v>4652.8639556721682</v>
      </c>
      <c r="R12" s="1740">
        <f t="shared" si="6"/>
        <v>5280.4842986046215</v>
      </c>
      <c r="S12" s="2710">
        <f>R12</f>
        <v>5280.4842986046215</v>
      </c>
      <c r="T12" s="1740">
        <f t="shared" si="6"/>
        <v>5163.3452220290146</v>
      </c>
      <c r="U12" s="1740">
        <f>'Segment Detail'!AO90</f>
        <v>5413.8800485240799</v>
      </c>
      <c r="V12" s="1740">
        <f>'Segment Detail'!AP90</f>
        <v>6153.6828550188684</v>
      </c>
      <c r="W12" s="1740">
        <f>'Segment Detail'!AQ90</f>
        <v>6066.944292690474</v>
      </c>
      <c r="X12" s="1740">
        <f>'Segment Detail'!AR90</f>
        <v>6427.9463816385451</v>
      </c>
      <c r="Y12" s="1740">
        <f>'Segment Detail'!AS90</f>
        <v>7079.2454993733272</v>
      </c>
      <c r="Z12" s="1740">
        <f>'Segment Detail'!AT90</f>
        <v>6809.4403223688369</v>
      </c>
      <c r="AA12" s="1740">
        <f>'Segment Detail'!AU90</f>
        <v>6933.2272659042565</v>
      </c>
      <c r="AB12" s="1740">
        <f>'Segment Detail'!AV90</f>
        <v>7730.0912153743911</v>
      </c>
      <c r="AC12" s="1740">
        <f>'Segment Detail'!AW90</f>
        <v>7241.8693698266852</v>
      </c>
      <c r="AD12" s="1740">
        <f>'Segment Detail'!AX90</f>
        <v>7451.0189870752247</v>
      </c>
      <c r="AE12" s="1740">
        <f>'Segment Detail'!AY90</f>
        <v>8256.5009208489428</v>
      </c>
      <c r="AF12" s="6"/>
      <c r="AG12" s="1283"/>
      <c r="AH12" s="1283"/>
      <c r="AI12" s="1283"/>
      <c r="AJ12" s="1283"/>
      <c r="AK12" s="11"/>
      <c r="AL12" s="1106" t="str">
        <f t="shared" si="3"/>
        <v xml:space="preserve">Broadcast Network Revenue </v>
      </c>
      <c r="AM12" s="105">
        <f>AM8+AM10</f>
        <v>1335.1337833</v>
      </c>
      <c r="AN12" s="105">
        <f>AN8+AN10</f>
        <v>954.9773791737</v>
      </c>
      <c r="AO12" s="105">
        <f>AO8+AO10</f>
        <v>803.03666609790002</v>
      </c>
      <c r="AP12" s="105">
        <f>AP8+AP10</f>
        <v>1377.1476943095483</v>
      </c>
      <c r="AQ12" s="1120">
        <f>D12-SUM(AM12:AP12)</f>
        <v>0</v>
      </c>
      <c r="AR12" s="105">
        <f>AR8+AR10</f>
        <v>1297.9223681199999</v>
      </c>
      <c r="AS12" s="105">
        <f>AS8+AS10</f>
        <v>1044.0707791729831</v>
      </c>
      <c r="AT12" s="105">
        <f>AT8+AT10</f>
        <v>895.73435732196003</v>
      </c>
      <c r="AU12" s="105">
        <f>AU8+AU10</f>
        <v>1401.2193603956232</v>
      </c>
      <c r="AV12" s="1120">
        <f>E12-SUM(AR12:AU12)</f>
        <v>0</v>
      </c>
      <c r="AW12" s="105">
        <f>AW8+AW10</f>
        <v>1313.3394109298399</v>
      </c>
      <c r="AX12" s="105">
        <f>AX8+AX10</f>
        <v>1038.3571584358065</v>
      </c>
      <c r="AY12" s="105">
        <f>AY8+AY10</f>
        <v>890.8430092779671</v>
      </c>
      <c r="AZ12" s="105">
        <f>AZ8+AZ10</f>
        <v>1220.0021610747726</v>
      </c>
      <c r="BA12" s="1120">
        <f>F12-SUM(AW12:AZ12)</f>
        <v>0</v>
      </c>
      <c r="BB12" s="105">
        <f>BB8+BB10</f>
        <v>1411.3133602546241</v>
      </c>
      <c r="BC12" s="105">
        <f>BC8+BC10</f>
        <v>899.02650938743761</v>
      </c>
      <c r="BD12" s="105">
        <f>BD8+BD10</f>
        <v>867.11784574819603</v>
      </c>
      <c r="BE12" s="105">
        <f>BE8+BE10</f>
        <v>1218.2682391103385</v>
      </c>
      <c r="BF12" s="1120">
        <f>G12-SUM(BB12:BE12)</f>
        <v>0</v>
      </c>
      <c r="BG12" s="1283">
        <f>BG8+BG10</f>
        <v>1193.0870930495316</v>
      </c>
      <c r="BH12" s="1283">
        <f>BH8+BH10</f>
        <v>943.97783485680952</v>
      </c>
      <c r="BI12" s="1283">
        <f>BI8+BI10</f>
        <v>754.39252580093057</v>
      </c>
      <c r="BJ12" s="1283">
        <f>BJ8+BJ10</f>
        <v>993.7194685350396</v>
      </c>
      <c r="BK12" s="1120">
        <f>H12-SUM(BG12:BJ12)</f>
        <v>0</v>
      </c>
      <c r="BL12" s="1283">
        <f>BL8+BL10</f>
        <v>1090.4816030472718</v>
      </c>
      <c r="BM12" s="1283">
        <f>BM8+BM10</f>
        <v>910.93861063682118</v>
      </c>
      <c r="BN12" s="1283">
        <f>BN8+BN10</f>
        <v>754.39252580093057</v>
      </c>
      <c r="BO12" s="1283">
        <f>BO8+BO10</f>
        <v>1091.3488558082722</v>
      </c>
      <c r="BP12" s="1120">
        <f>I12-SUM(BL12:BO12)</f>
        <v>0</v>
      </c>
      <c r="BQ12" s="1283">
        <f>BQ8+BQ10</f>
        <v>1363.1020038090899</v>
      </c>
      <c r="BR12" s="1283">
        <f>BR8+BR10</f>
        <v>963.11054116866228</v>
      </c>
      <c r="BS12" s="1283">
        <f>BS8+BS10</f>
        <v>807.20000260699578</v>
      </c>
      <c r="BT12" s="1283">
        <f>BT8+BT10</f>
        <v>1183.0409169629506</v>
      </c>
      <c r="BU12" s="1120">
        <f>J12-SUM(BQ12:BT12)</f>
        <v>0</v>
      </c>
      <c r="BV12" s="1283">
        <f>BV8+BV10</f>
        <v>1254.0538435043627</v>
      </c>
      <c r="BW12" s="1283">
        <f>BW8+BW10</f>
        <v>992.00385740372212</v>
      </c>
      <c r="BX12" s="1283">
        <f>BX8+BX10</f>
        <v>815.27200263306577</v>
      </c>
      <c r="BY12" s="1283">
        <f>BY8+BY10</f>
        <v>1272.3878517998819</v>
      </c>
      <c r="BZ12" s="1120">
        <f>K12-SUM(BV12:BY12)</f>
        <v>0</v>
      </c>
      <c r="CA12" s="1740">
        <f>CA8+CA10</f>
        <v>1291.6754588094936</v>
      </c>
      <c r="CB12" s="1740">
        <f>CB8+CB10</f>
        <v>892.80347166334991</v>
      </c>
      <c r="CC12" s="1740">
        <f>CC8+CC10</f>
        <v>692.98120223810588</v>
      </c>
      <c r="CD12" s="1740">
        <f>CD8+CD10</f>
        <v>1266.2486159312957</v>
      </c>
      <c r="CE12" s="1741">
        <f>L12-SUM(CA12:CD12)</f>
        <v>0</v>
      </c>
      <c r="CF12" s="1740">
        <f>CF8+CF10</f>
        <v>1504.8019095130601</v>
      </c>
      <c r="CG12" s="1740">
        <f>CG8+CG10</f>
        <v>1017.795957696219</v>
      </c>
      <c r="CH12" s="1740">
        <f>CH8+CH10</f>
        <v>803.85819459620279</v>
      </c>
      <c r="CI12" s="1740">
        <f>CI8+CI10</f>
        <v>1336.6520389770758</v>
      </c>
      <c r="CJ12" s="1741">
        <f>M12-SUM(CF12:CI12)</f>
        <v>0</v>
      </c>
      <c r="CK12" s="1743">
        <f>CK8+CK10</f>
        <v>1226.413556253144</v>
      </c>
      <c r="CL12" s="1743">
        <f>CL8+CL10</f>
        <v>966.90615981140809</v>
      </c>
      <c r="CM12" s="1743">
        <f>CM8+CM10</f>
        <v>811.89677654216484</v>
      </c>
      <c r="CN12" s="1740">
        <f>CN8+CN10</f>
        <v>1392.7914246141131</v>
      </c>
      <c r="CO12" s="1741">
        <f>$N12-SUM(CK12:CN12)</f>
        <v>0</v>
      </c>
      <c r="CP12" s="1743">
        <f>CP8+CP10</f>
        <v>1227.6399698093969</v>
      </c>
      <c r="CQ12" s="1743">
        <f>CQ8+CQ10</f>
        <v>1012.3507493225442</v>
      </c>
      <c r="CR12" s="1743">
        <f>CR8+CR10</f>
        <v>865.48196379394778</v>
      </c>
      <c r="CS12" s="1740">
        <f>CS8+CS10</f>
        <v>1547.3912727462796</v>
      </c>
      <c r="CT12" s="1741">
        <f>$Q12-SUM(CP12:CS12)</f>
        <v>0</v>
      </c>
      <c r="CU12" s="2824">
        <f>CU8+CU10</f>
        <v>1832.8664749254294</v>
      </c>
      <c r="CV12" s="2824">
        <f>CV8+CV10</f>
        <v>1058.7164136415167</v>
      </c>
      <c r="CW12" s="2824">
        <f>CW8+CW10</f>
        <v>905.72687511036634</v>
      </c>
      <c r="CX12" s="2824">
        <f>CX8+CX10</f>
        <v>1483.174534927309</v>
      </c>
      <c r="CY12" s="2835">
        <f>S12-SUM(CU12:CX12)</f>
        <v>0</v>
      </c>
      <c r="CZ12" s="2824">
        <f>CZ8+CZ10</f>
        <v>1476.3739455524335</v>
      </c>
      <c r="DA12" s="2824">
        <f>DA8+DA10</f>
        <v>1181.5804534446147</v>
      </c>
      <c r="DB12" s="2824">
        <f>DB8+DB10</f>
        <v>954.63612636632615</v>
      </c>
      <c r="DC12" s="2824">
        <f>DC8+DC10</f>
        <v>1550.7546966656403</v>
      </c>
      <c r="DD12" s="2835">
        <f>T12-SUM(CZ12:DC12)</f>
        <v>0</v>
      </c>
      <c r="DE12" s="2824">
        <f t="shared" ref="DE12:DF12" si="7">DE8+DE10</f>
        <v>1573.8467440851937</v>
      </c>
      <c r="DF12" s="2824">
        <f t="shared" si="7"/>
        <v>1180.0179601444288</v>
      </c>
      <c r="DG12" s="2824">
        <f>DG8+DG10</f>
        <v>1034.4625257831915</v>
      </c>
      <c r="DH12" s="2824">
        <f>DH8+DH10</f>
        <v>1625.5528185112667</v>
      </c>
      <c r="DI12" s="2835">
        <f t="shared" si="5"/>
        <v>0</v>
      </c>
      <c r="DJ12" s="1120"/>
      <c r="DK12" s="1740"/>
      <c r="DL12" s="1108"/>
      <c r="DM12" s="1108"/>
      <c r="DN12" s="1108"/>
      <c r="DO12" s="1108"/>
      <c r="DP12" s="1108"/>
      <c r="DQ12" s="1108"/>
      <c r="DR12" s="1108"/>
      <c r="DS12" s="1108"/>
      <c r="DT12" s="1108"/>
      <c r="DU12" s="1108"/>
      <c r="DV12" s="1108"/>
      <c r="DW12" s="1108"/>
    </row>
    <row r="13" spans="1:127" ht="11.25" hidden="1" customHeight="1" outlineLevel="1">
      <c r="A13" s="1827" t="s">
        <v>344</v>
      </c>
      <c r="B13" s="1364">
        <f>'Segment Detail'!Y91</f>
        <v>2.338751181666221E-2</v>
      </c>
      <c r="C13" s="1364">
        <f t="shared" ref="C13:J13" si="8">C12/B12-1</f>
        <v>5.71174242801189E-2</v>
      </c>
      <c r="D13" s="1364">
        <f t="shared" si="8"/>
        <v>0.12035237421749168</v>
      </c>
      <c r="E13" s="1364">
        <f t="shared" si="8"/>
        <v>3.7727112506584559E-2</v>
      </c>
      <c r="F13" s="1364">
        <f t="shared" si="8"/>
        <v>-3.8026976903469678E-2</v>
      </c>
      <c r="G13" s="1364">
        <f t="shared" si="8"/>
        <v>-1.4972584933627187E-2</v>
      </c>
      <c r="H13" s="1364">
        <f t="shared" si="8"/>
        <v>-0.11614669284275014</v>
      </c>
      <c r="I13" s="1364">
        <f t="shared" si="8"/>
        <v>-9.7847093478241609E-3</v>
      </c>
      <c r="J13" s="1364">
        <f t="shared" si="8"/>
        <v>0.12198392441548211</v>
      </c>
      <c r="K13" s="1364">
        <f t="shared" ref="K13:W13" si="9">K12/J12-1</f>
        <v>3.9996008146800932E-3</v>
      </c>
      <c r="L13" s="1364">
        <f t="shared" si="9"/>
        <v>-4.3844298635616785E-2</v>
      </c>
      <c r="M13" s="1364">
        <f t="shared" si="9"/>
        <v>0.12534649118630803</v>
      </c>
      <c r="N13" s="1364">
        <f t="shared" si="9"/>
        <v>-5.6850533556629168E-2</v>
      </c>
      <c r="O13" s="2711">
        <f>O12/L12-1</f>
        <v>0.12534649118630803</v>
      </c>
      <c r="P13" s="2711">
        <f t="shared" si="9"/>
        <v>-5.6850533556629168E-2</v>
      </c>
      <c r="Q13" s="1364">
        <f t="shared" si="9"/>
        <v>5.7948062679338275E-2</v>
      </c>
      <c r="R13" s="1364">
        <f t="shared" si="9"/>
        <v>0.13488903800149576</v>
      </c>
      <c r="S13" s="2828"/>
      <c r="T13" s="2827">
        <f>T12/R12-1</f>
        <v>-2.2183396437058023E-2</v>
      </c>
      <c r="U13" s="2827">
        <f t="shared" si="9"/>
        <v>4.8521804319063833E-2</v>
      </c>
      <c r="V13" s="2827">
        <f t="shared" si="9"/>
        <v>0.13664927923485704</v>
      </c>
      <c r="W13" s="2827">
        <f t="shared" si="9"/>
        <v>-1.4095390414481823E-2</v>
      </c>
      <c r="X13" s="1364">
        <f t="shared" ref="X13:AE13" si="10">X12/W12-1</f>
        <v>5.9503115824387942E-2</v>
      </c>
      <c r="Y13" s="1364">
        <f t="shared" si="10"/>
        <v>0.10132304768366152</v>
      </c>
      <c r="Z13" s="1364">
        <f t="shared" si="10"/>
        <v>-3.8112137377969701E-2</v>
      </c>
      <c r="AA13" s="1364">
        <f t="shared" si="10"/>
        <v>1.8178725075067126E-2</v>
      </c>
      <c r="AB13" s="1364">
        <f t="shared" si="10"/>
        <v>0.11493405868705575</v>
      </c>
      <c r="AC13" s="1364">
        <f t="shared" si="10"/>
        <v>-6.3158613778926731E-2</v>
      </c>
      <c r="AD13" s="1364">
        <f t="shared" si="10"/>
        <v>2.888061169950995E-2</v>
      </c>
      <c r="AE13" s="1364">
        <f t="shared" si="10"/>
        <v>0.10810359430984318</v>
      </c>
      <c r="AF13" s="6"/>
      <c r="AG13" s="1104"/>
      <c r="AH13" s="1104"/>
      <c r="AI13" s="1104"/>
      <c r="AJ13" s="1104"/>
      <c r="AK13" s="1042"/>
      <c r="AL13" s="1294" t="str">
        <f t="shared" si="3"/>
        <v xml:space="preserve">% Change </v>
      </c>
      <c r="AM13" s="1286" t="s">
        <v>1455</v>
      </c>
      <c r="AN13" s="1286" t="s">
        <v>1455</v>
      </c>
      <c r="AO13" s="1286" t="s">
        <v>1455</v>
      </c>
      <c r="AP13" s="1286" t="s">
        <v>1455</v>
      </c>
      <c r="AQ13" s="1293"/>
      <c r="AR13" s="1104">
        <f>AR12/AM12-1</f>
        <v>-2.7870926228850346E-2</v>
      </c>
      <c r="AS13" s="1104">
        <f>AS12/AN12-1</f>
        <v>9.329372814712289E-2</v>
      </c>
      <c r="AT13" s="1104">
        <f>AT12/AO12-1</f>
        <v>0.11543394609177038</v>
      </c>
      <c r="AU13" s="1104">
        <f>AU12/AP12-1</f>
        <v>1.7479364185511992E-2</v>
      </c>
      <c r="AV13" s="1293"/>
      <c r="AW13" s="1104">
        <f>AW12/AR12-1</f>
        <v>1.1878247257708585E-2</v>
      </c>
      <c r="AX13" s="1104">
        <f>AX12/AS12-1</f>
        <v>-5.4724457873462917E-3</v>
      </c>
      <c r="AY13" s="1104">
        <f>AY12/AT12-1</f>
        <v>-5.4607127704880964E-3</v>
      </c>
      <c r="AZ13" s="1104">
        <f>AZ12/AU12-1</f>
        <v>-0.12932821544064688</v>
      </c>
      <c r="BA13" s="1293"/>
      <c r="BB13" s="1104">
        <f>BB12/AW12-1</f>
        <v>7.4599108584900264E-2</v>
      </c>
      <c r="BC13" s="1104">
        <f>BC12/AX12-1</f>
        <v>-0.13418374199707761</v>
      </c>
      <c r="BD13" s="1104">
        <f>BD12/AY12-1</f>
        <v>-2.6632260996244939E-2</v>
      </c>
      <c r="BE13" s="1104">
        <f>BE12/AZ12-1</f>
        <v>-1.4212449942765382E-3</v>
      </c>
      <c r="BF13" s="1293"/>
      <c r="BG13" s="1104">
        <f>BG12/BB12-1</f>
        <v>-0.15462637380951372</v>
      </c>
      <c r="BH13" s="1104">
        <f>BH12/BC12-1</f>
        <v>5.0000000000000044E-2</v>
      </c>
      <c r="BI13" s="1104">
        <f>BI12/BD12-1</f>
        <v>-0.13</v>
      </c>
      <c r="BJ13" s="1104">
        <f>BJ12/BE12-1</f>
        <v>-0.18431800433316681</v>
      </c>
      <c r="BK13" s="1293"/>
      <c r="BL13" s="1104">
        <f>BL12/BG12-1</f>
        <v>-8.6000000000000076E-2</v>
      </c>
      <c r="BM13" s="1104">
        <f>BM12/BH12-1</f>
        <v>-3.5000000000000031E-2</v>
      </c>
      <c r="BN13" s="1104">
        <f>BN12/BI12-1</f>
        <v>0</v>
      </c>
      <c r="BO13" s="1104">
        <f>BO12/BJ12-1</f>
        <v>9.8246427049637708E-2</v>
      </c>
      <c r="BP13" s="1293"/>
      <c r="BQ13" s="1104">
        <f>BQ12/BL12-1</f>
        <v>0.25</v>
      </c>
      <c r="BR13" s="1104">
        <f>BR12/BM12-1</f>
        <v>5.7272718405654732E-2</v>
      </c>
      <c r="BS13" s="1104">
        <f>BS12/BN12-1</f>
        <v>7.0000000000000062E-2</v>
      </c>
      <c r="BT13" s="1104">
        <f>BT12/BO12-1</f>
        <v>8.4017187232738433E-2</v>
      </c>
      <c r="BU13" s="186"/>
      <c r="BV13" s="1104">
        <f>BV12/BQ12-1</f>
        <v>-7.999999999999996E-2</v>
      </c>
      <c r="BW13" s="1104">
        <f>BW12/BR12-1</f>
        <v>3.0000000000000027E-2</v>
      </c>
      <c r="BX13" s="1104">
        <f>BX12/BS12-1</f>
        <v>1.0000000000000009E-2</v>
      </c>
      <c r="BY13" s="1104">
        <f>BY12/BT12-1</f>
        <v>7.5523114674933334E-2</v>
      </c>
      <c r="BZ13" s="186"/>
      <c r="CA13" s="1364">
        <f>CA12/BV12-1</f>
        <v>3.0000000000000027E-2</v>
      </c>
      <c r="CB13" s="1364">
        <f>CB12/BW12-1</f>
        <v>-9.9999999999999978E-2</v>
      </c>
      <c r="CC13" s="1364">
        <f>CC12/BX12-1</f>
        <v>-0.15000000000000002</v>
      </c>
      <c r="CD13" s="1364">
        <f>CD12/BY12-1</f>
        <v>-4.8249720868537294E-3</v>
      </c>
      <c r="CE13" s="1477"/>
      <c r="CF13" s="1364">
        <f>CF12/CA12-1</f>
        <v>0.16500000000000004</v>
      </c>
      <c r="CG13" s="1364">
        <f>CG12/CB12-1</f>
        <v>0.14000000000000012</v>
      </c>
      <c r="CH13" s="1364">
        <f>CH12/CC12-1</f>
        <v>0.15999999999999992</v>
      </c>
      <c r="CI13" s="1364">
        <f>CI12/CD12-1</f>
        <v>5.5600000000000094E-2</v>
      </c>
      <c r="CJ13" s="1477"/>
      <c r="CK13" s="1364">
        <f>CK12/CF12-1</f>
        <v>-0.18500000000000005</v>
      </c>
      <c r="CL13" s="1364">
        <f>CL12/CG12-1</f>
        <v>-5.0000000000000044E-2</v>
      </c>
      <c r="CM13" s="1364">
        <f>CM12/CH12-1</f>
        <v>1.0000000000000009E-2</v>
      </c>
      <c r="CN13" s="1364">
        <f>CN12/CI12-1</f>
        <v>4.2000000000000037E-2</v>
      </c>
      <c r="CO13" s="1741"/>
      <c r="CP13" s="2008">
        <f>CP12/CK12-1</f>
        <v>9.9999999999988987E-4</v>
      </c>
      <c r="CQ13" s="2008">
        <f>CQ12/CL12-1</f>
        <v>4.6999999999999931E-2</v>
      </c>
      <c r="CR13" s="2008">
        <f>CR12/CM12-1</f>
        <v>6.6000000000000059E-2</v>
      </c>
      <c r="CS13" s="1364">
        <f>CS12/CN12-1</f>
        <v>0.11099999999999999</v>
      </c>
      <c r="CT13" s="1477"/>
      <c r="CU13" s="2827">
        <f>CU12/CP12-1</f>
        <v>0.49299999999999988</v>
      </c>
      <c r="CV13" s="2827">
        <f>CV12/CQ12-1</f>
        <v>4.5800000000000063E-2</v>
      </c>
      <c r="CW13" s="2827">
        <f>CW12/CR12-1</f>
        <v>4.6499999999999986E-2</v>
      </c>
      <c r="CX13" s="2827">
        <f>CX12/CS12-1</f>
        <v>-4.1499999999999981E-2</v>
      </c>
      <c r="CY13" s="2835"/>
      <c r="CZ13" s="2827">
        <f>CZ12/CU12-1</f>
        <v>-0.1944999999999999</v>
      </c>
      <c r="DA13" s="2827">
        <f>DA12/CV12-1</f>
        <v>0.11604999999999999</v>
      </c>
      <c r="DB13" s="2827">
        <f>DB12/CW12-1</f>
        <v>5.4000000000000048E-2</v>
      </c>
      <c r="DC13" s="2827">
        <f>DC12/CX12-1</f>
        <v>4.5564537515231374E-2</v>
      </c>
      <c r="DD13" s="2835"/>
      <c r="DE13" s="2827">
        <f t="shared" ref="DE13:DF13" si="11">DE12/CZ12-1</f>
        <v>6.6021754736593996E-2</v>
      </c>
      <c r="DF13" s="2827">
        <f t="shared" si="11"/>
        <v>-1.3223757177354134E-3</v>
      </c>
      <c r="DG13" s="2827">
        <f>DG12/DB12-1</f>
        <v>8.3619713534948792E-2</v>
      </c>
      <c r="DH13" s="2827">
        <f>DH12/DC12-1</f>
        <v>4.8233367924955362E-2</v>
      </c>
      <c r="DI13" s="2835"/>
      <c r="DJ13" s="1120"/>
      <c r="DK13" s="1364"/>
      <c r="DL13" s="1108"/>
      <c r="DM13" s="1108"/>
      <c r="DN13" s="1108"/>
      <c r="DO13" s="1108"/>
      <c r="DP13" s="1108"/>
      <c r="DQ13" s="1108"/>
      <c r="DR13" s="1108"/>
      <c r="DS13" s="1108"/>
      <c r="DT13" s="1108"/>
      <c r="DU13" s="1108"/>
      <c r="DV13" s="1108"/>
      <c r="DW13" s="1108"/>
    </row>
    <row r="14" spans="1:127" ht="6" hidden="1" customHeight="1" outlineLevel="1">
      <c r="A14" s="1828"/>
      <c r="B14" s="1779"/>
      <c r="C14" s="1779"/>
      <c r="D14" s="1779"/>
      <c r="E14" s="1779"/>
      <c r="F14" s="1779"/>
      <c r="G14" s="1779"/>
      <c r="H14" s="1779"/>
      <c r="I14" s="1779"/>
      <c r="J14" s="1779"/>
      <c r="K14" s="1779"/>
      <c r="L14" s="1779"/>
      <c r="M14" s="1779"/>
      <c r="N14" s="1779"/>
      <c r="O14" s="2713"/>
      <c r="P14" s="2713"/>
      <c r="Q14" s="1779"/>
      <c r="R14" s="1779"/>
      <c r="S14" s="3114"/>
      <c r="T14" s="3115"/>
      <c r="U14" s="3115"/>
      <c r="V14" s="3115"/>
      <c r="W14" s="3115"/>
      <c r="X14" s="1779"/>
      <c r="Y14" s="1779"/>
      <c r="Z14" s="1779"/>
      <c r="AA14" s="1779"/>
      <c r="AB14" s="1779"/>
      <c r="AC14" s="1779"/>
      <c r="AD14" s="1779"/>
      <c r="AE14" s="1779"/>
      <c r="AF14" s="6"/>
      <c r="AG14" s="256"/>
      <c r="AH14" s="256"/>
      <c r="AI14" s="256"/>
      <c r="AJ14" s="256"/>
      <c r="AK14" s="49"/>
      <c r="AL14" s="1106"/>
      <c r="AM14" s="256"/>
      <c r="AN14" s="256"/>
      <c r="AO14" s="256"/>
      <c r="AP14" s="256"/>
      <c r="AQ14" s="1295"/>
      <c r="AR14" s="256"/>
      <c r="AS14" s="256"/>
      <c r="AT14" s="256"/>
      <c r="AU14" s="256"/>
      <c r="AV14" s="1295"/>
      <c r="AW14" s="256"/>
      <c r="AX14" s="256"/>
      <c r="AY14" s="256"/>
      <c r="AZ14" s="256"/>
      <c r="BA14" s="1295"/>
      <c r="BB14" s="256"/>
      <c r="BC14" s="256"/>
      <c r="BD14" s="256"/>
      <c r="BE14" s="256"/>
      <c r="BF14" s="1295"/>
      <c r="BG14" s="256"/>
      <c r="BH14" s="256"/>
      <c r="BI14" s="256"/>
      <c r="BJ14" s="256"/>
      <c r="BK14" s="1295"/>
      <c r="BL14" s="256"/>
      <c r="BM14" s="256"/>
      <c r="BN14" s="256"/>
      <c r="BO14" s="256"/>
      <c r="BP14" s="1295"/>
      <c r="BQ14" s="11"/>
      <c r="BR14" s="11"/>
      <c r="BS14" s="11"/>
      <c r="BT14" s="11"/>
      <c r="BU14" s="14"/>
      <c r="BV14" s="11"/>
      <c r="BW14" s="11"/>
      <c r="BX14" s="11"/>
      <c r="BY14" s="11"/>
      <c r="BZ14" s="11"/>
      <c r="CA14" s="1108"/>
      <c r="CB14" s="1108"/>
      <c r="CC14" s="1108"/>
      <c r="CD14" s="1108"/>
      <c r="CE14" s="1108"/>
      <c r="CF14" s="1108"/>
      <c r="CG14" s="1108"/>
      <c r="CH14" s="1108"/>
      <c r="CI14" s="1108"/>
      <c r="CJ14" s="1108"/>
      <c r="CK14" s="1470"/>
      <c r="CL14" s="1470"/>
      <c r="CM14" s="1470"/>
      <c r="CN14" s="1108"/>
      <c r="CO14" s="1741"/>
      <c r="CP14" s="1470"/>
      <c r="CQ14" s="1470"/>
      <c r="CR14" s="1470"/>
      <c r="CS14" s="1108"/>
      <c r="CT14" s="1108"/>
      <c r="CU14" s="2862"/>
      <c r="CV14" s="2862"/>
      <c r="CW14" s="2862"/>
      <c r="CX14" s="2862"/>
      <c r="CY14" s="2862"/>
      <c r="CZ14" s="2862"/>
      <c r="DA14" s="2862"/>
      <c r="DB14" s="2862"/>
      <c r="DC14" s="2862"/>
      <c r="DD14" s="2835"/>
      <c r="DE14" s="2835"/>
      <c r="DF14" s="2835"/>
      <c r="DG14" s="2835"/>
      <c r="DH14" s="2835"/>
      <c r="DI14" s="2835"/>
      <c r="DJ14" s="2835"/>
      <c r="DK14" s="1364"/>
      <c r="DL14" s="1108"/>
      <c r="DM14" s="1108"/>
      <c r="DN14" s="1108"/>
      <c r="DO14" s="1108"/>
      <c r="DP14" s="1108"/>
      <c r="DQ14" s="1108"/>
      <c r="DR14" s="1108"/>
      <c r="DS14" s="1108"/>
      <c r="DT14" s="1108"/>
      <c r="DU14" s="1108"/>
      <c r="DV14" s="1108"/>
      <c r="DW14" s="1108"/>
    </row>
    <row r="15" spans="1:127" ht="11.25" hidden="1" customHeight="1" outlineLevel="1">
      <c r="A15" s="1826" t="s">
        <v>1064</v>
      </c>
      <c r="B15" s="1105">
        <f>'Segment Detail'!Y103</f>
        <v>1913.555129327505</v>
      </c>
      <c r="C15" s="1105">
        <f>'Segment Detail'!Z103</f>
        <v>1981.6776929582929</v>
      </c>
      <c r="D15" s="1105">
        <f>'Segment Detail'!AA103</f>
        <v>2128.4558098613525</v>
      </c>
      <c r="E15" s="1105">
        <f>'Segment Detail'!AB103</f>
        <v>1845.8861815270673</v>
      </c>
      <c r="F15" s="1105">
        <f>'Segment Detail'!AC103</f>
        <v>2002.0693590557812</v>
      </c>
      <c r="G15" s="1105">
        <f>'Segment Detail'!AD103</f>
        <v>1788.3902006308772</v>
      </c>
      <c r="H15" s="1636">
        <f>SUM(BG15:BJ15)</f>
        <v>2569.9440777576883</v>
      </c>
      <c r="I15" s="1636">
        <f>SUM(BL15:BO15)</f>
        <v>2588.6159585192045</v>
      </c>
      <c r="J15" s="1636">
        <f>SUM(BQ15:BT15)</f>
        <v>2416.6333323104564</v>
      </c>
      <c r="K15" s="1636">
        <f>SUM(BV15:BY15)</f>
        <v>2468.760347406459</v>
      </c>
      <c r="L15" s="1636">
        <f>SUM(CA15:CD15)</f>
        <v>2867.2296423241323</v>
      </c>
      <c r="M15" s="1780">
        <f>SUM(CF15:CI15)</f>
        <v>3221.8038914121935</v>
      </c>
      <c r="N15" s="1780">
        <f>SUM(CK15:CN15)</f>
        <v>3160.8345434856483</v>
      </c>
      <c r="O15" s="2710">
        <f>M15</f>
        <v>3221.8038914121935</v>
      </c>
      <c r="P15" s="2710">
        <f>N15</f>
        <v>3160.8345434856483</v>
      </c>
      <c r="Q15" s="1780">
        <f>SUM(CP15:CS15)</f>
        <v>3013.0286887855809</v>
      </c>
      <c r="R15" s="1780">
        <f>SUM(CU15:CX15)</f>
        <v>2809.8046287953584</v>
      </c>
      <c r="S15" s="3116">
        <f>R15</f>
        <v>2809.8046287953584</v>
      </c>
      <c r="T15" s="1780">
        <f>SUM(CZ15:DC15)</f>
        <v>2939.0501164532961</v>
      </c>
      <c r="U15" s="3117">
        <f>+'TV Production and Syndication'!S46</f>
        <v>3060.772228956193</v>
      </c>
      <c r="V15" s="3117">
        <f>+'TV Production and Syndication'!T46</f>
        <v>3172.6958766558755</v>
      </c>
      <c r="W15" s="3117">
        <f>+'TV Production and Syndication'!U46</f>
        <v>3286.0159599292197</v>
      </c>
      <c r="X15" s="3117">
        <f>+'TV Production and Syndication'!V46</f>
        <v>3405.869108267314</v>
      </c>
      <c r="Y15" s="2231">
        <f>+'TV Production and Syndication'!W46</f>
        <v>3522.9663458688424</v>
      </c>
      <c r="Z15" s="2231">
        <f>+'TV Production and Syndication'!X46</f>
        <v>3636.7061506623618</v>
      </c>
      <c r="AA15" s="2231">
        <f>+'TV Production and Syndication'!Y46</f>
        <v>3745.3551608694688</v>
      </c>
      <c r="AB15" s="2231">
        <f>+'TV Production and Syndication'!Z46</f>
        <v>3848.127692991633</v>
      </c>
      <c r="AC15" s="2231">
        <f>+'TV Production and Syndication'!AA46</f>
        <v>3944.2371303629393</v>
      </c>
      <c r="AD15" s="2231">
        <f>+'TV Production and Syndication'!AB46</f>
        <v>4031.6137340485657</v>
      </c>
      <c r="AE15" s="2231">
        <f>+'TV Production and Syndication'!AC46</f>
        <v>4112.0196194560413</v>
      </c>
      <c r="AF15" s="6"/>
      <c r="AG15" s="105"/>
      <c r="AH15" s="105"/>
      <c r="AI15" s="105"/>
      <c r="AJ15" s="105"/>
      <c r="AK15" s="49"/>
      <c r="AL15" s="1106" t="str">
        <f t="shared" si="3"/>
        <v>TV Prod. &amp; Synd. Revenue</v>
      </c>
      <c r="AM15" s="105">
        <f>'Segment Detail'!CO103</f>
        <v>506.43497189039977</v>
      </c>
      <c r="AN15" s="105">
        <f>'Segment Detail'!CP103</f>
        <v>624.67450686824736</v>
      </c>
      <c r="AO15" s="105">
        <f>'Segment Detail'!CQ103</f>
        <v>722.21781819068815</v>
      </c>
      <c r="AP15" s="105">
        <f>'Segment Detail'!CR103</f>
        <v>275.12851291201673</v>
      </c>
      <c r="AQ15" s="1120">
        <f>D15-SUM(AM15:AP15)</f>
        <v>0</v>
      </c>
      <c r="AR15" s="105">
        <f>'Segment Detail'!CT103</f>
        <v>448.70527509479984</v>
      </c>
      <c r="AS15" s="105">
        <f>'Segment Detail'!CU103</f>
        <v>529.44555028770549</v>
      </c>
      <c r="AT15" s="105">
        <f>'Segment Detail'!CV103</f>
        <v>560.91498272447564</v>
      </c>
      <c r="AU15" s="105">
        <f>'Segment Detail'!CW103</f>
        <v>306.82037342008573</v>
      </c>
      <c r="AV15" s="1120">
        <f>E15-SUM(AR15:AU15)</f>
        <v>0</v>
      </c>
      <c r="AW15" s="105">
        <f>'Segment Detail'!CY103</f>
        <v>531.3523143785867</v>
      </c>
      <c r="AX15" s="105">
        <f>'Segment Detail'!CZ103</f>
        <v>448.72100476340063</v>
      </c>
      <c r="AY15" s="105">
        <f>'Segment Detail'!DA103</f>
        <v>509.85011467315377</v>
      </c>
      <c r="AZ15" s="105">
        <f>'Segment Detail'!DB103</f>
        <v>512.14592524064005</v>
      </c>
      <c r="BA15" s="1120">
        <f>F15-SUM(AW15:AZ15)</f>
        <v>0</v>
      </c>
      <c r="BB15" s="105">
        <f>'Segment Detail'!DD103</f>
        <v>396.06523275675772</v>
      </c>
      <c r="BC15" s="105">
        <f>'Segment Detail'!DE103</f>
        <v>473.68735558245936</v>
      </c>
      <c r="BD15" s="105">
        <f>'Segment Detail'!DF103</f>
        <v>439.58093328439116</v>
      </c>
      <c r="BE15" s="105">
        <f>'Segment Detail'!DG103</f>
        <v>479.05667900726894</v>
      </c>
      <c r="BF15" s="1120">
        <f>G15-SUM(BB15:BE15)</f>
        <v>0</v>
      </c>
      <c r="BG15" s="108">
        <f>BG27-BG18-BG12</f>
        <v>707.91290695046837</v>
      </c>
      <c r="BH15" s="108">
        <f>BH27-BH18-BH12</f>
        <v>570.92216514319034</v>
      </c>
      <c r="BI15" s="108">
        <f>BI27-BI18-BI12</f>
        <v>726.10747419906943</v>
      </c>
      <c r="BJ15" s="108">
        <f>BJ27-BJ18-BJ12</f>
        <v>565.00153146496041</v>
      </c>
      <c r="BK15" s="1120">
        <f>H15-SUM(BG15:BJ15)</f>
        <v>0</v>
      </c>
      <c r="BL15" s="108">
        <f>BL27-BL18-BL12</f>
        <v>592.81839695272811</v>
      </c>
      <c r="BM15" s="108">
        <f>BM27-BM18-BM12</f>
        <v>477.46138936317891</v>
      </c>
      <c r="BN15" s="108">
        <f>BN27-BN18-BN12</f>
        <v>951.81747419906947</v>
      </c>
      <c r="BO15" s="108">
        <f>BO27-BO18-BO12</f>
        <v>566.51869800422764</v>
      </c>
      <c r="BP15" s="1120">
        <f>I15-SUM(BL15:BO15)</f>
        <v>0</v>
      </c>
      <c r="BQ15" s="108">
        <f>BQ27-BQ18-BQ12-BQ24</f>
        <v>569.14668535891019</v>
      </c>
      <c r="BR15" s="108">
        <f>BR27-BR18-BR12-BR24</f>
        <v>544.64038811225362</v>
      </c>
      <c r="BS15" s="108">
        <f>BS27-BS18-BS12-BS24</f>
        <v>656.07409677597491</v>
      </c>
      <c r="BT15" s="108">
        <f>BT27-BT18-BT12-BT24</f>
        <v>646.77216206331809</v>
      </c>
      <c r="BU15" s="1120">
        <f>J15-SUM(BQ15:BT15)</f>
        <v>0</v>
      </c>
      <c r="BV15" s="108">
        <f>BV27-BV18-BV12-BV24</f>
        <v>589.8274981589534</v>
      </c>
      <c r="BW15" s="108">
        <f>BW27-BW18-BW12-BW24</f>
        <v>690.38584982234465</v>
      </c>
      <c r="BX15" s="108">
        <f>BX27-BX18-BX12-BX24</f>
        <v>665.94242004033276</v>
      </c>
      <c r="BY15" s="108">
        <f>BY27-BY18-BY12-BY24</f>
        <v>522.60457938482818</v>
      </c>
      <c r="BZ15" s="1120">
        <f>K15-SUM(BV15:BY15)</f>
        <v>0</v>
      </c>
      <c r="CA15" s="1636">
        <f>CA27-CA18-CA12-CA24</f>
        <v>870.16726249952762</v>
      </c>
      <c r="CB15" s="1636">
        <f>CB27-CB18-CB12-CB24</f>
        <v>654.00180949046035</v>
      </c>
      <c r="CC15" s="1636">
        <f>CC27-CC18-CC12-CC24</f>
        <v>829.29030966694086</v>
      </c>
      <c r="CD15" s="1636">
        <f>CD27-CD18-CD12-CD24</f>
        <v>513.77026066720396</v>
      </c>
      <c r="CE15" s="1741">
        <f>L15-SUM(CA15:CD15)</f>
        <v>0</v>
      </c>
      <c r="CF15" s="1636">
        <f>CF27-CF18-CF12-CF24</f>
        <v>877.85966478294108</v>
      </c>
      <c r="CG15" s="1636">
        <f>CG27-CG18-CG12-CG24</f>
        <v>809.36735177367643</v>
      </c>
      <c r="CH15" s="1636">
        <f>CH27-CH18-CH12-CH24</f>
        <v>905.69145357481261</v>
      </c>
      <c r="CI15" s="1636">
        <f>CI27-CI18-CI12-CI24</f>
        <v>628.88542128076392</v>
      </c>
      <c r="CJ15" s="1741">
        <f>M15-SUM(CF15:CI15)</f>
        <v>0</v>
      </c>
      <c r="CK15" s="1636">
        <f>CK27-CK18-CK12-CK24</f>
        <v>910.55191645197897</v>
      </c>
      <c r="CL15" s="1636">
        <f>CL27-CL18-CL12-CL24</f>
        <v>699.55811605505778</v>
      </c>
      <c r="CM15" s="1636">
        <f>CM27-CM18-CM12-CM24</f>
        <v>916.82130192457112</v>
      </c>
      <c r="CN15" s="1636">
        <f>CN27-CN18-CN12-CN24</f>
        <v>633.90320905404019</v>
      </c>
      <c r="CO15" s="1741">
        <f>$N15-SUM(CK15:CN15)</f>
        <v>0</v>
      </c>
      <c r="CP15" s="1636">
        <f>CP27-CP18-CP12-CP24</f>
        <v>868.06770178069382</v>
      </c>
      <c r="CQ15" s="1636">
        <f>CQ27-CQ18-CQ12-CQ24</f>
        <v>594.99305566569672</v>
      </c>
      <c r="CR15" s="1636">
        <f>CR27-CR18-CR12-CR24</f>
        <v>877.10649308010591</v>
      </c>
      <c r="CS15" s="1636">
        <f>CS27-CS18-CS12-CS24</f>
        <v>672.86143825908425</v>
      </c>
      <c r="CT15" s="1741">
        <f>$Q15-SUM(CP15:CS15)</f>
        <v>0</v>
      </c>
      <c r="CU15" s="2970">
        <f>CU27-CU18-CU12-CU24</f>
        <v>586.03648863560056</v>
      </c>
      <c r="CV15" s="2970">
        <f>CV27-CV18-CV12-CV24</f>
        <v>703.19546012520073</v>
      </c>
      <c r="CW15" s="2970">
        <f>CW27-CW18-CW12-CW24</f>
        <v>850.52745657946207</v>
      </c>
      <c r="CX15" s="2970">
        <f>CX27-CX18-CX12-CX24</f>
        <v>670.04522345509508</v>
      </c>
      <c r="CY15" s="2835">
        <f>S15-SUM(CU15:CX15)</f>
        <v>0</v>
      </c>
      <c r="CZ15" s="2970">
        <f>CZ27-CZ18-CZ12-CZ24</f>
        <v>686.54770168227947</v>
      </c>
      <c r="DA15" s="2970">
        <f>DA27-DA18-DA12-DA24</f>
        <v>800.43875972551064</v>
      </c>
      <c r="DB15" s="2970">
        <f>DB27-DB18-DB12-DB24</f>
        <v>648.00938689939176</v>
      </c>
      <c r="DC15" s="2970">
        <f>CX15*(1+DC16)</f>
        <v>804.05426814611405</v>
      </c>
      <c r="DD15" s="2835">
        <f>T15-SUM(CZ15:DC15)</f>
        <v>0</v>
      </c>
      <c r="DE15" s="2835">
        <f>CZ15*(1+DE16)</f>
        <v>652.22031659816548</v>
      </c>
      <c r="DF15" s="2835">
        <f t="shared" ref="DF15:DG15" si="12">DA15*(1+DF16)</f>
        <v>832.45631011453111</v>
      </c>
      <c r="DG15" s="2835">
        <f t="shared" si="12"/>
        <v>745.21079493430045</v>
      </c>
      <c r="DH15" s="2970">
        <f>U15-SUM(DE15:DG15)</f>
        <v>830.88480730919582</v>
      </c>
      <c r="DI15" s="2835">
        <f t="shared" ref="DI15" si="13">U15-SUM(DE15:DH15)</f>
        <v>0</v>
      </c>
      <c r="DJ15" s="2835"/>
      <c r="DK15" s="1364"/>
      <c r="DL15" s="1108"/>
      <c r="DM15" s="1108"/>
      <c r="DN15" s="1108"/>
      <c r="DO15" s="1108"/>
      <c r="DP15" s="1108"/>
      <c r="DQ15" s="1108"/>
      <c r="DR15" s="1108"/>
      <c r="DS15" s="1108"/>
      <c r="DT15" s="1108"/>
      <c r="DU15" s="1108"/>
      <c r="DV15" s="1108"/>
      <c r="DW15" s="1108"/>
    </row>
    <row r="16" spans="1:127" ht="11.25" hidden="1" customHeight="1" outlineLevel="1">
      <c r="A16" s="1827" t="s">
        <v>344</v>
      </c>
      <c r="B16" s="1364">
        <f>'Segment Detail'!Y104</f>
        <v>-5.4047832715161226E-2</v>
      </c>
      <c r="C16" s="1364">
        <f t="shared" ref="C16:J16" si="14">C15/B15-1</f>
        <v>3.5600000536555543E-2</v>
      </c>
      <c r="D16" s="1364">
        <f t="shared" si="14"/>
        <v>7.4067603134769122E-2</v>
      </c>
      <c r="E16" s="1364">
        <f t="shared" si="14"/>
        <v>-0.13275804319033135</v>
      </c>
      <c r="F16" s="1364">
        <f t="shared" si="14"/>
        <v>8.4611488558577586E-2</v>
      </c>
      <c r="G16" s="1364">
        <f t="shared" si="14"/>
        <v>-0.10672914874721406</v>
      </c>
      <c r="H16" s="1364">
        <f t="shared" si="14"/>
        <v>0.43701529836783282</v>
      </c>
      <c r="I16" s="1364">
        <f t="shared" si="14"/>
        <v>7.2654813476749069E-3</v>
      </c>
      <c r="J16" s="1364">
        <f t="shared" si="14"/>
        <v>-6.6438061483299116E-2</v>
      </c>
      <c r="K16" s="1364">
        <f t="shared" ref="K16:W16" si="15">K15/J15-1</f>
        <v>2.1570096877777445E-2</v>
      </c>
      <c r="L16" s="1364">
        <f t="shared" si="15"/>
        <v>0.16140460751335506</v>
      </c>
      <c r="M16" s="1364">
        <f t="shared" si="15"/>
        <v>0.12366440547840063</v>
      </c>
      <c r="N16" s="1364">
        <f t="shared" si="15"/>
        <v>-1.8923978609952208E-2</v>
      </c>
      <c r="O16" s="2711"/>
      <c r="P16" s="2711">
        <f t="shared" si="15"/>
        <v>-1.8923978609952208E-2</v>
      </c>
      <c r="Q16" s="1364">
        <f t="shared" si="15"/>
        <v>-4.6761655083999654E-2</v>
      </c>
      <c r="R16" s="1364">
        <f t="shared" si="15"/>
        <v>-6.7448431787794583E-2</v>
      </c>
      <c r="S16" s="2828"/>
      <c r="T16" s="2827">
        <f>T15/R15-1</f>
        <v>4.5998033576216679E-2</v>
      </c>
      <c r="U16" s="2827">
        <f t="shared" si="15"/>
        <v>4.141545998874796E-2</v>
      </c>
      <c r="V16" s="2827">
        <f t="shared" si="15"/>
        <v>3.6567127289263146E-2</v>
      </c>
      <c r="W16" s="2827">
        <f t="shared" si="15"/>
        <v>3.5717285135059118E-2</v>
      </c>
      <c r="X16" s="2827">
        <f t="shared" ref="X16:AE16" si="16">X15/W15-1</f>
        <v>3.6473696354376806E-2</v>
      </c>
      <c r="Y16" s="1364">
        <f t="shared" si="16"/>
        <v>3.4381015206159882E-2</v>
      </c>
      <c r="Z16" s="1364">
        <f t="shared" si="16"/>
        <v>3.2285237390046184E-2</v>
      </c>
      <c r="AA16" s="1364">
        <f t="shared" si="16"/>
        <v>2.9875663775396966E-2</v>
      </c>
      <c r="AB16" s="1364">
        <f t="shared" si="16"/>
        <v>2.7439996397646382E-2</v>
      </c>
      <c r="AC16" s="1364">
        <f t="shared" si="16"/>
        <v>2.4975636215592401E-2</v>
      </c>
      <c r="AD16" s="1364">
        <f t="shared" si="16"/>
        <v>2.2152979346245827E-2</v>
      </c>
      <c r="AE16" s="1364">
        <f t="shared" si="16"/>
        <v>1.9943846487181061E-2</v>
      </c>
      <c r="AF16" s="6"/>
      <c r="AG16" s="1104"/>
      <c r="AH16" s="1104"/>
      <c r="AI16" s="1104"/>
      <c r="AJ16" s="1104"/>
      <c r="AK16" s="1042"/>
      <c r="AL16" s="1827" t="str">
        <f t="shared" si="3"/>
        <v xml:space="preserve">% Change </v>
      </c>
      <c r="AM16" s="1770" t="s">
        <v>1455</v>
      </c>
      <c r="AN16" s="1770" t="s">
        <v>1455</v>
      </c>
      <c r="AO16" s="1770" t="s">
        <v>1455</v>
      </c>
      <c r="AP16" s="1770" t="s">
        <v>1455</v>
      </c>
      <c r="AQ16" s="1845"/>
      <c r="AR16" s="1364">
        <f>AR15/AM15-1</f>
        <v>-0.11399231885607908</v>
      </c>
      <c r="AS16" s="1364">
        <f>AS15/AN15-1</f>
        <v>-0.15244572258593392</v>
      </c>
      <c r="AT16" s="1364">
        <f>AT15/AO15-1</f>
        <v>-0.22334374949417757</v>
      </c>
      <c r="AU16" s="1364">
        <f>AU15/AP15-1</f>
        <v>0.11518929889394536</v>
      </c>
      <c r="AV16" s="1845"/>
      <c r="AW16" s="1364">
        <f>AW15/AR15-1</f>
        <v>0.1841900326808632</v>
      </c>
      <c r="AX16" s="1364">
        <f>AX15/AS15-1</f>
        <v>-0.15246996689355197</v>
      </c>
      <c r="AY16" s="1364">
        <f>AY15/AT15-1</f>
        <v>-9.1038516752199539E-2</v>
      </c>
      <c r="AZ16" s="1364">
        <f>AZ15/AU15-1</f>
        <v>0.66920442580724937</v>
      </c>
      <c r="BA16" s="1845"/>
      <c r="BB16" s="1364">
        <f>BB15/AW15-1</f>
        <v>-0.25460900039561585</v>
      </c>
      <c r="BC16" s="1364">
        <f>BC15/AX15-1</f>
        <v>5.5638917175769187E-2</v>
      </c>
      <c r="BD16" s="1364">
        <f>BD15/AY15-1</f>
        <v>-0.13782321385533003</v>
      </c>
      <c r="BE16" s="1364">
        <f>BE15/AZ15-1</f>
        <v>-6.4609019817591262E-2</v>
      </c>
      <c r="BF16" s="1845"/>
      <c r="BG16" s="1364">
        <f>BG15/BB15-1</f>
        <v>0.78736442485278935</v>
      </c>
      <c r="BH16" s="1364">
        <f>BH15/BC15-1</f>
        <v>0.20527212393323935</v>
      </c>
      <c r="BI16" s="1364">
        <f>BI15/BD15-1</f>
        <v>0.65181749074932505</v>
      </c>
      <c r="BJ16" s="1364">
        <f>BJ15/BE15-1</f>
        <v>0.17940435072482819</v>
      </c>
      <c r="BK16" s="1845"/>
      <c r="BL16" s="1364">
        <f>BL15/BG15-1</f>
        <v>-0.16258286699919322</v>
      </c>
      <c r="BM16" s="1364">
        <f>BM15/BH15-1</f>
        <v>-0.16370143162434581</v>
      </c>
      <c r="BN16" s="1364">
        <f>BN15/BI15-1</f>
        <v>0.31084929989044485</v>
      </c>
      <c r="BO16" s="1364">
        <f>BO15/BJ15-1</f>
        <v>2.6852432334714127E-3</v>
      </c>
      <c r="BP16" s="1845"/>
      <c r="BQ16" s="1364">
        <f>BQ15/BL15-1</f>
        <v>-3.9930797889367042E-2</v>
      </c>
      <c r="BR16" s="1364">
        <f>BR15/BM15-1</f>
        <v>0.14070037964467796</v>
      </c>
      <c r="BS16" s="1364">
        <f>BS15/BN15-1</f>
        <v>-0.31071438110752825</v>
      </c>
      <c r="BT16" s="1364">
        <f>BT15/BO15-1</f>
        <v>0.14166075072510953</v>
      </c>
      <c r="BU16" s="1477"/>
      <c r="BV16" s="1364">
        <f>BV15/BQ15-1</f>
        <v>3.6336525068228598E-2</v>
      </c>
      <c r="BW16" s="1364">
        <f>BW15/BR15-1</f>
        <v>0.26759943788827512</v>
      </c>
      <c r="BX16" s="1364">
        <f>BX15/BS15-1</f>
        <v>1.5041476736929571E-2</v>
      </c>
      <c r="BY16" s="1364">
        <f>(BY15-40)/BT15-1</f>
        <v>-0.25382598743082285</v>
      </c>
      <c r="BZ16" s="1477"/>
      <c r="CA16" s="1364">
        <f>+CA15/BV15-1</f>
        <v>0.47529110666357077</v>
      </c>
      <c r="CB16" s="1364">
        <f>+CB15/BW15-1</f>
        <v>-5.2701022683542709E-2</v>
      </c>
      <c r="CC16" s="1364">
        <f>+CC15/BX15-1</f>
        <v>0.2452883082845434</v>
      </c>
      <c r="CD16" s="1364">
        <f>CD15/BY15-1</f>
        <v>-1.6904403570330961E-2</v>
      </c>
      <c r="CE16" s="1477"/>
      <c r="CF16" s="1364">
        <f>CF15/CA15-1</f>
        <v>8.8401421369463939E-3</v>
      </c>
      <c r="CG16" s="1364">
        <f>CG15/CB15-1</f>
        <v>0.23756133397285706</v>
      </c>
      <c r="CH16" s="1364">
        <f>CH15/CC15-1</f>
        <v>9.2128345185362059E-2</v>
      </c>
      <c r="CI16" s="1364">
        <f>CI15/CD15-1</f>
        <v>0.22405960295184557</v>
      </c>
      <c r="CJ16" s="1477"/>
      <c r="CK16" s="1364">
        <f>CK15/CF15-1</f>
        <v>3.7240863181840611E-2</v>
      </c>
      <c r="CL16" s="1364">
        <f>CL15/CG15-1</f>
        <v>-0.13567292463425762</v>
      </c>
      <c r="CM16" s="1364">
        <f>CM15/CH15-1</f>
        <v>1.2288785883789011E-2</v>
      </c>
      <c r="CN16" s="1364">
        <f>CN15/CI15-1</f>
        <v>7.9788584748192726E-3</v>
      </c>
      <c r="CO16" s="1741"/>
      <c r="CP16" s="2008">
        <f>CP15/CK15-1</f>
        <v>-4.6657652247691139E-2</v>
      </c>
      <c r="CQ16" s="2008">
        <f>CQ15/CL15-1</f>
        <v>-0.14947301444949779</v>
      </c>
      <c r="CR16" s="2008">
        <f>CR15/CM15-1</f>
        <v>-4.3317938578757653E-2</v>
      </c>
      <c r="CS16" s="1364">
        <f>CS15/CN15-1</f>
        <v>6.1457693617264608E-2</v>
      </c>
      <c r="CT16" s="1741"/>
      <c r="CU16" s="2980">
        <f>CU15/CP15-1</f>
        <v>-0.32489541145990575</v>
      </c>
      <c r="CV16" s="2980">
        <f>CV15/CQ15-1</f>
        <v>0.18185490306007646</v>
      </c>
      <c r="CW16" s="2980">
        <f>CW15/CR15-1</f>
        <v>-3.0303089431372388E-2</v>
      </c>
      <c r="CX16" s="2827">
        <f>CX15/CS15-1</f>
        <v>-4.1854305267896574E-3</v>
      </c>
      <c r="CY16" s="2835"/>
      <c r="CZ16" s="2980">
        <f>CZ15/CU15-1</f>
        <v>0.17151016190252455</v>
      </c>
      <c r="DA16" s="2980">
        <f>DA15/CV15-1</f>
        <v>0.13828772384707411</v>
      </c>
      <c r="DB16" s="2980">
        <f>DB15/CW15-1</f>
        <v>-0.23810879720982847</v>
      </c>
      <c r="DC16" s="3093">
        <v>0.2</v>
      </c>
      <c r="DD16" s="2835"/>
      <c r="DE16" s="3093">
        <v>-0.05</v>
      </c>
      <c r="DF16" s="3093">
        <v>0.04</v>
      </c>
      <c r="DG16" s="3093">
        <v>0.15</v>
      </c>
      <c r="DH16" s="2827">
        <f>DH15/DC15-1</f>
        <v>3.3369065032070822E-2</v>
      </c>
      <c r="DI16" s="2835"/>
      <c r="DJ16" s="2835"/>
      <c r="DK16" s="1364"/>
      <c r="DL16" s="1108"/>
      <c r="DM16" s="1108"/>
      <c r="DN16" s="1108"/>
      <c r="DO16" s="1108"/>
      <c r="DP16" s="1108"/>
      <c r="DQ16" s="1108"/>
      <c r="DR16" s="1108"/>
      <c r="DS16" s="1108"/>
      <c r="DT16" s="1108"/>
      <c r="DU16" s="1108"/>
      <c r="DV16" s="1108"/>
      <c r="DW16" s="1108"/>
    </row>
    <row r="17" spans="1:127" ht="10.5" hidden="1" customHeight="1" outlineLevel="1">
      <c r="A17" s="1826"/>
      <c r="B17" s="1690"/>
      <c r="C17" s="1690"/>
      <c r="D17" s="1690"/>
      <c r="E17" s="1690"/>
      <c r="F17" s="1690"/>
      <c r="G17" s="1690"/>
      <c r="H17" s="1690"/>
      <c r="I17" s="1105"/>
      <c r="J17" s="1105"/>
      <c r="K17" s="1105"/>
      <c r="L17" s="1105"/>
      <c r="M17" s="1105"/>
      <c r="N17" s="1105"/>
      <c r="O17" s="2714"/>
      <c r="P17" s="2714"/>
      <c r="Q17" s="1105"/>
      <c r="R17" s="1105"/>
      <c r="S17" s="2808"/>
      <c r="T17" s="2804"/>
      <c r="U17" s="2804"/>
      <c r="V17" s="2804"/>
      <c r="W17" s="2804"/>
      <c r="X17" s="2804"/>
      <c r="Y17" s="1105"/>
      <c r="Z17" s="1105"/>
      <c r="AA17" s="1105"/>
      <c r="AB17" s="1105"/>
      <c r="AC17" s="1105"/>
      <c r="AD17" s="1105"/>
      <c r="AE17" s="1470"/>
      <c r="AF17" s="6"/>
      <c r="AG17" s="105"/>
      <c r="AH17" s="105"/>
      <c r="AI17" s="105"/>
      <c r="AJ17" s="105"/>
      <c r="AK17" s="49"/>
      <c r="AL17" s="1826"/>
      <c r="AM17" s="1690"/>
      <c r="AN17" s="1690"/>
      <c r="AO17" s="1690"/>
      <c r="AP17" s="1690"/>
      <c r="AQ17" s="1799"/>
      <c r="AR17" s="1690"/>
      <c r="AS17" s="1690"/>
      <c r="AT17" s="1690"/>
      <c r="AU17" s="1690"/>
      <c r="AV17" s="1799"/>
      <c r="AW17" s="1690"/>
      <c r="AX17" s="1690"/>
      <c r="AY17" s="1690"/>
      <c r="AZ17" s="1690"/>
      <c r="BA17" s="1799"/>
      <c r="BB17" s="1690"/>
      <c r="BC17" s="1690"/>
      <c r="BD17" s="1690"/>
      <c r="BE17" s="1690"/>
      <c r="BF17" s="1799"/>
      <c r="BG17" s="1690"/>
      <c r="BH17" s="1690"/>
      <c r="BI17" s="1690"/>
      <c r="BJ17" s="1690"/>
      <c r="BK17" s="1799"/>
      <c r="BL17" s="1690"/>
      <c r="BM17" s="1690"/>
      <c r="BN17" s="1690"/>
      <c r="BO17" s="1690"/>
      <c r="BP17" s="1799"/>
      <c r="BQ17" s="1108"/>
      <c r="BR17" s="1108"/>
      <c r="BS17" s="1108"/>
      <c r="BT17" s="1108"/>
      <c r="BU17" s="1108"/>
      <c r="BV17" s="1108"/>
      <c r="BW17" s="1108"/>
      <c r="BX17" s="1108"/>
      <c r="BY17" s="1108"/>
      <c r="BZ17" s="1108"/>
      <c r="CA17" s="1108"/>
      <c r="CB17" s="1108"/>
      <c r="CC17" s="1108"/>
      <c r="CD17" s="1108"/>
      <c r="CE17" s="1108"/>
      <c r="CF17" s="1108"/>
      <c r="CG17" s="1108"/>
      <c r="CH17" s="1108"/>
      <c r="CI17" s="1108"/>
      <c r="CJ17" s="1108"/>
      <c r="CK17" s="1108"/>
      <c r="CL17" s="1108"/>
      <c r="CM17" s="1108"/>
      <c r="CN17" s="1108"/>
      <c r="CO17" s="1108"/>
      <c r="CP17" s="1108"/>
      <c r="CQ17" s="1108"/>
      <c r="CR17" s="1108"/>
      <c r="CS17" s="1108"/>
      <c r="CT17" s="1741"/>
      <c r="CU17" s="2835"/>
      <c r="CV17" s="2835"/>
      <c r="CW17" s="2835"/>
      <c r="CX17" s="2835"/>
      <c r="CY17" s="2835"/>
      <c r="CZ17" s="2862"/>
      <c r="DA17" s="2862"/>
      <c r="DB17" s="2862"/>
      <c r="DC17" s="2862"/>
      <c r="DD17" s="2835"/>
      <c r="DE17" s="2835"/>
      <c r="DF17" s="2835"/>
      <c r="DG17" s="2835"/>
      <c r="DH17" s="2835"/>
      <c r="DI17" s="2835"/>
      <c r="DJ17" s="2835"/>
      <c r="DK17" s="1364"/>
      <c r="DL17" s="1108"/>
      <c r="DM17" s="1108"/>
      <c r="DN17" s="1108"/>
      <c r="DO17" s="1108"/>
      <c r="DP17" s="1108"/>
      <c r="DQ17" s="1108"/>
      <c r="DR17" s="1108"/>
      <c r="DS17" s="1108"/>
      <c r="DT17" s="1108"/>
      <c r="DU17" s="1108"/>
      <c r="DV17" s="1108"/>
      <c r="DW17" s="1108"/>
    </row>
    <row r="18" spans="1:127" ht="11.25" hidden="1" customHeight="1" outlineLevel="1">
      <c r="A18" s="1829" t="s">
        <v>62</v>
      </c>
      <c r="B18" s="1105">
        <f>'Segment Detail'!Y167</f>
        <v>0</v>
      </c>
      <c r="C18" s="1105">
        <f>'Segment Detail'!Z167</f>
        <v>0</v>
      </c>
      <c r="D18" s="1105">
        <f>'Segment Detail'!AA167</f>
        <v>0</v>
      </c>
      <c r="E18" s="1105">
        <f>'Segment Detail'!AB167</f>
        <v>0</v>
      </c>
      <c r="F18" s="1105">
        <f>'Segment Detail'!AC167</f>
        <v>0</v>
      </c>
      <c r="G18" s="1105">
        <f>'Segment Detail'!AD167</f>
        <v>166.1</v>
      </c>
      <c r="H18" s="1105">
        <f>'Segment Detail'!AE167</f>
        <v>423.67899999999997</v>
      </c>
      <c r="I18" s="1105">
        <f>'Segment Detail'!AF167</f>
        <v>540.92244618749999</v>
      </c>
      <c r="J18" s="1105">
        <f>'Segment Detail'!AG167</f>
        <v>565.61320314184491</v>
      </c>
      <c r="K18" s="1105">
        <f>'Segment Detail'!AH167</f>
        <v>554.52209725250862</v>
      </c>
      <c r="L18" s="1105">
        <f>'Segment Detail'!AI167</f>
        <v>583.06160903362195</v>
      </c>
      <c r="M18" s="1780">
        <f>SUM(CF18:CI18)</f>
        <v>665.83800780524814</v>
      </c>
      <c r="N18" s="1780">
        <f>SUM(CK18:CN18)</f>
        <v>697.15753929352195</v>
      </c>
      <c r="O18" s="2710">
        <f>M18</f>
        <v>665.83800780524814</v>
      </c>
      <c r="P18" s="2710">
        <f>N18</f>
        <v>697.15753929352195</v>
      </c>
      <c r="Q18" s="1780">
        <f>SUM(CP18:CS18)</f>
        <v>742.10735554225062</v>
      </c>
      <c r="R18" s="1780">
        <f>SUM(CU18:CX18)</f>
        <v>766.71107260001986</v>
      </c>
      <c r="S18" s="3116">
        <f>R18</f>
        <v>766.71107260001986</v>
      </c>
      <c r="T18" s="2890">
        <f>SUM(CZ18:DC18)</f>
        <v>845.39733158644003</v>
      </c>
      <c r="U18" s="2890">
        <f>SUM(DE18:DH18)</f>
        <v>954.93989705688352</v>
      </c>
      <c r="V18" s="2804">
        <f>'Segment Detail'!AP167</f>
        <v>1036.5792963853805</v>
      </c>
      <c r="W18" s="2804">
        <f>'Segment Detail'!AQ167</f>
        <v>1094.7670968673624</v>
      </c>
      <c r="X18" s="2804">
        <f>'Segment Detail'!AR167</f>
        <v>1148.5436672875921</v>
      </c>
      <c r="Y18" s="2804">
        <f>'Segment Detail'!AS167</f>
        <v>1206.319021403521</v>
      </c>
      <c r="Z18" s="2804">
        <f>'Segment Detail'!AT167</f>
        <v>1266.2826219237886</v>
      </c>
      <c r="AA18" s="2804">
        <f>'Segment Detail'!AU167</f>
        <v>1325.376994785529</v>
      </c>
      <c r="AB18" s="2804">
        <f>'Segment Detail'!AV167</f>
        <v>1383.5232407501244</v>
      </c>
      <c r="AC18" s="2804">
        <f>'Segment Detail'!AW167</f>
        <v>1441.0234947677577</v>
      </c>
      <c r="AD18" s="2804">
        <f>'Segment Detail'!AX167</f>
        <v>1499.1401371178895</v>
      </c>
      <c r="AE18" s="2804">
        <f>'Segment Detail'!AY167</f>
        <v>1557.9139168837933</v>
      </c>
      <c r="AF18" s="2862"/>
      <c r="AG18" s="105"/>
      <c r="AH18" s="105"/>
      <c r="AI18" s="105"/>
      <c r="AJ18" s="105"/>
      <c r="AK18" s="11"/>
      <c r="AL18" s="1826" t="str">
        <f t="shared" si="3"/>
        <v>CBS Interactive Revenue</v>
      </c>
      <c r="AM18" s="1105">
        <f>'Segment Detail'!CO167</f>
        <v>0</v>
      </c>
      <c r="AN18" s="1105">
        <f>'Segment Detail'!CP167</f>
        <v>0</v>
      </c>
      <c r="AO18" s="1105">
        <f>'Segment Detail'!CQ167</f>
        <v>0</v>
      </c>
      <c r="AP18" s="1105">
        <f>'Segment Detail'!CR167</f>
        <v>0</v>
      </c>
      <c r="AQ18" s="1741">
        <f>D18-SUM(AM18:AP18)</f>
        <v>0</v>
      </c>
      <c r="AR18" s="1105">
        <f>'Segment Detail'!CT167</f>
        <v>0</v>
      </c>
      <c r="AS18" s="1105">
        <f>'Segment Detail'!CU167</f>
        <v>0</v>
      </c>
      <c r="AT18" s="1105">
        <f>'Segment Detail'!CV167</f>
        <v>0</v>
      </c>
      <c r="AU18" s="1105">
        <f>'Segment Detail'!CW167</f>
        <v>0</v>
      </c>
      <c r="AV18" s="1741">
        <f>E18-SUM(AR18:AU18)</f>
        <v>0</v>
      </c>
      <c r="AW18" s="1105">
        <f>'Segment Detail'!CY167</f>
        <v>0</v>
      </c>
      <c r="AX18" s="1105">
        <f>'Segment Detail'!CZ167</f>
        <v>0</v>
      </c>
      <c r="AY18" s="1105">
        <f>'Segment Detail'!DA167</f>
        <v>0</v>
      </c>
      <c r="AZ18" s="1105">
        <f>'Segment Detail'!DB167</f>
        <v>0</v>
      </c>
      <c r="BA18" s="1741">
        <f>F18-SUM(AW18:AZ18)</f>
        <v>0</v>
      </c>
      <c r="BB18" s="1105">
        <f>'Segment Detail'!DD167</f>
        <v>38.6</v>
      </c>
      <c r="BC18" s="1105">
        <f>'Segment Detail'!DE167</f>
        <v>31.8</v>
      </c>
      <c r="BD18" s="1105">
        <f>'Segment Detail'!DF167</f>
        <v>37.1</v>
      </c>
      <c r="BE18" s="1105">
        <f>'Segment Detail'!DG167</f>
        <v>58.6</v>
      </c>
      <c r="BF18" s="1741">
        <f>G18-SUM(BB18:BE18)</f>
        <v>0</v>
      </c>
      <c r="BG18" s="1105">
        <f>'Segment Detail'!DI167</f>
        <v>52.9</v>
      </c>
      <c r="BH18" s="1105">
        <f>'Segment Detail'!DJ167</f>
        <v>40.200000000000003</v>
      </c>
      <c r="BI18" s="1105">
        <f>'Segment Detail'!DK167</f>
        <v>143.30000000000001</v>
      </c>
      <c r="BJ18" s="1105">
        <f>'Segment Detail'!DL167</f>
        <v>187.279</v>
      </c>
      <c r="BK18" s="1741">
        <f>H18-SUM(BG18:BJ18)</f>
        <v>0</v>
      </c>
      <c r="BL18" s="1105">
        <f>'Segment Detail'!DN167</f>
        <v>134.30000000000001</v>
      </c>
      <c r="BM18" s="1105">
        <f>'Segment Detail'!DO167</f>
        <v>127.1</v>
      </c>
      <c r="BN18" s="1105">
        <f>'Segment Detail'!DP167</f>
        <v>122.09</v>
      </c>
      <c r="BO18" s="1105">
        <f>'Segment Detail'!DQ167</f>
        <v>157.43244618750001</v>
      </c>
      <c r="BP18" s="1741">
        <f>I18-SUM(BL18:BO18)</f>
        <v>0</v>
      </c>
      <c r="BQ18" s="1105">
        <f>'CBS Interactive'!BM13</f>
        <v>139.251310832</v>
      </c>
      <c r="BR18" s="1105">
        <f>'CBS Interactive'!BN13</f>
        <v>131.94907071908415</v>
      </c>
      <c r="BS18" s="1105">
        <f>'CBS Interactive'!BO13</f>
        <v>128.62590061702946</v>
      </c>
      <c r="BT18" s="1105">
        <f>'CBS Interactive'!BP13</f>
        <v>165.78692097373127</v>
      </c>
      <c r="BU18" s="1741">
        <f>J18-SUM(BQ18:BT18)</f>
        <v>0</v>
      </c>
      <c r="BV18" s="1105">
        <f>'CBS Interactive'!BR13</f>
        <v>115.11865833668401</v>
      </c>
      <c r="BW18" s="1105">
        <f>'CBS Interactive'!BS13</f>
        <v>128.61029277393328</v>
      </c>
      <c r="BX18" s="1105">
        <f>'CBS Interactive'!BT13</f>
        <v>135.78557732660136</v>
      </c>
      <c r="BY18" s="1105">
        <f>'CBS Interactive'!BU13</f>
        <v>175.00756881528997</v>
      </c>
      <c r="BZ18" s="1741">
        <f>K18-SUM(BV18:BY18)</f>
        <v>0</v>
      </c>
      <c r="CA18" s="1362">
        <f>'CBS Interactive'!BW13</f>
        <v>121.15727869097854</v>
      </c>
      <c r="CB18" s="1362">
        <f>'CBS Interactive'!BX13</f>
        <v>135.19471884618969</v>
      </c>
      <c r="CC18" s="1362">
        <f>'CBS Interactive'!BY13</f>
        <v>142.72848809495335</v>
      </c>
      <c r="CD18" s="1796">
        <f>L18-SUM(CA18:CC18)</f>
        <v>183.98112340150033</v>
      </c>
      <c r="CE18" s="1741">
        <f>L18-SUM(CA18:CD18)</f>
        <v>0</v>
      </c>
      <c r="CF18" s="1362">
        <f>'CBS Interactive'!CB13</f>
        <v>145.83842570399881</v>
      </c>
      <c r="CG18" s="1362">
        <f>'CBS Interactive'!CC13</f>
        <v>155.83669053010459</v>
      </c>
      <c r="CH18" s="1362">
        <f>'CBS Interactive'!CD13</f>
        <v>159.45035182898454</v>
      </c>
      <c r="CI18" s="1362">
        <f>'CBS Interactive'!CE13</f>
        <v>204.71253974216023</v>
      </c>
      <c r="CJ18" s="1741">
        <f>M18-SUM(CF18:CI18)</f>
        <v>0</v>
      </c>
      <c r="CK18" s="1362">
        <f>'CBS Interactive'!CG13</f>
        <v>153.03452729487714</v>
      </c>
      <c r="CL18" s="1362">
        <f>'CBS Interactive'!CH13</f>
        <v>163.53572413353402</v>
      </c>
      <c r="CM18" s="1362">
        <f>'CBS Interactive'!CI13</f>
        <v>167.28192153326407</v>
      </c>
      <c r="CN18" s="1362">
        <f>'CBS Interactive'!CJ13+'CBS Interactive'!CJ143</f>
        <v>213.30536633184667</v>
      </c>
      <c r="CO18" s="1741">
        <f>$N18-SUM(CK18:CN18)</f>
        <v>0</v>
      </c>
      <c r="CP18" s="1362">
        <f>'CBS Interactive'!CL13+'CBS Interactive'!CL143</f>
        <v>160.29232840990926</v>
      </c>
      <c r="CQ18" s="1362">
        <f>'CBS Interactive'!CM13+'CBS Interactive'!CM143</f>
        <v>172.65619501175905</v>
      </c>
      <c r="CR18" s="1362">
        <f>'CBS Interactive'!CN13+'CBS Interactive'!CN143</f>
        <v>179.41154312594628</v>
      </c>
      <c r="CS18" s="1362">
        <f>'CBS Interactive'!CO13+'CBS Interactive'!CO143</f>
        <v>229.74728899463608</v>
      </c>
      <c r="CT18" s="1741">
        <f>$Q18-SUM(CP18:CS18)</f>
        <v>0</v>
      </c>
      <c r="CU18" s="2952">
        <f>'CBS Interactive'!CQ13+'CBS Interactive'!CQ143</f>
        <v>164.09703643896984</v>
      </c>
      <c r="CV18" s="2952">
        <f>'CBS Interactive'!CR13+'CBS Interactive'!CR143</f>
        <v>180.08812623328259</v>
      </c>
      <c r="CW18" s="2952">
        <f>'CBS Interactive'!CS13+'CBS Interactive'!CS143</f>
        <v>187.7456683101716</v>
      </c>
      <c r="CX18" s="2952">
        <f>'CBS Interactive'!CT13+'CBS Interactive'!CT143</f>
        <v>234.78024161759589</v>
      </c>
      <c r="CY18" s="2835">
        <f>S18-SUM(CU18:CX18)</f>
        <v>0</v>
      </c>
      <c r="CZ18" s="2952">
        <f>'CBS Interactive'!CV13+'CBS Interactive'!CV143</f>
        <v>181.07835276528709</v>
      </c>
      <c r="DA18" s="2952">
        <f>'CBS Interactive'!CW13+'CBS Interactive'!CW143</f>
        <v>196.98078682987466</v>
      </c>
      <c r="DB18" s="2952">
        <f>'CBS Interactive'!CX13+'CBS Interactive'!CX143</f>
        <v>207.35448673428215</v>
      </c>
      <c r="DC18" s="2952">
        <f>'CBS Interactive'!CY13+'CBS Interactive'!CY143</f>
        <v>259.98370525699607</v>
      </c>
      <c r="DD18" s="2835">
        <f>T18-SUM(CZ18:DC18)</f>
        <v>0</v>
      </c>
      <c r="DE18" s="2952">
        <f>'CBS Interactive'!DA13+'CBS Interactive'!DA143</f>
        <v>209.26508828209853</v>
      </c>
      <c r="DF18" s="2952">
        <f>'CBS Interactive'!DB13+'CBS Interactive'!DB143</f>
        <v>225.83574888177768</v>
      </c>
      <c r="DG18" s="2952">
        <f>'CBS Interactive'!DC13+'CBS Interactive'!DC143</f>
        <v>234.19160490505757</v>
      </c>
      <c r="DH18" s="2952">
        <f>'CBS Interactive'!DD13+'CBS Interactive'!DD143</f>
        <v>285.64745498794969</v>
      </c>
      <c r="DI18" s="2835">
        <f t="shared" ref="DI18:DI27" si="17">U18-SUM(DE18:DH18)</f>
        <v>0</v>
      </c>
      <c r="DJ18" s="2835"/>
      <c r="DK18" s="1364"/>
      <c r="DL18" s="1108"/>
      <c r="DM18" s="1108"/>
      <c r="DN18" s="1108"/>
      <c r="DO18" s="1108"/>
      <c r="DP18" s="1108"/>
      <c r="DQ18" s="1108"/>
      <c r="DR18" s="1108"/>
      <c r="DS18" s="1108"/>
      <c r="DT18" s="1108"/>
      <c r="DU18" s="1108"/>
      <c r="DV18" s="1108"/>
      <c r="DW18" s="1108"/>
    </row>
    <row r="19" spans="1:127" ht="11.25" hidden="1" customHeight="1" outlineLevel="1">
      <c r="A19" s="1830" t="s">
        <v>676</v>
      </c>
      <c r="B19" s="1781" t="s">
        <v>1455</v>
      </c>
      <c r="C19" s="1781" t="s">
        <v>1455</v>
      </c>
      <c r="D19" s="1781" t="s">
        <v>1455</v>
      </c>
      <c r="E19" s="1781" t="s">
        <v>1455</v>
      </c>
      <c r="F19" s="1781" t="s">
        <v>1455</v>
      </c>
      <c r="G19" s="1781" t="s">
        <v>1455</v>
      </c>
      <c r="H19" s="1364">
        <f>H18/G18-1</f>
        <v>1.5507465382299817</v>
      </c>
      <c r="I19" s="1364">
        <f>I18/H18-1</f>
        <v>0.27672706503626565</v>
      </c>
      <c r="J19" s="1364">
        <f>J18/I18-1</f>
        <v>4.5645650551884076E-2</v>
      </c>
      <c r="K19" s="1364">
        <f t="shared" ref="K19:W19" si="18">K18/J18-1</f>
        <v>-1.9608993969249422E-2</v>
      </c>
      <c r="L19" s="1364">
        <f t="shared" si="18"/>
        <v>5.1466861144971565E-2</v>
      </c>
      <c r="M19" s="1364">
        <f t="shared" si="18"/>
        <v>0.14196852869257071</v>
      </c>
      <c r="N19" s="1364">
        <f t="shared" si="18"/>
        <v>4.7037764623125033E-2</v>
      </c>
      <c r="O19" s="2711"/>
      <c r="P19" s="2711">
        <f t="shared" si="18"/>
        <v>4.7037764623125033E-2</v>
      </c>
      <c r="Q19" s="1364">
        <f t="shared" si="18"/>
        <v>6.4475837547822268E-2</v>
      </c>
      <c r="R19" s="1364">
        <f t="shared" si="18"/>
        <v>3.3153851493348263E-2</v>
      </c>
      <c r="S19" s="2828"/>
      <c r="T19" s="2827">
        <f>T18/R18-1</f>
        <v>0.10262830654001709</v>
      </c>
      <c r="U19" s="2827">
        <f t="shared" si="18"/>
        <v>0.12957524394461961</v>
      </c>
      <c r="V19" s="2827">
        <f t="shared" si="18"/>
        <v>8.5491662438766047E-2</v>
      </c>
      <c r="W19" s="2827">
        <f t="shared" si="18"/>
        <v>5.6134442087437453E-2</v>
      </c>
      <c r="X19" s="2827">
        <f t="shared" ref="X19:AE19" si="19">X18/W18-1</f>
        <v>4.9121471200686884E-2</v>
      </c>
      <c r="Y19" s="2827">
        <f t="shared" si="19"/>
        <v>5.0303141065912937E-2</v>
      </c>
      <c r="Z19" s="2827">
        <f t="shared" si="19"/>
        <v>4.9707912630360118E-2</v>
      </c>
      <c r="AA19" s="2827">
        <f t="shared" si="19"/>
        <v>4.6667601559564842E-2</v>
      </c>
      <c r="AB19" s="2827">
        <f t="shared" si="19"/>
        <v>4.387147671444569E-2</v>
      </c>
      <c r="AC19" s="2827">
        <f t="shared" si="19"/>
        <v>4.1560743125975685E-2</v>
      </c>
      <c r="AD19" s="2827">
        <f t="shared" si="19"/>
        <v>4.0330114367426173E-2</v>
      </c>
      <c r="AE19" s="2827">
        <f t="shared" si="19"/>
        <v>3.920499378990483E-2</v>
      </c>
      <c r="AF19" s="2862"/>
      <c r="AG19" s="1104"/>
      <c r="AH19" s="1104"/>
      <c r="AI19" s="1104"/>
      <c r="AJ19" s="1104"/>
      <c r="AK19" s="186"/>
      <c r="AL19" s="1827" t="str">
        <f t="shared" si="3"/>
        <v>% Change</v>
      </c>
      <c r="AM19" s="1770" t="s">
        <v>1455</v>
      </c>
      <c r="AN19" s="1770" t="s">
        <v>1455</v>
      </c>
      <c r="AO19" s="1770" t="s">
        <v>1455</v>
      </c>
      <c r="AP19" s="1770" t="s">
        <v>1455</v>
      </c>
      <c r="AQ19" s="1811"/>
      <c r="AR19" s="1770" t="s">
        <v>1455</v>
      </c>
      <c r="AS19" s="1770" t="s">
        <v>1455</v>
      </c>
      <c r="AT19" s="1770" t="s">
        <v>1455</v>
      </c>
      <c r="AU19" s="1770" t="s">
        <v>1455</v>
      </c>
      <c r="AV19" s="1811"/>
      <c r="AW19" s="1770" t="s">
        <v>1455</v>
      </c>
      <c r="AX19" s="1770" t="s">
        <v>1455</v>
      </c>
      <c r="AY19" s="1770" t="s">
        <v>1455</v>
      </c>
      <c r="AZ19" s="1770" t="s">
        <v>1455</v>
      </c>
      <c r="BA19" s="1811"/>
      <c r="BB19" s="1770" t="s">
        <v>1455</v>
      </c>
      <c r="BC19" s="1770" t="s">
        <v>1455</v>
      </c>
      <c r="BD19" s="1770" t="s">
        <v>1455</v>
      </c>
      <c r="BE19" s="1770" t="s">
        <v>1455</v>
      </c>
      <c r="BF19" s="1811"/>
      <c r="BG19" s="1364">
        <f>BG18/BB18-1</f>
        <v>0.3704663212435233</v>
      </c>
      <c r="BH19" s="1364">
        <f>BH18/BC18-1</f>
        <v>0.26415094339622658</v>
      </c>
      <c r="BI19" s="1364">
        <f>BI18/BD18-1</f>
        <v>2.8625336927223723</v>
      </c>
      <c r="BJ19" s="1364">
        <f>BJ18/BE18-1</f>
        <v>2.1958873720136518</v>
      </c>
      <c r="BK19" s="1811"/>
      <c r="BL19" s="1364">
        <f>BL18/BG18-1</f>
        <v>1.5387523629489608</v>
      </c>
      <c r="BM19" s="1364">
        <f>BM18/BH18-1</f>
        <v>2.161691542288557</v>
      </c>
      <c r="BN19" s="1364">
        <f>BN18/BI18-1</f>
        <v>-0.14801116538729941</v>
      </c>
      <c r="BO19" s="1364">
        <f>BO18/BJ18-1</f>
        <v>-0.15936946380800832</v>
      </c>
      <c r="BP19" s="1811"/>
      <c r="BQ19" s="1364">
        <f>BQ18/BL18-1</f>
        <v>3.6867541563663453E-2</v>
      </c>
      <c r="BR19" s="1364">
        <f>BR18/BM18-1</f>
        <v>3.8151618560851031E-2</v>
      </c>
      <c r="BS19" s="1364">
        <f>BS18/BN18-1</f>
        <v>5.3533463977635032E-2</v>
      </c>
      <c r="BT19" s="1364">
        <f>BT18/BO18-1</f>
        <v>5.3067045507767752E-2</v>
      </c>
      <c r="BU19" s="1477"/>
      <c r="BV19" s="1364">
        <f>BV18/BQ18-1</f>
        <v>-0.1733028748607679</v>
      </c>
      <c r="BW19" s="1364">
        <f>BW18/BR18-1</f>
        <v>-2.53035351212062E-2</v>
      </c>
      <c r="BX19" s="1364">
        <f>BX18/BS18-1</f>
        <v>5.5662791671244438E-2</v>
      </c>
      <c r="BY19" s="1364">
        <f>BY18/BT18-1</f>
        <v>5.5617462387275385E-2</v>
      </c>
      <c r="BZ19" s="1477"/>
      <c r="CA19" s="1364">
        <f>CA18/BV18-1</f>
        <v>5.2455617895003304E-2</v>
      </c>
      <c r="CB19" s="1364">
        <f>CB18/BW18-1</f>
        <v>5.119672718442736E-2</v>
      </c>
      <c r="CC19" s="1364">
        <f>CC18/BX18-1</f>
        <v>5.1131430193446903E-2</v>
      </c>
      <c r="CD19" s="1364">
        <f>CD18/BY18-1</f>
        <v>5.1275237105210092E-2</v>
      </c>
      <c r="CE19" s="1477"/>
      <c r="CF19" s="1364">
        <f>CF18/CA18-1</f>
        <v>0.20371163234832568</v>
      </c>
      <c r="CG19" s="1364">
        <f>CG18/CB18-1</f>
        <v>0.15268326943598409</v>
      </c>
      <c r="CH19" s="1364">
        <f>CH18/CC18-1</f>
        <v>0.11715855718240764</v>
      </c>
      <c r="CI19" s="1364">
        <f>CI18/CD18-1</f>
        <v>0.11268230108269273</v>
      </c>
      <c r="CJ19" s="1477"/>
      <c r="CK19" s="1364">
        <f>CK18/CF18-1</f>
        <v>4.9342973610287721E-2</v>
      </c>
      <c r="CL19" s="1364">
        <f>CL18/CG18-1</f>
        <v>4.9404498884312087E-2</v>
      </c>
      <c r="CM19" s="1364">
        <f>CM18/CH18-1</f>
        <v>4.9116039033135106E-2</v>
      </c>
      <c r="CN19" s="1364">
        <f>CN18/CI18-1</f>
        <v>4.1975086628837088E-2</v>
      </c>
      <c r="CO19" s="1477"/>
      <c r="CP19" s="2008">
        <f>CP18/CK18-1</f>
        <v>4.7425906057443568E-2</v>
      </c>
      <c r="CQ19" s="2008">
        <f>CQ18/CL18-1</f>
        <v>5.5770510856562261E-2</v>
      </c>
      <c r="CR19" s="2008">
        <f>CR18/CM18-1</f>
        <v>7.2510056565020076E-2</v>
      </c>
      <c r="CS19" s="1364">
        <f>CS18/CN18-1</f>
        <v>7.7081617521099544E-2</v>
      </c>
      <c r="CT19" s="1741"/>
      <c r="CU19" s="2980">
        <f>CU18/CP18-1</f>
        <v>2.373605815576485E-2</v>
      </c>
      <c r="CV19" s="2980">
        <f>CV18/CQ18-1</f>
        <v>4.304468322736632E-2</v>
      </c>
      <c r="CW19" s="2980">
        <f>CW18/CR18-1</f>
        <v>4.6452558397398036E-2</v>
      </c>
      <c r="CX19" s="2980">
        <f>CX18/CS18-1</f>
        <v>2.1906472302605895E-2</v>
      </c>
      <c r="CY19" s="2835"/>
      <c r="CZ19" s="2980">
        <f>CZ18/CU18-1</f>
        <v>0.10348338211843866</v>
      </c>
      <c r="DA19" s="2980">
        <f>DA18/CV18-1</f>
        <v>9.380218979406596E-2</v>
      </c>
      <c r="DB19" s="2980">
        <f>DB18/CW18-1</f>
        <v>0.10444351979250532</v>
      </c>
      <c r="DC19" s="2980">
        <f>DC18/CX18-1</f>
        <v>0.10734916816573925</v>
      </c>
      <c r="DD19" s="2835"/>
      <c r="DE19" s="2980">
        <f>DE18/CZ18-1</f>
        <v>0.15566043696756493</v>
      </c>
      <c r="DF19" s="2980">
        <f>DF18/DA18-1</f>
        <v>0.14648617520664087</v>
      </c>
      <c r="DG19" s="2980">
        <f>DG18/DB18-1</f>
        <v>0.12942627185668898</v>
      </c>
      <c r="DH19" s="2980">
        <f>DH18/DC18-1</f>
        <v>9.871291627905987E-2</v>
      </c>
      <c r="DI19" s="2835"/>
      <c r="DJ19" s="1120"/>
      <c r="DK19" s="1364"/>
      <c r="DL19" s="1108"/>
      <c r="DM19" s="1108"/>
      <c r="DN19" s="1108"/>
      <c r="DO19" s="1108"/>
      <c r="DP19" s="1108"/>
      <c r="DQ19" s="1108"/>
      <c r="DR19" s="1108"/>
      <c r="DS19" s="1108"/>
      <c r="DT19" s="1108"/>
      <c r="DU19" s="1108"/>
      <c r="DV19" s="1108"/>
      <c r="DW19" s="1108"/>
    </row>
    <row r="20" spans="1:127" ht="6" hidden="1" customHeight="1" outlineLevel="1">
      <c r="A20" s="1831"/>
      <c r="B20" s="1110"/>
      <c r="C20" s="1110"/>
      <c r="D20" s="1110"/>
      <c r="E20" s="1110"/>
      <c r="F20" s="1110"/>
      <c r="G20" s="1110"/>
      <c r="H20" s="1110"/>
      <c r="I20" s="1110"/>
      <c r="J20" s="1110"/>
      <c r="K20" s="1110"/>
      <c r="L20" s="1110"/>
      <c r="M20" s="1110"/>
      <c r="N20" s="1110"/>
      <c r="O20" s="2705"/>
      <c r="P20" s="2705"/>
      <c r="Q20" s="1110"/>
      <c r="R20" s="1110"/>
      <c r="S20" s="2837"/>
      <c r="T20" s="2802"/>
      <c r="U20" s="2802"/>
      <c r="V20" s="2802"/>
      <c r="W20" s="2802"/>
      <c r="X20" s="2802"/>
      <c r="Y20" s="2802"/>
      <c r="Z20" s="2802"/>
      <c r="AA20" s="2802"/>
      <c r="AB20" s="2802"/>
      <c r="AC20" s="2802"/>
      <c r="AD20" s="2802"/>
      <c r="AE20" s="2802"/>
      <c r="AF20" s="2862"/>
      <c r="AG20" s="39"/>
      <c r="AH20" s="39"/>
      <c r="AI20" s="39"/>
      <c r="AJ20" s="39"/>
      <c r="AK20" s="11"/>
      <c r="AL20" s="1826"/>
      <c r="AM20" s="1110"/>
      <c r="AN20" s="1110"/>
      <c r="AO20" s="1110"/>
      <c r="AP20" s="1110"/>
      <c r="AQ20" s="1741"/>
      <c r="AR20" s="1110"/>
      <c r="AS20" s="1110"/>
      <c r="AT20" s="1110"/>
      <c r="AU20" s="1110"/>
      <c r="AV20" s="1741"/>
      <c r="AW20" s="1110"/>
      <c r="AX20" s="1110"/>
      <c r="AY20" s="1110"/>
      <c r="AZ20" s="1110"/>
      <c r="BA20" s="1741"/>
      <c r="BB20" s="1110"/>
      <c r="BC20" s="1110"/>
      <c r="BD20" s="1110"/>
      <c r="BE20" s="1110"/>
      <c r="BF20" s="1741"/>
      <c r="BG20" s="1110"/>
      <c r="BH20" s="1110"/>
      <c r="BI20" s="1110"/>
      <c r="BJ20" s="1110"/>
      <c r="BK20" s="1741"/>
      <c r="BL20" s="1110"/>
      <c r="BM20" s="1110"/>
      <c r="BN20" s="1110"/>
      <c r="BO20" s="1110"/>
      <c r="BP20" s="1741"/>
      <c r="BQ20" s="1108"/>
      <c r="BR20" s="1108"/>
      <c r="BS20" s="1108"/>
      <c r="BT20" s="1108"/>
      <c r="BU20" s="1108"/>
      <c r="BV20" s="1108"/>
      <c r="BW20" s="1108"/>
      <c r="BX20" s="1108"/>
      <c r="BY20" s="1108"/>
      <c r="BZ20" s="1108"/>
      <c r="CA20" s="1108"/>
      <c r="CB20" s="1108"/>
      <c r="CC20" s="1108"/>
      <c r="CD20" s="1108"/>
      <c r="CE20" s="1108"/>
      <c r="CF20" s="1108"/>
      <c r="CG20" s="1108"/>
      <c r="CH20" s="1108"/>
      <c r="CI20" s="1108"/>
      <c r="CJ20" s="1108"/>
      <c r="CK20" s="1470"/>
      <c r="CL20" s="1470"/>
      <c r="CM20" s="1470"/>
      <c r="CN20" s="1108"/>
      <c r="CO20" s="1108"/>
      <c r="CP20" s="1470"/>
      <c r="CQ20" s="1470"/>
      <c r="CR20" s="1470"/>
      <c r="CS20" s="1108"/>
      <c r="CT20" s="1108"/>
      <c r="CU20" s="2867"/>
      <c r="CV20" s="2867"/>
      <c r="CW20" s="2867"/>
      <c r="CX20" s="2867"/>
      <c r="CY20" s="2862"/>
      <c r="CZ20" s="2862"/>
      <c r="DA20" s="2862"/>
      <c r="DB20" s="2862"/>
      <c r="DC20" s="2862"/>
      <c r="DD20" s="2835"/>
      <c r="DE20" s="2835"/>
      <c r="DF20" s="2835"/>
      <c r="DG20" s="2835"/>
      <c r="DH20" s="2835"/>
      <c r="DI20" s="2835"/>
      <c r="DJ20" s="1108"/>
      <c r="DK20" s="1108"/>
      <c r="DL20" s="1108"/>
      <c r="DM20" s="1108"/>
      <c r="DN20" s="1108"/>
      <c r="DO20" s="1108"/>
      <c r="DP20" s="1108"/>
      <c r="DQ20" s="1108"/>
      <c r="DR20" s="1108"/>
      <c r="DS20" s="1108"/>
      <c r="DT20" s="1108"/>
      <c r="DU20" s="1108"/>
      <c r="DV20" s="1108"/>
      <c r="DW20" s="1108"/>
    </row>
    <row r="21" spans="1:127" ht="11.25" hidden="1" customHeight="1" outlineLevel="1">
      <c r="A21" s="3410" t="s">
        <v>1820</v>
      </c>
      <c r="B21" s="1105"/>
      <c r="C21" s="1105"/>
      <c r="D21" s="1105"/>
      <c r="E21" s="1105"/>
      <c r="F21" s="1105"/>
      <c r="G21" s="1105"/>
      <c r="H21" s="1105"/>
      <c r="I21" s="1105"/>
      <c r="J21" s="1105"/>
      <c r="K21" s="1105"/>
      <c r="L21" s="1105"/>
      <c r="M21" s="1780"/>
      <c r="N21" s="1780"/>
      <c r="O21" s="2710"/>
      <c r="P21" s="2710"/>
      <c r="Q21" s="1780"/>
      <c r="R21" s="1780"/>
      <c r="S21" s="3116"/>
      <c r="T21" s="2890">
        <f>SUM(CZ21:DC21)</f>
        <v>75.980392156862749</v>
      </c>
      <c r="U21" s="2890">
        <f>SUM(DE21:DH21)</f>
        <v>500</v>
      </c>
      <c r="V21" s="2804">
        <f>U21*(1+V22)</f>
        <v>500</v>
      </c>
      <c r="W21" s="2804">
        <f t="shared" ref="W21:AE21" si="20">V21*(1+W22)</f>
        <v>500</v>
      </c>
      <c r="X21" s="2804">
        <f t="shared" si="20"/>
        <v>500</v>
      </c>
      <c r="Y21" s="2804">
        <f t="shared" si="20"/>
        <v>500</v>
      </c>
      <c r="Z21" s="2804">
        <f t="shared" si="20"/>
        <v>500</v>
      </c>
      <c r="AA21" s="2804">
        <f t="shared" si="20"/>
        <v>500</v>
      </c>
      <c r="AB21" s="2804">
        <f t="shared" si="20"/>
        <v>500</v>
      </c>
      <c r="AC21" s="2804">
        <f t="shared" si="20"/>
        <v>500</v>
      </c>
      <c r="AD21" s="2804">
        <f t="shared" si="20"/>
        <v>500</v>
      </c>
      <c r="AE21" s="2804">
        <f t="shared" si="20"/>
        <v>500</v>
      </c>
      <c r="AF21" s="2862"/>
      <c r="AG21" s="105"/>
      <c r="AH21" s="105"/>
      <c r="AI21" s="105"/>
      <c r="AJ21" s="105"/>
      <c r="AK21" s="11"/>
      <c r="AL21" s="1826"/>
      <c r="AM21" s="1771"/>
      <c r="AN21" s="1771"/>
      <c r="AO21" s="1771"/>
      <c r="AP21" s="1771"/>
      <c r="AQ21" s="1741"/>
      <c r="AR21" s="1771"/>
      <c r="AS21" s="1771"/>
      <c r="AT21" s="1771"/>
      <c r="AU21" s="1771"/>
      <c r="AV21" s="1741"/>
      <c r="AW21" s="1771"/>
      <c r="AX21" s="1771"/>
      <c r="AY21" s="1771"/>
      <c r="AZ21" s="1771"/>
      <c r="BA21" s="1741"/>
      <c r="BB21" s="1771"/>
      <c r="BC21" s="1771"/>
      <c r="BD21" s="1771"/>
      <c r="BE21" s="1771"/>
      <c r="BF21" s="1741"/>
      <c r="BG21" s="1771"/>
      <c r="BH21" s="1771"/>
      <c r="BI21" s="1771"/>
      <c r="BJ21" s="1771"/>
      <c r="BK21" s="1741"/>
      <c r="BL21" s="1771"/>
      <c r="BM21" s="1771"/>
      <c r="BN21" s="1771"/>
      <c r="BO21" s="1771"/>
      <c r="BP21" s="1741"/>
      <c r="BQ21" s="1771"/>
      <c r="BR21" s="1771"/>
      <c r="BS21" s="1771"/>
      <c r="BT21" s="1771"/>
      <c r="BU21" s="1741"/>
      <c r="BV21" s="1146"/>
      <c r="BW21" s="1146"/>
      <c r="BX21" s="1771"/>
      <c r="BY21" s="1771"/>
      <c r="BZ21" s="1741"/>
      <c r="CA21" s="1105"/>
      <c r="CB21" s="1105"/>
      <c r="CC21" s="1105"/>
      <c r="CD21" s="1796"/>
      <c r="CE21" s="1741"/>
      <c r="CF21" s="1105"/>
      <c r="CG21" s="1105"/>
      <c r="CH21" s="1105"/>
      <c r="CI21" s="1105"/>
      <c r="CJ21" s="1741"/>
      <c r="CK21" s="1635"/>
      <c r="CL21" s="1635"/>
      <c r="CM21" s="1635"/>
      <c r="CN21" s="1635"/>
      <c r="CO21" s="1741"/>
      <c r="CP21" s="1635"/>
      <c r="CQ21" s="1635"/>
      <c r="CR21" s="1635"/>
      <c r="CS21" s="1635"/>
      <c r="CT21" s="1741"/>
      <c r="CU21" s="2829"/>
      <c r="CV21" s="2829"/>
      <c r="CW21" s="2829"/>
      <c r="CX21" s="2829"/>
      <c r="CY21" s="2835"/>
      <c r="CZ21" s="2829"/>
      <c r="DA21" s="2829"/>
      <c r="DB21" s="2829"/>
      <c r="DC21" s="2829">
        <f>DH21/1.02*1/2</f>
        <v>75.980392156862749</v>
      </c>
      <c r="DD21" s="2835">
        <f t="shared" ref="DD21" si="21">T21-SUM(CZ21:DC21)</f>
        <v>0</v>
      </c>
      <c r="DE21" s="2829">
        <f>500*0.2</f>
        <v>100</v>
      </c>
      <c r="DF21" s="2829">
        <f>500*0.26</f>
        <v>130</v>
      </c>
      <c r="DG21" s="2829">
        <f>500*0.23</f>
        <v>115</v>
      </c>
      <c r="DH21" s="2829">
        <f>500*0.31</f>
        <v>155</v>
      </c>
      <c r="DI21" s="2835">
        <f t="shared" si="17"/>
        <v>0</v>
      </c>
      <c r="DJ21" s="1741"/>
      <c r="DK21" s="1105"/>
      <c r="DL21" s="1108"/>
      <c r="DM21" s="1108"/>
      <c r="DN21" s="1108"/>
      <c r="DO21" s="1108"/>
      <c r="DP21" s="1108"/>
      <c r="DQ21" s="1108"/>
      <c r="DR21" s="1108"/>
      <c r="DS21" s="1108"/>
      <c r="DT21" s="1108"/>
      <c r="DU21" s="1108"/>
      <c r="DV21" s="1470"/>
      <c r="DW21" s="1470"/>
    </row>
    <row r="22" spans="1:127" ht="11.25" hidden="1" customHeight="1" outlineLevel="1">
      <c r="A22" s="1830" t="s">
        <v>676</v>
      </c>
      <c r="B22" s="1781"/>
      <c r="C22" s="1781"/>
      <c r="D22" s="1781"/>
      <c r="E22" s="1781"/>
      <c r="F22" s="1781"/>
      <c r="G22" s="1781"/>
      <c r="H22" s="1781"/>
      <c r="I22" s="1781"/>
      <c r="J22" s="1781"/>
      <c r="K22" s="1781"/>
      <c r="L22" s="1781"/>
      <c r="M22" s="1781"/>
      <c r="N22" s="1781"/>
      <c r="O22" s="2715"/>
      <c r="P22" s="2715"/>
      <c r="Q22" s="1781"/>
      <c r="R22" s="1781"/>
      <c r="S22" s="3469"/>
      <c r="T22" s="3470"/>
      <c r="U22" s="3470"/>
      <c r="V22" s="3048">
        <v>0</v>
      </c>
      <c r="W22" s="3048">
        <v>0</v>
      </c>
      <c r="X22" s="3048">
        <v>0</v>
      </c>
      <c r="Y22" s="3048">
        <v>0</v>
      </c>
      <c r="Z22" s="3048">
        <v>0</v>
      </c>
      <c r="AA22" s="3048">
        <v>0</v>
      </c>
      <c r="AB22" s="3048">
        <v>0</v>
      </c>
      <c r="AC22" s="3048">
        <v>0</v>
      </c>
      <c r="AD22" s="3048">
        <v>0</v>
      </c>
      <c r="AE22" s="3048">
        <v>0</v>
      </c>
      <c r="AF22" s="2862"/>
      <c r="AG22" s="1290"/>
      <c r="AH22" s="1290"/>
      <c r="AI22" s="1290"/>
      <c r="AJ22" s="1290"/>
      <c r="AK22" s="11"/>
      <c r="AL22" s="1827"/>
      <c r="AM22" s="1770"/>
      <c r="AN22" s="1770"/>
      <c r="AO22" s="1770"/>
      <c r="AP22" s="1770"/>
      <c r="AQ22" s="1741"/>
      <c r="AR22" s="1770"/>
      <c r="AS22" s="1770"/>
      <c r="AT22" s="1770"/>
      <c r="AU22" s="1770"/>
      <c r="AV22" s="1741"/>
      <c r="AW22" s="1770"/>
      <c r="AX22" s="1770"/>
      <c r="AY22" s="1770"/>
      <c r="AZ22" s="1770"/>
      <c r="BA22" s="1741"/>
      <c r="BB22" s="1770"/>
      <c r="BC22" s="1770"/>
      <c r="BD22" s="1770"/>
      <c r="BE22" s="1770"/>
      <c r="BF22" s="1741"/>
      <c r="BG22" s="1770"/>
      <c r="BH22" s="1770"/>
      <c r="BI22" s="1770"/>
      <c r="BJ22" s="1770"/>
      <c r="BK22" s="1741"/>
      <c r="BL22" s="1770"/>
      <c r="BM22" s="1770"/>
      <c r="BN22" s="1770"/>
      <c r="BO22" s="1770"/>
      <c r="BP22" s="1741"/>
      <c r="BQ22" s="1770"/>
      <c r="BR22" s="1770"/>
      <c r="BS22" s="1770"/>
      <c r="BT22" s="1770"/>
      <c r="BU22" s="1108"/>
      <c r="BV22" s="1364"/>
      <c r="BW22" s="1364"/>
      <c r="BX22" s="1364"/>
      <c r="BY22" s="1364"/>
      <c r="BZ22" s="1108"/>
      <c r="CA22" s="2048"/>
      <c r="CB22" s="2048"/>
      <c r="CC22" s="2048"/>
      <c r="CD22" s="1364"/>
      <c r="CE22" s="1108"/>
      <c r="CF22" s="2048"/>
      <c r="CG22" s="2048"/>
      <c r="CH22" s="2048"/>
      <c r="CI22" s="2048"/>
      <c r="CJ22" s="1108"/>
      <c r="CK22" s="1364"/>
      <c r="CL22" s="1364"/>
      <c r="CM22" s="1364"/>
      <c r="CN22" s="1364"/>
      <c r="CO22" s="1108"/>
      <c r="CP22" s="2008"/>
      <c r="CQ22" s="2008"/>
      <c r="CR22" s="2008"/>
      <c r="CS22" s="1364"/>
      <c r="CT22" s="1108"/>
      <c r="CU22" s="2980"/>
      <c r="CV22" s="2980"/>
      <c r="CW22" s="2980"/>
      <c r="CX22" s="2980"/>
      <c r="CY22" s="2835"/>
      <c r="CZ22" s="2980"/>
      <c r="DA22" s="2980"/>
      <c r="DB22" s="2980"/>
      <c r="DC22" s="2980"/>
      <c r="DD22" s="2835"/>
      <c r="DE22" s="3106" t="s">
        <v>348</v>
      </c>
      <c r="DF22" s="3106" t="s">
        <v>348</v>
      </c>
      <c r="DG22" s="3106" t="s">
        <v>348</v>
      </c>
      <c r="DH22" s="3106" t="s">
        <v>348</v>
      </c>
      <c r="DI22" s="2835"/>
      <c r="DJ22" s="1741"/>
      <c r="DK22" s="2048"/>
      <c r="DL22" s="1108"/>
      <c r="DM22" s="1108"/>
      <c r="DN22" s="1108"/>
      <c r="DO22" s="1108"/>
      <c r="DP22" s="1108"/>
      <c r="DQ22" s="1108"/>
      <c r="DR22" s="1108"/>
      <c r="DS22" s="1108"/>
      <c r="DT22" s="1108"/>
      <c r="DU22" s="1108"/>
      <c r="DV22" s="1108"/>
      <c r="DW22" s="1108"/>
    </row>
    <row r="23" spans="1:127" ht="6" hidden="1" customHeight="1" outlineLevel="1">
      <c r="A23" s="1827"/>
      <c r="B23" s="1781"/>
      <c r="C23" s="1781"/>
      <c r="D23" s="1781"/>
      <c r="E23" s="1781"/>
      <c r="F23" s="1781"/>
      <c r="G23" s="1781"/>
      <c r="H23" s="1781"/>
      <c r="I23" s="1781"/>
      <c r="J23" s="1781"/>
      <c r="K23" s="1781"/>
      <c r="L23" s="1781"/>
      <c r="M23" s="1781"/>
      <c r="N23" s="1781"/>
      <c r="O23" s="2715"/>
      <c r="P23" s="2715"/>
      <c r="Q23" s="1781"/>
      <c r="R23" s="1781"/>
      <c r="S23" s="3469"/>
      <c r="T23" s="3470"/>
      <c r="U23" s="3470"/>
      <c r="V23" s="3470"/>
      <c r="W23" s="3470"/>
      <c r="X23" s="3470"/>
      <c r="Y23" s="3470"/>
      <c r="Z23" s="3470"/>
      <c r="AA23" s="3470"/>
      <c r="AB23" s="3470"/>
      <c r="AC23" s="3470"/>
      <c r="AD23" s="3470"/>
      <c r="AE23" s="3470"/>
      <c r="AF23" s="2862"/>
      <c r="AG23" s="1290"/>
      <c r="AH23" s="1290"/>
      <c r="AI23" s="1290"/>
      <c r="AJ23" s="1290"/>
      <c r="AK23" s="11"/>
      <c r="AL23" s="1827"/>
      <c r="AM23" s="1770"/>
      <c r="AN23" s="1770"/>
      <c r="AO23" s="1770"/>
      <c r="AP23" s="1770"/>
      <c r="AQ23" s="1741"/>
      <c r="AR23" s="1770"/>
      <c r="AS23" s="1770"/>
      <c r="AT23" s="1770"/>
      <c r="AU23" s="1770"/>
      <c r="AV23" s="1741"/>
      <c r="AW23" s="1770"/>
      <c r="AX23" s="1770"/>
      <c r="AY23" s="1770"/>
      <c r="AZ23" s="1770"/>
      <c r="BA23" s="1741"/>
      <c r="BB23" s="1770"/>
      <c r="BC23" s="1770"/>
      <c r="BD23" s="1770"/>
      <c r="BE23" s="1770"/>
      <c r="BF23" s="1741"/>
      <c r="BG23" s="1770"/>
      <c r="BH23" s="1770"/>
      <c r="BI23" s="1770"/>
      <c r="BJ23" s="1770"/>
      <c r="BK23" s="1741"/>
      <c r="BL23" s="1770"/>
      <c r="BM23" s="1770"/>
      <c r="BN23" s="1770"/>
      <c r="BO23" s="1770"/>
      <c r="BP23" s="1741"/>
      <c r="BQ23" s="1770"/>
      <c r="BR23" s="1770"/>
      <c r="BS23" s="1770"/>
      <c r="BT23" s="1770"/>
      <c r="BU23" s="1108"/>
      <c r="BV23" s="1364"/>
      <c r="BW23" s="1364"/>
      <c r="BX23" s="1364"/>
      <c r="BY23" s="1364"/>
      <c r="BZ23" s="1108"/>
      <c r="CA23" s="2048"/>
      <c r="CB23" s="2048"/>
      <c r="CC23" s="2048"/>
      <c r="CD23" s="1364"/>
      <c r="CE23" s="1108"/>
      <c r="CF23" s="2048"/>
      <c r="CG23" s="2048"/>
      <c r="CH23" s="2048"/>
      <c r="CI23" s="2048"/>
      <c r="CJ23" s="1108"/>
      <c r="CK23" s="1364"/>
      <c r="CL23" s="1364"/>
      <c r="CM23" s="1364"/>
      <c r="CN23" s="1364"/>
      <c r="CO23" s="1108"/>
      <c r="CP23" s="2008"/>
      <c r="CQ23" s="2008"/>
      <c r="CR23" s="2008"/>
      <c r="CS23" s="1364"/>
      <c r="CT23" s="1108"/>
      <c r="CU23" s="2980"/>
      <c r="CV23" s="2980"/>
      <c r="CW23" s="2980"/>
      <c r="CX23" s="2980"/>
      <c r="CY23" s="2835"/>
      <c r="CZ23" s="2980"/>
      <c r="DA23" s="2980"/>
      <c r="DB23" s="2980"/>
      <c r="DC23" s="2980"/>
      <c r="DD23" s="2835"/>
      <c r="DE23" s="2980"/>
      <c r="DF23" s="2980"/>
      <c r="DG23" s="2980"/>
      <c r="DH23" s="2980"/>
      <c r="DI23" s="2835"/>
      <c r="DJ23" s="1741"/>
      <c r="DK23" s="2048"/>
      <c r="DL23" s="1108"/>
      <c r="DM23" s="1108"/>
      <c r="DN23" s="1108"/>
      <c r="DO23" s="1108"/>
      <c r="DP23" s="1108"/>
      <c r="DQ23" s="1108"/>
      <c r="DR23" s="1108"/>
      <c r="DS23" s="1108"/>
      <c r="DT23" s="1108"/>
      <c r="DU23" s="1108"/>
      <c r="DV23" s="1108"/>
      <c r="DW23" s="1108"/>
    </row>
    <row r="24" spans="1:127" ht="11.25" hidden="1" customHeight="1" outlineLevel="1">
      <c r="A24" s="1831" t="s">
        <v>677</v>
      </c>
      <c r="B24" s="1105">
        <v>0</v>
      </c>
      <c r="C24" s="1105">
        <v>0</v>
      </c>
      <c r="D24" s="1105">
        <v>0</v>
      </c>
      <c r="E24" s="1105">
        <v>0</v>
      </c>
      <c r="F24" s="1105">
        <v>0</v>
      </c>
      <c r="G24" s="1105">
        <v>0</v>
      </c>
      <c r="H24" s="1105">
        <v>0</v>
      </c>
      <c r="I24" s="1105">
        <v>0</v>
      </c>
      <c r="J24" s="1105">
        <f>SUM(BQ24:BT24)</f>
        <v>92</v>
      </c>
      <c r="K24" s="1105">
        <f>SUM(BV24:BY24)</f>
        <v>100</v>
      </c>
      <c r="L24" s="1105">
        <f>K24</f>
        <v>100</v>
      </c>
      <c r="M24" s="1780">
        <f>SUM(CF24:CI24)</f>
        <v>94.25</v>
      </c>
      <c r="N24" s="1780">
        <f>SUM(CK24:CN24)</f>
        <v>53</v>
      </c>
      <c r="O24" s="2710">
        <f>M24</f>
        <v>94.25</v>
      </c>
      <c r="P24" s="2710">
        <f>N24</f>
        <v>53</v>
      </c>
      <c r="Q24" s="1780">
        <f>SUM(CP24:CS24)</f>
        <v>30</v>
      </c>
      <c r="R24" s="1780">
        <f>SUM(CU24:CX24)</f>
        <v>20</v>
      </c>
      <c r="S24" s="3116">
        <f>R24</f>
        <v>20</v>
      </c>
      <c r="T24" s="2890">
        <f>SUM(CZ24:DC24)</f>
        <v>19</v>
      </c>
      <c r="U24" s="2890">
        <f>SUM(DE24:DH24)</f>
        <v>19</v>
      </c>
      <c r="V24" s="2804">
        <f t="shared" ref="V24:AE24" si="22">U24</f>
        <v>19</v>
      </c>
      <c r="W24" s="2804">
        <f t="shared" si="22"/>
        <v>19</v>
      </c>
      <c r="X24" s="2804">
        <f t="shared" si="22"/>
        <v>19</v>
      </c>
      <c r="Y24" s="2804">
        <f t="shared" si="22"/>
        <v>19</v>
      </c>
      <c r="Z24" s="2804">
        <f t="shared" si="22"/>
        <v>19</v>
      </c>
      <c r="AA24" s="2804">
        <f t="shared" si="22"/>
        <v>19</v>
      </c>
      <c r="AB24" s="2804">
        <f t="shared" si="22"/>
        <v>19</v>
      </c>
      <c r="AC24" s="2804">
        <f t="shared" si="22"/>
        <v>19</v>
      </c>
      <c r="AD24" s="2804">
        <f t="shared" si="22"/>
        <v>19</v>
      </c>
      <c r="AE24" s="2804">
        <f t="shared" si="22"/>
        <v>19</v>
      </c>
      <c r="AF24" s="2862"/>
      <c r="AG24" s="105"/>
      <c r="AH24" s="105"/>
      <c r="AI24" s="105"/>
      <c r="AJ24" s="105"/>
      <c r="AK24" s="11"/>
      <c r="AL24" s="1826" t="str">
        <f t="shared" si="3"/>
        <v>Other</v>
      </c>
      <c r="AM24" s="1771">
        <v>0</v>
      </c>
      <c r="AN24" s="1771">
        <v>0</v>
      </c>
      <c r="AO24" s="1771">
        <v>0</v>
      </c>
      <c r="AP24" s="1771">
        <v>0</v>
      </c>
      <c r="AQ24" s="1741">
        <f>D24-SUM(AM24:AP24)</f>
        <v>0</v>
      </c>
      <c r="AR24" s="1771">
        <v>0</v>
      </c>
      <c r="AS24" s="1771">
        <v>0</v>
      </c>
      <c r="AT24" s="1771">
        <v>0</v>
      </c>
      <c r="AU24" s="1771">
        <v>0</v>
      </c>
      <c r="AV24" s="1741">
        <f>E24-SUM(AR24:AU24)</f>
        <v>0</v>
      </c>
      <c r="AW24" s="1771">
        <v>0</v>
      </c>
      <c r="AX24" s="1771">
        <v>0</v>
      </c>
      <c r="AY24" s="1771">
        <v>0</v>
      </c>
      <c r="AZ24" s="1771">
        <v>0</v>
      </c>
      <c r="BA24" s="1741">
        <f>F24-SUM(AW24:AZ24)</f>
        <v>0</v>
      </c>
      <c r="BB24" s="1771">
        <v>0</v>
      </c>
      <c r="BC24" s="1771">
        <v>0</v>
      </c>
      <c r="BD24" s="1771">
        <v>0</v>
      </c>
      <c r="BE24" s="1771">
        <v>0</v>
      </c>
      <c r="BF24" s="1741">
        <f>G24-SUM(BB24:BE24)</f>
        <v>0</v>
      </c>
      <c r="BG24" s="1771">
        <v>0</v>
      </c>
      <c r="BH24" s="1771">
        <v>0</v>
      </c>
      <c r="BI24" s="1771">
        <v>0</v>
      </c>
      <c r="BJ24" s="1771">
        <v>0</v>
      </c>
      <c r="BK24" s="1741">
        <f>H24-SUM(BG24:BJ24)</f>
        <v>0</v>
      </c>
      <c r="BL24" s="1771">
        <v>0</v>
      </c>
      <c r="BM24" s="1771">
        <v>0</v>
      </c>
      <c r="BN24" s="1771">
        <v>0</v>
      </c>
      <c r="BO24" s="1771">
        <v>0</v>
      </c>
      <c r="BP24" s="1741">
        <f>I24-SUM(BL24:BO24)</f>
        <v>0</v>
      </c>
      <c r="BQ24" s="1771">
        <v>10</v>
      </c>
      <c r="BR24" s="1771">
        <v>32</v>
      </c>
      <c r="BS24" s="1771">
        <v>25</v>
      </c>
      <c r="BT24" s="1771">
        <v>25</v>
      </c>
      <c r="BU24" s="1741">
        <f>J24-SUM(BQ24:BT24)</f>
        <v>0</v>
      </c>
      <c r="BV24" s="1146">
        <v>35</v>
      </c>
      <c r="BW24" s="1146">
        <v>25</v>
      </c>
      <c r="BX24" s="1771">
        <v>15</v>
      </c>
      <c r="BY24" s="1771">
        <v>25</v>
      </c>
      <c r="BZ24" s="1741">
        <f>K24-SUM(BV24:BY24)</f>
        <v>0</v>
      </c>
      <c r="CA24" s="1105">
        <f>BV24*(1+CA25)</f>
        <v>35</v>
      </c>
      <c r="CB24" s="1105">
        <f>BW24*(1+CB25)</f>
        <v>25</v>
      </c>
      <c r="CC24" s="1105">
        <f>BX24*(1+CC25)</f>
        <v>15</v>
      </c>
      <c r="CD24" s="1796">
        <f>L24-SUM(CA24:CC24)</f>
        <v>25</v>
      </c>
      <c r="CE24" s="1741">
        <f>L24-SUM(CA24:CD24)</f>
        <v>0</v>
      </c>
      <c r="CF24" s="1105">
        <f>CA24*(1+CF25)</f>
        <v>10.500000000000002</v>
      </c>
      <c r="CG24" s="1105">
        <f>CB24*(1+CG25)</f>
        <v>25</v>
      </c>
      <c r="CH24" s="1105">
        <f>CC24*(1+CH25)</f>
        <v>15</v>
      </c>
      <c r="CI24" s="1105">
        <f>CD24*(1+CI25)</f>
        <v>43.75</v>
      </c>
      <c r="CJ24" s="1741">
        <f>M24-SUM(CF24:CI24)</f>
        <v>0</v>
      </c>
      <c r="CK24" s="1635">
        <v>13</v>
      </c>
      <c r="CL24" s="1635">
        <v>5</v>
      </c>
      <c r="CM24" s="1635">
        <v>15</v>
      </c>
      <c r="CN24" s="1635">
        <v>20</v>
      </c>
      <c r="CO24" s="1741">
        <f>$N24-SUM(CK24:CN24)</f>
        <v>0</v>
      </c>
      <c r="CP24" s="1635">
        <v>5</v>
      </c>
      <c r="CQ24" s="1635">
        <f>+CL24</f>
        <v>5</v>
      </c>
      <c r="CR24" s="1635">
        <f>+CM24-5</f>
        <v>10</v>
      </c>
      <c r="CS24" s="1635">
        <v>10</v>
      </c>
      <c r="CT24" s="1741">
        <f>$Q24-SUM(CP24:CS24)</f>
        <v>0</v>
      </c>
      <c r="CU24" s="2829">
        <v>4</v>
      </c>
      <c r="CV24" s="2829">
        <v>5</v>
      </c>
      <c r="CW24" s="2829">
        <v>5</v>
      </c>
      <c r="CX24" s="2829">
        <v>6</v>
      </c>
      <c r="CY24" s="2835">
        <f>S24-SUM(CU24:CX24)</f>
        <v>0</v>
      </c>
      <c r="CZ24" s="2829">
        <v>3</v>
      </c>
      <c r="DA24" s="2829">
        <v>5</v>
      </c>
      <c r="DB24" s="2829">
        <f>CW24</f>
        <v>5</v>
      </c>
      <c r="DC24" s="2829">
        <f>CX24</f>
        <v>6</v>
      </c>
      <c r="DD24" s="2835">
        <f>T24-SUM(CZ24:DC24)</f>
        <v>0</v>
      </c>
      <c r="DE24" s="2829">
        <v>3</v>
      </c>
      <c r="DF24" s="2829">
        <v>5</v>
      </c>
      <c r="DG24" s="2829">
        <f>DB24</f>
        <v>5</v>
      </c>
      <c r="DH24" s="2829">
        <f>DC24</f>
        <v>6</v>
      </c>
      <c r="DI24" s="2835">
        <f t="shared" si="17"/>
        <v>0</v>
      </c>
      <c r="DJ24" s="1741"/>
      <c r="DK24" s="1105"/>
      <c r="DL24" s="1108"/>
      <c r="DM24" s="1108"/>
      <c r="DN24" s="1108"/>
      <c r="DO24" s="1108"/>
      <c r="DP24" s="1108"/>
      <c r="DQ24" s="1108"/>
      <c r="DR24" s="1108"/>
      <c r="DS24" s="1108"/>
      <c r="DT24" s="1108"/>
      <c r="DU24" s="1108"/>
      <c r="DV24" s="1470" t="s">
        <v>337</v>
      </c>
      <c r="DW24" s="1470" t="s">
        <v>337</v>
      </c>
    </row>
    <row r="25" spans="1:127" ht="11.25" hidden="1" customHeight="1" outlineLevel="1">
      <c r="A25" s="1827" t="s">
        <v>344</v>
      </c>
      <c r="B25" s="1781" t="s">
        <v>1455</v>
      </c>
      <c r="C25" s="1781" t="s">
        <v>1455</v>
      </c>
      <c r="D25" s="1781" t="s">
        <v>1455</v>
      </c>
      <c r="E25" s="1781" t="s">
        <v>1455</v>
      </c>
      <c r="F25" s="1781" t="s">
        <v>1455</v>
      </c>
      <c r="G25" s="1781" t="s">
        <v>1455</v>
      </c>
      <c r="H25" s="1781" t="s">
        <v>1455</v>
      </c>
      <c r="I25" s="1781" t="s">
        <v>1455</v>
      </c>
      <c r="J25" s="1781" t="s">
        <v>1455</v>
      </c>
      <c r="K25" s="1781" t="s">
        <v>1455</v>
      </c>
      <c r="L25" s="1781" t="s">
        <v>1455</v>
      </c>
      <c r="M25" s="1781" t="s">
        <v>1455</v>
      </c>
      <c r="N25" s="1781" t="s">
        <v>1455</v>
      </c>
      <c r="O25" s="2715"/>
      <c r="P25" s="2715" t="s">
        <v>1455</v>
      </c>
      <c r="Q25" s="1781" t="s">
        <v>1455</v>
      </c>
      <c r="R25" s="1781" t="s">
        <v>1455</v>
      </c>
      <c r="S25" s="3469" t="str">
        <f>R25</f>
        <v>-</v>
      </c>
      <c r="T25" s="3470" t="s">
        <v>1455</v>
      </c>
      <c r="U25" s="3470" t="s">
        <v>1455</v>
      </c>
      <c r="V25" s="3470" t="s">
        <v>1455</v>
      </c>
      <c r="W25" s="3470" t="s">
        <v>1455</v>
      </c>
      <c r="X25" s="3470" t="s">
        <v>1455</v>
      </c>
      <c r="Y25" s="3470" t="s">
        <v>1455</v>
      </c>
      <c r="Z25" s="3470" t="s">
        <v>1455</v>
      </c>
      <c r="AA25" s="3470" t="s">
        <v>1455</v>
      </c>
      <c r="AB25" s="3470" t="s">
        <v>1455</v>
      </c>
      <c r="AC25" s="3470" t="s">
        <v>1455</v>
      </c>
      <c r="AD25" s="3470" t="s">
        <v>1455</v>
      </c>
      <c r="AE25" s="3470" t="s">
        <v>1455</v>
      </c>
      <c r="AF25" s="2862"/>
      <c r="AG25" s="1290"/>
      <c r="AH25" s="1290"/>
      <c r="AI25" s="1290"/>
      <c r="AJ25" s="1290"/>
      <c r="AK25" s="11"/>
      <c r="AL25" s="1827" t="str">
        <f t="shared" si="3"/>
        <v xml:space="preserve">% Change </v>
      </c>
      <c r="AM25" s="1770" t="s">
        <v>1455</v>
      </c>
      <c r="AN25" s="1770" t="s">
        <v>1455</v>
      </c>
      <c r="AO25" s="1770" t="s">
        <v>1455</v>
      </c>
      <c r="AP25" s="1770" t="s">
        <v>1455</v>
      </c>
      <c r="AQ25" s="1741"/>
      <c r="AR25" s="1770" t="s">
        <v>1455</v>
      </c>
      <c r="AS25" s="1770" t="s">
        <v>1455</v>
      </c>
      <c r="AT25" s="1770" t="s">
        <v>1455</v>
      </c>
      <c r="AU25" s="1770" t="s">
        <v>1455</v>
      </c>
      <c r="AV25" s="1741"/>
      <c r="AW25" s="1770" t="s">
        <v>1455</v>
      </c>
      <c r="AX25" s="1770" t="s">
        <v>1455</v>
      </c>
      <c r="AY25" s="1770" t="s">
        <v>1455</v>
      </c>
      <c r="AZ25" s="1770" t="s">
        <v>1455</v>
      </c>
      <c r="BA25" s="1741"/>
      <c r="BB25" s="1770" t="s">
        <v>1455</v>
      </c>
      <c r="BC25" s="1770" t="s">
        <v>1455</v>
      </c>
      <c r="BD25" s="1770" t="s">
        <v>1455</v>
      </c>
      <c r="BE25" s="1770" t="s">
        <v>1455</v>
      </c>
      <c r="BF25" s="1741"/>
      <c r="BG25" s="1770" t="s">
        <v>1455</v>
      </c>
      <c r="BH25" s="1770" t="s">
        <v>1455</v>
      </c>
      <c r="BI25" s="1770" t="s">
        <v>1455</v>
      </c>
      <c r="BJ25" s="1770" t="s">
        <v>1455</v>
      </c>
      <c r="BK25" s="1741"/>
      <c r="BL25" s="1770" t="s">
        <v>1455</v>
      </c>
      <c r="BM25" s="1770" t="s">
        <v>1455</v>
      </c>
      <c r="BN25" s="1770" t="s">
        <v>1455</v>
      </c>
      <c r="BO25" s="1770" t="s">
        <v>1455</v>
      </c>
      <c r="BP25" s="1741"/>
      <c r="BQ25" s="1770" t="s">
        <v>1455</v>
      </c>
      <c r="BR25" s="1770" t="s">
        <v>1455</v>
      </c>
      <c r="BS25" s="1770" t="s">
        <v>1455</v>
      </c>
      <c r="BT25" s="1770" t="s">
        <v>1455</v>
      </c>
      <c r="BU25" s="1108"/>
      <c r="BV25" s="1364">
        <f>BV24/BQ24-1</f>
        <v>2.5</v>
      </c>
      <c r="BW25" s="1364">
        <f>BW24/BR24-1</f>
        <v>-0.21875</v>
      </c>
      <c r="BX25" s="1364">
        <f>BX24/BS24-1</f>
        <v>-0.4</v>
      </c>
      <c r="BY25" s="1364">
        <f>BY24/BT24-1</f>
        <v>0</v>
      </c>
      <c r="BZ25" s="1108"/>
      <c r="CA25" s="2048">
        <v>0</v>
      </c>
      <c r="CB25" s="2048">
        <v>0</v>
      </c>
      <c r="CC25" s="2048">
        <v>0</v>
      </c>
      <c r="CD25" s="1364">
        <f>CD24/BY24-1</f>
        <v>0</v>
      </c>
      <c r="CE25" s="1108"/>
      <c r="CF25" s="2048">
        <v>-0.7</v>
      </c>
      <c r="CG25" s="2048">
        <v>0</v>
      </c>
      <c r="CH25" s="2048">
        <v>0</v>
      </c>
      <c r="CI25" s="2048">
        <v>0.75</v>
      </c>
      <c r="CJ25" s="1108"/>
      <c r="CK25" s="1364">
        <f>CK24/CF24-1</f>
        <v>0.23809523809523792</v>
      </c>
      <c r="CL25" s="1364">
        <f>CL24/CG24-1</f>
        <v>-0.8</v>
      </c>
      <c r="CM25" s="1364">
        <f>CM24/CH24-1</f>
        <v>0</v>
      </c>
      <c r="CN25" s="1364">
        <f>CN24/CI24-1</f>
        <v>-0.54285714285714293</v>
      </c>
      <c r="CO25" s="1108"/>
      <c r="CP25" s="2008">
        <f>CP24/CK24-1</f>
        <v>-0.61538461538461542</v>
      </c>
      <c r="CQ25" s="2008">
        <f>CQ24/CL24-1</f>
        <v>0</v>
      </c>
      <c r="CR25" s="2008">
        <f>CR24/CM24-1</f>
        <v>-0.33333333333333337</v>
      </c>
      <c r="CS25" s="1364">
        <f>CS24/CN24-1</f>
        <v>-0.5</v>
      </c>
      <c r="CT25" s="1108"/>
      <c r="CU25" s="2980">
        <f>CU24/CP24-1</f>
        <v>-0.19999999999999996</v>
      </c>
      <c r="CV25" s="2980">
        <f>CV24/CQ24-1</f>
        <v>0</v>
      </c>
      <c r="CW25" s="2980">
        <f>CW24/CR24-1</f>
        <v>-0.5</v>
      </c>
      <c r="CX25" s="2980">
        <f>CX24/CS24-1</f>
        <v>-0.4</v>
      </c>
      <c r="CY25" s="2835"/>
      <c r="CZ25" s="2980">
        <f>CZ24/CU24-1</f>
        <v>-0.25</v>
      </c>
      <c r="DA25" s="2980">
        <f>DA24/CV24-1</f>
        <v>0</v>
      </c>
      <c r="DB25" s="2980">
        <f>DB24/CW24-1</f>
        <v>0</v>
      </c>
      <c r="DC25" s="2980">
        <f>DC24/CX24-1</f>
        <v>0</v>
      </c>
      <c r="DD25" s="2835"/>
      <c r="DE25" s="2980">
        <f>DE24/CZ24-1</f>
        <v>0</v>
      </c>
      <c r="DF25" s="2980">
        <f>DF24/DA24-1</f>
        <v>0</v>
      </c>
      <c r="DG25" s="2980">
        <f>DG24/DB24-1</f>
        <v>0</v>
      </c>
      <c r="DH25" s="2980">
        <f>DH24/DC24-1</f>
        <v>0</v>
      </c>
      <c r="DI25" s="2835"/>
      <c r="DJ25" s="1741"/>
      <c r="DK25" s="2048"/>
      <c r="DL25" s="1108"/>
      <c r="DM25" s="1108"/>
      <c r="DN25" s="1108"/>
      <c r="DO25" s="1108"/>
      <c r="DP25" s="1108"/>
      <c r="DQ25" s="1108"/>
      <c r="DR25" s="1108"/>
      <c r="DS25" s="1108"/>
      <c r="DT25" s="1108"/>
      <c r="DU25" s="1108"/>
      <c r="DV25" s="1108"/>
      <c r="DW25" s="1108"/>
    </row>
    <row r="26" spans="1:127" ht="6" hidden="1" customHeight="1" outlineLevel="1">
      <c r="A26" s="1832"/>
      <c r="B26" s="1782"/>
      <c r="C26" s="1782"/>
      <c r="D26" s="1782"/>
      <c r="E26" s="1782"/>
      <c r="F26" s="1782"/>
      <c r="G26" s="1782"/>
      <c r="H26" s="1782"/>
      <c r="I26" s="1782"/>
      <c r="J26" s="1782"/>
      <c r="K26" s="1782"/>
      <c r="L26" s="1782"/>
      <c r="M26" s="1782"/>
      <c r="N26" s="1782"/>
      <c r="O26" s="2716"/>
      <c r="P26" s="2716"/>
      <c r="Q26" s="1782"/>
      <c r="R26" s="1782"/>
      <c r="S26" s="2839"/>
      <c r="T26" s="2838"/>
      <c r="U26" s="2838"/>
      <c r="V26" s="2838"/>
      <c r="W26" s="2838"/>
      <c r="X26" s="2838"/>
      <c r="Y26" s="2838"/>
      <c r="Z26" s="2838"/>
      <c r="AA26" s="2838"/>
      <c r="AB26" s="2838"/>
      <c r="AC26" s="2838"/>
      <c r="AD26" s="2838"/>
      <c r="AE26" s="2838"/>
      <c r="AF26" s="2862"/>
      <c r="AG26" s="467"/>
      <c r="AH26" s="467"/>
      <c r="AI26" s="467"/>
      <c r="AJ26" s="467"/>
      <c r="AK26" s="186"/>
      <c r="AL26" s="1477"/>
      <c r="AM26" s="1782"/>
      <c r="AN26" s="1782"/>
      <c r="AO26" s="1782"/>
      <c r="AP26" s="1782"/>
      <c r="AQ26" s="1811"/>
      <c r="AR26" s="1782"/>
      <c r="AS26" s="1782"/>
      <c r="AT26" s="1782"/>
      <c r="AU26" s="1782"/>
      <c r="AV26" s="1811"/>
      <c r="AW26" s="1782"/>
      <c r="AX26" s="1782"/>
      <c r="AY26" s="1782"/>
      <c r="AZ26" s="1782"/>
      <c r="BA26" s="1811"/>
      <c r="BB26" s="1782"/>
      <c r="BC26" s="1782"/>
      <c r="BD26" s="1782"/>
      <c r="BE26" s="1782"/>
      <c r="BF26" s="1811"/>
      <c r="BG26" s="1782"/>
      <c r="BH26" s="1782"/>
      <c r="BI26" s="1782"/>
      <c r="BJ26" s="1782"/>
      <c r="BK26" s="1811"/>
      <c r="BL26" s="1782"/>
      <c r="BM26" s="1782"/>
      <c r="BN26" s="1782"/>
      <c r="BO26" s="1782"/>
      <c r="BP26" s="1811"/>
      <c r="BQ26" s="1474"/>
      <c r="BR26" s="1474"/>
      <c r="BS26" s="1474"/>
      <c r="BT26" s="1474"/>
      <c r="BU26" s="1477"/>
      <c r="BV26" s="1474"/>
      <c r="BW26" s="1474"/>
      <c r="BX26" s="1474"/>
      <c r="BY26" s="1474"/>
      <c r="BZ26" s="1477"/>
      <c r="CA26" s="1474"/>
      <c r="CB26" s="1474"/>
      <c r="CC26" s="1474"/>
      <c r="CD26" s="1474"/>
      <c r="CE26" s="1108"/>
      <c r="CF26" s="1474"/>
      <c r="CG26" s="1474"/>
      <c r="CH26" s="1474"/>
      <c r="CI26" s="1474"/>
      <c r="CJ26" s="1108"/>
      <c r="CK26" s="1474"/>
      <c r="CL26" s="1474"/>
      <c r="CM26" s="1474"/>
      <c r="CN26" s="1474"/>
      <c r="CO26" s="1108"/>
      <c r="CP26" s="1474"/>
      <c r="CQ26" s="1474"/>
      <c r="CR26" s="1474"/>
      <c r="CS26" s="1474"/>
      <c r="CT26" s="1108"/>
      <c r="CU26" s="3085"/>
      <c r="CV26" s="3085"/>
      <c r="CW26" s="3085"/>
      <c r="CX26" s="3085"/>
      <c r="CY26" s="2835"/>
      <c r="CZ26" s="3085"/>
      <c r="DA26" s="3085"/>
      <c r="DB26" s="3085"/>
      <c r="DC26" s="3085"/>
      <c r="DD26" s="2835"/>
      <c r="DE26" s="2835"/>
      <c r="DF26" s="2835"/>
      <c r="DG26" s="2835"/>
      <c r="DH26" s="2835"/>
      <c r="DI26" s="2835"/>
      <c r="DJ26" s="1741"/>
      <c r="DK26" s="1474"/>
      <c r="DL26" s="1108"/>
      <c r="DM26" s="1108"/>
      <c r="DN26" s="1108"/>
      <c r="DO26" s="1108"/>
      <c r="DP26" s="1108"/>
      <c r="DQ26" s="1108"/>
      <c r="DR26" s="1108"/>
      <c r="DS26" s="1108"/>
      <c r="DT26" s="1108"/>
      <c r="DU26" s="1108"/>
      <c r="DV26" s="1108"/>
      <c r="DW26" s="1108"/>
    </row>
    <row r="27" spans="1:127" ht="11.25" customHeight="1" collapsed="1">
      <c r="A27" s="1833" t="s">
        <v>703</v>
      </c>
      <c r="B27" s="1105">
        <f t="shared" ref="B27:H27" si="23">B15+B12+B18+B24</f>
        <v>5688.0458702275046</v>
      </c>
      <c r="C27" s="1105">
        <f t="shared" si="23"/>
        <v>5971.7576229476581</v>
      </c>
      <c r="D27" s="1105">
        <f t="shared" si="23"/>
        <v>6598.7513327425004</v>
      </c>
      <c r="E27" s="1105">
        <f t="shared" si="23"/>
        <v>6484.8330465376339</v>
      </c>
      <c r="F27" s="1105">
        <f t="shared" si="23"/>
        <v>6464.6110987741677</v>
      </c>
      <c r="G27" s="1105">
        <f t="shared" si="23"/>
        <v>6350.2161551314739</v>
      </c>
      <c r="H27" s="1105">
        <f t="shared" si="23"/>
        <v>6878.7999999999993</v>
      </c>
      <c r="I27" s="1105">
        <f t="shared" ref="I27:R27" si="24">I15+I12+I18+I24</f>
        <v>6976.7000000000007</v>
      </c>
      <c r="J27" s="1105">
        <f t="shared" si="24"/>
        <v>7390.7</v>
      </c>
      <c r="K27" s="1105">
        <f t="shared" si="24"/>
        <v>7457</v>
      </c>
      <c r="L27" s="1105">
        <f t="shared" si="24"/>
        <v>7693.9999999999991</v>
      </c>
      <c r="M27" s="1105">
        <f t="shared" si="24"/>
        <v>8645</v>
      </c>
      <c r="N27" s="1105">
        <f t="shared" si="24"/>
        <v>8309</v>
      </c>
      <c r="O27" s="2714">
        <f t="shared" si="24"/>
        <v>8645</v>
      </c>
      <c r="P27" s="2714">
        <f t="shared" si="24"/>
        <v>8309</v>
      </c>
      <c r="Q27" s="1105">
        <f t="shared" si="24"/>
        <v>8438</v>
      </c>
      <c r="R27" s="1105">
        <f t="shared" si="24"/>
        <v>8877</v>
      </c>
      <c r="S27" s="3116">
        <f>R27</f>
        <v>8877</v>
      </c>
      <c r="T27" s="2804">
        <f>T15+T12+T18+T21+T24</f>
        <v>9042.7730622256131</v>
      </c>
      <c r="U27" s="2804">
        <f>U15+U12+U18+U21+U24</f>
        <v>9948.5921745371561</v>
      </c>
      <c r="V27" s="2804">
        <f t="shared" ref="V27:AE27" si="25">V15+V12+V18+V21+V24</f>
        <v>10881.958028060124</v>
      </c>
      <c r="W27" s="2804">
        <f t="shared" si="25"/>
        <v>10966.727349487057</v>
      </c>
      <c r="X27" s="2804">
        <f t="shared" si="25"/>
        <v>11501.359157193452</v>
      </c>
      <c r="Y27" s="2804">
        <f t="shared" si="25"/>
        <v>12327.530866645689</v>
      </c>
      <c r="Z27" s="2804">
        <f t="shared" si="25"/>
        <v>12231.429094954987</v>
      </c>
      <c r="AA27" s="2804">
        <f t="shared" si="25"/>
        <v>12522.959421559255</v>
      </c>
      <c r="AB27" s="2804">
        <f t="shared" si="25"/>
        <v>13480.742149116148</v>
      </c>
      <c r="AC27" s="2804">
        <f t="shared" si="25"/>
        <v>13146.129994957382</v>
      </c>
      <c r="AD27" s="2804">
        <f t="shared" si="25"/>
        <v>13500.77285824168</v>
      </c>
      <c r="AE27" s="2804">
        <f t="shared" si="25"/>
        <v>14445.434457188778</v>
      </c>
      <c r="AF27" s="2862"/>
      <c r="AG27" s="105"/>
      <c r="AH27" s="105"/>
      <c r="AI27" s="105"/>
      <c r="AJ27" s="105"/>
      <c r="AK27" s="49"/>
      <c r="AL27" s="1297" t="str">
        <f t="shared" si="3"/>
        <v xml:space="preserve">Entertainment </v>
      </c>
      <c r="AM27" s="105">
        <f>AM15+AM12+AM18+AM24</f>
        <v>1841.5687551903998</v>
      </c>
      <c r="AN27" s="105">
        <f>AN15+AN12+AN18+AN24</f>
        <v>1579.6518860419474</v>
      </c>
      <c r="AO27" s="105">
        <f>AO15+AO12+AO18+AO24</f>
        <v>1525.2544842885882</v>
      </c>
      <c r="AP27" s="105">
        <f>AP15+AP12+AP18+AP24</f>
        <v>1652.2762072215651</v>
      </c>
      <c r="AQ27" s="1120">
        <f>D27-SUM(AM27:AP27)</f>
        <v>0</v>
      </c>
      <c r="AR27" s="105">
        <f>AR15+AR12+AR18+AR24</f>
        <v>1746.6276432147997</v>
      </c>
      <c r="AS27" s="105">
        <f>AS15+AS12+AS18+AS24</f>
        <v>1573.5163294606887</v>
      </c>
      <c r="AT27" s="105">
        <f>AT15+AT12+AT18+AT24</f>
        <v>1456.6493400464356</v>
      </c>
      <c r="AU27" s="105">
        <f>AU15+AU12+AU18+AU24</f>
        <v>1708.039733815709</v>
      </c>
      <c r="AV27" s="1120">
        <f>E27-SUM(AR27:AU27)</f>
        <v>0</v>
      </c>
      <c r="AW27" s="105">
        <f>AW15+AW12+AW18+AW24</f>
        <v>1844.6917253084266</v>
      </c>
      <c r="AX27" s="105">
        <f>AX15+AX12+AX18+AX24</f>
        <v>1487.0781631992072</v>
      </c>
      <c r="AY27" s="105">
        <f>AY15+AY12+AY18+AY24</f>
        <v>1400.6931239511209</v>
      </c>
      <c r="AZ27" s="105">
        <f>AZ15+AZ12+AZ18+AZ24</f>
        <v>1732.1480863154127</v>
      </c>
      <c r="BA27" s="1120">
        <f>F27-SUM(AW27:AZ27)</f>
        <v>0</v>
      </c>
      <c r="BB27" s="105">
        <f>BB15+BB12+BB18+BB24</f>
        <v>1845.9785930113817</v>
      </c>
      <c r="BC27" s="105">
        <f>BC15+BC12+BC18+BC24</f>
        <v>1404.513864969897</v>
      </c>
      <c r="BD27" s="105">
        <f>BD15+BD12+BD18+BD24</f>
        <v>1343.7987790325872</v>
      </c>
      <c r="BE27" s="105">
        <f>BE15+BE12+BE18+BE24</f>
        <v>1755.9249181176074</v>
      </c>
      <c r="BF27" s="1741">
        <f>G27-SUM(BB27:BE27)</f>
        <v>0</v>
      </c>
      <c r="BG27" s="1635">
        <v>1953.9</v>
      </c>
      <c r="BH27" s="1635">
        <v>1555.1</v>
      </c>
      <c r="BI27" s="1635">
        <v>1623.8</v>
      </c>
      <c r="BJ27" s="1635">
        <v>1746</v>
      </c>
      <c r="BK27" s="1741">
        <f>H27-SUM(BG27:BJ27)</f>
        <v>0</v>
      </c>
      <c r="BL27" s="1635">
        <v>1817.6</v>
      </c>
      <c r="BM27" s="1635">
        <v>1515.5</v>
      </c>
      <c r="BN27" s="1635">
        <v>1828.3</v>
      </c>
      <c r="BO27" s="1635">
        <v>1815.3</v>
      </c>
      <c r="BP27" s="1741">
        <f>I27-SUM(BL27:BO27)</f>
        <v>0</v>
      </c>
      <c r="BQ27" s="1635">
        <v>2081.5</v>
      </c>
      <c r="BR27" s="1635">
        <v>1671.7</v>
      </c>
      <c r="BS27" s="1635">
        <v>1616.9</v>
      </c>
      <c r="BT27" s="1635">
        <v>2020.6</v>
      </c>
      <c r="BU27" s="1741">
        <f>J27-SUM(BQ27:BT27)</f>
        <v>0</v>
      </c>
      <c r="BV27" s="1635">
        <v>1994</v>
      </c>
      <c r="BW27" s="1635">
        <v>1836</v>
      </c>
      <c r="BX27" s="1635">
        <v>1632</v>
      </c>
      <c r="BY27" s="1635">
        <v>1995</v>
      </c>
      <c r="BZ27" s="1120">
        <f>K27-SUM(BV27:BY27)</f>
        <v>0</v>
      </c>
      <c r="CA27" s="1635">
        <v>2318</v>
      </c>
      <c r="CB27" s="1635">
        <v>1707</v>
      </c>
      <c r="CC27" s="1635">
        <v>1680</v>
      </c>
      <c r="CD27" s="1635">
        <v>1989</v>
      </c>
      <c r="CE27" s="1741">
        <f>L27-SUM(CA27:CD27)</f>
        <v>0</v>
      </c>
      <c r="CF27" s="1635">
        <v>2539</v>
      </c>
      <c r="CG27" s="1635">
        <v>2008</v>
      </c>
      <c r="CH27" s="1635">
        <v>1884</v>
      </c>
      <c r="CI27" s="1635">
        <v>2214</v>
      </c>
      <c r="CJ27" s="1741">
        <f>M27-SUM(CF27:CI27)</f>
        <v>0</v>
      </c>
      <c r="CK27" s="1635">
        <v>2303</v>
      </c>
      <c r="CL27" s="1635">
        <v>1835</v>
      </c>
      <c r="CM27" s="1635">
        <v>1911</v>
      </c>
      <c r="CN27" s="1635">
        <v>2260</v>
      </c>
      <c r="CO27" s="1741">
        <f>$N27-SUM(CK27:CN27)</f>
        <v>0</v>
      </c>
      <c r="CP27" s="1635">
        <v>2261</v>
      </c>
      <c r="CQ27" s="1635">
        <v>1785</v>
      </c>
      <c r="CR27" s="1635">
        <v>1932</v>
      </c>
      <c r="CS27" s="1635">
        <v>2460</v>
      </c>
      <c r="CT27" s="1741">
        <f>$Q27-SUM(CP27:CS27)</f>
        <v>0</v>
      </c>
      <c r="CU27" s="2829">
        <v>2587</v>
      </c>
      <c r="CV27" s="2829">
        <v>1947</v>
      </c>
      <c r="CW27" s="2829">
        <v>1949</v>
      </c>
      <c r="CX27" s="2829">
        <v>2394</v>
      </c>
      <c r="CY27" s="2835">
        <f>S27-SUM(CU27:CX27)</f>
        <v>0</v>
      </c>
      <c r="CZ27" s="3094">
        <v>2347</v>
      </c>
      <c r="DA27" s="3094">
        <v>2184</v>
      </c>
      <c r="DB27" s="3094">
        <v>1815</v>
      </c>
      <c r="DC27" s="3279">
        <f>DC15+DC12+DC18+DC21+DC24</f>
        <v>2696.7730622256131</v>
      </c>
      <c r="DD27" s="2835">
        <f>T27-SUM(CZ27:DC27)</f>
        <v>0</v>
      </c>
      <c r="DE27" s="3279">
        <f>DE15+DE12+DE18+DE21+DE24</f>
        <v>2538.3321489654577</v>
      </c>
      <c r="DF27" s="3279">
        <f t="shared" ref="DF27:DH27" si="26">DF15+DF12+DF18+DF21+DF24</f>
        <v>2373.3100191407375</v>
      </c>
      <c r="DG27" s="3279">
        <f t="shared" si="26"/>
        <v>2133.8649256225499</v>
      </c>
      <c r="DH27" s="3279">
        <f t="shared" si="26"/>
        <v>2903.0850808084124</v>
      </c>
      <c r="DI27" s="2835">
        <f t="shared" si="17"/>
        <v>0</v>
      </c>
      <c r="DJ27" s="1741"/>
      <c r="DK27" s="1105" t="s">
        <v>1237</v>
      </c>
      <c r="DL27" s="1108"/>
      <c r="DM27" s="1108"/>
      <c r="DN27" s="1108"/>
      <c r="DO27" s="1108"/>
      <c r="DP27" s="1108"/>
      <c r="DQ27" s="1108"/>
      <c r="DR27" s="1108"/>
      <c r="DS27" s="1108"/>
      <c r="DT27" s="1108"/>
      <c r="DU27" s="1108"/>
      <c r="DV27" s="1108"/>
      <c r="DW27" s="1108"/>
    </row>
    <row r="28" spans="1:127" ht="11.25" customHeight="1">
      <c r="A28" s="1834" t="s">
        <v>676</v>
      </c>
      <c r="B28" s="1781" t="s">
        <v>1455</v>
      </c>
      <c r="C28" s="1364">
        <f>C27/B27-1</f>
        <v>4.9878597886343412E-2</v>
      </c>
      <c r="D28" s="1364">
        <f t="shared" ref="D28:J28" si="27">D27/C27-1</f>
        <v>0.10499316103947276</v>
      </c>
      <c r="E28" s="1364">
        <f t="shared" si="27"/>
        <v>-1.7263612532209316E-2</v>
      </c>
      <c r="F28" s="1364">
        <f t="shared" si="27"/>
        <v>-3.1183451629896997E-3</v>
      </c>
      <c r="G28" s="1364">
        <f t="shared" si="27"/>
        <v>-1.7695564651118101E-2</v>
      </c>
      <c r="H28" s="1364">
        <f t="shared" si="27"/>
        <v>8.3238716912240607E-2</v>
      </c>
      <c r="I28" s="1364">
        <f t="shared" si="27"/>
        <v>1.4232133511659306E-2</v>
      </c>
      <c r="J28" s="1364">
        <f t="shared" si="27"/>
        <v>5.9340375822380054E-2</v>
      </c>
      <c r="K28" s="1364">
        <f t="shared" ref="K28:W28" si="28">K27/J27-1</f>
        <v>8.9707334893853741E-3</v>
      </c>
      <c r="L28" s="1364">
        <f t="shared" si="28"/>
        <v>3.1782218050154132E-2</v>
      </c>
      <c r="M28" s="1364">
        <f t="shared" si="28"/>
        <v>0.12360280738237606</v>
      </c>
      <c r="N28" s="1364">
        <f t="shared" si="28"/>
        <v>-3.886639676113357E-2</v>
      </c>
      <c r="O28" s="2711"/>
      <c r="P28" s="2711">
        <f t="shared" si="28"/>
        <v>-3.886639676113357E-2</v>
      </c>
      <c r="Q28" s="1364">
        <f t="shared" si="28"/>
        <v>1.55253339752075E-2</v>
      </c>
      <c r="R28" s="1364">
        <f t="shared" si="28"/>
        <v>5.2026546575017818E-2</v>
      </c>
      <c r="S28" s="2828"/>
      <c r="T28" s="2827">
        <f>T27/R27-1</f>
        <v>1.8674446572672476E-2</v>
      </c>
      <c r="U28" s="2827">
        <f>U27/T27-1</f>
        <v>0.10017050146878304</v>
      </c>
      <c r="V28" s="2827">
        <f t="shared" si="28"/>
        <v>9.38188878534858E-2</v>
      </c>
      <c r="W28" s="2827">
        <f t="shared" si="28"/>
        <v>7.7898960102904535E-3</v>
      </c>
      <c r="X28" s="2827">
        <f t="shared" ref="X28:AE28" si="29">X27/W27-1</f>
        <v>4.8750351008899795E-2</v>
      </c>
      <c r="Y28" s="2827">
        <f t="shared" si="29"/>
        <v>7.1832528500382908E-2</v>
      </c>
      <c r="Z28" s="2827">
        <f t="shared" si="29"/>
        <v>-7.7957031890889539E-3</v>
      </c>
      <c r="AA28" s="2827">
        <f t="shared" si="29"/>
        <v>2.3834526966641567E-2</v>
      </c>
      <c r="AB28" s="2827">
        <f t="shared" si="29"/>
        <v>7.6482139350223743E-2</v>
      </c>
      <c r="AC28" s="2827">
        <f t="shared" si="29"/>
        <v>-2.4821493539263662E-2</v>
      </c>
      <c r="AD28" s="2827">
        <f t="shared" si="29"/>
        <v>2.6976978275761176E-2</v>
      </c>
      <c r="AE28" s="2827">
        <f t="shared" si="29"/>
        <v>6.9970927506599612E-2</v>
      </c>
      <c r="AF28" s="2862"/>
      <c r="AG28" s="1104"/>
      <c r="AH28" s="1104"/>
      <c r="AI28" s="1104"/>
      <c r="AJ28" s="1104"/>
      <c r="AK28" s="1042"/>
      <c r="AL28" s="1298" t="str">
        <f t="shared" si="3"/>
        <v>% Change</v>
      </c>
      <c r="AM28" s="1286" t="s">
        <v>1455</v>
      </c>
      <c r="AN28" s="1286" t="s">
        <v>1455</v>
      </c>
      <c r="AO28" s="1286" t="s">
        <v>1455</v>
      </c>
      <c r="AP28" s="1286" t="s">
        <v>1455</v>
      </c>
      <c r="AQ28" s="1293"/>
      <c r="AR28" s="1104">
        <f>AR27/AM27-1</f>
        <v>-5.1554475882592876E-2</v>
      </c>
      <c r="AS28" s="1104">
        <f>AS27/AN27-1</f>
        <v>-3.8841194287636549E-3</v>
      </c>
      <c r="AT28" s="1104">
        <f>AT27/AO27-1</f>
        <v>-4.4979473883764109E-2</v>
      </c>
      <c r="AU28" s="1104">
        <f>AU27/AP27-1</f>
        <v>3.3749518603741757E-2</v>
      </c>
      <c r="AV28" s="1293"/>
      <c r="AW28" s="1104">
        <f>AW27/AR27-1</f>
        <v>5.6144812819481471E-2</v>
      </c>
      <c r="AX28" s="1104">
        <f>AX27/AS27-1</f>
        <v>-5.4933123122470229E-2</v>
      </c>
      <c r="AY28" s="1104">
        <f>AY27/AT27-1</f>
        <v>-3.8414335253487142E-2</v>
      </c>
      <c r="AZ28" s="1104">
        <f>AZ27/AU27-1</f>
        <v>1.4114632126178028E-2</v>
      </c>
      <c r="BA28" s="1293"/>
      <c r="BB28" s="1104">
        <f>BB27/AW27-1</f>
        <v>6.9760583044842228E-4</v>
      </c>
      <c r="BC28" s="1104">
        <f>BC27/AX27-1</f>
        <v>-5.5521155694793212E-2</v>
      </c>
      <c r="BD28" s="1104">
        <f>BD27/AY27-1</f>
        <v>-4.0618707942282395E-2</v>
      </c>
      <c r="BE28" s="1104">
        <f>BE27/AZ27-1</f>
        <v>1.3726789291308439E-2</v>
      </c>
      <c r="BF28" s="1845"/>
      <c r="BG28" s="1364">
        <f>BG27/BB27-1</f>
        <v>5.8462978605057447E-2</v>
      </c>
      <c r="BH28" s="1364">
        <f>BH27/BC27-1</f>
        <v>0.1072158408584527</v>
      </c>
      <c r="BI28" s="1364">
        <f>BI27/BD27-1</f>
        <v>0.20836543784404116</v>
      </c>
      <c r="BJ28" s="1364">
        <f>BJ27/BE27-1</f>
        <v>-5.6522451587777134E-3</v>
      </c>
      <c r="BK28" s="1845"/>
      <c r="BL28" s="1364">
        <f>BL27/BG27-1</f>
        <v>-6.9757920057321399E-2</v>
      </c>
      <c r="BM28" s="1364">
        <f>BM27/BH27-1</f>
        <v>-2.5464600347244515E-2</v>
      </c>
      <c r="BN28" s="1364">
        <f>BN27/BI27-1</f>
        <v>0.12593915506835818</v>
      </c>
      <c r="BO28" s="1364">
        <f>BO27/BJ27-1</f>
        <v>3.9690721649484617E-2</v>
      </c>
      <c r="BP28" s="1845"/>
      <c r="BQ28" s="1364">
        <f>BQ27/BL27-1</f>
        <v>0.14519146126760574</v>
      </c>
      <c r="BR28" s="1364">
        <f>BR27/BM27-1</f>
        <v>0.1030682942923129</v>
      </c>
      <c r="BS28" s="1364">
        <f>BS27/BN27-1</f>
        <v>-0.11562653831428094</v>
      </c>
      <c r="BT28" s="1364">
        <f>BT27/BO27-1</f>
        <v>0.11309425439321319</v>
      </c>
      <c r="BU28" s="1477"/>
      <c r="BV28" s="1364">
        <f>BV27/BQ27-1</f>
        <v>-4.2036992553447061E-2</v>
      </c>
      <c r="BW28" s="1364">
        <f>BW27/BR27-1</f>
        <v>9.8283184781958521E-2</v>
      </c>
      <c r="BX28" s="1364">
        <f>BX27/BS27-1</f>
        <v>9.3388583091100763E-3</v>
      </c>
      <c r="BY28" s="1364">
        <f>BY27/BT27-1</f>
        <v>-1.2669504107690743E-2</v>
      </c>
      <c r="BZ28" s="186"/>
      <c r="CA28" s="1364">
        <f>CA27/BV27-1</f>
        <v>0.1624874623871615</v>
      </c>
      <c r="CB28" s="1364">
        <f>CB27/BW27-1</f>
        <v>-7.0261437908496704E-2</v>
      </c>
      <c r="CC28" s="1364">
        <f>CC27/BX27-1</f>
        <v>2.9411764705882248E-2</v>
      </c>
      <c r="CD28" s="1364">
        <f>CD27/BY27-1</f>
        <v>-3.0075187969924588E-3</v>
      </c>
      <c r="CE28" s="1108"/>
      <c r="CF28" s="1364">
        <f>CF27/CA27-1</f>
        <v>9.5340811044003493E-2</v>
      </c>
      <c r="CG28" s="1364">
        <f>CG27/CB27-1</f>
        <v>0.17633274751025185</v>
      </c>
      <c r="CH28" s="1364">
        <f>CH27/CC27-1</f>
        <v>0.12142857142857144</v>
      </c>
      <c r="CI28" s="1364">
        <f>CI27/CD27-1</f>
        <v>0.1131221719457014</v>
      </c>
      <c r="CJ28" s="1108"/>
      <c r="CK28" s="1364">
        <f>CK27/CF27-1</f>
        <v>-9.294998030720758E-2</v>
      </c>
      <c r="CL28" s="1364">
        <f>CL27/CG27-1</f>
        <v>-8.6155378486055811E-2</v>
      </c>
      <c r="CM28" s="1364">
        <f>CM27/CH27-1</f>
        <v>1.4331210191082855E-2</v>
      </c>
      <c r="CN28" s="1364">
        <f>CN27/CI27-1</f>
        <v>2.0776874435411097E-2</v>
      </c>
      <c r="CO28" s="1108"/>
      <c r="CP28" s="2008">
        <f>CP27/CK27-1</f>
        <v>-1.8237082066869248E-2</v>
      </c>
      <c r="CQ28" s="2008">
        <f>CQ27/CL27-1</f>
        <v>-2.7247956403269713E-2</v>
      </c>
      <c r="CR28" s="2008">
        <f>CR27/CM27-1</f>
        <v>1.098901098901095E-2</v>
      </c>
      <c r="CS28" s="1364">
        <f>CS27/CN27-1</f>
        <v>8.8495575221238854E-2</v>
      </c>
      <c r="CT28" s="1364"/>
      <c r="CU28" s="2827">
        <f>CU27/CP27-1</f>
        <v>0.1441839893852277</v>
      </c>
      <c r="CV28" s="2827">
        <f>CV27/CQ27-1</f>
        <v>9.0756302521008303E-2</v>
      </c>
      <c r="CW28" s="2980">
        <f>CW27/CR27-1</f>
        <v>8.7991718426501109E-3</v>
      </c>
      <c r="CX28" s="2980">
        <f>CX27/CS27-1</f>
        <v>-2.6829268292682951E-2</v>
      </c>
      <c r="CY28" s="2835"/>
      <c r="CZ28" s="2980">
        <f>CZ27/CU27-1</f>
        <v>-9.2771550057982211E-2</v>
      </c>
      <c r="DA28" s="2980">
        <f>DA27/CV27-1</f>
        <v>0.1217257318952234</v>
      </c>
      <c r="DB28" s="2980">
        <f>DB27/CW27-1</f>
        <v>-6.8753206772703912E-2</v>
      </c>
      <c r="DC28" s="2980">
        <f>DC27/CX27-1</f>
        <v>0.12647162164812586</v>
      </c>
      <c r="DD28" s="2835"/>
      <c r="DE28" s="2980">
        <f t="shared" ref="DE28:DH28" si="30">DE27/CZ27-1</f>
        <v>8.1522006376419931E-2</v>
      </c>
      <c r="DF28" s="2980">
        <f t="shared" si="30"/>
        <v>8.6680411694476822E-2</v>
      </c>
      <c r="DG28" s="2980">
        <f t="shared" si="30"/>
        <v>0.17568315461297512</v>
      </c>
      <c r="DH28" s="2980">
        <f t="shared" si="30"/>
        <v>7.6503292573136594E-2</v>
      </c>
      <c r="DI28" s="2835"/>
      <c r="DJ28" s="1741"/>
      <c r="DK28" s="1364"/>
      <c r="DL28" s="1108"/>
      <c r="DM28" s="1108"/>
      <c r="DN28" s="1108"/>
      <c r="DO28" s="1108"/>
      <c r="DP28" s="1108"/>
      <c r="DQ28" s="1108"/>
      <c r="DR28" s="1108"/>
      <c r="DS28" s="1108"/>
      <c r="DT28" s="1108"/>
      <c r="DU28" s="1108"/>
      <c r="DV28" s="1470" t="s">
        <v>784</v>
      </c>
      <c r="DW28" s="1470" t="s">
        <v>784</v>
      </c>
    </row>
    <row r="29" spans="1:127" ht="6" customHeight="1">
      <c r="A29" s="1108"/>
      <c r="B29" s="1110"/>
      <c r="C29" s="1110"/>
      <c r="D29" s="1110"/>
      <c r="E29" s="1110"/>
      <c r="F29" s="1630"/>
      <c r="G29" s="1110"/>
      <c r="H29" s="1110"/>
      <c r="I29" s="1110"/>
      <c r="J29" s="1110"/>
      <c r="K29" s="1110"/>
      <c r="L29" s="1110"/>
      <c r="M29" s="1110"/>
      <c r="N29" s="1110"/>
      <c r="O29" s="2705"/>
      <c r="P29" s="2705"/>
      <c r="Q29" s="1110"/>
      <c r="R29" s="1110"/>
      <c r="S29" s="2837"/>
      <c r="T29" s="2802"/>
      <c r="U29" s="2802"/>
      <c r="V29" s="2802"/>
      <c r="W29" s="2802"/>
      <c r="X29" s="2802"/>
      <c r="Y29" s="2802"/>
      <c r="Z29" s="2802"/>
      <c r="AA29" s="2802"/>
      <c r="AB29" s="2802"/>
      <c r="AC29" s="2802"/>
      <c r="AD29" s="2802"/>
      <c r="AE29" s="2867"/>
      <c r="AF29" s="2862"/>
      <c r="AG29" s="39"/>
      <c r="AH29" s="39"/>
      <c r="AI29" s="39"/>
      <c r="AJ29" s="39"/>
      <c r="AK29" s="49"/>
      <c r="AL29" s="11"/>
      <c r="AM29" s="118"/>
      <c r="AN29" s="118"/>
      <c r="AO29" s="118"/>
      <c r="AP29" s="118"/>
      <c r="AQ29" s="1295"/>
      <c r="AR29" s="118"/>
      <c r="AS29" s="118"/>
      <c r="AT29" s="118"/>
      <c r="AU29" s="118"/>
      <c r="AV29" s="1295"/>
      <c r="AW29" s="118"/>
      <c r="AX29" s="118"/>
      <c r="AY29" s="118"/>
      <c r="AZ29" s="118"/>
      <c r="BA29" s="1295"/>
      <c r="BB29" s="118"/>
      <c r="BC29" s="118"/>
      <c r="BD29" s="118"/>
      <c r="BE29" s="118"/>
      <c r="BF29" s="1799"/>
      <c r="BG29" s="1630"/>
      <c r="BH29" s="1630"/>
      <c r="BI29" s="1630"/>
      <c r="BJ29" s="1630"/>
      <c r="BK29" s="1799"/>
      <c r="BL29" s="1630"/>
      <c r="BM29" s="1630"/>
      <c r="BN29" s="1630"/>
      <c r="BO29" s="1630"/>
      <c r="BP29" s="1799"/>
      <c r="BQ29" s="1108"/>
      <c r="BR29" s="1108"/>
      <c r="BS29" s="1108"/>
      <c r="BT29" s="1108"/>
      <c r="BU29" s="1108"/>
      <c r="BV29" s="1108"/>
      <c r="BW29" s="1108"/>
      <c r="BX29" s="1108"/>
      <c r="BY29" s="1108"/>
      <c r="BZ29" s="11"/>
      <c r="CA29" s="1108"/>
      <c r="CB29" s="1108"/>
      <c r="CC29" s="1108"/>
      <c r="CD29" s="1108"/>
      <c r="CE29" s="1108"/>
      <c r="CF29" s="1108"/>
      <c r="CG29" s="1108"/>
      <c r="CH29" s="1108"/>
      <c r="CI29" s="1108"/>
      <c r="CJ29" s="1108"/>
      <c r="CK29" s="1470"/>
      <c r="CL29" s="1470"/>
      <c r="CM29" s="1470"/>
      <c r="CN29" s="1108"/>
      <c r="CO29" s="1108"/>
      <c r="CP29" s="1470"/>
      <c r="CQ29" s="1470"/>
      <c r="CR29" s="1470"/>
      <c r="CS29" s="1108"/>
      <c r="CT29" s="1108"/>
      <c r="CU29" s="2862"/>
      <c r="CV29" s="2862"/>
      <c r="CW29" s="2862"/>
      <c r="CX29" s="2862"/>
      <c r="CY29" s="2835"/>
      <c r="CZ29" s="2835"/>
      <c r="DA29" s="2835"/>
      <c r="DB29" s="2835"/>
      <c r="DC29" s="2835"/>
      <c r="DD29" s="2835"/>
      <c r="DE29" s="2835"/>
      <c r="DF29" s="2835"/>
      <c r="DG29" s="2835"/>
      <c r="DH29" s="2835"/>
      <c r="DI29" s="2835"/>
      <c r="DJ29" s="1741"/>
      <c r="DK29" s="1108"/>
      <c r="DL29" s="1108"/>
      <c r="DM29" s="1108"/>
      <c r="DN29" s="1108"/>
      <c r="DO29" s="1108"/>
      <c r="DP29" s="1108"/>
      <c r="DQ29" s="1108"/>
      <c r="DR29" s="1108"/>
      <c r="DS29" s="1108"/>
      <c r="DT29" s="1108"/>
      <c r="DU29" s="1108"/>
      <c r="DV29" s="1108"/>
      <c r="DW29" s="1108"/>
    </row>
    <row r="30" spans="1:127" ht="11.25" hidden="1" customHeight="1" outlineLevel="1">
      <c r="A30" s="1826" t="s">
        <v>1065</v>
      </c>
      <c r="B30" s="1105">
        <f>'Segment Detail'!Y105</f>
        <v>1027.9652597724951</v>
      </c>
      <c r="C30" s="1105">
        <f>'Segment Detail'!Z105</f>
        <v>1033.3808398023421</v>
      </c>
      <c r="D30" s="1105">
        <f>'Segment Detail'!AA105</f>
        <v>1010</v>
      </c>
      <c r="E30" s="1105">
        <f>'Segment Detail'!AB105</f>
        <v>1049.4950000000001</v>
      </c>
      <c r="F30" s="1105">
        <f>'Segment Detail'!AC105</f>
        <v>1131.1980425000002</v>
      </c>
      <c r="G30" s="1105">
        <f>'Segment Detail'!AD105</f>
        <v>1187.7579446250002</v>
      </c>
      <c r="H30" s="1105">
        <f t="shared" ref="H30:N30" si="31">H36-H33</f>
        <v>1190.7077563349999</v>
      </c>
      <c r="I30" s="1105">
        <f t="shared" si="31"/>
        <v>1260.7811738441001</v>
      </c>
      <c r="J30" s="1105">
        <f t="shared" si="31"/>
        <v>1375.336574223237</v>
      </c>
      <c r="K30" s="1105">
        <f t="shared" si="31"/>
        <v>1507.0290056943654</v>
      </c>
      <c r="L30" s="1105">
        <f t="shared" si="31"/>
        <v>1646.1255244003867</v>
      </c>
      <c r="M30" s="1105">
        <f t="shared" si="31"/>
        <v>1933.5380326176105</v>
      </c>
      <c r="N30" s="1105">
        <f t="shared" si="31"/>
        <v>2032.1618988136549</v>
      </c>
      <c r="O30" s="2714">
        <f>M30</f>
        <v>1933.5380326176105</v>
      </c>
      <c r="P30" s="2714">
        <f>Showtime!Z18</f>
        <v>2032.1618988136549</v>
      </c>
      <c r="Q30" s="1105">
        <f>Q36-Q33</f>
        <v>2091.8947745263063</v>
      </c>
      <c r="R30" s="1105">
        <f>R36-R33</f>
        <v>2003.6354679048609</v>
      </c>
      <c r="S30" s="3116">
        <f>R30</f>
        <v>2003.6354679048609</v>
      </c>
      <c r="T30" s="3117">
        <f>Showtime!AC18</f>
        <v>2321.7976590455655</v>
      </c>
      <c r="U30" s="3117">
        <f>Showtime!AD18</f>
        <v>2153.6633226445961</v>
      </c>
      <c r="V30" s="3117">
        <f>Showtime!AE18</f>
        <v>2264.7172375801219</v>
      </c>
      <c r="W30" s="3117">
        <f>Showtime!AF18</f>
        <v>2373.287419751186</v>
      </c>
      <c r="X30" s="3117">
        <f>Showtime!AG18</f>
        <v>2484.4435981712049</v>
      </c>
      <c r="Y30" s="3117">
        <f>Showtime!AH18</f>
        <v>2594.9902016275528</v>
      </c>
      <c r="Z30" s="3117">
        <f>Showtime!AI18</f>
        <v>2701.145918950102</v>
      </c>
      <c r="AA30" s="3117">
        <f>Showtime!AJ18</f>
        <v>2802.414023054936</v>
      </c>
      <c r="AB30" s="3117">
        <f>Showtime!AK18</f>
        <v>2902.7061172352828</v>
      </c>
      <c r="AC30" s="3117">
        <f>Showtime!AL18</f>
        <v>3004.5772218142311</v>
      </c>
      <c r="AD30" s="3117">
        <f>Showtime!AM18</f>
        <v>3107.9020552880988</v>
      </c>
      <c r="AE30" s="3117">
        <f>Showtime!AN18</f>
        <v>3212.5461965630357</v>
      </c>
      <c r="AF30" s="2862"/>
      <c r="AG30" s="105"/>
      <c r="AH30" s="105"/>
      <c r="AI30" s="105"/>
      <c r="AJ30" s="105"/>
      <c r="AK30" s="49"/>
      <c r="AL30" s="1106" t="str">
        <f>A30</f>
        <v>Showtime Revenue</v>
      </c>
      <c r="AM30" s="105">
        <f>'Segment Detail'!CO105</f>
        <v>245</v>
      </c>
      <c r="AN30" s="105">
        <f>'Segment Detail'!CP105</f>
        <v>240</v>
      </c>
      <c r="AO30" s="105">
        <f>'Segment Detail'!CQ105</f>
        <v>250</v>
      </c>
      <c r="AP30" s="105">
        <f>'Segment Detail'!CR105</f>
        <v>275</v>
      </c>
      <c r="AQ30" s="1120">
        <f>D30-SUM(AM30:AP30)</f>
        <v>0</v>
      </c>
      <c r="AR30" s="105">
        <f>'Segment Detail'!CT105</f>
        <v>250</v>
      </c>
      <c r="AS30" s="105">
        <f>'Segment Detail'!CU105</f>
        <v>262.39999999999998</v>
      </c>
      <c r="AT30" s="105">
        <f>'Segment Detail'!CV105</f>
        <v>266.65025000000003</v>
      </c>
      <c r="AU30" s="105">
        <f>'Segment Detail'!CW105</f>
        <v>270.44475</v>
      </c>
      <c r="AV30" s="1120">
        <f>E30-SUM(AR30:AU30)</f>
        <v>0</v>
      </c>
      <c r="AW30" s="105">
        <f>'Segment Detail'!CY105</f>
        <v>262.5</v>
      </c>
      <c r="AX30" s="105">
        <f>'Segment Detail'!CZ105</f>
        <v>291.26400000000001</v>
      </c>
      <c r="AY30" s="105">
        <f>'Segment Detail'!DA105</f>
        <v>282.64926500000007</v>
      </c>
      <c r="AZ30" s="105">
        <f>'Segment Detail'!DB105</f>
        <v>294.78477750000002</v>
      </c>
      <c r="BA30" s="1120">
        <f>F30-SUM(AW30:AZ30)</f>
        <v>0</v>
      </c>
      <c r="BB30" s="105">
        <f>'Segment Detail'!DD105</f>
        <v>275.625</v>
      </c>
      <c r="BC30" s="105">
        <f>'Segment Detail'!DE105</f>
        <v>305.8272</v>
      </c>
      <c r="BD30" s="105">
        <f>'Segment Detail'!DF105</f>
        <v>296.78172825000007</v>
      </c>
      <c r="BE30" s="105">
        <f>'Segment Detail'!DG105</f>
        <v>309.5240163750002</v>
      </c>
      <c r="BF30" s="1741">
        <f>G30-SUM(BB30:BE30)</f>
        <v>0</v>
      </c>
      <c r="BG30" s="1105">
        <f>BG36-BG33</f>
        <v>300.64712609499998</v>
      </c>
      <c r="BH30" s="1105">
        <f>BH36-BH33</f>
        <v>295.45233999999999</v>
      </c>
      <c r="BI30" s="1105">
        <f>BI36-BI33</f>
        <v>293.47807599999999</v>
      </c>
      <c r="BJ30" s="1105">
        <f>BJ36-BJ33</f>
        <v>301.13021423999999</v>
      </c>
      <c r="BK30" s="1741">
        <f>H30-SUM(BG30:BJ30)</f>
        <v>0</v>
      </c>
      <c r="BL30" s="1105">
        <f>BL36-BL33</f>
        <v>320.71360879210005</v>
      </c>
      <c r="BM30" s="1105">
        <f>BM36-BM33</f>
        <v>307.00071439999999</v>
      </c>
      <c r="BN30" s="1105">
        <f>BN36-BN33</f>
        <v>308.96134892000003</v>
      </c>
      <c r="BO30" s="1105">
        <f>BO36-BO33</f>
        <v>324.10550173200005</v>
      </c>
      <c r="BP30" s="1741">
        <f>I30-SUM(BL30:BO30)</f>
        <v>0</v>
      </c>
      <c r="BQ30" s="1105">
        <f>BQ36-BQ33</f>
        <v>344.732922286757</v>
      </c>
      <c r="BR30" s="1105">
        <f>BR36-BR33</f>
        <v>343.97682870400001</v>
      </c>
      <c r="BS30" s="1105">
        <f>BS36-BS33</f>
        <v>344.54055125799999</v>
      </c>
      <c r="BT30" s="1636">
        <f>J30-SUM(BQ30:BS30)</f>
        <v>342.08627197448004</v>
      </c>
      <c r="BU30" s="1741">
        <f>J30-SUM(BQ30:BT30)</f>
        <v>0</v>
      </c>
      <c r="BV30" s="1105">
        <f>BV36-BV33</f>
        <v>366.47553140690297</v>
      </c>
      <c r="BW30" s="1105">
        <f>BW36-BW33</f>
        <v>384.45335300959999</v>
      </c>
      <c r="BX30" s="1105">
        <f>BX36-BX33</f>
        <v>390.72163394670002</v>
      </c>
      <c r="BY30" s="1636">
        <f>K30-SUM(BV30:BX30)</f>
        <v>365.37848733116243</v>
      </c>
      <c r="BZ30" s="1120">
        <f>K30-SUM(BV30:BY30)</f>
        <v>0</v>
      </c>
      <c r="CA30" s="1105">
        <f>CA36-CA33</f>
        <v>422.02735048980037</v>
      </c>
      <c r="CB30" s="1105">
        <f>CB36-CB33</f>
        <v>414.59868831056002</v>
      </c>
      <c r="CC30" s="1105">
        <f>CC36-CC33</f>
        <v>404.37936466243599</v>
      </c>
      <c r="CD30" s="1796">
        <f>L30-SUM(CA30:CC30)</f>
        <v>405.12012093759017</v>
      </c>
      <c r="CE30" s="1741">
        <f>L30-SUM(CA30:CD30)</f>
        <v>0</v>
      </c>
      <c r="CF30" s="1105">
        <f>CF36-CF33</f>
        <v>445.62953852898443</v>
      </c>
      <c r="CG30" s="1105">
        <f>CG36-CG33</f>
        <v>484.18078731047314</v>
      </c>
      <c r="CH30" s="1105">
        <f>CH36-CH33</f>
        <v>562.00781701211872</v>
      </c>
      <c r="CI30" s="1796">
        <f>M30-SUM(CF30:CH30)</f>
        <v>441.71988976603416</v>
      </c>
      <c r="CJ30" s="1741">
        <f>M30-SUM(CF30:CI30)</f>
        <v>0</v>
      </c>
      <c r="CK30" s="1634">
        <f>CK36-CK33</f>
        <v>502.3636062260133</v>
      </c>
      <c r="CL30" s="1634">
        <f>CL36-CL33</f>
        <v>479.98253848565389</v>
      </c>
      <c r="CM30" s="1634">
        <f>CM36-CM33</f>
        <v>588.03627039882156</v>
      </c>
      <c r="CN30" s="1636">
        <f>P30-SUM(CK30:CM30)</f>
        <v>461.77948370316631</v>
      </c>
      <c r="CO30" s="1741">
        <f>$N30-SUM(CK30:CN30)</f>
        <v>0</v>
      </c>
      <c r="CP30" s="1634">
        <f>CP36-CP33</f>
        <v>502.97815047505384</v>
      </c>
      <c r="CQ30" s="1634">
        <f>CQ36-CQ33</f>
        <v>577.50582256356574</v>
      </c>
      <c r="CR30" s="1634">
        <f>CR36-CR33</f>
        <v>488.41790256676859</v>
      </c>
      <c r="CS30" s="1636">
        <f>Q30-SUM(CP30:CR30)</f>
        <v>522.99289892091815</v>
      </c>
      <c r="CT30" s="1741">
        <f>$Q30-SUM(CP30:CS30)</f>
        <v>0</v>
      </c>
      <c r="CU30" s="2896">
        <f>CU36-CU33</f>
        <v>487.35716724643129</v>
      </c>
      <c r="CV30" s="2896">
        <f>CV36-CV33</f>
        <v>496.93106711123545</v>
      </c>
      <c r="CW30" s="2896">
        <f>CW36-CW33</f>
        <v>558.91461866943928</v>
      </c>
      <c r="CX30" s="2896">
        <f>CX36-CX33</f>
        <v>460.43261487775499</v>
      </c>
      <c r="CY30" s="2835">
        <f>S30-SUM(CU30:CX30)</f>
        <v>0</v>
      </c>
      <c r="CZ30" s="2896">
        <f>CZ36-CZ33</f>
        <v>503.85145393628852</v>
      </c>
      <c r="DA30" s="2896">
        <f>DA36-DA33</f>
        <v>530.36830979568481</v>
      </c>
      <c r="DB30" s="2896">
        <f>DB36-DB33</f>
        <v>799.35120341621689</v>
      </c>
      <c r="DC30" s="2952">
        <f>Showtime!EH18</f>
        <v>488.22669189737542</v>
      </c>
      <c r="DD30" s="2835">
        <f>T30-SUM(CZ30:DC30)</f>
        <v>0</v>
      </c>
      <c r="DE30" s="2952">
        <f>Showtime!EJ18</f>
        <v>528.3584278823904</v>
      </c>
      <c r="DF30" s="2952">
        <f>Showtime!EK18</f>
        <v>556.88672528546908</v>
      </c>
      <c r="DG30" s="2952">
        <f>Showtime!EL18</f>
        <v>555.88612262317668</v>
      </c>
      <c r="DH30" s="2952">
        <f>Showtime!EM18</f>
        <v>512.53204685356013</v>
      </c>
      <c r="DI30" s="2835">
        <f t="shared" ref="DI30:DI36" si="32">U30-SUM(DE30:DH30)</f>
        <v>0</v>
      </c>
      <c r="DJ30" s="1741"/>
      <c r="DK30" s="1634"/>
      <c r="DL30" s="1108"/>
      <c r="DM30" s="1108"/>
      <c r="DN30" s="1108"/>
      <c r="DO30" s="1108"/>
      <c r="DP30" s="1108"/>
      <c r="DQ30" s="1108"/>
      <c r="DR30" s="1108"/>
      <c r="DS30" s="1108"/>
      <c r="DT30" s="1108"/>
      <c r="DU30" s="1108"/>
      <c r="DV30" s="1108"/>
      <c r="DW30" s="1108"/>
    </row>
    <row r="31" spans="1:127" ht="11.25" hidden="1" customHeight="1" outlineLevel="1">
      <c r="A31" s="1827" t="s">
        <v>344</v>
      </c>
      <c r="B31" s="1364">
        <f>'Segment Detail'!Y106</f>
        <v>4.5941989640844394E-2</v>
      </c>
      <c r="C31" s="1364">
        <f t="shared" ref="C31:J31" si="33">C30/B30-1</f>
        <v>5.2682519942799377E-3</v>
      </c>
      <c r="D31" s="1364">
        <f t="shared" si="33"/>
        <v>-2.2625578975137728E-2</v>
      </c>
      <c r="E31" s="1364">
        <f t="shared" si="33"/>
        <v>3.9103960396039694E-2</v>
      </c>
      <c r="F31" s="1364">
        <f t="shared" si="33"/>
        <v>7.784986350578138E-2</v>
      </c>
      <c r="G31" s="1364">
        <f t="shared" si="33"/>
        <v>5.0000000000000044E-2</v>
      </c>
      <c r="H31" s="1364">
        <f t="shared" si="33"/>
        <v>2.4835125063558117E-3</v>
      </c>
      <c r="I31" s="1364">
        <f t="shared" si="33"/>
        <v>5.8850223437517668E-2</v>
      </c>
      <c r="J31" s="1364">
        <f t="shared" si="33"/>
        <v>9.0860652709351175E-2</v>
      </c>
      <c r="K31" s="1364">
        <f t="shared" ref="K31:W31" si="34">K30/J30-1</f>
        <v>9.5752875288367623E-2</v>
      </c>
      <c r="L31" s="1364">
        <f t="shared" si="34"/>
        <v>9.2298501342999995E-2</v>
      </c>
      <c r="M31" s="1364">
        <f t="shared" si="34"/>
        <v>0.17459938744459724</v>
      </c>
      <c r="N31" s="1364">
        <f t="shared" si="34"/>
        <v>5.1006944022987888E-2</v>
      </c>
      <c r="O31" s="2711"/>
      <c r="P31" s="2711">
        <f t="shared" si="34"/>
        <v>5.1006944022987888E-2</v>
      </c>
      <c r="Q31" s="1364">
        <f t="shared" si="34"/>
        <v>2.939375831597002E-2</v>
      </c>
      <c r="R31" s="1364">
        <f t="shared" si="34"/>
        <v>-4.2191083268722784E-2</v>
      </c>
      <c r="S31" s="2828"/>
      <c r="T31" s="2827">
        <f>T30/R30-1</f>
        <v>0.15879245313689561</v>
      </c>
      <c r="U31" s="2827">
        <f t="shared" si="34"/>
        <v>-7.2415585288377549E-2</v>
      </c>
      <c r="V31" s="2827">
        <f t="shared" si="34"/>
        <v>5.1565123372745658E-2</v>
      </c>
      <c r="W31" s="2827">
        <f t="shared" si="34"/>
        <v>4.7939840068984774E-2</v>
      </c>
      <c r="X31" s="2827">
        <f t="shared" ref="X31:AE31" si="35">X30/W30-1</f>
        <v>4.6836374513657741E-2</v>
      </c>
      <c r="Y31" s="2827">
        <f t="shared" si="35"/>
        <v>4.4495517442102894E-2</v>
      </c>
      <c r="Z31" s="2827">
        <f t="shared" si="35"/>
        <v>4.0907945338664264E-2</v>
      </c>
      <c r="AA31" s="2827">
        <f t="shared" si="35"/>
        <v>3.7490793590372107E-2</v>
      </c>
      <c r="AB31" s="2827">
        <f t="shared" si="35"/>
        <v>3.5787750616169678E-2</v>
      </c>
      <c r="AC31" s="2827">
        <f t="shared" si="35"/>
        <v>3.5095218208303081E-2</v>
      </c>
      <c r="AD31" s="2827">
        <f t="shared" si="35"/>
        <v>3.4389142247266857E-2</v>
      </c>
      <c r="AE31" s="2827">
        <f t="shared" si="35"/>
        <v>3.3670347203150985E-2</v>
      </c>
      <c r="AF31" s="2862"/>
      <c r="AG31" s="1104"/>
      <c r="AH31" s="1104"/>
      <c r="AI31" s="1104"/>
      <c r="AJ31" s="1104"/>
      <c r="AK31" s="1042"/>
      <c r="AL31" s="1294" t="str">
        <f t="shared" ref="AL31:AL77" si="36">A31</f>
        <v xml:space="preserve">% Change </v>
      </c>
      <c r="AM31" s="1286" t="s">
        <v>1455</v>
      </c>
      <c r="AN31" s="1286" t="s">
        <v>1455</v>
      </c>
      <c r="AO31" s="1286" t="s">
        <v>1455</v>
      </c>
      <c r="AP31" s="1286" t="s">
        <v>1455</v>
      </c>
      <c r="AQ31" s="1293"/>
      <c r="AR31" s="1104">
        <f>AR30/AM30-1</f>
        <v>2.0408163265306145E-2</v>
      </c>
      <c r="AS31" s="1104">
        <f>AS30/AN30-1</f>
        <v>9.3333333333333268E-2</v>
      </c>
      <c r="AT31" s="1104">
        <f>AT30/AO30-1</f>
        <v>6.6601000000000132E-2</v>
      </c>
      <c r="AU31" s="1104">
        <f>AU30/AP30-1</f>
        <v>-1.6564545454545443E-2</v>
      </c>
      <c r="AV31" s="1293"/>
      <c r="AW31" s="1104">
        <f>AW30/AR30-1</f>
        <v>5.0000000000000044E-2</v>
      </c>
      <c r="AX31" s="1104">
        <f>AX30/AS30-1</f>
        <v>0.1100000000000001</v>
      </c>
      <c r="AY31" s="1104">
        <f>AY30/AT30-1</f>
        <v>6.0000000000000053E-2</v>
      </c>
      <c r="AZ31" s="1104">
        <f>AZ30/AU30-1</f>
        <v>9.000000000000008E-2</v>
      </c>
      <c r="BA31" s="1293"/>
      <c r="BB31" s="1104">
        <f>BB30/AW30-1</f>
        <v>5.0000000000000044E-2</v>
      </c>
      <c r="BC31" s="1104">
        <f>BC30/AX30-1</f>
        <v>5.0000000000000044E-2</v>
      </c>
      <c r="BD31" s="1104">
        <f>BD30/AY30-1</f>
        <v>5.0000000000000044E-2</v>
      </c>
      <c r="BE31" s="1104">
        <f>BE30/AZ30-1</f>
        <v>5.0000000000000711E-2</v>
      </c>
      <c r="BF31" s="1845"/>
      <c r="BG31" s="1364">
        <f>BG30/BB30-1</f>
        <v>9.078322392743754E-2</v>
      </c>
      <c r="BH31" s="1364">
        <f>BH30/BC30-1</f>
        <v>-3.3923928283684401E-2</v>
      </c>
      <c r="BI31" s="1364">
        <f>BI30/BD30-1</f>
        <v>-1.1131589095731642E-2</v>
      </c>
      <c r="BJ31" s="1364">
        <f>BJ30/BE30-1</f>
        <v>-2.7118419543996852E-2</v>
      </c>
      <c r="BK31" s="1845"/>
      <c r="BL31" s="1364">
        <f>BL30/BG30-1</f>
        <v>6.674430239110074E-2</v>
      </c>
      <c r="BM31" s="1364">
        <f>BM30/BH30-1</f>
        <v>3.9087097431687257E-2</v>
      </c>
      <c r="BN31" s="1364">
        <f>BN30/BI30-1</f>
        <v>5.2757852072057521E-2</v>
      </c>
      <c r="BO31" s="1364">
        <f>BO30/BJ30-1</f>
        <v>7.6296852343381349E-2</v>
      </c>
      <c r="BP31" s="1364"/>
      <c r="BQ31" s="1364">
        <f>BQ30/BL30-1</f>
        <v>7.4893340463850766E-2</v>
      </c>
      <c r="BR31" s="1364">
        <f>BR30/BM30-1</f>
        <v>0.12044308879302079</v>
      </c>
      <c r="BS31" s="1364">
        <f>BS30/BN30-1</f>
        <v>0.11515745403873323</v>
      </c>
      <c r="BT31" s="1364">
        <f>BT30/BO30-1</f>
        <v>5.5478139514423042E-2</v>
      </c>
      <c r="BU31" s="1364"/>
      <c r="BV31" s="1364">
        <f>BV30/BQ30-1</f>
        <v>6.3070881005266921E-2</v>
      </c>
      <c r="BW31" s="1364">
        <f>BW30/BR30-1</f>
        <v>0.11767224105793184</v>
      </c>
      <c r="BX31" s="1364">
        <f>BX30/BS30-1</f>
        <v>0.13403671213760426</v>
      </c>
      <c r="BY31" s="1364">
        <f>BY30/BT30-1</f>
        <v>6.8088716984293418E-2</v>
      </c>
      <c r="BZ31" s="186"/>
      <c r="CA31" s="1364">
        <f>CA30/BV30-1</f>
        <v>0.15158397852547867</v>
      </c>
      <c r="CB31" s="1364">
        <f>CB30/BW30-1</f>
        <v>7.8410904899058886E-2</v>
      </c>
      <c r="CC31" s="1364">
        <f>CC30/BX30-1</f>
        <v>3.4955143327433547E-2</v>
      </c>
      <c r="CD31" s="1364">
        <f>CD30/BY30-1</f>
        <v>0.10876840039684033</v>
      </c>
      <c r="CE31" s="1477"/>
      <c r="CF31" s="1364">
        <f>CF30/CA30-1</f>
        <v>5.5925730907704363E-2</v>
      </c>
      <c r="CG31" s="1364">
        <f>CG30/CB30-1</f>
        <v>0.16783000275146032</v>
      </c>
      <c r="CH31" s="1364">
        <f>CH30/CC30-1</f>
        <v>0.38980340275589076</v>
      </c>
      <c r="CI31" s="1364">
        <f>CI30/CD30-1</f>
        <v>9.0343004301389085E-2</v>
      </c>
      <c r="CJ31" s="1477"/>
      <c r="CK31" s="1364">
        <f>CK30/CF30-1</f>
        <v>0.12731217926959482</v>
      </c>
      <c r="CL31" s="1364">
        <f>CL30/CG30-1</f>
        <v>-8.6708290267767385E-3</v>
      </c>
      <c r="CM31" s="1364">
        <f>CM30/CH30-1</f>
        <v>4.6313329812886828E-2</v>
      </c>
      <c r="CN31" s="1364">
        <f>CN30/CI30-1</f>
        <v>4.5412476100537669E-2</v>
      </c>
      <c r="CO31" s="1717"/>
      <c r="CP31" s="2008">
        <f>CP30/CK30-1</f>
        <v>1.2233056722743552E-3</v>
      </c>
      <c r="CQ31" s="2008">
        <f>CQ30/CL30-1</f>
        <v>0.20318089984189447</v>
      </c>
      <c r="CR31" s="2008">
        <f>CR30/CM30-1</f>
        <v>-0.16940854305549757</v>
      </c>
      <c r="CS31" s="1364">
        <f>(CS30)/CN30-1</f>
        <v>0.1325598416085112</v>
      </c>
      <c r="CT31" s="1477"/>
      <c r="CU31" s="2980">
        <f>CU30/CP30-1</f>
        <v>-3.1056981727474287E-2</v>
      </c>
      <c r="CV31" s="2827">
        <f>CV30/CQ30-1</f>
        <v>-0.13952197935365662</v>
      </c>
      <c r="CW31" s="2827">
        <f>CW30/CR30-1</f>
        <v>0.144336879815812</v>
      </c>
      <c r="CX31" s="2827">
        <f>CX30/CS30-1</f>
        <v>-0.11961975807366154</v>
      </c>
      <c r="CY31" s="2835"/>
      <c r="CZ31" s="2980">
        <f>CZ30/CU30-1</f>
        <v>3.3844350300725079E-2</v>
      </c>
      <c r="DA31" s="2980">
        <f>DA30/CV30-1</f>
        <v>6.7287486932195772E-2</v>
      </c>
      <c r="DB31" s="2827">
        <f>DB30/CW30-1</f>
        <v>0.43018482021308491</v>
      </c>
      <c r="DC31" s="2827">
        <f>DC30/CX30-1</f>
        <v>6.0365135139264225E-2</v>
      </c>
      <c r="DD31" s="2835"/>
      <c r="DE31" s="2827">
        <f>DE30/CZ30-1</f>
        <v>4.8639283968803904E-2</v>
      </c>
      <c r="DF31" s="2827">
        <f>DF30/DA30-1</f>
        <v>5.0000000000000044E-2</v>
      </c>
      <c r="DG31" s="2827">
        <f t="shared" ref="DG31:DH31" si="37">DG30/DB30-1</f>
        <v>-0.30457836274285255</v>
      </c>
      <c r="DH31" s="2827">
        <f t="shared" si="37"/>
        <v>4.9782929445597812E-2</v>
      </c>
      <c r="DI31" s="2835"/>
      <c r="DJ31" s="1741"/>
      <c r="DK31" s="2048"/>
      <c r="DL31" s="1108"/>
      <c r="DM31" s="1108"/>
      <c r="DN31" s="1108"/>
      <c r="DO31" s="1108"/>
      <c r="DP31" s="1108"/>
      <c r="DQ31" s="1108"/>
      <c r="DR31" s="1108"/>
      <c r="DS31" s="1108"/>
      <c r="DT31" s="1108"/>
      <c r="DU31" s="1108"/>
      <c r="DV31" s="1108"/>
      <c r="DW31" s="1108"/>
    </row>
    <row r="32" spans="1:127" hidden="1" outlineLevel="1">
      <c r="A32" s="1577"/>
      <c r="B32" s="1577"/>
      <c r="C32" s="1577"/>
      <c r="D32" s="1577"/>
      <c r="E32" s="1577"/>
      <c r="F32" s="1577"/>
      <c r="G32" s="1577"/>
      <c r="H32" s="1577"/>
      <c r="I32" s="1577"/>
      <c r="J32" s="1577"/>
      <c r="K32" s="1577"/>
      <c r="L32" s="1577"/>
      <c r="M32" s="1577"/>
      <c r="N32" s="1577"/>
      <c r="O32" s="2717"/>
      <c r="P32" s="2717"/>
      <c r="Q32" s="1577"/>
      <c r="R32" s="1577"/>
      <c r="S32" s="2717"/>
      <c r="T32" s="1577"/>
      <c r="U32" s="1577"/>
      <c r="V32" s="1577"/>
      <c r="W32" s="1577"/>
      <c r="X32" s="1577"/>
      <c r="Y32" s="1577"/>
      <c r="Z32" s="1577"/>
      <c r="AA32" s="1577"/>
      <c r="AB32" s="1577"/>
      <c r="AD32" s="1577"/>
      <c r="AE32" s="1470"/>
      <c r="AF32" s="6"/>
      <c r="AG32" s="1577"/>
      <c r="AH32" s="1577"/>
      <c r="AI32" s="1577"/>
      <c r="AJ32" s="1577"/>
      <c r="BF32" s="1577"/>
      <c r="BG32" s="1577"/>
      <c r="BH32" s="1577"/>
      <c r="BI32" s="1577"/>
      <c r="BJ32" s="1577"/>
      <c r="BK32" s="1577"/>
      <c r="BL32" s="1577"/>
      <c r="BM32" s="1577"/>
      <c r="BN32" s="1577"/>
      <c r="BO32" s="1577"/>
      <c r="BP32" s="1577"/>
      <c r="BQ32" s="1577"/>
      <c r="BR32" s="1577"/>
      <c r="BS32" s="1577"/>
      <c r="BT32" s="1577"/>
      <c r="BU32" s="1577"/>
      <c r="BV32" s="1577"/>
      <c r="BW32" s="1577"/>
      <c r="BX32" s="1577"/>
      <c r="BY32" s="1577"/>
      <c r="CA32" s="1577"/>
      <c r="CB32" s="1577"/>
      <c r="CC32" s="1577"/>
      <c r="CD32" s="1577"/>
      <c r="CE32" s="1577"/>
      <c r="CF32" s="1577"/>
      <c r="CG32" s="1577"/>
      <c r="CH32" s="1577"/>
      <c r="CI32" s="1577"/>
      <c r="CJ32" s="1577"/>
      <c r="CK32" s="1577"/>
      <c r="CL32" s="1577"/>
      <c r="CM32" s="1577"/>
      <c r="CN32" s="1577"/>
      <c r="CO32" s="1577"/>
      <c r="CP32" s="1577"/>
      <c r="CQ32" s="1577"/>
      <c r="CR32" s="2028"/>
      <c r="CS32" s="1577"/>
      <c r="CT32" s="1577"/>
      <c r="CU32" s="2807"/>
      <c r="CV32" s="2807"/>
      <c r="CW32" s="2807"/>
      <c r="CX32" s="2807"/>
      <c r="CY32" s="2807"/>
      <c r="CZ32" s="2807"/>
      <c r="DA32" s="2807"/>
      <c r="DB32" s="2807"/>
      <c r="DC32" s="2807"/>
      <c r="DD32" s="2807"/>
      <c r="DE32" s="2807"/>
      <c r="DF32" s="2807"/>
      <c r="DG32" s="2807"/>
      <c r="DH32" s="2807"/>
      <c r="DI32" s="2835"/>
      <c r="DJ32" s="1741"/>
      <c r="DK32" s="1741"/>
      <c r="DL32" s="1108"/>
      <c r="DM32" s="1108"/>
      <c r="DN32" s="1108"/>
      <c r="DO32" s="1108"/>
      <c r="DP32" s="1108"/>
      <c r="DQ32" s="1108"/>
      <c r="DR32" s="1108"/>
      <c r="DS32" s="1108"/>
      <c r="DT32" s="1108"/>
      <c r="DU32" s="1108"/>
      <c r="DV32" s="1741"/>
      <c r="DW32" s="1741"/>
    </row>
    <row r="33" spans="1:127" ht="11.25" hidden="1" customHeight="1" outlineLevel="1">
      <c r="A33" s="1826" t="s">
        <v>414</v>
      </c>
      <c r="B33" s="1105">
        <f>+'Segment Detail'!Y108</f>
        <v>0</v>
      </c>
      <c r="C33" s="1105">
        <f>+'Segment Detail'!Z108</f>
        <v>0</v>
      </c>
      <c r="D33" s="1105">
        <f>+'Segment Detail'!AA108</f>
        <v>0</v>
      </c>
      <c r="E33" s="1105">
        <f>+'Segment Detail'!AB108</f>
        <v>0</v>
      </c>
      <c r="F33" s="1105">
        <f>+'Segment Detail'!AC108</f>
        <v>38.945340000000002</v>
      </c>
      <c r="G33" s="1105">
        <f>+'Segment Detail'!AD108</f>
        <v>61.023948300000001</v>
      </c>
      <c r="H33" s="1636">
        <f>SUM(BG33:BJ33)</f>
        <v>73.792243665000001</v>
      </c>
      <c r="I33" s="1636">
        <f>SUM(BL33:BO33)</f>
        <v>86.418826155899993</v>
      </c>
      <c r="J33" s="1636">
        <f>SUM(BQ33:BT33)</f>
        <v>99.763425776762986</v>
      </c>
      <c r="K33" s="1636">
        <f>SUM(BV33:BY33)</f>
        <v>113.9709943056346</v>
      </c>
      <c r="L33" s="1636">
        <f>SUM(CA33:CD33)</f>
        <v>125.87447559961336</v>
      </c>
      <c r="M33" s="1780">
        <f>SUM(CF33:CI33)</f>
        <v>135.46196738238939</v>
      </c>
      <c r="N33" s="1780">
        <f>SUM(CK33:CN33)</f>
        <v>143.83810118634497</v>
      </c>
      <c r="O33" s="2710">
        <f>M33</f>
        <v>135.46196738238939</v>
      </c>
      <c r="P33" s="2710">
        <f>N33</f>
        <v>143.83810118634497</v>
      </c>
      <c r="Q33" s="1780">
        <f>SUM(CP33:CS33)</f>
        <v>150.10522547369365</v>
      </c>
      <c r="R33" s="1780">
        <f>SUM(CU33:CX33)</f>
        <v>156.36453209513903</v>
      </c>
      <c r="S33" s="2710">
        <f>R33</f>
        <v>156.36453209513903</v>
      </c>
      <c r="T33" s="1780">
        <f>SUM(CZ33:DC33)</f>
        <v>162.61911337894458</v>
      </c>
      <c r="U33" s="2890">
        <f>SUM(DE33:DH33)</f>
        <v>169.12387791410239</v>
      </c>
      <c r="V33" s="1105">
        <f t="shared" ref="V33:AE33" si="38">U33*(1+V34)</f>
        <v>175.88883303066649</v>
      </c>
      <c r="W33" s="1105">
        <f t="shared" si="38"/>
        <v>182.92438635189316</v>
      </c>
      <c r="X33" s="1105">
        <f t="shared" si="38"/>
        <v>190.24136180596889</v>
      </c>
      <c r="Y33" s="1105">
        <f t="shared" si="38"/>
        <v>197.85101627820765</v>
      </c>
      <c r="Z33" s="1105">
        <f t="shared" si="38"/>
        <v>205.76505692933597</v>
      </c>
      <c r="AA33" s="1105">
        <f t="shared" si="38"/>
        <v>213.9956592065094</v>
      </c>
      <c r="AB33" s="1105">
        <f t="shared" si="38"/>
        <v>222.55548557476979</v>
      </c>
      <c r="AC33" s="1105">
        <f t="shared" si="38"/>
        <v>231.4577049977606</v>
      </c>
      <c r="AD33" s="1105">
        <f t="shared" si="38"/>
        <v>240.71601319767103</v>
      </c>
      <c r="AE33" s="1105">
        <f t="shared" si="38"/>
        <v>250.34465372557787</v>
      </c>
      <c r="AF33" s="6"/>
      <c r="AG33" s="105"/>
      <c r="AH33" s="105"/>
      <c r="AI33" s="105"/>
      <c r="AJ33" s="105"/>
      <c r="AK33" s="49"/>
      <c r="AL33" s="1106" t="str">
        <f t="shared" si="36"/>
        <v>CSTV</v>
      </c>
      <c r="AM33" s="105">
        <f>+'Segment Detail'!CO108</f>
        <v>0</v>
      </c>
      <c r="AN33" s="105">
        <f>+'Segment Detail'!CP108</f>
        <v>0</v>
      </c>
      <c r="AO33" s="105">
        <f>+'Segment Detail'!CQ108</f>
        <v>0</v>
      </c>
      <c r="AP33" s="105">
        <f>+'Segment Detail'!CR108</f>
        <v>0</v>
      </c>
      <c r="AQ33" s="1120">
        <f>D33-SUM(AM33:AP33)</f>
        <v>0</v>
      </c>
      <c r="AR33" s="105">
        <f>+'Segment Detail'!CT108</f>
        <v>0</v>
      </c>
      <c r="AS33" s="105">
        <f>+'Segment Detail'!CU108</f>
        <v>0</v>
      </c>
      <c r="AT33" s="105">
        <f>+'Segment Detail'!CV108</f>
        <v>0</v>
      </c>
      <c r="AU33" s="105">
        <f>+'Segment Detail'!CW108</f>
        <v>0</v>
      </c>
      <c r="AV33" s="1120">
        <f>E33-SUM(AR33:AU33)</f>
        <v>0</v>
      </c>
      <c r="AW33" s="105">
        <f>+'Segment Detail'!CY108</f>
        <v>0</v>
      </c>
      <c r="AX33" s="105">
        <f>+'Segment Detail'!CZ108</f>
        <v>12.6</v>
      </c>
      <c r="AY33" s="105">
        <f>+'Segment Detail'!DA108</f>
        <v>12.978</v>
      </c>
      <c r="AZ33" s="105">
        <f>+'Segment Detail'!DB108</f>
        <v>13.36734</v>
      </c>
      <c r="BA33" s="1120">
        <f>F33-SUM(AW33:AZ33)</f>
        <v>0</v>
      </c>
      <c r="BB33" s="105">
        <f>+'Segment Detail'!DD108</f>
        <v>13.701523499999999</v>
      </c>
      <c r="BC33" s="105">
        <f>+'Segment Detail'!DE108</f>
        <v>15.245999999999999</v>
      </c>
      <c r="BD33" s="105">
        <f>+'Segment Detail'!DF108</f>
        <v>15.768270000000001</v>
      </c>
      <c r="BE33" s="105">
        <f>+'Segment Detail'!DG108</f>
        <v>16.308154800000001</v>
      </c>
      <c r="BF33" s="1741">
        <f>G33-SUM(BB33:BE33)</f>
        <v>0</v>
      </c>
      <c r="BG33" s="1636">
        <f>BB33*(1+BG34)</f>
        <v>16.852873904999999</v>
      </c>
      <c r="BH33" s="1636">
        <f>BC33*(1+BH34)</f>
        <v>18.447659999999999</v>
      </c>
      <c r="BI33" s="1636">
        <f>BD33*(1+BI34)</f>
        <v>18.921924000000001</v>
      </c>
      <c r="BJ33" s="1636">
        <f>BE33*(1+BJ34)</f>
        <v>19.569785759999998</v>
      </c>
      <c r="BK33" s="1741">
        <f>H33-SUM(BG33:BJ33)</f>
        <v>0</v>
      </c>
      <c r="BL33" s="1636">
        <f>BG33*(1+BL34)</f>
        <v>19.886391207899997</v>
      </c>
      <c r="BM33" s="1636">
        <f>BH33*(1+BM34)</f>
        <v>21.399285599999999</v>
      </c>
      <c r="BN33" s="1636">
        <f>BI33*(1+BN34)</f>
        <v>22.138651079999999</v>
      </c>
      <c r="BO33" s="1636">
        <f>BJ33*(1+BO34)</f>
        <v>22.994498267999997</v>
      </c>
      <c r="BP33" s="1741">
        <f>I33-SUM(BL33:BO33)</f>
        <v>0</v>
      </c>
      <c r="BQ33" s="1636">
        <f>BL33*(1+BQ34)</f>
        <v>23.267077713242994</v>
      </c>
      <c r="BR33" s="1636">
        <f>BM33*(1+BR34)</f>
        <v>24.823171295999998</v>
      </c>
      <c r="BS33" s="1636">
        <f>BN33*(1+BS34)</f>
        <v>25.459448741999996</v>
      </c>
      <c r="BT33" s="1636">
        <f>BO33*(1+BT34)</f>
        <v>26.213728025519998</v>
      </c>
      <c r="BU33" s="1741">
        <f>J33-SUM(BQ33:BT33)</f>
        <v>0</v>
      </c>
      <c r="BV33" s="1636">
        <f>BQ33*(1+BV34)</f>
        <v>26.524468593097016</v>
      </c>
      <c r="BW33" s="1636">
        <f>BR33*(1+BW34)</f>
        <v>28.546646990399996</v>
      </c>
      <c r="BX33" s="1636">
        <f>BS33*(1+BX34)</f>
        <v>29.278366053299994</v>
      </c>
      <c r="BY33" s="1636">
        <f>BT33*(1+BY34)</f>
        <v>29.621512668837596</v>
      </c>
      <c r="BZ33" s="1120">
        <f>K33-SUM(BV33:BY33)</f>
        <v>0</v>
      </c>
      <c r="CA33" s="1636">
        <f>BV33*(1+CA34)</f>
        <v>29.972649510199624</v>
      </c>
      <c r="CB33" s="1636">
        <f>BW33*(1+CB34)</f>
        <v>31.401311689439996</v>
      </c>
      <c r="CC33" s="1636">
        <f>BX33*(1+CC34)</f>
        <v>31.620635337563996</v>
      </c>
      <c r="CD33" s="1636">
        <f>BY33*(1+CD34)</f>
        <v>32.879879062409735</v>
      </c>
      <c r="CE33" s="1741">
        <f>L33-SUM(CA33:CD33)</f>
        <v>0</v>
      </c>
      <c r="CF33" s="1636">
        <f>CA33*(1+CF34)</f>
        <v>32.370461471015595</v>
      </c>
      <c r="CG33" s="1636">
        <f>CB33*(1+CG34)</f>
        <v>33.819212689526871</v>
      </c>
      <c r="CH33" s="1636">
        <f>CC33*(1+CH34)</f>
        <v>33.992182987881293</v>
      </c>
      <c r="CI33" s="1636">
        <f>CD33*(1+CI34)</f>
        <v>35.280110233965644</v>
      </c>
      <c r="CJ33" s="1741">
        <f>M33-SUM(CF33:CI33)</f>
        <v>0</v>
      </c>
      <c r="CK33" s="1636">
        <f>CF33*(1+CK34)</f>
        <v>34.63639377398669</v>
      </c>
      <c r="CL33" s="1636">
        <f>CG33*(1+CL34)</f>
        <v>36.017461514346117</v>
      </c>
      <c r="CM33" s="1636">
        <f>CH33*(1+CM34)</f>
        <v>35.963729601178407</v>
      </c>
      <c r="CN33" s="1636">
        <f>CI33*(1+CN34)</f>
        <v>37.22051629683375</v>
      </c>
      <c r="CO33" s="1741">
        <f>$N33-SUM(CK33:CN33)</f>
        <v>0</v>
      </c>
      <c r="CP33" s="1636">
        <f>CK33*(1+CP34)</f>
        <v>36.021849524946155</v>
      </c>
      <c r="CQ33" s="1636">
        <f>CL33*(1+CQ34)</f>
        <v>37.494177436434306</v>
      </c>
      <c r="CR33" s="1636">
        <f>CM33*(1+CR34)</f>
        <v>37.582097433231432</v>
      </c>
      <c r="CS33" s="1636">
        <f>CN33*(1+CS34)</f>
        <v>39.007101079081771</v>
      </c>
      <c r="CT33" s="1741">
        <f>$Q33-SUM(CP33:CS33)</f>
        <v>0</v>
      </c>
      <c r="CU33" s="2804">
        <f>CP33*(1+CU34)</f>
        <v>37.642832753568733</v>
      </c>
      <c r="CV33" s="2804">
        <f>CQ33*(1+CV34)</f>
        <v>39.06893288876455</v>
      </c>
      <c r="CW33" s="2804">
        <f>CR33*(1+CW34)</f>
        <v>39.085381330560693</v>
      </c>
      <c r="CX33" s="2804">
        <f>CS33*(1+CX34)</f>
        <v>40.567385122245042</v>
      </c>
      <c r="CY33" s="2835">
        <f>S33-SUM(CU33:CX33)</f>
        <v>0</v>
      </c>
      <c r="CZ33" s="2804">
        <f>CU33*(1+CZ34)</f>
        <v>39.148546063711485</v>
      </c>
      <c r="DA33" s="2804">
        <f>CV33*(1+DA34)</f>
        <v>40.631690204315134</v>
      </c>
      <c r="DB33" s="2804">
        <f>CW33*(1+DB34)</f>
        <v>40.648796583783124</v>
      </c>
      <c r="DC33" s="2804">
        <f>CX33*(1+DC34)</f>
        <v>42.190080527134846</v>
      </c>
      <c r="DD33" s="2835">
        <f>T33-SUM(CZ33:DC33)</f>
        <v>0</v>
      </c>
      <c r="DE33" s="2804">
        <f>CZ33*(1+DE34)</f>
        <v>40.714487906259947</v>
      </c>
      <c r="DF33" s="2804">
        <f>DA33*(1+DF34)</f>
        <v>42.256957812487741</v>
      </c>
      <c r="DG33" s="2804">
        <f>DB33*(1+DG34)</f>
        <v>42.274748447134449</v>
      </c>
      <c r="DH33" s="2804">
        <f>DC33*(1+DH34)</f>
        <v>43.877683748220242</v>
      </c>
      <c r="DI33" s="2835">
        <f t="shared" si="32"/>
        <v>0</v>
      </c>
      <c r="DJ33" s="1741"/>
      <c r="DK33" s="1105"/>
      <c r="DL33" s="1108"/>
      <c r="DM33" s="1108"/>
      <c r="DN33" s="1108"/>
      <c r="DO33" s="1108"/>
      <c r="DP33" s="1108"/>
      <c r="DQ33" s="1108"/>
      <c r="DR33" s="1108"/>
      <c r="DS33" s="1108"/>
      <c r="DT33" s="1108"/>
      <c r="DU33" s="1108"/>
      <c r="DV33" s="1108"/>
      <c r="DW33" s="1108"/>
    </row>
    <row r="34" spans="1:127" ht="11.25" hidden="1" customHeight="1" outlineLevel="1">
      <c r="A34" s="1827" t="s">
        <v>344</v>
      </c>
      <c r="B34" s="1781" t="s">
        <v>1455</v>
      </c>
      <c r="C34" s="1781" t="s">
        <v>1455</v>
      </c>
      <c r="D34" s="1781" t="s">
        <v>1455</v>
      </c>
      <c r="E34" s="1781" t="s">
        <v>1455</v>
      </c>
      <c r="F34" s="1781" t="s">
        <v>1455</v>
      </c>
      <c r="G34" s="1364">
        <f>G33/F33-1</f>
        <v>0.56691271150797506</v>
      </c>
      <c r="H34" s="1364">
        <f>H33/G33-1</f>
        <v>0.2092341731516576</v>
      </c>
      <c r="I34" s="1364">
        <f>I33/H33-1</f>
        <v>0.17110988721554254</v>
      </c>
      <c r="J34" s="1364">
        <f>J33/I33-1</f>
        <v>0.1544177375979312</v>
      </c>
      <c r="K34" s="1364">
        <f t="shared" ref="K34:R34" si="39">K33/J33-1</f>
        <v>0.14241259678334806</v>
      </c>
      <c r="L34" s="1364">
        <f t="shared" si="39"/>
        <v>0.10444307664858421</v>
      </c>
      <c r="M34" s="1364">
        <f t="shared" si="39"/>
        <v>7.6167084209131541E-2</v>
      </c>
      <c r="N34" s="1364">
        <f t="shared" si="39"/>
        <v>6.1833841378598819E-2</v>
      </c>
      <c r="O34" s="2711"/>
      <c r="P34" s="2711">
        <f t="shared" si="39"/>
        <v>6.1833841378598819E-2</v>
      </c>
      <c r="Q34" s="1364">
        <f t="shared" si="39"/>
        <v>4.357068284174237E-2</v>
      </c>
      <c r="R34" s="1364">
        <f t="shared" si="39"/>
        <v>4.169945850780743E-2</v>
      </c>
      <c r="S34" s="2711"/>
      <c r="T34" s="1364">
        <f>T33/R33-1</f>
        <v>4.0000000000000036E-2</v>
      </c>
      <c r="U34" s="1364">
        <f>U33/T33-1</f>
        <v>4.0000000000000258E-2</v>
      </c>
      <c r="V34" s="2048">
        <f t="shared" ref="V34:AE34" si="40">MAX(U34-0.0005, 4%)</f>
        <v>0.04</v>
      </c>
      <c r="W34" s="2048">
        <f t="shared" si="40"/>
        <v>0.04</v>
      </c>
      <c r="X34" s="2048">
        <f t="shared" si="40"/>
        <v>0.04</v>
      </c>
      <c r="Y34" s="2048">
        <f t="shared" si="40"/>
        <v>0.04</v>
      </c>
      <c r="Z34" s="2048">
        <f t="shared" si="40"/>
        <v>0.04</v>
      </c>
      <c r="AA34" s="2048">
        <f t="shared" si="40"/>
        <v>0.04</v>
      </c>
      <c r="AB34" s="2048">
        <f t="shared" si="40"/>
        <v>0.04</v>
      </c>
      <c r="AC34" s="2048">
        <f t="shared" si="40"/>
        <v>0.04</v>
      </c>
      <c r="AD34" s="2048">
        <f t="shared" si="40"/>
        <v>0.04</v>
      </c>
      <c r="AE34" s="2048">
        <f t="shared" si="40"/>
        <v>0.04</v>
      </c>
      <c r="AF34" s="6"/>
      <c r="AG34" s="1577"/>
      <c r="AH34" s="1577"/>
      <c r="AI34" s="1577"/>
      <c r="AJ34" s="1577"/>
      <c r="AK34" s="1042"/>
      <c r="AL34" s="1294" t="str">
        <f t="shared" si="36"/>
        <v xml:space="preserve">% Change </v>
      </c>
      <c r="AM34" s="1286" t="s">
        <v>1455</v>
      </c>
      <c r="AN34" s="1286" t="s">
        <v>1455</v>
      </c>
      <c r="AO34" s="1286" t="s">
        <v>1455</v>
      </c>
      <c r="AP34" s="1286" t="s">
        <v>1455</v>
      </c>
      <c r="AQ34" s="1293"/>
      <c r="AR34" s="1286" t="s">
        <v>1455</v>
      </c>
      <c r="AS34" s="1286" t="s">
        <v>1455</v>
      </c>
      <c r="AT34" s="1286" t="s">
        <v>1455</v>
      </c>
      <c r="AU34" s="1286" t="s">
        <v>1455</v>
      </c>
      <c r="AV34" s="1293"/>
      <c r="AW34" s="1286" t="s">
        <v>1455</v>
      </c>
      <c r="AX34" s="1286" t="s">
        <v>1455</v>
      </c>
      <c r="AY34" s="1286" t="s">
        <v>1455</v>
      </c>
      <c r="AZ34" s="1286" t="s">
        <v>1455</v>
      </c>
      <c r="BA34" s="1293"/>
      <c r="BB34" s="1286" t="s">
        <v>1455</v>
      </c>
      <c r="BC34" s="1104">
        <f>BC33/AX33-1</f>
        <v>0.20999999999999996</v>
      </c>
      <c r="BD34" s="1104">
        <f>BD33/AY33-1</f>
        <v>0.21500000000000008</v>
      </c>
      <c r="BE34" s="1104">
        <f>BE33/AZ33-1</f>
        <v>0.21999999999999997</v>
      </c>
      <c r="BF34" s="1845"/>
      <c r="BG34" s="2048">
        <v>0.23</v>
      </c>
      <c r="BH34" s="2048">
        <v>0.21</v>
      </c>
      <c r="BI34" s="2048">
        <v>0.2</v>
      </c>
      <c r="BJ34" s="2048">
        <v>0.2</v>
      </c>
      <c r="BK34" s="1845"/>
      <c r="BL34" s="2048">
        <v>0.18</v>
      </c>
      <c r="BM34" s="2048">
        <v>0.16</v>
      </c>
      <c r="BN34" s="2048">
        <v>0.17</v>
      </c>
      <c r="BO34" s="2048">
        <v>0.17499999999999999</v>
      </c>
      <c r="BP34" s="1845"/>
      <c r="BQ34" s="2048">
        <v>0.17</v>
      </c>
      <c r="BR34" s="2048">
        <v>0.16</v>
      </c>
      <c r="BS34" s="2048">
        <v>0.15</v>
      </c>
      <c r="BT34" s="2048">
        <v>0.14000000000000001</v>
      </c>
      <c r="BU34" s="1477"/>
      <c r="BV34" s="2048">
        <v>0.14000000000000001</v>
      </c>
      <c r="BW34" s="2048">
        <v>0.15</v>
      </c>
      <c r="BX34" s="2048">
        <v>0.15</v>
      </c>
      <c r="BY34" s="2048">
        <v>0.13</v>
      </c>
      <c r="BZ34" s="186"/>
      <c r="CA34" s="2048">
        <v>0.13</v>
      </c>
      <c r="CB34" s="2048">
        <v>0.1</v>
      </c>
      <c r="CC34" s="2048">
        <v>0.08</v>
      </c>
      <c r="CD34" s="2048">
        <v>0.11</v>
      </c>
      <c r="CE34" s="1477"/>
      <c r="CF34" s="2048">
        <v>0.08</v>
      </c>
      <c r="CG34" s="2048">
        <v>7.6999999999999999E-2</v>
      </c>
      <c r="CH34" s="2048">
        <v>7.4999999999999997E-2</v>
      </c>
      <c r="CI34" s="2048">
        <v>7.2999999999999995E-2</v>
      </c>
      <c r="CJ34" s="1477"/>
      <c r="CK34" s="2048">
        <v>7.0000000000000007E-2</v>
      </c>
      <c r="CL34" s="2048">
        <v>6.5000000000000002E-2</v>
      </c>
      <c r="CM34" s="2048">
        <v>5.8000000000000003E-2</v>
      </c>
      <c r="CN34" s="2048">
        <v>5.5E-2</v>
      </c>
      <c r="CO34" s="1477"/>
      <c r="CP34" s="2048">
        <v>0.04</v>
      </c>
      <c r="CQ34" s="2048">
        <v>4.1000000000000002E-2</v>
      </c>
      <c r="CR34" s="2048">
        <v>4.4999999999999998E-2</v>
      </c>
      <c r="CS34" s="2048">
        <v>4.8000000000000001E-2</v>
      </c>
      <c r="CT34" s="1477"/>
      <c r="CU34" s="3093">
        <v>4.4999999999999998E-2</v>
      </c>
      <c r="CV34" s="3093">
        <v>4.2000000000000003E-2</v>
      </c>
      <c r="CW34" s="3093">
        <v>0.04</v>
      </c>
      <c r="CX34" s="3093">
        <v>0.04</v>
      </c>
      <c r="CY34" s="2835"/>
      <c r="CZ34" s="3093">
        <v>0.04</v>
      </c>
      <c r="DA34" s="3093">
        <v>0.04</v>
      </c>
      <c r="DB34" s="3093">
        <v>0.04</v>
      </c>
      <c r="DC34" s="3093">
        <v>0.04</v>
      </c>
      <c r="DD34" s="2835"/>
      <c r="DE34" s="3093">
        <v>0.04</v>
      </c>
      <c r="DF34" s="3093">
        <v>0.04</v>
      </c>
      <c r="DG34" s="3093">
        <v>0.04</v>
      </c>
      <c r="DH34" s="3093">
        <v>0.04</v>
      </c>
      <c r="DI34" s="2835"/>
      <c r="DJ34" s="1741"/>
      <c r="DK34" s="2048"/>
      <c r="DL34" s="1108"/>
      <c r="DM34" s="1108"/>
      <c r="DN34" s="1108"/>
      <c r="DO34" s="1108"/>
      <c r="DP34" s="1108"/>
      <c r="DQ34" s="1108"/>
      <c r="DR34" s="1108"/>
      <c r="DS34" s="1108"/>
      <c r="DT34" s="1108"/>
      <c r="DU34" s="1108"/>
      <c r="DV34" s="1477"/>
      <c r="DW34" s="1477"/>
    </row>
    <row r="35" spans="1:127" ht="6" hidden="1" customHeight="1" outlineLevel="1">
      <c r="A35" s="1108"/>
      <c r="B35" s="1783"/>
      <c r="C35" s="1783"/>
      <c r="D35" s="1783"/>
      <c r="E35" s="1783"/>
      <c r="F35" s="2325"/>
      <c r="G35" s="1783"/>
      <c r="H35" s="1783"/>
      <c r="I35" s="1783"/>
      <c r="J35" s="1783"/>
      <c r="K35" s="1783"/>
      <c r="L35" s="1783"/>
      <c r="M35" s="1783"/>
      <c r="N35" s="1783"/>
      <c r="O35" s="2718"/>
      <c r="P35" s="2718"/>
      <c r="Q35" s="1783"/>
      <c r="R35" s="1783"/>
      <c r="S35" s="2718"/>
      <c r="T35" s="1783"/>
      <c r="U35" s="1783"/>
      <c r="V35" s="1783"/>
      <c r="W35" s="1783"/>
      <c r="X35" s="1783"/>
      <c r="Y35" s="1783"/>
      <c r="Z35" s="1783"/>
      <c r="AA35" s="1783"/>
      <c r="AB35" s="1783"/>
      <c r="AC35" s="1783"/>
      <c r="AD35" s="1783"/>
      <c r="AE35" s="1783"/>
      <c r="AF35" s="6"/>
      <c r="AG35" s="105"/>
      <c r="AH35" s="105"/>
      <c r="AI35" s="105"/>
      <c r="AJ35" s="105"/>
      <c r="AK35" s="49"/>
      <c r="AL35" s="1299"/>
      <c r="AM35" s="564"/>
      <c r="AN35" s="564"/>
      <c r="AO35" s="564"/>
      <c r="AP35" s="564"/>
      <c r="AQ35" s="1295"/>
      <c r="AR35" s="564"/>
      <c r="AS35" s="564"/>
      <c r="AT35" s="564"/>
      <c r="AU35" s="564"/>
      <c r="AV35" s="1295"/>
      <c r="AW35" s="564"/>
      <c r="AX35" s="564"/>
      <c r="AY35" s="564"/>
      <c r="AZ35" s="564"/>
      <c r="BA35" s="1295"/>
      <c r="BB35" s="564"/>
      <c r="BC35" s="564"/>
      <c r="BD35" s="564"/>
      <c r="BE35" s="564"/>
      <c r="BF35" s="1799"/>
      <c r="BG35" s="2325"/>
      <c r="BH35" s="2325"/>
      <c r="BI35" s="2325"/>
      <c r="BJ35" s="2325"/>
      <c r="BK35" s="1799"/>
      <c r="BL35" s="2325"/>
      <c r="BM35" s="2325"/>
      <c r="BN35" s="2325"/>
      <c r="BO35" s="2325"/>
      <c r="BP35" s="1799"/>
      <c r="BQ35" s="1642"/>
      <c r="BR35" s="1642"/>
      <c r="BS35" s="1642"/>
      <c r="BT35" s="1642"/>
      <c r="BU35" s="1108"/>
      <c r="BV35" s="1642"/>
      <c r="BW35" s="1642"/>
      <c r="BX35" s="1642"/>
      <c r="BY35" s="1642"/>
      <c r="BZ35" s="11"/>
      <c r="CA35" s="1642"/>
      <c r="CB35" s="1642"/>
      <c r="CC35" s="1642"/>
      <c r="CD35" s="1642"/>
      <c r="CE35" s="1108"/>
      <c r="CF35" s="1642"/>
      <c r="CG35" s="1642"/>
      <c r="CH35" s="1642"/>
      <c r="CI35" s="1642"/>
      <c r="CJ35" s="1108"/>
      <c r="CK35" s="1472"/>
      <c r="CL35" s="1472"/>
      <c r="CM35" s="1472"/>
      <c r="CN35" s="1642"/>
      <c r="CO35" s="1108"/>
      <c r="CP35" s="1472"/>
      <c r="CQ35" s="1472"/>
      <c r="CR35" s="1472"/>
      <c r="CS35" s="1642"/>
      <c r="CT35" s="1108"/>
      <c r="CU35" s="2862"/>
      <c r="CV35" s="2862"/>
      <c r="CW35" s="2862"/>
      <c r="CX35" s="2862"/>
      <c r="CY35" s="2835"/>
      <c r="CZ35" s="2835"/>
      <c r="DA35" s="2835"/>
      <c r="DB35" s="2835"/>
      <c r="DC35" s="2835"/>
      <c r="DD35" s="2835"/>
      <c r="DE35" s="2835"/>
      <c r="DF35" s="2835"/>
      <c r="DG35" s="2835"/>
      <c r="DH35" s="2835"/>
      <c r="DI35" s="2835"/>
      <c r="DJ35" s="1741"/>
      <c r="DK35" s="1642"/>
      <c r="DL35" s="1108"/>
      <c r="DM35" s="1108"/>
      <c r="DN35" s="1108"/>
      <c r="DO35" s="1108"/>
      <c r="DP35" s="1108"/>
      <c r="DQ35" s="1108"/>
      <c r="DR35" s="1108"/>
      <c r="DS35" s="1108"/>
      <c r="DT35" s="1108"/>
      <c r="DU35" s="1108"/>
      <c r="DV35" s="1108"/>
      <c r="DW35" s="1108"/>
    </row>
    <row r="36" spans="1:127" ht="11.25" customHeight="1" collapsed="1">
      <c r="A36" s="1833" t="s">
        <v>704</v>
      </c>
      <c r="B36" s="1105">
        <f t="shared" ref="B36:G36" si="41">+B33+B30</f>
        <v>1027.9652597724951</v>
      </c>
      <c r="C36" s="1105">
        <f t="shared" si="41"/>
        <v>1033.3808398023421</v>
      </c>
      <c r="D36" s="1105">
        <f t="shared" si="41"/>
        <v>1010</v>
      </c>
      <c r="E36" s="1105">
        <f t="shared" si="41"/>
        <v>1049.4950000000001</v>
      </c>
      <c r="F36" s="1105">
        <f t="shared" si="41"/>
        <v>1170.1433825000001</v>
      </c>
      <c r="G36" s="1105">
        <f t="shared" si="41"/>
        <v>1248.7818929250002</v>
      </c>
      <c r="H36" s="1636">
        <f>SUM(BG36:BJ36)</f>
        <v>1264.5</v>
      </c>
      <c r="I36" s="1636">
        <f>SUM(BL36:BO36)</f>
        <v>1347.2</v>
      </c>
      <c r="J36" s="1636">
        <f>SUM(BQ36:BT36)</f>
        <v>1475.1</v>
      </c>
      <c r="K36" s="1636">
        <f>SUM(BV36:BY36)</f>
        <v>1621</v>
      </c>
      <c r="L36" s="1636">
        <f>SUM(CA36:CD36)</f>
        <v>1772</v>
      </c>
      <c r="M36" s="1636">
        <f>SUM(CF36:CI36)</f>
        <v>2069</v>
      </c>
      <c r="N36" s="1636">
        <f>SUM(CK36:CN36)</f>
        <v>2176</v>
      </c>
      <c r="O36" s="2714">
        <f>+O33+O30</f>
        <v>2069</v>
      </c>
      <c r="P36" s="2714">
        <f>+P33+P30</f>
        <v>2176</v>
      </c>
      <c r="Q36" s="1636">
        <f>SUM(CP36:CS36)</f>
        <v>2242</v>
      </c>
      <c r="R36" s="1636">
        <f>SUM(CU36:CX36)</f>
        <v>2160</v>
      </c>
      <c r="S36" s="2710">
        <f>R36</f>
        <v>2160</v>
      </c>
      <c r="T36" s="1105">
        <f>+T33+T30</f>
        <v>2484.4167724245099</v>
      </c>
      <c r="U36" s="1105">
        <f>+U33+U30</f>
        <v>2322.7872005586983</v>
      </c>
      <c r="V36" s="1105">
        <f>+V33+V30</f>
        <v>2440.6060706107883</v>
      </c>
      <c r="W36" s="1105">
        <f t="shared" ref="W36:AB36" si="42">+W33+W30</f>
        <v>2556.2118061030792</v>
      </c>
      <c r="X36" s="1105">
        <f t="shared" si="42"/>
        <v>2674.684959977174</v>
      </c>
      <c r="Y36" s="1105">
        <f t="shared" si="42"/>
        <v>2792.8412179057605</v>
      </c>
      <c r="Z36" s="1105">
        <f t="shared" si="42"/>
        <v>2906.910975879438</v>
      </c>
      <c r="AA36" s="1105">
        <f t="shared" si="42"/>
        <v>3016.4096822614456</v>
      </c>
      <c r="AB36" s="1105">
        <f t="shared" si="42"/>
        <v>3125.2616028100524</v>
      </c>
      <c r="AC36" s="1105">
        <f>+AC33+AC30</f>
        <v>3236.0349268119917</v>
      </c>
      <c r="AD36" s="1105">
        <f>+AD33+AD30</f>
        <v>3348.61806848577</v>
      </c>
      <c r="AE36" s="1105">
        <f>+AE33+AE30</f>
        <v>3462.8908502886134</v>
      </c>
      <c r="AF36" s="6"/>
      <c r="AG36" s="1577"/>
      <c r="AH36" s="1577"/>
      <c r="AI36" s="1577"/>
      <c r="AJ36" s="1577"/>
      <c r="AK36" s="49"/>
      <c r="AL36" s="1297" t="str">
        <f t="shared" si="36"/>
        <v xml:space="preserve">Cable Networks </v>
      </c>
      <c r="AM36" s="105">
        <f>+AM33+AM30</f>
        <v>245</v>
      </c>
      <c r="AN36" s="105">
        <f>+AN33+AN30</f>
        <v>240</v>
      </c>
      <c r="AO36" s="105">
        <f>+AO33+AO30</f>
        <v>250</v>
      </c>
      <c r="AP36" s="105">
        <f>+AP33+AP30</f>
        <v>275</v>
      </c>
      <c r="AQ36" s="1120">
        <f>D36-SUM(AM36:AP36)</f>
        <v>0</v>
      </c>
      <c r="AR36" s="105">
        <f>+AR33+AR30</f>
        <v>250</v>
      </c>
      <c r="AS36" s="105">
        <f>+AS33+AS30</f>
        <v>262.39999999999998</v>
      </c>
      <c r="AT36" s="105">
        <f>+AT33+AT30</f>
        <v>266.65025000000003</v>
      </c>
      <c r="AU36" s="105">
        <f>+AU33+AU30</f>
        <v>270.44475</v>
      </c>
      <c r="AV36" s="1120">
        <f>E36-SUM(AR36:AU36)</f>
        <v>0</v>
      </c>
      <c r="AW36" s="105">
        <f>+AW33+AW30</f>
        <v>262.5</v>
      </c>
      <c r="AX36" s="105">
        <f>+AX33+AX30</f>
        <v>303.86400000000003</v>
      </c>
      <c r="AY36" s="105">
        <f>+AY33+AY30</f>
        <v>295.62726500000008</v>
      </c>
      <c r="AZ36" s="105">
        <f>+AZ33+AZ30</f>
        <v>308.15211750000003</v>
      </c>
      <c r="BA36" s="1120">
        <f>F36-SUM(AW36:AZ36)</f>
        <v>0</v>
      </c>
      <c r="BB36" s="105">
        <f>+BB33+BB30</f>
        <v>289.32652350000001</v>
      </c>
      <c r="BC36" s="105">
        <f>+BC33+BC30</f>
        <v>321.07319999999999</v>
      </c>
      <c r="BD36" s="105">
        <f>+BD33+BD30</f>
        <v>312.54999825000004</v>
      </c>
      <c r="BE36" s="105">
        <f>+BE33+BE30</f>
        <v>325.83217117500021</v>
      </c>
      <c r="BF36" s="1741">
        <f>G36-SUM(BB36:BE36)</f>
        <v>0</v>
      </c>
      <c r="BG36" s="1635">
        <v>317.5</v>
      </c>
      <c r="BH36" s="1635">
        <v>313.89999999999998</v>
      </c>
      <c r="BI36" s="1635">
        <v>312.39999999999998</v>
      </c>
      <c r="BJ36" s="1635">
        <v>320.7</v>
      </c>
      <c r="BK36" s="1741">
        <f>H36-SUM(BG36:BJ36)</f>
        <v>0</v>
      </c>
      <c r="BL36" s="1635">
        <v>340.6</v>
      </c>
      <c r="BM36" s="1635">
        <v>328.4</v>
      </c>
      <c r="BN36" s="1635">
        <v>331.1</v>
      </c>
      <c r="BO36" s="1635">
        <v>347.1</v>
      </c>
      <c r="BP36" s="1741">
        <f>I36-SUM(BL36:BO36)</f>
        <v>0</v>
      </c>
      <c r="BQ36" s="1635">
        <v>368</v>
      </c>
      <c r="BR36" s="1635">
        <v>368.8</v>
      </c>
      <c r="BS36" s="1635">
        <v>370</v>
      </c>
      <c r="BT36" s="1635">
        <v>368.3</v>
      </c>
      <c r="BU36" s="1741">
        <f>J36-SUM(BQ36:BT36)</f>
        <v>0</v>
      </c>
      <c r="BV36" s="1635">
        <v>393</v>
      </c>
      <c r="BW36" s="1635">
        <v>413</v>
      </c>
      <c r="BX36" s="1635">
        <v>420</v>
      </c>
      <c r="BY36" s="1635">
        <v>395</v>
      </c>
      <c r="BZ36" s="1120">
        <f>K36-SUM(BV36:BY36)</f>
        <v>0</v>
      </c>
      <c r="CA36" s="1635">
        <v>452</v>
      </c>
      <c r="CB36" s="1635">
        <v>446</v>
      </c>
      <c r="CC36" s="1635">
        <v>436</v>
      </c>
      <c r="CD36" s="1635">
        <v>438</v>
      </c>
      <c r="CE36" s="1741">
        <f>L36-SUM(CA36:CD36)</f>
        <v>0</v>
      </c>
      <c r="CF36" s="1635">
        <v>478</v>
      </c>
      <c r="CG36" s="1635">
        <f>518</f>
        <v>518</v>
      </c>
      <c r="CH36" s="1635">
        <v>596</v>
      </c>
      <c r="CI36" s="1635">
        <v>477</v>
      </c>
      <c r="CJ36" s="1741">
        <f>M36-SUM(CF36:CI36)</f>
        <v>0</v>
      </c>
      <c r="CK36" s="1635">
        <v>537</v>
      </c>
      <c r="CL36" s="1635">
        <v>516</v>
      </c>
      <c r="CM36" s="1635">
        <v>624</v>
      </c>
      <c r="CN36" s="1635">
        <v>499</v>
      </c>
      <c r="CO36" s="1741">
        <f>$N36-SUM(CK36:CN36)</f>
        <v>0</v>
      </c>
      <c r="CP36" s="1635">
        <v>539</v>
      </c>
      <c r="CQ36" s="1635">
        <v>615</v>
      </c>
      <c r="CR36" s="1635">
        <v>526</v>
      </c>
      <c r="CS36" s="1635">
        <v>562</v>
      </c>
      <c r="CT36" s="1741">
        <f>$Q36-SUM(CP36:CS36)</f>
        <v>0</v>
      </c>
      <c r="CU36" s="3094">
        <v>525</v>
      </c>
      <c r="CV36" s="3094">
        <f>536</f>
        <v>536</v>
      </c>
      <c r="CW36" s="3094">
        <v>598</v>
      </c>
      <c r="CX36" s="3094">
        <v>501</v>
      </c>
      <c r="CY36" s="2835">
        <f>S36-SUM(CU36:CX36)</f>
        <v>0</v>
      </c>
      <c r="CZ36" s="3094">
        <v>543</v>
      </c>
      <c r="DA36" s="3094">
        <v>571</v>
      </c>
      <c r="DB36" s="3094">
        <v>840</v>
      </c>
      <c r="DC36" s="3279">
        <f>+DC33+DC30</f>
        <v>530.41677242451021</v>
      </c>
      <c r="DD36" s="2835">
        <f>T36-SUM(CZ36:DC36)</f>
        <v>0</v>
      </c>
      <c r="DE36" s="3279">
        <f t="shared" ref="DE36:DH36" si="43">+DE33+DE30</f>
        <v>569.07291578865033</v>
      </c>
      <c r="DF36" s="3279">
        <f t="shared" si="43"/>
        <v>599.1436830979568</v>
      </c>
      <c r="DG36" s="3279">
        <f t="shared" si="43"/>
        <v>598.16087107031115</v>
      </c>
      <c r="DH36" s="3279">
        <f t="shared" si="43"/>
        <v>556.40973060178032</v>
      </c>
      <c r="DI36" s="2835">
        <f t="shared" si="32"/>
        <v>0</v>
      </c>
      <c r="DJ36" s="1741"/>
      <c r="DK36" s="1105" t="s">
        <v>1237</v>
      </c>
      <c r="DL36" s="1108"/>
      <c r="DM36" s="1108"/>
      <c r="DN36" s="1108"/>
      <c r="DO36" s="1108"/>
      <c r="DP36" s="1108"/>
      <c r="DQ36" s="1108"/>
      <c r="DR36" s="1108"/>
      <c r="DS36" s="1108"/>
      <c r="DT36" s="1108"/>
      <c r="DU36" s="1108"/>
      <c r="DV36" s="2028"/>
      <c r="DW36" s="2028"/>
    </row>
    <row r="37" spans="1:127" ht="11.25" customHeight="1">
      <c r="A37" s="1835" t="s">
        <v>344</v>
      </c>
      <c r="B37" s="1781" t="s">
        <v>1455</v>
      </c>
      <c r="C37" s="1364">
        <f>C36/B36-1</f>
        <v>5.2682519942799377E-3</v>
      </c>
      <c r="D37" s="1364">
        <f t="shared" ref="D37:J37" si="44">D36/C36-1</f>
        <v>-2.2625578975137728E-2</v>
      </c>
      <c r="E37" s="1364">
        <f t="shared" si="44"/>
        <v>3.9103960396039694E-2</v>
      </c>
      <c r="F37" s="1364">
        <f t="shared" si="44"/>
        <v>0.1149585109981468</v>
      </c>
      <c r="G37" s="1364">
        <f t="shared" si="44"/>
        <v>6.7204166259513975E-2</v>
      </c>
      <c r="H37" s="1364">
        <f t="shared" si="44"/>
        <v>1.258675126861708E-2</v>
      </c>
      <c r="I37" s="1364">
        <f t="shared" si="44"/>
        <v>6.5401344404903083E-2</v>
      </c>
      <c r="J37" s="1364">
        <f t="shared" si="44"/>
        <v>9.49376484560569E-2</v>
      </c>
      <c r="K37" s="1364">
        <f t="shared" ref="K37:W37" si="45">K36/J36-1</f>
        <v>9.890854857297815E-2</v>
      </c>
      <c r="L37" s="1364">
        <f t="shared" si="45"/>
        <v>9.3152375077112826E-2</v>
      </c>
      <c r="M37" s="1364">
        <f t="shared" si="45"/>
        <v>0.16760722347629797</v>
      </c>
      <c r="N37" s="1364">
        <f t="shared" si="45"/>
        <v>5.1715804736587767E-2</v>
      </c>
      <c r="O37" s="2711"/>
      <c r="P37" s="2711">
        <f t="shared" si="45"/>
        <v>5.1715804736587767E-2</v>
      </c>
      <c r="Q37" s="1364">
        <f t="shared" si="45"/>
        <v>3.0330882352941124E-2</v>
      </c>
      <c r="R37" s="1364">
        <f t="shared" si="45"/>
        <v>-3.6574487065120453E-2</v>
      </c>
      <c r="S37" s="2711"/>
      <c r="T37" s="1364">
        <f>T36/R36-1</f>
        <v>0.15019295019653245</v>
      </c>
      <c r="U37" s="1364">
        <f>U36/T36-1</f>
        <v>-6.5057350143421955E-2</v>
      </c>
      <c r="V37" s="1364">
        <f t="shared" si="45"/>
        <v>5.0723058067373206E-2</v>
      </c>
      <c r="W37" s="1364">
        <f t="shared" si="45"/>
        <v>4.736763416447598E-2</v>
      </c>
      <c r="X37" s="1364">
        <f t="shared" ref="X37:AE37" si="46">X36/W36-1</f>
        <v>4.6347158553619927E-2</v>
      </c>
      <c r="Y37" s="1364">
        <f t="shared" si="46"/>
        <v>4.4175766378704573E-2</v>
      </c>
      <c r="Z37" s="1364">
        <f t="shared" si="46"/>
        <v>4.0843624493344333E-2</v>
      </c>
      <c r="AA37" s="1364">
        <f t="shared" si="46"/>
        <v>3.7668407216660871E-2</v>
      </c>
      <c r="AB37" s="1364">
        <f t="shared" si="46"/>
        <v>3.6086583725258192E-2</v>
      </c>
      <c r="AC37" s="1364">
        <f t="shared" si="46"/>
        <v>3.5444496519055679E-2</v>
      </c>
      <c r="AD37" s="1364">
        <f t="shared" si="46"/>
        <v>3.4790459380081629E-2</v>
      </c>
      <c r="AE37" s="1364">
        <f t="shared" si="46"/>
        <v>3.4125355434911464E-2</v>
      </c>
      <c r="AF37" s="6"/>
      <c r="AG37" s="105"/>
      <c r="AH37" s="105"/>
      <c r="AI37" s="105"/>
      <c r="AJ37" s="105"/>
      <c r="AK37" s="1042"/>
      <c r="AL37" s="1298" t="str">
        <f t="shared" si="36"/>
        <v xml:space="preserve">% Change </v>
      </c>
      <c r="AM37" s="1286" t="s">
        <v>1455</v>
      </c>
      <c r="AN37" s="1286" t="s">
        <v>1455</v>
      </c>
      <c r="AO37" s="1286" t="s">
        <v>1455</v>
      </c>
      <c r="AP37" s="1286" t="s">
        <v>1455</v>
      </c>
      <c r="AQ37" s="1293"/>
      <c r="AR37" s="1104">
        <f>AR36/AM36-1</f>
        <v>2.0408163265306145E-2</v>
      </c>
      <c r="AS37" s="1104">
        <f>AS36/AN36-1</f>
        <v>9.3333333333333268E-2</v>
      </c>
      <c r="AT37" s="1104">
        <f>AT36/AO36-1</f>
        <v>6.6601000000000132E-2</v>
      </c>
      <c r="AU37" s="1104">
        <f>AU36/AP36-1</f>
        <v>-1.6564545454545443E-2</v>
      </c>
      <c r="AV37" s="1293"/>
      <c r="AW37" s="1104">
        <f>AW36/AR36-1</f>
        <v>5.0000000000000044E-2</v>
      </c>
      <c r="AX37" s="1104">
        <f>AX36/AS36-1</f>
        <v>0.158018292682927</v>
      </c>
      <c r="AY37" s="1104">
        <f>AY36/AT36-1</f>
        <v>0.1086704962774272</v>
      </c>
      <c r="AZ37" s="1104">
        <f>AZ36/AU36-1</f>
        <v>0.1394272490037245</v>
      </c>
      <c r="BA37" s="1293"/>
      <c r="BB37" s="1104">
        <f>BB36/AW36-1</f>
        <v>0.10219628000000003</v>
      </c>
      <c r="BC37" s="1104">
        <f>BC36/AX36-1</f>
        <v>5.6634547034199345E-2</v>
      </c>
      <c r="BD37" s="1104">
        <f>BD36/AY36-1</f>
        <v>5.7243479386111185E-2</v>
      </c>
      <c r="BE37" s="1104">
        <f>BE36/AZ36-1</f>
        <v>5.7374435127807155E-2</v>
      </c>
      <c r="BF37" s="1845"/>
      <c r="BG37" s="1364">
        <f>BG36/BB36-1</f>
        <v>9.7376058576254199E-2</v>
      </c>
      <c r="BH37" s="1364">
        <f>BH36/BC36-1</f>
        <v>-2.2341322788697382E-2</v>
      </c>
      <c r="BI37" s="1364">
        <f>BI36/BD36-1</f>
        <v>-4.7991761586918535E-4</v>
      </c>
      <c r="BJ37" s="1364">
        <f>BJ36/BE36-1</f>
        <v>-1.5750965156365093E-2</v>
      </c>
      <c r="BK37" s="1845"/>
      <c r="BL37" s="1364">
        <f>BL36/BG36-1</f>
        <v>7.2755905511810992E-2</v>
      </c>
      <c r="BM37" s="1364">
        <f>BM36/BH36-1</f>
        <v>4.6193055113093351E-2</v>
      </c>
      <c r="BN37" s="1364">
        <f>BN36/BI36-1</f>
        <v>5.9859154929577718E-2</v>
      </c>
      <c r="BO37" s="1364">
        <f>BO36/BJ36-1</f>
        <v>8.2319925163704566E-2</v>
      </c>
      <c r="BP37" s="1845"/>
      <c r="BQ37" s="1364">
        <f>BQ36/BL36-1</f>
        <v>8.0446271285965931E-2</v>
      </c>
      <c r="BR37" s="1364">
        <f>BR36/BM36-1</f>
        <v>0.12302070645554219</v>
      </c>
      <c r="BS37" s="1364">
        <f>BS36/BN36-1</f>
        <v>0.11748716399879178</v>
      </c>
      <c r="BT37" s="1364">
        <f>BT36/BO36-1</f>
        <v>6.1077499279746483E-2</v>
      </c>
      <c r="BU37" s="1477"/>
      <c r="BV37" s="1364">
        <f>BV36/BQ36-1</f>
        <v>6.7934782608695565E-2</v>
      </c>
      <c r="BW37" s="1364">
        <f>BW36/BR36-1</f>
        <v>0.11984815618221245</v>
      </c>
      <c r="BX37" s="1364">
        <f>BX36/BS36-1</f>
        <v>0.13513513513513509</v>
      </c>
      <c r="BY37" s="1364">
        <f>BY36/BT36-1</f>
        <v>7.2495248438772641E-2</v>
      </c>
      <c r="BZ37" s="186"/>
      <c r="CA37" s="1364">
        <f>CA36/BV36-1</f>
        <v>0.15012722646310439</v>
      </c>
      <c r="CB37" s="1364">
        <f>CB36/BW36-1</f>
        <v>7.9903147699757815E-2</v>
      </c>
      <c r="CC37" s="1364">
        <f>CC36/BX36-1</f>
        <v>3.8095238095238182E-2</v>
      </c>
      <c r="CD37" s="1364">
        <f>CD36/BY36-1</f>
        <v>0.1088607594936708</v>
      </c>
      <c r="CE37" s="1477"/>
      <c r="CF37" s="1364">
        <f>CF36/CA36-1</f>
        <v>5.7522123893805288E-2</v>
      </c>
      <c r="CG37" s="1364">
        <f>CG36/CB36-1</f>
        <v>0.16143497757847536</v>
      </c>
      <c r="CH37" s="1364">
        <f>CH36/CC36-1</f>
        <v>0.3669724770642202</v>
      </c>
      <c r="CI37" s="1364">
        <f>CI36/CD36-1</f>
        <v>8.9041095890410871E-2</v>
      </c>
      <c r="CJ37" s="1477"/>
      <c r="CK37" s="1364">
        <f>CK36/CF36-1</f>
        <v>0.12343096234309625</v>
      </c>
      <c r="CL37" s="1364">
        <f>CL36/CG36-1</f>
        <v>-3.8610038610038533E-3</v>
      </c>
      <c r="CM37" s="1364">
        <f>CM36/CH36-1</f>
        <v>4.6979865771812124E-2</v>
      </c>
      <c r="CN37" s="1364">
        <f>CN36/CI36-1</f>
        <v>4.6121593291404528E-2</v>
      </c>
      <c r="CO37" s="1477"/>
      <c r="CP37" s="2008">
        <f>CP36/CK36-1</f>
        <v>3.7243947858474069E-3</v>
      </c>
      <c r="CQ37" s="2008">
        <f>CQ36/CL36-1</f>
        <v>0.19186046511627897</v>
      </c>
      <c r="CR37" s="2008">
        <f>CR36/CM36-1</f>
        <v>-0.15705128205128205</v>
      </c>
      <c r="CS37" s="1364">
        <f>CS36/CN36-1</f>
        <v>0.12625250501002006</v>
      </c>
      <c r="CT37" s="1477"/>
      <c r="CU37" s="2827">
        <f>CU36/CP36-1</f>
        <v>-2.5974025974025983E-2</v>
      </c>
      <c r="CV37" s="2827">
        <f>CV36/CQ36-1</f>
        <v>-0.12845528455284549</v>
      </c>
      <c r="CW37" s="2827">
        <f>CW36/CR36-1</f>
        <v>0.1368821292775666</v>
      </c>
      <c r="CX37" s="2827">
        <f>CX36/CS36-1</f>
        <v>-0.10854092526690395</v>
      </c>
      <c r="CY37" s="2835"/>
      <c r="CZ37" s="2827">
        <f>CZ36/CU36-1</f>
        <v>3.4285714285714253E-2</v>
      </c>
      <c r="DA37" s="2827">
        <f>DA36/CV36-1</f>
        <v>6.5298507462686617E-2</v>
      </c>
      <c r="DB37" s="2980">
        <f>DB36/CW36-1</f>
        <v>0.40468227424749159</v>
      </c>
      <c r="DC37" s="2827">
        <f>DC36/CX36-1</f>
        <v>5.8716112623772965E-2</v>
      </c>
      <c r="DD37" s="2835"/>
      <c r="DE37" s="2827">
        <f t="shared" ref="DE37:DH37" si="47">DE36/CZ36-1</f>
        <v>4.8016419500276797E-2</v>
      </c>
      <c r="DF37" s="2827">
        <f t="shared" si="47"/>
        <v>4.9288411730222137E-2</v>
      </c>
      <c r="DG37" s="2827">
        <f t="shared" si="47"/>
        <v>-0.28790372491629623</v>
      </c>
      <c r="DH37" s="2827">
        <f t="shared" si="47"/>
        <v>4.9004781765209948E-2</v>
      </c>
      <c r="DI37" s="2835"/>
      <c r="DJ37" s="1741"/>
      <c r="DK37" s="1364"/>
      <c r="DL37" s="1108"/>
      <c r="DM37" s="1108"/>
      <c r="DN37" s="1108"/>
      <c r="DO37" s="1108"/>
      <c r="DP37" s="1108"/>
      <c r="DQ37" s="1108"/>
      <c r="DR37" s="1108"/>
      <c r="DS37" s="1108"/>
      <c r="DT37" s="1108"/>
      <c r="DU37" s="1108"/>
      <c r="DV37" s="1577"/>
      <c r="DW37" s="1577"/>
    </row>
    <row r="38" spans="1:127">
      <c r="A38" s="1108"/>
      <c r="B38" s="1110"/>
      <c r="C38" s="1110"/>
      <c r="D38" s="1110"/>
      <c r="E38" s="1110"/>
      <c r="F38" s="1110"/>
      <c r="G38" s="1110"/>
      <c r="H38" s="1110"/>
      <c r="I38" s="1110"/>
      <c r="J38" s="1110"/>
      <c r="K38" s="1110"/>
      <c r="L38" s="1110"/>
      <c r="M38" s="1110"/>
      <c r="N38" s="1110"/>
      <c r="O38" s="2705"/>
      <c r="P38" s="2705"/>
      <c r="Q38" s="1110"/>
      <c r="R38" s="1110"/>
      <c r="S38" s="2705"/>
      <c r="T38" s="1110"/>
      <c r="U38" s="1110"/>
      <c r="V38" s="1110"/>
      <c r="W38" s="1110"/>
      <c r="X38" s="1110"/>
      <c r="Y38" s="1110"/>
      <c r="Z38" s="1110"/>
      <c r="AA38" s="1110"/>
      <c r="AB38" s="1110"/>
      <c r="AC38" s="1110"/>
      <c r="AD38" s="39"/>
      <c r="AE38" s="1577"/>
      <c r="AF38" s="1577"/>
      <c r="AG38" s="1577"/>
      <c r="AH38" s="1577"/>
      <c r="AI38" s="1577"/>
      <c r="AJ38" s="1577"/>
      <c r="AK38" s="49"/>
      <c r="AL38" s="1299"/>
      <c r="AM38" s="118"/>
      <c r="AN38" s="118"/>
      <c r="AO38" s="118"/>
      <c r="AP38" s="118"/>
      <c r="AQ38" s="1295"/>
      <c r="AR38" s="118"/>
      <c r="AS38" s="118"/>
      <c r="AT38" s="118"/>
      <c r="AU38" s="118"/>
      <c r="AV38" s="1295"/>
      <c r="AW38" s="118"/>
      <c r="AX38" s="118"/>
      <c r="AY38" s="118"/>
      <c r="AZ38" s="118"/>
      <c r="BA38" s="1295"/>
      <c r="BB38" s="118"/>
      <c r="BC38" s="118"/>
      <c r="BD38" s="118"/>
      <c r="BE38" s="118"/>
      <c r="BF38" s="1799"/>
      <c r="BG38" s="1630"/>
      <c r="BH38" s="1630"/>
      <c r="BI38" s="1630"/>
      <c r="BJ38" s="1630"/>
      <c r="BK38" s="1799"/>
      <c r="BL38" s="1630"/>
      <c r="BM38" s="1630"/>
      <c r="BN38" s="1630"/>
      <c r="BO38" s="1630"/>
      <c r="BP38" s="1799"/>
      <c r="BQ38" s="1108"/>
      <c r="BR38" s="1108"/>
      <c r="BS38" s="1108"/>
      <c r="BT38" s="1108"/>
      <c r="BU38" s="1108"/>
      <c r="BV38" s="1108"/>
      <c r="BW38" s="1108"/>
      <c r="BX38" s="1108"/>
      <c r="BY38" s="1108"/>
      <c r="BZ38" s="11"/>
      <c r="CA38" s="1108"/>
      <c r="CB38" s="1108"/>
      <c r="CC38" s="1108"/>
      <c r="CD38" s="1108"/>
      <c r="CE38" s="1108"/>
      <c r="CF38" s="1108"/>
      <c r="CG38" s="1108"/>
      <c r="CH38" s="1108"/>
      <c r="CI38" s="1108"/>
      <c r="CJ38" s="1108"/>
      <c r="CK38" s="1470"/>
      <c r="CL38" s="1470"/>
      <c r="CM38" s="1470"/>
      <c r="CN38" s="1357"/>
      <c r="CO38" s="1108"/>
      <c r="CP38" s="1470"/>
      <c r="CQ38" s="1470"/>
      <c r="CR38" s="1470"/>
      <c r="CS38" s="1357"/>
      <c r="CT38" s="1108"/>
      <c r="CU38" s="2862"/>
      <c r="CV38" s="2862"/>
      <c r="CW38" s="2862"/>
      <c r="CX38" s="2862"/>
      <c r="CY38" s="2862"/>
      <c r="CZ38" s="2862"/>
      <c r="DA38" s="2862"/>
      <c r="DB38" s="2862"/>
      <c r="DC38" s="2862"/>
      <c r="DD38" s="2835"/>
      <c r="DE38" s="2835"/>
      <c r="DF38" s="2835"/>
      <c r="DG38" s="2835"/>
      <c r="DH38" s="2835"/>
      <c r="DI38" s="2835"/>
      <c r="DJ38" s="1108"/>
      <c r="DK38" s="1108"/>
      <c r="DL38" s="1108"/>
      <c r="DM38" s="1108"/>
      <c r="DN38" s="1108"/>
      <c r="DO38" s="1108"/>
      <c r="DP38" s="1108"/>
      <c r="DQ38" s="1108"/>
      <c r="DR38" s="1108"/>
      <c r="DS38" s="1108"/>
      <c r="DT38" s="1108"/>
      <c r="DU38" s="1108"/>
      <c r="DV38" s="1108"/>
      <c r="DW38" s="1108"/>
    </row>
    <row r="39" spans="1:127" ht="11.25" customHeight="1">
      <c r="A39" s="1836" t="s">
        <v>668</v>
      </c>
      <c r="B39" s="1105">
        <f>'Segment Detail'!Y9</f>
        <v>673.18376825950281</v>
      </c>
      <c r="C39" s="1105">
        <f>'Segment Detail'!Z9</f>
        <v>695.43604849016344</v>
      </c>
      <c r="D39" s="1105">
        <f>'Segment Detail'!AA9</f>
        <v>753.37172741504628</v>
      </c>
      <c r="E39" s="1105">
        <f>'Segment Detail'!AB9</f>
        <v>777.65495746575073</v>
      </c>
      <c r="F39" s="1105">
        <f>'Segment Detail'!AC9</f>
        <v>806.96400000000006</v>
      </c>
      <c r="G39" s="1105">
        <f>'Segment Detail'!AD9</f>
        <v>886.1</v>
      </c>
      <c r="H39" s="1105">
        <f>'Segment Detail'!AE9</f>
        <v>857.7</v>
      </c>
      <c r="I39" s="1105">
        <f>'Segment Detail'!AF9</f>
        <v>793.5</v>
      </c>
      <c r="J39" s="1105">
        <f>'Segment Detail'!AG9</f>
        <v>790.8</v>
      </c>
      <c r="K39" s="1636">
        <f>SUM(BV39:BY39)</f>
        <v>787</v>
      </c>
      <c r="L39" s="1636">
        <f>SUM(CA39:CD39)</f>
        <v>790</v>
      </c>
      <c r="M39" s="1780">
        <f>SUM(CF39:CI39)</f>
        <v>809</v>
      </c>
      <c r="N39" s="1780">
        <f>SUM(CK39:CN39)</f>
        <v>778</v>
      </c>
      <c r="O39" s="2714">
        <f>M39</f>
        <v>809</v>
      </c>
      <c r="P39" s="2714">
        <f>N39</f>
        <v>778</v>
      </c>
      <c r="Q39" s="1780">
        <f>SUM(CP39:CS39)</f>
        <v>780</v>
      </c>
      <c r="R39" s="1780">
        <f>SUM(CU39:CX39)</f>
        <v>767</v>
      </c>
      <c r="S39" s="2710">
        <f>R39</f>
        <v>767</v>
      </c>
      <c r="T39" s="1780">
        <f>SUM(CZ39:DC39)</f>
        <v>804</v>
      </c>
      <c r="U39" s="2890">
        <f>SUM(DE39:DH39)</f>
        <v>816.06</v>
      </c>
      <c r="V39" s="1105">
        <f>'Segment Detail'!AP9</f>
        <v>832.38119999999992</v>
      </c>
      <c r="W39" s="1105">
        <f>'Segment Detail'!AQ9</f>
        <v>849.02882399999999</v>
      </c>
      <c r="X39" s="1105">
        <f>'Segment Detail'!AR9</f>
        <v>866.00940047999995</v>
      </c>
      <c r="Y39" s="1105">
        <f>'Segment Detail'!AS9</f>
        <v>883.32958848959993</v>
      </c>
      <c r="Z39" s="1105">
        <f>'Segment Detail'!AT9</f>
        <v>900.99618025939196</v>
      </c>
      <c r="AA39" s="1105">
        <f>'Segment Detail'!AU9</f>
        <v>919.0161038645798</v>
      </c>
      <c r="AB39" s="1105">
        <f>'Segment Detail'!AV9</f>
        <v>937.39642594187137</v>
      </c>
      <c r="AC39" s="1105">
        <f>'Segment Detail'!AW9</f>
        <v>956.14435446070877</v>
      </c>
      <c r="AD39" s="1105">
        <f>'Segment Detail'!AX9</f>
        <v>975.26724154992291</v>
      </c>
      <c r="AE39" s="1105">
        <f>'Segment Detail'!AY9</f>
        <v>994.77258638092144</v>
      </c>
      <c r="AF39" s="105"/>
      <c r="AG39" s="105"/>
      <c r="AH39" s="105"/>
      <c r="AI39" s="105"/>
      <c r="AJ39" s="105"/>
      <c r="AK39" s="11"/>
      <c r="AL39" s="1297" t="str">
        <f t="shared" si="36"/>
        <v xml:space="preserve">Publishing </v>
      </c>
      <c r="AM39" s="105">
        <f>'Segment Detail'!CO9</f>
        <v>148.80000000000001</v>
      </c>
      <c r="AN39" s="105">
        <f>'Segment Detail'!CP9</f>
        <v>182.60000000000002</v>
      </c>
      <c r="AO39" s="105">
        <f>'Segment Detail'!CQ9</f>
        <v>208</v>
      </c>
      <c r="AP39" s="105">
        <f>'Segment Detail'!CR9</f>
        <v>213.97172741504627</v>
      </c>
      <c r="AQ39" s="1120">
        <f>D39-SUM(AM39:AP39)</f>
        <v>0</v>
      </c>
      <c r="AR39" s="105">
        <f>'Segment Detail'!CT9</f>
        <v>157.6</v>
      </c>
      <c r="AS39" s="105">
        <f>'Segment Detail'!CU9</f>
        <v>174.1</v>
      </c>
      <c r="AT39" s="105">
        <f>'Segment Detail'!CV9</f>
        <v>195.51999999999998</v>
      </c>
      <c r="AU39" s="105">
        <f>'Segment Detail'!CW9</f>
        <v>250.4349574657507</v>
      </c>
      <c r="AV39" s="1120">
        <f>E39-SUM(AR39:AU39)</f>
        <v>0</v>
      </c>
      <c r="AW39" s="105">
        <f>'Segment Detail'!CY9</f>
        <v>179.66400000000002</v>
      </c>
      <c r="AX39" s="105">
        <f>'Segment Detail'!CZ9</f>
        <v>177.4</v>
      </c>
      <c r="AY39" s="105">
        <f>'Segment Detail'!DA9</f>
        <v>197.4</v>
      </c>
      <c r="AZ39" s="105">
        <f>'Segment Detail'!DB9</f>
        <v>252.5</v>
      </c>
      <c r="BA39" s="1120">
        <f>F39-SUM(AW39:AZ39)</f>
        <v>0</v>
      </c>
      <c r="BB39" s="105">
        <f>'Segment Detail'!DD9</f>
        <v>229.3</v>
      </c>
      <c r="BC39" s="105">
        <f>'Segment Detail'!DE9</f>
        <v>200.3</v>
      </c>
      <c r="BD39" s="105">
        <f>'Segment Detail'!DF9</f>
        <v>214.2</v>
      </c>
      <c r="BE39" s="105">
        <f>'Segment Detail'!DG9</f>
        <v>242.30000000000007</v>
      </c>
      <c r="BF39" s="1741">
        <f>G39-SUM(BB39:BE39)</f>
        <v>0</v>
      </c>
      <c r="BG39" s="1105">
        <f>'Segment Detail'!DI9</f>
        <v>201.6</v>
      </c>
      <c r="BH39" s="1105">
        <f>'Segment Detail'!DJ9</f>
        <v>186</v>
      </c>
      <c r="BI39" s="1105">
        <f>'Segment Detail'!DK9</f>
        <v>225</v>
      </c>
      <c r="BJ39" s="1105">
        <f>'Segment Detail'!DL9</f>
        <v>245.1</v>
      </c>
      <c r="BK39" s="1741">
        <f>H39-SUM(BG39:BJ39)</f>
        <v>0</v>
      </c>
      <c r="BL39" s="1105">
        <f>'Segment Detail'!DN9</f>
        <v>161.69999999999999</v>
      </c>
      <c r="BM39" s="1105">
        <f>'Segment Detail'!DO9</f>
        <v>181.4</v>
      </c>
      <c r="BN39" s="1105">
        <f>'Segment Detail'!DP9</f>
        <v>230.4</v>
      </c>
      <c r="BO39" s="1105">
        <f>'Segment Detail'!DQ9</f>
        <v>220</v>
      </c>
      <c r="BP39" s="1741">
        <f>I39-SUM(BL39:BO39)</f>
        <v>0</v>
      </c>
      <c r="BQ39" s="1635">
        <v>151.69999999999999</v>
      </c>
      <c r="BR39" s="1635">
        <v>189.7</v>
      </c>
      <c r="BS39" s="1635">
        <v>217.7</v>
      </c>
      <c r="BT39" s="1635">
        <v>231.7</v>
      </c>
      <c r="BU39" s="1741">
        <f>J39-SUM(BQ39:BT39)</f>
        <v>0</v>
      </c>
      <c r="BV39" s="1635">
        <v>155</v>
      </c>
      <c r="BW39" s="1635">
        <v>183</v>
      </c>
      <c r="BX39" s="1635">
        <v>220</v>
      </c>
      <c r="BY39" s="1635">
        <v>229</v>
      </c>
      <c r="BZ39" s="1120">
        <f>K39-SUM(BV39:BY39)</f>
        <v>0</v>
      </c>
      <c r="CA39" s="1635">
        <v>176</v>
      </c>
      <c r="CB39" s="1635">
        <v>189</v>
      </c>
      <c r="CC39" s="1635">
        <v>210</v>
      </c>
      <c r="CD39" s="1635">
        <v>215</v>
      </c>
      <c r="CE39" s="1741">
        <f>L39-SUM(CA39:CD39)</f>
        <v>0</v>
      </c>
      <c r="CF39" s="1635">
        <v>171</v>
      </c>
      <c r="CG39" s="1635">
        <v>189</v>
      </c>
      <c r="CH39" s="1635">
        <v>224</v>
      </c>
      <c r="CI39" s="1635">
        <v>225</v>
      </c>
      <c r="CJ39" s="1741">
        <f>M39-SUM(CF39:CI39)</f>
        <v>0</v>
      </c>
      <c r="CK39" s="1635">
        <v>153</v>
      </c>
      <c r="CL39" s="1635">
        <v>211</v>
      </c>
      <c r="CM39" s="1635">
        <v>199</v>
      </c>
      <c r="CN39" s="1635">
        <v>215</v>
      </c>
      <c r="CO39" s="1741">
        <f>$N39-SUM(CK39:CN39)</f>
        <v>0</v>
      </c>
      <c r="CP39" s="1635">
        <v>145</v>
      </c>
      <c r="CQ39" s="1635">
        <v>199</v>
      </c>
      <c r="CR39" s="1635">
        <v>203</v>
      </c>
      <c r="CS39" s="1635">
        <v>233</v>
      </c>
      <c r="CT39" s="1741">
        <f>$Q39-SUM(CP39:CS39)</f>
        <v>0</v>
      </c>
      <c r="CU39" s="2903">
        <v>145</v>
      </c>
      <c r="CV39" s="2903">
        <v>187</v>
      </c>
      <c r="CW39" s="2903">
        <v>226</v>
      </c>
      <c r="CX39" s="2903">
        <v>209</v>
      </c>
      <c r="CY39" s="2835">
        <f>S39-SUM(CU39:CX39)</f>
        <v>0</v>
      </c>
      <c r="CZ39" s="2903">
        <v>161</v>
      </c>
      <c r="DA39" s="2903">
        <v>206</v>
      </c>
      <c r="DB39" s="2903">
        <v>228</v>
      </c>
      <c r="DC39" s="2835">
        <f>CX39*(1+DC40)</f>
        <v>209</v>
      </c>
      <c r="DD39" s="2835">
        <f>T39-SUM(CZ39:DC39)</f>
        <v>0</v>
      </c>
      <c r="DE39" s="2835">
        <f t="shared" ref="DE39:DH39" si="48">CZ39*(1+DE40)</f>
        <v>163.41499999999999</v>
      </c>
      <c r="DF39" s="2835">
        <f t="shared" si="48"/>
        <v>209.08999999999997</v>
      </c>
      <c r="DG39" s="2835">
        <f t="shared" si="48"/>
        <v>231.42</v>
      </c>
      <c r="DH39" s="2835">
        <f t="shared" si="48"/>
        <v>212.13499999999999</v>
      </c>
      <c r="DI39" s="2835">
        <f t="shared" ref="DI39" si="49">U39-SUM(DE39:DH39)</f>
        <v>0</v>
      </c>
      <c r="DJ39" s="1741"/>
      <c r="DK39" s="1105" t="s">
        <v>1237</v>
      </c>
      <c r="DL39" s="1108"/>
      <c r="DM39" s="1108"/>
      <c r="DN39" s="1108"/>
      <c r="DO39" s="1108"/>
      <c r="DP39" s="1108"/>
      <c r="DQ39" s="1108"/>
      <c r="DR39" s="1108"/>
      <c r="DS39" s="1108"/>
      <c r="DT39" s="1108"/>
      <c r="DU39" s="1108"/>
      <c r="DV39" s="1108"/>
      <c r="DW39" s="1108"/>
    </row>
    <row r="40" spans="1:127" ht="11.25" customHeight="1">
      <c r="A40" s="1834" t="s">
        <v>676</v>
      </c>
      <c r="B40" s="1781" t="s">
        <v>1455</v>
      </c>
      <c r="C40" s="1364">
        <f>C39/B39-1</f>
        <v>3.3055283385981404E-2</v>
      </c>
      <c r="D40" s="1364">
        <f t="shared" ref="D40:J40" si="50">D39/C39-1</f>
        <v>8.3308420739282907E-2</v>
      </c>
      <c r="E40" s="1364">
        <f t="shared" si="50"/>
        <v>3.2232733413058323E-2</v>
      </c>
      <c r="F40" s="1364">
        <f t="shared" si="50"/>
        <v>3.7689006226826693E-2</v>
      </c>
      <c r="G40" s="1364">
        <f t="shared" si="50"/>
        <v>9.8066332574935133E-2</v>
      </c>
      <c r="H40" s="1364">
        <f t="shared" si="50"/>
        <v>-3.2050558627694348E-2</v>
      </c>
      <c r="I40" s="1364">
        <f t="shared" si="50"/>
        <v>-7.4851346624693949E-2</v>
      </c>
      <c r="J40" s="1364">
        <f t="shared" si="50"/>
        <v>-3.4026465028356156E-3</v>
      </c>
      <c r="K40" s="1364">
        <f t="shared" ref="K40:W40" si="51">K39/J39-1</f>
        <v>-4.8052604957005141E-3</v>
      </c>
      <c r="L40" s="1364">
        <f t="shared" si="51"/>
        <v>3.8119440914865521E-3</v>
      </c>
      <c r="M40" s="1364">
        <f>M39/L39-1</f>
        <v>2.4050632911392311E-2</v>
      </c>
      <c r="N40" s="1364">
        <f>N39/M39-1</f>
        <v>-3.8318912237330083E-2</v>
      </c>
      <c r="O40" s="2711"/>
      <c r="P40" s="2711">
        <f t="shared" si="51"/>
        <v>-3.8318912237330083E-2</v>
      </c>
      <c r="Q40" s="1364">
        <f>Q39/P39-1</f>
        <v>2.5706940874035134E-3</v>
      </c>
      <c r="R40" s="1364">
        <f>R39/Q39-1</f>
        <v>-1.6666666666666718E-2</v>
      </c>
      <c r="S40" s="2711"/>
      <c r="T40" s="1364">
        <f>T39/R39-1</f>
        <v>4.8239895697522739E-2</v>
      </c>
      <c r="U40" s="1364">
        <f>U39/T39-1</f>
        <v>1.4999999999999902E-2</v>
      </c>
      <c r="V40" s="1364">
        <f t="shared" si="51"/>
        <v>2.0000000000000018E-2</v>
      </c>
      <c r="W40" s="1364">
        <f t="shared" si="51"/>
        <v>2.0000000000000018E-2</v>
      </c>
      <c r="X40" s="1364">
        <f t="shared" ref="X40:AE40" si="52">X39/W39-1</f>
        <v>2.0000000000000018E-2</v>
      </c>
      <c r="Y40" s="1364">
        <f t="shared" si="52"/>
        <v>2.0000000000000018E-2</v>
      </c>
      <c r="Z40" s="1364">
        <f t="shared" si="52"/>
        <v>2.0000000000000018E-2</v>
      </c>
      <c r="AA40" s="1364">
        <f t="shared" si="52"/>
        <v>2.0000000000000018E-2</v>
      </c>
      <c r="AB40" s="1364">
        <f t="shared" si="52"/>
        <v>2.0000000000000018E-2</v>
      </c>
      <c r="AC40" s="1364">
        <f t="shared" si="52"/>
        <v>2.0000000000000018E-2</v>
      </c>
      <c r="AD40" s="1364">
        <f t="shared" si="52"/>
        <v>2.0000000000000018E-2</v>
      </c>
      <c r="AE40" s="1364">
        <f t="shared" si="52"/>
        <v>2.0000000000000018E-2</v>
      </c>
      <c r="AF40" s="1577"/>
      <c r="AG40" s="1577"/>
      <c r="AH40" s="1577"/>
      <c r="AI40" s="1577"/>
      <c r="AJ40" s="1577"/>
      <c r="AK40" s="186"/>
      <c r="AL40" s="1298" t="str">
        <f t="shared" si="36"/>
        <v>% Change</v>
      </c>
      <c r="AM40" s="1286" t="s">
        <v>1455</v>
      </c>
      <c r="AN40" s="1286" t="s">
        <v>1455</v>
      </c>
      <c r="AO40" s="1286" t="s">
        <v>1455</v>
      </c>
      <c r="AP40" s="1286" t="s">
        <v>1455</v>
      </c>
      <c r="AQ40" s="1287"/>
      <c r="AR40" s="1104">
        <f>AR39/AM39-1</f>
        <v>5.9139784946236507E-2</v>
      </c>
      <c r="AS40" s="1104">
        <f>AS39/AN39-1</f>
        <v>-4.6549835706462317E-2</v>
      </c>
      <c r="AT40" s="1104">
        <f>AT39/AO39-1</f>
        <v>-6.0000000000000053E-2</v>
      </c>
      <c r="AU40" s="1104">
        <f>AU39/AP39-1</f>
        <v>0.17041143935794745</v>
      </c>
      <c r="AV40" s="1287"/>
      <c r="AW40" s="1104">
        <f>AW39/AR39-1</f>
        <v>0.14000000000000012</v>
      </c>
      <c r="AX40" s="1104">
        <f>AX39/AS39-1</f>
        <v>1.895462377943713E-2</v>
      </c>
      <c r="AY40" s="1104">
        <f>AY39/AT39-1</f>
        <v>9.6153846153848033E-3</v>
      </c>
      <c r="AZ40" s="1104">
        <f>AZ39/AU39-1</f>
        <v>8.2458238064935241E-3</v>
      </c>
      <c r="BA40" s="1287"/>
      <c r="BB40" s="1104">
        <f>BB39/AW39-1</f>
        <v>0.27627126191112295</v>
      </c>
      <c r="BC40" s="1104">
        <f>BC39/AX39-1</f>
        <v>0.12908680947012408</v>
      </c>
      <c r="BD40" s="1104">
        <f>BD39/AY39-1</f>
        <v>8.5106382978723305E-2</v>
      </c>
      <c r="BE40" s="1104">
        <f>BE39/AZ39-1</f>
        <v>-4.0396039603960099E-2</v>
      </c>
      <c r="BF40" s="1811"/>
      <c r="BG40" s="1364">
        <f>BG39/BB39-1</f>
        <v>-0.12080244221543834</v>
      </c>
      <c r="BH40" s="1364">
        <f>BH39/BC39-1</f>
        <v>-7.1392910634048956E-2</v>
      </c>
      <c r="BI40" s="1364">
        <f>BI39/BD39-1</f>
        <v>5.0420168067226934E-2</v>
      </c>
      <c r="BJ40" s="1364">
        <f>BJ39/BE39-1</f>
        <v>1.1555922410234842E-2</v>
      </c>
      <c r="BK40" s="1811"/>
      <c r="BL40" s="1364">
        <f>BL39/BG39-1</f>
        <v>-0.19791666666666674</v>
      </c>
      <c r="BM40" s="1364">
        <f>BM39/BH39-1</f>
        <v>-2.4731182795698858E-2</v>
      </c>
      <c r="BN40" s="1364">
        <f>BN39/BI39-1</f>
        <v>2.4000000000000021E-2</v>
      </c>
      <c r="BO40" s="1364">
        <f>BO39/BJ39-1</f>
        <v>-0.10240718074255406</v>
      </c>
      <c r="BP40" s="1811"/>
      <c r="BQ40" s="1364">
        <f>BQ39/BL39-1</f>
        <v>-6.1842918985776096E-2</v>
      </c>
      <c r="BR40" s="1364">
        <f>BR39/BM39-1</f>
        <v>4.57552370452039E-2</v>
      </c>
      <c r="BS40" s="1364">
        <f>BS39/BN39-1</f>
        <v>-5.5121527777777901E-2</v>
      </c>
      <c r="BT40" s="1364">
        <f>BT39/BO39-1</f>
        <v>5.3181818181818219E-2</v>
      </c>
      <c r="BU40" s="1477"/>
      <c r="BV40" s="1364">
        <f>BV39/BQ39-1</f>
        <v>2.1753460777851119E-2</v>
      </c>
      <c r="BW40" s="1364">
        <f>BW39/BR39-1</f>
        <v>-3.5318924617817604E-2</v>
      </c>
      <c r="BX40" s="1364">
        <f>BX39/BS39-1</f>
        <v>1.0564997703261358E-2</v>
      </c>
      <c r="BY40" s="1364">
        <f>BY39/BT39-1</f>
        <v>-1.1652999568407374E-2</v>
      </c>
      <c r="BZ40" s="186"/>
      <c r="CA40" s="1364">
        <f>CA39/BV39-1</f>
        <v>0.13548387096774195</v>
      </c>
      <c r="CB40" s="1364">
        <f>CB39/BW39-1</f>
        <v>3.2786885245901676E-2</v>
      </c>
      <c r="CC40" s="1364">
        <f>CC39/BX39-1</f>
        <v>-4.5454545454545414E-2</v>
      </c>
      <c r="CD40" s="1364">
        <f>CD39/BY39-1</f>
        <v>-6.1135371179039333E-2</v>
      </c>
      <c r="CE40" s="1477"/>
      <c r="CF40" s="1364">
        <f>CF39/CA39-1</f>
        <v>-2.8409090909090939E-2</v>
      </c>
      <c r="CG40" s="1364">
        <f>CG39/CB39-1</f>
        <v>0</v>
      </c>
      <c r="CH40" s="1364">
        <f>CH39/CC39-1</f>
        <v>6.6666666666666652E-2</v>
      </c>
      <c r="CI40" s="1364">
        <f>CI39/CD39-1</f>
        <v>4.6511627906976827E-2</v>
      </c>
      <c r="CJ40" s="1477"/>
      <c r="CK40" s="1364">
        <f>CK39/CF39-1</f>
        <v>-0.10526315789473684</v>
      </c>
      <c r="CL40" s="1364">
        <f>CL39/CG39-1</f>
        <v>0.11640211640211651</v>
      </c>
      <c r="CM40" s="1364">
        <f>CM39/CH39-1</f>
        <v>-0.1116071428571429</v>
      </c>
      <c r="CN40" s="1364">
        <f>CN39/CI39-1</f>
        <v>-4.4444444444444398E-2</v>
      </c>
      <c r="CO40" s="1477"/>
      <c r="CP40" s="1364">
        <f>CP39/CK39-1</f>
        <v>-5.2287581699346442E-2</v>
      </c>
      <c r="CQ40" s="1364">
        <f>CQ39/CL39-1</f>
        <v>-5.6872037914691975E-2</v>
      </c>
      <c r="CR40" s="1364">
        <f>CR39/CM39-1</f>
        <v>2.0100502512562901E-2</v>
      </c>
      <c r="CS40" s="1364">
        <f>CS39/CN39-1</f>
        <v>8.3720930232558111E-2</v>
      </c>
      <c r="CT40" s="1364"/>
      <c r="CU40" s="2827">
        <f>CU39/CP39-1</f>
        <v>0</v>
      </c>
      <c r="CV40" s="2827">
        <f>CV39/CQ39-1</f>
        <v>-6.0301507537688481E-2</v>
      </c>
      <c r="CW40" s="2827">
        <f>CW39/CR39-1</f>
        <v>0.11330049261083741</v>
      </c>
      <c r="CX40" s="2827">
        <f>CX39/CS39-1</f>
        <v>-0.10300429184549353</v>
      </c>
      <c r="CY40" s="2835"/>
      <c r="CZ40" s="2827">
        <f>CZ39/CU39-1</f>
        <v>0.1103448275862069</v>
      </c>
      <c r="DA40" s="2827">
        <f>DA39/CV39-1</f>
        <v>0.10160427807486627</v>
      </c>
      <c r="DB40" s="2827">
        <f>DB39/CW39-1</f>
        <v>8.8495575221239076E-3</v>
      </c>
      <c r="DC40" s="3048">
        <v>0</v>
      </c>
      <c r="DD40" s="2835"/>
      <c r="DE40" s="3048">
        <v>1.4999999999999999E-2</v>
      </c>
      <c r="DF40" s="3048">
        <v>1.4999999999999999E-2</v>
      </c>
      <c r="DG40" s="3048">
        <v>1.4999999999999999E-2</v>
      </c>
      <c r="DH40" s="3048">
        <v>1.4999999999999999E-2</v>
      </c>
      <c r="DI40" s="2835"/>
      <c r="DJ40" s="1741"/>
      <c r="DK40" s="2048"/>
      <c r="DL40" s="1108"/>
      <c r="DM40" s="1108"/>
      <c r="DN40" s="1108"/>
      <c r="DO40" s="1108"/>
      <c r="DP40" s="1108"/>
      <c r="DQ40" s="1108"/>
      <c r="DR40" s="1477"/>
      <c r="DS40" s="1477"/>
      <c r="DT40" s="1477"/>
      <c r="DU40" s="1477"/>
      <c r="DV40" s="1477"/>
      <c r="DW40" s="1477"/>
    </row>
    <row r="41" spans="1:127" ht="6" hidden="1" customHeight="1" outlineLevel="1">
      <c r="A41" s="1837"/>
      <c r="B41" s="1110"/>
      <c r="C41" s="1110"/>
      <c r="D41" s="1110"/>
      <c r="E41" s="1110"/>
      <c r="F41" s="1110"/>
      <c r="G41" s="1110"/>
      <c r="H41" s="1110"/>
      <c r="I41" s="1110"/>
      <c r="J41" s="1110"/>
      <c r="K41" s="1110"/>
      <c r="L41" s="1110"/>
      <c r="M41" s="1110"/>
      <c r="N41" s="1110"/>
      <c r="O41" s="2705"/>
      <c r="P41" s="2705"/>
      <c r="Q41" s="1110"/>
      <c r="R41" s="1110"/>
      <c r="S41" s="2705"/>
      <c r="T41" s="1110"/>
      <c r="U41" s="1110"/>
      <c r="V41" s="1110"/>
      <c r="W41" s="1110"/>
      <c r="X41" s="1110"/>
      <c r="Y41" s="1110"/>
      <c r="Z41" s="1110"/>
      <c r="AA41" s="1110"/>
      <c r="AB41" s="1110"/>
      <c r="AC41" s="1110"/>
      <c r="AD41" s="105"/>
      <c r="AE41" s="105"/>
      <c r="AF41" s="105"/>
      <c r="AG41" s="105"/>
      <c r="AH41" s="105"/>
      <c r="AI41" s="105"/>
      <c r="AJ41" s="105"/>
      <c r="AK41" s="11"/>
      <c r="AL41" s="1299"/>
      <c r="AM41" s="39"/>
      <c r="AN41" s="39"/>
      <c r="AO41" s="39"/>
      <c r="AP41" s="39"/>
      <c r="AQ41" s="1120"/>
      <c r="AR41" s="39"/>
      <c r="AS41" s="39"/>
      <c r="AT41" s="39"/>
      <c r="AU41" s="39"/>
      <c r="AV41" s="1120"/>
      <c r="AW41" s="39"/>
      <c r="AX41" s="39"/>
      <c r="AY41" s="39"/>
      <c r="AZ41" s="39"/>
      <c r="BA41" s="1120"/>
      <c r="BB41" s="39"/>
      <c r="BC41" s="39"/>
      <c r="BD41" s="39"/>
      <c r="BE41" s="39"/>
      <c r="BF41" s="1741"/>
      <c r="BG41" s="1110"/>
      <c r="BH41" s="1110"/>
      <c r="BI41" s="1110"/>
      <c r="BJ41" s="1110"/>
      <c r="BK41" s="1741"/>
      <c r="BL41" s="1110"/>
      <c r="BM41" s="1110"/>
      <c r="BN41" s="1110"/>
      <c r="BO41" s="1110"/>
      <c r="BP41" s="1741"/>
      <c r="BQ41" s="1108"/>
      <c r="BR41" s="1108"/>
      <c r="BS41" s="1108"/>
      <c r="BT41" s="1108"/>
      <c r="BU41" s="1108"/>
      <c r="BV41" s="1108"/>
      <c r="BW41" s="1108"/>
      <c r="BX41" s="1108"/>
      <c r="BY41" s="1108"/>
      <c r="BZ41" s="11"/>
      <c r="CA41" s="1108"/>
      <c r="CB41" s="1108"/>
      <c r="CC41" s="1108"/>
      <c r="CD41" s="1108"/>
      <c r="CE41" s="1108"/>
      <c r="CF41" s="1108"/>
      <c r="CG41" s="1108"/>
      <c r="CH41" s="1108"/>
      <c r="CI41" s="1108"/>
      <c r="CJ41" s="1108"/>
      <c r="CK41" s="1470"/>
      <c r="CL41" s="1470"/>
      <c r="CM41" s="1470"/>
      <c r="CN41" s="1108"/>
      <c r="CO41" s="1108"/>
      <c r="CP41" s="1470"/>
      <c r="CQ41" s="1470"/>
      <c r="CR41" s="1470"/>
      <c r="CS41" s="1108"/>
      <c r="CT41" s="1108"/>
      <c r="CU41" s="2862"/>
      <c r="CV41" s="2862"/>
      <c r="CW41" s="2862"/>
      <c r="CX41" s="2862"/>
      <c r="CY41" s="2862"/>
      <c r="CZ41" s="2862"/>
      <c r="DA41" s="2862"/>
      <c r="DB41" s="2862"/>
      <c r="DC41" s="2862"/>
      <c r="DD41" s="2835"/>
      <c r="DE41" s="2862"/>
      <c r="DF41" s="2862"/>
      <c r="DG41" s="2862"/>
      <c r="DH41" s="2862"/>
      <c r="DI41" s="2835"/>
      <c r="DJ41" s="1741"/>
      <c r="DK41" s="1108"/>
      <c r="DL41" s="1108"/>
      <c r="DM41" s="1108"/>
      <c r="DN41" s="1108"/>
      <c r="DO41" s="1108"/>
      <c r="DP41" s="1108"/>
      <c r="DQ41" s="1108"/>
      <c r="DR41" s="1477"/>
      <c r="DS41" s="1477"/>
      <c r="DT41" s="1477"/>
      <c r="DU41" s="1477"/>
      <c r="DV41" s="1477"/>
      <c r="DW41" s="1477"/>
    </row>
    <row r="42" spans="1:127" ht="11.25" hidden="1" customHeight="1" outlineLevel="1">
      <c r="A42" s="1836" t="s">
        <v>705</v>
      </c>
      <c r="B42" s="1105">
        <f>'Segment Detail'!Y7</f>
        <v>377.31623174049719</v>
      </c>
      <c r="C42" s="1105">
        <f>'Segment Detail'!Z7</f>
        <v>373.86395150983651</v>
      </c>
      <c r="D42" s="1105">
        <f>'Segment Detail'!AA7</f>
        <v>407.42827258495367</v>
      </c>
      <c r="E42" s="1105">
        <f>'Segment Detail'!AB7</f>
        <v>409.44504253424918</v>
      </c>
      <c r="F42" s="1473">
        <f>'Segment Detail'!AC7</f>
        <v>3.6000000000001364E-2</v>
      </c>
      <c r="G42" s="1781">
        <f>'Segment Detail'!AD7</f>
        <v>0</v>
      </c>
      <c r="H42" s="1781">
        <f>'Segment Detail'!AE7</f>
        <v>0</v>
      </c>
      <c r="I42" s="1781">
        <f>'Segment Detail'!AF7</f>
        <v>0</v>
      </c>
      <c r="J42" s="1781">
        <f>'Segment Detail'!AG7</f>
        <v>0</v>
      </c>
      <c r="K42" s="1781">
        <f>'Segment Detail'!AH7</f>
        <v>0</v>
      </c>
      <c r="L42" s="1781">
        <f>'Segment Detail'!AI7</f>
        <v>0</v>
      </c>
      <c r="M42" s="1781">
        <f>'Segment Detail'!AJ7</f>
        <v>0</v>
      </c>
      <c r="N42" s="1781">
        <f>'Segment Detail'!AK7</f>
        <v>0</v>
      </c>
      <c r="O42" s="2715">
        <f>M42</f>
        <v>0</v>
      </c>
      <c r="P42" s="2715">
        <f>N42</f>
        <v>0</v>
      </c>
      <c r="Q42" s="1781">
        <f>'Segment Detail'!AL7</f>
        <v>0</v>
      </c>
      <c r="R42" s="1781">
        <f>'Segment Detail'!AM7</f>
        <v>0</v>
      </c>
      <c r="S42" s="2715">
        <f>R42</f>
        <v>0</v>
      </c>
      <c r="T42" s="1781">
        <f>'Segment Detail'!AN7</f>
        <v>0</v>
      </c>
      <c r="U42" s="1781">
        <f>'Segment Detail'!AO7</f>
        <v>0</v>
      </c>
      <c r="V42" s="1781">
        <f>'Segment Detail'!AP7</f>
        <v>0</v>
      </c>
      <c r="W42" s="1781">
        <f>'Segment Detail'!AQ7</f>
        <v>0</v>
      </c>
      <c r="X42" s="1781">
        <f>'Segment Detail'!AR7</f>
        <v>0</v>
      </c>
      <c r="Y42" s="1781">
        <f>'Segment Detail'!AS7</f>
        <v>0</v>
      </c>
      <c r="Z42" s="1781">
        <f>'Segment Detail'!AT7</f>
        <v>0</v>
      </c>
      <c r="AA42" s="1781">
        <f>'Segment Detail'!AU7</f>
        <v>0</v>
      </c>
      <c r="AB42" s="1781">
        <f>'Segment Detail'!AV7</f>
        <v>0</v>
      </c>
      <c r="AC42" s="1781">
        <f>'Segment Detail'!AW7</f>
        <v>0</v>
      </c>
      <c r="AD42" s="1781">
        <f>'Segment Detail'!AX7</f>
        <v>0</v>
      </c>
      <c r="AE42" s="1781">
        <f>'Segment Detail'!AY7</f>
        <v>0</v>
      </c>
      <c r="AF42" s="1577"/>
      <c r="AG42" s="1577"/>
      <c r="AH42" s="1577"/>
      <c r="AI42" s="1577"/>
      <c r="AJ42" s="1577"/>
      <c r="AK42" s="11"/>
      <c r="AL42" s="1301" t="str">
        <f>A42</f>
        <v xml:space="preserve">Theme Parks </v>
      </c>
      <c r="AM42" s="105">
        <f>'Segment Detail'!CO7</f>
        <v>10</v>
      </c>
      <c r="AN42" s="105">
        <f>'Segment Detail'!CP7</f>
        <v>150</v>
      </c>
      <c r="AO42" s="105">
        <f>'Segment Detail'!CQ7</f>
        <v>220.7</v>
      </c>
      <c r="AP42" s="105">
        <f>'Segment Detail'!CR7</f>
        <v>26.728272584953714</v>
      </c>
      <c r="AQ42" s="1120">
        <f>D42-SUM(AM42:AP42)</f>
        <v>0</v>
      </c>
      <c r="AR42" s="105">
        <f>'Segment Detail'!CT7</f>
        <v>10</v>
      </c>
      <c r="AS42" s="105">
        <f>'Segment Detail'!CU7</f>
        <v>145</v>
      </c>
      <c r="AT42" s="105">
        <f>'Segment Detail'!CV7</f>
        <v>228.58000000000004</v>
      </c>
      <c r="AU42" s="105">
        <f>'Segment Detail'!CW7</f>
        <v>25.865042534249312</v>
      </c>
      <c r="AV42" s="1120">
        <f>E42-SUM(AR42:AU42)</f>
        <v>0</v>
      </c>
      <c r="AW42" s="105">
        <f>'Segment Detail'!CY7</f>
        <v>1.436000000000007</v>
      </c>
      <c r="AX42" s="105">
        <f>'Segment Detail'!CZ7</f>
        <v>-1.4000000000000057</v>
      </c>
      <c r="AY42" s="1300">
        <f>'Segment Detail'!DA7</f>
        <v>0</v>
      </c>
      <c r="AZ42" s="1300">
        <f>'Segment Detail'!DB7</f>
        <v>0</v>
      </c>
      <c r="BA42" s="1120">
        <f>F42-SUM(AW42:AZ42)</f>
        <v>0</v>
      </c>
      <c r="BB42" s="1300">
        <f>'Segment Detail'!DD7</f>
        <v>0</v>
      </c>
      <c r="BC42" s="1300">
        <f>'Segment Detail'!DE7</f>
        <v>0</v>
      </c>
      <c r="BD42" s="1300">
        <f>'Segment Detail'!DF7</f>
        <v>0</v>
      </c>
      <c r="BE42" s="1300">
        <f>'Segment Detail'!DG7</f>
        <v>0</v>
      </c>
      <c r="BF42" s="1741">
        <f>G42-SUM(BB42:BE42)</f>
        <v>0</v>
      </c>
      <c r="BG42" s="1473">
        <f>'Segment Detail'!DI7</f>
        <v>0</v>
      </c>
      <c r="BH42" s="1473">
        <f>'Segment Detail'!DJ7</f>
        <v>0</v>
      </c>
      <c r="BI42" s="1473">
        <f>'Segment Detail'!DK7</f>
        <v>0</v>
      </c>
      <c r="BJ42" s="1473">
        <f>'Segment Detail'!DL7</f>
        <v>0</v>
      </c>
      <c r="BK42" s="1741">
        <f>H42-SUM(BG42:BJ42)</f>
        <v>0</v>
      </c>
      <c r="BL42" s="1473">
        <f>'Segment Detail'!DN7</f>
        <v>0</v>
      </c>
      <c r="BM42" s="1473">
        <f>'Segment Detail'!DO7</f>
        <v>0</v>
      </c>
      <c r="BN42" s="1473">
        <f>'Segment Detail'!DP7</f>
        <v>0</v>
      </c>
      <c r="BO42" s="1473">
        <f>'Segment Detail'!DQ7</f>
        <v>0</v>
      </c>
      <c r="BP42" s="1741">
        <f>I42-SUM(BL42:BO42)</f>
        <v>0</v>
      </c>
      <c r="BQ42" s="1473">
        <f>'Segment Detail'!DS7</f>
        <v>0</v>
      </c>
      <c r="BR42" s="1473">
        <f>'Segment Detail'!DT7</f>
        <v>0</v>
      </c>
      <c r="BS42" s="1473">
        <f>'Segment Detail'!DU7</f>
        <v>0</v>
      </c>
      <c r="BT42" s="1473">
        <f>'Segment Detail'!DV7</f>
        <v>0</v>
      </c>
      <c r="BU42" s="1741">
        <f>J42-SUM(BQ42:BT42)</f>
        <v>0</v>
      </c>
      <c r="BV42" s="1473">
        <f>'Segment Detail'!DX7</f>
        <v>0</v>
      </c>
      <c r="BW42" s="1473">
        <f>'Segment Detail'!DY7</f>
        <v>0</v>
      </c>
      <c r="BX42" s="1473">
        <f>'Segment Detail'!DZ7</f>
        <v>0</v>
      </c>
      <c r="BY42" s="1473">
        <f>'Segment Detail'!EA7</f>
        <v>0</v>
      </c>
      <c r="BZ42" s="1120">
        <f>K42-SUM(BV42:BY42)</f>
        <v>0</v>
      </c>
      <c r="CA42" s="1473">
        <f>'Segment Detail'!EC7</f>
        <v>0</v>
      </c>
      <c r="CB42" s="1473">
        <f>'Segment Detail'!ED7</f>
        <v>0</v>
      </c>
      <c r="CC42" s="1473">
        <f>'Segment Detail'!EE7</f>
        <v>0</v>
      </c>
      <c r="CD42" s="1473">
        <f>'Segment Detail'!EF7</f>
        <v>0</v>
      </c>
      <c r="CE42" s="1108"/>
      <c r="CF42" s="1473">
        <f>'Segment Detail'!EH7</f>
        <v>0</v>
      </c>
      <c r="CG42" s="1473">
        <f>'Segment Detail'!EI7</f>
        <v>0</v>
      </c>
      <c r="CH42" s="1473">
        <f>'Segment Detail'!EJ7</f>
        <v>0</v>
      </c>
      <c r="CI42" s="1473">
        <f>'Segment Detail'!EK7</f>
        <v>0</v>
      </c>
      <c r="CJ42" s="1108"/>
      <c r="CK42" s="1473">
        <f>'Segment Detail'!EM7</f>
        <v>0</v>
      </c>
      <c r="CL42" s="1473">
        <f>'Segment Detail'!EN7</f>
        <v>0</v>
      </c>
      <c r="CM42" s="1473">
        <f>'Segment Detail'!EO7</f>
        <v>0</v>
      </c>
      <c r="CN42" s="1473">
        <f>'Segment Detail'!EP7</f>
        <v>0</v>
      </c>
      <c r="CO42" s="1108"/>
      <c r="CP42" s="1473">
        <f>'Segment Detail'!ER7</f>
        <v>0</v>
      </c>
      <c r="CQ42" s="1473">
        <f>'Segment Detail'!ES7</f>
        <v>0</v>
      </c>
      <c r="CR42" s="1473">
        <f>'Segment Detail'!ET7</f>
        <v>0</v>
      </c>
      <c r="CS42" s="1473">
        <f>'Segment Detail'!EU7</f>
        <v>0</v>
      </c>
      <c r="CT42" s="1108"/>
      <c r="CU42" s="2862"/>
      <c r="CV42" s="2862"/>
      <c r="CW42" s="2862"/>
      <c r="CX42" s="2862"/>
      <c r="CY42" s="2862"/>
      <c r="CZ42" s="2862"/>
      <c r="DA42" s="2862"/>
      <c r="DB42" s="2862"/>
      <c r="DC42" s="2862"/>
      <c r="DD42" s="2835"/>
      <c r="DE42" s="2862"/>
      <c r="DF42" s="2862"/>
      <c r="DG42" s="2862"/>
      <c r="DH42" s="2862"/>
      <c r="DI42" s="2835"/>
      <c r="DJ42" s="1741"/>
      <c r="DK42" s="1473"/>
      <c r="DL42" s="1108"/>
      <c r="DM42" s="1108"/>
      <c r="DN42" s="1108"/>
      <c r="DO42" s="1108"/>
      <c r="DP42" s="1108"/>
      <c r="DQ42" s="1108"/>
      <c r="DR42" s="1477"/>
      <c r="DS42" s="1477"/>
      <c r="DT42" s="1477"/>
      <c r="DU42" s="1477"/>
      <c r="DV42" s="1477"/>
      <c r="DW42" s="1477"/>
    </row>
    <row r="43" spans="1:127" ht="11.25" hidden="1" customHeight="1" outlineLevel="1">
      <c r="A43" s="1834" t="s">
        <v>676</v>
      </c>
      <c r="B43" s="1781" t="s">
        <v>1455</v>
      </c>
      <c r="C43" s="1364">
        <f>C42/B42-1</f>
        <v>-9.1495672336593392E-3</v>
      </c>
      <c r="D43" s="1364">
        <f>D42/C42-1</f>
        <v>8.9776831758100251E-2</v>
      </c>
      <c r="E43" s="1364">
        <f>E42/D42-1</f>
        <v>4.9500000000000099E-3</v>
      </c>
      <c r="F43" s="1473" t="s">
        <v>1455</v>
      </c>
      <c r="G43" s="1473" t="s">
        <v>1455</v>
      </c>
      <c r="H43" s="1473" t="s">
        <v>1455</v>
      </c>
      <c r="I43" s="1473" t="s">
        <v>1455</v>
      </c>
      <c r="J43" s="1473" t="s">
        <v>1455</v>
      </c>
      <c r="K43" s="1473" t="s">
        <v>1455</v>
      </c>
      <c r="L43" s="1473" t="s">
        <v>1455</v>
      </c>
      <c r="M43" s="1473" t="s">
        <v>1455</v>
      </c>
      <c r="N43" s="1473" t="s">
        <v>1455</v>
      </c>
      <c r="O43" s="2715" t="str">
        <f>M43</f>
        <v>-</v>
      </c>
      <c r="P43" s="2715" t="str">
        <f>N43</f>
        <v>-</v>
      </c>
      <c r="Q43" s="1473" t="s">
        <v>1455</v>
      </c>
      <c r="R43" s="1473" t="s">
        <v>1455</v>
      </c>
      <c r="S43" s="2719" t="str">
        <f>R43</f>
        <v>-</v>
      </c>
      <c r="T43" s="1473" t="s">
        <v>1455</v>
      </c>
      <c r="U43" s="1473" t="s">
        <v>1455</v>
      </c>
      <c r="V43" s="1473" t="s">
        <v>1455</v>
      </c>
      <c r="W43" s="1473" t="s">
        <v>1455</v>
      </c>
      <c r="X43" s="1473" t="s">
        <v>1455</v>
      </c>
      <c r="Y43" s="1473" t="s">
        <v>1455</v>
      </c>
      <c r="Z43" s="1473" t="s">
        <v>1455</v>
      </c>
      <c r="AA43" s="1473" t="s">
        <v>1455</v>
      </c>
      <c r="AB43" s="1473" t="s">
        <v>1455</v>
      </c>
      <c r="AC43" s="1473" t="s">
        <v>1455</v>
      </c>
      <c r="AD43" s="1473" t="s">
        <v>1455</v>
      </c>
      <c r="AE43" s="1473" t="s">
        <v>1455</v>
      </c>
      <c r="AF43" s="105"/>
      <c r="AG43" s="105"/>
      <c r="AH43" s="105"/>
      <c r="AI43" s="105"/>
      <c r="AJ43" s="105"/>
      <c r="AK43" s="186"/>
      <c r="AL43" s="1298" t="str">
        <f>A43</f>
        <v>% Change</v>
      </c>
      <c r="AM43" s="1286" t="s">
        <v>1455</v>
      </c>
      <c r="AN43" s="1286" t="s">
        <v>1455</v>
      </c>
      <c r="AO43" s="1286" t="s">
        <v>1455</v>
      </c>
      <c r="AP43" s="1286" t="s">
        <v>1455</v>
      </c>
      <c r="AQ43" s="1287"/>
      <c r="AR43" s="1104">
        <f>AR42/AM42-1</f>
        <v>0</v>
      </c>
      <c r="AS43" s="1104">
        <f>AS42/AN42-1</f>
        <v>-3.3333333333333326E-2</v>
      </c>
      <c r="AT43" s="1104">
        <f>AT42/AO42-1</f>
        <v>3.5704576347983963E-2</v>
      </c>
      <c r="AU43" s="1104">
        <f>AU42/AP42-1</f>
        <v>-3.2296514784511121E-2</v>
      </c>
      <c r="AV43" s="1287"/>
      <c r="AW43" s="1104">
        <f>AW42/AR42-1</f>
        <v>-0.85639999999999927</v>
      </c>
      <c r="AX43" s="1104">
        <f>AX42/AS42-1</f>
        <v>-1.0096551724137932</v>
      </c>
      <c r="AY43" s="1286" t="s">
        <v>1455</v>
      </c>
      <c r="AZ43" s="1286" t="s">
        <v>1455</v>
      </c>
      <c r="BA43" s="1287"/>
      <c r="BB43" s="1286" t="s">
        <v>1455</v>
      </c>
      <c r="BC43" s="1286" t="s">
        <v>1455</v>
      </c>
      <c r="BD43" s="1286" t="s">
        <v>1455</v>
      </c>
      <c r="BE43" s="1286" t="s">
        <v>1455</v>
      </c>
      <c r="BF43" s="1811"/>
      <c r="BG43" s="1473" t="s">
        <v>1455</v>
      </c>
      <c r="BH43" s="1473" t="s">
        <v>1455</v>
      </c>
      <c r="BI43" s="1473" t="s">
        <v>1455</v>
      </c>
      <c r="BJ43" s="1473" t="s">
        <v>1455</v>
      </c>
      <c r="BK43" s="1811"/>
      <c r="BL43" s="1473" t="s">
        <v>1455</v>
      </c>
      <c r="BM43" s="1473" t="s">
        <v>1455</v>
      </c>
      <c r="BN43" s="1473" t="s">
        <v>1455</v>
      </c>
      <c r="BO43" s="1473" t="s">
        <v>1455</v>
      </c>
      <c r="BP43" s="1811"/>
      <c r="BQ43" s="1473" t="s">
        <v>1455</v>
      </c>
      <c r="BR43" s="1473" t="s">
        <v>1455</v>
      </c>
      <c r="BS43" s="1473" t="s">
        <v>1455</v>
      </c>
      <c r="BT43" s="1473" t="s">
        <v>1455</v>
      </c>
      <c r="BU43" s="1477"/>
      <c r="BV43" s="1473" t="s">
        <v>1455</v>
      </c>
      <c r="BW43" s="1473" t="s">
        <v>1455</v>
      </c>
      <c r="BX43" s="1473" t="s">
        <v>1455</v>
      </c>
      <c r="BY43" s="1473" t="s">
        <v>1455</v>
      </c>
      <c r="BZ43" s="186"/>
      <c r="CA43" s="1473" t="s">
        <v>1455</v>
      </c>
      <c r="CB43" s="1473" t="s">
        <v>1455</v>
      </c>
      <c r="CC43" s="1473" t="s">
        <v>1455</v>
      </c>
      <c r="CD43" s="1473" t="s">
        <v>1455</v>
      </c>
      <c r="CE43" s="1477"/>
      <c r="CF43" s="1473" t="s">
        <v>1455</v>
      </c>
      <c r="CG43" s="1473" t="s">
        <v>1455</v>
      </c>
      <c r="CH43" s="1473" t="s">
        <v>1455</v>
      </c>
      <c r="CI43" s="1473" t="s">
        <v>1455</v>
      </c>
      <c r="CJ43" s="1477"/>
      <c r="CK43" s="1473" t="s">
        <v>1455</v>
      </c>
      <c r="CL43" s="1473" t="s">
        <v>1455</v>
      </c>
      <c r="CM43" s="1473" t="s">
        <v>1455</v>
      </c>
      <c r="CN43" s="1473" t="s">
        <v>1455</v>
      </c>
      <c r="CO43" s="1477"/>
      <c r="CP43" s="1473" t="s">
        <v>1455</v>
      </c>
      <c r="CQ43" s="1473" t="s">
        <v>1455</v>
      </c>
      <c r="CR43" s="1473" t="s">
        <v>1455</v>
      </c>
      <c r="CS43" s="1473" t="s">
        <v>1455</v>
      </c>
      <c r="CT43" s="1477"/>
      <c r="CU43" s="2937"/>
      <c r="CV43" s="2937"/>
      <c r="CW43" s="2937"/>
      <c r="CX43" s="2937"/>
      <c r="CY43" s="2937"/>
      <c r="CZ43" s="2937"/>
      <c r="DA43" s="2937"/>
      <c r="DB43" s="2937"/>
      <c r="DC43" s="2937"/>
      <c r="DD43" s="2835"/>
      <c r="DE43" s="2937"/>
      <c r="DF43" s="2937"/>
      <c r="DG43" s="2937"/>
      <c r="DH43" s="2937"/>
      <c r="DI43" s="2835"/>
      <c r="DJ43" s="1741"/>
      <c r="DK43" s="1473"/>
      <c r="DL43" s="1108"/>
      <c r="DM43" s="1108"/>
      <c r="DN43" s="1108"/>
      <c r="DO43" s="1108"/>
      <c r="DP43" s="1108"/>
      <c r="DQ43" s="1108"/>
      <c r="DR43" s="1477"/>
      <c r="DS43" s="1477"/>
      <c r="DT43" s="1477"/>
      <c r="DU43" s="1477"/>
      <c r="DV43" s="1477"/>
      <c r="DW43" s="1477"/>
    </row>
    <row r="44" spans="1:127" ht="6" customHeight="1" collapsed="1">
      <c r="A44" s="1838"/>
      <c r="B44" s="1782"/>
      <c r="C44" s="1782"/>
      <c r="D44" s="1782"/>
      <c r="E44" s="1782"/>
      <c r="F44" s="1782"/>
      <c r="G44" s="1782"/>
      <c r="H44" s="1782"/>
      <c r="I44" s="1782"/>
      <c r="J44" s="1782"/>
      <c r="K44" s="1782"/>
      <c r="L44" s="1782"/>
      <c r="M44" s="1782"/>
      <c r="N44" s="1782"/>
      <c r="O44" s="2716"/>
      <c r="P44" s="2716"/>
      <c r="Q44" s="1782"/>
      <c r="R44" s="1782"/>
      <c r="S44" s="2716"/>
      <c r="T44" s="1782"/>
      <c r="U44" s="1782"/>
      <c r="V44" s="1782"/>
      <c r="W44" s="1782"/>
      <c r="X44" s="1782"/>
      <c r="Y44" s="1782"/>
      <c r="Z44" s="1782"/>
      <c r="AA44" s="1782"/>
      <c r="AB44" s="1782"/>
      <c r="AC44" s="1782"/>
      <c r="AD44" s="1782"/>
      <c r="AE44" s="1782"/>
      <c r="AF44" s="1577"/>
      <c r="AG44" s="1577"/>
      <c r="AH44" s="1577"/>
      <c r="AI44" s="1577"/>
      <c r="AJ44" s="1577"/>
      <c r="AK44" s="186"/>
      <c r="AL44" s="1302"/>
      <c r="AM44" s="1292"/>
      <c r="AN44" s="1292"/>
      <c r="AO44" s="1292"/>
      <c r="AP44" s="1292"/>
      <c r="AQ44" s="1287"/>
      <c r="AR44" s="1292"/>
      <c r="AS44" s="1292"/>
      <c r="AT44" s="1292"/>
      <c r="AU44" s="1292"/>
      <c r="AV44" s="1287"/>
      <c r="AW44" s="1292"/>
      <c r="AX44" s="1292"/>
      <c r="AY44" s="1292"/>
      <c r="AZ44" s="1292"/>
      <c r="BA44" s="1287"/>
      <c r="BB44" s="1292"/>
      <c r="BC44" s="1292"/>
      <c r="BD44" s="1292"/>
      <c r="BE44" s="1292"/>
      <c r="BF44" s="1811"/>
      <c r="BG44" s="1742"/>
      <c r="BH44" s="1742"/>
      <c r="BI44" s="1742"/>
      <c r="BJ44" s="1742"/>
      <c r="BK44" s="1811"/>
      <c r="BL44" s="1742"/>
      <c r="BM44" s="1742"/>
      <c r="BN44" s="1742"/>
      <c r="BO44" s="1742"/>
      <c r="BP44" s="1811"/>
      <c r="BQ44" s="1474"/>
      <c r="BR44" s="1474"/>
      <c r="BS44" s="1474"/>
      <c r="BT44" s="1474"/>
      <c r="BU44" s="1477"/>
      <c r="BV44" s="1474"/>
      <c r="BW44" s="1474"/>
      <c r="BX44" s="1474"/>
      <c r="BY44" s="1474"/>
      <c r="BZ44" s="186"/>
      <c r="CA44" s="1474"/>
      <c r="CB44" s="1474"/>
      <c r="CC44" s="1474"/>
      <c r="CD44" s="1474"/>
      <c r="CE44" s="1477"/>
      <c r="CF44" s="1474"/>
      <c r="CG44" s="1474"/>
      <c r="CH44" s="1474"/>
      <c r="CI44" s="1474"/>
      <c r="CJ44" s="1477"/>
      <c r="CK44" s="1474"/>
      <c r="CL44" s="1474"/>
      <c r="CM44" s="1474"/>
      <c r="CN44" s="1474"/>
      <c r="CO44" s="1477"/>
      <c r="CP44" s="1474"/>
      <c r="CQ44" s="1474"/>
      <c r="CR44" s="1474"/>
      <c r="CS44" s="1474"/>
      <c r="CT44" s="1477"/>
      <c r="CU44" s="3085"/>
      <c r="CV44" s="3085"/>
      <c r="CW44" s="3085"/>
      <c r="CX44" s="3085"/>
      <c r="CY44" s="2937"/>
      <c r="CZ44" s="3085"/>
      <c r="DA44" s="3085"/>
      <c r="DB44" s="3085"/>
      <c r="DC44" s="3085"/>
      <c r="DD44" s="2835"/>
      <c r="DE44" s="3085"/>
      <c r="DF44" s="3085"/>
      <c r="DG44" s="3085"/>
      <c r="DH44" s="3085"/>
      <c r="DI44" s="2835"/>
      <c r="DJ44" s="1741"/>
      <c r="DK44" s="1474"/>
      <c r="DL44" s="1108"/>
      <c r="DM44" s="1108"/>
      <c r="DN44" s="1108"/>
      <c r="DO44" s="1108"/>
      <c r="DP44" s="1108"/>
      <c r="DQ44" s="1108"/>
      <c r="DR44" s="1477"/>
      <c r="DS44" s="1477"/>
      <c r="DT44" s="1477"/>
      <c r="DU44" s="1477"/>
      <c r="DV44" s="1477"/>
      <c r="DW44" s="1477"/>
    </row>
    <row r="45" spans="1:127" ht="11.25" customHeight="1">
      <c r="A45" s="1839" t="s">
        <v>416</v>
      </c>
      <c r="B45" s="1475">
        <f>+B39+B36+B27+B42</f>
        <v>7766.511129999999</v>
      </c>
      <c r="C45" s="1475">
        <f t="shared" ref="C45:J45" si="53">+C39+C36+C27+C42</f>
        <v>8074.4384627500003</v>
      </c>
      <c r="D45" s="1475">
        <f t="shared" si="53"/>
        <v>8769.5513327424997</v>
      </c>
      <c r="E45" s="1475">
        <f t="shared" si="53"/>
        <v>8721.4280465376341</v>
      </c>
      <c r="F45" s="1475">
        <f t="shared" si="53"/>
        <v>8441.7544812741689</v>
      </c>
      <c r="G45" s="1475">
        <f t="shared" si="53"/>
        <v>8485.098048056474</v>
      </c>
      <c r="H45" s="1475">
        <f t="shared" si="53"/>
        <v>9001</v>
      </c>
      <c r="I45" s="1475">
        <f t="shared" si="53"/>
        <v>9117.4000000000015</v>
      </c>
      <c r="J45" s="1475">
        <f t="shared" si="53"/>
        <v>9656.5999999999985</v>
      </c>
      <c r="K45" s="1475">
        <f t="shared" ref="K45:P45" si="54">+K39+K36+K27+K42</f>
        <v>9865</v>
      </c>
      <c r="L45" s="1475">
        <f t="shared" si="54"/>
        <v>10256</v>
      </c>
      <c r="M45" s="1475">
        <f t="shared" si="54"/>
        <v>11523</v>
      </c>
      <c r="N45" s="1475">
        <f t="shared" si="54"/>
        <v>11263</v>
      </c>
      <c r="O45" s="2720">
        <f t="shared" si="54"/>
        <v>11523</v>
      </c>
      <c r="P45" s="2720">
        <f t="shared" si="54"/>
        <v>11263</v>
      </c>
      <c r="Q45" s="1475">
        <f>+Q39+Q36+Q27</f>
        <v>11460</v>
      </c>
      <c r="R45" s="1475">
        <f>+R39+R36+R27</f>
        <v>11804</v>
      </c>
      <c r="S45" s="2720">
        <f>R45</f>
        <v>11804</v>
      </c>
      <c r="T45" s="1475">
        <f>+T39+T36+T27</f>
        <v>12331.189834650122</v>
      </c>
      <c r="U45" s="1475">
        <f>+U39+U36+U27</f>
        <v>13087.439375095855</v>
      </c>
      <c r="V45" s="1475">
        <f t="shared" ref="V45:AB45" si="55">+V39+V36+V27</f>
        <v>14154.945298670911</v>
      </c>
      <c r="W45" s="1475">
        <f t="shared" si="55"/>
        <v>14371.967979590136</v>
      </c>
      <c r="X45" s="1475">
        <f t="shared" si="55"/>
        <v>15042.053517650626</v>
      </c>
      <c r="Y45" s="1475">
        <f t="shared" si="55"/>
        <v>16003.701673041051</v>
      </c>
      <c r="Z45" s="1475">
        <f t="shared" si="55"/>
        <v>16039.336251093817</v>
      </c>
      <c r="AA45" s="1475">
        <f t="shared" si="55"/>
        <v>16458.385207685282</v>
      </c>
      <c r="AB45" s="1475">
        <f t="shared" si="55"/>
        <v>17543.400177868072</v>
      </c>
      <c r="AC45" s="1475">
        <f>+AC39+AC36+AC27</f>
        <v>17338.309276230084</v>
      </c>
      <c r="AD45" s="1475">
        <f>+AD39+AD36+AD27</f>
        <v>17824.658168277372</v>
      </c>
      <c r="AE45" s="1475">
        <f>+AE39+AE36+AE27</f>
        <v>18903.097893858314</v>
      </c>
      <c r="AF45" s="105"/>
      <c r="AG45" s="105"/>
      <c r="AH45" s="105"/>
      <c r="AI45" s="105"/>
      <c r="AJ45" s="105"/>
      <c r="AK45" s="11"/>
      <c r="AL45" s="9" t="str">
        <f t="shared" si="36"/>
        <v>TOTAL CONTENT GROUP REVENUE</v>
      </c>
      <c r="AM45" s="1303">
        <f>+AM39+AM36+AM27+AM42</f>
        <v>2245.3687551904</v>
      </c>
      <c r="AN45" s="1303">
        <f>+AN39+AN36+AN27+AN42</f>
        <v>2152.2518860419473</v>
      </c>
      <c r="AO45" s="1303">
        <f>+AO39+AO36+AO27+AO42</f>
        <v>2203.954484288588</v>
      </c>
      <c r="AP45" s="1303">
        <f>+AP39+AP36+AP27+AP42</f>
        <v>2167.9762072215649</v>
      </c>
      <c r="AQ45" s="1120">
        <f>D45-SUM(AM45:AP45)</f>
        <v>0</v>
      </c>
      <c r="AR45" s="1303">
        <f>+AR39+AR36+AR27+AR42</f>
        <v>2164.2276432147996</v>
      </c>
      <c r="AS45" s="1303">
        <f>+AS39+AS36+AS27+AS42</f>
        <v>2155.0163294606887</v>
      </c>
      <c r="AT45" s="1303">
        <f>+AT39+AT36+AT27+AT42</f>
        <v>2147.3995900464356</v>
      </c>
      <c r="AU45" s="1303">
        <f>+AU39+AU36+AU27+AU42</f>
        <v>2254.7844838157089</v>
      </c>
      <c r="AV45" s="1120">
        <f>E45-SUM(AR45:AU45)</f>
        <v>0</v>
      </c>
      <c r="AW45" s="1303">
        <f>+AW39+AW36+AW27+AW42</f>
        <v>2288.2917253084265</v>
      </c>
      <c r="AX45" s="1303">
        <f>+AX39+AX36+AX27+AX42</f>
        <v>1966.9421631992072</v>
      </c>
      <c r="AY45" s="1303">
        <f>+AY39+AY36+AY27+AY42</f>
        <v>1893.7203889511211</v>
      </c>
      <c r="AZ45" s="1303">
        <f>+AZ39+AZ36+AZ27+AZ42</f>
        <v>2292.8002038154127</v>
      </c>
      <c r="BA45" s="1120">
        <f>F45-SUM(AW45:AZ45)</f>
        <v>0</v>
      </c>
      <c r="BB45" s="1303">
        <f>+BB39+BB36+BB27+BB42</f>
        <v>2364.6051165113818</v>
      </c>
      <c r="BC45" s="1303">
        <f>+BC39+BC36+BC27+BC42</f>
        <v>1925.887064969897</v>
      </c>
      <c r="BD45" s="1303">
        <f>+BD39+BD36+BD27+BD42</f>
        <v>1870.5487772825873</v>
      </c>
      <c r="BE45" s="1303">
        <f>+BE39+BE36+BE27+BE42</f>
        <v>2324.0570892926075</v>
      </c>
      <c r="BF45" s="1741">
        <f>G45-SUM(BB45:BE45)</f>
        <v>0</v>
      </c>
      <c r="BG45" s="2326">
        <v>2473</v>
      </c>
      <c r="BH45" s="2326">
        <v>2055</v>
      </c>
      <c r="BI45" s="2326">
        <v>2161.1999999999998</v>
      </c>
      <c r="BJ45" s="2326">
        <v>2311.8000000000002</v>
      </c>
      <c r="BK45" s="1741">
        <f>H45-SUM(BG45:BJ45)</f>
        <v>0</v>
      </c>
      <c r="BL45" s="2326">
        <v>2319.9</v>
      </c>
      <c r="BM45" s="2326">
        <v>2025.3</v>
      </c>
      <c r="BN45" s="2326">
        <v>2389.8000000000002</v>
      </c>
      <c r="BO45" s="2326">
        <v>2382.4</v>
      </c>
      <c r="BP45" s="1741">
        <f>I45-SUM(BL45:BO45)</f>
        <v>0</v>
      </c>
      <c r="BQ45" s="1475">
        <f>+BQ39+BQ36+BQ27+BQ42</f>
        <v>2601.1999999999998</v>
      </c>
      <c r="BR45" s="1475">
        <f>+BR39+BR36+BR27+BR42</f>
        <v>2230.1999999999998</v>
      </c>
      <c r="BS45" s="1475">
        <f>+BS39+BS36+BS27+BS42</f>
        <v>2204.6000000000004</v>
      </c>
      <c r="BT45" s="1475">
        <f>+BT39+BT36+BT27+BT42</f>
        <v>2620.6</v>
      </c>
      <c r="BU45" s="1741">
        <f>J45-SUM(BQ45:BT45)</f>
        <v>0</v>
      </c>
      <c r="BV45" s="1475">
        <f>+BV39+BV36+BV27+BV42</f>
        <v>2542</v>
      </c>
      <c r="BW45" s="1475">
        <f>+BW39+BW36+BW27+BW42</f>
        <v>2432</v>
      </c>
      <c r="BX45" s="1475">
        <f>+BX39+BX36+BX27+BX42</f>
        <v>2272</v>
      </c>
      <c r="BY45" s="1475">
        <f>+BY39+BY36+BY27+BY42</f>
        <v>2619</v>
      </c>
      <c r="BZ45" s="1120">
        <f>K45-SUM(BV45:BY45)</f>
        <v>0</v>
      </c>
      <c r="CA45" s="1475">
        <f>+CA39+CA36+CA27+CA42</f>
        <v>2946</v>
      </c>
      <c r="CB45" s="1475">
        <f>+CB39+CB36+CB27+CB42</f>
        <v>2342</v>
      </c>
      <c r="CC45" s="1475">
        <f>+CC39+CC36+CC27+CC42</f>
        <v>2326</v>
      </c>
      <c r="CD45" s="1475">
        <f>+CD39+CD36+CD27+CD42</f>
        <v>2642</v>
      </c>
      <c r="CE45" s="1741">
        <f>L45-SUM(CA45:CD45)</f>
        <v>0</v>
      </c>
      <c r="CF45" s="1475">
        <f>+CF39+CF36+CF27+CF42</f>
        <v>3188</v>
      </c>
      <c r="CG45" s="1475">
        <f>+CG39+CG36+CG27+CG42</f>
        <v>2715</v>
      </c>
      <c r="CH45" s="1475">
        <f>+CH39+CH36+CH27+CH42</f>
        <v>2704</v>
      </c>
      <c r="CI45" s="1475">
        <f>+CI39+CI36+CI27+CI42</f>
        <v>2916</v>
      </c>
      <c r="CJ45" s="1741">
        <f>M45-SUM(CF45:CI45)</f>
        <v>0</v>
      </c>
      <c r="CK45" s="1475">
        <f>+CK39+CK36+CK27+CK42</f>
        <v>2993</v>
      </c>
      <c r="CL45" s="1475">
        <f>+CL39+CL36+CL27+CL42</f>
        <v>2562</v>
      </c>
      <c r="CM45" s="1475">
        <f>+CM39+CM36+CM27+CM42</f>
        <v>2734</v>
      </c>
      <c r="CN45" s="1475">
        <f>+CN39+CN36+CN27+CN42</f>
        <v>2974</v>
      </c>
      <c r="CO45" s="1741">
        <f>$N45-SUM(CK45:CN45)</f>
        <v>0</v>
      </c>
      <c r="CP45" s="1475">
        <f>+CP39+CP36+CP27</f>
        <v>2945</v>
      </c>
      <c r="CQ45" s="1475">
        <f>+CQ39+CQ36+CQ27</f>
        <v>2599</v>
      </c>
      <c r="CR45" s="1475">
        <f>+CR39+CR36+CR27</f>
        <v>2661</v>
      </c>
      <c r="CS45" s="1475">
        <f>+CS39+CS36+CS27</f>
        <v>3255</v>
      </c>
      <c r="CT45" s="1741">
        <f>$Q45-SUM(CP45:CS45)</f>
        <v>0</v>
      </c>
      <c r="CU45" s="2991">
        <f>+CU39+CU36+CU27</f>
        <v>3257</v>
      </c>
      <c r="CV45" s="2991">
        <f>+CV39+CV36+CV27</f>
        <v>2670</v>
      </c>
      <c r="CW45" s="2991">
        <f>+CW39+CW36+CW27</f>
        <v>2773</v>
      </c>
      <c r="CX45" s="2991">
        <f>+CX39+CX36+CX27</f>
        <v>3104</v>
      </c>
      <c r="CY45" s="2835">
        <f>S45-SUM(CU45:CX45)</f>
        <v>0</v>
      </c>
      <c r="CZ45" s="2991">
        <f>+CZ39+CZ36+CZ27</f>
        <v>3051</v>
      </c>
      <c r="DA45" s="2991">
        <f>+DA39+DA36+DA27</f>
        <v>2961</v>
      </c>
      <c r="DB45" s="2991">
        <f>+DB39+DB36+DB27</f>
        <v>2883</v>
      </c>
      <c r="DC45" s="2991">
        <f>+DC39+DC36+DC27</f>
        <v>3436.1898346501234</v>
      </c>
      <c r="DD45" s="2835">
        <f>T45-SUM(CZ45:DC45)</f>
        <v>0</v>
      </c>
      <c r="DE45" s="2991">
        <f t="shared" ref="DE45:DH45" si="56">+DE39+DE36+DE27</f>
        <v>3270.820064754108</v>
      </c>
      <c r="DF45" s="2991">
        <f t="shared" si="56"/>
        <v>3181.5437022386941</v>
      </c>
      <c r="DG45" s="2991">
        <f t="shared" si="56"/>
        <v>2963.4457966928612</v>
      </c>
      <c r="DH45" s="2991">
        <f t="shared" si="56"/>
        <v>3671.6298114101928</v>
      </c>
      <c r="DI45" s="2835">
        <f t="shared" ref="DI45" si="57">U45-SUM(DE45:DH45)</f>
        <v>0</v>
      </c>
      <c r="DJ45" s="1741"/>
      <c r="DK45" s="1475"/>
      <c r="DL45" s="1108"/>
      <c r="DM45" s="1108"/>
      <c r="DN45" s="1108"/>
      <c r="DO45" s="1108"/>
      <c r="DP45" s="1108"/>
      <c r="DQ45" s="1108"/>
      <c r="DR45" s="1477"/>
      <c r="DS45" s="1477"/>
      <c r="DT45" s="1477"/>
      <c r="DU45" s="1477"/>
      <c r="DV45" s="1477"/>
      <c r="DW45" s="1477"/>
    </row>
    <row r="46" spans="1:127" ht="11.25" customHeight="1">
      <c r="A46" s="1838" t="s">
        <v>676</v>
      </c>
      <c r="B46" s="1825" t="s">
        <v>1455</v>
      </c>
      <c r="C46" s="1782">
        <f>C45/B45-1</f>
        <v>3.9648090062030406E-2</v>
      </c>
      <c r="D46" s="1782">
        <f t="shared" ref="D46:J46" si="58">D45/C45-1</f>
        <v>8.6088075746602044E-2</v>
      </c>
      <c r="E46" s="1782">
        <f t="shared" si="58"/>
        <v>-5.4875425639153708E-3</v>
      </c>
      <c r="F46" s="1782">
        <f t="shared" si="58"/>
        <v>-3.2067404990458459E-2</v>
      </c>
      <c r="G46" s="1782">
        <f t="shared" si="58"/>
        <v>5.1344263658048561E-3</v>
      </c>
      <c r="H46" s="1782">
        <f t="shared" si="58"/>
        <v>6.080094172414352E-2</v>
      </c>
      <c r="I46" s="1782">
        <f t="shared" si="58"/>
        <v>1.2931896455949499E-2</v>
      </c>
      <c r="J46" s="1782">
        <f t="shared" si="58"/>
        <v>5.9139667010331465E-2</v>
      </c>
      <c r="K46" s="1782">
        <f t="shared" ref="K46:W46" si="59">K45/J45-1</f>
        <v>2.1581094795269706E-2</v>
      </c>
      <c r="L46" s="1782">
        <f t="shared" si="59"/>
        <v>3.9635073492144013E-2</v>
      </c>
      <c r="M46" s="1782">
        <f t="shared" si="59"/>
        <v>0.12353744149765999</v>
      </c>
      <c r="N46" s="1782">
        <f t="shared" si="59"/>
        <v>-2.2563568515143628E-2</v>
      </c>
      <c r="O46" s="2716"/>
      <c r="P46" s="2716">
        <f t="shared" si="59"/>
        <v>-2.2563568515143628E-2</v>
      </c>
      <c r="Q46" s="1782">
        <f t="shared" si="59"/>
        <v>1.7490899405131932E-2</v>
      </c>
      <c r="R46" s="1782">
        <f t="shared" si="59"/>
        <v>3.0017452006980694E-2</v>
      </c>
      <c r="S46" s="2716"/>
      <c r="T46" s="1782">
        <f>T45/R45-1</f>
        <v>4.4661964982219748E-2</v>
      </c>
      <c r="U46" s="1782">
        <f>U45/T45-1</f>
        <v>6.1328188973354791E-2</v>
      </c>
      <c r="V46" s="1782">
        <f t="shared" si="59"/>
        <v>8.1567210588682215E-2</v>
      </c>
      <c r="W46" s="1782">
        <f t="shared" si="59"/>
        <v>1.5331933563855094E-2</v>
      </c>
      <c r="X46" s="1782">
        <f t="shared" ref="X46:AE46" si="60">X45/W45-1</f>
        <v>4.6624480308617988E-2</v>
      </c>
      <c r="Y46" s="1782">
        <f t="shared" si="60"/>
        <v>6.3930643130740705E-2</v>
      </c>
      <c r="Z46" s="1782">
        <f t="shared" si="60"/>
        <v>2.2266459835849073E-3</v>
      </c>
      <c r="AA46" s="1782">
        <f t="shared" si="60"/>
        <v>2.6126327800060078E-2</v>
      </c>
      <c r="AB46" s="1782">
        <f t="shared" si="60"/>
        <v>6.5924752428089928E-2</v>
      </c>
      <c r="AC46" s="1782">
        <f t="shared" si="60"/>
        <v>-1.1690487565615748E-2</v>
      </c>
      <c r="AD46" s="1782">
        <f t="shared" si="60"/>
        <v>2.8050537356260508E-2</v>
      </c>
      <c r="AE46" s="1782">
        <f t="shared" si="60"/>
        <v>6.0502687647623121E-2</v>
      </c>
      <c r="AF46" s="1577"/>
      <c r="AG46" s="1577"/>
      <c r="AH46" s="1577"/>
      <c r="AI46" s="1577"/>
      <c r="AJ46" s="1577"/>
      <c r="AK46" s="186"/>
      <c r="AL46" s="1302" t="str">
        <f t="shared" si="36"/>
        <v>% Change</v>
      </c>
      <c r="AM46" s="1292" t="s">
        <v>1455</v>
      </c>
      <c r="AN46" s="1292" t="s">
        <v>1455</v>
      </c>
      <c r="AO46" s="1292" t="s">
        <v>1455</v>
      </c>
      <c r="AP46" s="1292" t="s">
        <v>1455</v>
      </c>
      <c r="AQ46" s="1287"/>
      <c r="AR46" s="1289">
        <f>AR45/AM45-1</f>
        <v>-3.6137098544742119E-2</v>
      </c>
      <c r="AS46" s="1289">
        <f>AS45/AN45-1</f>
        <v>1.2844423260445215E-3</v>
      </c>
      <c r="AT46" s="1289">
        <f>AT45/AO45-1</f>
        <v>-2.5660645283429151E-2</v>
      </c>
      <c r="AU46" s="1289">
        <f>AU45/AP45-1</f>
        <v>4.0041157419064E-2</v>
      </c>
      <c r="AV46" s="1287"/>
      <c r="AW46" s="467">
        <f>AW45/AR45-1</f>
        <v>5.7324876374529099E-2</v>
      </c>
      <c r="AX46" s="467">
        <f>AX45/AS45-1</f>
        <v>-8.7272733709887307E-2</v>
      </c>
      <c r="AY46" s="467">
        <f>AY45/AT45-1</f>
        <v>-0.11813320737843158</v>
      </c>
      <c r="AZ46" s="467">
        <f>AZ45/AU45-1</f>
        <v>1.6860023772813593E-2</v>
      </c>
      <c r="BA46" s="1287"/>
      <c r="BB46" s="467">
        <f>BB45/AW45-1</f>
        <v>3.3349502757420213E-2</v>
      </c>
      <c r="BC46" s="467">
        <f>BC45/AX45-1</f>
        <v>-2.0872549786890904E-2</v>
      </c>
      <c r="BD46" s="467">
        <f>BD45/AY45-1</f>
        <v>-1.223602586935657E-2</v>
      </c>
      <c r="BE46" s="467">
        <f>BE45/AZ45-1</f>
        <v>1.3632625043028535E-2</v>
      </c>
      <c r="BF46" s="1811"/>
      <c r="BG46" s="1476">
        <f>BG45/BB45-1</f>
        <v>4.5840585699373992E-2</v>
      </c>
      <c r="BH46" s="1476">
        <f>BH45/BC45-1</f>
        <v>6.7040761308670538E-2</v>
      </c>
      <c r="BI46" s="1476">
        <f>BI45/BD45-1</f>
        <v>0.1553828621029878</v>
      </c>
      <c r="BJ46" s="1476">
        <f>BJ45/BE45-1</f>
        <v>-5.2740052510233948E-3</v>
      </c>
      <c r="BK46" s="1811"/>
      <c r="BL46" s="1476">
        <f>BL45/BG45-1</f>
        <v>-6.1908613020622671E-2</v>
      </c>
      <c r="BM46" s="1476">
        <f>BM45/BH45-1</f>
        <v>-1.4452554744525559E-2</v>
      </c>
      <c r="BN46" s="1476">
        <f>BN45/BI45-1</f>
        <v>0.10577456968350929</v>
      </c>
      <c r="BO46" s="1476">
        <f>BO45/BJ45-1</f>
        <v>3.0538973959685078E-2</v>
      </c>
      <c r="BP46" s="1811"/>
      <c r="BQ46" s="1476">
        <f>BQ45/BL45-1</f>
        <v>0.12125522651838438</v>
      </c>
      <c r="BR46" s="1476">
        <f>BR45/BM45-1</f>
        <v>0.10117019700785068</v>
      </c>
      <c r="BS46" s="1476">
        <f>BS45/BN45-1</f>
        <v>-7.7496024771947392E-2</v>
      </c>
      <c r="BT46" s="1476">
        <f>BT45/BO45-1</f>
        <v>9.9983210208193229E-2</v>
      </c>
      <c r="BU46" s="1477"/>
      <c r="BV46" s="1476">
        <f>BV45/BQ45-1</f>
        <v>-2.275872674150381E-2</v>
      </c>
      <c r="BW46" s="1476">
        <f>BW45/BR45-1</f>
        <v>9.0485158281768507E-2</v>
      </c>
      <c r="BX46" s="1476">
        <f>BX45/BS45-1</f>
        <v>3.0572439444797039E-2</v>
      </c>
      <c r="BY46" s="1476">
        <f>BY45/BT45-1</f>
        <v>-6.1054720293063358E-4</v>
      </c>
      <c r="BZ46" s="186"/>
      <c r="CA46" s="1476">
        <f>CA45/BV45-1</f>
        <v>0.15892997639653816</v>
      </c>
      <c r="CB46" s="1476">
        <f>CB45/BW45-1</f>
        <v>-3.7006578947368474E-2</v>
      </c>
      <c r="CC46" s="1476">
        <f>CC45/BX45-1</f>
        <v>2.3767605633802757E-2</v>
      </c>
      <c r="CD46" s="1476">
        <f>CD45/BY45-1</f>
        <v>8.7819778541426974E-3</v>
      </c>
      <c r="CE46" s="1477"/>
      <c r="CF46" s="1476">
        <f>CF45/CA45-1</f>
        <v>8.2145281737949771E-2</v>
      </c>
      <c r="CG46" s="1476">
        <f>CG45/CB45-1</f>
        <v>0.15926558497011101</v>
      </c>
      <c r="CH46" s="1476">
        <f>CH45/CC45-1</f>
        <v>0.16251074806534827</v>
      </c>
      <c r="CI46" s="1476">
        <f>CI45/CD45-1</f>
        <v>0.10370931112793347</v>
      </c>
      <c r="CJ46" s="1477"/>
      <c r="CK46" s="1476">
        <f>CK45/CF45-1</f>
        <v>-6.1166875784190666E-2</v>
      </c>
      <c r="CL46" s="1476">
        <f>CL45/CG45-1</f>
        <v>-5.6353591160220984E-2</v>
      </c>
      <c r="CM46" s="1476">
        <f>CM45/CH45-1</f>
        <v>1.1094674556213047E-2</v>
      </c>
      <c r="CN46" s="1476">
        <f>CN45/CI45-1</f>
        <v>1.9890260631001411E-2</v>
      </c>
      <c r="CO46" s="1477"/>
      <c r="CP46" s="2184">
        <f>CP45/CK45-1</f>
        <v>-1.6037420648179035E-2</v>
      </c>
      <c r="CQ46" s="2184">
        <f>CQ45/CL45-1</f>
        <v>1.4441842310694675E-2</v>
      </c>
      <c r="CR46" s="2184">
        <f>CR45/CM45-1</f>
        <v>-2.6700804681784929E-2</v>
      </c>
      <c r="CS46" s="1476">
        <f>CS45/CN45-1</f>
        <v>9.4485541358439784E-2</v>
      </c>
      <c r="CT46" s="1477"/>
      <c r="CU46" s="3095">
        <f>CU45/CP45-1</f>
        <v>0.1059422750424448</v>
      </c>
      <c r="CV46" s="3095">
        <f>CV45/CQ45-1</f>
        <v>2.731819930742585E-2</v>
      </c>
      <c r="CW46" s="3095">
        <f>CW45/CR45-1</f>
        <v>4.2089440060127714E-2</v>
      </c>
      <c r="CX46" s="3095">
        <f>CX45/CS45-1</f>
        <v>-4.6390168970814161E-2</v>
      </c>
      <c r="CY46" s="2937"/>
      <c r="CZ46" s="3095">
        <f>CZ45/CU45-1</f>
        <v>-6.3248388087196794E-2</v>
      </c>
      <c r="DA46" s="3095">
        <f>DA45/CV45-1</f>
        <v>0.10898876404494384</v>
      </c>
      <c r="DB46" s="3095">
        <f>DB45/CW45-1</f>
        <v>3.9668229354489659E-2</v>
      </c>
      <c r="DC46" s="3095">
        <f>DC45/CX45-1</f>
        <v>0.10701992095686963</v>
      </c>
      <c r="DD46" s="2835"/>
      <c r="DE46" s="3095">
        <f t="shared" ref="DE46:DH46" si="61">DE45/CZ45-1</f>
        <v>7.2048529909573222E-2</v>
      </c>
      <c r="DF46" s="3095">
        <f t="shared" si="61"/>
        <v>7.4482844389967662E-2</v>
      </c>
      <c r="DG46" s="3095">
        <f t="shared" si="61"/>
        <v>2.7903502148061365E-2</v>
      </c>
      <c r="DH46" s="3095">
        <f t="shared" si="61"/>
        <v>6.8517744388252755E-2</v>
      </c>
      <c r="DI46" s="1741"/>
      <c r="DJ46" s="186"/>
      <c r="DK46" s="467"/>
      <c r="DL46" s="1108"/>
      <c r="DM46" s="1108"/>
      <c r="DN46" s="1108"/>
      <c r="DO46" s="1108"/>
      <c r="DP46" s="1108"/>
      <c r="DQ46" s="1108"/>
      <c r="DR46" s="186"/>
      <c r="DS46" s="186"/>
      <c r="DT46" s="186"/>
      <c r="DU46" s="186"/>
      <c r="DV46" s="186"/>
      <c r="DW46" s="186"/>
    </row>
    <row r="47" spans="1:127" ht="11.25" customHeight="1">
      <c r="A47" s="1838"/>
      <c r="B47" s="1781"/>
      <c r="C47" s="1364"/>
      <c r="D47" s="1364"/>
      <c r="E47" s="1364"/>
      <c r="F47" s="1364"/>
      <c r="G47" s="1364"/>
      <c r="H47" s="1364"/>
      <c r="I47" s="1364"/>
      <c r="J47" s="1364"/>
      <c r="K47" s="1364"/>
      <c r="L47" s="1110"/>
      <c r="M47" s="1482"/>
      <c r="N47" s="1110"/>
      <c r="O47" s="2705"/>
      <c r="P47" s="2720"/>
      <c r="Q47" s="1475"/>
      <c r="R47" s="1475"/>
      <c r="S47" s="2720"/>
      <c r="T47" s="1475"/>
      <c r="U47" s="1475"/>
      <c r="V47" s="1475"/>
      <c r="W47" s="1475"/>
      <c r="X47" s="1475"/>
      <c r="Y47" s="1475"/>
      <c r="Z47" s="1475"/>
      <c r="AA47" s="1475"/>
      <c r="AB47" s="1475"/>
      <c r="AC47" s="1475"/>
      <c r="AD47" s="105"/>
      <c r="AE47" s="1577"/>
      <c r="AF47" s="105"/>
      <c r="AG47" s="105"/>
      <c r="AH47" s="105"/>
      <c r="AI47" s="105"/>
      <c r="AJ47" s="105"/>
      <c r="AK47" s="186"/>
      <c r="AL47" s="1302"/>
      <c r="AM47" s="1286"/>
      <c r="AN47" s="1286"/>
      <c r="AO47" s="1286"/>
      <c r="AP47" s="1286"/>
      <c r="AQ47" s="1287"/>
      <c r="AR47" s="1104"/>
      <c r="AS47" s="1104"/>
      <c r="AT47" s="1104"/>
      <c r="AU47" s="1104"/>
      <c r="AV47" s="1287"/>
      <c r="AW47" s="467"/>
      <c r="AX47" s="467"/>
      <c r="AY47" s="467"/>
      <c r="AZ47" s="467"/>
      <c r="BA47" s="1287"/>
      <c r="BB47" s="1287"/>
      <c r="BC47" s="1287"/>
      <c r="BD47" s="1287"/>
      <c r="BE47" s="1287"/>
      <c r="BF47" s="1811"/>
      <c r="BG47" s="1364"/>
      <c r="BH47" s="1364"/>
      <c r="BI47" s="1364"/>
      <c r="BJ47" s="1364"/>
      <c r="BK47" s="1811"/>
      <c r="BL47" s="1364"/>
      <c r="BM47" s="1364"/>
      <c r="BN47" s="1364"/>
      <c r="BO47" s="1364"/>
      <c r="BP47" s="1811"/>
      <c r="BQ47" s="1718"/>
      <c r="BR47" s="1477"/>
      <c r="BS47" s="1477"/>
      <c r="BT47" s="1477"/>
      <c r="BU47" s="1477"/>
      <c r="BV47" s="1717"/>
      <c r="BW47" s="1717"/>
      <c r="BX47" s="1717"/>
      <c r="BY47" s="1717"/>
      <c r="BZ47" s="1717"/>
      <c r="CA47" s="1717"/>
      <c r="CB47" s="1717"/>
      <c r="CC47" s="1717"/>
      <c r="CD47" s="1717"/>
      <c r="CE47" s="1717"/>
      <c r="CF47" s="1717"/>
      <c r="CG47" s="1717"/>
      <c r="CH47" s="1717"/>
      <c r="CI47" s="1717"/>
      <c r="CJ47" s="1717"/>
      <c r="CK47" s="2329"/>
      <c r="CL47" s="2329"/>
      <c r="CM47" s="2329"/>
      <c r="CN47" s="1717"/>
      <c r="CO47" s="1717"/>
      <c r="CP47" s="1717"/>
      <c r="CQ47" s="1717"/>
      <c r="CR47" s="1717"/>
      <c r="CS47" s="1717"/>
      <c r="CT47" s="1717"/>
      <c r="CU47" s="3096"/>
      <c r="CV47" s="3096"/>
      <c r="CW47" s="3096"/>
      <c r="CX47" s="3096"/>
      <c r="CY47" s="3096"/>
      <c r="CZ47" s="3096"/>
      <c r="DA47" s="3096"/>
      <c r="DB47" s="3096"/>
      <c r="DC47" s="3096"/>
      <c r="DD47" s="2835"/>
      <c r="DE47" s="2835"/>
      <c r="DF47" s="2835"/>
      <c r="DG47" s="2835"/>
      <c r="DH47" s="2835"/>
      <c r="DI47" s="1741"/>
      <c r="DJ47" s="185"/>
      <c r="DK47" s="186"/>
      <c r="DL47" s="1108"/>
      <c r="DM47" s="1108"/>
      <c r="DN47" s="1108"/>
      <c r="DO47" s="1108"/>
      <c r="DP47" s="1108"/>
      <c r="DQ47" s="1108"/>
      <c r="DR47" s="186"/>
      <c r="DS47" s="186"/>
      <c r="DT47" s="186"/>
      <c r="DU47" s="186"/>
      <c r="DV47" s="186"/>
      <c r="DW47" s="186"/>
    </row>
    <row r="48" spans="1:127" ht="11.25" customHeight="1">
      <c r="A48" s="1822" t="s">
        <v>678</v>
      </c>
      <c r="B48" s="1110"/>
      <c r="C48" s="1110"/>
      <c r="D48" s="1110"/>
      <c r="E48" s="1110"/>
      <c r="F48" s="1110"/>
      <c r="G48" s="1110"/>
      <c r="H48" s="1110"/>
      <c r="I48" s="1110"/>
      <c r="J48" s="1110"/>
      <c r="K48" s="1110"/>
      <c r="L48" s="1110"/>
      <c r="M48" s="1110"/>
      <c r="N48" s="1110"/>
      <c r="O48" s="2705"/>
      <c r="P48" s="2705"/>
      <c r="Q48" s="1110"/>
      <c r="R48" s="1110"/>
      <c r="S48" s="2705"/>
      <c r="T48" s="1110"/>
      <c r="U48" s="1110"/>
      <c r="V48" s="1110"/>
      <c r="W48" s="1110"/>
      <c r="X48" s="1110"/>
      <c r="Y48" s="1110"/>
      <c r="Z48" s="1110"/>
      <c r="AA48" s="1110"/>
      <c r="AB48" s="1110"/>
      <c r="AC48" s="1110"/>
      <c r="AD48" s="105"/>
      <c r="AE48" s="1577"/>
      <c r="AF48" s="39"/>
      <c r="AG48" s="39"/>
      <c r="AH48" s="39"/>
      <c r="AI48" s="39"/>
      <c r="AJ48" s="39"/>
      <c r="AK48" s="11"/>
      <c r="AL48" s="9" t="str">
        <f t="shared" si="36"/>
        <v>EBITDA</v>
      </c>
      <c r="AM48" s="39"/>
      <c r="AN48" s="39"/>
      <c r="AO48" s="39"/>
      <c r="AP48" s="39"/>
      <c r="AQ48" s="1120"/>
      <c r="AR48" s="39"/>
      <c r="AS48" s="39"/>
      <c r="AT48" s="39"/>
      <c r="AU48" s="39"/>
      <c r="AV48" s="1120"/>
      <c r="AW48" s="39"/>
      <c r="AX48" s="39"/>
      <c r="AY48" s="39"/>
      <c r="AZ48" s="39"/>
      <c r="BA48" s="1120"/>
      <c r="BB48" s="39"/>
      <c r="BC48" s="39"/>
      <c r="BD48" s="39"/>
      <c r="BE48" s="39"/>
      <c r="BF48" s="1741"/>
      <c r="BG48" s="1110"/>
      <c r="BH48" s="1110"/>
      <c r="BI48" s="1110"/>
      <c r="BJ48" s="1110"/>
      <c r="BK48" s="1741"/>
      <c r="BL48" s="1110"/>
      <c r="BM48" s="1110"/>
      <c r="BN48" s="1110"/>
      <c r="BO48" s="1110"/>
      <c r="BP48" s="1741"/>
      <c r="BQ48" s="1108"/>
      <c r="BR48" s="1108"/>
      <c r="BS48" s="1108"/>
      <c r="BT48" s="1108"/>
      <c r="BU48" s="1108"/>
      <c r="BV48" s="1108"/>
      <c r="BW48" s="1108"/>
      <c r="BX48" s="1108"/>
      <c r="BY48" s="1108"/>
      <c r="BZ48" s="1108"/>
      <c r="CA48" s="1717"/>
      <c r="CB48" s="1717"/>
      <c r="CC48" s="1717"/>
      <c r="CD48" s="1717"/>
      <c r="CE48" s="1110"/>
      <c r="CF48" s="1717"/>
      <c r="CG48" s="1717"/>
      <c r="CH48" s="1717"/>
      <c r="CI48" s="1717"/>
      <c r="CJ48" s="1110"/>
      <c r="CK48" s="1717"/>
      <c r="CL48" s="1717"/>
      <c r="CM48" s="1717"/>
      <c r="CN48" s="1717"/>
      <c r="CO48" s="1110"/>
      <c r="CP48" s="1717"/>
      <c r="CQ48" s="1717"/>
      <c r="CR48" s="1717"/>
      <c r="CS48" s="1717"/>
      <c r="CT48" s="1110"/>
      <c r="CU48" s="2952"/>
      <c r="CV48" s="2952"/>
      <c r="CW48" s="2952"/>
      <c r="CX48" s="2952"/>
      <c r="CY48" s="2802"/>
      <c r="CZ48" s="2802"/>
      <c r="DA48" s="2802"/>
      <c r="DB48" s="2802"/>
      <c r="DC48" s="2802"/>
      <c r="DD48" s="2835"/>
      <c r="DE48" s="2835"/>
      <c r="DF48" s="2835"/>
      <c r="DG48" s="2835"/>
      <c r="DH48" s="2835"/>
      <c r="DI48" s="1741"/>
      <c r="DJ48" s="39"/>
      <c r="DK48" s="11"/>
      <c r="DL48" s="1108"/>
      <c r="DM48" s="1108"/>
      <c r="DN48" s="1108"/>
      <c r="DO48" s="1108"/>
      <c r="DP48" s="1108"/>
      <c r="DQ48" s="1108"/>
      <c r="DR48" s="186"/>
      <c r="DS48" s="186"/>
      <c r="DT48" s="186"/>
      <c r="DU48" s="186"/>
      <c r="DV48" s="186"/>
      <c r="DW48" s="186"/>
    </row>
    <row r="49" spans="1:127" ht="11.25" hidden="1" customHeight="1" outlineLevel="1">
      <c r="A49" s="1823" t="s">
        <v>706</v>
      </c>
      <c r="B49" s="1105">
        <f>'Segment Detail'!Y113</f>
        <v>308.95987930356449</v>
      </c>
      <c r="C49" s="1105">
        <f>'Segment Detail'!Z113</f>
        <v>512.66356084176778</v>
      </c>
      <c r="D49" s="1105">
        <f>'Segment Detail'!AA113</f>
        <v>423.63819981996971</v>
      </c>
      <c r="E49" s="1105">
        <f>'Segment Detail'!AB113</f>
        <v>395.31906754648992</v>
      </c>
      <c r="F49" s="1105">
        <f>'Segment Detail'!AC113</f>
        <v>401.73898738906161</v>
      </c>
      <c r="G49" s="1740">
        <f>'Segment Detail'!AD113</f>
        <v>456.64742313755028</v>
      </c>
      <c r="H49" s="1740">
        <f>'Segment Detail'!AE113</f>
        <v>198.90165783132676</v>
      </c>
      <c r="I49" s="1740">
        <f>'Segment Detail'!AF113</f>
        <v>30.114225020536296</v>
      </c>
      <c r="J49" s="1740">
        <f>'Segment Detail'!AG113</f>
        <v>182.08407635205407</v>
      </c>
      <c r="K49" s="1740">
        <f>'Segment Detail'!AH113</f>
        <v>598.38836646660877</v>
      </c>
      <c r="L49" s="1740">
        <f>'Segment Detail'!AI113</f>
        <v>374.0472761089049</v>
      </c>
      <c r="M49" s="1780">
        <f>SUM(CF49:CI49)</f>
        <v>553.47493661637714</v>
      </c>
      <c r="N49" s="1780">
        <f>SUM(CK49:CN49)</f>
        <v>287.28743914900048</v>
      </c>
      <c r="O49" s="2710">
        <f>M49</f>
        <v>553.47493661637714</v>
      </c>
      <c r="P49" s="2710">
        <f>N49</f>
        <v>287.28743914900048</v>
      </c>
      <c r="Q49" s="1780">
        <f>SUM(CP49:CS49)</f>
        <v>334.24855144778314</v>
      </c>
      <c r="R49" s="1780">
        <f>SUM(CU49:CX49)</f>
        <v>576.55054226253264</v>
      </c>
      <c r="S49" s="2710">
        <f>R49</f>
        <v>576.55054226253264</v>
      </c>
      <c r="T49" s="1780">
        <f>SUM(CZ49:DC49)</f>
        <v>574.05729983471667</v>
      </c>
      <c r="U49" s="2890">
        <f>SUM(DE49:DH49)</f>
        <v>589.66937121918886</v>
      </c>
      <c r="V49" s="1740">
        <f>'Segment Detail'!AP113</f>
        <v>676.22691593801301</v>
      </c>
      <c r="W49" s="1740">
        <f>'Segment Detail'!AQ113</f>
        <v>738.00136905085594</v>
      </c>
      <c r="X49" s="1740">
        <f>'Segment Detail'!AR113</f>
        <v>824.33599257280866</v>
      </c>
      <c r="Y49" s="1740">
        <f>'Segment Detail'!AS113</f>
        <v>854.54674295481459</v>
      </c>
      <c r="Z49" s="1740">
        <f>'Segment Detail'!AT113</f>
        <v>712.55071153684071</v>
      </c>
      <c r="AA49" s="1740">
        <f>'Segment Detail'!AU113</f>
        <v>613.41145555873004</v>
      </c>
      <c r="AB49" s="1740">
        <f>'Segment Detail'!AV113</f>
        <v>638.66510921232214</v>
      </c>
      <c r="AC49" s="1740">
        <f>'Segment Detail'!AW113</f>
        <v>457.29356523796645</v>
      </c>
      <c r="AD49" s="1740">
        <f>'Segment Detail'!AX113</f>
        <v>417.46576137970226</v>
      </c>
      <c r="AE49" s="1740">
        <f>'Segment Detail'!AY113</f>
        <v>355.28717804672732</v>
      </c>
      <c r="AF49" s="1283"/>
      <c r="AG49" s="1283"/>
      <c r="AH49" s="1283"/>
      <c r="AI49" s="1283"/>
      <c r="AJ49" s="1283"/>
      <c r="AK49" s="350"/>
      <c r="AL49" s="1282" t="str">
        <f t="shared" si="36"/>
        <v xml:space="preserve">CBS Network </v>
      </c>
      <c r="AM49" s="105">
        <f>'Segment Detail'!CO113</f>
        <v>53.885040216</v>
      </c>
      <c r="AN49" s="105">
        <f>'Segment Detail'!CP113</f>
        <v>121.84471547273701</v>
      </c>
      <c r="AO49" s="105">
        <f>'Segment Detail'!CQ113</f>
        <v>64.136884106880004</v>
      </c>
      <c r="AP49" s="105">
        <f>'Segment Detail'!CR113</f>
        <v>183.77156002435271</v>
      </c>
      <c r="AQ49" s="1120">
        <f>D49-SUM(AM49:AP49)</f>
        <v>0</v>
      </c>
      <c r="AR49" s="105">
        <f>'Segment Detail'!CT113</f>
        <v>74.120064345599999</v>
      </c>
      <c r="AS49" s="105">
        <f>'Segment Detail'!CU113</f>
        <v>150.51883851398776</v>
      </c>
      <c r="AT49" s="105">
        <f>'Segment Detail'!CV113</f>
        <v>83.755225127808004</v>
      </c>
      <c r="AU49" s="105">
        <f>'Segment Detail'!CW113</f>
        <v>86.924939559094184</v>
      </c>
      <c r="AV49" s="1120">
        <f>E49-SUM(AR49:AU49)</f>
        <v>0</v>
      </c>
      <c r="AW49" s="105">
        <f>'Segment Detail'!CY113</f>
        <v>75.157745246438395</v>
      </c>
      <c r="AX49" s="105">
        <f>'Segment Detail'!CZ113</f>
        <v>116.28318112649251</v>
      </c>
      <c r="AY49" s="105">
        <f>'Segment Detail'!DA113</f>
        <v>85.011553504725114</v>
      </c>
      <c r="AZ49" s="105">
        <f>'Segment Detail'!DB113</f>
        <v>125.2865075114056</v>
      </c>
      <c r="BA49" s="1120">
        <f>F49-SUM(AW49:AZ49)</f>
        <v>0</v>
      </c>
      <c r="BB49" s="105">
        <f>'Segment Detail'!DD113</f>
        <v>84.678801615277436</v>
      </c>
      <c r="BC49" s="105">
        <f>'Segment Detail'!DE113</f>
        <v>107.88318112649252</v>
      </c>
      <c r="BD49" s="105">
        <f>'Segment Detail'!DF113</f>
        <v>104.05414148978352</v>
      </c>
      <c r="BE49" s="105">
        <f>'Segment Detail'!DG113</f>
        <v>160.03129890599678</v>
      </c>
      <c r="BF49" s="1741">
        <f>G49-SUM(BB49:BE49)</f>
        <v>0</v>
      </c>
      <c r="BG49" s="1105">
        <f>'Segment Detail'!DI113</f>
        <v>35.792612791485951</v>
      </c>
      <c r="BH49" s="1105">
        <f>'Segment Detail'!DJ113</f>
        <v>113.27734018281714</v>
      </c>
      <c r="BI49" s="1105">
        <f>'Segment Detail'!DK113</f>
        <v>22.631775774027915</v>
      </c>
      <c r="BJ49" s="1105">
        <f>'Segment Detail'!DL113</f>
        <v>27.199929082995766</v>
      </c>
      <c r="BK49" s="1741">
        <f>H49-SUM(BG49:BJ49)</f>
        <v>0</v>
      </c>
      <c r="BL49" s="1105">
        <f>'Segment Detail'!DN113</f>
        <v>-43.619264121890872</v>
      </c>
      <c r="BM49" s="1105">
        <f>'Segment Detail'!DO113</f>
        <v>0</v>
      </c>
      <c r="BN49" s="1105">
        <f>'Segment Detail'!DP113</f>
        <v>33.947663661041872</v>
      </c>
      <c r="BO49" s="1105">
        <f>'Segment Detail'!DQ113</f>
        <v>39.785825481385295</v>
      </c>
      <c r="BP49" s="1741">
        <f>I49-SUM(BL49:BO49)</f>
        <v>0</v>
      </c>
      <c r="BQ49" s="1105">
        <f>BQ8*BQ51</f>
        <v>27.262040076181798</v>
      </c>
      <c r="BR49" s="1105">
        <f>BR8*BR51</f>
        <v>33.70886894090318</v>
      </c>
      <c r="BS49" s="1105">
        <f>BS8*BS51</f>
        <v>56.504000182489712</v>
      </c>
      <c r="BT49" s="1636">
        <f>J49-SUM(BQ49:BS49)</f>
        <v>64.609167152479387</v>
      </c>
      <c r="BU49" s="1741">
        <f>J49-SUM(BQ49:BT49)</f>
        <v>0</v>
      </c>
      <c r="BV49" s="1105">
        <f>BV8*BV51</f>
        <v>119.13511513291446</v>
      </c>
      <c r="BW49" s="1105">
        <f>BW8*BW51</f>
        <v>138.8805400365211</v>
      </c>
      <c r="BX49" s="1105">
        <f>BX8*BX51</f>
        <v>154.90168050028251</v>
      </c>
      <c r="BY49" s="1636">
        <f>K49-SUM(BV49:BX49)</f>
        <v>185.47103079689072</v>
      </c>
      <c r="BZ49" s="1741">
        <f>K49-SUM(BV49:BY49)</f>
        <v>0</v>
      </c>
      <c r="CA49" s="1105">
        <f>CA8*CA51</f>
        <v>90.417282116664566</v>
      </c>
      <c r="CB49" s="1105">
        <f>CB8*CB51</f>
        <v>89.280347166334991</v>
      </c>
      <c r="CC49" s="1105">
        <f>CC8*CC51</f>
        <v>69.298120223810585</v>
      </c>
      <c r="CD49" s="1796">
        <f>L49-SUM(CA49:CC49)</f>
        <v>125.05152660209473</v>
      </c>
      <c r="CE49" s="1741">
        <f>L49-SUM(CA49:CD49)</f>
        <v>0</v>
      </c>
      <c r="CF49" s="1105">
        <f>CF8*CF51</f>
        <v>127.90816230861012</v>
      </c>
      <c r="CG49" s="1105">
        <f>CG8*CG51</f>
        <v>101.77959576962191</v>
      </c>
      <c r="CH49" s="1105">
        <f>CH8*CH51</f>
        <v>136.65589308135449</v>
      </c>
      <c r="CI49" s="1105">
        <f>CI8*CI51</f>
        <v>187.13128545679064</v>
      </c>
      <c r="CJ49" s="1741">
        <f>M49-SUM(CF49:CI49)</f>
        <v>0</v>
      </c>
      <c r="CK49" s="1105">
        <f>CK8*CK51</f>
        <v>122.6413556253144</v>
      </c>
      <c r="CL49" s="1105">
        <f>CL8*CL51</f>
        <v>72.517961985855607</v>
      </c>
      <c r="CM49" s="1105">
        <f>CM8*CM51</f>
        <v>40.594838827108248</v>
      </c>
      <c r="CN49" s="1105">
        <f>CN8*CN51</f>
        <v>51.533282710722183</v>
      </c>
      <c r="CO49" s="1741">
        <f>$N49-SUM(CK49:CN49)</f>
        <v>0</v>
      </c>
      <c r="CP49" s="1105">
        <f>CP8*CP51</f>
        <v>73.658398188563808</v>
      </c>
      <c r="CQ49" s="1105">
        <f>CQ8*CQ51</f>
        <v>30.370522479676325</v>
      </c>
      <c r="CR49" s="1105">
        <f>CR8*CR51</f>
        <v>77.027894777661345</v>
      </c>
      <c r="CS49" s="1105">
        <f>CS8*CS51</f>
        <v>153.19173600188168</v>
      </c>
      <c r="CT49" s="1741">
        <f>$Q49-SUM(CP49:CS49)</f>
        <v>0</v>
      </c>
      <c r="CU49" s="2804">
        <f>CU8*CU51</f>
        <v>269.43137181403813</v>
      </c>
      <c r="CV49" s="2804">
        <f>CV8*CV51</f>
        <v>77.28629819583071</v>
      </c>
      <c r="CW49" s="2804">
        <f>CW8*CW51</f>
        <v>81.51541875993297</v>
      </c>
      <c r="CX49" s="2804">
        <f>CX8*CX51</f>
        <v>148.31745349273089</v>
      </c>
      <c r="CY49" s="2835">
        <f>S49-SUM(CU49:CX49)</f>
        <v>0</v>
      </c>
      <c r="CZ49" s="2804">
        <f>CZ8*CZ51</f>
        <v>228.83796156062718</v>
      </c>
      <c r="DA49" s="2804">
        <f>DA8*DA51</f>
        <v>89.66598633395553</v>
      </c>
      <c r="DB49" s="2804">
        <f>DB8*DB51</f>
        <v>141.28614670221626</v>
      </c>
      <c r="DC49" s="2952">
        <f>'CBS Network'!BS42</f>
        <v>114.26720523791762</v>
      </c>
      <c r="DD49" s="2835">
        <f>T49-SUM(CZ49:DC49)</f>
        <v>0</v>
      </c>
      <c r="DE49" s="2952">
        <f>'CBS Network'!BU42</f>
        <v>218.8129853481185</v>
      </c>
      <c r="DF49" s="2952">
        <f>'CBS Network'!BV42</f>
        <v>99.880094223960157</v>
      </c>
      <c r="DG49" s="2952">
        <f>'CBS Network'!BW42</f>
        <v>167.03172511573834</v>
      </c>
      <c r="DH49" s="2952">
        <f>'CBS Network'!BX42</f>
        <v>103.94456653137189</v>
      </c>
      <c r="DI49" s="2835">
        <f t="shared" ref="DI49" si="62">U49-SUM(DE49:DH49)</f>
        <v>0</v>
      </c>
      <c r="DJ49" s="1120"/>
      <c r="DK49" s="105"/>
      <c r="DL49" s="1108"/>
      <c r="DM49" s="1108"/>
      <c r="DN49" s="1108"/>
      <c r="DO49" s="1108"/>
      <c r="DP49" s="1108"/>
      <c r="DQ49" s="1108"/>
      <c r="DR49" s="186"/>
      <c r="DS49" s="186"/>
      <c r="DT49" s="186"/>
      <c r="DU49" s="186"/>
      <c r="DV49" s="186"/>
      <c r="DW49" s="186"/>
    </row>
    <row r="50" spans="1:127" ht="11.25" hidden="1" customHeight="1" outlineLevel="1">
      <c r="A50" s="1824" t="s">
        <v>344</v>
      </c>
      <c r="B50" s="1364">
        <f>'Segment Detail'!Y114</f>
        <v>0.19197484299214707</v>
      </c>
      <c r="C50" s="1364">
        <f t="shared" ref="C50:J50" si="63">C49/B49-1</f>
        <v>0.6593208218406148</v>
      </c>
      <c r="D50" s="1364">
        <f t="shared" si="63"/>
        <v>-0.17365260147536699</v>
      </c>
      <c r="E50" s="1364">
        <f t="shared" si="63"/>
        <v>-6.6847447386742642E-2</v>
      </c>
      <c r="F50" s="1364">
        <f t="shared" si="63"/>
        <v>1.6239843634197282E-2</v>
      </c>
      <c r="G50" s="1364">
        <f t="shared" si="63"/>
        <v>0.13667689089710611</v>
      </c>
      <c r="H50" s="1364">
        <f t="shared" si="63"/>
        <v>-0.56443056994670904</v>
      </c>
      <c r="I50" s="1364">
        <f t="shared" si="63"/>
        <v>-0.84859741568331293</v>
      </c>
      <c r="J50" s="1364">
        <f t="shared" si="63"/>
        <v>5.0464473592756391</v>
      </c>
      <c r="K50" s="1364">
        <f t="shared" ref="K50:W50" si="64">K49/J49-1</f>
        <v>2.2863300210263469</v>
      </c>
      <c r="L50" s="1364">
        <f t="shared" si="64"/>
        <v>-0.37490884336940489</v>
      </c>
      <c r="M50" s="1364">
        <f t="shared" si="64"/>
        <v>0.47969246661545362</v>
      </c>
      <c r="N50" s="1364">
        <f t="shared" si="64"/>
        <v>-0.48093866561454746</v>
      </c>
      <c r="O50" s="2711"/>
      <c r="P50" s="2711">
        <f t="shared" si="64"/>
        <v>-0.48093866561454746</v>
      </c>
      <c r="Q50" s="1364">
        <f t="shared" si="64"/>
        <v>0.16346385500838578</v>
      </c>
      <c r="R50" s="1364">
        <f t="shared" si="64"/>
        <v>0.72491560476546235</v>
      </c>
      <c r="S50" s="2711"/>
      <c r="T50" s="1364">
        <f>T49/R49-1</f>
        <v>-4.3244125970844927E-3</v>
      </c>
      <c r="U50" s="1364">
        <f>U49/T49-1</f>
        <v>2.7196015779203941E-2</v>
      </c>
      <c r="V50" s="1364">
        <f t="shared" si="64"/>
        <v>0.14678996221197571</v>
      </c>
      <c r="W50" s="1364">
        <f t="shared" si="64"/>
        <v>9.1351662669554967E-2</v>
      </c>
      <c r="X50" s="1364">
        <f t="shared" ref="X50:AE50" si="65">X49/W49-1</f>
        <v>0.11698436770244447</v>
      </c>
      <c r="Y50" s="1364">
        <f t="shared" si="65"/>
        <v>3.6648588262798265E-2</v>
      </c>
      <c r="Z50" s="1364">
        <f t="shared" si="65"/>
        <v>-0.16616531815098401</v>
      </c>
      <c r="AA50" s="1364">
        <f t="shared" si="65"/>
        <v>-0.13913291274986661</v>
      </c>
      <c r="AB50" s="1364">
        <f t="shared" si="65"/>
        <v>4.1169191453377163E-2</v>
      </c>
      <c r="AC50" s="1364">
        <f t="shared" si="65"/>
        <v>-0.2839853647211833</v>
      </c>
      <c r="AD50" s="1364">
        <f t="shared" si="65"/>
        <v>-8.7094608115770411E-2</v>
      </c>
      <c r="AE50" s="1364">
        <f t="shared" si="65"/>
        <v>-0.14894295313579253</v>
      </c>
      <c r="AF50" s="1104"/>
      <c r="AG50" s="1104"/>
      <c r="AH50" s="1104"/>
      <c r="AI50" s="1104"/>
      <c r="AJ50" s="1104"/>
      <c r="AK50" s="1104"/>
      <c r="AL50" s="1285" t="str">
        <f t="shared" si="36"/>
        <v xml:space="preserve">% Change </v>
      </c>
      <c r="AM50" s="1286" t="s">
        <v>1455</v>
      </c>
      <c r="AN50" s="1286" t="s">
        <v>1455</v>
      </c>
      <c r="AO50" s="1286" t="s">
        <v>1455</v>
      </c>
      <c r="AP50" s="1286" t="s">
        <v>1455</v>
      </c>
      <c r="AQ50" s="1293"/>
      <c r="AR50" s="1104">
        <f>AR49/AM49-1</f>
        <v>0.37552211241723543</v>
      </c>
      <c r="AS50" s="1104">
        <f>AS49/AN49-1</f>
        <v>0.23533333333333317</v>
      </c>
      <c r="AT50" s="1104">
        <f>AT49/AO49-1</f>
        <v>0.30588235294117649</v>
      </c>
      <c r="AU50" s="1104">
        <f>AU49/AP49-1</f>
        <v>-0.52699460380281249</v>
      </c>
      <c r="AV50" s="1293"/>
      <c r="AW50" s="1104">
        <f>AW49/AR49-1</f>
        <v>1.4000000000000012E-2</v>
      </c>
      <c r="AX50" s="1104">
        <f>AX49/AS49-1</f>
        <v>-0.22745098039215683</v>
      </c>
      <c r="AY50" s="1104">
        <f>AY49/AT49-1</f>
        <v>1.4999999999999902E-2</v>
      </c>
      <c r="AZ50" s="1104">
        <f>AZ49/AU49-1</f>
        <v>0.44131831608846928</v>
      </c>
      <c r="BA50" s="1293"/>
      <c r="BB50" s="1104">
        <f>BB49/AW49-1</f>
        <v>0.12668097396509159</v>
      </c>
      <c r="BC50" s="1104">
        <f>BC49/AX49-1</f>
        <v>-7.2237445850939497E-2</v>
      </c>
      <c r="BD50" s="1104">
        <f>BD49/AY49-1</f>
        <v>0.22399999999999975</v>
      </c>
      <c r="BE50" s="1104">
        <f>BE49/AZ49-1</f>
        <v>0.2773226908845563</v>
      </c>
      <c r="BF50" s="1845"/>
      <c r="BG50" s="1364">
        <f>BG49/BB49-1</f>
        <v>-0.57731318690475675</v>
      </c>
      <c r="BH50" s="1364">
        <f>BH49/BC49-1</f>
        <v>5.0000000000000044E-2</v>
      </c>
      <c r="BI50" s="1364">
        <f>BI49/BD49-1</f>
        <v>-0.78249999999999997</v>
      </c>
      <c r="BJ50" s="1364">
        <f>BJ49/BE49-1</f>
        <v>-0.83003369172818409</v>
      </c>
      <c r="BK50" s="1845"/>
      <c r="BL50" s="1364">
        <f>BL49/BG49-1</f>
        <v>-2.2186666666666666</v>
      </c>
      <c r="BM50" s="1364">
        <f>BM49/BH49-1</f>
        <v>-1</v>
      </c>
      <c r="BN50" s="1364">
        <f>BN49/BI49-1</f>
        <v>0.5</v>
      </c>
      <c r="BO50" s="1364">
        <f>BO49/BJ49-1</f>
        <v>0.46271798577069423</v>
      </c>
      <c r="BP50" s="1845"/>
      <c r="BQ50" s="1364">
        <f>BQ49/BL49-1</f>
        <v>-1.625</v>
      </c>
      <c r="BR50" s="1786" t="s">
        <v>348</v>
      </c>
      <c r="BS50" s="1364">
        <f>BS49/BN49-1</f>
        <v>0.66444444444444506</v>
      </c>
      <c r="BT50" s="1364">
        <f>BT49/BO49-1</f>
        <v>0.62392425872144486</v>
      </c>
      <c r="BU50" s="1477"/>
      <c r="BV50" s="1364">
        <f>BV49/BQ49-1</f>
        <v>3.37</v>
      </c>
      <c r="BW50" s="1364">
        <f>BW49/BR49-1</f>
        <v>3.12</v>
      </c>
      <c r="BX50" s="1364">
        <f>BX49/BS49-1</f>
        <v>1.7414285714285715</v>
      </c>
      <c r="BY50" s="1364">
        <f>BY49/BT49-1</f>
        <v>1.8706612230300701</v>
      </c>
      <c r="BZ50" s="1477"/>
      <c r="CA50" s="1364">
        <f>CA49/BV49-1</f>
        <v>-0.2410526315789473</v>
      </c>
      <c r="CB50" s="1364">
        <f>CB49/BW49-1</f>
        <v>-0.3571428571428571</v>
      </c>
      <c r="CC50" s="1364">
        <f>CC49/BX49-1</f>
        <v>-0.55263157894736847</v>
      </c>
      <c r="CD50" s="1364">
        <f>CD49/BY49-1</f>
        <v>-0.32576248665464835</v>
      </c>
      <c r="CE50" s="1477"/>
      <c r="CF50" s="1364">
        <f>CF49/CA49-1</f>
        <v>0.41464285714285709</v>
      </c>
      <c r="CG50" s="1364">
        <f>CG49/CB49-1</f>
        <v>0.14000000000000012</v>
      </c>
      <c r="CH50" s="1364">
        <f>CH49/CC49-1</f>
        <v>0.9720000000000002</v>
      </c>
      <c r="CI50" s="1364">
        <f>CI49/CD49-1</f>
        <v>0.4964334346131527</v>
      </c>
      <c r="CJ50" s="1477"/>
      <c r="CK50" s="1364">
        <f>CK49/CF49-1</f>
        <v>-4.1176470588235259E-2</v>
      </c>
      <c r="CL50" s="1364">
        <f>CL49/CG49-1</f>
        <v>-0.28749999999999998</v>
      </c>
      <c r="CM50" s="1364">
        <f>CM49/CH49-1</f>
        <v>-0.70294117647058818</v>
      </c>
      <c r="CN50" s="1364">
        <f>CN49/CI49-1</f>
        <v>-0.72461428571428566</v>
      </c>
      <c r="CO50" s="1477"/>
      <c r="CP50" s="1364">
        <f>CP49/CK49-1</f>
        <v>-0.3994000000000002</v>
      </c>
      <c r="CQ50" s="2008">
        <f>CQ49/CL49-1</f>
        <v>-0.58120000000000005</v>
      </c>
      <c r="CR50" s="2008">
        <f>CR49/CM49-1</f>
        <v>0.89747999999999961</v>
      </c>
      <c r="CS50" s="1364">
        <f>CS49/CN49-1</f>
        <v>1.9726756756756756</v>
      </c>
      <c r="CT50" s="1477"/>
      <c r="CU50" s="2827">
        <f>CU49/CP49-1</f>
        <v>2.6578500000000003</v>
      </c>
      <c r="CV50" s="2827">
        <f>CV49/CQ49-1</f>
        <v>1.5447799999999998</v>
      </c>
      <c r="CW50" s="2827">
        <f>CW49/CR49-1</f>
        <v>5.8258426966292243E-2</v>
      </c>
      <c r="CX50" s="2827">
        <f>CX49/CS49-1</f>
        <v>-3.1818181818181857E-2</v>
      </c>
      <c r="CY50" s="2937"/>
      <c r="CZ50" s="2827">
        <f>CZ49/CU49-1</f>
        <v>-0.15066326530612251</v>
      </c>
      <c r="DA50" s="2827">
        <f>DA49/CV49-1</f>
        <v>0.16017959751101984</v>
      </c>
      <c r="DB50" s="2827">
        <f>DB49/CW49-1</f>
        <v>0.73324444444444437</v>
      </c>
      <c r="DC50" s="2827">
        <f>DC49/CX49-1</f>
        <v>-0.22957681279554931</v>
      </c>
      <c r="DD50" s="2835"/>
      <c r="DE50" s="2827">
        <f t="shared" ref="DE50:DG50" si="66">DE49/CZ49-1</f>
        <v>-4.3808186998959608E-2</v>
      </c>
      <c r="DF50" s="2827">
        <f t="shared" si="66"/>
        <v>0.11391284820046255</v>
      </c>
      <c r="DG50" s="2827">
        <f t="shared" si="66"/>
        <v>0.18222294976863584</v>
      </c>
      <c r="DH50" s="2827">
        <f>DH49/DC49-1</f>
        <v>-9.0337719252455595E-2</v>
      </c>
      <c r="DI50" s="1741"/>
      <c r="DJ50" s="186"/>
      <c r="DK50" s="1104"/>
      <c r="DL50" s="1108"/>
      <c r="DM50" s="1108"/>
      <c r="DN50" s="1108"/>
      <c r="DO50" s="1108"/>
      <c r="DP50" s="1108"/>
      <c r="DQ50" s="1108"/>
      <c r="DR50" s="186"/>
      <c r="DS50" s="186"/>
      <c r="DT50" s="186"/>
      <c r="DU50" s="186"/>
      <c r="DV50" s="186"/>
      <c r="DW50" s="186"/>
    </row>
    <row r="51" spans="1:127" ht="11.25" hidden="1" customHeight="1" outlineLevel="1">
      <c r="A51" s="1824" t="s">
        <v>1208</v>
      </c>
      <c r="B51" s="1364">
        <f t="shared" ref="B51:J51" si="67">B49/B8</f>
        <v>8.7040759325998557E-2</v>
      </c>
      <c r="C51" s="1364">
        <f t="shared" si="67"/>
        <v>0.13575335833221167</v>
      </c>
      <c r="D51" s="1364">
        <f t="shared" si="67"/>
        <v>9.9874764977142233E-2</v>
      </c>
      <c r="E51" s="1364">
        <f t="shared" si="67"/>
        <v>9.0808079347826198E-2</v>
      </c>
      <c r="F51" s="1364">
        <f t="shared" si="67"/>
        <v>9.3606758784062466E-2</v>
      </c>
      <c r="G51" s="1364">
        <f t="shared" si="67"/>
        <v>0.10388441587674692</v>
      </c>
      <c r="H51" s="1364">
        <f t="shared" si="67"/>
        <v>5.119500651119168E-2</v>
      </c>
      <c r="I51" s="1364">
        <f t="shared" si="67"/>
        <v>7.8276475460190495E-3</v>
      </c>
      <c r="J51" s="1364">
        <f t="shared" si="67"/>
        <v>4.218372278250284E-2</v>
      </c>
      <c r="K51" s="1364">
        <f t="shared" ref="K51:V51" si="68">K49/K8</f>
        <v>0.13807738017654911</v>
      </c>
      <c r="L51" s="1364">
        <f t="shared" si="68"/>
        <v>9.0268717904333329E-2</v>
      </c>
      <c r="M51" s="1364">
        <f t="shared" si="68"/>
        <v>0.11869228091098587</v>
      </c>
      <c r="N51" s="1364">
        <f>N49/N8</f>
        <v>6.5322174165284796E-2</v>
      </c>
      <c r="O51" s="2711">
        <f>O49/O8</f>
        <v>0.11869228091098587</v>
      </c>
      <c r="P51" s="2711">
        <f>P49/P8</f>
        <v>6.5322174165284796E-2</v>
      </c>
      <c r="Q51" s="1364">
        <f>Q49/Q8</f>
        <v>7.1837164084780664E-2</v>
      </c>
      <c r="R51" s="1364">
        <f t="shared" si="68"/>
        <v>0.10918516364396487</v>
      </c>
      <c r="S51" s="2711"/>
      <c r="T51" s="1364">
        <f t="shared" si="68"/>
        <v>0.11117933726095738</v>
      </c>
      <c r="U51" s="1364">
        <f>U49/U8</f>
        <v>0.10891807094616791</v>
      </c>
      <c r="V51" s="1364">
        <f t="shared" si="68"/>
        <v>0.10988978988192259</v>
      </c>
      <c r="W51" s="1364">
        <f t="shared" ref="W51:AB51" si="69">W49/W8</f>
        <v>0.12164301062398228</v>
      </c>
      <c r="X51" s="1364">
        <f t="shared" si="69"/>
        <v>0.12824251224738398</v>
      </c>
      <c r="Y51" s="1364">
        <f t="shared" si="69"/>
        <v>0.12071155648302651</v>
      </c>
      <c r="Z51" s="1364">
        <f t="shared" si="69"/>
        <v>0.10464159722439006</v>
      </c>
      <c r="AA51" s="1364">
        <f t="shared" si="69"/>
        <v>8.8474159584429363E-2</v>
      </c>
      <c r="AB51" s="1364">
        <f t="shared" si="69"/>
        <v>8.2620643329807036E-2</v>
      </c>
      <c r="AC51" s="1364">
        <f>AC49/AC8</f>
        <v>6.3145790387118039E-2</v>
      </c>
      <c r="AD51" s="1364">
        <f>AD49/AD8</f>
        <v>5.6028009337226452E-2</v>
      </c>
      <c r="AE51" s="1364">
        <f>AE49/AE8</f>
        <v>4.3031204314356968E-2</v>
      </c>
      <c r="AF51" s="1104"/>
      <c r="AG51" s="1104"/>
      <c r="AH51" s="1104"/>
      <c r="AI51" s="1104"/>
      <c r="AJ51" s="1104"/>
      <c r="AK51" s="1306"/>
      <c r="AL51" s="1285" t="str">
        <f t="shared" si="36"/>
        <v xml:space="preserve">% Margin </v>
      </c>
      <c r="AM51" s="1104">
        <f>AM49/AM8</f>
        <v>4.2000000000000003E-2</v>
      </c>
      <c r="AN51" s="1104">
        <f>AN49/AN8</f>
        <v>0.13500000000000001</v>
      </c>
      <c r="AO51" s="1104">
        <f>AO49/AO8</f>
        <v>8.5000000000000006E-2</v>
      </c>
      <c r="AP51" s="1104">
        <f>AP49/AP8</f>
        <v>0.14118767541975993</v>
      </c>
      <c r="AQ51" s="1287"/>
      <c r="AR51" s="1104">
        <f>AR49/AR8</f>
        <v>0.06</v>
      </c>
      <c r="AS51" s="1104">
        <f>AS49/AS8</f>
        <v>0.15299999999999997</v>
      </c>
      <c r="AT51" s="1104">
        <f>AT49/AT8</f>
        <v>0.1</v>
      </c>
      <c r="AU51" s="1104">
        <f>AU49/AU8</f>
        <v>6.7036696826036121E-2</v>
      </c>
      <c r="AV51" s="1287"/>
      <c r="AW51" s="1104">
        <f>AW49/AW8</f>
        <v>0.06</v>
      </c>
      <c r="AX51" s="1104">
        <f>AX49/AX8</f>
        <v>0.12</v>
      </c>
      <c r="AY51" s="1104">
        <f>AY49/AY8</f>
        <v>0.1</v>
      </c>
      <c r="AZ51" s="1104">
        <f>AZ49/AZ8</f>
        <v>0.10269367670712423</v>
      </c>
      <c r="BA51" s="1287"/>
      <c r="BB51" s="1104">
        <f>BB49/BB8</f>
        <v>0.06</v>
      </c>
      <c r="BC51" s="1104">
        <f>BC49/BC8</f>
        <v>0.12000000000000001</v>
      </c>
      <c r="BD51" s="1104">
        <f>BD49/BD8</f>
        <v>0.12</v>
      </c>
      <c r="BE51" s="1104">
        <f>BE49/BE8</f>
        <v>0.13135965772436323</v>
      </c>
      <c r="BF51" s="1287"/>
      <c r="BG51" s="1104">
        <f>BG49/BG8</f>
        <v>3.0000000000000002E-2</v>
      </c>
      <c r="BH51" s="1104">
        <f>BH49/BH8</f>
        <v>0.12</v>
      </c>
      <c r="BI51" s="1104">
        <f>BI49/BI8</f>
        <v>2.9999999999999995E-2</v>
      </c>
      <c r="BJ51" s="1104">
        <f>BJ49/BJ8</f>
        <v>2.7371838777692888E-2</v>
      </c>
      <c r="BK51" s="1287"/>
      <c r="BL51" s="1104">
        <f>BL49/BL8</f>
        <v>-0.04</v>
      </c>
      <c r="BM51" s="1104">
        <f>BM49/BM8</f>
        <v>0</v>
      </c>
      <c r="BN51" s="1104">
        <f>BN49/BN8</f>
        <v>4.4999999999999998E-2</v>
      </c>
      <c r="BO51" s="1104">
        <f>BO49/BO8</f>
        <v>3.6455644104670094E-2</v>
      </c>
      <c r="BP51" s="1287"/>
      <c r="BQ51" s="1288">
        <v>0.02</v>
      </c>
      <c r="BR51" s="1288">
        <v>3.5000000000000003E-2</v>
      </c>
      <c r="BS51" s="1288">
        <v>7.0000000000000007E-2</v>
      </c>
      <c r="BT51" s="1104">
        <f>BT49/BT8</f>
        <v>5.4612791684619945E-2</v>
      </c>
      <c r="BU51" s="186"/>
      <c r="BV51" s="1288">
        <v>9.5000000000000001E-2</v>
      </c>
      <c r="BW51" s="1288">
        <v>0.14000000000000001</v>
      </c>
      <c r="BX51" s="1288">
        <v>0.19</v>
      </c>
      <c r="BY51" s="1104">
        <f>BY49/BY8</f>
        <v>0.14576611253756386</v>
      </c>
      <c r="BZ51" s="1477"/>
      <c r="CA51" s="2048">
        <v>7.0000000000000007E-2</v>
      </c>
      <c r="CB51" s="2048">
        <v>0.1</v>
      </c>
      <c r="CC51" s="2048">
        <v>0.1</v>
      </c>
      <c r="CD51" s="1364">
        <f>CD49/CD8</f>
        <v>9.8757483347867117E-2</v>
      </c>
      <c r="CE51" s="1477"/>
      <c r="CF51" s="2048">
        <f>CA51+1.5%</f>
        <v>8.5000000000000006E-2</v>
      </c>
      <c r="CG51" s="2048">
        <v>0.1</v>
      </c>
      <c r="CH51" s="2048">
        <v>0.17</v>
      </c>
      <c r="CI51" s="2048">
        <v>0.14000000000000001</v>
      </c>
      <c r="CJ51" s="1477"/>
      <c r="CK51" s="2048">
        <v>0.1</v>
      </c>
      <c r="CL51" s="2048">
        <v>7.4999999999999997E-2</v>
      </c>
      <c r="CM51" s="2048">
        <v>0.05</v>
      </c>
      <c r="CN51" s="2048">
        <v>3.6999999999999998E-2</v>
      </c>
      <c r="CO51" s="1477"/>
      <c r="CP51" s="2048">
        <v>0.06</v>
      </c>
      <c r="CQ51" s="2048">
        <v>0.03</v>
      </c>
      <c r="CR51" s="2048">
        <v>8.8999999999999996E-2</v>
      </c>
      <c r="CS51" s="2048">
        <v>9.9000000000000005E-2</v>
      </c>
      <c r="CT51" s="1477"/>
      <c r="CU51" s="3048">
        <v>0.14699999999999999</v>
      </c>
      <c r="CV51" s="3048">
        <v>7.2999999999999995E-2</v>
      </c>
      <c r="CW51" s="3048">
        <v>0.09</v>
      </c>
      <c r="CX51" s="3048">
        <v>0.1</v>
      </c>
      <c r="CY51" s="2937"/>
      <c r="CZ51" s="3048">
        <v>0.155</v>
      </c>
      <c r="DA51" s="3048">
        <v>7.5886484134496154E-2</v>
      </c>
      <c r="DB51" s="3048">
        <v>0.14799999999999999</v>
      </c>
      <c r="DC51" s="2827">
        <f>DC49/DC8</f>
        <v>7.3684900315704085E-2</v>
      </c>
      <c r="DD51" s="2835"/>
      <c r="DE51" s="2827">
        <f t="shared" ref="DE51:DG51" si="70">DE49/DE8</f>
        <v>0.13903068146276507</v>
      </c>
      <c r="DF51" s="2827">
        <f t="shared" si="70"/>
        <v>8.4642859344052093E-2</v>
      </c>
      <c r="DG51" s="2827">
        <f t="shared" si="70"/>
        <v>0.16146715898604314</v>
      </c>
      <c r="DH51" s="2827">
        <f>DH49/DH8</f>
        <v>6.3944133557325838E-2</v>
      </c>
      <c r="DI51" s="1741"/>
      <c r="DJ51" s="186"/>
      <c r="DK51" s="1288"/>
      <c r="DL51" s="1108"/>
      <c r="DM51" s="1108"/>
      <c r="DN51" s="1108"/>
      <c r="DO51" s="1108"/>
      <c r="DP51" s="1108"/>
      <c r="DQ51" s="1108"/>
      <c r="DR51" s="186"/>
      <c r="DS51" s="186"/>
      <c r="DT51" s="186"/>
      <c r="DU51" s="186"/>
      <c r="DV51" s="186"/>
      <c r="DW51" s="186"/>
    </row>
    <row r="52" spans="1:127" ht="11.25" hidden="1" customHeight="1" outlineLevel="1">
      <c r="A52" s="1823" t="s">
        <v>1299</v>
      </c>
      <c r="B52" s="1105">
        <f>'Segment Detail'!Y115</f>
        <v>-115</v>
      </c>
      <c r="C52" s="1105">
        <f>'Segment Detail'!Z115</f>
        <v>-110</v>
      </c>
      <c r="D52" s="1105">
        <f>'Segment Detail'!AA115</f>
        <v>-50</v>
      </c>
      <c r="E52" s="1105">
        <f>'Segment Detail'!AB115</f>
        <v>-75</v>
      </c>
      <c r="F52" s="1105">
        <f>'Segment Detail'!AC115</f>
        <v>-40</v>
      </c>
      <c r="G52" s="1105">
        <f>'Segment Detail'!AD115</f>
        <v>0</v>
      </c>
      <c r="H52" s="1105">
        <f>'Segment Detail'!AE115</f>
        <v>0</v>
      </c>
      <c r="I52" s="1105">
        <f>'Segment Detail'!AF115</f>
        <v>0</v>
      </c>
      <c r="J52" s="1105">
        <f>'Segment Detail'!AG115</f>
        <v>0</v>
      </c>
      <c r="K52" s="1105">
        <f>'Segment Detail'!AH115</f>
        <v>0</v>
      </c>
      <c r="L52" s="1105">
        <f>'Segment Detail'!AI115</f>
        <v>0</v>
      </c>
      <c r="M52" s="1780">
        <f>SUM(CF52:CI52)</f>
        <v>0</v>
      </c>
      <c r="N52" s="1780">
        <f>SUM(CK52:CN52)</f>
        <v>0</v>
      </c>
      <c r="O52" s="2710">
        <f>M52</f>
        <v>0</v>
      </c>
      <c r="P52" s="2710">
        <f>N52</f>
        <v>0</v>
      </c>
      <c r="Q52" s="1780">
        <f>SUM(CP52:CS52)</f>
        <v>0</v>
      </c>
      <c r="R52" s="1780">
        <f>SUM(CU52:CX52)</f>
        <v>0</v>
      </c>
      <c r="S52" s="2710">
        <f>R52</f>
        <v>0</v>
      </c>
      <c r="T52" s="1780">
        <f>SUM(CZ52:DC52)</f>
        <v>0</v>
      </c>
      <c r="U52" s="2890">
        <f>SUM(DE52:DH52)</f>
        <v>0</v>
      </c>
      <c r="V52" s="1105">
        <f>'Segment Detail'!AP115</f>
        <v>0</v>
      </c>
      <c r="W52" s="1105">
        <f>'Segment Detail'!AQ115</f>
        <v>0</v>
      </c>
      <c r="X52" s="1105">
        <f>'Segment Detail'!AR115</f>
        <v>0</v>
      </c>
      <c r="Y52" s="1105">
        <f>'Segment Detail'!AS115</f>
        <v>0</v>
      </c>
      <c r="Z52" s="1105">
        <f>'Segment Detail'!AT115</f>
        <v>0</v>
      </c>
      <c r="AA52" s="1105">
        <f>'Segment Detail'!AU115</f>
        <v>0</v>
      </c>
      <c r="AB52" s="1105">
        <f>'Segment Detail'!AV115</f>
        <v>0</v>
      </c>
      <c r="AC52" s="1105">
        <f>'Segment Detail'!AW115</f>
        <v>0</v>
      </c>
      <c r="AD52" s="1105">
        <f>'Segment Detail'!AX115</f>
        <v>0</v>
      </c>
      <c r="AE52" s="1105">
        <f>'Segment Detail'!AY115</f>
        <v>0</v>
      </c>
      <c r="AF52" s="105"/>
      <c r="AG52" s="105"/>
      <c r="AH52" s="105"/>
      <c r="AI52" s="105"/>
      <c r="AJ52" s="105"/>
      <c r="AK52" s="350"/>
      <c r="AL52" s="1282" t="str">
        <f t="shared" si="36"/>
        <v xml:space="preserve">CW Network </v>
      </c>
      <c r="AM52" s="105">
        <f>'Segment Detail'!CO115</f>
        <v>-10</v>
      </c>
      <c r="AN52" s="105">
        <f>'Segment Detail'!CP115</f>
        <v>-10</v>
      </c>
      <c r="AO52" s="105">
        <f>'Segment Detail'!CQ115</f>
        <v>-22</v>
      </c>
      <c r="AP52" s="105">
        <f>'Segment Detail'!CR115</f>
        <v>-8</v>
      </c>
      <c r="AQ52" s="1120">
        <f>D52-SUM(AM52:AP52)</f>
        <v>0</v>
      </c>
      <c r="AR52" s="105">
        <f>'Segment Detail'!CT115</f>
        <v>-20</v>
      </c>
      <c r="AS52" s="105">
        <f>'Segment Detail'!CU115</f>
        <v>-16.25</v>
      </c>
      <c r="AT52" s="105">
        <f>'Segment Detail'!CV115</f>
        <v>-10</v>
      </c>
      <c r="AU52" s="105">
        <f>'Segment Detail'!CW115</f>
        <v>-28.75</v>
      </c>
      <c r="AV52" s="1120">
        <f>E52-SUM(AR52:AU52)</f>
        <v>0</v>
      </c>
      <c r="AW52" s="105">
        <f>'Segment Detail'!CY115</f>
        <v>-8</v>
      </c>
      <c r="AX52" s="105">
        <f>'Segment Detail'!CZ115</f>
        <v>-24</v>
      </c>
      <c r="AY52" s="105">
        <f>'Segment Detail'!DA115</f>
        <v>-8</v>
      </c>
      <c r="AZ52" s="105">
        <f>'Segment Detail'!DB115</f>
        <v>0</v>
      </c>
      <c r="BA52" s="1120">
        <f>F52-SUM(AW52:AZ52)</f>
        <v>0</v>
      </c>
      <c r="BB52" s="105">
        <f>'Segment Detail'!DD115</f>
        <v>0</v>
      </c>
      <c r="BC52" s="105">
        <f>'Segment Detail'!DE115</f>
        <v>0</v>
      </c>
      <c r="BD52" s="105">
        <f>'Segment Detail'!DF115</f>
        <v>0</v>
      </c>
      <c r="BE52" s="105">
        <f>'Segment Detail'!DG115</f>
        <v>0</v>
      </c>
      <c r="BF52" s="1120">
        <f>G52-SUM(BB52:BE52)</f>
        <v>0</v>
      </c>
      <c r="BG52" s="105">
        <f>'Segment Detail'!DI115</f>
        <v>0</v>
      </c>
      <c r="BH52" s="105">
        <f>'Segment Detail'!DJ115</f>
        <v>0</v>
      </c>
      <c r="BI52" s="105">
        <f>'Segment Detail'!DK115</f>
        <v>0</v>
      </c>
      <c r="BJ52" s="105">
        <f>'Segment Detail'!DL115</f>
        <v>0</v>
      </c>
      <c r="BK52" s="1120">
        <f>H52-SUM(BG52:BJ52)</f>
        <v>0</v>
      </c>
      <c r="BL52" s="105">
        <f>'Segment Detail'!DN115</f>
        <v>0</v>
      </c>
      <c r="BM52" s="105">
        <f>'Segment Detail'!DO115</f>
        <v>0</v>
      </c>
      <c r="BN52" s="105">
        <f>'Segment Detail'!DP115</f>
        <v>0</v>
      </c>
      <c r="BO52" s="105">
        <f>'Segment Detail'!DQ115</f>
        <v>0</v>
      </c>
      <c r="BP52" s="1120">
        <f>I52-SUM(BL52:BO52)</f>
        <v>0</v>
      </c>
      <c r="BQ52" s="105">
        <f>'Segment Detail'!DS115</f>
        <v>0</v>
      </c>
      <c r="BR52" s="105">
        <f>'Segment Detail'!DT115</f>
        <v>0</v>
      </c>
      <c r="BS52" s="105">
        <f>'Segment Detail'!DU115</f>
        <v>0</v>
      </c>
      <c r="BT52" s="105">
        <f>'Segment Detail'!DV115</f>
        <v>0</v>
      </c>
      <c r="BU52" s="1120">
        <f>J52-SUM(BQ52:BT52)</f>
        <v>0</v>
      </c>
      <c r="BV52" s="105">
        <f>'Segment Detail'!DX115</f>
        <v>0</v>
      </c>
      <c r="BW52" s="105">
        <f>'Segment Detail'!DY115</f>
        <v>0</v>
      </c>
      <c r="BX52" s="105">
        <f>'Segment Detail'!DZ115</f>
        <v>0</v>
      </c>
      <c r="BY52" s="105">
        <f>'Segment Detail'!EA115</f>
        <v>0</v>
      </c>
      <c r="BZ52" s="1741">
        <f>K52-SUM(BV52:BY52)</f>
        <v>0</v>
      </c>
      <c r="CA52" s="1105">
        <f>'Segment Detail'!EC115</f>
        <v>0</v>
      </c>
      <c r="CB52" s="1105">
        <f>'Segment Detail'!ED115</f>
        <v>0</v>
      </c>
      <c r="CC52" s="1105">
        <f>'Segment Detail'!EE115</f>
        <v>0</v>
      </c>
      <c r="CD52" s="1105">
        <f>'Segment Detail'!EF115</f>
        <v>0</v>
      </c>
      <c r="CE52" s="1108"/>
      <c r="CF52" s="1105">
        <f>'Segment Detail'!EH115</f>
        <v>0</v>
      </c>
      <c r="CG52" s="1105">
        <f>'Segment Detail'!EI115</f>
        <v>0</v>
      </c>
      <c r="CH52" s="1105">
        <f>'Segment Detail'!EJ115</f>
        <v>0</v>
      </c>
      <c r="CI52" s="1105">
        <f>'Segment Detail'!EK115</f>
        <v>0</v>
      </c>
      <c r="CJ52" s="1108"/>
      <c r="CK52" s="1634">
        <f>'Segment Detail'!EM115</f>
        <v>0</v>
      </c>
      <c r="CL52" s="1634">
        <f>'Segment Detail'!EN115</f>
        <v>0</v>
      </c>
      <c r="CM52" s="1634">
        <f>'Segment Detail'!EO115</f>
        <v>0</v>
      </c>
      <c r="CN52" s="1105">
        <f>'Segment Detail'!EP115</f>
        <v>0</v>
      </c>
      <c r="CO52" s="1108"/>
      <c r="CP52" s="1634">
        <f>'Segment Detail'!ER115</f>
        <v>0</v>
      </c>
      <c r="CQ52" s="1634">
        <f>'Segment Detail'!ES115</f>
        <v>0</v>
      </c>
      <c r="CR52" s="1634">
        <f>'Segment Detail'!ET115</f>
        <v>0</v>
      </c>
      <c r="CS52" s="1105">
        <f>'Segment Detail'!EU115</f>
        <v>0</v>
      </c>
      <c r="CT52" s="1108"/>
      <c r="CU52" s="2804">
        <f>'Segment Detail'!FL115</f>
        <v>0</v>
      </c>
      <c r="CV52" s="2804">
        <f>'Segment Detail'!FM115</f>
        <v>0</v>
      </c>
      <c r="CW52" s="2804">
        <f>'Segment Detail'!FN115</f>
        <v>0</v>
      </c>
      <c r="CX52" s="2804">
        <f>'Segment Detail'!FO115</f>
        <v>0</v>
      </c>
      <c r="CY52" s="2835">
        <f>S52-SUM(CU52:CX52)</f>
        <v>0</v>
      </c>
      <c r="CZ52" s="2804">
        <f>'Segment Detail'!FQ115</f>
        <v>0</v>
      </c>
      <c r="DA52" s="2804">
        <f>'Segment Detail'!FR115</f>
        <v>0</v>
      </c>
      <c r="DB52" s="2804">
        <f>'Segment Detail'!FS115</f>
        <v>0</v>
      </c>
      <c r="DC52" s="2804">
        <f>'Segment Detail'!FT115</f>
        <v>0</v>
      </c>
      <c r="DD52" s="2835">
        <f>T52-SUM(CZ52:DC52)</f>
        <v>0</v>
      </c>
      <c r="DE52" s="2804">
        <f>'Segment Detail'!FV115</f>
        <v>0</v>
      </c>
      <c r="DF52" s="2804">
        <f>'Segment Detail'!FW115</f>
        <v>0</v>
      </c>
      <c r="DG52" s="2804">
        <f>'Segment Detail'!FX115</f>
        <v>0</v>
      </c>
      <c r="DH52" s="2804">
        <f>'Segment Detail'!FY115</f>
        <v>0</v>
      </c>
      <c r="DI52" s="2835">
        <f t="shared" ref="DI52" si="71">U52-SUM(DE52:DH52)</f>
        <v>0</v>
      </c>
      <c r="DJ52" s="11"/>
      <c r="DK52" s="105"/>
      <c r="DL52" s="1108"/>
      <c r="DM52" s="1108"/>
      <c r="DN52" s="1108"/>
      <c r="DO52" s="1108"/>
      <c r="DP52" s="1108"/>
      <c r="DQ52" s="1108"/>
      <c r="DR52" s="186"/>
      <c r="DS52" s="186"/>
      <c r="DT52" s="186"/>
      <c r="DU52" s="186"/>
      <c r="DV52" s="186"/>
      <c r="DW52" s="186"/>
    </row>
    <row r="53" spans="1:127" ht="11.25" hidden="1" customHeight="1" outlineLevel="1">
      <c r="A53" s="1824" t="s">
        <v>344</v>
      </c>
      <c r="B53" s="1364">
        <f>B52/'Segment Detail'!R115-1</f>
        <v>-0.1785714285714286</v>
      </c>
      <c r="C53" s="1364">
        <f>C52/B52-1</f>
        <v>-4.3478260869565188E-2</v>
      </c>
      <c r="D53" s="1364">
        <f>D52/C52-1</f>
        <v>-0.54545454545454541</v>
      </c>
      <c r="E53" s="1364">
        <f>E52/D52-1</f>
        <v>0.5</v>
      </c>
      <c r="F53" s="1364">
        <f>F52/E52-1</f>
        <v>-0.46666666666666667</v>
      </c>
      <c r="G53" s="1473" t="s">
        <v>1455</v>
      </c>
      <c r="H53" s="1473" t="s">
        <v>1455</v>
      </c>
      <c r="I53" s="1473" t="s">
        <v>1455</v>
      </c>
      <c r="J53" s="1473" t="s">
        <v>1455</v>
      </c>
      <c r="K53" s="1473" t="s">
        <v>1455</v>
      </c>
      <c r="L53" s="1473" t="s">
        <v>1455</v>
      </c>
      <c r="M53" s="1473" t="s">
        <v>1455</v>
      </c>
      <c r="N53" s="1473" t="s">
        <v>1455</v>
      </c>
      <c r="O53" s="2719" t="s">
        <v>1455</v>
      </c>
      <c r="P53" s="2719" t="s">
        <v>1455</v>
      </c>
      <c r="Q53" s="1473" t="s">
        <v>1455</v>
      </c>
      <c r="R53" s="1473" t="s">
        <v>1455</v>
      </c>
      <c r="S53" s="2719"/>
      <c r="T53" s="1473" t="s">
        <v>1455</v>
      </c>
      <c r="U53" s="1473" t="s">
        <v>1455</v>
      </c>
      <c r="V53" s="1473" t="s">
        <v>1455</v>
      </c>
      <c r="W53" s="1473" t="s">
        <v>1455</v>
      </c>
      <c r="X53" s="1473" t="s">
        <v>1455</v>
      </c>
      <c r="Y53" s="1473" t="s">
        <v>1455</v>
      </c>
      <c r="Z53" s="1473" t="s">
        <v>1455</v>
      </c>
      <c r="AA53" s="1473" t="s">
        <v>1455</v>
      </c>
      <c r="AB53" s="1473" t="s">
        <v>1455</v>
      </c>
      <c r="AC53" s="1473" t="s">
        <v>1455</v>
      </c>
      <c r="AD53" s="1473" t="s">
        <v>1455</v>
      </c>
      <c r="AE53" s="1473" t="s">
        <v>1455</v>
      </c>
      <c r="AF53" s="105"/>
      <c r="AG53" s="1300"/>
      <c r="AH53" s="1300"/>
      <c r="AI53" s="1300"/>
      <c r="AJ53" s="1300"/>
      <c r="AK53" s="1306"/>
      <c r="AL53" s="1285" t="str">
        <f t="shared" si="36"/>
        <v xml:space="preserve">% Change </v>
      </c>
      <c r="AM53" s="1286" t="s">
        <v>1455</v>
      </c>
      <c r="AN53" s="1286" t="s">
        <v>1455</v>
      </c>
      <c r="AO53" s="1286" t="s">
        <v>1455</v>
      </c>
      <c r="AP53" s="1286" t="s">
        <v>1455</v>
      </c>
      <c r="AQ53" s="1293"/>
      <c r="AR53" s="1104">
        <f>AR52/AM52-1</f>
        <v>1</v>
      </c>
      <c r="AS53" s="1104">
        <f>AS52/AN52-1</f>
        <v>0.625</v>
      </c>
      <c r="AT53" s="1104">
        <f>AT52/AO52-1</f>
        <v>-0.54545454545454541</v>
      </c>
      <c r="AU53" s="1104">
        <f>AU52/AP52-1</f>
        <v>2.59375</v>
      </c>
      <c r="AV53" s="1293"/>
      <c r="AW53" s="1104">
        <f>AW52/AR52-1</f>
        <v>-0.6</v>
      </c>
      <c r="AX53" s="1104">
        <f>AX52/AS52-1</f>
        <v>0.47692307692307701</v>
      </c>
      <c r="AY53" s="1104">
        <f>AY52/AT52-1</f>
        <v>-0.19999999999999996</v>
      </c>
      <c r="AZ53" s="1286" t="s">
        <v>1455</v>
      </c>
      <c r="BA53" s="1293"/>
      <c r="BB53" s="1286" t="s">
        <v>1455</v>
      </c>
      <c r="BC53" s="1286" t="s">
        <v>1455</v>
      </c>
      <c r="BD53" s="1286" t="s">
        <v>1455</v>
      </c>
      <c r="BE53" s="1286" t="s">
        <v>1455</v>
      </c>
      <c r="BF53" s="1293"/>
      <c r="BG53" s="1286" t="s">
        <v>1455</v>
      </c>
      <c r="BH53" s="1286" t="s">
        <v>1455</v>
      </c>
      <c r="BI53" s="1286" t="s">
        <v>1455</v>
      </c>
      <c r="BJ53" s="1286" t="s">
        <v>1455</v>
      </c>
      <c r="BK53" s="1293"/>
      <c r="BL53" s="1286" t="s">
        <v>1455</v>
      </c>
      <c r="BM53" s="1286" t="s">
        <v>1455</v>
      </c>
      <c r="BN53" s="1286" t="s">
        <v>1455</v>
      </c>
      <c r="BO53" s="1286" t="s">
        <v>1455</v>
      </c>
      <c r="BP53" s="1293"/>
      <c r="BQ53" s="1286" t="s">
        <v>1455</v>
      </c>
      <c r="BR53" s="1286" t="s">
        <v>1455</v>
      </c>
      <c r="BS53" s="1286" t="s">
        <v>1455</v>
      </c>
      <c r="BT53" s="1286" t="s">
        <v>1455</v>
      </c>
      <c r="BU53" s="186"/>
      <c r="BV53" s="1286" t="s">
        <v>1455</v>
      </c>
      <c r="BW53" s="1286" t="s">
        <v>1455</v>
      </c>
      <c r="BX53" s="1286" t="s">
        <v>1455</v>
      </c>
      <c r="BY53" s="1286" t="s">
        <v>1455</v>
      </c>
      <c r="BZ53" s="1477"/>
      <c r="CA53" s="1770" t="s">
        <v>1455</v>
      </c>
      <c r="CB53" s="1770" t="s">
        <v>1455</v>
      </c>
      <c r="CC53" s="1770" t="s">
        <v>1455</v>
      </c>
      <c r="CD53" s="1770" t="s">
        <v>1455</v>
      </c>
      <c r="CE53" s="1477"/>
      <c r="CF53" s="1770" t="s">
        <v>1455</v>
      </c>
      <c r="CG53" s="1770" t="s">
        <v>1455</v>
      </c>
      <c r="CH53" s="1770" t="s">
        <v>1455</v>
      </c>
      <c r="CI53" s="1770" t="s">
        <v>1455</v>
      </c>
      <c r="CJ53" s="1477"/>
      <c r="CK53" s="1770" t="s">
        <v>1455</v>
      </c>
      <c r="CL53" s="1770" t="s">
        <v>1455</v>
      </c>
      <c r="CM53" s="1770" t="s">
        <v>1455</v>
      </c>
      <c r="CN53" s="1770" t="s">
        <v>1455</v>
      </c>
      <c r="CO53" s="1477"/>
      <c r="CP53" s="1770" t="s">
        <v>1455</v>
      </c>
      <c r="CQ53" s="1770" t="s">
        <v>1455</v>
      </c>
      <c r="CR53" s="1770" t="s">
        <v>1455</v>
      </c>
      <c r="CS53" s="1770" t="s">
        <v>1455</v>
      </c>
      <c r="CT53" s="1477"/>
      <c r="CU53" s="2972" t="s">
        <v>1455</v>
      </c>
      <c r="CV53" s="2972" t="s">
        <v>1455</v>
      </c>
      <c r="CW53" s="2972" t="s">
        <v>1455</v>
      </c>
      <c r="CX53" s="2972" t="s">
        <v>1455</v>
      </c>
      <c r="CY53" s="2937"/>
      <c r="CZ53" s="2972" t="s">
        <v>1455</v>
      </c>
      <c r="DA53" s="2972" t="s">
        <v>1455</v>
      </c>
      <c r="DB53" s="2972" t="s">
        <v>1455</v>
      </c>
      <c r="DC53" s="2972" t="s">
        <v>1455</v>
      </c>
      <c r="DD53" s="2835"/>
      <c r="DE53" s="2972" t="s">
        <v>1455</v>
      </c>
      <c r="DF53" s="2972" t="s">
        <v>1455</v>
      </c>
      <c r="DG53" s="2972" t="s">
        <v>1455</v>
      </c>
      <c r="DH53" s="2972" t="s">
        <v>1455</v>
      </c>
      <c r="DI53" s="1741"/>
      <c r="DJ53" s="186"/>
      <c r="DK53" s="1286"/>
      <c r="DL53" s="186"/>
      <c r="DM53" s="186"/>
      <c r="DN53" s="186"/>
      <c r="DO53" s="186"/>
      <c r="DP53" s="186"/>
      <c r="DQ53" s="186"/>
      <c r="DR53" s="186"/>
      <c r="DS53" s="186"/>
      <c r="DT53" s="186"/>
      <c r="DU53" s="186"/>
      <c r="DV53" s="186"/>
      <c r="DW53" s="186"/>
    </row>
    <row r="54" spans="1:127" ht="11.25" hidden="1" customHeight="1" outlineLevel="1">
      <c r="A54" s="1824" t="s">
        <v>1208</v>
      </c>
      <c r="B54" s="1782">
        <f>B52/B10</f>
        <v>-0.51135942520255173</v>
      </c>
      <c r="C54" s="1782">
        <f>C52/C10</f>
        <v>-0.51486990180577297</v>
      </c>
      <c r="D54" s="1782">
        <f>D52/D10</f>
        <v>-0.21872128368979307</v>
      </c>
      <c r="E54" s="1782">
        <f>E52/E10</f>
        <v>-0.26260504201680668</v>
      </c>
      <c r="F54" s="1782">
        <f>F52/F10</f>
        <v>-0.23423530960772806</v>
      </c>
      <c r="G54" s="1784" t="s">
        <v>1455</v>
      </c>
      <c r="H54" s="1784" t="s">
        <v>1455</v>
      </c>
      <c r="I54" s="1784" t="s">
        <v>1455</v>
      </c>
      <c r="J54" s="1784" t="s">
        <v>1455</v>
      </c>
      <c r="K54" s="1784" t="s">
        <v>1455</v>
      </c>
      <c r="L54" s="1784" t="s">
        <v>1455</v>
      </c>
      <c r="M54" s="1784" t="s">
        <v>1455</v>
      </c>
      <c r="N54" s="1784" t="s">
        <v>1455</v>
      </c>
      <c r="O54" s="2721" t="s">
        <v>1455</v>
      </c>
      <c r="P54" s="2721" t="s">
        <v>1455</v>
      </c>
      <c r="Q54" s="1784" t="s">
        <v>1455</v>
      </c>
      <c r="R54" s="1784" t="s">
        <v>1455</v>
      </c>
      <c r="S54" s="2721"/>
      <c r="T54" s="1784" t="s">
        <v>1455</v>
      </c>
      <c r="U54" s="1784" t="s">
        <v>1455</v>
      </c>
      <c r="V54" s="1784" t="s">
        <v>1455</v>
      </c>
      <c r="W54" s="1784" t="s">
        <v>1455</v>
      </c>
      <c r="X54" s="1784" t="s">
        <v>1455</v>
      </c>
      <c r="Y54" s="1784" t="s">
        <v>1455</v>
      </c>
      <c r="Z54" s="1784" t="s">
        <v>1455</v>
      </c>
      <c r="AA54" s="1784" t="s">
        <v>1455</v>
      </c>
      <c r="AB54" s="1784" t="s">
        <v>1455</v>
      </c>
      <c r="AC54" s="1784" t="s">
        <v>1455</v>
      </c>
      <c r="AD54" s="1784" t="s">
        <v>1455</v>
      </c>
      <c r="AE54" s="1784" t="s">
        <v>1455</v>
      </c>
      <c r="AF54" s="105"/>
      <c r="AG54" s="1300"/>
      <c r="AH54" s="1300"/>
      <c r="AI54" s="1300"/>
      <c r="AJ54" s="1300"/>
      <c r="AK54" s="1306"/>
      <c r="AL54" s="1285" t="str">
        <f t="shared" si="36"/>
        <v xml:space="preserve">% Margin </v>
      </c>
      <c r="AM54" s="1289">
        <f>AM52/AM10</f>
        <v>-0.19173015940313159</v>
      </c>
      <c r="AN54" s="1289">
        <f>AN52/AN10</f>
        <v>-0.19075257741743529</v>
      </c>
      <c r="AO54" s="1289">
        <f>AO52/AO10</f>
        <v>-0.45374775502436343</v>
      </c>
      <c r="AP54" s="1289">
        <f>AP52/AP10</f>
        <v>-0.1059100688201081</v>
      </c>
      <c r="AQ54" s="1293"/>
      <c r="AR54" s="1289">
        <f>AR52/AR10</f>
        <v>-0.31955026567188605</v>
      </c>
      <c r="AS54" s="1289">
        <f>AS52/AS10</f>
        <v>-0.26954168548115859</v>
      </c>
      <c r="AT54" s="1289">
        <f>AT52/AT10</f>
        <v>-0.1718741496304407</v>
      </c>
      <c r="AU54" s="1289">
        <f>AU52/AU10</f>
        <v>-0.27500800691086408</v>
      </c>
      <c r="AV54" s="1293"/>
      <c r="AW54" s="1289">
        <f>AW52/AW10</f>
        <v>-0.13177330543170557</v>
      </c>
      <c r="AX54" s="1289">
        <f>AX52/AX10</f>
        <v>-0.34616724824336093</v>
      </c>
      <c r="AY54" s="1289">
        <f>AY52/AY10</f>
        <v>-0.19642759957764652</v>
      </c>
      <c r="AZ54" s="1292" t="s">
        <v>1455</v>
      </c>
      <c r="BA54" s="1293"/>
      <c r="BB54" s="1292" t="s">
        <v>1455</v>
      </c>
      <c r="BC54" s="1292" t="s">
        <v>1455</v>
      </c>
      <c r="BD54" s="1292" t="s">
        <v>1455</v>
      </c>
      <c r="BE54" s="1292" t="s">
        <v>1455</v>
      </c>
      <c r="BF54" s="1293"/>
      <c r="BG54" s="1292" t="s">
        <v>1455</v>
      </c>
      <c r="BH54" s="1292" t="s">
        <v>1455</v>
      </c>
      <c r="BI54" s="1292" t="s">
        <v>1455</v>
      </c>
      <c r="BJ54" s="1292" t="s">
        <v>1455</v>
      </c>
      <c r="BK54" s="1293"/>
      <c r="BL54" s="1292" t="s">
        <v>1455</v>
      </c>
      <c r="BM54" s="1292" t="s">
        <v>1455</v>
      </c>
      <c r="BN54" s="1292" t="s">
        <v>1455</v>
      </c>
      <c r="BO54" s="1292" t="s">
        <v>1455</v>
      </c>
      <c r="BP54" s="1293"/>
      <c r="BQ54" s="1292" t="s">
        <v>1455</v>
      </c>
      <c r="BR54" s="1292" t="s">
        <v>1455</v>
      </c>
      <c r="BS54" s="1292" t="s">
        <v>1455</v>
      </c>
      <c r="BT54" s="1292" t="s">
        <v>1455</v>
      </c>
      <c r="BU54" s="186"/>
      <c r="BV54" s="1292" t="s">
        <v>1455</v>
      </c>
      <c r="BW54" s="1292" t="s">
        <v>1455</v>
      </c>
      <c r="BX54" s="1292" t="s">
        <v>1455</v>
      </c>
      <c r="BY54" s="1292" t="s">
        <v>1455</v>
      </c>
      <c r="BZ54" s="1477"/>
      <c r="CA54" s="1742" t="s">
        <v>1455</v>
      </c>
      <c r="CB54" s="1742" t="s">
        <v>1455</v>
      </c>
      <c r="CC54" s="1742" t="s">
        <v>1455</v>
      </c>
      <c r="CD54" s="1742" t="s">
        <v>1455</v>
      </c>
      <c r="CE54" s="1477"/>
      <c r="CF54" s="1742" t="s">
        <v>1455</v>
      </c>
      <c r="CG54" s="1742" t="s">
        <v>1455</v>
      </c>
      <c r="CH54" s="1742" t="s">
        <v>1455</v>
      </c>
      <c r="CI54" s="1742" t="s">
        <v>1455</v>
      </c>
      <c r="CJ54" s="1477"/>
      <c r="CK54" s="1742" t="s">
        <v>1455</v>
      </c>
      <c r="CL54" s="1742" t="s">
        <v>1455</v>
      </c>
      <c r="CM54" s="1742" t="s">
        <v>1455</v>
      </c>
      <c r="CN54" s="1742" t="s">
        <v>1455</v>
      </c>
      <c r="CO54" s="1477"/>
      <c r="CP54" s="1742" t="s">
        <v>1455</v>
      </c>
      <c r="CQ54" s="1742" t="s">
        <v>1455</v>
      </c>
      <c r="CR54" s="1742" t="s">
        <v>1455</v>
      </c>
      <c r="CS54" s="1742" t="s">
        <v>1455</v>
      </c>
      <c r="CT54" s="1477"/>
      <c r="CU54" s="3092" t="s">
        <v>1455</v>
      </c>
      <c r="CV54" s="3092" t="s">
        <v>1455</v>
      </c>
      <c r="CW54" s="3092" t="s">
        <v>1455</v>
      </c>
      <c r="CX54" s="3092" t="s">
        <v>1455</v>
      </c>
      <c r="CY54" s="2937"/>
      <c r="CZ54" s="3092" t="s">
        <v>1455</v>
      </c>
      <c r="DA54" s="3092" t="s">
        <v>1455</v>
      </c>
      <c r="DB54" s="3092" t="s">
        <v>1455</v>
      </c>
      <c r="DC54" s="3092" t="s">
        <v>1455</v>
      </c>
      <c r="DD54" s="2835"/>
      <c r="DE54" s="3092" t="s">
        <v>1455</v>
      </c>
      <c r="DF54" s="3092" t="s">
        <v>1455</v>
      </c>
      <c r="DG54" s="3092" t="s">
        <v>1455</v>
      </c>
      <c r="DH54" s="3092" t="s">
        <v>1455</v>
      </c>
      <c r="DI54" s="1741"/>
      <c r="DJ54" s="186"/>
      <c r="DK54" s="1292"/>
      <c r="DL54" s="186"/>
      <c r="DM54" s="186"/>
      <c r="DN54" s="186"/>
      <c r="DO54" s="186"/>
      <c r="DP54" s="186"/>
      <c r="DQ54" s="186"/>
      <c r="DR54" s="186"/>
      <c r="DS54" s="186"/>
      <c r="DT54" s="186"/>
    </row>
    <row r="55" spans="1:127" ht="11.25" hidden="1" customHeight="1" outlineLevel="1">
      <c r="A55" s="1826" t="s">
        <v>707</v>
      </c>
      <c r="B55" s="1105">
        <f>'Segment Detail'!Y116</f>
        <v>193.95987930356449</v>
      </c>
      <c r="C55" s="1105">
        <f>'Segment Detail'!Z116</f>
        <v>402.66356084176778</v>
      </c>
      <c r="D55" s="1105">
        <f>'Segment Detail'!AA116</f>
        <v>373.63819981996971</v>
      </c>
      <c r="E55" s="1105">
        <f>'Segment Detail'!AB116</f>
        <v>320.31906754648992</v>
      </c>
      <c r="F55" s="1105">
        <f>'Segment Detail'!AC116</f>
        <v>361.73898738906161</v>
      </c>
      <c r="G55" s="1105">
        <f>'Segment Detail'!AD116</f>
        <v>456.64742313755028</v>
      </c>
      <c r="H55" s="1105">
        <f>'Segment Detail'!AE116</f>
        <v>198.90165783132676</v>
      </c>
      <c r="I55" s="1105">
        <f>'Segment Detail'!AF116</f>
        <v>30.114225020536296</v>
      </c>
      <c r="J55" s="1105">
        <f>'Segment Detail'!AG116</f>
        <v>182.08407635205407</v>
      </c>
      <c r="K55" s="1105">
        <f>'Segment Detail'!AH116</f>
        <v>598.38836646660877</v>
      </c>
      <c r="L55" s="1105">
        <f>'Segment Detail'!AI116</f>
        <v>374.0472761089049</v>
      </c>
      <c r="M55" s="1780">
        <f>SUM(CF55:CI55)</f>
        <v>553.47493661637714</v>
      </c>
      <c r="N55" s="1780">
        <f>SUM(CK55:CN55)</f>
        <v>287.28743914900048</v>
      </c>
      <c r="O55" s="2710">
        <f>M55</f>
        <v>553.47493661637714</v>
      </c>
      <c r="P55" s="2710">
        <f>N55</f>
        <v>287.28743914900048</v>
      </c>
      <c r="Q55" s="1780">
        <f>SUM(CP55:CS55)</f>
        <v>334.24855144778314</v>
      </c>
      <c r="R55" s="1780">
        <f>SUM(CU55:CX55)</f>
        <v>576.55054226253264</v>
      </c>
      <c r="S55" s="2710">
        <f>R55</f>
        <v>576.55054226253264</v>
      </c>
      <c r="T55" s="1780">
        <f>SUM(CZ55:DC55)</f>
        <v>574.05729983471667</v>
      </c>
      <c r="U55" s="2890">
        <f>SUM(DE55:DH55)</f>
        <v>589.66937121918886</v>
      </c>
      <c r="V55" s="1105">
        <f>'Segment Detail'!AP116</f>
        <v>676.22691593801301</v>
      </c>
      <c r="W55" s="1105">
        <f>'Segment Detail'!AQ116</f>
        <v>738.00136905085594</v>
      </c>
      <c r="X55" s="1105">
        <f>'Segment Detail'!AR116</f>
        <v>824.33599257280866</v>
      </c>
      <c r="Y55" s="1105">
        <f>'Segment Detail'!AS116</f>
        <v>854.54674295481459</v>
      </c>
      <c r="Z55" s="1105">
        <f>'Segment Detail'!AT116</f>
        <v>712.55071153684071</v>
      </c>
      <c r="AA55" s="1105">
        <f>'Segment Detail'!AU116</f>
        <v>613.41145555873004</v>
      </c>
      <c r="AB55" s="1105">
        <f>'Segment Detail'!AV116</f>
        <v>638.66510921232214</v>
      </c>
      <c r="AC55" s="1105">
        <f>'Segment Detail'!AW116</f>
        <v>457.29356523796645</v>
      </c>
      <c r="AD55" s="1105">
        <f>'Segment Detail'!AX116</f>
        <v>417.46576137970226</v>
      </c>
      <c r="AE55" s="1105">
        <f>'Segment Detail'!AY116</f>
        <v>355.28717804672732</v>
      </c>
      <c r="AF55" s="105"/>
      <c r="AG55" s="105"/>
      <c r="AH55" s="105"/>
      <c r="AI55" s="105"/>
      <c r="AJ55" s="105"/>
      <c r="AK55" s="350"/>
      <c r="AL55" s="1106" t="str">
        <f t="shared" si="36"/>
        <v xml:space="preserve">Broadcast Network </v>
      </c>
      <c r="AM55" s="105">
        <f>'Segment Detail'!CO116</f>
        <v>43.885040216</v>
      </c>
      <c r="AN55" s="105">
        <f>'Segment Detail'!CP116</f>
        <v>111.84471547273701</v>
      </c>
      <c r="AO55" s="105">
        <f>'Segment Detail'!CQ116</f>
        <v>42.136884106880004</v>
      </c>
      <c r="AP55" s="105">
        <f>'Segment Detail'!CR116</f>
        <v>175.77156002435271</v>
      </c>
      <c r="AQ55" s="1120">
        <f>D55-SUM(AM55:AP55)</f>
        <v>0</v>
      </c>
      <c r="AR55" s="105">
        <f>'Segment Detail'!CT116</f>
        <v>54.120064345599999</v>
      </c>
      <c r="AS55" s="105">
        <f>'Segment Detail'!CU116</f>
        <v>134.26883851398776</v>
      </c>
      <c r="AT55" s="105">
        <f>'Segment Detail'!CV116</f>
        <v>73.755225127808004</v>
      </c>
      <c r="AU55" s="105">
        <f>'Segment Detail'!CW116</f>
        <v>58.174939559094184</v>
      </c>
      <c r="AV55" s="1120">
        <f>E55-SUM(AR55:AU55)</f>
        <v>0</v>
      </c>
      <c r="AW55" s="105">
        <f>'Segment Detail'!CY116</f>
        <v>67.157745246438395</v>
      </c>
      <c r="AX55" s="105">
        <f>'Segment Detail'!CZ116</f>
        <v>92.283181126492508</v>
      </c>
      <c r="AY55" s="105">
        <f>'Segment Detail'!DA116</f>
        <v>77.011553504725114</v>
      </c>
      <c r="AZ55" s="105">
        <f>'Segment Detail'!DB116</f>
        <v>125.2865075114056</v>
      </c>
      <c r="BA55" s="1120">
        <f>F55-SUM(AW55:AZ55)</f>
        <v>0</v>
      </c>
      <c r="BB55" s="105">
        <f>'Segment Detail'!DD116</f>
        <v>84.678801615277436</v>
      </c>
      <c r="BC55" s="105">
        <f>'Segment Detail'!DE116</f>
        <v>107.88318112649252</v>
      </c>
      <c r="BD55" s="105">
        <f>'Segment Detail'!DF116</f>
        <v>104.05414148978352</v>
      </c>
      <c r="BE55" s="105">
        <f>'Segment Detail'!DG116</f>
        <v>160.03129890599678</v>
      </c>
      <c r="BF55" s="1120">
        <f>G55-SUM(BB55:BE55)</f>
        <v>0</v>
      </c>
      <c r="BG55" s="105">
        <f>'Segment Detail'!DI116</f>
        <v>35.792612791485951</v>
      </c>
      <c r="BH55" s="105">
        <f>'Segment Detail'!DJ116</f>
        <v>113.27734018281714</v>
      </c>
      <c r="BI55" s="105">
        <f>'Segment Detail'!DK116</f>
        <v>22.631775774027915</v>
      </c>
      <c r="BJ55" s="105">
        <f>'Segment Detail'!DL116</f>
        <v>27.199929082995766</v>
      </c>
      <c r="BK55" s="1120">
        <f>H55-SUM(BG55:BJ55)</f>
        <v>0</v>
      </c>
      <c r="BL55" s="105">
        <f>'Segment Detail'!DN116</f>
        <v>-43.619264121890872</v>
      </c>
      <c r="BM55" s="105">
        <f>'Segment Detail'!DO116</f>
        <v>0</v>
      </c>
      <c r="BN55" s="105">
        <f>'Segment Detail'!DP116</f>
        <v>33.947663661041872</v>
      </c>
      <c r="BO55" s="105">
        <f>'Segment Detail'!DQ116</f>
        <v>39.785825481385295</v>
      </c>
      <c r="BP55" s="1120">
        <f>I55-SUM(BL55:BO55)</f>
        <v>0</v>
      </c>
      <c r="BQ55" s="14">
        <f>BQ49+BQ52</f>
        <v>27.262040076181798</v>
      </c>
      <c r="BR55" s="14">
        <f>BR49+BR52</f>
        <v>33.70886894090318</v>
      </c>
      <c r="BS55" s="14">
        <f>BS49+BS52</f>
        <v>56.504000182489712</v>
      </c>
      <c r="BT55" s="14">
        <f>BT49+BT52</f>
        <v>64.609167152479387</v>
      </c>
      <c r="BU55" s="1120">
        <f>J55-SUM(BQ55:BT55)</f>
        <v>0</v>
      </c>
      <c r="BV55" s="14">
        <f>BV49+BV52</f>
        <v>119.13511513291446</v>
      </c>
      <c r="BW55" s="14">
        <f>BW49+BW52</f>
        <v>138.8805400365211</v>
      </c>
      <c r="BX55" s="14">
        <f>BX49+BX52</f>
        <v>154.90168050028251</v>
      </c>
      <c r="BY55" s="14">
        <f>BY49+BY52</f>
        <v>185.47103079689072</v>
      </c>
      <c r="BZ55" s="1741">
        <f>K55-SUM(BV55:BY55)</f>
        <v>0</v>
      </c>
      <c r="CA55" s="1357">
        <f>CA49+CA52</f>
        <v>90.417282116664566</v>
      </c>
      <c r="CB55" s="1357">
        <f>CB49+CB52</f>
        <v>89.280347166334991</v>
      </c>
      <c r="CC55" s="1357">
        <f>CC49+CC52</f>
        <v>69.298120223810585</v>
      </c>
      <c r="CD55" s="1357">
        <f>CD49+CD52</f>
        <v>125.05152660209473</v>
      </c>
      <c r="CE55" s="1741">
        <f>L55-SUM(CA55:CD55)</f>
        <v>0</v>
      </c>
      <c r="CF55" s="1357">
        <f>CF49+CF52</f>
        <v>127.90816230861012</v>
      </c>
      <c r="CG55" s="1357">
        <f>CG49+CG52</f>
        <v>101.77959576962191</v>
      </c>
      <c r="CH55" s="1357">
        <f>CH49+CH52</f>
        <v>136.65589308135449</v>
      </c>
      <c r="CI55" s="1357">
        <f>CI49+CI52</f>
        <v>187.13128545679064</v>
      </c>
      <c r="CJ55" s="1741">
        <f>M55-SUM(CF55:CI55)</f>
        <v>0</v>
      </c>
      <c r="CK55" s="1465">
        <f>CK49+CK52</f>
        <v>122.6413556253144</v>
      </c>
      <c r="CL55" s="1465">
        <f>CL49+CL52</f>
        <v>72.517961985855607</v>
      </c>
      <c r="CM55" s="1465">
        <f>CM49+CM52</f>
        <v>40.594838827108248</v>
      </c>
      <c r="CN55" s="1357">
        <f>CN49+CN52</f>
        <v>51.533282710722183</v>
      </c>
      <c r="CO55" s="1741">
        <f>$N55-SUM(CK55:CN55)</f>
        <v>0</v>
      </c>
      <c r="CP55" s="1465">
        <f>CP49+CP52</f>
        <v>73.658398188563808</v>
      </c>
      <c r="CQ55" s="1465">
        <f>CQ49+CQ52</f>
        <v>30.370522479676325</v>
      </c>
      <c r="CR55" s="1465">
        <f>CR49+CR52</f>
        <v>77.027894777661345</v>
      </c>
      <c r="CS55" s="1357">
        <f>CS49+CS52</f>
        <v>153.19173600188168</v>
      </c>
      <c r="CT55" s="1741">
        <f>$Q55-SUM(CP55:CS55)</f>
        <v>0</v>
      </c>
      <c r="CU55" s="2806">
        <f>CU49+CU52</f>
        <v>269.43137181403813</v>
      </c>
      <c r="CV55" s="2806">
        <f>CV49+CV52</f>
        <v>77.28629819583071</v>
      </c>
      <c r="CW55" s="2806">
        <f>CW49+CW52</f>
        <v>81.51541875993297</v>
      </c>
      <c r="CX55" s="2806">
        <f>CX49+CX52</f>
        <v>148.31745349273089</v>
      </c>
      <c r="CY55" s="2835">
        <f>S55-SUM(CU55:CX55)</f>
        <v>0</v>
      </c>
      <c r="CZ55" s="2806">
        <f>CZ49+CZ52</f>
        <v>228.83796156062718</v>
      </c>
      <c r="DA55" s="2806">
        <f>DA49+DA52</f>
        <v>89.66598633395553</v>
      </c>
      <c r="DB55" s="2806">
        <f>DB49+DB52</f>
        <v>141.28614670221626</v>
      </c>
      <c r="DC55" s="2806">
        <f>DC49+DC52</f>
        <v>114.26720523791762</v>
      </c>
      <c r="DD55" s="2835">
        <f>T55-SUM(CZ55:DC55)</f>
        <v>0</v>
      </c>
      <c r="DE55" s="2806">
        <f t="shared" ref="DE55:DG55" si="72">DE49+DE52</f>
        <v>218.8129853481185</v>
      </c>
      <c r="DF55" s="2806">
        <f t="shared" si="72"/>
        <v>99.880094223960157</v>
      </c>
      <c r="DG55" s="2806">
        <f t="shared" si="72"/>
        <v>167.03172511573834</v>
      </c>
      <c r="DH55" s="2806">
        <f>DH49+DH52</f>
        <v>103.94456653137189</v>
      </c>
      <c r="DI55" s="2835">
        <f t="shared" ref="DI55:DI99" si="73">U55-SUM(DE55:DH55)</f>
        <v>0</v>
      </c>
      <c r="DJ55" s="1120"/>
      <c r="DK55" s="14"/>
      <c r="DL55" s="186"/>
      <c r="DM55" s="186"/>
      <c r="DN55" s="186"/>
      <c r="DO55" s="186"/>
      <c r="DP55" s="186"/>
      <c r="DQ55" s="186"/>
      <c r="DR55" s="186"/>
      <c r="DS55" s="186"/>
      <c r="DT55" s="186"/>
    </row>
    <row r="56" spans="1:127" ht="11.25" hidden="1" customHeight="1" outlineLevel="1">
      <c r="A56" s="1827" t="s">
        <v>344</v>
      </c>
      <c r="B56" s="1364">
        <f>'Segment Detail'!Y117</f>
        <v>0.62718019549970228</v>
      </c>
      <c r="C56" s="1364">
        <f t="shared" ref="C56:J56" si="74">C55/B55-1</f>
        <v>1.0760147010174377</v>
      </c>
      <c r="D56" s="1364">
        <f t="shared" si="74"/>
        <v>-7.2083406209195067E-2</v>
      </c>
      <c r="E56" s="1364">
        <f t="shared" si="74"/>
        <v>-0.14270257243282558</v>
      </c>
      <c r="F56" s="1364">
        <f t="shared" si="74"/>
        <v>0.12930831798378706</v>
      </c>
      <c r="G56" s="1364">
        <f t="shared" si="74"/>
        <v>0.2623671737279778</v>
      </c>
      <c r="H56" s="1364">
        <f t="shared" si="74"/>
        <v>-0.56443056994670904</v>
      </c>
      <c r="I56" s="1364">
        <f t="shared" si="74"/>
        <v>-0.84859741568331293</v>
      </c>
      <c r="J56" s="1364">
        <f t="shared" si="74"/>
        <v>5.0464473592756391</v>
      </c>
      <c r="K56" s="1364">
        <f t="shared" ref="K56:W56" si="75">K55/J55-1</f>
        <v>2.2863300210263469</v>
      </c>
      <c r="L56" s="1364">
        <f t="shared" si="75"/>
        <v>-0.37490884336940489</v>
      </c>
      <c r="M56" s="1364">
        <f t="shared" si="75"/>
        <v>0.47969246661545362</v>
      </c>
      <c r="N56" s="1364">
        <f t="shared" si="75"/>
        <v>-0.48093866561454746</v>
      </c>
      <c r="O56" s="2711"/>
      <c r="P56" s="2711">
        <f t="shared" si="75"/>
        <v>-0.48093866561454746</v>
      </c>
      <c r="Q56" s="1364">
        <f t="shared" si="75"/>
        <v>0.16346385500838578</v>
      </c>
      <c r="R56" s="1364">
        <f t="shared" si="75"/>
        <v>0.72491560476546235</v>
      </c>
      <c r="S56" s="2711"/>
      <c r="T56" s="1364">
        <f>T55/R55-1</f>
        <v>-4.3244125970844927E-3</v>
      </c>
      <c r="U56" s="1364">
        <f>U55/T55-1</f>
        <v>2.7196015779203941E-2</v>
      </c>
      <c r="V56" s="1364">
        <f t="shared" si="75"/>
        <v>0.14678996221197571</v>
      </c>
      <c r="W56" s="1364">
        <f t="shared" si="75"/>
        <v>9.1351662669554967E-2</v>
      </c>
      <c r="X56" s="1364">
        <f t="shared" ref="X56:AE56" si="76">X55/W55-1</f>
        <v>0.11698436770244447</v>
      </c>
      <c r="Y56" s="1364">
        <f t="shared" si="76"/>
        <v>3.6648588262798265E-2</v>
      </c>
      <c r="Z56" s="1364">
        <f t="shared" si="76"/>
        <v>-0.16616531815098401</v>
      </c>
      <c r="AA56" s="1364">
        <f t="shared" si="76"/>
        <v>-0.13913291274986661</v>
      </c>
      <c r="AB56" s="1364">
        <f t="shared" si="76"/>
        <v>4.1169191453377163E-2</v>
      </c>
      <c r="AC56" s="1364">
        <f t="shared" si="76"/>
        <v>-0.2839853647211833</v>
      </c>
      <c r="AD56" s="1364">
        <f t="shared" si="76"/>
        <v>-8.7094608115770411E-2</v>
      </c>
      <c r="AE56" s="1364">
        <f t="shared" si="76"/>
        <v>-0.14894295313579253</v>
      </c>
      <c r="AF56" s="105"/>
      <c r="AG56" s="1104"/>
      <c r="AH56" s="1104"/>
      <c r="AI56" s="1104"/>
      <c r="AJ56" s="1104"/>
      <c r="AK56" s="1306"/>
      <c r="AL56" s="1294" t="str">
        <f t="shared" si="36"/>
        <v xml:space="preserve">% Change </v>
      </c>
      <c r="AM56" s="1286" t="s">
        <v>1455</v>
      </c>
      <c r="AN56" s="1286" t="s">
        <v>1455</v>
      </c>
      <c r="AO56" s="1286" t="s">
        <v>1455</v>
      </c>
      <c r="AP56" s="1286" t="s">
        <v>1455</v>
      </c>
      <c r="AQ56" s="1293"/>
      <c r="AR56" s="1104">
        <f>AR55/AM55-1</f>
        <v>0.23322353310430421</v>
      </c>
      <c r="AS56" s="1104">
        <f>AS55/AN55-1</f>
        <v>0.20049336212685698</v>
      </c>
      <c r="AT56" s="1104">
        <f>AT55/AO55-1</f>
        <v>0.75037207166833286</v>
      </c>
      <c r="AU56" s="1104">
        <f>AU55/AP55-1</f>
        <v>-0.66903098799922933</v>
      </c>
      <c r="AV56" s="1293"/>
      <c r="AW56" s="1104">
        <f>AW55/AR55-1</f>
        <v>0.2409029083480454</v>
      </c>
      <c r="AX56" s="1104">
        <f>AX55/AS55-1</f>
        <v>-0.31269844777216349</v>
      </c>
      <c r="AY56" s="1104">
        <f>AY55/AT55-1</f>
        <v>4.4150477085173723E-2</v>
      </c>
      <c r="AZ56" s="1104">
        <f>AZ55/AU55-1</f>
        <v>1.1536164620186566</v>
      </c>
      <c r="BA56" s="1293"/>
      <c r="BB56" s="1104">
        <f>BB55/AW55-1</f>
        <v>0.26089405331499327</v>
      </c>
      <c r="BC56" s="1104">
        <f>BC55/AX55-1</f>
        <v>0.16904488780698945</v>
      </c>
      <c r="BD56" s="1104">
        <f>BD55/AY55-1</f>
        <v>0.35114975291855632</v>
      </c>
      <c r="BE56" s="1104">
        <f>BE55/AZ55-1</f>
        <v>0.2773226908845563</v>
      </c>
      <c r="BF56" s="1293"/>
      <c r="BG56" s="1104">
        <f>BG55/BB55-1</f>
        <v>-0.57731318690475675</v>
      </c>
      <c r="BH56" s="1104">
        <f>BH55/BC55-1</f>
        <v>5.0000000000000044E-2</v>
      </c>
      <c r="BI56" s="1104">
        <f>BI55/BD55-1</f>
        <v>-0.78249999999999997</v>
      </c>
      <c r="BJ56" s="1104">
        <f>BJ55/BE55-1</f>
        <v>-0.83003369172818409</v>
      </c>
      <c r="BK56" s="1293"/>
      <c r="BL56" s="1104">
        <f>BL55/BG55-1</f>
        <v>-2.2186666666666666</v>
      </c>
      <c r="BM56" s="1104">
        <f>BM55/BH55-1</f>
        <v>-1</v>
      </c>
      <c r="BN56" s="1104">
        <f>BN55/BI55-1</f>
        <v>0.5</v>
      </c>
      <c r="BO56" s="1104">
        <f>BO55/BJ55-1</f>
        <v>0.46271798577069423</v>
      </c>
      <c r="BP56" s="1293"/>
      <c r="BQ56" s="1104">
        <f>-(BQ55/BL55-1)</f>
        <v>1.625</v>
      </c>
      <c r="BR56" s="1305" t="s">
        <v>348</v>
      </c>
      <c r="BS56" s="1104">
        <f>BS55/BN55-1</f>
        <v>0.66444444444444506</v>
      </c>
      <c r="BT56" s="1104">
        <f>BT55/BO55-1</f>
        <v>0.62392425872144486</v>
      </c>
      <c r="BU56" s="186"/>
      <c r="BV56" s="1104">
        <f>(BV55/BQ55-1)</f>
        <v>3.37</v>
      </c>
      <c r="BW56" s="1104">
        <f>(BW55/BR55-1)</f>
        <v>3.12</v>
      </c>
      <c r="BX56" s="1104">
        <f>(BX55/BS55-1)</f>
        <v>1.7414285714285715</v>
      </c>
      <c r="BY56" s="1104">
        <f>(BY55/BT55-1)</f>
        <v>1.8706612230300701</v>
      </c>
      <c r="BZ56" s="1477"/>
      <c r="CA56" s="1364">
        <f>(CA55/BV55-1)</f>
        <v>-0.2410526315789473</v>
      </c>
      <c r="CB56" s="1364">
        <f>(CB55/BW55-1)</f>
        <v>-0.3571428571428571</v>
      </c>
      <c r="CC56" s="1364">
        <f>(CC55/BX55-1)</f>
        <v>-0.55263157894736847</v>
      </c>
      <c r="CD56" s="1364">
        <f>(CD55/BY55-1)</f>
        <v>-0.32576248665464835</v>
      </c>
      <c r="CE56" s="1477"/>
      <c r="CF56" s="1364">
        <f>(CF55/CA55-1)</f>
        <v>0.41464285714285709</v>
      </c>
      <c r="CG56" s="1364">
        <f>(CG55/CB55-1)</f>
        <v>0.14000000000000012</v>
      </c>
      <c r="CH56" s="1364">
        <f>(CH55/CC55-1)</f>
        <v>0.9720000000000002</v>
      </c>
      <c r="CI56" s="1364">
        <f>(CI55/CD55-1)</f>
        <v>0.4964334346131527</v>
      </c>
      <c r="CJ56" s="1477"/>
      <c r="CK56" s="1364">
        <f>(CK55/CF55-1)</f>
        <v>-4.1176470588235259E-2</v>
      </c>
      <c r="CL56" s="1364">
        <f>(CL55/CG55-1)</f>
        <v>-0.28749999999999998</v>
      </c>
      <c r="CM56" s="1364">
        <f>(CM55/CH55-1)</f>
        <v>-0.70294117647058818</v>
      </c>
      <c r="CN56" s="1364">
        <f>(CN55/CI55-1)</f>
        <v>-0.72461428571428566</v>
      </c>
      <c r="CO56" s="1477"/>
      <c r="CP56" s="2008">
        <f>(CP55/CK55-1)</f>
        <v>-0.3994000000000002</v>
      </c>
      <c r="CQ56" s="2008">
        <f>(CQ55/CL55-1)</f>
        <v>-0.58120000000000005</v>
      </c>
      <c r="CR56" s="2008">
        <f>(CR55/CM55-1)</f>
        <v>0.89747999999999961</v>
      </c>
      <c r="CS56" s="1364">
        <f>(CS55/CN55-1)</f>
        <v>1.9726756756756756</v>
      </c>
      <c r="CT56" s="1741"/>
      <c r="CU56" s="2827">
        <f>(CU55/CP55-1)</f>
        <v>2.6578500000000003</v>
      </c>
      <c r="CV56" s="2827">
        <f>(CV55/CQ55-1)</f>
        <v>1.5447799999999998</v>
      </c>
      <c r="CW56" s="2827">
        <f>(CW55/CR55-1)</f>
        <v>5.8258426966292243E-2</v>
      </c>
      <c r="CX56" s="2827">
        <f>(CX55/CS55-1)</f>
        <v>-3.1818181818181857E-2</v>
      </c>
      <c r="CY56" s="2937"/>
      <c r="CZ56" s="2827">
        <f>(CZ55/CU55-1)</f>
        <v>-0.15066326530612251</v>
      </c>
      <c r="DA56" s="2827">
        <f>(DA55/CV55-1)</f>
        <v>0.16017959751101984</v>
      </c>
      <c r="DB56" s="2827">
        <f>(DB55/CW55-1)</f>
        <v>0.73324444444444437</v>
      </c>
      <c r="DC56" s="2827">
        <f>(DC55/CX55-1)</f>
        <v>-0.22957681279554931</v>
      </c>
      <c r="DD56" s="2835"/>
      <c r="DE56" s="2827">
        <f t="shared" ref="DE56:DG56" si="77">(DE55/CZ55-1)</f>
        <v>-4.3808186998959608E-2</v>
      </c>
      <c r="DF56" s="2827">
        <f t="shared" si="77"/>
        <v>0.11391284820046255</v>
      </c>
      <c r="DG56" s="2827">
        <f t="shared" si="77"/>
        <v>0.18222294976863584</v>
      </c>
      <c r="DH56" s="2827">
        <f>(DH55/DC55-1)</f>
        <v>-9.0337719252455595E-2</v>
      </c>
      <c r="DI56" s="2835"/>
      <c r="DJ56" s="186"/>
      <c r="DK56" s="1104"/>
      <c r="DL56" s="186"/>
      <c r="DM56" s="186"/>
      <c r="DN56" s="186"/>
      <c r="DO56" s="186"/>
      <c r="DP56" s="186"/>
      <c r="DQ56" s="186"/>
      <c r="DR56" s="186"/>
      <c r="DS56" s="186"/>
      <c r="DT56" s="186"/>
    </row>
    <row r="57" spans="1:127" ht="11.25" hidden="1" customHeight="1" outlineLevel="1">
      <c r="A57" s="1827" t="s">
        <v>1208</v>
      </c>
      <c r="B57" s="1364">
        <f t="shared" ref="B57:J57" si="78">B55/B12</f>
        <v>5.1387032746387444E-2</v>
      </c>
      <c r="C57" s="1364">
        <f t="shared" si="78"/>
        <v>0.1009161640636209</v>
      </c>
      <c r="D57" s="1364">
        <f t="shared" si="78"/>
        <v>8.3582438321472843E-2</v>
      </c>
      <c r="E57" s="1364">
        <f t="shared" si="78"/>
        <v>6.9049953980397732E-2</v>
      </c>
      <c r="F57" s="1364">
        <f t="shared" si="78"/>
        <v>8.1061199757403168E-2</v>
      </c>
      <c r="G57" s="1364">
        <f t="shared" si="78"/>
        <v>0.10388441587674692</v>
      </c>
      <c r="H57" s="1364">
        <f t="shared" si="78"/>
        <v>5.119500651119168E-2</v>
      </c>
      <c r="I57" s="1364">
        <f t="shared" si="78"/>
        <v>7.8276475460190495E-3</v>
      </c>
      <c r="J57" s="1364">
        <f t="shared" si="78"/>
        <v>4.218372278250284E-2</v>
      </c>
      <c r="K57" s="1364">
        <f t="shared" ref="K57:V57" si="79">K55/K12</f>
        <v>0.13807738017654911</v>
      </c>
      <c r="L57" s="1364">
        <f t="shared" si="79"/>
        <v>9.0268717904333329E-2</v>
      </c>
      <c r="M57" s="1364">
        <f t="shared" si="79"/>
        <v>0.11869228091098587</v>
      </c>
      <c r="N57" s="1364">
        <f>N55/N12</f>
        <v>6.5322174165284796E-2</v>
      </c>
      <c r="O57" s="2711">
        <f>O55/O12</f>
        <v>0.11869228091098587</v>
      </c>
      <c r="P57" s="2711">
        <f>P55/P12</f>
        <v>6.5322174165284796E-2</v>
      </c>
      <c r="Q57" s="1364">
        <f>Q55/Q12</f>
        <v>7.1837164084780664E-2</v>
      </c>
      <c r="R57" s="1364">
        <f t="shared" si="79"/>
        <v>0.10918516364396487</v>
      </c>
      <c r="S57" s="2711"/>
      <c r="T57" s="1364">
        <f t="shared" si="79"/>
        <v>0.11117933726095738</v>
      </c>
      <c r="U57" s="1364">
        <f>U55/U12</f>
        <v>0.10891807094616794</v>
      </c>
      <c r="V57" s="1364">
        <f t="shared" si="79"/>
        <v>0.10988978988192259</v>
      </c>
      <c r="W57" s="1364">
        <f t="shared" ref="W57:AB57" si="80">W55/W12</f>
        <v>0.12164301062398228</v>
      </c>
      <c r="X57" s="1364">
        <f t="shared" si="80"/>
        <v>0.12824251224738398</v>
      </c>
      <c r="Y57" s="1364">
        <f t="shared" si="80"/>
        <v>0.12071155648302651</v>
      </c>
      <c r="Z57" s="1364">
        <f t="shared" si="80"/>
        <v>0.10464159722439006</v>
      </c>
      <c r="AA57" s="1364">
        <f t="shared" si="80"/>
        <v>8.8474159584429363E-2</v>
      </c>
      <c r="AB57" s="1364">
        <f t="shared" si="80"/>
        <v>8.2620643329807036E-2</v>
      </c>
      <c r="AC57" s="1364">
        <f>AC55/AC12</f>
        <v>6.3145790387118039E-2</v>
      </c>
      <c r="AD57" s="1364">
        <f>AD55/AD12</f>
        <v>5.6028009337226452E-2</v>
      </c>
      <c r="AE57" s="1364">
        <f>AE55/AE12</f>
        <v>4.3031204314356968E-2</v>
      </c>
      <c r="AF57" s="105"/>
      <c r="AG57" s="1104"/>
      <c r="AH57" s="1104"/>
      <c r="AI57" s="1104"/>
      <c r="AJ57" s="1104"/>
      <c r="AK57" s="1306"/>
      <c r="AL57" s="1294" t="str">
        <f t="shared" si="36"/>
        <v xml:space="preserve">% Margin </v>
      </c>
      <c r="AM57" s="1104">
        <f>AM55/AM12</f>
        <v>3.286939538563019E-2</v>
      </c>
      <c r="AN57" s="1104">
        <f>AN55/AN12</f>
        <v>0.11711765944603979</v>
      </c>
      <c r="AO57" s="1104">
        <f>AO55/AO12</f>
        <v>5.2471930468169933E-2</v>
      </c>
      <c r="AP57" s="1104">
        <f>AP55/AP12</f>
        <v>0.1276345019133755</v>
      </c>
      <c r="AQ57" s="1293"/>
      <c r="AR57" s="1104">
        <f>AR55/AR12</f>
        <v>4.1697458703937144E-2</v>
      </c>
      <c r="AS57" s="1104">
        <f>AS55/AS12</f>
        <v>0.12860127990589221</v>
      </c>
      <c r="AT57" s="1104">
        <f>AT55/AT12</f>
        <v>8.234051147520921E-2</v>
      </c>
      <c r="AU57" s="1104">
        <f>AU55/AU12</f>
        <v>4.1517367803617096E-2</v>
      </c>
      <c r="AV57" s="1293"/>
      <c r="AW57" s="1104">
        <f>AW55/AW12</f>
        <v>5.1135102386740176E-2</v>
      </c>
      <c r="AX57" s="1104">
        <f>AX55/AX12</f>
        <v>8.887421864121299E-2</v>
      </c>
      <c r="AY57" s="1104">
        <f>AY55/AY12</f>
        <v>8.6447951774514545E-2</v>
      </c>
      <c r="AZ57" s="1104">
        <f>AZ55/AZ12</f>
        <v>0.10269367670712423</v>
      </c>
      <c r="BA57" s="1293"/>
      <c r="BB57" s="1104">
        <f>BB55/BB12</f>
        <v>0.06</v>
      </c>
      <c r="BC57" s="1104">
        <f>BC55/BC12</f>
        <v>0.12000000000000001</v>
      </c>
      <c r="BD57" s="1104">
        <f>BD55/BD12</f>
        <v>0.12</v>
      </c>
      <c r="BE57" s="1104">
        <f>BE55/BE12</f>
        <v>0.13135965772436323</v>
      </c>
      <c r="BF57" s="1293"/>
      <c r="BG57" s="1104">
        <f>BG55/BG12</f>
        <v>3.0000000000000002E-2</v>
      </c>
      <c r="BH57" s="1104">
        <f>BH55/BH12</f>
        <v>0.12</v>
      </c>
      <c r="BI57" s="1104">
        <f>BI55/BI12</f>
        <v>2.9999999999999995E-2</v>
      </c>
      <c r="BJ57" s="1104">
        <f>BJ55/BJ12</f>
        <v>2.7371838777692888E-2</v>
      </c>
      <c r="BK57" s="1293"/>
      <c r="BL57" s="1104">
        <f>BL55/BL12</f>
        <v>-0.04</v>
      </c>
      <c r="BM57" s="1104">
        <f>BM55/BM12</f>
        <v>0</v>
      </c>
      <c r="BN57" s="1104">
        <f>BN55/BN12</f>
        <v>4.4999999999999998E-2</v>
      </c>
      <c r="BO57" s="1104">
        <f>BO55/BO12</f>
        <v>3.6455644104670094E-2</v>
      </c>
      <c r="BP57" s="1293"/>
      <c r="BQ57" s="1104">
        <f>BQ55/BQ12</f>
        <v>0.02</v>
      </c>
      <c r="BR57" s="1104">
        <f>BR55/BR12</f>
        <v>3.5000000000000003E-2</v>
      </c>
      <c r="BS57" s="1104">
        <f>BS55/BS12</f>
        <v>7.0000000000000007E-2</v>
      </c>
      <c r="BT57" s="1104">
        <f>BT55/BT12</f>
        <v>5.4612791684619945E-2</v>
      </c>
      <c r="BU57" s="186"/>
      <c r="BV57" s="1104">
        <f>BV55/BV12</f>
        <v>9.5000000000000001E-2</v>
      </c>
      <c r="BW57" s="1104">
        <f>BW55/BW12</f>
        <v>0.14000000000000001</v>
      </c>
      <c r="BX57" s="1104">
        <f>BX55/BX12</f>
        <v>0.19000000000000003</v>
      </c>
      <c r="BY57" s="1104">
        <f>BY55/BY12</f>
        <v>0.14576611253756386</v>
      </c>
      <c r="BZ57" s="1477"/>
      <c r="CA57" s="1364">
        <f>CA55/CA12</f>
        <v>7.0000000000000007E-2</v>
      </c>
      <c r="CB57" s="1364">
        <f>CB55/CB12</f>
        <v>0.1</v>
      </c>
      <c r="CC57" s="1364">
        <f>CC55/CC12</f>
        <v>9.9999999999999992E-2</v>
      </c>
      <c r="CD57" s="1364">
        <f>CD55/CD12</f>
        <v>9.8757483347867117E-2</v>
      </c>
      <c r="CE57" s="1477"/>
      <c r="CF57" s="1364">
        <f>CF55/CF12</f>
        <v>8.5000000000000006E-2</v>
      </c>
      <c r="CG57" s="1364">
        <f>CG55/CG12</f>
        <v>0.1</v>
      </c>
      <c r="CH57" s="1364">
        <f>CH55/CH12</f>
        <v>0.17</v>
      </c>
      <c r="CI57" s="1364">
        <f>CI55/CI12</f>
        <v>0.14000000000000001</v>
      </c>
      <c r="CJ57" s="1477"/>
      <c r="CK57" s="1364">
        <f>CK55/CK12</f>
        <v>0.1</v>
      </c>
      <c r="CL57" s="1364">
        <f>CL55/CL12</f>
        <v>7.4999999999999997E-2</v>
      </c>
      <c r="CM57" s="1364">
        <f>CM55/CM12</f>
        <v>5.000000000000001E-2</v>
      </c>
      <c r="CN57" s="1364">
        <f>CN55/CN12</f>
        <v>3.6999999999999998E-2</v>
      </c>
      <c r="CO57" s="1477"/>
      <c r="CP57" s="2008">
        <f>CP55/CP12</f>
        <v>0.06</v>
      </c>
      <c r="CQ57" s="2008">
        <f>CQ55/CQ12</f>
        <v>0.03</v>
      </c>
      <c r="CR57" s="2008">
        <f>CR55/CR12</f>
        <v>8.8999999999999996E-2</v>
      </c>
      <c r="CS57" s="1364">
        <f>CS55/CS12</f>
        <v>9.9000000000000005E-2</v>
      </c>
      <c r="CT57" s="1741"/>
      <c r="CU57" s="2827">
        <f>CU55/CU12</f>
        <v>0.14699999999999999</v>
      </c>
      <c r="CV57" s="2827">
        <f>CV55/CV12</f>
        <v>7.2999999999999995E-2</v>
      </c>
      <c r="CW57" s="2827">
        <f>CW55/CW12</f>
        <v>0.09</v>
      </c>
      <c r="CX57" s="2827">
        <f>CX55/CX12</f>
        <v>9.9999999999999992E-2</v>
      </c>
      <c r="CY57" s="2937"/>
      <c r="CZ57" s="2827">
        <f>CZ55/CZ12</f>
        <v>0.155</v>
      </c>
      <c r="DA57" s="2827">
        <f>DA55/DA12</f>
        <v>7.5886484134496154E-2</v>
      </c>
      <c r="DB57" s="2827">
        <f>DB55/DB12</f>
        <v>0.14799999999999999</v>
      </c>
      <c r="DC57" s="2827">
        <f>DC55/DC12</f>
        <v>7.3684900315704085E-2</v>
      </c>
      <c r="DD57" s="2835"/>
      <c r="DE57" s="2827">
        <f t="shared" ref="DE57:DG57" si="81">DE55/DE12</f>
        <v>0.13903068146276507</v>
      </c>
      <c r="DF57" s="2827">
        <f t="shared" si="81"/>
        <v>8.4642859344052093E-2</v>
      </c>
      <c r="DG57" s="2827">
        <f t="shared" si="81"/>
        <v>0.16146715898604314</v>
      </c>
      <c r="DH57" s="2827">
        <f>DH55/DH12</f>
        <v>6.3944133557325838E-2</v>
      </c>
      <c r="DI57" s="2835"/>
      <c r="DJ57" s="186"/>
      <c r="DK57" s="1104"/>
      <c r="DL57" s="186"/>
      <c r="DM57" s="186"/>
      <c r="DN57" s="186"/>
      <c r="DO57" s="186"/>
      <c r="DP57" s="186"/>
      <c r="DQ57" s="186"/>
      <c r="DR57" s="186"/>
      <c r="DS57" s="186"/>
      <c r="DT57" s="186"/>
    </row>
    <row r="58" spans="1:127" ht="6" hidden="1" customHeight="1" outlineLevel="1">
      <c r="A58" s="1826"/>
      <c r="B58" s="1110"/>
      <c r="C58" s="1110"/>
      <c r="D58" s="1110"/>
      <c r="E58" s="1110"/>
      <c r="F58" s="1110"/>
      <c r="G58" s="1110"/>
      <c r="H58" s="1110"/>
      <c r="I58" s="1110"/>
      <c r="J58" s="1110"/>
      <c r="K58" s="1110"/>
      <c r="L58" s="1110"/>
      <c r="M58" s="1110"/>
      <c r="N58" s="1110"/>
      <c r="O58" s="2705"/>
      <c r="P58" s="2705"/>
      <c r="Q58" s="1110"/>
      <c r="R58" s="1110"/>
      <c r="S58" s="2705"/>
      <c r="T58" s="1110"/>
      <c r="U58" s="1110"/>
      <c r="V58" s="1110"/>
      <c r="W58" s="1110"/>
      <c r="X58" s="1110"/>
      <c r="Y58" s="1110"/>
      <c r="Z58" s="1110"/>
      <c r="AA58" s="1110"/>
      <c r="AB58" s="1110"/>
      <c r="AC58" s="1110" t="s">
        <v>1763</v>
      </c>
      <c r="AD58" s="1110"/>
      <c r="AE58" s="1110"/>
      <c r="AF58" s="105"/>
      <c r="AG58" s="39"/>
      <c r="AH58" s="39"/>
      <c r="AI58" s="39"/>
      <c r="AJ58" s="39"/>
      <c r="AK58" s="350"/>
      <c r="AL58" s="1106"/>
      <c r="AM58" s="39"/>
      <c r="AN58" s="39"/>
      <c r="AO58" s="39"/>
      <c r="AP58" s="39"/>
      <c r="AQ58" s="1295"/>
      <c r="AR58" s="39"/>
      <c r="AS58" s="39"/>
      <c r="AT58" s="39"/>
      <c r="AU58" s="39"/>
      <c r="AV58" s="1295"/>
      <c r="AW58" s="39"/>
      <c r="AX58" s="39"/>
      <c r="AY58" s="39"/>
      <c r="AZ58" s="39"/>
      <c r="BA58" s="1295"/>
      <c r="BB58" s="39"/>
      <c r="BC58" s="39"/>
      <c r="BD58" s="39"/>
      <c r="BE58" s="39"/>
      <c r="BF58" s="1295"/>
      <c r="BG58" s="39"/>
      <c r="BH58" s="39"/>
      <c r="BI58" s="39"/>
      <c r="BJ58" s="39"/>
      <c r="BK58" s="1295"/>
      <c r="BL58" s="39"/>
      <c r="BM58" s="39"/>
      <c r="BN58" s="39"/>
      <c r="BO58" s="39"/>
      <c r="BP58" s="1295"/>
      <c r="BQ58" s="11"/>
      <c r="BR58" s="11"/>
      <c r="BS58" s="11"/>
      <c r="BT58" s="11"/>
      <c r="BU58" s="11"/>
      <c r="BV58" s="11"/>
      <c r="BW58" s="11"/>
      <c r="BX58" s="11"/>
      <c r="BY58" s="11"/>
      <c r="BZ58" s="1108"/>
      <c r="CA58" s="1108"/>
      <c r="CB58" s="1108"/>
      <c r="CC58" s="1108"/>
      <c r="CD58" s="1108"/>
      <c r="CE58" s="1108"/>
      <c r="CF58" s="1108"/>
      <c r="CG58" s="1108"/>
      <c r="CH58" s="1108"/>
      <c r="CI58" s="1108"/>
      <c r="CJ58" s="1108"/>
      <c r="CK58" s="1470"/>
      <c r="CL58" s="1470"/>
      <c r="CM58" s="1470"/>
      <c r="CN58" s="1108"/>
      <c r="CO58" s="1108"/>
      <c r="CP58" s="1470"/>
      <c r="CQ58" s="1470"/>
      <c r="CR58" s="1470"/>
      <c r="CS58" s="1108"/>
      <c r="CT58" s="1741"/>
      <c r="CU58" s="1108"/>
      <c r="CV58" s="1108"/>
      <c r="CW58" s="1108"/>
      <c r="CX58" s="1108"/>
      <c r="CY58" s="1108"/>
      <c r="CZ58" s="1108"/>
      <c r="DA58" s="2862"/>
      <c r="DB58" s="2862"/>
      <c r="DC58" s="2862"/>
      <c r="DD58" s="2835"/>
      <c r="DE58" s="2835"/>
      <c r="DF58" s="2835"/>
      <c r="DG58" s="2835"/>
      <c r="DH58" s="2835"/>
      <c r="DI58" s="2835"/>
      <c r="DJ58" s="11"/>
      <c r="DK58" s="11"/>
      <c r="DL58" s="186"/>
      <c r="DM58" s="186"/>
      <c r="DN58" s="186"/>
      <c r="DO58" s="186"/>
      <c r="DP58" s="186"/>
      <c r="DQ58" s="186"/>
      <c r="DR58" s="186"/>
      <c r="DS58" s="186"/>
      <c r="DT58" s="186"/>
    </row>
    <row r="59" spans="1:127" ht="11.25" hidden="1" customHeight="1" outlineLevel="1">
      <c r="A59" s="1826" t="s">
        <v>708</v>
      </c>
      <c r="B59" s="1105">
        <f>'Segment Detail'!Y140</f>
        <v>435.11103357066918</v>
      </c>
      <c r="C59" s="1105">
        <f>'Segment Detail'!Z140</f>
        <v>324.09170374774101</v>
      </c>
      <c r="D59" s="1105">
        <f>'Segment Detail'!AA140</f>
        <v>589.23684503308505</v>
      </c>
      <c r="E59" s="1105">
        <f>'Segment Detail'!AB140</f>
        <v>562.44017959050313</v>
      </c>
      <c r="F59" s="1105">
        <f ca="1">'Segment Detail'!AC140</f>
        <v>588.91075451527695</v>
      </c>
      <c r="G59" s="1105">
        <f ca="1">'Segment Detail'!AD140</f>
        <v>574.22473203085883</v>
      </c>
      <c r="H59" s="1636">
        <f>SUM(BG59:BJ59)</f>
        <v>784.5983421686733</v>
      </c>
      <c r="I59" s="1636">
        <f>SUM(BL59:BO59)</f>
        <v>811.71295188571366</v>
      </c>
      <c r="J59" s="1636">
        <f>SUM(BQ59:BT59)</f>
        <v>728.20794041364763</v>
      </c>
      <c r="K59" s="1636">
        <f>SUM(BV59:BY59)</f>
        <v>788.78363915269722</v>
      </c>
      <c r="L59" s="1636">
        <f>SUM(CA59:CD59)</f>
        <v>1129.2408198762516</v>
      </c>
      <c r="M59" s="1780">
        <f>SUM(CF59:CI59)</f>
        <v>1097.1242780884916</v>
      </c>
      <c r="N59" s="1780">
        <f>SUM(CK59:CN59)</f>
        <v>1042.695549435507</v>
      </c>
      <c r="O59" s="2710">
        <f>M59</f>
        <v>1097.1242780884916</v>
      </c>
      <c r="P59" s="2710">
        <f>N59</f>
        <v>1042.695549435507</v>
      </c>
      <c r="Q59" s="1780">
        <f>SUM(CP59:CS59)</f>
        <v>952.71760805640679</v>
      </c>
      <c r="R59" s="1780">
        <f>SUM(CU59:CX59)</f>
        <v>924.57929572869148</v>
      </c>
      <c r="S59" s="2710">
        <f>R59</f>
        <v>924.57929572869148</v>
      </c>
      <c r="T59" s="1780">
        <f>SUM(CZ59:DC59)</f>
        <v>912.81956230781645</v>
      </c>
      <c r="U59" s="2890">
        <f>SUM(DE59:DH59)</f>
        <v>983.6685037622866</v>
      </c>
      <c r="V59" s="1105">
        <f>'Segment Detail'!AP140</f>
        <v>1022.8111310264569</v>
      </c>
      <c r="W59" s="1105">
        <f>'Segment Detail'!AQ140</f>
        <v>1062.6291837925703</v>
      </c>
      <c r="X59" s="1105">
        <f>'Segment Detail'!AR140</f>
        <v>1104.7930670877872</v>
      </c>
      <c r="Y59" s="1105">
        <f>'Segment Detail'!AS140</f>
        <v>1146.2999406728611</v>
      </c>
      <c r="Z59" s="1105">
        <f>'Segment Detail'!AT140</f>
        <v>1186.9452125283426</v>
      </c>
      <c r="AA59" s="1105">
        <f>'Segment Detail'!AU140</f>
        <v>1226.1513437785261</v>
      </c>
      <c r="AB59" s="1105">
        <f>'Segment Detail'!AV140</f>
        <v>1263.6450599277696</v>
      </c>
      <c r="AC59" s="1105">
        <f>'Segment Detail'!AW140</f>
        <v>1299.1496363805193</v>
      </c>
      <c r="AD59" s="1105">
        <f>'Segment Detail'!AX140</f>
        <v>1331.9612851769882</v>
      </c>
      <c r="AE59" s="1105">
        <f>'Segment Detail'!AY140</f>
        <v>1362.6377361948826</v>
      </c>
      <c r="AF59" s="105"/>
      <c r="AG59" s="105"/>
      <c r="AH59" s="105"/>
      <c r="AI59" s="105"/>
      <c r="AJ59" s="105"/>
      <c r="AK59" s="69"/>
      <c r="AL59" s="1106" t="str">
        <f t="shared" si="36"/>
        <v xml:space="preserve">TV Prod. &amp; Synd. </v>
      </c>
      <c r="AM59" s="105">
        <f>'Segment Detail'!CO140</f>
        <v>142.87747452541601</v>
      </c>
      <c r="AN59" s="105">
        <f>'Segment Detail'!CP140</f>
        <v>268.2287045297947</v>
      </c>
      <c r="AO59" s="105">
        <f>'Segment Detail'!CQ140</f>
        <v>229.45499669718947</v>
      </c>
      <c r="AP59" s="105">
        <f>'Segment Detail'!CR140</f>
        <v>-51.324330719315014</v>
      </c>
      <c r="AQ59" s="1120">
        <f>D59-SUM(AM59:AP59)</f>
        <v>0</v>
      </c>
      <c r="AR59" s="105">
        <f>'Segment Detail'!CT140</f>
        <v>134.65520375462472</v>
      </c>
      <c r="AS59" s="105">
        <f>'Segment Detail'!CU140</f>
        <v>169.08829924629106</v>
      </c>
      <c r="AT59" s="105">
        <f>'Segment Detail'!CV140</f>
        <v>123.81541600937942</v>
      </c>
      <c r="AU59" s="105">
        <f>'Segment Detail'!CW140</f>
        <v>134.88126058020799</v>
      </c>
      <c r="AV59" s="1120">
        <f>E59-SUM(AR59:AU59)</f>
        <v>0</v>
      </c>
      <c r="AW59" s="105">
        <f>'Segment Detail'!CY140</f>
        <v>126.04447142835411</v>
      </c>
      <c r="AX59" s="105">
        <f>'Segment Detail'!CZ140</f>
        <v>168.98587789981187</v>
      </c>
      <c r="AY59" s="105">
        <f>'Segment Detail'!DA140</f>
        <v>137.69611122032512</v>
      </c>
      <c r="AZ59" s="105">
        <f ca="1">'Segment Detail'!DB140</f>
        <v>156.18429396678584</v>
      </c>
      <c r="BA59" s="1120">
        <f ca="1">F59-SUM(AW59:AZ59)</f>
        <v>0</v>
      </c>
      <c r="BB59" s="105">
        <f>'Segment Detail'!DD140</f>
        <v>83.209725010518099</v>
      </c>
      <c r="BC59" s="105">
        <f>'Segment Detail'!DE140</f>
        <v>219.54169010348903</v>
      </c>
      <c r="BD59" s="105">
        <f>'Segment Detail'!DF140</f>
        <v>159.00520813299096</v>
      </c>
      <c r="BE59" s="105">
        <f ca="1">'Segment Detail'!DG140</f>
        <v>112.46810878386071</v>
      </c>
      <c r="BF59" s="1120">
        <f ca="1">G59-SUM(BB59:BE59)</f>
        <v>0</v>
      </c>
      <c r="BG59" s="108">
        <f>BG75-BG63-BG55</f>
        <v>257.60738720851401</v>
      </c>
      <c r="BH59" s="108">
        <f>BH75-BH63-BH55</f>
        <v>195.22265981718286</v>
      </c>
      <c r="BI59" s="108">
        <f>BI75-BI63-BI55</f>
        <v>236.56822422597207</v>
      </c>
      <c r="BJ59" s="108">
        <f>BJ75-BJ63-BJ55</f>
        <v>95.200070917004226</v>
      </c>
      <c r="BK59" s="1120">
        <f>H59-SUM(BG59:BJ59)</f>
        <v>0</v>
      </c>
      <c r="BL59" s="108">
        <f>BL75-BL63-BL55</f>
        <v>186.51926412189087</v>
      </c>
      <c r="BM59" s="108">
        <f>BM75-BM63-BM55</f>
        <v>203.8</v>
      </c>
      <c r="BN59" s="108">
        <f>BN75-BN63-BN55</f>
        <v>286.4523363389581</v>
      </c>
      <c r="BO59" s="108">
        <f>BO75-BO63-BO55-BO71</f>
        <v>134.94135142486471</v>
      </c>
      <c r="BP59" s="1120">
        <f>I59-SUM(BL59:BO59)</f>
        <v>0</v>
      </c>
      <c r="BQ59" s="108">
        <f>BQ75-BQ63-BQ55-BQ71</f>
        <v>147.59323599917821</v>
      </c>
      <c r="BR59" s="108">
        <f>BR75-BR63-BR55-BR71</f>
        <v>202.88347696494407</v>
      </c>
      <c r="BS59" s="108">
        <f>BS75-BS63-BS55-BS71</f>
        <v>215.27792565091229</v>
      </c>
      <c r="BT59" s="108">
        <f>BT75-BT63-BT55-BT71</f>
        <v>162.4533017986131</v>
      </c>
      <c r="BU59" s="1120">
        <f>J59-SUM(BQ59:BT59)</f>
        <v>0</v>
      </c>
      <c r="BV59" s="108">
        <f>BV75-BV63-BV55-BV71</f>
        <v>161.40383666618089</v>
      </c>
      <c r="BW59" s="108">
        <f>BW75-BW63-BW55-BW71</f>
        <v>310.04992673951688</v>
      </c>
      <c r="BX59" s="108">
        <f>BX75-BX63-BX55-BX71</f>
        <v>253.04851478653512</v>
      </c>
      <c r="BY59" s="108">
        <f>BY75-BY63-BY55-BY71</f>
        <v>64.281360960464298</v>
      </c>
      <c r="BZ59" s="1741">
        <f>K59-SUM(BV59:BY59)</f>
        <v>0</v>
      </c>
      <c r="CA59" s="1636">
        <f>CA75-CA63-CA55-CA71</f>
        <v>321.14728619262974</v>
      </c>
      <c r="CB59" s="1636">
        <f>CB75-CB63-CB55-CB71</f>
        <v>335.340939998615</v>
      </c>
      <c r="CC59" s="1636">
        <f>CC75-CC63-CC55-CC71</f>
        <v>335.11032138219383</v>
      </c>
      <c r="CD59" s="1636">
        <f>CD75-CD63-CD55-CD71</f>
        <v>137.64227230281318</v>
      </c>
      <c r="CE59" s="1741">
        <f>L59-SUM(CA59:CD59)</f>
        <v>0</v>
      </c>
      <c r="CF59" s="1636">
        <f>CF75-CF63-CF55-CF71</f>
        <v>342.38311205346497</v>
      </c>
      <c r="CG59" s="1636">
        <f>CG75-CG63-CG55-CG71</f>
        <v>319.94469857641957</v>
      </c>
      <c r="CH59" s="1636">
        <f>CH75-CH63-CH55-CH71</f>
        <v>284.88202854159545</v>
      </c>
      <c r="CI59" s="1636">
        <f>CI75-CI63-CI55-CI71</f>
        <v>149.91443891701152</v>
      </c>
      <c r="CJ59" s="1741">
        <f>M59-SUM(CF59:CI59)</f>
        <v>0</v>
      </c>
      <c r="CK59" s="1636">
        <f>CK75-CK63-CK55-CK71</f>
        <v>323.6150122434284</v>
      </c>
      <c r="CL59" s="1636">
        <f>CL75-CL63-CL55-CL71</f>
        <v>292.55829641287551</v>
      </c>
      <c r="CM59" s="1636">
        <f>CM75-CM63-CM55-CM71</f>
        <v>279.51826186208154</v>
      </c>
      <c r="CN59" s="1636">
        <f>CN75-CN63-CN55-CN71</f>
        <v>147.00397891712169</v>
      </c>
      <c r="CO59" s="1741">
        <f>$N59-SUM(CK59:CN59)</f>
        <v>0</v>
      </c>
      <c r="CP59" s="1636">
        <f>CP75-CP63-CP55-CP71</f>
        <v>292.59379358778864</v>
      </c>
      <c r="CQ59" s="1636">
        <f>CQ75-CQ63-CQ55-CQ71</f>
        <v>250.99771869058253</v>
      </c>
      <c r="CR59" s="1636">
        <f>CR75-CR63-CR55-CR71</f>
        <v>276.29451802992099</v>
      </c>
      <c r="CS59" s="1636">
        <f>CS75-CS63-CS55-CS71</f>
        <v>132.83157774811463</v>
      </c>
      <c r="CT59" s="1741">
        <f>$Q59-SUM(CP59:CS59)</f>
        <v>0</v>
      </c>
      <c r="CU59" s="1636">
        <f>CU75-CU63-CU55-CU71</f>
        <v>195.90528015057919</v>
      </c>
      <c r="CV59" s="1636">
        <f>CV75-CV63-CV55-CV71</f>
        <v>288.5248238608151</v>
      </c>
      <c r="CW59" s="1636">
        <f>CW75-CW63-CW55-CW71</f>
        <v>275.48576047858495</v>
      </c>
      <c r="CX59" s="1636">
        <f>CX75-CX63-CX55-CX71</f>
        <v>164.66343123871232</v>
      </c>
      <c r="CY59" s="1741">
        <f>S59-SUM(CU59:CX59)</f>
        <v>0</v>
      </c>
      <c r="CZ59" s="1636">
        <f>CZ75-CZ63-CZ55-CZ71</f>
        <v>184.26908267452885</v>
      </c>
      <c r="DA59" s="2970">
        <f>DA75-DA63-DA55-DA71</f>
        <v>267.22331123656511</v>
      </c>
      <c r="DB59" s="2970">
        <f>DB75-DB63-DB55-DB71</f>
        <v>212.07034527142721</v>
      </c>
      <c r="DC59" s="2804">
        <f>DC15*DC61</f>
        <v>249.25682312529534</v>
      </c>
      <c r="DD59" s="2835">
        <f>T59-SUM(CZ59:DC59)</f>
        <v>0</v>
      </c>
      <c r="DE59" s="2804">
        <f t="shared" ref="DE59:DF59" si="82">DE15*DE61</f>
        <v>188.10003487276572</v>
      </c>
      <c r="DF59" s="2804">
        <f t="shared" si="82"/>
        <v>270.42013689499697</v>
      </c>
      <c r="DG59" s="2804">
        <f>DG15*DG61</f>
        <v>240.15484308746977</v>
      </c>
      <c r="DH59" s="2804">
        <f>DH15*DH61</f>
        <v>284.99348890705414</v>
      </c>
      <c r="DI59" s="2835">
        <f t="shared" si="73"/>
        <v>0</v>
      </c>
      <c r="DJ59" s="1120"/>
      <c r="DK59" s="105"/>
      <c r="DL59" s="186"/>
      <c r="DM59" s="186"/>
      <c r="DN59" s="186"/>
      <c r="DO59" s="186"/>
      <c r="DP59" s="186"/>
      <c r="DQ59" s="186"/>
      <c r="DR59" s="186"/>
      <c r="DS59" s="186"/>
      <c r="DT59" s="186"/>
    </row>
    <row r="60" spans="1:127" ht="11.25" hidden="1" customHeight="1" outlineLevel="1">
      <c r="A60" s="1827" t="s">
        <v>344</v>
      </c>
      <c r="B60" s="1364">
        <f>'Segment Detail'!Y142</f>
        <v>-0.24143849048401811</v>
      </c>
      <c r="C60" s="1364">
        <f t="shared" ref="C60:J60" si="83">C59/B59-1</f>
        <v>-0.25515172279559495</v>
      </c>
      <c r="D60" s="1364">
        <f t="shared" si="83"/>
        <v>0.81811764454088465</v>
      </c>
      <c r="E60" s="1364">
        <f t="shared" si="83"/>
        <v>-4.5476900618930727E-2</v>
      </c>
      <c r="F60" s="1364">
        <f t="shared" ca="1" si="83"/>
        <v>4.7063804979306845E-2</v>
      </c>
      <c r="G60" s="1364">
        <f t="shared" ca="1" si="83"/>
        <v>-2.4937602806228143E-2</v>
      </c>
      <c r="H60" s="1364">
        <f t="shared" ca="1" si="83"/>
        <v>0.36636110986335746</v>
      </c>
      <c r="I60" s="1364">
        <f t="shared" si="83"/>
        <v>3.455858655282662E-2</v>
      </c>
      <c r="J60" s="1364">
        <f t="shared" si="83"/>
        <v>-0.10287505118413243</v>
      </c>
      <c r="K60" s="1364">
        <f t="shared" ref="K60:W60" si="84">K59/J59-1</f>
        <v>8.3184617163938768E-2</v>
      </c>
      <c r="L60" s="1364">
        <f t="shared" si="84"/>
        <v>0.43162302540817121</v>
      </c>
      <c r="M60" s="1364">
        <f t="shared" si="84"/>
        <v>-2.8440826104107364E-2</v>
      </c>
      <c r="N60" s="1364">
        <f t="shared" si="84"/>
        <v>-4.9610358406993904E-2</v>
      </c>
      <c r="O60" s="2711"/>
      <c r="P60" s="2711">
        <f t="shared" si="84"/>
        <v>-4.9610358406993904E-2</v>
      </c>
      <c r="Q60" s="1364">
        <f t="shared" si="84"/>
        <v>-8.6293589176449803E-2</v>
      </c>
      <c r="R60" s="1364">
        <f t="shared" si="84"/>
        <v>-2.9534787737490187E-2</v>
      </c>
      <c r="S60" s="2711"/>
      <c r="T60" s="1364">
        <f>T59/R59-1</f>
        <v>-1.2719010121902796E-2</v>
      </c>
      <c r="U60" s="1364">
        <f t="shared" si="84"/>
        <v>7.7615494211526137E-2</v>
      </c>
      <c r="V60" s="1364">
        <f t="shared" si="84"/>
        <v>3.9792498300453394E-2</v>
      </c>
      <c r="W60" s="1364">
        <f t="shared" si="84"/>
        <v>3.893001509101035E-2</v>
      </c>
      <c r="X60" s="1364">
        <f t="shared" ref="X60:AE60" si="85">X59/W59-1</f>
        <v>3.967883052555754E-2</v>
      </c>
      <c r="Y60" s="1364">
        <f t="shared" si="85"/>
        <v>3.7569817209737844E-2</v>
      </c>
      <c r="Z60" s="1364">
        <f t="shared" si="85"/>
        <v>3.5457798097436211E-2</v>
      </c>
      <c r="AA60" s="1364">
        <f t="shared" si="85"/>
        <v>3.3031121265209462E-2</v>
      </c>
      <c r="AB60" s="1364">
        <f t="shared" si="85"/>
        <v>3.0578375450539541E-2</v>
      </c>
      <c r="AC60" s="1364">
        <f t="shared" si="85"/>
        <v>2.8096953471079322E-2</v>
      </c>
      <c r="AD60" s="1364">
        <f t="shared" si="85"/>
        <v>2.5256250610117048E-2</v>
      </c>
      <c r="AE60" s="1364">
        <f t="shared" si="85"/>
        <v>2.303103803337514E-2</v>
      </c>
      <c r="AF60" s="105"/>
      <c r="AG60" s="1104"/>
      <c r="AH60" s="1104"/>
      <c r="AI60" s="1104"/>
      <c r="AJ60" s="1104"/>
      <c r="AK60" s="189"/>
      <c r="AL60" s="1294" t="str">
        <f t="shared" si="36"/>
        <v xml:space="preserve">% Change </v>
      </c>
      <c r="AM60" s="1286" t="s">
        <v>1455</v>
      </c>
      <c r="AN60" s="1286" t="s">
        <v>1455</v>
      </c>
      <c r="AO60" s="1286" t="s">
        <v>1455</v>
      </c>
      <c r="AP60" s="1286" t="s">
        <v>1455</v>
      </c>
      <c r="AQ60" s="1287"/>
      <c r="AR60" s="1104">
        <f>AR59/AM59-1</f>
        <v>-5.7547705109587843E-2</v>
      </c>
      <c r="AS60" s="1104">
        <f>AS59/AN59-1</f>
        <v>-0.36961146815847656</v>
      </c>
      <c r="AT60" s="1104">
        <f>AT59/AO59-1</f>
        <v>-0.46039346367872758</v>
      </c>
      <c r="AU60" s="1104">
        <f>AU59/AP59-1</f>
        <v>-3.6280179145024447</v>
      </c>
      <c r="AV60" s="1287"/>
      <c r="AW60" s="1104">
        <f>AW59/AR59-1</f>
        <v>-6.394652479945373E-2</v>
      </c>
      <c r="AX60" s="1104">
        <f>AX59/AS59-1</f>
        <v>-6.0572698960092985E-4</v>
      </c>
      <c r="AY60" s="1104">
        <f>AY59/AT59-1</f>
        <v>0.11210797215989809</v>
      </c>
      <c r="AZ60" s="1104">
        <f ca="1">AZ59/AU59-1</f>
        <v>0.15793916289735344</v>
      </c>
      <c r="BA60" s="1287"/>
      <c r="BB60" s="1104">
        <f>BB59/AW59-1</f>
        <v>-0.3398383596870731</v>
      </c>
      <c r="BC60" s="1104">
        <f>BC59/AX59-1</f>
        <v>0.29917181738494514</v>
      </c>
      <c r="BD60" s="1104">
        <f>BD59/AY59-1</f>
        <v>0.15475452954927338</v>
      </c>
      <c r="BE60" s="1104">
        <f ca="1">BE59/AZ59-1</f>
        <v>-0.2799012888723742</v>
      </c>
      <c r="BF60" s="1287"/>
      <c r="BG60" s="1104">
        <f>BG59/BB59-1</f>
        <v>2.0958807660516992</v>
      </c>
      <c r="BH60" s="1104">
        <f>BH59/BC59-1</f>
        <v>-0.11077180955855126</v>
      </c>
      <c r="BI60" s="1104">
        <f>BI59/BD59-1</f>
        <v>0.48780173306089369</v>
      </c>
      <c r="BJ60" s="1104">
        <f ca="1">BJ59/BE59-1</f>
        <v>-0.15353719426403722</v>
      </c>
      <c r="BK60" s="1287"/>
      <c r="BL60" s="1104">
        <f>BL59/BG59-1</f>
        <v>-0.27595529715567746</v>
      </c>
      <c r="BM60" s="1104">
        <f>BM59/BH59-1</f>
        <v>4.3936191581701811E-2</v>
      </c>
      <c r="BN60" s="1104">
        <f>BN59/BI59-1</f>
        <v>0.21086564891038062</v>
      </c>
      <c r="BO60" s="1104">
        <f>BO59/BJ59-1</f>
        <v>0.41745011453307712</v>
      </c>
      <c r="BP60" s="1287"/>
      <c r="BQ60" s="1104">
        <f>BQ59/BL59-1</f>
        <v>-0.20869709252806401</v>
      </c>
      <c r="BR60" s="1104">
        <f>BR59/BM59-1</f>
        <v>-4.4971689649457858E-3</v>
      </c>
      <c r="BS60" s="1104">
        <f>BS59/BN59-1</f>
        <v>-0.24846859899171969</v>
      </c>
      <c r="BT60" s="1104">
        <f>BT59/BO59-1</f>
        <v>0.20388079771875578</v>
      </c>
      <c r="BU60" s="186"/>
      <c r="BV60" s="1104">
        <f>BV59/BQ59-1</f>
        <v>9.3572043281709538E-2</v>
      </c>
      <c r="BW60" s="1104">
        <f>BW59/BR59-1</f>
        <v>0.52821674479233183</v>
      </c>
      <c r="BX60" s="1104">
        <f>BX59/BS59-1</f>
        <v>0.1754503580495772</v>
      </c>
      <c r="BY60" s="1104">
        <f>BY59/BT59-1</f>
        <v>-0.6043086828721318</v>
      </c>
      <c r="BZ60" s="1477"/>
      <c r="CA60" s="1364">
        <f>CA59/BV59-1</f>
        <v>0.98971283970674073</v>
      </c>
      <c r="CB60" s="1364">
        <f>CB59/BW59-1</f>
        <v>8.1570776439324755E-2</v>
      </c>
      <c r="CC60" s="1364">
        <f>CC59/BX59-1</f>
        <v>0.32429278103008752</v>
      </c>
      <c r="CD60" s="1364">
        <f>CD59/BY59-1</f>
        <v>1.1412470154057393</v>
      </c>
      <c r="CE60" s="1477"/>
      <c r="CF60" s="1364">
        <f>CF59/CA59-1</f>
        <v>6.6124880308338074E-2</v>
      </c>
      <c r="CG60" s="1364">
        <f>CG59/CB59-1</f>
        <v>-4.5912203330315204E-2</v>
      </c>
      <c r="CH60" s="1364">
        <f>CH59/CC59-1</f>
        <v>-0.14988584246951009</v>
      </c>
      <c r="CI60" s="1364">
        <f>CI59/CD59-1</f>
        <v>8.9159866434052715E-2</v>
      </c>
      <c r="CJ60" s="1477"/>
      <c r="CK60" s="1364">
        <f>CK59/CF59-1</f>
        <v>-5.4816079267092532E-2</v>
      </c>
      <c r="CL60" s="1364">
        <f>CL59/CG59-1</f>
        <v>-8.5597299425177908E-2</v>
      </c>
      <c r="CM60" s="1364">
        <f>CM59/CH59-1</f>
        <v>-1.8828027541690773E-2</v>
      </c>
      <c r="CN60" s="1364">
        <f>CN59/CI59-1</f>
        <v>-1.9414140631917265E-2</v>
      </c>
      <c r="CO60" s="1477"/>
      <c r="CP60" s="2008">
        <f>CP59/CK59-1</f>
        <v>-9.5858404221078275E-2</v>
      </c>
      <c r="CQ60" s="2008">
        <f>CQ59/CL59-1</f>
        <v>-0.14205913225458577</v>
      </c>
      <c r="CR60" s="2008">
        <f>CR59/CM59-1</f>
        <v>-1.1533213646524487E-2</v>
      </c>
      <c r="CS60" s="1364">
        <f>CS59/CN59-1</f>
        <v>-9.6408282778503662E-2</v>
      </c>
      <c r="CT60" s="1477"/>
      <c r="CU60" s="1364">
        <f>CU59/CP59-1</f>
        <v>-0.33045305661344937</v>
      </c>
      <c r="CV60" s="1364">
        <f>CV59/CQ59-1</f>
        <v>0.14951173805883911</v>
      </c>
      <c r="CW60" s="1364">
        <f>CW59/CR59-1</f>
        <v>-2.9271574300596681E-3</v>
      </c>
      <c r="CX60" s="1364">
        <f>CX59/CS59-1</f>
        <v>0.23964070916148938</v>
      </c>
      <c r="CY60" s="1477"/>
      <c r="CZ60" s="1364">
        <f>CZ59/CU59-1</f>
        <v>-5.9397058961894178E-2</v>
      </c>
      <c r="DA60" s="2827">
        <f>DA59/CV59-1</f>
        <v>-7.3829046455031855E-2</v>
      </c>
      <c r="DB60" s="2827">
        <f>DB59/CW59-1</f>
        <v>-0.23019489318427899</v>
      </c>
      <c r="DC60" s="2827">
        <f>DC59/CX59-1</f>
        <v>0.51373514598968928</v>
      </c>
      <c r="DD60" s="2835"/>
      <c r="DE60" s="2827">
        <f t="shared" ref="DE60:DF60" si="86">DE59/CZ59-1</f>
        <v>2.0789988980427054E-2</v>
      </c>
      <c r="DF60" s="2827">
        <f t="shared" si="86"/>
        <v>1.1963124188674623E-2</v>
      </c>
      <c r="DG60" s="2827">
        <f>DG59/DB59-1</f>
        <v>0.13243010370024821</v>
      </c>
      <c r="DH60" s="2827">
        <f>DH59/DC59-1</f>
        <v>0.14337286872903321</v>
      </c>
      <c r="DI60" s="2835"/>
      <c r="DJ60" s="186"/>
      <c r="DK60" s="1104"/>
      <c r="DL60" s="186"/>
      <c r="DM60" s="186"/>
      <c r="DN60" s="186"/>
      <c r="DO60" s="186"/>
      <c r="DP60" s="186"/>
      <c r="DQ60" s="186"/>
      <c r="DR60" s="186"/>
      <c r="DS60" s="186"/>
      <c r="DT60" s="186"/>
    </row>
    <row r="61" spans="1:127" ht="11.25" hidden="1" customHeight="1" outlineLevel="1">
      <c r="A61" s="1827" t="s">
        <v>1208</v>
      </c>
      <c r="B61" s="1364">
        <f t="shared" ref="B61:J61" si="87">B59/B15</f>
        <v>0.22738358926903951</v>
      </c>
      <c r="C61" s="1364">
        <f t="shared" si="87"/>
        <v>0.16354410452283472</v>
      </c>
      <c r="D61" s="1364">
        <f t="shared" si="87"/>
        <v>0.27683771601134061</v>
      </c>
      <c r="E61" s="1364">
        <f t="shared" si="87"/>
        <v>0.30469927410432579</v>
      </c>
      <c r="F61" s="1364">
        <f t="shared" ca="1" si="87"/>
        <v>0.29415102521374176</v>
      </c>
      <c r="G61" s="1364">
        <f t="shared" ca="1" si="87"/>
        <v>0.32108470054705834</v>
      </c>
      <c r="H61" s="1364">
        <f t="shared" si="87"/>
        <v>0.30529782689016571</v>
      </c>
      <c r="I61" s="1364">
        <f t="shared" si="87"/>
        <v>0.31357024946645506</v>
      </c>
      <c r="J61" s="1364">
        <f t="shared" si="87"/>
        <v>0.30133158004463761</v>
      </c>
      <c r="K61" s="1364">
        <f t="shared" ref="K61:V61" si="88">K59/K15</f>
        <v>0.31950595770924017</v>
      </c>
      <c r="L61" s="1364">
        <f t="shared" si="88"/>
        <v>0.39384387047592961</v>
      </c>
      <c r="M61" s="1364">
        <f t="shared" si="88"/>
        <v>0.34053105498224345</v>
      </c>
      <c r="N61" s="1364">
        <f>N59/N15</f>
        <v>0.32987982606823257</v>
      </c>
      <c r="O61" s="2711">
        <f>O59/O15</f>
        <v>0.34053105498224345</v>
      </c>
      <c r="P61" s="2711">
        <f>P59/P15</f>
        <v>0.32987982606823257</v>
      </c>
      <c r="Q61" s="1364">
        <f>Q59/Q15</f>
        <v>0.31619931519483979</v>
      </c>
      <c r="R61" s="1364">
        <f t="shared" si="88"/>
        <v>0.32905465606165096</v>
      </c>
      <c r="S61" s="2711"/>
      <c r="T61" s="1364">
        <f t="shared" si="88"/>
        <v>0.31058319053414546</v>
      </c>
      <c r="U61" s="1364">
        <f t="shared" si="88"/>
        <v>0.32137919132183984</v>
      </c>
      <c r="V61" s="1364">
        <f t="shared" si="88"/>
        <v>0.32237919132183984</v>
      </c>
      <c r="W61" s="1364">
        <f t="shared" ref="W61:AB61" si="89">W59/W15</f>
        <v>0.32337919132183984</v>
      </c>
      <c r="X61" s="1364">
        <f t="shared" si="89"/>
        <v>0.3243791913218399</v>
      </c>
      <c r="Y61" s="1364">
        <f t="shared" si="89"/>
        <v>0.32537919132183984</v>
      </c>
      <c r="Z61" s="1364">
        <f t="shared" si="89"/>
        <v>0.32637919132183985</v>
      </c>
      <c r="AA61" s="1364">
        <f t="shared" si="89"/>
        <v>0.32737919132183985</v>
      </c>
      <c r="AB61" s="1364">
        <f t="shared" si="89"/>
        <v>0.32837919132183985</v>
      </c>
      <c r="AC61" s="1364">
        <f>AC59/AC15</f>
        <v>0.32937919132183985</v>
      </c>
      <c r="AD61" s="1364">
        <f>AD59/AD15</f>
        <v>0.33037919132183985</v>
      </c>
      <c r="AE61" s="1364">
        <f>AE59/AE15</f>
        <v>0.33137919132183985</v>
      </c>
      <c r="AF61" s="105"/>
      <c r="AG61" s="1104"/>
      <c r="AH61" s="1104"/>
      <c r="AI61" s="1104"/>
      <c r="AJ61" s="1104"/>
      <c r="AK61" s="189"/>
      <c r="AL61" s="1294" t="str">
        <f t="shared" si="36"/>
        <v xml:space="preserve">% Margin </v>
      </c>
      <c r="AM61" s="1104">
        <f>AM59/AM15</f>
        <v>0.28212402866273001</v>
      </c>
      <c r="AN61" s="1104">
        <f>AN59/AN15</f>
        <v>0.4293895486059397</v>
      </c>
      <c r="AO61" s="1104">
        <f>AO59/AO15</f>
        <v>0.3177088558573975</v>
      </c>
      <c r="AP61" s="1104">
        <f>AP59/AP15</f>
        <v>-0.18654675291952749</v>
      </c>
      <c r="AQ61" s="1287"/>
      <c r="AR61" s="1104">
        <f>AR59/AR15</f>
        <v>0.3000972157641239</v>
      </c>
      <c r="AS61" s="1104">
        <f>AS59/AS15</f>
        <v>0.31936862847257275</v>
      </c>
      <c r="AT61" s="1104">
        <f>AT59/AT15</f>
        <v>0.22073829336485776</v>
      </c>
      <c r="AU61" s="1104">
        <f>AU59/AU15</f>
        <v>0.43960985731392149</v>
      </c>
      <c r="AV61" s="1287"/>
      <c r="AW61" s="1104">
        <f>AW59/AW15</f>
        <v>0.2372144959522052</v>
      </c>
      <c r="AX61" s="1104">
        <f>AX59/AX15</f>
        <v>0.37659453447897739</v>
      </c>
      <c r="AY61" s="1104">
        <f>AY59/AY15</f>
        <v>0.27007174708315412</v>
      </c>
      <c r="AZ61" s="1104">
        <f ca="1">AZ59/AZ15</f>
        <v>0.3049605322807169</v>
      </c>
      <c r="BA61" s="1287"/>
      <c r="BB61" s="1104">
        <f>BB59/BB15</f>
        <v>0.21009096009601302</v>
      </c>
      <c r="BC61" s="1104">
        <f>BC59/BC15</f>
        <v>0.46347382406594823</v>
      </c>
      <c r="BD61" s="1104">
        <f>BD59/BD15</f>
        <v>0.3617199839514445</v>
      </c>
      <c r="BE61" s="1104">
        <f ca="1">BE59/BE15</f>
        <v>0.23476994208059918</v>
      </c>
      <c r="BF61" s="1287"/>
      <c r="BG61" s="1104">
        <f>BG59/BG15</f>
        <v>0.3638970058029164</v>
      </c>
      <c r="BH61" s="1104">
        <f>BH59/BH15</f>
        <v>0.34194268805139133</v>
      </c>
      <c r="BI61" s="1104">
        <f>BI59/BI15</f>
        <v>0.32580331787235478</v>
      </c>
      <c r="BJ61" s="1104">
        <f>BJ59/BJ15</f>
        <v>0.16849524402202126</v>
      </c>
      <c r="BK61" s="1287"/>
      <c r="BL61" s="1104">
        <f>BL59/BL15</f>
        <v>0.3146313695402474</v>
      </c>
      <c r="BM61" s="1104">
        <f>BM59/BM15</f>
        <v>0.42684079705758249</v>
      </c>
      <c r="BN61" s="1104">
        <f>BN59/BN15</f>
        <v>0.30095301263511742</v>
      </c>
      <c r="BO61" s="1104">
        <f>BO59/BO15</f>
        <v>0.23819399412631162</v>
      </c>
      <c r="BP61" s="1287"/>
      <c r="BQ61" s="1104">
        <f>BQ59/BQ15</f>
        <v>0.25932372057320213</v>
      </c>
      <c r="BR61" s="1104">
        <f>BR59/BR15</f>
        <v>0.37250905623827624</v>
      </c>
      <c r="BS61" s="1104">
        <f>BS59/BS15</f>
        <v>0.32813050646079961</v>
      </c>
      <c r="BT61" s="1104">
        <f>BT59/BT15</f>
        <v>0.25117547001460022</v>
      </c>
      <c r="BU61" s="186"/>
      <c r="BV61" s="1104">
        <f>BV59/BV15</f>
        <v>0.27364583233229312</v>
      </c>
      <c r="BW61" s="1104">
        <f>BW59/BW15</f>
        <v>0.44909658391651752</v>
      </c>
      <c r="BX61" s="1104">
        <f>BX59/BX15</f>
        <v>0.37998557708819519</v>
      </c>
      <c r="BY61" s="1104">
        <f>BY59/BY15</f>
        <v>0.12300190908417145</v>
      </c>
      <c r="BZ61" s="1477"/>
      <c r="CA61" s="1364">
        <f>+CA59/CA15</f>
        <v>0.3690638570682887</v>
      </c>
      <c r="CB61" s="1364">
        <f>+CB59/CB15</f>
        <v>0.5127523121990788</v>
      </c>
      <c r="CC61" s="1364">
        <f>+CC59/CC15</f>
        <v>0.40409289422033723</v>
      </c>
      <c r="CD61" s="1364">
        <f>CD59/CD15</f>
        <v>0.2679062663612819</v>
      </c>
      <c r="CE61" s="1477"/>
      <c r="CF61" s="1364">
        <f>CF59/CF15</f>
        <v>0.39002032533084019</v>
      </c>
      <c r="CG61" s="1364">
        <f>CG59/CG15</f>
        <v>0.39530220470998906</v>
      </c>
      <c r="CH61" s="1364">
        <f>CH59/CH15</f>
        <v>0.31454644671444215</v>
      </c>
      <c r="CI61" s="1364">
        <f>CI59/CI15</f>
        <v>0.23838116426948097</v>
      </c>
      <c r="CJ61" s="1640"/>
      <c r="CK61" s="1364">
        <f>CK59/CK15</f>
        <v>0.35540533867021445</v>
      </c>
      <c r="CL61" s="1364">
        <f>CL59/CL15</f>
        <v>0.41820442033131972</v>
      </c>
      <c r="CM61" s="1364">
        <f>CM59/CM15</f>
        <v>0.30487758222384553</v>
      </c>
      <c r="CN61" s="1364">
        <f>CN59/CN15</f>
        <v>0.23190287857430553</v>
      </c>
      <c r="CO61" s="1364"/>
      <c r="CP61" s="1364">
        <f>CP59/CP15</f>
        <v>0.33706333387082832</v>
      </c>
      <c r="CQ61" s="1364">
        <f>CQ59/CQ15</f>
        <v>0.42184982883499117</v>
      </c>
      <c r="CR61" s="1364">
        <f>CR59/CR15</f>
        <v>0.31500680956045218</v>
      </c>
      <c r="CS61" s="1364">
        <f>CS59/CS15</f>
        <v>0.19741297419539153</v>
      </c>
      <c r="CT61" s="1364"/>
      <c r="CU61" s="1364">
        <f>CU59/CU15</f>
        <v>0.33428853654946006</v>
      </c>
      <c r="CV61" s="1364">
        <f>CV59/CV15</f>
        <v>0.41030529948166128</v>
      </c>
      <c r="CW61" s="1364">
        <f>CW59/CW15</f>
        <v>0.32389990275739816</v>
      </c>
      <c r="CX61" s="1364">
        <f>CX59/CX15</f>
        <v>0.24574972774169426</v>
      </c>
      <c r="CY61" s="1552"/>
      <c r="CZ61" s="1364">
        <f>CZ59/CZ15</f>
        <v>0.26839953323418869</v>
      </c>
      <c r="DA61" s="2827">
        <f>DA59/DA15</f>
        <v>0.3338460412989025</v>
      </c>
      <c r="DB61" s="2827">
        <f>DB59/DB15</f>
        <v>0.32726431060843986</v>
      </c>
      <c r="DC61" s="2830">
        <f>+Scenarios!BZ136</f>
        <v>0.31</v>
      </c>
      <c r="DD61" s="2835"/>
      <c r="DE61" s="2830">
        <f>+Scenarios!CB136</f>
        <v>0.28839953323418871</v>
      </c>
      <c r="DF61" s="2830">
        <f>+Scenarios!CC136</f>
        <v>0.32484604129890249</v>
      </c>
      <c r="DG61" s="2830">
        <f>+Scenarios!CD136</f>
        <v>0.32226431060843985</v>
      </c>
      <c r="DH61" s="2830">
        <f>+Scenarios!CE136</f>
        <v>0.34299999999999997</v>
      </c>
      <c r="DI61" s="2835"/>
      <c r="DJ61" s="1640"/>
      <c r="DK61" s="1104"/>
      <c r="DL61" s="186"/>
      <c r="DM61" s="186"/>
      <c r="DN61" s="186"/>
      <c r="DO61" s="186"/>
      <c r="DP61" s="186"/>
      <c r="DQ61" s="186"/>
      <c r="DR61" s="186"/>
      <c r="DS61" s="186"/>
      <c r="DT61" s="186"/>
    </row>
    <row r="62" spans="1:127" ht="6" hidden="1" customHeight="1" outlineLevel="1">
      <c r="A62" s="1826"/>
      <c r="B62" s="1110"/>
      <c r="C62" s="1110"/>
      <c r="D62" s="1110"/>
      <c r="E62" s="1110"/>
      <c r="F62" s="1110"/>
      <c r="G62" s="1110"/>
      <c r="H62" s="1110"/>
      <c r="I62" s="1826"/>
      <c r="J62" s="1840"/>
      <c r="K62" s="1840"/>
      <c r="L62" s="1840"/>
      <c r="M62" s="1840"/>
      <c r="N62" s="1785"/>
      <c r="O62" s="2722"/>
      <c r="P62" s="2722"/>
      <c r="Q62" s="1785"/>
      <c r="R62" s="1785"/>
      <c r="S62" s="2722"/>
      <c r="T62" s="1785"/>
      <c r="U62" s="1840"/>
      <c r="V62" s="1840"/>
      <c r="W62" s="1840"/>
      <c r="X62" s="1840"/>
      <c r="Y62" s="1840"/>
      <c r="Z62" s="1840"/>
      <c r="AA62" s="1840"/>
      <c r="AB62" s="1840"/>
      <c r="AC62" s="1840"/>
      <c r="AD62" s="1840"/>
      <c r="AE62" s="1840"/>
      <c r="AF62" s="105"/>
      <c r="AG62" s="1106"/>
      <c r="AH62" s="1106"/>
      <c r="AI62" s="1106"/>
      <c r="AJ62" s="1106"/>
      <c r="AK62" s="350"/>
      <c r="AL62" s="1106"/>
      <c r="AM62" s="39"/>
      <c r="AN62" s="39"/>
      <c r="AO62" s="39"/>
      <c r="AP62" s="39"/>
      <c r="AQ62" s="1295"/>
      <c r="AR62" s="39"/>
      <c r="AS62" s="39"/>
      <c r="AT62" s="39"/>
      <c r="AU62" s="39"/>
      <c r="AV62" s="1295"/>
      <c r="AW62" s="39"/>
      <c r="AX62" s="39"/>
      <c r="AY62" s="39"/>
      <c r="AZ62" s="39"/>
      <c r="BA62" s="1295"/>
      <c r="BB62" s="39"/>
      <c r="BC62" s="39"/>
      <c r="BD62" s="39"/>
      <c r="BE62" s="39"/>
      <c r="BF62" s="1295"/>
      <c r="BG62" s="39"/>
      <c r="BH62" s="39"/>
      <c r="BI62" s="39"/>
      <c r="BJ62" s="39"/>
      <c r="BK62" s="1295"/>
      <c r="BL62" s="39"/>
      <c r="BM62" s="39"/>
      <c r="BN62" s="39"/>
      <c r="BO62" s="39"/>
      <c r="BP62" s="1295"/>
      <c r="BQ62" s="11"/>
      <c r="BR62" s="11"/>
      <c r="BS62" s="11"/>
      <c r="BT62" s="11"/>
      <c r="BU62" s="11"/>
      <c r="BV62" s="11"/>
      <c r="BW62" s="11"/>
      <c r="BX62" s="11"/>
      <c r="BY62" s="11"/>
      <c r="BZ62" s="1108"/>
      <c r="CA62" s="1108"/>
      <c r="CB62" s="1108"/>
      <c r="CC62" s="1108"/>
      <c r="CD62" s="1108"/>
      <c r="CE62" s="1108"/>
      <c r="CF62" s="1108"/>
      <c r="CG62" s="1108"/>
      <c r="CH62" s="1108"/>
      <c r="CI62" s="1108"/>
      <c r="CJ62" s="1108"/>
      <c r="CK62" s="1108"/>
      <c r="CL62" s="1108"/>
      <c r="CM62" s="1108"/>
      <c r="CN62" s="1108"/>
      <c r="CO62" s="1108"/>
      <c r="CP62" s="1108"/>
      <c r="CQ62" s="1108"/>
      <c r="CR62" s="1108"/>
      <c r="CS62" s="1108"/>
      <c r="CT62" s="1108"/>
      <c r="CU62" s="1108"/>
      <c r="CV62" s="1108"/>
      <c r="CW62" s="1108"/>
      <c r="CX62" s="1108"/>
      <c r="CY62" s="1108"/>
      <c r="CZ62" s="1108"/>
      <c r="DA62" s="2862"/>
      <c r="DB62" s="2862"/>
      <c r="DC62" s="2862"/>
      <c r="DD62" s="2835"/>
      <c r="DE62" s="2835"/>
      <c r="DF62" s="2835"/>
      <c r="DG62" s="2835"/>
      <c r="DH62" s="2835"/>
      <c r="DI62" s="2835"/>
      <c r="DJ62" s="1108"/>
      <c r="DK62" s="11"/>
      <c r="DL62" s="186"/>
      <c r="DM62" s="186"/>
      <c r="DN62" s="186"/>
      <c r="DO62" s="186"/>
      <c r="DP62" s="186"/>
      <c r="DQ62" s="186"/>
      <c r="DR62" s="186"/>
      <c r="DS62" s="186"/>
      <c r="DT62" s="186"/>
    </row>
    <row r="63" spans="1:127" ht="11.25" hidden="1" customHeight="1" outlineLevel="1">
      <c r="A63" s="1831" t="s">
        <v>709</v>
      </c>
      <c r="B63" s="1105">
        <f>'Segment Detail'!Y169</f>
        <v>0</v>
      </c>
      <c r="C63" s="1105">
        <f>'Segment Detail'!Z169</f>
        <v>0</v>
      </c>
      <c r="D63" s="1105">
        <f>'Segment Detail'!AA169</f>
        <v>0</v>
      </c>
      <c r="E63" s="1105">
        <f>'Segment Detail'!AB169</f>
        <v>0</v>
      </c>
      <c r="F63" s="1105">
        <f>'Segment Detail'!AC169</f>
        <v>0</v>
      </c>
      <c r="G63" s="1105">
        <f>'Segment Detail'!AD169</f>
        <v>-10.299999999999999</v>
      </c>
      <c r="H63" s="1105">
        <f>'Segment Detail'!AE169</f>
        <v>41.899999999999991</v>
      </c>
      <c r="I63" s="1105">
        <f>'Segment Detail'!AF169</f>
        <v>74.072823093750003</v>
      </c>
      <c r="J63" s="1105">
        <f>'Segment Detail'!AG169</f>
        <v>79.007983234298194</v>
      </c>
      <c r="K63" s="1105">
        <f>'Segment Detail'!AH169</f>
        <v>76.827994380694065</v>
      </c>
      <c r="L63" s="1105">
        <f>'Segment Detail'!AI169</f>
        <v>90.711904014843327</v>
      </c>
      <c r="M63" s="1780">
        <f>SUM(CF63:CI63)</f>
        <v>127.40078529513137</v>
      </c>
      <c r="N63" s="1780">
        <f>SUM(CK63:CN63)</f>
        <v>145.01701141549239</v>
      </c>
      <c r="O63" s="2710">
        <f>M63</f>
        <v>127.40078529513137</v>
      </c>
      <c r="P63" s="2710">
        <f>N63</f>
        <v>145.01701141549239</v>
      </c>
      <c r="Q63" s="1780">
        <f>SUM(CP63:CS63)</f>
        <v>153.03384049581007</v>
      </c>
      <c r="R63" s="1780">
        <f>SUM(CU63:CX63)</f>
        <v>150.87016200877571</v>
      </c>
      <c r="S63" s="2710">
        <f>R63</f>
        <v>150.87016200877571</v>
      </c>
      <c r="T63" s="1780">
        <f>SUM(CZ63:DC63)</f>
        <v>152.73724969628853</v>
      </c>
      <c r="U63" s="2890">
        <f>SUM(DE63:DH63)</f>
        <v>141.77644012937088</v>
      </c>
      <c r="V63" s="1105">
        <f>'Segment Detail'!AP169</f>
        <v>146.23113821490807</v>
      </c>
      <c r="W63" s="1105">
        <f>'Segment Detail'!AQ169</f>
        <v>152.75150939896406</v>
      </c>
      <c r="X63" s="1105">
        <f>'Segment Detail'!AR169</f>
        <v>160.74339090851925</v>
      </c>
      <c r="Y63" s="1105">
        <f>'Segment Detail'!AS169</f>
        <v>170.89112927272254</v>
      </c>
      <c r="Z63" s="1105">
        <f>'Segment Detail'!AT169</f>
        <v>182.88530247219944</v>
      </c>
      <c r="AA63" s="1105">
        <f>'Segment Detail'!AU169</f>
        <v>196.41422205902307</v>
      </c>
      <c r="AB63" s="1105">
        <f>'Segment Detail'!AV169</f>
        <v>211.46636357112288</v>
      </c>
      <c r="AC63" s="1105">
        <f>'Segment Detail'!AW169</f>
        <v>228.09988114284135</v>
      </c>
      <c r="AD63" s="1105">
        <f>'Segment Detail'!AX169</f>
        <v>246.81062271042254</v>
      </c>
      <c r="AE63" s="1105">
        <f>'Segment Detail'!AY169</f>
        <v>267.63092460166274</v>
      </c>
      <c r="AF63" s="105"/>
      <c r="AG63" s="105"/>
      <c r="AH63" s="105"/>
      <c r="AI63" s="105"/>
      <c r="AJ63" s="105"/>
      <c r="AK63" s="11"/>
      <c r="AL63" s="1106" t="str">
        <f t="shared" si="36"/>
        <v xml:space="preserve">Interactive </v>
      </c>
      <c r="AM63" s="105">
        <f>'Segment Detail'!CO169</f>
        <v>0</v>
      </c>
      <c r="AN63" s="105">
        <f>'Segment Detail'!CP169</f>
        <v>0</v>
      </c>
      <c r="AO63" s="105">
        <f>'Segment Detail'!CQ169</f>
        <v>0</v>
      </c>
      <c r="AP63" s="105">
        <f>'Segment Detail'!CR169</f>
        <v>0</v>
      </c>
      <c r="AQ63" s="1120">
        <f>D63-SUM(AM63:AP63)</f>
        <v>0</v>
      </c>
      <c r="AR63" s="105">
        <f>'Segment Detail'!CT169</f>
        <v>0</v>
      </c>
      <c r="AS63" s="105">
        <f>'Segment Detail'!CU169</f>
        <v>0</v>
      </c>
      <c r="AT63" s="105">
        <f>'Segment Detail'!CV169</f>
        <v>0</v>
      </c>
      <c r="AU63" s="105">
        <f>'Segment Detail'!CW169</f>
        <v>0</v>
      </c>
      <c r="AV63" s="1120">
        <f>E63-SUM(AR63:AU63)</f>
        <v>0</v>
      </c>
      <c r="AW63" s="105">
        <f>'Segment Detail'!CY169</f>
        <v>0</v>
      </c>
      <c r="AX63" s="105">
        <f>'Segment Detail'!CZ169</f>
        <v>0</v>
      </c>
      <c r="AY63" s="105">
        <f>'Segment Detail'!DA169</f>
        <v>0</v>
      </c>
      <c r="AZ63" s="105">
        <f>'Segment Detail'!DB169</f>
        <v>0</v>
      </c>
      <c r="BA63" s="1120">
        <f>F63-SUM(AW63:AZ63)</f>
        <v>0</v>
      </c>
      <c r="BB63" s="105">
        <f>'Segment Detail'!DD169</f>
        <v>3.8</v>
      </c>
      <c r="BC63" s="105">
        <f>'Segment Detail'!DE169</f>
        <v>-10.7</v>
      </c>
      <c r="BD63" s="105">
        <f>'Segment Detail'!DF169</f>
        <v>-10.3</v>
      </c>
      <c r="BE63" s="105">
        <f>'Segment Detail'!DG169</f>
        <v>6.9</v>
      </c>
      <c r="BF63" s="1120">
        <f>G63-SUM(BB63:BE63)</f>
        <v>0</v>
      </c>
      <c r="BG63" s="105">
        <f>'Segment Detail'!DI169</f>
        <v>1.1000000000000001</v>
      </c>
      <c r="BH63" s="105">
        <f>'Segment Detail'!DJ169</f>
        <v>-16.8</v>
      </c>
      <c r="BI63" s="105">
        <f>'Segment Detail'!DK169</f>
        <v>3.3</v>
      </c>
      <c r="BJ63" s="105">
        <f>'Segment Detail'!DL169</f>
        <v>54.3</v>
      </c>
      <c r="BK63" s="1120">
        <f>H63-SUM(BG63:BJ63)</f>
        <v>0</v>
      </c>
      <c r="BL63" s="105">
        <f>'Segment Detail'!DN169</f>
        <v>8.1999999999999993</v>
      </c>
      <c r="BM63" s="105">
        <f>'Segment Detail'!DO169</f>
        <v>5.7</v>
      </c>
      <c r="BN63" s="105">
        <f>'Segment Detail'!DP169</f>
        <v>4.0999999999999996</v>
      </c>
      <c r="BO63" s="105">
        <f>'Segment Detail'!DQ169</f>
        <v>56.072823093750003</v>
      </c>
      <c r="BP63" s="1120">
        <f>I63-SUM(BL63:BO63)</f>
        <v>0</v>
      </c>
      <c r="BQ63" s="105">
        <f>'CBS Interactive'!BM28</f>
        <v>9.9447239246400017</v>
      </c>
      <c r="BR63" s="105">
        <f>'CBS Interactive'!BN28</f>
        <v>6.007654094152727</v>
      </c>
      <c r="BS63" s="105">
        <f>'CBS Interactive'!BO28</f>
        <v>6.1180741665979568</v>
      </c>
      <c r="BT63" s="105">
        <f>'CBS Interactive'!BP28</f>
        <v>56.937531048907509</v>
      </c>
      <c r="BU63" s="1120">
        <f>J63-SUM(BQ63:BT63)</f>
        <v>0</v>
      </c>
      <c r="BV63" s="105">
        <f>'CBS Interactive'!BR28</f>
        <v>2.4610482009046848</v>
      </c>
      <c r="BW63" s="105">
        <f>'CBS Interactive'!BS28</f>
        <v>4.0695332239619972</v>
      </c>
      <c r="BX63" s="105">
        <f>'CBS Interactive'!BT28</f>
        <v>7.0498047131823682</v>
      </c>
      <c r="BY63" s="105">
        <f>'CBS Interactive'!BU28</f>
        <v>63.247608242644986</v>
      </c>
      <c r="BZ63" s="1741">
        <f>K63-SUM(BV63:BY63)</f>
        <v>0</v>
      </c>
      <c r="CA63" s="1362">
        <f>'CBS Interactive'!BW28</f>
        <v>4.4354316907056628</v>
      </c>
      <c r="CB63" s="1362">
        <f>'CBS Interactive'!BX28</f>
        <v>6.3787128350499884</v>
      </c>
      <c r="CC63" s="1362">
        <f>'CBS Interactive'!BY28</f>
        <v>9.5915583939955837</v>
      </c>
      <c r="CD63" s="1362">
        <f>'CBS Interactive'!BZ28</f>
        <v>70.306201095092121</v>
      </c>
      <c r="CE63" s="1741">
        <f>L63-SUM(CA63:CD63)</f>
        <v>0</v>
      </c>
      <c r="CF63" s="1362">
        <f>'CBS Interactive'!CB28</f>
        <v>14.708725637924914</v>
      </c>
      <c r="CG63" s="1362">
        <f>'CBS Interactive'!CC28</f>
        <v>12.275705653958553</v>
      </c>
      <c r="CH63" s="1362">
        <f>'CBS Interactive'!CD28</f>
        <v>14.462078377050076</v>
      </c>
      <c r="CI63" s="1362">
        <f>'CBS Interactive'!CE28</f>
        <v>85.954275626197827</v>
      </c>
      <c r="CJ63" s="1741">
        <f>M63-SUM(CF63:CI63)</f>
        <v>0</v>
      </c>
      <c r="CK63" s="1362">
        <f>'CBS Interactive'!CG28</f>
        <v>15.743632131257208</v>
      </c>
      <c r="CL63" s="1362">
        <f>'CBS Interactive'!CH28</f>
        <v>15.923741601268873</v>
      </c>
      <c r="CM63" s="1362">
        <f>'CBS Interactive'!CI28</f>
        <v>19.886899310810165</v>
      </c>
      <c r="CN63" s="1362">
        <f>'CBS Interactive'!CJ28+'CBS Interactive'!CJ170</f>
        <v>93.462738372156139</v>
      </c>
      <c r="CO63" s="1741">
        <f>$N63-SUM(CK63:CN63)</f>
        <v>0</v>
      </c>
      <c r="CP63" s="1362">
        <f>'CBS Interactive'!CL28+'CBS Interactive'!CL170</f>
        <v>16.747808223647546</v>
      </c>
      <c r="CQ63" s="1362">
        <f>'CBS Interactive'!CM28+'CBS Interactive'!CM170</f>
        <v>17.631758829741162</v>
      </c>
      <c r="CR63" s="1362">
        <f>'CBS Interactive'!CN28+'CBS Interactive'!CN170</f>
        <v>21.677587192417647</v>
      </c>
      <c r="CS63" s="1362">
        <f>'CBS Interactive'!CO28+'CBS Interactive'!CO170</f>
        <v>96.976686250003723</v>
      </c>
      <c r="CT63" s="1741">
        <f>$Q63-SUM(CP63:CS63)</f>
        <v>0</v>
      </c>
      <c r="CU63" s="1362">
        <f>'CBS Interactive'!CQ28+'CBS Interactive'!CQ170</f>
        <v>17.663348035382704</v>
      </c>
      <c r="CV63" s="1362">
        <f>'CBS Interactive'!CR28+'CBS Interactive'!CR170</f>
        <v>19.188877943354157</v>
      </c>
      <c r="CW63" s="1362">
        <f>'CBS Interactive'!CS28+'CBS Interactive'!CS170</f>
        <v>22.998820761482087</v>
      </c>
      <c r="CX63" s="1362">
        <f>'CBS Interactive'!CT28+'CBS Interactive'!CT170</f>
        <v>91.019115268556774</v>
      </c>
      <c r="CY63" s="1741">
        <f>S63-SUM(CU63:CX63)</f>
        <v>0</v>
      </c>
      <c r="CZ63" s="1362">
        <f>'CBS Interactive'!CV28+'CBS Interactive'!CV170</f>
        <v>17.892955764843983</v>
      </c>
      <c r="DA63" s="2952">
        <f>'CBS Interactive'!CW28+'CBS Interactive'!CW170</f>
        <v>19.610702429479353</v>
      </c>
      <c r="DB63" s="2952">
        <f>'CBS Interactive'!CX28+'CBS Interactive'!CX170</f>
        <v>23.643508026356542</v>
      </c>
      <c r="DC63" s="2952">
        <f>'CBS Interactive'!CY28+'CBS Interactive'!CY170</f>
        <v>91.590083475608651</v>
      </c>
      <c r="DD63" s="2835">
        <f>T63-SUM(CZ63:DC63)</f>
        <v>0</v>
      </c>
      <c r="DE63" s="2952">
        <f>'CBS Interactive'!DA28+'CBS Interactive'!DA170</f>
        <v>15.371588161875451</v>
      </c>
      <c r="DF63" s="2952">
        <f>'CBS Interactive'!DB28+'CBS Interactive'!DB170</f>
        <v>16.728495430654419</v>
      </c>
      <c r="DG63" s="2952">
        <f>'CBS Interactive'!DC28+'CBS Interactive'!DC170</f>
        <v>20.507124595042782</v>
      </c>
      <c r="DH63" s="2952">
        <f>'CBS Interactive'!DD28+'CBS Interactive'!DD170</f>
        <v>89.169231941798245</v>
      </c>
      <c r="DI63" s="2835">
        <f t="shared" si="73"/>
        <v>0</v>
      </c>
      <c r="DJ63" s="1741"/>
      <c r="DK63" s="105"/>
      <c r="DL63" s="186"/>
      <c r="DM63" s="186"/>
      <c r="DN63" s="186"/>
      <c r="DO63" s="186"/>
      <c r="DP63" s="186"/>
      <c r="DQ63" s="186"/>
      <c r="DR63" s="186"/>
      <c r="DS63" s="186"/>
      <c r="DT63" s="186"/>
    </row>
    <row r="64" spans="1:127" ht="11.25" hidden="1" customHeight="1" outlineLevel="1">
      <c r="A64" s="1827" t="s">
        <v>344</v>
      </c>
      <c r="B64" s="1473" t="s">
        <v>1455</v>
      </c>
      <c r="C64" s="1473" t="s">
        <v>1455</v>
      </c>
      <c r="D64" s="1473" t="s">
        <v>1455</v>
      </c>
      <c r="E64" s="1473" t="s">
        <v>1455</v>
      </c>
      <c r="F64" s="1473" t="s">
        <v>1455</v>
      </c>
      <c r="G64" s="1473" t="s">
        <v>1455</v>
      </c>
      <c r="H64" s="1473" t="s">
        <v>1455</v>
      </c>
      <c r="I64" s="1364">
        <f>I63/H63-1</f>
        <v>0.76784780653341334</v>
      </c>
      <c r="J64" s="1364">
        <f>J63/I63-1</f>
        <v>6.662578708930833E-2</v>
      </c>
      <c r="K64" s="1364">
        <f t="shared" ref="K64:W64" si="90">K63/J63-1</f>
        <v>-2.7592007343604452E-2</v>
      </c>
      <c r="L64" s="1364">
        <f t="shared" si="90"/>
        <v>0.1807142011979701</v>
      </c>
      <c r="M64" s="1364">
        <f t="shared" si="90"/>
        <v>0.40445497951718212</v>
      </c>
      <c r="N64" s="1364">
        <f t="shared" si="90"/>
        <v>0.13827407797802826</v>
      </c>
      <c r="O64" s="2711"/>
      <c r="P64" s="2711">
        <f t="shared" si="90"/>
        <v>0.13827407797802826</v>
      </c>
      <c r="Q64" s="1364">
        <f t="shared" si="90"/>
        <v>5.5281990726925301E-2</v>
      </c>
      <c r="R64" s="1364">
        <f t="shared" si="90"/>
        <v>-1.4138562294616186E-2</v>
      </c>
      <c r="S64" s="2711"/>
      <c r="T64" s="1364">
        <f>T63/R63-1</f>
        <v>1.2375460214619549E-2</v>
      </c>
      <c r="U64" s="1364">
        <f>U63/T63-1</f>
        <v>-7.1762517583056851E-2</v>
      </c>
      <c r="V64" s="1364">
        <f t="shared" si="90"/>
        <v>3.14205807500334E-2</v>
      </c>
      <c r="W64" s="1364">
        <f t="shared" si="90"/>
        <v>4.4589485274151075E-2</v>
      </c>
      <c r="X64" s="1364">
        <f t="shared" ref="X64:AE64" si="91">X63/W63-1</f>
        <v>5.2319492887507923E-2</v>
      </c>
      <c r="Y64" s="1364">
        <f t="shared" si="91"/>
        <v>6.3130050366913437E-2</v>
      </c>
      <c r="Z64" s="1364">
        <f t="shared" si="91"/>
        <v>7.0186049156101049E-2</v>
      </c>
      <c r="AA64" s="1364">
        <f t="shared" si="91"/>
        <v>7.3974887013570578E-2</v>
      </c>
      <c r="AB64" s="1364">
        <f t="shared" si="91"/>
        <v>7.6634682327517911E-2</v>
      </c>
      <c r="AC64" s="1364">
        <f t="shared" si="91"/>
        <v>7.8657982720377495E-2</v>
      </c>
      <c r="AD64" s="1364">
        <f t="shared" si="91"/>
        <v>8.202872125068783E-2</v>
      </c>
      <c r="AE64" s="1364">
        <f t="shared" si="91"/>
        <v>8.4357397840481907E-2</v>
      </c>
      <c r="AF64" s="105"/>
      <c r="AG64" s="1104"/>
      <c r="AH64" s="1104"/>
      <c r="AI64" s="1104"/>
      <c r="AJ64" s="1104"/>
      <c r="AK64" s="186"/>
      <c r="AL64" s="1294" t="str">
        <f t="shared" si="36"/>
        <v xml:space="preserve">% Change </v>
      </c>
      <c r="AM64" s="1286" t="s">
        <v>1455</v>
      </c>
      <c r="AN64" s="1286" t="s">
        <v>1455</v>
      </c>
      <c r="AO64" s="1286" t="s">
        <v>1455</v>
      </c>
      <c r="AP64" s="1286" t="s">
        <v>1455</v>
      </c>
      <c r="AQ64" s="1287"/>
      <c r="AR64" s="1286" t="s">
        <v>1455</v>
      </c>
      <c r="AS64" s="1286" t="s">
        <v>1455</v>
      </c>
      <c r="AT64" s="1286" t="s">
        <v>1455</v>
      </c>
      <c r="AU64" s="1286" t="s">
        <v>1455</v>
      </c>
      <c r="AV64" s="1287"/>
      <c r="AW64" s="1286" t="s">
        <v>1455</v>
      </c>
      <c r="AX64" s="1286" t="s">
        <v>1455</v>
      </c>
      <c r="AY64" s="1286" t="s">
        <v>1455</v>
      </c>
      <c r="AZ64" s="1286" t="s">
        <v>1455</v>
      </c>
      <c r="BA64" s="1287"/>
      <c r="BB64" s="1286" t="s">
        <v>1455</v>
      </c>
      <c r="BC64" s="1286" t="s">
        <v>1455</v>
      </c>
      <c r="BD64" s="1286" t="s">
        <v>1455</v>
      </c>
      <c r="BE64" s="1286" t="s">
        <v>1455</v>
      </c>
      <c r="BF64" s="1287"/>
      <c r="BG64" s="1104">
        <f>BG63/BB63-1</f>
        <v>-0.71052631578947367</v>
      </c>
      <c r="BH64" s="1104">
        <f>BH63/BC63-1</f>
        <v>0.57009345794392541</v>
      </c>
      <c r="BI64" s="1104">
        <f>BI63/BD63-1</f>
        <v>-1.320388349514563</v>
      </c>
      <c r="BJ64" s="1104">
        <f>BJ63/BE63-1</f>
        <v>6.8695652173913038</v>
      </c>
      <c r="BK64" s="1287"/>
      <c r="BL64" s="1104">
        <f>BL63/BG63-1</f>
        <v>6.4545454545454533</v>
      </c>
      <c r="BM64" s="1104">
        <f>BM63/BH63-1</f>
        <v>-1.3392857142857144</v>
      </c>
      <c r="BN64" s="1104">
        <f>BN63/BI63-1</f>
        <v>0.24242424242424243</v>
      </c>
      <c r="BO64" s="1104">
        <f>BO63/BJ63-1</f>
        <v>3.2648675759668677E-2</v>
      </c>
      <c r="BP64" s="1287"/>
      <c r="BQ64" s="1104">
        <f>BQ63/BL63-1</f>
        <v>0.21277121032195145</v>
      </c>
      <c r="BR64" s="1104">
        <f>BR63/BM63-1</f>
        <v>5.3974402482934503E-2</v>
      </c>
      <c r="BS64" s="1104">
        <f>BS63/BN63-1</f>
        <v>0.49221321136535545</v>
      </c>
      <c r="BT64" s="1104">
        <f>BT63/BO63-1</f>
        <v>1.5421159617944991E-2</v>
      </c>
      <c r="BU64" s="186"/>
      <c r="BV64" s="1104">
        <f>BV63/BQ63-1</f>
        <v>-0.75252724765873535</v>
      </c>
      <c r="BW64" s="1104">
        <f>BW63/BR63-1</f>
        <v>-0.32260859893333582</v>
      </c>
      <c r="BX64" s="1104">
        <f>BX63/BS63-1</f>
        <v>0.15229147624120976</v>
      </c>
      <c r="BY64" s="1104">
        <f>BY63/BT63-1</f>
        <v>0.11082456645893757</v>
      </c>
      <c r="BZ64" s="1477"/>
      <c r="CA64" s="1364">
        <f>CA63/BV63-1</f>
        <v>0.80225307617916286</v>
      </c>
      <c r="CB64" s="1364">
        <f>CB63/BW63-1</f>
        <v>0.56743107477074006</v>
      </c>
      <c r="CC64" s="1364">
        <f>CC63/BX63-1</f>
        <v>0.3605424241128854</v>
      </c>
      <c r="CD64" s="1364">
        <f>CD63/BY63-1</f>
        <v>0.11160252614402966</v>
      </c>
      <c r="CE64" s="1477"/>
      <c r="CF64" s="1364">
        <f>CF63/CA63-1</f>
        <v>2.3161880654698583</v>
      </c>
      <c r="CG64" s="1364">
        <f>CG63/CB63-1</f>
        <v>0.92448005912815967</v>
      </c>
      <c r="CH64" s="1364">
        <f>CH63/CC63-1</f>
        <v>0.50779235062609729</v>
      </c>
      <c r="CI64" s="1364">
        <f>CI63/CD63-1</f>
        <v>0.22257033216658972</v>
      </c>
      <c r="CJ64" s="1477"/>
      <c r="CK64" s="1364">
        <f>CK63/CF63-1</f>
        <v>7.0360037899129368E-2</v>
      </c>
      <c r="CL64" s="1364">
        <f>CL63/CG63-1</f>
        <v>0.29717525412756496</v>
      </c>
      <c r="CM64" s="1364">
        <f>CM63/CH63-1</f>
        <v>0.37510659203512242</v>
      </c>
      <c r="CN64" s="1364">
        <f>CN63/CI63-1</f>
        <v>8.7354150695324151E-2</v>
      </c>
      <c r="CO64" s="1477"/>
      <c r="CP64" s="2008">
        <f>CP63/CK63-1</f>
        <v>6.3783000264383771E-2</v>
      </c>
      <c r="CQ64" s="2008">
        <f>CQ63/CL63-1</f>
        <v>0.10726230500601619</v>
      </c>
      <c r="CR64" s="2008">
        <f>CR63/CM63-1</f>
        <v>9.004359370563586E-2</v>
      </c>
      <c r="CS64" s="2008">
        <f>CS63/CN63-1</f>
        <v>3.7597313528900722E-2</v>
      </c>
      <c r="CT64" s="1477"/>
      <c r="CU64" s="1364">
        <f>CU63/CP63-1</f>
        <v>5.4666246443068056E-2</v>
      </c>
      <c r="CV64" s="1364">
        <f>CV63/CQ63-1</f>
        <v>8.8313317386490953E-2</v>
      </c>
      <c r="CW64" s="1364">
        <f>CW63/CR63-1</f>
        <v>6.0949290958293378E-2</v>
      </c>
      <c r="CX64" s="1364">
        <f>CX63/CS63-1</f>
        <v>-6.1433022841061669E-2</v>
      </c>
      <c r="CY64" s="1741"/>
      <c r="CZ64" s="1364">
        <f>CZ63/CU63-1</f>
        <v>1.299910577549257E-2</v>
      </c>
      <c r="DA64" s="2827">
        <f>DA63/CV63-1</f>
        <v>2.1982759355207104E-2</v>
      </c>
      <c r="DB64" s="2827">
        <f>DB63/CW63-1</f>
        <v>2.8031318281942719E-2</v>
      </c>
      <c r="DC64" s="2827">
        <f>DC63/CX63-1</f>
        <v>6.2730581962613385E-3</v>
      </c>
      <c r="DD64" s="2835"/>
      <c r="DE64" s="2827">
        <f>DE63/CZ63-1</f>
        <v>-0.14091397956298013</v>
      </c>
      <c r="DF64" s="2827">
        <f>DF63/DA63-1</f>
        <v>-0.14697112503692478</v>
      </c>
      <c r="DG64" s="2827">
        <f>DG63/DB63-1</f>
        <v>-0.1326530491083423</v>
      </c>
      <c r="DH64" s="2827">
        <f>DH63/DC63-1</f>
        <v>-2.6431371628295341E-2</v>
      </c>
      <c r="DI64" s="2835"/>
      <c r="DJ64" s="1477"/>
      <c r="DK64" s="1104"/>
      <c r="DL64" s="186"/>
      <c r="DM64" s="186"/>
      <c r="DN64" s="186"/>
      <c r="DO64" s="186"/>
      <c r="DP64" s="186"/>
      <c r="DQ64" s="186"/>
      <c r="DR64" s="186"/>
      <c r="DS64" s="186"/>
      <c r="DT64" s="186"/>
    </row>
    <row r="65" spans="1:125" ht="11.25" hidden="1" customHeight="1" outlineLevel="1">
      <c r="A65" s="1827" t="s">
        <v>1208</v>
      </c>
      <c r="B65" s="1473" t="s">
        <v>1455</v>
      </c>
      <c r="C65" s="1473" t="s">
        <v>1455</v>
      </c>
      <c r="D65" s="1473" t="s">
        <v>1455</v>
      </c>
      <c r="E65" s="1473" t="s">
        <v>1455</v>
      </c>
      <c r="F65" s="1473" t="s">
        <v>1455</v>
      </c>
      <c r="G65" s="1473" t="s">
        <v>1455</v>
      </c>
      <c r="H65" s="1364">
        <f>H63/H18</f>
        <v>9.8895626169812512E-2</v>
      </c>
      <c r="I65" s="1364">
        <f>I63/I18</f>
        <v>0.13693797256117957</v>
      </c>
      <c r="J65" s="1364">
        <f>J63/J18</f>
        <v>0.13968553561944436</v>
      </c>
      <c r="K65" s="1364">
        <f t="shared" ref="K65:V65" si="92">K63/K18</f>
        <v>0.1385481205552562</v>
      </c>
      <c r="L65" s="1364">
        <f t="shared" si="92"/>
        <v>0.15557859171210237</v>
      </c>
      <c r="M65" s="1364">
        <f t="shared" si="92"/>
        <v>0.19133901009206883</v>
      </c>
      <c r="N65" s="1364">
        <f>N63/N18</f>
        <v>0.20801182407415142</v>
      </c>
      <c r="O65" s="2711">
        <f>O63/O18</f>
        <v>0.19133901009206883</v>
      </c>
      <c r="P65" s="2711">
        <f>P63/P18</f>
        <v>0.20801182407415142</v>
      </c>
      <c r="Q65" s="1364">
        <f>Q63/Q18</f>
        <v>0.20621523200506445</v>
      </c>
      <c r="R65" s="1364">
        <f t="shared" si="92"/>
        <v>0.19677577043090666</v>
      </c>
      <c r="S65" s="2828"/>
      <c r="T65" s="2827">
        <f t="shared" si="92"/>
        <v>0.18066918830896675</v>
      </c>
      <c r="U65" s="2827">
        <f>U63/U18</f>
        <v>0.14846634910356624</v>
      </c>
      <c r="V65" s="2827">
        <f t="shared" si="92"/>
        <v>0.14107086522451834</v>
      </c>
      <c r="W65" s="2827">
        <f t="shared" ref="W65:AB65" si="93">W63/W18</f>
        <v>0.139528772682388</v>
      </c>
      <c r="X65" s="2827">
        <f t="shared" si="93"/>
        <v>0.13995409620613888</v>
      </c>
      <c r="Y65" s="2827">
        <f t="shared" si="93"/>
        <v>0.14166329655806564</v>
      </c>
      <c r="Z65" s="2827">
        <f t="shared" si="93"/>
        <v>0.14442692279418048</v>
      </c>
      <c r="AA65" s="2827">
        <f t="shared" si="93"/>
        <v>0.1481949836399617</v>
      </c>
      <c r="AB65" s="2827">
        <f t="shared" si="93"/>
        <v>0.15284626766115555</v>
      </c>
      <c r="AC65" s="2827">
        <f>AC63/AC18</f>
        <v>0.15829018886302268</v>
      </c>
      <c r="AD65" s="2827">
        <f>AD63/AD18</f>
        <v>0.16463479070403531</v>
      </c>
      <c r="AE65" s="2827">
        <f>AE63/AE18</f>
        <v>0.17178800555103177</v>
      </c>
      <c r="AF65" s="2804"/>
      <c r="AG65" s="1104"/>
      <c r="AH65" s="1104"/>
      <c r="AI65" s="1104"/>
      <c r="AJ65" s="1104"/>
      <c r="AK65" s="186"/>
      <c r="AL65" s="1294" t="str">
        <f t="shared" si="36"/>
        <v xml:space="preserve">% Margin </v>
      </c>
      <c r="AM65" s="1286" t="s">
        <v>1455</v>
      </c>
      <c r="AN65" s="1286" t="s">
        <v>1455</v>
      </c>
      <c r="AO65" s="1286" t="s">
        <v>1455</v>
      </c>
      <c r="AP65" s="1286" t="s">
        <v>1455</v>
      </c>
      <c r="AQ65" s="1287"/>
      <c r="AR65" s="1286" t="s">
        <v>1455</v>
      </c>
      <c r="AS65" s="1286" t="s">
        <v>1455</v>
      </c>
      <c r="AT65" s="1286" t="s">
        <v>1455</v>
      </c>
      <c r="AU65" s="1286" t="s">
        <v>1455</v>
      </c>
      <c r="AV65" s="1287"/>
      <c r="AW65" s="1286" t="s">
        <v>1455</v>
      </c>
      <c r="AX65" s="1286" t="s">
        <v>1455</v>
      </c>
      <c r="AY65" s="1286" t="s">
        <v>1455</v>
      </c>
      <c r="AZ65" s="1286" t="s">
        <v>1455</v>
      </c>
      <c r="BA65" s="1287"/>
      <c r="BB65" s="1104">
        <f>BB63/BB18</f>
        <v>9.8445595854922269E-2</v>
      </c>
      <c r="BC65" s="1104">
        <f>BC63/BC18</f>
        <v>-0.33647798742138363</v>
      </c>
      <c r="BD65" s="1104">
        <f>BD63/BD18</f>
        <v>-0.27762803234501349</v>
      </c>
      <c r="BE65" s="1104">
        <f>BE63/BE18</f>
        <v>0.11774744027303755</v>
      </c>
      <c r="BF65" s="1287"/>
      <c r="BG65" s="1104">
        <f>BG63/BG18</f>
        <v>2.0793950850661626E-2</v>
      </c>
      <c r="BH65" s="1104">
        <f>BH63/BH18</f>
        <v>-0.41791044776119401</v>
      </c>
      <c r="BI65" s="1104">
        <f>BI63/BI18</f>
        <v>2.3028611304954639E-2</v>
      </c>
      <c r="BJ65" s="1104">
        <f>BJ63/BJ18</f>
        <v>0.28994174466971734</v>
      </c>
      <c r="BK65" s="1287"/>
      <c r="BL65" s="1104">
        <f>BL63/BL18</f>
        <v>6.1057334326135505E-2</v>
      </c>
      <c r="BM65" s="1104">
        <f>BM63/BM18</f>
        <v>4.4846577498033051E-2</v>
      </c>
      <c r="BN65" s="1104">
        <f>BN63/BN18</f>
        <v>3.3581783929887782E-2</v>
      </c>
      <c r="BO65" s="1104">
        <f>BO63/BO18</f>
        <v>0.35617069067813378</v>
      </c>
      <c r="BP65" s="1287"/>
      <c r="BQ65" s="1104">
        <f>BQ63/BQ18</f>
        <v>7.1415657527546236E-2</v>
      </c>
      <c r="BR65" s="1104">
        <f>BR63/BR18</f>
        <v>4.553009779767872E-2</v>
      </c>
      <c r="BS65" s="1104">
        <f>BS63/BS18</f>
        <v>4.7564869417815785E-2</v>
      </c>
      <c r="BT65" s="1104">
        <f>BT63/BT18</f>
        <v>0.34343801498026005</v>
      </c>
      <c r="BU65" s="186"/>
      <c r="BV65" s="1104">
        <f>BV63/BV18</f>
        <v>2.1378360697246249E-2</v>
      </c>
      <c r="BW65" s="1104">
        <f>BW63/BW18</f>
        <v>3.1642360313379289E-2</v>
      </c>
      <c r="BX65" s="1104">
        <f>BX63/BX18</f>
        <v>5.191865625187618E-2</v>
      </c>
      <c r="BY65" s="1104">
        <f>BY63/BY18</f>
        <v>0.36139927359027002</v>
      </c>
      <c r="BZ65" s="1477"/>
      <c r="CA65" s="1364">
        <f>CA63/CA18</f>
        <v>3.6608875163155412E-2</v>
      </c>
      <c r="CB65" s="1364">
        <f>CB63/CB18</f>
        <v>4.7181671662093666E-2</v>
      </c>
      <c r="CC65" s="1364">
        <f>CC63/CC18</f>
        <v>6.7201429245257488E-2</v>
      </c>
      <c r="CD65" s="1364">
        <f>CD63/CD18</f>
        <v>0.38213812262502356</v>
      </c>
      <c r="CE65" s="1477"/>
      <c r="CF65" s="1364">
        <f>CF63/CF18</f>
        <v>0.10085631113283204</v>
      </c>
      <c r="CG65" s="1364">
        <f>CG63/CG18</f>
        <v>7.8772884692306325E-2</v>
      </c>
      <c r="CH65" s="1364">
        <f>CH63/CH18</f>
        <v>9.069957018697021E-2</v>
      </c>
      <c r="CI65" s="1364">
        <f>CI63/CI18</f>
        <v>0.41987792117893241</v>
      </c>
      <c r="CJ65" s="1477"/>
      <c r="CK65" s="1364">
        <f>CK63/CK18</f>
        <v>0.10287634045434288</v>
      </c>
      <c r="CL65" s="1364">
        <f>CL63/CL18</f>
        <v>9.7371639656338618E-2</v>
      </c>
      <c r="CM65" s="1364">
        <f>CM63/CM18</f>
        <v>0.11888253750633566</v>
      </c>
      <c r="CN65" s="1364">
        <f>CN63/CN18</f>
        <v>0.43816402737262999</v>
      </c>
      <c r="CO65" s="1477"/>
      <c r="CP65" s="2008">
        <f>CP63/CP18</f>
        <v>0.10448290563737421</v>
      </c>
      <c r="CQ65" s="2008">
        <f>CQ63/CQ18</f>
        <v>0.1021206266507861</v>
      </c>
      <c r="CR65" s="2008">
        <f>CR63/CR18</f>
        <v>0.1208260450510704</v>
      </c>
      <c r="CS65" s="2008">
        <f>CS63/CS18</f>
        <v>0.42210154763683783</v>
      </c>
      <c r="CT65" s="1477"/>
      <c r="CU65" s="1364">
        <f>CU63/CU18</f>
        <v>0.10763965284621071</v>
      </c>
      <c r="CV65" s="1364">
        <f>CV63/CV18</f>
        <v>0.10655271030193998</v>
      </c>
      <c r="CW65" s="1364">
        <f>CW63/CW18</f>
        <v>0.12249987426333643</v>
      </c>
      <c r="CX65" s="1364">
        <f>CX63/CX18</f>
        <v>0.38767791804561819</v>
      </c>
      <c r="CY65" s="1741"/>
      <c r="CZ65" s="1364">
        <f>CZ63/CZ18</f>
        <v>9.8813334071117531E-2</v>
      </c>
      <c r="DA65" s="2827">
        <f>DA63/DA18</f>
        <v>9.9556422456655247E-2</v>
      </c>
      <c r="DB65" s="2827">
        <f>DB63/DB18</f>
        <v>0.11402457886843273</v>
      </c>
      <c r="DC65" s="2827">
        <f>DC63/DC18</f>
        <v>0.3522916306815117</v>
      </c>
      <c r="DD65" s="2835"/>
      <c r="DE65" s="2827">
        <f>DE63/DE18</f>
        <v>7.3455100839151313E-2</v>
      </c>
      <c r="DF65" s="2827">
        <f>DF63/DF18</f>
        <v>7.4073726208030891E-2</v>
      </c>
      <c r="DG65" s="2827">
        <f>DG63/DG18</f>
        <v>8.7565583759317375E-2</v>
      </c>
      <c r="DH65" s="2827">
        <f>DH63/DH18</f>
        <v>0.31216532962129817</v>
      </c>
      <c r="DI65" s="2835"/>
      <c r="DJ65" s="1477"/>
      <c r="DK65" s="1104"/>
      <c r="DL65" s="186"/>
      <c r="DM65" s="186"/>
      <c r="DN65" s="186"/>
      <c r="DO65" s="186"/>
      <c r="DP65" s="186"/>
      <c r="DQ65" s="186"/>
      <c r="DR65" s="186"/>
      <c r="DS65" s="186"/>
      <c r="DT65" s="186"/>
    </row>
    <row r="66" spans="1:125" ht="6" hidden="1" customHeight="1" outlineLevel="1">
      <c r="A66" s="1831"/>
      <c r="B66" s="1110"/>
      <c r="C66" s="1110"/>
      <c r="D66" s="1110"/>
      <c r="E66" s="1110"/>
      <c r="F66" s="1110"/>
      <c r="G66" s="1110"/>
      <c r="H66" s="1110"/>
      <c r="I66" s="1110"/>
      <c r="J66" s="1110"/>
      <c r="K66" s="1110"/>
      <c r="L66" s="1110"/>
      <c r="M66" s="1105"/>
      <c r="N66" s="1105"/>
      <c r="O66" s="2714"/>
      <c r="P66" s="2714"/>
      <c r="Q66" s="1105"/>
      <c r="R66" s="1105"/>
      <c r="S66" s="2808"/>
      <c r="T66" s="2804"/>
      <c r="U66" s="2802"/>
      <c r="V66" s="2802"/>
      <c r="W66" s="2802"/>
      <c r="X66" s="2802"/>
      <c r="Y66" s="2802"/>
      <c r="Z66" s="2802"/>
      <c r="AA66" s="2802"/>
      <c r="AB66" s="2802"/>
      <c r="AC66" s="2802"/>
      <c r="AD66" s="2802"/>
      <c r="AE66" s="2802"/>
      <c r="AF66" s="2804"/>
      <c r="AG66" s="39"/>
      <c r="AH66" s="39"/>
      <c r="AI66" s="39"/>
      <c r="AJ66" s="39"/>
      <c r="AK66" s="11"/>
      <c r="AL66" s="1106"/>
      <c r="AM66" s="39"/>
      <c r="AN66" s="39"/>
      <c r="AO66" s="39"/>
      <c r="AP66" s="39"/>
      <c r="AQ66" s="1120"/>
      <c r="AR66" s="39"/>
      <c r="AS66" s="39"/>
      <c r="AT66" s="39"/>
      <c r="AU66" s="39"/>
      <c r="AV66" s="1120"/>
      <c r="AW66" s="39"/>
      <c r="AX66" s="39"/>
      <c r="AY66" s="39"/>
      <c r="AZ66" s="39"/>
      <c r="BA66" s="1120"/>
      <c r="BB66" s="39"/>
      <c r="BC66" s="39"/>
      <c r="BD66" s="39"/>
      <c r="BE66" s="39"/>
      <c r="BF66" s="1120"/>
      <c r="BG66" s="39"/>
      <c r="BH66" s="39"/>
      <c r="BI66" s="39"/>
      <c r="BJ66" s="39"/>
      <c r="BK66" s="1120"/>
      <c r="BL66" s="39"/>
      <c r="BM66" s="39"/>
      <c r="BN66" s="39"/>
      <c r="BO66" s="39"/>
      <c r="BP66" s="1120"/>
      <c r="BQ66" s="39"/>
      <c r="BR66" s="39"/>
      <c r="BS66" s="39"/>
      <c r="BT66" s="39"/>
      <c r="BU66" s="11"/>
      <c r="BV66" s="11"/>
      <c r="BW66" s="11"/>
      <c r="BX66" s="11"/>
      <c r="BY66" s="11"/>
      <c r="BZ66" s="1108"/>
      <c r="CA66" s="1108"/>
      <c r="CB66" s="1108"/>
      <c r="CC66" s="1108"/>
      <c r="CD66" s="1108"/>
      <c r="CE66" s="1108"/>
      <c r="CF66" s="1108"/>
      <c r="CG66" s="1108"/>
      <c r="CH66" s="1108"/>
      <c r="CI66" s="1108"/>
      <c r="CJ66" s="1108"/>
      <c r="CK66" s="1470"/>
      <c r="CL66" s="1470"/>
      <c r="CM66" s="1470"/>
      <c r="CN66" s="1108"/>
      <c r="CO66" s="1108"/>
      <c r="CP66" s="1470"/>
      <c r="CQ66" s="1470"/>
      <c r="CR66" s="1699"/>
      <c r="CS66" s="1699"/>
      <c r="CT66" s="1108"/>
      <c r="CU66" s="1108"/>
      <c r="CV66" s="1108"/>
      <c r="CW66" s="1108"/>
      <c r="CX66" s="1108"/>
      <c r="CY66" s="1741"/>
      <c r="CZ66" s="1108"/>
      <c r="DA66" s="2862"/>
      <c r="DB66" s="2862"/>
      <c r="DC66" s="2862"/>
      <c r="DD66" s="2835"/>
      <c r="DE66" s="2835"/>
      <c r="DF66" s="2835"/>
      <c r="DG66" s="2835"/>
      <c r="DH66" s="2835"/>
      <c r="DI66" s="2835"/>
      <c r="DJ66" s="1108"/>
      <c r="DK66" s="11"/>
      <c r="DL66" s="186"/>
      <c r="DM66" s="186"/>
      <c r="DN66" s="186"/>
      <c r="DO66" s="186"/>
      <c r="DP66" s="186"/>
      <c r="DQ66" s="186"/>
      <c r="DR66" s="186"/>
      <c r="DS66" s="186"/>
      <c r="DT66" s="186"/>
    </row>
    <row r="67" spans="1:125" ht="10.5" hidden="1" customHeight="1" outlineLevel="1">
      <c r="A67" s="3410" t="s">
        <v>1820</v>
      </c>
      <c r="B67" s="1110"/>
      <c r="C67" s="1110"/>
      <c r="D67" s="1110"/>
      <c r="E67" s="1110"/>
      <c r="F67" s="1110"/>
      <c r="G67" s="1110"/>
      <c r="H67" s="1110"/>
      <c r="I67" s="1110"/>
      <c r="J67" s="1110"/>
      <c r="K67" s="1110"/>
      <c r="L67" s="1110"/>
      <c r="M67" s="1105"/>
      <c r="N67" s="1105"/>
      <c r="O67" s="2714"/>
      <c r="P67" s="2714"/>
      <c r="Q67" s="1105"/>
      <c r="R67" s="1105"/>
      <c r="S67" s="2808"/>
      <c r="T67" s="2890">
        <f>SUM(CZ67:DC67)</f>
        <v>0</v>
      </c>
      <c r="U67" s="2890">
        <f>SUM(DE67:DH67)</f>
        <v>0</v>
      </c>
      <c r="V67" s="2804">
        <f>V21*V69</f>
        <v>2.5</v>
      </c>
      <c r="W67" s="2804">
        <f t="shared" ref="W67:AE67" si="94">W21*W69</f>
        <v>5</v>
      </c>
      <c r="X67" s="2804">
        <f t="shared" si="94"/>
        <v>7.5</v>
      </c>
      <c r="Y67" s="2804">
        <f t="shared" si="94"/>
        <v>10</v>
      </c>
      <c r="Z67" s="2804">
        <f t="shared" si="94"/>
        <v>12.5</v>
      </c>
      <c r="AA67" s="2804">
        <f t="shared" si="94"/>
        <v>15.000000000000002</v>
      </c>
      <c r="AB67" s="2804">
        <f t="shared" si="94"/>
        <v>17.5</v>
      </c>
      <c r="AC67" s="2804">
        <f t="shared" si="94"/>
        <v>20</v>
      </c>
      <c r="AD67" s="2804">
        <f t="shared" si="94"/>
        <v>22.5</v>
      </c>
      <c r="AE67" s="2804">
        <f t="shared" si="94"/>
        <v>24.999999999999996</v>
      </c>
      <c r="AF67" s="2804"/>
      <c r="AG67" s="39"/>
      <c r="AH67" s="39"/>
      <c r="AI67" s="39"/>
      <c r="AJ67" s="39"/>
      <c r="AK67" s="11"/>
      <c r="AL67" s="1106"/>
      <c r="AM67" s="39"/>
      <c r="AN67" s="39"/>
      <c r="AO67" s="39"/>
      <c r="AP67" s="39"/>
      <c r="AQ67" s="1120"/>
      <c r="AR67" s="39"/>
      <c r="AS67" s="39"/>
      <c r="AT67" s="39"/>
      <c r="AU67" s="39"/>
      <c r="AV67" s="1120"/>
      <c r="AW67" s="39"/>
      <c r="AX67" s="39"/>
      <c r="AY67" s="39"/>
      <c r="AZ67" s="39"/>
      <c r="BA67" s="1120"/>
      <c r="BB67" s="39"/>
      <c r="BC67" s="39"/>
      <c r="BD67" s="39"/>
      <c r="BE67" s="39"/>
      <c r="BF67" s="1120"/>
      <c r="BG67" s="39"/>
      <c r="BH67" s="39"/>
      <c r="BI67" s="39"/>
      <c r="BJ67" s="39"/>
      <c r="BK67" s="1120"/>
      <c r="BL67" s="39"/>
      <c r="BM67" s="39"/>
      <c r="BN67" s="39"/>
      <c r="BO67" s="39"/>
      <c r="BP67" s="1120"/>
      <c r="BQ67" s="39"/>
      <c r="BR67" s="39"/>
      <c r="BS67" s="39"/>
      <c r="BT67" s="39"/>
      <c r="BU67" s="11"/>
      <c r="BV67" s="11"/>
      <c r="BW67" s="11"/>
      <c r="BX67" s="11"/>
      <c r="BY67" s="11"/>
      <c r="BZ67" s="1108"/>
      <c r="CA67" s="1108"/>
      <c r="CB67" s="1108"/>
      <c r="CC67" s="1108"/>
      <c r="CD67" s="1108"/>
      <c r="CE67" s="1108"/>
      <c r="CF67" s="1108"/>
      <c r="CG67" s="1108"/>
      <c r="CH67" s="1108"/>
      <c r="CI67" s="1108"/>
      <c r="CJ67" s="1108"/>
      <c r="CK67" s="1470"/>
      <c r="CL67" s="1470"/>
      <c r="CM67" s="1470"/>
      <c r="CN67" s="1108"/>
      <c r="CO67" s="1108"/>
      <c r="CP67" s="1470"/>
      <c r="CQ67" s="1470"/>
      <c r="CR67" s="1699"/>
      <c r="CS67" s="1699"/>
      <c r="CT67" s="1108"/>
      <c r="CU67" s="1108"/>
      <c r="CV67" s="1108"/>
      <c r="CW67" s="1108"/>
      <c r="CX67" s="1108"/>
      <c r="CY67" s="1741"/>
      <c r="CZ67" s="1108"/>
      <c r="DA67" s="2862"/>
      <c r="DB67" s="2862"/>
      <c r="DC67" s="3042">
        <v>0</v>
      </c>
      <c r="DD67" s="3042"/>
      <c r="DE67" s="3042">
        <v>0</v>
      </c>
      <c r="DF67" s="3042">
        <v>0</v>
      </c>
      <c r="DG67" s="3042">
        <v>0</v>
      </c>
      <c r="DH67" s="3042">
        <v>0</v>
      </c>
      <c r="DI67" s="2835">
        <f t="shared" si="73"/>
        <v>0</v>
      </c>
      <c r="DJ67" s="1108"/>
      <c r="DK67" s="11"/>
      <c r="DL67" s="186"/>
      <c r="DM67" s="186"/>
      <c r="DN67" s="186"/>
      <c r="DO67" s="186"/>
      <c r="DP67" s="186"/>
      <c r="DQ67" s="186"/>
      <c r="DR67" s="186"/>
      <c r="DS67" s="186"/>
      <c r="DT67" s="186"/>
    </row>
    <row r="68" spans="1:125" ht="11.25" hidden="1" customHeight="1" outlineLevel="1">
      <c r="A68" s="1827" t="s">
        <v>344</v>
      </c>
      <c r="B68" s="1473"/>
      <c r="C68" s="1473"/>
      <c r="D68" s="1473"/>
      <c r="E68" s="1473"/>
      <c r="F68" s="1473"/>
      <c r="G68" s="1473"/>
      <c r="H68" s="1473"/>
      <c r="I68" s="1364"/>
      <c r="J68" s="1364"/>
      <c r="K68" s="1364"/>
      <c r="L68" s="1364"/>
      <c r="M68" s="1364"/>
      <c r="N68" s="1364"/>
      <c r="O68" s="2711"/>
      <c r="P68" s="2711"/>
      <c r="Q68" s="1364"/>
      <c r="R68" s="1364"/>
      <c r="S68" s="2828"/>
      <c r="T68" s="2827"/>
      <c r="U68" s="2827"/>
      <c r="V68" s="2827"/>
      <c r="W68" s="3471">
        <f>W67/V67-1</f>
        <v>1</v>
      </c>
      <c r="X68" s="3471">
        <f t="shared" ref="X68:AE68" si="95">X67/W67-1</f>
        <v>0.5</v>
      </c>
      <c r="Y68" s="2827">
        <f t="shared" si="95"/>
        <v>0.33333333333333326</v>
      </c>
      <c r="Z68" s="2827">
        <f t="shared" si="95"/>
        <v>0.25</v>
      </c>
      <c r="AA68" s="2827">
        <f t="shared" si="95"/>
        <v>0.20000000000000018</v>
      </c>
      <c r="AB68" s="2827">
        <f t="shared" si="95"/>
        <v>0.16666666666666652</v>
      </c>
      <c r="AC68" s="2827">
        <f t="shared" si="95"/>
        <v>0.14285714285714279</v>
      </c>
      <c r="AD68" s="2827">
        <f t="shared" si="95"/>
        <v>0.125</v>
      </c>
      <c r="AE68" s="2827">
        <f t="shared" si="95"/>
        <v>0.11111111111111094</v>
      </c>
      <c r="AF68" s="2804"/>
      <c r="AG68" s="1104"/>
      <c r="AH68" s="1104"/>
      <c r="AI68" s="1104"/>
      <c r="AJ68" s="1104"/>
      <c r="AK68" s="186"/>
      <c r="AL68" s="1294"/>
      <c r="AM68" s="1286"/>
      <c r="AN68" s="1286"/>
      <c r="AO68" s="1286"/>
      <c r="AP68" s="1286"/>
      <c r="AQ68" s="1287"/>
      <c r="AR68" s="1286"/>
      <c r="AS68" s="1286"/>
      <c r="AT68" s="1286"/>
      <c r="AU68" s="1286"/>
      <c r="AV68" s="1287"/>
      <c r="AW68" s="1286"/>
      <c r="AX68" s="1286"/>
      <c r="AY68" s="1286"/>
      <c r="AZ68" s="1286"/>
      <c r="BA68" s="1287"/>
      <c r="BB68" s="1286"/>
      <c r="BC68" s="1286"/>
      <c r="BD68" s="1286"/>
      <c r="BE68" s="1286"/>
      <c r="BF68" s="1287"/>
      <c r="BG68" s="1104"/>
      <c r="BH68" s="1104"/>
      <c r="BI68" s="1104"/>
      <c r="BJ68" s="1104"/>
      <c r="BK68" s="1287"/>
      <c r="BL68" s="1104"/>
      <c r="BM68" s="1104"/>
      <c r="BN68" s="1104"/>
      <c r="BO68" s="1104"/>
      <c r="BP68" s="1287"/>
      <c r="BQ68" s="1104"/>
      <c r="BR68" s="1104"/>
      <c r="BS68" s="1104"/>
      <c r="BT68" s="1104"/>
      <c r="BU68" s="186"/>
      <c r="BV68" s="1104"/>
      <c r="BW68" s="1104"/>
      <c r="BX68" s="1104"/>
      <c r="BY68" s="1104"/>
      <c r="BZ68" s="1477"/>
      <c r="CA68" s="1364"/>
      <c r="CB68" s="1364"/>
      <c r="CC68" s="1364"/>
      <c r="CD68" s="1364"/>
      <c r="CE68" s="1477"/>
      <c r="CF68" s="1364"/>
      <c r="CG68" s="1364"/>
      <c r="CH68" s="1364"/>
      <c r="CI68" s="1364"/>
      <c r="CJ68" s="1477"/>
      <c r="CK68" s="1364"/>
      <c r="CL68" s="1364"/>
      <c r="CM68" s="1364"/>
      <c r="CN68" s="1364"/>
      <c r="CO68" s="1477"/>
      <c r="CP68" s="2008"/>
      <c r="CQ68" s="2008"/>
      <c r="CR68" s="2008"/>
      <c r="CS68" s="2008"/>
      <c r="CT68" s="1477"/>
      <c r="CU68" s="1364"/>
      <c r="CV68" s="1364"/>
      <c r="CW68" s="1364"/>
      <c r="CX68" s="1364"/>
      <c r="CY68" s="1741"/>
      <c r="CZ68" s="1364"/>
      <c r="DA68" s="2827"/>
      <c r="DB68" s="2827"/>
      <c r="DC68" s="2827"/>
      <c r="DD68" s="2835"/>
      <c r="DE68" s="2827"/>
      <c r="DF68" s="2827"/>
      <c r="DG68" s="2827"/>
      <c r="DH68" s="2827"/>
      <c r="DI68" s="2835"/>
      <c r="DJ68" s="1477"/>
      <c r="DK68" s="1104"/>
      <c r="DL68" s="186"/>
      <c r="DM68" s="186"/>
      <c r="DN68" s="186"/>
      <c r="DO68" s="186"/>
      <c r="DP68" s="186"/>
      <c r="DQ68" s="186"/>
      <c r="DR68" s="186"/>
      <c r="DS68" s="186"/>
      <c r="DT68" s="186"/>
    </row>
    <row r="69" spans="1:125" ht="11.25" hidden="1" customHeight="1" outlineLevel="1">
      <c r="A69" s="1827" t="s">
        <v>1208</v>
      </c>
      <c r="B69" s="1473"/>
      <c r="C69" s="1473"/>
      <c r="D69" s="1473"/>
      <c r="E69" s="1473"/>
      <c r="F69" s="1473"/>
      <c r="G69" s="1473"/>
      <c r="H69" s="1364"/>
      <c r="I69" s="1364"/>
      <c r="J69" s="1364"/>
      <c r="K69" s="1364"/>
      <c r="L69" s="1364"/>
      <c r="M69" s="1364"/>
      <c r="N69" s="1364"/>
      <c r="O69" s="2711"/>
      <c r="P69" s="2711"/>
      <c r="Q69" s="1364"/>
      <c r="R69" s="1364"/>
      <c r="S69" s="2828"/>
      <c r="T69" s="2827">
        <f>T67/T21</f>
        <v>0</v>
      </c>
      <c r="U69" s="2827">
        <f>U67/U21</f>
        <v>0</v>
      </c>
      <c r="V69" s="3048">
        <f>MIN(U69+0.005, 5%)</f>
        <v>5.0000000000000001E-3</v>
      </c>
      <c r="W69" s="3048">
        <f t="shared" ref="W69:AE69" si="96">MIN(V69+0.005, 5%)</f>
        <v>0.01</v>
      </c>
      <c r="X69" s="3048">
        <f t="shared" si="96"/>
        <v>1.4999999999999999E-2</v>
      </c>
      <c r="Y69" s="3048">
        <f t="shared" si="96"/>
        <v>0.02</v>
      </c>
      <c r="Z69" s="3048">
        <f t="shared" si="96"/>
        <v>2.5000000000000001E-2</v>
      </c>
      <c r="AA69" s="3048">
        <f t="shared" si="96"/>
        <v>3.0000000000000002E-2</v>
      </c>
      <c r="AB69" s="3048">
        <f t="shared" si="96"/>
        <v>3.5000000000000003E-2</v>
      </c>
      <c r="AC69" s="3048">
        <f t="shared" si="96"/>
        <v>0.04</v>
      </c>
      <c r="AD69" s="3048">
        <f t="shared" si="96"/>
        <v>4.4999999999999998E-2</v>
      </c>
      <c r="AE69" s="3048">
        <f t="shared" si="96"/>
        <v>4.9999999999999996E-2</v>
      </c>
      <c r="AF69" s="2804"/>
      <c r="AG69" s="1104"/>
      <c r="AH69" s="1104"/>
      <c r="AI69" s="1104"/>
      <c r="AJ69" s="1104"/>
      <c r="AK69" s="186"/>
      <c r="AL69" s="1294"/>
      <c r="AM69" s="1286"/>
      <c r="AN69" s="1286"/>
      <c r="AO69" s="1286"/>
      <c r="AP69" s="1286"/>
      <c r="AQ69" s="1287"/>
      <c r="AR69" s="1286"/>
      <c r="AS69" s="1286"/>
      <c r="AT69" s="1286"/>
      <c r="AU69" s="1286"/>
      <c r="AV69" s="1287"/>
      <c r="AW69" s="1286"/>
      <c r="AX69" s="1286"/>
      <c r="AY69" s="1286"/>
      <c r="AZ69" s="1286"/>
      <c r="BA69" s="1287"/>
      <c r="BB69" s="1104"/>
      <c r="BC69" s="1104"/>
      <c r="BD69" s="1104"/>
      <c r="BE69" s="1104"/>
      <c r="BF69" s="1287"/>
      <c r="BG69" s="1104"/>
      <c r="BH69" s="1104"/>
      <c r="BI69" s="1104"/>
      <c r="BJ69" s="1104"/>
      <c r="BK69" s="1287"/>
      <c r="BL69" s="1104"/>
      <c r="BM69" s="1104"/>
      <c r="BN69" s="1104"/>
      <c r="BO69" s="1104"/>
      <c r="BP69" s="1287"/>
      <c r="BQ69" s="1104"/>
      <c r="BR69" s="1104"/>
      <c r="BS69" s="1104"/>
      <c r="BT69" s="1104"/>
      <c r="BU69" s="186"/>
      <c r="BV69" s="1104"/>
      <c r="BW69" s="1104"/>
      <c r="BX69" s="1104"/>
      <c r="BY69" s="1104"/>
      <c r="BZ69" s="1477"/>
      <c r="CA69" s="1364"/>
      <c r="CB69" s="1364"/>
      <c r="CC69" s="1364"/>
      <c r="CD69" s="1364"/>
      <c r="CE69" s="1477"/>
      <c r="CF69" s="1364"/>
      <c r="CG69" s="1364"/>
      <c r="CH69" s="1364"/>
      <c r="CI69" s="1364"/>
      <c r="CJ69" s="1477"/>
      <c r="CK69" s="1364"/>
      <c r="CL69" s="1364"/>
      <c r="CM69" s="1364"/>
      <c r="CN69" s="1364"/>
      <c r="CO69" s="1477"/>
      <c r="CP69" s="2008"/>
      <c r="CQ69" s="2008"/>
      <c r="CR69" s="2008"/>
      <c r="CS69" s="2008"/>
      <c r="CT69" s="1477"/>
      <c r="CU69" s="1364"/>
      <c r="CV69" s="1364"/>
      <c r="CW69" s="1364"/>
      <c r="CX69" s="1364"/>
      <c r="CY69" s="1741"/>
      <c r="CZ69" s="1364"/>
      <c r="DA69" s="2827"/>
      <c r="DB69" s="2827"/>
      <c r="DC69" s="2827"/>
      <c r="DD69" s="2835"/>
      <c r="DE69" s="2827">
        <f>DE67/DE21</f>
        <v>0</v>
      </c>
      <c r="DF69" s="2827">
        <f t="shared" ref="DF69:DH69" si="97">DF67/DF21</f>
        <v>0</v>
      </c>
      <c r="DG69" s="2827">
        <f t="shared" si="97"/>
        <v>0</v>
      </c>
      <c r="DH69" s="2827">
        <f t="shared" si="97"/>
        <v>0</v>
      </c>
      <c r="DI69" s="2835"/>
      <c r="DJ69" s="1477"/>
      <c r="DK69" s="1104"/>
      <c r="DL69" s="186"/>
      <c r="DM69" s="186"/>
      <c r="DN69" s="186"/>
      <c r="DO69" s="186"/>
      <c r="DP69" s="186"/>
      <c r="DQ69" s="186"/>
      <c r="DR69" s="186"/>
      <c r="DS69" s="186"/>
      <c r="DT69" s="186"/>
    </row>
    <row r="70" spans="1:125" ht="6" hidden="1" customHeight="1" outlineLevel="1">
      <c r="A70" s="1831"/>
      <c r="B70" s="1110"/>
      <c r="C70" s="1110"/>
      <c r="D70" s="1110"/>
      <c r="E70" s="1110"/>
      <c r="F70" s="1110"/>
      <c r="G70" s="1110"/>
      <c r="H70" s="1110"/>
      <c r="I70" s="1110"/>
      <c r="J70" s="1110"/>
      <c r="K70" s="1110"/>
      <c r="L70" s="1110"/>
      <c r="M70" s="1105"/>
      <c r="N70" s="1105"/>
      <c r="O70" s="2714"/>
      <c r="P70" s="2714"/>
      <c r="Q70" s="1105"/>
      <c r="R70" s="1105"/>
      <c r="S70" s="2808"/>
      <c r="T70" s="2804"/>
      <c r="U70" s="2802"/>
      <c r="V70" s="2802"/>
      <c r="W70" s="2802"/>
      <c r="X70" s="2802"/>
      <c r="Y70" s="2802"/>
      <c r="Z70" s="2802"/>
      <c r="AA70" s="2802"/>
      <c r="AB70" s="2802"/>
      <c r="AC70" s="2802"/>
      <c r="AD70" s="2802"/>
      <c r="AE70" s="2802"/>
      <c r="AF70" s="2804"/>
      <c r="AG70" s="39"/>
      <c r="AH70" s="39"/>
      <c r="AI70" s="39"/>
      <c r="AJ70" s="39"/>
      <c r="AK70" s="11"/>
      <c r="AL70" s="1106"/>
      <c r="AM70" s="39"/>
      <c r="AN70" s="39"/>
      <c r="AO70" s="39"/>
      <c r="AP70" s="39"/>
      <c r="AQ70" s="1120"/>
      <c r="AR70" s="39"/>
      <c r="AS70" s="39"/>
      <c r="AT70" s="39"/>
      <c r="AU70" s="39"/>
      <c r="AV70" s="1120"/>
      <c r="AW70" s="39"/>
      <c r="AX70" s="39"/>
      <c r="AY70" s="39"/>
      <c r="AZ70" s="39"/>
      <c r="BA70" s="1120"/>
      <c r="BB70" s="39"/>
      <c r="BC70" s="39"/>
      <c r="BD70" s="39"/>
      <c r="BE70" s="39"/>
      <c r="BF70" s="1120"/>
      <c r="BG70" s="39"/>
      <c r="BH70" s="39"/>
      <c r="BI70" s="39"/>
      <c r="BJ70" s="39"/>
      <c r="BK70" s="1120"/>
      <c r="BL70" s="39"/>
      <c r="BM70" s="39"/>
      <c r="BN70" s="39"/>
      <c r="BO70" s="39"/>
      <c r="BP70" s="1120"/>
      <c r="BQ70" s="39"/>
      <c r="BR70" s="39"/>
      <c r="BS70" s="39"/>
      <c r="BT70" s="39"/>
      <c r="BU70" s="11"/>
      <c r="BV70" s="11"/>
      <c r="BW70" s="11"/>
      <c r="BX70" s="11"/>
      <c r="BY70" s="11"/>
      <c r="BZ70" s="1108"/>
      <c r="CA70" s="1108"/>
      <c r="CB70" s="1108"/>
      <c r="CC70" s="1108"/>
      <c r="CD70" s="1108"/>
      <c r="CE70" s="1108"/>
      <c r="CF70" s="1108"/>
      <c r="CG70" s="1108"/>
      <c r="CH70" s="1108"/>
      <c r="CI70" s="1108"/>
      <c r="CJ70" s="1108"/>
      <c r="CK70" s="1470"/>
      <c r="CL70" s="1470"/>
      <c r="CM70" s="1470"/>
      <c r="CN70" s="1108"/>
      <c r="CO70" s="1108"/>
      <c r="CP70" s="1470"/>
      <c r="CQ70" s="1470"/>
      <c r="CR70" s="1699"/>
      <c r="CS70" s="1699"/>
      <c r="CT70" s="1108"/>
      <c r="CU70" s="1108"/>
      <c r="CV70" s="1108"/>
      <c r="CW70" s="1108"/>
      <c r="CX70" s="1108"/>
      <c r="CY70" s="1741"/>
      <c r="CZ70" s="1108"/>
      <c r="DA70" s="2862"/>
      <c r="DB70" s="2862"/>
      <c r="DC70" s="2862"/>
      <c r="DD70" s="2835"/>
      <c r="DE70" s="2835"/>
      <c r="DF70" s="2835"/>
      <c r="DG70" s="2835"/>
      <c r="DH70" s="2835"/>
      <c r="DI70" s="2835"/>
      <c r="DJ70" s="1108"/>
      <c r="DK70" s="11"/>
      <c r="DL70" s="186"/>
      <c r="DM70" s="186"/>
      <c r="DN70" s="186"/>
      <c r="DO70" s="186"/>
      <c r="DP70" s="186"/>
      <c r="DQ70" s="186"/>
      <c r="DR70" s="186"/>
      <c r="DS70" s="186"/>
      <c r="DT70" s="186"/>
    </row>
    <row r="71" spans="1:125" ht="11.25" hidden="1" customHeight="1" outlineLevel="1">
      <c r="A71" s="1831" t="s">
        <v>677</v>
      </c>
      <c r="B71" s="1105">
        <v>0</v>
      </c>
      <c r="C71" s="1105">
        <v>0</v>
      </c>
      <c r="D71" s="1105">
        <v>0</v>
      </c>
      <c r="E71" s="1105">
        <v>0</v>
      </c>
      <c r="F71" s="1105">
        <v>0</v>
      </c>
      <c r="G71" s="1105">
        <v>0</v>
      </c>
      <c r="H71" s="1105">
        <v>0</v>
      </c>
      <c r="I71" s="1105">
        <f>+-40</f>
        <v>-40</v>
      </c>
      <c r="J71" s="1105">
        <f>SUM(BQ71:BT71)</f>
        <v>-95</v>
      </c>
      <c r="K71" s="1105">
        <f>+SUM(BV71:BY71)</f>
        <v>-33</v>
      </c>
      <c r="L71" s="1105">
        <v>-45</v>
      </c>
      <c r="M71" s="1780">
        <f>SUM(CF71:CI71)</f>
        <v>-20</v>
      </c>
      <c r="N71" s="1780">
        <f>SUM(CK71:CN71)</f>
        <v>-20</v>
      </c>
      <c r="O71" s="2710">
        <f>M71</f>
        <v>-20</v>
      </c>
      <c r="P71" s="2710">
        <f>N71</f>
        <v>-20</v>
      </c>
      <c r="Q71" s="1780">
        <f>SUM(CP71:CS71)</f>
        <v>-20</v>
      </c>
      <c r="R71" s="1780">
        <f>SUM(CU71:CX71)</f>
        <v>-16</v>
      </c>
      <c r="S71" s="3116">
        <f>R71</f>
        <v>-16</v>
      </c>
      <c r="T71" s="2890">
        <f>SUM(CZ71:DC71)</f>
        <v>-13</v>
      </c>
      <c r="U71" s="2890">
        <f>SUM(DE71:DH71)</f>
        <v>-11.7</v>
      </c>
      <c r="V71" s="2804">
        <f>MIN(U71+5,0)</f>
        <v>-6.6999999999999993</v>
      </c>
      <c r="W71" s="2804">
        <f t="shared" ref="W71:AE71" si="98">MIN(V71+5,0)</f>
        <v>-1.6999999999999993</v>
      </c>
      <c r="X71" s="2804">
        <f t="shared" si="98"/>
        <v>0</v>
      </c>
      <c r="Y71" s="2804">
        <f t="shared" si="98"/>
        <v>0</v>
      </c>
      <c r="Z71" s="2804">
        <f t="shared" si="98"/>
        <v>0</v>
      </c>
      <c r="AA71" s="2804">
        <f t="shared" si="98"/>
        <v>0</v>
      </c>
      <c r="AB71" s="2804">
        <f t="shared" si="98"/>
        <v>0</v>
      </c>
      <c r="AC71" s="2804">
        <f t="shared" si="98"/>
        <v>0</v>
      </c>
      <c r="AD71" s="2804">
        <f t="shared" si="98"/>
        <v>0</v>
      </c>
      <c r="AE71" s="2804">
        <f t="shared" si="98"/>
        <v>0</v>
      </c>
      <c r="AF71" s="2804"/>
      <c r="AG71" s="105"/>
      <c r="AH71" s="105"/>
      <c r="AI71" s="105"/>
      <c r="AJ71" s="105"/>
      <c r="AK71" s="11"/>
      <c r="AL71" s="1106" t="str">
        <f t="shared" si="36"/>
        <v>Other</v>
      </c>
      <c r="AM71" s="309">
        <v>0</v>
      </c>
      <c r="AN71" s="309">
        <v>0</v>
      </c>
      <c r="AO71" s="309">
        <v>0</v>
      </c>
      <c r="AP71" s="309">
        <v>0</v>
      </c>
      <c r="AQ71" s="1120">
        <f>D71-SUM(AM71:AP71)</f>
        <v>0</v>
      </c>
      <c r="AR71" s="309">
        <v>0</v>
      </c>
      <c r="AS71" s="309">
        <v>0</v>
      </c>
      <c r="AT71" s="309">
        <v>0</v>
      </c>
      <c r="AU71" s="309">
        <v>0</v>
      </c>
      <c r="AV71" s="1120">
        <f>E71-SUM(AR71:AU71)</f>
        <v>0</v>
      </c>
      <c r="AW71" s="309">
        <v>0</v>
      </c>
      <c r="AX71" s="309">
        <v>0</v>
      </c>
      <c r="AY71" s="309">
        <v>0</v>
      </c>
      <c r="AZ71" s="309">
        <v>0</v>
      </c>
      <c r="BA71" s="1120">
        <f>F71-SUM(AW71:AZ71)</f>
        <v>0</v>
      </c>
      <c r="BB71" s="309">
        <v>0</v>
      </c>
      <c r="BC71" s="309">
        <v>0</v>
      </c>
      <c r="BD71" s="309">
        <v>0</v>
      </c>
      <c r="BE71" s="309">
        <v>0</v>
      </c>
      <c r="BF71" s="1120">
        <f>G71-SUM(BB71:BE71)</f>
        <v>0</v>
      </c>
      <c r="BG71" s="309">
        <v>0</v>
      </c>
      <c r="BH71" s="309">
        <v>0</v>
      </c>
      <c r="BI71" s="309">
        <v>0</v>
      </c>
      <c r="BJ71" s="309">
        <v>0</v>
      </c>
      <c r="BK71" s="1120">
        <f>H71-SUM(BG71:BJ71)</f>
        <v>0</v>
      </c>
      <c r="BL71" s="309">
        <v>0</v>
      </c>
      <c r="BM71" s="309">
        <v>0</v>
      </c>
      <c r="BN71" s="309">
        <v>0</v>
      </c>
      <c r="BO71" s="309">
        <f>+-40</f>
        <v>-40</v>
      </c>
      <c r="BP71" s="1120">
        <f>I71-SUM(BL71:BO71)</f>
        <v>0</v>
      </c>
      <c r="BQ71" s="309">
        <f>+-40</f>
        <v>-40</v>
      </c>
      <c r="BR71" s="309">
        <v>-20</v>
      </c>
      <c r="BS71" s="309">
        <v>0</v>
      </c>
      <c r="BT71" s="309">
        <v>-35</v>
      </c>
      <c r="BU71" s="1120">
        <f>J71-SUM(BQ71:BT71)</f>
        <v>0</v>
      </c>
      <c r="BV71" s="309">
        <f>+-15</f>
        <v>-15</v>
      </c>
      <c r="BW71" s="309">
        <v>-13</v>
      </c>
      <c r="BX71" s="309">
        <v>-10</v>
      </c>
      <c r="BY71" s="884">
        <v>5</v>
      </c>
      <c r="BZ71" s="1741">
        <f>K71-SUM(BV71:BY71)</f>
        <v>0</v>
      </c>
      <c r="CA71" s="1771">
        <v>-5</v>
      </c>
      <c r="CB71" s="1771">
        <v>-5</v>
      </c>
      <c r="CC71" s="1693">
        <v>-30</v>
      </c>
      <c r="CD71" s="1693">
        <f>+-5</f>
        <v>-5</v>
      </c>
      <c r="CE71" s="1741">
        <f>L71-SUM(CA71:CD71)</f>
        <v>0</v>
      </c>
      <c r="CF71" s="1771">
        <v>-5</v>
      </c>
      <c r="CG71" s="1771">
        <v>-5</v>
      </c>
      <c r="CH71" s="1771">
        <v>-5</v>
      </c>
      <c r="CI71" s="1771">
        <v>-5</v>
      </c>
      <c r="CJ71" s="1741">
        <f>M71-SUM(CF71:CI71)</f>
        <v>0</v>
      </c>
      <c r="CK71" s="1771">
        <v>-5</v>
      </c>
      <c r="CL71" s="2185">
        <f>+CG71</f>
        <v>-5</v>
      </c>
      <c r="CM71" s="2185">
        <f>+CH71</f>
        <v>-5</v>
      </c>
      <c r="CN71" s="2185">
        <f>+CI71</f>
        <v>-5</v>
      </c>
      <c r="CO71" s="1741">
        <f>$N71-SUM(CK71:CN71)</f>
        <v>0</v>
      </c>
      <c r="CP71" s="2185">
        <f>+CK71</f>
        <v>-5</v>
      </c>
      <c r="CQ71" s="2185">
        <f>+CL71</f>
        <v>-5</v>
      </c>
      <c r="CR71" s="2185">
        <f>+CM71</f>
        <v>-5</v>
      </c>
      <c r="CS71" s="2185">
        <v>-5</v>
      </c>
      <c r="CT71" s="1741">
        <f>$Q71-SUM(CP71:CS71)</f>
        <v>0</v>
      </c>
      <c r="CU71" s="1647">
        <v>-4</v>
      </c>
      <c r="CV71" s="1647">
        <v>-4</v>
      </c>
      <c r="CW71" s="1647">
        <v>-4</v>
      </c>
      <c r="CX71" s="1647">
        <v>-4</v>
      </c>
      <c r="CY71" s="1741">
        <f>S71-SUM(CU71:CX71)</f>
        <v>0</v>
      </c>
      <c r="CZ71" s="1647">
        <v>-4</v>
      </c>
      <c r="DA71" s="3042">
        <v>-3.5</v>
      </c>
      <c r="DB71" s="3042">
        <v>-3</v>
      </c>
      <c r="DC71" s="3042">
        <v>-2.5</v>
      </c>
      <c r="DD71" s="2835">
        <f>T71-SUM(CZ71:DC71)</f>
        <v>0</v>
      </c>
      <c r="DE71" s="3042">
        <f>CZ71*0.9</f>
        <v>-3.6</v>
      </c>
      <c r="DF71" s="3042">
        <f t="shared" ref="DF71:DH71" si="99">DA71*0.9</f>
        <v>-3.15</v>
      </c>
      <c r="DG71" s="3042">
        <f t="shared" si="99"/>
        <v>-2.7</v>
      </c>
      <c r="DH71" s="3042">
        <f t="shared" si="99"/>
        <v>-2.25</v>
      </c>
      <c r="DI71" s="2835">
        <f t="shared" si="73"/>
        <v>0</v>
      </c>
      <c r="DJ71" s="1741"/>
      <c r="DK71" s="309"/>
      <c r="DL71" s="186"/>
      <c r="DM71" s="186"/>
      <c r="DN71" s="186"/>
      <c r="DO71" s="186"/>
      <c r="DP71" s="186"/>
      <c r="DQ71" s="186"/>
      <c r="DR71" s="186"/>
      <c r="DS71" s="186"/>
      <c r="DT71" s="186"/>
    </row>
    <row r="72" spans="1:125" ht="11.25" hidden="1" customHeight="1" outlineLevel="1">
      <c r="A72" s="1827" t="s">
        <v>344</v>
      </c>
      <c r="B72" s="1473" t="s">
        <v>1455</v>
      </c>
      <c r="C72" s="1473" t="s">
        <v>1455</v>
      </c>
      <c r="D72" s="1473" t="s">
        <v>1455</v>
      </c>
      <c r="E72" s="1473" t="s">
        <v>1455</v>
      </c>
      <c r="F72" s="1473" t="s">
        <v>1455</v>
      </c>
      <c r="G72" s="1473" t="s">
        <v>1455</v>
      </c>
      <c r="H72" s="1473" t="s">
        <v>1455</v>
      </c>
      <c r="I72" s="1473" t="s">
        <v>1455</v>
      </c>
      <c r="J72" s="1473" t="s">
        <v>1455</v>
      </c>
      <c r="K72" s="1473" t="s">
        <v>1455</v>
      </c>
      <c r="L72" s="1473" t="s">
        <v>1455</v>
      </c>
      <c r="M72" s="1473" t="s">
        <v>1455</v>
      </c>
      <c r="N72" s="1473" t="s">
        <v>1455</v>
      </c>
      <c r="O72" s="2719" t="s">
        <v>1455</v>
      </c>
      <c r="P72" s="2719" t="s">
        <v>1455</v>
      </c>
      <c r="Q72" s="1473" t="s">
        <v>1455</v>
      </c>
      <c r="R72" s="1473" t="s">
        <v>1455</v>
      </c>
      <c r="S72" s="2719"/>
      <c r="T72" s="1473" t="s">
        <v>1455</v>
      </c>
      <c r="U72" s="1473" t="s">
        <v>1455</v>
      </c>
      <c r="V72" s="1473" t="s">
        <v>1455</v>
      </c>
      <c r="W72" s="1473" t="s">
        <v>1455</v>
      </c>
      <c r="X72" s="1473" t="s">
        <v>1455</v>
      </c>
      <c r="Y72" s="1473" t="s">
        <v>1455</v>
      </c>
      <c r="Z72" s="1473" t="s">
        <v>1455</v>
      </c>
      <c r="AA72" s="1473" t="s">
        <v>1455</v>
      </c>
      <c r="AB72" s="1473" t="s">
        <v>1455</v>
      </c>
      <c r="AC72" s="1473" t="s">
        <v>1455</v>
      </c>
      <c r="AD72" s="1473" t="s">
        <v>1455</v>
      </c>
      <c r="AE72" s="1473" t="s">
        <v>1455</v>
      </c>
      <c r="AF72" s="105"/>
      <c r="AG72" s="1300"/>
      <c r="AH72" s="1300"/>
      <c r="AI72" s="1300"/>
      <c r="AJ72" s="1300"/>
      <c r="AK72" s="11"/>
      <c r="AL72" s="1294" t="str">
        <f t="shared" si="36"/>
        <v xml:space="preserve">% Change </v>
      </c>
      <c r="AM72" s="1286" t="s">
        <v>1455</v>
      </c>
      <c r="AN72" s="1286" t="s">
        <v>1455</v>
      </c>
      <c r="AO72" s="1286" t="s">
        <v>1455</v>
      </c>
      <c r="AP72" s="1286" t="s">
        <v>1455</v>
      </c>
      <c r="AQ72" s="1120"/>
      <c r="AR72" s="1307" t="s">
        <v>1455</v>
      </c>
      <c r="AS72" s="1307" t="s">
        <v>1455</v>
      </c>
      <c r="AT72" s="1307" t="s">
        <v>1455</v>
      </c>
      <c r="AU72" s="1307" t="s">
        <v>1455</v>
      </c>
      <c r="AV72" s="1120"/>
      <c r="AW72" s="1307" t="s">
        <v>1455</v>
      </c>
      <c r="AX72" s="1307" t="s">
        <v>1455</v>
      </c>
      <c r="AY72" s="1307" t="s">
        <v>1455</v>
      </c>
      <c r="AZ72" s="1307" t="s">
        <v>1455</v>
      </c>
      <c r="BA72" s="1120"/>
      <c r="BB72" s="1307" t="s">
        <v>1455</v>
      </c>
      <c r="BC72" s="1307" t="s">
        <v>1455</v>
      </c>
      <c r="BD72" s="1307" t="s">
        <v>1455</v>
      </c>
      <c r="BE72" s="1307" t="s">
        <v>1455</v>
      </c>
      <c r="BF72" s="1120"/>
      <c r="BG72" s="1307" t="s">
        <v>1455</v>
      </c>
      <c r="BH72" s="1307" t="s">
        <v>1455</v>
      </c>
      <c r="BI72" s="1307" t="s">
        <v>1455</v>
      </c>
      <c r="BJ72" s="1307" t="s">
        <v>1455</v>
      </c>
      <c r="BK72" s="1120"/>
      <c r="BL72" s="1307" t="s">
        <v>1455</v>
      </c>
      <c r="BM72" s="1307" t="s">
        <v>1455</v>
      </c>
      <c r="BN72" s="1307" t="s">
        <v>1455</v>
      </c>
      <c r="BO72" s="1307" t="s">
        <v>1455</v>
      </c>
      <c r="BP72" s="1120"/>
      <c r="BQ72" s="1307" t="s">
        <v>1455</v>
      </c>
      <c r="BR72" s="1307" t="s">
        <v>1455</v>
      </c>
      <c r="BS72" s="1307" t="s">
        <v>1455</v>
      </c>
      <c r="BT72" s="1307" t="s">
        <v>1455</v>
      </c>
      <c r="BU72" s="11"/>
      <c r="BV72" s="1307" t="s">
        <v>1455</v>
      </c>
      <c r="BW72" s="1307" t="s">
        <v>1455</v>
      </c>
      <c r="BX72" s="1307" t="s">
        <v>1455</v>
      </c>
      <c r="BY72" s="1307" t="s">
        <v>1455</v>
      </c>
      <c r="BZ72" s="1108"/>
      <c r="CA72" s="2186" t="s">
        <v>1455</v>
      </c>
      <c r="CB72" s="2186" t="s">
        <v>1455</v>
      </c>
      <c r="CC72" s="2186" t="s">
        <v>1455</v>
      </c>
      <c r="CD72" s="2186" t="s">
        <v>1455</v>
      </c>
      <c r="CE72" s="1108"/>
      <c r="CF72" s="2186" t="s">
        <v>1455</v>
      </c>
      <c r="CG72" s="2186" t="s">
        <v>1455</v>
      </c>
      <c r="CH72" s="2186" t="s">
        <v>1455</v>
      </c>
      <c r="CI72" s="2186" t="s">
        <v>1455</v>
      </c>
      <c r="CJ72" s="1108"/>
      <c r="CK72" s="2186" t="s">
        <v>1455</v>
      </c>
      <c r="CL72" s="2186" t="s">
        <v>1455</v>
      </c>
      <c r="CM72" s="2186" t="s">
        <v>1455</v>
      </c>
      <c r="CN72" s="2186" t="s">
        <v>1455</v>
      </c>
      <c r="CO72" s="1108"/>
      <c r="CP72" s="2186" t="s">
        <v>1455</v>
      </c>
      <c r="CQ72" s="2186" t="s">
        <v>1455</v>
      </c>
      <c r="CR72" s="2186" t="s">
        <v>1455</v>
      </c>
      <c r="CS72" s="2186" t="s">
        <v>1455</v>
      </c>
      <c r="CT72" s="1741"/>
      <c r="CU72" s="2186" t="s">
        <v>1455</v>
      </c>
      <c r="CV72" s="2186" t="s">
        <v>1455</v>
      </c>
      <c r="CW72" s="2186" t="s">
        <v>1455</v>
      </c>
      <c r="CX72" s="2186" t="s">
        <v>1455</v>
      </c>
      <c r="CY72" s="1108"/>
      <c r="CZ72" s="2186" t="s">
        <v>1455</v>
      </c>
      <c r="DA72" s="3472" t="s">
        <v>1455</v>
      </c>
      <c r="DB72" s="3472" t="s">
        <v>1455</v>
      </c>
      <c r="DC72" s="3472" t="s">
        <v>1455</v>
      </c>
      <c r="DD72" s="2835"/>
      <c r="DE72" s="3472" t="s">
        <v>1455</v>
      </c>
      <c r="DF72" s="3472" t="s">
        <v>1455</v>
      </c>
      <c r="DG72" s="3472" t="s">
        <v>1455</v>
      </c>
      <c r="DH72" s="3472" t="s">
        <v>1455</v>
      </c>
      <c r="DI72" s="2835"/>
      <c r="DJ72" s="1108"/>
      <c r="DK72" s="1307"/>
      <c r="DL72" s="186"/>
      <c r="DM72" s="186"/>
      <c r="DN72" s="186"/>
      <c r="DO72" s="186"/>
      <c r="DP72" s="186"/>
      <c r="DQ72" s="186"/>
      <c r="DR72" s="186"/>
      <c r="DS72" s="186"/>
      <c r="DT72" s="186"/>
    </row>
    <row r="73" spans="1:125" ht="11.25" hidden="1" customHeight="1" outlineLevel="1">
      <c r="A73" s="1827" t="s">
        <v>1208</v>
      </c>
      <c r="B73" s="1473" t="s">
        <v>1455</v>
      </c>
      <c r="C73" s="1473" t="s">
        <v>1455</v>
      </c>
      <c r="D73" s="1473" t="s">
        <v>1455</v>
      </c>
      <c r="E73" s="1473" t="s">
        <v>1455</v>
      </c>
      <c r="F73" s="1473" t="s">
        <v>1455</v>
      </c>
      <c r="G73" s="1473" t="s">
        <v>1455</v>
      </c>
      <c r="H73" s="1473" t="s">
        <v>1455</v>
      </c>
      <c r="I73" s="1473" t="s">
        <v>1455</v>
      </c>
      <c r="J73" s="1473" t="s">
        <v>1455</v>
      </c>
      <c r="K73" s="1473" t="s">
        <v>1455</v>
      </c>
      <c r="L73" s="1473" t="s">
        <v>1455</v>
      </c>
      <c r="M73" s="1473" t="s">
        <v>1455</v>
      </c>
      <c r="N73" s="1473" t="s">
        <v>1455</v>
      </c>
      <c r="O73" s="2719" t="s">
        <v>1455</v>
      </c>
      <c r="P73" s="2719" t="s">
        <v>1455</v>
      </c>
      <c r="Q73" s="1473" t="s">
        <v>1455</v>
      </c>
      <c r="R73" s="1473" t="s">
        <v>1455</v>
      </c>
      <c r="S73" s="2719"/>
      <c r="T73" s="1473" t="s">
        <v>1455</v>
      </c>
      <c r="U73" s="1473" t="s">
        <v>1455</v>
      </c>
      <c r="V73" s="1473" t="s">
        <v>1455</v>
      </c>
      <c r="W73" s="1473" t="s">
        <v>1455</v>
      </c>
      <c r="X73" s="1473" t="s">
        <v>1455</v>
      </c>
      <c r="Y73" s="1473" t="s">
        <v>1455</v>
      </c>
      <c r="Z73" s="1473" t="s">
        <v>1455</v>
      </c>
      <c r="AA73" s="1473" t="s">
        <v>1455</v>
      </c>
      <c r="AB73" s="1473" t="s">
        <v>1455</v>
      </c>
      <c r="AC73" s="1473" t="s">
        <v>1455</v>
      </c>
      <c r="AD73" s="1473" t="s">
        <v>1455</v>
      </c>
      <c r="AE73" s="1473" t="s">
        <v>1455</v>
      </c>
      <c r="AF73" s="105"/>
      <c r="AG73" s="1300"/>
      <c r="AH73" s="1300"/>
      <c r="AI73" s="1300"/>
      <c r="AJ73" s="1300"/>
      <c r="AK73" s="11"/>
      <c r="AL73" s="1294" t="str">
        <f t="shared" si="36"/>
        <v xml:space="preserve">% Margin </v>
      </c>
      <c r="AM73" s="1286" t="s">
        <v>1455</v>
      </c>
      <c r="AN73" s="1286" t="s">
        <v>1455</v>
      </c>
      <c r="AO73" s="1286" t="s">
        <v>1455</v>
      </c>
      <c r="AP73" s="1286" t="s">
        <v>1455</v>
      </c>
      <c r="AQ73" s="1120"/>
      <c r="AR73" s="1286" t="s">
        <v>1455</v>
      </c>
      <c r="AS73" s="1286" t="s">
        <v>1455</v>
      </c>
      <c r="AT73" s="1286" t="s">
        <v>1455</v>
      </c>
      <c r="AU73" s="1286" t="s">
        <v>1455</v>
      </c>
      <c r="AV73" s="1120"/>
      <c r="AW73" s="1286" t="s">
        <v>1455</v>
      </c>
      <c r="AX73" s="1286" t="s">
        <v>1455</v>
      </c>
      <c r="AY73" s="1286" t="s">
        <v>1455</v>
      </c>
      <c r="AZ73" s="1286" t="s">
        <v>1455</v>
      </c>
      <c r="BA73" s="1120"/>
      <c r="BB73" s="1286" t="s">
        <v>1455</v>
      </c>
      <c r="BC73" s="1286" t="s">
        <v>1455</v>
      </c>
      <c r="BD73" s="1286" t="s">
        <v>1455</v>
      </c>
      <c r="BE73" s="1286" t="s">
        <v>1455</v>
      </c>
      <c r="BF73" s="1120"/>
      <c r="BG73" s="1286" t="s">
        <v>1455</v>
      </c>
      <c r="BH73" s="1286" t="s">
        <v>1455</v>
      </c>
      <c r="BI73" s="1286" t="s">
        <v>1455</v>
      </c>
      <c r="BJ73" s="1286" t="s">
        <v>1455</v>
      </c>
      <c r="BK73" s="1120"/>
      <c r="BL73" s="1286" t="s">
        <v>1455</v>
      </c>
      <c r="BM73" s="1286" t="s">
        <v>1455</v>
      </c>
      <c r="BN73" s="1286" t="s">
        <v>1455</v>
      </c>
      <c r="BO73" s="1286" t="s">
        <v>1455</v>
      </c>
      <c r="BP73" s="1120"/>
      <c r="BQ73" s="1286" t="s">
        <v>1455</v>
      </c>
      <c r="BR73" s="1286" t="s">
        <v>1455</v>
      </c>
      <c r="BS73" s="1286" t="s">
        <v>1455</v>
      </c>
      <c r="BT73" s="1286" t="s">
        <v>1455</v>
      </c>
      <c r="BU73" s="11"/>
      <c r="BV73" s="1286" t="s">
        <v>1455</v>
      </c>
      <c r="BW73" s="1286" t="s">
        <v>1455</v>
      </c>
      <c r="BX73" s="1286" t="s">
        <v>1455</v>
      </c>
      <c r="BY73" s="1286" t="s">
        <v>1455</v>
      </c>
      <c r="BZ73" s="1108"/>
      <c r="CA73" s="1770" t="s">
        <v>1455</v>
      </c>
      <c r="CB73" s="1770" t="s">
        <v>1455</v>
      </c>
      <c r="CC73" s="1770" t="s">
        <v>1455</v>
      </c>
      <c r="CD73" s="1770" t="s">
        <v>1455</v>
      </c>
      <c r="CE73" s="1108"/>
      <c r="CF73" s="1770" t="s">
        <v>1455</v>
      </c>
      <c r="CG73" s="1770" t="s">
        <v>1455</v>
      </c>
      <c r="CH73" s="1770" t="s">
        <v>1455</v>
      </c>
      <c r="CI73" s="1770" t="s">
        <v>1455</v>
      </c>
      <c r="CJ73" s="1108"/>
      <c r="CK73" s="1770" t="s">
        <v>1455</v>
      </c>
      <c r="CL73" s="1770" t="s">
        <v>1455</v>
      </c>
      <c r="CM73" s="1770" t="s">
        <v>1455</v>
      </c>
      <c r="CN73" s="1770" t="s">
        <v>1455</v>
      </c>
      <c r="CO73" s="1108"/>
      <c r="CP73" s="1770" t="s">
        <v>1455</v>
      </c>
      <c r="CQ73" s="1770" t="s">
        <v>1455</v>
      </c>
      <c r="CR73" s="1770" t="s">
        <v>1455</v>
      </c>
      <c r="CS73" s="1770" t="s">
        <v>1455</v>
      </c>
      <c r="CT73" s="1741"/>
      <c r="CU73" s="1770" t="s">
        <v>1455</v>
      </c>
      <c r="CV73" s="1770" t="s">
        <v>1455</v>
      </c>
      <c r="CW73" s="1770" t="s">
        <v>1455</v>
      </c>
      <c r="CX73" s="1770" t="s">
        <v>1455</v>
      </c>
      <c r="CY73" s="1108"/>
      <c r="CZ73" s="1770" t="s">
        <v>1455</v>
      </c>
      <c r="DA73" s="2972" t="s">
        <v>1455</v>
      </c>
      <c r="DB73" s="2972" t="s">
        <v>1455</v>
      </c>
      <c r="DC73" s="2972" t="s">
        <v>1455</v>
      </c>
      <c r="DD73" s="2835"/>
      <c r="DE73" s="2972" t="s">
        <v>1455</v>
      </c>
      <c r="DF73" s="2972" t="s">
        <v>1455</v>
      </c>
      <c r="DG73" s="2972" t="s">
        <v>1455</v>
      </c>
      <c r="DH73" s="2972" t="s">
        <v>1455</v>
      </c>
      <c r="DI73" s="2835"/>
      <c r="DJ73" s="1108"/>
      <c r="DK73" s="1286"/>
      <c r="DL73" s="186"/>
      <c r="DM73" s="186"/>
      <c r="DN73" s="186"/>
      <c r="DO73" s="186"/>
      <c r="DP73" s="186"/>
      <c r="DQ73" s="186"/>
      <c r="DR73" s="186"/>
      <c r="DS73" s="186"/>
      <c r="DT73" s="186"/>
    </row>
    <row r="74" spans="1:125" ht="6" hidden="1" customHeight="1" outlineLevel="1">
      <c r="A74" s="1841"/>
      <c r="B74" s="1639"/>
      <c r="C74" s="1639"/>
      <c r="D74" s="1639"/>
      <c r="E74" s="1639"/>
      <c r="F74" s="1639"/>
      <c r="G74" s="1639"/>
      <c r="H74" s="1639"/>
      <c r="I74" s="1639"/>
      <c r="J74" s="1639"/>
      <c r="K74" s="1639"/>
      <c r="L74" s="1639"/>
      <c r="M74" s="1639"/>
      <c r="N74" s="1639"/>
      <c r="O74" s="2723"/>
      <c r="P74" s="2723"/>
      <c r="Q74" s="1639"/>
      <c r="R74" s="1639"/>
      <c r="S74" s="2723"/>
      <c r="T74" s="1639"/>
      <c r="U74" s="1639"/>
      <c r="V74" s="1639"/>
      <c r="W74" s="1639"/>
      <c r="X74" s="1639"/>
      <c r="Y74" s="1639"/>
      <c r="Z74" s="1639"/>
      <c r="AA74" s="1639"/>
      <c r="AB74" s="1639"/>
      <c r="AC74" s="1639"/>
      <c r="AD74" s="1639"/>
      <c r="AE74" s="1639"/>
      <c r="AF74" s="105"/>
      <c r="AG74" s="309"/>
      <c r="AH74" s="309"/>
      <c r="AI74" s="309"/>
      <c r="AJ74" s="309"/>
      <c r="AK74" s="11"/>
      <c r="AL74" s="1299"/>
      <c r="AM74" s="833"/>
      <c r="AN74" s="833"/>
      <c r="AO74" s="833"/>
      <c r="AP74" s="833"/>
      <c r="AQ74" s="1120"/>
      <c r="AR74" s="833"/>
      <c r="AS74" s="833"/>
      <c r="AT74" s="833"/>
      <c r="AU74" s="833"/>
      <c r="AV74" s="1120"/>
      <c r="AW74" s="833"/>
      <c r="AX74" s="833"/>
      <c r="AY74" s="833"/>
      <c r="AZ74" s="833"/>
      <c r="BA74" s="1120"/>
      <c r="BB74" s="833"/>
      <c r="BC74" s="833"/>
      <c r="BD74" s="833"/>
      <c r="BE74" s="833"/>
      <c r="BF74" s="1120"/>
      <c r="BG74" s="833"/>
      <c r="BH74" s="833"/>
      <c r="BI74" s="833"/>
      <c r="BJ74" s="833"/>
      <c r="BK74" s="1120"/>
      <c r="BL74" s="833"/>
      <c r="BM74" s="833"/>
      <c r="BN74" s="833"/>
      <c r="BO74" s="833"/>
      <c r="BP74" s="1120"/>
      <c r="BQ74" s="833"/>
      <c r="BR74" s="833"/>
      <c r="BS74" s="833"/>
      <c r="BT74" s="833"/>
      <c r="BU74" s="11"/>
      <c r="BV74" s="833"/>
      <c r="BW74" s="833"/>
      <c r="BX74" s="833"/>
      <c r="BY74" s="833"/>
      <c r="BZ74" s="1108"/>
      <c r="CA74" s="1639"/>
      <c r="CB74" s="1639"/>
      <c r="CC74" s="1639"/>
      <c r="CD74" s="1639"/>
      <c r="CE74" s="1108"/>
      <c r="CF74" s="1639"/>
      <c r="CG74" s="1639"/>
      <c r="CH74" s="1639"/>
      <c r="CI74" s="1639"/>
      <c r="CJ74" s="1108"/>
      <c r="CK74" s="1638"/>
      <c r="CL74" s="1638"/>
      <c r="CM74" s="1638"/>
      <c r="CN74" s="1639"/>
      <c r="CO74" s="1108"/>
      <c r="CP74" s="1638"/>
      <c r="CQ74" s="1638"/>
      <c r="CR74" s="1638"/>
      <c r="CS74" s="1639"/>
      <c r="CT74" s="1741"/>
      <c r="CU74" s="1639"/>
      <c r="CV74" s="1639"/>
      <c r="CW74" s="1639"/>
      <c r="CX74" s="1639"/>
      <c r="CY74" s="1108"/>
      <c r="CZ74" s="1639"/>
      <c r="DA74" s="2798"/>
      <c r="DB74" s="2798"/>
      <c r="DC74" s="2798"/>
      <c r="DD74" s="2835"/>
      <c r="DE74" s="2798"/>
      <c r="DF74" s="2798"/>
      <c r="DG74" s="2798"/>
      <c r="DH74" s="2798"/>
      <c r="DI74" s="2835"/>
      <c r="DJ74" s="1108"/>
      <c r="DK74" s="833"/>
      <c r="DL74" s="186"/>
      <c r="DM74" s="186"/>
      <c r="DN74" s="186"/>
      <c r="DO74" s="186"/>
      <c r="DP74" s="186"/>
      <c r="DQ74" s="186"/>
      <c r="DR74" s="186"/>
      <c r="DS74" s="186"/>
      <c r="DT74" s="186"/>
    </row>
    <row r="75" spans="1:125" s="875" customFormat="1" ht="11.25" customHeight="1" collapsed="1">
      <c r="A75" s="1836" t="s">
        <v>703</v>
      </c>
      <c r="B75" s="1884">
        <f t="shared" ref="B75:H75" si="100">+B71+B63+B59+B55</f>
        <v>629.07091287423373</v>
      </c>
      <c r="C75" s="1884">
        <f t="shared" si="100"/>
        <v>726.75526458950878</v>
      </c>
      <c r="D75" s="1884">
        <f t="shared" si="100"/>
        <v>962.87504485305476</v>
      </c>
      <c r="E75" s="1884">
        <f t="shared" si="100"/>
        <v>882.75924713699305</v>
      </c>
      <c r="F75" s="1884">
        <f t="shared" ca="1" si="100"/>
        <v>950.6497419043385</v>
      </c>
      <c r="G75" s="1884">
        <f t="shared" ca="1" si="100"/>
        <v>1020.5721551684092</v>
      </c>
      <c r="H75" s="1884">
        <f t="shared" si="100"/>
        <v>1025.4000000000001</v>
      </c>
      <c r="I75" s="1884">
        <f t="shared" ref="I75:Q75" si="101">+I71+I63+I59+I55</f>
        <v>875.9</v>
      </c>
      <c r="J75" s="1884">
        <f t="shared" si="101"/>
        <v>894.3</v>
      </c>
      <c r="K75" s="1884">
        <f t="shared" si="101"/>
        <v>1431</v>
      </c>
      <c r="L75" s="1884">
        <f t="shared" si="101"/>
        <v>1549</v>
      </c>
      <c r="M75" s="1884">
        <f t="shared" si="101"/>
        <v>1758</v>
      </c>
      <c r="N75" s="1884">
        <f t="shared" si="101"/>
        <v>1454.9999999999998</v>
      </c>
      <c r="O75" s="2766">
        <f t="shared" si="101"/>
        <v>1758</v>
      </c>
      <c r="P75" s="2766">
        <f t="shared" si="101"/>
        <v>1454.9999999999998</v>
      </c>
      <c r="Q75" s="1884">
        <f t="shared" si="101"/>
        <v>1420</v>
      </c>
      <c r="R75" s="1884">
        <f>+R71+R63+R59+R55</f>
        <v>1635.9999999999998</v>
      </c>
      <c r="S75" s="2720">
        <f>R75</f>
        <v>1635.9999999999998</v>
      </c>
      <c r="T75" s="1884">
        <f>+T71+T63+T59+T67+T55</f>
        <v>1626.6141118388218</v>
      </c>
      <c r="U75" s="1884">
        <f t="shared" ref="U75:AE75" si="102">+U71+U63+U59+U67+U55</f>
        <v>1703.4143151108462</v>
      </c>
      <c r="V75" s="1884">
        <f t="shared" si="102"/>
        <v>1841.0691851793781</v>
      </c>
      <c r="W75" s="1884">
        <f t="shared" si="102"/>
        <v>1956.6820622423902</v>
      </c>
      <c r="X75" s="1884">
        <f t="shared" si="102"/>
        <v>2097.3724505691152</v>
      </c>
      <c r="Y75" s="1884">
        <f t="shared" si="102"/>
        <v>2181.7378129003982</v>
      </c>
      <c r="Z75" s="1884">
        <f t="shared" si="102"/>
        <v>2094.8812265373826</v>
      </c>
      <c r="AA75" s="1884">
        <f t="shared" si="102"/>
        <v>2050.9770213962793</v>
      </c>
      <c r="AB75" s="1884">
        <f t="shared" si="102"/>
        <v>2131.2765327112147</v>
      </c>
      <c r="AC75" s="1884">
        <f t="shared" si="102"/>
        <v>2004.5430827613272</v>
      </c>
      <c r="AD75" s="1884">
        <f t="shared" si="102"/>
        <v>2018.7376692671128</v>
      </c>
      <c r="AE75" s="1884">
        <f t="shared" si="102"/>
        <v>2010.5558388432726</v>
      </c>
      <c r="AF75" s="105"/>
      <c r="AG75" s="2365"/>
      <c r="AH75" s="2365"/>
      <c r="AI75" s="2365"/>
      <c r="AJ75" s="2365"/>
      <c r="AK75" s="9"/>
      <c r="AL75" s="1297" t="str">
        <f t="shared" si="36"/>
        <v xml:space="preserve">Entertainment </v>
      </c>
      <c r="AM75" s="2365">
        <f>+AM71+AM63+AM59+AM55</f>
        <v>186.762514741416</v>
      </c>
      <c r="AN75" s="2365">
        <f>+AN71+AN63+AN59+AN55</f>
        <v>380.07342000253169</v>
      </c>
      <c r="AO75" s="2365">
        <f>+AO71+AO63+AO59+AO55</f>
        <v>271.59188080406949</v>
      </c>
      <c r="AP75" s="2365">
        <f>+AP71+AP63+AP59+AP55</f>
        <v>124.44722930503769</v>
      </c>
      <c r="AQ75" s="2366">
        <f>D75-SUM(AM75:AP75)</f>
        <v>0</v>
      </c>
      <c r="AR75" s="2365">
        <f>+AR71+AR63+AR59+AR55</f>
        <v>188.77526810022471</v>
      </c>
      <c r="AS75" s="2365">
        <f>+AS71+AS63+AS59+AS55</f>
        <v>303.35713776027882</v>
      </c>
      <c r="AT75" s="2365">
        <f>+AT71+AT63+AT59+AT55</f>
        <v>197.57064113718741</v>
      </c>
      <c r="AU75" s="2365">
        <f>+AU71+AU63+AU59+AU55</f>
        <v>193.05620013930218</v>
      </c>
      <c r="AV75" s="2366">
        <f>E75-SUM(AR75:AU75)</f>
        <v>0</v>
      </c>
      <c r="AW75" s="2365">
        <f>+AW71+AW63+AW59+AW55</f>
        <v>193.20221667479251</v>
      </c>
      <c r="AX75" s="2365">
        <f>+AX71+AX63+AX59+AX55</f>
        <v>261.26905902630438</v>
      </c>
      <c r="AY75" s="2365">
        <f>+AY71+AY63+AY59+AY55</f>
        <v>214.70766472505022</v>
      </c>
      <c r="AZ75" s="2365">
        <f ca="1">+AZ71+AZ63+AZ59+AZ55</f>
        <v>281.47080147819145</v>
      </c>
      <c r="BA75" s="2366">
        <f ca="1">F75-SUM(AW75:AZ75)</f>
        <v>0</v>
      </c>
      <c r="BB75" s="2365">
        <f>+BB71+BB63+BB59+BB55</f>
        <v>171.68852662579553</v>
      </c>
      <c r="BC75" s="2365">
        <f>+BC71+BC63+BC59+BC55</f>
        <v>316.72487122998155</v>
      </c>
      <c r="BD75" s="2365">
        <f>+BD71+BD63+BD59+BD55</f>
        <v>252.75934962277447</v>
      </c>
      <c r="BE75" s="2365">
        <f ca="1">+BE71+BE63+BE59+BE55</f>
        <v>279.39940768985753</v>
      </c>
      <c r="BF75" s="2366">
        <f ca="1">G75-SUM(BB75:BE75)</f>
        <v>0</v>
      </c>
      <c r="BG75" s="2681">
        <v>294.5</v>
      </c>
      <c r="BH75" s="2681">
        <v>291.7</v>
      </c>
      <c r="BI75" s="2681">
        <v>262.5</v>
      </c>
      <c r="BJ75" s="2681">
        <f>174.1+2.6</f>
        <v>176.7</v>
      </c>
      <c r="BK75" s="2366">
        <f>H75-SUM(BG75:BJ75)</f>
        <v>0</v>
      </c>
      <c r="BL75" s="2681">
        <v>151.1</v>
      </c>
      <c r="BM75" s="2681">
        <v>209.5</v>
      </c>
      <c r="BN75" s="2681">
        <v>324.5</v>
      </c>
      <c r="BO75" s="2681">
        <v>190.8</v>
      </c>
      <c r="BP75" s="2366">
        <f>I75-SUM(BL75:BO75)</f>
        <v>0</v>
      </c>
      <c r="BQ75" s="2681">
        <v>144.80000000000001</v>
      </c>
      <c r="BR75" s="2681">
        <v>222.6</v>
      </c>
      <c r="BS75" s="2681">
        <v>277.89999999999998</v>
      </c>
      <c r="BT75" s="2681">
        <v>249</v>
      </c>
      <c r="BU75" s="2366">
        <f>J75-SUM(BQ75:BT75)</f>
        <v>0</v>
      </c>
      <c r="BV75" s="2681">
        <v>268</v>
      </c>
      <c r="BW75" s="2681">
        <v>440</v>
      </c>
      <c r="BX75" s="2681">
        <v>405</v>
      </c>
      <c r="BY75" s="2681">
        <v>318</v>
      </c>
      <c r="BZ75" s="2188">
        <f>K75-SUM(BV75:BY75)</f>
        <v>0</v>
      </c>
      <c r="CA75" s="1905">
        <v>411</v>
      </c>
      <c r="CB75" s="1905">
        <v>426</v>
      </c>
      <c r="CC75" s="1905">
        <v>384</v>
      </c>
      <c r="CD75" s="1905">
        <v>328</v>
      </c>
      <c r="CE75" s="2188">
        <f>L75-SUM(CA75:CD75)</f>
        <v>0</v>
      </c>
      <c r="CF75" s="1905">
        <v>480</v>
      </c>
      <c r="CG75" s="1905">
        <v>429</v>
      </c>
      <c r="CH75" s="1905">
        <v>431</v>
      </c>
      <c r="CI75" s="1905">
        <v>418</v>
      </c>
      <c r="CJ75" s="2188">
        <f>M75-SUM(CF75:CI75)</f>
        <v>0</v>
      </c>
      <c r="CK75" s="1905">
        <v>457</v>
      </c>
      <c r="CL75" s="1905">
        <v>376</v>
      </c>
      <c r="CM75" s="1905">
        <v>335</v>
      </c>
      <c r="CN75" s="1905">
        <v>287</v>
      </c>
      <c r="CO75" s="2188">
        <f>$N75-SUM(CK75:CN75)</f>
        <v>0</v>
      </c>
      <c r="CP75" s="2682">
        <f>CP111+CP105</f>
        <v>378</v>
      </c>
      <c r="CQ75" s="2682">
        <f>CQ111+CQ105</f>
        <v>294</v>
      </c>
      <c r="CR75" s="2682">
        <f>CR111+CR105</f>
        <v>370</v>
      </c>
      <c r="CS75" s="2682">
        <f>CS111+CS105</f>
        <v>378</v>
      </c>
      <c r="CT75" s="2188">
        <f>$Q75-SUM(CP75:CS75)</f>
        <v>0</v>
      </c>
      <c r="CU75" s="2682">
        <f>CU111+CU105</f>
        <v>479</v>
      </c>
      <c r="CV75" s="2682">
        <f>CV111+CV105</f>
        <v>381</v>
      </c>
      <c r="CW75" s="2682">
        <f>CW111+CW105</f>
        <v>376</v>
      </c>
      <c r="CX75" s="2682">
        <f>CX111+CX105</f>
        <v>400</v>
      </c>
      <c r="CY75" s="1741">
        <f>S75-SUM(CU75:CX75)</f>
        <v>0</v>
      </c>
      <c r="CZ75" s="2682">
        <f>CZ111+CZ105</f>
        <v>427</v>
      </c>
      <c r="DA75" s="3473">
        <f>DA111+DA105</f>
        <v>373</v>
      </c>
      <c r="DB75" s="3473">
        <f>DB111+DB105</f>
        <v>374</v>
      </c>
      <c r="DC75" s="3088">
        <f>+DC71+DC63+DC59+DC67+DC55</f>
        <v>452.6141118388216</v>
      </c>
      <c r="DD75" s="3102">
        <f>T75-SUM(CZ75:DC75)</f>
        <v>0</v>
      </c>
      <c r="DE75" s="3088">
        <f>+DE71+DE63+DE59+DE67+DE55</f>
        <v>418.68460838275968</v>
      </c>
      <c r="DF75" s="3088">
        <f t="shared" ref="DF75:DH75" si="103">+DF71+DF63+DF59+DF67+DF55</f>
        <v>383.87872654961154</v>
      </c>
      <c r="DG75" s="3088">
        <f t="shared" si="103"/>
        <v>424.99369279825089</v>
      </c>
      <c r="DH75" s="3088">
        <f t="shared" si="103"/>
        <v>475.85728738022425</v>
      </c>
      <c r="DI75" s="2835">
        <f t="shared" si="73"/>
        <v>0</v>
      </c>
      <c r="DJ75" s="2188"/>
      <c r="DK75" s="1884" t="s">
        <v>1237</v>
      </c>
      <c r="DL75" s="2362"/>
      <c r="DM75" s="2362"/>
      <c r="DN75" s="2362"/>
      <c r="DO75" s="2362"/>
      <c r="DP75" s="2362"/>
      <c r="DQ75" s="2362"/>
      <c r="DR75" s="2362"/>
      <c r="DS75" s="2362"/>
      <c r="DT75" s="2362"/>
    </row>
    <row r="76" spans="1:125" ht="11.25" customHeight="1">
      <c r="A76" s="1835" t="s">
        <v>344</v>
      </c>
      <c r="B76" s="1473" t="s">
        <v>1455</v>
      </c>
      <c r="C76" s="1364">
        <f>C75/B75-1</f>
        <v>0.15528352959279879</v>
      </c>
      <c r="D76" s="1364">
        <f t="shared" ref="D76:J76" si="104">D75/C75-1</f>
        <v>0.32489586490565414</v>
      </c>
      <c r="E76" s="1364">
        <f t="shared" si="104"/>
        <v>-8.3204771111591413E-2</v>
      </c>
      <c r="F76" s="1364">
        <f t="shared" ca="1" si="104"/>
        <v>7.6907146526678849E-2</v>
      </c>
      <c r="G76" s="1364">
        <f t="shared" ca="1" si="104"/>
        <v>7.3552235047160908E-2</v>
      </c>
      <c r="H76" s="1364">
        <f t="shared" ca="1" si="104"/>
        <v>4.7305276820865938E-3</v>
      </c>
      <c r="I76" s="1364">
        <f t="shared" si="104"/>
        <v>-0.1457967622391263</v>
      </c>
      <c r="J76" s="1364">
        <f t="shared" si="104"/>
        <v>2.1006964265326999E-2</v>
      </c>
      <c r="K76" s="1364">
        <f t="shared" ref="K76:W76" si="105">K75/J75-1</f>
        <v>0.60013418316001355</v>
      </c>
      <c r="L76" s="1364">
        <f t="shared" si="105"/>
        <v>8.2459818308874944E-2</v>
      </c>
      <c r="M76" s="1364">
        <f t="shared" si="105"/>
        <v>0.13492575855390565</v>
      </c>
      <c r="N76" s="1364">
        <f t="shared" si="105"/>
        <v>-0.17235494880546087</v>
      </c>
      <c r="O76" s="2711"/>
      <c r="P76" s="2711">
        <f t="shared" si="105"/>
        <v>-0.17235494880546087</v>
      </c>
      <c r="Q76" s="1364">
        <f t="shared" si="105"/>
        <v>-2.4054982817869219E-2</v>
      </c>
      <c r="R76" s="1364">
        <f t="shared" si="105"/>
        <v>0.15211267605633783</v>
      </c>
      <c r="S76" s="2711"/>
      <c r="T76" s="1364">
        <f>T75/R75-1</f>
        <v>-5.7370954530427953E-3</v>
      </c>
      <c r="U76" s="1364">
        <f>U75/T75-1</f>
        <v>4.721476514500722E-2</v>
      </c>
      <c r="V76" s="1364">
        <f t="shared" si="105"/>
        <v>8.0811150198402792E-2</v>
      </c>
      <c r="W76" s="1364">
        <f t="shared" si="105"/>
        <v>6.27965955835319E-2</v>
      </c>
      <c r="X76" s="1364">
        <f t="shared" ref="X76:AE76" si="106">X75/W75-1</f>
        <v>7.1902528796881526E-2</v>
      </c>
      <c r="Y76" s="1364">
        <f t="shared" si="106"/>
        <v>4.0224311284526859E-2</v>
      </c>
      <c r="Z76" s="1364">
        <f t="shared" si="106"/>
        <v>-3.9810735208163583E-2</v>
      </c>
      <c r="AA76" s="1364">
        <f t="shared" si="106"/>
        <v>-2.0957849344839685E-2</v>
      </c>
      <c r="AB76" s="1364">
        <f t="shared" si="106"/>
        <v>3.9151833724723417E-2</v>
      </c>
      <c r="AC76" s="1364">
        <f t="shared" si="106"/>
        <v>-5.9463635058501163E-2</v>
      </c>
      <c r="AD76" s="1364">
        <f t="shared" si="106"/>
        <v>7.0812079959050589E-3</v>
      </c>
      <c r="AE76" s="1364">
        <f t="shared" si="106"/>
        <v>-4.0529438511991422E-3</v>
      </c>
      <c r="AF76" s="105"/>
      <c r="AG76" s="1104"/>
      <c r="AH76" s="1104"/>
      <c r="AI76" s="1104"/>
      <c r="AJ76" s="1104"/>
      <c r="AK76" s="186"/>
      <c r="AL76" s="1298" t="str">
        <f t="shared" si="36"/>
        <v xml:space="preserve">% Change </v>
      </c>
      <c r="AM76" s="1286" t="s">
        <v>1455</v>
      </c>
      <c r="AN76" s="1286" t="s">
        <v>1455</v>
      </c>
      <c r="AO76" s="1286" t="s">
        <v>1455</v>
      </c>
      <c r="AP76" s="1286" t="s">
        <v>1455</v>
      </c>
      <c r="AQ76" s="1287"/>
      <c r="AR76" s="1104">
        <f>AR75/AM75-1</f>
        <v>1.0777073555662264E-2</v>
      </c>
      <c r="AS76" s="1104">
        <f>AS75/AN75-1</f>
        <v>-0.20184595450463716</v>
      </c>
      <c r="AT76" s="1104">
        <f>AT75/AO75-1</f>
        <v>-0.2725458487482626</v>
      </c>
      <c r="AU76" s="1104">
        <f>AU75/AP75-1</f>
        <v>0.55130974966179624</v>
      </c>
      <c r="AV76" s="1287"/>
      <c r="AW76" s="1104">
        <f>AW75/AR75-1</f>
        <v>2.345089279501078E-2</v>
      </c>
      <c r="AX76" s="1104">
        <f>AX75/AS75-1</f>
        <v>-0.1387410200554885</v>
      </c>
      <c r="AY76" s="1104">
        <f>AY75/AT75-1</f>
        <v>8.673871527279875E-2</v>
      </c>
      <c r="AZ76" s="1104">
        <f ca="1">AZ75/AU75-1</f>
        <v>0.45797338430515344</v>
      </c>
      <c r="BA76" s="1287"/>
      <c r="BB76" s="1104">
        <f>BB75/AW75-1</f>
        <v>-0.11135322575107864</v>
      </c>
      <c r="BC76" s="1104">
        <f>BC75/AX75-1</f>
        <v>0.21225556677223656</v>
      </c>
      <c r="BD76" s="1104">
        <f>BD75/AY75-1</f>
        <v>0.17722555432034692</v>
      </c>
      <c r="BE76" s="1104">
        <f ca="1">BE75/AZ75-1</f>
        <v>-7.3591782076707357E-3</v>
      </c>
      <c r="BF76" s="1287"/>
      <c r="BG76" s="1104">
        <f>BG75/BB75-1</f>
        <v>0.71531555304146055</v>
      </c>
      <c r="BH76" s="1104">
        <f>BH75/BC75-1</f>
        <v>-7.901138654757045E-2</v>
      </c>
      <c r="BI76" s="1104">
        <f>BI75/BD75-1</f>
        <v>3.8537250518181798E-2</v>
      </c>
      <c r="BJ76" s="1104">
        <f ca="1">BJ75/BE75-1</f>
        <v>-0.36757203080350564</v>
      </c>
      <c r="BK76" s="1287"/>
      <c r="BL76" s="1104">
        <f>BL75/BG75-1</f>
        <v>-0.48692699490662139</v>
      </c>
      <c r="BM76" s="1104">
        <f>BM75/BH75-1</f>
        <v>-0.28179636612958514</v>
      </c>
      <c r="BN76" s="1104">
        <f>BN75/BI75-1</f>
        <v>0.23619047619047628</v>
      </c>
      <c r="BO76" s="1104">
        <f>BO75/BJ75-1</f>
        <v>7.9796264855687804E-2</v>
      </c>
      <c r="BP76" s="1287"/>
      <c r="BQ76" s="1104">
        <f>BQ75/BL75-1</f>
        <v>-4.1694242223692779E-2</v>
      </c>
      <c r="BR76" s="1104">
        <f>BR75/BM75-1</f>
        <v>6.2529832935560803E-2</v>
      </c>
      <c r="BS76" s="1104">
        <f>BS75/BN75-1</f>
        <v>-0.14360554699537753</v>
      </c>
      <c r="BT76" s="1104">
        <f>BT75/BO75-1</f>
        <v>0.30503144654088032</v>
      </c>
      <c r="BU76" s="186"/>
      <c r="BV76" s="1104">
        <f>BV75/BQ75-1</f>
        <v>0.85082872928176778</v>
      </c>
      <c r="BW76" s="1104">
        <f>BW75/BR75-1</f>
        <v>0.97663971248876913</v>
      </c>
      <c r="BX76" s="1104">
        <f>BX75/BS75-1</f>
        <v>0.45735876214465643</v>
      </c>
      <c r="BY76" s="1104">
        <f>BY75/BT75-1</f>
        <v>0.27710843373493965</v>
      </c>
      <c r="BZ76" s="1477"/>
      <c r="CA76" s="1364">
        <f>CA75/BV75-1</f>
        <v>0.53358208955223874</v>
      </c>
      <c r="CB76" s="1364">
        <f>CB75/BW75-1</f>
        <v>-3.1818181818181857E-2</v>
      </c>
      <c r="CC76" s="1364">
        <f>CC75/BX75-1</f>
        <v>-5.1851851851851816E-2</v>
      </c>
      <c r="CD76" s="1364">
        <f>CD75/BY75-1</f>
        <v>3.1446540880503138E-2</v>
      </c>
      <c r="CE76" s="1477"/>
      <c r="CF76" s="1364">
        <f>CF75/CA75-1</f>
        <v>0.16788321167883202</v>
      </c>
      <c r="CG76" s="1364">
        <f>CG75/CB75-1</f>
        <v>7.0422535211267512E-3</v>
      </c>
      <c r="CH76" s="1364">
        <f>CH75/CC75-1</f>
        <v>0.12239583333333326</v>
      </c>
      <c r="CI76" s="1364">
        <f>CI75/CD75-1</f>
        <v>0.27439024390243905</v>
      </c>
      <c r="CJ76" s="1477"/>
      <c r="CK76" s="1364">
        <f>CK75/CF75-1</f>
        <v>-4.7916666666666718E-2</v>
      </c>
      <c r="CL76" s="1364">
        <f>CL75/CG75-1</f>
        <v>-0.12354312354312358</v>
      </c>
      <c r="CM76" s="1364">
        <f>CM75/CH75-1</f>
        <v>-0.22273781902552203</v>
      </c>
      <c r="CN76" s="1364">
        <f>CN75/CI75-1</f>
        <v>-0.3133971291866029</v>
      </c>
      <c r="CO76" s="1477"/>
      <c r="CP76" s="2008">
        <f>CP75/CK75-1</f>
        <v>-0.17286652078774623</v>
      </c>
      <c r="CQ76" s="2008">
        <f>CQ75/CL75-1</f>
        <v>-0.21808510638297873</v>
      </c>
      <c r="CR76" s="2008">
        <f>CR75/CM75-1</f>
        <v>0.10447761194029859</v>
      </c>
      <c r="CS76" s="2008">
        <f>CS75/CN75-1</f>
        <v>0.31707317073170738</v>
      </c>
      <c r="CT76" s="1741"/>
      <c r="CU76" s="1364">
        <f>CU75/CP75-1</f>
        <v>0.26719576719576721</v>
      </c>
      <c r="CV76" s="1364">
        <f>CV75/CQ75-1</f>
        <v>0.29591836734693877</v>
      </c>
      <c r="CW76" s="1364">
        <f>CW75/CR75-1</f>
        <v>1.6216216216216273E-2</v>
      </c>
      <c r="CX76" s="1364">
        <f>CX75/CS75-1</f>
        <v>5.8201058201058142E-2</v>
      </c>
      <c r="CY76" s="1477"/>
      <c r="CZ76" s="1364">
        <f>CZ75/CU75-1</f>
        <v>-0.10855949895615868</v>
      </c>
      <c r="DA76" s="2827">
        <f>DA75/CV75-1</f>
        <v>-2.0997375328083989E-2</v>
      </c>
      <c r="DB76" s="2827">
        <f>DB75/CW75-1</f>
        <v>-5.3191489361702482E-3</v>
      </c>
      <c r="DC76" s="2827">
        <f>DC75/CX75-1</f>
        <v>0.13153527959705391</v>
      </c>
      <c r="DD76" s="2835"/>
      <c r="DE76" s="2827">
        <f t="shared" ref="DE76:DF76" si="107">DE75/CZ75-1</f>
        <v>-1.9473985052085085E-2</v>
      </c>
      <c r="DF76" s="2827">
        <f t="shared" si="107"/>
        <v>2.9165486728180978E-2</v>
      </c>
      <c r="DG76" s="2827">
        <f>DG75/DB75-1</f>
        <v>0.13634677218783664</v>
      </c>
      <c r="DH76" s="2827">
        <f>DH75/DC75-1</f>
        <v>5.1353183503212829E-2</v>
      </c>
      <c r="DI76" s="2835"/>
      <c r="DJ76" s="1477"/>
      <c r="DK76" s="1364"/>
      <c r="DL76" s="186"/>
      <c r="DM76" s="186"/>
      <c r="DN76" s="186"/>
      <c r="DO76" s="186"/>
      <c r="DP76" s="186"/>
      <c r="DQ76" s="186"/>
      <c r="DR76" s="186"/>
      <c r="DS76" s="186"/>
      <c r="DT76" s="186"/>
    </row>
    <row r="77" spans="1:125" ht="11.25" customHeight="1">
      <c r="A77" s="1835" t="s">
        <v>1208</v>
      </c>
      <c r="B77" s="1364">
        <f>B75/B27</f>
        <v>0.11059526016956554</v>
      </c>
      <c r="C77" s="1364">
        <f t="shared" ref="C77:J77" si="108">C75/C27</f>
        <v>0.12169872095893647</v>
      </c>
      <c r="D77" s="1364">
        <f t="shared" si="108"/>
        <v>0.14591776478609556</v>
      </c>
      <c r="E77" s="1364">
        <f t="shared" si="108"/>
        <v>0.13612675003380598</v>
      </c>
      <c r="F77" s="1364">
        <f t="shared" ca="1" si="108"/>
        <v>0.14705443643541102</v>
      </c>
      <c r="G77" s="1364">
        <f t="shared" ca="1" si="108"/>
        <v>0.16071455368392565</v>
      </c>
      <c r="H77" s="1364">
        <f t="shared" si="108"/>
        <v>0.14906669767982791</v>
      </c>
      <c r="I77" s="1364">
        <f t="shared" si="108"/>
        <v>0.12554646179425802</v>
      </c>
      <c r="J77" s="1364">
        <f t="shared" si="108"/>
        <v>0.12100342322107513</v>
      </c>
      <c r="K77" s="1364">
        <f t="shared" ref="K77:V77" si="109">K75/K27</f>
        <v>0.19190022797371598</v>
      </c>
      <c r="L77" s="1364">
        <f t="shared" si="109"/>
        <v>0.2013257083441643</v>
      </c>
      <c r="M77" s="1364">
        <f t="shared" si="109"/>
        <v>0.20335454019664545</v>
      </c>
      <c r="N77" s="1364">
        <f>N75/N27</f>
        <v>0.17511132506920205</v>
      </c>
      <c r="O77" s="2711">
        <f>O75/O27</f>
        <v>0.20335454019664545</v>
      </c>
      <c r="P77" s="2711">
        <f>P75/P27</f>
        <v>0.17511132506920205</v>
      </c>
      <c r="Q77" s="1364">
        <f>Q75/Q27</f>
        <v>0.16828632377340602</v>
      </c>
      <c r="R77" s="1364">
        <f t="shared" si="109"/>
        <v>0.18429649656415453</v>
      </c>
      <c r="S77" s="2711"/>
      <c r="T77" s="1364">
        <f>T75/T27</f>
        <v>0.179880010329318</v>
      </c>
      <c r="U77" s="1364">
        <f>U75/U27</f>
        <v>0.17122164475398199</v>
      </c>
      <c r="V77" s="1364">
        <f t="shared" si="109"/>
        <v>0.16918547015454505</v>
      </c>
      <c r="W77" s="1364">
        <f t="shared" ref="W77:AB77" si="110">W75/W27</f>
        <v>0.17841986947308483</v>
      </c>
      <c r="X77" s="1364">
        <f t="shared" si="110"/>
        <v>0.18235866056381059</v>
      </c>
      <c r="Y77" s="1364">
        <f t="shared" si="110"/>
        <v>0.17698092476924759</v>
      </c>
      <c r="Z77" s="1364">
        <f t="shared" si="110"/>
        <v>0.1712703569038751</v>
      </c>
      <c r="AA77" s="1364">
        <f t="shared" si="110"/>
        <v>0.16377734306679631</v>
      </c>
      <c r="AB77" s="1364">
        <f t="shared" si="110"/>
        <v>0.15809786354017236</v>
      </c>
      <c r="AC77" s="1364">
        <f>AC75/AC27</f>
        <v>0.15248161120650972</v>
      </c>
      <c r="AD77" s="1364">
        <f>AD75/AD27</f>
        <v>0.14952756338202924</v>
      </c>
      <c r="AE77" s="1364">
        <f>AE75/AE27</f>
        <v>0.13918278780758431</v>
      </c>
      <c r="AF77" s="105"/>
      <c r="AG77" s="1104"/>
      <c r="AH77" s="1104"/>
      <c r="AI77" s="1104"/>
      <c r="AJ77" s="1104"/>
      <c r="AK77" s="186"/>
      <c r="AL77" s="1298" t="str">
        <f t="shared" si="36"/>
        <v xml:space="preserve">% Margin </v>
      </c>
      <c r="AM77" s="1104">
        <f>AM75/AM27</f>
        <v>0.10141490194978174</v>
      </c>
      <c r="AN77" s="1104">
        <f>AN75/AN27</f>
        <v>0.24060580901458115</v>
      </c>
      <c r="AO77" s="1104">
        <f>AO75/AO27</f>
        <v>0.17806332228601565</v>
      </c>
      <c r="AP77" s="1104">
        <f>AP75/AP27</f>
        <v>7.5318659653343126E-2</v>
      </c>
      <c r="AQ77" s="1287"/>
      <c r="AR77" s="1104">
        <f>AR75/AR27</f>
        <v>0.1080798582534567</v>
      </c>
      <c r="AS77" s="1104">
        <f>AS75/AS27</f>
        <v>0.19278931656479997</v>
      </c>
      <c r="AT77" s="1104">
        <f>AT75/AT27</f>
        <v>0.13563363240935475</v>
      </c>
      <c r="AU77" s="1104">
        <f>AU75/AU27</f>
        <v>0.11302793273316919</v>
      </c>
      <c r="AV77" s="1287"/>
      <c r="AW77" s="1104">
        <f>AW75/AW27</f>
        <v>0.1047341482721129</v>
      </c>
      <c r="AX77" s="1104">
        <f>AX75/AX27</f>
        <v>0.17569288924546267</v>
      </c>
      <c r="AY77" s="1104">
        <f>AY75/AY27</f>
        <v>0.15328672715933367</v>
      </c>
      <c r="AZ77" s="1104">
        <f ca="1">AZ75/AZ27</f>
        <v>0.16249811647278378</v>
      </c>
      <c r="BA77" s="1287"/>
      <c r="BB77" s="1104">
        <f>BB75/BB27</f>
        <v>9.3006780943064249E-2</v>
      </c>
      <c r="BC77" s="1104">
        <f>BC75/BC27</f>
        <v>0.22550498014255624</v>
      </c>
      <c r="BD77" s="1104">
        <f>BD75/BD27</f>
        <v>0.18809315320612077</v>
      </c>
      <c r="BE77" s="1104">
        <f ca="1">BE75/BE27</f>
        <v>0.15911808347100639</v>
      </c>
      <c r="BF77" s="1287"/>
      <c r="BG77" s="1104">
        <f>BG75/BG27</f>
        <v>0.1507241926403603</v>
      </c>
      <c r="BH77" s="1104">
        <f>BH75/BH27</f>
        <v>0.18757636164876856</v>
      </c>
      <c r="BI77" s="1104">
        <f>BI75/BI27</f>
        <v>0.16165783963542307</v>
      </c>
      <c r="BJ77" s="1104">
        <f>BJ75/BJ27</f>
        <v>0.10120274914089346</v>
      </c>
      <c r="BK77" s="1287"/>
      <c r="BL77" s="1104">
        <f>BL75/BL27</f>
        <v>8.3131602112676062E-2</v>
      </c>
      <c r="BM77" s="1104">
        <f>BM75/BM27</f>
        <v>0.13823820521280106</v>
      </c>
      <c r="BN77" s="1104">
        <f>BN75/BN27</f>
        <v>0.17748728326861019</v>
      </c>
      <c r="BO77" s="1104">
        <f>BO75/BO27</f>
        <v>0.105106593951413</v>
      </c>
      <c r="BP77" s="1287"/>
      <c r="BQ77" s="1104">
        <f>BQ75/BQ27</f>
        <v>6.9565217391304349E-2</v>
      </c>
      <c r="BR77" s="1104">
        <f>BR75/BR27</f>
        <v>0.13315786325297602</v>
      </c>
      <c r="BS77" s="1104">
        <f>BS75/BS27</f>
        <v>0.1718721009338858</v>
      </c>
      <c r="BT77" s="1104">
        <f>BT75/BT27</f>
        <v>0.12323072354746116</v>
      </c>
      <c r="BU77" s="186"/>
      <c r="BV77" s="1104">
        <f>BV75/BV27</f>
        <v>0.13440320962888666</v>
      </c>
      <c r="BW77" s="1104">
        <f>BW75/BW27</f>
        <v>0.23965141612200436</v>
      </c>
      <c r="BX77" s="1104">
        <f>BX75/BX27</f>
        <v>0.24816176470588236</v>
      </c>
      <c r="BY77" s="1104">
        <f>BY75/BY27</f>
        <v>0.15939849624060151</v>
      </c>
      <c r="BZ77" s="1477"/>
      <c r="CA77" s="1364">
        <f>CA75/CA27</f>
        <v>0.17730802415875754</v>
      </c>
      <c r="CB77" s="1364">
        <f>CB75/CB27</f>
        <v>0.24956063268892795</v>
      </c>
      <c r="CC77" s="1364">
        <f>CC75/CC27</f>
        <v>0.22857142857142856</v>
      </c>
      <c r="CD77" s="1364">
        <f>CD75/CD27</f>
        <v>0.1649069884364002</v>
      </c>
      <c r="CE77" s="1477"/>
      <c r="CF77" s="1364">
        <f>CF75/CF27</f>
        <v>0.18905080740448996</v>
      </c>
      <c r="CG77" s="1364">
        <f>CG75/CG27</f>
        <v>0.21364541832669323</v>
      </c>
      <c r="CH77" s="1364">
        <f>CH75/CH27</f>
        <v>0.22876857749469215</v>
      </c>
      <c r="CI77" s="1364">
        <f>CI75/CI27</f>
        <v>0.18879855465221318</v>
      </c>
      <c r="CJ77" s="1477"/>
      <c r="CK77" s="1364">
        <f>CK75/CK27</f>
        <v>0.1984368215371255</v>
      </c>
      <c r="CL77" s="1364">
        <f>CL75/CL27</f>
        <v>0.20490463215258856</v>
      </c>
      <c r="CM77" s="1364">
        <f>CM75/CM27</f>
        <v>0.17530088958660386</v>
      </c>
      <c r="CN77" s="1364">
        <f>CN75/CN27</f>
        <v>0.12699115044247788</v>
      </c>
      <c r="CO77" s="1477"/>
      <c r="CP77" s="2008">
        <f>CP75/CP27</f>
        <v>0.16718266253869968</v>
      </c>
      <c r="CQ77" s="2008">
        <f>CQ75/CQ27</f>
        <v>0.16470588235294117</v>
      </c>
      <c r="CR77" s="2008">
        <f>CR75/CR27</f>
        <v>0.19151138716356109</v>
      </c>
      <c r="CS77" s="2008">
        <f>CS75/CS27</f>
        <v>0.15365853658536585</v>
      </c>
      <c r="CT77" s="1741"/>
      <c r="CU77" s="1364">
        <f>CU75/CU27</f>
        <v>0.18515655199072284</v>
      </c>
      <c r="CV77" s="1364">
        <f>CV75/CV27</f>
        <v>0.19568567026194145</v>
      </c>
      <c r="CW77" s="1364">
        <f>CW75/CW27</f>
        <v>0.19291944586967677</v>
      </c>
      <c r="CX77" s="1364">
        <f>CX75/CX27</f>
        <v>0.16708437761069339</v>
      </c>
      <c r="CY77" s="1477"/>
      <c r="CZ77" s="1364">
        <f>CZ75/CZ27</f>
        <v>0.18193438432040904</v>
      </c>
      <c r="DA77" s="2827">
        <f>DA75/DA27</f>
        <v>0.17078754578754579</v>
      </c>
      <c r="DB77" s="2827">
        <f>DB75/DB27</f>
        <v>0.20606060606060606</v>
      </c>
      <c r="DC77" s="2827">
        <f>DC75/DC27</f>
        <v>0.16783544680815107</v>
      </c>
      <c r="DD77" s="2835"/>
      <c r="DE77" s="2827">
        <f t="shared" ref="DE77:DF77" si="111">DE75/DE27</f>
        <v>0.16494476838005698</v>
      </c>
      <c r="DF77" s="2827">
        <f t="shared" si="111"/>
        <v>0.16174824336206853</v>
      </c>
      <c r="DG77" s="2827">
        <f>DG75/DG27</f>
        <v>0.19916616450043576</v>
      </c>
      <c r="DH77" s="2827">
        <f>DH75/DH27</f>
        <v>0.16391434426982548</v>
      </c>
      <c r="DI77" s="2835"/>
      <c r="DJ77" s="1477"/>
      <c r="DK77" s="1364"/>
      <c r="DL77" s="186"/>
      <c r="DM77" s="186"/>
      <c r="DN77" s="186"/>
      <c r="DO77" s="186"/>
      <c r="DP77" s="186"/>
      <c r="DQ77" s="186"/>
      <c r="DR77" s="186"/>
      <c r="DS77" s="186"/>
      <c r="DT77" s="186"/>
      <c r="DU77" s="1104"/>
    </row>
    <row r="78" spans="1:125" ht="6" customHeight="1">
      <c r="A78" s="1841"/>
      <c r="B78" s="1110"/>
      <c r="C78" s="1110"/>
      <c r="D78" s="1110"/>
      <c r="E78" s="1110"/>
      <c r="F78" s="1110"/>
      <c r="G78" s="1110"/>
      <c r="H78" s="1110"/>
      <c r="I78" s="1110"/>
      <c r="J78" s="1110"/>
      <c r="K78" s="1110"/>
      <c r="L78" s="1110"/>
      <c r="M78" s="1110"/>
      <c r="N78" s="1110"/>
      <c r="O78" s="2705"/>
      <c r="P78" s="2705"/>
      <c r="Q78" s="1110"/>
      <c r="R78" s="1110"/>
      <c r="S78" s="2705"/>
      <c r="T78" s="1110"/>
      <c r="U78" s="1110"/>
      <c r="V78" s="1110"/>
      <c r="W78" s="1110"/>
      <c r="X78" s="1110"/>
      <c r="Y78" s="1110"/>
      <c r="Z78" s="1110"/>
      <c r="AA78" s="1110"/>
      <c r="AB78" s="1110"/>
      <c r="AC78" s="1110"/>
      <c r="AD78" s="1110"/>
      <c r="AE78" s="1110"/>
      <c r="AF78" s="105"/>
      <c r="AG78" s="39"/>
      <c r="AH78" s="39"/>
      <c r="AI78" s="39"/>
      <c r="AJ78" s="39"/>
      <c r="AK78" s="11"/>
      <c r="AL78" s="1299"/>
      <c r="AM78" s="39"/>
      <c r="AN78" s="39"/>
      <c r="AO78" s="39"/>
      <c r="AP78" s="39"/>
      <c r="AQ78" s="1120"/>
      <c r="AR78" s="39"/>
      <c r="AS78" s="39"/>
      <c r="AT78" s="39"/>
      <c r="AU78" s="39"/>
      <c r="AV78" s="1120"/>
      <c r="AW78" s="39"/>
      <c r="AX78" s="39"/>
      <c r="AY78" s="39"/>
      <c r="AZ78" s="39"/>
      <c r="BA78" s="1120"/>
      <c r="BB78" s="39"/>
      <c r="BC78" s="39"/>
      <c r="BD78" s="39"/>
      <c r="BE78" s="39"/>
      <c r="BF78" s="1120"/>
      <c r="BG78" s="39"/>
      <c r="BH78" s="39"/>
      <c r="BI78" s="39"/>
      <c r="BJ78" s="39"/>
      <c r="BK78" s="1120"/>
      <c r="BL78" s="39"/>
      <c r="BM78" s="39"/>
      <c r="BN78" s="39"/>
      <c r="BO78" s="39"/>
      <c r="BP78" s="1120"/>
      <c r="BQ78" s="11"/>
      <c r="BR78" s="11"/>
      <c r="BS78" s="11"/>
      <c r="BT78" s="11"/>
      <c r="BU78" s="11"/>
      <c r="BV78" s="11"/>
      <c r="BW78" s="11"/>
      <c r="BX78" s="11"/>
      <c r="BY78" s="11"/>
      <c r="BZ78" s="1108"/>
      <c r="CA78" s="1108"/>
      <c r="CB78" s="1108"/>
      <c r="CC78" s="1108"/>
      <c r="CD78" s="1108"/>
      <c r="CE78" s="1108"/>
      <c r="CF78" s="1108"/>
      <c r="CG78" s="1108"/>
      <c r="CH78" s="1108"/>
      <c r="CI78" s="1108"/>
      <c r="CJ78" s="1108"/>
      <c r="CK78" s="1470"/>
      <c r="CL78" s="1470"/>
      <c r="CM78" s="1470"/>
      <c r="CN78" s="1108"/>
      <c r="CO78" s="1108"/>
      <c r="CP78" s="1470"/>
      <c r="CQ78" s="1470"/>
      <c r="CR78" s="1470"/>
      <c r="CS78" s="1108"/>
      <c r="CT78" s="1741"/>
      <c r="CU78" s="1108"/>
      <c r="CV78" s="1108"/>
      <c r="CW78" s="1108"/>
      <c r="CX78" s="1108"/>
      <c r="CY78" s="1108"/>
      <c r="CZ78" s="1108"/>
      <c r="DA78" s="2862"/>
      <c r="DB78" s="2862"/>
      <c r="DC78" s="2862"/>
      <c r="DD78" s="2835"/>
      <c r="DE78" s="2862"/>
      <c r="DF78" s="2862"/>
      <c r="DG78" s="2862"/>
      <c r="DH78" s="2862"/>
      <c r="DI78" s="2835"/>
      <c r="DJ78" s="1108"/>
      <c r="DK78" s="1108"/>
      <c r="DL78" s="186"/>
      <c r="DM78" s="186"/>
      <c r="DN78" s="186"/>
      <c r="DO78" s="186"/>
      <c r="DP78" s="186"/>
      <c r="DQ78" s="186"/>
      <c r="DR78" s="186"/>
      <c r="DS78" s="186"/>
      <c r="DT78" s="186"/>
      <c r="DU78" s="11"/>
    </row>
    <row r="79" spans="1:125" ht="11.25" hidden="1" customHeight="1" outlineLevel="1">
      <c r="A79" s="1826" t="s">
        <v>710</v>
      </c>
      <c r="B79" s="1105">
        <f>'Segment Detail'!Y143</f>
        <v>280.87706351508655</v>
      </c>
      <c r="C79" s="1105">
        <f>'Segment Detail'!Z143</f>
        <v>275.94501299263686</v>
      </c>
      <c r="D79" s="1105">
        <f>'Segment Detail'!AA143</f>
        <v>306</v>
      </c>
      <c r="E79" s="1636">
        <f>SUM(AR79:AU79)</f>
        <v>311.87637906576356</v>
      </c>
      <c r="F79" s="1636">
        <f ca="1">SUM(AW79:AZ79)</f>
        <v>332.3920407402502</v>
      </c>
      <c r="G79" s="1636">
        <f ca="1">SUM(BB79:BE79)</f>
        <v>353.66138129890555</v>
      </c>
      <c r="H79" s="1636">
        <f>SUM(BG79:BJ79)</f>
        <v>371.05193908374997</v>
      </c>
      <c r="I79" s="1636">
        <f>SUM(BL79:BO79)</f>
        <v>435.93854041478903</v>
      </c>
      <c r="J79" s="1636">
        <f>SUM(BQ79:BT79)</f>
        <v>536.37806949366825</v>
      </c>
      <c r="K79" s="1636">
        <f>SUM(BV79:BY79)</f>
        <v>664.83073210691521</v>
      </c>
      <c r="L79" s="1636">
        <f>SUM(CA79:CD79)</f>
        <v>759.39146500415848</v>
      </c>
      <c r="M79" s="1636">
        <f>SUM(CF79:CI79)</f>
        <v>839.7513540255726</v>
      </c>
      <c r="N79" s="1636">
        <f>SUM(CK79:CN79)</f>
        <v>933.71123547800812</v>
      </c>
      <c r="O79" s="2714">
        <f>M79</f>
        <v>839.7513540255726</v>
      </c>
      <c r="P79" s="2714">
        <f>N79</f>
        <v>933.71123547800812</v>
      </c>
      <c r="Q79" s="1636">
        <f>SUM(CP79:CS79)</f>
        <v>902.40401646799592</v>
      </c>
      <c r="R79" s="1636">
        <f>SUM(CU79:CX79)</f>
        <v>914.29121660199439</v>
      </c>
      <c r="S79" s="2710">
        <f>R79</f>
        <v>914.29121660199439</v>
      </c>
      <c r="T79" s="1636">
        <f>SUM(CZ79:DC79)</f>
        <v>972.51282925591249</v>
      </c>
      <c r="U79" s="2890">
        <f>SUM(DE79:DH79)</f>
        <v>1001.9196211928344</v>
      </c>
      <c r="V79" s="1105">
        <f>'Segment Detail'!AP143</f>
        <v>1060.6482726733029</v>
      </c>
      <c r="W79" s="1105">
        <f>'Segment Detail'!AQ143</f>
        <v>1117.2387471653763</v>
      </c>
      <c r="X79" s="1105">
        <f>'Segment Detail'!AR143</f>
        <v>1175.0979688890391</v>
      </c>
      <c r="Y79" s="1105">
        <f>'Segment Detail'!AS143</f>
        <v>1230.6076462560195</v>
      </c>
      <c r="Z79" s="1105">
        <f>'Segment Detail'!AT143</f>
        <v>1281.3221103570825</v>
      </c>
      <c r="AA79" s="1105">
        <f>'Segment Detail'!AU143</f>
        <v>1325.2138820296118</v>
      </c>
      <c r="AB79" s="1105">
        <f>'Segment Detail'!AV143</f>
        <v>1367.8703423825473</v>
      </c>
      <c r="AC79" s="1105">
        <f>'Segment Detail'!AW143</f>
        <v>1410.2582859035629</v>
      </c>
      <c r="AD79" s="1105">
        <f>'Segment Detail'!AX143</f>
        <v>1452.116377889485</v>
      </c>
      <c r="AE79" s="1105">
        <f>'Segment Detail'!AY143</f>
        <v>1493.2896656298951</v>
      </c>
      <c r="AF79" s="105"/>
      <c r="AG79" s="105"/>
      <c r="AH79" s="105"/>
      <c r="AI79" s="105"/>
      <c r="AJ79" s="105"/>
      <c r="AK79" s="69"/>
      <c r="AL79" s="1106" t="str">
        <f t="shared" ref="AL79:AL101" si="112">A79</f>
        <v xml:space="preserve">Showtime </v>
      </c>
      <c r="AM79" s="105">
        <f>'Segment Detail'!CO143</f>
        <v>70</v>
      </c>
      <c r="AN79" s="105">
        <f>'Segment Detail'!CP143</f>
        <v>70</v>
      </c>
      <c r="AO79" s="105">
        <f>'Segment Detail'!CQ143</f>
        <v>90</v>
      </c>
      <c r="AP79" s="105">
        <f>'Segment Detail'!CR143</f>
        <v>76</v>
      </c>
      <c r="AQ79" s="1120">
        <f>D79-SUM(AM79:AP79)</f>
        <v>0</v>
      </c>
      <c r="AR79" s="105">
        <f>'Segment Detail'!CT143</f>
        <v>72</v>
      </c>
      <c r="AS79" s="105">
        <f>'Segment Detail'!CU143</f>
        <v>72</v>
      </c>
      <c r="AT79" s="105">
        <f>'Segment Detail'!CV143</f>
        <v>80.086789780662002</v>
      </c>
      <c r="AU79" s="105">
        <f>'Segment Detail'!CW143</f>
        <v>87.789589285101556</v>
      </c>
      <c r="AV79" s="1120">
        <f>E79-SUM(AR79:AU79)</f>
        <v>0</v>
      </c>
      <c r="AW79" s="105">
        <f ca="1">AW87-AW83</f>
        <v>72</v>
      </c>
      <c r="AX79" s="105">
        <f ca="1">AX87-AX83</f>
        <v>81.402000000000001</v>
      </c>
      <c r="AY79" s="105">
        <f ca="1">AY87-AY83</f>
        <v>86.50406000000001</v>
      </c>
      <c r="AZ79" s="105">
        <f ca="1">AZ87-AZ83</f>
        <v>92.485980740250227</v>
      </c>
      <c r="BA79" s="1120">
        <f ca="1">F79-SUM(AW79:AZ79)</f>
        <v>0</v>
      </c>
      <c r="BB79" s="105">
        <f ca="1">BB87-BB83</f>
        <v>78.189679699999999</v>
      </c>
      <c r="BC79" s="105">
        <f ca="1">BC87-BC83</f>
        <v>88.758646399999989</v>
      </c>
      <c r="BD79" s="105">
        <f ca="1">BD87-BD83</f>
        <v>93.556456909000033</v>
      </c>
      <c r="BE79" s="105">
        <f ca="1">BE87-BE83</f>
        <v>93.156598289905574</v>
      </c>
      <c r="BF79" s="1120">
        <f ca="1">G79-SUM(BB79:BE79)</f>
        <v>0</v>
      </c>
      <c r="BG79" s="105">
        <f>BG87-BG83</f>
        <v>80.886781523749988</v>
      </c>
      <c r="BH79" s="105">
        <f>BH87-BH83</f>
        <v>92.988084999999998</v>
      </c>
      <c r="BI79" s="105">
        <f>BI87-BI83</f>
        <v>97.269519000000003</v>
      </c>
      <c r="BJ79" s="105">
        <f>BJ87-BJ83</f>
        <v>99.907553559999997</v>
      </c>
      <c r="BK79" s="1120">
        <f>H79-SUM(BG79:BJ79)</f>
        <v>0</v>
      </c>
      <c r="BL79" s="105">
        <f>BL87-BL83</f>
        <v>77.632946549709004</v>
      </c>
      <c r="BM79" s="105">
        <f>BM87-BM83</f>
        <v>90.694207176000006</v>
      </c>
      <c r="BN79" s="105">
        <f>BN87-BN83</f>
        <v>121.4797911868</v>
      </c>
      <c r="BO79" s="105">
        <f>BO87-BO83</f>
        <v>146.13159550228002</v>
      </c>
      <c r="BP79" s="1120">
        <f>I79-SUM(BL79:BO79)</f>
        <v>0</v>
      </c>
      <c r="BQ79" s="105">
        <f>BQ87-BQ83</f>
        <v>93.221864354629815</v>
      </c>
      <c r="BR79" s="105">
        <f>BR87-BR83</f>
        <v>121.10835347232002</v>
      </c>
      <c r="BS79" s="105">
        <f>BS87-BS83</f>
        <v>162.09838191514001</v>
      </c>
      <c r="BT79" s="105">
        <f>BT87-BT83</f>
        <v>159.94946975157839</v>
      </c>
      <c r="BU79" s="1120">
        <f>J79-SUM(BQ79:BT79)</f>
        <v>0</v>
      </c>
      <c r="BV79" s="105">
        <f>BV87-BV83</f>
        <v>143.18594662055409</v>
      </c>
      <c r="BW79" s="105">
        <f>BW87-BW83</f>
        <v>165.43774061355199</v>
      </c>
      <c r="BX79" s="105">
        <f>BX87-BX83</f>
        <v>192.167004560279</v>
      </c>
      <c r="BY79" s="105">
        <f>BY87-BY83</f>
        <v>164.0400403125301</v>
      </c>
      <c r="BZ79" s="1741">
        <f>K79-SUM(BV79:BY79)</f>
        <v>0</v>
      </c>
      <c r="CA79" s="1105">
        <f>CA87-CA83</f>
        <v>196.71121370081815</v>
      </c>
      <c r="CB79" s="1105">
        <f>CB87-CB83</f>
        <v>177.1254622073296</v>
      </c>
      <c r="CC79" s="1105">
        <f>CC87-CC83</f>
        <v>214.03553951159876</v>
      </c>
      <c r="CD79" s="1105">
        <f>CD87-CD83</f>
        <v>171.51924958441202</v>
      </c>
      <c r="CE79" s="1741">
        <f>L79-SUM(CA79:CD79)</f>
        <v>0</v>
      </c>
      <c r="CF79" s="1105">
        <f>CF87-CF83</f>
        <v>217.08070156746331</v>
      </c>
      <c r="CG79" s="1105">
        <f>CG87-CG83</f>
        <v>192.45773854350344</v>
      </c>
      <c r="CH79" s="1105">
        <f>CH87-CH83</f>
        <v>246.38336131521103</v>
      </c>
      <c r="CI79" s="1105">
        <f>CI87-CI83</f>
        <v>183.82955259939479</v>
      </c>
      <c r="CJ79" s="1741">
        <f>M79-SUM(CF79:CI79)</f>
        <v>0</v>
      </c>
      <c r="CK79" s="1105">
        <f>CK87-CK83</f>
        <v>243.75998673944585</v>
      </c>
      <c r="CL79" s="1105">
        <f>CL87-CL83</f>
        <v>203.1523169336877</v>
      </c>
      <c r="CM79" s="1105">
        <f>CM87-CM83</f>
        <v>256.17595897548148</v>
      </c>
      <c r="CN79" s="1105">
        <f>CN87-CN83</f>
        <v>230.62297282939315</v>
      </c>
      <c r="CO79" s="1741">
        <f>$N79-SUM(CK79:CN79)</f>
        <v>0</v>
      </c>
      <c r="CP79" s="1105">
        <f>CP87-CP83</f>
        <v>241.25845175759852</v>
      </c>
      <c r="CQ79" s="1105">
        <f>CQ87-CQ83</f>
        <v>209.6150444602782</v>
      </c>
      <c r="CR79" s="1105">
        <f>CR87-CR83</f>
        <v>234.57662342167788</v>
      </c>
      <c r="CS79" s="1105">
        <f>CS87-CS83</f>
        <v>216.95389682844126</v>
      </c>
      <c r="CT79" s="1741">
        <f>$Q79-SUM(CP79:CS79)</f>
        <v>0</v>
      </c>
      <c r="CU79" s="1105">
        <f>CU87-CU83</f>
        <v>217.73829625045832</v>
      </c>
      <c r="CV79" s="1105">
        <f>CV87-CV83</f>
        <v>215.12222099205371</v>
      </c>
      <c r="CW79" s="1105">
        <f>CW87-CW83</f>
        <v>274.03694450253664</v>
      </c>
      <c r="CX79" s="1105">
        <f>CX87-CX83</f>
        <v>207.39375485694566</v>
      </c>
      <c r="CY79" s="1741">
        <f>S79-SUM(CU79:CX79)</f>
        <v>0</v>
      </c>
      <c r="CZ79" s="1105">
        <f>CZ87-CZ83</f>
        <v>237.16612519260406</v>
      </c>
      <c r="DA79" s="2804">
        <f>DA87-DA83</f>
        <v>241.52837321214449</v>
      </c>
      <c r="DB79" s="2804">
        <f>DB87-DB83</f>
        <v>281.43971987580568</v>
      </c>
      <c r="DC79" s="2804">
        <f>DC30*DC81</f>
        <v>212.3786109753583</v>
      </c>
      <c r="DD79" s="2835">
        <f>T79-SUM(CZ79:DC79)</f>
        <v>0</v>
      </c>
      <c r="DE79" s="2804">
        <f t="shared" ref="DE79:DF79" si="113">DE30*DE81</f>
        <v>245.68666896531155</v>
      </c>
      <c r="DF79" s="2804">
        <f t="shared" si="113"/>
        <v>257.28166708188672</v>
      </c>
      <c r="DG79" s="2804">
        <f>DG30*DG81</f>
        <v>259.59881926502351</v>
      </c>
      <c r="DH79" s="2804">
        <f>DH30*DH81</f>
        <v>239.35246588061258</v>
      </c>
      <c r="DI79" s="2835">
        <f t="shared" si="73"/>
        <v>0</v>
      </c>
      <c r="DJ79" s="1741"/>
      <c r="DK79" s="105"/>
      <c r="DL79" s="185"/>
      <c r="DM79" s="185"/>
      <c r="DN79" s="186"/>
      <c r="DO79" s="186"/>
      <c r="DP79" s="186"/>
      <c r="DQ79" s="186"/>
      <c r="DR79" s="186"/>
      <c r="DS79" s="186"/>
      <c r="DT79" s="186"/>
      <c r="DU79" s="105"/>
    </row>
    <row r="80" spans="1:125" ht="11.25" hidden="1" customHeight="1" outlineLevel="1">
      <c r="A80" s="1827" t="s">
        <v>344</v>
      </c>
      <c r="B80" s="1364">
        <f>'Segment Detail'!Y144</f>
        <v>0.18360212721675007</v>
      </c>
      <c r="C80" s="1364">
        <f t="shared" ref="C80:J80" si="114">C79/B79-1</f>
        <v>-1.7559463420496635E-2</v>
      </c>
      <c r="D80" s="1364">
        <f t="shared" si="114"/>
        <v>0.10891657972512481</v>
      </c>
      <c r="E80" s="1364">
        <f t="shared" si="114"/>
        <v>1.9203853156090078E-2</v>
      </c>
      <c r="F80" s="1364">
        <f t="shared" ca="1" si="114"/>
        <v>6.5781389844085103E-2</v>
      </c>
      <c r="G80" s="1364">
        <f t="shared" ca="1" si="114"/>
        <v>6.398871799483441E-2</v>
      </c>
      <c r="H80" s="1364">
        <f t="shared" ca="1" si="114"/>
        <v>4.9172905791900368E-2</v>
      </c>
      <c r="I80" s="1364">
        <f t="shared" si="114"/>
        <v>0.17487201789395179</v>
      </c>
      <c r="J80" s="1364">
        <f t="shared" si="114"/>
        <v>0.23039836987872753</v>
      </c>
      <c r="K80" s="1364">
        <f t="shared" ref="K80:W80" si="115">K79/J79-1</f>
        <v>0.23948157077805976</v>
      </c>
      <c r="L80" s="1364">
        <f t="shared" si="115"/>
        <v>0.14223279450029458</v>
      </c>
      <c r="M80" s="1364">
        <f t="shared" si="115"/>
        <v>0.1058214277151166</v>
      </c>
      <c r="N80" s="1364">
        <f t="shared" si="115"/>
        <v>0.11189012200101112</v>
      </c>
      <c r="O80" s="2711"/>
      <c r="P80" s="2711">
        <f t="shared" si="115"/>
        <v>0.11189012200101112</v>
      </c>
      <c r="Q80" s="1364">
        <f t="shared" si="115"/>
        <v>-3.3529872856231213E-2</v>
      </c>
      <c r="R80" s="1364">
        <f t="shared" si="115"/>
        <v>1.3172813858392196E-2</v>
      </c>
      <c r="S80" s="2711"/>
      <c r="T80" s="1364">
        <f>T79/R79-1</f>
        <v>6.3679505606869302E-2</v>
      </c>
      <c r="U80" s="1364">
        <f t="shared" si="115"/>
        <v>3.0237947564580203E-2</v>
      </c>
      <c r="V80" s="1364">
        <f t="shared" si="115"/>
        <v>5.8616130713708525E-2</v>
      </c>
      <c r="W80" s="1364">
        <f t="shared" si="115"/>
        <v>5.3354609581779844E-2</v>
      </c>
      <c r="X80" s="1364">
        <f t="shared" ref="X80:AE80" si="116">X79/W79-1</f>
        <v>5.1787697007878997E-2</v>
      </c>
      <c r="Y80" s="1364">
        <f t="shared" si="116"/>
        <v>4.7238339982376365E-2</v>
      </c>
      <c r="Z80" s="1364">
        <f t="shared" si="116"/>
        <v>4.1210912556374657E-2</v>
      </c>
      <c r="AA80" s="1364">
        <f t="shared" si="116"/>
        <v>3.4255064606898422E-2</v>
      </c>
      <c r="AB80" s="1364">
        <f t="shared" si="116"/>
        <v>3.2188359125551624E-2</v>
      </c>
      <c r="AC80" s="1364">
        <f t="shared" si="116"/>
        <v>3.0988275867714687E-2</v>
      </c>
      <c r="AD80" s="1364">
        <f t="shared" si="116"/>
        <v>2.9681153023045859E-2</v>
      </c>
      <c r="AE80" s="1364">
        <f t="shared" si="116"/>
        <v>2.8353986200645664E-2</v>
      </c>
      <c r="AF80" s="105"/>
      <c r="AG80" s="1104"/>
      <c r="AH80" s="1104"/>
      <c r="AI80" s="1104"/>
      <c r="AJ80" s="1104"/>
      <c r="AK80" s="189"/>
      <c r="AL80" s="1294" t="str">
        <f t="shared" si="112"/>
        <v xml:space="preserve">% Change </v>
      </c>
      <c r="AM80" s="1286" t="s">
        <v>1455</v>
      </c>
      <c r="AN80" s="1286" t="s">
        <v>1455</v>
      </c>
      <c r="AO80" s="1286" t="s">
        <v>1455</v>
      </c>
      <c r="AP80" s="1286" t="s">
        <v>1455</v>
      </c>
      <c r="AQ80" s="1287"/>
      <c r="AR80" s="1104">
        <f>AR79/AM79-1</f>
        <v>2.857142857142847E-2</v>
      </c>
      <c r="AS80" s="1104">
        <f>AS79/AN79-1</f>
        <v>2.857142857142847E-2</v>
      </c>
      <c r="AT80" s="1104">
        <f>AT79/AO79-1</f>
        <v>-0.11014678021486668</v>
      </c>
      <c r="AU80" s="1104">
        <f>AU79/AP79-1</f>
        <v>0.15512617480396784</v>
      </c>
      <c r="AV80" s="1287"/>
      <c r="AW80" s="1104">
        <f ca="1">AW79/AR79-1</f>
        <v>0</v>
      </c>
      <c r="AX80" s="1104">
        <f ca="1">AX79/AS79-1</f>
        <v>0.13058333333333327</v>
      </c>
      <c r="AY80" s="1104">
        <f ca="1">AY79/AT79-1</f>
        <v>8.012894806888049E-2</v>
      </c>
      <c r="AZ80" s="1104">
        <f ca="1">AZ79/AU79-1</f>
        <v>5.3495995292754728E-2</v>
      </c>
      <c r="BA80" s="1287"/>
      <c r="BB80" s="1104">
        <f ca="1">BB79/AW79-1</f>
        <v>8.5967773611111076E-2</v>
      </c>
      <c r="BC80" s="1104">
        <f ca="1">BC79/AX79-1</f>
        <v>9.0374270902434661E-2</v>
      </c>
      <c r="BD80" s="1104">
        <f ca="1">BD79/AY79-1</f>
        <v>8.1526773529474017E-2</v>
      </c>
      <c r="BE80" s="1104">
        <f ca="1">BE79/AZ79-1</f>
        <v>7.2510184169296554E-3</v>
      </c>
      <c r="BF80" s="1287"/>
      <c r="BG80" s="1104">
        <f ca="1">BG79/BB79-1</f>
        <v>3.4494345469866294E-2</v>
      </c>
      <c r="BH80" s="1104">
        <f ca="1">BH79/BC79-1</f>
        <v>4.7651003835047279E-2</v>
      </c>
      <c r="BI80" s="1104">
        <f ca="1">BI79/BD79-1</f>
        <v>3.968792976642499E-2</v>
      </c>
      <c r="BJ80" s="1104">
        <f ca="1">BJ79/BE79-1</f>
        <v>7.2468889955441318E-2</v>
      </c>
      <c r="BK80" s="1287"/>
      <c r="BL80" s="1104">
        <f>BL79/BG79-1</f>
        <v>-4.0227029840290918E-2</v>
      </c>
      <c r="BM80" s="1104">
        <f>BM79/BH79-1</f>
        <v>-2.4668513433737105E-2</v>
      </c>
      <c r="BN80" s="1104">
        <f>BN79/BI79-1</f>
        <v>0.24889885789195687</v>
      </c>
      <c r="BO80" s="1104">
        <f>BO79/BJ79-1</f>
        <v>0.46266813964691811</v>
      </c>
      <c r="BP80" s="1287"/>
      <c r="BQ80" s="1104">
        <f>BQ79/BL79-1</f>
        <v>0.20080286138487735</v>
      </c>
      <c r="BR80" s="1104">
        <f>BR79/BM79-1</f>
        <v>0.33534827905048781</v>
      </c>
      <c r="BS80" s="1104">
        <f>BS79/BN79-1</f>
        <v>0.33436500286603743</v>
      </c>
      <c r="BT80" s="1104">
        <f>BT79/BO79-1</f>
        <v>9.4557745720929898E-2</v>
      </c>
      <c r="BU80" s="186"/>
      <c r="BV80" s="1104">
        <f>BV79/BQ79-1</f>
        <v>0.5359695669232003</v>
      </c>
      <c r="BW80" s="1104">
        <f>BW79/BR79-1</f>
        <v>0.36603079697028251</v>
      </c>
      <c r="BX80" s="1104">
        <f>BX79/BS79-1</f>
        <v>0.18549613074410698</v>
      </c>
      <c r="BY80" s="1104">
        <f>BY79/BT79-1</f>
        <v>2.557414267959035E-2</v>
      </c>
      <c r="BZ80" s="1477"/>
      <c r="CA80" s="1364">
        <f>CA79/BV79-1</f>
        <v>0.37381648369519938</v>
      </c>
      <c r="CB80" s="1364">
        <f>CB79/BW79-1</f>
        <v>7.0647251047021298E-2</v>
      </c>
      <c r="CC80" s="1364">
        <f>CC79/BX79-1</f>
        <v>0.11379963486114519</v>
      </c>
      <c r="CD80" s="1364">
        <f>CD79/BY79-1</f>
        <v>4.559380293757842E-2</v>
      </c>
      <c r="CE80" s="1717"/>
      <c r="CF80" s="1364">
        <f>CF79/CA79-1</f>
        <v>0.10355021192449909</v>
      </c>
      <c r="CG80" s="1364">
        <f>CG79/CB79-1</f>
        <v>8.6561672980856041E-2</v>
      </c>
      <c r="CH80" s="1364">
        <f>CH79/CC79-1</f>
        <v>0.15113294678736899</v>
      </c>
      <c r="CI80" s="1364">
        <f>CI79/CD79-1</f>
        <v>7.1772136624958405E-2</v>
      </c>
      <c r="CJ80" s="1717"/>
      <c r="CK80" s="1364">
        <f>CK79/CF79-1</f>
        <v>0.12290030840761434</v>
      </c>
      <c r="CL80" s="1364">
        <f>CL79/CG79-1</f>
        <v>5.5568450877161446E-2</v>
      </c>
      <c r="CM80" s="1364">
        <f>CM79/CH79-1</f>
        <v>3.9745369200245184E-2</v>
      </c>
      <c r="CN80" s="1364">
        <f>CN79/CI79-1</f>
        <v>0.25454786550001329</v>
      </c>
      <c r="CO80" s="1717"/>
      <c r="CP80" s="2008">
        <f>CP79/CK79-1</f>
        <v>-1.0262287159217842E-2</v>
      </c>
      <c r="CQ80" s="2008">
        <f>CQ79/CL79-1</f>
        <v>3.1812226530992804E-2</v>
      </c>
      <c r="CR80" s="2008">
        <f>CR79/CM79-1</f>
        <v>-8.4314451832971815E-2</v>
      </c>
      <c r="CS80" s="2008">
        <f>CS79/CN79-1</f>
        <v>-5.9270227216539295E-2</v>
      </c>
      <c r="CT80" s="1717"/>
      <c r="CU80" s="1364">
        <f>CU79/CP79-1</f>
        <v>-9.7489457201573204E-2</v>
      </c>
      <c r="CV80" s="1364">
        <f>CV79/CQ79-1</f>
        <v>2.6272811409865815E-2</v>
      </c>
      <c r="CW80" s="1364">
        <f>CW79/CR79-1</f>
        <v>0.16821932426712616</v>
      </c>
      <c r="CX80" s="1364">
        <f>CX79/CS79-1</f>
        <v>-4.4065315771006364E-2</v>
      </c>
      <c r="CY80" s="1717"/>
      <c r="CZ80" s="1364">
        <f>CZ79/CU79-1</f>
        <v>8.922559456329382E-2</v>
      </c>
      <c r="DA80" s="2827">
        <f>DA79/CV79-1</f>
        <v>0.12274953325749727</v>
      </c>
      <c r="DB80" s="2827">
        <f>DB79/CW79-1</f>
        <v>2.7013785994101758E-2</v>
      </c>
      <c r="DC80" s="2827">
        <f>DC79/CX79-1</f>
        <v>2.4035709859494325E-2</v>
      </c>
      <c r="DD80" s="2835"/>
      <c r="DE80" s="2827">
        <f t="shared" ref="DE80:DF80" si="117">DE79/CZ79-1</f>
        <v>3.5926478816432628E-2</v>
      </c>
      <c r="DF80" s="2827">
        <f t="shared" si="117"/>
        <v>6.5223367591290993E-2</v>
      </c>
      <c r="DG80" s="2827">
        <f>DG79/DB79-1</f>
        <v>-7.760418685898407E-2</v>
      </c>
      <c r="DH80" s="2827">
        <f>DH79/DC79-1</f>
        <v>0.12700834034734321</v>
      </c>
      <c r="DI80" s="2835"/>
      <c r="DJ80" s="1717"/>
      <c r="DK80" s="1104"/>
      <c r="DL80" s="186"/>
      <c r="DM80" s="186"/>
      <c r="DN80" s="186"/>
      <c r="DO80" s="186"/>
      <c r="DP80" s="186"/>
      <c r="DQ80" s="186"/>
      <c r="DR80" s="186"/>
      <c r="DS80" s="186"/>
      <c r="DT80" s="186"/>
      <c r="DU80" s="1104"/>
    </row>
    <row r="81" spans="1:125" ht="11.25" hidden="1" customHeight="1" outlineLevel="1">
      <c r="A81" s="1827" t="s">
        <v>1208</v>
      </c>
      <c r="B81" s="1364">
        <f t="shared" ref="B81:J81" si="118">B79/B30</f>
        <v>0.27323594921607475</v>
      </c>
      <c r="C81" s="1364">
        <f t="shared" si="118"/>
        <v>0.26703128446373914</v>
      </c>
      <c r="D81" s="1364">
        <f t="shared" si="118"/>
        <v>0.30297029702970296</v>
      </c>
      <c r="E81" s="1364">
        <f t="shared" si="118"/>
        <v>0.29716804659932972</v>
      </c>
      <c r="F81" s="1364">
        <f t="shared" ca="1" si="118"/>
        <v>0.29384071422688141</v>
      </c>
      <c r="G81" s="1364">
        <f t="shared" ca="1" si="118"/>
        <v>0.29775543316661529</v>
      </c>
      <c r="H81" s="1364">
        <f t="shared" si="118"/>
        <v>0.31162301337974679</v>
      </c>
      <c r="I81" s="1364">
        <f t="shared" si="118"/>
        <v>0.34576859922933328</v>
      </c>
      <c r="J81" s="1364">
        <f t="shared" si="118"/>
        <v>0.38999767732971402</v>
      </c>
      <c r="K81" s="1364">
        <f t="shared" ref="K81:V81" si="119">K79/K30</f>
        <v>0.4411532423031192</v>
      </c>
      <c r="L81" s="1364">
        <f t="shared" si="119"/>
        <v>0.4613205091274995</v>
      </c>
      <c r="M81" s="1364">
        <f t="shared" si="119"/>
        <v>0.43430816454575916</v>
      </c>
      <c r="N81" s="1364">
        <f>N79/N30</f>
        <v>0.45946695291506767</v>
      </c>
      <c r="O81" s="2711">
        <f>O79/O30</f>
        <v>0.43430816454575916</v>
      </c>
      <c r="P81" s="2711">
        <f>P79/P30</f>
        <v>0.45946695291506767</v>
      </c>
      <c r="Q81" s="1364">
        <f>Q79/Q30</f>
        <v>0.43138117053346459</v>
      </c>
      <c r="R81" s="1364">
        <f t="shared" si="119"/>
        <v>0.45631614694764822</v>
      </c>
      <c r="S81" s="2711"/>
      <c r="T81" s="1364">
        <f>T79/T30</f>
        <v>0.41886200783563921</v>
      </c>
      <c r="U81" s="1364">
        <f t="shared" si="119"/>
        <v>0.46521645730704314</v>
      </c>
      <c r="V81" s="1364">
        <f t="shared" si="119"/>
        <v>0.46833585008900208</v>
      </c>
      <c r="W81" s="1364">
        <f t="shared" ref="W81:AB81" si="120">W79/W30</f>
        <v>0.47075577018922843</v>
      </c>
      <c r="X81" s="1364">
        <f t="shared" si="120"/>
        <v>0.47298234894687358</v>
      </c>
      <c r="Y81" s="1364">
        <f t="shared" si="120"/>
        <v>0.47422439032108649</v>
      </c>
      <c r="Z81" s="1364">
        <f t="shared" si="120"/>
        <v>0.47436241832322579</v>
      </c>
      <c r="AA81" s="1364">
        <f t="shared" si="120"/>
        <v>0.47288297558009812</v>
      </c>
      <c r="AB81" s="1364">
        <f t="shared" si="120"/>
        <v>0.47123969397404647</v>
      </c>
      <c r="AC81" s="1364">
        <f>AC79/AC30</f>
        <v>0.46936995849686208</v>
      </c>
      <c r="AD81" s="1364">
        <f>AD79/AD30</f>
        <v>0.46723363608538027</v>
      </c>
      <c r="AE81" s="1364">
        <f>AE79/AE30</f>
        <v>0.46483056562034847</v>
      </c>
      <c r="AF81" s="105"/>
      <c r="AG81" s="1104"/>
      <c r="AH81" s="1104"/>
      <c r="AI81" s="1104"/>
      <c r="AJ81" s="1104"/>
      <c r="AK81" s="189"/>
      <c r="AL81" s="1294" t="str">
        <f t="shared" si="112"/>
        <v xml:space="preserve">% Margin </v>
      </c>
      <c r="AM81" s="1104">
        <f>AM79/AM30</f>
        <v>0.2857142857142857</v>
      </c>
      <c r="AN81" s="1104">
        <f>AN79/AN30</f>
        <v>0.29166666666666669</v>
      </c>
      <c r="AO81" s="1104">
        <f>AO79/AO30</f>
        <v>0.36</v>
      </c>
      <c r="AP81" s="1104">
        <f>AP79/AP30</f>
        <v>0.27636363636363637</v>
      </c>
      <c r="AQ81" s="1287"/>
      <c r="AR81" s="1104">
        <f>AR79/AR30</f>
        <v>0.28799999999999998</v>
      </c>
      <c r="AS81" s="1104">
        <f>AS79/AS30</f>
        <v>0.27439024390243905</v>
      </c>
      <c r="AT81" s="1104">
        <f>AT79/AT30</f>
        <v>0.300343951602003</v>
      </c>
      <c r="AU81" s="1104">
        <f>AU79/AU30</f>
        <v>0.32461191901525749</v>
      </c>
      <c r="AV81" s="1287"/>
      <c r="AW81" s="1104">
        <f ca="1">AW79/AW30</f>
        <v>0.2742857142857143</v>
      </c>
      <c r="AX81" s="1104">
        <f ca="1">AX79/AX30</f>
        <v>0.27947841133816742</v>
      </c>
      <c r="AY81" s="1104">
        <f ca="1">AY79/AY30</f>
        <v>0.30604735519124732</v>
      </c>
      <c r="AZ81" s="1104">
        <f ca="1">AZ79/AZ30</f>
        <v>0.31374069422648604</v>
      </c>
      <c r="BA81" s="1287"/>
      <c r="BB81" s="1104">
        <f ca="1">BB79/BB30</f>
        <v>0.28368137759637185</v>
      </c>
      <c r="BC81" s="1104">
        <f ca="1">BC79/BC30</f>
        <v>0.29022482761507146</v>
      </c>
      <c r="BD81" s="1104">
        <f ca="1">BD79/BD30</f>
        <v>0.3152365796259225</v>
      </c>
      <c r="BE81" s="1104">
        <f ca="1">BE79/BE30</f>
        <v>0.30096727026520226</v>
      </c>
      <c r="BF81" s="1287"/>
      <c r="BG81" s="1104">
        <f>BG79/BG30</f>
        <v>0.2690422575274875</v>
      </c>
      <c r="BH81" s="1104">
        <f>BH79/BH30</f>
        <v>0.31473125242467193</v>
      </c>
      <c r="BI81" s="1104">
        <f>BI79/BI30</f>
        <v>0.33143708833637031</v>
      </c>
      <c r="BJ81" s="1104">
        <f>BJ79/BJ30</f>
        <v>0.33177525480845288</v>
      </c>
      <c r="BK81" s="1287"/>
      <c r="BL81" s="1104">
        <f>BL79/BL30</f>
        <v>0.24206315049148389</v>
      </c>
      <c r="BM81" s="1104">
        <f>BM79/BM30</f>
        <v>0.29542018282677979</v>
      </c>
      <c r="BN81" s="1104">
        <f>BN79/BN30</f>
        <v>0.39318766444878189</v>
      </c>
      <c r="BO81" s="1104">
        <f>BO79/BO30</f>
        <v>0.45087662727525968</v>
      </c>
      <c r="BP81" s="1287"/>
      <c r="BQ81" s="1104">
        <f>BQ79/BQ30</f>
        <v>0.27041764313153027</v>
      </c>
      <c r="BR81" s="1104">
        <f>BR79/BR30</f>
        <v>0.35208288281690203</v>
      </c>
      <c r="BS81" s="1104">
        <f>BS79/BS30</f>
        <v>0.47047693318908335</v>
      </c>
      <c r="BT81" s="1104">
        <f>BT79/BT30</f>
        <v>0.46757055998877023</v>
      </c>
      <c r="BU81" s="186"/>
      <c r="BV81" s="1104">
        <f>BV79/BV30</f>
        <v>0.39071079608197007</v>
      </c>
      <c r="BW81" s="1104">
        <f>BW79/BW30</f>
        <v>0.43031941149287084</v>
      </c>
      <c r="BX81" s="1104">
        <f>BX79/BX30</f>
        <v>0.49182586236444054</v>
      </c>
      <c r="BY81" s="1104">
        <f>BY79/BY30</f>
        <v>0.44895921900254537</v>
      </c>
      <c r="BZ81" s="1364"/>
      <c r="CA81" s="1364">
        <f>CA79/CA30</f>
        <v>0.46611010749070469</v>
      </c>
      <c r="CB81" s="1364">
        <f t="shared" ref="CB81:CI81" si="121">CB79/CB30</f>
        <v>0.42722147271882271</v>
      </c>
      <c r="CC81" s="1364">
        <f t="shared" si="121"/>
        <v>0.52929392104433748</v>
      </c>
      <c r="CD81" s="1364">
        <f t="shared" si="121"/>
        <v>0.42337874798086128</v>
      </c>
      <c r="CE81" s="1364"/>
      <c r="CF81" s="1364">
        <f t="shared" si="121"/>
        <v>0.4871326579562994</v>
      </c>
      <c r="CG81" s="1364">
        <f t="shared" si="121"/>
        <v>0.397491481668588</v>
      </c>
      <c r="CH81" s="1364">
        <f t="shared" si="121"/>
        <v>0.43839845969597646</v>
      </c>
      <c r="CI81" s="1364">
        <f t="shared" si="121"/>
        <v>0.41616770459841373</v>
      </c>
      <c r="CJ81" s="1640"/>
      <c r="CK81" s="1364">
        <f>CK79/CK30</f>
        <v>0.48522620611529388</v>
      </c>
      <c r="CL81" s="1364">
        <f>CL79/CL30</f>
        <v>0.42324939064373834</v>
      </c>
      <c r="CM81" s="1364">
        <f>CM79/CM30</f>
        <v>0.43564652704455842</v>
      </c>
      <c r="CN81" s="1364">
        <f>CN79/CN30</f>
        <v>0.49942230213423366</v>
      </c>
      <c r="CO81" s="1364"/>
      <c r="CP81" s="1364">
        <f>CP79/CP30</f>
        <v>0.47965990476869469</v>
      </c>
      <c r="CQ81" s="1364">
        <f>CQ79/CQ30</f>
        <v>0.36296611440174004</v>
      </c>
      <c r="CR81" s="1364">
        <f>CR79/CR30</f>
        <v>0.48027851188278331</v>
      </c>
      <c r="CS81" s="1364">
        <f>CS79/CS30</f>
        <v>0.41483143896614721</v>
      </c>
      <c r="CT81" s="1364"/>
      <c r="CU81" s="1364">
        <f>CU79/CU30</f>
        <v>0.44677355927825996</v>
      </c>
      <c r="CV81" s="1364">
        <f>CV79/CV30</f>
        <v>0.43290153349156518</v>
      </c>
      <c r="CW81" s="1364">
        <f>CW79/CW30</f>
        <v>0.49030198056889834</v>
      </c>
      <c r="CX81" s="1364">
        <f>CX79/CX30</f>
        <v>0.4504323719813132</v>
      </c>
      <c r="CY81" s="1640"/>
      <c r="CZ81" s="1364">
        <f>CZ79/CZ30</f>
        <v>0.47070644202724371</v>
      </c>
      <c r="DA81" s="2827">
        <f>DA79/DA30</f>
        <v>0.45539744504189761</v>
      </c>
      <c r="DB81" s="2827">
        <f>DB79/DB30</f>
        <v>0.35208518942988554</v>
      </c>
      <c r="DC81" s="2788">
        <v>0.435</v>
      </c>
      <c r="DD81" s="2835"/>
      <c r="DE81" s="2788">
        <v>0.46500000000000002</v>
      </c>
      <c r="DF81" s="2788">
        <v>0.46200000000000002</v>
      </c>
      <c r="DG81" s="2788">
        <v>0.46700000000000003</v>
      </c>
      <c r="DH81" s="2788">
        <v>0.46700000000000003</v>
      </c>
      <c r="DI81" s="2835"/>
      <c r="DJ81" s="1640"/>
      <c r="DK81" s="1308"/>
      <c r="DL81" s="186"/>
      <c r="DM81" s="186"/>
      <c r="DN81" s="186"/>
      <c r="DO81" s="186"/>
      <c r="DP81" s="186"/>
      <c r="DQ81" s="186"/>
      <c r="DR81" s="186"/>
      <c r="DS81" s="186"/>
      <c r="DT81" s="186"/>
      <c r="DU81" s="1308"/>
    </row>
    <row r="82" spans="1:125" hidden="1" outlineLevel="1">
      <c r="A82" s="1826"/>
      <c r="B82" s="1110"/>
      <c r="C82" s="1110"/>
      <c r="D82" s="1110"/>
      <c r="E82" s="1110"/>
      <c r="F82" s="1110"/>
      <c r="G82" s="1110"/>
      <c r="H82" s="1110"/>
      <c r="I82" s="1110"/>
      <c r="J82" s="1110"/>
      <c r="K82" s="1110"/>
      <c r="L82" s="1110"/>
      <c r="M82" s="1110"/>
      <c r="N82" s="1110"/>
      <c r="O82" s="2705"/>
      <c r="P82" s="2705"/>
      <c r="Q82" s="1110"/>
      <c r="R82" s="1737"/>
      <c r="S82" s="2705"/>
      <c r="T82" s="1737"/>
      <c r="U82" s="1737"/>
      <c r="V82" s="1737"/>
      <c r="W82" s="1737"/>
      <c r="X82" s="1737"/>
      <c r="Y82" s="1737"/>
      <c r="Z82" s="1737"/>
      <c r="AA82" s="1737"/>
      <c r="AB82" s="1737"/>
      <c r="AC82" s="1737"/>
      <c r="AD82" s="39"/>
      <c r="AE82" s="39"/>
      <c r="AF82" s="105"/>
      <c r="AG82" s="39"/>
      <c r="AH82" s="39"/>
      <c r="AI82" s="39"/>
      <c r="AJ82" s="39"/>
      <c r="AK82" s="1109"/>
      <c r="AL82" s="1826"/>
      <c r="AM82" s="1110"/>
      <c r="AN82" s="1110"/>
      <c r="AO82" s="1110"/>
      <c r="AP82" s="1110"/>
      <c r="AQ82" s="1741"/>
      <c r="AR82" s="1110"/>
      <c r="AS82" s="1110"/>
      <c r="AT82" s="1110"/>
      <c r="AU82" s="1110"/>
      <c r="AV82" s="1741"/>
      <c r="AW82" s="1110"/>
      <c r="AX82" s="1110"/>
      <c r="AY82" s="1110"/>
      <c r="AZ82" s="1110"/>
      <c r="BA82" s="1741"/>
      <c r="BB82" s="1110"/>
      <c r="BC82" s="1110"/>
      <c r="BD82" s="1110"/>
      <c r="BE82" s="1110"/>
      <c r="BF82" s="1741"/>
      <c r="BG82" s="1110"/>
      <c r="BH82" s="1110"/>
      <c r="BI82" s="1110"/>
      <c r="BJ82" s="1110"/>
      <c r="BK82" s="1741"/>
      <c r="BL82" s="1110"/>
      <c r="BM82" s="1110"/>
      <c r="BN82" s="1110"/>
      <c r="BO82" s="1110"/>
      <c r="BP82" s="1741"/>
      <c r="BQ82" s="1108"/>
      <c r="BR82" s="1108"/>
      <c r="BS82" s="1108"/>
      <c r="BT82" s="1108"/>
      <c r="BU82" s="1108"/>
      <c r="BV82" s="1108"/>
      <c r="BW82" s="1108"/>
      <c r="BX82" s="1108"/>
      <c r="BY82" s="1108"/>
      <c r="BZ82" s="1108"/>
      <c r="CA82" s="1108"/>
      <c r="CB82" s="1108"/>
      <c r="CC82" s="1108"/>
      <c r="CD82" s="1108"/>
      <c r="CE82" s="1108"/>
      <c r="CF82" s="1108"/>
      <c r="CG82" s="1108"/>
      <c r="CH82" s="1108"/>
      <c r="CI82" s="1108"/>
      <c r="CJ82" s="1108"/>
      <c r="CK82" s="1108"/>
      <c r="CL82" s="1108"/>
      <c r="CM82" s="1108"/>
      <c r="CN82" s="1108"/>
      <c r="CO82" s="1108"/>
      <c r="CP82" s="1108"/>
      <c r="CQ82" s="1108"/>
      <c r="CR82" s="1108"/>
      <c r="CS82" s="1108"/>
      <c r="CT82" s="1108"/>
      <c r="CU82" s="1108"/>
      <c r="CV82" s="1108"/>
      <c r="CW82" s="1108"/>
      <c r="CX82" s="1108"/>
      <c r="CY82" s="1108"/>
      <c r="CZ82" s="1108"/>
      <c r="DA82" s="2862"/>
      <c r="DB82" s="2862"/>
      <c r="DC82" s="2862"/>
      <c r="DD82" s="2835"/>
      <c r="DE82" s="2835"/>
      <c r="DF82" s="2835"/>
      <c r="DG82" s="2835"/>
      <c r="DH82" s="2835"/>
      <c r="DI82" s="2835"/>
      <c r="DJ82" s="1699"/>
      <c r="DK82" s="11"/>
      <c r="DL82" s="186"/>
      <c r="DM82" s="186"/>
      <c r="DN82" s="186"/>
      <c r="DO82" s="186"/>
      <c r="DP82" s="186"/>
      <c r="DQ82" s="186"/>
      <c r="DR82" s="186"/>
      <c r="DS82" s="186"/>
      <c r="DT82" s="186"/>
      <c r="DU82" s="11"/>
    </row>
    <row r="83" spans="1:125" ht="11.25" hidden="1" customHeight="1" outlineLevel="1">
      <c r="A83" s="1826" t="s">
        <v>711</v>
      </c>
      <c r="B83" s="1105">
        <f>'Segment Detail'!Y146</f>
        <v>0</v>
      </c>
      <c r="C83" s="1105">
        <f>'Segment Detail'!Z146</f>
        <v>0</v>
      </c>
      <c r="D83" s="1105">
        <f>'Segment Detail'!AA146</f>
        <v>0</v>
      </c>
      <c r="E83" s="1105">
        <f>'Segment Detail'!AB146</f>
        <v>0</v>
      </c>
      <c r="F83" s="1636">
        <f>SUM(AW83:AZ83)</f>
        <v>3.8945340000000002</v>
      </c>
      <c r="G83" s="1636">
        <f>SUM(BB83:BE83)</f>
        <v>10.374071211</v>
      </c>
      <c r="H83" s="1636">
        <f>SUM(BG83:BJ83)</f>
        <v>18.44806091625</v>
      </c>
      <c r="I83" s="1636">
        <f>SUM(BL83:BO83)</f>
        <v>25.061459585210997</v>
      </c>
      <c r="J83" s="1636">
        <f>SUM(BQ83:BT83)</f>
        <v>32.921930506331776</v>
      </c>
      <c r="K83" s="1636">
        <f>SUM(BV83:BY83)</f>
        <v>42.169267893084793</v>
      </c>
      <c r="L83" s="1636">
        <f>SUM(CA83:CD83)</f>
        <v>51.608534995841467</v>
      </c>
      <c r="M83" s="1636">
        <f>SUM(CF83:CI83)</f>
        <v>58.24864597442744</v>
      </c>
      <c r="N83" s="1636">
        <f>SUM(CK83:CN83)</f>
        <v>63.28876452199178</v>
      </c>
      <c r="O83" s="2710">
        <f>M83</f>
        <v>58.24864597442744</v>
      </c>
      <c r="P83" s="2710">
        <f>N83</f>
        <v>63.28876452199178</v>
      </c>
      <c r="Q83" s="1636">
        <f>SUM(CP83:CS83)</f>
        <v>65.595983532004126</v>
      </c>
      <c r="R83" s="1636">
        <f>SUM(CU83:CX83)</f>
        <v>67.708783398005664</v>
      </c>
      <c r="S83" s="2714">
        <f>R83</f>
        <v>67.708783398005664</v>
      </c>
      <c r="T83" s="1636">
        <f>SUM(CZ83:DC83)</f>
        <v>70.091896507168002</v>
      </c>
      <c r="U83" s="2890">
        <f>SUM(DE83:DH83)</f>
        <v>72.557324611626527</v>
      </c>
      <c r="V83" s="1105">
        <f t="shared" ref="V83:AC83" si="122">V33*V85</f>
        <v>75.107839930030252</v>
      </c>
      <c r="W83" s="1105">
        <f t="shared" si="122"/>
        <v>77.746304754527685</v>
      </c>
      <c r="X83" s="1105">
        <f t="shared" si="122"/>
        <v>80.475674221096853</v>
      </c>
      <c r="Y83" s="1105">
        <f t="shared" si="122"/>
        <v>83.298999157384316</v>
      </c>
      <c r="Z83" s="1105">
        <f t="shared" si="122"/>
        <v>86.219429009821027</v>
      </c>
      <c r="AA83" s="1105">
        <f t="shared" si="122"/>
        <v>89.240214851800843</v>
      </c>
      <c r="AB83" s="1105">
        <f t="shared" si="122"/>
        <v>92.364712474723333</v>
      </c>
      <c r="AC83" s="1105">
        <f t="shared" si="122"/>
        <v>95.596385563716765</v>
      </c>
      <c r="AD83" s="1105">
        <f>AD33*AD85</f>
        <v>98.938808959870087</v>
      </c>
      <c r="AE83" s="1105">
        <f>AE33*AE85</f>
        <v>102.39567201081374</v>
      </c>
      <c r="AF83" s="105"/>
      <c r="AG83" s="105"/>
      <c r="AH83" s="105"/>
      <c r="AI83" s="105"/>
      <c r="AJ83" s="105"/>
      <c r="AK83" s="1109"/>
      <c r="AL83" s="1826" t="str">
        <f t="shared" si="112"/>
        <v xml:space="preserve">CSTV </v>
      </c>
      <c r="AM83" s="1105">
        <f>'Segment Detail'!CO146</f>
        <v>0</v>
      </c>
      <c r="AN83" s="1105">
        <f>'Segment Detail'!CP146</f>
        <v>0</v>
      </c>
      <c r="AO83" s="1105">
        <f>'Segment Detail'!CQ146</f>
        <v>0</v>
      </c>
      <c r="AP83" s="1105">
        <f>'Segment Detail'!CR146</f>
        <v>0</v>
      </c>
      <c r="AQ83" s="1741">
        <f>D83-SUM(AM83:AP83)</f>
        <v>0</v>
      </c>
      <c r="AR83" s="1105">
        <f>'Segment Detail'!CT146</f>
        <v>0</v>
      </c>
      <c r="AS83" s="1105">
        <f>'Segment Detail'!CU146</f>
        <v>0</v>
      </c>
      <c r="AT83" s="1105">
        <f>'Segment Detail'!CV146</f>
        <v>0</v>
      </c>
      <c r="AU83" s="1105">
        <f>'Segment Detail'!CW146</f>
        <v>0</v>
      </c>
      <c r="AV83" s="1741">
        <f>E83-SUM(AR83:AU83)</f>
        <v>0</v>
      </c>
      <c r="AW83" s="1636">
        <f>AW33*AW85</f>
        <v>0</v>
      </c>
      <c r="AX83" s="1636">
        <f>AX33*AX85</f>
        <v>1.26</v>
      </c>
      <c r="AY83" s="1636">
        <f>AY33*AY85</f>
        <v>1.2978000000000001</v>
      </c>
      <c r="AZ83" s="1636">
        <f>AZ33*AZ85</f>
        <v>1.3367340000000001</v>
      </c>
      <c r="BA83" s="1741">
        <f>F83-SUM(AW83:AZ83)</f>
        <v>0</v>
      </c>
      <c r="BB83" s="1636">
        <f>BB33*BB85</f>
        <v>2.329258995</v>
      </c>
      <c r="BC83" s="1636">
        <f>BC33*BC85</f>
        <v>2.5918199999999998</v>
      </c>
      <c r="BD83" s="1636">
        <f>BD33*BD85</f>
        <v>2.6806059000000002</v>
      </c>
      <c r="BE83" s="1636">
        <f>BE33*BE85</f>
        <v>2.7723863160000004</v>
      </c>
      <c r="BF83" s="1741">
        <f>G83-SUM(BB83:BE83)</f>
        <v>0</v>
      </c>
      <c r="BG83" s="1636">
        <f>BG33*BG85</f>
        <v>4.2132184762499998</v>
      </c>
      <c r="BH83" s="1636">
        <f>BH33*BH85</f>
        <v>4.6119149999999998</v>
      </c>
      <c r="BI83" s="1636">
        <f>BI33*BI85</f>
        <v>4.7304810000000002</v>
      </c>
      <c r="BJ83" s="1636">
        <f>BJ33*BJ85</f>
        <v>4.8924464399999996</v>
      </c>
      <c r="BK83" s="1741">
        <f>H83-SUM(BG83:BJ83)</f>
        <v>0</v>
      </c>
      <c r="BL83" s="1636">
        <f>BL33*BL85</f>
        <v>5.7670534502909989</v>
      </c>
      <c r="BM83" s="1636">
        <f>BM33*BM85</f>
        <v>6.2057928239999995</v>
      </c>
      <c r="BN83" s="1636">
        <f>BN33*BN85</f>
        <v>6.4202088131999995</v>
      </c>
      <c r="BO83" s="1636">
        <f>BO33*BO85</f>
        <v>6.6684044977199992</v>
      </c>
      <c r="BP83" s="1741">
        <f>I83-SUM(BL83:BO83)</f>
        <v>0</v>
      </c>
      <c r="BQ83" s="1636">
        <f>BQ33*BQ85</f>
        <v>7.6781356453701868</v>
      </c>
      <c r="BR83" s="1636">
        <f>BR33*BR85</f>
        <v>8.1916465276799979</v>
      </c>
      <c r="BS83" s="1636">
        <f>BS33*BS85</f>
        <v>8.4016180848599973</v>
      </c>
      <c r="BT83" s="1636">
        <f>BT33*BT85</f>
        <v>8.6505302484215978</v>
      </c>
      <c r="BU83" s="1741">
        <f>J83-SUM(BQ83:BT83)</f>
        <v>0</v>
      </c>
      <c r="BV83" s="1636">
        <f>BV33*BV85</f>
        <v>9.8140533794458946</v>
      </c>
      <c r="BW83" s="1636">
        <f>BW33*BW85</f>
        <v>10.562259386447996</v>
      </c>
      <c r="BX83" s="1636">
        <f>BX33*BX85</f>
        <v>10.832995439720996</v>
      </c>
      <c r="BY83" s="1636">
        <f>BY33*BY85</f>
        <v>10.959959687469908</v>
      </c>
      <c r="BZ83" s="1741">
        <f>K83-SUM(BV83:BY83)</f>
        <v>0</v>
      </c>
      <c r="CA83" s="1636">
        <f>CA33*CA85</f>
        <v>12.288786299181844</v>
      </c>
      <c r="CB83" s="1636">
        <f>CB33*CB85</f>
        <v>12.874537792670395</v>
      </c>
      <c r="CC83" s="1636">
        <f>CC33*CC85</f>
        <v>12.964460488401237</v>
      </c>
      <c r="CD83" s="1636">
        <f>CD33*CD85</f>
        <v>13.480750415587989</v>
      </c>
      <c r="CE83" s="1741">
        <f>L83-SUM(CA83:CD83)</f>
        <v>0</v>
      </c>
      <c r="CF83" s="1636">
        <f>CF33*CF85</f>
        <v>13.919298432536705</v>
      </c>
      <c r="CG83" s="1636">
        <f>CG33*CG85</f>
        <v>14.542261456496552</v>
      </c>
      <c r="CH83" s="1636">
        <f>CH33*CH85</f>
        <v>14.616638684788954</v>
      </c>
      <c r="CI83" s="1636">
        <f>CI33*CI85</f>
        <v>15.170447400605225</v>
      </c>
      <c r="CJ83" s="1741">
        <f>M83-SUM(CF83:CI83)</f>
        <v>0</v>
      </c>
      <c r="CK83" s="1636">
        <f>CK33*CK85</f>
        <v>15.240013260554141</v>
      </c>
      <c r="CL83" s="1636">
        <f>CL33*CL85</f>
        <v>15.847683066312289</v>
      </c>
      <c r="CM83" s="1636">
        <f>CM33*CM85</f>
        <v>15.824041024518497</v>
      </c>
      <c r="CN83" s="1636">
        <f>CN33*CN85</f>
        <v>16.377027170606848</v>
      </c>
      <c r="CO83" s="1741">
        <f>$N83-SUM(CK83:CN83)</f>
        <v>0</v>
      </c>
      <c r="CP83" s="1636">
        <f>CP33*CP85</f>
        <v>15.741548242401468</v>
      </c>
      <c r="CQ83" s="1636">
        <f>CQ33*CQ85</f>
        <v>16.384955539721791</v>
      </c>
      <c r="CR83" s="1636">
        <f>CR33*CR85</f>
        <v>16.423376578322134</v>
      </c>
      <c r="CS83" s="1636">
        <f>CS33*CS85</f>
        <v>17.04610317155873</v>
      </c>
      <c r="CT83" s="1741">
        <f>$Q83-SUM(CP83:CS83)</f>
        <v>0</v>
      </c>
      <c r="CU83" s="1636">
        <f>CU33*CU85</f>
        <v>16.261703749541692</v>
      </c>
      <c r="CV83" s="1636">
        <f>CV33*CV85</f>
        <v>16.877779007946284</v>
      </c>
      <c r="CW83" s="1636">
        <f>CW33*CW85</f>
        <v>16.963055497463337</v>
      </c>
      <c r="CX83" s="1636">
        <f>CX33*CX85</f>
        <v>17.606245143054345</v>
      </c>
      <c r="CY83" s="1741">
        <f>S83-SUM(CU83:CX83)</f>
        <v>0</v>
      </c>
      <c r="CZ83" s="1636">
        <f>CZ33*CZ85</f>
        <v>16.833874807395937</v>
      </c>
      <c r="DA83" s="2970">
        <f>DA33*DA85</f>
        <v>17.471626787855506</v>
      </c>
      <c r="DB83" s="2970">
        <f>DB33*DB85</f>
        <v>17.560280124194307</v>
      </c>
      <c r="DC83" s="2970">
        <f>DC33*DC85</f>
        <v>18.226114787722253</v>
      </c>
      <c r="DD83" s="2835">
        <f>T83-SUM(CZ83:DC83)</f>
        <v>0</v>
      </c>
      <c r="DE83" s="2970">
        <f>DE33*DE85</f>
        <v>17.425800823879253</v>
      </c>
      <c r="DF83" s="2970">
        <f>DF33*DF85</f>
        <v>18.085977943744751</v>
      </c>
      <c r="DG83" s="2970">
        <f>DG33*DG85</f>
        <v>18.178141832267812</v>
      </c>
      <c r="DH83" s="2970">
        <f>DH33*DH85</f>
        <v>18.867404011734703</v>
      </c>
      <c r="DI83" s="2835">
        <f t="shared" si="73"/>
        <v>0</v>
      </c>
      <c r="DJ83" s="1741"/>
      <c r="DK83" s="1105" t="s">
        <v>1237</v>
      </c>
      <c r="DL83" s="1477"/>
      <c r="DM83" s="1477"/>
      <c r="DN83" s="186"/>
      <c r="DO83" s="186"/>
      <c r="DP83" s="186"/>
      <c r="DQ83" s="186"/>
      <c r="DR83" s="186"/>
      <c r="DS83" s="186"/>
      <c r="DT83" s="186"/>
    </row>
    <row r="84" spans="1:125" ht="11.25" hidden="1" customHeight="1" outlineLevel="1">
      <c r="A84" s="1827" t="s">
        <v>344</v>
      </c>
      <c r="B84" s="1473" t="s">
        <v>1455</v>
      </c>
      <c r="C84" s="1473" t="s">
        <v>1455</v>
      </c>
      <c r="D84" s="1473" t="s">
        <v>1455</v>
      </c>
      <c r="E84" s="1473" t="s">
        <v>1455</v>
      </c>
      <c r="F84" s="1473" t="s">
        <v>1455</v>
      </c>
      <c r="G84" s="1786" t="s">
        <v>348</v>
      </c>
      <c r="H84" s="1786" t="s">
        <v>348</v>
      </c>
      <c r="I84" s="1364">
        <f>I83/H83-1</f>
        <v>0.35848746917002949</v>
      </c>
      <c r="J84" s="1364">
        <f>J83/I83-1</f>
        <v>0.31364777037005931</v>
      </c>
      <c r="K84" s="1786" t="s">
        <v>348</v>
      </c>
      <c r="L84" s="1786">
        <f>+L83/K83-1</f>
        <v>0.22384232817816097</v>
      </c>
      <c r="M84" s="1786">
        <f t="shared" ref="M84:Y84" si="123">+M83/L83-1</f>
        <v>0.12866303953640656</v>
      </c>
      <c r="N84" s="1786">
        <f t="shared" si="123"/>
        <v>8.6527651643217185E-2</v>
      </c>
      <c r="O84" s="2724"/>
      <c r="P84" s="2724">
        <f t="shared" si="123"/>
        <v>8.6527651643217185E-2</v>
      </c>
      <c r="Q84" s="1786">
        <f t="shared" si="123"/>
        <v>3.6455428186003225E-2</v>
      </c>
      <c r="R84" s="1786">
        <f t="shared" si="123"/>
        <v>3.2209287097139327E-2</v>
      </c>
      <c r="S84" s="2724"/>
      <c r="T84" s="1786">
        <f>+T83/R83-1</f>
        <v>3.5196513503335636E-2</v>
      </c>
      <c r="U84" s="1786">
        <f t="shared" si="123"/>
        <v>3.5174224515474473E-2</v>
      </c>
      <c r="V84" s="1786">
        <f t="shared" si="123"/>
        <v>3.5151727713993441E-2</v>
      </c>
      <c r="W84" s="1786">
        <f t="shared" si="123"/>
        <v>3.5129020178924053E-2</v>
      </c>
      <c r="X84" s="1786">
        <f t="shared" si="123"/>
        <v>3.5106098935335117E-2</v>
      </c>
      <c r="Y84" s="1786">
        <f t="shared" si="123"/>
        <v>3.5082960952035336E-2</v>
      </c>
      <c r="Z84" s="1786">
        <f t="shared" ref="Z84:AE84" si="124">+Z83/Y83-1</f>
        <v>3.5059603140235485E-2</v>
      </c>
      <c r="AA84" s="1786">
        <f t="shared" si="124"/>
        <v>3.5036022352174623E-2</v>
      </c>
      <c r="AB84" s="1786">
        <f t="shared" si="124"/>
        <v>3.5012215379706113E-2</v>
      </c>
      <c r="AC84" s="1786">
        <f t="shared" si="124"/>
        <v>3.4988178952842119E-2</v>
      </c>
      <c r="AD84" s="1786">
        <f t="shared" si="124"/>
        <v>3.4963909738256138E-2</v>
      </c>
      <c r="AE84" s="1786">
        <f t="shared" si="124"/>
        <v>3.4939404337743341E-2</v>
      </c>
      <c r="AF84" s="1305"/>
      <c r="AG84" s="1305"/>
      <c r="AH84" s="1305"/>
      <c r="AI84" s="1305"/>
      <c r="AJ84" s="1305"/>
      <c r="AK84" s="1477"/>
      <c r="AL84" s="1827" t="str">
        <f t="shared" si="112"/>
        <v xml:space="preserve">% Change </v>
      </c>
      <c r="AM84" s="1770" t="s">
        <v>1455</v>
      </c>
      <c r="AN84" s="1770" t="s">
        <v>1455</v>
      </c>
      <c r="AO84" s="1770" t="s">
        <v>1455</v>
      </c>
      <c r="AP84" s="1770" t="s">
        <v>1455</v>
      </c>
      <c r="AQ84" s="1811"/>
      <c r="AR84" s="1770" t="s">
        <v>1455</v>
      </c>
      <c r="AS84" s="1770" t="s">
        <v>1455</v>
      </c>
      <c r="AT84" s="1770" t="s">
        <v>1455</v>
      </c>
      <c r="AU84" s="1770" t="s">
        <v>1455</v>
      </c>
      <c r="AV84" s="1811"/>
      <c r="AW84" s="2297"/>
      <c r="AX84" s="2297"/>
      <c r="AY84" s="2297"/>
      <c r="AZ84" s="2297"/>
      <c r="BA84" s="1811"/>
      <c r="BB84" s="2297"/>
      <c r="BC84" s="2297">
        <f>BC83/AX83-1</f>
        <v>1.0569999999999999</v>
      </c>
      <c r="BD84" s="2297">
        <f>BD83/AY83-1</f>
        <v>1.0655000000000001</v>
      </c>
      <c r="BE84" s="2297">
        <f>BE83/AZ83-1</f>
        <v>1.0740000000000003</v>
      </c>
      <c r="BF84" s="1811"/>
      <c r="BG84" s="2297">
        <f>BG83/BB83-1</f>
        <v>0.80882352941176472</v>
      </c>
      <c r="BH84" s="2297">
        <f>BH83/BC83-1</f>
        <v>0.77941176470588247</v>
      </c>
      <c r="BI84" s="2297">
        <f>BI83/BD83-1</f>
        <v>0.76470588235294112</v>
      </c>
      <c r="BJ84" s="2297">
        <f>BJ83/BE83-1</f>
        <v>0.76470588235294068</v>
      </c>
      <c r="BK84" s="1811"/>
      <c r="BL84" s="2297">
        <f>BL83/BG83-1</f>
        <v>0.36879999999999979</v>
      </c>
      <c r="BM84" s="2297">
        <f>BM83/BH83-1</f>
        <v>0.34559999999999991</v>
      </c>
      <c r="BN84" s="2297">
        <f>BN83/BI83-1</f>
        <v>0.35719999999999974</v>
      </c>
      <c r="BO84" s="2297">
        <f>BO83/BJ83-1</f>
        <v>0.36299999999999999</v>
      </c>
      <c r="BP84" s="1811"/>
      <c r="BQ84" s="2297">
        <f>BQ83/BL83-1</f>
        <v>0.33137931034482726</v>
      </c>
      <c r="BR84" s="2297">
        <f>BR83/BM83-1</f>
        <v>0.31999999999999984</v>
      </c>
      <c r="BS84" s="2297">
        <f>BS83/BN83-1</f>
        <v>0.3086206896551722</v>
      </c>
      <c r="BT84" s="2297">
        <f>BT83/BO83-1</f>
        <v>0.29724137931034456</v>
      </c>
      <c r="BU84" s="1477"/>
      <c r="BV84" s="2297">
        <f>BV83/BQ83-1</f>
        <v>0.27818181818181831</v>
      </c>
      <c r="BW84" s="2297">
        <f>BW83/BR83-1</f>
        <v>0.28939393939393931</v>
      </c>
      <c r="BX84" s="2297">
        <f>BX83/BS83-1</f>
        <v>0.28939393939393931</v>
      </c>
      <c r="BY84" s="2297">
        <f>BY83/BT83-1</f>
        <v>0.26696969696969686</v>
      </c>
      <c r="BZ84" s="1477"/>
      <c r="CA84" s="2297">
        <f>CA83/BV83-1</f>
        <v>0.25216216216216192</v>
      </c>
      <c r="CB84" s="2297">
        <f>CB83/BW83-1</f>
        <v>0.2189189189189189</v>
      </c>
      <c r="CC84" s="2297">
        <f>CC83/BX83-1</f>
        <v>0.19675675675675697</v>
      </c>
      <c r="CD84" s="2297">
        <f>CD83/BY83-1</f>
        <v>0.2300000000000002</v>
      </c>
      <c r="CE84" s="1477"/>
      <c r="CF84" s="1364">
        <f>CF83/CA83-1</f>
        <v>0.13268292682926841</v>
      </c>
      <c r="CG84" s="1364">
        <f>CG83/CB83-1</f>
        <v>0.12953658536585366</v>
      </c>
      <c r="CH84" s="1364">
        <f>CH83/CC83-1</f>
        <v>0.1274390243902439</v>
      </c>
      <c r="CI84" s="1364">
        <f>CI83/CD83-1</f>
        <v>0.12534146341463415</v>
      </c>
      <c r="CJ84" s="1477"/>
      <c r="CK84" s="1364">
        <f>CK83/CF83-1</f>
        <v>9.4883720930232673E-2</v>
      </c>
      <c r="CL84" s="1364">
        <f>CL83/CG83-1</f>
        <v>8.9767441860465036E-2</v>
      </c>
      <c r="CM84" s="1364">
        <f>CM83/CH83-1</f>
        <v>8.2604651162790699E-2</v>
      </c>
      <c r="CN84" s="1364">
        <f>CN83/CI83-1</f>
        <v>7.9534883720930205E-2</v>
      </c>
      <c r="CO84" s="1364"/>
      <c r="CP84" s="1364">
        <f>CP83/CK83-1</f>
        <v>3.2909090909090777E-2</v>
      </c>
      <c r="CQ84" s="1364">
        <f>CQ83/CL83-1</f>
        <v>3.3902272727272864E-2</v>
      </c>
      <c r="CR84" s="1364">
        <f>CR83/CM83-1</f>
        <v>3.7874999999999881E-2</v>
      </c>
      <c r="CS84" s="1364">
        <f>CS83/CN83-1</f>
        <v>4.0854545454545477E-2</v>
      </c>
      <c r="CT84" s="1741"/>
      <c r="CU84" s="1364">
        <f>CU83/CP83-1</f>
        <v>3.304347826086973E-2</v>
      </c>
      <c r="CV84" s="1364">
        <f>CV83/CQ83-1</f>
        <v>3.0077803203661491E-2</v>
      </c>
      <c r="CW84" s="1364">
        <f>CW83/CR83-1</f>
        <v>3.2860411899313435E-2</v>
      </c>
      <c r="CX84" s="1364">
        <f>CX83/CS83-1</f>
        <v>3.2860411899313435E-2</v>
      </c>
      <c r="CY84" s="1477"/>
      <c r="CZ84" s="1364">
        <f>CZ83/CU83-1</f>
        <v>3.5185185185185208E-2</v>
      </c>
      <c r="DA84" s="2827">
        <f>DA83/CV83-1</f>
        <v>3.5185185185185208E-2</v>
      </c>
      <c r="DB84" s="2827">
        <f>DB83/CW83-1</f>
        <v>3.5207373271889608E-2</v>
      </c>
      <c r="DC84" s="2827">
        <f>DC83/CX83-1</f>
        <v>3.5207373271889608E-2</v>
      </c>
      <c r="DD84" s="2835"/>
      <c r="DE84" s="2827">
        <f>DE83/CZ83-1</f>
        <v>3.5162790697674362E-2</v>
      </c>
      <c r="DF84" s="2827">
        <f>DF83/DA83-1</f>
        <v>3.5162790697674362E-2</v>
      </c>
      <c r="DG84" s="2827">
        <f>DG83/DB83-1</f>
        <v>3.5185185185185208E-2</v>
      </c>
      <c r="DH84" s="2827">
        <f>DH83/DC83-1</f>
        <v>3.5185185185185208E-2</v>
      </c>
      <c r="DI84" s="2835"/>
      <c r="DJ84" s="1477"/>
      <c r="DK84" s="1364"/>
      <c r="DL84" s="1477"/>
      <c r="DM84" s="1477"/>
      <c r="DN84" s="186"/>
      <c r="DO84" s="186"/>
      <c r="DP84" s="186"/>
      <c r="DQ84" s="186"/>
      <c r="DR84" s="186"/>
      <c r="DS84" s="186"/>
      <c r="DT84" s="186"/>
    </row>
    <row r="85" spans="1:125" ht="11.25" hidden="1" customHeight="1" outlineLevel="1">
      <c r="A85" s="1827" t="s">
        <v>1208</v>
      </c>
      <c r="B85" s="1473" t="s">
        <v>1455</v>
      </c>
      <c r="C85" s="1473" t="s">
        <v>1455</v>
      </c>
      <c r="D85" s="1473" t="s">
        <v>1455</v>
      </c>
      <c r="E85" s="1473" t="s">
        <v>1455</v>
      </c>
      <c r="F85" s="1473" t="s">
        <v>1455</v>
      </c>
      <c r="G85" s="1364">
        <f>G83/G33</f>
        <v>0.17</v>
      </c>
      <c r="H85" s="1364">
        <f>H83/H33</f>
        <v>0.25</v>
      </c>
      <c r="I85" s="1364">
        <f>I83/I33</f>
        <v>0.28999999999999998</v>
      </c>
      <c r="J85" s="1364">
        <f>J83/J33</f>
        <v>0.3299999999999999</v>
      </c>
      <c r="K85" s="1364">
        <f t="shared" ref="K85:R85" si="125">K83/K33</f>
        <v>0.36999999999999988</v>
      </c>
      <c r="L85" s="1364">
        <f t="shared" si="125"/>
        <v>0.40999999999999992</v>
      </c>
      <c r="M85" s="1364">
        <f t="shared" si="125"/>
        <v>0.43</v>
      </c>
      <c r="N85" s="1364">
        <f>N83/N33</f>
        <v>0.43999999999999995</v>
      </c>
      <c r="O85" s="2711">
        <f>O83/O33</f>
        <v>0.43</v>
      </c>
      <c r="P85" s="2711">
        <f>P83/P33</f>
        <v>0.43999999999999995</v>
      </c>
      <c r="Q85" s="1364">
        <f>Q83/Q33</f>
        <v>0.437</v>
      </c>
      <c r="R85" s="1364">
        <f t="shared" si="125"/>
        <v>0.433018808618368</v>
      </c>
      <c r="S85" s="2711"/>
      <c r="T85" s="1364">
        <f>T83/T33</f>
        <v>0.431018808618368</v>
      </c>
      <c r="U85" s="1364">
        <f>U83/U33</f>
        <v>0.429018808618368</v>
      </c>
      <c r="V85" s="2048">
        <f>MAX(U85-0.002, 40%)</f>
        <v>0.427018808618368</v>
      </c>
      <c r="W85" s="2048">
        <f t="shared" ref="W85:AE85" si="126">MAX(V85-0.002, 40%)</f>
        <v>0.42501880861836799</v>
      </c>
      <c r="X85" s="2048">
        <f t="shared" si="126"/>
        <v>0.42301880861836799</v>
      </c>
      <c r="Y85" s="2048">
        <f t="shared" si="126"/>
        <v>0.42101880861836799</v>
      </c>
      <c r="Z85" s="2048">
        <f t="shared" si="126"/>
        <v>0.41901880861836799</v>
      </c>
      <c r="AA85" s="2048">
        <f t="shared" si="126"/>
        <v>0.41701880861836799</v>
      </c>
      <c r="AB85" s="2048">
        <f t="shared" si="126"/>
        <v>0.41501880861836798</v>
      </c>
      <c r="AC85" s="2048">
        <f t="shared" si="126"/>
        <v>0.41301880861836798</v>
      </c>
      <c r="AD85" s="2048">
        <f t="shared" si="126"/>
        <v>0.41101880861836798</v>
      </c>
      <c r="AE85" s="2048">
        <f t="shared" si="126"/>
        <v>0.40901880861836798</v>
      </c>
      <c r="AF85" s="1305"/>
      <c r="AG85" s="1305"/>
      <c r="AH85" s="1305"/>
      <c r="AI85" s="1305"/>
      <c r="AJ85" s="1305"/>
      <c r="AK85" s="1477"/>
      <c r="AL85" s="1827" t="str">
        <f t="shared" si="112"/>
        <v xml:space="preserve">% Margin </v>
      </c>
      <c r="AM85" s="1770" t="s">
        <v>1455</v>
      </c>
      <c r="AN85" s="1770" t="s">
        <v>1455</v>
      </c>
      <c r="AO85" s="1770" t="s">
        <v>1455</v>
      </c>
      <c r="AP85" s="1770" t="s">
        <v>1455</v>
      </c>
      <c r="AQ85" s="1811"/>
      <c r="AR85" s="1770" t="s">
        <v>1455</v>
      </c>
      <c r="AS85" s="1770" t="s">
        <v>1455</v>
      </c>
      <c r="AT85" s="1770" t="s">
        <v>1455</v>
      </c>
      <c r="AU85" s="1770" t="s">
        <v>1455</v>
      </c>
      <c r="AV85" s="1811"/>
      <c r="AW85" s="1641"/>
      <c r="AX85" s="1641">
        <v>0.1</v>
      </c>
      <c r="AY85" s="1641">
        <v>0.1</v>
      </c>
      <c r="AZ85" s="1641">
        <v>0.1</v>
      </c>
      <c r="BA85" s="1811"/>
      <c r="BB85" s="1641">
        <v>0.17</v>
      </c>
      <c r="BC85" s="1641">
        <v>0.17</v>
      </c>
      <c r="BD85" s="1641">
        <v>0.17</v>
      </c>
      <c r="BE85" s="1641">
        <v>0.17</v>
      </c>
      <c r="BF85" s="1811"/>
      <c r="BG85" s="1641">
        <f>BB85+0.08</f>
        <v>0.25</v>
      </c>
      <c r="BH85" s="1641">
        <f>BC85+0.08</f>
        <v>0.25</v>
      </c>
      <c r="BI85" s="1641">
        <f>BD85+0.08</f>
        <v>0.25</v>
      </c>
      <c r="BJ85" s="1641">
        <f>BE85+0.08</f>
        <v>0.25</v>
      </c>
      <c r="BK85" s="1811"/>
      <c r="BL85" s="1641">
        <f>BG85+0.04</f>
        <v>0.28999999999999998</v>
      </c>
      <c r="BM85" s="1641">
        <f>BH85+0.04</f>
        <v>0.28999999999999998</v>
      </c>
      <c r="BN85" s="1641">
        <f>BI85+0.04</f>
        <v>0.28999999999999998</v>
      </c>
      <c r="BO85" s="1641">
        <f>BJ85+0.04</f>
        <v>0.28999999999999998</v>
      </c>
      <c r="BP85" s="1811"/>
      <c r="BQ85" s="1641">
        <f>BL85+0.04</f>
        <v>0.32999999999999996</v>
      </c>
      <c r="BR85" s="1641">
        <f>BM85+0.04</f>
        <v>0.32999999999999996</v>
      </c>
      <c r="BS85" s="1641">
        <f>BN85+0.04</f>
        <v>0.32999999999999996</v>
      </c>
      <c r="BT85" s="1641">
        <f>BO85+0.04</f>
        <v>0.32999999999999996</v>
      </c>
      <c r="BU85" s="1364"/>
      <c r="BV85" s="1641">
        <f>BQ85+0.04</f>
        <v>0.36999999999999994</v>
      </c>
      <c r="BW85" s="1641">
        <f>BR85+0.04</f>
        <v>0.36999999999999994</v>
      </c>
      <c r="BX85" s="1641">
        <f>BS85+0.04</f>
        <v>0.36999999999999994</v>
      </c>
      <c r="BY85" s="1641">
        <f>BT85+0.04</f>
        <v>0.36999999999999994</v>
      </c>
      <c r="BZ85" s="1477"/>
      <c r="CA85" s="1641">
        <f>BV85+0.04</f>
        <v>0.40999999999999992</v>
      </c>
      <c r="CB85" s="1641">
        <f>BW85+0.04</f>
        <v>0.40999999999999992</v>
      </c>
      <c r="CC85" s="1641">
        <f>BX85+0.04</f>
        <v>0.40999999999999992</v>
      </c>
      <c r="CD85" s="1641">
        <f>BY85+0.04</f>
        <v>0.40999999999999992</v>
      </c>
      <c r="CE85" s="1477"/>
      <c r="CF85" s="1641">
        <f>CA85+0.02</f>
        <v>0.42999999999999994</v>
      </c>
      <c r="CG85" s="1641">
        <f>CB85+0.02</f>
        <v>0.42999999999999994</v>
      </c>
      <c r="CH85" s="1641">
        <f>CC85+0.02</f>
        <v>0.42999999999999994</v>
      </c>
      <c r="CI85" s="1641">
        <f>CD85+0.02</f>
        <v>0.42999999999999994</v>
      </c>
      <c r="CJ85" s="1477"/>
      <c r="CK85" s="1641">
        <f>CF85+0.01</f>
        <v>0.43999999999999995</v>
      </c>
      <c r="CL85" s="1641">
        <f>CG85+0.01</f>
        <v>0.43999999999999995</v>
      </c>
      <c r="CM85" s="1641">
        <f>CH85+0.01</f>
        <v>0.43999999999999995</v>
      </c>
      <c r="CN85" s="1641">
        <f>CI85+0.01</f>
        <v>0.43999999999999995</v>
      </c>
      <c r="CO85" s="1477"/>
      <c r="CP85" s="1641">
        <f>CK85-0.003</f>
        <v>0.43699999999999994</v>
      </c>
      <c r="CQ85" s="1641">
        <f>CL85-0.003</f>
        <v>0.43699999999999994</v>
      </c>
      <c r="CR85" s="1641">
        <f>CM85-0.003</f>
        <v>0.43699999999999994</v>
      </c>
      <c r="CS85" s="1641">
        <f>CN85-0.003</f>
        <v>0.43699999999999994</v>
      </c>
      <c r="CT85" s="1741"/>
      <c r="CU85" s="1641">
        <f>CP85-0.005</f>
        <v>0.43199999999999994</v>
      </c>
      <c r="CV85" s="1641">
        <f>CQ85-0.005</f>
        <v>0.43199999999999994</v>
      </c>
      <c r="CW85" s="1641">
        <f>CR85-0.003</f>
        <v>0.43399999999999994</v>
      </c>
      <c r="CX85" s="1641">
        <f>CS85-0.003</f>
        <v>0.43399999999999994</v>
      </c>
      <c r="CY85" s="1477"/>
      <c r="CZ85" s="1641">
        <f>CU85-0.002</f>
        <v>0.42999999999999994</v>
      </c>
      <c r="DA85" s="2788">
        <f>CV85-0.002</f>
        <v>0.42999999999999994</v>
      </c>
      <c r="DB85" s="2788">
        <f>CW85-0.002</f>
        <v>0.43199999999999994</v>
      </c>
      <c r="DC85" s="2788">
        <f>CX85-0.002</f>
        <v>0.43199999999999994</v>
      </c>
      <c r="DD85" s="2835"/>
      <c r="DE85" s="2788">
        <f>CZ85-0.002</f>
        <v>0.42799999999999994</v>
      </c>
      <c r="DF85" s="2788">
        <f>DA85-0.002</f>
        <v>0.42799999999999994</v>
      </c>
      <c r="DG85" s="2788">
        <f>DB85-0.002</f>
        <v>0.42999999999999994</v>
      </c>
      <c r="DH85" s="2788">
        <f>DC85-0.002</f>
        <v>0.42999999999999994</v>
      </c>
      <c r="DI85" s="2835"/>
      <c r="DJ85" s="1477"/>
      <c r="DK85" s="1641" t="s">
        <v>1237</v>
      </c>
      <c r="DL85" s="1477"/>
      <c r="DM85" s="1477"/>
      <c r="DN85" s="186"/>
      <c r="DO85" s="186"/>
      <c r="DP85" s="186"/>
      <c r="DQ85" s="186"/>
      <c r="DR85" s="186"/>
      <c r="DS85" s="186"/>
      <c r="DT85" s="186"/>
    </row>
    <row r="86" spans="1:125" ht="9.75" hidden="1" customHeight="1" outlineLevel="1">
      <c r="A86" s="1806"/>
      <c r="B86" s="1110"/>
      <c r="C86" s="1110"/>
      <c r="D86" s="1110"/>
      <c r="E86" s="1110"/>
      <c r="F86" s="1110"/>
      <c r="G86" s="1110"/>
      <c r="H86" s="1110"/>
      <c r="I86" s="1110"/>
      <c r="J86" s="1110"/>
      <c r="K86" s="1110"/>
      <c r="L86" s="1110"/>
      <c r="M86" s="1110"/>
      <c r="N86" s="1110"/>
      <c r="O86" s="2705"/>
      <c r="P86" s="2705"/>
      <c r="Q86" s="1110"/>
      <c r="R86" s="1110"/>
      <c r="S86" s="2705"/>
      <c r="T86" s="1110"/>
      <c r="U86" s="1110"/>
      <c r="V86" s="1110"/>
      <c r="W86" s="1110"/>
      <c r="X86" s="1110"/>
      <c r="Y86" s="1110"/>
      <c r="Z86" s="1110"/>
      <c r="AA86" s="1110"/>
      <c r="AB86" s="1110"/>
      <c r="AC86" s="1110"/>
      <c r="AD86" s="1305"/>
      <c r="AE86" s="1305"/>
      <c r="AF86" s="1305"/>
      <c r="AG86" s="1305"/>
      <c r="AH86" s="1305"/>
      <c r="AI86" s="1305"/>
      <c r="AJ86" s="1305"/>
      <c r="AK86" s="1108"/>
      <c r="AL86" s="1806"/>
      <c r="AM86" s="1110"/>
      <c r="AN86" s="1110"/>
      <c r="AO86" s="1110"/>
      <c r="AP86" s="1110"/>
      <c r="AQ86" s="1741"/>
      <c r="AR86" s="1110"/>
      <c r="AS86" s="1110"/>
      <c r="AT86" s="1110"/>
      <c r="AU86" s="1110"/>
      <c r="AV86" s="1741"/>
      <c r="AW86" s="1110"/>
      <c r="AX86" s="1110"/>
      <c r="AY86" s="1110"/>
      <c r="AZ86" s="1110"/>
      <c r="BA86" s="1741"/>
      <c r="BB86" s="1110"/>
      <c r="BC86" s="1110"/>
      <c r="BD86" s="1110"/>
      <c r="BE86" s="1110"/>
      <c r="BF86" s="1741"/>
      <c r="BG86" s="1110"/>
      <c r="BH86" s="1110"/>
      <c r="BI86" s="1110"/>
      <c r="BJ86" s="1110"/>
      <c r="BK86" s="1741"/>
      <c r="BL86" s="1110"/>
      <c r="BM86" s="1110"/>
      <c r="BN86" s="1110"/>
      <c r="BO86" s="1110"/>
      <c r="BP86" s="1741"/>
      <c r="BQ86" s="1108"/>
      <c r="BR86" s="1108"/>
      <c r="BS86" s="1108"/>
      <c r="BT86" s="1108"/>
      <c r="BU86" s="1108"/>
      <c r="BV86" s="1108"/>
      <c r="BW86" s="1108"/>
      <c r="BX86" s="1108"/>
      <c r="BY86" s="1108"/>
      <c r="BZ86" s="1108"/>
      <c r="CA86" s="1108"/>
      <c r="CB86" s="1108"/>
      <c r="CC86" s="1108"/>
      <c r="CD86" s="1108"/>
      <c r="CE86" s="1108"/>
      <c r="CF86" s="1108"/>
      <c r="CG86" s="1108"/>
      <c r="CH86" s="1108"/>
      <c r="CI86" s="1108"/>
      <c r="CJ86" s="1108"/>
      <c r="CK86" s="1108"/>
      <c r="CL86" s="1108"/>
      <c r="CM86" s="1108"/>
      <c r="CN86" s="1108"/>
      <c r="CO86" s="1108"/>
      <c r="CP86" s="1108"/>
      <c r="CQ86" s="1108"/>
      <c r="CR86" s="1108"/>
      <c r="CS86" s="1108"/>
      <c r="CT86" s="1741"/>
      <c r="CU86" s="1108"/>
      <c r="CV86" s="1108"/>
      <c r="CW86" s="1108"/>
      <c r="CX86" s="1108"/>
      <c r="CY86" s="2862"/>
      <c r="CZ86" s="2862"/>
      <c r="DA86" s="2862"/>
      <c r="DB86" s="2862"/>
      <c r="DC86" s="2862"/>
      <c r="DD86" s="2835"/>
      <c r="DE86" s="2835"/>
      <c r="DF86" s="2835"/>
      <c r="DG86" s="2835"/>
      <c r="DH86" s="2835"/>
      <c r="DI86" s="2835"/>
      <c r="DJ86" s="1108"/>
      <c r="DK86" s="1108"/>
      <c r="DL86" s="1477"/>
      <c r="DM86" s="1477"/>
      <c r="DN86" s="186"/>
      <c r="DO86" s="186"/>
      <c r="DP86" s="186"/>
      <c r="DQ86" s="186"/>
      <c r="DR86" s="186"/>
      <c r="DS86" s="186"/>
      <c r="DT86" s="186"/>
    </row>
    <row r="87" spans="1:125" s="875" customFormat="1" ht="11.25" customHeight="1" collapsed="1">
      <c r="A87" s="1833" t="s">
        <v>704</v>
      </c>
      <c r="B87" s="1884">
        <f>B79+B83</f>
        <v>280.87706351508655</v>
      </c>
      <c r="C87" s="1884">
        <f t="shared" ref="C87:J87" si="127">C79+C83</f>
        <v>275.94501299263686</v>
      </c>
      <c r="D87" s="1884">
        <f t="shared" si="127"/>
        <v>306</v>
      </c>
      <c r="E87" s="1884">
        <f t="shared" si="127"/>
        <v>311.87637906576356</v>
      </c>
      <c r="F87" s="1884">
        <f t="shared" ca="1" si="127"/>
        <v>336.28657474025022</v>
      </c>
      <c r="G87" s="1884">
        <f t="shared" ca="1" si="127"/>
        <v>364.03545250990555</v>
      </c>
      <c r="H87" s="1884">
        <f t="shared" si="127"/>
        <v>389.5</v>
      </c>
      <c r="I87" s="1884">
        <f t="shared" si="127"/>
        <v>461</v>
      </c>
      <c r="J87" s="1884">
        <f t="shared" si="127"/>
        <v>569.30000000000007</v>
      </c>
      <c r="K87" s="1884">
        <f>K79+K83</f>
        <v>707</v>
      </c>
      <c r="L87" s="1905">
        <f>SUM(CA87:CD87)</f>
        <v>811</v>
      </c>
      <c r="M87" s="1905">
        <f>SUM(CF87:CI87)</f>
        <v>898</v>
      </c>
      <c r="N87" s="2682">
        <f>SUM(CK87:CN87)</f>
        <v>997</v>
      </c>
      <c r="O87" s="2766">
        <f>M87</f>
        <v>898</v>
      </c>
      <c r="P87" s="2766">
        <f>N87</f>
        <v>997</v>
      </c>
      <c r="Q87" s="2682">
        <f>SUM(CP87:CS87)</f>
        <v>968</v>
      </c>
      <c r="R87" s="1884">
        <f>R79+R83</f>
        <v>982</v>
      </c>
      <c r="S87" s="2720">
        <f>R87</f>
        <v>982</v>
      </c>
      <c r="T87" s="1884">
        <f>T79+T83</f>
        <v>1042.6047257630805</v>
      </c>
      <c r="U87" s="1884">
        <f>U79+U83</f>
        <v>1074.4769458044609</v>
      </c>
      <c r="V87" s="1884">
        <f>V79+V83</f>
        <v>1135.7561126033331</v>
      </c>
      <c r="W87" s="1884">
        <f t="shared" ref="W87:AB87" si="128">W79+W83</f>
        <v>1194.985051919904</v>
      </c>
      <c r="X87" s="1884">
        <f t="shared" si="128"/>
        <v>1255.5736431101359</v>
      </c>
      <c r="Y87" s="1884">
        <f t="shared" si="128"/>
        <v>1313.9066454134038</v>
      </c>
      <c r="Z87" s="1884">
        <f t="shared" si="128"/>
        <v>1367.5415393669034</v>
      </c>
      <c r="AA87" s="1884">
        <f t="shared" si="128"/>
        <v>1414.4540968814126</v>
      </c>
      <c r="AB87" s="1884">
        <f t="shared" si="128"/>
        <v>1460.2350548572706</v>
      </c>
      <c r="AC87" s="1884">
        <f>AC79+AC83</f>
        <v>1505.8546714672796</v>
      </c>
      <c r="AD87" s="1884">
        <f>AD79+AD83</f>
        <v>1551.0551868493551</v>
      </c>
      <c r="AE87" s="1884">
        <f>AE79+AE83</f>
        <v>1595.6853376407089</v>
      </c>
      <c r="AF87" s="2365"/>
      <c r="AG87" s="2365"/>
      <c r="AH87" s="2365"/>
      <c r="AI87" s="2365"/>
      <c r="AJ87" s="2365"/>
      <c r="AK87" s="1494"/>
      <c r="AL87" s="1833" t="str">
        <f t="shared" si="112"/>
        <v xml:space="preserve">Cable Networks </v>
      </c>
      <c r="AM87" s="1884">
        <f>AM79+AM83</f>
        <v>70</v>
      </c>
      <c r="AN87" s="1884">
        <f>AN79+AN83</f>
        <v>70</v>
      </c>
      <c r="AO87" s="1884">
        <f>AO79+AO83</f>
        <v>90</v>
      </c>
      <c r="AP87" s="1884">
        <f>AP79+AP83</f>
        <v>76</v>
      </c>
      <c r="AQ87" s="2188">
        <f>D87-SUM(AM87:AP87)</f>
        <v>0</v>
      </c>
      <c r="AR87" s="1884">
        <f>AR79+AR83</f>
        <v>72</v>
      </c>
      <c r="AS87" s="1884">
        <f>AS79+AS83</f>
        <v>72</v>
      </c>
      <c r="AT87" s="1884">
        <f>AT79+AT83</f>
        <v>80.086789780662002</v>
      </c>
      <c r="AU87" s="1884">
        <f>AU79+AU83</f>
        <v>87.789589285101556</v>
      </c>
      <c r="AV87" s="2188">
        <f>E87-SUM(AR87:AU87)</f>
        <v>0</v>
      </c>
      <c r="AW87" s="1884">
        <f ca="1">AW79+AW83</f>
        <v>72</v>
      </c>
      <c r="AX87" s="1884">
        <f ca="1">AX79+AX83</f>
        <v>82.662000000000006</v>
      </c>
      <c r="AY87" s="1884">
        <f ca="1">AY79+AY83</f>
        <v>87.801860000000005</v>
      </c>
      <c r="AZ87" s="1884">
        <f ca="1">AZ79+AZ83</f>
        <v>93.822714740250234</v>
      </c>
      <c r="BA87" s="2188">
        <f ca="1">F87-SUM(AW87:AZ87)</f>
        <v>0</v>
      </c>
      <c r="BB87" s="1884">
        <f ca="1">BB79+BB83</f>
        <v>80.518938695000003</v>
      </c>
      <c r="BC87" s="1884">
        <f ca="1">BC79+BC83</f>
        <v>91.350466399999988</v>
      </c>
      <c r="BD87" s="1884">
        <f ca="1">BD79+BD83</f>
        <v>96.237062809000037</v>
      </c>
      <c r="BE87" s="1884">
        <f ca="1">BE79+BE83</f>
        <v>95.928984605905569</v>
      </c>
      <c r="BF87" s="2188">
        <f ca="1">G87-SUM(BB87:BE87)</f>
        <v>0</v>
      </c>
      <c r="BG87" s="1905">
        <v>85.1</v>
      </c>
      <c r="BH87" s="1905">
        <v>97.6</v>
      </c>
      <c r="BI87" s="1905">
        <v>102</v>
      </c>
      <c r="BJ87" s="1905">
        <v>104.8</v>
      </c>
      <c r="BK87" s="2188">
        <f>H87-SUM(BG87:BJ87)</f>
        <v>0</v>
      </c>
      <c r="BL87" s="1905">
        <v>83.4</v>
      </c>
      <c r="BM87" s="1905">
        <v>96.9</v>
      </c>
      <c r="BN87" s="1905">
        <v>127.9</v>
      </c>
      <c r="BO87" s="1905">
        <v>152.80000000000001</v>
      </c>
      <c r="BP87" s="2188">
        <f>I87-SUM(BL87:BO87)</f>
        <v>0</v>
      </c>
      <c r="BQ87" s="1905">
        <v>100.9</v>
      </c>
      <c r="BR87" s="1905">
        <v>129.30000000000001</v>
      </c>
      <c r="BS87" s="1905">
        <v>170.5</v>
      </c>
      <c r="BT87" s="1905">
        <v>168.6</v>
      </c>
      <c r="BU87" s="2188">
        <f>J87-SUM(BQ87:BT87)</f>
        <v>0</v>
      </c>
      <c r="BV87" s="1905">
        <v>153</v>
      </c>
      <c r="BW87" s="1905">
        <v>176</v>
      </c>
      <c r="BX87" s="1905">
        <v>203</v>
      </c>
      <c r="BY87" s="1905">
        <v>175</v>
      </c>
      <c r="BZ87" s="2188">
        <f>K87-SUM(BV87:BY87)</f>
        <v>0</v>
      </c>
      <c r="CA87" s="1905">
        <v>209</v>
      </c>
      <c r="CB87" s="1905">
        <v>190</v>
      </c>
      <c r="CC87" s="2683">
        <v>227</v>
      </c>
      <c r="CD87" s="2683">
        <v>185</v>
      </c>
      <c r="CE87" s="2188">
        <f>L87-SUM(CA87:CD87)</f>
        <v>0</v>
      </c>
      <c r="CF87" s="2683">
        <v>231</v>
      </c>
      <c r="CG87" s="2683">
        <v>207</v>
      </c>
      <c r="CH87" s="2683">
        <v>261</v>
      </c>
      <c r="CI87" s="2683">
        <v>199</v>
      </c>
      <c r="CJ87" s="2188">
        <f>M87-SUM(CF87:CI87)</f>
        <v>0</v>
      </c>
      <c r="CK87" s="2683">
        <v>259</v>
      </c>
      <c r="CL87" s="2683">
        <v>219</v>
      </c>
      <c r="CM87" s="2683">
        <v>272</v>
      </c>
      <c r="CN87" s="1905">
        <v>247</v>
      </c>
      <c r="CO87" s="2188">
        <f>$N87-SUM(CK87:CN87)</f>
        <v>0</v>
      </c>
      <c r="CP87" s="2682">
        <f>CP112+CP106</f>
        <v>257</v>
      </c>
      <c r="CQ87" s="2682">
        <f>CQ112+CQ106</f>
        <v>226</v>
      </c>
      <c r="CR87" s="2682">
        <f>CR112+CR106</f>
        <v>251</v>
      </c>
      <c r="CS87" s="2682">
        <f>CS112+CS106</f>
        <v>234</v>
      </c>
      <c r="CT87" s="2188">
        <f>$Q87-SUM(CP87:CS87)</f>
        <v>0</v>
      </c>
      <c r="CU87" s="2682">
        <f>CU112+CU106</f>
        <v>234</v>
      </c>
      <c r="CV87" s="2682">
        <f>CV112+CV106</f>
        <v>232</v>
      </c>
      <c r="CW87" s="2682">
        <f>CW112+CW106</f>
        <v>291</v>
      </c>
      <c r="CX87" s="2682">
        <f>CX112+CX106</f>
        <v>225</v>
      </c>
      <c r="CY87" s="2835">
        <f>S87-SUM(CU87:CX87)</f>
        <v>0</v>
      </c>
      <c r="CZ87" s="2682">
        <f>CZ112+CZ106</f>
        <v>254</v>
      </c>
      <c r="DA87" s="3473">
        <f>DA112+DA106</f>
        <v>259</v>
      </c>
      <c r="DB87" s="3473">
        <f>DB112+DB106</f>
        <v>299</v>
      </c>
      <c r="DC87" s="3035">
        <f>DC79+DC83</f>
        <v>230.60472576308055</v>
      </c>
      <c r="DD87" s="3102">
        <f>T87-SUM(CZ87:DC87)</f>
        <v>0</v>
      </c>
      <c r="DE87" s="3035">
        <f t="shared" ref="DE87:DF87" si="129">DE79+DE83</f>
        <v>263.11246978919081</v>
      </c>
      <c r="DF87" s="3035">
        <f t="shared" si="129"/>
        <v>275.36764502563148</v>
      </c>
      <c r="DG87" s="3035">
        <f>DG79+DG83</f>
        <v>277.77696109729129</v>
      </c>
      <c r="DH87" s="3035">
        <f>DH79+DH83</f>
        <v>258.21986989234728</v>
      </c>
      <c r="DI87" s="2835">
        <f t="shared" si="73"/>
        <v>0</v>
      </c>
      <c r="DJ87" s="2188"/>
      <c r="DK87" s="319" t="s">
        <v>1237</v>
      </c>
      <c r="DL87" s="2362"/>
      <c r="DM87" s="2362"/>
      <c r="DN87" s="2362"/>
      <c r="DO87" s="2362"/>
      <c r="DP87" s="2362"/>
      <c r="DQ87" s="2362"/>
      <c r="DR87" s="2362"/>
      <c r="DS87" s="2362"/>
      <c r="DT87" s="2362"/>
    </row>
    <row r="88" spans="1:125" ht="11.25" customHeight="1">
      <c r="A88" s="1835" t="s">
        <v>344</v>
      </c>
      <c r="B88" s="1473" t="s">
        <v>1455</v>
      </c>
      <c r="C88" s="1364">
        <f>C87/B87-1</f>
        <v>-1.7559463420496635E-2</v>
      </c>
      <c r="D88" s="1364">
        <f t="shared" ref="D88:J88" si="130">D87/C87-1</f>
        <v>0.10891657972512481</v>
      </c>
      <c r="E88" s="1364">
        <f t="shared" si="130"/>
        <v>1.9203853156090078E-2</v>
      </c>
      <c r="F88" s="1364">
        <f t="shared" ca="1" si="130"/>
        <v>7.8268818394032325E-2</v>
      </c>
      <c r="G88" s="1364">
        <f t="shared" ca="1" si="130"/>
        <v>8.251556813140315E-2</v>
      </c>
      <c r="H88" s="1364">
        <f t="shared" ca="1" si="130"/>
        <v>6.995073505760141E-2</v>
      </c>
      <c r="I88" s="1364">
        <f t="shared" si="130"/>
        <v>0.18356867779204111</v>
      </c>
      <c r="J88" s="1364">
        <f t="shared" si="130"/>
        <v>0.23492407809110638</v>
      </c>
      <c r="K88" s="1364">
        <f t="shared" ref="K88:W88" si="131">K87/J87-1</f>
        <v>0.24187598805550659</v>
      </c>
      <c r="L88" s="1364">
        <f t="shared" si="131"/>
        <v>0.14710042432814707</v>
      </c>
      <c r="M88" s="1364">
        <f t="shared" si="131"/>
        <v>0.10727496917385948</v>
      </c>
      <c r="N88" s="1364">
        <f t="shared" si="131"/>
        <v>0.11024498886414258</v>
      </c>
      <c r="O88" s="2711"/>
      <c r="P88" s="2711">
        <f t="shared" si="131"/>
        <v>0.11024498886414258</v>
      </c>
      <c r="Q88" s="1364">
        <f t="shared" si="131"/>
        <v>-2.9087261785356033E-2</v>
      </c>
      <c r="R88" s="1364">
        <f t="shared" si="131"/>
        <v>1.4462809917355379E-2</v>
      </c>
      <c r="S88" s="2711"/>
      <c r="T88" s="1364">
        <f>T87/R87-1</f>
        <v>6.1715606683381496E-2</v>
      </c>
      <c r="U88" s="1364">
        <f t="shared" si="131"/>
        <v>3.0569802010108171E-2</v>
      </c>
      <c r="V88" s="1364">
        <f t="shared" si="131"/>
        <v>5.7031625516164475E-2</v>
      </c>
      <c r="W88" s="1364">
        <f t="shared" si="131"/>
        <v>5.2149346729738255E-2</v>
      </c>
      <c r="X88" s="1364">
        <f t="shared" ref="X88:AE88" si="132">X87/W87-1</f>
        <v>5.0702384178687554E-2</v>
      </c>
      <c r="Y88" s="1364">
        <f t="shared" si="132"/>
        <v>4.6459244046229919E-2</v>
      </c>
      <c r="Z88" s="1364">
        <f t="shared" si="132"/>
        <v>4.0820932096453433E-2</v>
      </c>
      <c r="AA88" s="1364">
        <f t="shared" si="132"/>
        <v>3.4304301671324033E-2</v>
      </c>
      <c r="AB88" s="1364">
        <f t="shared" si="132"/>
        <v>3.2366520820149569E-2</v>
      </c>
      <c r="AC88" s="1364">
        <f t="shared" si="132"/>
        <v>3.1241283010061682E-2</v>
      </c>
      <c r="AD88" s="1364">
        <f t="shared" si="132"/>
        <v>3.0016519016428767E-2</v>
      </c>
      <c r="AE88" s="1364">
        <f t="shared" si="132"/>
        <v>2.8774057280328336E-2</v>
      </c>
      <c r="AF88" s="1104"/>
      <c r="AG88" s="1104"/>
      <c r="AH88" s="1104"/>
      <c r="AI88" s="1104"/>
      <c r="AJ88" s="1104"/>
      <c r="AK88" s="1477"/>
      <c r="AL88" s="1835" t="str">
        <f t="shared" si="112"/>
        <v xml:space="preserve">% Change </v>
      </c>
      <c r="AM88" s="1770" t="s">
        <v>1455</v>
      </c>
      <c r="AN88" s="1770" t="s">
        <v>1455</v>
      </c>
      <c r="AO88" s="1770" t="s">
        <v>1455</v>
      </c>
      <c r="AP88" s="1770" t="s">
        <v>1455</v>
      </c>
      <c r="AQ88" s="1811"/>
      <c r="AR88" s="1364">
        <f>AR87/AM87-1</f>
        <v>2.857142857142847E-2</v>
      </c>
      <c r="AS88" s="1364">
        <f>AS87/AN87-1</f>
        <v>2.857142857142847E-2</v>
      </c>
      <c r="AT88" s="1364">
        <f>AT87/AO87-1</f>
        <v>-0.11014678021486668</v>
      </c>
      <c r="AU88" s="1364">
        <f>AU87/AP87-1</f>
        <v>0.15512617480396784</v>
      </c>
      <c r="AV88" s="1811"/>
      <c r="AW88" s="1364">
        <f ca="1">AW87/AR87-1</f>
        <v>0</v>
      </c>
      <c r="AX88" s="1364">
        <f ca="1">AX87/AS87-1</f>
        <v>0.14808333333333334</v>
      </c>
      <c r="AY88" s="1364">
        <f ca="1">AY87/AT87-1</f>
        <v>9.6333867801015272E-2</v>
      </c>
      <c r="AZ88" s="1364">
        <f ca="1">AZ87/AU87-1</f>
        <v>6.8722561573397511E-2</v>
      </c>
      <c r="BA88" s="1811"/>
      <c r="BB88" s="1364">
        <f ca="1">BB87/AW87-1</f>
        <v>0.11831859298611125</v>
      </c>
      <c r="BC88" s="1364">
        <f ca="1">BC87/AX87-1</f>
        <v>0.10510834966490012</v>
      </c>
      <c r="BD88" s="1364">
        <f ca="1">BD87/AY87-1</f>
        <v>9.6070889716915131E-2</v>
      </c>
      <c r="BE88" s="1364">
        <f ca="1">BE87/AZ87-1</f>
        <v>2.2449466224534032E-2</v>
      </c>
      <c r="BF88" s="1811"/>
      <c r="BG88" s="1364">
        <f ca="1">BG87/BB87-1</f>
        <v>5.6894208732093832E-2</v>
      </c>
      <c r="BH88" s="1364">
        <f ca="1">BH87/BC87-1</f>
        <v>6.8412716938246687E-2</v>
      </c>
      <c r="BI88" s="1364">
        <f ca="1">BI87/BD87-1</f>
        <v>5.9882721092990643E-2</v>
      </c>
      <c r="BJ88" s="1364">
        <f ca="1">BJ87/BE87-1</f>
        <v>9.2474818018122962E-2</v>
      </c>
      <c r="BK88" s="1811"/>
      <c r="BL88" s="1364">
        <f>BL87/BG87-1</f>
        <v>-1.997649823736769E-2</v>
      </c>
      <c r="BM88" s="1364">
        <f>BM87/BH87-1</f>
        <v>-7.1721311475408944E-3</v>
      </c>
      <c r="BN88" s="1364">
        <f>BN87/BI87-1</f>
        <v>0.25392156862745097</v>
      </c>
      <c r="BO88" s="1364">
        <f>BO87/BJ87-1</f>
        <v>0.45801526717557262</v>
      </c>
      <c r="BP88" s="1811"/>
      <c r="BQ88" s="1364">
        <f>BQ87/BL87-1</f>
        <v>0.20983213429256597</v>
      </c>
      <c r="BR88" s="1364">
        <f>BR87/BM87-1</f>
        <v>0.33436532507739947</v>
      </c>
      <c r="BS88" s="1364">
        <f>BS87/BN87-1</f>
        <v>0.33307271305707586</v>
      </c>
      <c r="BT88" s="1364">
        <f>BT87/BO87-1</f>
        <v>0.10340314136125639</v>
      </c>
      <c r="BU88" s="1477"/>
      <c r="BV88" s="1364">
        <f>BV87/BQ87-1</f>
        <v>0.51635282457879073</v>
      </c>
      <c r="BW88" s="1364">
        <f>BW87/BR87-1</f>
        <v>0.36117556071152346</v>
      </c>
      <c r="BX88" s="1364">
        <f>BX87/BS87-1</f>
        <v>0.19061583577712615</v>
      </c>
      <c r="BY88" s="1364">
        <f>BY87/BT87-1</f>
        <v>3.7959667852906387E-2</v>
      </c>
      <c r="BZ88" s="1477"/>
      <c r="CA88" s="1364">
        <f>CA87/BV87-1</f>
        <v>0.36601307189542487</v>
      </c>
      <c r="CB88" s="1364">
        <f>CB87/BW87-1</f>
        <v>7.9545454545454586E-2</v>
      </c>
      <c r="CC88" s="1364">
        <f>CC87/BX87-1</f>
        <v>0.11822660098522175</v>
      </c>
      <c r="CD88" s="1364">
        <f>CD87/BY87-1</f>
        <v>5.7142857142857162E-2</v>
      </c>
      <c r="CE88" s="1477"/>
      <c r="CF88" s="1364">
        <f>CF87/CA87-1</f>
        <v>0.10526315789473695</v>
      </c>
      <c r="CG88" s="1364">
        <f>CG87/CB87-1</f>
        <v>8.9473684210526372E-2</v>
      </c>
      <c r="CH88" s="1364">
        <f>CH87/CC87-1</f>
        <v>0.14977973568281944</v>
      </c>
      <c r="CI88" s="1364">
        <f>CI87/CD87-1</f>
        <v>7.5675675675675569E-2</v>
      </c>
      <c r="CJ88" s="1477"/>
      <c r="CK88" s="1364">
        <f>CK87/CF87-1</f>
        <v>0.1212121212121211</v>
      </c>
      <c r="CL88" s="1364">
        <f>CL87/CG87-1</f>
        <v>5.7971014492753659E-2</v>
      </c>
      <c r="CM88" s="1364">
        <f>CM87/CH87-1</f>
        <v>4.2145593869731712E-2</v>
      </c>
      <c r="CN88" s="1364">
        <f>CN87/CI87-1</f>
        <v>0.2412060301507537</v>
      </c>
      <c r="CO88" s="1477"/>
      <c r="CP88" s="2008">
        <f>CP87/CK87-1</f>
        <v>-7.7220077220077066E-3</v>
      </c>
      <c r="CQ88" s="2008">
        <f>CQ87/CL87-1</f>
        <v>3.1963470319634757E-2</v>
      </c>
      <c r="CR88" s="2008">
        <f>CR87/CM87-1</f>
        <v>-7.7205882352941124E-2</v>
      </c>
      <c r="CS88" s="1364">
        <f>CS87/CN87-1</f>
        <v>-5.2631578947368474E-2</v>
      </c>
      <c r="CT88" s="1741"/>
      <c r="CU88" s="1364">
        <f>CU87/CP87-1</f>
        <v>-8.9494163424124529E-2</v>
      </c>
      <c r="CV88" s="1364">
        <f>CV87/CQ87-1</f>
        <v>2.6548672566371723E-2</v>
      </c>
      <c r="CW88" s="1364">
        <f>CW87/CR87-1</f>
        <v>0.15936254980079689</v>
      </c>
      <c r="CX88" s="1364">
        <f>CX87/CS87-1</f>
        <v>-3.8461538461538436E-2</v>
      </c>
      <c r="CY88" s="2937"/>
      <c r="CZ88" s="2827">
        <f>CZ87/CU87-1</f>
        <v>8.5470085470085388E-2</v>
      </c>
      <c r="DA88" s="2827">
        <f>DA87/CV87-1</f>
        <v>0.11637931034482762</v>
      </c>
      <c r="DB88" s="2827">
        <f>DB87/CW87-1</f>
        <v>2.7491408934707806E-2</v>
      </c>
      <c r="DC88" s="2827">
        <f>DC87/CX87-1</f>
        <v>2.4909892280358115E-2</v>
      </c>
      <c r="DD88" s="2835"/>
      <c r="DE88" s="2827">
        <f t="shared" ref="DE88:DF88" si="133">DE87/CZ87-1</f>
        <v>3.5875865311774779E-2</v>
      </c>
      <c r="DF88" s="2827">
        <f t="shared" si="133"/>
        <v>6.3195540639503722E-2</v>
      </c>
      <c r="DG88" s="2827">
        <f>DG87/DB87-1</f>
        <v>-7.098006321976158E-2</v>
      </c>
      <c r="DH88" s="2827">
        <f>DH87/DC87-1</f>
        <v>0.11975098965507791</v>
      </c>
      <c r="DI88" s="2835"/>
      <c r="DJ88" s="1477"/>
      <c r="DK88" s="1104"/>
      <c r="DL88" s="186"/>
      <c r="DM88" s="186"/>
      <c r="DN88" s="186"/>
      <c r="DO88" s="186"/>
      <c r="DP88" s="186"/>
      <c r="DQ88" s="186"/>
      <c r="DR88" s="186"/>
      <c r="DS88" s="186"/>
      <c r="DT88" s="186"/>
    </row>
    <row r="89" spans="1:125" ht="11.25" customHeight="1">
      <c r="A89" s="1835" t="s">
        <v>1208</v>
      </c>
      <c r="B89" s="1364">
        <f>B87/B36</f>
        <v>0.27323594921607475</v>
      </c>
      <c r="C89" s="1364">
        <f t="shared" ref="C89:J89" si="134">C87/C36</f>
        <v>0.26703128446373914</v>
      </c>
      <c r="D89" s="1364">
        <f t="shared" si="134"/>
        <v>0.30297029702970296</v>
      </c>
      <c r="E89" s="1364">
        <f t="shared" si="134"/>
        <v>0.29716804659932972</v>
      </c>
      <c r="F89" s="1364">
        <f t="shared" ca="1" si="134"/>
        <v>0.287389203553651</v>
      </c>
      <c r="G89" s="1364">
        <f t="shared" ca="1" si="134"/>
        <v>0.29151243669719745</v>
      </c>
      <c r="H89" s="1364">
        <f t="shared" si="134"/>
        <v>0.3080268880980625</v>
      </c>
      <c r="I89" s="1364">
        <f t="shared" si="134"/>
        <v>0.34219121140142517</v>
      </c>
      <c r="J89" s="1364">
        <f t="shared" si="134"/>
        <v>0.38593993627550682</v>
      </c>
      <c r="K89" s="1364">
        <f t="shared" ref="K89:V89" si="135">K87/K36</f>
        <v>0.43615052436767426</v>
      </c>
      <c r="L89" s="1364">
        <f t="shared" si="135"/>
        <v>0.45767494356659144</v>
      </c>
      <c r="M89" s="1364">
        <f t="shared" si="135"/>
        <v>0.43402609956500726</v>
      </c>
      <c r="N89" s="1364">
        <f>N87/N36</f>
        <v>0.45818014705882354</v>
      </c>
      <c r="O89" s="2711">
        <f>O87/O36</f>
        <v>0.43402609956500726</v>
      </c>
      <c r="P89" s="2711">
        <f>P87/P36</f>
        <v>0.45818014705882354</v>
      </c>
      <c r="Q89" s="1364">
        <f>Q87/Q36</f>
        <v>0.43175735950044603</v>
      </c>
      <c r="R89" s="1364">
        <f t="shared" si="135"/>
        <v>0.45462962962962961</v>
      </c>
      <c r="S89" s="2711"/>
      <c r="T89" s="1364">
        <f t="shared" si="135"/>
        <v>0.4196577391262804</v>
      </c>
      <c r="U89" s="1364">
        <f t="shared" si="135"/>
        <v>0.4625808793616642</v>
      </c>
      <c r="V89" s="1364">
        <f t="shared" si="135"/>
        <v>0.4653582264994931</v>
      </c>
      <c r="W89" s="1364">
        <f t="shared" ref="W89:AB89" si="136">W87/W36</f>
        <v>0.4674827997691034</v>
      </c>
      <c r="X89" s="1364">
        <f t="shared" si="136"/>
        <v>0.46942861005987452</v>
      </c>
      <c r="Y89" s="1364">
        <f t="shared" si="136"/>
        <v>0.47045518985810786</v>
      </c>
      <c r="Z89" s="1364">
        <f t="shared" si="136"/>
        <v>0.47044493302832441</v>
      </c>
      <c r="AA89" s="1364">
        <f t="shared" si="136"/>
        <v>0.46891975755129395</v>
      </c>
      <c r="AB89" s="1364">
        <f t="shared" si="136"/>
        <v>0.46723610386545328</v>
      </c>
      <c r="AC89" s="1364">
        <f>AC87/AC36</f>
        <v>0.4653394371582959</v>
      </c>
      <c r="AD89" s="1364">
        <f>AD87/AD36</f>
        <v>0.46319262308428483</v>
      </c>
      <c r="AE89" s="1364">
        <f>AE87/AE36</f>
        <v>0.460795735882844</v>
      </c>
      <c r="AF89" s="1104"/>
      <c r="AG89" s="1104"/>
      <c r="AH89" s="1104"/>
      <c r="AI89" s="1104"/>
      <c r="AJ89" s="1104"/>
      <c r="AK89" s="1477"/>
      <c r="AL89" s="1835" t="str">
        <f t="shared" si="112"/>
        <v xml:space="preserve">% Margin </v>
      </c>
      <c r="AM89" s="1364">
        <f>AM87/AM36</f>
        <v>0.2857142857142857</v>
      </c>
      <c r="AN89" s="1364">
        <f>AN87/AN36</f>
        <v>0.29166666666666669</v>
      </c>
      <c r="AO89" s="1364">
        <f>AO87/AO36</f>
        <v>0.36</v>
      </c>
      <c r="AP89" s="1364">
        <f>AP87/AP36</f>
        <v>0.27636363636363637</v>
      </c>
      <c r="AQ89" s="1811"/>
      <c r="AR89" s="1364">
        <f>AR87/AR36</f>
        <v>0.28799999999999998</v>
      </c>
      <c r="AS89" s="1364">
        <f>AS87/AS36</f>
        <v>0.27439024390243905</v>
      </c>
      <c r="AT89" s="1364">
        <f>AT87/AT36</f>
        <v>0.300343951602003</v>
      </c>
      <c r="AU89" s="1364">
        <f>AU87/AU36</f>
        <v>0.32461191901525749</v>
      </c>
      <c r="AV89" s="1811"/>
      <c r="AW89" s="1364">
        <f ca="1">AW87/AW36</f>
        <v>0.2742857142857143</v>
      </c>
      <c r="AX89" s="1364">
        <f ca="1">AX87/AX36</f>
        <v>0.27203617407787695</v>
      </c>
      <c r="AY89" s="1364">
        <f ca="1">AY87/AY36</f>
        <v>0.29700190204039528</v>
      </c>
      <c r="AZ89" s="1364">
        <f ca="1">AZ87/AZ36</f>
        <v>0.30446883020445326</v>
      </c>
      <c r="BA89" s="1811"/>
      <c r="BB89" s="1364">
        <f ca="1">BB87/BB36</f>
        <v>0.27829781286885713</v>
      </c>
      <c r="BC89" s="1364">
        <f ca="1">BC87/BC36</f>
        <v>0.28451601192500647</v>
      </c>
      <c r="BD89" s="1364">
        <f ca="1">BD87/BD36</f>
        <v>0.30790933721913732</v>
      </c>
      <c r="BE89" s="1364">
        <f ca="1">BE87/BE36</f>
        <v>0.29441225603957738</v>
      </c>
      <c r="BF89" s="1811"/>
      <c r="BG89" s="1364">
        <f>BG87/BG36</f>
        <v>0.26803149606299209</v>
      </c>
      <c r="BH89" s="1364">
        <f>BH87/BH36</f>
        <v>0.31092704683020073</v>
      </c>
      <c r="BI89" s="1364">
        <f>BI87/BI36</f>
        <v>0.32650448143405891</v>
      </c>
      <c r="BJ89" s="1364">
        <f>BJ87/BJ36</f>
        <v>0.32678515746803866</v>
      </c>
      <c r="BK89" s="1811"/>
      <c r="BL89" s="1364">
        <f>BL87/BL36</f>
        <v>0.24486200822078685</v>
      </c>
      <c r="BM89" s="1364">
        <f>BM87/BM36</f>
        <v>0.29506699147381243</v>
      </c>
      <c r="BN89" s="1364">
        <f>BN87/BN36</f>
        <v>0.38628813047417698</v>
      </c>
      <c r="BO89" s="1364">
        <f>BO87/BO36</f>
        <v>0.44021895707288966</v>
      </c>
      <c r="BP89" s="1811"/>
      <c r="BQ89" s="1364">
        <f>BQ87/BQ36</f>
        <v>0.27418478260869567</v>
      </c>
      <c r="BR89" s="1364">
        <f>BR87/BR36</f>
        <v>0.3505965292841649</v>
      </c>
      <c r="BS89" s="1364">
        <f>BS87/BS36</f>
        <v>0.46081081081081082</v>
      </c>
      <c r="BT89" s="1364">
        <f>BT87/BT36</f>
        <v>0.45777898452348625</v>
      </c>
      <c r="BU89" s="1477"/>
      <c r="BV89" s="1364">
        <f>BV87/BV36</f>
        <v>0.38931297709923662</v>
      </c>
      <c r="BW89" s="1364">
        <f>BW87/BW36</f>
        <v>0.42615012106537531</v>
      </c>
      <c r="BX89" s="1364">
        <f>BX87/BX36</f>
        <v>0.48333333333333334</v>
      </c>
      <c r="BY89" s="1364">
        <f>BY87/BY36</f>
        <v>0.44303797468354428</v>
      </c>
      <c r="BZ89" s="1477"/>
      <c r="CA89" s="1364">
        <f>CA87/CA36</f>
        <v>0.46238938053097345</v>
      </c>
      <c r="CB89" s="1364">
        <f>CB87/CB36</f>
        <v>0.42600896860986548</v>
      </c>
      <c r="CC89" s="1364">
        <f>CC87/CC36</f>
        <v>0.52064220183486243</v>
      </c>
      <c r="CD89" s="1364">
        <f>CD87/CD36</f>
        <v>0.4223744292237443</v>
      </c>
      <c r="CE89" s="1640"/>
      <c r="CF89" s="1364">
        <f>CF87/CF36</f>
        <v>0.48326359832635984</v>
      </c>
      <c r="CG89" s="1364">
        <f>CG87/CG36</f>
        <v>0.39961389961389959</v>
      </c>
      <c r="CH89" s="1364">
        <f>CH87/CH36</f>
        <v>0.43791946308724833</v>
      </c>
      <c r="CI89" s="1364">
        <f>CI87/CI36</f>
        <v>0.41719077568134172</v>
      </c>
      <c r="CJ89" s="1640"/>
      <c r="CK89" s="1364">
        <f>CK87/CK36</f>
        <v>0.48230912476722532</v>
      </c>
      <c r="CL89" s="1364">
        <f>CL87/CL36</f>
        <v>0.42441860465116277</v>
      </c>
      <c r="CM89" s="1364">
        <f>CM87/CM36</f>
        <v>0.4358974358974359</v>
      </c>
      <c r="CN89" s="1364">
        <f>CN87/CN36</f>
        <v>0.49498997995991983</v>
      </c>
      <c r="CO89" s="1640"/>
      <c r="CP89" s="2008">
        <f>CP87/CP36</f>
        <v>0.47680890538033394</v>
      </c>
      <c r="CQ89" s="2008">
        <f>CQ87/CQ36</f>
        <v>0.36747967479674798</v>
      </c>
      <c r="CR89" s="2008">
        <f>CR87/CR36</f>
        <v>0.47718631178707227</v>
      </c>
      <c r="CS89" s="1364">
        <f>CS87/CS36</f>
        <v>0.41637010676156583</v>
      </c>
      <c r="CT89" s="1741"/>
      <c r="CU89" s="1364">
        <f>CU87/CU36</f>
        <v>0.44571428571428573</v>
      </c>
      <c r="CV89" s="1364">
        <f>CV87/CV36</f>
        <v>0.43283582089552236</v>
      </c>
      <c r="CW89" s="1364">
        <f>CW87/CW36</f>
        <v>0.48662207357859533</v>
      </c>
      <c r="CX89" s="1364">
        <f>CX87/CX36</f>
        <v>0.44910179640718562</v>
      </c>
      <c r="CY89" s="2917"/>
      <c r="CZ89" s="2827">
        <f>CZ87/CZ36</f>
        <v>0.4677716390423573</v>
      </c>
      <c r="DA89" s="2827">
        <f>DA87/DA36</f>
        <v>0.45359019264448336</v>
      </c>
      <c r="DB89" s="2827">
        <f>DB87/DB36</f>
        <v>0.35595238095238096</v>
      </c>
      <c r="DC89" s="2827">
        <f>DC87/DC36</f>
        <v>0.43476137586863467</v>
      </c>
      <c r="DD89" s="2835"/>
      <c r="DE89" s="2827">
        <f t="shared" ref="DE89:DF89" si="137">DE87/DE36</f>
        <v>0.46235282419750395</v>
      </c>
      <c r="DF89" s="2827">
        <f t="shared" si="137"/>
        <v>0.45960201666786216</v>
      </c>
      <c r="DG89" s="2827">
        <f>DG87/DG36</f>
        <v>0.46438504177020939</v>
      </c>
      <c r="DH89" s="2827">
        <f>DH87/DH36</f>
        <v>0.46408223237410268</v>
      </c>
      <c r="DI89" s="2835"/>
      <c r="DJ89" s="1640"/>
      <c r="DK89" s="1104"/>
      <c r="DL89" s="186"/>
      <c r="DM89" s="186"/>
      <c r="DN89" s="186"/>
      <c r="DO89" s="186"/>
      <c r="DP89" s="186"/>
      <c r="DQ89" s="186"/>
      <c r="DR89" s="186"/>
      <c r="DS89" s="186"/>
      <c r="DT89" s="186"/>
    </row>
    <row r="90" spans="1:125" ht="6" customHeight="1">
      <c r="A90" s="1806"/>
      <c r="B90" s="1110"/>
      <c r="C90" s="1110"/>
      <c r="D90" s="1110"/>
      <c r="E90" s="1110"/>
      <c r="F90" s="1110"/>
      <c r="G90" s="1110"/>
      <c r="H90" s="1110"/>
      <c r="I90" s="1110"/>
      <c r="J90" s="1110"/>
      <c r="K90" s="1110"/>
      <c r="L90" s="1110"/>
      <c r="M90" s="1110"/>
      <c r="N90" s="1110"/>
      <c r="O90" s="2705"/>
      <c r="P90" s="2705"/>
      <c r="Q90" s="1110"/>
      <c r="R90" s="1110"/>
      <c r="S90" s="2705"/>
      <c r="T90" s="1110"/>
      <c r="U90" s="1110"/>
      <c r="V90" s="1110"/>
      <c r="W90" s="1110"/>
      <c r="X90" s="1110"/>
      <c r="Y90" s="1110"/>
      <c r="Z90" s="1110"/>
      <c r="AA90" s="1110"/>
      <c r="AB90" s="1110"/>
      <c r="AC90" s="1110"/>
      <c r="AD90" s="1110"/>
      <c r="AE90" s="1110"/>
      <c r="AF90" s="39"/>
      <c r="AG90" s="39"/>
      <c r="AH90" s="39"/>
      <c r="AI90" s="39"/>
      <c r="AJ90" s="39"/>
      <c r="AK90" s="1108"/>
      <c r="AL90" s="1806"/>
      <c r="AM90" s="1110"/>
      <c r="AN90" s="1110"/>
      <c r="AO90" s="1110"/>
      <c r="AP90" s="1110"/>
      <c r="AQ90" s="1741"/>
      <c r="AR90" s="1110"/>
      <c r="AS90" s="1110"/>
      <c r="AT90" s="1110"/>
      <c r="AU90" s="1110"/>
      <c r="AV90" s="1741"/>
      <c r="AW90" s="1110"/>
      <c r="AX90" s="1110"/>
      <c r="AY90" s="1110"/>
      <c r="AZ90" s="1110"/>
      <c r="BA90" s="1741"/>
      <c r="BB90" s="1110"/>
      <c r="BC90" s="1110"/>
      <c r="BD90" s="1110"/>
      <c r="BE90" s="1110"/>
      <c r="BF90" s="1741"/>
      <c r="BG90" s="1110"/>
      <c r="BH90" s="1110"/>
      <c r="BI90" s="1110"/>
      <c r="BJ90" s="1110"/>
      <c r="BK90" s="1741"/>
      <c r="BL90" s="1110"/>
      <c r="BM90" s="1110"/>
      <c r="BN90" s="1110"/>
      <c r="BO90" s="1110"/>
      <c r="BP90" s="1741"/>
      <c r="BQ90" s="1108"/>
      <c r="BR90" s="1108"/>
      <c r="BS90" s="1108"/>
      <c r="BT90" s="1108"/>
      <c r="BU90" s="1108"/>
      <c r="BV90" s="1108"/>
      <c r="BW90" s="1108"/>
      <c r="BX90" s="1108"/>
      <c r="BY90" s="1108"/>
      <c r="BZ90" s="1108"/>
      <c r="CA90" s="1108"/>
      <c r="CB90" s="1108"/>
      <c r="CC90" s="1108"/>
      <c r="CD90" s="1108"/>
      <c r="CE90" s="1108"/>
      <c r="CF90" s="1108"/>
      <c r="CG90" s="1108"/>
      <c r="CH90" s="1108"/>
      <c r="CI90" s="1108"/>
      <c r="CJ90" s="1108"/>
      <c r="CK90" s="1470"/>
      <c r="CL90" s="1470"/>
      <c r="CM90" s="1470"/>
      <c r="CN90" s="1108"/>
      <c r="CO90" s="1108"/>
      <c r="CP90" s="1470"/>
      <c r="CQ90" s="1470"/>
      <c r="CR90" s="1470"/>
      <c r="CS90" s="1108"/>
      <c r="CT90" s="1741"/>
      <c r="CU90" s="1108"/>
      <c r="CV90" s="1108"/>
      <c r="CW90" s="1108"/>
      <c r="CX90" s="1108"/>
      <c r="CY90" s="2862"/>
      <c r="CZ90" s="2862"/>
      <c r="DA90" s="2862"/>
      <c r="DB90" s="2862"/>
      <c r="DC90" s="2862"/>
      <c r="DD90" s="2835"/>
      <c r="DE90" s="2862"/>
      <c r="DF90" s="2862"/>
      <c r="DG90" s="2862"/>
      <c r="DH90" s="2862"/>
      <c r="DI90" s="2835"/>
      <c r="DJ90" s="1108"/>
      <c r="DK90" s="11"/>
      <c r="DL90" s="186"/>
      <c r="DM90" s="186"/>
      <c r="DN90" s="186"/>
      <c r="DO90" s="186"/>
      <c r="DP90" s="186"/>
      <c r="DQ90" s="186"/>
      <c r="DR90" s="186"/>
      <c r="DS90" s="186"/>
      <c r="DT90" s="186"/>
    </row>
    <row r="91" spans="1:125" ht="11.25" customHeight="1">
      <c r="A91" s="1836" t="s">
        <v>668</v>
      </c>
      <c r="B91" s="1105">
        <f>'Segment Detail'!Y16</f>
        <v>113.10114264633393</v>
      </c>
      <c r="C91" s="1105">
        <f>'Segment Detail'!Z16</f>
        <v>108.76024653947522</v>
      </c>
      <c r="D91" s="1105">
        <f>'Segment Detail'!AA16</f>
        <v>79.199999999999989</v>
      </c>
      <c r="E91" s="1105">
        <f>'Segment Detail'!AB16</f>
        <v>83.313025911642228</v>
      </c>
      <c r="F91" s="1105">
        <f>'Segment Detail'!AC16</f>
        <v>78</v>
      </c>
      <c r="G91" s="1105">
        <f>'Segment Detail'!AD16</f>
        <v>97.2</v>
      </c>
      <c r="H91" s="1105">
        <f>'Segment Detail'!AE16</f>
        <v>88.2</v>
      </c>
      <c r="I91" s="1105">
        <f>'Segment Detail'!AF16</f>
        <v>52.4</v>
      </c>
      <c r="J91" s="1105">
        <f>'Segment Detail'!AG16</f>
        <v>71.800000000000011</v>
      </c>
      <c r="K91" s="1636">
        <f>SUM(BV91:BY91)</f>
        <v>92</v>
      </c>
      <c r="L91" s="1636">
        <f>SUM(CA91:CD91)</f>
        <v>89</v>
      </c>
      <c r="M91" s="1780">
        <f>SUM(CF91:CI91)</f>
        <v>113</v>
      </c>
      <c r="N91" s="1780">
        <f>SUM(CK91:CN91)</f>
        <v>107</v>
      </c>
      <c r="O91" s="2710">
        <f>M91</f>
        <v>113</v>
      </c>
      <c r="P91" s="2710">
        <f>N91</f>
        <v>107</v>
      </c>
      <c r="Q91" s="1780">
        <f>SUM(CP91:CS91)</f>
        <v>120</v>
      </c>
      <c r="R91" s="1780">
        <f>SUM(CU91:CX91)</f>
        <v>125</v>
      </c>
      <c r="S91" s="2710">
        <f>R91</f>
        <v>125</v>
      </c>
      <c r="T91" s="1780">
        <f>SUM(CZ91:DC91)</f>
        <v>136.852</v>
      </c>
      <c r="U91" s="2890">
        <f>SUM(DE91:DH91)</f>
        <v>136.163265</v>
      </c>
      <c r="V91" s="1105">
        <f>'Segment Detail'!AP16</f>
        <v>141.05962499999998</v>
      </c>
      <c r="W91" s="1105">
        <f>'Segment Detail'!AQ16</f>
        <v>146.05391220000001</v>
      </c>
      <c r="X91" s="1105">
        <f>'Segment Detail'!AR16</f>
        <v>151.14808514399999</v>
      </c>
      <c r="Y91" s="1105">
        <f>'Segment Detail'!AS16</f>
        <v>156.34414154688</v>
      </c>
      <c r="Z91" s="1105">
        <f>'Segment Detail'!AT16</f>
        <v>161.64411907781761</v>
      </c>
      <c r="AA91" s="1105">
        <f>'Segment Detail'!AU16</f>
        <v>167.05009615937396</v>
      </c>
      <c r="AB91" s="1105">
        <f>'Segment Detail'!AV16</f>
        <v>172.56419278256143</v>
      </c>
      <c r="AC91" s="1105">
        <f>'Segment Detail'!AW16</f>
        <v>178.18857133821265</v>
      </c>
      <c r="AD91" s="1105">
        <f>'Segment Detail'!AX16</f>
        <v>183.92543746497691</v>
      </c>
      <c r="AE91" s="1105">
        <f>'Segment Detail'!AY16</f>
        <v>189.77704091427645</v>
      </c>
      <c r="AF91" s="105"/>
      <c r="AG91" s="105"/>
      <c r="AH91" s="105"/>
      <c r="AI91" s="105"/>
      <c r="AJ91" s="105"/>
      <c r="AK91" s="1108"/>
      <c r="AL91" s="1833" t="str">
        <f t="shared" si="112"/>
        <v xml:space="preserve">Publishing </v>
      </c>
      <c r="AM91" s="1105">
        <f>'Segment Detail'!CO16</f>
        <v>5</v>
      </c>
      <c r="AN91" s="1105">
        <f>'Segment Detail'!CP16</f>
        <v>15</v>
      </c>
      <c r="AO91" s="1105">
        <f>'Segment Detail'!CQ16</f>
        <v>30</v>
      </c>
      <c r="AP91" s="1105">
        <f>'Segment Detail'!CR16</f>
        <v>29.199999999999989</v>
      </c>
      <c r="AQ91" s="1741">
        <f>D91-SUM(AM91:AP91)</f>
        <v>0</v>
      </c>
      <c r="AR91" s="1105">
        <f>'Segment Detail'!CT16</f>
        <v>3</v>
      </c>
      <c r="AS91" s="1105">
        <f>'Segment Detail'!CU16</f>
        <v>10</v>
      </c>
      <c r="AT91" s="1105">
        <f>'Segment Detail'!CV16</f>
        <v>27.372800000000002</v>
      </c>
      <c r="AU91" s="1105">
        <f>'Segment Detail'!CW16</f>
        <v>42.94022591164223</v>
      </c>
      <c r="AV91" s="1741">
        <f>E91-SUM(AR91:AU91)</f>
        <v>0</v>
      </c>
      <c r="AW91" s="1105">
        <f>'Segment Detail'!CY16</f>
        <v>5.7999999999999989</v>
      </c>
      <c r="AX91" s="1105">
        <f>'Segment Detail'!CZ16</f>
        <v>10.6</v>
      </c>
      <c r="AY91" s="1105">
        <f>'Segment Detail'!DA16</f>
        <v>23.2</v>
      </c>
      <c r="AZ91" s="1105">
        <f>'Segment Detail'!DB16</f>
        <v>38.400000000000006</v>
      </c>
      <c r="BA91" s="1741">
        <f>F91-SUM(AW91:AZ91)</f>
        <v>0</v>
      </c>
      <c r="BB91" s="1105">
        <f>'Segment Detail'!DD16</f>
        <v>23.8</v>
      </c>
      <c r="BC91" s="1105">
        <f>'Segment Detail'!DE16</f>
        <v>20.100000000000001</v>
      </c>
      <c r="BD91" s="1105">
        <f>'Segment Detail'!DF16</f>
        <v>23.8</v>
      </c>
      <c r="BE91" s="1105">
        <f>'Segment Detail'!DG16</f>
        <v>29.5</v>
      </c>
      <c r="BF91" s="1741">
        <f>G91-SUM(BB91:BE91)</f>
        <v>0</v>
      </c>
      <c r="BG91" s="1105">
        <f>'Segment Detail'!DI16</f>
        <v>17.100000000000001</v>
      </c>
      <c r="BH91" s="1105">
        <f>'Segment Detail'!DJ16</f>
        <v>17</v>
      </c>
      <c r="BI91" s="1105">
        <f>'Segment Detail'!DK16</f>
        <v>25.8</v>
      </c>
      <c r="BJ91" s="1105">
        <f>'Segment Detail'!DL16</f>
        <v>28.3</v>
      </c>
      <c r="BK91" s="1741">
        <f>H91-SUM(BG91:BJ91)</f>
        <v>0</v>
      </c>
      <c r="BL91" s="1105">
        <f>'Segment Detail'!DN16</f>
        <v>0.1</v>
      </c>
      <c r="BM91" s="1105">
        <f>'Segment Detail'!DO16</f>
        <v>10.3</v>
      </c>
      <c r="BN91" s="1105">
        <f>'Segment Detail'!DP16</f>
        <v>28.4</v>
      </c>
      <c r="BO91" s="1105">
        <f>'Segment Detail'!DQ16</f>
        <v>13.6</v>
      </c>
      <c r="BP91" s="1741">
        <f>I91-SUM(BL91:BO91)</f>
        <v>0</v>
      </c>
      <c r="BQ91" s="1635">
        <v>3.6</v>
      </c>
      <c r="BR91" s="1635">
        <v>16.899999999999999</v>
      </c>
      <c r="BS91" s="1635">
        <v>31.2</v>
      </c>
      <c r="BT91" s="1635">
        <v>20.100000000000001</v>
      </c>
      <c r="BU91" s="1741">
        <f>J91-SUM(BQ91:BT91)</f>
        <v>0</v>
      </c>
      <c r="BV91" s="1635">
        <v>7</v>
      </c>
      <c r="BW91" s="1635">
        <v>19</v>
      </c>
      <c r="BX91" s="1635">
        <v>38</v>
      </c>
      <c r="BY91" s="1635">
        <v>28</v>
      </c>
      <c r="BZ91" s="1741">
        <f>K91-SUM(BV91:BY91)</f>
        <v>0</v>
      </c>
      <c r="CA91" s="1635">
        <v>10</v>
      </c>
      <c r="CB91" s="1635">
        <v>9</v>
      </c>
      <c r="CC91" s="1437">
        <v>39</v>
      </c>
      <c r="CD91" s="1437">
        <v>31</v>
      </c>
      <c r="CE91" s="1741">
        <f>L91-SUM(CA91:CD91)</f>
        <v>0</v>
      </c>
      <c r="CF91" s="1635">
        <v>12</v>
      </c>
      <c r="CG91" s="1635">
        <v>21</v>
      </c>
      <c r="CH91" s="1635">
        <v>43</v>
      </c>
      <c r="CI91" s="1635">
        <v>37</v>
      </c>
      <c r="CJ91" s="1741">
        <f>M91-SUM(CF91:CI91)</f>
        <v>0</v>
      </c>
      <c r="CK91" s="1635">
        <v>13</v>
      </c>
      <c r="CL91" s="1635">
        <v>24</v>
      </c>
      <c r="CM91" s="1635">
        <v>43</v>
      </c>
      <c r="CN91" s="1635">
        <v>27</v>
      </c>
      <c r="CO91" s="1741">
        <f>$N91-SUM(CK91:CN91)</f>
        <v>0</v>
      </c>
      <c r="CP91" s="1636">
        <f>CP113+CP107</f>
        <v>13</v>
      </c>
      <c r="CQ91" s="1636">
        <f>CQ113+CQ107</f>
        <v>27</v>
      </c>
      <c r="CR91" s="1636">
        <f>CR113+CR107</f>
        <v>44</v>
      </c>
      <c r="CS91" s="1636">
        <f>CS113+CS107</f>
        <v>36</v>
      </c>
      <c r="CT91" s="1741">
        <f>$Q91-SUM(CP91:CS91)</f>
        <v>0</v>
      </c>
      <c r="CU91" s="1636">
        <f>CU113+CU107</f>
        <v>14</v>
      </c>
      <c r="CV91" s="1636">
        <f>CV113+CV107</f>
        <v>28</v>
      </c>
      <c r="CW91" s="1636">
        <f>CW113+CW107</f>
        <v>45</v>
      </c>
      <c r="CX91" s="1636">
        <f>CX113+CX107</f>
        <v>38</v>
      </c>
      <c r="CY91" s="2835">
        <f>S91-SUM(CU91:CX91)</f>
        <v>0</v>
      </c>
      <c r="CZ91" s="1636">
        <f>CZ113+CZ107</f>
        <v>15</v>
      </c>
      <c r="DA91" s="2970">
        <f>DA113+DA107</f>
        <v>30</v>
      </c>
      <c r="DB91" s="2970">
        <f>DB113+DB107</f>
        <v>48</v>
      </c>
      <c r="DC91" s="2804">
        <f>DC39*DC93</f>
        <v>43.852000000000004</v>
      </c>
      <c r="DD91" s="2835">
        <f>T91-SUM(CZ91:DC91)</f>
        <v>0</v>
      </c>
      <c r="DE91" s="2804">
        <f t="shared" ref="DE91:DF91" si="138">DE39*DE93</f>
        <v>15.224999999999998</v>
      </c>
      <c r="DF91" s="2804">
        <f t="shared" si="138"/>
        <v>30.659089999999996</v>
      </c>
      <c r="DG91" s="2804">
        <f>DG39*DG93</f>
        <v>48.951419999999992</v>
      </c>
      <c r="DH91" s="2804">
        <f>DH39*DH93</f>
        <v>41.327755000000003</v>
      </c>
      <c r="DI91" s="2835">
        <f t="shared" si="73"/>
        <v>0</v>
      </c>
      <c r="DJ91" s="1741"/>
      <c r="DK91" s="14" t="s">
        <v>1237</v>
      </c>
      <c r="DL91" s="186"/>
      <c r="DM91" s="186"/>
      <c r="DN91" s="186"/>
      <c r="DO91" s="186"/>
      <c r="DP91" s="186"/>
      <c r="DQ91" s="186"/>
      <c r="DR91" s="186"/>
      <c r="DS91" s="186"/>
      <c r="DT91" s="186"/>
    </row>
    <row r="92" spans="1:125" ht="11.25" customHeight="1">
      <c r="A92" s="1835" t="s">
        <v>344</v>
      </c>
      <c r="B92" s="1473" t="s">
        <v>1455</v>
      </c>
      <c r="C92" s="1364">
        <f>C91/B91-1</f>
        <v>-3.8380656510541566E-2</v>
      </c>
      <c r="D92" s="1364">
        <f t="shared" ref="D92:J92" si="139">D91/C91-1</f>
        <v>-0.27179275038463757</v>
      </c>
      <c r="E92" s="1364">
        <f t="shared" si="139"/>
        <v>5.1932145349018244E-2</v>
      </c>
      <c r="F92" s="1364">
        <f t="shared" si="139"/>
        <v>-6.3771851442257832E-2</v>
      </c>
      <c r="G92" s="1364">
        <f t="shared" si="139"/>
        <v>0.24615384615384617</v>
      </c>
      <c r="H92" s="1364">
        <f t="shared" si="139"/>
        <v>-9.259259259259256E-2</v>
      </c>
      <c r="I92" s="1364">
        <f t="shared" si="139"/>
        <v>-0.4058956916099774</v>
      </c>
      <c r="J92" s="1364">
        <f t="shared" si="139"/>
        <v>0.37022900763358813</v>
      </c>
      <c r="K92" s="1364">
        <f t="shared" ref="K92:W92" si="140">K91/J91-1</f>
        <v>0.28133704735376019</v>
      </c>
      <c r="L92" s="1364">
        <f t="shared" si="140"/>
        <v>-3.2608695652173947E-2</v>
      </c>
      <c r="M92" s="1364">
        <f t="shared" si="140"/>
        <v>0.2696629213483146</v>
      </c>
      <c r="N92" s="1364">
        <f t="shared" si="140"/>
        <v>-5.3097345132743334E-2</v>
      </c>
      <c r="O92" s="2711"/>
      <c r="P92" s="2711">
        <f t="shared" si="140"/>
        <v>-5.3097345132743334E-2</v>
      </c>
      <c r="Q92" s="1364">
        <f t="shared" si="140"/>
        <v>0.12149532710280364</v>
      </c>
      <c r="R92" s="1364">
        <f t="shared" si="140"/>
        <v>4.1666666666666741E-2</v>
      </c>
      <c r="S92" s="2711"/>
      <c r="T92" s="1364">
        <f>T91/R91-1</f>
        <v>9.4816000000000011E-2</v>
      </c>
      <c r="U92" s="1364">
        <f t="shared" si="140"/>
        <v>-5.0326995586473799E-3</v>
      </c>
      <c r="V92" s="1364">
        <f t="shared" si="140"/>
        <v>3.595947849811032E-2</v>
      </c>
      <c r="W92" s="1364">
        <f t="shared" si="140"/>
        <v>3.5405504587156189E-2</v>
      </c>
      <c r="X92" s="1364">
        <f t="shared" ref="X92:AE92" si="141">X91/W91-1</f>
        <v>3.4878716134794319E-2</v>
      </c>
      <c r="Y92" s="1364">
        <f t="shared" si="141"/>
        <v>3.4377255907209747E-2</v>
      </c>
      <c r="Z92" s="1364">
        <f t="shared" si="141"/>
        <v>3.3899431590459717E-2</v>
      </c>
      <c r="AA92" s="1364">
        <f t="shared" si="141"/>
        <v>3.3443697874055323E-2</v>
      </c>
      <c r="AB92" s="1364">
        <f t="shared" si="141"/>
        <v>3.3008640820695767E-2</v>
      </c>
      <c r="AC92" s="1364">
        <f t="shared" si="141"/>
        <v>3.2592964188915996E-2</v>
      </c>
      <c r="AD92" s="1364">
        <f t="shared" si="141"/>
        <v>3.2195477429780572E-2</v>
      </c>
      <c r="AE92" s="1364">
        <f t="shared" si="141"/>
        <v>3.1815085123360509E-2</v>
      </c>
      <c r="AF92" s="1104"/>
      <c r="AG92" s="1104"/>
      <c r="AH92" s="1104"/>
      <c r="AI92" s="1104"/>
      <c r="AJ92" s="1104"/>
      <c r="AK92" s="1477"/>
      <c r="AL92" s="1835" t="str">
        <f t="shared" si="112"/>
        <v xml:space="preserve">% Change </v>
      </c>
      <c r="AM92" s="1770" t="s">
        <v>1455</v>
      </c>
      <c r="AN92" s="1770" t="s">
        <v>1455</v>
      </c>
      <c r="AO92" s="1770" t="s">
        <v>1455</v>
      </c>
      <c r="AP92" s="1770" t="s">
        <v>1455</v>
      </c>
      <c r="AQ92" s="1811"/>
      <c r="AR92" s="1364">
        <f>AR91/AM91-1</f>
        <v>-0.4</v>
      </c>
      <c r="AS92" s="1364">
        <f>AS91/AN91-1</f>
        <v>-0.33333333333333337</v>
      </c>
      <c r="AT92" s="1364">
        <f>AT91/AO91-1</f>
        <v>-8.7573333333333281E-2</v>
      </c>
      <c r="AU92" s="1364">
        <f>AU91/AP91-1</f>
        <v>0.4705556819055563</v>
      </c>
      <c r="AV92" s="1811"/>
      <c r="AW92" s="1364">
        <f>AW91/AR91-1</f>
        <v>0.9333333333333329</v>
      </c>
      <c r="AX92" s="1364">
        <f>AX91/AS91-1</f>
        <v>6.0000000000000053E-2</v>
      </c>
      <c r="AY92" s="1364">
        <f>AY91/AT91-1</f>
        <v>-0.15244330137947171</v>
      </c>
      <c r="AZ92" s="1364">
        <f>AZ91/AU91-1</f>
        <v>-0.10573362890508797</v>
      </c>
      <c r="BA92" s="1811"/>
      <c r="BB92" s="1364">
        <f>BB91/AW91-1</f>
        <v>3.1034482758620703</v>
      </c>
      <c r="BC92" s="1364">
        <f>BC91/AX91-1</f>
        <v>0.89622641509433976</v>
      </c>
      <c r="BD92" s="1364">
        <f>BD91/AY91-1</f>
        <v>2.5862068965517349E-2</v>
      </c>
      <c r="BE92" s="1364">
        <f>BE91/AZ91-1</f>
        <v>-0.23177083333333348</v>
      </c>
      <c r="BF92" s="1811"/>
      <c r="BG92" s="1364">
        <f>BG91/BB91-1</f>
        <v>-0.28151260504201681</v>
      </c>
      <c r="BH92" s="1364">
        <f>BH91/BC91-1</f>
        <v>-0.15422885572139311</v>
      </c>
      <c r="BI92" s="1364">
        <f>BI91/BD91-1</f>
        <v>8.4033613445378075E-2</v>
      </c>
      <c r="BJ92" s="1364">
        <f>BJ91/BE91-1</f>
        <v>-4.067796610169494E-2</v>
      </c>
      <c r="BK92" s="1811"/>
      <c r="BL92" s="1364">
        <f>BL91/BG91-1</f>
        <v>-0.99415204678362579</v>
      </c>
      <c r="BM92" s="1364">
        <f>BM91/BH91-1</f>
        <v>-0.39411764705882346</v>
      </c>
      <c r="BN92" s="1364">
        <f>BN91/BI91-1</f>
        <v>0.10077519379844957</v>
      </c>
      <c r="BO92" s="1364">
        <f>BO91/BJ91-1</f>
        <v>-0.51943462897526504</v>
      </c>
      <c r="BP92" s="1811"/>
      <c r="BQ92" s="1364">
        <f>BQ91/BL91-1</f>
        <v>35</v>
      </c>
      <c r="BR92" s="1364">
        <f>BR91/BM91-1</f>
        <v>0.64077669902912593</v>
      </c>
      <c r="BS92" s="1364">
        <f>BS91/BN91-1</f>
        <v>9.8591549295774739E-2</v>
      </c>
      <c r="BT92" s="1364">
        <f>BT91/BO91-1</f>
        <v>0.47794117647058831</v>
      </c>
      <c r="BU92" s="1477"/>
      <c r="BV92" s="1364">
        <f>BV91/BQ91-1</f>
        <v>0.94444444444444442</v>
      </c>
      <c r="BW92" s="1364">
        <f>BW91/BR91-1</f>
        <v>0.12426035502958599</v>
      </c>
      <c r="BX92" s="1364">
        <f>BX91/BS91-1</f>
        <v>0.21794871794871806</v>
      </c>
      <c r="BY92" s="1364">
        <f>BY91/BT91-1</f>
        <v>0.39303482587064664</v>
      </c>
      <c r="BZ92" s="1477"/>
      <c r="CA92" s="1364">
        <f>CA91/BV91-1</f>
        <v>0.4285714285714286</v>
      </c>
      <c r="CB92" s="1364">
        <f>CB91/BW91-1</f>
        <v>-0.52631578947368429</v>
      </c>
      <c r="CC92" s="1364">
        <f>CC91/BX91-1</f>
        <v>2.6315789473684292E-2</v>
      </c>
      <c r="CD92" s="1364">
        <f>CD91/BY91-1</f>
        <v>0.10714285714285721</v>
      </c>
      <c r="CE92" s="1477"/>
      <c r="CF92" s="1364">
        <f>CF91/CA91-1</f>
        <v>0.19999999999999996</v>
      </c>
      <c r="CG92" s="1364">
        <f>CG91/CB91-1</f>
        <v>1.3333333333333335</v>
      </c>
      <c r="CH92" s="1364">
        <f>CH91/CC91-1</f>
        <v>0.10256410256410264</v>
      </c>
      <c r="CI92" s="1364">
        <f>CI91/CD91-1</f>
        <v>0.19354838709677424</v>
      </c>
      <c r="CJ92" s="1477"/>
      <c r="CK92" s="1364">
        <f>CK91/CF91-1</f>
        <v>8.3333333333333259E-2</v>
      </c>
      <c r="CL92" s="1364">
        <f>CL91/CG91-1</f>
        <v>0.14285714285714279</v>
      </c>
      <c r="CM92" s="1364">
        <f>CM91/CH91-1</f>
        <v>0</v>
      </c>
      <c r="CN92" s="1364">
        <f>CN91/CI91-1</f>
        <v>-0.27027027027027029</v>
      </c>
      <c r="CO92" s="1364"/>
      <c r="CP92" s="1364">
        <f>CP91/CK91-1</f>
        <v>0</v>
      </c>
      <c r="CQ92" s="1364">
        <f>CQ91/CL91-1</f>
        <v>0.125</v>
      </c>
      <c r="CR92" s="2008">
        <f>CR91/CM91-1</f>
        <v>2.3255813953488413E-2</v>
      </c>
      <c r="CS92" s="2008">
        <f>CS91/CN91-1</f>
        <v>0.33333333333333326</v>
      </c>
      <c r="CT92" s="1741"/>
      <c r="CU92" s="2008">
        <f>CU91/CP91-1</f>
        <v>7.6923076923076872E-2</v>
      </c>
      <c r="CV92" s="2008">
        <f>CV91/CQ91-1</f>
        <v>3.7037037037036979E-2</v>
      </c>
      <c r="CW92" s="2008">
        <f>CW91/CR91-1</f>
        <v>2.2727272727272707E-2</v>
      </c>
      <c r="CX92" s="1364">
        <f>CX91/CS91-1</f>
        <v>5.555555555555558E-2</v>
      </c>
      <c r="CY92" s="1477"/>
      <c r="CZ92" s="2008">
        <f>CZ91/CU91-1</f>
        <v>7.1428571428571397E-2</v>
      </c>
      <c r="DA92" s="2980">
        <f>DA91/CV91-1</f>
        <v>7.1428571428571397E-2</v>
      </c>
      <c r="DB92" s="2980">
        <f>DB91/CW91-1</f>
        <v>6.6666666666666652E-2</v>
      </c>
      <c r="DC92" s="2827">
        <f>DC91/CX91-1</f>
        <v>0.15400000000000014</v>
      </c>
      <c r="DD92" s="2835"/>
      <c r="DE92" s="2827">
        <f t="shared" ref="DE92:DF92" si="142">DE91/CZ91-1</f>
        <v>1.4999999999999902E-2</v>
      </c>
      <c r="DF92" s="2827">
        <f t="shared" si="142"/>
        <v>2.1969666666666443E-2</v>
      </c>
      <c r="DG92" s="2827">
        <f>DG91/DB91-1</f>
        <v>1.9821249999999901E-2</v>
      </c>
      <c r="DH92" s="2827">
        <f>DH91/DC91-1</f>
        <v>-5.756282495667242E-2</v>
      </c>
      <c r="DI92" s="2835"/>
      <c r="DJ92" s="1477"/>
      <c r="DK92" s="1104"/>
      <c r="DL92" s="186"/>
      <c r="DM92" s="186"/>
      <c r="DN92" s="186"/>
      <c r="DO92" s="186"/>
      <c r="DP92" s="186"/>
      <c r="DQ92" s="186"/>
      <c r="DR92" s="186"/>
      <c r="DS92" s="186"/>
      <c r="DT92" s="186"/>
    </row>
    <row r="93" spans="1:125" ht="11.25" customHeight="1">
      <c r="A93" s="1835" t="s">
        <v>1208</v>
      </c>
      <c r="B93" s="1364">
        <f>B91/B39</f>
        <v>0.16800931332428537</v>
      </c>
      <c r="C93" s="1364">
        <f t="shared" ref="C93:J93" si="143">C91/C39</f>
        <v>0.15639144213993614</v>
      </c>
      <c r="D93" s="1364">
        <f t="shared" si="143"/>
        <v>0.10512738548305949</v>
      </c>
      <c r="E93" s="1364">
        <f t="shared" si="143"/>
        <v>0.10713366527379398</v>
      </c>
      <c r="F93" s="1364">
        <f t="shared" si="143"/>
        <v>9.6658587000163568E-2</v>
      </c>
      <c r="G93" s="1364">
        <f t="shared" si="143"/>
        <v>0.10969416544408081</v>
      </c>
      <c r="H93" s="1364">
        <f t="shared" si="143"/>
        <v>0.10283315844700944</v>
      </c>
      <c r="I93" s="1364">
        <f t="shared" si="143"/>
        <v>6.6036546943919347E-2</v>
      </c>
      <c r="J93" s="1364">
        <f t="shared" si="143"/>
        <v>9.0794132524026322E-2</v>
      </c>
      <c r="K93" s="1364">
        <f t="shared" ref="K93:V93" si="144">K91/K39</f>
        <v>0.11689961880559085</v>
      </c>
      <c r="L93" s="1364">
        <f t="shared" si="144"/>
        <v>0.11265822784810127</v>
      </c>
      <c r="M93" s="1364">
        <f t="shared" si="144"/>
        <v>0.13967861557478367</v>
      </c>
      <c r="N93" s="1364">
        <f>N91/N39</f>
        <v>0.13753213367609254</v>
      </c>
      <c r="O93" s="2711">
        <f>O91/O39</f>
        <v>0.13967861557478367</v>
      </c>
      <c r="P93" s="2711">
        <f>P91/P39</f>
        <v>0.13753213367609254</v>
      </c>
      <c r="Q93" s="1364">
        <f>Q91/Q39</f>
        <v>0.15384615384615385</v>
      </c>
      <c r="R93" s="1364">
        <f t="shared" si="144"/>
        <v>0.16297262059973924</v>
      </c>
      <c r="S93" s="2711"/>
      <c r="T93" s="1364">
        <f t="shared" si="144"/>
        <v>0.17021393034825871</v>
      </c>
      <c r="U93" s="1364">
        <f t="shared" si="144"/>
        <v>0.16685447761194031</v>
      </c>
      <c r="V93" s="1364">
        <f t="shared" si="144"/>
        <v>0.16946517412935322</v>
      </c>
      <c r="W93" s="1364">
        <f t="shared" ref="W93:AB93" si="145">W91/W39</f>
        <v>0.17202468051897377</v>
      </c>
      <c r="X93" s="1364">
        <f t="shared" si="145"/>
        <v>0.1745340005087978</v>
      </c>
      <c r="Y93" s="1364">
        <f t="shared" si="145"/>
        <v>0.1769941181458802</v>
      </c>
      <c r="Z93" s="1364">
        <f t="shared" si="145"/>
        <v>0.17940599818223552</v>
      </c>
      <c r="AA93" s="1364">
        <f t="shared" si="145"/>
        <v>0.18177058645317207</v>
      </c>
      <c r="AB93" s="1364">
        <f t="shared" si="145"/>
        <v>0.18408881024820792</v>
      </c>
      <c r="AC93" s="1364">
        <f>AC91/AC39</f>
        <v>0.18636157867471362</v>
      </c>
      <c r="AD93" s="1364">
        <f>AD91/AD39</f>
        <v>0.18858978301442514</v>
      </c>
      <c r="AE93" s="1364">
        <f>AE91/AE39</f>
        <v>0.19077429707296581</v>
      </c>
      <c r="AF93" s="1104"/>
      <c r="AG93" s="1104"/>
      <c r="AH93" s="1104"/>
      <c r="AI93" s="1104"/>
      <c r="AJ93" s="1104"/>
      <c r="AK93" s="1477"/>
      <c r="AL93" s="1835" t="str">
        <f t="shared" si="112"/>
        <v xml:space="preserve">% Margin </v>
      </c>
      <c r="AM93" s="1364">
        <f>AM91/AM39</f>
        <v>3.3602150537634407E-2</v>
      </c>
      <c r="AN93" s="1364">
        <f>AN91/AN39</f>
        <v>8.2146768893756841E-2</v>
      </c>
      <c r="AO93" s="1364">
        <f>AO91/AO39</f>
        <v>0.14423076923076922</v>
      </c>
      <c r="AP93" s="1364">
        <f>AP91/AP39</f>
        <v>0.13646662740334858</v>
      </c>
      <c r="AQ93" s="1811"/>
      <c r="AR93" s="1364">
        <f>AR91/AR39</f>
        <v>1.9035532994923859E-2</v>
      </c>
      <c r="AS93" s="1364">
        <f>AS91/AS39</f>
        <v>5.7438253877082138E-2</v>
      </c>
      <c r="AT93" s="1364">
        <f>AT91/AT39</f>
        <v>0.14000000000000001</v>
      </c>
      <c r="AU93" s="1364">
        <f>AU91/AU39</f>
        <v>0.17146258791572541</v>
      </c>
      <c r="AV93" s="1811"/>
      <c r="AW93" s="1364">
        <f>AW91/AW39</f>
        <v>3.2282482856888402E-2</v>
      </c>
      <c r="AX93" s="1364">
        <f>AX91/AX39</f>
        <v>5.9751972942502812E-2</v>
      </c>
      <c r="AY93" s="1364">
        <f>AY91/AY39</f>
        <v>0.11752786220871327</v>
      </c>
      <c r="AZ93" s="1364">
        <f>AZ91/AZ39</f>
        <v>0.1520792079207921</v>
      </c>
      <c r="BA93" s="1811"/>
      <c r="BB93" s="1364">
        <f>BB91/BB39</f>
        <v>0.10379415612734409</v>
      </c>
      <c r="BC93" s="1364">
        <f>BC91/BC39</f>
        <v>0.10034947578632052</v>
      </c>
      <c r="BD93" s="1364">
        <f>BD91/BD39</f>
        <v>0.11111111111111112</v>
      </c>
      <c r="BE93" s="1364">
        <f>BE91/BE39</f>
        <v>0.1217498968221213</v>
      </c>
      <c r="BF93" s="1811"/>
      <c r="BG93" s="1364">
        <f>BG91/BG39</f>
        <v>8.4821428571428575E-2</v>
      </c>
      <c r="BH93" s="1364">
        <f>BH91/BH39</f>
        <v>9.1397849462365593E-2</v>
      </c>
      <c r="BI93" s="1364">
        <f>BI91/BI39</f>
        <v>0.11466666666666667</v>
      </c>
      <c r="BJ93" s="1364">
        <f>BJ91/BJ39</f>
        <v>0.11546307629538964</v>
      </c>
      <c r="BK93" s="1811"/>
      <c r="BL93" s="1364">
        <f>BL91/BL39</f>
        <v>6.1842918985776133E-4</v>
      </c>
      <c r="BM93" s="1364">
        <f>BM91/BM39</f>
        <v>5.6780595369349506E-2</v>
      </c>
      <c r="BN93" s="1364">
        <f>BN91/BN39</f>
        <v>0.12326388888888888</v>
      </c>
      <c r="BO93" s="1364">
        <f>BO91/BO39</f>
        <v>6.1818181818181814E-2</v>
      </c>
      <c r="BP93" s="1811"/>
      <c r="BQ93" s="1364">
        <f>BQ91/BQ39</f>
        <v>2.3731048121292026E-2</v>
      </c>
      <c r="BR93" s="1364">
        <f>BR91/BR39</f>
        <v>8.9088033737480227E-2</v>
      </c>
      <c r="BS93" s="1364">
        <f>BS91/BS39</f>
        <v>0.14331649058337162</v>
      </c>
      <c r="BT93" s="1364">
        <f>BT91/BT39</f>
        <v>8.6750107898144163E-2</v>
      </c>
      <c r="BU93" s="1477"/>
      <c r="BV93" s="1364">
        <f>BV91/BV39</f>
        <v>4.5161290322580643E-2</v>
      </c>
      <c r="BW93" s="1364">
        <f>BW91/BW39</f>
        <v>0.10382513661202186</v>
      </c>
      <c r="BX93" s="1364">
        <f>BX91/BX39</f>
        <v>0.17272727272727273</v>
      </c>
      <c r="BY93" s="1364">
        <f>BY91/BY39</f>
        <v>0.1222707423580786</v>
      </c>
      <c r="BZ93" s="1477"/>
      <c r="CA93" s="1364">
        <f>CA91/CA39</f>
        <v>5.6818181818181816E-2</v>
      </c>
      <c r="CB93" s="1364">
        <f>CB91/CB39</f>
        <v>4.7619047619047616E-2</v>
      </c>
      <c r="CC93" s="1364">
        <f>CC91/CC39</f>
        <v>0.18571428571428572</v>
      </c>
      <c r="CD93" s="1364">
        <f>CD91/CD39</f>
        <v>0.14418604651162792</v>
      </c>
      <c r="CE93" s="1477"/>
      <c r="CF93" s="1364">
        <f>CF91/CF39</f>
        <v>7.0175438596491224E-2</v>
      </c>
      <c r="CG93" s="1364">
        <f>CG91/CG39</f>
        <v>0.1111111111111111</v>
      </c>
      <c r="CH93" s="1364">
        <f>CH91/CH39</f>
        <v>0.19196428571428573</v>
      </c>
      <c r="CI93" s="1364">
        <f>CI91/CI39</f>
        <v>0.16444444444444445</v>
      </c>
      <c r="CJ93" s="1640"/>
      <c r="CK93" s="1364">
        <f>CK91/CK39</f>
        <v>8.4967320261437912E-2</v>
      </c>
      <c r="CL93" s="1364">
        <f>CL91/CL39</f>
        <v>0.11374407582938388</v>
      </c>
      <c r="CM93" s="1364">
        <f>CM91/CM39</f>
        <v>0.21608040201005024</v>
      </c>
      <c r="CN93" s="1364">
        <f>CN91/CN39</f>
        <v>0.12558139534883722</v>
      </c>
      <c r="CO93" s="1364"/>
      <c r="CP93" s="1364">
        <f>CP91/CP39</f>
        <v>8.9655172413793102E-2</v>
      </c>
      <c r="CQ93" s="1364">
        <f>CQ91/CQ39</f>
        <v>0.135678391959799</v>
      </c>
      <c r="CR93" s="1364">
        <f>CR91/CR39</f>
        <v>0.21674876847290642</v>
      </c>
      <c r="CS93" s="1364">
        <f>CS91/CS39</f>
        <v>0.15450643776824036</v>
      </c>
      <c r="CT93" s="1741"/>
      <c r="CU93" s="1364">
        <f>CU91/CU39</f>
        <v>9.6551724137931033E-2</v>
      </c>
      <c r="CV93" s="1364">
        <f>CV91/CV39</f>
        <v>0.1497326203208556</v>
      </c>
      <c r="CW93" s="1364">
        <f>CW91/CW39</f>
        <v>0.19911504424778761</v>
      </c>
      <c r="CX93" s="1364">
        <f>CX91/CX39</f>
        <v>0.18181818181818182</v>
      </c>
      <c r="CY93" s="1640"/>
      <c r="CZ93" s="1364">
        <f>CZ91/CZ39</f>
        <v>9.3167701863354033E-2</v>
      </c>
      <c r="DA93" s="2827">
        <f>DA91/DA39</f>
        <v>0.14563106796116504</v>
      </c>
      <c r="DB93" s="2827">
        <f>DB91/DB39</f>
        <v>0.21052631578947367</v>
      </c>
      <c r="DC93" s="3093">
        <f>CX93+0.028</f>
        <v>0.20981818181818182</v>
      </c>
      <c r="DD93" s="2835"/>
      <c r="DE93" s="3093">
        <f>CZ93+0</f>
        <v>9.3167701863354033E-2</v>
      </c>
      <c r="DF93" s="3093">
        <f>DA93+0.001</f>
        <v>0.14663106796116504</v>
      </c>
      <c r="DG93" s="3093">
        <f>DB93+0.001</f>
        <v>0.21152631578947367</v>
      </c>
      <c r="DH93" s="3093">
        <f>DC93-0.015</f>
        <v>0.19481818181818183</v>
      </c>
      <c r="DI93" s="2835"/>
      <c r="DJ93" s="1640"/>
      <c r="DK93" s="1308" t="s">
        <v>1237</v>
      </c>
      <c r="DL93" s="186"/>
      <c r="DM93" s="186"/>
      <c r="DN93" s="186"/>
      <c r="DO93" s="186"/>
      <c r="DP93" s="186"/>
      <c r="DQ93" s="186"/>
      <c r="DR93" s="186"/>
      <c r="DS93" s="186"/>
      <c r="DT93" s="186"/>
    </row>
    <row r="94" spans="1:125" ht="6" hidden="1" customHeight="1" outlineLevel="1">
      <c r="A94" s="1806"/>
      <c r="B94" s="1110"/>
      <c r="C94" s="1110"/>
      <c r="D94" s="1110"/>
      <c r="E94" s="1110"/>
      <c r="F94" s="1110"/>
      <c r="G94" s="1110"/>
      <c r="H94" s="1110"/>
      <c r="I94" s="1110"/>
      <c r="J94" s="1110"/>
      <c r="K94" s="1110"/>
      <c r="L94" s="1110"/>
      <c r="M94" s="1110"/>
      <c r="N94" s="1110"/>
      <c r="O94" s="2705"/>
      <c r="P94" s="2705"/>
      <c r="Q94" s="1110"/>
      <c r="R94" s="1110"/>
      <c r="S94" s="2705"/>
      <c r="T94" s="1110"/>
      <c r="U94" s="1110"/>
      <c r="V94" s="1110"/>
      <c r="W94" s="1110"/>
      <c r="X94" s="1110"/>
      <c r="Y94" s="1110"/>
      <c r="Z94" s="1110"/>
      <c r="AA94" s="1110"/>
      <c r="AB94" s="1110"/>
      <c r="AC94" s="1110"/>
      <c r="AD94" s="39"/>
      <c r="AE94" s="39"/>
      <c r="AF94" s="39"/>
      <c r="AG94" s="39"/>
      <c r="AH94" s="39"/>
      <c r="AI94" s="39"/>
      <c r="AJ94" s="39"/>
      <c r="AK94" s="11"/>
      <c r="AL94" s="1299"/>
      <c r="AM94" s="39"/>
      <c r="AN94" s="39"/>
      <c r="AO94" s="39"/>
      <c r="AP94" s="39"/>
      <c r="AQ94" s="1120"/>
      <c r="AR94" s="39"/>
      <c r="AS94" s="39"/>
      <c r="AT94" s="39"/>
      <c r="AU94" s="39"/>
      <c r="AV94" s="1120"/>
      <c r="AW94" s="39"/>
      <c r="AX94" s="39"/>
      <c r="AY94" s="39"/>
      <c r="AZ94" s="39"/>
      <c r="BA94" s="1120"/>
      <c r="BB94" s="39"/>
      <c r="BC94" s="39"/>
      <c r="BD94" s="39"/>
      <c r="BE94" s="39"/>
      <c r="BF94" s="1120"/>
      <c r="BG94" s="39"/>
      <c r="BH94" s="39"/>
      <c r="BI94" s="39"/>
      <c r="BJ94" s="39"/>
      <c r="BK94" s="1120"/>
      <c r="BL94" s="39"/>
      <c r="BM94" s="39"/>
      <c r="BN94" s="39"/>
      <c r="BO94" s="39"/>
      <c r="BP94" s="1120"/>
      <c r="BQ94" s="11"/>
      <c r="BR94" s="11"/>
      <c r="BS94" s="11"/>
      <c r="BT94" s="11"/>
      <c r="BU94" s="11"/>
      <c r="BV94" s="11"/>
      <c r="BW94" s="11"/>
      <c r="BX94" s="11"/>
      <c r="BY94" s="11"/>
      <c r="BZ94" s="11"/>
      <c r="CA94" s="11"/>
      <c r="CB94" s="11"/>
      <c r="CC94" s="11"/>
      <c r="CD94" s="11"/>
      <c r="CE94" s="11"/>
      <c r="CF94" s="11"/>
      <c r="CG94" s="11"/>
      <c r="CH94" s="11"/>
      <c r="CI94" s="11"/>
      <c r="CJ94" s="11"/>
      <c r="CK94" s="1470"/>
      <c r="CL94" s="1470"/>
      <c r="CM94" s="1470"/>
      <c r="CN94" s="1108"/>
      <c r="CO94" s="1108"/>
      <c r="CP94" s="1470"/>
      <c r="CQ94" s="1470"/>
      <c r="CR94" s="1470"/>
      <c r="CS94" s="1108"/>
      <c r="CT94" s="1108"/>
      <c r="CU94" s="1108"/>
      <c r="CV94" s="1108"/>
      <c r="CW94" s="1108"/>
      <c r="CX94" s="1108"/>
      <c r="CY94" s="1108"/>
      <c r="CZ94" s="2862"/>
      <c r="DA94" s="2862"/>
      <c r="DB94" s="2862"/>
      <c r="DC94" s="2862"/>
      <c r="DD94" s="2835"/>
      <c r="DE94" s="2862"/>
      <c r="DF94" s="2862"/>
      <c r="DG94" s="2862"/>
      <c r="DH94" s="2862"/>
      <c r="DI94" s="2835">
        <f t="shared" si="73"/>
        <v>0</v>
      </c>
      <c r="DJ94" s="1108"/>
      <c r="DK94" s="11"/>
      <c r="DL94" s="186"/>
      <c r="DM94" s="186"/>
      <c r="DN94" s="186"/>
      <c r="DO94" s="186"/>
      <c r="DP94" s="186"/>
      <c r="DQ94" s="186"/>
      <c r="DR94" s="186"/>
      <c r="DS94" s="186"/>
      <c r="DT94" s="186"/>
    </row>
    <row r="95" spans="1:125" ht="11.25" hidden="1" customHeight="1" outlineLevel="1">
      <c r="A95" s="1836" t="s">
        <v>705</v>
      </c>
      <c r="B95" s="1105">
        <f>'Segment Detail'!Y14</f>
        <v>47.798857353666051</v>
      </c>
      <c r="C95" s="1105">
        <f>'Segment Detail'!Z14</f>
        <v>39.339753460524776</v>
      </c>
      <c r="D95" s="1105">
        <f>'Segment Detail'!AA14</f>
        <v>101</v>
      </c>
      <c r="E95" s="1105">
        <f>'Segment Detail'!AB14</f>
        <v>101.48697408835778</v>
      </c>
      <c r="F95" s="1781">
        <f>'Segment Detail'!AC14</f>
        <v>0</v>
      </c>
      <c r="G95" s="1781">
        <f>'Segment Detail'!AD14</f>
        <v>0</v>
      </c>
      <c r="H95" s="1781">
        <f>'Segment Detail'!AE14</f>
        <v>0</v>
      </c>
      <c r="I95" s="1781">
        <f>'Segment Detail'!AF14</f>
        <v>0</v>
      </c>
      <c r="J95" s="1781">
        <f>'Segment Detail'!AG14</f>
        <v>0</v>
      </c>
      <c r="K95" s="1781">
        <f>'Segment Detail'!AH14</f>
        <v>0</v>
      </c>
      <c r="L95" s="1781">
        <f>'Segment Detail'!AI14</f>
        <v>0</v>
      </c>
      <c r="M95" s="1781">
        <f>'Segment Detail'!AJ14</f>
        <v>0</v>
      </c>
      <c r="N95" s="1781">
        <f>'Segment Detail'!AK14</f>
        <v>0</v>
      </c>
      <c r="O95" s="2715">
        <f>M95</f>
        <v>0</v>
      </c>
      <c r="P95" s="2715">
        <f>N95</f>
        <v>0</v>
      </c>
      <c r="Q95" s="1781">
        <f>'Segment Detail'!AL14</f>
        <v>0</v>
      </c>
      <c r="R95" s="1781">
        <f>'Segment Detail'!AM14</f>
        <v>0</v>
      </c>
      <c r="S95" s="2715"/>
      <c r="T95" s="1781">
        <f>'Segment Detail'!AN14</f>
        <v>0</v>
      </c>
      <c r="U95" s="1781">
        <f>'Segment Detail'!AO14</f>
        <v>0</v>
      </c>
      <c r="V95" s="1781">
        <f>'Segment Detail'!AP14</f>
        <v>0</v>
      </c>
      <c r="W95" s="1781">
        <f>'Segment Detail'!AQ14</f>
        <v>0</v>
      </c>
      <c r="X95" s="1781">
        <f>'Segment Detail'!AR14</f>
        <v>0</v>
      </c>
      <c r="Y95" s="1781">
        <f>'Segment Detail'!AS14</f>
        <v>0</v>
      </c>
      <c r="Z95" s="1781">
        <f>'Segment Detail'!AT14</f>
        <v>0</v>
      </c>
      <c r="AA95" s="1781">
        <f>'Segment Detail'!AU14</f>
        <v>0</v>
      </c>
      <c r="AB95" s="1781">
        <f>'Segment Detail'!AV14</f>
        <v>0</v>
      </c>
      <c r="AC95" s="1781">
        <f>'Segment Detail'!AW14</f>
        <v>0</v>
      </c>
      <c r="AD95" s="1781">
        <f>'Segment Detail'!AX14</f>
        <v>0</v>
      </c>
      <c r="AE95" s="1290"/>
      <c r="AF95" s="1290"/>
      <c r="AG95" s="1290"/>
      <c r="AH95" s="1290"/>
      <c r="AI95" s="1290"/>
      <c r="AJ95" s="1290"/>
      <c r="AK95" s="11"/>
      <c r="AL95" s="1297" t="str">
        <f t="shared" si="112"/>
        <v xml:space="preserve">Theme Parks </v>
      </c>
      <c r="AM95" s="105">
        <f>'Segment Detail'!CO14</f>
        <v>-5</v>
      </c>
      <c r="AN95" s="105">
        <f>'Segment Detail'!CP14</f>
        <v>29.200000000000003</v>
      </c>
      <c r="AO95" s="105">
        <f>'Segment Detail'!CQ14</f>
        <v>80.7</v>
      </c>
      <c r="AP95" s="105">
        <f>'Segment Detail'!CR14</f>
        <v>-3.8999999999999879</v>
      </c>
      <c r="AQ95" s="1120">
        <f>D95-SUM(AM95:AP95)</f>
        <v>0</v>
      </c>
      <c r="AR95" s="105">
        <f>'Segment Detail'!CT14</f>
        <v>-6.9</v>
      </c>
      <c r="AS95" s="105">
        <f>'Segment Detail'!CU14</f>
        <v>22.9</v>
      </c>
      <c r="AT95" s="105">
        <f>'Segment Detail'!CV14</f>
        <v>87.927199999999999</v>
      </c>
      <c r="AU95" s="105">
        <f>'Segment Detail'!CW14</f>
        <v>-2.44022591164223</v>
      </c>
      <c r="AV95" s="1120">
        <f>E95-SUM(AR95:AU95)</f>
        <v>0</v>
      </c>
      <c r="AW95" s="1300">
        <f>'Segment Detail'!CY14</f>
        <v>0</v>
      </c>
      <c r="AX95" s="1300">
        <f>'Segment Detail'!CZ14</f>
        <v>0</v>
      </c>
      <c r="AY95" s="1300">
        <f>'Segment Detail'!DA14</f>
        <v>0</v>
      </c>
      <c r="AZ95" s="1300">
        <f>'Segment Detail'!DB14</f>
        <v>0</v>
      </c>
      <c r="BA95" s="1120">
        <f>F95-SUM(AW95:AZ95)</f>
        <v>0</v>
      </c>
      <c r="BB95" s="1300">
        <f>'Segment Detail'!DD14</f>
        <v>0</v>
      </c>
      <c r="BC95" s="1300">
        <f>'Segment Detail'!DE14</f>
        <v>0</v>
      </c>
      <c r="BD95" s="1300">
        <f>'Segment Detail'!DF14</f>
        <v>0</v>
      </c>
      <c r="BE95" s="1300">
        <f>'Segment Detail'!DG14</f>
        <v>0</v>
      </c>
      <c r="BF95" s="1120">
        <f>G95-SUM(BB95:BE95)</f>
        <v>0</v>
      </c>
      <c r="BG95" s="1300">
        <f>'Segment Detail'!DI14</f>
        <v>0</v>
      </c>
      <c r="BH95" s="1300">
        <f>'Segment Detail'!DJ14</f>
        <v>0</v>
      </c>
      <c r="BI95" s="1300">
        <f>'Segment Detail'!DK14</f>
        <v>0</v>
      </c>
      <c r="BJ95" s="1300">
        <f>'Segment Detail'!DL14</f>
        <v>0</v>
      </c>
      <c r="BK95" s="1120">
        <f>H95-SUM(BG95:BJ95)</f>
        <v>0</v>
      </c>
      <c r="BL95" s="1300">
        <f>'Segment Detail'!DN14</f>
        <v>0</v>
      </c>
      <c r="BM95" s="1300">
        <f>'Segment Detail'!DO14</f>
        <v>0</v>
      </c>
      <c r="BN95" s="1300">
        <f>'Segment Detail'!DP14</f>
        <v>0</v>
      </c>
      <c r="BO95" s="1300">
        <f>'Segment Detail'!DQ14</f>
        <v>0</v>
      </c>
      <c r="BP95" s="1120">
        <f>I95-SUM(BL95:BO95)</f>
        <v>0</v>
      </c>
      <c r="BQ95" s="1300">
        <f>'Segment Detail'!DS14</f>
        <v>0</v>
      </c>
      <c r="BR95" s="1300">
        <f>'Segment Detail'!DT14</f>
        <v>0</v>
      </c>
      <c r="BS95" s="1300">
        <f>'Segment Detail'!DU14</f>
        <v>0</v>
      </c>
      <c r="BT95" s="1300">
        <f>'Segment Detail'!DV14</f>
        <v>0</v>
      </c>
      <c r="BU95" s="1120">
        <f>J95-SUM(BQ95:BT95)</f>
        <v>0</v>
      </c>
      <c r="BV95" s="1300">
        <f>'Segment Detail'!DX14</f>
        <v>0</v>
      </c>
      <c r="BW95" s="1300">
        <f>'Segment Detail'!DY14</f>
        <v>0</v>
      </c>
      <c r="BX95" s="1300">
        <f>'Segment Detail'!DZ14</f>
        <v>0</v>
      </c>
      <c r="BY95" s="1300">
        <f>'Segment Detail'!EA14</f>
        <v>0</v>
      </c>
      <c r="BZ95" s="1120">
        <f>K95-SUM(BV95:BY95)</f>
        <v>0</v>
      </c>
      <c r="CA95" s="1300">
        <f>'Segment Detail'!EC14</f>
        <v>0</v>
      </c>
      <c r="CB95" s="1300">
        <f>'Segment Detail'!ED14</f>
        <v>0</v>
      </c>
      <c r="CC95" s="1300">
        <f>'Segment Detail'!EE14</f>
        <v>0</v>
      </c>
      <c r="CD95" s="1300">
        <f>'Segment Detail'!EF14</f>
        <v>0</v>
      </c>
      <c r="CE95" s="11"/>
      <c r="CF95" s="1300">
        <f>'Segment Detail'!EH14</f>
        <v>0</v>
      </c>
      <c r="CG95" s="1300">
        <f>'Segment Detail'!EI14</f>
        <v>0</v>
      </c>
      <c r="CH95" s="1300">
        <f>'Segment Detail'!EJ14</f>
        <v>0</v>
      </c>
      <c r="CI95" s="1300">
        <f>'Segment Detail'!EK14</f>
        <v>0</v>
      </c>
      <c r="CJ95" s="11"/>
      <c r="CK95" s="1473">
        <f>'Segment Detail'!EM14</f>
        <v>0</v>
      </c>
      <c r="CL95" s="1473">
        <f>'Segment Detail'!EN14</f>
        <v>0</v>
      </c>
      <c r="CM95" s="1473">
        <f>'Segment Detail'!EO14</f>
        <v>0</v>
      </c>
      <c r="CN95" s="1473">
        <f>'Segment Detail'!EP14</f>
        <v>0</v>
      </c>
      <c r="CO95" s="1108"/>
      <c r="CP95" s="1473">
        <f>'Segment Detail'!ER14</f>
        <v>0</v>
      </c>
      <c r="CQ95" s="1473">
        <f>'Segment Detail'!ES14</f>
        <v>0</v>
      </c>
      <c r="CR95" s="1473">
        <f>'Segment Detail'!ET14</f>
        <v>0</v>
      </c>
      <c r="CS95" s="1473">
        <f>'Segment Detail'!EU14</f>
        <v>0</v>
      </c>
      <c r="CT95" s="1108"/>
      <c r="CU95" s="1108"/>
      <c r="CV95" s="2862"/>
      <c r="CW95" s="2862"/>
      <c r="CX95" s="2862"/>
      <c r="CY95" s="2862"/>
      <c r="CZ95" s="2862"/>
      <c r="DA95" s="2862"/>
      <c r="DB95" s="2862"/>
      <c r="DC95" s="2862"/>
      <c r="DD95" s="2835"/>
      <c r="DE95" s="2862"/>
      <c r="DF95" s="2862"/>
      <c r="DG95" s="2862"/>
      <c r="DH95" s="2862"/>
      <c r="DI95" s="2835">
        <f t="shared" si="73"/>
        <v>0</v>
      </c>
      <c r="DJ95" s="1108"/>
      <c r="DK95" s="1300"/>
      <c r="DL95" s="186"/>
      <c r="DM95" s="186"/>
      <c r="DN95" s="186"/>
      <c r="DO95" s="186"/>
      <c r="DP95" s="186"/>
      <c r="DQ95" s="186"/>
      <c r="DR95" s="186"/>
      <c r="DS95" s="186"/>
      <c r="DT95" s="186"/>
    </row>
    <row r="96" spans="1:125" ht="11.25" hidden="1" customHeight="1" outlineLevel="1">
      <c r="A96" s="1835" t="s">
        <v>344</v>
      </c>
      <c r="B96" s="1473" t="s">
        <v>1455</v>
      </c>
      <c r="C96" s="1364">
        <f>C95/B95-1</f>
        <v>-0.17697293118435775</v>
      </c>
      <c r="D96" s="1364">
        <f>D95/C95-1</f>
        <v>1.5673775536328107</v>
      </c>
      <c r="E96" s="1364">
        <f>E95/D95-1</f>
        <v>4.8215256273047569E-3</v>
      </c>
      <c r="F96" s="1781" t="s">
        <v>1455</v>
      </c>
      <c r="G96" s="1781" t="s">
        <v>1455</v>
      </c>
      <c r="H96" s="1781" t="s">
        <v>1455</v>
      </c>
      <c r="I96" s="1781" t="s">
        <v>1455</v>
      </c>
      <c r="J96" s="1781" t="s">
        <v>1455</v>
      </c>
      <c r="K96" s="1781" t="s">
        <v>1455</v>
      </c>
      <c r="L96" s="1781" t="s">
        <v>1455</v>
      </c>
      <c r="M96" s="1781" t="s">
        <v>1455</v>
      </c>
      <c r="N96" s="1781" t="s">
        <v>1455</v>
      </c>
      <c r="O96" s="2715"/>
      <c r="P96" s="2715"/>
      <c r="Q96" s="1781" t="s">
        <v>1455</v>
      </c>
      <c r="R96" s="1781" t="s">
        <v>1455</v>
      </c>
      <c r="S96" s="2715"/>
      <c r="T96" s="1781" t="s">
        <v>1455</v>
      </c>
      <c r="U96" s="1781" t="s">
        <v>1455</v>
      </c>
      <c r="V96" s="1781" t="s">
        <v>1455</v>
      </c>
      <c r="W96" s="1781" t="s">
        <v>1455</v>
      </c>
      <c r="X96" s="1781" t="s">
        <v>1455</v>
      </c>
      <c r="Y96" s="1781" t="s">
        <v>1455</v>
      </c>
      <c r="Z96" s="1781" t="s">
        <v>1455</v>
      </c>
      <c r="AA96" s="1781" t="s">
        <v>1455</v>
      </c>
      <c r="AB96" s="1781" t="s">
        <v>1455</v>
      </c>
      <c r="AC96" s="1781" t="s">
        <v>1455</v>
      </c>
      <c r="AD96" s="1781" t="s">
        <v>1455</v>
      </c>
      <c r="AE96" s="1290"/>
      <c r="AF96" s="1290"/>
      <c r="AG96" s="1290"/>
      <c r="AH96" s="1290"/>
      <c r="AI96" s="1290"/>
      <c r="AJ96" s="1290"/>
      <c r="AK96" s="186"/>
      <c r="AL96" s="1298" t="str">
        <f t="shared" si="112"/>
        <v xml:space="preserve">% Change </v>
      </c>
      <c r="AM96" s="1286" t="s">
        <v>1455</v>
      </c>
      <c r="AN96" s="1286" t="s">
        <v>1455</v>
      </c>
      <c r="AO96" s="1286" t="s">
        <v>1455</v>
      </c>
      <c r="AP96" s="1286" t="s">
        <v>1455</v>
      </c>
      <c r="AQ96" s="1287"/>
      <c r="AR96" s="1104">
        <f>AR95/AM95-1</f>
        <v>0.38000000000000012</v>
      </c>
      <c r="AS96" s="1104">
        <f>AS95/AN95-1</f>
        <v>-0.21575342465753433</v>
      </c>
      <c r="AT96" s="1104">
        <f>AT95/AO95-1</f>
        <v>8.9556381660470752E-2</v>
      </c>
      <c r="AU96" s="1104">
        <f>AU95/AP95-1</f>
        <v>-0.37430104829686217</v>
      </c>
      <c r="AV96" s="1287"/>
      <c r="AW96" s="1286" t="s">
        <v>1455</v>
      </c>
      <c r="AX96" s="1286" t="s">
        <v>1455</v>
      </c>
      <c r="AY96" s="1286" t="s">
        <v>1455</v>
      </c>
      <c r="AZ96" s="1286" t="s">
        <v>1455</v>
      </c>
      <c r="BA96" s="1287"/>
      <c r="BB96" s="1286" t="s">
        <v>1455</v>
      </c>
      <c r="BC96" s="1286" t="s">
        <v>1455</v>
      </c>
      <c r="BD96" s="1286" t="s">
        <v>1455</v>
      </c>
      <c r="BE96" s="1286" t="s">
        <v>1455</v>
      </c>
      <c r="BF96" s="1287"/>
      <c r="BG96" s="1300" t="s">
        <v>1455</v>
      </c>
      <c r="BH96" s="1300" t="s">
        <v>1455</v>
      </c>
      <c r="BI96" s="1300" t="s">
        <v>1455</v>
      </c>
      <c r="BJ96" s="1300" t="s">
        <v>1455</v>
      </c>
      <c r="BK96" s="1287"/>
      <c r="BL96" s="1300" t="s">
        <v>1455</v>
      </c>
      <c r="BM96" s="1300" t="s">
        <v>1455</v>
      </c>
      <c r="BN96" s="1300" t="s">
        <v>1455</v>
      </c>
      <c r="BO96" s="1300" t="s">
        <v>1455</v>
      </c>
      <c r="BP96" s="1287"/>
      <c r="BQ96" s="1300" t="s">
        <v>1455</v>
      </c>
      <c r="BR96" s="1300" t="s">
        <v>1455</v>
      </c>
      <c r="BS96" s="1300" t="s">
        <v>1455</v>
      </c>
      <c r="BT96" s="1300" t="s">
        <v>1455</v>
      </c>
      <c r="BU96" s="186"/>
      <c r="BV96" s="1300" t="s">
        <v>1455</v>
      </c>
      <c r="BW96" s="1300" t="s">
        <v>1455</v>
      </c>
      <c r="BX96" s="1300" t="s">
        <v>1455</v>
      </c>
      <c r="BY96" s="1300" t="s">
        <v>1455</v>
      </c>
      <c r="BZ96" s="186"/>
      <c r="CA96" s="1300" t="s">
        <v>1455</v>
      </c>
      <c r="CB96" s="1300" t="s">
        <v>1455</v>
      </c>
      <c r="CC96" s="1300" t="s">
        <v>1455</v>
      </c>
      <c r="CD96" s="1300" t="s">
        <v>1455</v>
      </c>
      <c r="CE96" s="186"/>
      <c r="CF96" s="1300" t="s">
        <v>1455</v>
      </c>
      <c r="CG96" s="1300" t="s">
        <v>1455</v>
      </c>
      <c r="CH96" s="1300" t="s">
        <v>1455</v>
      </c>
      <c r="CI96" s="1300" t="s">
        <v>1455</v>
      </c>
      <c r="CJ96" s="186"/>
      <c r="CK96" s="1473" t="s">
        <v>1455</v>
      </c>
      <c r="CL96" s="1473" t="s">
        <v>1455</v>
      </c>
      <c r="CM96" s="1473" t="s">
        <v>1455</v>
      </c>
      <c r="CN96" s="1473" t="s">
        <v>1455</v>
      </c>
      <c r="CO96" s="1477"/>
      <c r="CP96" s="1473" t="s">
        <v>1455</v>
      </c>
      <c r="CQ96" s="1473" t="s">
        <v>1455</v>
      </c>
      <c r="CR96" s="1473" t="s">
        <v>1455</v>
      </c>
      <c r="CS96" s="1473" t="s">
        <v>1455</v>
      </c>
      <c r="CT96" s="1477"/>
      <c r="CU96" s="1477"/>
      <c r="CV96" s="2937"/>
      <c r="CW96" s="2937"/>
      <c r="CX96" s="2937"/>
      <c r="CY96" s="2937"/>
      <c r="CZ96" s="2937"/>
      <c r="DA96" s="2937"/>
      <c r="DB96" s="2937"/>
      <c r="DC96" s="2937"/>
      <c r="DD96" s="2835"/>
      <c r="DE96" s="2937"/>
      <c r="DF96" s="2937"/>
      <c r="DG96" s="2937"/>
      <c r="DH96" s="2937"/>
      <c r="DI96" s="2937"/>
      <c r="DJ96" s="2937"/>
      <c r="DK96" s="1300"/>
      <c r="DL96" s="186"/>
      <c r="DM96" s="186"/>
      <c r="DN96" s="186"/>
      <c r="DO96" s="186"/>
      <c r="DP96" s="186"/>
      <c r="DQ96" s="186"/>
      <c r="DR96" s="186"/>
      <c r="DS96" s="186"/>
      <c r="DT96" s="186"/>
    </row>
    <row r="97" spans="1:130" ht="11.25" hidden="1" customHeight="1" outlineLevel="1">
      <c r="A97" s="1835" t="s">
        <v>1208</v>
      </c>
      <c r="B97" s="1364">
        <f>B95/B42</f>
        <v>0.12668115848920108</v>
      </c>
      <c r="C97" s="1364">
        <f>C95/C42</f>
        <v>0.10522478377937364</v>
      </c>
      <c r="D97" s="1364">
        <f>D95/D42</f>
        <v>0.24789639501254859</v>
      </c>
      <c r="E97" s="1364">
        <f>E95/E42</f>
        <v>0.24786470355143847</v>
      </c>
      <c r="F97" s="1781" t="s">
        <v>1455</v>
      </c>
      <c r="G97" s="1781" t="s">
        <v>1455</v>
      </c>
      <c r="H97" s="1781" t="s">
        <v>1455</v>
      </c>
      <c r="I97" s="1781" t="s">
        <v>1455</v>
      </c>
      <c r="J97" s="1781" t="s">
        <v>1455</v>
      </c>
      <c r="K97" s="1781" t="s">
        <v>1455</v>
      </c>
      <c r="L97" s="1781" t="s">
        <v>1455</v>
      </c>
      <c r="M97" s="1781" t="s">
        <v>1455</v>
      </c>
      <c r="N97" s="1781" t="s">
        <v>1455</v>
      </c>
      <c r="O97" s="2715"/>
      <c r="P97" s="2715"/>
      <c r="Q97" s="1781" t="s">
        <v>1455</v>
      </c>
      <c r="R97" s="1781" t="s">
        <v>1455</v>
      </c>
      <c r="S97" s="2715"/>
      <c r="T97" s="1781" t="s">
        <v>1455</v>
      </c>
      <c r="U97" s="1781" t="s">
        <v>1455</v>
      </c>
      <c r="V97" s="1781" t="s">
        <v>1455</v>
      </c>
      <c r="W97" s="1781" t="s">
        <v>1455</v>
      </c>
      <c r="X97" s="1781" t="s">
        <v>1455</v>
      </c>
      <c r="Y97" s="1781" t="s">
        <v>1455</v>
      </c>
      <c r="Z97" s="1781" t="s">
        <v>1455</v>
      </c>
      <c r="AA97" s="1781" t="s">
        <v>1455</v>
      </c>
      <c r="AB97" s="1781" t="s">
        <v>1455</v>
      </c>
      <c r="AC97" s="1781" t="s">
        <v>1455</v>
      </c>
      <c r="AD97" s="1781" t="s">
        <v>1455</v>
      </c>
      <c r="AE97" s="1290"/>
      <c r="AF97" s="1290"/>
      <c r="AG97" s="1290"/>
      <c r="AH97" s="1290"/>
      <c r="AI97" s="1290"/>
      <c r="AJ97" s="1290"/>
      <c r="AK97" s="186"/>
      <c r="AL97" s="1298" t="str">
        <f t="shared" si="112"/>
        <v xml:space="preserve">% Margin </v>
      </c>
      <c r="AM97" s="1104">
        <f>AM95/AM42</f>
        <v>-0.5</v>
      </c>
      <c r="AN97" s="1104">
        <f>AN95/AN42</f>
        <v>0.19466666666666668</v>
      </c>
      <c r="AO97" s="1104">
        <f>AO95/AO42</f>
        <v>0.36565473493430001</v>
      </c>
      <c r="AP97" s="1104">
        <f>AP95/AP42</f>
        <v>-0.14591290879738467</v>
      </c>
      <c r="AQ97" s="1287"/>
      <c r="AR97" s="1104">
        <f>AR95/AR42</f>
        <v>-0.69000000000000006</v>
      </c>
      <c r="AS97" s="1104">
        <f>AS95/AS42</f>
        <v>0.15793103448275861</v>
      </c>
      <c r="AT97" s="1104">
        <f>AT95/AT42</f>
        <v>0.384667074984688</v>
      </c>
      <c r="AU97" s="1104">
        <f>AU95/AU42</f>
        <v>-9.434455436951221E-2</v>
      </c>
      <c r="AV97" s="1287"/>
      <c r="AW97" s="1286" t="s">
        <v>1455</v>
      </c>
      <c r="AX97" s="1286" t="s">
        <v>1455</v>
      </c>
      <c r="AY97" s="1286" t="s">
        <v>1455</v>
      </c>
      <c r="AZ97" s="1286" t="s">
        <v>1455</v>
      </c>
      <c r="BA97" s="1287"/>
      <c r="BB97" s="1286" t="s">
        <v>1455</v>
      </c>
      <c r="BC97" s="1286" t="s">
        <v>1455</v>
      </c>
      <c r="BD97" s="1286" t="s">
        <v>1455</v>
      </c>
      <c r="BE97" s="1286" t="s">
        <v>1455</v>
      </c>
      <c r="BF97" s="1287"/>
      <c r="BG97" s="1300" t="s">
        <v>1455</v>
      </c>
      <c r="BH97" s="1300" t="s">
        <v>1455</v>
      </c>
      <c r="BI97" s="1300" t="s">
        <v>1455</v>
      </c>
      <c r="BJ97" s="1300" t="s">
        <v>1455</v>
      </c>
      <c r="BK97" s="1287"/>
      <c r="BL97" s="1300" t="s">
        <v>1455</v>
      </c>
      <c r="BM97" s="1300" t="s">
        <v>1455</v>
      </c>
      <c r="BN97" s="1300" t="s">
        <v>1455</v>
      </c>
      <c r="BO97" s="1300" t="s">
        <v>1455</v>
      </c>
      <c r="BP97" s="1287"/>
      <c r="BQ97" s="1300" t="s">
        <v>1455</v>
      </c>
      <c r="BR97" s="1300" t="s">
        <v>1455</v>
      </c>
      <c r="BS97" s="1300" t="s">
        <v>1455</v>
      </c>
      <c r="BT97" s="1300" t="s">
        <v>1455</v>
      </c>
      <c r="BU97" s="186"/>
      <c r="BV97" s="1300" t="s">
        <v>1455</v>
      </c>
      <c r="BW97" s="1300" t="s">
        <v>1455</v>
      </c>
      <c r="BX97" s="1300" t="s">
        <v>1455</v>
      </c>
      <c r="BY97" s="1300" t="s">
        <v>1455</v>
      </c>
      <c r="BZ97" s="186"/>
      <c r="CA97" s="1300" t="s">
        <v>1455</v>
      </c>
      <c r="CB97" s="1300" t="s">
        <v>1455</v>
      </c>
      <c r="CC97" s="1300" t="s">
        <v>1455</v>
      </c>
      <c r="CD97" s="1300" t="s">
        <v>1455</v>
      </c>
      <c r="CE97" s="186"/>
      <c r="CF97" s="1300" t="s">
        <v>1455</v>
      </c>
      <c r="CG97" s="1300" t="s">
        <v>1455</v>
      </c>
      <c r="CH97" s="1300" t="s">
        <v>1455</v>
      </c>
      <c r="CI97" s="1300" t="s">
        <v>1455</v>
      </c>
      <c r="CJ97" s="186"/>
      <c r="CK97" s="1473" t="s">
        <v>1455</v>
      </c>
      <c r="CL97" s="1473" t="s">
        <v>1455</v>
      </c>
      <c r="CM97" s="1473" t="s">
        <v>1455</v>
      </c>
      <c r="CN97" s="1473" t="s">
        <v>1455</v>
      </c>
      <c r="CO97" s="186"/>
      <c r="CP97" s="1473" t="s">
        <v>1455</v>
      </c>
      <c r="CQ97" s="1473" t="s">
        <v>1455</v>
      </c>
      <c r="CR97" s="1473" t="s">
        <v>1455</v>
      </c>
      <c r="CS97" s="1473" t="s">
        <v>1455</v>
      </c>
      <c r="CT97" s="186"/>
      <c r="CU97" s="1477"/>
      <c r="CV97" s="2937"/>
      <c r="CW97" s="2937"/>
      <c r="CX97" s="2937"/>
      <c r="CY97" s="2937"/>
      <c r="CZ97" s="2937"/>
      <c r="DA97" s="2937"/>
      <c r="DB97" s="2937"/>
      <c r="DC97" s="2937"/>
      <c r="DD97" s="2835"/>
      <c r="DE97" s="2937"/>
      <c r="DF97" s="2937"/>
      <c r="DG97" s="2937"/>
      <c r="DH97" s="2937"/>
      <c r="DI97" s="2937"/>
      <c r="DJ97" s="2937"/>
      <c r="DK97" s="1300"/>
      <c r="DL97" s="186"/>
      <c r="DM97" s="186"/>
      <c r="DN97" s="186"/>
      <c r="DO97" s="186"/>
      <c r="DP97" s="186"/>
      <c r="DQ97" s="186"/>
      <c r="DR97" s="186"/>
      <c r="DS97" s="186"/>
      <c r="DT97" s="186"/>
    </row>
    <row r="98" spans="1:130" ht="6" customHeight="1" collapsed="1">
      <c r="A98" s="1797"/>
      <c r="B98" s="1782"/>
      <c r="C98" s="1782"/>
      <c r="D98" s="1782"/>
      <c r="E98" s="1782"/>
      <c r="F98" s="1782"/>
      <c r="G98" s="1782"/>
      <c r="H98" s="1782"/>
      <c r="I98" s="1782"/>
      <c r="J98" s="1782"/>
      <c r="K98" s="1782"/>
      <c r="L98" s="1782"/>
      <c r="M98" s="1782"/>
      <c r="N98" s="1782"/>
      <c r="O98" s="2716"/>
      <c r="P98" s="2716"/>
      <c r="Q98" s="1782"/>
      <c r="R98" s="1782"/>
      <c r="S98" s="2716"/>
      <c r="T98" s="1782"/>
      <c r="U98" s="1782"/>
      <c r="V98" s="1782"/>
      <c r="W98" s="1782"/>
      <c r="X98" s="1782"/>
      <c r="Y98" s="1782"/>
      <c r="Z98" s="1782"/>
      <c r="AA98" s="1782"/>
      <c r="AB98" s="1782"/>
      <c r="AC98" s="1782"/>
      <c r="AD98" s="1782"/>
      <c r="AE98" s="1782"/>
      <c r="AF98" s="467"/>
      <c r="AG98" s="467"/>
      <c r="AH98" s="467"/>
      <c r="AI98" s="467"/>
      <c r="AJ98" s="467"/>
      <c r="AK98" s="186"/>
      <c r="AL98" s="1302"/>
      <c r="AM98" s="1289"/>
      <c r="AN98" s="1289"/>
      <c r="AO98" s="1289"/>
      <c r="AP98" s="1289"/>
      <c r="AQ98" s="1287"/>
      <c r="AR98" s="1289"/>
      <c r="AS98" s="1289"/>
      <c r="AT98" s="1289"/>
      <c r="AU98" s="1289"/>
      <c r="AV98" s="1287"/>
      <c r="AW98" s="1289"/>
      <c r="AX98" s="1289"/>
      <c r="AY98" s="1289"/>
      <c r="AZ98" s="1289"/>
      <c r="BA98" s="1287"/>
      <c r="BB98" s="1289"/>
      <c r="BC98" s="1289"/>
      <c r="BD98" s="1289"/>
      <c r="BE98" s="1289"/>
      <c r="BF98" s="1287"/>
      <c r="BG98" s="1289"/>
      <c r="BH98" s="1289"/>
      <c r="BI98" s="1289"/>
      <c r="BJ98" s="1289"/>
      <c r="BK98" s="1287"/>
      <c r="BL98" s="1289"/>
      <c r="BM98" s="1289"/>
      <c r="BN98" s="1289"/>
      <c r="BO98" s="1289"/>
      <c r="BP98" s="1287"/>
      <c r="BQ98" s="1296"/>
      <c r="BR98" s="1296"/>
      <c r="BS98" s="1296"/>
      <c r="BT98" s="1296"/>
      <c r="BU98" s="186"/>
      <c r="BV98" s="1296"/>
      <c r="BW98" s="1296"/>
      <c r="BX98" s="1296"/>
      <c r="BY98" s="1296"/>
      <c r="BZ98" s="186"/>
      <c r="CA98" s="1296"/>
      <c r="CB98" s="1296"/>
      <c r="CC98" s="1296"/>
      <c r="CD98" s="1296"/>
      <c r="CE98" s="186"/>
      <c r="CF98" s="1296"/>
      <c r="CG98" s="1296"/>
      <c r="CH98" s="1296"/>
      <c r="CI98" s="1296"/>
      <c r="CJ98" s="186"/>
      <c r="CK98" s="1474"/>
      <c r="CL98" s="1474"/>
      <c r="CM98" s="1474"/>
      <c r="CN98" s="1474"/>
      <c r="CO98" s="186"/>
      <c r="CP98" s="1474"/>
      <c r="CQ98" s="1474"/>
      <c r="CR98" s="1474"/>
      <c r="CS98" s="1474"/>
      <c r="CT98" s="186"/>
      <c r="CU98" s="1474"/>
      <c r="CV98" s="3085"/>
      <c r="CW98" s="3085"/>
      <c r="CX98" s="3085"/>
      <c r="CY98" s="2937"/>
      <c r="CZ98" s="3085"/>
      <c r="DA98" s="3085"/>
      <c r="DB98" s="3085"/>
      <c r="DC98" s="3085"/>
      <c r="DD98" s="2835"/>
      <c r="DE98" s="3085"/>
      <c r="DF98" s="3085"/>
      <c r="DG98" s="3085"/>
      <c r="DH98" s="3085"/>
      <c r="DI98" s="2835"/>
      <c r="DJ98" s="186"/>
      <c r="DK98" s="1296"/>
      <c r="DL98" s="186"/>
      <c r="DM98" s="186"/>
      <c r="DN98" s="186"/>
      <c r="DO98" s="186"/>
      <c r="DP98" s="186"/>
      <c r="DQ98" s="186"/>
      <c r="DR98" s="186"/>
      <c r="DS98" s="186"/>
      <c r="DT98" s="186"/>
    </row>
    <row r="99" spans="1:130" ht="11.25" customHeight="1">
      <c r="A99" s="1494" t="s">
        <v>419</v>
      </c>
      <c r="B99" s="1475">
        <f>B75+B87+B91+B95</f>
        <v>1070.8479763893204</v>
      </c>
      <c r="C99" s="1475">
        <f t="shared" ref="C99:J99" si="146">C75+C87+C91+C95</f>
        <v>1150.8002775821456</v>
      </c>
      <c r="D99" s="1475">
        <f t="shared" si="146"/>
        <v>1449.0750448530548</v>
      </c>
      <c r="E99" s="1475">
        <f t="shared" si="146"/>
        <v>1379.4356262027566</v>
      </c>
      <c r="F99" s="1475">
        <f t="shared" ca="1" si="146"/>
        <v>1364.9363166445887</v>
      </c>
      <c r="G99" s="1475">
        <f t="shared" ca="1" si="146"/>
        <v>1481.8076076783148</v>
      </c>
      <c r="H99" s="1475">
        <f t="shared" si="146"/>
        <v>1503.1000000000001</v>
      </c>
      <c r="I99" s="1475">
        <f t="shared" si="146"/>
        <v>1389.3000000000002</v>
      </c>
      <c r="J99" s="1475">
        <f t="shared" si="146"/>
        <v>1535.3999999999999</v>
      </c>
      <c r="K99" s="1475">
        <f t="shared" ref="K99:V99" si="147">K75+K87+K91+K95</f>
        <v>2230</v>
      </c>
      <c r="L99" s="1475">
        <f t="shared" si="147"/>
        <v>2449</v>
      </c>
      <c r="M99" s="1475">
        <f>M75+M87+M91+M95</f>
        <v>2769</v>
      </c>
      <c r="N99" s="1475">
        <f>N75+N87+N91+N95</f>
        <v>2559</v>
      </c>
      <c r="O99" s="2720">
        <f>O75+O87+O91+O95</f>
        <v>2769</v>
      </c>
      <c r="P99" s="2720">
        <f t="shared" si="147"/>
        <v>2559</v>
      </c>
      <c r="Q99" s="1475">
        <f>Q75+Q87+Q91+Q95</f>
        <v>2508</v>
      </c>
      <c r="R99" s="1475">
        <f>R75+R87+R91+R95</f>
        <v>2743</v>
      </c>
      <c r="S99" s="2720">
        <f>R99</f>
        <v>2743</v>
      </c>
      <c r="T99" s="1475">
        <f>T75+T87+T91+T95</f>
        <v>2806.070837601902</v>
      </c>
      <c r="U99" s="1475">
        <f>U75+U87+U91+U95</f>
        <v>2914.0545259153073</v>
      </c>
      <c r="V99" s="1475">
        <f t="shared" si="147"/>
        <v>3117.8849227827113</v>
      </c>
      <c r="W99" s="1475">
        <f t="shared" ref="W99:AB99" si="148">W75+W87+W91+W95</f>
        <v>3297.7210263622942</v>
      </c>
      <c r="X99" s="1475">
        <f t="shared" si="148"/>
        <v>3504.0941788232512</v>
      </c>
      <c r="Y99" s="1475">
        <f t="shared" si="148"/>
        <v>3651.9885998606819</v>
      </c>
      <c r="Z99" s="1475">
        <f t="shared" si="148"/>
        <v>3624.0668849821041</v>
      </c>
      <c r="AA99" s="1475">
        <f t="shared" si="148"/>
        <v>3632.4812144370658</v>
      </c>
      <c r="AB99" s="1475">
        <f t="shared" si="148"/>
        <v>3764.0757803510464</v>
      </c>
      <c r="AC99" s="1475">
        <f>AC75+AC87+AC91+AC95</f>
        <v>3688.5863255668191</v>
      </c>
      <c r="AD99" s="1475">
        <f>AD75+AD87+AD91+AD95</f>
        <v>3753.7182935814449</v>
      </c>
      <c r="AE99" s="1475">
        <f>AE75+AE87+AE91+AE95</f>
        <v>3796.018217398258</v>
      </c>
      <c r="AF99" s="1303"/>
      <c r="AG99" s="1303"/>
      <c r="AH99" s="1303"/>
      <c r="AI99" s="1303"/>
      <c r="AJ99" s="1303"/>
      <c r="AK99" s="11"/>
      <c r="AL99" s="9" t="str">
        <f t="shared" si="112"/>
        <v>TOTAL CONTENT GROUP EBITDA</v>
      </c>
      <c r="AM99" s="1303">
        <f>AM75+AM87+AM91+AM95</f>
        <v>256.762514741416</v>
      </c>
      <c r="AN99" s="1303">
        <f>AN75+AN87+AN91+AN95</f>
        <v>494.27342000253168</v>
      </c>
      <c r="AO99" s="1303">
        <f>AO75+AO87+AO91+AO95</f>
        <v>472.29188080406948</v>
      </c>
      <c r="AP99" s="1303">
        <f>AP75+AP87+AP91+AP95</f>
        <v>225.74722930503771</v>
      </c>
      <c r="AQ99" s="1120">
        <f>D99-SUM(AM99:AP99)</f>
        <v>0</v>
      </c>
      <c r="AR99" s="1303">
        <f>AR75+AR87+AR91+AR95</f>
        <v>256.87526810022473</v>
      </c>
      <c r="AS99" s="1303">
        <f>AS75+AS87+AS91+AS95</f>
        <v>408.25713776027879</v>
      </c>
      <c r="AT99" s="1303">
        <f>AT75+AT87+AT91+AT95</f>
        <v>392.95743091784936</v>
      </c>
      <c r="AU99" s="1303">
        <f>AU75+AU87+AU91+AU95</f>
        <v>321.34578942440373</v>
      </c>
      <c r="AV99" s="1120">
        <f>E99-SUM(AR99:AU99)</f>
        <v>0</v>
      </c>
      <c r="AW99" s="1303">
        <f ca="1">AW75+AW87+AW91+AW95</f>
        <v>271.00221667479252</v>
      </c>
      <c r="AX99" s="1303">
        <f ca="1">AX75+AX87+AX91+AX95</f>
        <v>354.53105902630443</v>
      </c>
      <c r="AY99" s="1303">
        <f ca="1">AY75+AY87+AY91+AY95</f>
        <v>325.70952472505024</v>
      </c>
      <c r="AZ99" s="1303">
        <f ca="1">AZ75+AZ87+AZ91+AZ95</f>
        <v>413.69351621844169</v>
      </c>
      <c r="BA99" s="1120">
        <f ca="1">F99-SUM(AW99:AZ99)</f>
        <v>0</v>
      </c>
      <c r="BB99" s="1303">
        <f ca="1">BB75+BB87+BB91+BB95</f>
        <v>276.00746532079552</v>
      </c>
      <c r="BC99" s="1303">
        <f ca="1">BC75+BC87+BC91+BC95</f>
        <v>428.17533762998153</v>
      </c>
      <c r="BD99" s="1303">
        <f ca="1">BD75+BD87+BD91+BD95</f>
        <v>372.79641243177451</v>
      </c>
      <c r="BE99" s="1303">
        <f ca="1">BE75+BE87+BE91+BE95</f>
        <v>404.82839229576308</v>
      </c>
      <c r="BF99" s="1120">
        <f ca="1">G99-SUM(BB99:BE99)</f>
        <v>0</v>
      </c>
      <c r="BG99" s="1303">
        <f>BG75+BG87+BG91+BG95</f>
        <v>396.70000000000005</v>
      </c>
      <c r="BH99" s="1303">
        <f>BH75+BH87+BH91+BH95</f>
        <v>406.29999999999995</v>
      </c>
      <c r="BI99" s="1303">
        <f>BI75+BI87+BI91+BI95</f>
        <v>390.3</v>
      </c>
      <c r="BJ99" s="1303">
        <f>BJ75+BJ87+BJ91+BJ95</f>
        <v>309.8</v>
      </c>
      <c r="BK99" s="1120">
        <f>H99-SUM(BG99:BJ99)</f>
        <v>0</v>
      </c>
      <c r="BL99" s="1304">
        <v>234.6</v>
      </c>
      <c r="BM99" s="1304">
        <v>316.7</v>
      </c>
      <c r="BN99" s="1304">
        <v>480.8</v>
      </c>
      <c r="BO99" s="1304">
        <v>357.2</v>
      </c>
      <c r="BP99" s="1120">
        <f>I99-SUM(BL99:BO99)</f>
        <v>0</v>
      </c>
      <c r="BQ99" s="1303">
        <f>BQ75+BQ87+BQ91+BQ95</f>
        <v>249.3</v>
      </c>
      <c r="BR99" s="1303">
        <f>BR75+BR87+BR91+BR95</f>
        <v>368.79999999999995</v>
      </c>
      <c r="BS99" s="1303">
        <f>BS75+BS87+BS91+BS95</f>
        <v>479.59999999999997</v>
      </c>
      <c r="BT99" s="1303">
        <f>BT75+BT87+BT91+BT95</f>
        <v>437.70000000000005</v>
      </c>
      <c r="BU99" s="1120">
        <f>J99-SUM(BQ99:BT99)</f>
        <v>0</v>
      </c>
      <c r="BV99" s="1303">
        <f>BV75+BV87+BV91+BV95</f>
        <v>428</v>
      </c>
      <c r="BW99" s="1303">
        <f>BW75+BW87+BW91+BW95</f>
        <v>635</v>
      </c>
      <c r="BX99" s="1303">
        <f>BX75+BX87+BX91+BX95</f>
        <v>646</v>
      </c>
      <c r="BY99" s="1303">
        <f>BY75+BY87+BY91+BY95</f>
        <v>521</v>
      </c>
      <c r="BZ99" s="1120">
        <f>K99-SUM(BV99:BY99)</f>
        <v>0</v>
      </c>
      <c r="CA99" s="1303">
        <f>CA75+CA87+CA91+CA95</f>
        <v>630</v>
      </c>
      <c r="CB99" s="1303">
        <f>CB75+CB87+CB91+CB95</f>
        <v>625</v>
      </c>
      <c r="CC99" s="1303">
        <f>CC75+CC87+CC91+CC95</f>
        <v>650</v>
      </c>
      <c r="CD99" s="1303">
        <f>CD75+CD87+CD91+CD95</f>
        <v>544</v>
      </c>
      <c r="CE99" s="1120">
        <f>L99-SUM(CA99:CD99)</f>
        <v>0</v>
      </c>
      <c r="CF99" s="1303">
        <f>CF75+CF87+CF91+CF95</f>
        <v>723</v>
      </c>
      <c r="CG99" s="1303">
        <f>CG75+CG87+CG91+CG95</f>
        <v>657</v>
      </c>
      <c r="CH99" s="1303">
        <f>CH75+CH87+CH91+CH95</f>
        <v>735</v>
      </c>
      <c r="CI99" s="1303">
        <f>CI75+CI87+CI91+CI95</f>
        <v>654</v>
      </c>
      <c r="CJ99" s="1120">
        <f>M99-SUM(CF99:CI99)</f>
        <v>0</v>
      </c>
      <c r="CK99" s="1475">
        <f>CK75+CK87+CK91+CK95</f>
        <v>729</v>
      </c>
      <c r="CL99" s="1475">
        <f>CL75+CL87+CL91+CL95</f>
        <v>619</v>
      </c>
      <c r="CM99" s="1475">
        <f>CM75+CM87+CM91+CM95</f>
        <v>650</v>
      </c>
      <c r="CN99" s="1475">
        <f>CN75+CN87+CN91+CN95</f>
        <v>561</v>
      </c>
      <c r="CO99" s="1120">
        <f>$N99-SUM(CK99:CN99)</f>
        <v>0</v>
      </c>
      <c r="CP99" s="1475">
        <f>CP75+CP87+CP91+CP95</f>
        <v>648</v>
      </c>
      <c r="CQ99" s="1475">
        <f>CQ75+CQ87+CQ91+CQ95</f>
        <v>547</v>
      </c>
      <c r="CR99" s="1475">
        <f>CR75+CR87+CR91+CR95</f>
        <v>665</v>
      </c>
      <c r="CS99" s="1475">
        <f>CS75+CS87+CS91+CS95</f>
        <v>648</v>
      </c>
      <c r="CT99" s="1120">
        <f>$Q99-SUM(CP99:CS99)</f>
        <v>0</v>
      </c>
      <c r="CU99" s="1475">
        <f>CU75+CU87+CU91+CU95</f>
        <v>727</v>
      </c>
      <c r="CV99" s="2991">
        <f>CV75+CV87+CV91+CV95</f>
        <v>641</v>
      </c>
      <c r="CW99" s="2991">
        <f>CW75+CW87+CW91+CW95</f>
        <v>712</v>
      </c>
      <c r="CX99" s="2991">
        <f>CX75+CX87+CX91</f>
        <v>663</v>
      </c>
      <c r="CY99" s="2835">
        <f>S99-SUM(CU99:CX99)</f>
        <v>0</v>
      </c>
      <c r="CZ99" s="2991">
        <f>CZ75+CZ87+CZ91+CZ95</f>
        <v>696</v>
      </c>
      <c r="DA99" s="2991">
        <f>DA75+DA87+DA91+DA95</f>
        <v>662</v>
      </c>
      <c r="DB99" s="2991">
        <f>DB75+DB87+DB91+DB95</f>
        <v>721</v>
      </c>
      <c r="DC99" s="2991">
        <f>DC75+DC87+DC91+DC95</f>
        <v>727.0708376019021</v>
      </c>
      <c r="DD99" s="2835">
        <f>T99-SUM(CZ99:DC99)</f>
        <v>0</v>
      </c>
      <c r="DE99" s="2991">
        <f t="shared" ref="DE99:DF99" si="149">DE75+DE87+DE91+DE95</f>
        <v>697.02207817195051</v>
      </c>
      <c r="DF99" s="2991">
        <f t="shared" si="149"/>
        <v>689.90546157524307</v>
      </c>
      <c r="DG99" s="2991">
        <f>DG75+DG87+DG91+DG95</f>
        <v>751.72207389554217</v>
      </c>
      <c r="DH99" s="2991">
        <f>DH75+DH87+DH91+DH95</f>
        <v>775.40491227257155</v>
      </c>
      <c r="DI99" s="2835">
        <f t="shared" si="73"/>
        <v>0</v>
      </c>
      <c r="DJ99" s="1120"/>
      <c r="DK99" s="1303"/>
      <c r="DL99" s="186"/>
      <c r="DM99" s="186"/>
      <c r="DN99" s="186"/>
      <c r="DO99" s="186"/>
      <c r="DP99" s="186"/>
      <c r="DQ99" s="186"/>
      <c r="DR99" s="186"/>
      <c r="DS99" s="186"/>
      <c r="DT99" s="186"/>
    </row>
    <row r="100" spans="1:130" ht="11.25" customHeight="1">
      <c r="A100" s="1797" t="s">
        <v>344</v>
      </c>
      <c r="B100" s="1473" t="s">
        <v>1455</v>
      </c>
      <c r="C100" s="1364">
        <f>C99/B99-1</f>
        <v>7.4662606603047355E-2</v>
      </c>
      <c r="D100" s="1364">
        <f t="shared" ref="D100:J100" si="150">D99/C99-1</f>
        <v>0.2591889948945707</v>
      </c>
      <c r="E100" s="1364">
        <f t="shared" si="150"/>
        <v>-4.8057841377952992E-2</v>
      </c>
      <c r="F100" s="1364">
        <f t="shared" ca="1" si="150"/>
        <v>-1.0511044722022134E-2</v>
      </c>
      <c r="G100" s="1364">
        <f t="shared" ca="1" si="150"/>
        <v>8.5623988173330945E-2</v>
      </c>
      <c r="H100" s="1364">
        <f t="shared" ca="1" si="150"/>
        <v>1.4369201650304753E-2</v>
      </c>
      <c r="I100" s="1364">
        <f t="shared" si="150"/>
        <v>-7.5710198922227412E-2</v>
      </c>
      <c r="J100" s="1364">
        <f t="shared" si="150"/>
        <v>0.10516087238177474</v>
      </c>
      <c r="K100" s="1364">
        <f t="shared" ref="K100:W100" si="151">K99/J99-1</f>
        <v>0.45239025661065524</v>
      </c>
      <c r="L100" s="1364">
        <f t="shared" si="151"/>
        <v>9.8206278026905736E-2</v>
      </c>
      <c r="M100" s="1364">
        <f>M99/L99-1</f>
        <v>0.13066557778685173</v>
      </c>
      <c r="N100" s="1364">
        <f>N99/M99-1</f>
        <v>-7.583965330444209E-2</v>
      </c>
      <c r="O100" s="2711"/>
      <c r="P100" s="2711">
        <f t="shared" si="151"/>
        <v>-7.583965330444209E-2</v>
      </c>
      <c r="Q100" s="1364">
        <f>Q99/P99-1</f>
        <v>-1.9929660023446649E-2</v>
      </c>
      <c r="R100" s="1364">
        <f t="shared" si="151"/>
        <v>9.3700159489633172E-2</v>
      </c>
      <c r="S100" s="2711"/>
      <c r="T100" s="1364">
        <f>T99/R99-1</f>
        <v>2.2993378637222728E-2</v>
      </c>
      <c r="U100" s="1364">
        <f>U99/T99-1</f>
        <v>3.8482167615443874E-2</v>
      </c>
      <c r="V100" s="1364">
        <f t="shared" si="151"/>
        <v>6.9947351724100271E-2</v>
      </c>
      <c r="W100" s="1364">
        <f t="shared" si="151"/>
        <v>5.767887783975012E-2</v>
      </c>
      <c r="X100" s="1364">
        <f t="shared" ref="X100:AE100" si="152">X99/W99-1</f>
        <v>6.2580536925710417E-2</v>
      </c>
      <c r="Y100" s="1364">
        <f t="shared" si="152"/>
        <v>4.2206177542607248E-2</v>
      </c>
      <c r="Z100" s="1364">
        <f t="shared" si="152"/>
        <v>-7.6456193975094067E-3</v>
      </c>
      <c r="AA100" s="1364">
        <f t="shared" si="152"/>
        <v>2.3217919872919879E-3</v>
      </c>
      <c r="AB100" s="1364">
        <f t="shared" si="152"/>
        <v>3.6227184160228187E-2</v>
      </c>
      <c r="AC100" s="1364">
        <f t="shared" si="152"/>
        <v>-2.0055243090028041E-2</v>
      </c>
      <c r="AD100" s="1364">
        <f t="shared" si="152"/>
        <v>1.7657704677581876E-2</v>
      </c>
      <c r="AE100" s="1364">
        <f t="shared" si="152"/>
        <v>1.1268806156589539E-2</v>
      </c>
      <c r="AF100" s="1104"/>
      <c r="AG100" s="1104"/>
      <c r="AH100" s="1104"/>
      <c r="AI100" s="1104"/>
      <c r="AJ100" s="1104"/>
      <c r="AK100" s="186"/>
      <c r="AL100" s="1302" t="str">
        <f t="shared" si="112"/>
        <v xml:space="preserve">% Change </v>
      </c>
      <c r="AM100" s="1286" t="s">
        <v>1455</v>
      </c>
      <c r="AN100" s="1286" t="s">
        <v>1455</v>
      </c>
      <c r="AO100" s="1286" t="s">
        <v>1455</v>
      </c>
      <c r="AP100" s="1286" t="s">
        <v>1455</v>
      </c>
      <c r="AQ100" s="1287"/>
      <c r="AR100" s="1104">
        <f>AR99/AM99-1</f>
        <v>4.3913481265867027E-4</v>
      </c>
      <c r="AS100" s="1104">
        <f>AS99/AN99-1</f>
        <v>-0.17402570877028412</v>
      </c>
      <c r="AT100" s="1104">
        <f>AT99/AO99-1</f>
        <v>-0.16797758570643739</v>
      </c>
      <c r="AU100" s="1104">
        <f>AU99/AP99-1</f>
        <v>0.42347611713182909</v>
      </c>
      <c r="AV100" s="1287"/>
      <c r="AW100" s="1104">
        <f ca="1">AW99/AR99-1</f>
        <v>5.4995362843011764E-2</v>
      </c>
      <c r="AX100" s="1104">
        <f ca="1">AX99/AS99-1</f>
        <v>-0.13159862685737378</v>
      </c>
      <c r="AY100" s="1104">
        <f ca="1">AY99/AT99-1</f>
        <v>-0.17113280193156033</v>
      </c>
      <c r="AZ100" s="1104">
        <f ca="1">AZ99/AU99-1</f>
        <v>0.28737805141138373</v>
      </c>
      <c r="BA100" s="1287"/>
      <c r="BB100" s="1104">
        <f ca="1">BB99/AW99-1</f>
        <v>1.8469401126742113E-2</v>
      </c>
      <c r="BC100" s="1104">
        <f ca="1">BC99/AX99-1</f>
        <v>0.20772306608604652</v>
      </c>
      <c r="BD100" s="1104">
        <f ca="1">BD99/AY99-1</f>
        <v>0.14456711926515808</v>
      </c>
      <c r="BE100" s="1104">
        <f ca="1">BE99/AZ99-1</f>
        <v>-2.1429206828558534E-2</v>
      </c>
      <c r="BF100" s="1287"/>
      <c r="BG100" s="1104">
        <f ca="1">BG99/BB99-1</f>
        <v>0.43727996465214103</v>
      </c>
      <c r="BH100" s="1104">
        <f ca="1">BH99/BC99-1</f>
        <v>-5.1089672168100675E-2</v>
      </c>
      <c r="BI100" s="1104">
        <f ca="1">BI99/BD99-1</f>
        <v>4.6952135225895697E-2</v>
      </c>
      <c r="BJ100" s="1104">
        <f ca="1">BJ99/BE99-1</f>
        <v>-0.23473746926904371</v>
      </c>
      <c r="BK100" s="1287"/>
      <c r="BL100" s="467">
        <f>BL99/BG99-1</f>
        <v>-0.40862112427527109</v>
      </c>
      <c r="BM100" s="467">
        <f>BM99/BH99-1</f>
        <v>-0.22052670440561151</v>
      </c>
      <c r="BN100" s="467">
        <f>BN99/BI99-1</f>
        <v>0.23187291826799905</v>
      </c>
      <c r="BO100" s="467">
        <f>BO99/BJ99-1</f>
        <v>0.15300193673337636</v>
      </c>
      <c r="BP100" s="1287"/>
      <c r="BQ100" s="467">
        <f>BQ99/BL99-1</f>
        <v>6.2659846547314713E-2</v>
      </c>
      <c r="BR100" s="467">
        <f>BR99/BM99-1</f>
        <v>0.16450899905273109</v>
      </c>
      <c r="BS100" s="467">
        <f>BS99/BN99-1</f>
        <v>-2.4958402662230705E-3</v>
      </c>
      <c r="BT100" s="467">
        <f>BT99/BO99-1</f>
        <v>0.22536394176931718</v>
      </c>
      <c r="BU100" s="186"/>
      <c r="BV100" s="467">
        <f>BV99/BQ99-1</f>
        <v>0.7168070597673486</v>
      </c>
      <c r="BW100" s="467">
        <f>BW99/BR99-1</f>
        <v>0.72180043383947967</v>
      </c>
      <c r="BX100" s="467">
        <f>BX99/BS99-1</f>
        <v>0.34695579649708108</v>
      </c>
      <c r="BY100" s="467">
        <f>BY99/BT99-1</f>
        <v>0.19031299977153293</v>
      </c>
      <c r="BZ100" s="186"/>
      <c r="CA100" s="467">
        <f>CA99/BV99-1</f>
        <v>0.47196261682243001</v>
      </c>
      <c r="CB100" s="467">
        <f>CB99/BW99-1</f>
        <v>-1.5748031496062964E-2</v>
      </c>
      <c r="CC100" s="467">
        <f>CC99/BX99-1</f>
        <v>6.1919504643963563E-3</v>
      </c>
      <c r="CD100" s="467">
        <f>CD99/BY99-1</f>
        <v>4.4145873320537321E-2</v>
      </c>
      <c r="CE100" s="186"/>
      <c r="CF100" s="467">
        <f>CF99/CA99-1</f>
        <v>0.14761904761904754</v>
      </c>
      <c r="CG100" s="467">
        <f>CG99/CB99-1</f>
        <v>5.1199999999999912E-2</v>
      </c>
      <c r="CH100" s="467">
        <f>CH99/CC99-1</f>
        <v>0.13076923076923075</v>
      </c>
      <c r="CI100" s="467">
        <f>CI99/CD99-1</f>
        <v>0.20220588235294112</v>
      </c>
      <c r="CJ100" s="186"/>
      <c r="CK100" s="1476">
        <f>CK99/CF99-1</f>
        <v>8.2987551867219622E-3</v>
      </c>
      <c r="CL100" s="1476">
        <f>CL99/CG99-1</f>
        <v>-5.7838660578386603E-2</v>
      </c>
      <c r="CM100" s="1476">
        <f>CM99/CH99-1</f>
        <v>-0.11564625850340138</v>
      </c>
      <c r="CN100" s="1476">
        <f>CN99/CI99-1</f>
        <v>-0.14220183486238536</v>
      </c>
      <c r="CO100" s="186"/>
      <c r="CP100" s="2184">
        <f>CP99/CK99-1</f>
        <v>-0.11111111111111116</v>
      </c>
      <c r="CQ100" s="2184">
        <f>CQ99/CL99-1</f>
        <v>-0.11631663974151862</v>
      </c>
      <c r="CR100" s="2184">
        <f>CR99/CM99-1</f>
        <v>2.3076923076922995E-2</v>
      </c>
      <c r="CS100" s="1476">
        <f>CS99/CN99-1</f>
        <v>0.15508021390374327</v>
      </c>
      <c r="CT100" s="186"/>
      <c r="CU100" s="1476">
        <f>CU99/CP99-1</f>
        <v>0.12191358024691357</v>
      </c>
      <c r="CV100" s="2833">
        <f>CV99/CQ99-1</f>
        <v>0.17184643510054842</v>
      </c>
      <c r="CW100" s="2833">
        <f>CW99/CR99-1</f>
        <v>7.0676691729323338E-2</v>
      </c>
      <c r="CX100" s="2833">
        <f>CX99/CS99-1</f>
        <v>2.314814814814814E-2</v>
      </c>
      <c r="CY100" s="2937"/>
      <c r="CZ100" s="2833">
        <f>CZ99/CU99-1</f>
        <v>-4.2640990371389242E-2</v>
      </c>
      <c r="DA100" s="2833">
        <f>DA99/CV99-1</f>
        <v>3.2761310452418035E-2</v>
      </c>
      <c r="DB100" s="2833">
        <f>DB99/CW99-1</f>
        <v>1.2640449438202195E-2</v>
      </c>
      <c r="DC100" s="2833">
        <f>DC99/CX99-1</f>
        <v>9.6637764105433011E-2</v>
      </c>
      <c r="DD100" s="2835"/>
      <c r="DE100" s="2833">
        <f t="shared" ref="DE100:DF100" si="153">DE99/CZ99-1</f>
        <v>1.4685031206185251E-3</v>
      </c>
      <c r="DF100" s="2833">
        <f t="shared" si="153"/>
        <v>4.2153265219400327E-2</v>
      </c>
      <c r="DG100" s="2833">
        <f>DG99/DB99-1</f>
        <v>4.2610366013234646E-2</v>
      </c>
      <c r="DH100" s="2833">
        <f>DH99/DC99-1</f>
        <v>6.6477806798151517E-2</v>
      </c>
      <c r="DI100" s="1741"/>
      <c r="DJ100" s="186"/>
      <c r="DK100" s="467"/>
      <c r="DL100" s="186"/>
      <c r="DM100" s="186"/>
      <c r="DN100" s="186"/>
      <c r="DO100" s="186"/>
      <c r="DP100" s="186"/>
      <c r="DQ100" s="186"/>
      <c r="DR100" s="186"/>
      <c r="DS100" s="186"/>
      <c r="DT100" s="186"/>
    </row>
    <row r="101" spans="1:130" ht="11.25" customHeight="1">
      <c r="A101" s="1797" t="s">
        <v>1208</v>
      </c>
      <c r="B101" s="1476">
        <f>B99/B45</f>
        <v>0.13788018306610222</v>
      </c>
      <c r="C101" s="1476">
        <f t="shared" ref="C101:J101" si="154">C99/C45</f>
        <v>0.1425238774053651</v>
      </c>
      <c r="D101" s="1476">
        <f t="shared" si="154"/>
        <v>0.16523935944621307</v>
      </c>
      <c r="E101" s="1476">
        <f t="shared" si="154"/>
        <v>0.15816625658574182</v>
      </c>
      <c r="F101" s="1476">
        <f t="shared" ca="1" si="154"/>
        <v>0.16168870104814634</v>
      </c>
      <c r="G101" s="1476">
        <f t="shared" ca="1" si="154"/>
        <v>0.17463647435608895</v>
      </c>
      <c r="H101" s="1476">
        <f t="shared" si="154"/>
        <v>0.16699255638262417</v>
      </c>
      <c r="I101" s="1476">
        <f t="shared" si="154"/>
        <v>0.1523789676881567</v>
      </c>
      <c r="J101" s="1476">
        <f t="shared" si="154"/>
        <v>0.15900006213367024</v>
      </c>
      <c r="K101" s="1476">
        <f t="shared" ref="K101:V101" si="155">K99/K45</f>
        <v>0.22605169792194627</v>
      </c>
      <c r="L101" s="1476">
        <f t="shared" si="155"/>
        <v>0.23878705148205928</v>
      </c>
      <c r="M101" s="1476">
        <f>M99/M45</f>
        <v>0.2403020046862796</v>
      </c>
      <c r="N101" s="1476">
        <f>N99/N45</f>
        <v>0.22720411968392079</v>
      </c>
      <c r="O101" s="2725">
        <f>O99/O45</f>
        <v>0.2403020046862796</v>
      </c>
      <c r="P101" s="2725">
        <f>P99/P45</f>
        <v>0.22720411968392079</v>
      </c>
      <c r="Q101" s="1476">
        <f>Q99/Q45</f>
        <v>0.218848167539267</v>
      </c>
      <c r="R101" s="1476">
        <f t="shared" si="155"/>
        <v>0.23237885462555066</v>
      </c>
      <c r="S101" s="2725"/>
      <c r="T101" s="1476">
        <f>T99/T45</f>
        <v>0.22755880618405222</v>
      </c>
      <c r="U101" s="1476">
        <f>U99/U45</f>
        <v>0.22266040303196927</v>
      </c>
      <c r="V101" s="1476">
        <f t="shared" si="155"/>
        <v>0.22026824244071558</v>
      </c>
      <c r="W101" s="1476">
        <f t="shared" ref="W101:AB101" si="156">W99/W45</f>
        <v>0.22945507748454777</v>
      </c>
      <c r="X101" s="1476">
        <f t="shared" si="156"/>
        <v>0.23295317854782804</v>
      </c>
      <c r="Y101" s="1476">
        <f t="shared" si="156"/>
        <v>0.22819649319086094</v>
      </c>
      <c r="Z101" s="1476">
        <f t="shared" si="156"/>
        <v>0.22594868193095943</v>
      </c>
      <c r="AA101" s="1476">
        <f t="shared" si="156"/>
        <v>0.22070702372070317</v>
      </c>
      <c r="AB101" s="1476">
        <f t="shared" si="156"/>
        <v>0.21455793872271278</v>
      </c>
      <c r="AC101" s="1476">
        <f>AC99/AC45</f>
        <v>0.21274198463074356</v>
      </c>
      <c r="AD101" s="1476">
        <f>AD99/AD45</f>
        <v>0.21059132007714768</v>
      </c>
      <c r="AE101" s="1476">
        <f>AE99/AE45</f>
        <v>0.20081460926209341</v>
      </c>
      <c r="AF101" s="467"/>
      <c r="AG101" s="467"/>
      <c r="AH101" s="467"/>
      <c r="AI101" s="467"/>
      <c r="AJ101" s="467"/>
      <c r="AK101" s="186"/>
      <c r="AL101" s="1302" t="str">
        <f t="shared" si="112"/>
        <v xml:space="preserve">% Margin </v>
      </c>
      <c r="AM101" s="467">
        <f>AM99/AM45</f>
        <v>0.11435204758589569</v>
      </c>
      <c r="AN101" s="467">
        <f>AN99/AN45</f>
        <v>0.22965407683369005</v>
      </c>
      <c r="AO101" s="467">
        <f>AO99/AO45</f>
        <v>0.21429293761323753</v>
      </c>
      <c r="AP101" s="467">
        <f>AP99/AP45</f>
        <v>0.10412809354321782</v>
      </c>
      <c r="AQ101" s="1287"/>
      <c r="AR101" s="467">
        <f>AR99/AR45</f>
        <v>0.11869142735773192</v>
      </c>
      <c r="AS101" s="467">
        <f>AS99/AS45</f>
        <v>0.1894450321230042</v>
      </c>
      <c r="AT101" s="467">
        <f>AT99/AT45</f>
        <v>0.18299222591793082</v>
      </c>
      <c r="AU101" s="467">
        <f>AU99/AU45</f>
        <v>0.14251729676647376</v>
      </c>
      <c r="AV101" s="1287"/>
      <c r="AW101" s="467">
        <f ca="1">AW99/AW45</f>
        <v>0.11842992468028332</v>
      </c>
      <c r="AX101" s="467">
        <f ca="1">AX99/AX45</f>
        <v>0.18024478078687581</v>
      </c>
      <c r="AY101" s="467">
        <f ca="1">AY99/AY45</f>
        <v>0.17199451757788364</v>
      </c>
      <c r="AZ101" s="467">
        <f ca="1">AZ99/AZ45</f>
        <v>0.18043155942241318</v>
      </c>
      <c r="BA101" s="1287"/>
      <c r="BB101" s="467">
        <f ca="1">BB99/BB45</f>
        <v>0.11672454880246681</v>
      </c>
      <c r="BC101" s="467">
        <f ca="1">BC99/BC45</f>
        <v>0.22232629597970441</v>
      </c>
      <c r="BD101" s="467">
        <f ca="1">BD99/BD45</f>
        <v>0.19929788357262146</v>
      </c>
      <c r="BE101" s="467">
        <f ca="1">BE99/BE45</f>
        <v>0.17419038205252696</v>
      </c>
      <c r="BF101" s="1287"/>
      <c r="BG101" s="467">
        <f>BG99/BG45</f>
        <v>0.1604124545086939</v>
      </c>
      <c r="BH101" s="467">
        <f>BH99/BH45</f>
        <v>0.19771289537712894</v>
      </c>
      <c r="BI101" s="467">
        <f>BI99/BI45</f>
        <v>0.18059411438089953</v>
      </c>
      <c r="BJ101" s="467">
        <f>BJ99/BJ45</f>
        <v>0.13400813219136604</v>
      </c>
      <c r="BK101" s="1287"/>
      <c r="BL101" s="467">
        <f>BL99/BL45</f>
        <v>0.10112504849346954</v>
      </c>
      <c r="BM101" s="467">
        <f>BM99/BM45</f>
        <v>0.15637189552165112</v>
      </c>
      <c r="BN101" s="467">
        <f>BN99/BN45</f>
        <v>0.20118838396518535</v>
      </c>
      <c r="BO101" s="467">
        <f>BO99/BO45</f>
        <v>0.14993284083277367</v>
      </c>
      <c r="BP101" s="1287"/>
      <c r="BQ101" s="467">
        <f>BQ99/BQ45</f>
        <v>9.5840381362448115E-2</v>
      </c>
      <c r="BR101" s="467">
        <f>BR99/BR45</f>
        <v>0.16536633485786029</v>
      </c>
      <c r="BS101" s="467">
        <f>BS99/BS45</f>
        <v>0.2175451329039281</v>
      </c>
      <c r="BT101" s="467">
        <f>BT99/BT45</f>
        <v>0.16702281920170955</v>
      </c>
      <c r="BU101" s="186"/>
      <c r="BV101" s="467">
        <f>BV99/BV45</f>
        <v>0.16837136113296616</v>
      </c>
      <c r="BW101" s="467">
        <f>BW99/BW45</f>
        <v>0.26110197368421051</v>
      </c>
      <c r="BX101" s="467">
        <f>BX99/BX45</f>
        <v>0.28433098591549294</v>
      </c>
      <c r="BY101" s="467">
        <f>BY99/BY45</f>
        <v>0.19893088965253913</v>
      </c>
      <c r="BZ101" s="186"/>
      <c r="CA101" s="467">
        <f>CA99/CA45</f>
        <v>0.21384928716904278</v>
      </c>
      <c r="CB101" s="467">
        <f>CB99/CB45</f>
        <v>0.266865926558497</v>
      </c>
      <c r="CC101" s="467">
        <f>CC99/CC45</f>
        <v>0.27944969905417028</v>
      </c>
      <c r="CD101" s="467">
        <f>CD99/CD45</f>
        <v>0.20590461771385316</v>
      </c>
      <c r="CE101" s="186"/>
      <c r="CF101" s="467">
        <f>CF99/CF45</f>
        <v>0.22678795483061481</v>
      </c>
      <c r="CG101" s="467">
        <f>CG99/CG45</f>
        <v>0.24198895027624309</v>
      </c>
      <c r="CH101" s="467">
        <f>CH99/CH45</f>
        <v>0.27181952662721892</v>
      </c>
      <c r="CI101" s="467">
        <f>CI99/CI45</f>
        <v>0.22427983539094651</v>
      </c>
      <c r="CJ101" s="186"/>
      <c r="CK101" s="1476">
        <f>CK99/CK45</f>
        <v>0.24356832609421986</v>
      </c>
      <c r="CL101" s="1476">
        <f>CL99/CL45</f>
        <v>0.24160811865729898</v>
      </c>
      <c r="CM101" s="1476">
        <f>CM99/CM45</f>
        <v>0.23774689100219459</v>
      </c>
      <c r="CN101" s="1476">
        <f>CN99/CN45</f>
        <v>0.1886348352387357</v>
      </c>
      <c r="CO101" s="186"/>
      <c r="CP101" s="2184">
        <f>CP99/CP45</f>
        <v>0.22003395585738539</v>
      </c>
      <c r="CQ101" s="2184">
        <f>CQ99/CQ45</f>
        <v>0.21046556367833782</v>
      </c>
      <c r="CR101" s="2184">
        <f>CR99/CR45</f>
        <v>0.24990605035700864</v>
      </c>
      <c r="CS101" s="1476">
        <f>CS99/CS45</f>
        <v>0.19907834101382488</v>
      </c>
      <c r="CT101" s="186"/>
      <c r="CU101" s="1476">
        <f>CU99/CU45</f>
        <v>0.22321154436598095</v>
      </c>
      <c r="CV101" s="2833">
        <f>CV99/CV45</f>
        <v>0.24007490636704121</v>
      </c>
      <c r="CW101" s="2833">
        <f>CW99/CW45</f>
        <v>0.25676163000360619</v>
      </c>
      <c r="CX101" s="2833">
        <f>CX99/CX45</f>
        <v>0.21359536082474226</v>
      </c>
      <c r="CY101" s="2937"/>
      <c r="CZ101" s="2833">
        <f>CZ99/CZ45</f>
        <v>0.22812192723697147</v>
      </c>
      <c r="DA101" s="2833">
        <f>DA99/DA45</f>
        <v>0.22357311719013848</v>
      </c>
      <c r="DB101" s="2833">
        <f>DB99/DB45</f>
        <v>0.25008671522719389</v>
      </c>
      <c r="DC101" s="2833">
        <f>DC99/DC45</f>
        <v>0.21159216242077419</v>
      </c>
      <c r="DD101" s="2835"/>
      <c r="DE101" s="2833">
        <f t="shared" ref="DE101:DF101" si="157">DE99/DE45</f>
        <v>0.21310315589749534</v>
      </c>
      <c r="DF101" s="2833">
        <f t="shared" si="157"/>
        <v>0.21684613701511971</v>
      </c>
      <c r="DG101" s="2833">
        <f>DG99/DG45</f>
        <v>0.25366486363086077</v>
      </c>
      <c r="DH101" s="2833">
        <f>DH99/DH45</f>
        <v>0.21118820581063849</v>
      </c>
      <c r="DI101" s="1741"/>
      <c r="DJ101" s="186"/>
      <c r="DK101" s="467"/>
      <c r="DL101" s="186"/>
      <c r="DM101" s="186"/>
      <c r="DN101" s="186"/>
      <c r="DO101" s="186"/>
      <c r="DP101" s="186"/>
      <c r="DQ101" s="186"/>
      <c r="DR101" s="186"/>
      <c r="DS101" s="186"/>
      <c r="DT101" s="186"/>
    </row>
    <row r="102" spans="1:130" s="1101" customFormat="1" ht="11.25" customHeight="1">
      <c r="A102" s="1842"/>
      <c r="B102" s="1843"/>
      <c r="C102" s="1843"/>
      <c r="D102" s="1843"/>
      <c r="E102" s="1843"/>
      <c r="F102" s="1843"/>
      <c r="G102" s="1843"/>
      <c r="H102" s="1843"/>
      <c r="I102" s="1843"/>
      <c r="J102" s="1843"/>
      <c r="K102" s="1843"/>
      <c r="L102" s="1843"/>
      <c r="M102" s="1843"/>
      <c r="N102" s="1843"/>
      <c r="O102" s="2726"/>
      <c r="P102" s="2726"/>
      <c r="Q102" s="1843"/>
      <c r="R102" s="1843"/>
      <c r="S102" s="2726"/>
      <c r="T102" s="1843"/>
      <c r="U102" s="1843"/>
      <c r="V102" s="1843"/>
      <c r="W102" s="1843"/>
      <c r="X102" s="1843"/>
      <c r="Y102" s="1843"/>
      <c r="Z102" s="1843"/>
      <c r="AA102" s="1843"/>
      <c r="AB102" s="1843"/>
      <c r="AC102" s="1843"/>
      <c r="AD102" s="1843"/>
      <c r="AE102" s="1843"/>
      <c r="AF102" s="1843"/>
      <c r="AG102" s="1843"/>
      <c r="AH102" s="1843"/>
      <c r="AI102" s="1843"/>
      <c r="AJ102" s="1843"/>
      <c r="AK102" s="189"/>
      <c r="AL102" s="1544"/>
      <c r="AM102" s="467"/>
      <c r="AN102" s="467"/>
      <c r="AO102" s="467"/>
      <c r="AP102" s="467"/>
      <c r="AQ102" s="1287"/>
      <c r="AR102" s="467"/>
      <c r="AS102" s="467"/>
      <c r="AT102" s="467"/>
      <c r="AU102" s="467"/>
      <c r="AV102" s="1287"/>
      <c r="AW102" s="467"/>
      <c r="AX102" s="467"/>
      <c r="AY102" s="467"/>
      <c r="AZ102" s="467"/>
      <c r="BA102" s="1287"/>
      <c r="BB102" s="467"/>
      <c r="BC102" s="467"/>
      <c r="BD102" s="467"/>
      <c r="BE102" s="467"/>
      <c r="BF102" s="1287"/>
      <c r="BG102" s="467"/>
      <c r="BH102" s="467"/>
      <c r="BI102" s="467"/>
      <c r="BJ102" s="467"/>
      <c r="BK102" s="1287"/>
      <c r="BL102" s="467"/>
      <c r="BM102" s="467"/>
      <c r="BN102" s="467"/>
      <c r="BO102" s="467"/>
      <c r="BP102" s="1287"/>
      <c r="BQ102" s="467"/>
      <c r="BR102" s="467"/>
      <c r="BS102" s="467"/>
      <c r="BT102" s="467"/>
      <c r="BU102" s="189"/>
      <c r="BV102" s="1546"/>
      <c r="BW102" s="189"/>
      <c r="BX102" s="189"/>
      <c r="BY102" s="189"/>
      <c r="BZ102" s="189"/>
      <c r="CA102" s="1547"/>
      <c r="CB102" s="1547"/>
      <c r="CC102" s="1547"/>
      <c r="CD102" s="1547"/>
      <c r="CE102" s="189"/>
      <c r="CF102" s="1547"/>
      <c r="CG102" s="1547"/>
      <c r="CH102" s="1547"/>
      <c r="CI102" s="1547"/>
      <c r="CJ102" s="189"/>
      <c r="CK102" s="1548"/>
      <c r="CL102" s="1548"/>
      <c r="CM102" s="1548"/>
      <c r="CN102" s="1549"/>
      <c r="CO102" s="189"/>
      <c r="CP102" s="1548"/>
      <c r="CQ102" s="1548"/>
      <c r="CR102" s="1548"/>
      <c r="CS102" s="1549"/>
      <c r="CT102" s="189"/>
      <c r="CU102" s="1548"/>
      <c r="CV102" s="3086"/>
      <c r="CW102" s="3086"/>
      <c r="CX102" s="3086"/>
      <c r="CY102" s="3086"/>
      <c r="CZ102" s="3086"/>
      <c r="DA102" s="3086"/>
      <c r="DB102" s="3086"/>
      <c r="DC102" s="3086"/>
      <c r="DD102" s="2835"/>
      <c r="DE102" s="2835"/>
      <c r="DF102" s="2835"/>
      <c r="DG102" s="2835"/>
      <c r="DH102" s="2835"/>
      <c r="DI102" s="1741"/>
      <c r="DJ102" s="189"/>
      <c r="DK102" s="189"/>
      <c r="DL102" s="186"/>
      <c r="DM102" s="186"/>
      <c r="DN102" s="186"/>
      <c r="DO102" s="186"/>
      <c r="DP102" s="186"/>
      <c r="DQ102" s="186"/>
      <c r="DR102" s="186"/>
      <c r="DS102" s="186"/>
      <c r="DT102" s="186"/>
      <c r="DV102"/>
    </row>
    <row r="103" spans="1:130" ht="11.25" hidden="1" customHeight="1" outlineLevel="1">
      <c r="A103" s="1797"/>
      <c r="B103" s="1476"/>
      <c r="C103" s="1476"/>
      <c r="D103" s="1476"/>
      <c r="E103" s="1476"/>
      <c r="F103" s="1476"/>
      <c r="G103" s="1476"/>
      <c r="H103" s="1476"/>
      <c r="I103" s="1476"/>
      <c r="J103" s="1476"/>
      <c r="K103" s="1476"/>
      <c r="L103" s="1476"/>
      <c r="M103" s="1476"/>
      <c r="N103" s="1476"/>
      <c r="O103" s="2725"/>
      <c r="P103" s="2725"/>
      <c r="Q103" s="1476"/>
      <c r="R103" s="1476"/>
      <c r="S103" s="2725"/>
      <c r="T103" s="1476"/>
      <c r="U103" s="1476"/>
      <c r="V103" s="1476"/>
      <c r="W103" s="1476"/>
      <c r="X103" s="1476"/>
      <c r="Y103" s="1476"/>
      <c r="Z103" s="1476"/>
      <c r="AA103" s="1476"/>
      <c r="AB103" s="1476"/>
      <c r="AC103" s="1476"/>
      <c r="AD103" s="1476"/>
      <c r="AE103" s="1476"/>
      <c r="AF103" s="1476"/>
      <c r="AG103" s="1476"/>
      <c r="AH103" s="1545"/>
      <c r="AI103" s="1545"/>
      <c r="AJ103" s="1545"/>
      <c r="AK103" s="186"/>
      <c r="AL103" s="1302"/>
      <c r="AM103" s="467"/>
      <c r="AN103" s="467"/>
      <c r="AO103" s="467"/>
      <c r="AP103" s="467"/>
      <c r="AQ103" s="1287"/>
      <c r="AR103" s="467"/>
      <c r="AS103" s="467"/>
      <c r="AT103" s="467"/>
      <c r="AU103" s="467"/>
      <c r="AV103" s="1287"/>
      <c r="AW103" s="467"/>
      <c r="AX103" s="467"/>
      <c r="AY103" s="467"/>
      <c r="AZ103" s="467"/>
      <c r="BA103" s="1287"/>
      <c r="BB103" s="467"/>
      <c r="BC103" s="467"/>
      <c r="BD103" s="467"/>
      <c r="BE103" s="467"/>
      <c r="BF103" s="1287"/>
      <c r="BG103" s="467"/>
      <c r="BH103" s="467"/>
      <c r="BI103" s="467"/>
      <c r="BJ103" s="467"/>
      <c r="BK103" s="1287"/>
      <c r="BL103" s="467"/>
      <c r="BM103" s="467"/>
      <c r="BN103" s="467"/>
      <c r="BO103" s="467"/>
      <c r="BP103" s="1287"/>
      <c r="BQ103" s="467"/>
      <c r="BR103" s="467"/>
      <c r="BS103" s="467"/>
      <c r="BT103" s="467"/>
      <c r="BU103" s="186"/>
      <c r="BV103" s="186"/>
      <c r="BW103" s="186"/>
      <c r="BX103" s="186"/>
      <c r="BY103" s="186"/>
      <c r="BZ103" s="186"/>
      <c r="CA103" s="186"/>
      <c r="CB103" s="186"/>
      <c r="CC103" s="186"/>
      <c r="CD103" s="186"/>
      <c r="CE103" s="186"/>
      <c r="CF103" s="186"/>
      <c r="CG103" s="186"/>
      <c r="CH103" s="186"/>
      <c r="CI103" s="186"/>
      <c r="CJ103" s="186"/>
      <c r="CK103" s="1477"/>
      <c r="CL103" s="1477"/>
      <c r="CM103" s="1477"/>
      <c r="CN103" s="1477"/>
      <c r="CO103" s="189"/>
      <c r="CP103" s="1477"/>
      <c r="CQ103" s="1477"/>
      <c r="CR103" s="1477"/>
      <c r="CS103" s="1477"/>
      <c r="CT103" s="1477"/>
      <c r="CU103" s="1477"/>
      <c r="CV103" s="2937"/>
      <c r="CW103" s="2937"/>
      <c r="CX103" s="2937"/>
      <c r="CY103" s="2937"/>
      <c r="CZ103" s="2937"/>
      <c r="DA103" s="2937"/>
      <c r="DB103" s="2937"/>
      <c r="DC103" s="2937"/>
      <c r="DD103" s="2835"/>
      <c r="DE103" s="2835"/>
      <c r="DF103" s="2835"/>
      <c r="DG103" s="2835"/>
      <c r="DH103" s="2835"/>
      <c r="DI103" s="1741"/>
      <c r="DJ103" s="1477"/>
      <c r="DK103" s="1477"/>
      <c r="DL103" s="186"/>
      <c r="DM103" s="186"/>
      <c r="DN103" s="186"/>
      <c r="DO103" s="186"/>
      <c r="DP103" s="186"/>
      <c r="DQ103" s="186"/>
      <c r="DR103" s="186"/>
      <c r="DS103" s="186"/>
      <c r="DT103" s="186"/>
    </row>
    <row r="104" spans="1:130" ht="11.25" hidden="1" customHeight="1" outlineLevel="1">
      <c r="A104" s="1494" t="s">
        <v>718</v>
      </c>
      <c r="B104" s="1476"/>
      <c r="C104" s="1476"/>
      <c r="D104" s="1476"/>
      <c r="E104" s="1476"/>
      <c r="F104" s="1476"/>
      <c r="G104" s="1476"/>
      <c r="H104" s="1476"/>
      <c r="I104" s="1476"/>
      <c r="J104" s="1476"/>
      <c r="K104" s="1476"/>
      <c r="L104" s="1476"/>
      <c r="M104" s="1476"/>
      <c r="N104" s="1476"/>
      <c r="O104" s="2725"/>
      <c r="P104" s="2725"/>
      <c r="Q104" s="1476"/>
      <c r="R104" s="1476"/>
      <c r="S104" s="2725"/>
      <c r="T104" s="1476"/>
      <c r="U104" s="1476"/>
      <c r="V104" s="1476"/>
      <c r="W104" s="1476"/>
      <c r="X104" s="1476"/>
      <c r="Y104" s="1476"/>
      <c r="Z104" s="1476"/>
      <c r="AA104" s="1476"/>
      <c r="AB104" s="1476"/>
      <c r="AC104" s="1476"/>
      <c r="AD104" s="1476"/>
      <c r="AE104" s="1476"/>
      <c r="AF104" s="1476"/>
      <c r="AG104" s="1476"/>
      <c r="AH104" s="1545"/>
      <c r="AI104" s="1545"/>
      <c r="AJ104" s="1545"/>
      <c r="AK104" s="186"/>
      <c r="AL104" s="9" t="s">
        <v>718</v>
      </c>
      <c r="AM104" s="467"/>
      <c r="AN104" s="467"/>
      <c r="AO104" s="467"/>
      <c r="AP104" s="467"/>
      <c r="AQ104" s="1287"/>
      <c r="AR104" s="467"/>
      <c r="AS104" s="467"/>
      <c r="AT104" s="467"/>
      <c r="AU104" s="467"/>
      <c r="AV104" s="1287"/>
      <c r="AW104" s="467"/>
      <c r="AX104" s="467"/>
      <c r="AY104" s="467"/>
      <c r="AZ104" s="467"/>
      <c r="BA104" s="1287"/>
      <c r="BB104" s="467"/>
      <c r="BC104" s="467"/>
      <c r="BD104" s="467"/>
      <c r="BE104" s="467"/>
      <c r="BF104" s="1287"/>
      <c r="BG104" s="467"/>
      <c r="BH104" s="467"/>
      <c r="BI104" s="467"/>
      <c r="BJ104" s="467"/>
      <c r="BK104" s="1287"/>
      <c r="BL104" s="467"/>
      <c r="BM104" s="467"/>
      <c r="BN104" s="467"/>
      <c r="BO104" s="467"/>
      <c r="BP104" s="1287"/>
      <c r="BQ104" s="467"/>
      <c r="BR104" s="467"/>
      <c r="BS104" s="467"/>
      <c r="BT104" s="467"/>
      <c r="BU104" s="186"/>
      <c r="BV104" s="185">
        <f>BV105+BV106</f>
        <v>44.22925</v>
      </c>
      <c r="BW104" s="185">
        <f>BW105+BW106</f>
        <v>45.22925</v>
      </c>
      <c r="BX104" s="185">
        <f>BX105+BX106</f>
        <v>45.22925</v>
      </c>
      <c r="BY104" s="185">
        <f>BY105+BY106</f>
        <v>47.22925</v>
      </c>
      <c r="BZ104" s="186"/>
      <c r="CA104" s="186"/>
      <c r="CB104" s="186"/>
      <c r="CC104" s="186"/>
      <c r="CD104" s="186"/>
      <c r="CE104" s="186"/>
      <c r="CF104" s="186"/>
      <c r="CG104" s="186"/>
      <c r="CH104" s="186"/>
      <c r="CI104" s="186"/>
      <c r="CJ104" s="186"/>
      <c r="CK104" s="1477"/>
      <c r="CL104" s="1477"/>
      <c r="CM104" s="1477"/>
      <c r="CN104" s="1477"/>
      <c r="CO104" s="189"/>
      <c r="CP104" s="1477"/>
      <c r="CQ104" s="1477"/>
      <c r="CR104" s="1477"/>
      <c r="CS104" s="1477"/>
      <c r="CT104" s="1477"/>
      <c r="CU104" s="1477"/>
      <c r="CV104" s="2937"/>
      <c r="CW104" s="2937"/>
      <c r="CX104" s="2937"/>
      <c r="CY104" s="2937"/>
      <c r="CZ104" s="2937"/>
      <c r="DA104" s="2937"/>
      <c r="DB104" s="2937"/>
      <c r="DC104" s="2937"/>
      <c r="DD104" s="2835"/>
      <c r="DE104" s="2835"/>
      <c r="DF104" s="2835"/>
      <c r="DG104" s="2835"/>
      <c r="DH104" s="2835"/>
      <c r="DI104" s="1741"/>
      <c r="DJ104" s="1477"/>
      <c r="DK104" s="1477"/>
      <c r="DL104" s="186"/>
      <c r="DM104" s="186"/>
      <c r="DN104" s="186"/>
      <c r="DO104" s="186"/>
      <c r="DP104" s="186"/>
      <c r="DQ104" s="186"/>
      <c r="DR104" s="186"/>
      <c r="DS104" s="186"/>
      <c r="DT104" s="186"/>
    </row>
    <row r="105" spans="1:130" ht="11.25" hidden="1" customHeight="1" outlineLevel="1">
      <c r="A105" s="1826" t="s">
        <v>1288</v>
      </c>
      <c r="B105" s="1476"/>
      <c r="C105" s="1476"/>
      <c r="D105" s="1476"/>
      <c r="E105" s="1476"/>
      <c r="F105" s="1476"/>
      <c r="G105" s="1476"/>
      <c r="H105" s="1105">
        <f>SUM(BG105:BJ105)</f>
        <v>133.89999999999998</v>
      </c>
      <c r="I105" s="1105">
        <f>SUM(BL105:BO105)</f>
        <v>164.70000000000002</v>
      </c>
      <c r="J105" s="1105">
        <f>SUM(BQ105:BT105)</f>
        <v>162.89999999999998</v>
      </c>
      <c r="K105" s="1105">
        <f>('Segment Detail'!AH195+'Segment Detail'!AH197+'Segment Detail'!AH205+'Segment Detail'!AH207)-K106-K170</f>
        <v>158.86500000000001</v>
      </c>
      <c r="L105" s="1105">
        <f>('Segment Detail'!AI195+'Segment Detail'!AI197+'Segment Detail'!AI205+'Segment Detail'!AI207)-L106-L170</f>
        <v>162.77196000000001</v>
      </c>
      <c r="M105" s="1105">
        <f>('Segment Detail'!AJ195+'Segment Detail'!AJ197+'Segment Detail'!AJ205+'Segment Detail'!AJ207)-M106-M170</f>
        <v>152.52799999999996</v>
      </c>
      <c r="N105" s="1796">
        <f>SUM(CK105:CN105)</f>
        <v>139</v>
      </c>
      <c r="O105" s="2714">
        <f t="shared" ref="O105:P107" si="158">M105</f>
        <v>152.52799999999996</v>
      </c>
      <c r="P105" s="2714">
        <f t="shared" si="158"/>
        <v>139</v>
      </c>
      <c r="Q105" s="1796">
        <f>SUM(CP105:CS105)</f>
        <v>126</v>
      </c>
      <c r="R105" s="1796">
        <f>SUM(CU105:CX105)</f>
        <v>117</v>
      </c>
      <c r="S105" s="2727">
        <f>R105</f>
        <v>117</v>
      </c>
      <c r="T105" s="1796">
        <f ca="1">SUM(CZ105:DC105)</f>
        <v>112.81536848960859</v>
      </c>
      <c r="U105" s="1796">
        <f ca="1">SUM(DE105:DH105)</f>
        <v>110.40405271075564</v>
      </c>
      <c r="V105" s="1105">
        <f ca="1">('Segment Detail'!AP195+'Segment Detail'!AP197+'Segment Detail'!AP205+'Segment Detail'!AP207)-V106-V170</f>
        <v>107.33408013970461</v>
      </c>
      <c r="W105" s="1105">
        <f ca="1">('Segment Detail'!AQ195+'Segment Detail'!AQ197+'Segment Detail'!AQ205+'Segment Detail'!AQ207)-W106-W170</f>
        <v>106.76765591467785</v>
      </c>
      <c r="X105" s="1105">
        <f ca="1">('Segment Detail'!AR195+'Segment Detail'!AR197+'Segment Detail'!AR205+'Segment Detail'!AR207)-X106-X170</f>
        <v>111.36500723964173</v>
      </c>
      <c r="Y105" s="1105">
        <f ca="1">('Segment Detail'!AS195+'Segment Detail'!AS197+'Segment Detail'!AS205+'Segment Detail'!AS207)-Y106-Y170</f>
        <v>121.04092215778201</v>
      </c>
      <c r="Z105" s="1105">
        <f ca="1">('Segment Detail'!AT195+'Segment Detail'!AT197+'Segment Detail'!AT205+'Segment Detail'!AT207)-Z106-Z170</f>
        <v>117.48163374193625</v>
      </c>
      <c r="AA105" s="1105">
        <f ca="1">('Segment Detail'!AU195+'Segment Detail'!AU197+'Segment Detail'!AU205+'Segment Detail'!AU207)-AA106-AA170</f>
        <v>121.21713091232075</v>
      </c>
      <c r="AB105" s="1105">
        <f ca="1">('Segment Detail'!AV195+'Segment Detail'!AV197+'Segment Detail'!AV205+'Segment Detail'!AV207)-AB106-AB170</f>
        <v>129.30715837879586</v>
      </c>
      <c r="AC105" s="1105">
        <f ca="1">('Segment Detail'!AW195+'Segment Detail'!AW197+'Segment Detail'!AW205+'Segment Detail'!AW207)-AC106-AC170</f>
        <v>125.80457615170954</v>
      </c>
      <c r="AD105" s="1105">
        <f ca="1">('Segment Detail'!AX195+'Segment Detail'!AX197+'Segment Detail'!AX205+'Segment Detail'!AX207)-AD106-AD170</f>
        <v>127.83199140845656</v>
      </c>
      <c r="AE105" s="1105">
        <f ca="1">('Segment Detail'!AY195+'Segment Detail'!AY197+'Segment Detail'!AY205+'Segment Detail'!AY207)-AE106-AE170</f>
        <v>138.48188979053296</v>
      </c>
      <c r="AF105" s="1476"/>
      <c r="AG105" s="1545"/>
      <c r="AH105" s="1545"/>
      <c r="AI105" s="1545"/>
      <c r="AJ105" s="1545"/>
      <c r="AK105" s="186"/>
      <c r="AL105" s="1106" t="s">
        <v>1288</v>
      </c>
      <c r="AM105" s="467"/>
      <c r="AN105" s="467"/>
      <c r="AO105" s="467"/>
      <c r="AP105" s="467"/>
      <c r="AQ105" s="1287"/>
      <c r="AR105" s="467"/>
      <c r="AS105" s="467"/>
      <c r="AT105" s="467"/>
      <c r="AU105" s="467"/>
      <c r="AV105" s="1287"/>
      <c r="AW105" s="467"/>
      <c r="AX105" s="467"/>
      <c r="AY105" s="467"/>
      <c r="AZ105" s="467"/>
      <c r="BA105" s="1287"/>
      <c r="BB105" s="467"/>
      <c r="BC105" s="467"/>
      <c r="BD105" s="467"/>
      <c r="BE105" s="467"/>
      <c r="BF105" s="1287"/>
      <c r="BG105" s="105">
        <f>('Segment Detail'!DI195+'Segment Detail'!DI197+'Segment Detail'!DI205+'Segment Detail'!DI207)-BG106-BG170</f>
        <v>23.299999999999997</v>
      </c>
      <c r="BH105" s="105">
        <f>('Segment Detail'!DJ195+'Segment Detail'!DJ197+'Segment Detail'!DJ205+'Segment Detail'!DJ207)-BH106-BH170</f>
        <v>23.299999999999997</v>
      </c>
      <c r="BI105" s="105">
        <f>('Segment Detail'!DK195+'Segment Detail'!DK197+'Segment Detail'!DK205+'Segment Detail'!DK207)-BI106-BI170</f>
        <v>40.999999999999993</v>
      </c>
      <c r="BJ105" s="105">
        <f>49-2.7</f>
        <v>46.3</v>
      </c>
      <c r="BK105" s="1120">
        <f>H105-SUM(BG105:BJ105)</f>
        <v>0</v>
      </c>
      <c r="BL105" s="105">
        <f>('Segment Detail'!DN195+'Segment Detail'!DN197+'Segment Detail'!DN205+'Segment Detail'!DN207)-BL106-BL170</f>
        <v>41.1</v>
      </c>
      <c r="BM105" s="105">
        <f>('Segment Detail'!DO195+'Segment Detail'!DO197+'Segment Detail'!DO205+'Segment Detail'!DO207)-BM106-BM170</f>
        <v>39.4</v>
      </c>
      <c r="BN105" s="105">
        <f>('Segment Detail'!DP195+'Segment Detail'!DP197+'Segment Detail'!DP205+'Segment Detail'!DP207)-BN106-BN170</f>
        <v>40.300000000000004</v>
      </c>
      <c r="BO105" s="105">
        <v>43.9</v>
      </c>
      <c r="BP105" s="1120">
        <f>I105-SUM(BL105:BO105)</f>
        <v>0</v>
      </c>
      <c r="BQ105" s="108">
        <f>BQ108-BQ106-BQ107</f>
        <v>41.3</v>
      </c>
      <c r="BR105" s="108">
        <f>BR108-BR106-BR107</f>
        <v>41.4</v>
      </c>
      <c r="BS105" s="108">
        <f>BS108-BS106-BS107</f>
        <v>40.499999999999993</v>
      </c>
      <c r="BT105" s="108">
        <f>BT108-BT106-BT107</f>
        <v>39.699999999999996</v>
      </c>
      <c r="BU105" s="186"/>
      <c r="BV105" s="108">
        <f>BV108-BV106-BV107</f>
        <v>38.466250000000002</v>
      </c>
      <c r="BW105" s="108">
        <f>BW108-BW106-BW107</f>
        <v>39.466250000000002</v>
      </c>
      <c r="BX105" s="108">
        <f>BX108-BX106-BX107</f>
        <v>39.466250000000002</v>
      </c>
      <c r="BY105" s="108">
        <f>BY108-BY106-BY107</f>
        <v>41.466250000000002</v>
      </c>
      <c r="BZ105" s="186"/>
      <c r="CA105" s="108">
        <f>CA108-CA106-CA107</f>
        <v>40.442990000000002</v>
      </c>
      <c r="CB105" s="108">
        <f>CB108-CB106-CB107</f>
        <v>41.442990000000002</v>
      </c>
      <c r="CC105" s="108">
        <f>CC108-CC106-CC107</f>
        <v>37.442990000000002</v>
      </c>
      <c r="CD105" s="108">
        <f>CD108-CD106-CD107</f>
        <v>43.442990000000002</v>
      </c>
      <c r="CE105" s="1120">
        <f>L105-SUM(CA105:CD105)</f>
        <v>0</v>
      </c>
      <c r="CF105" s="108">
        <f>CF108-CF106-CF107</f>
        <v>40</v>
      </c>
      <c r="CG105" s="108">
        <f>CG108-CG106-CG107</f>
        <v>38</v>
      </c>
      <c r="CH105" s="108">
        <f>CH108-CH106-CH107</f>
        <v>37</v>
      </c>
      <c r="CI105" s="108">
        <f>CI108-CI106-CI107</f>
        <v>38</v>
      </c>
      <c r="CJ105" s="1120">
        <f>M105-SUM(CF105:CI105)</f>
        <v>-0.47200000000003683</v>
      </c>
      <c r="CK105" s="108">
        <f>CK108-CK106-CK107</f>
        <v>37</v>
      </c>
      <c r="CL105" s="108">
        <f>CL108-CL106-CL107</f>
        <v>35</v>
      </c>
      <c r="CM105" s="108">
        <f>CM108-CM106-CM107</f>
        <v>33</v>
      </c>
      <c r="CN105" s="108">
        <f>CN108-CN106-CN107</f>
        <v>34</v>
      </c>
      <c r="CO105" s="189"/>
      <c r="CP105" s="1635">
        <v>32</v>
      </c>
      <c r="CQ105" s="1635">
        <v>32</v>
      </c>
      <c r="CR105" s="1635">
        <v>31</v>
      </c>
      <c r="CS105" s="1635">
        <v>31</v>
      </c>
      <c r="CT105" s="1741">
        <f>$Q105-SUM(CP105:CS105)</f>
        <v>0</v>
      </c>
      <c r="CU105" s="1635">
        <v>30</v>
      </c>
      <c r="CV105" s="2829">
        <v>30</v>
      </c>
      <c r="CW105" s="2829">
        <v>28</v>
      </c>
      <c r="CX105" s="2829">
        <v>29</v>
      </c>
      <c r="CY105" s="2835">
        <f>S105-SUM(CU105:CX105)</f>
        <v>0</v>
      </c>
      <c r="CZ105" s="1635">
        <v>29</v>
      </c>
      <c r="DA105" s="2829">
        <v>27</v>
      </c>
      <c r="DB105" s="2829">
        <v>29</v>
      </c>
      <c r="DC105" s="2970">
        <f ca="1">'Segment Detail'!FE211-Drivers!DC106-Drivers!DC107-Drivers!DC172-Drivers!DC203</f>
        <v>27.815368489608584</v>
      </c>
      <c r="DD105" s="2835">
        <f ca="1">T105-SUM(CZ105:DC105)</f>
        <v>0</v>
      </c>
      <c r="DE105" s="2970">
        <f>'Segment Detail'!FG211-Drivers!DE106-Drivers!DE107-Drivers!DE172-Drivers!DE203</f>
        <v>27.865818205286764</v>
      </c>
      <c r="DF105" s="2970">
        <f>'Segment Detail'!FH211-Drivers!DF106-Drivers!DF107-Drivers!DF172-Drivers!DF203</f>
        <v>26.840818205286766</v>
      </c>
      <c r="DG105" s="2970">
        <f>'Segment Detail'!FI211-Drivers!DG106-Drivers!DG107-Drivers!DG172-Drivers!DG203</f>
        <v>28.865818205286764</v>
      </c>
      <c r="DH105" s="2970">
        <f ca="1">'Segment Detail'!FJ211-Drivers!DH106-Drivers!DH107-Drivers!DH172-Drivers!DH203</f>
        <v>26.831598094895345</v>
      </c>
      <c r="DI105" s="2835">
        <f t="shared" ref="DI105:DI108" ca="1" si="159">U105-SUM(DE105:DH105)</f>
        <v>0</v>
      </c>
      <c r="DJ105" s="1741"/>
      <c r="DK105" s="1105" t="s">
        <v>1237</v>
      </c>
      <c r="DL105" s="186"/>
      <c r="DM105" s="186"/>
      <c r="DN105" s="186"/>
      <c r="DO105" s="186"/>
      <c r="DP105" s="186"/>
      <c r="DQ105" s="186"/>
      <c r="DR105" s="186"/>
      <c r="DS105" s="186"/>
      <c r="DT105" s="186"/>
    </row>
    <row r="106" spans="1:130" ht="11.25" hidden="1" customHeight="1" outlineLevel="1">
      <c r="A106" s="1826" t="s">
        <v>719</v>
      </c>
      <c r="B106" s="1476"/>
      <c r="C106" s="1476"/>
      <c r="D106" s="1476"/>
      <c r="E106" s="1476"/>
      <c r="F106" s="1476"/>
      <c r="G106" s="1476"/>
      <c r="H106" s="1105">
        <f>SUM(BG106:BJ106)</f>
        <v>24.8</v>
      </c>
      <c r="I106" s="1105">
        <f>SUM(BL106:BO106)</f>
        <v>23.2</v>
      </c>
      <c r="J106" s="1105">
        <f>SUM(BQ106:BT106)</f>
        <v>22.6</v>
      </c>
      <c r="K106" s="1105">
        <f>J106*1.02</f>
        <v>23.052000000000003</v>
      </c>
      <c r="L106" s="1105">
        <f>K106*1.02</f>
        <v>23.513040000000004</v>
      </c>
      <c r="M106" s="1780">
        <f>SUM(CF106:CI106)</f>
        <v>20</v>
      </c>
      <c r="N106" s="1796">
        <f>SUM(CK106:CN106)</f>
        <v>23</v>
      </c>
      <c r="O106" s="2710">
        <f t="shared" si="158"/>
        <v>20</v>
      </c>
      <c r="P106" s="2710">
        <f t="shared" si="158"/>
        <v>23</v>
      </c>
      <c r="Q106" s="1796">
        <f>SUM(CP106:CS106)</f>
        <v>23</v>
      </c>
      <c r="R106" s="1796">
        <f>SUM(CU106:CX106)</f>
        <v>23</v>
      </c>
      <c r="S106" s="2727">
        <f>R106</f>
        <v>23</v>
      </c>
      <c r="T106" s="1796">
        <f>SUM(CZ106:DC106)</f>
        <v>23.12</v>
      </c>
      <c r="U106" s="1796">
        <f t="shared" ref="U106:U107" si="160">SUM(DE106:DH106)</f>
        <v>23.12</v>
      </c>
      <c r="V106" s="1105">
        <f t="shared" ref="V106:AE106" si="161">U106*1.02</f>
        <v>23.5824</v>
      </c>
      <c r="W106" s="1105">
        <f t="shared" si="161"/>
        <v>24.054048000000002</v>
      </c>
      <c r="X106" s="1105">
        <f t="shared" si="161"/>
        <v>24.535128960000002</v>
      </c>
      <c r="Y106" s="1105">
        <f t="shared" si="161"/>
        <v>25.025831539200002</v>
      </c>
      <c r="Z106" s="1105">
        <f t="shared" si="161"/>
        <v>25.526348169984004</v>
      </c>
      <c r="AA106" s="1105">
        <f t="shared" si="161"/>
        <v>26.036875133383685</v>
      </c>
      <c r="AB106" s="1105">
        <f t="shared" si="161"/>
        <v>26.55761263605136</v>
      </c>
      <c r="AC106" s="1105">
        <f t="shared" si="161"/>
        <v>27.088764888772388</v>
      </c>
      <c r="AD106" s="1105">
        <f t="shared" si="161"/>
        <v>27.630540186547837</v>
      </c>
      <c r="AE106" s="1105">
        <f t="shared" si="161"/>
        <v>28.183150990278794</v>
      </c>
      <c r="AF106" s="1476"/>
      <c r="AG106" s="1545"/>
      <c r="AH106" s="1545"/>
      <c r="AI106" s="1545"/>
      <c r="AJ106" s="1545"/>
      <c r="AK106" s="186"/>
      <c r="AL106" s="1106" t="s">
        <v>719</v>
      </c>
      <c r="AM106" s="467"/>
      <c r="AN106" s="467"/>
      <c r="AO106" s="467"/>
      <c r="AP106" s="467"/>
      <c r="AQ106" s="1287"/>
      <c r="AR106" s="467"/>
      <c r="AS106" s="467"/>
      <c r="AT106" s="467"/>
      <c r="AU106" s="467"/>
      <c r="AV106" s="1287"/>
      <c r="AW106" s="467"/>
      <c r="AX106" s="467"/>
      <c r="AY106" s="467"/>
      <c r="AZ106" s="467"/>
      <c r="BA106" s="1287"/>
      <c r="BB106" s="467"/>
      <c r="BC106" s="467"/>
      <c r="BD106" s="467"/>
      <c r="BE106" s="467"/>
      <c r="BF106" s="1287"/>
      <c r="BG106" s="105">
        <f>BJ106</f>
        <v>6.2</v>
      </c>
      <c r="BH106" s="105">
        <f>BJ106</f>
        <v>6.2</v>
      </c>
      <c r="BI106" s="105">
        <f>BJ106</f>
        <v>6.2</v>
      </c>
      <c r="BJ106" s="105">
        <v>6.2</v>
      </c>
      <c r="BK106" s="1120">
        <f>H106-SUM(BG106:BJ106)</f>
        <v>0</v>
      </c>
      <c r="BL106" s="105">
        <f>BO106</f>
        <v>5.8</v>
      </c>
      <c r="BM106" s="105">
        <f>BO106</f>
        <v>5.8</v>
      </c>
      <c r="BN106" s="105">
        <f>BO106</f>
        <v>5.8</v>
      </c>
      <c r="BO106" s="105">
        <v>5.8</v>
      </c>
      <c r="BP106" s="1120">
        <f>I106-SUM(BL106:BO106)</f>
        <v>0</v>
      </c>
      <c r="BQ106" s="63">
        <v>5.7</v>
      </c>
      <c r="BR106" s="105">
        <f>BQ106</f>
        <v>5.7</v>
      </c>
      <c r="BS106" s="105">
        <f>BR106</f>
        <v>5.7</v>
      </c>
      <c r="BT106" s="63">
        <v>5.5</v>
      </c>
      <c r="BU106" s="186"/>
      <c r="BV106" s="105">
        <f>$K$106/4</f>
        <v>5.7630000000000008</v>
      </c>
      <c r="BW106" s="105">
        <f>$K$106/4</f>
        <v>5.7630000000000008</v>
      </c>
      <c r="BX106" s="105">
        <f>$K$106/4</f>
        <v>5.7630000000000008</v>
      </c>
      <c r="BY106" s="105">
        <f>$K$106/4</f>
        <v>5.7630000000000008</v>
      </c>
      <c r="BZ106" s="186"/>
      <c r="CA106" s="105">
        <f>+$L106/4</f>
        <v>5.8782600000000009</v>
      </c>
      <c r="CB106" s="105">
        <f>+$L106/4</f>
        <v>5.8782600000000009</v>
      </c>
      <c r="CC106" s="105">
        <f>+$L106/4</f>
        <v>5.8782600000000009</v>
      </c>
      <c r="CD106" s="105">
        <f>$L106-SUM(CA106:CC106)</f>
        <v>5.8782600000000009</v>
      </c>
      <c r="CE106" s="1120">
        <f>L106-SUM(CA106:CD106)</f>
        <v>0</v>
      </c>
      <c r="CF106" s="63">
        <v>4</v>
      </c>
      <c r="CG106" s="63">
        <v>5</v>
      </c>
      <c r="CH106" s="63">
        <v>6</v>
      </c>
      <c r="CI106" s="63">
        <v>5</v>
      </c>
      <c r="CJ106" s="1120">
        <f>M106-SUM(CF106:CI106)</f>
        <v>0</v>
      </c>
      <c r="CK106" s="63">
        <v>5</v>
      </c>
      <c r="CL106" s="63">
        <v>6</v>
      </c>
      <c r="CM106" s="63">
        <v>6</v>
      </c>
      <c r="CN106" s="63">
        <v>6</v>
      </c>
      <c r="CO106" s="189"/>
      <c r="CP106" s="1635">
        <v>6</v>
      </c>
      <c r="CQ106" s="1635">
        <v>6</v>
      </c>
      <c r="CR106" s="1635">
        <v>5</v>
      </c>
      <c r="CS106" s="1635">
        <v>6</v>
      </c>
      <c r="CT106" s="1741">
        <f>$Q106-SUM(CP106:CS106)</f>
        <v>0</v>
      </c>
      <c r="CU106" s="1635">
        <v>6</v>
      </c>
      <c r="CV106" s="2829">
        <v>5</v>
      </c>
      <c r="CW106" s="2829">
        <v>6</v>
      </c>
      <c r="CX106" s="2829">
        <v>6</v>
      </c>
      <c r="CY106" s="2835">
        <f>S106-SUM(CU106:CX106)</f>
        <v>0</v>
      </c>
      <c r="CZ106" s="1635">
        <v>6</v>
      </c>
      <c r="DA106" s="2829">
        <v>6</v>
      </c>
      <c r="DB106" s="2829">
        <v>5</v>
      </c>
      <c r="DC106" s="2829">
        <f>CX106*1.02</f>
        <v>6.12</v>
      </c>
      <c r="DD106" s="2835">
        <f>T106-SUM(CZ106:DC106)</f>
        <v>0</v>
      </c>
      <c r="DE106" s="2829">
        <f>CZ106*1</f>
        <v>6</v>
      </c>
      <c r="DF106" s="2829">
        <f t="shared" ref="DF106:DH106" si="162">DA106*1</f>
        <v>6</v>
      </c>
      <c r="DG106" s="2829">
        <f t="shared" si="162"/>
        <v>5</v>
      </c>
      <c r="DH106" s="2829">
        <f t="shared" si="162"/>
        <v>6.12</v>
      </c>
      <c r="DI106" s="2835">
        <f t="shared" si="159"/>
        <v>0</v>
      </c>
      <c r="DJ106" s="1741"/>
      <c r="DK106" s="1105"/>
      <c r="DL106" s="186"/>
      <c r="DM106" s="186"/>
      <c r="DN106" s="186"/>
      <c r="DO106" s="186"/>
      <c r="DP106" s="186"/>
      <c r="DQ106" s="186"/>
      <c r="DR106" s="186"/>
      <c r="DS106" s="186"/>
      <c r="DT106" s="186"/>
    </row>
    <row r="107" spans="1:130" ht="11.25" hidden="1" customHeight="1" outlineLevel="1">
      <c r="A107" s="1826" t="s">
        <v>689</v>
      </c>
      <c r="B107" s="1476"/>
      <c r="C107" s="1476"/>
      <c r="D107" s="1476"/>
      <c r="E107" s="1476"/>
      <c r="F107" s="1476"/>
      <c r="G107" s="1476"/>
      <c r="H107" s="1639">
        <f>SUM(BG107:BJ107)</f>
        <v>9.5</v>
      </c>
      <c r="I107" s="1639">
        <f>SUM(BL107:BO107)</f>
        <v>7.7</v>
      </c>
      <c r="J107" s="1639">
        <f>SUM(BQ107:BT107)</f>
        <v>7.1000000000000005</v>
      </c>
      <c r="K107" s="1639">
        <f>'Segment Detail'!AH206+'Segment Detail'!AH196</f>
        <v>7.0829999999999993</v>
      </c>
      <c r="L107" s="1639">
        <f>'Segment Detail'!AI206+'Segment Detail'!AI196</f>
        <v>6.7149999999999981</v>
      </c>
      <c r="M107" s="1639">
        <f>'Segment Detail'!AJ206+'Segment Detail'!AJ196</f>
        <v>6.4719999999999986</v>
      </c>
      <c r="N107" s="1809">
        <f>SUM(CK107:CN107)</f>
        <v>6</v>
      </c>
      <c r="O107" s="2723">
        <f t="shared" si="158"/>
        <v>6.4719999999999986</v>
      </c>
      <c r="P107" s="2723">
        <f t="shared" si="158"/>
        <v>6</v>
      </c>
      <c r="Q107" s="1809">
        <f>SUM(CP107:CS107)</f>
        <v>6</v>
      </c>
      <c r="R107" s="1809">
        <f>SUM(CU107:CX107)</f>
        <v>6</v>
      </c>
      <c r="S107" s="2728">
        <f>R107</f>
        <v>6</v>
      </c>
      <c r="T107" s="1809">
        <f>SUM(CZ107:DC107)</f>
        <v>6.9563543999999968</v>
      </c>
      <c r="U107" s="1809">
        <f t="shared" si="160"/>
        <v>4.9023844799999967</v>
      </c>
      <c r="V107" s="1639">
        <f>'Segment Detail'!AP206+'Segment Detail'!AP196</f>
        <v>4.1619060000000001</v>
      </c>
      <c r="W107" s="1639">
        <f>'Segment Detail'!AQ206+'Segment Detail'!AQ196</f>
        <v>4.24514412</v>
      </c>
      <c r="X107" s="1639">
        <f>'Segment Detail'!AR206+'Segment Detail'!AR196</f>
        <v>4.3300470023999997</v>
      </c>
      <c r="Y107" s="1639">
        <f>'Segment Detail'!AS206+'Segment Detail'!AS196</f>
        <v>4.4166479424479999</v>
      </c>
      <c r="Z107" s="1639">
        <f>'Segment Detail'!AT206+'Segment Detail'!AT196</f>
        <v>4.5049809012969595</v>
      </c>
      <c r="AA107" s="1639">
        <f>'Segment Detail'!AU206+'Segment Detail'!AU196</f>
        <v>4.5950805193228987</v>
      </c>
      <c r="AB107" s="1639">
        <f>'Segment Detail'!AV206+'Segment Detail'!AV196</f>
        <v>4.6869821297093566</v>
      </c>
      <c r="AC107" s="1639">
        <f>'Segment Detail'!AW206+'Segment Detail'!AW196</f>
        <v>4.7807217723035436</v>
      </c>
      <c r="AD107" s="1639">
        <f>'Segment Detail'!AX206+'Segment Detail'!AX196</f>
        <v>4.8763362077496151</v>
      </c>
      <c r="AE107" s="1639">
        <f>'Segment Detail'!AY206+'Segment Detail'!AY196</f>
        <v>4.9738629319046073</v>
      </c>
      <c r="AF107" s="1476"/>
      <c r="AG107" s="1545"/>
      <c r="AH107" s="1545"/>
      <c r="AI107" s="1545"/>
      <c r="AJ107" s="1545"/>
      <c r="AK107" s="186"/>
      <c r="AL107" s="1106" t="s">
        <v>689</v>
      </c>
      <c r="AM107" s="467"/>
      <c r="AN107" s="467"/>
      <c r="AO107" s="467"/>
      <c r="AP107" s="467"/>
      <c r="AQ107" s="1287"/>
      <c r="AR107" s="467"/>
      <c r="AS107" s="467"/>
      <c r="AT107" s="467"/>
      <c r="AU107" s="467"/>
      <c r="AV107" s="1287"/>
      <c r="AW107" s="467"/>
      <c r="AX107" s="467"/>
      <c r="AY107" s="467"/>
      <c r="AZ107" s="467"/>
      <c r="BA107" s="1287"/>
      <c r="BB107" s="467"/>
      <c r="BC107" s="467"/>
      <c r="BD107" s="467"/>
      <c r="BE107" s="467"/>
      <c r="BF107" s="1287"/>
      <c r="BG107" s="833">
        <f>'Segment Detail'!DI22+'Segment Detail'!DI27</f>
        <v>2.5</v>
      </c>
      <c r="BH107" s="833">
        <f>'Segment Detail'!DJ22+'Segment Detail'!DJ27</f>
        <v>2.4</v>
      </c>
      <c r="BI107" s="833">
        <f>'Segment Detail'!DK22+'Segment Detail'!DK27</f>
        <v>2.4</v>
      </c>
      <c r="BJ107" s="833">
        <v>2.2000000000000002</v>
      </c>
      <c r="BK107" s="1120">
        <f>H107-SUM(BG107:BJ107)</f>
        <v>0</v>
      </c>
      <c r="BL107" s="833">
        <f>'Segment Detail'!DN22+'Segment Detail'!DN27</f>
        <v>2.2000000000000002</v>
      </c>
      <c r="BM107" s="833">
        <f>'Segment Detail'!DO22+'Segment Detail'!DO27</f>
        <v>2</v>
      </c>
      <c r="BN107" s="833">
        <f>'Segment Detail'!DP22+'Segment Detail'!DP27</f>
        <v>1.8</v>
      </c>
      <c r="BO107" s="833">
        <v>1.7</v>
      </c>
      <c r="BP107" s="1120">
        <f>I107-SUM(BL107:BO107)</f>
        <v>0</v>
      </c>
      <c r="BQ107" s="833">
        <f>'Segment Detail'!DS22+'Segment Detail'!DS27</f>
        <v>1.6</v>
      </c>
      <c r="BR107" s="833">
        <f>'Segment Detail'!DT22+'Segment Detail'!DT27</f>
        <v>1.6</v>
      </c>
      <c r="BS107" s="833">
        <f>'Segment Detail'!DU22+'Segment Detail'!DU27</f>
        <v>1.7</v>
      </c>
      <c r="BT107" s="833">
        <f>'Segment Detail'!DV22+'Segment Detail'!DV27</f>
        <v>2.2000000000000002</v>
      </c>
      <c r="BU107" s="186"/>
      <c r="BV107" s="833">
        <f>'Segment Detail'!DX196+'Segment Detail'!DX206</f>
        <v>1.7707499999999998</v>
      </c>
      <c r="BW107" s="833">
        <f>'Segment Detail'!DY196+'Segment Detail'!DY206</f>
        <v>1.7707499999999998</v>
      </c>
      <c r="BX107" s="833">
        <f>'Segment Detail'!DZ196+'Segment Detail'!DZ206</f>
        <v>1.7707499999999998</v>
      </c>
      <c r="BY107" s="833">
        <f>'Segment Detail'!EA196+'Segment Detail'!EA206</f>
        <v>1.7707499999999998</v>
      </c>
      <c r="BZ107" s="186"/>
      <c r="CA107" s="833">
        <f>'Segment Detail'!EC196+'Segment Detail'!EC206</f>
        <v>1.6787499999999995</v>
      </c>
      <c r="CB107" s="833">
        <f>'Segment Detail'!ED196+'Segment Detail'!ED206</f>
        <v>1.6787499999999995</v>
      </c>
      <c r="CC107" s="833">
        <f>'Segment Detail'!EE196+'Segment Detail'!EE206</f>
        <v>1.6787499999999995</v>
      </c>
      <c r="CD107" s="833">
        <f>'Segment Detail'!EF196+'Segment Detail'!EF206</f>
        <v>1.6787499999999995</v>
      </c>
      <c r="CE107" s="1120">
        <f>L107-SUM(CA107:CD107)</f>
        <v>0</v>
      </c>
      <c r="CF107" s="834">
        <v>2</v>
      </c>
      <c r="CG107" s="834">
        <v>1</v>
      </c>
      <c r="CH107" s="834">
        <v>2</v>
      </c>
      <c r="CI107" s="834">
        <v>1</v>
      </c>
      <c r="CJ107" s="1120">
        <f>M107-SUM(CF107:CI107)</f>
        <v>0.47199999999999864</v>
      </c>
      <c r="CK107" s="834">
        <v>2</v>
      </c>
      <c r="CL107" s="834">
        <v>1</v>
      </c>
      <c r="CM107" s="834">
        <v>1</v>
      </c>
      <c r="CN107" s="834">
        <v>2</v>
      </c>
      <c r="CO107" s="189"/>
      <c r="CP107" s="1657">
        <v>1</v>
      </c>
      <c r="CQ107" s="1657">
        <v>2</v>
      </c>
      <c r="CR107" s="1657">
        <v>1</v>
      </c>
      <c r="CS107" s="1657">
        <v>2</v>
      </c>
      <c r="CT107" s="1741">
        <f>$Q107-SUM(CP107:CS107)</f>
        <v>0</v>
      </c>
      <c r="CU107" s="1657">
        <v>1</v>
      </c>
      <c r="CV107" s="2800">
        <v>2</v>
      </c>
      <c r="CW107" s="2800">
        <v>1</v>
      </c>
      <c r="CX107" s="2800">
        <v>2</v>
      </c>
      <c r="CY107" s="2835">
        <f>S107-SUM(CU107:CX107)</f>
        <v>0</v>
      </c>
      <c r="CZ107" s="1657">
        <v>1</v>
      </c>
      <c r="DA107" s="2800">
        <v>2</v>
      </c>
      <c r="DB107" s="2800">
        <v>2</v>
      </c>
      <c r="DC107" s="2799">
        <f>'Segment Detail'!FE196+'Segment Detail'!FE206</f>
        <v>1.9563543999999971</v>
      </c>
      <c r="DD107" s="2835">
        <f>T107-SUM(CZ107:DC107)</f>
        <v>0</v>
      </c>
      <c r="DE107" s="2799">
        <f>'Segment Detail'!FG196+'Segment Detail'!FG206</f>
        <v>1.02582912</v>
      </c>
      <c r="DF107" s="2799">
        <f>'Segment Detail'!FH196+'Segment Detail'!FH206</f>
        <v>1.02582912</v>
      </c>
      <c r="DG107" s="2799">
        <f>'Segment Detail'!FI196+'Segment Detail'!FI206</f>
        <v>1.02582912</v>
      </c>
      <c r="DH107" s="2799">
        <f>'Segment Detail'!FJ196+'Segment Detail'!FJ206</f>
        <v>1.824897119999997</v>
      </c>
      <c r="DI107" s="2835">
        <f t="shared" si="159"/>
        <v>0</v>
      </c>
      <c r="DJ107" s="1741"/>
      <c r="DK107" s="1639"/>
      <c r="DL107" s="186"/>
      <c r="DM107" s="186"/>
      <c r="DN107" s="186"/>
      <c r="DO107" s="186"/>
      <c r="DP107" s="186"/>
      <c r="DQ107" s="186"/>
      <c r="DR107" s="186"/>
      <c r="DS107" s="186"/>
      <c r="DT107" s="186"/>
    </row>
    <row r="108" spans="1:130" ht="11.25" hidden="1" customHeight="1" outlineLevel="1">
      <c r="A108" s="1365" t="s">
        <v>720</v>
      </c>
      <c r="B108" s="1476"/>
      <c r="C108" s="1476"/>
      <c r="D108" s="1476"/>
      <c r="E108" s="1476"/>
      <c r="F108" s="1476"/>
      <c r="G108" s="1476"/>
      <c r="H108" s="1475">
        <f>SUM(H105:H107)</f>
        <v>168.2</v>
      </c>
      <c r="I108" s="1475">
        <f>SUM(I105:I107)</f>
        <v>195.6</v>
      </c>
      <c r="J108" s="1475">
        <f t="shared" ref="J108:W108" si="163">SUM(J105:J107)</f>
        <v>192.59999999999997</v>
      </c>
      <c r="K108" s="1475">
        <f t="shared" si="163"/>
        <v>189</v>
      </c>
      <c r="L108" s="1475">
        <f t="shared" si="163"/>
        <v>193.00000000000003</v>
      </c>
      <c r="M108" s="1475">
        <f>SUM(M105:M107)</f>
        <v>178.99999999999997</v>
      </c>
      <c r="N108" s="1475">
        <f t="shared" si="163"/>
        <v>168</v>
      </c>
      <c r="O108" s="2720">
        <f>SUM(O105:O107)</f>
        <v>178.99999999999997</v>
      </c>
      <c r="P108" s="2720">
        <f t="shared" si="163"/>
        <v>168</v>
      </c>
      <c r="Q108" s="1475">
        <f>SUM(Q105:Q107)</f>
        <v>155</v>
      </c>
      <c r="R108" s="1475">
        <f t="shared" si="163"/>
        <v>146</v>
      </c>
      <c r="S108" s="2720">
        <f>R108</f>
        <v>146</v>
      </c>
      <c r="T108" s="1475">
        <f ca="1">SUM(T105:T107)</f>
        <v>142.89172288960859</v>
      </c>
      <c r="U108" s="1475">
        <f t="shared" ca="1" si="163"/>
        <v>138.42643719075562</v>
      </c>
      <c r="V108" s="1475">
        <f t="shared" ca="1" si="163"/>
        <v>135.07838613970461</v>
      </c>
      <c r="W108" s="1475">
        <f t="shared" ca="1" si="163"/>
        <v>135.06684803467783</v>
      </c>
      <c r="X108" s="1475">
        <f t="shared" ref="X108:AC108" ca="1" si="164">SUM(X105:X107)</f>
        <v>140.23018320204173</v>
      </c>
      <c r="Y108" s="1475">
        <f t="shared" ca="1" si="164"/>
        <v>150.48340163943001</v>
      </c>
      <c r="Z108" s="1475">
        <f t="shared" ca="1" si="164"/>
        <v>147.5129628132172</v>
      </c>
      <c r="AA108" s="1475">
        <f t="shared" ca="1" si="164"/>
        <v>151.84908656502733</v>
      </c>
      <c r="AB108" s="1475">
        <f t="shared" ca="1" si="164"/>
        <v>160.55175314455659</v>
      </c>
      <c r="AC108" s="1475">
        <f t="shared" ca="1" si="164"/>
        <v>157.67406281278545</v>
      </c>
      <c r="AD108" s="1475">
        <f ca="1">SUM(AD105:AD107)</f>
        <v>160.33886780275401</v>
      </c>
      <c r="AE108" s="1475">
        <f ca="1">SUM(AE105:AE107)</f>
        <v>171.63890371271637</v>
      </c>
      <c r="AF108" s="1476"/>
      <c r="AG108" s="1545"/>
      <c r="AH108" s="1545"/>
      <c r="AI108" s="1545"/>
      <c r="AJ108" s="1545"/>
      <c r="AK108" s="186"/>
      <c r="AL108" s="190" t="s">
        <v>720</v>
      </c>
      <c r="AM108" s="467"/>
      <c r="AN108" s="467"/>
      <c r="AO108" s="467"/>
      <c r="AP108" s="467"/>
      <c r="AQ108" s="1287"/>
      <c r="AR108" s="467"/>
      <c r="AS108" s="467"/>
      <c r="AT108" s="467"/>
      <c r="AU108" s="467"/>
      <c r="AV108" s="1287"/>
      <c r="AW108" s="467"/>
      <c r="AX108" s="467"/>
      <c r="AY108" s="467"/>
      <c r="AZ108" s="467"/>
      <c r="BA108" s="1287"/>
      <c r="BB108" s="467"/>
      <c r="BC108" s="467"/>
      <c r="BD108" s="467"/>
      <c r="BE108" s="467"/>
      <c r="BF108" s="1287"/>
      <c r="BG108" s="1303">
        <f>SUM(BG105:BG107)</f>
        <v>31.999999999999996</v>
      </c>
      <c r="BH108" s="1303">
        <f>SUM(BH105:BH107)</f>
        <v>31.899999999999995</v>
      </c>
      <c r="BI108" s="1303">
        <f>SUM(BI105:BI107)</f>
        <v>49.599999999999994</v>
      </c>
      <c r="BJ108" s="1303">
        <f>SUM(BJ105:BJ107)</f>
        <v>54.7</v>
      </c>
      <c r="BK108" s="1120">
        <f>H108-SUM(BG108:BJ108)</f>
        <v>0</v>
      </c>
      <c r="BL108" s="1303">
        <f>SUM(BL105:BL107)</f>
        <v>49.1</v>
      </c>
      <c r="BM108" s="1303">
        <f>SUM(BM105:BM107)</f>
        <v>47.199999999999996</v>
      </c>
      <c r="BN108" s="1303">
        <f>SUM(BN105:BN107)</f>
        <v>47.9</v>
      </c>
      <c r="BO108" s="1303">
        <f>SUM(BO105:BO107)</f>
        <v>51.4</v>
      </c>
      <c r="BP108" s="1120">
        <f>I108-SUM(BL108:BO108)</f>
        <v>0</v>
      </c>
      <c r="BQ108" s="1304">
        <v>48.6</v>
      </c>
      <c r="BR108" s="1304">
        <v>48.7</v>
      </c>
      <c r="BS108" s="1304">
        <v>47.9</v>
      </c>
      <c r="BT108" s="1304">
        <v>47.4</v>
      </c>
      <c r="BU108" s="1120">
        <f>J108-SUM(BQ108:BT108)</f>
        <v>0</v>
      </c>
      <c r="BV108" s="1304">
        <v>46</v>
      </c>
      <c r="BW108" s="1304">
        <f>40+5+2</f>
        <v>47</v>
      </c>
      <c r="BX108" s="1304">
        <v>47</v>
      </c>
      <c r="BY108" s="1304">
        <v>49</v>
      </c>
      <c r="BZ108" s="1120">
        <f>K108-SUM(BV108:BY108)</f>
        <v>0</v>
      </c>
      <c r="CA108" s="1304">
        <v>48</v>
      </c>
      <c r="CB108" s="1304">
        <v>49</v>
      </c>
      <c r="CC108" s="1304">
        <f>38+6+1</f>
        <v>45</v>
      </c>
      <c r="CD108" s="1304">
        <f>41+9+1</f>
        <v>51</v>
      </c>
      <c r="CE108" s="1120">
        <f>L108-SUM(CA108:CD108)</f>
        <v>0</v>
      </c>
      <c r="CF108" s="1304">
        <v>46</v>
      </c>
      <c r="CG108" s="1304">
        <v>44</v>
      </c>
      <c r="CH108" s="1304">
        <v>45</v>
      </c>
      <c r="CI108" s="1304">
        <v>44</v>
      </c>
      <c r="CJ108" s="1120">
        <f>M108-SUM(CF108:CI108)</f>
        <v>0</v>
      </c>
      <c r="CK108" s="1304">
        <v>44</v>
      </c>
      <c r="CL108" s="1304">
        <f>1+6+35</f>
        <v>42</v>
      </c>
      <c r="CM108" s="1304">
        <f>33+6+1</f>
        <v>40</v>
      </c>
      <c r="CN108" s="1304">
        <f>34+6+2</f>
        <v>42</v>
      </c>
      <c r="CO108" s="189"/>
      <c r="CP108" s="1475">
        <f>SUM(CP105:CP107)</f>
        <v>39</v>
      </c>
      <c r="CQ108" s="1475">
        <f>SUM(CQ105:CQ107)</f>
        <v>40</v>
      </c>
      <c r="CR108" s="1475">
        <f>SUM(CR105:CR107)</f>
        <v>37</v>
      </c>
      <c r="CS108" s="1475">
        <f>SUM(CS105:CS107)</f>
        <v>39</v>
      </c>
      <c r="CT108" s="1741">
        <f>$Q108-SUM(CP108:CS108)</f>
        <v>0</v>
      </c>
      <c r="CU108" s="1475">
        <f>SUM(CU105:CU107)</f>
        <v>37</v>
      </c>
      <c r="CV108" s="2991">
        <f>SUM(CV105:CV107)</f>
        <v>37</v>
      </c>
      <c r="CW108" s="2991">
        <f>SUM(CW105:CW107)</f>
        <v>35</v>
      </c>
      <c r="CX108" s="2991">
        <f>SUM(CX105:CX107)</f>
        <v>37</v>
      </c>
      <c r="CY108" s="2835">
        <f>S108-SUM(CU108:CX108)</f>
        <v>0</v>
      </c>
      <c r="CZ108" s="1475">
        <f>SUM(CZ105:CZ107)</f>
        <v>36</v>
      </c>
      <c r="DA108" s="2991">
        <f>SUM(DA105:DA107)</f>
        <v>35</v>
      </c>
      <c r="DB108" s="2991">
        <f>SUM(DB105:DB107)</f>
        <v>36</v>
      </c>
      <c r="DC108" s="2991">
        <f ca="1">SUM(DC105:DC107)</f>
        <v>35.89172288960858</v>
      </c>
      <c r="DD108" s="2835">
        <f ca="1">T108-SUM(CZ108:DC108)</f>
        <v>0</v>
      </c>
      <c r="DE108" s="2991">
        <f t="shared" ref="DE108:DF108" si="165">SUM(DE105:DE107)</f>
        <v>34.891647325286762</v>
      </c>
      <c r="DF108" s="2991">
        <f t="shared" si="165"/>
        <v>33.866647325286763</v>
      </c>
      <c r="DG108" s="2991">
        <f>SUM(DG105:DG107)</f>
        <v>34.891647325286762</v>
      </c>
      <c r="DH108" s="2991">
        <f ca="1">SUM(DH105:DH107)</f>
        <v>34.776495214895341</v>
      </c>
      <c r="DI108" s="2835">
        <f t="shared" ca="1" si="159"/>
        <v>0</v>
      </c>
      <c r="DJ108" s="1741"/>
      <c r="DK108" s="1475" t="s">
        <v>1237</v>
      </c>
      <c r="DL108" s="186"/>
      <c r="DM108" s="186"/>
      <c r="DN108" s="186"/>
      <c r="DO108" s="186"/>
      <c r="DP108" s="186"/>
      <c r="DQ108" s="186"/>
      <c r="DR108" s="186"/>
      <c r="DS108" s="186"/>
      <c r="DT108" s="186"/>
    </row>
    <row r="109" spans="1:130" ht="11.25" hidden="1" customHeight="1" outlineLevel="1">
      <c r="A109" s="1797"/>
      <c r="B109" s="1476"/>
      <c r="C109" s="1476"/>
      <c r="D109" s="1476"/>
      <c r="E109" s="1476"/>
      <c r="F109" s="1476"/>
      <c r="G109" s="1476"/>
      <c r="H109" s="1476"/>
      <c r="I109" s="1476"/>
      <c r="J109" s="1476"/>
      <c r="K109" s="1476"/>
      <c r="L109" s="1476"/>
      <c r="M109" s="1476"/>
      <c r="N109" s="1476"/>
      <c r="O109" s="2725"/>
      <c r="P109" s="2725"/>
      <c r="Q109" s="1476"/>
      <c r="R109" s="1476"/>
      <c r="S109" s="2725"/>
      <c r="T109" s="1476"/>
      <c r="U109" s="1476"/>
      <c r="V109" s="1476"/>
      <c r="W109" s="1476"/>
      <c r="X109" s="1476"/>
      <c r="Y109" s="1476"/>
      <c r="Z109" s="1476"/>
      <c r="AA109" s="1476"/>
      <c r="AB109" s="1476"/>
      <c r="AC109" s="1476"/>
      <c r="AD109" s="1476"/>
      <c r="AE109" s="1476"/>
      <c r="AF109" s="1476"/>
      <c r="AG109" s="1545"/>
      <c r="AH109" s="1545"/>
      <c r="AI109" s="1545"/>
      <c r="AJ109" s="1545"/>
      <c r="AK109" s="186"/>
      <c r="AL109" s="1302"/>
      <c r="AM109" s="467"/>
      <c r="AN109" s="467"/>
      <c r="AO109" s="467"/>
      <c r="AP109" s="467"/>
      <c r="AQ109" s="1287"/>
      <c r="AR109" s="467"/>
      <c r="AS109" s="467"/>
      <c r="AT109" s="467"/>
      <c r="AU109" s="467"/>
      <c r="AV109" s="1287"/>
      <c r="AW109" s="467"/>
      <c r="AX109" s="467"/>
      <c r="AY109" s="467"/>
      <c r="AZ109" s="467"/>
      <c r="BA109" s="1287"/>
      <c r="BB109" s="467"/>
      <c r="BC109" s="467"/>
      <c r="BD109" s="467"/>
      <c r="BE109" s="467"/>
      <c r="BF109" s="1287"/>
      <c r="BG109" s="467"/>
      <c r="BH109" s="467"/>
      <c r="BI109" s="467"/>
      <c r="BJ109" s="467"/>
      <c r="BK109" s="1287"/>
      <c r="BL109" s="467"/>
      <c r="BM109" s="467"/>
      <c r="BN109" s="467"/>
      <c r="BO109" s="467"/>
      <c r="BP109" s="1287"/>
      <c r="BQ109" s="467"/>
      <c r="BR109" s="467"/>
      <c r="BS109" s="467"/>
      <c r="BT109" s="467"/>
      <c r="BU109" s="186"/>
      <c r="BV109" s="186"/>
      <c r="BW109" s="186"/>
      <c r="BX109" s="186"/>
      <c r="BY109" s="186"/>
      <c r="BZ109" s="186"/>
      <c r="CA109" s="186"/>
      <c r="CB109" s="186"/>
      <c r="CC109" s="186"/>
      <c r="CD109" s="186"/>
      <c r="CE109" s="186"/>
      <c r="CF109" s="186"/>
      <c r="CG109" s="186"/>
      <c r="CH109" s="186"/>
      <c r="CI109" s="186"/>
      <c r="CJ109" s="186"/>
      <c r="CK109" s="186"/>
      <c r="CL109" s="186"/>
      <c r="CM109" s="186"/>
      <c r="CN109" s="186"/>
      <c r="CO109" s="189"/>
      <c r="CP109" s="186"/>
      <c r="CQ109" s="186"/>
      <c r="CR109" s="1477"/>
      <c r="CS109" s="1477"/>
      <c r="CT109" s="1477"/>
      <c r="CU109" s="1477"/>
      <c r="CV109" s="2937"/>
      <c r="CW109" s="2937"/>
      <c r="CX109" s="2937"/>
      <c r="CY109" s="2937"/>
      <c r="CZ109" s="2937"/>
      <c r="DA109" s="2937"/>
      <c r="DB109" s="2937"/>
      <c r="DC109" s="2937"/>
      <c r="DD109" s="2835"/>
      <c r="DE109" s="2835"/>
      <c r="DF109" s="2835"/>
      <c r="DG109" s="2835"/>
      <c r="DH109" s="2835"/>
      <c r="DI109" s="1741"/>
      <c r="DJ109" s="1477"/>
      <c r="DK109" s="1477"/>
      <c r="DL109" s="186"/>
      <c r="DM109" s="186"/>
      <c r="DN109" s="186"/>
      <c r="DO109" s="186"/>
      <c r="DP109" s="186"/>
      <c r="DQ109" s="186"/>
      <c r="DR109" s="186"/>
      <c r="DS109" s="186"/>
      <c r="DT109" s="186"/>
    </row>
    <row r="110" spans="1:130" ht="11.25" customHeight="1" collapsed="1">
      <c r="A110" s="1494" t="s">
        <v>685</v>
      </c>
      <c r="B110" s="1476"/>
      <c r="C110" s="1476"/>
      <c r="D110" s="1476"/>
      <c r="E110" s="1476"/>
      <c r="F110" s="1476"/>
      <c r="G110" s="1476"/>
      <c r="H110" s="1476"/>
      <c r="I110" s="1476"/>
      <c r="J110" s="1476"/>
      <c r="K110" s="1476"/>
      <c r="L110" s="1476"/>
      <c r="M110" s="1476"/>
      <c r="N110" s="1476"/>
      <c r="O110" s="2725"/>
      <c r="P110" s="2725"/>
      <c r="Q110" s="1476"/>
      <c r="R110" s="1476"/>
      <c r="S110" s="2725"/>
      <c r="T110" s="1476"/>
      <c r="U110" s="1476"/>
      <c r="V110" s="1476"/>
      <c r="W110" s="1476"/>
      <c r="X110" s="1476"/>
      <c r="Y110" s="1476"/>
      <c r="Z110" s="1476"/>
      <c r="AA110" s="1476"/>
      <c r="AB110" s="1476"/>
      <c r="AC110" s="1476"/>
      <c r="AD110" s="1476"/>
      <c r="AE110" s="1476"/>
      <c r="AF110" s="1476"/>
      <c r="AG110" s="1545"/>
      <c r="AH110" s="1545"/>
      <c r="AI110" s="1545"/>
      <c r="AJ110" s="1545"/>
      <c r="AK110" s="186"/>
      <c r="AL110" s="9" t="s">
        <v>685</v>
      </c>
      <c r="AM110" s="467"/>
      <c r="AN110" s="467"/>
      <c r="AO110" s="467"/>
      <c r="AP110" s="467"/>
      <c r="AQ110" s="1287"/>
      <c r="AR110" s="467"/>
      <c r="AS110" s="467"/>
      <c r="AT110" s="467"/>
      <c r="AU110" s="467"/>
      <c r="AV110" s="1287"/>
      <c r="AW110" s="467"/>
      <c r="AX110" s="467"/>
      <c r="AY110" s="467"/>
      <c r="AZ110" s="467"/>
      <c r="BA110" s="1287"/>
      <c r="BB110" s="467"/>
      <c r="BC110" s="467"/>
      <c r="BD110" s="467"/>
      <c r="BE110" s="467"/>
      <c r="BF110" s="1287"/>
      <c r="BG110" s="467"/>
      <c r="BH110" s="467"/>
      <c r="BI110" s="467"/>
      <c r="BJ110" s="467"/>
      <c r="BK110" s="1287"/>
      <c r="BL110" s="467"/>
      <c r="BM110" s="467"/>
      <c r="BN110" s="467"/>
      <c r="BO110" s="467"/>
      <c r="BP110" s="1287"/>
      <c r="BQ110" s="467"/>
      <c r="BR110" s="467"/>
      <c r="BS110" s="467"/>
      <c r="BT110" s="467"/>
      <c r="BU110" s="186"/>
      <c r="BV110" s="186"/>
      <c r="BW110" s="186"/>
      <c r="BX110" s="186"/>
      <c r="BY110" s="186"/>
      <c r="BZ110" s="186"/>
      <c r="CA110" s="186"/>
      <c r="CB110" s="186"/>
      <c r="CC110" s="186"/>
      <c r="CD110" s="186"/>
      <c r="CE110" s="186"/>
      <c r="CF110" s="186"/>
      <c r="CG110" s="186"/>
      <c r="CH110" s="186"/>
      <c r="CI110" s="186"/>
      <c r="CJ110" s="186"/>
      <c r="CK110" s="186"/>
      <c r="CL110" s="186"/>
      <c r="CM110" s="186"/>
      <c r="CN110" s="186"/>
      <c r="CO110" s="189"/>
      <c r="CP110" s="186"/>
      <c r="CQ110" s="186"/>
      <c r="CR110" s="1477"/>
      <c r="CS110" s="1477"/>
      <c r="CT110" s="1477"/>
      <c r="CU110" s="1477"/>
      <c r="CV110" s="1477"/>
      <c r="CW110" s="2937"/>
      <c r="CX110" s="2937"/>
      <c r="CY110" s="2937"/>
      <c r="CZ110" s="2937"/>
      <c r="DA110" s="2937"/>
      <c r="DB110" s="2937"/>
      <c r="DC110" s="2937"/>
      <c r="DD110" s="2937"/>
      <c r="DE110" s="2937"/>
      <c r="DF110" s="2937"/>
      <c r="DG110" s="2937"/>
      <c r="DH110" s="2937"/>
      <c r="DI110" s="2937"/>
      <c r="DJ110" s="1477"/>
      <c r="DK110" s="1477"/>
      <c r="DL110" s="186"/>
      <c r="DM110" s="186"/>
      <c r="DN110" s="186"/>
      <c r="DO110" s="186"/>
      <c r="DP110" s="186"/>
      <c r="DQ110" s="186"/>
      <c r="DR110" s="186"/>
      <c r="DS110" s="186"/>
      <c r="DT110" s="186"/>
    </row>
    <row r="111" spans="1:130" ht="11.25" customHeight="1">
      <c r="A111" s="1826" t="s">
        <v>1288</v>
      </c>
      <c r="B111" s="1476"/>
      <c r="C111" s="1476"/>
      <c r="D111" s="1476"/>
      <c r="E111" s="1476"/>
      <c r="F111" s="1476"/>
      <c r="G111" s="1476"/>
      <c r="H111" s="1105">
        <f>SUM(BG111:BJ111)</f>
        <v>891.49999999999989</v>
      </c>
      <c r="I111" s="1105">
        <f>SUM(BL111:BO111)</f>
        <v>711.19999999999993</v>
      </c>
      <c r="J111" s="1105">
        <f>SUM(BQ111:BT111)</f>
        <v>731.39999999999986</v>
      </c>
      <c r="K111" s="1105">
        <f>K75-K105</f>
        <v>1272.135</v>
      </c>
      <c r="L111" s="1105">
        <f t="shared" ref="L111:V111" si="166">L75-L105</f>
        <v>1386.22804</v>
      </c>
      <c r="M111" s="1105">
        <f>M75-M105</f>
        <v>1605.472</v>
      </c>
      <c r="N111" s="1105">
        <f t="shared" si="166"/>
        <v>1315.9999999999998</v>
      </c>
      <c r="O111" s="2714">
        <f>O75-O105</f>
        <v>1605.472</v>
      </c>
      <c r="P111" s="2714">
        <f>P75-P105</f>
        <v>1315.9999999999998</v>
      </c>
      <c r="Q111" s="1105">
        <f>Q75-Q105</f>
        <v>1294</v>
      </c>
      <c r="R111" s="1105">
        <f t="shared" si="166"/>
        <v>1518.9999999999998</v>
      </c>
      <c r="S111" s="2727">
        <f>R111</f>
        <v>1518.9999999999998</v>
      </c>
      <c r="T111" s="1105">
        <f ca="1">T75-T105</f>
        <v>1513.7987433492133</v>
      </c>
      <c r="U111" s="1105">
        <f ca="1">U75-U105</f>
        <v>1593.0102624000906</v>
      </c>
      <c r="V111" s="1105">
        <f t="shared" ca="1" si="166"/>
        <v>1733.7351050396735</v>
      </c>
      <c r="W111" s="1105">
        <f t="shared" ref="W111:AB111" ca="1" si="167">W75-W105</f>
        <v>1849.9144063277124</v>
      </c>
      <c r="X111" s="1105">
        <f t="shared" ca="1" si="167"/>
        <v>1986.0074433294735</v>
      </c>
      <c r="Y111" s="1105">
        <f t="shared" ca="1" si="167"/>
        <v>2060.6968907426162</v>
      </c>
      <c r="Z111" s="1105">
        <f t="shared" ca="1" si="167"/>
        <v>1977.3995927954463</v>
      </c>
      <c r="AA111" s="1105">
        <f t="shared" ca="1" si="167"/>
        <v>1929.7598904839585</v>
      </c>
      <c r="AB111" s="1105">
        <f t="shared" ca="1" si="167"/>
        <v>2001.9693743324187</v>
      </c>
      <c r="AC111" s="1105">
        <f ca="1">AC75-AC105</f>
        <v>1878.7385066096176</v>
      </c>
      <c r="AD111" s="1105">
        <f ca="1">AD75-AD105</f>
        <v>1890.9056778586562</v>
      </c>
      <c r="AE111" s="1105">
        <f ca="1">AE75-AE105</f>
        <v>1872.0739490527396</v>
      </c>
      <c r="AF111" s="1476"/>
      <c r="AG111" s="1545"/>
      <c r="AH111" s="1545"/>
      <c r="AI111" s="1545"/>
      <c r="AJ111" s="1545"/>
      <c r="AK111" s="186"/>
      <c r="AL111" s="1106" t="s">
        <v>1288</v>
      </c>
      <c r="AM111" s="467"/>
      <c r="AN111" s="467"/>
      <c r="AO111" s="467"/>
      <c r="AP111" s="467"/>
      <c r="AQ111" s="1287"/>
      <c r="AR111" s="467"/>
      <c r="AS111" s="467"/>
      <c r="AT111" s="467"/>
      <c r="AU111" s="467"/>
      <c r="AV111" s="1287"/>
      <c r="AW111" s="467"/>
      <c r="AX111" s="467"/>
      <c r="AY111" s="467"/>
      <c r="AZ111" s="467"/>
      <c r="BA111" s="1287"/>
      <c r="BB111" s="467"/>
      <c r="BC111" s="467"/>
      <c r="BD111" s="467"/>
      <c r="BE111" s="467"/>
      <c r="BF111" s="1287"/>
      <c r="BG111" s="105">
        <f>BG75-BG105</f>
        <v>271.2</v>
      </c>
      <c r="BH111" s="105">
        <f>BH75-BH105</f>
        <v>268.39999999999998</v>
      </c>
      <c r="BI111" s="105">
        <f>BI75-BI105</f>
        <v>221.5</v>
      </c>
      <c r="BJ111" s="105">
        <f>BJ75-BJ105</f>
        <v>130.39999999999998</v>
      </c>
      <c r="BK111" s="1120">
        <f>H111-SUM(BG111:BJ111)</f>
        <v>0</v>
      </c>
      <c r="BL111" s="105">
        <f>BL75-BL105</f>
        <v>110</v>
      </c>
      <c r="BM111" s="105">
        <f>BM75-BM105</f>
        <v>170.1</v>
      </c>
      <c r="BN111" s="105">
        <f>BN75-BN105</f>
        <v>284.2</v>
      </c>
      <c r="BO111" s="105">
        <f>BO75-BO105</f>
        <v>146.9</v>
      </c>
      <c r="BP111" s="1120">
        <f>I111-SUM(BL111:BO111)</f>
        <v>0</v>
      </c>
      <c r="BQ111" s="105">
        <f>BQ75-BQ105</f>
        <v>103.50000000000001</v>
      </c>
      <c r="BR111" s="105">
        <f>BR75-BR105</f>
        <v>181.2</v>
      </c>
      <c r="BS111" s="105">
        <f>BS75-BS105</f>
        <v>237.39999999999998</v>
      </c>
      <c r="BT111" s="105">
        <f>BT75-BT105</f>
        <v>209.3</v>
      </c>
      <c r="BU111" s="1120">
        <f>J111-SUM(BQ111:BT111)</f>
        <v>0</v>
      </c>
      <c r="BV111" s="105">
        <f>BV75-BV105</f>
        <v>229.53375</v>
      </c>
      <c r="BW111" s="105">
        <f>BW75-BW105</f>
        <v>400.53375</v>
      </c>
      <c r="BX111" s="105">
        <f>BX75-BX105</f>
        <v>365.53375</v>
      </c>
      <c r="BY111" s="105">
        <f>BY75-BY105</f>
        <v>276.53375</v>
      </c>
      <c r="BZ111" s="1120">
        <f>K111-SUM(BV111:BY111)</f>
        <v>0</v>
      </c>
      <c r="CA111" s="105">
        <f>CA75-CA105</f>
        <v>370.55700999999999</v>
      </c>
      <c r="CB111" s="105">
        <f>CB75-CB105</f>
        <v>384.55700999999999</v>
      </c>
      <c r="CC111" s="105">
        <f>CC75-CC105</f>
        <v>346.55700999999999</v>
      </c>
      <c r="CD111" s="105">
        <f>CD75-CD105</f>
        <v>284.55700999999999</v>
      </c>
      <c r="CE111" s="1120">
        <f>L111-SUM(CA111:CD111)</f>
        <v>0</v>
      </c>
      <c r="CF111" s="105">
        <f>CF75-CF105</f>
        <v>440</v>
      </c>
      <c r="CG111" s="105">
        <f>CG75-CG105</f>
        <v>391</v>
      </c>
      <c r="CH111" s="105">
        <f>CH75-CH105</f>
        <v>394</v>
      </c>
      <c r="CI111" s="105">
        <f>CI75-CI105</f>
        <v>380</v>
      </c>
      <c r="CJ111" s="1120">
        <f>M111-SUM(CF111:CI111)</f>
        <v>0.47199999999997999</v>
      </c>
      <c r="CK111" s="1425">
        <f>CK75-CK105</f>
        <v>420</v>
      </c>
      <c r="CL111" s="1425">
        <f>CL75-CL105</f>
        <v>341</v>
      </c>
      <c r="CM111" s="1425">
        <f>CM75-CM105</f>
        <v>302</v>
      </c>
      <c r="CN111" s="105">
        <f>CN75-CN105</f>
        <v>253</v>
      </c>
      <c r="CO111" s="189"/>
      <c r="CP111" s="2022">
        <v>346</v>
      </c>
      <c r="CQ111" s="2022">
        <v>262</v>
      </c>
      <c r="CR111" s="2022">
        <v>339</v>
      </c>
      <c r="CS111" s="2022">
        <v>347</v>
      </c>
      <c r="CT111" s="1741">
        <f>$Q111-SUM(CP111:CS111)</f>
        <v>0</v>
      </c>
      <c r="CU111" s="2022">
        <v>449</v>
      </c>
      <c r="CV111" s="3087">
        <v>351</v>
      </c>
      <c r="CW111" s="3087">
        <v>348</v>
      </c>
      <c r="CX111" s="3087">
        <v>371</v>
      </c>
      <c r="CY111" s="2835">
        <f>S111-SUM(CU111:CX111)</f>
        <v>0</v>
      </c>
      <c r="CZ111" s="3087">
        <v>398</v>
      </c>
      <c r="DA111" s="3087">
        <v>346</v>
      </c>
      <c r="DB111" s="3087">
        <v>345</v>
      </c>
      <c r="DC111" s="2804">
        <f ca="1">DC75-DC105</f>
        <v>424.798743349213</v>
      </c>
      <c r="DD111" s="2835">
        <f ca="1">T111-SUM(CZ111:DC111)</f>
        <v>0</v>
      </c>
      <c r="DE111" s="2804">
        <f t="shared" ref="DE111:DG111" si="168">DE75-DE105</f>
        <v>390.81879017747292</v>
      </c>
      <c r="DF111" s="2804">
        <f t="shared" si="168"/>
        <v>357.03790834432476</v>
      </c>
      <c r="DG111" s="2804">
        <f t="shared" si="168"/>
        <v>396.12787459296413</v>
      </c>
      <c r="DH111" s="2804">
        <f ca="1">DH75-DH105</f>
        <v>449.02568928532889</v>
      </c>
      <c r="DI111" s="2835">
        <f t="shared" ref="DI111:DI114" ca="1" si="169">U111-SUM(DE111:DH111)</f>
        <v>0</v>
      </c>
      <c r="DJ111" s="1741"/>
      <c r="DK111" s="1105"/>
      <c r="DL111" s="186"/>
      <c r="DM111" s="186"/>
      <c r="DN111" s="186"/>
      <c r="DO111" s="186"/>
      <c r="DP111" s="186"/>
      <c r="DQ111" s="186"/>
      <c r="DR111" s="186"/>
      <c r="DS111" s="186"/>
      <c r="DT111" s="186"/>
    </row>
    <row r="112" spans="1:130" ht="11.25" customHeight="1">
      <c r="A112" s="1826" t="s">
        <v>719</v>
      </c>
      <c r="B112" s="1476"/>
      <c r="C112" s="1476"/>
      <c r="D112" s="1476"/>
      <c r="E112" s="1476"/>
      <c r="F112" s="1476"/>
      <c r="G112" s="1476"/>
      <c r="H112" s="1105">
        <f>SUM(BG112:BJ112)</f>
        <v>364.69999999999993</v>
      </c>
      <c r="I112" s="1105">
        <f>SUM(BL112:BO112)</f>
        <v>437.8</v>
      </c>
      <c r="J112" s="1105">
        <f>SUM(BQ112:BT112)</f>
        <v>546.70000000000005</v>
      </c>
      <c r="K112" s="1105">
        <f>K87-K106</f>
        <v>683.94799999999998</v>
      </c>
      <c r="L112" s="1105">
        <f t="shared" ref="L112:V112" si="170">L87-L106</f>
        <v>787.48695999999995</v>
      </c>
      <c r="M112" s="1105">
        <f t="shared" si="170"/>
        <v>878</v>
      </c>
      <c r="N112" s="1105">
        <f t="shared" si="170"/>
        <v>974</v>
      </c>
      <c r="O112" s="2714">
        <f>O87-O106</f>
        <v>878</v>
      </c>
      <c r="P112" s="2714">
        <f>P87-P106</f>
        <v>974</v>
      </c>
      <c r="Q112" s="1105">
        <f>Q87-Q106</f>
        <v>945</v>
      </c>
      <c r="R112" s="1105">
        <f t="shared" si="170"/>
        <v>959</v>
      </c>
      <c r="S112" s="2727">
        <f>R112</f>
        <v>959</v>
      </c>
      <c r="T112" s="1105">
        <f>T87-T106</f>
        <v>1019.4847257630805</v>
      </c>
      <c r="U112" s="1105">
        <f>U87-U106</f>
        <v>1051.356945804461</v>
      </c>
      <c r="V112" s="1105">
        <f t="shared" si="170"/>
        <v>1112.1737126033331</v>
      </c>
      <c r="W112" s="1105">
        <f t="shared" ref="W112:AB112" si="171">W87-W106</f>
        <v>1170.931003919904</v>
      </c>
      <c r="X112" s="1105">
        <f t="shared" si="171"/>
        <v>1231.0385141501358</v>
      </c>
      <c r="Y112" s="1105">
        <f t="shared" si="171"/>
        <v>1288.8808138742038</v>
      </c>
      <c r="Z112" s="1105">
        <f t="shared" si="171"/>
        <v>1342.0151911969194</v>
      </c>
      <c r="AA112" s="1105">
        <f t="shared" si="171"/>
        <v>1388.4172217480289</v>
      </c>
      <c r="AB112" s="1105">
        <f t="shared" si="171"/>
        <v>1433.6774422212193</v>
      </c>
      <c r="AC112" s="1105">
        <f>AC87-AC106</f>
        <v>1478.7659065785072</v>
      </c>
      <c r="AD112" s="1105">
        <f>AD87-AD106</f>
        <v>1523.4246466628072</v>
      </c>
      <c r="AE112" s="1105">
        <f>AE87-AE106</f>
        <v>1567.5021866504301</v>
      </c>
      <c r="AF112" s="1476"/>
      <c r="AG112" s="1545"/>
      <c r="AH112" s="1545"/>
      <c r="AI112" s="1545"/>
      <c r="AJ112" s="1545"/>
      <c r="AK112" s="186"/>
      <c r="AL112" s="1106" t="s">
        <v>719</v>
      </c>
      <c r="AM112" s="467"/>
      <c r="AN112" s="467"/>
      <c r="AO112" s="467"/>
      <c r="AP112" s="467"/>
      <c r="AQ112" s="1287"/>
      <c r="AR112" s="467"/>
      <c r="AS112" s="467"/>
      <c r="AT112" s="467"/>
      <c r="AU112" s="467"/>
      <c r="AV112" s="1287"/>
      <c r="AW112" s="467"/>
      <c r="AX112" s="467"/>
      <c r="AY112" s="467"/>
      <c r="AZ112" s="467"/>
      <c r="BA112" s="1287"/>
      <c r="BB112" s="467"/>
      <c r="BC112" s="467"/>
      <c r="BD112" s="467"/>
      <c r="BE112" s="467"/>
      <c r="BF112" s="1287"/>
      <c r="BG112" s="105">
        <f>BG87-BG106</f>
        <v>78.899999999999991</v>
      </c>
      <c r="BH112" s="105">
        <f>BH87-BH106</f>
        <v>91.399999999999991</v>
      </c>
      <c r="BI112" s="105">
        <f>BI87-BI106</f>
        <v>95.8</v>
      </c>
      <c r="BJ112" s="105">
        <f>BJ87-BJ106</f>
        <v>98.6</v>
      </c>
      <c r="BK112" s="1120">
        <f>H112-SUM(BG112:BJ112)</f>
        <v>0</v>
      </c>
      <c r="BL112" s="105">
        <f>BL87-BL106</f>
        <v>77.600000000000009</v>
      </c>
      <c r="BM112" s="105">
        <f>BM87-BM106</f>
        <v>91.100000000000009</v>
      </c>
      <c r="BN112" s="105">
        <f>BN87-BN106</f>
        <v>122.10000000000001</v>
      </c>
      <c r="BO112" s="105">
        <f>BO87-BO106</f>
        <v>147</v>
      </c>
      <c r="BP112" s="1120">
        <f>I112-SUM(BL112:BO112)</f>
        <v>0</v>
      </c>
      <c r="BQ112" s="105">
        <f>BQ87-BQ106</f>
        <v>95.2</v>
      </c>
      <c r="BR112" s="105">
        <f>BR87-BR106</f>
        <v>123.60000000000001</v>
      </c>
      <c r="BS112" s="105">
        <f>BS87-BS106</f>
        <v>164.8</v>
      </c>
      <c r="BT112" s="105">
        <f>BT87-BT106</f>
        <v>163.1</v>
      </c>
      <c r="BU112" s="1120">
        <f>J112-SUM(BQ112:BT112)</f>
        <v>0</v>
      </c>
      <c r="BV112" s="105">
        <f>BV87-BV106</f>
        <v>147.23699999999999</v>
      </c>
      <c r="BW112" s="105">
        <f>BW87-BW106</f>
        <v>170.23699999999999</v>
      </c>
      <c r="BX112" s="105">
        <f>BX87-BX106</f>
        <v>197.23699999999999</v>
      </c>
      <c r="BY112" s="105">
        <f>BY87-BY106</f>
        <v>169.23699999999999</v>
      </c>
      <c r="BZ112" s="1120">
        <f>K112-SUM(BV112:BY112)</f>
        <v>0</v>
      </c>
      <c r="CA112" s="105">
        <f>CA87-CA106</f>
        <v>203.12173999999999</v>
      </c>
      <c r="CB112" s="105">
        <f>CB87-CB106</f>
        <v>184.12173999999999</v>
      </c>
      <c r="CC112" s="105">
        <f>CC87-CC106</f>
        <v>221.12173999999999</v>
      </c>
      <c r="CD112" s="105">
        <f>CD87-CD106</f>
        <v>179.12173999999999</v>
      </c>
      <c r="CE112" s="1120">
        <f>L112-SUM(CA112:CD112)</f>
        <v>0</v>
      </c>
      <c r="CF112" s="105">
        <f>CF87-CF106</f>
        <v>227</v>
      </c>
      <c r="CG112" s="105">
        <f>CG87-CG106</f>
        <v>202</v>
      </c>
      <c r="CH112" s="105">
        <f>CH87-CH106</f>
        <v>255</v>
      </c>
      <c r="CI112" s="105">
        <f>CI87-CI106</f>
        <v>194</v>
      </c>
      <c r="CJ112" s="1120">
        <f>M112-SUM(CF112:CI112)</f>
        <v>0</v>
      </c>
      <c r="CK112" s="1425">
        <f>CK87-CK106</f>
        <v>254</v>
      </c>
      <c r="CL112" s="1425">
        <f>CL87-CL106</f>
        <v>213</v>
      </c>
      <c r="CM112" s="1425">
        <f>CM87-CM106</f>
        <v>266</v>
      </c>
      <c r="CN112" s="105">
        <f>CN87-CN106</f>
        <v>241</v>
      </c>
      <c r="CO112" s="189"/>
      <c r="CP112" s="2022">
        <v>251</v>
      </c>
      <c r="CQ112" s="2022">
        <v>220</v>
      </c>
      <c r="CR112" s="2022">
        <v>246</v>
      </c>
      <c r="CS112" s="2022">
        <v>228</v>
      </c>
      <c r="CT112" s="1741">
        <f>$Q112-SUM(CP112:CS112)</f>
        <v>0</v>
      </c>
      <c r="CU112" s="2022">
        <v>228</v>
      </c>
      <c r="CV112" s="3087">
        <v>227</v>
      </c>
      <c r="CW112" s="3087">
        <v>285</v>
      </c>
      <c r="CX112" s="3087">
        <v>219</v>
      </c>
      <c r="CY112" s="2835">
        <f>S112-SUM(CU112:CX112)</f>
        <v>0</v>
      </c>
      <c r="CZ112" s="3087">
        <v>248</v>
      </c>
      <c r="DA112" s="3087">
        <v>253</v>
      </c>
      <c r="DB112" s="3087">
        <v>294</v>
      </c>
      <c r="DC112" s="2804">
        <f>DC87-DC106</f>
        <v>224.48472576308055</v>
      </c>
      <c r="DD112" s="2835">
        <f>T112-SUM(CZ112:DC112)</f>
        <v>0</v>
      </c>
      <c r="DE112" s="2804">
        <f t="shared" ref="DE112:DG112" si="172">DE87-DE106</f>
        <v>257.11246978919081</v>
      </c>
      <c r="DF112" s="2804">
        <f t="shared" si="172"/>
        <v>269.36764502563148</v>
      </c>
      <c r="DG112" s="2804">
        <f t="shared" si="172"/>
        <v>272.77696109729129</v>
      </c>
      <c r="DH112" s="2804">
        <f>DH87-DH106</f>
        <v>252.09986989234727</v>
      </c>
      <c r="DI112" s="2835">
        <f t="shared" si="169"/>
        <v>0</v>
      </c>
      <c r="DJ112" s="1741"/>
      <c r="DK112" s="1110"/>
      <c r="DL112" s="186"/>
      <c r="DM112" s="186"/>
      <c r="DN112" s="186"/>
      <c r="DO112" s="186"/>
      <c r="DP112" s="186"/>
      <c r="DQ112" s="186"/>
      <c r="DR112" s="186"/>
      <c r="DS112" s="186"/>
      <c r="DT112" s="186"/>
      <c r="DU112" s="186"/>
      <c r="DV112" s="186"/>
      <c r="DW112" s="186"/>
      <c r="DX112" s="186"/>
      <c r="DY112" s="186"/>
      <c r="DZ112" s="186"/>
    </row>
    <row r="113" spans="1:132" ht="11.25" customHeight="1">
      <c r="A113" s="1826" t="s">
        <v>689</v>
      </c>
      <c r="B113" s="1476"/>
      <c r="C113" s="1476"/>
      <c r="D113" s="1476"/>
      <c r="E113" s="1476"/>
      <c r="F113" s="1476"/>
      <c r="G113" s="1476"/>
      <c r="H113" s="1639">
        <f>SUM(BG113:BJ113)</f>
        <v>78.700000000000017</v>
      </c>
      <c r="I113" s="1639">
        <f>SUM(BL113:BO113)</f>
        <v>44.699999999999996</v>
      </c>
      <c r="J113" s="1639">
        <f>SUM(BQ113:BT113)</f>
        <v>64.7</v>
      </c>
      <c r="K113" s="1639">
        <f>K91-K107</f>
        <v>84.917000000000002</v>
      </c>
      <c r="L113" s="1639">
        <f t="shared" ref="L113:V113" si="173">L91-L107</f>
        <v>82.284999999999997</v>
      </c>
      <c r="M113" s="1639">
        <f t="shared" si="173"/>
        <v>106.52800000000001</v>
      </c>
      <c r="N113" s="1639">
        <f t="shared" si="173"/>
        <v>101</v>
      </c>
      <c r="O113" s="2723">
        <f>O91-O107</f>
        <v>106.52800000000001</v>
      </c>
      <c r="P113" s="2723">
        <f>P91-P107</f>
        <v>101</v>
      </c>
      <c r="Q113" s="1639">
        <f>Q91-Q107</f>
        <v>114</v>
      </c>
      <c r="R113" s="1639">
        <f t="shared" si="173"/>
        <v>119</v>
      </c>
      <c r="S113" s="2728">
        <f>R113</f>
        <v>119</v>
      </c>
      <c r="T113" s="1639">
        <f>T91-T107</f>
        <v>129.89564559999999</v>
      </c>
      <c r="U113" s="1639">
        <f>U91-U107</f>
        <v>131.26088052</v>
      </c>
      <c r="V113" s="1639">
        <f t="shared" si="173"/>
        <v>136.897719</v>
      </c>
      <c r="W113" s="1639">
        <f t="shared" ref="W113:AB113" si="174">W91-W107</f>
        <v>141.80876808000002</v>
      </c>
      <c r="X113" s="1639">
        <f t="shared" si="174"/>
        <v>146.8180381416</v>
      </c>
      <c r="Y113" s="1639">
        <f t="shared" si="174"/>
        <v>151.92749360443199</v>
      </c>
      <c r="Z113" s="1639">
        <f t="shared" si="174"/>
        <v>157.13913817652065</v>
      </c>
      <c r="AA113" s="1639">
        <f t="shared" si="174"/>
        <v>162.45501564005107</v>
      </c>
      <c r="AB113" s="1639">
        <f t="shared" si="174"/>
        <v>167.87721065285209</v>
      </c>
      <c r="AC113" s="1639">
        <f>AC91-AC107</f>
        <v>173.40784956590912</v>
      </c>
      <c r="AD113" s="1639">
        <f>AD91-AD107</f>
        <v>179.04910125722731</v>
      </c>
      <c r="AE113" s="1639">
        <f>AE91-AE107</f>
        <v>184.80317798237184</v>
      </c>
      <c r="AF113" s="1476"/>
      <c r="AG113" s="1545"/>
      <c r="AH113" s="1545"/>
      <c r="AI113" s="1545"/>
      <c r="AJ113" s="1545"/>
      <c r="AK113" s="186"/>
      <c r="AL113" s="1106" t="s">
        <v>689</v>
      </c>
      <c r="AM113" s="467"/>
      <c r="AN113" s="467"/>
      <c r="AO113" s="467"/>
      <c r="AP113" s="467"/>
      <c r="AQ113" s="1287"/>
      <c r="AR113" s="467"/>
      <c r="AS113" s="467"/>
      <c r="AT113" s="467"/>
      <c r="AU113" s="467"/>
      <c r="AV113" s="1287"/>
      <c r="AW113" s="467"/>
      <c r="AX113" s="467"/>
      <c r="AY113" s="467"/>
      <c r="AZ113" s="467"/>
      <c r="BA113" s="1287"/>
      <c r="BB113" s="467"/>
      <c r="BC113" s="467"/>
      <c r="BD113" s="467"/>
      <c r="BE113" s="467"/>
      <c r="BF113" s="1287"/>
      <c r="BG113" s="833">
        <f>BG91-BG107</f>
        <v>14.600000000000001</v>
      </c>
      <c r="BH113" s="833">
        <f>BH91-BH107</f>
        <v>14.6</v>
      </c>
      <c r="BI113" s="833">
        <f>BI91-BI107</f>
        <v>23.400000000000002</v>
      </c>
      <c r="BJ113" s="833">
        <f>BJ91-BJ107</f>
        <v>26.1</v>
      </c>
      <c r="BK113" s="1120">
        <f>H113-SUM(BG113:BJ113)</f>
        <v>0</v>
      </c>
      <c r="BL113" s="833">
        <f>BL91-BL107</f>
        <v>-2.1</v>
      </c>
      <c r="BM113" s="833">
        <f>BM91-BM107</f>
        <v>8.3000000000000007</v>
      </c>
      <c r="BN113" s="833">
        <f>BN91-BN107</f>
        <v>26.599999999999998</v>
      </c>
      <c r="BO113" s="833">
        <f>BO91-BO107</f>
        <v>11.9</v>
      </c>
      <c r="BP113" s="1120">
        <f>I113-SUM(BL113:BO113)</f>
        <v>0</v>
      </c>
      <c r="BQ113" s="833">
        <f>BQ91-BQ107</f>
        <v>2</v>
      </c>
      <c r="BR113" s="833">
        <f>BR91-BR107</f>
        <v>15.299999999999999</v>
      </c>
      <c r="BS113" s="833">
        <f>BS91-BS107</f>
        <v>29.5</v>
      </c>
      <c r="BT113" s="833">
        <f>BT91-BT107</f>
        <v>17.900000000000002</v>
      </c>
      <c r="BU113" s="1120">
        <f>J113-SUM(BQ113:BT113)</f>
        <v>0</v>
      </c>
      <c r="BV113" s="833">
        <f>BV91-BV107</f>
        <v>5.2292500000000004</v>
      </c>
      <c r="BW113" s="833">
        <f>BW91-BW107</f>
        <v>17.22925</v>
      </c>
      <c r="BX113" s="833">
        <f>BX91-BX107</f>
        <v>36.22925</v>
      </c>
      <c r="BY113" s="833">
        <f>BY91-BY107</f>
        <v>26.22925</v>
      </c>
      <c r="BZ113" s="1120">
        <f>K113-SUM(BV113:BY113)</f>
        <v>0</v>
      </c>
      <c r="CA113" s="833">
        <f>CA91-CA107</f>
        <v>8.3212500000000009</v>
      </c>
      <c r="CB113" s="833">
        <f>CB91-CB107</f>
        <v>7.3212500000000009</v>
      </c>
      <c r="CC113" s="833">
        <f>CC91-CC107</f>
        <v>37.321249999999999</v>
      </c>
      <c r="CD113" s="833">
        <f>CD91-CD107</f>
        <v>29.321249999999999</v>
      </c>
      <c r="CE113" s="1120">
        <f>L113-SUM(CA113:CD113)</f>
        <v>0</v>
      </c>
      <c r="CF113" s="833">
        <f>CF91-CF107</f>
        <v>10</v>
      </c>
      <c r="CG113" s="833">
        <f>CG91-CG107</f>
        <v>20</v>
      </c>
      <c r="CH113" s="833">
        <f>CH91-CH107</f>
        <v>41</v>
      </c>
      <c r="CI113" s="833">
        <f>CI91-CI107</f>
        <v>36</v>
      </c>
      <c r="CJ113" s="1120">
        <f>M113-SUM(CF113:CI113)</f>
        <v>-0.4719999999999942</v>
      </c>
      <c r="CK113" s="1467">
        <f>CK91-CK107</f>
        <v>11</v>
      </c>
      <c r="CL113" s="1467">
        <f>CL91-CL107</f>
        <v>23</v>
      </c>
      <c r="CM113" s="1467">
        <f>CM91-CM107</f>
        <v>42</v>
      </c>
      <c r="CN113" s="833">
        <f>CN91-CN107</f>
        <v>25</v>
      </c>
      <c r="CO113" s="189"/>
      <c r="CP113" s="1775">
        <v>12</v>
      </c>
      <c r="CQ113" s="1775">
        <v>25</v>
      </c>
      <c r="CR113" s="1775">
        <v>43</v>
      </c>
      <c r="CS113" s="1775">
        <v>34</v>
      </c>
      <c r="CT113" s="1741">
        <f>$Q113-SUM(CP113:CS113)</f>
        <v>0</v>
      </c>
      <c r="CU113" s="1775">
        <v>13</v>
      </c>
      <c r="CV113" s="3046">
        <v>26</v>
      </c>
      <c r="CW113" s="3046">
        <v>44</v>
      </c>
      <c r="CX113" s="3046">
        <v>36</v>
      </c>
      <c r="CY113" s="2835">
        <f>S113-SUM(CU113:CX113)</f>
        <v>0</v>
      </c>
      <c r="CZ113" s="3046">
        <v>14</v>
      </c>
      <c r="DA113" s="3046">
        <v>28</v>
      </c>
      <c r="DB113" s="3046">
        <v>46</v>
      </c>
      <c r="DC113" s="2798">
        <f>DC91-DC107</f>
        <v>41.895645600000009</v>
      </c>
      <c r="DD113" s="2835">
        <f>T113-SUM(CZ113:DC113)</f>
        <v>0</v>
      </c>
      <c r="DE113" s="2798">
        <f>DE91-DE107</f>
        <v>14.199170879999997</v>
      </c>
      <c r="DF113" s="2798">
        <f t="shared" ref="DF113:DG113" si="175">DF91-DF107</f>
        <v>29.633260879999995</v>
      </c>
      <c r="DG113" s="2798">
        <f t="shared" si="175"/>
        <v>47.925590879999994</v>
      </c>
      <c r="DH113" s="2798">
        <f>DH91-DH107</f>
        <v>39.502857880000008</v>
      </c>
      <c r="DI113" s="2835">
        <f t="shared" si="169"/>
        <v>0</v>
      </c>
      <c r="DJ113" s="1741"/>
      <c r="DK113" s="1639"/>
      <c r="DL113" s="186"/>
      <c r="DM113" s="186"/>
      <c r="DN113" s="186"/>
      <c r="DO113" s="186"/>
      <c r="DP113" s="186"/>
      <c r="DQ113" s="186"/>
      <c r="DR113" s="186"/>
      <c r="DS113" s="186"/>
      <c r="DT113" s="186"/>
    </row>
    <row r="114" spans="1:132" s="875" customFormat="1" ht="11.25" customHeight="1">
      <c r="A114" s="1494" t="s">
        <v>727</v>
      </c>
      <c r="B114" s="2361"/>
      <c r="C114" s="2361"/>
      <c r="D114" s="2361"/>
      <c r="E114" s="2361"/>
      <c r="F114" s="2361"/>
      <c r="G114" s="2361"/>
      <c r="H114" s="1475">
        <f t="shared" ref="H114:W114" si="176">SUM(H111:H113)</f>
        <v>1334.8999999999999</v>
      </c>
      <c r="I114" s="1475">
        <f t="shared" si="176"/>
        <v>1193.7</v>
      </c>
      <c r="J114" s="1475">
        <f t="shared" si="176"/>
        <v>1342.8</v>
      </c>
      <c r="K114" s="1475">
        <f t="shared" si="176"/>
        <v>2041</v>
      </c>
      <c r="L114" s="1475">
        <f t="shared" si="176"/>
        <v>2256</v>
      </c>
      <c r="M114" s="1475">
        <f>SUM(M111:M113)</f>
        <v>2589.9999999999995</v>
      </c>
      <c r="N114" s="1475">
        <f t="shared" si="176"/>
        <v>2391</v>
      </c>
      <c r="O114" s="2720">
        <f>SUM(O111:O113)</f>
        <v>2589.9999999999995</v>
      </c>
      <c r="P114" s="2720">
        <f>SUM(P111:P113)</f>
        <v>2391</v>
      </c>
      <c r="Q114" s="1475">
        <f>SUM(Q111:Q113)</f>
        <v>2353</v>
      </c>
      <c r="R114" s="1475">
        <f t="shared" si="176"/>
        <v>2597</v>
      </c>
      <c r="S114" s="2720">
        <f>R114</f>
        <v>2597</v>
      </c>
      <c r="T114" s="1475">
        <f ca="1">SUM(T111:T113)</f>
        <v>2663.179114712294</v>
      </c>
      <c r="U114" s="1475">
        <f ca="1">SUM(U111:U113)</f>
        <v>2775.6280887245512</v>
      </c>
      <c r="V114" s="1475">
        <f t="shared" ca="1" si="176"/>
        <v>2982.8065366430069</v>
      </c>
      <c r="W114" s="1475">
        <f t="shared" ca="1" si="176"/>
        <v>3162.6541783276161</v>
      </c>
      <c r="X114" s="1475">
        <f t="shared" ref="X114:AC114" ca="1" si="177">SUM(X111:X113)</f>
        <v>3363.8639956212096</v>
      </c>
      <c r="Y114" s="1475">
        <f t="shared" ca="1" si="177"/>
        <v>3501.5051982212522</v>
      </c>
      <c r="Z114" s="1475">
        <f t="shared" ca="1" si="177"/>
        <v>3476.5539221688864</v>
      </c>
      <c r="AA114" s="1475">
        <f t="shared" ca="1" si="177"/>
        <v>3480.6321278720384</v>
      </c>
      <c r="AB114" s="1475">
        <f t="shared" ca="1" si="177"/>
        <v>3603.5240272064902</v>
      </c>
      <c r="AC114" s="1475">
        <f t="shared" ca="1" si="177"/>
        <v>3530.9122627540341</v>
      </c>
      <c r="AD114" s="1475">
        <f ca="1">SUM(AD111:AD113)</f>
        <v>3593.3794257786908</v>
      </c>
      <c r="AE114" s="1475">
        <f ca="1">SUM(AE111:AE113)</f>
        <v>3624.3793136855415</v>
      </c>
      <c r="AF114" s="2361"/>
      <c r="AG114" s="1545"/>
      <c r="AH114" s="1545"/>
      <c r="AI114" s="1545"/>
      <c r="AJ114" s="1545"/>
      <c r="AK114" s="2362"/>
      <c r="AL114" s="9" t="s">
        <v>727</v>
      </c>
      <c r="AM114" s="2363"/>
      <c r="AN114" s="2363"/>
      <c r="AO114" s="2363"/>
      <c r="AP114" s="2363"/>
      <c r="AQ114" s="2364"/>
      <c r="AR114" s="2363"/>
      <c r="AS114" s="2363"/>
      <c r="AT114" s="2363"/>
      <c r="AU114" s="2363"/>
      <c r="AV114" s="2364"/>
      <c r="AW114" s="2363"/>
      <c r="AX114" s="2363"/>
      <c r="AY114" s="2363"/>
      <c r="AZ114" s="2363"/>
      <c r="BA114" s="2364"/>
      <c r="BB114" s="2363"/>
      <c r="BC114" s="2363"/>
      <c r="BD114" s="2363"/>
      <c r="BE114" s="2363"/>
      <c r="BF114" s="2364"/>
      <c r="BG114" s="2365">
        <f>SUM(BG111:BG113)</f>
        <v>364.7</v>
      </c>
      <c r="BH114" s="2365">
        <f>SUM(BH111:BH113)</f>
        <v>374.4</v>
      </c>
      <c r="BI114" s="2365">
        <f>SUM(BI111:BI113)</f>
        <v>340.7</v>
      </c>
      <c r="BJ114" s="2365">
        <f>SUM(BJ111:BJ113)</f>
        <v>255.09999999999997</v>
      </c>
      <c r="BK114" s="2366">
        <f>H114-SUM(BG114:BJ114)</f>
        <v>0</v>
      </c>
      <c r="BL114" s="2365">
        <f>SUM(BL111:BL113)</f>
        <v>185.50000000000003</v>
      </c>
      <c r="BM114" s="2365">
        <f>SUM(BM111:BM113)</f>
        <v>269.5</v>
      </c>
      <c r="BN114" s="2365">
        <f>SUM(BN111:BN113)</f>
        <v>432.90000000000003</v>
      </c>
      <c r="BO114" s="2365">
        <f>SUM(BO111:BO113)</f>
        <v>305.79999999999995</v>
      </c>
      <c r="BP114" s="2366">
        <f>I114-SUM(BL114:BO114)</f>
        <v>0</v>
      </c>
      <c r="BQ114" s="2365">
        <f>SUM(BQ111:BQ113)</f>
        <v>200.70000000000002</v>
      </c>
      <c r="BR114" s="2365">
        <f>SUM(BR111:BR113)</f>
        <v>320.10000000000002</v>
      </c>
      <c r="BS114" s="2365">
        <f>SUM(BS111:BS113)</f>
        <v>431.7</v>
      </c>
      <c r="BT114" s="2365">
        <f>SUM(BT111:BT113)</f>
        <v>390.29999999999995</v>
      </c>
      <c r="BU114" s="2366">
        <f>J114-SUM(BQ114:BT114)</f>
        <v>0</v>
      </c>
      <c r="BV114" s="2365">
        <f>SUM(BV111:BV113)</f>
        <v>382</v>
      </c>
      <c r="BW114" s="2365">
        <f>SUM(BW111:BW113)</f>
        <v>588</v>
      </c>
      <c r="BX114" s="2365">
        <f>SUM(BX111:BX113)</f>
        <v>599</v>
      </c>
      <c r="BY114" s="2365">
        <f>SUM(BY111:BY113)</f>
        <v>472</v>
      </c>
      <c r="BZ114" s="2366">
        <f>K114-SUM(BV114:BY114)</f>
        <v>0</v>
      </c>
      <c r="CA114" s="2365">
        <f>SUM(CA111:CA113)</f>
        <v>582</v>
      </c>
      <c r="CB114" s="2365">
        <f>SUM(CB111:CB113)</f>
        <v>576</v>
      </c>
      <c r="CC114" s="2365">
        <f>SUM(CC111:CC113)</f>
        <v>605</v>
      </c>
      <c r="CD114" s="2365">
        <f>SUM(CD111:CD113)</f>
        <v>493</v>
      </c>
      <c r="CE114" s="2366">
        <f>L114-SUM(CA114:CD114)</f>
        <v>0</v>
      </c>
      <c r="CF114" s="2365">
        <f>SUM(CF111:CF113)</f>
        <v>677</v>
      </c>
      <c r="CG114" s="2365">
        <f>SUM(CG111:CG113)</f>
        <v>613</v>
      </c>
      <c r="CH114" s="2365">
        <f>SUM(CH111:CH113)</f>
        <v>690</v>
      </c>
      <c r="CI114" s="2365">
        <f>SUM(CI111:CI113)</f>
        <v>610</v>
      </c>
      <c r="CJ114" s="2366">
        <f>M114-SUM(CF114:CI114)</f>
        <v>0</v>
      </c>
      <c r="CK114" s="2365">
        <f>SUM(CK111:CK113)</f>
        <v>685</v>
      </c>
      <c r="CL114" s="2365">
        <f>SUM(CL111:CL113)</f>
        <v>577</v>
      </c>
      <c r="CM114" s="2365">
        <f>SUM(CM111:CM113)</f>
        <v>610</v>
      </c>
      <c r="CN114" s="2365">
        <f>SUM(CN111:CN113)</f>
        <v>519</v>
      </c>
      <c r="CO114" s="2367"/>
      <c r="CP114" s="1884">
        <f>CP111+CP112+CP113</f>
        <v>609</v>
      </c>
      <c r="CQ114" s="1884">
        <f>SUM(CQ111:CQ113)</f>
        <v>507</v>
      </c>
      <c r="CR114" s="1884">
        <f>SUM(CR111:CR113)</f>
        <v>628</v>
      </c>
      <c r="CS114" s="1884">
        <f>SUM(CS111:CS113)</f>
        <v>609</v>
      </c>
      <c r="CT114" s="2188">
        <f>$Q114-SUM(CP114:CS114)</f>
        <v>0</v>
      </c>
      <c r="CU114" s="1884">
        <f>SUM(CU111:CU113)</f>
        <v>690</v>
      </c>
      <c r="CV114" s="3088">
        <f>SUM(CV111:CV113)</f>
        <v>604</v>
      </c>
      <c r="CW114" s="3088">
        <f>SUM(CW111:CW113)</f>
        <v>677</v>
      </c>
      <c r="CX114" s="3088">
        <f>SUM(CX111:CX113)</f>
        <v>626</v>
      </c>
      <c r="CY114" s="2835">
        <f>S114-SUM(CU114:CX114)</f>
        <v>0</v>
      </c>
      <c r="CZ114" s="3088">
        <f>SUM(CZ111:CZ113)</f>
        <v>660</v>
      </c>
      <c r="DA114" s="3088">
        <f>SUM(DA111:DA113)</f>
        <v>627</v>
      </c>
      <c r="DB114" s="3088">
        <f>SUM(DB111:DB113)</f>
        <v>685</v>
      </c>
      <c r="DC114" s="3088">
        <f ca="1">SUM(DC111:DC113)</f>
        <v>691.17911471229354</v>
      </c>
      <c r="DD114" s="2835">
        <f ca="1">T114-SUM(CZ114:DC114)</f>
        <v>0</v>
      </c>
      <c r="DE114" s="3088">
        <f t="shared" ref="DE114:DG114" si="178">SUM(DE111:DE113)</f>
        <v>662.13043084666367</v>
      </c>
      <c r="DF114" s="3088">
        <f t="shared" si="178"/>
        <v>656.0388142499562</v>
      </c>
      <c r="DG114" s="3088">
        <f t="shared" si="178"/>
        <v>716.83042657025533</v>
      </c>
      <c r="DH114" s="3088">
        <f ca="1">SUM(DH111:DH113)</f>
        <v>740.62841705767619</v>
      </c>
      <c r="DI114" s="2835">
        <f t="shared" ca="1" si="169"/>
        <v>0</v>
      </c>
      <c r="DJ114" s="2188"/>
      <c r="DK114" s="1884"/>
      <c r="DL114" s="186"/>
      <c r="DM114" s="186"/>
      <c r="DN114" s="186"/>
      <c r="DO114" s="186"/>
      <c r="DP114" s="186"/>
      <c r="DQ114" s="186"/>
      <c r="DR114" s="186"/>
      <c r="DS114" s="186"/>
      <c r="DT114" s="186"/>
    </row>
    <row r="115" spans="1:132" ht="11.25" customHeight="1">
      <c r="A115" s="1797" t="s">
        <v>344</v>
      </c>
      <c r="B115" s="1476"/>
      <c r="C115" s="1476"/>
      <c r="D115" s="1476"/>
      <c r="E115" s="1476"/>
      <c r="F115" s="1476"/>
      <c r="G115" s="1476"/>
      <c r="H115" s="1475"/>
      <c r="I115" s="1364">
        <f>I114/H114-1</f>
        <v>-0.10577571353659443</v>
      </c>
      <c r="J115" s="1364">
        <f t="shared" ref="J115:W115" si="179">J114/I114-1</f>
        <v>0.12490575521487801</v>
      </c>
      <c r="K115" s="1364">
        <f t="shared" si="179"/>
        <v>0.51995829609770627</v>
      </c>
      <c r="L115" s="1364">
        <f t="shared" si="179"/>
        <v>0.10534051935325817</v>
      </c>
      <c r="M115" s="1364">
        <f>M114/L114-1</f>
        <v>0.14804964539007082</v>
      </c>
      <c r="N115" s="1364">
        <f t="shared" si="179"/>
        <v>-7.6833976833976636E-2</v>
      </c>
      <c r="O115" s="2711"/>
      <c r="P115" s="2711">
        <f t="shared" si="179"/>
        <v>-7.6833976833976636E-2</v>
      </c>
      <c r="Q115" s="1364">
        <f t="shared" si="179"/>
        <v>-1.589293182768714E-2</v>
      </c>
      <c r="R115" s="1364">
        <f t="shared" si="179"/>
        <v>0.10369740756481094</v>
      </c>
      <c r="S115" s="2711"/>
      <c r="T115" s="1364">
        <f ca="1">T114/R114-1</f>
        <v>2.5482909015130506E-2</v>
      </c>
      <c r="U115" s="1364">
        <f ca="1">U114/T114-1</f>
        <v>4.2223586611599417E-2</v>
      </c>
      <c r="V115" s="1364">
        <f t="shared" ca="1" si="179"/>
        <v>7.4642005807650458E-2</v>
      </c>
      <c r="W115" s="1364">
        <f t="shared" ca="1" si="179"/>
        <v>6.0294772549016384E-2</v>
      </c>
      <c r="X115" s="1364">
        <f t="shared" ref="X115:AE115" ca="1" si="180">X114/W114-1</f>
        <v>6.3620556010329121E-2</v>
      </c>
      <c r="Y115" s="1364">
        <f t="shared" ca="1" si="180"/>
        <v>4.0917588457563214E-2</v>
      </c>
      <c r="Z115" s="1364">
        <f t="shared" ca="1" si="180"/>
        <v>-7.1258714866512252E-3</v>
      </c>
      <c r="AA115" s="1364">
        <f t="shared" ca="1" si="180"/>
        <v>1.173059815683164E-3</v>
      </c>
      <c r="AB115" s="1364">
        <f t="shared" ca="1" si="180"/>
        <v>3.5307350739644194E-2</v>
      </c>
      <c r="AC115" s="1364">
        <f t="shared" ca="1" si="180"/>
        <v>-2.0150209601556557E-2</v>
      </c>
      <c r="AD115" s="1364">
        <f t="shared" ca="1" si="180"/>
        <v>1.7691508136181699E-2</v>
      </c>
      <c r="AE115" s="1364">
        <f t="shared" ca="1" si="180"/>
        <v>8.6269453441123467E-3</v>
      </c>
      <c r="AF115" s="1476"/>
      <c r="AG115" s="1545"/>
      <c r="AH115" s="1545"/>
      <c r="AI115" s="1545"/>
      <c r="AJ115" s="1545"/>
      <c r="AK115" s="186"/>
      <c r="AL115" s="1302" t="s">
        <v>344</v>
      </c>
      <c r="AM115" s="467"/>
      <c r="AN115" s="467"/>
      <c r="AO115" s="467"/>
      <c r="AP115" s="467"/>
      <c r="AQ115" s="1287"/>
      <c r="AR115" s="467"/>
      <c r="AS115" s="467"/>
      <c r="AT115" s="467"/>
      <c r="AU115" s="467"/>
      <c r="AV115" s="1287"/>
      <c r="AW115" s="467"/>
      <c r="AX115" s="467"/>
      <c r="AY115" s="467"/>
      <c r="AZ115" s="467"/>
      <c r="BA115" s="1287"/>
      <c r="BB115" s="467"/>
      <c r="BC115" s="467"/>
      <c r="BD115" s="467"/>
      <c r="BE115" s="467"/>
      <c r="BF115" s="1287"/>
      <c r="BG115" s="309"/>
      <c r="BH115" s="309"/>
      <c r="BI115" s="309"/>
      <c r="BJ115" s="309"/>
      <c r="BK115" s="1287"/>
      <c r="BL115" s="39">
        <f>BL114/BG114-1</f>
        <v>-0.4913627639155469</v>
      </c>
      <c r="BM115" s="39">
        <f>BM114/BH114-1</f>
        <v>-0.28018162393162394</v>
      </c>
      <c r="BN115" s="39">
        <f>BN114/BI114-1</f>
        <v>0.27061931317874977</v>
      </c>
      <c r="BO115" s="39">
        <f>BO114/BJ114-1</f>
        <v>0.19874558996471969</v>
      </c>
      <c r="BP115" s="1120"/>
      <c r="BQ115" s="39">
        <f>BQ114/BL114-1</f>
        <v>8.1940700808625255E-2</v>
      </c>
      <c r="BR115" s="39">
        <f>BR114/BM114-1</f>
        <v>0.18775510204081636</v>
      </c>
      <c r="BS115" s="39">
        <f>BS114/BN114-1</f>
        <v>-2.7720027720028462E-3</v>
      </c>
      <c r="BT115" s="39">
        <f>BT114/BO114-1</f>
        <v>0.27632439502943096</v>
      </c>
      <c r="BU115" s="1120"/>
      <c r="BV115" s="39">
        <f>BV114/BQ114-1</f>
        <v>0.90333831589436953</v>
      </c>
      <c r="BW115" s="39">
        <f>BW114/BR114-1</f>
        <v>0.83692596063730074</v>
      </c>
      <c r="BX115" s="39">
        <f>BX114/BS114-1</f>
        <v>0.38753764188093598</v>
      </c>
      <c r="BY115" s="39">
        <f>BY114/BT114-1</f>
        <v>0.20932615936459142</v>
      </c>
      <c r="BZ115" s="186"/>
      <c r="CA115" s="39">
        <f>CA114/BV114-1</f>
        <v>0.52356020942408388</v>
      </c>
      <c r="CB115" s="39">
        <f>CB114/BW114-1</f>
        <v>-2.0408163265306145E-2</v>
      </c>
      <c r="CC115" s="39">
        <f>CC114/BX114-1</f>
        <v>1.001669449081799E-2</v>
      </c>
      <c r="CD115" s="39">
        <f>CD114/BY114-1</f>
        <v>4.4491525423728806E-2</v>
      </c>
      <c r="CE115" s="186"/>
      <c r="CF115" s="39">
        <f>CF114/CA114-1</f>
        <v>0.16323024054982826</v>
      </c>
      <c r="CG115" s="39">
        <f>CG114/CB114-1</f>
        <v>6.423611111111116E-2</v>
      </c>
      <c r="CH115" s="39">
        <f>CH114/CC114-1</f>
        <v>0.14049586776859502</v>
      </c>
      <c r="CI115" s="39">
        <f>CI114/CD114-1</f>
        <v>0.23732251521298164</v>
      </c>
      <c r="CJ115" s="186"/>
      <c r="CK115" s="1174">
        <f>CK114/CF114-1</f>
        <v>1.1816838995568624E-2</v>
      </c>
      <c r="CL115" s="1174">
        <f>CL114/CG114-1</f>
        <v>-5.8727569331158191E-2</v>
      </c>
      <c r="CM115" s="1174">
        <f>CM114/CH114-1</f>
        <v>-0.11594202898550721</v>
      </c>
      <c r="CN115" s="39">
        <f>CN114/CI114-1</f>
        <v>-0.14918032786885249</v>
      </c>
      <c r="CO115" s="189"/>
      <c r="CP115" s="2023">
        <f>CP114/CK114-1</f>
        <v>-0.11094890510948907</v>
      </c>
      <c r="CQ115" s="1609">
        <f>CQ114/CL114-1</f>
        <v>-0.121317157712305</v>
      </c>
      <c r="CR115" s="1609">
        <f>CR114/CM114-1</f>
        <v>2.9508196721311553E-2</v>
      </c>
      <c r="CS115" s="1110">
        <f>CS114/CN114-1</f>
        <v>0.17341040462427748</v>
      </c>
      <c r="CT115" s="1477"/>
      <c r="CU115" s="1110">
        <f>CU114/CP114-1</f>
        <v>0.13300492610837433</v>
      </c>
      <c r="CV115" s="2802">
        <f>CV114/CQ114-1</f>
        <v>0.1913214990138068</v>
      </c>
      <c r="CW115" s="2802">
        <f>CW114/CR114-1</f>
        <v>7.8025477707006408E-2</v>
      </c>
      <c r="CX115" s="2802">
        <f>CX114/CS114-1</f>
        <v>2.791461412151075E-2</v>
      </c>
      <c r="CY115" s="2937"/>
      <c r="CZ115" s="2802">
        <f>CZ114/CU114-1</f>
        <v>-4.3478260869565188E-2</v>
      </c>
      <c r="DA115" s="2802">
        <f>DA114/CV114-1</f>
        <v>3.8079470198675525E-2</v>
      </c>
      <c r="DB115" s="2802">
        <f>DB114/CW114-1</f>
        <v>1.1816838995568624E-2</v>
      </c>
      <c r="DC115" s="2802">
        <f ca="1">DC114/CX114-1</f>
        <v>0.10411999155318452</v>
      </c>
      <c r="DD115" s="2835"/>
      <c r="DE115" s="2802">
        <f t="shared" ref="DE115:DG115" si="181">DE114/CZ114-1</f>
        <v>3.2279255252480876E-3</v>
      </c>
      <c r="DF115" s="2802">
        <f t="shared" si="181"/>
        <v>4.6313898325289093E-2</v>
      </c>
      <c r="DG115" s="2802">
        <f t="shared" si="181"/>
        <v>4.6467776014971207E-2</v>
      </c>
      <c r="DH115" s="2802">
        <f ca="1">DH114/DC114-1</f>
        <v>7.1543397786210772E-2</v>
      </c>
      <c r="DI115" s="2835"/>
      <c r="DJ115" s="1477"/>
      <c r="DK115" s="1110"/>
      <c r="DL115" s="186"/>
      <c r="DM115" s="186"/>
      <c r="DN115" s="186"/>
      <c r="DO115" s="186"/>
      <c r="DP115" s="186"/>
      <c r="DQ115" s="186"/>
      <c r="DR115" s="186"/>
      <c r="DS115" s="186"/>
      <c r="DT115" s="186"/>
      <c r="DU115" s="875"/>
      <c r="DV115" s="875"/>
      <c r="DW115" s="875"/>
    </row>
    <row r="116" spans="1:132" ht="11.25" customHeight="1">
      <c r="A116" s="1797" t="s">
        <v>1208</v>
      </c>
      <c r="B116" s="1476"/>
      <c r="C116" s="1476"/>
      <c r="D116" s="1476"/>
      <c r="E116" s="1476"/>
      <c r="F116" s="1476"/>
      <c r="G116" s="1476"/>
      <c r="H116" s="1782">
        <f>H114/H45</f>
        <v>0.14830574380624373</v>
      </c>
      <c r="I116" s="1782">
        <f t="shared" ref="I116:V116" si="182">I114/I45</f>
        <v>0.13092548314212382</v>
      </c>
      <c r="J116" s="1782">
        <f t="shared" si="182"/>
        <v>0.13905515398794607</v>
      </c>
      <c r="K116" s="1782">
        <f t="shared" si="182"/>
        <v>0.2068930562595033</v>
      </c>
      <c r="L116" s="1782">
        <f t="shared" si="182"/>
        <v>0.21996879875195008</v>
      </c>
      <c r="M116" s="1782">
        <f>M114/M45</f>
        <v>0.22476785559316145</v>
      </c>
      <c r="N116" s="1782">
        <f t="shared" si="182"/>
        <v>0.21228802272929059</v>
      </c>
      <c r="O116" s="2716">
        <f>O114/O45</f>
        <v>0.22476785559316145</v>
      </c>
      <c r="P116" s="2716">
        <f>P114/P45</f>
        <v>0.21228802272929059</v>
      </c>
      <c r="Q116" s="1782">
        <f>Q114/Q45</f>
        <v>0.20532286212914486</v>
      </c>
      <c r="R116" s="1782">
        <f t="shared" si="182"/>
        <v>0.22001016604540832</v>
      </c>
      <c r="S116" s="2716"/>
      <c r="T116" s="1782">
        <f ca="1">T114/T45</f>
        <v>0.21597097688244757</v>
      </c>
      <c r="U116" s="1782">
        <f ca="1">U114/U45</f>
        <v>0.21208335788025165</v>
      </c>
      <c r="V116" s="1782">
        <f t="shared" ca="1" si="182"/>
        <v>0.21072540187937566</v>
      </c>
      <c r="W116" s="1782">
        <f t="shared" ref="W116:AB116" ca="1" si="183">W114/W45</f>
        <v>0.22005714059612105</v>
      </c>
      <c r="X116" s="1782">
        <f t="shared" ca="1" si="183"/>
        <v>0.2236306360480628</v>
      </c>
      <c r="Y116" s="1782">
        <f t="shared" ca="1" si="183"/>
        <v>0.21879345602397063</v>
      </c>
      <c r="Z116" s="1782">
        <f t="shared" ca="1" si="183"/>
        <v>0.21675173259939604</v>
      </c>
      <c r="AA116" s="1782">
        <f t="shared" ca="1" si="183"/>
        <v>0.21148077918645075</v>
      </c>
      <c r="AB116" s="1782">
        <f t="shared" ca="1" si="183"/>
        <v>0.20540624911198951</v>
      </c>
      <c r="AC116" s="1782">
        <f ca="1">AC114/AC45</f>
        <v>0.20364801472279251</v>
      </c>
      <c r="AD116" s="1782">
        <f ca="1">AD114/AD45</f>
        <v>0.20159597967347531</v>
      </c>
      <c r="AE116" s="1782">
        <f ca="1">AE114/AE45</f>
        <v>0.19173467407493647</v>
      </c>
      <c r="AF116" s="1476"/>
      <c r="AG116" s="1545"/>
      <c r="AH116" s="1545"/>
      <c r="AI116" s="1545"/>
      <c r="AJ116" s="1545"/>
      <c r="AK116" s="186"/>
      <c r="AL116" s="1302" t="s">
        <v>1208</v>
      </c>
      <c r="AM116" s="467"/>
      <c r="AN116" s="467"/>
      <c r="AO116" s="467"/>
      <c r="AP116" s="467"/>
      <c r="AQ116" s="1287"/>
      <c r="AR116" s="467"/>
      <c r="AS116" s="467"/>
      <c r="AT116" s="467"/>
      <c r="AU116" s="467"/>
      <c r="AV116" s="1287"/>
      <c r="AW116" s="467"/>
      <c r="AX116" s="467"/>
      <c r="AY116" s="467"/>
      <c r="AZ116" s="467"/>
      <c r="BA116" s="1287"/>
      <c r="BB116" s="467"/>
      <c r="BC116" s="467"/>
      <c r="BD116" s="467"/>
      <c r="BE116" s="467"/>
      <c r="BF116" s="1287"/>
      <c r="BG116" s="359">
        <f>BG114/BG45</f>
        <v>0.14747270521633643</v>
      </c>
      <c r="BH116" s="359">
        <f>BH114/BH45</f>
        <v>0.18218978102189781</v>
      </c>
      <c r="BI116" s="359">
        <f>BI114/BI45</f>
        <v>0.1576439015361836</v>
      </c>
      <c r="BJ116" s="359">
        <f>BJ114/BJ45</f>
        <v>0.11034691582316807</v>
      </c>
      <c r="BK116" s="1287"/>
      <c r="BL116" s="359">
        <f t="shared" ref="BL116:BT116" si="184">BL114/BL45</f>
        <v>7.9960343118237867E-2</v>
      </c>
      <c r="BM116" s="359">
        <f t="shared" si="184"/>
        <v>0.1330667061669876</v>
      </c>
      <c r="BN116" s="359">
        <f t="shared" si="184"/>
        <v>0.18114486567913632</v>
      </c>
      <c r="BO116" s="359">
        <f t="shared" si="184"/>
        <v>0.1283579583613163</v>
      </c>
      <c r="BP116" s="1120"/>
      <c r="BQ116" s="359">
        <f t="shared" si="184"/>
        <v>7.7156696909118874E-2</v>
      </c>
      <c r="BR116" s="359">
        <f t="shared" si="184"/>
        <v>0.14352972827549101</v>
      </c>
      <c r="BS116" s="359">
        <f t="shared" si="184"/>
        <v>0.1958178354349995</v>
      </c>
      <c r="BT116" s="359">
        <f t="shared" si="184"/>
        <v>0.14893535831488972</v>
      </c>
      <c r="BU116" s="1120"/>
      <c r="BV116" s="359">
        <f>BV114/BV45</f>
        <v>0.15027537372147914</v>
      </c>
      <c r="BW116" s="359">
        <f>BW114/BW45</f>
        <v>0.24177631578947367</v>
      </c>
      <c r="BX116" s="359">
        <f>BX114/BX45</f>
        <v>0.26364436619718312</v>
      </c>
      <c r="BY116" s="359">
        <f>BY114/BY45</f>
        <v>0.18022145857197402</v>
      </c>
      <c r="BZ116" s="186"/>
      <c r="CA116" s="359">
        <f>CA114/CA45</f>
        <v>0.19755600814663951</v>
      </c>
      <c r="CB116" s="359">
        <f>CB114/CB45</f>
        <v>0.24594363791631085</v>
      </c>
      <c r="CC116" s="359">
        <f>CC114/CC45</f>
        <v>0.26010318142734307</v>
      </c>
      <c r="CD116" s="359">
        <f>CD114/CD45</f>
        <v>0.1866010598031794</v>
      </c>
      <c r="CE116" s="186"/>
      <c r="CF116" s="359">
        <f>CF114/CF45</f>
        <v>0.21235884567126725</v>
      </c>
      <c r="CG116" s="359">
        <f>CG114/CG45</f>
        <v>0.22578268876611418</v>
      </c>
      <c r="CH116" s="359">
        <f>CH114/CH45</f>
        <v>0.25517751479289941</v>
      </c>
      <c r="CI116" s="359">
        <f>CI114/CI45</f>
        <v>0.20919067215363513</v>
      </c>
      <c r="CJ116" s="186"/>
      <c r="CK116" s="1098">
        <f>CK114/CK45</f>
        <v>0.22886735716672235</v>
      </c>
      <c r="CL116" s="1098">
        <f>CL114/CL45</f>
        <v>0.22521467603434817</v>
      </c>
      <c r="CM116" s="1098">
        <f>CM114/CM45</f>
        <v>0.22311631309436722</v>
      </c>
      <c r="CN116" s="359">
        <f>CN114/CN45</f>
        <v>0.17451244115669132</v>
      </c>
      <c r="CO116" s="189"/>
      <c r="CP116" s="2024">
        <f>CP114/CP45</f>
        <v>0.20679117147707979</v>
      </c>
      <c r="CQ116" s="1620">
        <f>CQ114/CQ45</f>
        <v>0.19507502885725278</v>
      </c>
      <c r="CR116" s="1620">
        <f>CR114/CR45</f>
        <v>0.23600150319428786</v>
      </c>
      <c r="CS116" s="1801">
        <f>CS114/CS45</f>
        <v>0.18709677419354839</v>
      </c>
      <c r="CT116" s="1477"/>
      <c r="CU116" s="1801">
        <f>CU114/CU45</f>
        <v>0.21185139699109609</v>
      </c>
      <c r="CV116" s="3089">
        <f>CV114/CV45</f>
        <v>0.22621722846441947</v>
      </c>
      <c r="CW116" s="3089">
        <f>CW114/CW45</f>
        <v>0.24413992066354129</v>
      </c>
      <c r="CX116" s="3089">
        <f>CX114/CX45</f>
        <v>0.20167525773195877</v>
      </c>
      <c r="CY116" s="2937"/>
      <c r="CZ116" s="3089">
        <f>CZ114/CZ45</f>
        <v>0.21632251720747295</v>
      </c>
      <c r="DA116" s="3089">
        <f>DA114/DA45</f>
        <v>0.21175278622087132</v>
      </c>
      <c r="DB116" s="3089">
        <f>DB114/DB45</f>
        <v>0.23759972251127298</v>
      </c>
      <c r="DC116" s="3089">
        <f ca="1">DC114/DC45</f>
        <v>0.20114695286695944</v>
      </c>
      <c r="DD116" s="1741"/>
      <c r="DE116" s="3089">
        <f t="shared" ref="DE116:DG116" si="185">DE114/DE45</f>
        <v>0.20243560261283922</v>
      </c>
      <c r="DF116" s="3089">
        <f t="shared" si="185"/>
        <v>0.20620141530299718</v>
      </c>
      <c r="DG116" s="3089">
        <f t="shared" si="185"/>
        <v>0.24189085130904772</v>
      </c>
      <c r="DH116" s="3089">
        <f ca="1">DH114/DH45</f>
        <v>0.20171652783623548</v>
      </c>
      <c r="DI116" s="1741"/>
      <c r="DJ116" s="1477"/>
      <c r="DK116" s="1801"/>
      <c r="DL116" s="186"/>
      <c r="DM116" s="186"/>
      <c r="DN116" s="186"/>
      <c r="DO116" s="186"/>
      <c r="DP116" s="186"/>
      <c r="DQ116" s="186"/>
      <c r="DR116" s="186"/>
      <c r="DS116" s="186"/>
      <c r="DT116" s="186"/>
      <c r="DU116" s="875"/>
      <c r="DV116" s="875"/>
      <c r="DW116" s="875"/>
    </row>
    <row r="117" spans="1:132" ht="11.25" customHeight="1">
      <c r="A117" s="1108"/>
      <c r="B117" s="1110"/>
      <c r="C117" s="1110"/>
      <c r="D117" s="1110"/>
      <c r="E117" s="1110"/>
      <c r="F117" s="1110"/>
      <c r="G117" s="1110"/>
      <c r="H117" s="1110"/>
      <c r="I117" s="1110"/>
      <c r="J117" s="1110"/>
      <c r="K117" s="1110"/>
      <c r="L117" s="1110"/>
      <c r="M117" s="1110"/>
      <c r="N117" s="1110"/>
      <c r="O117" s="2705"/>
      <c r="P117" s="2705"/>
      <c r="Q117" s="1110"/>
      <c r="R117" s="1110"/>
      <c r="S117" s="2705"/>
      <c r="T117" s="1110"/>
      <c r="U117" s="1110"/>
      <c r="V117" s="1110"/>
      <c r="W117" s="1110"/>
      <c r="X117" s="1110"/>
      <c r="Y117" s="1110"/>
      <c r="Z117" s="1110"/>
      <c r="AA117" s="1110"/>
      <c r="AB117" s="1110"/>
      <c r="AC117" s="1110"/>
      <c r="AD117" s="1110"/>
      <c r="AE117" s="1545"/>
      <c r="AF117" s="1545"/>
      <c r="AG117" s="1545"/>
      <c r="AH117" s="1545"/>
      <c r="AI117" s="1545"/>
      <c r="AJ117" s="1545"/>
      <c r="AK117" s="11"/>
      <c r="AL117" s="11"/>
      <c r="AM117" s="39"/>
      <c r="AN117" s="39"/>
      <c r="AO117" s="39"/>
      <c r="AP117" s="39"/>
      <c r="AQ117" s="1120"/>
      <c r="AR117" s="39"/>
      <c r="AS117" s="39"/>
      <c r="AT117" s="39"/>
      <c r="AU117" s="39"/>
      <c r="AV117" s="1120"/>
      <c r="AW117" s="39"/>
      <c r="AX117" s="39"/>
      <c r="AY117" s="39"/>
      <c r="AZ117" s="39"/>
      <c r="BA117" s="1120"/>
      <c r="BB117" s="39"/>
      <c r="BC117" s="39"/>
      <c r="BD117" s="39"/>
      <c r="BE117" s="39"/>
      <c r="BF117" s="1120"/>
      <c r="BG117" s="1120">
        <f>BG99-BG87-BG75-BG91</f>
        <v>0</v>
      </c>
      <c r="BH117" s="1120">
        <f>BH99-BH87-BH75-BH91</f>
        <v>-5.6843418860808015E-14</v>
      </c>
      <c r="BI117" s="1120">
        <f>BI99-BI87-BI75-BI91</f>
        <v>0</v>
      </c>
      <c r="BJ117" s="1120">
        <f>BJ99-BJ87-BJ75-BJ91</f>
        <v>0</v>
      </c>
      <c r="BK117" s="1120"/>
      <c r="BL117" s="1120"/>
      <c r="BM117" s="1120"/>
      <c r="BN117" s="1120"/>
      <c r="BO117" s="1120"/>
      <c r="BP117" s="1120"/>
      <c r="BQ117" s="11"/>
      <c r="BR117" s="11"/>
      <c r="BS117" s="11"/>
      <c r="BT117" s="11"/>
      <c r="BU117" s="11"/>
      <c r="BV117" s="11"/>
      <c r="BW117" s="11"/>
      <c r="BX117" s="11"/>
      <c r="BY117" s="11"/>
      <c r="BZ117" s="11"/>
      <c r="CA117" s="14"/>
      <c r="CB117" s="11"/>
      <c r="CC117" s="11"/>
      <c r="CD117" s="11"/>
      <c r="CE117" s="11"/>
      <c r="CF117" s="14"/>
      <c r="CG117" s="11"/>
      <c r="CH117" s="11"/>
      <c r="CI117" s="11"/>
      <c r="CJ117" s="11"/>
      <c r="CK117" s="906"/>
      <c r="CL117" s="906"/>
      <c r="CM117" s="906"/>
      <c r="CN117" s="11"/>
      <c r="CO117" s="189"/>
      <c r="CP117" s="906"/>
      <c r="CQ117" s="906"/>
      <c r="CR117" s="906"/>
      <c r="CS117" s="11"/>
      <c r="CT117" s="1108"/>
      <c r="CU117" s="1108"/>
      <c r="CV117" s="2862"/>
      <c r="CW117" s="2862"/>
      <c r="CX117" s="2862"/>
      <c r="CY117" s="2937"/>
      <c r="CZ117" s="2937"/>
      <c r="DA117" s="1477"/>
      <c r="DB117" s="1477"/>
      <c r="DC117" s="1477"/>
      <c r="DD117" s="1741"/>
      <c r="DE117" s="1741"/>
      <c r="DF117" s="1741"/>
      <c r="DG117" s="1741"/>
      <c r="DH117" s="1741"/>
      <c r="DI117" s="2835"/>
      <c r="DJ117" s="1108"/>
      <c r="DK117" s="1108"/>
      <c r="DL117" s="186"/>
      <c r="DM117" s="186"/>
      <c r="DN117" s="2362"/>
      <c r="DO117" s="186"/>
      <c r="DP117" s="186"/>
      <c r="DQ117" s="186"/>
      <c r="DR117" s="186"/>
      <c r="DS117" s="2362"/>
      <c r="DT117" s="2362"/>
      <c r="DU117" s="875"/>
      <c r="DV117" s="875"/>
      <c r="DW117" s="875"/>
    </row>
    <row r="118" spans="1:132" ht="11.25" customHeight="1">
      <c r="A118" s="1542" t="s">
        <v>420</v>
      </c>
      <c r="B118" s="134"/>
      <c r="C118" s="134"/>
      <c r="D118" s="134"/>
      <c r="E118" s="134"/>
      <c r="F118" s="134"/>
      <c r="G118" s="134"/>
      <c r="H118" s="134"/>
      <c r="I118" s="134"/>
      <c r="J118" s="134"/>
      <c r="K118" s="134"/>
      <c r="L118" s="134"/>
      <c r="M118" s="134"/>
      <c r="N118" s="2289"/>
      <c r="O118" s="2729"/>
      <c r="P118" s="2729"/>
      <c r="Q118" s="2289"/>
      <c r="R118" s="2289"/>
      <c r="S118" s="2729"/>
      <c r="T118" s="2289"/>
      <c r="U118" s="2289"/>
      <c r="V118" s="2289"/>
      <c r="W118" s="2289"/>
      <c r="X118" s="2289"/>
      <c r="Y118" s="2289"/>
      <c r="Z118" s="2289"/>
      <c r="AA118" s="2289"/>
      <c r="AB118" s="2289"/>
      <c r="AC118" s="2289"/>
      <c r="AD118" s="2289"/>
      <c r="AE118" s="2289"/>
      <c r="AF118" s="2289"/>
      <c r="AG118" s="2289"/>
      <c r="AH118" s="2289"/>
      <c r="AI118" s="2289"/>
      <c r="AJ118" s="2289"/>
      <c r="AK118" s="134"/>
      <c r="AL118" s="1542" t="str">
        <f>A118</f>
        <v>THE LOCAL GROUP</v>
      </c>
      <c r="AM118" s="134"/>
      <c r="AN118" s="134"/>
      <c r="AO118" s="134"/>
      <c r="AP118" s="134"/>
      <c r="AQ118" s="1543"/>
      <c r="AR118" s="134"/>
      <c r="AS118" s="134"/>
      <c r="AT118" s="134"/>
      <c r="AU118" s="134"/>
      <c r="AV118" s="1543"/>
      <c r="AW118" s="134"/>
      <c r="AX118" s="134"/>
      <c r="AY118" s="134"/>
      <c r="AZ118" s="134"/>
      <c r="BA118" s="1543"/>
      <c r="BB118" s="134"/>
      <c r="BC118" s="134"/>
      <c r="BD118" s="134"/>
      <c r="BE118" s="134"/>
      <c r="BF118" s="1543"/>
      <c r="BG118" s="134"/>
      <c r="BH118" s="134"/>
      <c r="BI118" s="134"/>
      <c r="BJ118" s="134"/>
      <c r="BK118" s="1543"/>
      <c r="BL118" s="134"/>
      <c r="BM118" s="134"/>
      <c r="BN118" s="134"/>
      <c r="BO118" s="134"/>
      <c r="BP118" s="1543"/>
      <c r="BQ118" s="1543"/>
      <c r="BR118" s="1543"/>
      <c r="BS118" s="1543"/>
      <c r="BT118" s="1543"/>
      <c r="BU118" s="1543"/>
      <c r="BV118" s="1543"/>
      <c r="BW118" s="1543"/>
      <c r="BX118" s="1543"/>
      <c r="BY118" s="1543"/>
      <c r="BZ118" s="1543"/>
      <c r="CA118" s="134"/>
      <c r="CB118" s="134"/>
      <c r="CC118" s="134"/>
      <c r="CD118" s="134"/>
      <c r="CE118" s="134"/>
      <c r="CF118" s="134"/>
      <c r="CG118" s="134"/>
      <c r="CH118" s="134"/>
      <c r="CI118" s="134"/>
      <c r="CJ118" s="134"/>
      <c r="CK118" s="134"/>
      <c r="CL118" s="134"/>
      <c r="CM118" s="134"/>
      <c r="CN118" s="134"/>
      <c r="CO118" s="189"/>
      <c r="CP118" s="1192"/>
      <c r="CQ118" s="1192"/>
      <c r="CR118" s="1192"/>
      <c r="CS118" s="1192"/>
      <c r="CT118" s="1108"/>
      <c r="CU118" s="1192"/>
      <c r="CV118" s="1192"/>
      <c r="CW118" s="1192"/>
      <c r="CX118" s="1192"/>
      <c r="CY118" s="1477"/>
      <c r="CZ118" s="1192"/>
      <c r="DA118" s="1192"/>
      <c r="DB118" s="1192"/>
      <c r="DC118" s="1192"/>
      <c r="DD118" s="1741"/>
      <c r="DE118" s="1192"/>
      <c r="DF118" s="1192"/>
      <c r="DG118" s="1192"/>
      <c r="DH118" s="1192"/>
      <c r="DI118" s="2835"/>
      <c r="DJ118" s="1108"/>
      <c r="DK118" s="1108"/>
      <c r="DL118" s="186"/>
      <c r="DM118" s="186"/>
      <c r="DN118" s="2362"/>
      <c r="DO118" s="186"/>
      <c r="DP118" s="186"/>
      <c r="DQ118" s="186"/>
      <c r="DR118" s="186"/>
      <c r="DS118" s="186"/>
      <c r="DT118" s="186"/>
      <c r="DU118" s="875"/>
      <c r="DV118" s="875"/>
      <c r="DW118" s="875"/>
    </row>
    <row r="119" spans="1:132" s="1577" customFormat="1" ht="11.25" customHeight="1">
      <c r="A119" s="1822"/>
      <c r="B119" s="1108"/>
      <c r="C119" s="1108"/>
      <c r="D119" s="1108"/>
      <c r="E119" s="1108"/>
      <c r="F119" s="1108"/>
      <c r="G119" s="1135"/>
      <c r="H119" s="1108"/>
      <c r="I119" s="1135"/>
      <c r="J119" s="1135"/>
      <c r="K119" s="1135"/>
      <c r="L119" s="1135"/>
      <c r="M119" s="1135"/>
      <c r="N119" s="1108"/>
      <c r="O119" s="2709"/>
      <c r="P119" s="2709"/>
      <c r="Q119" s="1108"/>
      <c r="R119" s="1108"/>
      <c r="S119" s="2709"/>
      <c r="T119" s="1108"/>
      <c r="U119" s="1108"/>
      <c r="V119" s="1108"/>
      <c r="W119" s="1108"/>
      <c r="X119" s="1108"/>
      <c r="Y119" s="1108"/>
      <c r="Z119" s="1108"/>
      <c r="AA119" s="1108"/>
      <c r="AB119" s="1108"/>
      <c r="AC119" s="1108"/>
      <c r="AD119" s="1108"/>
      <c r="AE119" s="1108"/>
      <c r="AF119" s="1470"/>
      <c r="AG119" s="1108"/>
      <c r="AH119" s="1108"/>
      <c r="AI119" s="1108"/>
      <c r="AJ119" s="1108"/>
      <c r="AK119" s="1108"/>
      <c r="AL119" s="1822"/>
      <c r="AM119" s="1108"/>
      <c r="AN119" s="1108"/>
      <c r="AO119" s="1108"/>
      <c r="AP119" s="1108"/>
      <c r="AQ119" s="1741"/>
      <c r="AR119" s="1108"/>
      <c r="AS119" s="1108"/>
      <c r="AT119" s="1108"/>
      <c r="AU119" s="1108"/>
      <c r="AV119" s="1741"/>
      <c r="AW119" s="1108"/>
      <c r="AX119" s="1108"/>
      <c r="AY119" s="1108"/>
      <c r="AZ119" s="1108"/>
      <c r="BA119" s="1741"/>
      <c r="BB119" s="1108"/>
      <c r="BC119" s="1108"/>
      <c r="BD119" s="1108"/>
      <c r="BE119" s="1108"/>
      <c r="BF119" s="1741"/>
      <c r="BG119" s="1108"/>
      <c r="BH119" s="1108"/>
      <c r="BI119" s="1108"/>
      <c r="BJ119" s="1108"/>
      <c r="BK119" s="1741"/>
      <c r="BL119" s="1108"/>
      <c r="BM119" s="1108"/>
      <c r="BN119" s="1108"/>
      <c r="BO119" s="1108"/>
      <c r="BP119" s="1741"/>
      <c r="BQ119" s="1357"/>
      <c r="BR119" s="1357"/>
      <c r="BS119" s="1357"/>
      <c r="BT119" s="1357"/>
      <c r="BU119" s="1108"/>
      <c r="BV119" s="1135"/>
      <c r="BW119" s="1108"/>
      <c r="BX119" s="1108"/>
      <c r="BY119" s="1357"/>
      <c r="BZ119" s="1108"/>
      <c r="CA119" s="1108"/>
      <c r="CB119" s="1108"/>
      <c r="CC119" s="1108"/>
      <c r="CD119" s="1108"/>
      <c r="CE119" s="1108"/>
      <c r="CF119" s="1108"/>
      <c r="CG119" s="1108"/>
      <c r="CH119" s="1108"/>
      <c r="CI119" s="1108"/>
      <c r="CJ119" s="1108"/>
      <c r="CK119" s="1108"/>
      <c r="CL119" s="1108"/>
      <c r="CM119" s="1108"/>
      <c r="CN119" s="1108"/>
      <c r="CO119" s="1108"/>
      <c r="CP119" s="1108"/>
      <c r="CQ119" s="1108"/>
      <c r="CR119" s="1108"/>
      <c r="CS119" s="1108"/>
      <c r="CT119" s="1108"/>
      <c r="CU119" s="2862"/>
      <c r="CV119" s="2862"/>
      <c r="CW119" s="2862"/>
      <c r="CX119" s="2862"/>
      <c r="CY119" s="2862"/>
      <c r="CZ119" s="2862"/>
      <c r="DA119" s="2862"/>
      <c r="DB119" s="2862"/>
      <c r="DC119" s="2862"/>
      <c r="DD119" s="2862"/>
      <c r="DE119" s="2862"/>
      <c r="DF119" s="2862"/>
      <c r="DG119" s="2862"/>
      <c r="DH119" s="2862"/>
      <c r="DI119" s="2862"/>
      <c r="DJ119" s="2862"/>
      <c r="DK119" s="1108"/>
      <c r="DL119" s="186"/>
      <c r="DM119" s="186"/>
      <c r="DN119" s="2362"/>
      <c r="DO119" s="186"/>
      <c r="DP119" s="186"/>
      <c r="DQ119" s="186"/>
      <c r="DR119" s="186"/>
      <c r="DS119" s="2362"/>
      <c r="DT119" s="2362"/>
      <c r="DU119" s="875"/>
      <c r="DV119" s="875"/>
      <c r="DW119" s="875"/>
      <c r="DX119"/>
      <c r="DY119"/>
      <c r="DZ119"/>
      <c r="EA119"/>
    </row>
    <row r="120" spans="1:132" ht="11.25" customHeight="1">
      <c r="A120" s="1822" t="s">
        <v>715</v>
      </c>
      <c r="B120" s="1372"/>
      <c r="C120" s="1372"/>
      <c r="D120" s="1372"/>
      <c r="E120" s="1372"/>
      <c r="F120" s="1372"/>
      <c r="G120" s="1800"/>
      <c r="H120" s="1372"/>
      <c r="I120" s="1800"/>
      <c r="J120" s="1800"/>
      <c r="K120" s="1800"/>
      <c r="L120" s="1800"/>
      <c r="M120" s="1800"/>
      <c r="N120" s="1372"/>
      <c r="O120" s="2730"/>
      <c r="P120" s="2730"/>
      <c r="Q120" s="1372"/>
      <c r="R120" s="2790"/>
      <c r="S120" s="2789"/>
      <c r="T120" s="2790"/>
      <c r="U120" s="2790"/>
      <c r="V120" s="2790"/>
      <c r="W120" s="2790"/>
      <c r="X120" s="2790"/>
      <c r="Y120" s="2790"/>
      <c r="Z120" s="2790"/>
      <c r="AA120" s="2790"/>
      <c r="AB120" s="2790"/>
      <c r="AC120" s="2790"/>
      <c r="AD120" s="2790"/>
      <c r="AE120" s="2790"/>
      <c r="AF120" s="1372"/>
      <c r="AG120" s="1372"/>
      <c r="AH120" s="1372"/>
      <c r="AI120" s="1372"/>
      <c r="AJ120" s="1372"/>
      <c r="AK120" s="1372"/>
      <c r="AL120" s="1822" t="str">
        <f>A120</f>
        <v>REVENUE</v>
      </c>
      <c r="AM120" s="1372"/>
      <c r="AN120" s="1372"/>
      <c r="AO120" s="1372"/>
      <c r="AP120" s="1372"/>
      <c r="AQ120" s="1799"/>
      <c r="AR120" s="1372"/>
      <c r="AS120" s="1372"/>
      <c r="AT120" s="1372"/>
      <c r="AU120" s="1372"/>
      <c r="AV120" s="1799"/>
      <c r="AW120" s="1372"/>
      <c r="AX120" s="1372"/>
      <c r="AY120" s="1372"/>
      <c r="AZ120" s="1372"/>
      <c r="BA120" s="1799"/>
      <c r="BB120" s="1372"/>
      <c r="BC120" s="1372"/>
      <c r="BD120" s="1372"/>
      <c r="BE120" s="1372"/>
      <c r="BF120" s="1799"/>
      <c r="BG120" s="1372"/>
      <c r="BH120" s="1372"/>
      <c r="BI120" s="1372"/>
      <c r="BJ120" s="1372"/>
      <c r="BK120" s="1799"/>
      <c r="BL120" s="1372"/>
      <c r="BM120" s="1372"/>
      <c r="BN120" s="1372"/>
      <c r="BO120" s="1372"/>
      <c r="BP120" s="1799"/>
      <c r="BQ120" s="1108"/>
      <c r="BR120" s="1108"/>
      <c r="BS120" s="1108"/>
      <c r="BT120" s="1108"/>
      <c r="BU120" s="1108"/>
      <c r="BV120" s="1108"/>
      <c r="BW120" s="1108"/>
      <c r="BX120" s="1108"/>
      <c r="BY120" s="1357"/>
      <c r="BZ120" s="1108"/>
      <c r="CA120" s="1108"/>
      <c r="CB120" s="1108"/>
      <c r="CC120" s="1108"/>
      <c r="CD120" s="1108"/>
      <c r="CE120" s="1108"/>
      <c r="CF120" s="1357"/>
      <c r="CG120" s="1108"/>
      <c r="CH120" s="1108"/>
      <c r="CI120" s="1108"/>
      <c r="CJ120" s="1108"/>
      <c r="CK120" s="1108"/>
      <c r="CL120" s="1108"/>
      <c r="CM120" s="1108"/>
      <c r="CN120" s="1108"/>
      <c r="CO120" s="1108"/>
      <c r="CP120" s="1108"/>
      <c r="CQ120" s="1108"/>
      <c r="CR120" s="1108"/>
      <c r="CS120" s="1108"/>
      <c r="CT120" s="1108"/>
      <c r="CU120" s="2862"/>
      <c r="CV120" s="2862"/>
      <c r="CW120" s="2862"/>
      <c r="CX120" s="2862"/>
      <c r="CY120" s="2862"/>
      <c r="CZ120" s="2862"/>
      <c r="DA120" s="2862"/>
      <c r="DB120" s="2862"/>
      <c r="DC120" s="2862"/>
      <c r="DD120" s="2862"/>
      <c r="DE120" s="2862"/>
      <c r="DF120" s="2862"/>
      <c r="DG120" s="2862"/>
      <c r="DH120" s="2862"/>
      <c r="DI120" s="2862"/>
      <c r="DJ120" s="3229"/>
      <c r="DK120" s="1870"/>
      <c r="DL120" s="1477"/>
      <c r="DM120" s="186"/>
      <c r="DN120" s="2362"/>
      <c r="DO120" s="186"/>
      <c r="DP120" s="186"/>
      <c r="DQ120" s="186"/>
      <c r="DR120" s="186"/>
      <c r="DS120" s="186"/>
      <c r="DT120" s="186"/>
      <c r="DU120" s="875"/>
      <c r="DV120" s="875"/>
      <c r="DW120" s="875"/>
      <c r="EB120" s="1577"/>
    </row>
    <row r="121" spans="1:132" ht="11.25" hidden="1" customHeight="1" outlineLevel="1">
      <c r="A121" s="1823" t="s">
        <v>695</v>
      </c>
      <c r="B121" s="1105">
        <f>'Segment Detail'!Y93</f>
        <v>1177.79556</v>
      </c>
      <c r="C121" s="1105">
        <f>'Segment Detail'!Z93</f>
        <v>1177.79556</v>
      </c>
      <c r="D121" s="1105">
        <f>'Segment Detail'!AA93</f>
        <v>1307.3530716</v>
      </c>
      <c r="E121" s="1105">
        <f>'Segment Detail'!AB93</f>
        <v>1258.4763578048669</v>
      </c>
      <c r="F121" s="1105">
        <f>'Segment Detail'!AC93</f>
        <v>1346.5697028512075</v>
      </c>
      <c r="G121" s="1740">
        <f>'Segment Detail'!AD93</f>
        <v>1202.1836768626324</v>
      </c>
      <c r="H121" s="1740">
        <f>'Segment Detail'!AE93</f>
        <v>1011.2385321100917</v>
      </c>
      <c r="I121" s="1740">
        <f>'Segment Detail'!AF93</f>
        <v>799.19724770642199</v>
      </c>
      <c r="J121" s="1740">
        <f>'Segment Detail'!AG93</f>
        <v>988.84323394495402</v>
      </c>
      <c r="K121" s="1740">
        <f>'Segment Detail'!AH93</f>
        <v>956.9202075688072</v>
      </c>
      <c r="L121" s="1740">
        <f>'Segment Detail'!AI93</f>
        <v>1028.5924179472477</v>
      </c>
      <c r="M121" s="1780">
        <f>SUM(CF121:CI121)</f>
        <v>997.65419478804642</v>
      </c>
      <c r="N121" s="1788">
        <f>SUM(CK121:CN121)</f>
        <v>1027.228592017568</v>
      </c>
      <c r="O121" s="2731">
        <f>M121</f>
        <v>997.65419478804642</v>
      </c>
      <c r="P121" s="2731">
        <f>N121</f>
        <v>1027.228592017568</v>
      </c>
      <c r="Q121" s="1788">
        <f>SUM(CP121:CS121)</f>
        <v>1187.6411012413303</v>
      </c>
      <c r="R121" s="2822">
        <f>SUM(CU121:CX121)</f>
        <v>1362.9139142723111</v>
      </c>
      <c r="S121" s="2823">
        <f>R121</f>
        <v>1362.9139142723111</v>
      </c>
      <c r="T121" s="2822">
        <f>SUM(CZ121:DC121)</f>
        <v>1283.5187435883277</v>
      </c>
      <c r="U121" s="2822">
        <f>SUM(DE121:DH121)</f>
        <v>1503.3669477122703</v>
      </c>
      <c r="V121" s="2824">
        <f>'Segment Detail'!AP93</f>
        <v>1612.7121217472156</v>
      </c>
      <c r="W121" s="2824">
        <f>'Segment Detail'!AQ93</f>
        <v>2026.3676831558873</v>
      </c>
      <c r="X121" s="2824">
        <f>'Segment Detail'!AR93</f>
        <v>2119.5546527960191</v>
      </c>
      <c r="Y121" s="1740">
        <f>'Segment Detail'!AS93</f>
        <v>2346.1617403662967</v>
      </c>
      <c r="Z121" s="1740">
        <f>'Segment Detail'!AT93</f>
        <v>2304.3727753885655</v>
      </c>
      <c r="AA121" s="1740">
        <f>'Segment Detail'!AU93</f>
        <v>2512.2446989435098</v>
      </c>
      <c r="AB121" s="1740">
        <f>'Segment Detail'!AV93</f>
        <v>2493.2287246897322</v>
      </c>
      <c r="AC121" s="1740">
        <f>'Segment Detail'!AW93</f>
        <v>2610.8448135841249</v>
      </c>
      <c r="AD121" s="1740">
        <f>'Segment Detail'!AX93</f>
        <v>2595.4414363712031</v>
      </c>
      <c r="AE121" s="1740">
        <f>'Segment Detail'!AY93</f>
        <v>2855.7719836427395</v>
      </c>
      <c r="AF121" s="1372"/>
      <c r="AG121" s="1740"/>
      <c r="AH121" s="1740"/>
      <c r="AI121" s="1740"/>
      <c r="AJ121" s="1740"/>
      <c r="AK121" s="1740"/>
      <c r="AL121" s="1823" t="str">
        <f t="shared" ref="AL121:AL145" si="186">A121</f>
        <v>CBS Stations</v>
      </c>
      <c r="AM121" s="1105">
        <f>'Segment Detail'!CO93</f>
        <v>291.27248771040007</v>
      </c>
      <c r="AN121" s="1105">
        <f>'Segment Detail'!CP93</f>
        <v>340.68644622721808</v>
      </c>
      <c r="AO121" s="1105">
        <f>'Segment Detail'!CQ93</f>
        <v>292.64796950127754</v>
      </c>
      <c r="AP121" s="1105">
        <f>'Segment Detail'!CR93</f>
        <v>382.74616816110426</v>
      </c>
      <c r="AQ121" s="1741">
        <f>D121-SUM(AM121:AP121)</f>
        <v>0</v>
      </c>
      <c r="AR121" s="1105">
        <f>'Segment Detail'!CT93</f>
        <v>270.58883697302412</v>
      </c>
      <c r="AS121" s="1105">
        <f>'Segment Detail'!CU93</f>
        <v>325.61585284040154</v>
      </c>
      <c r="AT121" s="1105">
        <f>'Segment Detail'!CV93</f>
        <v>295.35388828132864</v>
      </c>
      <c r="AU121" s="1105">
        <f>'Segment Detail'!CW93</f>
        <v>366.91777971011265</v>
      </c>
      <c r="AV121" s="1741">
        <f>E121-SUM(AR121:AU121)</f>
        <v>0</v>
      </c>
      <c r="AW121" s="1105">
        <f>'Segment Detail'!CY93</f>
        <v>278.70650208221485</v>
      </c>
      <c r="AX121" s="1105">
        <f>'Segment Detail'!CZ93</f>
        <v>341.89664548242166</v>
      </c>
      <c r="AY121" s="1105">
        <f>'Segment Detail'!DA93</f>
        <v>318.0330893766432</v>
      </c>
      <c r="AZ121" s="1105">
        <f>'Segment Detail'!DB93</f>
        <v>407.93346590992769</v>
      </c>
      <c r="BA121" s="1741">
        <f>F121-SUM(AW121:AZ121)</f>
        <v>0</v>
      </c>
      <c r="BB121" s="1105">
        <f>'Segment Detail'!DD93</f>
        <v>301.00302224879204</v>
      </c>
      <c r="BC121" s="1105">
        <f>'Segment Detail'!DE93</f>
        <v>314.2605794512823</v>
      </c>
      <c r="BD121" s="1105">
        <f>'Segment Detail'!DF93</f>
        <v>289.09209669534391</v>
      </c>
      <c r="BE121" s="1105">
        <f>'Segment Detail'!DG93</f>
        <v>297.82797846721417</v>
      </c>
      <c r="BF121" s="1741">
        <f>G121-SUM(BB121:BE121)</f>
        <v>0</v>
      </c>
      <c r="BG121" s="1105">
        <f>'Segment Detail'!DI93</f>
        <v>249.83250846649739</v>
      </c>
      <c r="BH121" s="1105">
        <f>'Segment Detail'!DJ93</f>
        <v>271.54930991712843</v>
      </c>
      <c r="BI121" s="1105">
        <f>'Segment Detail'!DK93</f>
        <v>227.8</v>
      </c>
      <c r="BJ121" s="1105">
        <f>'Segment Detail'!DL93</f>
        <v>262.05671372646589</v>
      </c>
      <c r="BK121" s="1741">
        <f>H121-SUM(BG121:BJ121)</f>
        <v>0</v>
      </c>
      <c r="BL121" s="1105">
        <f>'Segment Detail'!DN93</f>
        <v>167.38778067255322</v>
      </c>
      <c r="BM121" s="1105">
        <f>'Segment Detail'!DO93</f>
        <v>195.51550314033247</v>
      </c>
      <c r="BN121" s="1105">
        <f>'Segment Detail'!DP93</f>
        <v>193.63</v>
      </c>
      <c r="BO121" s="1105">
        <f>'Segment Detail'!DQ93</f>
        <v>242.66396389353633</v>
      </c>
      <c r="BP121" s="1741">
        <f>I121-SUM(BL121:BO121)</f>
        <v>0</v>
      </c>
      <c r="BQ121" s="1105">
        <f>BL121*(1+BQ124)</f>
        <v>220.95187048777026</v>
      </c>
      <c r="BR121" s="1105">
        <f>BM121*(1+BR124)</f>
        <v>260.03561917664217</v>
      </c>
      <c r="BS121" s="1105">
        <f>BN121*(1+BS124)</f>
        <v>245.9101</v>
      </c>
      <c r="BT121" s="1693">
        <f>J121-SUM(BQ121:BS121)</f>
        <v>261.94564428054161</v>
      </c>
      <c r="BU121" s="1741">
        <f>J121-SUM(BQ121:BT121)</f>
        <v>0</v>
      </c>
      <c r="BV121" s="1105">
        <f>BQ121*(1+BV124)</f>
        <v>223.60329293362352</v>
      </c>
      <c r="BW121" s="1105">
        <f>BR121*(1+BW124)</f>
        <v>260.68570822458378</v>
      </c>
      <c r="BX121" s="1105">
        <f>BS121*(1+BX124)</f>
        <v>229.92594350000002</v>
      </c>
      <c r="BY121" s="1636">
        <f>K121-SUM(BV121:BX121)</f>
        <v>242.70526291059991</v>
      </c>
      <c r="BZ121" s="1741">
        <f>K121-SUM(BV121:BY121)</f>
        <v>0</v>
      </c>
      <c r="CA121" s="1105">
        <f>+(BV121)*(1+CA124)</f>
        <v>229.19337525696409</v>
      </c>
      <c r="CB121" s="1105">
        <f>+BW121*(1+CB124)</f>
        <v>276.32685071805884</v>
      </c>
      <c r="CC121" s="1105">
        <f>+BX121*(1+CC124)</f>
        <v>246.59557440375002</v>
      </c>
      <c r="CD121" s="1636">
        <f>L121-SUM(CA121:CC121)</f>
        <v>276.47661756847469</v>
      </c>
      <c r="CE121" s="1741">
        <f>L121-SUM(CA121:CD121)</f>
        <v>0</v>
      </c>
      <c r="CF121" s="1105">
        <f>+CA121*(1+CF124)</f>
        <v>249.82077903009088</v>
      </c>
      <c r="CG121" s="1105">
        <f>+CB121*(1+CG124)</f>
        <v>273.56358221087822</v>
      </c>
      <c r="CH121" s="1105">
        <f>+CC121*(1+CH124)</f>
        <v>231.79983993952501</v>
      </c>
      <c r="CI121" s="1105">
        <f>+CD121*(1+CI124)</f>
        <v>242.46999360755231</v>
      </c>
      <c r="CJ121" s="1741">
        <f>M121-SUM(CF121:CI121)</f>
        <v>0</v>
      </c>
      <c r="CK121" s="1634">
        <f>+CF121*(1+CK124)</f>
        <v>231.08422060283408</v>
      </c>
      <c r="CL121" s="1634">
        <f>+CG121*(1+CL124)</f>
        <v>257.14976727822551</v>
      </c>
      <c r="CM121" s="1634">
        <f>+CH121*(1+CM124)</f>
        <v>258.45682153257042</v>
      </c>
      <c r="CN121" s="1634">
        <f>+CI121*(1+CN124)</f>
        <v>280.53778260393801</v>
      </c>
      <c r="CO121" s="1741">
        <f>$N121-SUM(CK121:CN121)</f>
        <v>0</v>
      </c>
      <c r="CP121" s="1634">
        <f>CK121*(1+CP124)</f>
        <v>272.67938031134418</v>
      </c>
      <c r="CQ121" s="1634">
        <f>CL121*(1+CQ124)</f>
        <v>306.00822306108836</v>
      </c>
      <c r="CR121" s="1634">
        <f>CM121*(1+CR124)</f>
        <v>293.34849243946741</v>
      </c>
      <c r="CS121" s="1634">
        <f>CN121*(1+CS124)</f>
        <v>315.60500542943026</v>
      </c>
      <c r="CT121" s="1741">
        <f>$Q121-SUM(CP121:CS121)</f>
        <v>0</v>
      </c>
      <c r="CU121" s="1634">
        <f>CP121*(1+CU124)</f>
        <v>341.08128735804581</v>
      </c>
      <c r="CV121" s="1634">
        <f>CQ121*(1+CV124)</f>
        <v>315.80048619904318</v>
      </c>
      <c r="CW121" s="1634">
        <f>CR121*(1+CW124)</f>
        <v>324.15008414561146</v>
      </c>
      <c r="CX121" s="2896">
        <f>CS121*(1+CX124)</f>
        <v>381.8820565696106</v>
      </c>
      <c r="CY121" s="2835">
        <f>S121-SUM(CU121:CX121)</f>
        <v>0</v>
      </c>
      <c r="CZ121" s="2896">
        <f>CU121*(1+CZ124)</f>
        <v>303.22126446130272</v>
      </c>
      <c r="DA121" s="2896">
        <f>CV121*(1+DA124)</f>
        <v>330.95890953659728</v>
      </c>
      <c r="DB121" s="2896">
        <f>CW121*(1+DB124)</f>
        <v>312.15653103222382</v>
      </c>
      <c r="DC121" s="2896">
        <f>DC296+DC265+0.7*DC300</f>
        <v>337.18203855820371</v>
      </c>
      <c r="DD121" s="2835">
        <f>T121-SUM(CZ121:DC121)</f>
        <v>0</v>
      </c>
      <c r="DE121" s="2896">
        <f>DE296+DE265+0.7*DE300+'CBS Stations'!AD92</f>
        <v>343.83966694226825</v>
      </c>
      <c r="DF121" s="2896">
        <f t="shared" ref="DF121:DG121" si="187">DF296+DF265+0.7*DF300</f>
        <v>363.0370355431794</v>
      </c>
      <c r="DG121" s="2896">
        <f t="shared" si="187"/>
        <v>367.86656285166276</v>
      </c>
      <c r="DH121" s="2896">
        <f>DH296+DH265+0.7*DH300</f>
        <v>428.62368237515989</v>
      </c>
      <c r="DI121" s="2835">
        <f t="shared" ref="DI121:DI131" si="188">U121-SUM(DE121:DH121)</f>
        <v>0</v>
      </c>
      <c r="DJ121" s="2835"/>
      <c r="DK121" s="1105"/>
      <c r="DL121" s="1477"/>
      <c r="DM121" s="186"/>
      <c r="DN121" s="2362"/>
      <c r="DO121" s="2362"/>
      <c r="DP121" s="2362"/>
      <c r="DQ121" s="2362"/>
      <c r="DR121" s="2362"/>
      <c r="DS121" s="2362"/>
      <c r="DT121" s="2362"/>
      <c r="DU121" s="875"/>
      <c r="DV121" s="875"/>
      <c r="DW121" s="875"/>
      <c r="EB121" s="1577"/>
    </row>
    <row r="122" spans="1:132" ht="11.25" hidden="1" customHeight="1" outlineLevel="1">
      <c r="A122" s="1823" t="s">
        <v>424</v>
      </c>
      <c r="B122" s="1639">
        <f>'Segment Detail'!Y95</f>
        <v>471.09330999999997</v>
      </c>
      <c r="C122" s="1639">
        <f>'Segment Detail'!Z95</f>
        <v>497.56597724999995</v>
      </c>
      <c r="D122" s="1639">
        <f>'Segment Detail'!AA95</f>
        <v>532.39559565749994</v>
      </c>
      <c r="E122" s="1639">
        <f>'Segment Detail'!AB95</f>
        <v>532.39559565749994</v>
      </c>
      <c r="F122" s="1639">
        <f>'Segment Detail'!AC95</f>
        <v>505.77581587462493</v>
      </c>
      <c r="G122" s="1639">
        <f>'Segment Detail'!AD95</f>
        <v>472.51827508089366</v>
      </c>
      <c r="H122" s="1637">
        <f>SUM(BG122:BJ122)</f>
        <v>400.06146788990822</v>
      </c>
      <c r="I122" s="1637">
        <f>SUM(BL122:BO122)</f>
        <v>338.10275229357796</v>
      </c>
      <c r="J122" s="1637">
        <f>SUM(BQ122:BT122)</f>
        <v>457.304766055046</v>
      </c>
      <c r="K122" s="1637">
        <f>SUM(BV122:BY122)</f>
        <v>391.87979243119264</v>
      </c>
      <c r="L122" s="1637">
        <f>SUM(CA122:CD122)</f>
        <v>432.00758205275224</v>
      </c>
      <c r="M122" s="1844">
        <f>SUM(CF122:CI122)</f>
        <v>391.94580521195348</v>
      </c>
      <c r="N122" s="1844">
        <f>SUM(CK122:CN122)</f>
        <v>425.77140798243187</v>
      </c>
      <c r="O122" s="2732">
        <f>M122</f>
        <v>391.94580521195348</v>
      </c>
      <c r="P122" s="2732">
        <f>N122</f>
        <v>425.77140798243187</v>
      </c>
      <c r="Q122" s="1844">
        <f>SUM(CP122:CS122)</f>
        <v>404.3588987586698</v>
      </c>
      <c r="R122" s="2825">
        <f>SUM(CU122:CX122)</f>
        <v>416.08608572768895</v>
      </c>
      <c r="S122" s="2795">
        <f>R122</f>
        <v>416.08608572768895</v>
      </c>
      <c r="T122" s="2825">
        <f>SUM(CZ122:DC122)</f>
        <v>417.22241783456946</v>
      </c>
      <c r="U122" s="2825">
        <f>SUM(DE122:DH122)</f>
        <v>417.22241783456946</v>
      </c>
      <c r="V122" s="2798">
        <f>'Segment Detail'!AP95</f>
        <v>413.05019365622371</v>
      </c>
      <c r="W122" s="2798">
        <f>'Segment Detail'!AQ95</f>
        <v>408.91969171966144</v>
      </c>
      <c r="X122" s="2798">
        <f>'Segment Detail'!AR95</f>
        <v>404.83049480246484</v>
      </c>
      <c r="Y122" s="1639">
        <f>'Segment Detail'!AS95</f>
        <v>400.78218985444016</v>
      </c>
      <c r="Z122" s="1639">
        <f>'Segment Detail'!AT95</f>
        <v>396.77436795589574</v>
      </c>
      <c r="AA122" s="1639">
        <f>'Segment Detail'!AU95</f>
        <v>392.80662427633683</v>
      </c>
      <c r="AB122" s="1639">
        <f>'Segment Detail'!AV95</f>
        <v>388.87855803357343</v>
      </c>
      <c r="AC122" s="1639">
        <f>'Segment Detail'!AW95</f>
        <v>384.98977245323772</v>
      </c>
      <c r="AD122" s="1639">
        <f>'Segment Detail'!AX95</f>
        <v>381.13987472870537</v>
      </c>
      <c r="AE122" s="1639">
        <f>'Segment Detail'!AY95</f>
        <v>377.32847598141836</v>
      </c>
      <c r="AF122" s="1372"/>
      <c r="AG122" s="1771"/>
      <c r="AH122" s="1771"/>
      <c r="AI122" s="1771"/>
      <c r="AJ122" s="1771"/>
      <c r="AK122" s="1771"/>
      <c r="AL122" s="1823" t="str">
        <f t="shared" si="186"/>
        <v>CW Stations</v>
      </c>
      <c r="AM122" s="1639">
        <f>'Segment Detail'!CO95</f>
        <v>124.15875709919999</v>
      </c>
      <c r="AN122" s="1639">
        <f>'Segment Detail'!CP95</f>
        <v>126.46166773083479</v>
      </c>
      <c r="AO122" s="1639">
        <f>'Segment Detail'!CQ95</f>
        <v>134.89754621013449</v>
      </c>
      <c r="AP122" s="1639">
        <f>'Segment Detail'!CR95</f>
        <v>146.87762461733064</v>
      </c>
      <c r="AQ122" s="1741">
        <f>D122-SUM(AM122:AP122)</f>
        <v>0</v>
      </c>
      <c r="AR122" s="1639">
        <f>'Segment Detail'!CT95</f>
        <v>127.88351981217599</v>
      </c>
      <c r="AS122" s="1639">
        <f>'Segment Detail'!CU95</f>
        <v>122.66781769890974</v>
      </c>
      <c r="AT122" s="1639">
        <f>'Segment Detail'!CV95</f>
        <v>136.24652167223584</v>
      </c>
      <c r="AU122" s="1639">
        <f>'Segment Detail'!CW95</f>
        <v>145.59773647417836</v>
      </c>
      <c r="AV122" s="1741">
        <f>E122-SUM(AR122:AU122)</f>
        <v>0</v>
      </c>
      <c r="AW122" s="1639">
        <f>'Segment Detail'!CY95</f>
        <v>129.80177260935861</v>
      </c>
      <c r="AX122" s="1639">
        <f>'Segment Detail'!CZ95</f>
        <v>126.96119131837158</v>
      </c>
      <c r="AY122" s="1639">
        <f>'Segment Detail'!DA95</f>
        <v>136.24652167223584</v>
      </c>
      <c r="AZ122" s="1639">
        <f>'Segment Detail'!DB95</f>
        <v>112.76633027465886</v>
      </c>
      <c r="BA122" s="1741">
        <f>F122-SUM(AW122:AZ122)</f>
        <v>0</v>
      </c>
      <c r="BB122" s="1639">
        <f>'Segment Detail'!DD95</f>
        <v>136.29186123982655</v>
      </c>
      <c r="BC122" s="1639">
        <f>'Segment Detail'!DE95</f>
        <v>123.15235557882042</v>
      </c>
      <c r="BD122" s="1639">
        <f>'Segment Detail'!DF95</f>
        <v>132.15912602206876</v>
      </c>
      <c r="BE122" s="1639">
        <f>'Segment Detail'!DG95</f>
        <v>80.914932240177905</v>
      </c>
      <c r="BF122" s="1741">
        <f>G122-SUM(BB122:BE122)</f>
        <v>0</v>
      </c>
      <c r="BG122" s="1637">
        <f>BG123-BG121</f>
        <v>119.96749153350257</v>
      </c>
      <c r="BH122" s="1637">
        <f>BH123-BH121</f>
        <v>87.450690082871574</v>
      </c>
      <c r="BI122" s="1637">
        <f>BI123-BI121</f>
        <v>85.599999999999966</v>
      </c>
      <c r="BJ122" s="1637">
        <f>BJ123-BJ121</f>
        <v>107.04328627353408</v>
      </c>
      <c r="BK122" s="1741">
        <f>H122-SUM(BG122:BJ122)</f>
        <v>0</v>
      </c>
      <c r="BL122" s="1637">
        <f>BL123-BL121</f>
        <v>83.312219327446769</v>
      </c>
      <c r="BM122" s="1637">
        <f>BM123-BM121</f>
        <v>61.98449685966753</v>
      </c>
      <c r="BN122" s="1637">
        <f>BN123-BN121</f>
        <v>77.269999999999982</v>
      </c>
      <c r="BO122" s="1637">
        <f>BO123-BO121</f>
        <v>115.53603610646365</v>
      </c>
      <c r="BP122" s="1741">
        <f>I122-SUM(BL122:BO122)</f>
        <v>0</v>
      </c>
      <c r="BQ122" s="1637">
        <f>BQ123-BQ121</f>
        <v>101.84812951222975</v>
      </c>
      <c r="BR122" s="1637">
        <f>BR123-BR121</f>
        <v>77.864380823357862</v>
      </c>
      <c r="BS122" s="1637">
        <f>BS123-BS121</f>
        <v>84.889899999999955</v>
      </c>
      <c r="BT122" s="1637">
        <f>BT123-BT121</f>
        <v>192.70235571945841</v>
      </c>
      <c r="BU122" s="1741">
        <f>J122-SUM(BQ122:BT122)</f>
        <v>0</v>
      </c>
      <c r="BV122" s="1637">
        <f>BV123-BV121</f>
        <v>103.38870706637644</v>
      </c>
      <c r="BW122" s="1637">
        <f>BW123-BW121</f>
        <v>78.103791775416255</v>
      </c>
      <c r="BX122" s="1637">
        <f>BX123-BX121</f>
        <v>79.574056499999983</v>
      </c>
      <c r="BY122" s="1637">
        <f>BY123-BY121</f>
        <v>130.81323708939999</v>
      </c>
      <c r="BZ122" s="1741">
        <f>K122-SUM(BV122:BY122)</f>
        <v>0</v>
      </c>
      <c r="CA122" s="1637">
        <f>CA123-CA121</f>
        <v>104.67878474303592</v>
      </c>
      <c r="CB122" s="1637">
        <f>CB123-CB121</f>
        <v>82.506859281941161</v>
      </c>
      <c r="CC122" s="1637">
        <f>CC123-CC121</f>
        <v>85.229425596249968</v>
      </c>
      <c r="CD122" s="1637">
        <f>CD123-CD121</f>
        <v>159.59251243152517</v>
      </c>
      <c r="CE122" s="1741">
        <f>L122-SUM(CA122:CD122)</f>
        <v>0</v>
      </c>
      <c r="CF122" s="1637">
        <f>CF123-CF121</f>
        <v>100.05138096990913</v>
      </c>
      <c r="CG122" s="1637">
        <f>CG123-CG121</f>
        <v>79.270127789121773</v>
      </c>
      <c r="CH122" s="1637">
        <f>CH123-CH121</f>
        <v>76.815250289750367</v>
      </c>
      <c r="CI122" s="1637">
        <f>CI123-CI121</f>
        <v>135.80904616317216</v>
      </c>
      <c r="CJ122" s="1741">
        <f>M122-SUM(CF122:CI122)</f>
        <v>0</v>
      </c>
      <c r="CK122" s="1637">
        <f>CK123-CK121</f>
        <v>102.17789395716591</v>
      </c>
      <c r="CL122" s="1637">
        <f>CL123-CL121</f>
        <v>79.942257221774526</v>
      </c>
      <c r="CM122" s="1637">
        <f>CM123-CM121</f>
        <v>86.499189418539174</v>
      </c>
      <c r="CN122" s="1637">
        <f>CN123-CN121</f>
        <v>157.15206738495226</v>
      </c>
      <c r="CO122" s="1741">
        <f>$N122-SUM(CK122:CN122)</f>
        <v>0</v>
      </c>
      <c r="CP122" s="1637">
        <f>CP123-CP121</f>
        <v>102.32061968865582</v>
      </c>
      <c r="CQ122" s="1637">
        <f>CQ123-CQ121</f>
        <v>80.991776938911642</v>
      </c>
      <c r="CR122" s="1637">
        <f>CR123-CR121</f>
        <v>82.651507560532593</v>
      </c>
      <c r="CS122" s="1637">
        <f>CS123-CS121</f>
        <v>138.39499457056974</v>
      </c>
      <c r="CT122" s="1741">
        <f>$Q122-SUM(CP122:CS122)</f>
        <v>0</v>
      </c>
      <c r="CU122" s="1637">
        <f>CU123-CU121</f>
        <v>106.91871264195419</v>
      </c>
      <c r="CV122" s="1637">
        <f>CV123-CV121</f>
        <v>80.199513800956822</v>
      </c>
      <c r="CW122" s="1637">
        <f>CW123-CW121</f>
        <v>84.849915854388541</v>
      </c>
      <c r="CX122" s="2799">
        <f>CX123-CX121</f>
        <v>144.1179434303894</v>
      </c>
      <c r="CY122" s="2835">
        <f>S122-SUM(CU122:CX122)</f>
        <v>0</v>
      </c>
      <c r="CZ122" s="2799">
        <f>CZ123-CZ121</f>
        <v>105.77873553869728</v>
      </c>
      <c r="DA122" s="2799">
        <f>DA123-DA121</f>
        <v>81.041090463402725</v>
      </c>
      <c r="DB122" s="2799">
        <f>DB123-DB121</f>
        <v>84.843468967776175</v>
      </c>
      <c r="DC122" s="2853">
        <f>CX122*(1+DC125)</f>
        <v>145.55912286469331</v>
      </c>
      <c r="DD122" s="2835">
        <f>T122-SUM(CZ122:DC122)</f>
        <v>0</v>
      </c>
      <c r="DE122" s="2853">
        <f t="shared" ref="DE122:DG122" si="189">CZ122*(1+DE125)</f>
        <v>105.77873553869728</v>
      </c>
      <c r="DF122" s="2853">
        <f t="shared" si="189"/>
        <v>81.041090463402725</v>
      </c>
      <c r="DG122" s="2853">
        <f t="shared" si="189"/>
        <v>84.843468967776175</v>
      </c>
      <c r="DH122" s="2853">
        <f>DC122*(1+DH125)</f>
        <v>145.55912286469331</v>
      </c>
      <c r="DI122" s="2835">
        <f t="shared" si="188"/>
        <v>0</v>
      </c>
      <c r="DJ122" s="2835"/>
      <c r="DK122" s="1639" t="s">
        <v>1237</v>
      </c>
      <c r="DL122" s="1477"/>
      <c r="DM122" s="186"/>
      <c r="DN122" s="2362"/>
      <c r="DO122" s="186"/>
      <c r="DP122" s="186"/>
      <c r="DQ122" s="186"/>
      <c r="DR122" s="186"/>
      <c r="DS122" s="186"/>
      <c r="DT122" s="186"/>
      <c r="DU122" s="875"/>
      <c r="DV122" s="875"/>
      <c r="DW122" s="875"/>
      <c r="EB122" s="1577"/>
    </row>
    <row r="123" spans="1:132" ht="11.25" hidden="1" customHeight="1" outlineLevel="1">
      <c r="A123" s="1826" t="s">
        <v>712</v>
      </c>
      <c r="B123" s="1105">
        <f>'Segment Detail'!Y97</f>
        <v>1648.88887</v>
      </c>
      <c r="C123" s="1105">
        <f>'Segment Detail'!Z97</f>
        <v>1675.3615372499999</v>
      </c>
      <c r="D123" s="1105">
        <f>'Segment Detail'!AA97</f>
        <v>1839.7486672575001</v>
      </c>
      <c r="E123" s="1105">
        <f>'Segment Detail'!AB97</f>
        <v>1790.8719534623669</v>
      </c>
      <c r="F123" s="1105">
        <f>'Segment Detail'!AC97</f>
        <v>1852.3455187258323</v>
      </c>
      <c r="G123" s="1105">
        <f>'Segment Detail'!AD97</f>
        <v>1674.7019519435262</v>
      </c>
      <c r="H123" s="1636">
        <f>SUM(BG123:BJ123)</f>
        <v>1411.2999999999997</v>
      </c>
      <c r="I123" s="1636">
        <f>SUM(BL123:BO123)</f>
        <v>1137.3</v>
      </c>
      <c r="J123" s="1636">
        <f>SUM(BQ123:BT123)</f>
        <v>1446.1480000000001</v>
      </c>
      <c r="K123" s="1636">
        <f>SUM(BV123:BY123)</f>
        <v>1348.8</v>
      </c>
      <c r="L123" s="1105">
        <f>'Segment Detail'!AI97</f>
        <v>1460.6</v>
      </c>
      <c r="M123" s="1105">
        <f>M121+M122</f>
        <v>1389.6</v>
      </c>
      <c r="N123" s="1105">
        <f>N121+N122</f>
        <v>1452.9999999999998</v>
      </c>
      <c r="O123" s="2714">
        <f>'Segment Detail'!AJ97</f>
        <v>1389.6</v>
      </c>
      <c r="P123" s="2714">
        <f>'Segment Detail'!AK97</f>
        <v>1452.9999999999998</v>
      </c>
      <c r="Q123" s="1105">
        <f>Q121+Q122</f>
        <v>1592</v>
      </c>
      <c r="R123" s="2804">
        <f>R121+R122</f>
        <v>1779</v>
      </c>
      <c r="S123" s="2826">
        <f>R123</f>
        <v>1779</v>
      </c>
      <c r="T123" s="2804">
        <f>T121+T122</f>
        <v>1700.7411614228972</v>
      </c>
      <c r="U123" s="2804">
        <f>U121+U122</f>
        <v>1920.5893655468399</v>
      </c>
      <c r="V123" s="2231">
        <f>'Segment Detail'!AP97</f>
        <v>2025.7623154034393</v>
      </c>
      <c r="W123" s="2231">
        <f>'Segment Detail'!AQ97</f>
        <v>2435.2873748755487</v>
      </c>
      <c r="X123" s="2231">
        <f>'Segment Detail'!AR97</f>
        <v>2524.3851475984839</v>
      </c>
      <c r="Y123" s="2231">
        <f>'Segment Detail'!AS97</f>
        <v>2746.943930220737</v>
      </c>
      <c r="Z123" s="2231">
        <f>'Segment Detail'!AT97</f>
        <v>2701.1471433444613</v>
      </c>
      <c r="AA123" s="2231">
        <f>'Segment Detail'!AU97</f>
        <v>2905.0513232198464</v>
      </c>
      <c r="AB123" s="2231">
        <f>'Segment Detail'!AV97</f>
        <v>2882.1072827233056</v>
      </c>
      <c r="AC123" s="2231">
        <f>'Segment Detail'!AW97</f>
        <v>2995.8345860373629</v>
      </c>
      <c r="AD123" s="2231">
        <f>'Segment Detail'!AX97</f>
        <v>2976.5813110999084</v>
      </c>
      <c r="AE123" s="2231">
        <f>'Segment Detail'!AY97</f>
        <v>3233.1004596241578</v>
      </c>
      <c r="AF123" s="2790"/>
      <c r="AG123" s="1105"/>
      <c r="AH123" s="1105"/>
      <c r="AI123" s="1105"/>
      <c r="AJ123" s="1105"/>
      <c r="AK123" s="1105"/>
      <c r="AL123" s="1826" t="str">
        <f t="shared" si="186"/>
        <v xml:space="preserve">TV Stations </v>
      </c>
      <c r="AM123" s="1105">
        <f>SUM(AM121:AM122)</f>
        <v>415.43124480960006</v>
      </c>
      <c r="AN123" s="1105">
        <f>SUM(AN121:AN122)</f>
        <v>467.14811395805287</v>
      </c>
      <c r="AO123" s="1105">
        <f>SUM(AO121:AO122)</f>
        <v>427.54551571141201</v>
      </c>
      <c r="AP123" s="1105">
        <f>SUM(AP121:AP122)</f>
        <v>529.6237927784349</v>
      </c>
      <c r="AQ123" s="1741">
        <f>D123-SUM(AM123:AP123)</f>
        <v>0</v>
      </c>
      <c r="AR123" s="1105">
        <f>SUM(AR121:AR122)</f>
        <v>398.47235678520008</v>
      </c>
      <c r="AS123" s="1105">
        <f>SUM(AS121:AS122)</f>
        <v>448.28367053931129</v>
      </c>
      <c r="AT123" s="1105">
        <f>SUM(AT121:AT122)</f>
        <v>431.60040995356451</v>
      </c>
      <c r="AU123" s="1105">
        <f>SUM(AU121:AU122)</f>
        <v>512.51551618429107</v>
      </c>
      <c r="AV123" s="1741">
        <f>E123-SUM(AR123:AU123)</f>
        <v>0</v>
      </c>
      <c r="AW123" s="1105">
        <f>SUM(AW121:AW122)</f>
        <v>408.50827469157343</v>
      </c>
      <c r="AX123" s="1105">
        <f>SUM(AX121:AX122)</f>
        <v>468.85783680079322</v>
      </c>
      <c r="AY123" s="1105">
        <f>SUM(AY121:AY122)</f>
        <v>454.27961104887902</v>
      </c>
      <c r="AZ123" s="1105">
        <f>SUM(AZ121:AZ122)</f>
        <v>520.6997961845866</v>
      </c>
      <c r="BA123" s="1741">
        <f>F123-SUM(AW123:AZ123)</f>
        <v>0</v>
      </c>
      <c r="BB123" s="1105">
        <f>SUM(BB121:BB122)</f>
        <v>437.29488348861855</v>
      </c>
      <c r="BC123" s="1105">
        <f>SUM(BC121:BC122)</f>
        <v>437.41293503010274</v>
      </c>
      <c r="BD123" s="1105">
        <f>SUM(BD121:BD122)</f>
        <v>421.2512227174127</v>
      </c>
      <c r="BE123" s="1105">
        <f>SUM(BE121:BE122)</f>
        <v>378.74291070739207</v>
      </c>
      <c r="BF123" s="1741">
        <f>G123-SUM(BB123:BE123)</f>
        <v>0</v>
      </c>
      <c r="BG123" s="1636">
        <f>BG131-BG128</f>
        <v>369.79999999999995</v>
      </c>
      <c r="BH123" s="1636">
        <f>BH131-BH128</f>
        <v>359</v>
      </c>
      <c r="BI123" s="1636">
        <f>BI131-BI128</f>
        <v>313.39999999999998</v>
      </c>
      <c r="BJ123" s="1636">
        <f>BJ131-BJ128</f>
        <v>369.09999999999997</v>
      </c>
      <c r="BK123" s="1741">
        <f>H123-SUM(BG123:BJ123)</f>
        <v>0</v>
      </c>
      <c r="BL123" s="1636">
        <f>BL131-BL128</f>
        <v>250.7</v>
      </c>
      <c r="BM123" s="1636">
        <f>BM131-BM128</f>
        <v>257.5</v>
      </c>
      <c r="BN123" s="1636">
        <f>BN131-BN128</f>
        <v>270.89999999999998</v>
      </c>
      <c r="BO123" s="1636">
        <f>BO131-BO128</f>
        <v>358.2</v>
      </c>
      <c r="BP123" s="1741">
        <f>I123-SUM(BL123:BO123)</f>
        <v>0</v>
      </c>
      <c r="BQ123" s="1636">
        <f>BQ131-BQ128</f>
        <v>322.8</v>
      </c>
      <c r="BR123" s="1636">
        <f>BR131-BR128</f>
        <v>337.90000000000003</v>
      </c>
      <c r="BS123" s="1636">
        <f>BS131-BS128</f>
        <v>330.79999999999995</v>
      </c>
      <c r="BT123" s="1636">
        <f>BT131-BT128</f>
        <v>454.64800000000002</v>
      </c>
      <c r="BU123" s="1741">
        <f>J123-SUM(BQ123:BT123)</f>
        <v>0</v>
      </c>
      <c r="BV123" s="1636">
        <f>BV131-BV128</f>
        <v>326.99199999999996</v>
      </c>
      <c r="BW123" s="1636">
        <f>BW131-BW128</f>
        <v>338.78950000000003</v>
      </c>
      <c r="BX123" s="1636">
        <f>BX131-BX128</f>
        <v>309.5</v>
      </c>
      <c r="BY123" s="1636">
        <f>BY131-BY128</f>
        <v>373.5184999999999</v>
      </c>
      <c r="BZ123" s="1741">
        <f>K123-SUM(BV123:BY123)</f>
        <v>0</v>
      </c>
      <c r="CA123" s="1636">
        <f>CA131-CA128</f>
        <v>333.87216000000001</v>
      </c>
      <c r="CB123" s="1636">
        <f>CB131-CB128</f>
        <v>358.83371</v>
      </c>
      <c r="CC123" s="1636">
        <f>CC131-CC128</f>
        <v>331.82499999999999</v>
      </c>
      <c r="CD123" s="1636">
        <f>CD131-CD128</f>
        <v>436.06912999999986</v>
      </c>
      <c r="CE123" s="1741">
        <f>L123-SUM(CA123:CD123)</f>
        <v>0</v>
      </c>
      <c r="CF123" s="1636">
        <f>CF131-CF128</f>
        <v>349.87216000000001</v>
      </c>
      <c r="CG123" s="1636">
        <f>CG131-CG128</f>
        <v>352.83371</v>
      </c>
      <c r="CH123" s="1636">
        <f>CH131-CH128</f>
        <v>308.61509022927538</v>
      </c>
      <c r="CI123" s="1636">
        <f>CI131-CI128</f>
        <v>378.27903977072447</v>
      </c>
      <c r="CJ123" s="1741">
        <f>M123-SUM(CF123:CI123)</f>
        <v>0</v>
      </c>
      <c r="CK123" s="1636">
        <f>CK131-CK128</f>
        <v>333.26211455999999</v>
      </c>
      <c r="CL123" s="1636">
        <f>CL131-CL128</f>
        <v>337.09202450000004</v>
      </c>
      <c r="CM123" s="1636">
        <f>CM131-CM128</f>
        <v>344.95601095110959</v>
      </c>
      <c r="CN123" s="1636">
        <f>CN131-CN128</f>
        <v>437.68984998889027</v>
      </c>
      <c r="CO123" s="1741">
        <f>$N123-SUM(CK123:CN123)</f>
        <v>0</v>
      </c>
      <c r="CP123" s="1635">
        <v>375</v>
      </c>
      <c r="CQ123" s="1635">
        <v>387</v>
      </c>
      <c r="CR123" s="1635">
        <v>376</v>
      </c>
      <c r="CS123" s="1635">
        <v>454</v>
      </c>
      <c r="CT123" s="1741">
        <f>$Q123-SUM(CP123:CS123)</f>
        <v>0</v>
      </c>
      <c r="CU123" s="1635">
        <v>448</v>
      </c>
      <c r="CV123" s="1635">
        <v>396</v>
      </c>
      <c r="CW123" s="1635">
        <v>409</v>
      </c>
      <c r="CX123" s="2829">
        <v>526</v>
      </c>
      <c r="CY123" s="2835">
        <f>S123-SUM(CU123:CX123)</f>
        <v>0</v>
      </c>
      <c r="CZ123" s="2829">
        <v>409</v>
      </c>
      <c r="DA123" s="2829">
        <v>412</v>
      </c>
      <c r="DB123" s="2829">
        <v>397</v>
      </c>
      <c r="DC123" s="2804">
        <f>DC121+DC122</f>
        <v>482.74116142289699</v>
      </c>
      <c r="DD123" s="2835">
        <f>T123-SUM(CZ123:DC123)</f>
        <v>0</v>
      </c>
      <c r="DE123" s="2804">
        <f t="shared" ref="DE123:DG123" si="190">DE121+DE122</f>
        <v>449.61840248096553</v>
      </c>
      <c r="DF123" s="2804">
        <f t="shared" si="190"/>
        <v>444.07812600658212</v>
      </c>
      <c r="DG123" s="2804">
        <f t="shared" si="190"/>
        <v>452.71003181943894</v>
      </c>
      <c r="DH123" s="2804">
        <f>DH121+DH122</f>
        <v>574.18280523985322</v>
      </c>
      <c r="DI123" s="2835">
        <f t="shared" si="188"/>
        <v>0</v>
      </c>
      <c r="DJ123" s="2835"/>
      <c r="DK123" s="1105" t="s">
        <v>1237</v>
      </c>
      <c r="DL123" s="1477"/>
      <c r="DM123" s="186"/>
      <c r="DN123" s="2362"/>
      <c r="DR123" s="2362"/>
      <c r="DS123" s="2362"/>
      <c r="DT123" s="2362"/>
      <c r="DU123" s="875"/>
      <c r="DV123" s="875"/>
      <c r="DW123" s="875"/>
      <c r="EB123" s="1577"/>
    </row>
    <row r="124" spans="1:132" ht="11.25" hidden="1" customHeight="1" outlineLevel="1">
      <c r="A124" s="1827" t="s">
        <v>952</v>
      </c>
      <c r="B124" s="1364"/>
      <c r="C124" s="1364">
        <f>C121/B121-1</f>
        <v>0</v>
      </c>
      <c r="D124" s="1364">
        <f t="shared" ref="D124:W124" si="191">D121/C121-1</f>
        <v>0.1100000000000001</v>
      </c>
      <c r="E124" s="1364">
        <f t="shared" si="191"/>
        <v>-3.7386009071991189E-2</v>
      </c>
      <c r="F124" s="1364">
        <f t="shared" si="191"/>
        <v>6.999999999999984E-2</v>
      </c>
      <c r="G124" s="1364">
        <f t="shared" si="191"/>
        <v>-0.10722506653970765</v>
      </c>
      <c r="H124" s="1364">
        <f t="shared" si="191"/>
        <v>-0.15883192263170209</v>
      </c>
      <c r="I124" s="1364">
        <f t="shared" si="191"/>
        <v>-0.20968473576774782</v>
      </c>
      <c r="J124" s="1364">
        <f t="shared" si="191"/>
        <v>0.2372955947768689</v>
      </c>
      <c r="K124" s="1364">
        <f>K121/J121-1</f>
        <v>-3.2283202514104326E-2</v>
      </c>
      <c r="L124" s="1364">
        <f t="shared" si="191"/>
        <v>7.4898836717571138E-2</v>
      </c>
      <c r="M124" s="1364">
        <f>M121/L121-1</f>
        <v>-3.0078214285250482E-2</v>
      </c>
      <c r="N124" s="1364">
        <f t="shared" si="191"/>
        <v>2.9643936129396753E-2</v>
      </c>
      <c r="O124" s="2711"/>
      <c r="P124" s="2711">
        <f t="shared" si="191"/>
        <v>2.9643936129396753E-2</v>
      </c>
      <c r="Q124" s="1364">
        <f t="shared" si="191"/>
        <v>0.15616047924512877</v>
      </c>
      <c r="R124" s="2827">
        <f>R121/Q121-1</f>
        <v>0.14758062250269433</v>
      </c>
      <c r="S124" s="2828"/>
      <c r="T124" s="2827">
        <f>T121/R121-1</f>
        <v>-5.825398790970171E-2</v>
      </c>
      <c r="U124" s="2827">
        <f t="shared" si="191"/>
        <v>0.1712855423593691</v>
      </c>
      <c r="V124" s="2827">
        <f t="shared" si="191"/>
        <v>7.2733522711364573E-2</v>
      </c>
      <c r="W124" s="2827">
        <f t="shared" si="191"/>
        <v>0.25649683897738451</v>
      </c>
      <c r="X124" s="2827">
        <f t="shared" ref="X124:Y126" si="192">X121/W121-1</f>
        <v>4.598719690150288E-2</v>
      </c>
      <c r="Y124" s="2827">
        <f t="shared" si="192"/>
        <v>0.10691259471481329</v>
      </c>
      <c r="Z124" s="2827">
        <f t="shared" ref="Z124:AE126" si="193">Z121/Y121-1</f>
        <v>-1.7811630058892192E-2</v>
      </c>
      <c r="AA124" s="2827">
        <f t="shared" si="193"/>
        <v>9.0207593916697304E-2</v>
      </c>
      <c r="AB124" s="2827">
        <f t="shared" si="193"/>
        <v>-7.5693161027564626E-3</v>
      </c>
      <c r="AC124" s="2827">
        <f t="shared" si="193"/>
        <v>4.7174207376031729E-2</v>
      </c>
      <c r="AD124" s="2827">
        <f t="shared" si="193"/>
        <v>-5.8997674364936747E-3</v>
      </c>
      <c r="AE124" s="2827">
        <f t="shared" si="193"/>
        <v>0.10030299417409161</v>
      </c>
      <c r="AF124" s="2790"/>
      <c r="AG124" s="1364"/>
      <c r="AH124" s="1364"/>
      <c r="AI124" s="1364"/>
      <c r="AJ124" s="1364"/>
      <c r="AK124" s="1364"/>
      <c r="AL124" s="1827" t="str">
        <f t="shared" si="186"/>
        <v xml:space="preserve">% CBS Change </v>
      </c>
      <c r="AM124" s="1770" t="s">
        <v>1455</v>
      </c>
      <c r="AN124" s="1770" t="s">
        <v>1455</v>
      </c>
      <c r="AO124" s="1770" t="s">
        <v>1455</v>
      </c>
      <c r="AP124" s="1770" t="s">
        <v>1455</v>
      </c>
      <c r="AQ124" s="1845"/>
      <c r="AR124" s="1364">
        <f t="shared" ref="AR124:AU126" si="194">AR121/AM121-1</f>
        <v>-7.1011343707617303E-2</v>
      </c>
      <c r="AS124" s="1364">
        <f t="shared" si="194"/>
        <v>-4.4235964047613874E-2</v>
      </c>
      <c r="AT124" s="1364">
        <f t="shared" si="194"/>
        <v>9.2463268570168733E-3</v>
      </c>
      <c r="AU124" s="1364">
        <f t="shared" si="194"/>
        <v>-4.1354792726048029E-2</v>
      </c>
      <c r="AV124" s="1845"/>
      <c r="AW124" s="1364">
        <f t="shared" ref="AW124:AZ126" si="195">AW121/AR121-1</f>
        <v>3.0000000000000027E-2</v>
      </c>
      <c r="AX124" s="1364">
        <f t="shared" si="195"/>
        <v>5.0000000000000044E-2</v>
      </c>
      <c r="AY124" s="1364">
        <f t="shared" si="195"/>
        <v>7.6786533020727799E-2</v>
      </c>
      <c r="AZ124" s="1364">
        <f t="shared" si="195"/>
        <v>0.11178440639267984</v>
      </c>
      <c r="BA124" s="1845"/>
      <c r="BB124" s="1364">
        <f t="shared" ref="BB124:BE126" si="196">BB121/AW121-1</f>
        <v>8.0000000000000071E-2</v>
      </c>
      <c r="BC124" s="1364">
        <f t="shared" si="196"/>
        <v>-8.0831638438992104E-2</v>
      </c>
      <c r="BD124" s="1364">
        <f t="shared" si="196"/>
        <v>-9.0999941980957733E-2</v>
      </c>
      <c r="BE124" s="1364">
        <f t="shared" si="196"/>
        <v>-0.26991040609309802</v>
      </c>
      <c r="BF124" s="1845"/>
      <c r="BG124" s="1364">
        <f t="shared" ref="BG124:BJ126" si="197">BG121/BB121-1</f>
        <v>-0.17000000000000004</v>
      </c>
      <c r="BH124" s="1364">
        <f t="shared" si="197"/>
        <v>-0.13591036333201667</v>
      </c>
      <c r="BI124" s="1364">
        <f t="shared" si="197"/>
        <v>-0.21201581570711636</v>
      </c>
      <c r="BJ124" s="1364">
        <f t="shared" si="197"/>
        <v>-0.12010713340246537</v>
      </c>
      <c r="BK124" s="1845"/>
      <c r="BL124" s="1364">
        <f t="shared" ref="BL124:BQ126" si="198">BL121/BG121-1</f>
        <v>-0.33000000000000007</v>
      </c>
      <c r="BM124" s="1364">
        <f t="shared" si="198"/>
        <v>-0.28000000000000003</v>
      </c>
      <c r="BN124" s="1364">
        <f t="shared" si="198"/>
        <v>-0.15000000000000002</v>
      </c>
      <c r="BO124" s="1364">
        <f t="shared" si="198"/>
        <v>-7.4002110295756984E-2</v>
      </c>
      <c r="BP124" s="1845"/>
      <c r="BQ124" s="1641">
        <v>0.32</v>
      </c>
      <c r="BR124" s="1641">
        <v>0.33</v>
      </c>
      <c r="BS124" s="1641">
        <v>0.27</v>
      </c>
      <c r="BT124" s="1364">
        <f>(BT121)/BO121-1</f>
        <v>7.945835911369481E-2</v>
      </c>
      <c r="BU124" s="1718"/>
      <c r="BV124" s="1641">
        <v>1.2E-2</v>
      </c>
      <c r="BW124" s="1641">
        <v>2.5000000000000001E-3</v>
      </c>
      <c r="BX124" s="1641">
        <v>-6.5000000000000002E-2</v>
      </c>
      <c r="BY124" s="1364">
        <f>(BY121)/BT121-1</f>
        <v>-7.3451808762795889E-2</v>
      </c>
      <c r="BZ124" s="1477"/>
      <c r="CA124" s="1641">
        <v>2.5000000000000001E-2</v>
      </c>
      <c r="CB124" s="1641">
        <v>0.06</v>
      </c>
      <c r="CC124" s="1641">
        <v>7.2499999999999995E-2</v>
      </c>
      <c r="CD124" s="1364">
        <f>(CD121)/BY121-1</f>
        <v>0.13914553913202288</v>
      </c>
      <c r="CE124" s="1477"/>
      <c r="CF124" s="1641">
        <v>0.09</v>
      </c>
      <c r="CG124" s="1641">
        <v>-0.01</v>
      </c>
      <c r="CH124" s="1641">
        <v>-0.06</v>
      </c>
      <c r="CI124" s="1641">
        <v>-0.123</v>
      </c>
      <c r="CJ124" s="1477"/>
      <c r="CK124" s="1641">
        <v>-7.4999999999999997E-2</v>
      </c>
      <c r="CL124" s="1641">
        <v>-0.06</v>
      </c>
      <c r="CM124" s="1641">
        <v>0.115</v>
      </c>
      <c r="CN124" s="1641">
        <v>0.157</v>
      </c>
      <c r="CO124" s="1477"/>
      <c r="CP124" s="1641">
        <v>0.18</v>
      </c>
      <c r="CQ124" s="1641">
        <v>0.19</v>
      </c>
      <c r="CR124" s="1641">
        <v>0.13500000000000001</v>
      </c>
      <c r="CS124" s="1641">
        <v>0.125</v>
      </c>
      <c r="CT124" s="1741"/>
      <c r="CU124" s="1641">
        <f>27.5/CP121+0.15</f>
        <v>0.25085104333375197</v>
      </c>
      <c r="CV124" s="1641">
        <v>3.2000000000000001E-2</v>
      </c>
      <c r="CW124" s="1641">
        <v>0.105</v>
      </c>
      <c r="CX124" s="2788">
        <v>0.21</v>
      </c>
      <c r="CY124" s="2835"/>
      <c r="CZ124" s="2788">
        <v>-0.111</v>
      </c>
      <c r="DA124" s="2788">
        <v>4.8000000000000001E-2</v>
      </c>
      <c r="DB124" s="2788">
        <v>-3.6999999999999998E-2</v>
      </c>
      <c r="DC124" s="2917">
        <f>DC121/CX121-1</f>
        <v>-0.1170518940139279</v>
      </c>
      <c r="DD124" s="2835"/>
      <c r="DE124" s="2917">
        <f t="shared" ref="DE124:DG124" si="199">DE121/CZ121-1</f>
        <v>0.13395631257302298</v>
      </c>
      <c r="DF124" s="2917">
        <f t="shared" si="199"/>
        <v>9.6924799672253314E-2</v>
      </c>
      <c r="DG124" s="2917">
        <f t="shared" si="199"/>
        <v>0.17846825640719333</v>
      </c>
      <c r="DH124" s="2917">
        <f>DH121/DC121-1</f>
        <v>0.2711936976476037</v>
      </c>
      <c r="DI124" s="2835"/>
      <c r="DJ124" s="2835"/>
      <c r="DK124" s="1641"/>
      <c r="DL124" s="1477"/>
      <c r="DM124" s="186"/>
      <c r="DN124" s="2362"/>
      <c r="DR124" s="186"/>
      <c r="DS124" s="186"/>
      <c r="DT124" s="186"/>
      <c r="DU124" s="875"/>
      <c r="DV124" s="875"/>
      <c r="DW124" s="875"/>
      <c r="EB124" s="1577"/>
    </row>
    <row r="125" spans="1:132" ht="11.25" hidden="1" customHeight="1" outlineLevel="1">
      <c r="A125" s="1827" t="s">
        <v>953</v>
      </c>
      <c r="B125" s="1364"/>
      <c r="C125" s="1364">
        <f>C122/B122-1</f>
        <v>5.6194105685771545E-2</v>
      </c>
      <c r="D125" s="1364">
        <f t="shared" ref="D125:W125" si="200">D122/C122-1</f>
        <v>7.0000000000000062E-2</v>
      </c>
      <c r="E125" s="1364">
        <f t="shared" si="200"/>
        <v>0</v>
      </c>
      <c r="F125" s="1364">
        <f t="shared" si="200"/>
        <v>-5.0000000000000044E-2</v>
      </c>
      <c r="G125" s="1364">
        <f t="shared" si="200"/>
        <v>-6.5755498285776759E-2</v>
      </c>
      <c r="H125" s="1364">
        <f t="shared" si="200"/>
        <v>-0.15334180922120111</v>
      </c>
      <c r="I125" s="1364">
        <f t="shared" si="200"/>
        <v>-0.15487298970112384</v>
      </c>
      <c r="J125" s="1364">
        <f t="shared" si="200"/>
        <v>0.35256150076519854</v>
      </c>
      <c r="K125" s="1364">
        <f t="shared" si="200"/>
        <v>-0.14306645913237237</v>
      </c>
      <c r="L125" s="1364">
        <f t="shared" si="200"/>
        <v>0.10239821087127199</v>
      </c>
      <c r="M125" s="1364">
        <f>M122/L122-1</f>
        <v>-9.2733966960577119E-2</v>
      </c>
      <c r="N125" s="1364">
        <f t="shared" si="200"/>
        <v>8.6301734374185868E-2</v>
      </c>
      <c r="O125" s="2711"/>
      <c r="P125" s="2711">
        <f t="shared" si="200"/>
        <v>8.6301734374185868E-2</v>
      </c>
      <c r="Q125" s="1364">
        <f t="shared" si="200"/>
        <v>-5.029109240854801E-2</v>
      </c>
      <c r="R125" s="2827">
        <f>R122/Q122-1</f>
        <v>2.9001926271488232E-2</v>
      </c>
      <c r="S125" s="2828"/>
      <c r="T125" s="2827">
        <f>T122/R122-1</f>
        <v>2.731002419591011E-3</v>
      </c>
      <c r="U125" s="2827">
        <f t="shared" si="200"/>
        <v>0</v>
      </c>
      <c r="V125" s="2827">
        <f t="shared" si="200"/>
        <v>-1.000000000000012E-2</v>
      </c>
      <c r="W125" s="2827">
        <f t="shared" si="200"/>
        <v>-1.000000000000012E-2</v>
      </c>
      <c r="X125" s="2827">
        <f t="shared" si="192"/>
        <v>-1.0000000000000009E-2</v>
      </c>
      <c r="Y125" s="2827">
        <f t="shared" si="192"/>
        <v>-1.000000000000012E-2</v>
      </c>
      <c r="Z125" s="2827">
        <f t="shared" si="193"/>
        <v>-1.0000000000000009E-2</v>
      </c>
      <c r="AA125" s="2827">
        <f t="shared" si="193"/>
        <v>-9.9999999999998979E-3</v>
      </c>
      <c r="AB125" s="2827">
        <f t="shared" si="193"/>
        <v>-1.000000000000012E-2</v>
      </c>
      <c r="AC125" s="2827">
        <f t="shared" si="193"/>
        <v>-9.9999999999998979E-3</v>
      </c>
      <c r="AD125" s="2827">
        <f t="shared" si="193"/>
        <v>-9.9999999999998979E-3</v>
      </c>
      <c r="AE125" s="2827">
        <f t="shared" si="193"/>
        <v>-9.9999999999998979E-3</v>
      </c>
      <c r="AF125" s="2790"/>
      <c r="AG125" s="1364"/>
      <c r="AH125" s="1364"/>
      <c r="AI125" s="1364"/>
      <c r="AJ125" s="1364"/>
      <c r="AK125" s="1364"/>
      <c r="AL125" s="1827" t="str">
        <f t="shared" si="186"/>
        <v xml:space="preserve">% CW Change </v>
      </c>
      <c r="AM125" s="1770"/>
      <c r="AN125" s="1770"/>
      <c r="AO125" s="1770"/>
      <c r="AP125" s="1770"/>
      <c r="AQ125" s="1845"/>
      <c r="AR125" s="1364">
        <f t="shared" si="194"/>
        <v>3.0000000000000027E-2</v>
      </c>
      <c r="AS125" s="1364">
        <f t="shared" si="194"/>
        <v>-3.0000000000000027E-2</v>
      </c>
      <c r="AT125" s="1364">
        <f t="shared" si="194"/>
        <v>1.0000000000000009E-2</v>
      </c>
      <c r="AU125" s="1364">
        <f t="shared" si="194"/>
        <v>-8.7139763220357436E-3</v>
      </c>
      <c r="AV125" s="1845"/>
      <c r="AW125" s="1364">
        <f t="shared" si="195"/>
        <v>1.4999999999999902E-2</v>
      </c>
      <c r="AX125" s="1364">
        <f t="shared" si="195"/>
        <v>3.499999999999992E-2</v>
      </c>
      <c r="AY125" s="1364">
        <f t="shared" si="195"/>
        <v>0</v>
      </c>
      <c r="AZ125" s="1364">
        <f t="shared" si="195"/>
        <v>-0.22549393276688834</v>
      </c>
      <c r="BA125" s="1845"/>
      <c r="BB125" s="1364">
        <f t="shared" si="196"/>
        <v>5.0000000000000044E-2</v>
      </c>
      <c r="BC125" s="1364">
        <f t="shared" si="196"/>
        <v>-3.0000000000000027E-2</v>
      </c>
      <c r="BD125" s="1364">
        <f t="shared" si="196"/>
        <v>-3.0000000000000027E-2</v>
      </c>
      <c r="BE125" s="1364">
        <f t="shared" si="196"/>
        <v>-0.28245486003581233</v>
      </c>
      <c r="BF125" s="1845"/>
      <c r="BG125" s="1364">
        <f t="shared" si="197"/>
        <v>-0.11977508823948579</v>
      </c>
      <c r="BH125" s="1364">
        <f t="shared" si="197"/>
        <v>-0.28989835661810737</v>
      </c>
      <c r="BI125" s="1364">
        <f t="shared" si="197"/>
        <v>-0.35229595884505216</v>
      </c>
      <c r="BJ125" s="1364">
        <f t="shared" si="197"/>
        <v>0.32291139978712446</v>
      </c>
      <c r="BK125" s="1845"/>
      <c r="BL125" s="1364">
        <f t="shared" si="198"/>
        <v>-0.3055433746051055</v>
      </c>
      <c r="BM125" s="1364">
        <f t="shared" si="198"/>
        <v>-0.29120631522828833</v>
      </c>
      <c r="BN125" s="1364">
        <f t="shared" si="198"/>
        <v>-9.731308411214934E-2</v>
      </c>
      <c r="BO125" s="1364">
        <f t="shared" si="198"/>
        <v>7.9339397439906145E-2</v>
      </c>
      <c r="BP125" s="1845"/>
      <c r="BQ125" s="1364">
        <f t="shared" si="198"/>
        <v>0.22248729339366458</v>
      </c>
      <c r="BR125" s="1364">
        <f t="shared" ref="BR125:BT126" si="201">BR122/BM122-1</f>
        <v>0.25619122148627382</v>
      </c>
      <c r="BS125" s="1364">
        <f t="shared" si="201"/>
        <v>9.8613951080626094E-2</v>
      </c>
      <c r="BT125" s="1364">
        <f t="shared" si="201"/>
        <v>0.66789827843745542</v>
      </c>
      <c r="BU125" s="1477"/>
      <c r="BV125" s="1364">
        <f t="shared" ref="BV125:CC126" si="202">BV122/BQ122-1</f>
        <v>1.5126223343765011E-2</v>
      </c>
      <c r="BW125" s="1364">
        <f t="shared" si="202"/>
        <v>3.0747172137863821E-3</v>
      </c>
      <c r="BX125" s="1364">
        <f t="shared" si="202"/>
        <v>-6.2620447191008233E-2</v>
      </c>
      <c r="BY125" s="1364">
        <f t="shared" si="202"/>
        <v>-0.32116430750934033</v>
      </c>
      <c r="BZ125" s="1477"/>
      <c r="CA125" s="1364">
        <f t="shared" si="202"/>
        <v>1.2477936065408368E-2</v>
      </c>
      <c r="CB125" s="1364">
        <f t="shared" si="202"/>
        <v>5.6374567821056765E-2</v>
      </c>
      <c r="CC125" s="1364">
        <f t="shared" si="202"/>
        <v>7.1070513996606133E-2</v>
      </c>
      <c r="CD125" s="1364">
        <f t="shared" ref="CA125:CD126" si="203">CD122/BY122-1</f>
        <v>0.22000277634332166</v>
      </c>
      <c r="CE125" s="1477"/>
      <c r="CF125" s="1364">
        <f t="shared" ref="CF125:CN126" si="204">CF122/CA122-1</f>
        <v>-4.4205746030450022E-2</v>
      </c>
      <c r="CG125" s="1364">
        <f t="shared" si="204"/>
        <v>-3.9229847324073752E-2</v>
      </c>
      <c r="CH125" s="1364">
        <f t="shared" si="204"/>
        <v>-9.8723829799808205E-2</v>
      </c>
      <c r="CI125" s="1364">
        <f t="shared" si="204"/>
        <v>-0.1490262037108887</v>
      </c>
      <c r="CJ125" s="1477"/>
      <c r="CK125" s="1364">
        <f t="shared" si="204"/>
        <v>2.1254209253706691E-2</v>
      </c>
      <c r="CL125" s="1364">
        <f t="shared" si="204"/>
        <v>8.4789750111262663E-3</v>
      </c>
      <c r="CM125" s="1364">
        <f t="shared" si="204"/>
        <v>0.12606792391173083</v>
      </c>
      <c r="CN125" s="1364">
        <f t="shared" si="204"/>
        <v>0.1571546360478584</v>
      </c>
      <c r="CO125" s="1364"/>
      <c r="CP125" s="1364">
        <f t="shared" ref="CP125:CS126" si="205">CP122/CK122-1</f>
        <v>1.3968357142861709E-3</v>
      </c>
      <c r="CQ125" s="1364">
        <f t="shared" si="205"/>
        <v>1.3128472395088409E-2</v>
      </c>
      <c r="CR125" s="1364">
        <f t="shared" si="205"/>
        <v>-4.4482288029186079E-2</v>
      </c>
      <c r="CS125" s="1364">
        <f t="shared" si="205"/>
        <v>-0.11935619509501005</v>
      </c>
      <c r="CT125" s="1741"/>
      <c r="CU125" s="1364">
        <f t="shared" ref="CU125:CW126" si="206">CU122/CP122-1</f>
        <v>4.493808742841443E-2</v>
      </c>
      <c r="CV125" s="1364">
        <f t="shared" si="206"/>
        <v>-9.7820194580048314E-3</v>
      </c>
      <c r="CW125" s="1364">
        <f t="shared" si="206"/>
        <v>2.6598526254900667E-2</v>
      </c>
      <c r="CX125" s="2827">
        <f>CX122/CS122-1</f>
        <v>4.1352282122468331E-2</v>
      </c>
      <c r="CY125" s="2835"/>
      <c r="CZ125" s="2827">
        <f t="shared" ref="CZ125:DB126" si="207">CZ122/CU122-1</f>
        <v>-1.0662091556175257E-2</v>
      </c>
      <c r="DA125" s="2827">
        <f t="shared" si="207"/>
        <v>1.049353820940313E-2</v>
      </c>
      <c r="DB125" s="2827">
        <f t="shared" si="207"/>
        <v>-7.5979882212640071E-5</v>
      </c>
      <c r="DC125" s="3113">
        <f>Scenarios!BZ53</f>
        <v>0.01</v>
      </c>
      <c r="DD125" s="2835"/>
      <c r="DE125" s="3113">
        <f>Scenarios!CB53</f>
        <v>0</v>
      </c>
      <c r="DF125" s="3113">
        <f>Scenarios!CC53</f>
        <v>0</v>
      </c>
      <c r="DG125" s="3113">
        <f>Scenarios!CD53</f>
        <v>0</v>
      </c>
      <c r="DH125" s="3113">
        <f>Scenarios!CE53</f>
        <v>0</v>
      </c>
      <c r="DI125" s="2835"/>
      <c r="DJ125" s="2835"/>
      <c r="DK125" s="1641" t="s">
        <v>1237</v>
      </c>
      <c r="DL125" s="1477"/>
      <c r="DM125" s="186"/>
      <c r="DN125" s="2362"/>
      <c r="DR125" s="2362"/>
      <c r="DS125" s="2362"/>
      <c r="DT125" s="2362"/>
      <c r="DU125" s="875"/>
      <c r="DV125" s="875"/>
      <c r="DW125" s="875"/>
      <c r="EB125" s="1577"/>
    </row>
    <row r="126" spans="1:132" ht="11.25" hidden="1" customHeight="1" outlineLevel="1">
      <c r="A126" s="1827" t="s">
        <v>954</v>
      </c>
      <c r="B126" s="1364"/>
      <c r="C126" s="1364">
        <f>C123/B123-1</f>
        <v>1.6054852289711929E-2</v>
      </c>
      <c r="D126" s="1364">
        <f t="shared" ref="D126:W126" si="208">D123/C123-1</f>
        <v>9.8120391540879703E-2</v>
      </c>
      <c r="E126" s="1364">
        <f t="shared" si="208"/>
        <v>-2.6567060308293811E-2</v>
      </c>
      <c r="F126" s="1364">
        <f t="shared" si="208"/>
        <v>3.4326052817241326E-2</v>
      </c>
      <c r="G126" s="1364">
        <f t="shared" si="208"/>
        <v>-9.5901960507077222E-2</v>
      </c>
      <c r="H126" s="1364">
        <f t="shared" si="208"/>
        <v>-0.15728288346343844</v>
      </c>
      <c r="I126" s="1364">
        <f t="shared" si="208"/>
        <v>-0.19414724013321039</v>
      </c>
      <c r="J126" s="1364">
        <f t="shared" si="208"/>
        <v>0.27156247252264154</v>
      </c>
      <c r="K126" s="1364">
        <f>(K123/(J123-135*0.5)-1)</f>
        <v>-2.1650196424323087E-2</v>
      </c>
      <c r="L126" s="1364">
        <f t="shared" si="208"/>
        <v>8.2888493475682168E-2</v>
      </c>
      <c r="M126" s="1364">
        <f>M123/L123-1</f>
        <v>-4.861016020813369E-2</v>
      </c>
      <c r="N126" s="1364">
        <f t="shared" si="208"/>
        <v>4.5624640184225518E-2</v>
      </c>
      <c r="O126" s="2711"/>
      <c r="P126" s="2711">
        <f t="shared" si="208"/>
        <v>4.5624640184225518E-2</v>
      </c>
      <c r="Q126" s="1364">
        <f t="shared" si="208"/>
        <v>9.5664143152099257E-2</v>
      </c>
      <c r="R126" s="2827">
        <f>R123/Q123-1</f>
        <v>0.11746231155778886</v>
      </c>
      <c r="S126" s="2828"/>
      <c r="T126" s="2827">
        <f>T123/R123-1</f>
        <v>-4.3990353331704757E-2</v>
      </c>
      <c r="U126" s="2827">
        <f t="shared" si="208"/>
        <v>0.12926611592090254</v>
      </c>
      <c r="V126" s="2827">
        <f t="shared" si="208"/>
        <v>5.4760768617842404E-2</v>
      </c>
      <c r="W126" s="2827">
        <f t="shared" si="208"/>
        <v>0.20215849429035848</v>
      </c>
      <c r="X126" s="2827">
        <f t="shared" si="192"/>
        <v>3.6586143238018565E-2</v>
      </c>
      <c r="Y126" s="2827">
        <f t="shared" si="192"/>
        <v>8.8163560474905811E-2</v>
      </c>
      <c r="Z126" s="2827">
        <f t="shared" si="193"/>
        <v>-1.6671904501740498E-2</v>
      </c>
      <c r="AA126" s="2827">
        <f t="shared" si="193"/>
        <v>7.5487994194540109E-2</v>
      </c>
      <c r="AB126" s="2827">
        <f t="shared" si="193"/>
        <v>-7.897981117631514E-3</v>
      </c>
      <c r="AC126" s="2827">
        <f t="shared" si="193"/>
        <v>3.9459774448991514E-2</v>
      </c>
      <c r="AD126" s="2827">
        <f t="shared" si="193"/>
        <v>-6.4266815755409379E-3</v>
      </c>
      <c r="AE126" s="2827">
        <f t="shared" si="193"/>
        <v>8.6179116816889501E-2</v>
      </c>
      <c r="AF126" s="2827"/>
      <c r="AG126" s="1364"/>
      <c r="AH126" s="1364"/>
      <c r="AI126" s="1364"/>
      <c r="AJ126" s="1364"/>
      <c r="AK126" s="1364"/>
      <c r="AL126" s="1827" t="str">
        <f t="shared" si="186"/>
        <v xml:space="preserve">% Total Change </v>
      </c>
      <c r="AM126" s="1770"/>
      <c r="AN126" s="1770"/>
      <c r="AO126" s="1770"/>
      <c r="AP126" s="1770"/>
      <c r="AQ126" s="1845"/>
      <c r="AR126" s="1364">
        <f t="shared" si="194"/>
        <v>-4.0822370094412475E-2</v>
      </c>
      <c r="AS126" s="1364">
        <f t="shared" si="194"/>
        <v>-4.0382146165392596E-2</v>
      </c>
      <c r="AT126" s="1364">
        <f t="shared" si="194"/>
        <v>9.4841229603481736E-3</v>
      </c>
      <c r="AU126" s="1364">
        <f t="shared" si="194"/>
        <v>-3.2302696418514132E-2</v>
      </c>
      <c r="AV126" s="1845"/>
      <c r="AW126" s="1364">
        <f t="shared" si="195"/>
        <v>2.5185982755093095E-2</v>
      </c>
      <c r="AX126" s="1364">
        <f t="shared" si="195"/>
        <v>4.5895417597366484E-2</v>
      </c>
      <c r="AY126" s="1364">
        <f t="shared" si="195"/>
        <v>5.2546755221466457E-2</v>
      </c>
      <c r="AZ126" s="1364">
        <f t="shared" si="195"/>
        <v>1.5968843365422369E-2</v>
      </c>
      <c r="BA126" s="1845"/>
      <c r="BB126" s="1364">
        <f t="shared" si="196"/>
        <v>7.0467627170537117E-2</v>
      </c>
      <c r="BC126" s="1364">
        <f t="shared" si="196"/>
        <v>-6.7067028217448144E-2</v>
      </c>
      <c r="BD126" s="1364">
        <f t="shared" si="196"/>
        <v>-7.27049762484554E-2</v>
      </c>
      <c r="BE126" s="1364">
        <f t="shared" si="196"/>
        <v>-0.27262711934473505</v>
      </c>
      <c r="BF126" s="1845"/>
      <c r="BG126" s="1364">
        <f t="shared" si="197"/>
        <v>-0.15434638281189783</v>
      </c>
      <c r="BH126" s="1364">
        <f t="shared" si="197"/>
        <v>-0.17926524057800519</v>
      </c>
      <c r="BI126" s="1364">
        <f t="shared" si="197"/>
        <v>-0.25602589832662015</v>
      </c>
      <c r="BJ126" s="1364">
        <f t="shared" si="197"/>
        <v>-2.5460306806487032E-2</v>
      </c>
      <c r="BK126" s="1845"/>
      <c r="BL126" s="1364">
        <f t="shared" si="198"/>
        <v>-0.32206598161168198</v>
      </c>
      <c r="BM126" s="1364">
        <f t="shared" si="198"/>
        <v>-0.28272980501392753</v>
      </c>
      <c r="BN126" s="1364">
        <f t="shared" si="198"/>
        <v>-0.13560944479897896</v>
      </c>
      <c r="BO126" s="1364">
        <f t="shared" si="198"/>
        <v>-2.9531292332701131E-2</v>
      </c>
      <c r="BP126" s="1845"/>
      <c r="BQ126" s="1364">
        <f>BQ123/BL123-1</f>
        <v>0.28759473474272057</v>
      </c>
      <c r="BR126" s="1364">
        <f t="shared" si="201"/>
        <v>0.31223300970873802</v>
      </c>
      <c r="BS126" s="1364">
        <f t="shared" si="201"/>
        <v>0.22111480251015125</v>
      </c>
      <c r="BT126" s="1364">
        <f t="shared" si="201"/>
        <v>0.26925739810161931</v>
      </c>
      <c r="BU126" s="1477"/>
      <c r="BV126" s="1364">
        <f t="shared" si="202"/>
        <v>1.2986369268896958E-2</v>
      </c>
      <c r="BW126" s="1364">
        <f t="shared" si="202"/>
        <v>2.632435631843677E-3</v>
      </c>
      <c r="BX126" s="1364">
        <f t="shared" si="202"/>
        <v>-6.438935912938315E-2</v>
      </c>
      <c r="BY126" s="1364">
        <f t="shared" si="202"/>
        <v>-0.17844464288856454</v>
      </c>
      <c r="BZ126" s="1477"/>
      <c r="CA126" s="1364">
        <f t="shared" si="203"/>
        <v>2.1040759406958154E-2</v>
      </c>
      <c r="CB126" s="1364">
        <f t="shared" si="203"/>
        <v>5.9164200779539877E-2</v>
      </c>
      <c r="CC126" s="1364">
        <f t="shared" si="203"/>
        <v>7.2132471728594494E-2</v>
      </c>
      <c r="CD126" s="1364">
        <f t="shared" si="203"/>
        <v>0.16746327156486207</v>
      </c>
      <c r="CE126" s="1477"/>
      <c r="CF126" s="1364">
        <f t="shared" si="204"/>
        <v>4.7922534181945586E-2</v>
      </c>
      <c r="CG126" s="1364">
        <f t="shared" si="204"/>
        <v>-1.672083706962757E-2</v>
      </c>
      <c r="CH126" s="1364">
        <f t="shared" si="204"/>
        <v>-6.9946236030210551E-2</v>
      </c>
      <c r="CI126" s="1364">
        <f>CI123/CD123-1</f>
        <v>-0.13252506598959535</v>
      </c>
      <c r="CJ126" s="1477"/>
      <c r="CK126" s="1364">
        <f>CK123/CF123-1</f>
        <v>-4.7474613127263421E-2</v>
      </c>
      <c r="CL126" s="1364">
        <f>CL123/CG123-1</f>
        <v>-4.4615027005214358E-2</v>
      </c>
      <c r="CM126" s="1364">
        <f>CM123/CH123-1</f>
        <v>0.11775484048701546</v>
      </c>
      <c r="CN126" s="1364">
        <f>CN123/CI123-1</f>
        <v>0.15705551714991883</v>
      </c>
      <c r="CO126" s="1634"/>
      <c r="CP126" s="2005">
        <f t="shared" si="205"/>
        <v>0.12524041472612568</v>
      </c>
      <c r="CQ126" s="2005">
        <f t="shared" si="205"/>
        <v>0.14805445359921277</v>
      </c>
      <c r="CR126" s="2005">
        <f t="shared" si="205"/>
        <v>8.9994051598916158E-2</v>
      </c>
      <c r="CS126" s="2005">
        <f t="shared" si="205"/>
        <v>3.7264172362059034E-2</v>
      </c>
      <c r="CT126" s="2464"/>
      <c r="CU126" s="2005">
        <f t="shared" si="206"/>
        <v>0.19466666666666677</v>
      </c>
      <c r="CV126" s="2005">
        <f t="shared" si="206"/>
        <v>2.3255813953488413E-2</v>
      </c>
      <c r="CW126" s="2005">
        <f t="shared" si="206"/>
        <v>8.7765957446808596E-2</v>
      </c>
      <c r="CX126" s="3043">
        <f>CX123/CS123-1</f>
        <v>0.15859030837004395</v>
      </c>
      <c r="CY126" s="2835"/>
      <c r="CZ126" s="3043">
        <f t="shared" si="207"/>
        <v>-8.7053571428571397E-2</v>
      </c>
      <c r="DA126" s="3043">
        <f t="shared" si="207"/>
        <v>4.0404040404040442E-2</v>
      </c>
      <c r="DB126" s="3043">
        <f t="shared" si="207"/>
        <v>-2.933985330073352E-2</v>
      </c>
      <c r="DC126" s="3043">
        <f>DC123/CX123-1</f>
        <v>-8.224113797928323E-2</v>
      </c>
      <c r="DD126" s="2835"/>
      <c r="DE126" s="3043">
        <f t="shared" ref="DE126:DG126" si="209">DE123/CZ123-1</f>
        <v>9.9311497508473234E-2</v>
      </c>
      <c r="DF126" s="3043">
        <f t="shared" si="209"/>
        <v>7.7859529142189521E-2</v>
      </c>
      <c r="DG126" s="3043">
        <f t="shared" si="209"/>
        <v>0.14032753606911563</v>
      </c>
      <c r="DH126" s="3043">
        <f>DH123/DC123-1</f>
        <v>0.1894216841742451</v>
      </c>
      <c r="DI126" s="2835"/>
      <c r="DJ126" s="2835"/>
      <c r="DK126" s="1741"/>
      <c r="DL126" s="1477"/>
      <c r="DM126" s="186"/>
      <c r="DN126" s="2362"/>
      <c r="DR126" s="186"/>
      <c r="DS126" s="186"/>
      <c r="DT126" s="186"/>
      <c r="DU126" s="875"/>
      <c r="DV126" s="875"/>
      <c r="DW126" s="875"/>
      <c r="EB126" s="1577"/>
    </row>
    <row r="127" spans="1:132" ht="6" hidden="1" customHeight="1" outlineLevel="1">
      <c r="A127" s="1846"/>
      <c r="B127" s="1372"/>
      <c r="C127" s="1372"/>
      <c r="D127" s="1372"/>
      <c r="E127" s="1372"/>
      <c r="F127" s="1372"/>
      <c r="G127" s="1372"/>
      <c r="H127" s="1372"/>
      <c r="I127" s="1372"/>
      <c r="J127" s="1372"/>
      <c r="K127" s="1372"/>
      <c r="L127" s="1372"/>
      <c r="M127" s="1372"/>
      <c r="N127" s="1372"/>
      <c r="O127" s="2730"/>
      <c r="P127" s="2730"/>
      <c r="Q127" s="1372"/>
      <c r="R127" s="2790"/>
      <c r="S127" s="2789"/>
      <c r="T127" s="2790"/>
      <c r="U127" s="2790"/>
      <c r="V127" s="2790"/>
      <c r="W127" s="2790"/>
      <c r="X127" s="2790"/>
      <c r="Y127" s="2790"/>
      <c r="Z127" s="2790"/>
      <c r="AA127" s="2790"/>
      <c r="AB127" s="2790"/>
      <c r="AC127" s="2790"/>
      <c r="AD127" s="2790"/>
      <c r="AE127" s="2790"/>
      <c r="AF127" s="2790"/>
      <c r="AG127" s="1372"/>
      <c r="AH127" s="1372"/>
      <c r="AI127" s="1372"/>
      <c r="AJ127" s="1372"/>
      <c r="AK127" s="1372"/>
      <c r="AL127" s="2968"/>
      <c r="AM127" s="2790"/>
      <c r="AN127" s="2790"/>
      <c r="AO127" s="2790"/>
      <c r="AP127" s="2790"/>
      <c r="AQ127" s="2969"/>
      <c r="AR127" s="2790"/>
      <c r="AS127" s="2790"/>
      <c r="AT127" s="2790"/>
      <c r="AU127" s="2790"/>
      <c r="AV127" s="2969"/>
      <c r="AW127" s="2790"/>
      <c r="AX127" s="2790"/>
      <c r="AY127" s="2790"/>
      <c r="AZ127" s="2790"/>
      <c r="BA127" s="2969"/>
      <c r="BB127" s="2790"/>
      <c r="BC127" s="2790"/>
      <c r="BD127" s="2790"/>
      <c r="BE127" s="2790"/>
      <c r="BF127" s="2969"/>
      <c r="BG127" s="2790"/>
      <c r="BH127" s="2790"/>
      <c r="BI127" s="2790"/>
      <c r="BJ127" s="2790"/>
      <c r="BK127" s="2969"/>
      <c r="BL127" s="2790"/>
      <c r="BM127" s="2790"/>
      <c r="BN127" s="2790"/>
      <c r="BO127" s="2790"/>
      <c r="BP127" s="2969"/>
      <c r="BQ127" s="2862"/>
      <c r="BR127" s="2862"/>
      <c r="BS127" s="2862"/>
      <c r="BT127" s="2862"/>
      <c r="BU127" s="2862"/>
      <c r="BV127" s="2862"/>
      <c r="BW127" s="2862"/>
      <c r="BX127" s="2862"/>
      <c r="BY127" s="2862"/>
      <c r="BZ127" s="2862"/>
      <c r="CA127" s="2862"/>
      <c r="CB127" s="2862"/>
      <c r="CC127" s="2862"/>
      <c r="CD127" s="2862"/>
      <c r="CE127" s="2862"/>
      <c r="CF127" s="2862"/>
      <c r="CG127" s="2862"/>
      <c r="CH127" s="2862"/>
      <c r="CI127" s="2862"/>
      <c r="CJ127" s="2862"/>
      <c r="CK127" s="2867"/>
      <c r="CL127" s="2867"/>
      <c r="CM127" s="2867"/>
      <c r="CN127" s="2862"/>
      <c r="CO127" s="2862"/>
      <c r="CP127" s="2867"/>
      <c r="CQ127" s="2867"/>
      <c r="CR127" s="2867"/>
      <c r="CS127" s="2862"/>
      <c r="CT127" s="2835"/>
      <c r="CU127" s="2835"/>
      <c r="CV127" s="2835"/>
      <c r="CW127" s="2835"/>
      <c r="CX127" s="2835"/>
      <c r="CY127" s="2835"/>
      <c r="CZ127" s="2835"/>
      <c r="DA127" s="2835"/>
      <c r="DB127" s="2835"/>
      <c r="DC127" s="2835"/>
      <c r="DD127" s="2835"/>
      <c r="DE127" s="2835"/>
      <c r="DF127" s="2835"/>
      <c r="DG127" s="2835"/>
      <c r="DH127" s="2835"/>
      <c r="DI127" s="2835"/>
      <c r="DJ127" s="2835"/>
      <c r="DK127" s="2835"/>
      <c r="DL127" s="2835"/>
      <c r="DM127" s="186"/>
      <c r="DN127" s="2362"/>
      <c r="DO127" s="2835"/>
      <c r="DP127" s="2362"/>
      <c r="DQ127" s="2362"/>
      <c r="DR127" s="2362"/>
      <c r="DS127" s="2362"/>
      <c r="DT127" s="2362"/>
      <c r="DU127" s="875"/>
      <c r="DV127" s="875"/>
      <c r="DW127" s="875"/>
      <c r="EB127" s="1577"/>
    </row>
    <row r="128" spans="1:132" ht="11.25" hidden="1" customHeight="1" outlineLevel="1">
      <c r="A128" s="1826" t="s">
        <v>1205</v>
      </c>
      <c r="B128" s="1105">
        <f>'Segment Detail'!Y42</f>
        <v>2121.6</v>
      </c>
      <c r="C128" s="1105">
        <f>'Segment Detail'!Z42</f>
        <v>2097.6</v>
      </c>
      <c r="D128" s="1105">
        <f>'Segment Detail'!AA42</f>
        <v>2096.1</v>
      </c>
      <c r="E128" s="1105">
        <f>'Segment Detail'!AB42</f>
        <v>2114.8000000000002</v>
      </c>
      <c r="F128" s="1105">
        <f>'Segment Detail'!AC42</f>
        <v>1959.9</v>
      </c>
      <c r="G128" s="1105">
        <f>'Segment Detail'!AD42</f>
        <v>1753.6999999999998</v>
      </c>
      <c r="H128" s="1105">
        <f>'Segment Detail'!AE42</f>
        <v>1539.1000000000001</v>
      </c>
      <c r="I128" s="1105">
        <f>'Segment Detail'!AF42</f>
        <v>1222.4000000000001</v>
      </c>
      <c r="J128" s="1105">
        <f>'Segment Detail'!AG42</f>
        <v>1336.3519999999999</v>
      </c>
      <c r="K128" s="1105">
        <f>'Segment Detail'!AH42</f>
        <v>1340.2</v>
      </c>
      <c r="L128" s="1105">
        <f>'Segment Detail'!AI42</f>
        <v>1313.4</v>
      </c>
      <c r="M128" s="1105">
        <f>'Segment Detail'!AJ42</f>
        <v>1306.4000000000001</v>
      </c>
      <c r="N128" s="1105">
        <f>'Segment Detail'!AK42</f>
        <v>1303</v>
      </c>
      <c r="O128" s="2731">
        <f>M128</f>
        <v>1306.4000000000001</v>
      </c>
      <c r="P128" s="2731">
        <f>N128</f>
        <v>1303</v>
      </c>
      <c r="Q128" s="1105">
        <f>'Segment Detail'!AL42</f>
        <v>1232</v>
      </c>
      <c r="R128" s="2829">
        <v>1220</v>
      </c>
      <c r="S128" s="2808">
        <v>0</v>
      </c>
      <c r="T128" s="2829">
        <v>0</v>
      </c>
      <c r="U128" s="2829">
        <v>0</v>
      </c>
      <c r="V128" s="2829">
        <v>0</v>
      </c>
      <c r="W128" s="2829">
        <v>0</v>
      </c>
      <c r="X128" s="2829">
        <v>0</v>
      </c>
      <c r="Y128" s="2829">
        <v>0</v>
      </c>
      <c r="Z128" s="2829">
        <v>0</v>
      </c>
      <c r="AA128" s="2829">
        <v>0</v>
      </c>
      <c r="AB128" s="2829">
        <v>0</v>
      </c>
      <c r="AC128" s="2829">
        <v>0</v>
      </c>
      <c r="AD128" s="2829">
        <v>0</v>
      </c>
      <c r="AE128" s="2829">
        <v>0</v>
      </c>
      <c r="AF128" s="2804"/>
      <c r="AG128" s="1105"/>
      <c r="AH128" s="1105"/>
      <c r="AI128" s="1105"/>
      <c r="AJ128" s="1105"/>
      <c r="AK128" s="1105"/>
      <c r="AL128" s="2968" t="str">
        <f t="shared" si="186"/>
        <v xml:space="preserve">Radio </v>
      </c>
      <c r="AM128" s="2804">
        <f>'Segment Detail'!CO42</f>
        <v>455.1</v>
      </c>
      <c r="AN128" s="2804">
        <f>'Segment Detail'!CP42</f>
        <v>561.29999999999995</v>
      </c>
      <c r="AO128" s="2804">
        <f>'Segment Detail'!CQ42</f>
        <v>529.29999999999995</v>
      </c>
      <c r="AP128" s="2804">
        <f>'Segment Detail'!CR42</f>
        <v>550.4</v>
      </c>
      <c r="AQ128" s="2835">
        <f>D128-SUM(AM128:AP128)</f>
        <v>0</v>
      </c>
      <c r="AR128" s="2804">
        <f>'Segment Detail'!CT42</f>
        <v>462.8</v>
      </c>
      <c r="AS128" s="2804">
        <f>'Segment Detail'!CU42</f>
        <v>566.5</v>
      </c>
      <c r="AT128" s="2804">
        <f>'Segment Detail'!CV42</f>
        <v>542</v>
      </c>
      <c r="AU128" s="2804">
        <f>'Segment Detail'!CW42</f>
        <v>543.5</v>
      </c>
      <c r="AV128" s="2835">
        <f>E128-SUM(AR128:AU128)</f>
        <v>0</v>
      </c>
      <c r="AW128" s="2804">
        <f>'Segment Detail'!CY42</f>
        <v>434.5</v>
      </c>
      <c r="AX128" s="2804">
        <f>'Segment Detail'!CZ42</f>
        <v>519.1</v>
      </c>
      <c r="AY128" s="2804">
        <f>'Segment Detail'!DA42</f>
        <v>508.1</v>
      </c>
      <c r="AZ128" s="2804">
        <f>'Segment Detail'!DB42</f>
        <v>498.2</v>
      </c>
      <c r="BA128" s="2835">
        <f>F128-SUM(AW128:AZ128)</f>
        <v>0</v>
      </c>
      <c r="BB128" s="2804">
        <f>'Segment Detail'!DD42</f>
        <v>397.5</v>
      </c>
      <c r="BC128" s="2804">
        <f>'Segment Detail'!DE42</f>
        <v>463.4</v>
      </c>
      <c r="BD128" s="2804">
        <f>'Segment Detail'!DF42</f>
        <v>445.7</v>
      </c>
      <c r="BE128" s="2804">
        <f>'Segment Detail'!DG42</f>
        <v>447.1</v>
      </c>
      <c r="BF128" s="2835">
        <f>G128-SUM(BB128:BE128)</f>
        <v>0</v>
      </c>
      <c r="BG128" s="2804">
        <f>'Segment Detail'!DI42</f>
        <v>363.5</v>
      </c>
      <c r="BH128" s="2804">
        <f>'Segment Detail'!DJ42</f>
        <v>416.4</v>
      </c>
      <c r="BI128" s="2804">
        <f>'Segment Detail'!DK42</f>
        <v>392.5</v>
      </c>
      <c r="BJ128" s="2804">
        <f>'Segment Detail'!DL42</f>
        <v>366.7</v>
      </c>
      <c r="BK128" s="2835">
        <f>H128-SUM(BG128:BJ128)</f>
        <v>0</v>
      </c>
      <c r="BL128" s="2804">
        <f>'Segment Detail'!DN42</f>
        <v>259.7</v>
      </c>
      <c r="BM128" s="2804">
        <f>'Segment Detail'!DO42</f>
        <v>322</v>
      </c>
      <c r="BN128" s="2804">
        <f>'Segment Detail'!DP42</f>
        <v>318.89999999999998</v>
      </c>
      <c r="BO128" s="2804">
        <f>'Segment Detail'!DQ42</f>
        <v>321.8</v>
      </c>
      <c r="BP128" s="2835">
        <f>I128-SUM(BL128:BO128)</f>
        <v>0</v>
      </c>
      <c r="BQ128" s="2804">
        <v>282.7</v>
      </c>
      <c r="BR128" s="2804">
        <v>340.3</v>
      </c>
      <c r="BS128" s="2804">
        <v>346.5</v>
      </c>
      <c r="BT128" s="2804">
        <v>366.85199999999998</v>
      </c>
      <c r="BU128" s="2835">
        <f>J128-SUM(BQ128:BT128)</f>
        <v>0</v>
      </c>
      <c r="BV128" s="2829">
        <v>294.00800000000004</v>
      </c>
      <c r="BW128" s="2829">
        <v>352.21049999999997</v>
      </c>
      <c r="BX128" s="2829">
        <v>346.5</v>
      </c>
      <c r="BY128" s="2970">
        <f>K128-SUM(BV128:BX128)</f>
        <v>347.4815000000001</v>
      </c>
      <c r="BZ128" s="2835">
        <f>K128-SUM(BV128:BY128)</f>
        <v>0</v>
      </c>
      <c r="CA128" s="2829">
        <v>288.12783999999999</v>
      </c>
      <c r="CB128" s="2829">
        <v>345.16629</v>
      </c>
      <c r="CC128" s="2829">
        <v>329.17500000000001</v>
      </c>
      <c r="CD128" s="2970">
        <f>L128-SUM(CA128:CC128)</f>
        <v>350.93087000000014</v>
      </c>
      <c r="CE128" s="2835">
        <f>L128-SUM(CA128:CD128)</f>
        <v>0</v>
      </c>
      <c r="CF128" s="2829">
        <v>288.12783999999999</v>
      </c>
      <c r="CG128" s="2829">
        <v>345.16629</v>
      </c>
      <c r="CH128" s="2829">
        <v>332.38490977072462</v>
      </c>
      <c r="CI128" s="2970">
        <f>M128-SUM(CF128:CH128)</f>
        <v>340.72096022927553</v>
      </c>
      <c r="CJ128" s="2835">
        <f>M128-SUM(CF128:CI128)</f>
        <v>0</v>
      </c>
      <c r="CK128" s="2896">
        <f>+CF128*(1+CK129)</f>
        <v>292.73788544000001</v>
      </c>
      <c r="CL128" s="2896">
        <f>+CG128*(1+CL129)</f>
        <v>327.90797549999996</v>
      </c>
      <c r="CM128" s="2896">
        <f>+CH128*(1+CM129)</f>
        <v>335.04398904889041</v>
      </c>
      <c r="CN128" s="2970">
        <f>N128-SUM(CK128:CM128)</f>
        <v>347.31015001110973</v>
      </c>
      <c r="CO128" s="2835">
        <f>$N128-SUM(CK128:CN128)</f>
        <v>0</v>
      </c>
      <c r="CP128" s="2829">
        <v>271</v>
      </c>
      <c r="CQ128" s="2829">
        <v>318</v>
      </c>
      <c r="CR128" s="2829">
        <v>318</v>
      </c>
      <c r="CS128" s="2829">
        <v>325</v>
      </c>
      <c r="CT128" s="2835">
        <f>$Q128-SUM(CP128:CS128)</f>
        <v>0</v>
      </c>
      <c r="CU128" s="2829">
        <v>0</v>
      </c>
      <c r="CV128" s="2829">
        <v>0</v>
      </c>
      <c r="CW128" s="2829">
        <v>0</v>
      </c>
      <c r="CX128" s="2829">
        <v>0</v>
      </c>
      <c r="CY128" s="2835">
        <f>S128-SUM(CU128:CX128)</f>
        <v>0</v>
      </c>
      <c r="CZ128" s="2829">
        <v>0</v>
      </c>
      <c r="DA128" s="2829">
        <v>0</v>
      </c>
      <c r="DB128" s="2829">
        <v>0</v>
      </c>
      <c r="DC128" s="2829">
        <v>0</v>
      </c>
      <c r="DD128" s="2835">
        <f>T128-SUM(CZ128:DC128)</f>
        <v>0</v>
      </c>
      <c r="DE128" s="2829">
        <v>0</v>
      </c>
      <c r="DF128" s="2829">
        <v>0</v>
      </c>
      <c r="DG128" s="2829">
        <v>0</v>
      </c>
      <c r="DH128" s="2829">
        <v>0</v>
      </c>
      <c r="DI128" s="2835">
        <f t="shared" si="188"/>
        <v>0</v>
      </c>
      <c r="DJ128" s="2835"/>
      <c r="DK128" s="1110"/>
      <c r="DL128" s="1477"/>
      <c r="DM128" s="186"/>
      <c r="DN128" s="2362"/>
      <c r="DO128" s="1477"/>
      <c r="DP128" s="186"/>
      <c r="DQ128" s="186"/>
      <c r="DR128" s="186"/>
      <c r="DS128" s="186"/>
      <c r="DT128" s="186"/>
      <c r="DU128" s="875"/>
      <c r="DV128" s="875"/>
      <c r="DW128" s="875"/>
      <c r="EB128" s="1577"/>
    </row>
    <row r="129" spans="1:132" ht="11.25" hidden="1" customHeight="1" outlineLevel="1">
      <c r="A129" s="1827" t="s">
        <v>344</v>
      </c>
      <c r="B129" s="1364">
        <v>5.0402225391551703E-2</v>
      </c>
      <c r="C129" s="1364">
        <f t="shared" ref="C129:J129" si="210">C128/B128-1</f>
        <v>-1.1312217194570096E-2</v>
      </c>
      <c r="D129" s="1364">
        <f t="shared" si="210"/>
        <v>-7.1510297482835217E-4</v>
      </c>
      <c r="E129" s="1364">
        <f t="shared" si="210"/>
        <v>8.921330089213475E-3</v>
      </c>
      <c r="F129" s="1364">
        <f t="shared" si="210"/>
        <v>-7.3245696992623399E-2</v>
      </c>
      <c r="G129" s="1364">
        <f t="shared" si="210"/>
        <v>-0.1052094494617074</v>
      </c>
      <c r="H129" s="1364">
        <f t="shared" si="210"/>
        <v>-0.12236984661002437</v>
      </c>
      <c r="I129" s="1364">
        <f t="shared" si="210"/>
        <v>-0.2057696056136703</v>
      </c>
      <c r="J129" s="1364">
        <f t="shared" si="210"/>
        <v>9.3219895287957932E-2</v>
      </c>
      <c r="K129" s="1364">
        <f>K128/J128-1</f>
        <v>2.8794808553436191E-3</v>
      </c>
      <c r="L129" s="1364">
        <f>L128/K128-1</f>
        <v>-1.9997015370840088E-2</v>
      </c>
      <c r="M129" s="1364">
        <f>M128/L128-1</f>
        <v>-5.3296786965129073E-3</v>
      </c>
      <c r="N129" s="1364">
        <f>N128/M128-1</f>
        <v>-2.6025719534599201E-3</v>
      </c>
      <c r="O129" s="2711"/>
      <c r="P129" s="2711">
        <f>P128/O128-1</f>
        <v>-2.6025719534599201E-3</v>
      </c>
      <c r="Q129" s="1364">
        <f>Q128/P128-1</f>
        <v>-5.448963929393702E-2</v>
      </c>
      <c r="R129" s="2827">
        <f>R128/Q128-1</f>
        <v>-9.7402597402597157E-3</v>
      </c>
      <c r="S129" s="2828"/>
      <c r="T129" s="2827"/>
      <c r="U129" s="2830"/>
      <c r="V129" s="2830"/>
      <c r="W129" s="2830"/>
      <c r="X129" s="2830"/>
      <c r="Y129" s="2830"/>
      <c r="Z129" s="2830"/>
      <c r="AA129" s="2830"/>
      <c r="AB129" s="2830"/>
      <c r="AC129" s="2830"/>
      <c r="AD129" s="2830"/>
      <c r="AE129" s="2827"/>
      <c r="AF129" s="2827"/>
      <c r="AG129" s="1364"/>
      <c r="AH129" s="1364"/>
      <c r="AI129" s="1364"/>
      <c r="AJ129" s="1364"/>
      <c r="AK129" s="1364"/>
      <c r="AL129" s="2971" t="str">
        <f t="shared" si="186"/>
        <v xml:space="preserve">% Change </v>
      </c>
      <c r="AM129" s="2972" t="s">
        <v>1455</v>
      </c>
      <c r="AN129" s="2972" t="s">
        <v>1455</v>
      </c>
      <c r="AO129" s="2972" t="s">
        <v>1455</v>
      </c>
      <c r="AP129" s="2972" t="s">
        <v>1455</v>
      </c>
      <c r="AQ129" s="2973"/>
      <c r="AR129" s="2827">
        <f>AR128/AM128-1</f>
        <v>1.691935838277292E-2</v>
      </c>
      <c r="AS129" s="2827">
        <f>AS128/AN128-1</f>
        <v>9.2642080883664768E-3</v>
      </c>
      <c r="AT129" s="2827">
        <f>AT128/AO128-1</f>
        <v>2.3993954279236895E-2</v>
      </c>
      <c r="AU129" s="2827">
        <f>AU128/AP128-1</f>
        <v>-1.2536337209302251E-2</v>
      </c>
      <c r="AV129" s="2973"/>
      <c r="AW129" s="2827">
        <f>AW128/AR128-1</f>
        <v>-6.114952463267076E-2</v>
      </c>
      <c r="AX129" s="2827">
        <f>AX128/AS128-1</f>
        <v>-8.367166813768756E-2</v>
      </c>
      <c r="AY129" s="2827">
        <f>AY128/AT128-1</f>
        <v>-6.2546125461254598E-2</v>
      </c>
      <c r="AZ129" s="2827">
        <f>AZ128/AU128-1</f>
        <v>-8.3348666053357889E-2</v>
      </c>
      <c r="BA129" s="2973"/>
      <c r="BB129" s="2827">
        <f>BB128/AW128-1</f>
        <v>-8.5155350978135758E-2</v>
      </c>
      <c r="BC129" s="2827">
        <f>BC128/AX128-1</f>
        <v>-0.10730109805432486</v>
      </c>
      <c r="BD129" s="2827">
        <f>BD128/AY128-1</f>
        <v>-0.1228104703798466</v>
      </c>
      <c r="BE129" s="2827">
        <f>BE128/AZ128-1</f>
        <v>-0.1025692492974708</v>
      </c>
      <c r="BF129" s="2973"/>
      <c r="BG129" s="2827">
        <f>BG128/BB128-1</f>
        <v>-8.5534591194968534E-2</v>
      </c>
      <c r="BH129" s="2827">
        <f>BH128/BC128-1</f>
        <v>-0.10142425550280532</v>
      </c>
      <c r="BI129" s="2827">
        <f>BI128/BD128-1</f>
        <v>-0.11936280008974642</v>
      </c>
      <c r="BJ129" s="2827">
        <f>BJ128/BE128-1</f>
        <v>-0.17982554238425419</v>
      </c>
      <c r="BK129" s="2973"/>
      <c r="BL129" s="2827">
        <f>BL128/BG128-1</f>
        <v>-0.28555708390646495</v>
      </c>
      <c r="BM129" s="2827">
        <f>BM128/BH128-1</f>
        <v>-0.22670509125840532</v>
      </c>
      <c r="BN129" s="2827">
        <f>BN128/BI128-1</f>
        <v>-0.18751592356687907</v>
      </c>
      <c r="BO129" s="2827">
        <f>BO128/BJ128-1</f>
        <v>-0.12244341423506944</v>
      </c>
      <c r="BP129" s="2973"/>
      <c r="BQ129" s="2827">
        <f>BQ128/BL128-1</f>
        <v>8.856372737774354E-2</v>
      </c>
      <c r="BR129" s="2827">
        <f>BR128/BM128-1</f>
        <v>5.6832298136646031E-2</v>
      </c>
      <c r="BS129" s="2827">
        <f>BS128/BN128-1</f>
        <v>8.6547507055503292E-2</v>
      </c>
      <c r="BT129" s="2827">
        <f>(BT128)/BO128-1</f>
        <v>0.1399999999999999</v>
      </c>
      <c r="BU129" s="2937"/>
      <c r="BV129" s="2827">
        <f>BV128/BQ128-1</f>
        <v>4.0000000000000258E-2</v>
      </c>
      <c r="BW129" s="2827">
        <f>BW128/BR128-1</f>
        <v>3.499999999999992E-2</v>
      </c>
      <c r="BX129" s="2827">
        <f>BX128/BS128-1</f>
        <v>0</v>
      </c>
      <c r="BY129" s="2827">
        <f>+BY128/BT128-1</f>
        <v>-5.280194737932431E-2</v>
      </c>
      <c r="BZ129" s="2937"/>
      <c r="CA129" s="2827">
        <f>CA128/BV128-1</f>
        <v>-2.0000000000000129E-2</v>
      </c>
      <c r="CB129" s="2827">
        <f>CB128/BW128-1</f>
        <v>-1.9999999999999907E-2</v>
      </c>
      <c r="CC129" s="2827">
        <f>CC128/BX128-1</f>
        <v>-4.9999999999999933E-2</v>
      </c>
      <c r="CD129" s="2827">
        <f>CD128/BY128-1</f>
        <v>9.9267730800058906E-3</v>
      </c>
      <c r="CE129" s="2937"/>
      <c r="CF129" s="2974">
        <f>CF128/CA128-1</f>
        <v>0</v>
      </c>
      <c r="CG129" s="2974">
        <f>CG128/CB128-1</f>
        <v>0</v>
      </c>
      <c r="CH129" s="2974">
        <f>CH128/CC128-1</f>
        <v>9.7513777496001097E-3</v>
      </c>
      <c r="CI129" s="2974">
        <f>CI128/CD128-1</f>
        <v>-2.909379209279761E-2</v>
      </c>
      <c r="CJ129" s="2937"/>
      <c r="CK129" s="2788">
        <v>1.6E-2</v>
      </c>
      <c r="CL129" s="2788">
        <v>-0.05</v>
      </c>
      <c r="CM129" s="2788">
        <v>8.0000000000000002E-3</v>
      </c>
      <c r="CN129" s="2974">
        <f>CN128/CI128-1</f>
        <v>1.9338962232908319E-2</v>
      </c>
      <c r="CO129" s="2937"/>
      <c r="CP129" s="2788">
        <f>CP128/CK128-1</f>
        <v>-7.4257164928710373E-2</v>
      </c>
      <c r="CQ129" s="2788">
        <f>CQ128/CL128-1</f>
        <v>-3.0215719775928296E-2</v>
      </c>
      <c r="CR129" s="2788">
        <f>CR128/CM128-1</f>
        <v>-5.0870899362421618E-2</v>
      </c>
      <c r="CS129" s="2788">
        <f>CS128/CN128-1</f>
        <v>-6.4236965174775507E-2</v>
      </c>
      <c r="CT129" s="2975"/>
      <c r="CU129" s="2788">
        <v>0</v>
      </c>
      <c r="CV129" s="2788">
        <v>0</v>
      </c>
      <c r="CW129" s="2788">
        <v>0</v>
      </c>
      <c r="CX129" s="2788">
        <v>0</v>
      </c>
      <c r="CY129" s="2835"/>
      <c r="CZ129" s="2788">
        <v>0</v>
      </c>
      <c r="DA129" s="2788">
        <v>0</v>
      </c>
      <c r="DB129" s="2788">
        <v>0</v>
      </c>
      <c r="DC129" s="2788">
        <v>0</v>
      </c>
      <c r="DD129" s="2835"/>
      <c r="DE129" s="2788">
        <v>0</v>
      </c>
      <c r="DF129" s="2788">
        <v>0</v>
      </c>
      <c r="DG129" s="2788">
        <v>0</v>
      </c>
      <c r="DH129" s="2788">
        <v>0</v>
      </c>
      <c r="DI129" s="2835"/>
      <c r="DJ129" s="2835"/>
      <c r="DK129" s="1364"/>
      <c r="DL129" s="1477"/>
      <c r="DM129" s="186"/>
      <c r="DN129" s="2362"/>
      <c r="DO129" s="1477"/>
      <c r="DP129" s="2362"/>
      <c r="DQ129" s="2362"/>
      <c r="DR129" s="2362"/>
      <c r="DS129" s="2362"/>
      <c r="DT129" s="2362"/>
      <c r="DU129" s="875"/>
      <c r="DV129" s="875"/>
      <c r="DW129" s="875"/>
      <c r="EB129" s="1577"/>
    </row>
    <row r="130" spans="1:132" ht="6" hidden="1" customHeight="1" outlineLevel="1">
      <c r="A130" s="1494"/>
      <c r="B130" s="1774"/>
      <c r="C130" s="1774"/>
      <c r="D130" s="1774"/>
      <c r="E130" s="1774"/>
      <c r="F130" s="1774"/>
      <c r="G130" s="1774"/>
      <c r="H130" s="1774"/>
      <c r="I130" s="1774"/>
      <c r="J130" s="1774"/>
      <c r="K130" s="1774"/>
      <c r="L130" s="1774"/>
      <c r="M130" s="1774"/>
      <c r="N130" s="1774"/>
      <c r="O130" s="2734"/>
      <c r="P130" s="2734"/>
      <c r="Q130" s="1774"/>
      <c r="R130" s="2831"/>
      <c r="S130" s="2832"/>
      <c r="T130" s="2831"/>
      <c r="U130" s="2831"/>
      <c r="V130" s="2831"/>
      <c r="W130" s="2831"/>
      <c r="X130" s="2831"/>
      <c r="Y130" s="2831"/>
      <c r="Z130" s="2831"/>
      <c r="AA130" s="2831"/>
      <c r="AB130" s="2831"/>
      <c r="AC130" s="2831"/>
      <c r="AD130" s="2831"/>
      <c r="AE130" s="2831"/>
      <c r="AF130" s="2790"/>
      <c r="AG130" s="1372"/>
      <c r="AH130" s="1372"/>
      <c r="AI130" s="1372"/>
      <c r="AJ130" s="1372"/>
      <c r="AK130" s="1372"/>
      <c r="AL130" s="2968"/>
      <c r="AM130" s="2831"/>
      <c r="AN130" s="2831"/>
      <c r="AO130" s="2831"/>
      <c r="AP130" s="2831"/>
      <c r="AQ130" s="2969"/>
      <c r="AR130" s="2831"/>
      <c r="AS130" s="2831"/>
      <c r="AT130" s="2831"/>
      <c r="AU130" s="2831"/>
      <c r="AV130" s="2969"/>
      <c r="AW130" s="2831"/>
      <c r="AX130" s="2831"/>
      <c r="AY130" s="2831"/>
      <c r="AZ130" s="2831"/>
      <c r="BA130" s="2969"/>
      <c r="BB130" s="2831"/>
      <c r="BC130" s="2831"/>
      <c r="BD130" s="2831"/>
      <c r="BE130" s="2831"/>
      <c r="BF130" s="2969"/>
      <c r="BG130" s="2831"/>
      <c r="BH130" s="2831"/>
      <c r="BI130" s="2831"/>
      <c r="BJ130" s="2831"/>
      <c r="BK130" s="2969"/>
      <c r="BL130" s="2831"/>
      <c r="BM130" s="2831"/>
      <c r="BN130" s="2831"/>
      <c r="BO130" s="2831"/>
      <c r="BP130" s="2969"/>
      <c r="BQ130" s="2976"/>
      <c r="BR130" s="2976"/>
      <c r="BS130" s="2976"/>
      <c r="BT130" s="2976"/>
      <c r="BU130" s="2862"/>
      <c r="BV130" s="2976"/>
      <c r="BW130" s="2976"/>
      <c r="BX130" s="2976"/>
      <c r="BY130" s="2976"/>
      <c r="BZ130" s="2862"/>
      <c r="CA130" s="2976"/>
      <c r="CB130" s="2976"/>
      <c r="CC130" s="2976"/>
      <c r="CD130" s="2976"/>
      <c r="CE130" s="2862"/>
      <c r="CF130" s="2976"/>
      <c r="CG130" s="2976"/>
      <c r="CH130" s="2976"/>
      <c r="CI130" s="2976"/>
      <c r="CJ130" s="2862"/>
      <c r="CK130" s="2977"/>
      <c r="CL130" s="2977"/>
      <c r="CM130" s="2977"/>
      <c r="CN130" s="2976"/>
      <c r="CO130" s="2862"/>
      <c r="CP130" s="2977"/>
      <c r="CQ130" s="2977"/>
      <c r="CR130" s="2977"/>
      <c r="CS130" s="2976"/>
      <c r="CT130" s="2835"/>
      <c r="CU130" s="2976"/>
      <c r="CV130" s="2976"/>
      <c r="CW130" s="2976"/>
      <c r="CX130" s="2976"/>
      <c r="CY130" s="2835"/>
      <c r="CZ130" s="2976"/>
      <c r="DA130" s="2976"/>
      <c r="DB130" s="2976"/>
      <c r="DC130" s="2976"/>
      <c r="DD130" s="2835"/>
      <c r="DE130" s="2976"/>
      <c r="DF130" s="2976"/>
      <c r="DG130" s="2976"/>
      <c r="DH130" s="2976"/>
      <c r="DI130" s="2835"/>
      <c r="DJ130" s="2835"/>
      <c r="DK130" s="1642"/>
      <c r="DL130" s="1477"/>
      <c r="DM130" s="186"/>
      <c r="DN130" s="2362"/>
      <c r="DO130" s="1477"/>
      <c r="DP130" s="186"/>
      <c r="DQ130" s="186"/>
      <c r="DR130" s="186"/>
      <c r="DS130" s="186"/>
      <c r="DT130" s="186"/>
      <c r="DU130" s="875"/>
      <c r="DV130" s="875"/>
      <c r="DW130" s="875"/>
      <c r="EB130" s="1577"/>
    </row>
    <row r="131" spans="1:132" ht="11.25" customHeight="1" collapsed="1">
      <c r="A131" s="1833" t="s">
        <v>713</v>
      </c>
      <c r="B131" s="1105">
        <f t="shared" ref="B131:H131" si="211">+B128+B123</f>
        <v>3770.4888700000001</v>
      </c>
      <c r="C131" s="1105">
        <f t="shared" si="211"/>
        <v>3772.9615372499998</v>
      </c>
      <c r="D131" s="1105">
        <f t="shared" si="211"/>
        <v>3935.8486672575</v>
      </c>
      <c r="E131" s="1105">
        <f t="shared" si="211"/>
        <v>3905.6719534623671</v>
      </c>
      <c r="F131" s="1105">
        <f t="shared" si="211"/>
        <v>3812.2455187258324</v>
      </c>
      <c r="G131" s="1105">
        <f t="shared" si="211"/>
        <v>3428.401951943526</v>
      </c>
      <c r="H131" s="1105">
        <f t="shared" si="211"/>
        <v>2950.3999999999996</v>
      </c>
      <c r="I131" s="1105">
        <f t="shared" ref="I131:R131" si="212">+I128+I123</f>
        <v>2359.6999999999998</v>
      </c>
      <c r="J131" s="1105">
        <f t="shared" si="212"/>
        <v>2782.5</v>
      </c>
      <c r="K131" s="1105">
        <f t="shared" si="212"/>
        <v>2689</v>
      </c>
      <c r="L131" s="1105">
        <f t="shared" si="212"/>
        <v>2774</v>
      </c>
      <c r="M131" s="1105">
        <f t="shared" si="212"/>
        <v>2696</v>
      </c>
      <c r="N131" s="1105">
        <f t="shared" si="212"/>
        <v>2756</v>
      </c>
      <c r="O131" s="2714">
        <f t="shared" si="212"/>
        <v>2696</v>
      </c>
      <c r="P131" s="2714">
        <f t="shared" si="212"/>
        <v>2756</v>
      </c>
      <c r="Q131" s="1105">
        <f t="shared" si="212"/>
        <v>2824</v>
      </c>
      <c r="R131" s="2804">
        <f t="shared" si="212"/>
        <v>2999</v>
      </c>
      <c r="S131" s="2826">
        <f>S123+S128</f>
        <v>1779</v>
      </c>
      <c r="T131" s="2804">
        <f>+T128+T123</f>
        <v>1700.7411614228972</v>
      </c>
      <c r="U131" s="2804">
        <f>+U128+U123</f>
        <v>1920.5893655468399</v>
      </c>
      <c r="V131" s="2804">
        <f>+V128+V123</f>
        <v>2025.7623154034393</v>
      </c>
      <c r="W131" s="2804">
        <f t="shared" ref="W131:AB131" si="213">+W128+W123</f>
        <v>2435.2873748755487</v>
      </c>
      <c r="X131" s="2804">
        <f t="shared" si="213"/>
        <v>2524.3851475984839</v>
      </c>
      <c r="Y131" s="2804">
        <f t="shared" si="213"/>
        <v>2746.943930220737</v>
      </c>
      <c r="Z131" s="2804">
        <f t="shared" si="213"/>
        <v>2701.1471433444613</v>
      </c>
      <c r="AA131" s="2804">
        <f t="shared" si="213"/>
        <v>2905.0513232198464</v>
      </c>
      <c r="AB131" s="2804">
        <f t="shared" si="213"/>
        <v>2882.1072827233056</v>
      </c>
      <c r="AC131" s="2804">
        <f>+AC128+AC123</f>
        <v>2995.8345860373629</v>
      </c>
      <c r="AD131" s="2804">
        <f>+AD128+AD123</f>
        <v>2976.5813110999084</v>
      </c>
      <c r="AE131" s="2804">
        <f>+AE128+AE123</f>
        <v>3233.1004596241578</v>
      </c>
      <c r="AF131" s="2804"/>
      <c r="AG131" s="1105"/>
      <c r="AH131" s="1105"/>
      <c r="AI131" s="1105"/>
      <c r="AJ131" s="1105"/>
      <c r="AK131" s="1105"/>
      <c r="AL131" s="2978" t="str">
        <f t="shared" si="186"/>
        <v xml:space="preserve">Local Broadcasting </v>
      </c>
      <c r="AM131" s="2804">
        <f>+AM128+AM123</f>
        <v>870.53124480960014</v>
      </c>
      <c r="AN131" s="2804">
        <f>+AN128+AN123</f>
        <v>1028.4481139580528</v>
      </c>
      <c r="AO131" s="2804">
        <f>+AO128+AO123</f>
        <v>956.84551571141196</v>
      </c>
      <c r="AP131" s="2804">
        <f>+AP128+AP123</f>
        <v>1080.0237927784349</v>
      </c>
      <c r="AQ131" s="2835">
        <f>D131-SUM(AM131:AP131)</f>
        <v>0</v>
      </c>
      <c r="AR131" s="2804">
        <f>+AR128+AR123</f>
        <v>861.27235678520015</v>
      </c>
      <c r="AS131" s="2804">
        <f>+AS128+AS123</f>
        <v>1014.7836705393113</v>
      </c>
      <c r="AT131" s="2804">
        <f>+AT128+AT123</f>
        <v>973.60040995356451</v>
      </c>
      <c r="AU131" s="2804">
        <f>+AU128+AU123</f>
        <v>1056.0155161842911</v>
      </c>
      <c r="AV131" s="2835">
        <f>E131-SUM(AR131:AU131)</f>
        <v>0</v>
      </c>
      <c r="AW131" s="2804">
        <f>+AW128+AW123</f>
        <v>843.00827469157343</v>
      </c>
      <c r="AX131" s="2804">
        <f>+AX128+AX123</f>
        <v>987.9578368007933</v>
      </c>
      <c r="AY131" s="2804">
        <f>+AY128+AY123</f>
        <v>962.37961104887904</v>
      </c>
      <c r="AZ131" s="2804">
        <f>+AZ128+AZ123</f>
        <v>1018.8997961845866</v>
      </c>
      <c r="BA131" s="2835">
        <f>F131-SUM(AW131:AZ131)</f>
        <v>0</v>
      </c>
      <c r="BB131" s="2804">
        <f>+BB128+BB123</f>
        <v>834.79488348861855</v>
      </c>
      <c r="BC131" s="2804">
        <f>+BC128+BC123</f>
        <v>900.81293503010272</v>
      </c>
      <c r="BD131" s="2804">
        <f>+BD128+BD123</f>
        <v>866.95122271741275</v>
      </c>
      <c r="BE131" s="2804">
        <f>+BE128+BE123</f>
        <v>825.84291070739209</v>
      </c>
      <c r="BF131" s="2835">
        <f>G131-SUM(BB131:BE131)</f>
        <v>0</v>
      </c>
      <c r="BG131" s="2829">
        <v>733.3</v>
      </c>
      <c r="BH131" s="2829">
        <v>775.4</v>
      </c>
      <c r="BI131" s="2829">
        <v>705.9</v>
      </c>
      <c r="BJ131" s="2829">
        <v>735.8</v>
      </c>
      <c r="BK131" s="2835">
        <f>H131-SUM(BG131:BJ131)</f>
        <v>0</v>
      </c>
      <c r="BL131" s="2829">
        <v>510.4</v>
      </c>
      <c r="BM131" s="2829">
        <v>579.5</v>
      </c>
      <c r="BN131" s="2829">
        <v>589.79999999999995</v>
      </c>
      <c r="BO131" s="2829">
        <v>680</v>
      </c>
      <c r="BP131" s="2835">
        <f>I131-SUM(BL131:BO131)</f>
        <v>0</v>
      </c>
      <c r="BQ131" s="2829">
        <v>605.5</v>
      </c>
      <c r="BR131" s="2829">
        <v>678.2</v>
      </c>
      <c r="BS131" s="2829">
        <v>677.3</v>
      </c>
      <c r="BT131" s="2829">
        <v>821.5</v>
      </c>
      <c r="BU131" s="2835">
        <f>J131-SUM(BQ131:BT131)</f>
        <v>0</v>
      </c>
      <c r="BV131" s="2829">
        <v>621</v>
      </c>
      <c r="BW131" s="2829">
        <v>691</v>
      </c>
      <c r="BX131" s="2829">
        <v>656</v>
      </c>
      <c r="BY131" s="2829">
        <v>721</v>
      </c>
      <c r="BZ131" s="2835">
        <f>K131-SUM(BV131:BY131)</f>
        <v>0</v>
      </c>
      <c r="CA131" s="2829">
        <v>622</v>
      </c>
      <c r="CB131" s="2829">
        <v>704</v>
      </c>
      <c r="CC131" s="2829">
        <v>661</v>
      </c>
      <c r="CD131" s="2829">
        <v>787</v>
      </c>
      <c r="CE131" s="2835">
        <f>L131-SUM(CA131:CD131)</f>
        <v>0</v>
      </c>
      <c r="CF131" s="2829">
        <v>638</v>
      </c>
      <c r="CG131" s="2829">
        <v>698</v>
      </c>
      <c r="CH131" s="2829">
        <v>641</v>
      </c>
      <c r="CI131" s="2829">
        <v>719</v>
      </c>
      <c r="CJ131" s="2835">
        <f>M131-SUM(CF131:CI131)</f>
        <v>0</v>
      </c>
      <c r="CK131" s="2829">
        <v>626</v>
      </c>
      <c r="CL131" s="2829">
        <v>665</v>
      </c>
      <c r="CM131" s="2829">
        <v>680</v>
      </c>
      <c r="CN131" s="2829">
        <v>785</v>
      </c>
      <c r="CO131" s="2835">
        <f>$N131-SUM(CK131:CN131)</f>
        <v>0</v>
      </c>
      <c r="CP131" s="2829">
        <f>CP123+CP128</f>
        <v>646</v>
      </c>
      <c r="CQ131" s="2829">
        <f>CQ123+CQ128</f>
        <v>705</v>
      </c>
      <c r="CR131" s="2829">
        <f>CR123+CR128</f>
        <v>694</v>
      </c>
      <c r="CS131" s="2829">
        <f>CS123+CS128</f>
        <v>779</v>
      </c>
      <c r="CT131" s="2835">
        <f>Q131-SUM(CP131:CS131)</f>
        <v>0</v>
      </c>
      <c r="CU131" s="2829">
        <f>CU123+CU128</f>
        <v>448</v>
      </c>
      <c r="CV131" s="2829">
        <f>CV123+CV128</f>
        <v>396</v>
      </c>
      <c r="CW131" s="2829">
        <f>CW123+CW128</f>
        <v>409</v>
      </c>
      <c r="CX131" s="2829">
        <f>CX123+CX128</f>
        <v>526</v>
      </c>
      <c r="CY131" s="2835">
        <f>S131-SUM(CU131:CX131)</f>
        <v>0</v>
      </c>
      <c r="CZ131" s="2829">
        <f>CZ123+CZ128</f>
        <v>409</v>
      </c>
      <c r="DA131" s="2829">
        <f>DA123+DA128</f>
        <v>412</v>
      </c>
      <c r="DB131" s="2829">
        <f>DB123+DB128</f>
        <v>397</v>
      </c>
      <c r="DC131" s="2804">
        <f>+DC128+DC123</f>
        <v>482.74116142289699</v>
      </c>
      <c r="DD131" s="2835">
        <f>T131-SUM(CZ131:DC131)</f>
        <v>0</v>
      </c>
      <c r="DE131" s="2804">
        <f t="shared" ref="DE131:DG131" si="214">+DE128+DE123</f>
        <v>449.61840248096553</v>
      </c>
      <c r="DF131" s="2804">
        <f t="shared" si="214"/>
        <v>444.07812600658212</v>
      </c>
      <c r="DG131" s="2804">
        <f t="shared" si="214"/>
        <v>452.71003181943894</v>
      </c>
      <c r="DH131" s="2804">
        <f>+DH128+DH123</f>
        <v>574.18280523985322</v>
      </c>
      <c r="DI131" s="2835">
        <f t="shared" si="188"/>
        <v>0</v>
      </c>
      <c r="DJ131" s="2835"/>
      <c r="DK131" s="1105"/>
      <c r="DL131" s="1477"/>
      <c r="DM131" s="1477"/>
      <c r="DN131" s="1477"/>
      <c r="DO131" s="1477"/>
      <c r="DP131" s="2362"/>
      <c r="DQ131" s="2362"/>
      <c r="DR131" s="2362"/>
      <c r="DS131" s="2362"/>
      <c r="DT131" s="2362"/>
      <c r="DU131" s="875"/>
      <c r="DV131" s="875"/>
      <c r="DW131" s="875"/>
      <c r="EB131" s="1577"/>
    </row>
    <row r="132" spans="1:132" ht="11.25" customHeight="1">
      <c r="A132" s="1835" t="s">
        <v>344</v>
      </c>
      <c r="B132" s="1847"/>
      <c r="C132" s="1476">
        <f>C131/B131-1</f>
        <v>6.5579486778855056E-4</v>
      </c>
      <c r="D132" s="1476">
        <f t="shared" ref="D132:J132" si="215">D131/C131-1</f>
        <v>4.3172221184694104E-2</v>
      </c>
      <c r="E132" s="1476">
        <f t="shared" si="215"/>
        <v>-7.6671428061181324E-3</v>
      </c>
      <c r="F132" s="1476">
        <f t="shared" si="215"/>
        <v>-2.3920707076720116E-2</v>
      </c>
      <c r="G132" s="1476">
        <f t="shared" si="215"/>
        <v>-0.10068700058714963</v>
      </c>
      <c r="H132" s="1476">
        <f t="shared" si="215"/>
        <v>-0.13942412781341229</v>
      </c>
      <c r="I132" s="1476">
        <f t="shared" si="215"/>
        <v>-0.20021014099783074</v>
      </c>
      <c r="J132" s="1476">
        <f t="shared" si="215"/>
        <v>0.17917531889646998</v>
      </c>
      <c r="K132" s="1476">
        <f t="shared" ref="K132:W132" si="216">K131/J131-1</f>
        <v>-3.3602875112309083E-2</v>
      </c>
      <c r="L132" s="1476">
        <f t="shared" si="216"/>
        <v>3.1610264038676172E-2</v>
      </c>
      <c r="M132" s="1476">
        <f t="shared" si="216"/>
        <v>-2.8118240807498251E-2</v>
      </c>
      <c r="N132" s="1476">
        <f t="shared" si="216"/>
        <v>2.2255192878338326E-2</v>
      </c>
      <c r="O132" s="2725"/>
      <c r="P132" s="2725">
        <f t="shared" si="216"/>
        <v>2.2255192878338326E-2</v>
      </c>
      <c r="Q132" s="1476">
        <f t="shared" si="216"/>
        <v>2.467343976777947E-2</v>
      </c>
      <c r="R132" s="2833">
        <f t="shared" si="216"/>
        <v>6.1968838526912151E-2</v>
      </c>
      <c r="S132" s="2834"/>
      <c r="T132" s="2833">
        <f>T131/S131-1</f>
        <v>-4.3990353331704757E-2</v>
      </c>
      <c r="U132" s="2833">
        <f>U131/T131-1</f>
        <v>0.12926611592090254</v>
      </c>
      <c r="V132" s="2833">
        <f t="shared" si="216"/>
        <v>5.4760768617842404E-2</v>
      </c>
      <c r="W132" s="2833">
        <f t="shared" si="216"/>
        <v>0.20215849429035848</v>
      </c>
      <c r="X132" s="2833">
        <f t="shared" ref="X132:AE132" si="217">X131/W131-1</f>
        <v>3.6586143238018565E-2</v>
      </c>
      <c r="Y132" s="2833">
        <f t="shared" si="217"/>
        <v>8.8163560474905811E-2</v>
      </c>
      <c r="Z132" s="2833">
        <f t="shared" si="217"/>
        <v>-1.6671904501740498E-2</v>
      </c>
      <c r="AA132" s="2833">
        <f t="shared" si="217"/>
        <v>7.5487994194540109E-2</v>
      </c>
      <c r="AB132" s="2833">
        <f t="shared" si="217"/>
        <v>-7.897981117631514E-3</v>
      </c>
      <c r="AC132" s="2833">
        <f t="shared" si="217"/>
        <v>3.9459774448991514E-2</v>
      </c>
      <c r="AD132" s="2833">
        <f t="shared" si="217"/>
        <v>-6.4266815755409379E-3</v>
      </c>
      <c r="AE132" s="2833">
        <f t="shared" si="217"/>
        <v>8.6179116816889501E-2</v>
      </c>
      <c r="AF132" s="2833"/>
      <c r="AG132" s="1476"/>
      <c r="AH132" s="1476"/>
      <c r="AI132" s="1476"/>
      <c r="AJ132" s="1476"/>
      <c r="AK132" s="1476"/>
      <c r="AL132" s="1835" t="str">
        <f t="shared" si="186"/>
        <v xml:space="preserve">% Change </v>
      </c>
      <c r="AM132" s="1770" t="s">
        <v>1455</v>
      </c>
      <c r="AN132" s="1770" t="s">
        <v>1455</v>
      </c>
      <c r="AO132" s="1770" t="s">
        <v>1455</v>
      </c>
      <c r="AP132" s="1770" t="s">
        <v>1455</v>
      </c>
      <c r="AQ132" s="1845"/>
      <c r="AR132" s="1364">
        <f>AR131/AM131-1</f>
        <v>-1.0635905465317452E-2</v>
      </c>
      <c r="AS132" s="1364">
        <f>AS131/AN131-1</f>
        <v>-1.3286468450170896E-2</v>
      </c>
      <c r="AT132" s="1364">
        <f>AT131/AO131-1</f>
        <v>1.7510553132179751E-2</v>
      </c>
      <c r="AU132" s="1364">
        <f>AU131/AP131-1</f>
        <v>-2.2229396013934921E-2</v>
      </c>
      <c r="AV132" s="1845"/>
      <c r="AW132" s="1364">
        <f>AW131/AR131-1</f>
        <v>-2.1205930911099458E-2</v>
      </c>
      <c r="AX132" s="1364">
        <f>AX131/AS131-1</f>
        <v>-2.643502700852618E-2</v>
      </c>
      <c r="AY132" s="1364">
        <f>AY131/AT131-1</f>
        <v>-1.1525055649083682E-2</v>
      </c>
      <c r="AZ132" s="1364">
        <f>AZ131/AU131-1</f>
        <v>-3.5146945694334963E-2</v>
      </c>
      <c r="BA132" s="1845"/>
      <c r="BB132" s="1364">
        <f>BB131/AW131-1</f>
        <v>-9.7429544282466862E-3</v>
      </c>
      <c r="BC132" s="1364">
        <f>BC131/AX131-1</f>
        <v>-8.820710613813576E-2</v>
      </c>
      <c r="BD132" s="1364">
        <f>BD131/AY131-1</f>
        <v>-9.9158780210919839E-2</v>
      </c>
      <c r="BE132" s="1364">
        <f>BE131/AZ131-1</f>
        <v>-0.18947583089144115</v>
      </c>
      <c r="BF132" s="1845"/>
      <c r="BG132" s="1364">
        <f>BG131/BB131-1</f>
        <v>-0.12158062476912912</v>
      </c>
      <c r="BH132" s="1364">
        <f>BH131/BC131-1</f>
        <v>-0.13922195180946395</v>
      </c>
      <c r="BI132" s="1364">
        <f>BI131/BD131-1</f>
        <v>-0.18576734018853591</v>
      </c>
      <c r="BJ132" s="1364">
        <f>BJ131/BE131-1</f>
        <v>-0.10903152347734524</v>
      </c>
      <c r="BK132" s="1845"/>
      <c r="BL132" s="1364">
        <f>BL131/BG131-1</f>
        <v>-0.30396836219828172</v>
      </c>
      <c r="BM132" s="1364">
        <f>BM131/BH131-1</f>
        <v>-0.25264379675006443</v>
      </c>
      <c r="BN132" s="1364">
        <f>BN131/BI131-1</f>
        <v>-0.16447088822779432</v>
      </c>
      <c r="BO132" s="1364">
        <f>BO131/BJ131-1</f>
        <v>-7.5835824952432684E-2</v>
      </c>
      <c r="BP132" s="1845"/>
      <c r="BQ132" s="1364">
        <f>BQ131/BL131-1</f>
        <v>0.18632445141065834</v>
      </c>
      <c r="BR132" s="1364">
        <f>BR131/BM131-1</f>
        <v>0.1703192407247629</v>
      </c>
      <c r="BS132" s="1364">
        <f>BS131/BN131-1</f>
        <v>0.1483553747032893</v>
      </c>
      <c r="BT132" s="1364">
        <f>BT131/BO131-1</f>
        <v>0.20808823529411757</v>
      </c>
      <c r="BU132" s="1477"/>
      <c r="BV132" s="1364">
        <f>BV131/BQ131-1</f>
        <v>2.5598678777869477E-2</v>
      </c>
      <c r="BW132" s="1364">
        <f>BW131/BR131-1</f>
        <v>1.8873488646417025E-2</v>
      </c>
      <c r="BX132" s="1364">
        <f>BX131/BS131-1</f>
        <v>-3.1448398051085125E-2</v>
      </c>
      <c r="BY132" s="1364">
        <f>BY131/BT131-1</f>
        <v>-0.12233718807060256</v>
      </c>
      <c r="BZ132" s="1477"/>
      <c r="CA132" s="1364">
        <f>CA131/BV131-1</f>
        <v>1.6103059581320522E-3</v>
      </c>
      <c r="CB132" s="1364">
        <f>CB131/BW131-1</f>
        <v>1.8813314037626538E-2</v>
      </c>
      <c r="CC132" s="1364">
        <f>CC131/BX131-1</f>
        <v>7.6219512195121464E-3</v>
      </c>
      <c r="CD132" s="1364">
        <f>CD131/BY131-1</f>
        <v>9.1539528432732276E-2</v>
      </c>
      <c r="CE132" s="1477"/>
      <c r="CF132" s="1364">
        <f>CF131/CA131-1</f>
        <v>2.5723472668810254E-2</v>
      </c>
      <c r="CG132" s="1364">
        <f>CG131/CB131-1</f>
        <v>-8.5227272727272929E-3</v>
      </c>
      <c r="CH132" s="1364">
        <f>CH131/CC131-1</f>
        <v>-3.0257186081694365E-2</v>
      </c>
      <c r="CI132" s="1364">
        <f>CI131/CD131-1</f>
        <v>-8.640406607369755E-2</v>
      </c>
      <c r="CJ132" s="1477"/>
      <c r="CK132" s="1364">
        <f>CK131/CF131-1</f>
        <v>-1.8808777429467072E-2</v>
      </c>
      <c r="CL132" s="1364">
        <f>CL131/CG131-1</f>
        <v>-4.7277936962750733E-2</v>
      </c>
      <c r="CM132" s="1364">
        <f>CM131/CH131-1</f>
        <v>6.0842433697347875E-2</v>
      </c>
      <c r="CN132" s="1364">
        <f>CN131/CI131-1</f>
        <v>9.1794158553546668E-2</v>
      </c>
      <c r="CO132" s="1477"/>
      <c r="CP132" s="1364">
        <f>CP131/CK131-1</f>
        <v>3.1948881789137351E-2</v>
      </c>
      <c r="CQ132" s="1364">
        <f>CQ131/CL131-1</f>
        <v>6.0150375939849621E-2</v>
      </c>
      <c r="CR132" s="2008">
        <f>CR131/CM131-1</f>
        <v>2.0588235294117574E-2</v>
      </c>
      <c r="CS132" s="1364">
        <f>CS131/CN131-1</f>
        <v>-7.6433121019108263E-3</v>
      </c>
      <c r="CT132" s="1741"/>
      <c r="CU132" s="1364">
        <f>CU131/CP131-1</f>
        <v>-0.30650154798761609</v>
      </c>
      <c r="CV132" s="1364">
        <f>CV131/CQ131-1</f>
        <v>-0.4382978723404255</v>
      </c>
      <c r="CW132" s="1364">
        <f>CW131/CR131-1</f>
        <v>-0.41066282420749278</v>
      </c>
      <c r="CX132" s="2827">
        <f>CX131/CS131-1</f>
        <v>-0.32477535301668803</v>
      </c>
      <c r="CY132" s="2835"/>
      <c r="CZ132" s="2827">
        <f>CZ131/CU131-1</f>
        <v>-8.7053571428571397E-2</v>
      </c>
      <c r="DA132" s="2827">
        <f>DA131/CV131-1</f>
        <v>4.0404040404040442E-2</v>
      </c>
      <c r="DB132" s="2827">
        <f>DB131/CW131-1</f>
        <v>-2.933985330073352E-2</v>
      </c>
      <c r="DC132" s="2827">
        <f>DC131/CX131-1</f>
        <v>-8.224113797928323E-2</v>
      </c>
      <c r="DD132" s="2835"/>
      <c r="DE132" s="2827">
        <f t="shared" ref="DE132:DG132" si="218">DE131/CZ131-1</f>
        <v>9.9311497508473234E-2</v>
      </c>
      <c r="DF132" s="2827">
        <f t="shared" si="218"/>
        <v>7.7859529142189521E-2</v>
      </c>
      <c r="DG132" s="2827">
        <f t="shared" si="218"/>
        <v>0.14032753606911563</v>
      </c>
      <c r="DH132" s="2827">
        <f>DH131/DC131-1</f>
        <v>0.1894216841742451</v>
      </c>
      <c r="DI132" s="2835"/>
      <c r="DJ132" s="2835"/>
      <c r="DK132" s="1364"/>
      <c r="DL132" s="1477"/>
      <c r="DM132" s="1477"/>
      <c r="DN132" s="1477"/>
      <c r="DO132" s="1477"/>
      <c r="DP132" s="186"/>
      <c r="DQ132" s="186"/>
      <c r="DR132" s="186"/>
      <c r="DS132" s="186"/>
      <c r="DT132" s="186"/>
      <c r="DU132" s="875"/>
      <c r="DV132" s="875"/>
      <c r="DW132" s="875"/>
      <c r="EB132" s="1577"/>
    </row>
    <row r="133" spans="1:132" ht="6" customHeight="1">
      <c r="A133" s="1494"/>
      <c r="B133" s="1372"/>
      <c r="C133" s="1372"/>
      <c r="D133" s="1372"/>
      <c r="E133" s="1372"/>
      <c r="F133" s="1372"/>
      <c r="G133" s="1372"/>
      <c r="H133" s="1372"/>
      <c r="I133" s="1372"/>
      <c r="J133" s="1372"/>
      <c r="K133" s="1372"/>
      <c r="L133" s="1372"/>
      <c r="M133" s="1372"/>
      <c r="N133" s="1372"/>
      <c r="O133" s="2730"/>
      <c r="P133" s="2730"/>
      <c r="Q133" s="1372"/>
      <c r="R133" s="2790"/>
      <c r="S133" s="2789"/>
      <c r="T133" s="2790"/>
      <c r="U133" s="2790"/>
      <c r="V133" s="2790"/>
      <c r="W133" s="2790"/>
      <c r="X133" s="2790"/>
      <c r="Y133" s="1372"/>
      <c r="Z133" s="1372"/>
      <c r="AA133" s="1372"/>
      <c r="AB133" s="1372"/>
      <c r="AC133" s="1372"/>
      <c r="AD133" s="1372"/>
      <c r="AE133" s="1372"/>
      <c r="AF133" s="1372"/>
      <c r="AG133" s="1372"/>
      <c r="AH133" s="1372"/>
      <c r="AI133" s="1372"/>
      <c r="AJ133" s="1372"/>
      <c r="AK133" s="1372"/>
      <c r="AL133" s="1806"/>
      <c r="AM133" s="1372"/>
      <c r="AN133" s="1372"/>
      <c r="AO133" s="1372"/>
      <c r="AP133" s="1372"/>
      <c r="AQ133" s="1799"/>
      <c r="AR133" s="1372"/>
      <c r="AS133" s="1372"/>
      <c r="AT133" s="1372"/>
      <c r="AU133" s="1372"/>
      <c r="AV133" s="1799"/>
      <c r="AW133" s="1372"/>
      <c r="AX133" s="1372"/>
      <c r="AY133" s="1372"/>
      <c r="AZ133" s="1372"/>
      <c r="BA133" s="1799"/>
      <c r="BB133" s="1372"/>
      <c r="BC133" s="1372"/>
      <c r="BD133" s="1372"/>
      <c r="BE133" s="1372"/>
      <c r="BF133" s="1799"/>
      <c r="BG133" s="1372"/>
      <c r="BH133" s="1372"/>
      <c r="BI133" s="1372"/>
      <c r="BJ133" s="1372"/>
      <c r="BK133" s="1799"/>
      <c r="BL133" s="1372"/>
      <c r="BM133" s="1372"/>
      <c r="BN133" s="1372"/>
      <c r="BO133" s="1372"/>
      <c r="BP133" s="1799"/>
      <c r="BQ133" s="1108"/>
      <c r="BR133" s="1108"/>
      <c r="BS133" s="1108"/>
      <c r="BT133" s="1108"/>
      <c r="BU133" s="1108"/>
      <c r="BV133" s="1108"/>
      <c r="BW133" s="1108"/>
      <c r="BX133" s="1108"/>
      <c r="BY133" s="1108"/>
      <c r="BZ133" s="1108"/>
      <c r="CA133" s="1108"/>
      <c r="CB133" s="1108"/>
      <c r="CC133" s="1108"/>
      <c r="CD133" s="1108"/>
      <c r="CE133" s="1108"/>
      <c r="CF133" s="1108"/>
      <c r="CG133" s="1108"/>
      <c r="CH133" s="1108"/>
      <c r="CI133" s="1108"/>
      <c r="CJ133" s="1108"/>
      <c r="CK133" s="1470"/>
      <c r="CL133" s="1470"/>
      <c r="CM133" s="1470"/>
      <c r="CN133" s="1108"/>
      <c r="CO133" s="1108"/>
      <c r="CP133" s="1470"/>
      <c r="CQ133" s="1470"/>
      <c r="CR133" s="1470"/>
      <c r="CS133" s="1108"/>
      <c r="CT133" s="1741"/>
      <c r="CU133" s="1741"/>
      <c r="CV133" s="1741"/>
      <c r="CW133" s="1741"/>
      <c r="CX133" s="2835"/>
      <c r="CY133" s="2835"/>
      <c r="CZ133" s="2835"/>
      <c r="DA133" s="2835"/>
      <c r="DB133" s="2835"/>
      <c r="DC133" s="2835"/>
      <c r="DD133" s="2835"/>
      <c r="DE133" s="2835"/>
      <c r="DF133" s="2835"/>
      <c r="DG133" s="2835"/>
      <c r="DH133" s="2835"/>
      <c r="DI133" s="2835"/>
      <c r="DJ133" s="2835"/>
      <c r="DK133" s="1108"/>
      <c r="DL133" s="1477"/>
      <c r="DM133" s="1477"/>
      <c r="DN133" s="1477"/>
      <c r="DO133" s="1477"/>
      <c r="DP133" s="2362"/>
      <c r="DQ133" s="2362"/>
      <c r="DR133" s="2362"/>
      <c r="DS133" s="2362"/>
      <c r="DT133" s="2362"/>
      <c r="DU133" s="875"/>
      <c r="DV133" s="875"/>
      <c r="DW133" s="875"/>
      <c r="EB133" s="1577"/>
    </row>
    <row r="134" spans="1:132" ht="11.25" hidden="1" customHeight="1" outlineLevel="1">
      <c r="A134" s="1826" t="s">
        <v>760</v>
      </c>
      <c r="B134" s="1105">
        <v>957.56400000000019</v>
      </c>
      <c r="C134" s="1105">
        <v>964.27854212891884</v>
      </c>
      <c r="D134" s="1105">
        <v>1027.4304043616453</v>
      </c>
      <c r="E134" s="1105">
        <v>1070.4727275382495</v>
      </c>
      <c r="F134" s="1105">
        <v>1167.526924606623</v>
      </c>
      <c r="G134" s="1105">
        <v>1224.8673999999999</v>
      </c>
      <c r="H134" s="1105">
        <v>1298.3</v>
      </c>
      <c r="I134" s="1105">
        <v>1077.5889999999999</v>
      </c>
      <c r="J134" s="1105">
        <v>1183.192722</v>
      </c>
      <c r="K134" s="1105">
        <v>1286</v>
      </c>
      <c r="L134" s="1105">
        <v>1284.5999999999999</v>
      </c>
      <c r="M134" s="1105">
        <v>1304</v>
      </c>
      <c r="N134" s="1741">
        <v>0</v>
      </c>
      <c r="O134" s="2733">
        <v>0</v>
      </c>
      <c r="P134" s="2733">
        <v>0</v>
      </c>
      <c r="Q134" s="1741">
        <v>0</v>
      </c>
      <c r="R134" s="2835">
        <v>0</v>
      </c>
      <c r="S134" s="2836"/>
      <c r="T134" s="2835">
        <v>0</v>
      </c>
      <c r="U134" s="2835">
        <v>0</v>
      </c>
      <c r="V134" s="2835">
        <v>0</v>
      </c>
      <c r="W134" s="2835">
        <v>0</v>
      </c>
      <c r="X134" s="2835">
        <v>0</v>
      </c>
      <c r="Y134" s="1741">
        <v>0</v>
      </c>
      <c r="Z134" s="1741">
        <v>0</v>
      </c>
      <c r="AA134" s="1741">
        <v>0</v>
      </c>
      <c r="AB134" s="1741">
        <v>0</v>
      </c>
      <c r="AC134" s="1741">
        <v>0</v>
      </c>
      <c r="AD134" s="1741">
        <v>0</v>
      </c>
      <c r="AE134" s="1741">
        <v>0</v>
      </c>
      <c r="AF134" s="1105"/>
      <c r="AG134" s="1105"/>
      <c r="AH134" s="1105"/>
      <c r="AI134" s="1105"/>
      <c r="AJ134" s="1105"/>
      <c r="AK134" s="1105"/>
      <c r="AL134" s="1826" t="str">
        <f t="shared" si="186"/>
        <v xml:space="preserve">Americas Outdoor </v>
      </c>
      <c r="AM134" s="1105">
        <v>229.89290999999997</v>
      </c>
      <c r="AN134" s="1105">
        <v>267.88142967947692</v>
      </c>
      <c r="AO134" s="1105">
        <v>264.38094489600007</v>
      </c>
      <c r="AP134" s="1105">
        <v>265.27511978616832</v>
      </c>
      <c r="AQ134" s="1741">
        <f>D134-SUM(AM134:AP134)</f>
        <v>0</v>
      </c>
      <c r="AR134" s="1105">
        <v>243.68648459999997</v>
      </c>
      <c r="AS134" s="1105">
        <v>278.596686866656</v>
      </c>
      <c r="AT134" s="1105">
        <v>274.95618269184007</v>
      </c>
      <c r="AU134" s="1105">
        <v>273.2333733797534</v>
      </c>
      <c r="AV134" s="1741">
        <f>E134-SUM(AR134:AU134)</f>
        <v>0</v>
      </c>
      <c r="AW134" s="1105">
        <v>268.05513306</v>
      </c>
      <c r="AX134" s="1105">
        <v>299.21284169478855</v>
      </c>
      <c r="AY134" s="1105">
        <v>299.7022391341057</v>
      </c>
      <c r="AZ134" s="1105">
        <v>300.55671071772878</v>
      </c>
      <c r="BA134" s="1741">
        <f>F134-SUM(AW134:AZ134)</f>
        <v>0</v>
      </c>
      <c r="BB134" s="1105">
        <v>289.19579999999996</v>
      </c>
      <c r="BC134" s="1105">
        <v>347.70400000000001</v>
      </c>
      <c r="BD134" s="1105">
        <v>316.39679999999998</v>
      </c>
      <c r="BE134" s="1105">
        <v>271.57079999999996</v>
      </c>
      <c r="BF134" s="1741">
        <f>G134-SUM(BB134:BE134)</f>
        <v>0</v>
      </c>
      <c r="BG134" s="1105">
        <v>298.14</v>
      </c>
      <c r="BH134" s="1105">
        <v>354.8</v>
      </c>
      <c r="BI134" s="1105">
        <v>329.58</v>
      </c>
      <c r="BJ134" s="1105">
        <v>315.77999999999997</v>
      </c>
      <c r="BK134" s="1741">
        <f>H134-SUM(BG134:BJ134)</f>
        <v>0</v>
      </c>
      <c r="BL134" s="1105">
        <v>244.47480000000002</v>
      </c>
      <c r="BM134" s="1105">
        <v>278.10000000000002</v>
      </c>
      <c r="BN134" s="1105">
        <v>263.00483993337031</v>
      </c>
      <c r="BO134" s="1105">
        <v>292.00936006662965</v>
      </c>
      <c r="BP134" s="1741">
        <f>I134-SUM(BL134:BO134)</f>
        <v>0</v>
      </c>
      <c r="BQ134" s="1105">
        <v>242.76347638728711</v>
      </c>
      <c r="BR134" s="1105">
        <v>307.57860000183666</v>
      </c>
      <c r="BS134" s="1105">
        <v>302.4555659468694</v>
      </c>
      <c r="BT134" s="1105">
        <v>330.39507966400674</v>
      </c>
      <c r="BU134" s="1741">
        <f>J134-SUM(BQ134:BT134)</f>
        <v>0</v>
      </c>
      <c r="BV134" s="1105">
        <v>279</v>
      </c>
      <c r="BW134" s="1105">
        <v>332</v>
      </c>
      <c r="BX134" s="1105">
        <v>333</v>
      </c>
      <c r="BY134" s="1105">
        <v>342</v>
      </c>
      <c r="BZ134" s="1741">
        <f>K134-SUM(BV134:BY134)</f>
        <v>0</v>
      </c>
      <c r="CA134" s="1635">
        <v>285.89999999999998</v>
      </c>
      <c r="CB134" s="1635">
        <v>331.4</v>
      </c>
      <c r="CC134" s="1635">
        <v>331.50000000000006</v>
      </c>
      <c r="CD134" s="1635">
        <v>335.79999999999995</v>
      </c>
      <c r="CE134" s="1741">
        <f>L134-SUM(CA134:CD134)</f>
        <v>0</v>
      </c>
      <c r="CF134" s="1635">
        <v>281</v>
      </c>
      <c r="CG134" s="1635">
        <v>335</v>
      </c>
      <c r="CH134" s="1635">
        <v>341</v>
      </c>
      <c r="CI134" s="1635">
        <v>347</v>
      </c>
      <c r="CJ134" s="1741">
        <f>M134-SUM(CF134:CI134)</f>
        <v>0</v>
      </c>
      <c r="CK134" s="1741">
        <v>0</v>
      </c>
      <c r="CL134" s="1741">
        <v>0</v>
      </c>
      <c r="CM134" s="1741">
        <v>0</v>
      </c>
      <c r="CN134" s="1741">
        <v>0</v>
      </c>
      <c r="CO134" s="2176"/>
      <c r="CP134" s="2176"/>
      <c r="CQ134" s="2176"/>
      <c r="CR134" s="2176"/>
      <c r="CS134" s="2176"/>
      <c r="CT134" s="2176"/>
      <c r="CU134" s="2176"/>
      <c r="CV134" s="2176"/>
      <c r="CW134" s="2176"/>
      <c r="CX134" s="2176"/>
      <c r="CY134" s="2176"/>
      <c r="CZ134" s="2176"/>
      <c r="DA134" s="2176"/>
      <c r="DB134" s="2176"/>
      <c r="DC134" s="2176"/>
      <c r="DD134" s="2176"/>
      <c r="DE134" s="2176"/>
      <c r="DF134" s="2176"/>
      <c r="DG134" s="2176"/>
      <c r="DH134" s="2176"/>
      <c r="DI134" s="2176"/>
      <c r="DJ134" s="2835"/>
      <c r="DK134" s="1105"/>
      <c r="DL134" s="1477"/>
      <c r="DM134" s="1477"/>
      <c r="DN134" s="1477"/>
      <c r="DO134" s="1477"/>
      <c r="DP134" s="186"/>
      <c r="DQ134" s="186"/>
      <c r="DR134" s="186"/>
      <c r="DS134" s="186"/>
      <c r="DT134" s="186"/>
      <c r="DU134" s="875"/>
      <c r="DV134" s="875"/>
      <c r="DW134" s="875"/>
      <c r="EB134" s="1577"/>
    </row>
    <row r="135" spans="1:132" ht="11.25" hidden="1" customHeight="1" outlineLevel="1">
      <c r="A135" s="1827" t="s">
        <v>344</v>
      </c>
      <c r="B135" s="1770" t="s">
        <v>1455</v>
      </c>
      <c r="C135" s="1364">
        <f t="shared" ref="C135:J135" si="219">C134/B134-1</f>
        <v>7.0121079415252918E-3</v>
      </c>
      <c r="D135" s="1364">
        <f t="shared" si="219"/>
        <v>6.5491307203933813E-2</v>
      </c>
      <c r="E135" s="1364">
        <f t="shared" si="219"/>
        <v>4.1893176407745925E-2</v>
      </c>
      <c r="F135" s="1364">
        <f t="shared" si="219"/>
        <v>9.0664801233719894E-2</v>
      </c>
      <c r="G135" s="1364">
        <f t="shared" si="219"/>
        <v>4.9112764926339203E-2</v>
      </c>
      <c r="H135" s="1364">
        <f t="shared" si="219"/>
        <v>5.9951469032484717E-2</v>
      </c>
      <c r="I135" s="1364">
        <f t="shared" si="219"/>
        <v>-0.17000000000000004</v>
      </c>
      <c r="J135" s="1364">
        <f t="shared" si="219"/>
        <v>9.8000000000000087E-2</v>
      </c>
      <c r="K135" s="1364">
        <f>K134/J134-1</f>
        <v>8.6889714657998107E-2</v>
      </c>
      <c r="L135" s="1364">
        <f>L134/K134-1</f>
        <v>-1.0886469673406785E-3</v>
      </c>
      <c r="M135" s="1364">
        <f>M134/L134-1</f>
        <v>1.5101977269188938E-2</v>
      </c>
      <c r="N135" s="1741">
        <v>0</v>
      </c>
      <c r="O135" s="2733">
        <v>0</v>
      </c>
      <c r="P135" s="2733">
        <v>0</v>
      </c>
      <c r="Q135" s="1741">
        <v>0</v>
      </c>
      <c r="R135" s="2835">
        <v>0</v>
      </c>
      <c r="S135" s="2836"/>
      <c r="T135" s="2835">
        <v>0</v>
      </c>
      <c r="U135" s="2835">
        <v>0</v>
      </c>
      <c r="V135" s="2835">
        <v>0</v>
      </c>
      <c r="W135" s="2835">
        <v>0</v>
      </c>
      <c r="X135" s="2835">
        <v>0</v>
      </c>
      <c r="Y135" s="1741">
        <v>0</v>
      </c>
      <c r="Z135" s="1741">
        <v>0</v>
      </c>
      <c r="AA135" s="1741">
        <v>0</v>
      </c>
      <c r="AB135" s="1741">
        <v>0</v>
      </c>
      <c r="AC135" s="1741">
        <v>0</v>
      </c>
      <c r="AD135" s="1741">
        <v>0</v>
      </c>
      <c r="AE135" s="1741">
        <v>0</v>
      </c>
      <c r="AF135" s="1364"/>
      <c r="AG135" s="1364"/>
      <c r="AH135" s="1364"/>
      <c r="AI135" s="1364"/>
      <c r="AJ135" s="1364"/>
      <c r="AK135" s="1364"/>
      <c r="AL135" s="1827" t="str">
        <f t="shared" si="186"/>
        <v xml:space="preserve">% Change </v>
      </c>
      <c r="AM135" s="1770" t="s">
        <v>1455</v>
      </c>
      <c r="AN135" s="1770" t="s">
        <v>1455</v>
      </c>
      <c r="AO135" s="1770" t="s">
        <v>1455</v>
      </c>
      <c r="AP135" s="1770" t="s">
        <v>1455</v>
      </c>
      <c r="AQ135" s="1811"/>
      <c r="AR135" s="1364">
        <f>AR134/AM134-1</f>
        <v>6.0000000000000053E-2</v>
      </c>
      <c r="AS135" s="1364">
        <f>AS134/AN134-1</f>
        <v>4.0000000000000036E-2</v>
      </c>
      <c r="AT135" s="1364">
        <f>AT134/AO134-1</f>
        <v>4.0000000000000036E-2</v>
      </c>
      <c r="AU135" s="1364">
        <f>AU134/AP134-1</f>
        <v>3.0000000000000027E-2</v>
      </c>
      <c r="AV135" s="1811"/>
      <c r="AW135" s="1364">
        <f>AW134/AR134-1</f>
        <v>0.10000000000000009</v>
      </c>
      <c r="AX135" s="1364">
        <f>AX134/AS134-1</f>
        <v>7.4000000000000066E-2</v>
      </c>
      <c r="AY135" s="1364">
        <f>AY134/AT134-1</f>
        <v>9.000000000000008E-2</v>
      </c>
      <c r="AZ135" s="1364">
        <f>AZ134/AU134-1</f>
        <v>0.10000000000000009</v>
      </c>
      <c r="BA135" s="1811"/>
      <c r="BB135" s="1364">
        <f>BB134/AW134-1</f>
        <v>7.8866861076926087E-2</v>
      </c>
      <c r="BC135" s="1364">
        <f>BC134/AX134-1</f>
        <v>0.16206242362643897</v>
      </c>
      <c r="BD135" s="1364">
        <f>BD134/AY134-1</f>
        <v>5.5703824282821168E-2</v>
      </c>
      <c r="BE135" s="1364">
        <f>BE134/AZ134-1</f>
        <v>-9.6440737085891404E-2</v>
      </c>
      <c r="BF135" s="1811"/>
      <c r="BG135" s="1364">
        <f>BG134/BB134-1</f>
        <v>3.0927835051546504E-2</v>
      </c>
      <c r="BH135" s="1364">
        <f>BH134/BC134-1</f>
        <v>2.0408163265306145E-2</v>
      </c>
      <c r="BI135" s="1364">
        <f>BI134/BD134-1</f>
        <v>4.1666666666666741E-2</v>
      </c>
      <c r="BJ135" s="1364">
        <f>BJ134/BE134-1</f>
        <v>0.16279069767441867</v>
      </c>
      <c r="BK135" s="1811"/>
      <c r="BL135" s="1364">
        <f>BL134/BG134-1</f>
        <v>-0.17999999999999994</v>
      </c>
      <c r="BM135" s="1364">
        <f>BM134/BH134-1</f>
        <v>-0.21617812852311158</v>
      </c>
      <c r="BN135" s="1364">
        <f>BN134/BI134-1</f>
        <v>-0.20200000020216546</v>
      </c>
      <c r="BO135" s="1364">
        <f>BO134/BJ134-1</f>
        <v>-7.5275951400881391E-2</v>
      </c>
      <c r="BP135" s="1848"/>
      <c r="BQ135" s="1364">
        <f>BQ134/BL134-1</f>
        <v>-7.0000000520008543E-3</v>
      </c>
      <c r="BR135" s="1364">
        <f>BR134/BM134-1</f>
        <v>0.10600000000660414</v>
      </c>
      <c r="BS135" s="1364">
        <f>BS134/BN134-1</f>
        <v>0.15000000008932735</v>
      </c>
      <c r="BT135" s="1364">
        <f>BT134/BO134-1</f>
        <v>0.1314537300743317</v>
      </c>
      <c r="BU135" s="1477"/>
      <c r="BV135" s="1364">
        <f>BV134/BQ134-1</f>
        <v>0.14926678490508927</v>
      </c>
      <c r="BW135" s="1364">
        <f>BW134/BR134-1</f>
        <v>7.9398891854041587E-2</v>
      </c>
      <c r="BX135" s="1364">
        <f>BX134/BS134-1</f>
        <v>0.10098816980771375</v>
      </c>
      <c r="BY135" s="1364">
        <f>BY134/BT134-1</f>
        <v>3.5124373970080836E-2</v>
      </c>
      <c r="BZ135" s="1477"/>
      <c r="CA135" s="1364">
        <f>CA134/BV134-1</f>
        <v>2.4731182795698858E-2</v>
      </c>
      <c r="CB135" s="1364">
        <f>CB134/BW134-1</f>
        <v>-1.8072289156627619E-3</v>
      </c>
      <c r="CC135" s="1364">
        <f>CC134/BX134-1</f>
        <v>-4.5045045045043475E-3</v>
      </c>
      <c r="CD135" s="1364">
        <f>CD134/BY134-1</f>
        <v>-1.8128654970760327E-2</v>
      </c>
      <c r="CE135" s="1477"/>
      <c r="CF135" s="1364">
        <f>CF134/CA134-1</f>
        <v>-1.7138859741168133E-2</v>
      </c>
      <c r="CG135" s="1364">
        <f>CG134/CB134-1</f>
        <v>1.086300543150287E-2</v>
      </c>
      <c r="CH135" s="1364">
        <f>CH134/CC134-1</f>
        <v>2.8657616892910909E-2</v>
      </c>
      <c r="CI135" s="1364">
        <f>CI134/CD134-1</f>
        <v>3.3353186420488568E-2</v>
      </c>
      <c r="CJ135" s="1477"/>
      <c r="CK135" s="1741">
        <v>0</v>
      </c>
      <c r="CL135" s="1741">
        <v>0</v>
      </c>
      <c r="CM135" s="1741">
        <v>0</v>
      </c>
      <c r="CN135" s="1741">
        <v>0</v>
      </c>
      <c r="CO135" s="1477"/>
      <c r="CP135" s="1477"/>
      <c r="CQ135" s="1477"/>
      <c r="CR135" s="1477"/>
      <c r="CS135" s="1477"/>
      <c r="CT135" s="1477"/>
      <c r="CU135" s="1477"/>
      <c r="CV135" s="1477"/>
      <c r="CW135" s="1477"/>
      <c r="CX135" s="2937"/>
      <c r="CY135" s="2937"/>
      <c r="CZ135" s="2937"/>
      <c r="DA135" s="2937"/>
      <c r="DB135" s="2937"/>
      <c r="DC135" s="2937"/>
      <c r="DD135" s="2937"/>
      <c r="DE135" s="2937"/>
      <c r="DF135" s="2937"/>
      <c r="DG135" s="2937"/>
      <c r="DH135" s="2937"/>
      <c r="DI135" s="2937"/>
      <c r="DJ135" s="2835"/>
      <c r="DK135" s="1364"/>
      <c r="DL135" s="1477"/>
      <c r="DM135" s="1477"/>
      <c r="DN135" s="1477"/>
      <c r="DO135" s="1477"/>
      <c r="DP135" s="2362"/>
      <c r="DQ135" s="2362"/>
      <c r="DR135" s="2362"/>
      <c r="DS135" s="2362"/>
      <c r="DT135" s="2362"/>
      <c r="DU135" s="875"/>
      <c r="DV135" s="875"/>
      <c r="DW135" s="875"/>
      <c r="EB135" s="1577"/>
    </row>
    <row r="136" spans="1:132" ht="6" hidden="1" customHeight="1" outlineLevel="1">
      <c r="A136" s="1827"/>
      <c r="B136" s="1770"/>
      <c r="C136" s="1364"/>
      <c r="D136" s="1364"/>
      <c r="E136" s="1364"/>
      <c r="F136" s="1364"/>
      <c r="G136" s="1364"/>
      <c r="H136" s="1364"/>
      <c r="I136" s="1364"/>
      <c r="J136" s="1364"/>
      <c r="K136" s="1364"/>
      <c r="L136" s="1364"/>
      <c r="M136" s="1364"/>
      <c r="N136" s="1364"/>
      <c r="O136" s="2711"/>
      <c r="P136" s="2711"/>
      <c r="Q136" s="1364"/>
      <c r="R136" s="2827"/>
      <c r="S136" s="2828"/>
      <c r="T136" s="2827"/>
      <c r="U136" s="2827"/>
      <c r="V136" s="2827"/>
      <c r="W136" s="2827"/>
      <c r="X136" s="2827"/>
      <c r="Y136" s="1364"/>
      <c r="Z136" s="1364"/>
      <c r="AA136" s="1364"/>
      <c r="AB136" s="1364"/>
      <c r="AC136" s="1364"/>
      <c r="AD136" s="1364"/>
      <c r="AE136" s="1364"/>
      <c r="AF136" s="1364"/>
      <c r="AG136" s="1364"/>
      <c r="AH136" s="1364"/>
      <c r="AI136" s="1364"/>
      <c r="AJ136" s="1364"/>
      <c r="AK136" s="1364"/>
      <c r="AL136" s="1827"/>
      <c r="AM136" s="1770"/>
      <c r="AN136" s="1770"/>
      <c r="AO136" s="1770"/>
      <c r="AP136" s="1770"/>
      <c r="AQ136" s="1811"/>
      <c r="AR136" s="1364"/>
      <c r="AS136" s="1364"/>
      <c r="AT136" s="1364"/>
      <c r="AU136" s="1364"/>
      <c r="AV136" s="1811"/>
      <c r="AW136" s="1364"/>
      <c r="AX136" s="1364"/>
      <c r="AY136" s="1364"/>
      <c r="AZ136" s="1364"/>
      <c r="BA136" s="1811"/>
      <c r="BB136" s="1364"/>
      <c r="BC136" s="1364"/>
      <c r="BD136" s="1364"/>
      <c r="BE136" s="1364"/>
      <c r="BF136" s="1811"/>
      <c r="BG136" s="1364"/>
      <c r="BH136" s="1364"/>
      <c r="BI136" s="1364"/>
      <c r="BJ136" s="1364"/>
      <c r="BK136" s="1811"/>
      <c r="BL136" s="1364"/>
      <c r="BM136" s="1364"/>
      <c r="BN136" s="1364"/>
      <c r="BO136" s="1364"/>
      <c r="BP136" s="1811"/>
      <c r="BQ136" s="1717"/>
      <c r="BR136" s="1477"/>
      <c r="BS136" s="1477"/>
      <c r="BT136" s="1477"/>
      <c r="BU136" s="1477"/>
      <c r="BV136" s="1477"/>
      <c r="BW136" s="1477"/>
      <c r="BX136" s="1477"/>
      <c r="BY136" s="1477"/>
      <c r="BZ136" s="1477"/>
      <c r="CA136" s="1477"/>
      <c r="CB136" s="1477"/>
      <c r="CC136" s="1477"/>
      <c r="CD136" s="1477"/>
      <c r="CE136" s="1477"/>
      <c r="CF136" s="1477"/>
      <c r="CG136" s="1477"/>
      <c r="CH136" s="1477"/>
      <c r="CI136" s="1477"/>
      <c r="CJ136" s="1477"/>
      <c r="CK136" s="1477"/>
      <c r="CL136" s="1477"/>
      <c r="CM136" s="1477"/>
      <c r="CN136" s="1477"/>
      <c r="CO136" s="1477"/>
      <c r="CP136" s="1477"/>
      <c r="CQ136" s="1477"/>
      <c r="CR136" s="1477"/>
      <c r="CS136" s="1477"/>
      <c r="CT136" s="1477"/>
      <c r="CU136" s="1477"/>
      <c r="CV136" s="1477"/>
      <c r="CW136" s="1477"/>
      <c r="CX136" s="1477"/>
      <c r="CY136" s="1477"/>
      <c r="CZ136" s="2937"/>
      <c r="DA136" s="2937"/>
      <c r="DB136" s="2937"/>
      <c r="DC136" s="2937"/>
      <c r="DD136" s="2937"/>
      <c r="DE136" s="2937"/>
      <c r="DF136" s="2937"/>
      <c r="DG136" s="2937"/>
      <c r="DH136" s="2937"/>
      <c r="DI136" s="2937"/>
      <c r="DJ136" s="2937"/>
      <c r="DK136" s="1477"/>
      <c r="DL136" s="1477"/>
      <c r="DM136" s="1477"/>
      <c r="DN136" s="1477"/>
      <c r="DO136" s="1477"/>
      <c r="DP136" s="186"/>
      <c r="DQ136" s="186"/>
      <c r="DR136" s="186"/>
      <c r="DS136" s="186"/>
      <c r="DT136" s="186"/>
      <c r="DU136" s="875"/>
      <c r="DV136" s="875"/>
      <c r="DW136" s="875"/>
      <c r="EB136" s="1577"/>
    </row>
    <row r="137" spans="1:132" ht="11.25" hidden="1" customHeight="1" outlineLevel="1">
      <c r="A137" s="1826" t="s">
        <v>714</v>
      </c>
      <c r="B137" s="1105">
        <v>675.93599999999992</v>
      </c>
      <c r="C137" s="1105">
        <v>784.02145787108111</v>
      </c>
      <c r="D137" s="1105">
        <v>852.76959563835476</v>
      </c>
      <c r="E137" s="1105">
        <v>878.82727246175045</v>
      </c>
      <c r="F137" s="1105">
        <v>935.87307539337701</v>
      </c>
      <c r="G137" s="1105">
        <v>962.43260000000032</v>
      </c>
      <c r="H137" s="1105">
        <v>872.3</v>
      </c>
      <c r="I137" s="1105">
        <v>645.01099999999997</v>
      </c>
      <c r="J137" s="1105">
        <v>636.00727800000004</v>
      </c>
      <c r="K137" s="1635">
        <v>0</v>
      </c>
      <c r="L137" s="1635">
        <v>0</v>
      </c>
      <c r="M137" s="1635">
        <v>0</v>
      </c>
      <c r="N137" s="1741">
        <v>0</v>
      </c>
      <c r="O137" s="2733">
        <v>0</v>
      </c>
      <c r="P137" s="2733">
        <v>0</v>
      </c>
      <c r="Q137" s="1741">
        <v>0</v>
      </c>
      <c r="R137" s="2835">
        <v>0</v>
      </c>
      <c r="S137" s="2836"/>
      <c r="T137" s="2835">
        <v>0</v>
      </c>
      <c r="U137" s="2835">
        <v>0</v>
      </c>
      <c r="V137" s="2835">
        <v>0</v>
      </c>
      <c r="W137" s="2835">
        <v>0</v>
      </c>
      <c r="X137" s="2835">
        <v>0</v>
      </c>
      <c r="Y137" s="1741">
        <v>0</v>
      </c>
      <c r="Z137" s="1741">
        <v>0</v>
      </c>
      <c r="AA137" s="1741">
        <v>0</v>
      </c>
      <c r="AB137" s="1741">
        <v>0</v>
      </c>
      <c r="AC137" s="1741">
        <v>0</v>
      </c>
      <c r="AD137" s="1741">
        <v>0</v>
      </c>
      <c r="AE137" s="1741">
        <v>0</v>
      </c>
      <c r="AF137" s="1105"/>
      <c r="AG137" s="1105"/>
      <c r="AH137" s="1105"/>
      <c r="AI137" s="1105"/>
      <c r="AJ137" s="1105"/>
      <c r="AK137" s="1105"/>
      <c r="AL137" s="1826" t="str">
        <f t="shared" si="186"/>
        <v xml:space="preserve">International </v>
      </c>
      <c r="AM137" s="1105">
        <v>173.40709000000004</v>
      </c>
      <c r="AN137" s="1105">
        <v>216.11857032052308</v>
      </c>
      <c r="AO137" s="1105">
        <v>214.31905510399991</v>
      </c>
      <c r="AP137" s="1105">
        <v>248.92488021383173</v>
      </c>
      <c r="AQ137" s="1741">
        <f>D137-SUM(AM137:AP137)</f>
        <v>0</v>
      </c>
      <c r="AR137" s="1105">
        <v>185.41351540000005</v>
      </c>
      <c r="AS137" s="1105">
        <v>220.70331313334401</v>
      </c>
      <c r="AT137" s="1105">
        <v>218.54381730815993</v>
      </c>
      <c r="AU137" s="1105">
        <v>254.16662662024657</v>
      </c>
      <c r="AV137" s="1741">
        <f>E137-SUM(AR137:AU137)</f>
        <v>0</v>
      </c>
      <c r="AW137" s="1105">
        <v>184.14486693999999</v>
      </c>
      <c r="AX137" s="1105">
        <v>235.18715830521143</v>
      </c>
      <c r="AY137" s="1105">
        <v>236.49776086589435</v>
      </c>
      <c r="AZ137" s="1105">
        <v>280.04328928227125</v>
      </c>
      <c r="BA137" s="1741">
        <f>F137-SUM(AW137:AZ137)</f>
        <v>0</v>
      </c>
      <c r="BB137" s="1105">
        <v>173.10420000000005</v>
      </c>
      <c r="BC137" s="1105">
        <v>206.49600000000004</v>
      </c>
      <c r="BD137" s="1105">
        <v>235.80320000000006</v>
      </c>
      <c r="BE137" s="1105">
        <v>347.02920000000006</v>
      </c>
      <c r="BF137" s="1741">
        <f>G137-SUM(BB137:BE137)</f>
        <v>0</v>
      </c>
      <c r="BG137" s="1105">
        <v>198.76</v>
      </c>
      <c r="BH137" s="1105">
        <v>243.3</v>
      </c>
      <c r="BI137" s="1105">
        <v>219.71999999999997</v>
      </c>
      <c r="BJ137" s="1105">
        <v>210.51999999999998</v>
      </c>
      <c r="BK137" s="1741">
        <f>H137-SUM(BG137:BJ137)</f>
        <v>0</v>
      </c>
      <c r="BL137" s="1105">
        <v>135.42519999999996</v>
      </c>
      <c r="BM137" s="1105">
        <v>156</v>
      </c>
      <c r="BN137" s="1105">
        <v>161.89516006662967</v>
      </c>
      <c r="BO137" s="1105">
        <v>191.69063993337033</v>
      </c>
      <c r="BP137" s="1741">
        <f>I137-SUM(BL137:BO137)</f>
        <v>0</v>
      </c>
      <c r="BQ137" s="1105">
        <v>149.43652361271288</v>
      </c>
      <c r="BR137" s="1105">
        <v>148.72139999816335</v>
      </c>
      <c r="BS137" s="1105">
        <v>157.24443405313059</v>
      </c>
      <c r="BT137" s="1105">
        <v>180.60492033599326</v>
      </c>
      <c r="BU137" s="1741">
        <f>J137-SUM(BQ137:BT137)</f>
        <v>0</v>
      </c>
      <c r="BV137" s="1635">
        <v>0</v>
      </c>
      <c r="BW137" s="1635">
        <v>0</v>
      </c>
      <c r="BX137" s="1635">
        <v>0</v>
      </c>
      <c r="BY137" s="1635">
        <v>0</v>
      </c>
      <c r="BZ137" s="1741">
        <f>K137-SUM(BV137:BY137)</f>
        <v>0</v>
      </c>
      <c r="CA137" s="1635">
        <v>0</v>
      </c>
      <c r="CB137" s="1635">
        <v>0</v>
      </c>
      <c r="CC137" s="1635">
        <v>0</v>
      </c>
      <c r="CD137" s="1635">
        <v>0</v>
      </c>
      <c r="CE137" s="1741">
        <f>L137-SUM(CA137:CD137)</f>
        <v>0</v>
      </c>
      <c r="CF137" s="1635">
        <v>0</v>
      </c>
      <c r="CG137" s="1635">
        <v>0</v>
      </c>
      <c r="CH137" s="1635">
        <v>0</v>
      </c>
      <c r="CI137" s="1635">
        <v>0</v>
      </c>
      <c r="CJ137" s="1741">
        <f>M137-SUM(CF137:CI137)</f>
        <v>0</v>
      </c>
      <c r="CK137" s="1635"/>
      <c r="CL137" s="1635"/>
      <c r="CM137" s="1635"/>
      <c r="CN137" s="1635"/>
      <c r="CO137" s="1635"/>
      <c r="CP137" s="1635"/>
      <c r="CQ137" s="1635"/>
      <c r="CR137" s="1635"/>
      <c r="CS137" s="1635"/>
      <c r="CT137" s="1635"/>
      <c r="CU137" s="1635"/>
      <c r="CV137" s="1635"/>
      <c r="CW137" s="1635"/>
      <c r="CX137" s="1635"/>
      <c r="CY137" s="1635"/>
      <c r="CZ137" s="1635"/>
      <c r="DA137" s="1635"/>
      <c r="DB137" s="1635"/>
      <c r="DC137" s="1635"/>
      <c r="DD137" s="1635"/>
      <c r="DE137" s="1635"/>
      <c r="DF137" s="1635"/>
      <c r="DG137" s="1635"/>
      <c r="DH137" s="1635"/>
      <c r="DI137" s="1635"/>
      <c r="DJ137" s="2829"/>
      <c r="DK137" s="1105"/>
      <c r="DL137" s="1477"/>
      <c r="DM137" s="1477"/>
      <c r="DN137" s="1477"/>
      <c r="DO137" s="1477"/>
      <c r="DP137" s="2362"/>
      <c r="DQ137" s="2362"/>
      <c r="DR137" s="2362"/>
      <c r="DS137" s="2362"/>
      <c r="DT137" s="2362"/>
      <c r="DU137" s="875"/>
      <c r="DV137" s="875"/>
      <c r="DW137" s="875"/>
      <c r="EB137" s="1577"/>
    </row>
    <row r="138" spans="1:132" ht="11.25" hidden="1" customHeight="1" outlineLevel="1">
      <c r="A138" s="1827" t="s">
        <v>1212</v>
      </c>
      <c r="B138" s="1364">
        <v>1.999999999999999E-2</v>
      </c>
      <c r="C138" s="1364">
        <v>-3.4874177416871349E-3</v>
      </c>
      <c r="D138" s="1364">
        <v>1.4012653893967181E-2</v>
      </c>
      <c r="E138" s="1364">
        <v>-9.5631233113849506E-3</v>
      </c>
      <c r="F138" s="1364">
        <v>5.5299163418168325E-2</v>
      </c>
      <c r="G138" s="1364">
        <v>2.922935026799707E-2</v>
      </c>
      <c r="H138" s="1364">
        <v>4.9009698364148806E-2</v>
      </c>
      <c r="I138" s="1364">
        <v>-0.18716240692292213</v>
      </c>
      <c r="J138" s="1364">
        <v>2.5894037582732538E-2</v>
      </c>
      <c r="K138" s="1364">
        <v>-8.1961445020196422E-2</v>
      </c>
      <c r="L138" s="1364"/>
      <c r="M138" s="1364"/>
      <c r="N138" s="1364"/>
      <c r="O138" s="2711"/>
      <c r="P138" s="2711"/>
      <c r="Q138" s="1364"/>
      <c r="R138" s="2827"/>
      <c r="S138" s="2828"/>
      <c r="T138" s="2827"/>
      <c r="U138" s="2827"/>
      <c r="V138" s="2827"/>
      <c r="W138" s="2827"/>
      <c r="X138" s="2827"/>
      <c r="Y138" s="1364"/>
      <c r="Z138" s="1364"/>
      <c r="AA138" s="1364"/>
      <c r="AB138" s="1364"/>
      <c r="AC138" s="1364"/>
      <c r="AD138" s="1364"/>
      <c r="AE138" s="1364"/>
      <c r="AF138" s="1364"/>
      <c r="AG138" s="1364"/>
      <c r="AH138" s="1364"/>
      <c r="AI138" s="1364"/>
      <c r="AJ138" s="1364"/>
      <c r="AK138" s="1364"/>
      <c r="AL138" s="1827" t="str">
        <f t="shared" si="186"/>
        <v xml:space="preserve">% Organic Growth </v>
      </c>
      <c r="AM138" s="1364">
        <v>-2.9033583793795059E-2</v>
      </c>
      <c r="AN138" s="1364">
        <v>4.9380957384106985E-2</v>
      </c>
      <c r="AO138" s="1364">
        <v>5.4799808440909481E-2</v>
      </c>
      <c r="AP138" s="1364">
        <v>-1.9096566455352681E-2</v>
      </c>
      <c r="AQ138" s="1741"/>
      <c r="AR138" s="1364">
        <v>2.0539664746940904E-2</v>
      </c>
      <c r="AS138" s="1364">
        <v>-6.7000000000000004E-2</v>
      </c>
      <c r="AT138" s="1364">
        <v>-2.7872792278919895E-2</v>
      </c>
      <c r="AU138" s="1364">
        <v>3.6080634286439185E-2</v>
      </c>
      <c r="AV138" s="1741"/>
      <c r="AW138" s="1364">
        <v>4.9999999999999996E-2</v>
      </c>
      <c r="AX138" s="1364">
        <v>5.8999999999999997E-2</v>
      </c>
      <c r="AY138" s="1364">
        <v>1.5261754563921037E-2</v>
      </c>
      <c r="AZ138" s="1364">
        <v>9.6934899108752276E-2</v>
      </c>
      <c r="BA138" s="1741"/>
      <c r="BB138" s="1364">
        <v>-0.01</v>
      </c>
      <c r="BC138" s="1364">
        <v>1.4672131147540957E-2</v>
      </c>
      <c r="BD138" s="1364">
        <v>5.4899945067880318E-2</v>
      </c>
      <c r="BE138" s="1364">
        <v>5.7345324856567015E-2</v>
      </c>
      <c r="BF138" s="1741"/>
      <c r="BG138" s="1364">
        <v>0.16424240549699798</v>
      </c>
      <c r="BH138" s="1364">
        <v>4.5601313197099369E-2</v>
      </c>
      <c r="BI138" s="1364">
        <v>3.7386542614004092E-2</v>
      </c>
      <c r="BJ138" s="1364">
        <v>-5.1191467851506217E-2</v>
      </c>
      <c r="BK138" s="1741"/>
      <c r="BL138" s="1364">
        <v>-0.16864962769168859</v>
      </c>
      <c r="BM138" s="1364">
        <v>-0.24</v>
      </c>
      <c r="BN138" s="1364">
        <v>-0.14000000000000001</v>
      </c>
      <c r="BO138" s="1364">
        <v>-0.2</v>
      </c>
      <c r="BP138" s="1741"/>
      <c r="BQ138" s="1364">
        <v>4.4127161534074366E-2</v>
      </c>
      <c r="BR138" s="1364">
        <v>3.2475099008447583E-2</v>
      </c>
      <c r="BS138" s="1364">
        <v>4.7900208035685177E-2</v>
      </c>
      <c r="BT138" s="1364">
        <v>5.1557093759948547E-3</v>
      </c>
      <c r="BU138" s="1108"/>
      <c r="BV138" s="1364"/>
      <c r="BW138" s="1364"/>
      <c r="BX138" s="1364"/>
      <c r="BY138" s="1364"/>
      <c r="BZ138" s="1108"/>
      <c r="CA138" s="1364"/>
      <c r="CB138" s="1364"/>
      <c r="CC138" s="1364"/>
      <c r="CD138" s="1364"/>
      <c r="CE138" s="1108"/>
      <c r="CF138" s="1364"/>
      <c r="CG138" s="1364"/>
      <c r="CH138" s="1364"/>
      <c r="CI138" s="1364"/>
      <c r="CJ138" s="1108"/>
      <c r="CK138" s="1364"/>
      <c r="CL138" s="1364"/>
      <c r="CM138" s="1364"/>
      <c r="CN138" s="1364"/>
      <c r="CO138" s="1108"/>
      <c r="CP138" s="1108"/>
      <c r="CQ138" s="1108"/>
      <c r="CR138" s="1108"/>
      <c r="CS138" s="1108"/>
      <c r="CT138" s="1108"/>
      <c r="CU138" s="1108"/>
      <c r="CV138" s="1108"/>
      <c r="CW138" s="1108"/>
      <c r="CX138" s="1108"/>
      <c r="CY138" s="1108"/>
      <c r="CZ138" s="1108"/>
      <c r="DA138" s="1108"/>
      <c r="DB138" s="1108"/>
      <c r="DC138" s="1108"/>
      <c r="DD138" s="1108"/>
      <c r="DE138" s="1108"/>
      <c r="DF138" s="1108"/>
      <c r="DG138" s="1108"/>
      <c r="DH138" s="1108"/>
      <c r="DI138" s="1108"/>
      <c r="DJ138" s="1108"/>
      <c r="DK138" s="1364"/>
      <c r="DL138" s="1477"/>
      <c r="DM138" s="1477"/>
      <c r="DN138" s="1477"/>
      <c r="DO138" s="1477"/>
      <c r="DP138" s="186"/>
      <c r="DQ138" s="186"/>
      <c r="DR138" s="186"/>
      <c r="DS138" s="186"/>
      <c r="DT138" s="186"/>
      <c r="DU138" s="875"/>
      <c r="DV138" s="875"/>
      <c r="DW138" s="875"/>
      <c r="EB138" s="1577"/>
    </row>
    <row r="139" spans="1:132" ht="11.25" hidden="1" customHeight="1" outlineLevel="1">
      <c r="A139" s="1827" t="s">
        <v>1214</v>
      </c>
      <c r="B139" s="1364">
        <f>B140-B138</f>
        <v>0.19</v>
      </c>
      <c r="C139" s="1364">
        <f>C140-C138</f>
        <v>0.16339228724276589</v>
      </c>
      <c r="D139" s="1364">
        <f>D140-D138</f>
        <v>7.367389738225831E-2</v>
      </c>
      <c r="E139" s="1364">
        <f>E140-E138</f>
        <v>4.0119649900363402E-2</v>
      </c>
      <c r="F139" s="1364">
        <v>-2.2991634181683263E-3</v>
      </c>
      <c r="G139" s="1364">
        <f>G140-G138</f>
        <v>0.10588917743886432</v>
      </c>
      <c r="H139" s="1364">
        <f>H140-H138</f>
        <v>6.9149190873515787E-2</v>
      </c>
      <c r="I139" s="1364">
        <f>I140-I138</f>
        <v>-9.2543268901235043E-2</v>
      </c>
      <c r="J139" s="1364">
        <f>J140-J138</f>
        <v>-3.9853058436640304E-2</v>
      </c>
      <c r="K139" s="1364">
        <f>K140-K138</f>
        <v>3.792534831376837E-2</v>
      </c>
      <c r="L139" s="1364"/>
      <c r="M139" s="1364"/>
      <c r="N139" s="1364"/>
      <c r="O139" s="2711"/>
      <c r="P139" s="2711"/>
      <c r="Q139" s="1364"/>
      <c r="R139" s="2827"/>
      <c r="S139" s="2828"/>
      <c r="T139" s="2827"/>
      <c r="U139" s="2827"/>
      <c r="V139" s="2827"/>
      <c r="W139" s="2827"/>
      <c r="X139" s="2827"/>
      <c r="Y139" s="1364"/>
      <c r="Z139" s="1364"/>
      <c r="AA139" s="1364"/>
      <c r="AB139" s="1364"/>
      <c r="AC139" s="1364"/>
      <c r="AD139" s="1364"/>
      <c r="AE139" s="1364"/>
      <c r="AF139" s="1364"/>
      <c r="AG139" s="1364"/>
      <c r="AH139" s="1364"/>
      <c r="AI139" s="1364"/>
      <c r="AJ139" s="1364"/>
      <c r="AK139" s="1364"/>
      <c r="AL139" s="1827" t="str">
        <f t="shared" si="186"/>
        <v xml:space="preserve">% FX Impact </v>
      </c>
      <c r="AM139" s="1364">
        <f>AM140-AM138</f>
        <v>0.16503358379379507</v>
      </c>
      <c r="AN139" s="1364">
        <f>AN140-AN138</f>
        <v>6.0619042615893015E-2</v>
      </c>
      <c r="AO139" s="1364">
        <f>AO140-AO138</f>
        <v>8.5200191559090532E-2</v>
      </c>
      <c r="AP139" s="1364">
        <f>AP140-AP138</f>
        <v>8.9096566455352688E-2</v>
      </c>
      <c r="AQ139" s="1741"/>
      <c r="AR139" s="1364">
        <f>AR140-AR138</f>
        <v>4.9460335253059103E-2</v>
      </c>
      <c r="AS139" s="1364">
        <f>AS140-AS138</f>
        <v>5.7000000000000002E-2</v>
      </c>
      <c r="AT139" s="1364">
        <f>AT140-AT138</f>
        <v>-2.1272077210801044E-3</v>
      </c>
      <c r="AU139" s="1364">
        <f>AU140-AU138</f>
        <v>-7.4080634286439184E-2</v>
      </c>
      <c r="AV139" s="1741"/>
      <c r="AW139" s="1364">
        <f>AW140-AW138</f>
        <v>-8.7999999999999995E-2</v>
      </c>
      <c r="AX139" s="1364">
        <f>AX140-AX138</f>
        <v>-3.8999999999999993E-2</v>
      </c>
      <c r="AY139" s="1364">
        <f>AY140-AY138</f>
        <v>4.4738245436078961E-2</v>
      </c>
      <c r="AZ139" s="1364">
        <f>AZ140-AZ138</f>
        <v>7.3065100891247736E-2</v>
      </c>
      <c r="BA139" s="1741"/>
      <c r="BB139" s="1364">
        <f>BB140-BB138</f>
        <v>9.9999999999999992E-2</v>
      </c>
      <c r="BC139" s="1364">
        <f>BC140-BC138</f>
        <v>0.10532786885245904</v>
      </c>
      <c r="BD139" s="1364">
        <f>BD140-BD138</f>
        <v>7.5100054932119686E-2</v>
      </c>
      <c r="BE139" s="1364">
        <f>BE140-BE138</f>
        <v>0.12265467514343298</v>
      </c>
      <c r="BF139" s="1741"/>
      <c r="BG139" s="1364">
        <f>BG140-BG138</f>
        <v>0.14149061135212526</v>
      </c>
      <c r="BH139" s="1364">
        <f>BH140-BH138</f>
        <v>0.1687055529071102</v>
      </c>
      <c r="BI139" s="1364">
        <f>BI140-BI138</f>
        <v>9.7664233576642223E-2</v>
      </c>
      <c r="BJ139" s="1364">
        <f>BJ140-BJ138</f>
        <v>-0.13856092583100074</v>
      </c>
      <c r="BK139" s="1741"/>
      <c r="BL139" s="1364">
        <f>BL140-BL138</f>
        <v>-0.15</v>
      </c>
      <c r="BM139" s="1364">
        <f>BM140-BM138</f>
        <v>-0.11881627620221957</v>
      </c>
      <c r="BN139" s="1364">
        <f>BN140-BN138</f>
        <v>-0.12317513168291605</v>
      </c>
      <c r="BO139" s="1364">
        <f>BO140-BO138</f>
        <v>0.1079136690647482</v>
      </c>
      <c r="BP139" s="1741"/>
      <c r="BQ139" s="1364">
        <f>BQ140-BQ138</f>
        <v>5.9334554695349206E-2</v>
      </c>
      <c r="BR139" s="1364">
        <f>BR140-BR138</f>
        <v>-7.9132791327913288E-2</v>
      </c>
      <c r="BS139" s="1364">
        <f>BS140-BS138</f>
        <v>-7.662698412698421E-2</v>
      </c>
      <c r="BT139" s="1364">
        <f>BT140-BT138</f>
        <v>-6.2987012987012925E-2</v>
      </c>
      <c r="BU139" s="1108"/>
      <c r="BV139" s="1364"/>
      <c r="BW139" s="1364"/>
      <c r="BX139" s="1364"/>
      <c r="BY139" s="1364"/>
      <c r="BZ139" s="1108"/>
      <c r="CA139" s="1364"/>
      <c r="CB139" s="1364"/>
      <c r="CC139" s="1364"/>
      <c r="CD139" s="1364"/>
      <c r="CE139" s="1108"/>
      <c r="CF139" s="1364"/>
      <c r="CG139" s="1364"/>
      <c r="CH139" s="1364"/>
      <c r="CI139" s="1635"/>
      <c r="CJ139" s="1108"/>
      <c r="CK139" s="1364"/>
      <c r="CL139" s="1364"/>
      <c r="CM139" s="1364"/>
      <c r="CN139" s="1635"/>
      <c r="CO139" s="1773"/>
      <c r="CP139" s="1773"/>
      <c r="CQ139" s="1773"/>
      <c r="CR139" s="1773"/>
      <c r="CS139" s="1773"/>
      <c r="CT139" s="1773"/>
      <c r="CU139" s="1773"/>
      <c r="CV139" s="1773"/>
      <c r="CW139" s="1773"/>
      <c r="CX139" s="1773"/>
      <c r="CY139" s="1773"/>
      <c r="CZ139" s="1773"/>
      <c r="DA139" s="1773"/>
      <c r="DB139" s="1773"/>
      <c r="DC139" s="1773"/>
      <c r="DD139" s="1773"/>
      <c r="DE139" s="1773"/>
      <c r="DF139" s="1773"/>
      <c r="DG139" s="1773"/>
      <c r="DH139" s="1773"/>
      <c r="DI139" s="1773"/>
      <c r="DJ139" s="1773"/>
      <c r="DK139" s="1364"/>
      <c r="DL139" s="1477"/>
      <c r="DM139" s="1477"/>
      <c r="DN139" s="1470"/>
      <c r="DO139" s="2362"/>
      <c r="DP139" s="2362"/>
      <c r="DQ139" s="2362"/>
      <c r="DR139" s="2362"/>
      <c r="DS139" s="2362"/>
      <c r="DT139" s="2362"/>
      <c r="DU139" s="875"/>
      <c r="DV139" s="875"/>
      <c r="DW139" s="875"/>
      <c r="EB139" s="1577"/>
    </row>
    <row r="140" spans="1:132" ht="11.25" hidden="1" customHeight="1" outlineLevel="1">
      <c r="A140" s="1827" t="s">
        <v>1213</v>
      </c>
      <c r="B140" s="1364">
        <v>0.21</v>
      </c>
      <c r="C140" s="1364">
        <v>0.15990486950107874</v>
      </c>
      <c r="D140" s="1364">
        <v>8.7686551276225488E-2</v>
      </c>
      <c r="E140" s="1364">
        <v>3.055652658897845E-2</v>
      </c>
      <c r="F140" s="1364">
        <v>6.4911279746509454E-2</v>
      </c>
      <c r="G140" s="1364">
        <v>0.13511852770686139</v>
      </c>
      <c r="H140" s="1364">
        <v>0.1181588892376646</v>
      </c>
      <c r="I140" s="1364">
        <v>-0.27970567582415717</v>
      </c>
      <c r="J140" s="1364">
        <v>-1.3959020853907766E-2</v>
      </c>
      <c r="K140" s="1364">
        <v>-4.4036096706428052E-2</v>
      </c>
      <c r="L140" s="1364"/>
      <c r="M140" s="1364"/>
      <c r="N140" s="1364"/>
      <c r="O140" s="2711"/>
      <c r="P140" s="2711"/>
      <c r="Q140" s="1364"/>
      <c r="R140" s="2827"/>
      <c r="S140" s="2828"/>
      <c r="T140" s="2827"/>
      <c r="U140" s="2827"/>
      <c r="V140" s="2827"/>
      <c r="W140" s="2827"/>
      <c r="X140" s="2827"/>
      <c r="Y140" s="1364"/>
      <c r="Z140" s="1364"/>
      <c r="AA140" s="1364"/>
      <c r="AB140" s="1364"/>
      <c r="AC140" s="1364"/>
      <c r="AD140" s="1364"/>
      <c r="AE140" s="1364"/>
      <c r="AF140" s="1364"/>
      <c r="AG140" s="1364"/>
      <c r="AH140" s="1364"/>
      <c r="AI140" s="1364"/>
      <c r="AJ140" s="1364"/>
      <c r="AK140" s="1364"/>
      <c r="AL140" s="1827" t="str">
        <f t="shared" si="186"/>
        <v xml:space="preserve">% Total Growth </v>
      </c>
      <c r="AM140" s="1364">
        <v>0.13600000000000001</v>
      </c>
      <c r="AN140" s="1364">
        <v>0.11</v>
      </c>
      <c r="AO140" s="1364">
        <v>0.14000000000000001</v>
      </c>
      <c r="AP140" s="1364">
        <v>7.0000000000000007E-2</v>
      </c>
      <c r="AQ140" s="1741"/>
      <c r="AR140" s="1364">
        <v>7.0000000000000007E-2</v>
      </c>
      <c r="AS140" s="1364">
        <v>-0.01</v>
      </c>
      <c r="AT140" s="1364">
        <v>-0.03</v>
      </c>
      <c r="AU140" s="1364">
        <v>-3.7999999999999999E-2</v>
      </c>
      <c r="AV140" s="1741"/>
      <c r="AW140" s="1364">
        <v>-3.7999999999999999E-2</v>
      </c>
      <c r="AX140" s="1364">
        <v>0.02</v>
      </c>
      <c r="AY140" s="1364">
        <v>0.06</v>
      </c>
      <c r="AZ140" s="1364">
        <v>0.17</v>
      </c>
      <c r="BA140" s="1741"/>
      <c r="BB140" s="1364">
        <v>0.09</v>
      </c>
      <c r="BC140" s="1364">
        <v>0.12</v>
      </c>
      <c r="BD140" s="1364">
        <v>0.13</v>
      </c>
      <c r="BE140" s="1364">
        <v>0.18</v>
      </c>
      <c r="BF140" s="1741"/>
      <c r="BG140" s="1364">
        <v>0.30573301684912324</v>
      </c>
      <c r="BH140" s="1364">
        <v>0.21430686610420957</v>
      </c>
      <c r="BI140" s="1364">
        <v>0.13505077619064632</v>
      </c>
      <c r="BJ140" s="1364">
        <v>-0.18975239368250696</v>
      </c>
      <c r="BK140" s="1741"/>
      <c r="BL140" s="1364">
        <v>-0.31864962769168859</v>
      </c>
      <c r="BM140" s="1364">
        <v>-0.35881627620221956</v>
      </c>
      <c r="BN140" s="1364">
        <v>-0.26317513168291606</v>
      </c>
      <c r="BO140" s="1364">
        <v>-9.2086330935251814E-2</v>
      </c>
      <c r="BP140" s="1741"/>
      <c r="BQ140" s="1364">
        <v>0.10346171622942357</v>
      </c>
      <c r="BR140" s="1364">
        <v>-4.6657692319465705E-2</v>
      </c>
      <c r="BS140" s="1364">
        <v>-2.8726776091299033E-2</v>
      </c>
      <c r="BT140" s="1364">
        <v>-5.783130361101807E-2</v>
      </c>
      <c r="BU140" s="1108"/>
      <c r="BV140" s="1364"/>
      <c r="BW140" s="1364"/>
      <c r="BX140" s="1364"/>
      <c r="BY140" s="1364"/>
      <c r="BZ140" s="1108"/>
      <c r="CA140" s="1364"/>
      <c r="CB140" s="1364"/>
      <c r="CC140" s="1364"/>
      <c r="CD140" s="1364"/>
      <c r="CE140" s="1108"/>
      <c r="CF140" s="1364"/>
      <c r="CG140" s="1364"/>
      <c r="CH140" s="1364"/>
      <c r="CI140" s="1364"/>
      <c r="CJ140" s="1108"/>
      <c r="CK140" s="1364"/>
      <c r="CL140" s="1364"/>
      <c r="CM140" s="1364"/>
      <c r="CN140" s="1364"/>
      <c r="CO140" s="1108"/>
      <c r="CP140" s="1108"/>
      <c r="CQ140" s="1108"/>
      <c r="CR140" s="1108"/>
      <c r="CS140" s="1108"/>
      <c r="CT140" s="1108"/>
      <c r="CU140" s="1108"/>
      <c r="CV140" s="1108"/>
      <c r="CW140" s="1108"/>
      <c r="CX140" s="1108"/>
      <c r="CY140" s="1108"/>
      <c r="CZ140" s="1108"/>
      <c r="DA140" s="1108"/>
      <c r="DB140" s="1108"/>
      <c r="DC140" s="1108"/>
      <c r="DD140" s="1108"/>
      <c r="DE140" s="1108"/>
      <c r="DF140" s="1108"/>
      <c r="DG140" s="1108"/>
      <c r="DH140" s="1108"/>
      <c r="DI140" s="1108"/>
      <c r="DJ140" s="1741"/>
      <c r="DK140" s="1364"/>
      <c r="DL140" s="1477"/>
      <c r="DM140" s="1477"/>
      <c r="DN140" s="1470"/>
      <c r="DO140" s="186"/>
      <c r="DP140" s="186"/>
      <c r="DQ140" s="186"/>
      <c r="DR140" s="186"/>
      <c r="DS140" s="186"/>
      <c r="DT140" s="186"/>
      <c r="DU140" s="875"/>
      <c r="DV140" s="875"/>
      <c r="DW140" s="875"/>
      <c r="EB140" s="1577"/>
    </row>
    <row r="141" spans="1:132" ht="6" hidden="1" customHeight="1" outlineLevel="1">
      <c r="A141" s="1108" t="s">
        <v>337</v>
      </c>
      <c r="B141" s="1110" t="s">
        <v>337</v>
      </c>
      <c r="C141" s="1110"/>
      <c r="D141" s="1110"/>
      <c r="E141" s="1110"/>
      <c r="F141" s="1110"/>
      <c r="G141" s="1110"/>
      <c r="H141" s="1110"/>
      <c r="I141" s="1110"/>
      <c r="J141" s="1110"/>
      <c r="K141" s="1110"/>
      <c r="L141" s="1110"/>
      <c r="M141" s="1110"/>
      <c r="N141" s="1110"/>
      <c r="O141" s="2705"/>
      <c r="P141" s="2705"/>
      <c r="Q141" s="1110"/>
      <c r="R141" s="2802"/>
      <c r="S141" s="2837"/>
      <c r="T141" s="2802"/>
      <c r="U141" s="2802"/>
      <c r="V141" s="2802"/>
      <c r="W141" s="2802"/>
      <c r="X141" s="2802"/>
      <c r="Y141" s="1110"/>
      <c r="Z141" s="1110"/>
      <c r="AA141" s="1110"/>
      <c r="AB141" s="1110"/>
      <c r="AC141" s="1110"/>
      <c r="AD141" s="1110"/>
      <c r="AE141" s="1110"/>
      <c r="AF141" s="1110"/>
      <c r="AG141" s="1110"/>
      <c r="AH141" s="1110"/>
      <c r="AI141" s="1110"/>
      <c r="AJ141" s="1110"/>
      <c r="AK141" s="1110"/>
      <c r="AL141" s="1806" t="str">
        <f t="shared" si="186"/>
        <v xml:space="preserve"> </v>
      </c>
      <c r="AM141" s="1783" t="s">
        <v>337</v>
      </c>
      <c r="AN141" s="1783"/>
      <c r="AO141" s="1783"/>
      <c r="AP141" s="1783"/>
      <c r="AQ141" s="1741"/>
      <c r="AR141" s="1783" t="s">
        <v>337</v>
      </c>
      <c r="AS141" s="1783"/>
      <c r="AT141" s="1783"/>
      <c r="AU141" s="1783"/>
      <c r="AV141" s="1741"/>
      <c r="AW141" s="1783" t="s">
        <v>337</v>
      </c>
      <c r="AX141" s="1783"/>
      <c r="AY141" s="1783"/>
      <c r="AZ141" s="1783"/>
      <c r="BA141" s="1741"/>
      <c r="BB141" s="1783" t="s">
        <v>337</v>
      </c>
      <c r="BC141" s="1783"/>
      <c r="BD141" s="1783"/>
      <c r="BE141" s="1783"/>
      <c r="BF141" s="1741"/>
      <c r="BG141" s="1783" t="s">
        <v>337</v>
      </c>
      <c r="BH141" s="1783"/>
      <c r="BI141" s="1783"/>
      <c r="BJ141" s="1783"/>
      <c r="BK141" s="1741"/>
      <c r="BL141" s="1783" t="s">
        <v>337</v>
      </c>
      <c r="BM141" s="1783"/>
      <c r="BN141" s="1783"/>
      <c r="BO141" s="1783"/>
      <c r="BP141" s="1741"/>
      <c r="BQ141" s="1642"/>
      <c r="BR141" s="1642"/>
      <c r="BS141" s="1642"/>
      <c r="BT141" s="1642"/>
      <c r="BU141" s="1108"/>
      <c r="BV141" s="1642"/>
      <c r="BW141" s="1642"/>
      <c r="BX141" s="1642"/>
      <c r="BY141" s="1642"/>
      <c r="BZ141" s="1108"/>
      <c r="CA141" s="1642"/>
      <c r="CB141" s="1642"/>
      <c r="CC141" s="1642"/>
      <c r="CD141" s="1642"/>
      <c r="CE141" s="1108"/>
      <c r="CF141" s="1642"/>
      <c r="CG141" s="1642"/>
      <c r="CH141" s="1642"/>
      <c r="CI141" s="1642"/>
      <c r="CJ141" s="1108"/>
      <c r="CK141" s="1579"/>
      <c r="CL141" s="1579"/>
      <c r="CM141" s="1579"/>
      <c r="CN141" s="1109"/>
      <c r="CO141" s="1108"/>
      <c r="CP141" s="1579"/>
      <c r="CQ141" s="1579"/>
      <c r="CR141" s="1579"/>
      <c r="CS141" s="1109"/>
      <c r="CT141" s="1741"/>
      <c r="CU141" s="1741"/>
      <c r="CV141" s="1741"/>
      <c r="CW141" s="1741"/>
      <c r="CX141" s="1741"/>
      <c r="CY141" s="1741"/>
      <c r="CZ141" s="1741"/>
      <c r="DA141" s="1741"/>
      <c r="DB141" s="1741"/>
      <c r="DC141" s="1741"/>
      <c r="DD141" s="1741"/>
      <c r="DE141" s="1741"/>
      <c r="DF141" s="1741"/>
      <c r="DG141" s="1741"/>
      <c r="DH141" s="1741"/>
      <c r="DI141" s="1741"/>
      <c r="DJ141" s="1741"/>
      <c r="DK141" s="1109"/>
      <c r="DL141" s="1477"/>
      <c r="DM141" s="1477"/>
      <c r="DN141" s="1470"/>
      <c r="DO141" s="2362"/>
      <c r="DP141" s="2362"/>
      <c r="DQ141" s="2362"/>
      <c r="DR141" s="2362"/>
      <c r="DS141" s="2362"/>
      <c r="DT141" s="2362"/>
      <c r="DU141" s="875"/>
      <c r="DV141" s="875"/>
      <c r="DW141" s="875"/>
      <c r="EB141" s="1577"/>
    </row>
    <row r="142" spans="1:132" ht="11.25" hidden="1" customHeight="1" outlineLevel="1">
      <c r="A142" s="1833" t="s">
        <v>1206</v>
      </c>
      <c r="B142" s="1105">
        <f>'Segment Detail'!Y43</f>
        <v>1633.5</v>
      </c>
      <c r="C142" s="1105">
        <f>'Segment Detail'!Z43</f>
        <v>1748.3000000000002</v>
      </c>
      <c r="D142" s="1105">
        <f>'Segment Detail'!AA43</f>
        <v>1880.2</v>
      </c>
      <c r="E142" s="1105">
        <f>'Segment Detail'!AB43</f>
        <v>1949.3</v>
      </c>
      <c r="F142" s="1105">
        <f>'Segment Detail'!AC43</f>
        <v>2103.4</v>
      </c>
      <c r="G142" s="1105">
        <f>'Segment Detail'!AD43</f>
        <v>2187.3000000000002</v>
      </c>
      <c r="H142" s="1105">
        <f>'Segment Detail'!AE43</f>
        <v>2170.6</v>
      </c>
      <c r="I142" s="1105">
        <f>'Segment Detail'!AF43</f>
        <v>1722.6000000000001</v>
      </c>
      <c r="J142" s="1105">
        <f>'Segment Detail'!AG43</f>
        <v>1819.2</v>
      </c>
      <c r="K142" s="1105">
        <f>'Segment Detail'!AH43</f>
        <v>1286</v>
      </c>
      <c r="L142" s="1105">
        <f>'Segment Detail'!AI43</f>
        <v>1284.5999999999999</v>
      </c>
      <c r="M142" s="1105">
        <f>'Segment Detail'!AJ43</f>
        <v>1304</v>
      </c>
      <c r="N142" s="1741">
        <v>0</v>
      </c>
      <c r="O142" s="2733">
        <v>0</v>
      </c>
      <c r="P142" s="2733">
        <v>0</v>
      </c>
      <c r="Q142" s="1741">
        <v>0</v>
      </c>
      <c r="R142" s="2835">
        <v>0</v>
      </c>
      <c r="S142" s="2836"/>
      <c r="T142" s="2835">
        <v>0</v>
      </c>
      <c r="U142" s="2835">
        <v>0</v>
      </c>
      <c r="V142" s="2835">
        <v>0</v>
      </c>
      <c r="W142" s="2835">
        <v>0</v>
      </c>
      <c r="X142" s="2835">
        <v>0</v>
      </c>
      <c r="Y142" s="1741">
        <v>0</v>
      </c>
      <c r="Z142" s="1741">
        <v>0</v>
      </c>
      <c r="AA142" s="1741">
        <v>0</v>
      </c>
      <c r="AB142" s="1741">
        <v>0</v>
      </c>
      <c r="AC142" s="1741">
        <v>0</v>
      </c>
      <c r="AD142" s="1741">
        <v>0</v>
      </c>
      <c r="AE142" s="1741">
        <v>0</v>
      </c>
      <c r="AF142" s="1105"/>
      <c r="AG142" s="1105"/>
      <c r="AH142" s="1105"/>
      <c r="AI142" s="1105"/>
      <c r="AJ142" s="1105"/>
      <c r="AK142" s="1105"/>
      <c r="AL142" s="1833" t="str">
        <f t="shared" si="186"/>
        <v xml:space="preserve">Outdoor </v>
      </c>
      <c r="AM142" s="1105">
        <f>AM137+AM134</f>
        <v>403.3</v>
      </c>
      <c r="AN142" s="1105">
        <f>AN137+AN134</f>
        <v>484</v>
      </c>
      <c r="AO142" s="1105">
        <f>AO137+AO134</f>
        <v>478.7</v>
      </c>
      <c r="AP142" s="1105">
        <f>AP137+AP134</f>
        <v>514.20000000000005</v>
      </c>
      <c r="AQ142" s="1741">
        <f>D142-SUM(AM142:AP142)</f>
        <v>0</v>
      </c>
      <c r="AR142" s="1105">
        <f>AR137+AR134</f>
        <v>429.1</v>
      </c>
      <c r="AS142" s="1105">
        <f>AS137+AS134</f>
        <v>499.3</v>
      </c>
      <c r="AT142" s="1105">
        <f>AT137+AT134</f>
        <v>493.5</v>
      </c>
      <c r="AU142" s="1105">
        <f>AU137+AU134</f>
        <v>527.4</v>
      </c>
      <c r="AV142" s="1741">
        <f>E142-SUM(AR142:AU142)</f>
        <v>0</v>
      </c>
      <c r="AW142" s="1105">
        <f>AW137+AW134</f>
        <v>452.2</v>
      </c>
      <c r="AX142" s="1105">
        <f>AX137+AX134</f>
        <v>534.4</v>
      </c>
      <c r="AY142" s="1105">
        <f>AY137+AY134</f>
        <v>536.20000000000005</v>
      </c>
      <c r="AZ142" s="1105">
        <f>AZ137+AZ134</f>
        <v>580.6</v>
      </c>
      <c r="BA142" s="1741">
        <f>F142-SUM(AW142:AZ142)</f>
        <v>0</v>
      </c>
      <c r="BB142" s="1105">
        <f>BB137+BB134</f>
        <v>462.3</v>
      </c>
      <c r="BC142" s="1105">
        <f>BC137+BC134</f>
        <v>554.20000000000005</v>
      </c>
      <c r="BD142" s="1105">
        <f>BD137+BD134</f>
        <v>552.20000000000005</v>
      </c>
      <c r="BE142" s="1105">
        <f>BE137+BE134</f>
        <v>618.6</v>
      </c>
      <c r="BF142" s="1741">
        <f>G142-SUM(BB142:BE142)</f>
        <v>0</v>
      </c>
      <c r="BG142" s="1105">
        <f>BG137+BG134</f>
        <v>496.9</v>
      </c>
      <c r="BH142" s="1105">
        <f>BH137+BH134</f>
        <v>598.1</v>
      </c>
      <c r="BI142" s="1105">
        <f>BI137+BI134</f>
        <v>549.29999999999995</v>
      </c>
      <c r="BJ142" s="1105">
        <f>BJ137+BJ134</f>
        <v>526.29999999999995</v>
      </c>
      <c r="BK142" s="1741">
        <f>H142-SUM(BG142:BJ142)</f>
        <v>0</v>
      </c>
      <c r="BL142" s="1105">
        <f>BL137+BL134</f>
        <v>379.9</v>
      </c>
      <c r="BM142" s="1105">
        <f>BM137+BM134</f>
        <v>434.1</v>
      </c>
      <c r="BN142" s="1105">
        <f>BN137+BN134</f>
        <v>424.9</v>
      </c>
      <c r="BO142" s="1105">
        <f>BO137+BO134</f>
        <v>483.7</v>
      </c>
      <c r="BP142" s="1741">
        <f>I142-SUM(BL142:BO142)</f>
        <v>0</v>
      </c>
      <c r="BQ142" s="1105">
        <f>BQ137+BQ134</f>
        <v>392.2</v>
      </c>
      <c r="BR142" s="1105">
        <f>BR137+BR134</f>
        <v>456.3</v>
      </c>
      <c r="BS142" s="1105">
        <f>BS137+BS134</f>
        <v>459.7</v>
      </c>
      <c r="BT142" s="1105">
        <f>BT137+BT134</f>
        <v>511</v>
      </c>
      <c r="BU142" s="1741">
        <f>J142-SUM(BQ142:BT142)</f>
        <v>0</v>
      </c>
      <c r="BV142" s="1635">
        <f>BV134</f>
        <v>279</v>
      </c>
      <c r="BW142" s="1635">
        <f>BW134</f>
        <v>332</v>
      </c>
      <c r="BX142" s="1635">
        <f>BX134</f>
        <v>333</v>
      </c>
      <c r="BY142" s="1635">
        <f>BY134</f>
        <v>342</v>
      </c>
      <c r="BZ142" s="1741">
        <f>K142-SUM(BV142:BY142)</f>
        <v>0</v>
      </c>
      <c r="CA142" s="1635">
        <v>285.89999999999998</v>
      </c>
      <c r="CB142" s="1635">
        <v>331.4</v>
      </c>
      <c r="CC142" s="1635">
        <v>331.50000000000006</v>
      </c>
      <c r="CD142" s="1636">
        <f>L142-SUM(CA142:CC142)</f>
        <v>335.79999999999995</v>
      </c>
      <c r="CE142" s="1741">
        <f>L142-SUM(CA142:CD142)</f>
        <v>0</v>
      </c>
      <c r="CF142" s="1635">
        <v>281</v>
      </c>
      <c r="CG142" s="1635">
        <v>335</v>
      </c>
      <c r="CH142" s="1635">
        <v>341</v>
      </c>
      <c r="CI142" s="1635">
        <v>347</v>
      </c>
      <c r="CJ142" s="1741">
        <f>M142-SUM(CF142:CI142)</f>
        <v>0</v>
      </c>
      <c r="CK142" s="1741">
        <v>0</v>
      </c>
      <c r="CL142" s="1741">
        <v>0</v>
      </c>
      <c r="CM142" s="1741">
        <v>0</v>
      </c>
      <c r="CN142" s="1741">
        <v>0</v>
      </c>
      <c r="CO142" s="1741"/>
      <c r="CP142" s="1741">
        <v>0</v>
      </c>
      <c r="CQ142" s="1741">
        <v>0</v>
      </c>
      <c r="CR142" s="1741">
        <v>0</v>
      </c>
      <c r="CS142" s="1741">
        <v>0</v>
      </c>
      <c r="CT142" s="1741">
        <f>$Q142-SUM(CP142:CS142)</f>
        <v>0</v>
      </c>
      <c r="CU142" s="1741">
        <v>0</v>
      </c>
      <c r="CV142" s="1741">
        <v>0</v>
      </c>
      <c r="CW142" s="1741">
        <v>0</v>
      </c>
      <c r="CX142" s="1741">
        <v>0</v>
      </c>
      <c r="CY142" s="1741">
        <f>R142-SUM(CU142:CX142)</f>
        <v>0</v>
      </c>
      <c r="CZ142" s="1741">
        <v>0</v>
      </c>
      <c r="DA142" s="1741">
        <v>0</v>
      </c>
      <c r="DB142" s="1741">
        <v>0</v>
      </c>
      <c r="DC142" s="1741">
        <v>0</v>
      </c>
      <c r="DD142" s="1741">
        <f>T142-SUM(CZ142:DC142)</f>
        <v>0</v>
      </c>
      <c r="DE142" s="1741">
        <v>0</v>
      </c>
      <c r="DF142" s="1741">
        <v>0</v>
      </c>
      <c r="DG142" s="1741">
        <v>0</v>
      </c>
      <c r="DH142" s="1741">
        <v>0</v>
      </c>
      <c r="DI142" s="2835">
        <f t="shared" ref="DI142:DI145" si="220">U142-SUM(DE142:DH142)</f>
        <v>0</v>
      </c>
      <c r="DJ142" s="1741"/>
      <c r="DK142" s="1771"/>
      <c r="DL142" s="1477"/>
      <c r="DM142" s="1477"/>
      <c r="DN142" s="1470"/>
      <c r="DO142" s="186"/>
      <c r="DP142" s="186"/>
      <c r="DQ142" s="186"/>
      <c r="DR142" s="186"/>
      <c r="DS142" s="186"/>
      <c r="DT142" s="186"/>
      <c r="DU142" s="875"/>
      <c r="DV142" s="875"/>
      <c r="DW142" s="875"/>
      <c r="EB142" s="1577"/>
    </row>
    <row r="143" spans="1:132" ht="11.25" hidden="1" customHeight="1" outlineLevel="1">
      <c r="A143" s="1835" t="s">
        <v>344</v>
      </c>
      <c r="B143" s="1364">
        <v>5.7108347626768641E-3</v>
      </c>
      <c r="C143" s="1364">
        <f t="shared" ref="C143:J143" si="221">C142/B142-1</f>
        <v>7.027854300581593E-2</v>
      </c>
      <c r="D143" s="1364">
        <f t="shared" si="221"/>
        <v>7.5444717725790644E-2</v>
      </c>
      <c r="E143" s="1364">
        <f t="shared" si="221"/>
        <v>3.6751409424529147E-2</v>
      </c>
      <c r="F143" s="1364">
        <f t="shared" si="221"/>
        <v>7.9054019391576524E-2</v>
      </c>
      <c r="G143" s="1364">
        <f t="shared" si="221"/>
        <v>3.9887800703622744E-2</v>
      </c>
      <c r="H143" s="1364">
        <f t="shared" si="221"/>
        <v>-7.6349837699447587E-3</v>
      </c>
      <c r="I143" s="1364">
        <f t="shared" si="221"/>
        <v>-0.20639454528701728</v>
      </c>
      <c r="J143" s="1364">
        <f t="shared" si="221"/>
        <v>5.6078021595262983E-2</v>
      </c>
      <c r="K143" s="1364">
        <f>K142/J142-1</f>
        <v>-0.29309586631486373</v>
      </c>
      <c r="L143" s="1364">
        <f>L142/K142-1</f>
        <v>-1.0886469673406785E-3</v>
      </c>
      <c r="M143" s="1364">
        <f>M142/L142-1</f>
        <v>1.5101977269188938E-2</v>
      </c>
      <c r="N143" s="1741">
        <v>0</v>
      </c>
      <c r="O143" s="2733">
        <v>0</v>
      </c>
      <c r="P143" s="2733">
        <v>0</v>
      </c>
      <c r="Q143" s="1741">
        <v>0</v>
      </c>
      <c r="R143" s="2835">
        <v>0</v>
      </c>
      <c r="S143" s="2836"/>
      <c r="T143" s="2835">
        <v>0</v>
      </c>
      <c r="U143" s="2835">
        <v>0</v>
      </c>
      <c r="V143" s="2835">
        <v>0</v>
      </c>
      <c r="W143" s="2835">
        <v>0</v>
      </c>
      <c r="X143" s="2835">
        <v>0</v>
      </c>
      <c r="Y143" s="1741">
        <v>0</v>
      </c>
      <c r="Z143" s="1741">
        <v>0</v>
      </c>
      <c r="AA143" s="1741">
        <v>0</v>
      </c>
      <c r="AB143" s="1741">
        <v>0</v>
      </c>
      <c r="AC143" s="1741">
        <v>0</v>
      </c>
      <c r="AD143" s="1741">
        <v>0</v>
      </c>
      <c r="AE143" s="1741">
        <v>0</v>
      </c>
      <c r="AF143" s="1364"/>
      <c r="AG143" s="1364"/>
      <c r="AH143" s="1364"/>
      <c r="AI143" s="1364"/>
      <c r="AJ143" s="1364"/>
      <c r="AK143" s="1364"/>
      <c r="AL143" s="1835" t="str">
        <f t="shared" si="186"/>
        <v xml:space="preserve">% Change </v>
      </c>
      <c r="AM143" s="1770" t="s">
        <v>1455</v>
      </c>
      <c r="AN143" s="1770" t="s">
        <v>1455</v>
      </c>
      <c r="AO143" s="1770" t="s">
        <v>1455</v>
      </c>
      <c r="AP143" s="1770" t="s">
        <v>1455</v>
      </c>
      <c r="AQ143" s="1811"/>
      <c r="AR143" s="1364">
        <f>AR142/AM142-1</f>
        <v>6.3972229109843903E-2</v>
      </c>
      <c r="AS143" s="1364">
        <f>AS142/AN142-1</f>
        <v>3.1611570247933818E-2</v>
      </c>
      <c r="AT143" s="1364">
        <f>AT142/AO142-1</f>
        <v>3.091706705661168E-2</v>
      </c>
      <c r="AU143" s="1364">
        <f>AU142/AP142-1</f>
        <v>2.5670945157526104E-2</v>
      </c>
      <c r="AV143" s="1811"/>
      <c r="AW143" s="1364">
        <f>AW142/AR142-1</f>
        <v>5.3833605220228398E-2</v>
      </c>
      <c r="AX143" s="1364">
        <f>AX142/AS142-1</f>
        <v>7.029841778489887E-2</v>
      </c>
      <c r="AY143" s="1364">
        <f>AY142/AT142-1</f>
        <v>8.6524822695035475E-2</v>
      </c>
      <c r="AZ143" s="1364">
        <f>AZ142/AU142-1</f>
        <v>0.10087220326128188</v>
      </c>
      <c r="BA143" s="1811"/>
      <c r="BB143" s="1364">
        <f>BB142/AW142-1</f>
        <v>2.2335249889429587E-2</v>
      </c>
      <c r="BC143" s="1364">
        <f>BC142/AX142-1</f>
        <v>3.7050898203592864E-2</v>
      </c>
      <c r="BD143" s="1364">
        <f>BD142/AY142-1</f>
        <v>2.9839612085042821E-2</v>
      </c>
      <c r="BE143" s="1364">
        <f>BE142/AZ142-1</f>
        <v>6.5449534963830436E-2</v>
      </c>
      <c r="BF143" s="1811"/>
      <c r="BG143" s="1364">
        <f>BG142/BB142-1</f>
        <v>7.4843175427211639E-2</v>
      </c>
      <c r="BH143" s="1364">
        <f>BH142/BC142-1</f>
        <v>7.9213280404186071E-2</v>
      </c>
      <c r="BI143" s="1364">
        <f>BI142/BD142-1</f>
        <v>-5.2517203911628396E-3</v>
      </c>
      <c r="BJ143" s="1364">
        <f>BJ142/BE142-1</f>
        <v>-0.14920788878111879</v>
      </c>
      <c r="BK143" s="1811"/>
      <c r="BL143" s="1364">
        <f>BL142/BG142-1</f>
        <v>-0.23545985107667544</v>
      </c>
      <c r="BM143" s="1364">
        <f>BM142/BH142-1</f>
        <v>-0.27420163852198631</v>
      </c>
      <c r="BN143" s="1364">
        <f>BN142/BI142-1</f>
        <v>-0.22647005279446564</v>
      </c>
      <c r="BO143" s="1364">
        <f>BO142/BJ142-1</f>
        <v>-8.0942428272848144E-2</v>
      </c>
      <c r="BP143" s="1811"/>
      <c r="BQ143" s="1364">
        <f>BQ142/BL142-1</f>
        <v>3.2376941300342299E-2</v>
      </c>
      <c r="BR143" s="1364">
        <f>BR142/BM142-1</f>
        <v>5.1140290255701437E-2</v>
      </c>
      <c r="BS143" s="1364">
        <f>BS142/BN142-1</f>
        <v>8.1901623911508681E-2</v>
      </c>
      <c r="BT143" s="1364">
        <f>BT142/BO142-1</f>
        <v>5.6439942112879837E-2</v>
      </c>
      <c r="BU143" s="1477"/>
      <c r="BV143" s="1364">
        <f>BV142/BQ142-1</f>
        <v>-0.28862825089240185</v>
      </c>
      <c r="BW143" s="1364">
        <f>BW142/BR142-1</f>
        <v>-0.27240850317773402</v>
      </c>
      <c r="BX143" s="1364">
        <f>BX142/BS142-1</f>
        <v>-0.27561453121601043</v>
      </c>
      <c r="BY143" s="1364">
        <f>BY142/BT142-1</f>
        <v>-0.33072407045009788</v>
      </c>
      <c r="BZ143" s="1477"/>
      <c r="CA143" s="1364">
        <f>CA142/BV142-1</f>
        <v>2.4731182795698858E-2</v>
      </c>
      <c r="CB143" s="1364">
        <f>CB142/BW142-1</f>
        <v>-1.8072289156627619E-3</v>
      </c>
      <c r="CC143" s="1364">
        <f>CC142/BX142-1</f>
        <v>-4.5045045045043475E-3</v>
      </c>
      <c r="CD143" s="1364">
        <f>CD142/BY142-1</f>
        <v>-1.8128654970760327E-2</v>
      </c>
      <c r="CE143" s="1477"/>
      <c r="CF143" s="1364">
        <f>CF142/CA142-1</f>
        <v>-1.7138859741168133E-2</v>
      </c>
      <c r="CG143" s="1364">
        <f>CG142/CB142-1</f>
        <v>1.086300543150287E-2</v>
      </c>
      <c r="CH143" s="1364">
        <f>CH142/CC142-1</f>
        <v>2.8657616892910909E-2</v>
      </c>
      <c r="CI143" s="1364">
        <f>CI142/CD142-1</f>
        <v>3.3353186420488568E-2</v>
      </c>
      <c r="CJ143" s="1477"/>
      <c r="CK143" s="1741">
        <v>0</v>
      </c>
      <c r="CL143" s="1741">
        <v>0</v>
      </c>
      <c r="CM143" s="1741">
        <v>0</v>
      </c>
      <c r="CN143" s="1741">
        <v>0</v>
      </c>
      <c r="CO143" s="1477"/>
      <c r="CP143" s="1741">
        <v>0</v>
      </c>
      <c r="CQ143" s="1741">
        <v>0</v>
      </c>
      <c r="CR143" s="1741">
        <v>0</v>
      </c>
      <c r="CS143" s="1741">
        <v>0</v>
      </c>
      <c r="CT143" s="1741">
        <f>$Q143-SUM(CP143:CS143)</f>
        <v>0</v>
      </c>
      <c r="CU143" s="1741">
        <v>0</v>
      </c>
      <c r="CV143" s="1741">
        <v>0</v>
      </c>
      <c r="CW143" s="1741">
        <v>0</v>
      </c>
      <c r="CX143" s="1741">
        <v>0</v>
      </c>
      <c r="CY143" s="1741">
        <f>R143-SUM(CU143:CX143)</f>
        <v>0</v>
      </c>
      <c r="CZ143" s="1741">
        <v>0</v>
      </c>
      <c r="DA143" s="1741">
        <v>0</v>
      </c>
      <c r="DB143" s="1741">
        <v>0</v>
      </c>
      <c r="DC143" s="1741">
        <v>0</v>
      </c>
      <c r="DD143" s="1741">
        <f>T143-SUM(CZ143:DC143)</f>
        <v>0</v>
      </c>
      <c r="DE143" s="1741">
        <v>0</v>
      </c>
      <c r="DF143" s="1741">
        <v>0</v>
      </c>
      <c r="DG143" s="1741">
        <v>0</v>
      </c>
      <c r="DH143" s="1741">
        <v>0</v>
      </c>
      <c r="DI143" s="2835">
        <f t="shared" si="220"/>
        <v>0</v>
      </c>
      <c r="DJ143" s="1741"/>
      <c r="DK143" s="1364"/>
      <c r="DL143" s="1477"/>
      <c r="DM143" s="1477"/>
      <c r="DN143" s="1470"/>
      <c r="DO143" s="2362"/>
      <c r="DP143" s="2362"/>
      <c r="DQ143" s="2362"/>
      <c r="DR143" s="2362"/>
      <c r="DS143" s="2362"/>
      <c r="DT143" s="2362"/>
      <c r="DU143" s="875"/>
      <c r="DV143" s="875"/>
      <c r="DW143" s="875"/>
      <c r="EB143" s="1577"/>
    </row>
    <row r="144" spans="1:132" ht="6" hidden="1" customHeight="1" outlineLevel="1">
      <c r="A144" s="1833"/>
      <c r="B144" s="1774"/>
      <c r="C144" s="1774"/>
      <c r="D144" s="1774"/>
      <c r="E144" s="1774"/>
      <c r="F144" s="1774"/>
      <c r="G144" s="1774"/>
      <c r="H144" s="1774"/>
      <c r="I144" s="1774"/>
      <c r="J144" s="1774"/>
      <c r="K144" s="1774"/>
      <c r="L144" s="1774"/>
      <c r="M144" s="1774"/>
      <c r="N144" s="1774"/>
      <c r="O144" s="2734"/>
      <c r="P144" s="2734"/>
      <c r="Q144" s="1774"/>
      <c r="R144" s="2831"/>
      <c r="S144" s="2832"/>
      <c r="T144" s="2831"/>
      <c r="U144" s="2831"/>
      <c r="V144" s="2831"/>
      <c r="W144" s="2831"/>
      <c r="X144" s="2831"/>
      <c r="Y144" s="1774"/>
      <c r="Z144" s="1774"/>
      <c r="AA144" s="1774"/>
      <c r="AB144" s="1774"/>
      <c r="AC144" s="1774"/>
      <c r="AD144" s="1774"/>
      <c r="AE144" s="1774"/>
      <c r="AF144" s="1372"/>
      <c r="AG144" s="1372"/>
      <c r="AH144" s="1372"/>
      <c r="AI144" s="1372"/>
      <c r="AJ144" s="1372"/>
      <c r="AK144" s="1372"/>
      <c r="AL144" s="1108"/>
      <c r="AM144" s="1774"/>
      <c r="AN144" s="1774"/>
      <c r="AO144" s="1774"/>
      <c r="AP144" s="1774"/>
      <c r="AQ144" s="1799"/>
      <c r="AR144" s="1774"/>
      <c r="AS144" s="1774"/>
      <c r="AT144" s="1774"/>
      <c r="AU144" s="1774"/>
      <c r="AV144" s="1799"/>
      <c r="AW144" s="1774"/>
      <c r="AX144" s="1774"/>
      <c r="AY144" s="1774"/>
      <c r="AZ144" s="1774"/>
      <c r="BA144" s="1799"/>
      <c r="BB144" s="1774"/>
      <c r="BC144" s="1774"/>
      <c r="BD144" s="1774"/>
      <c r="BE144" s="1774"/>
      <c r="BF144" s="1799"/>
      <c r="BG144" s="1774"/>
      <c r="BH144" s="1774"/>
      <c r="BI144" s="1774"/>
      <c r="BJ144" s="1774"/>
      <c r="BK144" s="1799"/>
      <c r="BL144" s="1774"/>
      <c r="BM144" s="1774"/>
      <c r="BN144" s="1774"/>
      <c r="BO144" s="1774"/>
      <c r="BP144" s="1799"/>
      <c r="BQ144" s="1642"/>
      <c r="BR144" s="1642"/>
      <c r="BS144" s="1642"/>
      <c r="BT144" s="1642"/>
      <c r="BU144" s="1108"/>
      <c r="BV144" s="1642"/>
      <c r="BW144" s="1642"/>
      <c r="BX144" s="1642"/>
      <c r="BY144" s="1642"/>
      <c r="BZ144" s="1108"/>
      <c r="CA144" s="1642"/>
      <c r="CB144" s="1642"/>
      <c r="CC144" s="1642"/>
      <c r="CD144" s="1642"/>
      <c r="CE144" s="1108"/>
      <c r="CF144" s="1642"/>
      <c r="CG144" s="1642"/>
      <c r="CH144" s="1642"/>
      <c r="CI144" s="1642"/>
      <c r="CJ144" s="1108"/>
      <c r="CK144" s="1472"/>
      <c r="CL144" s="1472"/>
      <c r="CM144" s="1472"/>
      <c r="CN144" s="1642"/>
      <c r="CO144" s="1108"/>
      <c r="CP144" s="1472"/>
      <c r="CQ144" s="1472"/>
      <c r="CR144" s="1472"/>
      <c r="CS144" s="1642"/>
      <c r="CT144" s="1741"/>
      <c r="CU144" s="1472"/>
      <c r="CV144" s="1472"/>
      <c r="CW144" s="1472"/>
      <c r="CX144" s="1472"/>
      <c r="CY144" s="1741"/>
      <c r="CZ144" s="1472"/>
      <c r="DA144" s="1472"/>
      <c r="DB144" s="1472"/>
      <c r="DC144" s="1472"/>
      <c r="DD144" s="1741"/>
      <c r="DE144" s="1472"/>
      <c r="DF144" s="1472"/>
      <c r="DG144" s="1472"/>
      <c r="DH144" s="1472"/>
      <c r="DI144" s="2835">
        <f t="shared" si="220"/>
        <v>0</v>
      </c>
      <c r="DJ144" s="1741"/>
      <c r="DK144" s="1642"/>
      <c r="DL144" s="1477"/>
      <c r="DM144" s="1477"/>
      <c r="DN144" s="1470"/>
      <c r="DO144" s="186"/>
      <c r="DP144" s="186"/>
      <c r="DQ144" s="186"/>
      <c r="DR144" s="186"/>
      <c r="DS144" s="186"/>
      <c r="DT144" s="186"/>
      <c r="DU144" s="875"/>
      <c r="DV144" s="875"/>
      <c r="DW144" s="875"/>
      <c r="EB144" s="1577"/>
    </row>
    <row r="145" spans="1:132" ht="11.25" hidden="1" customHeight="1" outlineLevel="1">
      <c r="A145" s="1494" t="s">
        <v>421</v>
      </c>
      <c r="B145" s="1643">
        <f t="shared" ref="B145:H145" si="222">B131+B142</f>
        <v>5403.9888700000001</v>
      </c>
      <c r="C145" s="1643">
        <f t="shared" si="222"/>
        <v>5521.2615372500004</v>
      </c>
      <c r="D145" s="1643">
        <f t="shared" si="222"/>
        <v>5816.0486672574998</v>
      </c>
      <c r="E145" s="1643">
        <f t="shared" si="222"/>
        <v>5854.9719534623673</v>
      </c>
      <c r="F145" s="1643">
        <f t="shared" si="222"/>
        <v>5915.6455187258325</v>
      </c>
      <c r="G145" s="1643">
        <f t="shared" si="222"/>
        <v>5615.7019519435262</v>
      </c>
      <c r="H145" s="1643">
        <f t="shared" si="222"/>
        <v>5121</v>
      </c>
      <c r="I145" s="1643">
        <f t="shared" ref="I145:P145" si="223">I131+I142</f>
        <v>4082.3</v>
      </c>
      <c r="J145" s="1643">
        <f t="shared" si="223"/>
        <v>4601.7</v>
      </c>
      <c r="K145" s="1643">
        <f t="shared" si="223"/>
        <v>3975</v>
      </c>
      <c r="L145" s="1643">
        <f>L131+L142</f>
        <v>4058.6</v>
      </c>
      <c r="M145" s="1643">
        <f t="shared" si="223"/>
        <v>4000</v>
      </c>
      <c r="N145" s="1643">
        <f t="shared" si="223"/>
        <v>2756</v>
      </c>
      <c r="O145" s="2736">
        <f t="shared" si="223"/>
        <v>2696</v>
      </c>
      <c r="P145" s="2736">
        <f t="shared" si="223"/>
        <v>2756</v>
      </c>
      <c r="Q145" s="1643">
        <f>Q131</f>
        <v>2824</v>
      </c>
      <c r="R145" s="2812">
        <f>R131</f>
        <v>2999</v>
      </c>
      <c r="S145" s="2826">
        <f>S131</f>
        <v>1779</v>
      </c>
      <c r="T145" s="2812">
        <f>T131</f>
        <v>1700.7411614228972</v>
      </c>
      <c r="U145" s="2812">
        <f>U131</f>
        <v>1920.5893655468399</v>
      </c>
      <c r="V145" s="2812">
        <f t="shared" ref="V145:AB145" si="224">V131</f>
        <v>2025.7623154034393</v>
      </c>
      <c r="W145" s="2812">
        <f t="shared" si="224"/>
        <v>2435.2873748755487</v>
      </c>
      <c r="X145" s="2812">
        <f t="shared" si="224"/>
        <v>2524.3851475984839</v>
      </c>
      <c r="Y145" s="1643">
        <f t="shared" si="224"/>
        <v>2746.943930220737</v>
      </c>
      <c r="Z145" s="1643">
        <f t="shared" si="224"/>
        <v>2701.1471433444613</v>
      </c>
      <c r="AA145" s="1643">
        <f t="shared" si="224"/>
        <v>2905.0513232198464</v>
      </c>
      <c r="AB145" s="1643">
        <f t="shared" si="224"/>
        <v>2882.1072827233056</v>
      </c>
      <c r="AC145" s="1643">
        <f>AC131</f>
        <v>2995.8345860373629</v>
      </c>
      <c r="AD145" s="1643">
        <f>AD131</f>
        <v>2976.5813110999084</v>
      </c>
      <c r="AE145" s="1643">
        <f>AE131</f>
        <v>3233.1004596241578</v>
      </c>
      <c r="AF145" s="1643"/>
      <c r="AG145" s="1643"/>
      <c r="AH145" s="1643"/>
      <c r="AI145" s="1643"/>
      <c r="AJ145" s="1643"/>
      <c r="AK145" s="1643"/>
      <c r="AL145" s="1494" t="str">
        <f t="shared" si="186"/>
        <v>TOTAL LOCAL GROUP REVENUE</v>
      </c>
      <c r="AM145" s="1643">
        <f>AM131+AM142</f>
        <v>1273.8312448096001</v>
      </c>
      <c r="AN145" s="1643">
        <f>AN131+AN142</f>
        <v>1512.4481139580528</v>
      </c>
      <c r="AO145" s="1643">
        <f>AO131+AO142</f>
        <v>1435.545515711412</v>
      </c>
      <c r="AP145" s="1643">
        <f>AP131+AP142</f>
        <v>1594.2237927784349</v>
      </c>
      <c r="AQ145" s="1741">
        <f>D145-SUM(AM145:AP145)</f>
        <v>0</v>
      </c>
      <c r="AR145" s="1643">
        <f>AR131+AR142</f>
        <v>1290.3723567852003</v>
      </c>
      <c r="AS145" s="1643">
        <f>AS131+AS142</f>
        <v>1514.0836705393112</v>
      </c>
      <c r="AT145" s="1643">
        <f>AT131+AT142</f>
        <v>1467.1004099535644</v>
      </c>
      <c r="AU145" s="1643">
        <f>AU131+AU142</f>
        <v>1583.4155161842909</v>
      </c>
      <c r="AV145" s="1741">
        <f>E145-SUM(AR145:AU145)</f>
        <v>0</v>
      </c>
      <c r="AW145" s="1643">
        <f>AW131+AW142</f>
        <v>1295.2082746915735</v>
      </c>
      <c r="AX145" s="1643">
        <f>AX131+AX142</f>
        <v>1522.3578368007934</v>
      </c>
      <c r="AY145" s="1643">
        <f>AY131+AY142</f>
        <v>1498.5796110488791</v>
      </c>
      <c r="AZ145" s="1643">
        <f>AZ131+AZ142</f>
        <v>1599.4997961845866</v>
      </c>
      <c r="BA145" s="1741">
        <f>F145-SUM(AW145:AZ145)</f>
        <v>0</v>
      </c>
      <c r="BB145" s="1643">
        <f>BB131+BB142</f>
        <v>1297.0948834886185</v>
      </c>
      <c r="BC145" s="1643">
        <f>BC131+BC142</f>
        <v>1455.0129350301027</v>
      </c>
      <c r="BD145" s="1643">
        <f>BD131+BD142</f>
        <v>1419.1512227174128</v>
      </c>
      <c r="BE145" s="1643">
        <f>BE131+BE142</f>
        <v>1444.442910707392</v>
      </c>
      <c r="BF145" s="1741">
        <f>G145-SUM(BB145:BE145)</f>
        <v>0</v>
      </c>
      <c r="BG145" s="1849">
        <v>1230.2</v>
      </c>
      <c r="BH145" s="1849">
        <v>1373.5</v>
      </c>
      <c r="BI145" s="1849">
        <v>1255.2</v>
      </c>
      <c r="BJ145" s="1849">
        <v>1262.0999999999999</v>
      </c>
      <c r="BK145" s="1741">
        <f>H145-SUM(BG145:BJ145)</f>
        <v>0</v>
      </c>
      <c r="BL145" s="1849">
        <v>890.3</v>
      </c>
      <c r="BM145" s="1849">
        <v>1013.6</v>
      </c>
      <c r="BN145" s="1849">
        <v>1014.7</v>
      </c>
      <c r="BO145" s="1849">
        <v>1163.7</v>
      </c>
      <c r="BP145" s="1741">
        <f>I145-SUM(BL145:BO145)</f>
        <v>0</v>
      </c>
      <c r="BQ145" s="1643">
        <f>BQ131+BQ142</f>
        <v>997.7</v>
      </c>
      <c r="BR145" s="1643">
        <f>BR131+BR142</f>
        <v>1134.5</v>
      </c>
      <c r="BS145" s="1643">
        <f>BS131+BS142</f>
        <v>1137</v>
      </c>
      <c r="BT145" s="1643">
        <f>BT131+BT142</f>
        <v>1332.5</v>
      </c>
      <c r="BU145" s="1741">
        <f>J145-SUM(BQ145:BT145)</f>
        <v>0</v>
      </c>
      <c r="BV145" s="1643">
        <f>BV131+BV142</f>
        <v>900</v>
      </c>
      <c r="BW145" s="1643">
        <f>BW131+BW142</f>
        <v>1023</v>
      </c>
      <c r="BX145" s="1643">
        <f>BX131+BX142</f>
        <v>989</v>
      </c>
      <c r="BY145" s="1643">
        <f>BY131+BY142</f>
        <v>1063</v>
      </c>
      <c r="BZ145" s="1741">
        <f>K145-SUM(BV145:BY145)</f>
        <v>0</v>
      </c>
      <c r="CA145" s="1643">
        <f>CA131+CA142</f>
        <v>907.9</v>
      </c>
      <c r="CB145" s="1643">
        <f>CB131+CB142</f>
        <v>1035.4000000000001</v>
      </c>
      <c r="CC145" s="1643">
        <f>CC131+CC142</f>
        <v>992.5</v>
      </c>
      <c r="CD145" s="1643">
        <f>CD131+CD142</f>
        <v>1122.8</v>
      </c>
      <c r="CE145" s="1741">
        <f>L145-SUM(CA145:CD145)</f>
        <v>0</v>
      </c>
      <c r="CF145" s="1643">
        <f>CF131+CF142</f>
        <v>919</v>
      </c>
      <c r="CG145" s="1643">
        <f>CG131+CG142</f>
        <v>1033</v>
      </c>
      <c r="CH145" s="1643">
        <f>CH131+CH142</f>
        <v>982</v>
      </c>
      <c r="CI145" s="1643">
        <f>CI131+CI142</f>
        <v>1066</v>
      </c>
      <c r="CJ145" s="1741">
        <f>M145-SUM(CF145:CI145)</f>
        <v>0</v>
      </c>
      <c r="CK145" s="1643">
        <f>CK131+CK142</f>
        <v>626</v>
      </c>
      <c r="CL145" s="1643">
        <f>CL131+CL142</f>
        <v>665</v>
      </c>
      <c r="CM145" s="1643">
        <f>CM131+CM142</f>
        <v>680</v>
      </c>
      <c r="CN145" s="1643">
        <f>CN131+CN142</f>
        <v>785</v>
      </c>
      <c r="CO145" s="1741">
        <f>$N145-SUM(CK145:CN145)</f>
        <v>0</v>
      </c>
      <c r="CP145" s="1643">
        <f>CP131+CP142</f>
        <v>646</v>
      </c>
      <c r="CQ145" s="1643">
        <f>CQ131</f>
        <v>705</v>
      </c>
      <c r="CR145" s="1643">
        <f>CR131</f>
        <v>694</v>
      </c>
      <c r="CS145" s="1643">
        <f>CS131</f>
        <v>779</v>
      </c>
      <c r="CT145" s="1741">
        <f>$Q145-SUM(CP145:CS145)</f>
        <v>0</v>
      </c>
      <c r="CU145" s="1643">
        <f>CU131</f>
        <v>448</v>
      </c>
      <c r="CV145" s="1643">
        <f>CV131</f>
        <v>396</v>
      </c>
      <c r="CW145" s="1643">
        <f>CW131</f>
        <v>409</v>
      </c>
      <c r="CX145" s="1643">
        <f>CX131</f>
        <v>526</v>
      </c>
      <c r="CY145" s="1741"/>
      <c r="CZ145" s="1643">
        <f>CZ131</f>
        <v>409</v>
      </c>
      <c r="DA145" s="1643">
        <f>DA131</f>
        <v>412</v>
      </c>
      <c r="DB145" s="1643">
        <f>DB131</f>
        <v>397</v>
      </c>
      <c r="DC145" s="1643">
        <f>DC131</f>
        <v>482.74116142289699</v>
      </c>
      <c r="DD145" s="1741">
        <f t="shared" ref="DD145:DD208" si="225">T145-SUM(CZ145:DC145)</f>
        <v>0</v>
      </c>
      <c r="DE145" s="1643">
        <f>DE131</f>
        <v>449.61840248096553</v>
      </c>
      <c r="DF145" s="1643">
        <f>DF131</f>
        <v>444.07812600658212</v>
      </c>
      <c r="DG145" s="1643">
        <f>DG131</f>
        <v>452.71003181943894</v>
      </c>
      <c r="DH145" s="1643">
        <f>DH131</f>
        <v>574.18280523985322</v>
      </c>
      <c r="DI145" s="2835">
        <f t="shared" si="220"/>
        <v>0</v>
      </c>
      <c r="DJ145" s="1741"/>
      <c r="DK145" s="1643"/>
      <c r="DL145" s="1477"/>
      <c r="DM145" s="1477"/>
      <c r="DN145" s="1470"/>
      <c r="DO145" s="2362"/>
      <c r="DP145" s="2362"/>
      <c r="DQ145" s="2362"/>
      <c r="DR145" s="2362"/>
      <c r="DS145" s="2362"/>
      <c r="DT145" s="2362"/>
      <c r="DU145" s="875"/>
      <c r="DV145" s="875"/>
      <c r="DW145" s="875"/>
      <c r="EB145" s="1577"/>
    </row>
    <row r="146" spans="1:132" ht="11.25" hidden="1" customHeight="1" outlineLevel="1">
      <c r="A146" s="1797" t="s">
        <v>344</v>
      </c>
      <c r="B146" s="1742" t="s">
        <v>1455</v>
      </c>
      <c r="C146" s="1782">
        <f>C145/B145-1</f>
        <v>2.170113041887145E-2</v>
      </c>
      <c r="D146" s="1782">
        <f t="shared" ref="D146:J146" si="226">D145/C145-1</f>
        <v>5.3391263576027859E-2</v>
      </c>
      <c r="E146" s="1782">
        <f t="shared" si="226"/>
        <v>6.6923934842555433E-3</v>
      </c>
      <c r="F146" s="1782">
        <f t="shared" si="226"/>
        <v>1.0362742254911295E-2</v>
      </c>
      <c r="G146" s="1782">
        <f t="shared" si="226"/>
        <v>-5.0703438167963633E-2</v>
      </c>
      <c r="H146" s="1782">
        <f t="shared" si="226"/>
        <v>-8.8092629590556526E-2</v>
      </c>
      <c r="I146" s="1782">
        <f t="shared" si="226"/>
        <v>-0.20283147822690872</v>
      </c>
      <c r="J146" s="1782">
        <f t="shared" si="226"/>
        <v>0.12723219753570292</v>
      </c>
      <c r="K146" s="1782">
        <f t="shared" ref="K146:W146" si="227">K145/J145-1</f>
        <v>-0.13618879979138143</v>
      </c>
      <c r="L146" s="1782">
        <f t="shared" si="227"/>
        <v>2.1031446540880516E-2</v>
      </c>
      <c r="M146" s="1782">
        <f t="shared" si="227"/>
        <v>-1.443847632188433E-2</v>
      </c>
      <c r="N146" s="1782">
        <f t="shared" si="227"/>
        <v>-0.31100000000000005</v>
      </c>
      <c r="O146" s="2716"/>
      <c r="P146" s="2716">
        <f t="shared" si="227"/>
        <v>2.2255192878338326E-2</v>
      </c>
      <c r="Q146" s="1782">
        <f t="shared" si="227"/>
        <v>2.467343976777947E-2</v>
      </c>
      <c r="R146" s="2838">
        <f t="shared" si="227"/>
        <v>6.1968838526912151E-2</v>
      </c>
      <c r="S146" s="2839"/>
      <c r="T146" s="2838">
        <f>T145/S145-1</f>
        <v>-4.3990353331704757E-2</v>
      </c>
      <c r="U146" s="2838">
        <f t="shared" si="227"/>
        <v>0.12926611592090254</v>
      </c>
      <c r="V146" s="2838">
        <f t="shared" si="227"/>
        <v>5.4760768617842404E-2</v>
      </c>
      <c r="W146" s="2838">
        <f t="shared" si="227"/>
        <v>0.20215849429035848</v>
      </c>
      <c r="X146" s="2838">
        <f t="shared" ref="X146:AE146" si="228">X145/W145-1</f>
        <v>3.6586143238018565E-2</v>
      </c>
      <c r="Y146" s="1782">
        <f t="shared" si="228"/>
        <v>8.8163560474905811E-2</v>
      </c>
      <c r="Z146" s="1782">
        <f t="shared" si="228"/>
        <v>-1.6671904501740498E-2</v>
      </c>
      <c r="AA146" s="1782">
        <f t="shared" si="228"/>
        <v>7.5487994194540109E-2</v>
      </c>
      <c r="AB146" s="1782">
        <f t="shared" si="228"/>
        <v>-7.897981117631514E-3</v>
      </c>
      <c r="AC146" s="1782">
        <f t="shared" si="228"/>
        <v>3.9459774448991514E-2</v>
      </c>
      <c r="AD146" s="1782">
        <f t="shared" si="228"/>
        <v>-6.4266815755409379E-3</v>
      </c>
      <c r="AE146" s="1782">
        <f t="shared" si="228"/>
        <v>8.6179116816889501E-2</v>
      </c>
      <c r="AF146" s="1476"/>
      <c r="AG146" s="1476"/>
      <c r="AH146" s="1476"/>
      <c r="AI146" s="1476"/>
      <c r="AJ146" s="1476"/>
      <c r="AK146" s="1476"/>
      <c r="AL146" s="1797" t="s">
        <v>344</v>
      </c>
      <c r="AM146" s="1742" t="s">
        <v>1455</v>
      </c>
      <c r="AN146" s="1742" t="s">
        <v>1455</v>
      </c>
      <c r="AO146" s="1742" t="s">
        <v>1455</v>
      </c>
      <c r="AP146" s="1742" t="s">
        <v>1455</v>
      </c>
      <c r="AQ146" s="1845"/>
      <c r="AR146" s="1782">
        <f>AR145/AM145-1</f>
        <v>1.2985324424251043E-2</v>
      </c>
      <c r="AS146" s="1782">
        <f>AS145/AN145-1</f>
        <v>1.0813968202705304E-3</v>
      </c>
      <c r="AT146" s="1782">
        <f>AT145/AO145-1</f>
        <v>2.1981117210703616E-2</v>
      </c>
      <c r="AU146" s="1782">
        <f>AU145/AP145-1</f>
        <v>-6.7796482796854685E-3</v>
      </c>
      <c r="AV146" s="1845"/>
      <c r="AW146" s="1782">
        <f>AW145/AR145-1</f>
        <v>3.7476918045744601E-3</v>
      </c>
      <c r="AX146" s="1782">
        <f>AX145/AS145-1</f>
        <v>5.4648012012010749E-3</v>
      </c>
      <c r="AY146" s="1782">
        <f>AY145/AT145-1</f>
        <v>2.1456746165254614E-2</v>
      </c>
      <c r="AZ146" s="1782">
        <f>AZ145/AU145-1</f>
        <v>1.0157965382993961E-2</v>
      </c>
      <c r="BA146" s="1845"/>
      <c r="BB146" s="1782">
        <f>BB145/AW145-1</f>
        <v>1.456606504073088E-3</v>
      </c>
      <c r="BC146" s="1782">
        <f>BC145/AX145-1</f>
        <v>-4.4237235256209373E-2</v>
      </c>
      <c r="BD146" s="1782">
        <f>BD145/AY145-1</f>
        <v>-5.3002448282259196E-2</v>
      </c>
      <c r="BE146" s="1782">
        <f>BE145/AZ145-1</f>
        <v>-9.6940859790707101E-2</v>
      </c>
      <c r="BF146" s="1845"/>
      <c r="BG146" s="1476">
        <f>BG145/BB145-1</f>
        <v>-5.1572852796011648E-2</v>
      </c>
      <c r="BH146" s="1476">
        <f>BH145/BC145-1</f>
        <v>-5.6022137719632159E-2</v>
      </c>
      <c r="BI146" s="1476">
        <f>BI145/BD145-1</f>
        <v>-0.11552766195238617</v>
      </c>
      <c r="BJ146" s="1476">
        <f>BJ145/BE145-1</f>
        <v>-0.12623753376178271</v>
      </c>
      <c r="BK146" s="1845"/>
      <c r="BL146" s="1476">
        <f>BL145/BG145-1</f>
        <v>-0.27629653714843116</v>
      </c>
      <c r="BM146" s="1476">
        <f>BM145/BH145-1</f>
        <v>-0.26203130688023302</v>
      </c>
      <c r="BN146" s="1476">
        <f>BN145/BI145-1</f>
        <v>-0.19160293180369659</v>
      </c>
      <c r="BO146" s="1476">
        <f>BO145/BJ145-1</f>
        <v>-7.7965295935345735E-2</v>
      </c>
      <c r="BP146" s="1845"/>
      <c r="BQ146" s="1476">
        <f>BQ145/BL145-1</f>
        <v>0.12063349432775472</v>
      </c>
      <c r="BR146" s="1476">
        <f>BR145/BM145-1</f>
        <v>0.11927782162588785</v>
      </c>
      <c r="BS146" s="1476">
        <f>BS145/BN145-1</f>
        <v>0.1205282349462895</v>
      </c>
      <c r="BT146" s="1476">
        <f>BT145/BO145-1</f>
        <v>0.1450545673283492</v>
      </c>
      <c r="BU146" s="1477"/>
      <c r="BV146" s="1476">
        <f>BV145/BQ145-1</f>
        <v>-9.7925228024456246E-2</v>
      </c>
      <c r="BW146" s="1476">
        <f>BW145/BR145-1</f>
        <v>-9.8281181137064744E-2</v>
      </c>
      <c r="BX146" s="1476">
        <f>BX145/BS145-1</f>
        <v>-0.13016710642040452</v>
      </c>
      <c r="BY146" s="1476">
        <f>BY145/BT145-1</f>
        <v>-0.20225140712945588</v>
      </c>
      <c r="BZ146" s="1477"/>
      <c r="CA146" s="1476">
        <f>CA145/BV145-1</f>
        <v>8.7777777777777732E-3</v>
      </c>
      <c r="CB146" s="1476">
        <f>CB145/BW145-1</f>
        <v>1.2121212121212199E-2</v>
      </c>
      <c r="CC146" s="1476">
        <f>CC145/BX145-1</f>
        <v>3.5389282103135411E-3</v>
      </c>
      <c r="CD146" s="1476">
        <f>CD145/BY145-1</f>
        <v>5.6255879586077029E-2</v>
      </c>
      <c r="CE146" s="1477"/>
      <c r="CF146" s="1476">
        <f>CF145/CA145-1</f>
        <v>1.2226016081066327E-2</v>
      </c>
      <c r="CG146" s="1476">
        <f>CG145/CB145-1</f>
        <v>-2.3179447556500588E-3</v>
      </c>
      <c r="CH146" s="1476">
        <f>CH145/CC145-1</f>
        <v>-1.0579345088161163E-2</v>
      </c>
      <c r="CI146" s="1476">
        <f>CI145/CD145-1</f>
        <v>-5.0587816173850997E-2</v>
      </c>
      <c r="CJ146" s="1477"/>
      <c r="CK146" s="1476">
        <f>CK145/CF145-1</f>
        <v>-0.31882480957562565</v>
      </c>
      <c r="CL146" s="1476">
        <f>CL145/CG145-1</f>
        <v>-0.356243949661181</v>
      </c>
      <c r="CM146" s="1476">
        <f>CM145/CH145-1</f>
        <v>-0.3075356415478615</v>
      </c>
      <c r="CN146" s="1476">
        <f>CN131/CI131-1</f>
        <v>9.1794158553546668E-2</v>
      </c>
      <c r="CO146" s="1477"/>
      <c r="CP146" s="2184">
        <f>CP145/CK145-1</f>
        <v>3.1948881789137351E-2</v>
      </c>
      <c r="CQ146" s="2184">
        <f>CQ145/CL145-1</f>
        <v>6.0150375939849621E-2</v>
      </c>
      <c r="CR146" s="2184">
        <f>CR145/CM145-1</f>
        <v>2.0588235294117574E-2</v>
      </c>
      <c r="CS146" s="2184">
        <f>CS145/CN145-1</f>
        <v>-7.6433121019108263E-3</v>
      </c>
      <c r="CT146" s="1741"/>
      <c r="CU146" s="2184">
        <f>CU145/CP145-1</f>
        <v>-0.30650154798761609</v>
      </c>
      <c r="CV146" s="2184">
        <f>CV145/CQ145-1</f>
        <v>-0.4382978723404255</v>
      </c>
      <c r="CW146" s="2184">
        <f>CW145/CR145-1</f>
        <v>-0.41066282420749278</v>
      </c>
      <c r="CX146" s="2184">
        <f>CX131/CS131-1</f>
        <v>-0.32477535301668803</v>
      </c>
      <c r="CY146" s="1741"/>
      <c r="CZ146" s="2184">
        <f>CZ145/CU145-1</f>
        <v>-8.7053571428571397E-2</v>
      </c>
      <c r="DA146" s="2184">
        <f>DA145/CV145-1</f>
        <v>4.0404040404040442E-2</v>
      </c>
      <c r="DB146" s="2184">
        <f>DB145/CW145-1</f>
        <v>-2.933985330073352E-2</v>
      </c>
      <c r="DC146" s="2184">
        <f>DC131/CX131-1</f>
        <v>-8.224113797928323E-2</v>
      </c>
      <c r="DD146" s="1741"/>
      <c r="DE146" s="2184">
        <f>DE145/CZ145-1</f>
        <v>9.9311497508473234E-2</v>
      </c>
      <c r="DF146" s="2184">
        <f>DF145/DA145-1</f>
        <v>7.7859529142189521E-2</v>
      </c>
      <c r="DG146" s="2184">
        <f>DG145/DB145-1</f>
        <v>0.14032753606911563</v>
      </c>
      <c r="DH146" s="2184">
        <f>DH131/DC131-1</f>
        <v>0.1894216841742451</v>
      </c>
      <c r="DI146" s="1741"/>
      <c r="DJ146" s="1741"/>
      <c r="DK146" s="1476"/>
      <c r="DL146" s="1477"/>
      <c r="DM146" s="1477"/>
      <c r="DN146" s="1470"/>
      <c r="DO146" s="186"/>
      <c r="DP146" s="186"/>
      <c r="DQ146" s="186"/>
      <c r="DR146" s="186"/>
      <c r="DS146" s="186"/>
      <c r="DT146" s="186"/>
      <c r="DU146" s="875"/>
      <c r="DV146" s="875"/>
      <c r="DW146" s="875"/>
      <c r="EB146" s="1577"/>
    </row>
    <row r="147" spans="1:132" ht="11.25" hidden="1" customHeight="1" outlineLevel="1">
      <c r="A147" s="1797"/>
      <c r="B147" s="1770"/>
      <c r="C147" s="1476"/>
      <c r="D147" s="1476"/>
      <c r="E147" s="1476"/>
      <c r="F147" s="1476"/>
      <c r="G147" s="1476"/>
      <c r="H147" s="1476"/>
      <c r="I147" s="1476"/>
      <c r="J147" s="1476"/>
      <c r="K147" s="1476"/>
      <c r="L147" s="1790"/>
      <c r="M147" s="1790"/>
      <c r="N147" s="1790"/>
      <c r="O147" s="2735"/>
      <c r="P147" s="2735"/>
      <c r="Q147" s="1790"/>
      <c r="R147" s="2840"/>
      <c r="S147" s="2794"/>
      <c r="T147" s="2840"/>
      <c r="U147" s="2840"/>
      <c r="V147" s="2840"/>
      <c r="W147" s="2840"/>
      <c r="X147" s="2840"/>
      <c r="Y147" s="2840"/>
      <c r="Z147" s="2840"/>
      <c r="AA147" s="2840"/>
      <c r="AB147" s="2840"/>
      <c r="AC147" s="2840"/>
      <c r="AD147" s="2840"/>
      <c r="AE147" s="2840"/>
      <c r="AF147" s="1476"/>
      <c r="AG147" s="1476"/>
      <c r="AH147" s="1476"/>
      <c r="AI147" s="1476"/>
      <c r="AJ147" s="1476"/>
      <c r="AK147" s="1476"/>
      <c r="AL147" s="1797"/>
      <c r="AM147" s="1770"/>
      <c r="AN147" s="1770"/>
      <c r="AO147" s="1770"/>
      <c r="AP147" s="1770"/>
      <c r="AQ147" s="1845"/>
      <c r="AR147" s="1364"/>
      <c r="AS147" s="1364"/>
      <c r="AT147" s="1364"/>
      <c r="AU147" s="1364"/>
      <c r="AV147" s="1845"/>
      <c r="AW147" s="1364"/>
      <c r="AX147" s="1364"/>
      <c r="AY147" s="1364"/>
      <c r="AZ147" s="1364"/>
      <c r="BA147" s="1845"/>
      <c r="BB147" s="1364"/>
      <c r="BC147" s="1364"/>
      <c r="BD147" s="1364"/>
      <c r="BE147" s="1364"/>
      <c r="BF147" s="1845"/>
      <c r="BG147" s="1364"/>
      <c r="BH147" s="1364"/>
      <c r="BI147" s="1364"/>
      <c r="BJ147" s="1364"/>
      <c r="BK147" s="1845"/>
      <c r="BL147" s="1845"/>
      <c r="BM147" s="1845"/>
      <c r="BN147" s="1845"/>
      <c r="BO147" s="1845"/>
      <c r="BP147" s="1845"/>
      <c r="BQ147" s="1845"/>
      <c r="BR147" s="1845"/>
      <c r="BS147" s="1845"/>
      <c r="BT147" s="1845"/>
      <c r="BU147" s="1845"/>
      <c r="BV147" s="1845"/>
      <c r="BW147" s="1845"/>
      <c r="BX147" s="1845"/>
      <c r="BY147" s="1845"/>
      <c r="BZ147" s="1477"/>
      <c r="CA147" s="1477"/>
      <c r="CB147" s="1477"/>
      <c r="CC147" s="1477"/>
      <c r="CD147" s="1477"/>
      <c r="CE147" s="1477"/>
      <c r="CF147" s="1644">
        <f>CF312</f>
        <v>1.7901249999999997</v>
      </c>
      <c r="CG147" s="1644">
        <f>CG312</f>
        <v>-1.5626666666666627</v>
      </c>
      <c r="CH147" s="1644">
        <f>CH312</f>
        <v>1.3482172188135613</v>
      </c>
      <c r="CI147" s="1644">
        <f>CI312</f>
        <v>1.0449196351904915</v>
      </c>
      <c r="CJ147" s="1477"/>
      <c r="CK147" s="1644">
        <f>CK312</f>
        <v>-0.25532741709344742</v>
      </c>
      <c r="CL147" s="1644">
        <f>CL312</f>
        <v>0.83008900158753907</v>
      </c>
      <c r="CM147" s="1644">
        <f>CM312</f>
        <v>1.0727301132075557</v>
      </c>
      <c r="CN147" s="1644">
        <f>CN312</f>
        <v>0.91417706307249191</v>
      </c>
      <c r="CO147" s="1477"/>
      <c r="CP147" s="1644">
        <f>CP312</f>
        <v>5.4818301786972272E-2</v>
      </c>
      <c r="CQ147" s="1644">
        <f>CQ312</f>
        <v>0.22349133356451281</v>
      </c>
      <c r="CR147" s="1644">
        <f>CR312</f>
        <v>0.12182712711448965</v>
      </c>
      <c r="CS147" s="1644">
        <f>CS312</f>
        <v>-2.1344990681438407</v>
      </c>
      <c r="CT147" s="1741"/>
      <c r="CU147" s="1644">
        <f>CU312</f>
        <v>0.5208904109589042</v>
      </c>
      <c r="CV147" s="1644">
        <f>CV312</f>
        <v>0.14722222222222411</v>
      </c>
      <c r="CW147" s="1644">
        <f>CW312</f>
        <v>0.60606060606060608</v>
      </c>
      <c r="CX147" s="1644">
        <f>CX312</f>
        <v>0.90902777777777766</v>
      </c>
      <c r="CY147" s="1741"/>
      <c r="CZ147" s="1644">
        <f>CZ312</f>
        <v>0.69230769230769229</v>
      </c>
      <c r="DA147" s="1644">
        <f>DA312</f>
        <v>-0.14375000000000071</v>
      </c>
      <c r="DB147" s="1644">
        <f>DB312</f>
        <v>1.4166666666666667</v>
      </c>
      <c r="DC147" s="1644">
        <f>DC312</f>
        <v>1.4492723484787913</v>
      </c>
      <c r="DD147" s="1741"/>
      <c r="DE147" s="1644">
        <f>DE312</f>
        <v>0</v>
      </c>
      <c r="DF147" s="1644">
        <f>DF312</f>
        <v>0</v>
      </c>
      <c r="DG147" s="1644">
        <f>DG312</f>
        <v>0</v>
      </c>
      <c r="DH147" s="1644">
        <f>DH312</f>
        <v>0</v>
      </c>
      <c r="DI147" s="1741"/>
      <c r="DJ147" s="1741"/>
      <c r="DK147" s="1717"/>
      <c r="DL147" s="1477"/>
      <c r="DM147" s="1477"/>
      <c r="DN147" s="1470"/>
      <c r="DO147" s="2362"/>
      <c r="DP147" s="2362"/>
      <c r="DQ147" s="2362"/>
      <c r="DR147" s="2362"/>
      <c r="DS147" s="2362"/>
      <c r="DT147" s="2362"/>
      <c r="DU147" s="875"/>
      <c r="DV147" s="875"/>
      <c r="DW147" s="875"/>
      <c r="EB147" s="1577"/>
    </row>
    <row r="148" spans="1:132" ht="11.25" customHeight="1" collapsed="1">
      <c r="A148" s="1822" t="s">
        <v>678</v>
      </c>
      <c r="B148" s="1372"/>
      <c r="C148" s="1372"/>
      <c r="D148" s="1372"/>
      <c r="E148" s="1372"/>
      <c r="F148" s="1372"/>
      <c r="G148" s="1372"/>
      <c r="H148" s="1372"/>
      <c r="I148" s="1476"/>
      <c r="J148" s="1476"/>
      <c r="K148" s="1476"/>
      <c r="L148" s="1790"/>
      <c r="M148" s="1790"/>
      <c r="N148" s="1790"/>
      <c r="O148" s="2735"/>
      <c r="P148" s="2735"/>
      <c r="Q148" s="1790"/>
      <c r="R148" s="2840"/>
      <c r="S148" s="2794"/>
      <c r="T148" s="2840"/>
      <c r="U148" s="2840"/>
      <c r="V148" s="2840"/>
      <c r="W148" s="2840"/>
      <c r="X148" s="2840"/>
      <c r="Y148" s="2840"/>
      <c r="Z148" s="2840"/>
      <c r="AA148" s="2840"/>
      <c r="AB148" s="2840"/>
      <c r="AC148" s="2840"/>
      <c r="AD148" s="2840"/>
      <c r="AE148" s="2840"/>
      <c r="AF148" s="1476"/>
      <c r="AG148" s="1476"/>
      <c r="AH148" s="1476"/>
      <c r="AI148" s="1476"/>
      <c r="AJ148" s="1476"/>
      <c r="AK148" s="1476"/>
      <c r="AL148" s="1494" t="str">
        <f>A148</f>
        <v>EBITDA</v>
      </c>
      <c r="AM148" s="1372"/>
      <c r="AN148" s="1372"/>
      <c r="AO148" s="1372"/>
      <c r="AP148" s="1372"/>
      <c r="AQ148" s="1799"/>
      <c r="AR148" s="1372"/>
      <c r="AS148" s="1372"/>
      <c r="AT148" s="1372"/>
      <c r="AU148" s="1372"/>
      <c r="AV148" s="1799"/>
      <c r="AW148" s="1372"/>
      <c r="AX148" s="1372"/>
      <c r="AY148" s="1372"/>
      <c r="AZ148" s="1372"/>
      <c r="BA148" s="1799"/>
      <c r="BB148" s="1372"/>
      <c r="BC148" s="1372"/>
      <c r="BD148" s="1372"/>
      <c r="BE148" s="1372"/>
      <c r="BF148" s="1799"/>
      <c r="BG148" s="1372"/>
      <c r="BH148" s="1372"/>
      <c r="BI148" s="1372"/>
      <c r="BJ148" s="1372"/>
      <c r="BK148" s="1799"/>
      <c r="BL148" s="1799"/>
      <c r="BM148" s="1799"/>
      <c r="BN148" s="1799"/>
      <c r="BO148" s="1799"/>
      <c r="BP148" s="1799"/>
      <c r="BQ148" s="1799"/>
      <c r="BR148" s="1799"/>
      <c r="BS148" s="1799"/>
      <c r="BT148" s="1799"/>
      <c r="BU148" s="1799"/>
      <c r="BV148" s="1799"/>
      <c r="BW148" s="1799"/>
      <c r="BX148" s="1799"/>
      <c r="BY148" s="1799"/>
      <c r="BZ148" s="1108"/>
      <c r="CA148" s="1357"/>
      <c r="CB148" s="1357"/>
      <c r="CC148" s="1108"/>
      <c r="CD148" s="1108"/>
      <c r="CE148" s="1108"/>
      <c r="CF148" s="1357"/>
      <c r="CG148" s="1493"/>
      <c r="CH148" s="1108"/>
      <c r="CI148" s="1108"/>
      <c r="CJ148" s="1108"/>
      <c r="CK148" s="1737"/>
      <c r="CL148" s="1493"/>
      <c r="CM148" s="1645"/>
      <c r="CN148" s="1645"/>
      <c r="CO148" s="1108"/>
      <c r="CP148" s="1645"/>
      <c r="CQ148" s="1645"/>
      <c r="CR148" s="1645"/>
      <c r="CS148" s="1645"/>
      <c r="CT148" s="1741"/>
      <c r="CU148" s="1741"/>
      <c r="CV148" s="1741"/>
      <c r="CW148" s="1741"/>
      <c r="CX148" s="1741"/>
      <c r="CY148" s="1741"/>
      <c r="CZ148" s="1741"/>
      <c r="DA148" s="1741"/>
      <c r="DB148" s="1741"/>
      <c r="DC148" s="1741"/>
      <c r="DD148" s="1741"/>
      <c r="DE148" s="1741"/>
      <c r="DF148" s="1741"/>
      <c r="DG148" s="1741"/>
      <c r="DH148" s="1741"/>
      <c r="DI148" s="1741"/>
      <c r="DJ148" s="1741"/>
      <c r="DK148" s="1105"/>
      <c r="DL148" s="1477"/>
      <c r="DM148" s="1477"/>
      <c r="DN148" s="1470"/>
      <c r="DO148" s="186"/>
      <c r="DP148" s="186"/>
      <c r="DQ148" s="186"/>
      <c r="DR148" s="186"/>
      <c r="DS148" s="186"/>
      <c r="DT148" s="186"/>
      <c r="DU148" s="875"/>
      <c r="DV148" s="875"/>
      <c r="DW148" s="875"/>
      <c r="EB148" s="1577"/>
    </row>
    <row r="149" spans="1:132" ht="11.25" hidden="1" customHeight="1" outlineLevel="1">
      <c r="A149" s="1826" t="s">
        <v>712</v>
      </c>
      <c r="B149" s="1105">
        <f>'Segment Detail'!Y127</f>
        <v>648.45202361067959</v>
      </c>
      <c r="C149" s="1105">
        <f>'Segment Detail'!Z127</f>
        <v>653.79972241785435</v>
      </c>
      <c r="D149" s="1105">
        <f>'Segment Detail'!AA127</f>
        <v>712.32495514694529</v>
      </c>
      <c r="E149" s="1105">
        <f>'Segment Detail'!AB127</f>
        <v>630.06437379724332</v>
      </c>
      <c r="F149" s="1105">
        <f>'Segment Detail'!AC127</f>
        <v>660.76368335541133</v>
      </c>
      <c r="G149" s="1105">
        <f>'Segment Detail'!AD127</f>
        <v>541.59239232168522</v>
      </c>
      <c r="H149" s="1636">
        <f>SUM(BG149:BJ149)</f>
        <v>380.7</v>
      </c>
      <c r="I149" s="1636">
        <f>SUM(BL149:BO149)</f>
        <v>165.97634217027789</v>
      </c>
      <c r="J149" s="1636">
        <f>SUM(BQ149:BT149)</f>
        <v>422.23338948593732</v>
      </c>
      <c r="K149" s="1636">
        <f>SUM(BV149:BY149)</f>
        <v>425.64</v>
      </c>
      <c r="L149" s="1636">
        <f>SUM(CA149:CD149)</f>
        <v>524.28</v>
      </c>
      <c r="M149" s="1780">
        <f>SUM(CF149:CI149)</f>
        <v>470.61999999999989</v>
      </c>
      <c r="N149" s="1780">
        <f>SUM(CK149:CN149)</f>
        <v>555.08999999999992</v>
      </c>
      <c r="O149" s="2710">
        <f>M149</f>
        <v>470.61999999999989</v>
      </c>
      <c r="P149" s="2710">
        <f>N149</f>
        <v>555.08999999999992</v>
      </c>
      <c r="Q149" s="1780">
        <f>SUM(CP149:CS149)</f>
        <v>537.5</v>
      </c>
      <c r="R149" s="2822">
        <f>SUM(CU149:CX149)</f>
        <v>662.3</v>
      </c>
      <c r="S149" s="2823">
        <f>R149</f>
        <v>662.3</v>
      </c>
      <c r="T149" s="2822">
        <f>SUM(CZ149:DC149)</f>
        <v>553.30616142289705</v>
      </c>
      <c r="U149" s="2822">
        <f>SUM(DE149:DH149)</f>
        <v>679.58216554683975</v>
      </c>
      <c r="V149" s="2804">
        <f>'Segment Detail'!AP127</f>
        <v>669.25647989241031</v>
      </c>
      <c r="W149" s="2804">
        <f>'Segment Detail'!AQ127</f>
        <v>849.34349432765498</v>
      </c>
      <c r="X149" s="2804">
        <f>'Segment Detail'!AR127</f>
        <v>762.95852991904007</v>
      </c>
      <c r="Y149" s="2804">
        <f>'Segment Detail'!AS127</f>
        <v>877.53571245978446</v>
      </c>
      <c r="Z149" s="2804">
        <f>'Segment Detail'!AT127</f>
        <v>733.14697865256744</v>
      </c>
      <c r="AA149" s="2804">
        <f>'Segment Detail'!AU127</f>
        <v>837.86771691454203</v>
      </c>
      <c r="AB149" s="2804">
        <f>'Segment Detail'!AV127</f>
        <v>722.00301138971247</v>
      </c>
      <c r="AC149" s="2804">
        <f>'Segment Detail'!AW127</f>
        <v>749.54040636679463</v>
      </c>
      <c r="AD149" s="2804">
        <f>'Segment Detail'!AX127</f>
        <v>646.25858393189492</v>
      </c>
      <c r="AE149" s="2804">
        <f>'Segment Detail'!AY127</f>
        <v>814.03667526022559</v>
      </c>
      <c r="AF149" s="1105"/>
      <c r="AG149" s="1105"/>
      <c r="AH149" s="1105"/>
      <c r="AI149" s="1105"/>
      <c r="AJ149" s="1105"/>
      <c r="AK149" s="1105"/>
      <c r="AL149" s="1826" t="str">
        <f>A149</f>
        <v xml:space="preserve">TV Stations </v>
      </c>
      <c r="AM149" s="1105">
        <f>'Segment Detail'!CO127</f>
        <v>175.93748525858402</v>
      </c>
      <c r="AN149" s="1105">
        <f>'Segment Detail'!CP127</f>
        <v>182.62657999746835</v>
      </c>
      <c r="AO149" s="1105">
        <f>'Segment Detail'!CQ127</f>
        <v>146.50811919593053</v>
      </c>
      <c r="AP149" s="1105">
        <f>'Segment Detail'!CR127</f>
        <v>207.25277069496235</v>
      </c>
      <c r="AQ149" s="1741">
        <f>D149-SUM(AM149:AP149)</f>
        <v>0</v>
      </c>
      <c r="AR149" s="1105">
        <f>'Segment Detail'!CT127</f>
        <v>151.22473189977532</v>
      </c>
      <c r="AS149" s="1105">
        <f>'Segment Detail'!CU127</f>
        <v>172.14286223972118</v>
      </c>
      <c r="AT149" s="1105">
        <f>'Segment Detail'!CV127</f>
        <v>143.34256908215056</v>
      </c>
      <c r="AU149" s="1105">
        <f>'Segment Detail'!CW127</f>
        <v>163.35421057559623</v>
      </c>
      <c r="AV149" s="1741">
        <f>E149-SUM(AR149:AU149)</f>
        <v>0</v>
      </c>
      <c r="AW149" s="1105">
        <f>'Segment Detail'!CY127</f>
        <v>158.49778332520748</v>
      </c>
      <c r="AX149" s="1105">
        <f>'Segment Detail'!CZ127</f>
        <v>194.87094097369558</v>
      </c>
      <c r="AY149" s="1105">
        <f>'Segment Detail'!DA127</f>
        <v>158.09453527494981</v>
      </c>
      <c r="AZ149" s="1105">
        <f>'Segment Detail'!DB127</f>
        <v>149.30042378155846</v>
      </c>
      <c r="BA149" s="1741">
        <f>F149-SUM(AW149:AZ149)</f>
        <v>0</v>
      </c>
      <c r="BB149" s="1105">
        <f>'Segment Detail'!DD127</f>
        <v>149.53283937920449</v>
      </c>
      <c r="BC149" s="1105">
        <f>'Segment Detail'!DE127</f>
        <v>144.47386237001851</v>
      </c>
      <c r="BD149" s="1105">
        <f>'Segment Detail'!DF127</f>
        <v>130.25724156822548</v>
      </c>
      <c r="BE149" s="1105">
        <f>'Segment Detail'!DG127</f>
        <v>117.32844900423667</v>
      </c>
      <c r="BF149" s="1741">
        <f>G149-SUM(BB149:BE149)</f>
        <v>0</v>
      </c>
      <c r="BG149" s="1636">
        <f>BG157-BG153</f>
        <v>104.19999999999999</v>
      </c>
      <c r="BH149" s="1636">
        <f>BH157-BH153</f>
        <v>105.6</v>
      </c>
      <c r="BI149" s="1636">
        <f>BI157-BI153</f>
        <v>51.099999999999994</v>
      </c>
      <c r="BJ149" s="1636">
        <f>BJ157-BJ153</f>
        <v>119.80000000000003</v>
      </c>
      <c r="BK149" s="1741">
        <f>H149-SUM(BG149:BJ149)</f>
        <v>0</v>
      </c>
      <c r="BL149" s="1636">
        <f>BL157-BL153</f>
        <v>1.8999999999999986</v>
      </c>
      <c r="BM149" s="1636">
        <f>BM157-BM153</f>
        <v>5.2999999999999972</v>
      </c>
      <c r="BN149" s="1636">
        <f>BN157-BN153</f>
        <v>37.599999999999994</v>
      </c>
      <c r="BO149" s="1636">
        <f>BO157-BO153</f>
        <v>121.17634217027791</v>
      </c>
      <c r="BP149" s="1741">
        <f>I149-SUM(BL149:BO149)</f>
        <v>0</v>
      </c>
      <c r="BQ149" s="1636">
        <f>BQ157-BQ153</f>
        <v>54.650000000000006</v>
      </c>
      <c r="BR149" s="1636">
        <f>BR157-BR153</f>
        <v>91.331999999999965</v>
      </c>
      <c r="BS149" s="1636">
        <f>BS157-BS153</f>
        <v>78.915999999999968</v>
      </c>
      <c r="BT149" s="1636">
        <f>BT157-BT153</f>
        <v>197.33538948593736</v>
      </c>
      <c r="BU149" s="1741">
        <f>J149-SUM(BQ149:BT149)</f>
        <v>0</v>
      </c>
      <c r="BV149" s="1636">
        <f>BV157-BV153</f>
        <v>87.88300000000001</v>
      </c>
      <c r="BW149" s="1636">
        <f>BW157-BW153</f>
        <v>115.70899999999999</v>
      </c>
      <c r="BX149" s="1636">
        <f>BX157-BX153</f>
        <v>74.451999999999984</v>
      </c>
      <c r="BY149" s="1636">
        <f>BY157-BY153</f>
        <v>147.59599999999998</v>
      </c>
      <c r="BZ149" s="1741">
        <f>K149-SUM(BV149:BY149)</f>
        <v>0</v>
      </c>
      <c r="CA149" s="1636">
        <f>CA157-CA153</f>
        <v>87.804000000000002</v>
      </c>
      <c r="CB149" s="1636">
        <f>CB157-CB153</f>
        <v>132.512</v>
      </c>
      <c r="CC149" s="1636">
        <f>CC157-CC153</f>
        <v>101.52600000000001</v>
      </c>
      <c r="CD149" s="1636">
        <f>CD157-CD153</f>
        <v>202.43799999999999</v>
      </c>
      <c r="CE149" s="1741">
        <f>L149-SUM(CA149:CD149)</f>
        <v>0</v>
      </c>
      <c r="CF149" s="1636">
        <f>CF157-CF153</f>
        <v>116.446</v>
      </c>
      <c r="CG149" s="1636">
        <f>CG157-CG153</f>
        <v>141.88799999999998</v>
      </c>
      <c r="CH149" s="1636">
        <f>CH157-CH153</f>
        <v>70.23399999999998</v>
      </c>
      <c r="CI149" s="1636">
        <f>CI157-CI153</f>
        <v>142.05199999999996</v>
      </c>
      <c r="CJ149" s="1741">
        <f>M149-SUM(CF149:CI149)</f>
        <v>0</v>
      </c>
      <c r="CK149" s="1636">
        <f>CK157-CK153</f>
        <v>120.687</v>
      </c>
      <c r="CL149" s="1636">
        <f>CL157-CL153</f>
        <v>128.82099999999997</v>
      </c>
      <c r="CM149" s="1636">
        <f>CM157-CM153</f>
        <v>109.218</v>
      </c>
      <c r="CN149" s="1636">
        <f>CN157-CN153</f>
        <v>196.36399999999998</v>
      </c>
      <c r="CO149" s="1741">
        <f>$N149-SUM(CK149:CN149)</f>
        <v>0</v>
      </c>
      <c r="CP149" s="1636">
        <f>CP157-CP153</f>
        <v>122.97499999999999</v>
      </c>
      <c r="CQ149" s="1636">
        <f>CQ157-CQ153</f>
        <v>139.97499999999999</v>
      </c>
      <c r="CR149" s="1636">
        <f>CR157-CR153</f>
        <v>113</v>
      </c>
      <c r="CS149" s="1636">
        <f>CS157-CS153</f>
        <v>161.55000000000001</v>
      </c>
      <c r="CT149" s="1741">
        <f>$Q149-SUM(CP149:CS149)</f>
        <v>0</v>
      </c>
      <c r="CU149" s="1636">
        <f>CU177+CU170</f>
        <v>161</v>
      </c>
      <c r="CV149" s="1636">
        <f>CV177+CV170</f>
        <v>141.30000000000001</v>
      </c>
      <c r="CW149" s="1636">
        <f>CW177+CW170</f>
        <v>133</v>
      </c>
      <c r="CX149" s="2970">
        <f>CX177+CX170</f>
        <v>227</v>
      </c>
      <c r="CY149" s="2835">
        <f>S149-SUM(CU149:CX149)</f>
        <v>0</v>
      </c>
      <c r="CZ149" s="2970">
        <f>CZ177+CZ170</f>
        <v>134</v>
      </c>
      <c r="DA149" s="2970">
        <f>DA177+DA170</f>
        <v>139</v>
      </c>
      <c r="DB149" s="2970">
        <f>DB177+DB170</f>
        <v>116</v>
      </c>
      <c r="DC149" s="2829">
        <f>DC123-(CX123-CX149)*1.065</f>
        <v>164.30616142289699</v>
      </c>
      <c r="DD149" s="2835">
        <f t="shared" si="225"/>
        <v>0</v>
      </c>
      <c r="DE149" s="2829">
        <f>DE123-(CZ123-CZ149)*1.06</f>
        <v>158.11840248096553</v>
      </c>
      <c r="DF149" s="2829">
        <f>DF123-(DA123-DA149)*1.06</f>
        <v>154.69812600658213</v>
      </c>
      <c r="DG149" s="2829">
        <f>DG123-(DB123-DB149)*1.08</f>
        <v>149.23003181943892</v>
      </c>
      <c r="DH149" s="2829">
        <f>DH123-(DC123-DC149)*1.12</f>
        <v>217.53560523985317</v>
      </c>
      <c r="DI149" s="2835">
        <f t="shared" ref="DI149" si="229">U149-SUM(DE149:DH149)</f>
        <v>0</v>
      </c>
      <c r="DJ149" s="2835"/>
      <c r="DK149" s="1105" t="s">
        <v>1237</v>
      </c>
      <c r="DL149" s="1477"/>
      <c r="DM149" s="1477"/>
      <c r="DN149" s="1477"/>
      <c r="DO149" s="2362"/>
      <c r="DP149" s="2362"/>
      <c r="DQ149" s="2362"/>
      <c r="DR149" s="2362"/>
      <c r="DS149" s="2362"/>
      <c r="DT149" s="2362"/>
      <c r="DU149" s="875"/>
      <c r="DV149" s="875"/>
      <c r="DW149" s="875"/>
      <c r="EB149" s="1577"/>
    </row>
    <row r="150" spans="1:132" ht="11.25" hidden="1" customHeight="1" outlineLevel="1">
      <c r="A150" s="1827" t="s">
        <v>344</v>
      </c>
      <c r="B150" s="1364">
        <f>'Segment Detail'!Y128</f>
        <v>0.17643733472087542</v>
      </c>
      <c r="C150" s="1364">
        <f t="shared" ref="C150:J150" si="230">C149/B149-1</f>
        <v>8.2468688699557369E-3</v>
      </c>
      <c r="D150" s="1364">
        <f t="shared" si="230"/>
        <v>8.9515536214447078E-2</v>
      </c>
      <c r="E150" s="1364">
        <f t="shared" si="230"/>
        <v>-0.11548181873360375</v>
      </c>
      <c r="F150" s="1364">
        <f t="shared" si="230"/>
        <v>4.8724084133103363E-2</v>
      </c>
      <c r="G150" s="1364">
        <f t="shared" si="230"/>
        <v>-0.18035387542572656</v>
      </c>
      <c r="H150" s="1364">
        <f t="shared" si="230"/>
        <v>-0.29707284408478418</v>
      </c>
      <c r="I150" s="1364">
        <f t="shared" si="230"/>
        <v>-0.56402326721755214</v>
      </c>
      <c r="J150" s="1364">
        <f t="shared" si="230"/>
        <v>1.5439371898722833</v>
      </c>
      <c r="K150" s="1364">
        <f t="shared" ref="K150:W150" si="231">K149/J149-1</f>
        <v>8.0680746688701621E-3</v>
      </c>
      <c r="L150" s="1364">
        <f t="shared" si="231"/>
        <v>0.2317451367352692</v>
      </c>
      <c r="M150" s="1364">
        <f t="shared" si="231"/>
        <v>-0.10234988937209144</v>
      </c>
      <c r="N150" s="1364">
        <f t="shared" si="231"/>
        <v>0.17948663465216108</v>
      </c>
      <c r="O150" s="2711"/>
      <c r="P150" s="2711">
        <f t="shared" si="231"/>
        <v>0.17948663465216108</v>
      </c>
      <c r="Q150" s="1364">
        <f t="shared" si="231"/>
        <v>-3.1688555009097508E-2</v>
      </c>
      <c r="R150" s="2827">
        <f t="shared" si="231"/>
        <v>0.23218604651162789</v>
      </c>
      <c r="S150" s="2828"/>
      <c r="T150" s="2827">
        <f>T149/S149-1</f>
        <v>-0.16456868273758551</v>
      </c>
      <c r="U150" s="2827">
        <f>U149/T149-1</f>
        <v>0.22822085298889117</v>
      </c>
      <c r="V150" s="2827">
        <f t="shared" si="231"/>
        <v>-1.5194168090212679E-2</v>
      </c>
      <c r="W150" s="2827">
        <f t="shared" si="231"/>
        <v>0.2690852010341318</v>
      </c>
      <c r="X150" s="2827">
        <f t="shared" ref="X150:AE150" si="232">X149/W149-1</f>
        <v>-0.1017079249862245</v>
      </c>
      <c r="Y150" s="2827">
        <f t="shared" si="232"/>
        <v>0.15017484967748196</v>
      </c>
      <c r="Z150" s="2827">
        <f t="shared" si="232"/>
        <v>-0.16453886919597482</v>
      </c>
      <c r="AA150" s="2827">
        <f t="shared" si="232"/>
        <v>0.1428373045394502</v>
      </c>
      <c r="AB150" s="2827">
        <f t="shared" si="232"/>
        <v>-0.13828520085664919</v>
      </c>
      <c r="AC150" s="2827">
        <f t="shared" si="232"/>
        <v>3.8140277177068915E-2</v>
      </c>
      <c r="AD150" s="2827">
        <f t="shared" si="232"/>
        <v>-0.13779353528855354</v>
      </c>
      <c r="AE150" s="2827">
        <f t="shared" si="232"/>
        <v>0.25961448791527664</v>
      </c>
      <c r="AF150" s="1364"/>
      <c r="AG150" s="1364"/>
      <c r="AH150" s="1364"/>
      <c r="AI150" s="1364"/>
      <c r="AJ150" s="1364"/>
      <c r="AK150" s="1364"/>
      <c r="AL150" s="1827" t="str">
        <f t="shared" ref="AL150:AL167" si="233">A150</f>
        <v xml:space="preserve">% Change </v>
      </c>
      <c r="AM150" s="1770" t="s">
        <v>1455</v>
      </c>
      <c r="AN150" s="1770" t="s">
        <v>1455</v>
      </c>
      <c r="AO150" s="1770" t="s">
        <v>1455</v>
      </c>
      <c r="AP150" s="1770" t="s">
        <v>1455</v>
      </c>
      <c r="AQ150" s="1811"/>
      <c r="AR150" s="1364">
        <f>AR149/AM149-1</f>
        <v>-0.14046326354208793</v>
      </c>
      <c r="AS150" s="1364">
        <f>AS149/AN149-1</f>
        <v>-5.740521318360392E-2</v>
      </c>
      <c r="AT150" s="1364">
        <f>AT149/AO149-1</f>
        <v>-2.1606653140817222E-2</v>
      </c>
      <c r="AU150" s="1364">
        <f>AU149/AP149-1</f>
        <v>-0.21181169241870679</v>
      </c>
      <c r="AV150" s="1811"/>
      <c r="AW150" s="1364">
        <f>AW149/AR149-1</f>
        <v>4.8094325141554206E-2</v>
      </c>
      <c r="AX150" s="1364">
        <f>AX149/AS149-1</f>
        <v>0.13203032898525846</v>
      </c>
      <c r="AY150" s="1364">
        <f>AY149/AT149-1</f>
        <v>0.10291406305369621</v>
      </c>
      <c r="AZ150" s="1364">
        <f>AZ149/AU149-1</f>
        <v>-8.6032595942998502E-2</v>
      </c>
      <c r="BA150" s="1811"/>
      <c r="BB150" s="1364">
        <f>BB149/AW149-1</f>
        <v>-5.656195158015942E-2</v>
      </c>
      <c r="BC150" s="1364">
        <f>BC149/AX149-1</f>
        <v>-0.25861772079439926</v>
      </c>
      <c r="BD150" s="1364">
        <f>BD149/AY149-1</f>
        <v>-0.1760800501947215</v>
      </c>
      <c r="BE150" s="1364">
        <f>BE149/AZ149-1</f>
        <v>-0.21414523795391238</v>
      </c>
      <c r="BF150" s="1811"/>
      <c r="BG150" s="1364">
        <f>BG149/BB149-1</f>
        <v>-0.30316310161304227</v>
      </c>
      <c r="BH150" s="1364">
        <f>BH149/BC149-1</f>
        <v>-0.26907193960425113</v>
      </c>
      <c r="BI150" s="1364">
        <f>BI149/BD149-1</f>
        <v>-0.60769935410281894</v>
      </c>
      <c r="BJ150" s="1364">
        <f>BJ149/BE149-1</f>
        <v>2.1065231976893362E-2</v>
      </c>
      <c r="BK150" s="1811"/>
      <c r="BL150" s="1364">
        <f>BL149/BG149-1</f>
        <v>-0.98176583493282155</v>
      </c>
      <c r="BM150" s="1364">
        <f>BM149/BH149-1</f>
        <v>-0.94981060606060608</v>
      </c>
      <c r="BN150" s="1364">
        <f>BN149/BI149-1</f>
        <v>-0.264187866927593</v>
      </c>
      <c r="BO150" s="1364">
        <f>BO149/BJ149-1</f>
        <v>1.1488665862085856E-2</v>
      </c>
      <c r="BP150" s="1811"/>
      <c r="BQ150" s="1364">
        <f>BQ149/BL149-1</f>
        <v>27.763157894736867</v>
      </c>
      <c r="BR150" s="1364">
        <f>BR149/BM149-1</f>
        <v>16.232452830188681</v>
      </c>
      <c r="BS150" s="1364">
        <f>BS149/BN149-1</f>
        <v>1.0988297872340422</v>
      </c>
      <c r="BT150" s="1364">
        <f>BT149/BO149-1</f>
        <v>0.62849765846736139</v>
      </c>
      <c r="BU150" s="1477"/>
      <c r="BV150" s="1364">
        <f>BV149/BQ149-1</f>
        <v>0.60810612991765778</v>
      </c>
      <c r="BW150" s="1364">
        <f>BW149/BR149-1</f>
        <v>0.26690535628257384</v>
      </c>
      <c r="BX150" s="1364">
        <f>BX149/BS149-1</f>
        <v>-5.6566475746363087E-2</v>
      </c>
      <c r="BY150" s="1364">
        <f>BY149/BT149-1</f>
        <v>-0.25205509065307286</v>
      </c>
      <c r="BZ150" s="1477"/>
      <c r="CA150" s="1364">
        <f>CA149/BV149-1</f>
        <v>-8.9892243095945901E-4</v>
      </c>
      <c r="CB150" s="1364">
        <f>CB149/BW149-1</f>
        <v>0.14521774451425573</v>
      </c>
      <c r="CC150" s="1364">
        <f>CC149/BX149-1</f>
        <v>0.3636436898941604</v>
      </c>
      <c r="CD150" s="1364">
        <f>CD149/BY149-1</f>
        <v>0.37156833518523547</v>
      </c>
      <c r="CE150" s="1477"/>
      <c r="CF150" s="1364">
        <f>CF149/CA149-1</f>
        <v>0.3262038175937314</v>
      </c>
      <c r="CG150" s="1364">
        <f>CG149/CB149-1</f>
        <v>7.075585607341206E-2</v>
      </c>
      <c r="CH150" s="1364">
        <f>CH149/CC149-1</f>
        <v>-0.30821661446329041</v>
      </c>
      <c r="CI150" s="1364">
        <f>CI149/CD149-1</f>
        <v>-0.2982937985951255</v>
      </c>
      <c r="CJ150" s="1477"/>
      <c r="CK150" s="1364">
        <f>CK149/CF149-1</f>
        <v>3.6420314995792014E-2</v>
      </c>
      <c r="CL150" s="1364">
        <f>CL149/CG149-1</f>
        <v>-9.2093764095624753E-2</v>
      </c>
      <c r="CM150" s="1364">
        <f>CM149/CH149-1</f>
        <v>0.5550588034285393</v>
      </c>
      <c r="CN150" s="1364">
        <f>CN149/CI149-1</f>
        <v>0.38233886182524723</v>
      </c>
      <c r="CO150" s="1477"/>
      <c r="CP150" s="1364">
        <f>CP149/CK149-1</f>
        <v>1.8958131364604336E-2</v>
      </c>
      <c r="CQ150" s="2008">
        <f>CQ149/CL149-1</f>
        <v>8.6585261719750894E-2</v>
      </c>
      <c r="CR150" s="2008">
        <f>CR149/CM149-1</f>
        <v>3.4627991722975926E-2</v>
      </c>
      <c r="CS150" s="2008">
        <f>CS149/CN149-1</f>
        <v>-0.17729319019779577</v>
      </c>
      <c r="CT150" s="1741"/>
      <c r="CU150" s="2008">
        <f>CU149/CP149-1</f>
        <v>0.30920918885952431</v>
      </c>
      <c r="CV150" s="2008">
        <f>CV149/CQ149-1</f>
        <v>9.4659760671549353E-3</v>
      </c>
      <c r="CW150" s="2008">
        <f>CW149/CR149-1</f>
        <v>0.17699115044247793</v>
      </c>
      <c r="CX150" s="2980">
        <f>CX149/CS149-1</f>
        <v>0.40513772825750527</v>
      </c>
      <c r="CY150" s="2835"/>
      <c r="CZ150" s="2980">
        <f>CZ149/CU149-1</f>
        <v>-0.16770186335403725</v>
      </c>
      <c r="DA150" s="2980">
        <f>DA149/CV149-1</f>
        <v>-1.6277423920736056E-2</v>
      </c>
      <c r="DB150" s="2980">
        <f>DB149/CW149-1</f>
        <v>-0.1278195488721805</v>
      </c>
      <c r="DC150" s="2980">
        <f>DC149/CX149-1</f>
        <v>-0.27618431091234807</v>
      </c>
      <c r="DD150" s="2835"/>
      <c r="DE150" s="2980">
        <f t="shared" ref="DE150:DF150" si="234">DE149/CZ149-1</f>
        <v>0.1799880782161607</v>
      </c>
      <c r="DF150" s="2980">
        <f t="shared" si="234"/>
        <v>0.11293615832073467</v>
      </c>
      <c r="DG150" s="2980">
        <f>DG149/DB149-1</f>
        <v>0.28646579154688734</v>
      </c>
      <c r="DH150" s="2980">
        <f>DH149/DC149-1</f>
        <v>0.32396498923708861</v>
      </c>
      <c r="DI150" s="2835"/>
      <c r="DJ150" s="2835"/>
      <c r="DK150" s="1364"/>
      <c r="DL150" s="1477"/>
      <c r="DM150" s="1477"/>
      <c r="DN150" s="1477"/>
      <c r="DO150" s="186"/>
      <c r="DP150" s="186"/>
      <c r="DQ150" s="186"/>
      <c r="DR150" s="186"/>
      <c r="DS150" s="186"/>
      <c r="DT150" s="186"/>
      <c r="DU150" s="875"/>
      <c r="DV150" s="875"/>
      <c r="DW150" s="875"/>
      <c r="EB150" s="1577"/>
    </row>
    <row r="151" spans="1:132" ht="11.25" hidden="1" customHeight="1" outlineLevel="1">
      <c r="A151" s="1827" t="s">
        <v>1208</v>
      </c>
      <c r="B151" s="1364">
        <f t="shared" ref="B151:J151" si="235">B149/B123</f>
        <v>0.39326605656006375</v>
      </c>
      <c r="C151" s="1364">
        <f t="shared" si="235"/>
        <v>0.3902439610085745</v>
      </c>
      <c r="D151" s="1364">
        <f t="shared" si="235"/>
        <v>0.38718601503802302</v>
      </c>
      <c r="E151" s="1364">
        <f t="shared" si="235"/>
        <v>0.35181989007037257</v>
      </c>
      <c r="F151" s="1364">
        <f t="shared" si="235"/>
        <v>0.35671729527541329</v>
      </c>
      <c r="G151" s="1364">
        <f t="shared" si="235"/>
        <v>0.32339628654111024</v>
      </c>
      <c r="H151" s="1364">
        <f t="shared" si="235"/>
        <v>0.26975129313398999</v>
      </c>
      <c r="I151" s="1364">
        <f t="shared" si="235"/>
        <v>0.14593892743363923</v>
      </c>
      <c r="J151" s="1364">
        <f t="shared" si="235"/>
        <v>0.29197107729356697</v>
      </c>
      <c r="K151" s="1364">
        <f t="shared" ref="K151:V151" si="236">K149/K123</f>
        <v>0.31556939501779357</v>
      </c>
      <c r="L151" s="1364">
        <f t="shared" si="236"/>
        <v>0.35894837737915924</v>
      </c>
      <c r="M151" s="1364">
        <f t="shared" si="236"/>
        <v>0.33867299942429469</v>
      </c>
      <c r="N151" s="1364">
        <f>N149/N123</f>
        <v>0.38203028217481072</v>
      </c>
      <c r="O151" s="2711">
        <f>O149/O123</f>
        <v>0.33867299942429469</v>
      </c>
      <c r="P151" s="2711">
        <f>P149/P123</f>
        <v>0.38203028217481072</v>
      </c>
      <c r="Q151" s="1364">
        <f>Q149/Q123</f>
        <v>0.33762562814070352</v>
      </c>
      <c r="R151" s="2827">
        <f t="shared" si="236"/>
        <v>0.37228780213603146</v>
      </c>
      <c r="S151" s="2828"/>
      <c r="T151" s="2827">
        <f>T149/T123</f>
        <v>0.3253323750687509</v>
      </c>
      <c r="U151" s="2827">
        <f>U149/U123</f>
        <v>0.35384042926497494</v>
      </c>
      <c r="V151" s="2827">
        <f t="shared" si="236"/>
        <v>0.33037265764277235</v>
      </c>
      <c r="W151" s="2827">
        <f t="shared" ref="W151:AB151" si="237">W149/W123</f>
        <v>0.34876520245215792</v>
      </c>
      <c r="X151" s="2827">
        <f t="shared" si="237"/>
        <v>0.30223539012850842</v>
      </c>
      <c r="Y151" s="2827">
        <f t="shared" si="237"/>
        <v>0.31945890951959405</v>
      </c>
      <c r="Z151" s="2827">
        <f t="shared" si="237"/>
        <v>0.27142060011762698</v>
      </c>
      <c r="AA151" s="2827">
        <f t="shared" si="237"/>
        <v>0.28841752647105795</v>
      </c>
      <c r="AB151" s="2827">
        <f t="shared" si="237"/>
        <v>0.25051219145024028</v>
      </c>
      <c r="AC151" s="2827">
        <f>AC149/AC123</f>
        <v>0.25019418957914608</v>
      </c>
      <c r="AD151" s="2827">
        <f>AD149/AD123</f>
        <v>0.21711437262672625</v>
      </c>
      <c r="AE151" s="2827">
        <f>AE149/AE123</f>
        <v>0.25178205423126748</v>
      </c>
      <c r="AF151" s="1364"/>
      <c r="AG151" s="1364"/>
      <c r="AH151" s="1364"/>
      <c r="AI151" s="1364"/>
      <c r="AJ151" s="1364"/>
      <c r="AK151" s="1364"/>
      <c r="AL151" s="1827" t="str">
        <f t="shared" si="233"/>
        <v xml:space="preserve">% Margin </v>
      </c>
      <c r="AM151" s="1364">
        <f>AM149/AM123</f>
        <v>0.4235056641905196</v>
      </c>
      <c r="AN151" s="1364">
        <f>AN149/AN123</f>
        <v>0.39093934994216234</v>
      </c>
      <c r="AO151" s="1364">
        <f>AO149/AO123</f>
        <v>0.342672566573758</v>
      </c>
      <c r="AP151" s="1364">
        <f>AP149/AP123</f>
        <v>0.39132073279356122</v>
      </c>
      <c r="AQ151" s="1811"/>
      <c r="AR151" s="1364">
        <f>AR149/AR123</f>
        <v>0.3795112241155898</v>
      </c>
      <c r="AS151" s="1364">
        <f>AS149/AS123</f>
        <v>0.38400431144998731</v>
      </c>
      <c r="AT151" s="1364">
        <f>AT149/AT123</f>
        <v>0.3321187046545499</v>
      </c>
      <c r="AU151" s="1364">
        <f>AU149/AU123</f>
        <v>0.31873027336182558</v>
      </c>
      <c r="AV151" s="1811"/>
      <c r="AW151" s="1364">
        <f>AW149/AW123</f>
        <v>0.38799161031652152</v>
      </c>
      <c r="AX151" s="1364">
        <f>AX149/AX123</f>
        <v>0.41562905784699872</v>
      </c>
      <c r="AY151" s="1364">
        <f>AY149/AY123</f>
        <v>0.34801151411996639</v>
      </c>
      <c r="AZ151" s="1364">
        <f>AZ149/AZ123</f>
        <v>0.2867303288296888</v>
      </c>
      <c r="BA151" s="1811"/>
      <c r="BB151" s="1364">
        <f>BB149/BB123</f>
        <v>0.34194966606120003</v>
      </c>
      <c r="BC151" s="1364">
        <f>BC149/BC123</f>
        <v>0.33029170104463379</v>
      </c>
      <c r="BD151" s="1364">
        <f>BD149/BD123</f>
        <v>0.3092151061971059</v>
      </c>
      <c r="BE151" s="1364">
        <f>BE149/BE123</f>
        <v>0.30978388159159997</v>
      </c>
      <c r="BF151" s="1811"/>
      <c r="BG151" s="1364">
        <f>BG149/BG123</f>
        <v>0.28177393185505678</v>
      </c>
      <c r="BH151" s="1364">
        <f>BH149/BH123</f>
        <v>0.29415041782729806</v>
      </c>
      <c r="BI151" s="1364">
        <f>BI149/BI123</f>
        <v>0.16305041480536056</v>
      </c>
      <c r="BJ151" s="1364">
        <f>BJ149/BJ123</f>
        <v>0.32457328637225696</v>
      </c>
      <c r="BK151" s="1811"/>
      <c r="BL151" s="1364">
        <f>BL149/BL123</f>
        <v>7.5787794176306288E-3</v>
      </c>
      <c r="BM151" s="1364">
        <f>BM149/BM123</f>
        <v>2.0582524271844649E-2</v>
      </c>
      <c r="BN151" s="1364">
        <f>BN149/BN123</f>
        <v>0.13879660391288298</v>
      </c>
      <c r="BO151" s="1364">
        <f>BO149/BO123</f>
        <v>0.33829241253567255</v>
      </c>
      <c r="BP151" s="1811"/>
      <c r="BQ151" s="1364">
        <f>BQ149/BQ123</f>
        <v>0.16929987608426272</v>
      </c>
      <c r="BR151" s="1364">
        <f>BR149/BR123</f>
        <v>0.27029298609055918</v>
      </c>
      <c r="BS151" s="1364">
        <f>BS149/BS123</f>
        <v>0.2385610640870616</v>
      </c>
      <c r="BT151" s="1364">
        <f>BT149/BT123</f>
        <v>0.43403993745917135</v>
      </c>
      <c r="BU151" s="1477"/>
      <c r="BV151" s="1364">
        <f>BV149/BV123</f>
        <v>0.26876192689729417</v>
      </c>
      <c r="BW151" s="1364">
        <f>BW149/BW123</f>
        <v>0.34153655883668171</v>
      </c>
      <c r="BX151" s="1364">
        <f>BX149/BX123</f>
        <v>0.24055573505654276</v>
      </c>
      <c r="BY151" s="1364">
        <f>BY149/BY123</f>
        <v>0.39515044100894603</v>
      </c>
      <c r="BZ151" s="1477"/>
      <c r="CA151" s="1364">
        <f>CA149/CA123</f>
        <v>0.26298688695697181</v>
      </c>
      <c r="CB151" s="1364">
        <f>CB149/CB123</f>
        <v>0.36928526029508207</v>
      </c>
      <c r="CC151" s="1364">
        <f>CC149/CC123</f>
        <v>0.30596248022300915</v>
      </c>
      <c r="CD151" s="1364">
        <f>CD149/CD123</f>
        <v>0.46423373284873443</v>
      </c>
      <c r="CE151" s="1477"/>
      <c r="CF151" s="1364">
        <f>CF149/CF123</f>
        <v>0.33282442364090931</v>
      </c>
      <c r="CG151" s="1364">
        <f>CG149/CG123</f>
        <v>0.40213844646533342</v>
      </c>
      <c r="CH151" s="1364">
        <f>CH149/CH123</f>
        <v>0.22757798378498587</v>
      </c>
      <c r="CI151" s="1364">
        <f>CI149/CI123</f>
        <v>0.37552173148715273</v>
      </c>
      <c r="CJ151" s="1477"/>
      <c r="CK151" s="1364">
        <f>CK149/CK123</f>
        <v>0.36213837315213848</v>
      </c>
      <c r="CL151" s="1364">
        <f>CL149/CL123</f>
        <v>0.38215380559975237</v>
      </c>
      <c r="CM151" s="1364">
        <f>CM149/CM123</f>
        <v>0.31661428278598513</v>
      </c>
      <c r="CN151" s="1364">
        <f>CN149/CN123</f>
        <v>0.44863731705220994</v>
      </c>
      <c r="CO151" s="1477"/>
      <c r="CP151" s="1364">
        <f>CP149/CP123</f>
        <v>0.3279333333333333</v>
      </c>
      <c r="CQ151" s="2008">
        <f>CQ149/CQ123</f>
        <v>0.36169250645994833</v>
      </c>
      <c r="CR151" s="2008">
        <f>CR149/CR123</f>
        <v>0.30053191489361702</v>
      </c>
      <c r="CS151" s="2008">
        <f>CS149/CS123</f>
        <v>0.35583700440528637</v>
      </c>
      <c r="CT151" s="1741"/>
      <c r="CU151" s="2008">
        <f>CU149/CU123</f>
        <v>0.359375</v>
      </c>
      <c r="CV151" s="2008">
        <f>CV149/CV123</f>
        <v>0.35681818181818187</v>
      </c>
      <c r="CW151" s="2008">
        <f>CW149/CW123</f>
        <v>0.32518337408312958</v>
      </c>
      <c r="CX151" s="2980">
        <f>CX149/CX123</f>
        <v>0.43155893536121676</v>
      </c>
      <c r="CY151" s="2835"/>
      <c r="CZ151" s="2980">
        <f>CZ149/CZ123</f>
        <v>0.32762836185819072</v>
      </c>
      <c r="DA151" s="2980">
        <f>DA149/DA123</f>
        <v>0.33737864077669905</v>
      </c>
      <c r="DB151" s="2980">
        <f>DB149/DB123</f>
        <v>0.29219143576826195</v>
      </c>
      <c r="DC151" s="2980">
        <f>DC149/DC123</f>
        <v>0.34036078659337576</v>
      </c>
      <c r="DD151" s="2835"/>
      <c r="DE151" s="2980">
        <f t="shared" ref="DE151:DF151" si="238">DE149/DE123</f>
        <v>0.35167244402915521</v>
      </c>
      <c r="DF151" s="2980">
        <f t="shared" si="238"/>
        <v>0.34835790584355236</v>
      </c>
      <c r="DG151" s="2980">
        <f>DG149/DG123</f>
        <v>0.3296371216243747</v>
      </c>
      <c r="DH151" s="2980">
        <f>DH149/DH123</f>
        <v>0.37886123244143838</v>
      </c>
      <c r="DI151" s="2835"/>
      <c r="DJ151" s="2835"/>
      <c r="DK151" s="1641" t="s">
        <v>1237</v>
      </c>
      <c r="DL151" s="1477"/>
      <c r="DM151" s="1477"/>
      <c r="DN151" s="1477"/>
      <c r="DO151" s="2362"/>
      <c r="DP151" s="2362"/>
      <c r="DQ151" s="2362"/>
      <c r="DR151" s="2362"/>
      <c r="DS151" s="2362"/>
      <c r="DT151" s="2362"/>
      <c r="DU151" s="875"/>
      <c r="DV151" s="875"/>
      <c r="DW151" s="875"/>
      <c r="EB151" s="1577"/>
    </row>
    <row r="152" spans="1:132" ht="12" hidden="1" customHeight="1" outlineLevel="1">
      <c r="A152" s="1846"/>
      <c r="B152" s="1372"/>
      <c r="C152" s="1372"/>
      <c r="D152" s="1372"/>
      <c r="E152" s="1372"/>
      <c r="F152" s="1372"/>
      <c r="G152" s="1372"/>
      <c r="H152" s="1372"/>
      <c r="I152" s="1372"/>
      <c r="J152" s="1372"/>
      <c r="K152" s="1372"/>
      <c r="L152" s="1372"/>
      <c r="M152" s="1372"/>
      <c r="N152" s="1372"/>
      <c r="O152" s="2730"/>
      <c r="P152" s="2730"/>
      <c r="Q152" s="1372"/>
      <c r="R152" s="2790"/>
      <c r="S152" s="2789"/>
      <c r="T152" s="2790"/>
      <c r="U152" s="2790"/>
      <c r="V152" s="2790"/>
      <c r="W152" s="2790"/>
      <c r="X152" s="2790"/>
      <c r="Y152" s="2790"/>
      <c r="Z152" s="2790"/>
      <c r="AA152" s="2790"/>
      <c r="AB152" s="2790"/>
      <c r="AC152" s="2790"/>
      <c r="AD152" s="2790"/>
      <c r="AE152" s="2790"/>
      <c r="AF152" s="1372"/>
      <c r="AG152" s="1372"/>
      <c r="AH152" s="1372"/>
      <c r="AI152" s="1372"/>
      <c r="AJ152" s="1372"/>
      <c r="AK152" s="2790"/>
      <c r="AL152" s="2968"/>
      <c r="AM152" s="2790"/>
      <c r="AN152" s="2790"/>
      <c r="AO152" s="2790"/>
      <c r="AP152" s="2790"/>
      <c r="AQ152" s="2969"/>
      <c r="AR152" s="2790"/>
      <c r="AS152" s="2790"/>
      <c r="AT152" s="2790"/>
      <c r="AU152" s="2790"/>
      <c r="AV152" s="2969"/>
      <c r="AW152" s="2790"/>
      <c r="AX152" s="2790"/>
      <c r="AY152" s="2790"/>
      <c r="AZ152" s="2790"/>
      <c r="BA152" s="2969"/>
      <c r="BB152" s="2790"/>
      <c r="BC152" s="2790"/>
      <c r="BD152" s="2790"/>
      <c r="BE152" s="2790"/>
      <c r="BF152" s="2969"/>
      <c r="BG152" s="2790"/>
      <c r="BH152" s="2790"/>
      <c r="BI152" s="2790"/>
      <c r="BJ152" s="2790"/>
      <c r="BK152" s="2969"/>
      <c r="BL152" s="2969"/>
      <c r="BM152" s="2969"/>
      <c r="BN152" s="2969"/>
      <c r="BO152" s="2969"/>
      <c r="BP152" s="2969"/>
      <c r="BQ152" s="2862"/>
      <c r="BR152" s="2862"/>
      <c r="BS152" s="2862"/>
      <c r="BT152" s="2862"/>
      <c r="BU152" s="2862"/>
      <c r="BV152" s="2862"/>
      <c r="BW152" s="2862"/>
      <c r="BX152" s="2862"/>
      <c r="BY152" s="2862"/>
      <c r="BZ152" s="2862"/>
      <c r="CA152" s="2862"/>
      <c r="CB152" s="2862"/>
      <c r="CC152" s="2862"/>
      <c r="CD152" s="2862"/>
      <c r="CE152" s="2862"/>
      <c r="CF152" s="2932"/>
      <c r="CG152" s="2932"/>
      <c r="CH152" s="2932"/>
      <c r="CI152" s="2932"/>
      <c r="CJ152" s="2862"/>
      <c r="CK152" s="2862"/>
      <c r="CL152" s="2862"/>
      <c r="CM152" s="2862"/>
      <c r="CN152" s="2862"/>
      <c r="CO152" s="2862"/>
      <c r="CP152" s="2932"/>
      <c r="CQ152" s="2932"/>
      <c r="CR152" s="2932"/>
      <c r="CS152" s="2932"/>
      <c r="CT152" s="2862"/>
      <c r="CU152" s="2835"/>
      <c r="CV152" s="2835"/>
      <c r="CW152" s="2835"/>
      <c r="CX152" s="2835"/>
      <c r="CY152" s="2835"/>
      <c r="CZ152" s="2835"/>
      <c r="DA152" s="2835"/>
      <c r="DB152" s="2835"/>
      <c r="DC152" s="2835"/>
      <c r="DD152" s="2835"/>
      <c r="DE152" s="2835"/>
      <c r="DF152" s="2835"/>
      <c r="DG152" s="2835"/>
      <c r="DH152" s="2835"/>
      <c r="DI152" s="2835"/>
      <c r="DJ152" s="1741"/>
      <c r="DK152" s="1108"/>
      <c r="DL152" s="1108"/>
      <c r="DM152" s="1108"/>
      <c r="DN152" s="1135"/>
      <c r="DO152" s="186"/>
      <c r="DP152" s="186"/>
      <c r="DQ152" s="186"/>
      <c r="DR152" s="186"/>
      <c r="DS152" s="186"/>
      <c r="DT152" s="186"/>
      <c r="DU152" s="875"/>
      <c r="DV152" s="875"/>
      <c r="DW152" s="875"/>
      <c r="EB152" s="1577"/>
    </row>
    <row r="153" spans="1:132" ht="11.25" hidden="1" customHeight="1" outlineLevel="1">
      <c r="A153" s="1826" t="s">
        <v>1205</v>
      </c>
      <c r="B153" s="1105">
        <f>'Segment Detail'!Y51</f>
        <v>1038.4000000000001</v>
      </c>
      <c r="C153" s="1105">
        <f>'Segment Detail'!Z51</f>
        <v>1002.2</v>
      </c>
      <c r="D153" s="1105">
        <f>'Segment Detail'!AA51</f>
        <v>948.2</v>
      </c>
      <c r="E153" s="1105">
        <f>'Segment Detail'!AB51</f>
        <v>925.00000000000023</v>
      </c>
      <c r="F153" s="1105">
        <f>'Segment Detail'!AC51</f>
        <v>820</v>
      </c>
      <c r="G153" s="1105">
        <f>'Segment Detail'!AD51</f>
        <v>685.29999999999973</v>
      </c>
      <c r="H153" s="1105">
        <f>'Segment Detail'!AE51</f>
        <v>553.30000000000018</v>
      </c>
      <c r="I153" s="1105">
        <f>'Segment Detail'!AF51</f>
        <v>326.92365782972217</v>
      </c>
      <c r="J153" s="1105">
        <f>'Segment Detail'!AG51</f>
        <v>442.66661051406254</v>
      </c>
      <c r="K153" s="1780">
        <f>SUM(BV153:BY153)</f>
        <v>423.36</v>
      </c>
      <c r="L153" s="1780">
        <f>SUM(CA153:CD153)</f>
        <v>432.72</v>
      </c>
      <c r="M153" s="1780">
        <f>SUM(CF153:CI153)</f>
        <v>427.38000000000005</v>
      </c>
      <c r="N153" s="1780">
        <f>SUM(CK153:CN153)</f>
        <v>409.91</v>
      </c>
      <c r="O153" s="2710">
        <f>M153</f>
        <v>427.38000000000005</v>
      </c>
      <c r="P153" s="2710">
        <f>N153</f>
        <v>409.91</v>
      </c>
      <c r="Q153" s="1780">
        <f>SUM(CP153:CS153)</f>
        <v>306.5</v>
      </c>
      <c r="R153" s="2822">
        <f>R178+R171</f>
        <v>326</v>
      </c>
      <c r="S153" s="2808">
        <v>0</v>
      </c>
      <c r="T153" s="1741">
        <v>0</v>
      </c>
      <c r="U153" s="1741">
        <v>0</v>
      </c>
      <c r="V153" s="1741">
        <v>0</v>
      </c>
      <c r="W153" s="1741">
        <v>0</v>
      </c>
      <c r="X153" s="1741">
        <v>0</v>
      </c>
      <c r="Y153" s="1741">
        <v>0</v>
      </c>
      <c r="Z153" s="1741">
        <v>0</v>
      </c>
      <c r="AA153" s="1741">
        <v>0</v>
      </c>
      <c r="AB153" s="1741">
        <v>0</v>
      </c>
      <c r="AC153" s="1741">
        <v>0</v>
      </c>
      <c r="AD153" s="1741">
        <v>0</v>
      </c>
      <c r="AE153" s="1741">
        <v>0</v>
      </c>
      <c r="AF153" s="1105"/>
      <c r="AG153" s="1105"/>
      <c r="AH153" s="1105"/>
      <c r="AI153" s="1105"/>
      <c r="AJ153" s="1105"/>
      <c r="AK153" s="2804"/>
      <c r="AL153" s="2968" t="str">
        <f t="shared" si="233"/>
        <v xml:space="preserve">Radio </v>
      </c>
      <c r="AM153" s="2804">
        <f>'Segment Detail'!CO51</f>
        <v>206.5</v>
      </c>
      <c r="AN153" s="2804">
        <f>'Segment Detail'!CP51</f>
        <v>275</v>
      </c>
      <c r="AO153" s="2804">
        <f>'Segment Detail'!CQ51</f>
        <v>228.7</v>
      </c>
      <c r="AP153" s="2804">
        <f>'Segment Detail'!CR51</f>
        <v>238</v>
      </c>
      <c r="AQ153" s="2835">
        <f>D153-SUM(AM153:AP153)</f>
        <v>0</v>
      </c>
      <c r="AR153" s="2804">
        <f>'Segment Detail'!CT51</f>
        <v>197.2</v>
      </c>
      <c r="AS153" s="2804">
        <f>'Segment Detail'!CU51</f>
        <v>280.5</v>
      </c>
      <c r="AT153" s="2804">
        <f>'Segment Detail'!CV51</f>
        <v>232.6</v>
      </c>
      <c r="AU153" s="2804">
        <f>'Segment Detail'!CW51</f>
        <v>214.7</v>
      </c>
      <c r="AV153" s="2835">
        <f>E153-SUM(AR153:AU153)</f>
        <v>0</v>
      </c>
      <c r="AW153" s="2804">
        <f>'Segment Detail'!CY51</f>
        <v>170.6</v>
      </c>
      <c r="AX153" s="2804">
        <f>'Segment Detail'!CZ51</f>
        <v>227.9</v>
      </c>
      <c r="AY153" s="2804">
        <f>'Segment Detail'!DA51</f>
        <v>210.2</v>
      </c>
      <c r="AZ153" s="2804">
        <f>'Segment Detail'!DB51</f>
        <v>211.3</v>
      </c>
      <c r="BA153" s="2835">
        <f>F153-SUM(AW153:AZ153)</f>
        <v>0</v>
      </c>
      <c r="BB153" s="2804">
        <f>'Segment Detail'!DD51</f>
        <v>161</v>
      </c>
      <c r="BC153" s="2804">
        <f>'Segment Detail'!DE51</f>
        <v>187.3</v>
      </c>
      <c r="BD153" s="2804">
        <f>'Segment Detail'!DF51</f>
        <v>169.6</v>
      </c>
      <c r="BE153" s="2804">
        <f>'Segment Detail'!DG51</f>
        <v>167.4</v>
      </c>
      <c r="BF153" s="2835">
        <f>G153-SUM(BB153:BE153)</f>
        <v>0</v>
      </c>
      <c r="BG153" s="2804">
        <f>'Segment Detail'!DI51</f>
        <v>132.30000000000001</v>
      </c>
      <c r="BH153" s="2804">
        <f>'Segment Detail'!DJ51</f>
        <v>158.6</v>
      </c>
      <c r="BI153" s="2804">
        <f>'Segment Detail'!DK51</f>
        <v>139.6</v>
      </c>
      <c r="BJ153" s="2804">
        <f>'Segment Detail'!DL51</f>
        <v>122.8</v>
      </c>
      <c r="BK153" s="2835">
        <f>H153-SUM(BG153:BJ153)</f>
        <v>0</v>
      </c>
      <c r="BL153" s="2804">
        <f>'Segment Detail'!DN51</f>
        <v>52.2</v>
      </c>
      <c r="BM153" s="2804">
        <f>'Segment Detail'!DO51</f>
        <v>95.3</v>
      </c>
      <c r="BN153" s="2804">
        <f>'Segment Detail'!DP51</f>
        <v>93.1</v>
      </c>
      <c r="BO153" s="2804">
        <f>'Segment Detail'!DQ51</f>
        <v>86.323657829722094</v>
      </c>
      <c r="BP153" s="2835">
        <f>I153-SUM(BL153:BO153)</f>
        <v>0</v>
      </c>
      <c r="BQ153" s="2804">
        <v>79.349999999999994</v>
      </c>
      <c r="BR153" s="2804">
        <v>122.66800000000003</v>
      </c>
      <c r="BS153" s="2804">
        <v>116.18400000000003</v>
      </c>
      <c r="BT153" s="2804">
        <v>124.46461051406266</v>
      </c>
      <c r="BU153" s="2835">
        <f>J153-SUM(BQ153:BT153)</f>
        <v>0</v>
      </c>
      <c r="BV153" s="2829">
        <f>(416.6-14.3)*0.19-BV195*0.09</f>
        <v>81.11699999999999</v>
      </c>
      <c r="BW153" s="2829">
        <f>(416.6-14.3)*0.27-BW195*0.09</f>
        <v>114.29100000000001</v>
      </c>
      <c r="BX153" s="2829">
        <f>(416.6-14.3)*0.26-BX195*0.09</f>
        <v>109.54800000000002</v>
      </c>
      <c r="BY153" s="2829">
        <f>(416.6-14.3)*0.28-BY195*0.09</f>
        <v>118.40400000000002</v>
      </c>
      <c r="BZ153" s="2835">
        <f>K153-SUM(BV153:BY153)</f>
        <v>0</v>
      </c>
      <c r="CA153" s="2829">
        <f>(425.5-15.1)*0.19-CA195*0.09</f>
        <v>83.195999999999998</v>
      </c>
      <c r="CB153" s="2829">
        <f>(425.5-15.1)*0.27-CB195*0.09</f>
        <v>115.488</v>
      </c>
      <c r="CC153" s="2829">
        <f>(425.5-15.1)*0.26-CC195*0.09</f>
        <v>111.47399999999999</v>
      </c>
      <c r="CD153" s="2829">
        <f>(425.5-15.1)*0.28-CD195*0.09</f>
        <v>122.56200000000001</v>
      </c>
      <c r="CE153" s="2835">
        <f>L153-SUM(CA153:CD153)</f>
        <v>0</v>
      </c>
      <c r="CF153" s="2829">
        <f>(413.1-16.5)*0.19 - CF195*0.09</f>
        <v>82.554000000000002</v>
      </c>
      <c r="CG153" s="2829">
        <f>(413.1-16.5)*0.27 - CG195*0.09</f>
        <v>113.11200000000001</v>
      </c>
      <c r="CH153" s="2829">
        <f>(413.1-16.5)*0.26 - CH195*0.09</f>
        <v>110.76600000000002</v>
      </c>
      <c r="CI153" s="2829">
        <f>(413.1-16.5)*0.28 - CI195*0.09</f>
        <v>120.94800000000002</v>
      </c>
      <c r="CJ153" s="2835">
        <f>M153-SUM(CF153:CI153)</f>
        <v>0</v>
      </c>
      <c r="CK153" s="2829">
        <f>(402.3-16.6)*0.19 - CK195*0.09</f>
        <v>79.313000000000002</v>
      </c>
      <c r="CL153" s="2829">
        <f>(402.3-16.6)*0.27- CL195*0.09</f>
        <v>109.17900000000002</v>
      </c>
      <c r="CM153" s="2829">
        <f>(402.3-16.6)*0.26 - CM195*0.09</f>
        <v>104.782</v>
      </c>
      <c r="CN153" s="2829">
        <f>(402.3-16.6)*0.28 - CN195*0.09</f>
        <v>116.63600000000001</v>
      </c>
      <c r="CO153" s="2975" t="s">
        <v>784</v>
      </c>
      <c r="CP153" s="2970">
        <f>CP178+CP171</f>
        <v>59.024999999999999</v>
      </c>
      <c r="CQ153" s="2970">
        <f>CQ178+CQ171</f>
        <v>77.025000000000006</v>
      </c>
      <c r="CR153" s="2970">
        <f>CR178+CR171</f>
        <v>81</v>
      </c>
      <c r="CS153" s="2970">
        <f>CS178+CS171</f>
        <v>89.45</v>
      </c>
      <c r="CT153" s="2835">
        <f>$Q153-SUM(CP153:CS153)</f>
        <v>0</v>
      </c>
      <c r="CU153" s="2829">
        <v>0</v>
      </c>
      <c r="CV153" s="2829">
        <v>0</v>
      </c>
      <c r="CW153" s="2829">
        <v>0</v>
      </c>
      <c r="CX153" s="2829">
        <v>0</v>
      </c>
      <c r="CY153" s="2835">
        <f>S153-SUM(CU153:CX153)</f>
        <v>0</v>
      </c>
      <c r="CZ153" s="2829">
        <v>0</v>
      </c>
      <c r="DA153" s="2829">
        <v>0</v>
      </c>
      <c r="DB153" s="2829">
        <v>0</v>
      </c>
      <c r="DC153" s="2829">
        <v>0</v>
      </c>
      <c r="DD153" s="1741">
        <f t="shared" si="225"/>
        <v>0</v>
      </c>
      <c r="DE153" s="2829">
        <v>0</v>
      </c>
      <c r="DF153" s="2829">
        <v>0</v>
      </c>
      <c r="DG153" s="2829">
        <v>0</v>
      </c>
      <c r="DH153" s="2829">
        <v>0</v>
      </c>
      <c r="DI153" s="2835">
        <f t="shared" ref="DI153" si="239">U153-SUM(DE153:DH153)</f>
        <v>0</v>
      </c>
      <c r="DJ153" s="1741"/>
      <c r="DK153" s="1105"/>
      <c r="DL153" s="1357"/>
      <c r="DM153" s="1357"/>
      <c r="DN153" s="1357"/>
      <c r="DO153" s="2362"/>
      <c r="DP153" s="2362"/>
      <c r="DQ153" s="2362"/>
      <c r="DR153" s="2362"/>
      <c r="DS153" s="2362"/>
      <c r="DT153" s="2362"/>
      <c r="DU153" s="875"/>
      <c r="DV153" s="875"/>
      <c r="DW153" s="875"/>
    </row>
    <row r="154" spans="1:132" ht="11.25" hidden="1" customHeight="1" outlineLevel="1">
      <c r="A154" s="1827" t="s">
        <v>344</v>
      </c>
      <c r="B154" s="1364">
        <v>-4.1822284571009227E-3</v>
      </c>
      <c r="C154" s="1364">
        <f t="shared" ref="C154:J154" si="240">C153/B153-1</f>
        <v>-3.4861325115562392E-2</v>
      </c>
      <c r="D154" s="1364">
        <f t="shared" si="240"/>
        <v>-5.3881460786270208E-2</v>
      </c>
      <c r="E154" s="1364">
        <f t="shared" si="240"/>
        <v>-2.44674119384094E-2</v>
      </c>
      <c r="F154" s="1364">
        <f t="shared" si="240"/>
        <v>-0.11351351351351369</v>
      </c>
      <c r="G154" s="1364">
        <f t="shared" si="240"/>
        <v>-0.1642682926829272</v>
      </c>
      <c r="H154" s="1364">
        <f t="shared" si="240"/>
        <v>-0.19261637239165275</v>
      </c>
      <c r="I154" s="1364">
        <f t="shared" si="240"/>
        <v>-0.40913851829076076</v>
      </c>
      <c r="J154" s="1364">
        <f t="shared" si="240"/>
        <v>0.35403663794996731</v>
      </c>
      <c r="K154" s="1364">
        <f t="shared" ref="K154:R154" si="241">K153/J153-1</f>
        <v>-4.3614336513074781E-2</v>
      </c>
      <c r="L154" s="1364">
        <f t="shared" si="241"/>
        <v>2.2108843537415046E-2</v>
      </c>
      <c r="M154" s="1364">
        <f t="shared" si="241"/>
        <v>-1.2340543538546855E-2</v>
      </c>
      <c r="N154" s="1364">
        <f t="shared" si="241"/>
        <v>-4.0876971313585142E-2</v>
      </c>
      <c r="O154" s="2711"/>
      <c r="P154" s="2711">
        <f t="shared" si="241"/>
        <v>-4.0876971313585142E-2</v>
      </c>
      <c r="Q154" s="1364">
        <f t="shared" si="241"/>
        <v>-0.2522748896099144</v>
      </c>
      <c r="R154" s="2827">
        <f t="shared" si="241"/>
        <v>6.3621533442087985E-2</v>
      </c>
      <c r="S154" s="2828"/>
      <c r="T154" s="2827"/>
      <c r="U154" s="2827"/>
      <c r="V154" s="2827"/>
      <c r="W154" s="2827"/>
      <c r="X154" s="2827"/>
      <c r="Y154" s="2827"/>
      <c r="Z154" s="2827"/>
      <c r="AA154" s="2827"/>
      <c r="AB154" s="2827"/>
      <c r="AC154" s="2827"/>
      <c r="AD154" s="2827"/>
      <c r="AE154" s="1364"/>
      <c r="AF154" s="1364"/>
      <c r="AG154" s="1364"/>
      <c r="AH154" s="1364"/>
      <c r="AI154" s="1364"/>
      <c r="AJ154" s="1364"/>
      <c r="AK154" s="2827"/>
      <c r="AL154" s="2971" t="str">
        <f t="shared" si="233"/>
        <v xml:space="preserve">% Change </v>
      </c>
      <c r="AM154" s="2972" t="s">
        <v>1455</v>
      </c>
      <c r="AN154" s="2972" t="s">
        <v>1455</v>
      </c>
      <c r="AO154" s="2972" t="s">
        <v>1455</v>
      </c>
      <c r="AP154" s="2972" t="s">
        <v>1455</v>
      </c>
      <c r="AQ154" s="2979"/>
      <c r="AR154" s="2827">
        <f>AR153/AM153-1</f>
        <v>-4.5036319612590803E-2</v>
      </c>
      <c r="AS154" s="2827">
        <f>AS153/AN153-1</f>
        <v>2.0000000000000018E-2</v>
      </c>
      <c r="AT154" s="2827">
        <f>AT153/AO153-1</f>
        <v>1.7052907739396606E-2</v>
      </c>
      <c r="AU154" s="2827">
        <f>AU153/AP153-1</f>
        <v>-9.7899159663865643E-2</v>
      </c>
      <c r="AV154" s="2979"/>
      <c r="AW154" s="2827">
        <f>AW153/AR153-1</f>
        <v>-0.13488843813387419</v>
      </c>
      <c r="AX154" s="2827">
        <f>AX153/AS153-1</f>
        <v>-0.18752228163992868</v>
      </c>
      <c r="AY154" s="2827">
        <f>AY153/AT153-1</f>
        <v>-9.6302665520206387E-2</v>
      </c>
      <c r="AZ154" s="2827">
        <f>AZ153/AU153-1</f>
        <v>-1.5836050302747928E-2</v>
      </c>
      <c r="BA154" s="2979"/>
      <c r="BB154" s="2827">
        <f>BB153/AW153-1</f>
        <v>-5.6271981242672853E-2</v>
      </c>
      <c r="BC154" s="2827">
        <f>BC153/AX153-1</f>
        <v>-0.17814831066257131</v>
      </c>
      <c r="BD154" s="2827">
        <f>BD153/AY153-1</f>
        <v>-0.19314938154138916</v>
      </c>
      <c r="BE154" s="2827">
        <f>BE153/AZ153-1</f>
        <v>-0.20776147657359212</v>
      </c>
      <c r="BF154" s="2979"/>
      <c r="BG154" s="2827">
        <f>BG153/BB153-1</f>
        <v>-0.17826086956521736</v>
      </c>
      <c r="BH154" s="2827">
        <f>BH153/BC153-1</f>
        <v>-0.15323011211959436</v>
      </c>
      <c r="BI154" s="2827">
        <f>BI153/BD153-1</f>
        <v>-0.17688679245283023</v>
      </c>
      <c r="BJ154" s="2827">
        <f>BJ153/BE153-1</f>
        <v>-0.26642771804062126</v>
      </c>
      <c r="BK154" s="2979"/>
      <c r="BL154" s="2827">
        <f>BL153/BG153-1</f>
        <v>-0.60544217687074831</v>
      </c>
      <c r="BM154" s="2827">
        <f>BM153/BH153-1</f>
        <v>-0.39911727616645654</v>
      </c>
      <c r="BN154" s="2827">
        <f>BN153/BI153-1</f>
        <v>-0.33309455587392556</v>
      </c>
      <c r="BO154" s="2827">
        <f>BO153/BJ153-1</f>
        <v>-0.29703861702180701</v>
      </c>
      <c r="BP154" s="2979"/>
      <c r="BQ154" s="2827">
        <f>BQ153/BL153-1</f>
        <v>0.52011494252873547</v>
      </c>
      <c r="BR154" s="2827">
        <f>BR153/BM153-1</f>
        <v>0.28717733473242424</v>
      </c>
      <c r="BS154" s="2827">
        <f>BS153/BN153-1</f>
        <v>0.247948442534909</v>
      </c>
      <c r="BT154" s="2827">
        <f>BT153/BO153-1</f>
        <v>0.44183661400882213</v>
      </c>
      <c r="BU154" s="2937"/>
      <c r="BV154" s="2827">
        <f>BV153/BQ153-1</f>
        <v>2.2268431001890354E-2</v>
      </c>
      <c r="BW154" s="2827">
        <f>BW153/BR153-1</f>
        <v>-6.8290018586754653E-2</v>
      </c>
      <c r="BX154" s="2827">
        <f>BX153/BS153-1</f>
        <v>-5.7116298285478262E-2</v>
      </c>
      <c r="BY154" s="2827">
        <f>BY153/BT153-1</f>
        <v>-4.869344377515139E-2</v>
      </c>
      <c r="BZ154" s="2937"/>
      <c r="CA154" s="2827">
        <f>CA153/BV153-1</f>
        <v>2.5629646066792411E-2</v>
      </c>
      <c r="CB154" s="2827">
        <f>CB153/BW153-1</f>
        <v>1.0473265611465443E-2</v>
      </c>
      <c r="CC154" s="2827">
        <f>CC153/BX153-1</f>
        <v>1.7581334209661348E-2</v>
      </c>
      <c r="CD154" s="2827">
        <f>CD153/BY153-1</f>
        <v>3.5117056856187157E-2</v>
      </c>
      <c r="CE154" s="2937"/>
      <c r="CF154" s="2827">
        <f>CF153/CA153-1</f>
        <v>-7.7167171498628839E-3</v>
      </c>
      <c r="CG154" s="2827">
        <f>CG153/CB153-1</f>
        <v>-2.0573566084787998E-2</v>
      </c>
      <c r="CH154" s="2827">
        <f>CH153/CC153-1</f>
        <v>-6.3512567953062371E-3</v>
      </c>
      <c r="CI154" s="2827">
        <f>CI153/CD153-1</f>
        <v>-1.3168845155920983E-2</v>
      </c>
      <c r="CJ154" s="2937"/>
      <c r="CK154" s="2827">
        <f>CK153/CF153-1</f>
        <v>-3.925915158562876E-2</v>
      </c>
      <c r="CL154" s="2827">
        <f>CL153/CG153-1</f>
        <v>-3.4770846594525673E-2</v>
      </c>
      <c r="CM154" s="2827">
        <f>CM153/CH153-1</f>
        <v>-5.4023797916328276E-2</v>
      </c>
      <c r="CN154" s="2827">
        <f>CN153/CI153-1</f>
        <v>-3.5651685021662272E-2</v>
      </c>
      <c r="CO154" s="2937"/>
      <c r="CP154" s="2980">
        <f>CP153/CK153-1</f>
        <v>-0.25579665376420013</v>
      </c>
      <c r="CQ154" s="2980">
        <f>CQ153/CL153-1</f>
        <v>-0.29450718544775101</v>
      </c>
      <c r="CR154" s="2980">
        <f>CR153/CM153-1</f>
        <v>-0.22696646370559825</v>
      </c>
      <c r="CS154" s="2980">
        <f>CS153/CN153-1</f>
        <v>-0.2330841249699922</v>
      </c>
      <c r="CT154" s="2937"/>
      <c r="CU154" s="2937"/>
      <c r="CV154" s="2937"/>
      <c r="CW154" s="2937"/>
      <c r="CX154" s="2937"/>
      <c r="CY154" s="2937"/>
      <c r="CZ154" s="2827"/>
      <c r="DA154" s="2827"/>
      <c r="DB154" s="2827"/>
      <c r="DC154" s="2827"/>
      <c r="DD154" s="1741"/>
      <c r="DE154" s="2827"/>
      <c r="DF154" s="2827"/>
      <c r="DG154" s="2827"/>
      <c r="DH154" s="2827"/>
      <c r="DI154" s="1741"/>
      <c r="DJ154" s="1477"/>
      <c r="DK154" s="1364"/>
      <c r="DL154" s="1108"/>
      <c r="DM154" s="1108"/>
      <c r="DN154" s="1108"/>
      <c r="DO154" s="186"/>
      <c r="DP154" s="186"/>
      <c r="DQ154" s="186"/>
      <c r="DR154" s="186"/>
      <c r="DS154" s="186"/>
      <c r="DT154" s="186"/>
      <c r="DU154" s="875"/>
      <c r="DV154" s="875"/>
      <c r="DW154" s="875"/>
    </row>
    <row r="155" spans="1:132" ht="11.25" hidden="1" customHeight="1" outlineLevel="1">
      <c r="A155" s="1827" t="s">
        <v>1208</v>
      </c>
      <c r="B155" s="1364">
        <f t="shared" ref="B155:J155" si="242">B153/B128</f>
        <v>0.48944193061840124</v>
      </c>
      <c r="C155" s="1364">
        <f t="shared" si="242"/>
        <v>0.47778413424866517</v>
      </c>
      <c r="D155" s="1364">
        <f t="shared" si="242"/>
        <v>0.45236391393540387</v>
      </c>
      <c r="E155" s="1364">
        <f t="shared" si="242"/>
        <v>0.43739360696046914</v>
      </c>
      <c r="F155" s="1364">
        <f t="shared" si="242"/>
        <v>0.41838869330067857</v>
      </c>
      <c r="G155" s="1364">
        <f t="shared" si="242"/>
        <v>0.39077379255288808</v>
      </c>
      <c r="H155" s="1364">
        <f t="shared" si="242"/>
        <v>0.35949580923916585</v>
      </c>
      <c r="I155" s="1364">
        <f t="shared" si="242"/>
        <v>0.26744409181096379</v>
      </c>
      <c r="J155" s="1364">
        <f t="shared" si="242"/>
        <v>0.3312500078677344</v>
      </c>
      <c r="K155" s="1364">
        <f t="shared" ref="K155:R155" si="243">K153/K128</f>
        <v>0.31589315027607817</v>
      </c>
      <c r="L155" s="1364">
        <f t="shared" si="243"/>
        <v>0.32946550936500685</v>
      </c>
      <c r="M155" s="1364">
        <f t="shared" si="243"/>
        <v>0.32714329454990815</v>
      </c>
      <c r="N155" s="1364">
        <f>N153/N128</f>
        <v>0.31458940905602456</v>
      </c>
      <c r="O155" s="2711">
        <f>O153/O128</f>
        <v>0.32714329454990815</v>
      </c>
      <c r="P155" s="2711">
        <f>P153/P128</f>
        <v>0.31458940905602456</v>
      </c>
      <c r="Q155" s="1364">
        <f>Q153/Q128</f>
        <v>0.24878246753246752</v>
      </c>
      <c r="R155" s="2827">
        <f t="shared" si="243"/>
        <v>0.26721311475409837</v>
      </c>
      <c r="S155" s="2828"/>
      <c r="T155" s="2827"/>
      <c r="U155" s="2827"/>
      <c r="V155" s="2827"/>
      <c r="W155" s="2827"/>
      <c r="X155" s="2827"/>
      <c r="Y155" s="2827"/>
      <c r="Z155" s="2827"/>
      <c r="AA155" s="2827"/>
      <c r="AB155" s="2827"/>
      <c r="AC155" s="2827"/>
      <c r="AD155" s="2827"/>
      <c r="AE155" s="2827"/>
      <c r="AF155" s="1364"/>
      <c r="AG155" s="1364"/>
      <c r="AH155" s="1364"/>
      <c r="AI155" s="1364"/>
      <c r="AJ155" s="1364"/>
      <c r="AK155" s="2827"/>
      <c r="AL155" s="2971" t="str">
        <f t="shared" si="233"/>
        <v xml:space="preserve">% Margin </v>
      </c>
      <c r="AM155" s="2981">
        <f>AM153/AM128</f>
        <v>0.45374642935618542</v>
      </c>
      <c r="AN155" s="2981">
        <f>AN153/AN128</f>
        <v>0.48993408159629437</v>
      </c>
      <c r="AO155" s="2981">
        <f>AO153/AO128</f>
        <v>0.43208010580011336</v>
      </c>
      <c r="AP155" s="2981">
        <f>AP153/AP128</f>
        <v>0.43241279069767441</v>
      </c>
      <c r="AQ155" s="2982"/>
      <c r="AR155" s="2981">
        <f>AR153/AR128</f>
        <v>0.42610198789974069</v>
      </c>
      <c r="AS155" s="2981">
        <f>AS153/AS128</f>
        <v>0.49514563106796117</v>
      </c>
      <c r="AT155" s="2981">
        <f>AT153/AT128</f>
        <v>0.42915129151291515</v>
      </c>
      <c r="AU155" s="2981">
        <f>AU153/AU128</f>
        <v>0.39503219871205147</v>
      </c>
      <c r="AV155" s="2982"/>
      <c r="AW155" s="2981">
        <f>AW153/AW128</f>
        <v>0.39263521288837744</v>
      </c>
      <c r="AX155" s="2981">
        <f>AX153/AX128</f>
        <v>0.43902908880755154</v>
      </c>
      <c r="AY155" s="2981">
        <f>AY153/AY128</f>
        <v>0.41369809092698284</v>
      </c>
      <c r="AZ155" s="2981">
        <f>AZ153/AZ128</f>
        <v>0.42412685668406264</v>
      </c>
      <c r="BA155" s="2982"/>
      <c r="BB155" s="2981">
        <f>BB153/BB128</f>
        <v>0.40503144654088052</v>
      </c>
      <c r="BC155" s="2981">
        <f>BC153/BC128</f>
        <v>0.40418644799309456</v>
      </c>
      <c r="BD155" s="2981">
        <f>BD153/BD128</f>
        <v>0.38052501682746243</v>
      </c>
      <c r="BE155" s="2981">
        <f>BE153/BE128</f>
        <v>0.374412883023932</v>
      </c>
      <c r="BF155" s="2982"/>
      <c r="BG155" s="2981">
        <f>BG153/BG128</f>
        <v>0.36396148555708396</v>
      </c>
      <c r="BH155" s="2981">
        <f>BH153/BH128</f>
        <v>0.38088376560999038</v>
      </c>
      <c r="BI155" s="2981">
        <f>BI153/BI128</f>
        <v>0.3556687898089172</v>
      </c>
      <c r="BJ155" s="2981">
        <f>BJ153/BJ128</f>
        <v>0.33487864739569129</v>
      </c>
      <c r="BK155" s="2982"/>
      <c r="BL155" s="2981">
        <f>BL153/BL128</f>
        <v>0.20100115517905276</v>
      </c>
      <c r="BM155" s="2981">
        <f>BM153/BM128</f>
        <v>0.29596273291925462</v>
      </c>
      <c r="BN155" s="2981">
        <f>BN153/BN128</f>
        <v>0.29194104735026655</v>
      </c>
      <c r="BO155" s="2981">
        <f>BO153/BO128</f>
        <v>0.26825251034717867</v>
      </c>
      <c r="BP155" s="2982"/>
      <c r="BQ155" s="2981">
        <f>BQ153/BQ128</f>
        <v>0.28068623983020868</v>
      </c>
      <c r="BR155" s="2981">
        <f>BR153/BR128</f>
        <v>0.36047017337643267</v>
      </c>
      <c r="BS155" s="2981">
        <f>BS153/BS128</f>
        <v>0.33530735930735939</v>
      </c>
      <c r="BT155" s="2981">
        <f>BT153/BT128</f>
        <v>0.33927744843714269</v>
      </c>
      <c r="BU155" s="2937"/>
      <c r="BV155" s="2981">
        <f>BV153/BV128</f>
        <v>0.27590065576446893</v>
      </c>
      <c r="BW155" s="2981">
        <f>BW153/BW128</f>
        <v>0.32449628844114536</v>
      </c>
      <c r="BX155" s="2981">
        <f>BX153/BX128</f>
        <v>0.31615584415584419</v>
      </c>
      <c r="BY155" s="2981">
        <f>BY153/BY128</f>
        <v>0.34074907585008118</v>
      </c>
      <c r="BZ155" s="2937"/>
      <c r="CA155" s="2981">
        <f>CA153/CA128</f>
        <v>0.28874682849113087</v>
      </c>
      <c r="CB155" s="2981">
        <f>CB153/CB128</f>
        <v>0.3345865553672695</v>
      </c>
      <c r="CC155" s="2981">
        <f>CC153/CC128</f>
        <v>0.33864661654135336</v>
      </c>
      <c r="CD155" s="2981">
        <f>CD153/CD128</f>
        <v>0.34924827217394688</v>
      </c>
      <c r="CE155" s="2937"/>
      <c r="CF155" s="2981">
        <f>CF153/CF128</f>
        <v>0.28651865088774486</v>
      </c>
      <c r="CG155" s="2981">
        <f>CG153/CG128</f>
        <v>0.32770291675933944</v>
      </c>
      <c r="CH155" s="2981">
        <f>CH153/CH128</f>
        <v>0.33324617557519431</v>
      </c>
      <c r="CI155" s="2981">
        <f>CI153/CI128</f>
        <v>0.35497669388643582</v>
      </c>
      <c r="CJ155" s="2981"/>
      <c r="CK155" s="2981">
        <f t="shared" ref="CK155:CS155" si="244">CK153/CK128</f>
        <v>0.27093520840593799</v>
      </c>
      <c r="CL155" s="2981">
        <f t="shared" si="244"/>
        <v>0.33295621990749669</v>
      </c>
      <c r="CM155" s="2981">
        <f t="shared" si="244"/>
        <v>0.31274102334278847</v>
      </c>
      <c r="CN155" s="2981">
        <f t="shared" si="244"/>
        <v>0.3358266379380766</v>
      </c>
      <c r="CO155" s="2981"/>
      <c r="CP155" s="2981">
        <f t="shared" si="244"/>
        <v>0.21780442804428043</v>
      </c>
      <c r="CQ155" s="2981">
        <f t="shared" si="244"/>
        <v>0.24221698113207549</v>
      </c>
      <c r="CR155" s="2981">
        <f t="shared" si="244"/>
        <v>0.25471698113207547</v>
      </c>
      <c r="CS155" s="2981">
        <f t="shared" si="244"/>
        <v>0.27523076923076922</v>
      </c>
      <c r="CT155" s="2981"/>
      <c r="CU155" s="2981"/>
      <c r="CV155" s="2981"/>
      <c r="CW155" s="2981"/>
      <c r="CX155" s="2981"/>
      <c r="CY155" s="2937"/>
      <c r="CZ155" s="2981"/>
      <c r="DA155" s="2981"/>
      <c r="DB155" s="2981"/>
      <c r="DC155" s="2981"/>
      <c r="DD155" s="1741"/>
      <c r="DE155" s="2981"/>
      <c r="DF155" s="2981"/>
      <c r="DG155" s="2981"/>
      <c r="DH155" s="2981"/>
      <c r="DI155" s="1741"/>
      <c r="DJ155" s="1477"/>
      <c r="DK155" s="2187"/>
      <c r="DL155" s="1108"/>
      <c r="DM155" s="1108"/>
      <c r="DN155" s="1108"/>
      <c r="DO155" s="2362"/>
      <c r="DP155" s="2362"/>
      <c r="DQ155" s="2362"/>
      <c r="DR155" s="2362"/>
      <c r="DS155" s="2362"/>
      <c r="DT155" s="2362"/>
      <c r="DU155" s="875"/>
      <c r="DV155" s="875"/>
      <c r="DW155" s="875"/>
    </row>
    <row r="156" spans="1:132" ht="6" hidden="1" customHeight="1" outlineLevel="1">
      <c r="A156" s="1833"/>
      <c r="B156" s="1774"/>
      <c r="C156" s="1774"/>
      <c r="D156" s="1774"/>
      <c r="E156" s="1774"/>
      <c r="F156" s="1774"/>
      <c r="G156" s="1774"/>
      <c r="H156" s="1774"/>
      <c r="I156" s="1774"/>
      <c r="J156" s="1774"/>
      <c r="K156" s="1774"/>
      <c r="L156" s="1774"/>
      <c r="M156" s="1774"/>
      <c r="N156" s="1774"/>
      <c r="O156" s="2734"/>
      <c r="P156" s="2734"/>
      <c r="Q156" s="1774"/>
      <c r="R156" s="2831"/>
      <c r="S156" s="2832"/>
      <c r="T156" s="2831"/>
      <c r="U156" s="2831"/>
      <c r="V156" s="2831"/>
      <c r="W156" s="2831"/>
      <c r="X156" s="2831"/>
      <c r="Y156" s="2831"/>
      <c r="Z156" s="2831"/>
      <c r="AA156" s="2831"/>
      <c r="AB156" s="2831"/>
      <c r="AC156" s="2831"/>
      <c r="AD156" s="2831"/>
      <c r="AE156" s="2831"/>
      <c r="AF156" s="1372"/>
      <c r="AG156" s="1372"/>
      <c r="AH156" s="1372"/>
      <c r="AI156" s="1372"/>
      <c r="AJ156" s="1372"/>
      <c r="AK156" s="2790"/>
      <c r="AL156" s="2983"/>
      <c r="AM156" s="2831"/>
      <c r="AN156" s="2831"/>
      <c r="AO156" s="2831"/>
      <c r="AP156" s="2831"/>
      <c r="AQ156" s="2969"/>
      <c r="AR156" s="2831"/>
      <c r="AS156" s="2831"/>
      <c r="AT156" s="2831"/>
      <c r="AU156" s="2831"/>
      <c r="AV156" s="2969"/>
      <c r="AW156" s="2831"/>
      <c r="AX156" s="2831"/>
      <c r="AY156" s="2831"/>
      <c r="AZ156" s="2831"/>
      <c r="BA156" s="2969"/>
      <c r="BB156" s="2831"/>
      <c r="BC156" s="2831"/>
      <c r="BD156" s="2831"/>
      <c r="BE156" s="2831"/>
      <c r="BF156" s="2969"/>
      <c r="BG156" s="2831"/>
      <c r="BH156" s="2831"/>
      <c r="BI156" s="2831"/>
      <c r="BJ156" s="2831"/>
      <c r="BK156" s="2969"/>
      <c r="BL156" s="2831"/>
      <c r="BM156" s="2831"/>
      <c r="BN156" s="2831"/>
      <c r="BO156" s="2831"/>
      <c r="BP156" s="2969"/>
      <c r="BQ156" s="2831"/>
      <c r="BR156" s="2831"/>
      <c r="BS156" s="2831"/>
      <c r="BT156" s="2831"/>
      <c r="BU156" s="2862"/>
      <c r="BV156" s="2831"/>
      <c r="BW156" s="2831"/>
      <c r="BX156" s="2831"/>
      <c r="BY156" s="2831"/>
      <c r="BZ156" s="2862"/>
      <c r="CA156" s="2831"/>
      <c r="CB156" s="2831"/>
      <c r="CC156" s="2831"/>
      <c r="CD156" s="2831"/>
      <c r="CE156" s="2862"/>
      <c r="CF156" s="2831"/>
      <c r="CG156" s="2831"/>
      <c r="CH156" s="2831"/>
      <c r="CI156" s="2831"/>
      <c r="CJ156" s="2862"/>
      <c r="CK156" s="2984"/>
      <c r="CL156" s="2984"/>
      <c r="CM156" s="2984"/>
      <c r="CN156" s="2831"/>
      <c r="CO156" s="2862"/>
      <c r="CP156" s="2984"/>
      <c r="CQ156" s="2984"/>
      <c r="CR156" s="2984"/>
      <c r="CS156" s="2831"/>
      <c r="CT156" s="2862"/>
      <c r="CU156" s="2831"/>
      <c r="CV156" s="2831"/>
      <c r="CW156" s="2831"/>
      <c r="CX156" s="2831"/>
      <c r="CY156" s="2862"/>
      <c r="CZ156" s="2831"/>
      <c r="DA156" s="2831"/>
      <c r="DB156" s="2831"/>
      <c r="DC156" s="2831"/>
      <c r="DD156" s="1741"/>
      <c r="DE156" s="2831"/>
      <c r="DF156" s="2831"/>
      <c r="DG156" s="2831"/>
      <c r="DH156" s="2831"/>
      <c r="DI156" s="1741"/>
      <c r="DJ156" s="1108"/>
      <c r="DK156" s="1774"/>
      <c r="DL156" s="1108"/>
      <c r="DM156" s="1108"/>
      <c r="DN156" s="1108"/>
      <c r="DO156" s="186"/>
      <c r="DP156" s="186"/>
      <c r="DQ156" s="186"/>
      <c r="DR156" s="186"/>
      <c r="DS156" s="186"/>
      <c r="DT156" s="186"/>
      <c r="DU156" s="875"/>
      <c r="DV156" s="875"/>
      <c r="DW156" s="875"/>
    </row>
    <row r="157" spans="1:132" ht="11.25" customHeight="1" collapsed="1">
      <c r="A157" s="1833" t="s">
        <v>713</v>
      </c>
      <c r="B157" s="1105">
        <f t="shared" ref="B157:H157" si="245">+B153+B149</f>
        <v>1686.8520236106797</v>
      </c>
      <c r="C157" s="1105">
        <f t="shared" si="245"/>
        <v>1655.9997224178544</v>
      </c>
      <c r="D157" s="1105">
        <f t="shared" si="245"/>
        <v>1660.5249551469453</v>
      </c>
      <c r="E157" s="1105">
        <f t="shared" si="245"/>
        <v>1555.0643737972437</v>
      </c>
      <c r="F157" s="1105">
        <f t="shared" si="245"/>
        <v>1480.7636833554113</v>
      </c>
      <c r="G157" s="1105">
        <f t="shared" si="245"/>
        <v>1226.8923923216848</v>
      </c>
      <c r="H157" s="1105">
        <f t="shared" si="245"/>
        <v>934.00000000000023</v>
      </c>
      <c r="I157" s="1105">
        <f>+I153+I149</f>
        <v>492.90000000000009</v>
      </c>
      <c r="J157" s="1105">
        <f>+J153+J149</f>
        <v>864.89999999999986</v>
      </c>
      <c r="K157" s="1105">
        <f t="shared" ref="K157:V157" si="246">+K153+K149</f>
        <v>849</v>
      </c>
      <c r="L157" s="1105">
        <f t="shared" si="246"/>
        <v>957</v>
      </c>
      <c r="M157" s="1105">
        <f t="shared" si="246"/>
        <v>898</v>
      </c>
      <c r="N157" s="1105">
        <f>+N153+N149</f>
        <v>965</v>
      </c>
      <c r="O157" s="2714">
        <f>+O153+O149</f>
        <v>898</v>
      </c>
      <c r="P157" s="2714">
        <f t="shared" si="246"/>
        <v>965</v>
      </c>
      <c r="Q157" s="1105">
        <f>+Q153+Q149</f>
        <v>844</v>
      </c>
      <c r="R157" s="2804">
        <f>+R153+R149</f>
        <v>988.3</v>
      </c>
      <c r="S157" s="2826">
        <f>+S153+S149</f>
        <v>662.3</v>
      </c>
      <c r="T157" s="2804">
        <f>+T153+T149</f>
        <v>553.30616142289705</v>
      </c>
      <c r="U157" s="2804">
        <f>+U153+U149</f>
        <v>679.58216554683975</v>
      </c>
      <c r="V157" s="2804">
        <f t="shared" si="246"/>
        <v>669.25647989241031</v>
      </c>
      <c r="W157" s="2804">
        <f t="shared" ref="W157:AB157" si="247">+W153+W149</f>
        <v>849.34349432765498</v>
      </c>
      <c r="X157" s="2804">
        <f t="shared" si="247"/>
        <v>762.95852991904007</v>
      </c>
      <c r="Y157" s="1105">
        <f t="shared" si="247"/>
        <v>877.53571245978446</v>
      </c>
      <c r="Z157" s="1105">
        <f t="shared" si="247"/>
        <v>733.14697865256744</v>
      </c>
      <c r="AA157" s="1105">
        <f t="shared" si="247"/>
        <v>837.86771691454203</v>
      </c>
      <c r="AB157" s="1105">
        <f t="shared" si="247"/>
        <v>722.00301138971247</v>
      </c>
      <c r="AC157" s="1105">
        <f>+AC153+AC149</f>
        <v>749.54040636679463</v>
      </c>
      <c r="AD157" s="1105">
        <f>+AD153+AD149</f>
        <v>646.25858393189492</v>
      </c>
      <c r="AE157" s="1105">
        <f>+AE153+AE149</f>
        <v>814.03667526022559</v>
      </c>
      <c r="AF157" s="1105"/>
      <c r="AG157" s="1105"/>
      <c r="AH157" s="1105"/>
      <c r="AI157" s="1105"/>
      <c r="AJ157" s="1105"/>
      <c r="AK157" s="2804"/>
      <c r="AL157" s="2978" t="str">
        <f t="shared" si="233"/>
        <v xml:space="preserve">Local Broadcasting </v>
      </c>
      <c r="AM157" s="2804">
        <f>+AM153+AM149</f>
        <v>382.43748525858405</v>
      </c>
      <c r="AN157" s="2804">
        <f>+AN153+AN149</f>
        <v>457.62657999746835</v>
      </c>
      <c r="AO157" s="2804">
        <f>+AO153+AO149</f>
        <v>375.20811919593052</v>
      </c>
      <c r="AP157" s="2804">
        <f>+AP153+AP149</f>
        <v>445.25277069496235</v>
      </c>
      <c r="AQ157" s="2835">
        <f>D157-SUM(AM157:AP157)</f>
        <v>0</v>
      </c>
      <c r="AR157" s="2804">
        <f>+AR153+AR149</f>
        <v>348.42473189977534</v>
      </c>
      <c r="AS157" s="2804">
        <f>+AS153+AS149</f>
        <v>452.64286223972118</v>
      </c>
      <c r="AT157" s="2804">
        <f>+AT153+AT149</f>
        <v>375.94256908215056</v>
      </c>
      <c r="AU157" s="2804">
        <f>+AU153+AU149</f>
        <v>378.05421057559624</v>
      </c>
      <c r="AV157" s="2835">
        <f>E157-SUM(AR157:AU157)</f>
        <v>0</v>
      </c>
      <c r="AW157" s="2804">
        <f>+AW153+AW149</f>
        <v>329.0977833252075</v>
      </c>
      <c r="AX157" s="2804">
        <f>+AX153+AX149</f>
        <v>422.77094097369559</v>
      </c>
      <c r="AY157" s="2804">
        <f>+AY153+AY149</f>
        <v>368.29453527494979</v>
      </c>
      <c r="AZ157" s="2804">
        <f>+AZ153+AZ149</f>
        <v>360.60042378155845</v>
      </c>
      <c r="BA157" s="2835">
        <f>F157-SUM(AW157:AZ157)</f>
        <v>0</v>
      </c>
      <c r="BB157" s="2804">
        <f>+BB153+BB149</f>
        <v>310.53283937920446</v>
      </c>
      <c r="BC157" s="2804">
        <f>+BC153+BC149</f>
        <v>331.77386237001849</v>
      </c>
      <c r="BD157" s="2804">
        <f>+BD153+BD149</f>
        <v>299.8572415682255</v>
      </c>
      <c r="BE157" s="2804">
        <f>+BE153+BE149</f>
        <v>284.72844900423667</v>
      </c>
      <c r="BF157" s="2835">
        <f>G157-SUM(BB157:BE157)</f>
        <v>0</v>
      </c>
      <c r="BG157" s="2829">
        <f>191.6+10+34.9</f>
        <v>236.5</v>
      </c>
      <c r="BH157" s="2829">
        <f>264.2</f>
        <v>264.2</v>
      </c>
      <c r="BI157" s="2829">
        <f>190.7</f>
        <v>190.7</v>
      </c>
      <c r="BJ157" s="2829">
        <f>173.5+25.4+43.7</f>
        <v>242.60000000000002</v>
      </c>
      <c r="BK157" s="2835">
        <f>H157-SUM(BG157:BJ157)</f>
        <v>0</v>
      </c>
      <c r="BL157" s="2829">
        <v>54.1</v>
      </c>
      <c r="BM157" s="2829">
        <v>100.6</v>
      </c>
      <c r="BN157" s="2829">
        <v>130.69999999999999</v>
      </c>
      <c r="BO157" s="2829">
        <f>227.5-20</f>
        <v>207.5</v>
      </c>
      <c r="BP157" s="2835">
        <f>I157-SUM(BL157:BO157)</f>
        <v>0</v>
      </c>
      <c r="BQ157" s="2829">
        <v>134</v>
      </c>
      <c r="BR157" s="2829">
        <v>214</v>
      </c>
      <c r="BS157" s="2829">
        <v>195.1</v>
      </c>
      <c r="BT157" s="2829">
        <v>321.8</v>
      </c>
      <c r="BU157" s="2835">
        <f>J157-SUM(BQ157:BT157)</f>
        <v>0</v>
      </c>
      <c r="BV157" s="2829">
        <v>169</v>
      </c>
      <c r="BW157" s="2829">
        <v>230</v>
      </c>
      <c r="BX157" s="2829">
        <v>184</v>
      </c>
      <c r="BY157" s="2829">
        <v>266</v>
      </c>
      <c r="BZ157" s="2835">
        <f>K157-SUM(BV157:BY157)</f>
        <v>0</v>
      </c>
      <c r="CA157" s="2829">
        <v>171</v>
      </c>
      <c r="CB157" s="2829">
        <v>248</v>
      </c>
      <c r="CC157" s="2829">
        <v>213</v>
      </c>
      <c r="CD157" s="2829">
        <v>325</v>
      </c>
      <c r="CE157" s="2835">
        <f>L157-SUM(CA157:CD157)</f>
        <v>0</v>
      </c>
      <c r="CF157" s="2829">
        <v>199</v>
      </c>
      <c r="CG157" s="2829">
        <v>255</v>
      </c>
      <c r="CH157" s="2829">
        <v>181</v>
      </c>
      <c r="CI157" s="2829">
        <v>263</v>
      </c>
      <c r="CJ157" s="2835">
        <f>M157-SUM(CF157:CI157)</f>
        <v>0</v>
      </c>
      <c r="CK157" s="2829">
        <v>200</v>
      </c>
      <c r="CL157" s="2829">
        <v>238</v>
      </c>
      <c r="CM157" s="2829">
        <v>214</v>
      </c>
      <c r="CN157" s="2829">
        <v>313</v>
      </c>
      <c r="CO157" s="2835">
        <f>$N157-SUM(CK157:CN157)</f>
        <v>0</v>
      </c>
      <c r="CP157" s="2829">
        <f>CP179+CP172</f>
        <v>182</v>
      </c>
      <c r="CQ157" s="2829">
        <f>CQ179+CQ172</f>
        <v>217</v>
      </c>
      <c r="CR157" s="2829">
        <f>CR179+CR172</f>
        <v>194</v>
      </c>
      <c r="CS157" s="2829">
        <f>CS179+CS172</f>
        <v>251</v>
      </c>
      <c r="CT157" s="2835">
        <f>$Q157-SUM(CP157:CS157)</f>
        <v>0</v>
      </c>
      <c r="CU157" s="2804">
        <f>+CU153+CU149</f>
        <v>161</v>
      </c>
      <c r="CV157" s="2804">
        <f>+CV153+CV149</f>
        <v>141.30000000000001</v>
      </c>
      <c r="CW157" s="2804">
        <f>+CW153+CW149</f>
        <v>133</v>
      </c>
      <c r="CX157" s="2804">
        <f>+CX153+CX149</f>
        <v>227</v>
      </c>
      <c r="CY157" s="2835">
        <f>S157-SUM(CU157:CX157)</f>
        <v>0</v>
      </c>
      <c r="CZ157" s="2804">
        <f>+CZ153+CZ149</f>
        <v>134</v>
      </c>
      <c r="DA157" s="2804">
        <f>+DA153+DA149</f>
        <v>139</v>
      </c>
      <c r="DB157" s="2804">
        <f>+DB153+DB149</f>
        <v>116</v>
      </c>
      <c r="DC157" s="2804">
        <f>+DC153+DC149</f>
        <v>164.30616142289699</v>
      </c>
      <c r="DD157" s="2835">
        <f t="shared" si="225"/>
        <v>0</v>
      </c>
      <c r="DE157" s="2804">
        <f t="shared" ref="DE157:DF157" si="248">+DE153+DE149</f>
        <v>158.11840248096553</v>
      </c>
      <c r="DF157" s="2804">
        <f t="shared" si="248"/>
        <v>154.69812600658213</v>
      </c>
      <c r="DG157" s="2804">
        <f>+DG153+DG149</f>
        <v>149.23003181943892</v>
      </c>
      <c r="DH157" s="2804">
        <f>+DH153+DH149</f>
        <v>217.53560523985317</v>
      </c>
      <c r="DI157" s="2835">
        <f t="shared" ref="DI157" si="249">U157-SUM(DE157:DH157)</f>
        <v>0</v>
      </c>
      <c r="DJ157" s="1741"/>
      <c r="DK157" s="1105" t="s">
        <v>1237</v>
      </c>
      <c r="DL157" s="1108"/>
      <c r="DM157" s="1108"/>
      <c r="DN157" s="1108"/>
      <c r="DO157" s="2362"/>
      <c r="DP157" s="2362"/>
      <c r="DQ157" s="2362"/>
      <c r="DR157" s="2362"/>
      <c r="DS157" s="2362"/>
      <c r="DT157" s="2362"/>
      <c r="DU157" s="875"/>
      <c r="DV157" s="875"/>
      <c r="DW157" s="875"/>
    </row>
    <row r="158" spans="1:132" ht="11.25" customHeight="1">
      <c r="A158" s="1835" t="s">
        <v>344</v>
      </c>
      <c r="B158" s="1770" t="s">
        <v>1455</v>
      </c>
      <c r="C158" s="1476">
        <f>C157/B157-1</f>
        <v>-1.8289868204791615E-2</v>
      </c>
      <c r="D158" s="1476">
        <f t="shared" ref="D158:J158" si="250">D157/C157-1</f>
        <v>2.7326289176448082E-3</v>
      </c>
      <c r="E158" s="1476">
        <f t="shared" si="250"/>
        <v>-6.3510386292489729E-2</v>
      </c>
      <c r="F158" s="1476">
        <f t="shared" si="250"/>
        <v>-4.7779816510361339E-2</v>
      </c>
      <c r="G158" s="1476">
        <f t="shared" si="250"/>
        <v>-0.17144618948139922</v>
      </c>
      <c r="H158" s="1476">
        <f t="shared" si="250"/>
        <v>-0.23872704253014043</v>
      </c>
      <c r="I158" s="1476">
        <f t="shared" si="250"/>
        <v>-0.47226980728051393</v>
      </c>
      <c r="J158" s="1476">
        <f t="shared" si="250"/>
        <v>0.75471698113207486</v>
      </c>
      <c r="K158" s="1476">
        <f t="shared" ref="K158:W158" si="251">K157/J157-1</f>
        <v>-1.8383628165105637E-2</v>
      </c>
      <c r="L158" s="1476">
        <f t="shared" si="251"/>
        <v>0.12720848056537104</v>
      </c>
      <c r="M158" s="1476">
        <f t="shared" si="251"/>
        <v>-6.165099268547547E-2</v>
      </c>
      <c r="N158" s="1476">
        <f t="shared" si="251"/>
        <v>7.4610244988864149E-2</v>
      </c>
      <c r="O158" s="2725"/>
      <c r="P158" s="2725">
        <f t="shared" si="251"/>
        <v>7.4610244988864149E-2</v>
      </c>
      <c r="Q158" s="1476">
        <f t="shared" si="251"/>
        <v>-0.12538860103626948</v>
      </c>
      <c r="R158" s="2833">
        <f t="shared" si="251"/>
        <v>0.17097156398104252</v>
      </c>
      <c r="S158" s="2834"/>
      <c r="T158" s="2833">
        <f>T157/S157-1</f>
        <v>-0.16456868273758551</v>
      </c>
      <c r="U158" s="2833">
        <f>U157/T157-1</f>
        <v>0.22822085298889117</v>
      </c>
      <c r="V158" s="2833">
        <f t="shared" si="251"/>
        <v>-1.5194168090212679E-2</v>
      </c>
      <c r="W158" s="2833">
        <f t="shared" si="251"/>
        <v>0.2690852010341318</v>
      </c>
      <c r="X158" s="2833">
        <f t="shared" ref="X158:AE158" si="252">X157/W157-1</f>
        <v>-0.1017079249862245</v>
      </c>
      <c r="Y158" s="1476">
        <f t="shared" si="252"/>
        <v>0.15017484967748196</v>
      </c>
      <c r="Z158" s="1476">
        <f t="shared" si="252"/>
        <v>-0.16453886919597482</v>
      </c>
      <c r="AA158" s="1476">
        <f t="shared" si="252"/>
        <v>0.1428373045394502</v>
      </c>
      <c r="AB158" s="1476">
        <f t="shared" si="252"/>
        <v>-0.13828520085664919</v>
      </c>
      <c r="AC158" s="1476">
        <f t="shared" si="252"/>
        <v>3.8140277177068915E-2</v>
      </c>
      <c r="AD158" s="1476">
        <f t="shared" si="252"/>
        <v>-0.13779353528855354</v>
      </c>
      <c r="AE158" s="1476">
        <f t="shared" si="252"/>
        <v>0.25961448791527664</v>
      </c>
      <c r="AF158" s="1476"/>
      <c r="AG158" s="1476"/>
      <c r="AH158" s="1476"/>
      <c r="AI158" s="1476"/>
      <c r="AJ158" s="1476"/>
      <c r="AK158" s="1476"/>
      <c r="AL158" s="1835" t="str">
        <f t="shared" si="233"/>
        <v xml:space="preserve">% Change </v>
      </c>
      <c r="AM158" s="1770" t="s">
        <v>1455</v>
      </c>
      <c r="AN158" s="1770" t="s">
        <v>1455</v>
      </c>
      <c r="AO158" s="1770" t="s">
        <v>1455</v>
      </c>
      <c r="AP158" s="1770" t="s">
        <v>1455</v>
      </c>
      <c r="AQ158" s="1845"/>
      <c r="AR158" s="1364">
        <f>AR157/AM157-1</f>
        <v>-8.8936766582415672E-2</v>
      </c>
      <c r="AS158" s="1364">
        <f>AS157/AN157-1</f>
        <v>-1.0890359029789631E-2</v>
      </c>
      <c r="AT158" s="1364">
        <f>AT157/AO157-1</f>
        <v>1.9574466773106813E-3</v>
      </c>
      <c r="AU158" s="1364">
        <f>AU157/AP157-1</f>
        <v>-0.15092227279008463</v>
      </c>
      <c r="AV158" s="1845"/>
      <c r="AW158" s="1364">
        <f>AW157/AR157-1</f>
        <v>-5.5469508347436247E-2</v>
      </c>
      <c r="AX158" s="1364">
        <f>AX157/AS157-1</f>
        <v>-6.5994459999250688E-2</v>
      </c>
      <c r="AY158" s="1364">
        <f>AY157/AT157-1</f>
        <v>-2.0343622766299529E-2</v>
      </c>
      <c r="AZ158" s="1364">
        <f>AZ157/AU157-1</f>
        <v>-4.6167418073360444E-2</v>
      </c>
      <c r="BA158" s="1845"/>
      <c r="BB158" s="1364">
        <f>BB157/AW157-1</f>
        <v>-5.6411634737926986E-2</v>
      </c>
      <c r="BC158" s="1364">
        <f>BC157/AX157-1</f>
        <v>-0.21523967185185244</v>
      </c>
      <c r="BD158" s="1364">
        <f>BD157/AY157-1</f>
        <v>-0.18582218075984358</v>
      </c>
      <c r="BE158" s="1364">
        <f>BE157/AZ157-1</f>
        <v>-0.21040456353784787</v>
      </c>
      <c r="BF158" s="1845"/>
      <c r="BG158" s="1364">
        <f>BG157/BB157-1</f>
        <v>-0.23840583020850781</v>
      </c>
      <c r="BH158" s="1364">
        <f>BH157/BC157-1</f>
        <v>-0.20367446033061876</v>
      </c>
      <c r="BI158" s="1364">
        <f>BI157/BD157-1</f>
        <v>-0.36403070006694949</v>
      </c>
      <c r="BJ158" s="1364">
        <f>BJ157/BE157-1</f>
        <v>-0.14796009724904513</v>
      </c>
      <c r="BK158" s="1845"/>
      <c r="BL158" s="1364">
        <f>BL157/BG157-1</f>
        <v>-0.77124735729386895</v>
      </c>
      <c r="BM158" s="1364">
        <f>BM157/BH157-1</f>
        <v>-0.61922785768357302</v>
      </c>
      <c r="BN158" s="1364">
        <f>BN157/BI157-1</f>
        <v>-0.31463030938647096</v>
      </c>
      <c r="BO158" s="1364">
        <f>BO157/BJ157-1</f>
        <v>-0.14468260511129438</v>
      </c>
      <c r="BP158" s="1845"/>
      <c r="BQ158" s="1364">
        <f>BQ157/BL157-1</f>
        <v>1.4768946395563769</v>
      </c>
      <c r="BR158" s="1364">
        <f>BR157/BM157-1</f>
        <v>1.1272365805168989</v>
      </c>
      <c r="BS158" s="1364">
        <f>BS157/BN157-1</f>
        <v>0.49273144605967878</v>
      </c>
      <c r="BT158" s="1364">
        <f>BT157/BO157-1</f>
        <v>0.55084337349397594</v>
      </c>
      <c r="BU158" s="1477"/>
      <c r="BV158" s="1364">
        <f>BV157/BQ157-1</f>
        <v>0.26119402985074625</v>
      </c>
      <c r="BW158" s="1364">
        <f>BW157/BR157-1</f>
        <v>7.4766355140186924E-2</v>
      </c>
      <c r="BX158" s="1364">
        <f>BX157/BS157-1</f>
        <v>-5.6893900563813382E-2</v>
      </c>
      <c r="BY158" s="1364">
        <f>BY157/BT157-1</f>
        <v>-0.17339962709757617</v>
      </c>
      <c r="BZ158" s="1477"/>
      <c r="CA158" s="1364">
        <f>CA157/BV157-1</f>
        <v>1.1834319526627279E-2</v>
      </c>
      <c r="CB158" s="1364">
        <f>CB157/BW157-1</f>
        <v>7.8260869565217384E-2</v>
      </c>
      <c r="CC158" s="1364">
        <f>CC157/BX157-1</f>
        <v>0.15760869565217384</v>
      </c>
      <c r="CD158" s="1364">
        <f>CD157/BY157-1</f>
        <v>0.22180451127819545</v>
      </c>
      <c r="CE158" s="1477"/>
      <c r="CF158" s="1364">
        <f>CF157/CA157-1</f>
        <v>0.16374269005847952</v>
      </c>
      <c r="CG158" s="1364">
        <f>CG157/CB157-1</f>
        <v>2.8225806451612989E-2</v>
      </c>
      <c r="CH158" s="1364">
        <f>CH157/CC157-1</f>
        <v>-0.15023474178403751</v>
      </c>
      <c r="CI158" s="1364">
        <f>CI157/CD157-1</f>
        <v>-0.1907692307692308</v>
      </c>
      <c r="CJ158" s="1477"/>
      <c r="CK158" s="1364">
        <f>CK157/CF157-1</f>
        <v>5.0251256281406143E-3</v>
      </c>
      <c r="CL158" s="1364">
        <f>CL157/CG157-1</f>
        <v>-6.6666666666666652E-2</v>
      </c>
      <c r="CM158" s="1364">
        <f>CM157/CH157-1</f>
        <v>0.18232044198895037</v>
      </c>
      <c r="CN158" s="1364">
        <f>CN157/CI157-1</f>
        <v>0.19011406844106471</v>
      </c>
      <c r="CO158" s="1477"/>
      <c r="CP158" s="2008">
        <f>CP157/CK157-1</f>
        <v>-8.9999999999999969E-2</v>
      </c>
      <c r="CQ158" s="2008">
        <f>CQ157/CL157-1</f>
        <v>-8.8235294117647078E-2</v>
      </c>
      <c r="CR158" s="2008">
        <f>CR157/CM157-1</f>
        <v>-9.3457943925233655E-2</v>
      </c>
      <c r="CS158" s="1364">
        <f>CS157/CN157-1</f>
        <v>-0.19808306709265178</v>
      </c>
      <c r="CT158" s="1477"/>
      <c r="CU158" s="1364">
        <f>CU157/CP157-1</f>
        <v>-0.11538461538461542</v>
      </c>
      <c r="CV158" s="1364">
        <f>CV157/CQ157-1</f>
        <v>-0.34884792626728101</v>
      </c>
      <c r="CW158" s="1364">
        <f>CW157/CR157-1</f>
        <v>-0.31443298969072164</v>
      </c>
      <c r="CX158" s="1364">
        <f>CX157/CS157-1</f>
        <v>-9.5617529880478114E-2</v>
      </c>
      <c r="CY158" s="1477"/>
      <c r="CZ158" s="1364">
        <f>CZ157/CU157-1</f>
        <v>-0.16770186335403725</v>
      </c>
      <c r="DA158" s="2827">
        <f>DA157/CV157-1</f>
        <v>-1.6277423920736056E-2</v>
      </c>
      <c r="DB158" s="2827">
        <f>DB157/CW157-1</f>
        <v>-0.1278195488721805</v>
      </c>
      <c r="DC158" s="2827">
        <f>DC157/CX157-1</f>
        <v>-0.27618431091234807</v>
      </c>
      <c r="DD158" s="2835"/>
      <c r="DE158" s="1364">
        <f t="shared" ref="DE158:DF158" si="253">DE157/CZ157-1</f>
        <v>0.1799880782161607</v>
      </c>
      <c r="DF158" s="1364">
        <f t="shared" si="253"/>
        <v>0.11293615832073467</v>
      </c>
      <c r="DG158" s="1364">
        <f>DG157/DB157-1</f>
        <v>0.28646579154688734</v>
      </c>
      <c r="DH158" s="1364">
        <f>DH157/DC157-1</f>
        <v>0.32396498923708861</v>
      </c>
      <c r="DI158" s="1741"/>
      <c r="DJ158" s="1477"/>
      <c r="DK158" s="1364"/>
      <c r="DL158" s="1477"/>
      <c r="DM158" s="1477"/>
      <c r="DN158" s="1108"/>
      <c r="DO158" s="1108"/>
      <c r="DP158" s="1108"/>
      <c r="DQ158" s="1108"/>
      <c r="DR158" s="1108"/>
      <c r="DS158" s="1108"/>
      <c r="DT158" s="1108"/>
    </row>
    <row r="159" spans="1:132" ht="11.25" customHeight="1">
      <c r="A159" s="1835" t="s">
        <v>1208</v>
      </c>
      <c r="B159" s="1476">
        <f>B157/B131</f>
        <v>0.44738284126288369</v>
      </c>
      <c r="C159" s="1476">
        <f>C157/C131</f>
        <v>0.43891243153908843</v>
      </c>
      <c r="D159" s="1476">
        <f>D157/D131</f>
        <v>0.42189756149948709</v>
      </c>
      <c r="E159" s="1476">
        <f>E157/E131</f>
        <v>0.398155398693606</v>
      </c>
      <c r="F159" s="1476">
        <f>F157/F131</f>
        <v>0.3884229586163504</v>
      </c>
      <c r="G159" s="1476">
        <f t="shared" ref="G159:V159" si="254">G157/G131</f>
        <v>0.3578613037558715</v>
      </c>
      <c r="H159" s="1476">
        <f t="shared" si="254"/>
        <v>0.31656724511930595</v>
      </c>
      <c r="I159" s="1476">
        <f t="shared" si="254"/>
        <v>0.20888248506166043</v>
      </c>
      <c r="J159" s="1476">
        <f t="shared" si="254"/>
        <v>0.31083557951482477</v>
      </c>
      <c r="K159" s="1476">
        <f t="shared" si="254"/>
        <v>0.31573075492748232</v>
      </c>
      <c r="L159" s="1476">
        <f t="shared" si="254"/>
        <v>0.34498918529199712</v>
      </c>
      <c r="M159" s="1476">
        <f t="shared" si="254"/>
        <v>0.33308605341246289</v>
      </c>
      <c r="N159" s="1476">
        <f>N157/N131</f>
        <v>0.35014513788098695</v>
      </c>
      <c r="O159" s="2725">
        <f>O157/O131</f>
        <v>0.33308605341246289</v>
      </c>
      <c r="P159" s="2725">
        <f>P157/P131</f>
        <v>0.35014513788098695</v>
      </c>
      <c r="Q159" s="1476">
        <f>Q157/Q131</f>
        <v>0.29886685552407932</v>
      </c>
      <c r="R159" s="2833">
        <f t="shared" si="254"/>
        <v>0.32954318106035346</v>
      </c>
      <c r="S159" s="2834"/>
      <c r="T159" s="2833">
        <f>T157/T131</f>
        <v>0.3253323750687509</v>
      </c>
      <c r="U159" s="2833">
        <f>U157/U131</f>
        <v>0.35384042926497494</v>
      </c>
      <c r="V159" s="2833">
        <f t="shared" si="254"/>
        <v>0.33037265764277235</v>
      </c>
      <c r="W159" s="2833">
        <f t="shared" ref="W159:AB159" si="255">W157/W131</f>
        <v>0.34876520245215792</v>
      </c>
      <c r="X159" s="2833">
        <f t="shared" si="255"/>
        <v>0.30223539012850842</v>
      </c>
      <c r="Y159" s="1476">
        <f t="shared" si="255"/>
        <v>0.31945890951959405</v>
      </c>
      <c r="Z159" s="1476">
        <f t="shared" si="255"/>
        <v>0.27142060011762698</v>
      </c>
      <c r="AA159" s="1476">
        <f t="shared" si="255"/>
        <v>0.28841752647105795</v>
      </c>
      <c r="AB159" s="1476">
        <f t="shared" si="255"/>
        <v>0.25051219145024028</v>
      </c>
      <c r="AC159" s="1476">
        <f>AC157/AC131</f>
        <v>0.25019418957914608</v>
      </c>
      <c r="AD159" s="1476">
        <f>AD157/AD131</f>
        <v>0.21711437262672625</v>
      </c>
      <c r="AE159" s="1476">
        <f>AE157/AE131</f>
        <v>0.25178205423126748</v>
      </c>
      <c r="AF159" s="1476"/>
      <c r="AG159" s="1476"/>
      <c r="AH159" s="1476"/>
      <c r="AI159" s="1476"/>
      <c r="AJ159" s="1476"/>
      <c r="AK159" s="1476"/>
      <c r="AL159" s="1835" t="str">
        <f t="shared" si="233"/>
        <v xml:space="preserve">% Margin </v>
      </c>
      <c r="AM159" s="1476">
        <f>AM157/AM131</f>
        <v>0.43931505909616098</v>
      </c>
      <c r="AN159" s="1476">
        <f t="shared" ref="AN159:BT159" si="256">AN157/AN131</f>
        <v>0.44496807742323646</v>
      </c>
      <c r="AO159" s="1476">
        <f t="shared" si="256"/>
        <v>0.39213030006935273</v>
      </c>
      <c r="AP159" s="1476">
        <f t="shared" si="256"/>
        <v>0.41226200170046184</v>
      </c>
      <c r="AQ159" s="1845"/>
      <c r="AR159" s="1476">
        <f t="shared" si="256"/>
        <v>0.40454651673752939</v>
      </c>
      <c r="AS159" s="1476">
        <f t="shared" si="256"/>
        <v>0.44604862630393149</v>
      </c>
      <c r="AT159" s="1476">
        <f t="shared" si="256"/>
        <v>0.38613641206260479</v>
      </c>
      <c r="AU159" s="1476">
        <f t="shared" si="256"/>
        <v>0.3580006209961975</v>
      </c>
      <c r="AV159" s="1845"/>
      <c r="AW159" s="1476">
        <f t="shared" si="256"/>
        <v>0.39038499763909507</v>
      </c>
      <c r="AX159" s="1476">
        <f t="shared" si="256"/>
        <v>0.42792407249150749</v>
      </c>
      <c r="AY159" s="1476">
        <f t="shared" si="256"/>
        <v>0.38269153985250443</v>
      </c>
      <c r="AZ159" s="1476">
        <f t="shared" si="256"/>
        <v>0.35391156729236511</v>
      </c>
      <c r="BA159" s="1845"/>
      <c r="BB159" s="1476">
        <f t="shared" si="256"/>
        <v>0.37198699407629782</v>
      </c>
      <c r="BC159" s="1476">
        <f t="shared" si="256"/>
        <v>0.36830494930551982</v>
      </c>
      <c r="BD159" s="1476">
        <f t="shared" si="256"/>
        <v>0.34587556221253007</v>
      </c>
      <c r="BE159" s="1476">
        <f t="shared" si="256"/>
        <v>0.34477313459087139</v>
      </c>
      <c r="BF159" s="1845"/>
      <c r="BG159" s="1476">
        <f t="shared" si="256"/>
        <v>0.32251465975726173</v>
      </c>
      <c r="BH159" s="1476">
        <f t="shared" si="256"/>
        <v>0.34072736652050556</v>
      </c>
      <c r="BI159" s="1476">
        <f t="shared" si="256"/>
        <v>0.27015157954384472</v>
      </c>
      <c r="BJ159" s="1476">
        <f t="shared" si="256"/>
        <v>0.32970916009785273</v>
      </c>
      <c r="BK159" s="1845"/>
      <c r="BL159" s="1476">
        <f t="shared" si="256"/>
        <v>0.10599529780564264</v>
      </c>
      <c r="BM159" s="1476">
        <f t="shared" si="256"/>
        <v>0.17359792924935288</v>
      </c>
      <c r="BN159" s="1476">
        <f t="shared" si="256"/>
        <v>0.22160054255679892</v>
      </c>
      <c r="BO159" s="1476">
        <f t="shared" si="256"/>
        <v>0.30514705882352944</v>
      </c>
      <c r="BP159" s="1845"/>
      <c r="BQ159" s="1476">
        <f t="shared" si="256"/>
        <v>0.22130470685383979</v>
      </c>
      <c r="BR159" s="1476">
        <f t="shared" si="256"/>
        <v>0.31554113830728397</v>
      </c>
      <c r="BS159" s="1476">
        <f t="shared" si="256"/>
        <v>0.28805551454303857</v>
      </c>
      <c r="BT159" s="1476">
        <f t="shared" si="256"/>
        <v>0.39172245891661595</v>
      </c>
      <c r="BU159" s="1477"/>
      <c r="BV159" s="1476">
        <f>BV157/BV131</f>
        <v>0.27214170692431561</v>
      </c>
      <c r="BW159" s="1476">
        <f>BW157/BW131</f>
        <v>0.33285094066570187</v>
      </c>
      <c r="BX159" s="1476">
        <f>BX157/BX131</f>
        <v>0.28048780487804881</v>
      </c>
      <c r="BY159" s="1476">
        <f>BY157/BY131</f>
        <v>0.36893203883495146</v>
      </c>
      <c r="BZ159" s="1477"/>
      <c r="CA159" s="1476">
        <f>CA157/CA131</f>
        <v>0.27491961414790994</v>
      </c>
      <c r="CB159" s="1476">
        <f>CB157/CB131</f>
        <v>0.35227272727272729</v>
      </c>
      <c r="CC159" s="1476">
        <f>CC157/CC131</f>
        <v>0.32223903177004537</v>
      </c>
      <c r="CD159" s="1476">
        <f>CD157/CD131</f>
        <v>0.41296060991105465</v>
      </c>
      <c r="CE159" s="1477"/>
      <c r="CF159" s="1476">
        <f>CF157/CF131</f>
        <v>0.31191222570532917</v>
      </c>
      <c r="CG159" s="1476">
        <f>CG157/CG131</f>
        <v>0.3653295128939828</v>
      </c>
      <c r="CH159" s="1476">
        <f>CH157/CH131</f>
        <v>0.28237129485179407</v>
      </c>
      <c r="CI159" s="1476">
        <f>CI157/CI131</f>
        <v>0.3657858136300417</v>
      </c>
      <c r="CJ159" s="1477"/>
      <c r="CK159" s="1476">
        <f>CK157/CK131</f>
        <v>0.31948881789137379</v>
      </c>
      <c r="CL159" s="1476">
        <f>CL157/CL131</f>
        <v>0.35789473684210527</v>
      </c>
      <c r="CM159" s="1476">
        <f>CM157/CM131</f>
        <v>0.31470588235294117</v>
      </c>
      <c r="CN159" s="1476">
        <f>CN157/CN131</f>
        <v>0.39872611464968155</v>
      </c>
      <c r="CO159" s="1477"/>
      <c r="CP159" s="2184">
        <f>CP157/CP131</f>
        <v>0.28173374613003094</v>
      </c>
      <c r="CQ159" s="2184">
        <f>CQ157/CQ131</f>
        <v>0.30780141843971631</v>
      </c>
      <c r="CR159" s="2184">
        <f>CR157/CR131</f>
        <v>0.27953890489913547</v>
      </c>
      <c r="CS159" s="1476">
        <f>CS157/CS131</f>
        <v>0.32220795892169446</v>
      </c>
      <c r="CT159" s="1477"/>
      <c r="CU159" s="1476">
        <f>CU157/CU131</f>
        <v>0.359375</v>
      </c>
      <c r="CV159" s="1476">
        <f>CV157/CV131</f>
        <v>0.35681818181818187</v>
      </c>
      <c r="CW159" s="1476">
        <f>CW157/CW131</f>
        <v>0.32518337408312958</v>
      </c>
      <c r="CX159" s="1476">
        <f>CX157/CX131</f>
        <v>0.43155893536121676</v>
      </c>
      <c r="CY159" s="1477"/>
      <c r="CZ159" s="1476">
        <f>CZ157/CZ131</f>
        <v>0.32762836185819072</v>
      </c>
      <c r="DA159" s="2833">
        <f>DA157/DA131</f>
        <v>0.33737864077669905</v>
      </c>
      <c r="DB159" s="2833">
        <f>DB157/DB131</f>
        <v>0.29219143576826195</v>
      </c>
      <c r="DC159" s="2833">
        <f>DC157/DC131</f>
        <v>0.34036078659337576</v>
      </c>
      <c r="DD159" s="2835"/>
      <c r="DE159" s="1476">
        <f t="shared" ref="DE159:DF159" si="257">DE157/DE131</f>
        <v>0.35167244402915521</v>
      </c>
      <c r="DF159" s="1476">
        <f t="shared" si="257"/>
        <v>0.34835790584355236</v>
      </c>
      <c r="DG159" s="1476">
        <f>DG157/DG131</f>
        <v>0.3296371216243747</v>
      </c>
      <c r="DH159" s="1476">
        <f>DH157/DH131</f>
        <v>0.37886123244143838</v>
      </c>
      <c r="DI159" s="1741"/>
      <c r="DJ159" s="1477"/>
      <c r="DK159" s="1476"/>
      <c r="DL159" s="1477"/>
      <c r="DM159" s="1477"/>
      <c r="DN159" s="1477"/>
      <c r="DO159" s="1477"/>
      <c r="DP159" s="1477"/>
      <c r="DQ159" s="1477"/>
      <c r="DR159" s="1477"/>
      <c r="DS159" s="1477"/>
      <c r="DT159" s="1477"/>
    </row>
    <row r="160" spans="1:132" ht="12.75" hidden="1" customHeight="1" outlineLevel="1">
      <c r="A160" s="1833"/>
      <c r="B160" s="1372"/>
      <c r="C160" s="1372"/>
      <c r="D160" s="1372"/>
      <c r="E160" s="1372"/>
      <c r="F160" s="1372"/>
      <c r="G160" s="1372"/>
      <c r="H160" s="1372"/>
      <c r="I160" s="1372"/>
      <c r="J160" s="1372"/>
      <c r="K160" s="1372"/>
      <c r="L160" s="1372"/>
      <c r="M160" s="1476"/>
      <c r="N160" s="1476"/>
      <c r="O160" s="2725"/>
      <c r="P160" s="2725"/>
      <c r="Q160" s="1476"/>
      <c r="R160" s="2833"/>
      <c r="S160" s="2834"/>
      <c r="T160" s="2833"/>
      <c r="U160" s="2833"/>
      <c r="V160" s="2833"/>
      <c r="W160" s="2833"/>
      <c r="X160" s="2833"/>
      <c r="Y160" s="1476"/>
      <c r="Z160" s="1476"/>
      <c r="AA160" s="1476"/>
      <c r="AB160" s="1476"/>
      <c r="AC160" s="1476"/>
      <c r="AD160" s="1476"/>
      <c r="AE160" s="1476"/>
      <c r="AF160" s="1372"/>
      <c r="AG160" s="1372"/>
      <c r="AH160" s="1372"/>
      <c r="AI160" s="1372"/>
      <c r="AJ160" s="1372"/>
      <c r="AK160" s="1372"/>
      <c r="AL160" s="1806"/>
      <c r="AM160" s="1372"/>
      <c r="AN160" s="1372"/>
      <c r="AO160" s="1372"/>
      <c r="AP160" s="1372"/>
      <c r="AQ160" s="1799"/>
      <c r="AR160" s="1372"/>
      <c r="AS160" s="1372"/>
      <c r="AT160" s="1372"/>
      <c r="AU160" s="1372"/>
      <c r="AV160" s="1799"/>
      <c r="AW160" s="1372"/>
      <c r="AX160" s="1372"/>
      <c r="AY160" s="1372"/>
      <c r="AZ160" s="1372"/>
      <c r="BA160" s="1799"/>
      <c r="BB160" s="1372"/>
      <c r="BC160" s="1372"/>
      <c r="BD160" s="1372"/>
      <c r="BE160" s="1372"/>
      <c r="BF160" s="1799"/>
      <c r="BG160" s="1372"/>
      <c r="BH160" s="1372"/>
      <c r="BI160" s="1372"/>
      <c r="BJ160" s="1372"/>
      <c r="BK160" s="1799"/>
      <c r="BL160" s="1372"/>
      <c r="BM160" s="1372"/>
      <c r="BN160" s="1372"/>
      <c r="BO160" s="1372"/>
      <c r="BP160" s="1799"/>
      <c r="BQ160" s="1108"/>
      <c r="BR160" s="1108"/>
      <c r="BS160" s="1108"/>
      <c r="BT160" s="1108"/>
      <c r="BU160" s="1108"/>
      <c r="BV160" s="1108"/>
      <c r="BW160" s="1108"/>
      <c r="BX160" s="1108"/>
      <c r="BY160" s="1108"/>
      <c r="BZ160" s="1108"/>
      <c r="CA160" s="1108"/>
      <c r="CB160" s="1108"/>
      <c r="CC160" s="1108"/>
      <c r="CD160" s="1108"/>
      <c r="CE160" s="1108"/>
      <c r="CF160" s="1108"/>
      <c r="CG160" s="1108"/>
      <c r="CH160" s="1108"/>
      <c r="CI160" s="1108"/>
      <c r="CJ160" s="1108"/>
      <c r="CK160" s="1108"/>
      <c r="CL160" s="1108"/>
      <c r="CM160" s="1108"/>
      <c r="CN160" s="1108"/>
      <c r="CO160" s="1108"/>
      <c r="CP160" s="1108"/>
      <c r="CQ160" s="1108"/>
      <c r="CR160" s="1108"/>
      <c r="CS160" s="1108"/>
      <c r="CT160" s="1108"/>
      <c r="CU160" s="1108"/>
      <c r="CV160" s="1108"/>
      <c r="CW160" s="1108"/>
      <c r="CX160" s="1108"/>
      <c r="CY160" s="1108"/>
      <c r="CZ160" s="1108"/>
      <c r="DA160" s="2862"/>
      <c r="DB160" s="2862"/>
      <c r="DC160" s="2862"/>
      <c r="DD160" s="2835"/>
      <c r="DE160" s="1741"/>
      <c r="DF160" s="1741"/>
      <c r="DG160" s="1741"/>
      <c r="DH160" s="1741"/>
      <c r="DI160" s="1741"/>
      <c r="DJ160" s="1108"/>
      <c r="DK160" s="1108"/>
      <c r="DL160" s="1108"/>
      <c r="DM160" s="1108"/>
      <c r="DN160" s="1108"/>
      <c r="DO160" s="1108"/>
      <c r="DP160" s="1108"/>
      <c r="DQ160" s="1108"/>
      <c r="DR160" s="1108"/>
      <c r="DS160" s="1108"/>
      <c r="DT160" s="1108"/>
    </row>
    <row r="161" spans="1:132" ht="11.25" hidden="1" customHeight="1" outlineLevel="2">
      <c r="A161" s="1833" t="s">
        <v>1206</v>
      </c>
      <c r="B161" s="1105">
        <f>'Segment Detail'!Y52</f>
        <v>423.6</v>
      </c>
      <c r="C161" s="1105">
        <f>'Segment Detail'!Z52</f>
        <v>423.8</v>
      </c>
      <c r="D161" s="1105">
        <f>'Segment Detail'!AA52</f>
        <v>453.9</v>
      </c>
      <c r="E161" s="1105">
        <f>'Segment Detail'!AB52</f>
        <v>469.9</v>
      </c>
      <c r="F161" s="1105">
        <f>'Segment Detail'!AC52</f>
        <v>568</v>
      </c>
      <c r="G161" s="1105">
        <f>'Segment Detail'!AD52</f>
        <v>620.9</v>
      </c>
      <c r="H161" s="1105">
        <f>'Segment Detail'!AE52</f>
        <v>474.70000000000005</v>
      </c>
      <c r="I161" s="1105">
        <f>'Segment Detail'!AF52</f>
        <v>184.4</v>
      </c>
      <c r="J161" s="1105">
        <f>'Segment Detail'!AG52</f>
        <v>288.59999999999991</v>
      </c>
      <c r="K161" s="1105">
        <f>'Segment Detail'!AH52</f>
        <v>380</v>
      </c>
      <c r="L161" s="1105">
        <f>'Segment Detail'!AI52</f>
        <v>378</v>
      </c>
      <c r="M161" s="1636">
        <f>SUM(CF161:CI161)</f>
        <v>411</v>
      </c>
      <c r="N161" s="1741">
        <f>SUM(CK161:CN161)</f>
        <v>0</v>
      </c>
      <c r="O161" s="2733">
        <v>0</v>
      </c>
      <c r="P161" s="2733">
        <v>0</v>
      </c>
      <c r="Q161" s="1741">
        <v>0</v>
      </c>
      <c r="R161" s="2835">
        <v>0</v>
      </c>
      <c r="S161" s="2836"/>
      <c r="T161" s="2835">
        <v>0</v>
      </c>
      <c r="U161" s="2835">
        <v>0</v>
      </c>
      <c r="V161" s="2835">
        <v>0</v>
      </c>
      <c r="W161" s="2835">
        <v>0</v>
      </c>
      <c r="X161" s="2835">
        <v>0</v>
      </c>
      <c r="Y161" s="1741">
        <v>0</v>
      </c>
      <c r="Z161" s="1741">
        <v>0</v>
      </c>
      <c r="AA161" s="1741">
        <v>0</v>
      </c>
      <c r="AB161" s="1741">
        <v>0</v>
      </c>
      <c r="AC161" s="1741">
        <v>0</v>
      </c>
      <c r="AD161" s="1741">
        <v>0</v>
      </c>
      <c r="AE161" s="1741">
        <v>0</v>
      </c>
      <c r="AF161" s="1105"/>
      <c r="AG161" s="1105"/>
      <c r="AH161" s="1105"/>
      <c r="AI161" s="1105"/>
      <c r="AJ161" s="1105"/>
      <c r="AK161" s="1105"/>
      <c r="AL161" s="1833" t="str">
        <f t="shared" si="233"/>
        <v xml:space="preserve">Outdoor </v>
      </c>
      <c r="AM161" s="1105">
        <f>'Segment Detail'!CO52</f>
        <v>68</v>
      </c>
      <c r="AN161" s="1105">
        <f>'Segment Detail'!CP52</f>
        <v>134.1</v>
      </c>
      <c r="AO161" s="1105">
        <f>'Segment Detail'!CQ52</f>
        <v>114.4</v>
      </c>
      <c r="AP161" s="1105">
        <f>'Segment Detail'!CR52</f>
        <v>137.4</v>
      </c>
      <c r="AQ161" s="1741">
        <f>D161-SUM(AM161:AP161)</f>
        <v>0</v>
      </c>
      <c r="AR161" s="1105">
        <f>'Segment Detail'!CT52</f>
        <v>69.3</v>
      </c>
      <c r="AS161" s="1105">
        <f>'Segment Detail'!CU52</f>
        <v>134.9</v>
      </c>
      <c r="AT161" s="1105">
        <f>'Segment Detail'!CV52</f>
        <v>118.2</v>
      </c>
      <c r="AU161" s="1105">
        <f>'Segment Detail'!CW52</f>
        <v>147.5</v>
      </c>
      <c r="AV161" s="1741">
        <f>E161-SUM(AR161:AU161)</f>
        <v>0</v>
      </c>
      <c r="AW161" s="1105">
        <f>'Segment Detail'!CY52</f>
        <v>99.1</v>
      </c>
      <c r="AX161" s="1105">
        <f>'Segment Detail'!CZ52</f>
        <v>160</v>
      </c>
      <c r="AY161" s="1105">
        <f>'Segment Detail'!DA52</f>
        <v>142.1</v>
      </c>
      <c r="AZ161" s="1105">
        <f>'Segment Detail'!DB52</f>
        <v>166.8</v>
      </c>
      <c r="BA161" s="1741">
        <f>F161-SUM(AW161:AZ161)</f>
        <v>0</v>
      </c>
      <c r="BB161" s="1105">
        <f>'Segment Detail'!DD52</f>
        <v>100.2</v>
      </c>
      <c r="BC161" s="1105">
        <f>'Segment Detail'!DE52</f>
        <v>168.3</v>
      </c>
      <c r="BD161" s="1105">
        <f>'Segment Detail'!DF52</f>
        <v>153.5</v>
      </c>
      <c r="BE161" s="1105">
        <f>'Segment Detail'!DG52</f>
        <v>198.9</v>
      </c>
      <c r="BF161" s="1741">
        <f>G161-SUM(BB161:BE161)</f>
        <v>0</v>
      </c>
      <c r="BG161" s="1105">
        <f>'Segment Detail'!DI52</f>
        <v>101.5</v>
      </c>
      <c r="BH161" s="1105">
        <f>'Segment Detail'!DJ52</f>
        <v>156.19999999999999</v>
      </c>
      <c r="BI161" s="1105">
        <f>'Segment Detail'!DK52</f>
        <v>118.60000000000001</v>
      </c>
      <c r="BJ161" s="1105">
        <f>'Segment Detail'!DL52</f>
        <v>98.4</v>
      </c>
      <c r="BK161" s="1741">
        <f>H161-SUM(BG161:BJ161)</f>
        <v>0</v>
      </c>
      <c r="BL161" s="1105">
        <f>'Segment Detail'!DN52</f>
        <v>25.1</v>
      </c>
      <c r="BM161" s="1105">
        <f>'Segment Detail'!DO52</f>
        <v>44.7</v>
      </c>
      <c r="BN161" s="1105">
        <f>'Segment Detail'!DP52</f>
        <v>32.6</v>
      </c>
      <c r="BO161" s="1105">
        <f>'Segment Detail'!DQ52</f>
        <v>82</v>
      </c>
      <c r="BP161" s="1741">
        <f>I161-SUM(BL161:BO161)</f>
        <v>0</v>
      </c>
      <c r="BQ161" s="1105">
        <v>32.200000000000003</v>
      </c>
      <c r="BR161" s="1105">
        <v>78.7</v>
      </c>
      <c r="BS161" s="1105">
        <v>76.900000000000006</v>
      </c>
      <c r="BT161" s="1105">
        <v>100.8</v>
      </c>
      <c r="BU161" s="1741">
        <f>J161-SUM(BQ161:BT161)</f>
        <v>0</v>
      </c>
      <c r="BV161" s="1635">
        <v>69</v>
      </c>
      <c r="BW161" s="1635">
        <v>99</v>
      </c>
      <c r="BX161" s="1635">
        <v>104</v>
      </c>
      <c r="BY161" s="1635">
        <v>108</v>
      </c>
      <c r="BZ161" s="1741">
        <f>K161-SUM(BV161:BY161)</f>
        <v>0</v>
      </c>
      <c r="CA161" s="1635">
        <v>76</v>
      </c>
      <c r="CB161" s="1635">
        <v>103</v>
      </c>
      <c r="CC161" s="1635">
        <v>105</v>
      </c>
      <c r="CD161" s="1635">
        <v>94</v>
      </c>
      <c r="CE161" s="1741">
        <f>L161-SUM(CA161:CD161)</f>
        <v>0</v>
      </c>
      <c r="CF161" s="1635">
        <v>74</v>
      </c>
      <c r="CG161" s="1635">
        <v>107</v>
      </c>
      <c r="CH161" s="1635">
        <v>110</v>
      </c>
      <c r="CI161" s="1635">
        <v>120</v>
      </c>
      <c r="CJ161" s="1741">
        <f>M161-SUM(CF161:CI161)</f>
        <v>0</v>
      </c>
      <c r="CK161" s="1741">
        <v>0</v>
      </c>
      <c r="CL161" s="1741">
        <v>0</v>
      </c>
      <c r="CM161" s="1741">
        <v>0</v>
      </c>
      <c r="CN161" s="1741">
        <v>0</v>
      </c>
      <c r="CO161" s="1741"/>
      <c r="CP161" s="1741">
        <v>0</v>
      </c>
      <c r="CQ161" s="1741">
        <v>0</v>
      </c>
      <c r="CR161" s="1741">
        <v>0</v>
      </c>
      <c r="CS161" s="1741">
        <v>0</v>
      </c>
      <c r="CT161" s="1741"/>
      <c r="CU161" s="1741">
        <v>0</v>
      </c>
      <c r="CV161" s="1741">
        <v>0</v>
      </c>
      <c r="CW161" s="1741">
        <v>0</v>
      </c>
      <c r="CX161" s="1741">
        <v>0</v>
      </c>
      <c r="CY161" s="1741"/>
      <c r="CZ161" s="1741">
        <v>0</v>
      </c>
      <c r="DA161" s="2835">
        <v>0</v>
      </c>
      <c r="DB161" s="2835">
        <v>0</v>
      </c>
      <c r="DC161" s="2835">
        <v>0</v>
      </c>
      <c r="DD161" s="2835">
        <f t="shared" si="225"/>
        <v>0</v>
      </c>
      <c r="DE161" s="1741">
        <v>0</v>
      </c>
      <c r="DF161" s="1741">
        <v>0</v>
      </c>
      <c r="DG161" s="1741">
        <v>0</v>
      </c>
      <c r="DH161" s="1741">
        <v>0</v>
      </c>
      <c r="DI161" s="1741">
        <f>U161-SUM(DE161:DH161)</f>
        <v>0</v>
      </c>
      <c r="DJ161" s="1741"/>
      <c r="DK161" s="1108"/>
      <c r="DL161" s="1108"/>
      <c r="DM161" s="1108"/>
      <c r="DN161" s="1108"/>
      <c r="DO161" s="1108"/>
      <c r="DP161" s="1108"/>
      <c r="DQ161" s="1108"/>
      <c r="DR161" s="1108"/>
      <c r="DS161" s="1108"/>
      <c r="DT161" s="1108"/>
    </row>
    <row r="162" spans="1:132" ht="11.25" hidden="1" customHeight="1" outlineLevel="2">
      <c r="A162" s="1835" t="s">
        <v>344</v>
      </c>
      <c r="B162" s="1364">
        <v>-0.10527003867985607</v>
      </c>
      <c r="C162" s="1364">
        <f t="shared" ref="C162:J162" si="258">C161/B161-1</f>
        <v>4.7214353163349543E-4</v>
      </c>
      <c r="D162" s="1364">
        <f t="shared" si="258"/>
        <v>7.1024067956583226E-2</v>
      </c>
      <c r="E162" s="1364">
        <f t="shared" si="258"/>
        <v>3.5250055078211107E-2</v>
      </c>
      <c r="F162" s="1364">
        <f t="shared" si="258"/>
        <v>0.20876782294105145</v>
      </c>
      <c r="G162" s="1364">
        <f t="shared" si="258"/>
        <v>9.3133802816901312E-2</v>
      </c>
      <c r="H162" s="1364">
        <f t="shared" si="258"/>
        <v>-0.23546464809148004</v>
      </c>
      <c r="I162" s="1364">
        <f t="shared" si="258"/>
        <v>-0.61154413313671796</v>
      </c>
      <c r="J162" s="1364">
        <f t="shared" si="258"/>
        <v>0.56507592190889322</v>
      </c>
      <c r="K162" s="1364">
        <f>K161/J161-1</f>
        <v>0.31670131670131707</v>
      </c>
      <c r="L162" s="1364">
        <f>L161/K161-1</f>
        <v>-5.2631578947368585E-3</v>
      </c>
      <c r="M162" s="1364">
        <f>M161/L161-1</f>
        <v>8.7301587301587213E-2</v>
      </c>
      <c r="N162" s="1741">
        <f>SUM(CK162:CN162)</f>
        <v>0</v>
      </c>
      <c r="O162" s="2733">
        <v>0</v>
      </c>
      <c r="P162" s="2733">
        <v>0</v>
      </c>
      <c r="Q162" s="1741">
        <v>0</v>
      </c>
      <c r="R162" s="2835">
        <v>0</v>
      </c>
      <c r="S162" s="2836"/>
      <c r="T162" s="2835">
        <v>0</v>
      </c>
      <c r="U162" s="2835">
        <v>0</v>
      </c>
      <c r="V162" s="2835">
        <v>0</v>
      </c>
      <c r="W162" s="2835">
        <v>0</v>
      </c>
      <c r="X162" s="2835">
        <v>0</v>
      </c>
      <c r="Y162" s="1741">
        <v>0</v>
      </c>
      <c r="Z162" s="1741">
        <v>0</v>
      </c>
      <c r="AA162" s="1741">
        <v>0</v>
      </c>
      <c r="AB162" s="1741">
        <v>0</v>
      </c>
      <c r="AC162" s="1741">
        <v>0</v>
      </c>
      <c r="AD162" s="1741">
        <v>0</v>
      </c>
      <c r="AE162" s="1741">
        <v>0</v>
      </c>
      <c r="AF162" s="1364"/>
      <c r="AG162" s="1364"/>
      <c r="AH162" s="1364"/>
      <c r="AI162" s="1364"/>
      <c r="AJ162" s="1364"/>
      <c r="AK162" s="1364"/>
      <c r="AL162" s="1835" t="str">
        <f t="shared" si="233"/>
        <v xml:space="preserve">% Change </v>
      </c>
      <c r="AM162" s="1770" t="s">
        <v>1455</v>
      </c>
      <c r="AN162" s="1770" t="s">
        <v>1455</v>
      </c>
      <c r="AO162" s="1770" t="s">
        <v>1455</v>
      </c>
      <c r="AP162" s="1770" t="s">
        <v>1455</v>
      </c>
      <c r="AQ162" s="1811"/>
      <c r="AR162" s="1364">
        <f>AR161/AM161-1</f>
        <v>1.9117647058823461E-2</v>
      </c>
      <c r="AS162" s="1364">
        <f>AS161/AN161-1</f>
        <v>5.9656972408650422E-3</v>
      </c>
      <c r="AT162" s="1364">
        <f>AT161/AO161-1</f>
        <v>3.3216783216783119E-2</v>
      </c>
      <c r="AU162" s="1364">
        <f>AU161/AP161-1</f>
        <v>7.3508005822416234E-2</v>
      </c>
      <c r="AV162" s="1811"/>
      <c r="AW162" s="1364">
        <f>AW161/AR161-1</f>
        <v>0.43001443001442996</v>
      </c>
      <c r="AX162" s="1364">
        <f>AX161/AS161-1</f>
        <v>0.18606375092661231</v>
      </c>
      <c r="AY162" s="1364">
        <f>AY161/AT161-1</f>
        <v>0.20219966159052438</v>
      </c>
      <c r="AZ162" s="1364">
        <f>AZ161/AU161-1</f>
        <v>0.1308474576271188</v>
      </c>
      <c r="BA162" s="1811"/>
      <c r="BB162" s="1364">
        <f>BB161/AW161-1</f>
        <v>1.1099899091826515E-2</v>
      </c>
      <c r="BC162" s="1364">
        <f>BC161/AX161-1</f>
        <v>5.1875000000000115E-2</v>
      </c>
      <c r="BD162" s="1364">
        <f>BD161/AY161-1</f>
        <v>8.0225193525686134E-2</v>
      </c>
      <c r="BE162" s="1364">
        <f>BE161/AZ161-1</f>
        <v>0.19244604316546754</v>
      </c>
      <c r="BF162" s="1811"/>
      <c r="BG162" s="1364">
        <f>BG161/BB161-1</f>
        <v>1.2974051896207595E-2</v>
      </c>
      <c r="BH162" s="1364">
        <f>BH161/BC161-1</f>
        <v>-7.1895424836601385E-2</v>
      </c>
      <c r="BI162" s="1364">
        <f>BI161/BD161-1</f>
        <v>-0.22736156351791525</v>
      </c>
      <c r="BJ162" s="1364">
        <f>BJ161/BE161-1</f>
        <v>-0.50527903469079938</v>
      </c>
      <c r="BK162" s="1811"/>
      <c r="BL162" s="1364">
        <f>BL161/BG161-1</f>
        <v>-0.75270935960591134</v>
      </c>
      <c r="BM162" s="1364">
        <f>BM161/BH161-1</f>
        <v>-0.71382842509603073</v>
      </c>
      <c r="BN162" s="1364">
        <f>BN161/BI161-1</f>
        <v>-0.72512647554806064</v>
      </c>
      <c r="BO162" s="1364">
        <f>BO161/BJ161-1</f>
        <v>-0.16666666666666674</v>
      </c>
      <c r="BP162" s="1811"/>
      <c r="BQ162" s="1364">
        <f>BQ161/BL161-1</f>
        <v>0.28286852589641431</v>
      </c>
      <c r="BR162" s="1364">
        <f>BR161/BM161-1</f>
        <v>0.76062639821029077</v>
      </c>
      <c r="BS162" s="1364">
        <f>BS161/BN161-1</f>
        <v>1.3588957055214723</v>
      </c>
      <c r="BT162" s="1364">
        <f>BT161/BO161-1</f>
        <v>0.22926829268292681</v>
      </c>
      <c r="BU162" s="1477"/>
      <c r="BV162" s="1364">
        <f>BV161/BQ161-1</f>
        <v>1.1428571428571428</v>
      </c>
      <c r="BW162" s="1364">
        <f>BW161/BR161-1</f>
        <v>0.25794155019059706</v>
      </c>
      <c r="BX162" s="1364">
        <f>BX161/BS161-1</f>
        <v>0.35240572171651485</v>
      </c>
      <c r="BY162" s="1364">
        <f>BY161/BT161-1</f>
        <v>7.1428571428571397E-2</v>
      </c>
      <c r="BZ162" s="1477"/>
      <c r="CA162" s="1364">
        <f>CA161/BV161-1</f>
        <v>0.10144927536231885</v>
      </c>
      <c r="CB162" s="1364">
        <f>CB161/BW161-1</f>
        <v>4.0404040404040442E-2</v>
      </c>
      <c r="CC162" s="1364">
        <f>CC161/BX161-1</f>
        <v>9.6153846153845812E-3</v>
      </c>
      <c r="CD162" s="1364">
        <f>CD161/BY161-1</f>
        <v>-0.12962962962962965</v>
      </c>
      <c r="CE162" s="1477"/>
      <c r="CF162" s="1364">
        <f>CF161/CA161-1</f>
        <v>-2.6315789473684181E-2</v>
      </c>
      <c r="CG162" s="1364">
        <f>CG161/CB161-1</f>
        <v>3.8834951456310662E-2</v>
      </c>
      <c r="CH162" s="1364">
        <f>CH161/CC161-1</f>
        <v>4.7619047619047672E-2</v>
      </c>
      <c r="CI162" s="1364">
        <f>CI161/CD161-1</f>
        <v>0.27659574468085113</v>
      </c>
      <c r="CJ162" s="1477"/>
      <c r="CK162" s="1741">
        <f>SUM(GB162:GE162)</f>
        <v>0</v>
      </c>
      <c r="CL162" s="1741">
        <v>0</v>
      </c>
      <c r="CM162" s="1741">
        <v>0</v>
      </c>
      <c r="CN162" s="1741">
        <v>0</v>
      </c>
      <c r="CO162" s="1477"/>
      <c r="CP162" s="1741">
        <f>SUM(GG162:GJ162)</f>
        <v>0</v>
      </c>
      <c r="CQ162" s="1741">
        <v>0</v>
      </c>
      <c r="CR162" s="1741">
        <v>0</v>
      </c>
      <c r="CS162" s="1741">
        <v>0</v>
      </c>
      <c r="CT162" s="1477"/>
      <c r="CU162" s="1741">
        <v>0</v>
      </c>
      <c r="CV162" s="1741">
        <v>0</v>
      </c>
      <c r="CW162" s="1741">
        <v>0</v>
      </c>
      <c r="CX162" s="1741">
        <v>0</v>
      </c>
      <c r="CY162" s="1477"/>
      <c r="CZ162" s="1741">
        <v>0</v>
      </c>
      <c r="DA162" s="2835">
        <v>0</v>
      </c>
      <c r="DB162" s="2835">
        <v>0</v>
      </c>
      <c r="DC162" s="2835">
        <v>0</v>
      </c>
      <c r="DD162" s="2835">
        <f t="shared" si="225"/>
        <v>0</v>
      </c>
      <c r="DE162" s="1741">
        <v>0</v>
      </c>
      <c r="DF162" s="1741">
        <v>0</v>
      </c>
      <c r="DG162" s="1741">
        <v>0</v>
      </c>
      <c r="DH162" s="1741">
        <v>0</v>
      </c>
      <c r="DI162" s="1741">
        <f t="shared" ref="DI162:DI163" si="259">U162-SUM(DE162:DH162)</f>
        <v>0</v>
      </c>
      <c r="DJ162" s="1477"/>
      <c r="DK162" s="1108"/>
      <c r="DL162" s="1108"/>
      <c r="DM162" s="1108"/>
      <c r="DN162" s="1477"/>
      <c r="DO162" s="1477"/>
      <c r="DP162" s="1477"/>
      <c r="DQ162" s="1477"/>
      <c r="DR162" s="1477"/>
      <c r="DS162" s="1477"/>
      <c r="DT162" s="1477"/>
    </row>
    <row r="163" spans="1:132" ht="11.25" hidden="1" customHeight="1" outlineLevel="2">
      <c r="A163" s="1835" t="s">
        <v>1208</v>
      </c>
      <c r="B163" s="1364">
        <f t="shared" ref="B163:J163" si="260">B161/B142</f>
        <v>0.2593204775022957</v>
      </c>
      <c r="C163" s="1364">
        <f t="shared" si="260"/>
        <v>0.24240690956929586</v>
      </c>
      <c r="D163" s="1364">
        <f t="shared" si="260"/>
        <v>0.24141048824593125</v>
      </c>
      <c r="E163" s="1364">
        <f t="shared" si="260"/>
        <v>0.24106089365413225</v>
      </c>
      <c r="F163" s="1364">
        <f t="shared" si="260"/>
        <v>0.27003898450128361</v>
      </c>
      <c r="G163" s="1364">
        <f t="shared" si="260"/>
        <v>0.28386595345860188</v>
      </c>
      <c r="H163" s="1364">
        <f t="shared" si="260"/>
        <v>0.21869529162443568</v>
      </c>
      <c r="I163" s="1364">
        <f t="shared" si="260"/>
        <v>0.10704748635783118</v>
      </c>
      <c r="J163" s="1364">
        <f t="shared" si="260"/>
        <v>0.15864116094986802</v>
      </c>
      <c r="K163" s="1364">
        <f>K161/K142</f>
        <v>0.29548989113530327</v>
      </c>
      <c r="L163" s="1364">
        <f>L161/L142</f>
        <v>0.29425502101821582</v>
      </c>
      <c r="M163" s="1364">
        <f>M161/M142</f>
        <v>0.31518404907975461</v>
      </c>
      <c r="N163" s="1741">
        <f>SUM(CK163:CN163)</f>
        <v>0</v>
      </c>
      <c r="O163" s="2733">
        <v>0</v>
      </c>
      <c r="P163" s="2733">
        <v>0</v>
      </c>
      <c r="Q163" s="1741">
        <v>0</v>
      </c>
      <c r="R163" s="2835">
        <v>0</v>
      </c>
      <c r="S163" s="2836"/>
      <c r="T163" s="2835">
        <v>0</v>
      </c>
      <c r="U163" s="2835">
        <v>0</v>
      </c>
      <c r="V163" s="2835">
        <v>0</v>
      </c>
      <c r="W163" s="2835">
        <v>0</v>
      </c>
      <c r="X163" s="2835">
        <v>0</v>
      </c>
      <c r="Y163" s="1741">
        <v>0</v>
      </c>
      <c r="Z163" s="1741">
        <v>0</v>
      </c>
      <c r="AA163" s="1741">
        <v>0</v>
      </c>
      <c r="AB163" s="1741">
        <v>0</v>
      </c>
      <c r="AC163" s="1741">
        <v>0</v>
      </c>
      <c r="AD163" s="1741">
        <v>0</v>
      </c>
      <c r="AE163" s="1741">
        <v>0</v>
      </c>
      <c r="AF163" s="1364"/>
      <c r="AG163" s="1364"/>
      <c r="AH163" s="1364"/>
      <c r="AI163" s="1364"/>
      <c r="AJ163" s="1364"/>
      <c r="AK163" s="1364"/>
      <c r="AL163" s="1835" t="str">
        <f t="shared" si="233"/>
        <v xml:space="preserve">% Margin </v>
      </c>
      <c r="AM163" s="1364">
        <f>AM161/AM142</f>
        <v>0.16860897594842547</v>
      </c>
      <c r="AN163" s="1364">
        <f>AN161/AN142</f>
        <v>0.27706611570247935</v>
      </c>
      <c r="AO163" s="1364">
        <f>AO161/AO142</f>
        <v>0.23898057238353876</v>
      </c>
      <c r="AP163" s="1364">
        <f>AP161/AP142</f>
        <v>0.26721120186697783</v>
      </c>
      <c r="AQ163" s="1811"/>
      <c r="AR163" s="1364">
        <f>AR161/AR142</f>
        <v>0.16150081566068514</v>
      </c>
      <c r="AS163" s="1364">
        <f>AS161/AS142</f>
        <v>0.27017824954936914</v>
      </c>
      <c r="AT163" s="1364">
        <f>AT161/AT142</f>
        <v>0.23951367781155017</v>
      </c>
      <c r="AU163" s="1364">
        <f>AU161/AU142</f>
        <v>0.27967387182404246</v>
      </c>
      <c r="AV163" s="1811"/>
      <c r="AW163" s="1364">
        <f>AW161/AW142</f>
        <v>0.21915081822202565</v>
      </c>
      <c r="AX163" s="1364">
        <f>AX161/AX142</f>
        <v>0.29940119760479045</v>
      </c>
      <c r="AY163" s="1364">
        <f>AY161/AY142</f>
        <v>0.2650130548302872</v>
      </c>
      <c r="AZ163" s="1364">
        <f>AZ161/AZ142</f>
        <v>0.28728901136755081</v>
      </c>
      <c r="BA163" s="1811"/>
      <c r="BB163" s="1364">
        <f>BB161/BB142</f>
        <v>0.21674237508111616</v>
      </c>
      <c r="BC163" s="1364">
        <f>BC161/BC142</f>
        <v>0.30368098159509205</v>
      </c>
      <c r="BD163" s="1364">
        <f>BD161/BD142</f>
        <v>0.27797899311843532</v>
      </c>
      <c r="BE163" s="1364">
        <f>BE161/BE142</f>
        <v>0.32153249272550921</v>
      </c>
      <c r="BF163" s="1811"/>
      <c r="BG163" s="1364">
        <f>BG161/BG142</f>
        <v>0.20426645200241497</v>
      </c>
      <c r="BH163" s="1364">
        <f>BH161/BH142</f>
        <v>0.2611603410800869</v>
      </c>
      <c r="BI163" s="1364">
        <f>BI161/BI142</f>
        <v>0.21591115965774627</v>
      </c>
      <c r="BJ163" s="1364">
        <f>BJ161/BJ142</f>
        <v>0.18696560896826908</v>
      </c>
      <c r="BK163" s="1811"/>
      <c r="BL163" s="1364">
        <f>BL161/BL142</f>
        <v>6.6070018425901558E-2</v>
      </c>
      <c r="BM163" s="1364">
        <f>BM161/BM142</f>
        <v>0.10297166551485833</v>
      </c>
      <c r="BN163" s="1364">
        <f>BN161/BN142</f>
        <v>7.6723935043539665E-2</v>
      </c>
      <c r="BO163" s="1364">
        <f>BO161/BO142</f>
        <v>0.16952656605333885</v>
      </c>
      <c r="BP163" s="1811"/>
      <c r="BQ163" s="1364">
        <f>BQ161/BQ142</f>
        <v>8.2100968893421736E-2</v>
      </c>
      <c r="BR163" s="1364">
        <f>BR161/BR142</f>
        <v>0.17247424939732633</v>
      </c>
      <c r="BS163" s="1364">
        <f>BS161/BS142</f>
        <v>0.16728301065912554</v>
      </c>
      <c r="BT163" s="1364">
        <f>BT161/BT142</f>
        <v>0.19726027397260273</v>
      </c>
      <c r="BU163" s="1477"/>
      <c r="BV163" s="1364">
        <f>BV161/BV142</f>
        <v>0.24731182795698925</v>
      </c>
      <c r="BW163" s="1364">
        <f>BW161/BW142</f>
        <v>0.29819277108433734</v>
      </c>
      <c r="BX163" s="1364">
        <f>BX161/BX142</f>
        <v>0.31231231231231232</v>
      </c>
      <c r="BY163" s="1364">
        <f>BY161/BY142</f>
        <v>0.31578947368421051</v>
      </c>
      <c r="BZ163" s="1477"/>
      <c r="CA163" s="1364">
        <f>CA161/CA142</f>
        <v>0.26582721231199724</v>
      </c>
      <c r="CB163" s="1364">
        <f>CB161/CB142</f>
        <v>0.31080265540132773</v>
      </c>
      <c r="CC163" s="1364">
        <f>CC161/CC142</f>
        <v>0.31674208144796373</v>
      </c>
      <c r="CD163" s="1364">
        <f>CD161/CD142</f>
        <v>0.27992852888624187</v>
      </c>
      <c r="CE163" s="1640"/>
      <c r="CF163" s="1364">
        <f>CF161/CF142</f>
        <v>0.26334519572953735</v>
      </c>
      <c r="CG163" s="1364">
        <f>CG161/CG142</f>
        <v>0.31940298507462689</v>
      </c>
      <c r="CH163" s="1364">
        <f>CH161/CH142</f>
        <v>0.32258064516129031</v>
      </c>
      <c r="CI163" s="1364">
        <f>CI161/CI142</f>
        <v>0.345821325648415</v>
      </c>
      <c r="CJ163" s="1640"/>
      <c r="CK163" s="1741">
        <f>SUM(GB163:GE163)</f>
        <v>0</v>
      </c>
      <c r="CL163" s="1741">
        <v>0</v>
      </c>
      <c r="CM163" s="1741">
        <v>0</v>
      </c>
      <c r="CN163" s="1741">
        <v>0</v>
      </c>
      <c r="CO163" s="1640"/>
      <c r="CP163" s="1741">
        <f>SUM(GG163:GJ163)</f>
        <v>0</v>
      </c>
      <c r="CQ163" s="1741">
        <v>0</v>
      </c>
      <c r="CR163" s="1741">
        <v>0</v>
      </c>
      <c r="CS163" s="1741">
        <v>0</v>
      </c>
      <c r="CT163" s="1640"/>
      <c r="CU163" s="1741">
        <v>0</v>
      </c>
      <c r="CV163" s="1741">
        <v>0</v>
      </c>
      <c r="CW163" s="1741">
        <v>0</v>
      </c>
      <c r="CX163" s="1741">
        <v>0</v>
      </c>
      <c r="CY163" s="1640"/>
      <c r="CZ163" s="1741">
        <v>0</v>
      </c>
      <c r="DA163" s="2835">
        <v>0</v>
      </c>
      <c r="DB163" s="2835">
        <v>0</v>
      </c>
      <c r="DC163" s="2835">
        <v>0</v>
      </c>
      <c r="DD163" s="2835">
        <f t="shared" si="225"/>
        <v>0</v>
      </c>
      <c r="DE163" s="1741">
        <v>0</v>
      </c>
      <c r="DF163" s="1741">
        <v>0</v>
      </c>
      <c r="DG163" s="1741">
        <v>0</v>
      </c>
      <c r="DH163" s="1741">
        <v>0</v>
      </c>
      <c r="DI163" s="1741">
        <f t="shared" si="259"/>
        <v>0</v>
      </c>
      <c r="DJ163" s="1640"/>
      <c r="DK163" s="1108"/>
      <c r="DL163" s="1108"/>
      <c r="DM163" s="1108"/>
      <c r="DN163" s="1477"/>
      <c r="DO163" s="1477"/>
      <c r="DP163" s="1477"/>
      <c r="DQ163" s="1477"/>
      <c r="DR163" s="1477"/>
      <c r="DS163" s="1477"/>
      <c r="DT163" s="1477"/>
    </row>
    <row r="164" spans="1:132" ht="6" hidden="1" customHeight="1" outlineLevel="2">
      <c r="A164" s="1494"/>
      <c r="B164" s="1774"/>
      <c r="C164" s="1774"/>
      <c r="D164" s="1774"/>
      <c r="E164" s="1774"/>
      <c r="F164" s="1774"/>
      <c r="G164" s="1774"/>
      <c r="H164" s="1774"/>
      <c r="I164" s="1774"/>
      <c r="J164" s="1774"/>
      <c r="K164" s="1774"/>
      <c r="L164" s="1774"/>
      <c r="M164" s="1774"/>
      <c r="N164" s="1774"/>
      <c r="O164" s="2734"/>
      <c r="P164" s="2734"/>
      <c r="Q164" s="1774"/>
      <c r="R164" s="2831"/>
      <c r="S164" s="2832"/>
      <c r="T164" s="2831"/>
      <c r="U164" s="2831"/>
      <c r="V164" s="2831"/>
      <c r="W164" s="2831"/>
      <c r="X164" s="2831"/>
      <c r="Y164" s="1774"/>
      <c r="Z164" s="1774"/>
      <c r="AA164" s="1774"/>
      <c r="AB164" s="1774"/>
      <c r="AC164" s="1774"/>
      <c r="AD164" s="1774"/>
      <c r="AE164" s="1774"/>
      <c r="AF164" s="1372"/>
      <c r="AG164" s="1372"/>
      <c r="AH164" s="1372"/>
      <c r="AI164" s="1372"/>
      <c r="AJ164" s="1372"/>
      <c r="AK164" s="1372"/>
      <c r="AL164" s="1109"/>
      <c r="AM164" s="1774"/>
      <c r="AN164" s="1774"/>
      <c r="AO164" s="1774"/>
      <c r="AP164" s="1774"/>
      <c r="AQ164" s="1799"/>
      <c r="AR164" s="1774"/>
      <c r="AS164" s="1774"/>
      <c r="AT164" s="1774"/>
      <c r="AU164" s="1774"/>
      <c r="AV164" s="1799"/>
      <c r="AW164" s="1774"/>
      <c r="AX164" s="1774"/>
      <c r="AY164" s="1774"/>
      <c r="AZ164" s="1774"/>
      <c r="BA164" s="1799"/>
      <c r="BB164" s="1774"/>
      <c r="BC164" s="1774"/>
      <c r="BD164" s="1774"/>
      <c r="BE164" s="1774"/>
      <c r="BF164" s="1799"/>
      <c r="BG164" s="1774"/>
      <c r="BH164" s="1774"/>
      <c r="BI164" s="1774"/>
      <c r="BJ164" s="1774"/>
      <c r="BK164" s="1799"/>
      <c r="BL164" s="1774"/>
      <c r="BM164" s="1774"/>
      <c r="BN164" s="1774"/>
      <c r="BO164" s="1774"/>
      <c r="BP164" s="1799"/>
      <c r="BQ164" s="1642"/>
      <c r="BR164" s="1642"/>
      <c r="BS164" s="1642"/>
      <c r="BT164" s="1642"/>
      <c r="BU164" s="1108"/>
      <c r="BV164" s="1642"/>
      <c r="BW164" s="1642"/>
      <c r="BX164" s="1642"/>
      <c r="BY164" s="1642"/>
      <c r="BZ164" s="1108"/>
      <c r="CA164" s="1642"/>
      <c r="CB164" s="1642"/>
      <c r="CC164" s="1642"/>
      <c r="CD164" s="1642"/>
      <c r="CE164" s="1108"/>
      <c r="CF164" s="1642"/>
      <c r="CG164" s="1642"/>
      <c r="CH164" s="1642"/>
      <c r="CI164" s="1642"/>
      <c r="CJ164" s="1108"/>
      <c r="CK164" s="1472"/>
      <c r="CL164" s="1472"/>
      <c r="CM164" s="1472"/>
      <c r="CN164" s="1642"/>
      <c r="CO164" s="1108"/>
      <c r="CP164" s="1472"/>
      <c r="CQ164" s="1472"/>
      <c r="CR164" s="1472"/>
      <c r="CS164" s="1642"/>
      <c r="CT164" s="1108"/>
      <c r="CU164" s="1642"/>
      <c r="CV164" s="1642"/>
      <c r="CW164" s="1642"/>
      <c r="CX164" s="1642"/>
      <c r="CY164" s="1108"/>
      <c r="CZ164" s="1642"/>
      <c r="DA164" s="2976"/>
      <c r="DB164" s="2976"/>
      <c r="DC164" s="2976"/>
      <c r="DD164" s="2835"/>
      <c r="DE164" s="1642"/>
      <c r="DF164" s="1642"/>
      <c r="DG164" s="1642"/>
      <c r="DH164" s="1642"/>
      <c r="DI164" s="1741"/>
      <c r="DJ164" s="1108"/>
      <c r="DK164" s="1642"/>
      <c r="DL164" s="1108"/>
      <c r="DM164" s="1108"/>
      <c r="DN164" s="1108"/>
      <c r="DO164" s="1108"/>
      <c r="DP164" s="1108"/>
      <c r="DQ164" s="1108"/>
      <c r="DR164" s="1108"/>
      <c r="DS164" s="1108"/>
      <c r="DT164" s="1108"/>
    </row>
    <row r="165" spans="1:132" ht="11.25" hidden="1" customHeight="1" outlineLevel="1">
      <c r="A165" s="1494" t="s">
        <v>423</v>
      </c>
      <c r="B165" s="1643">
        <f t="shared" ref="B165:J165" si="261">+B161+B157</f>
        <v>2110.4520236106796</v>
      </c>
      <c r="C165" s="1643">
        <f t="shared" si="261"/>
        <v>2079.7997224178544</v>
      </c>
      <c r="D165" s="1643">
        <f t="shared" si="261"/>
        <v>2114.4249551469452</v>
      </c>
      <c r="E165" s="1643">
        <f t="shared" si="261"/>
        <v>2024.9643737972438</v>
      </c>
      <c r="F165" s="1643">
        <f t="shared" si="261"/>
        <v>2048.7636833554116</v>
      </c>
      <c r="G165" s="1643">
        <f t="shared" si="261"/>
        <v>1847.7923923216849</v>
      </c>
      <c r="H165" s="1643">
        <f t="shared" si="261"/>
        <v>1408.7000000000003</v>
      </c>
      <c r="I165" s="1643">
        <f t="shared" si="261"/>
        <v>677.30000000000007</v>
      </c>
      <c r="J165" s="1643">
        <f t="shared" si="261"/>
        <v>1153.4999999999998</v>
      </c>
      <c r="K165" s="1643">
        <f t="shared" ref="K165:P165" si="262">+K161+K157</f>
        <v>1229</v>
      </c>
      <c r="L165" s="1643">
        <f t="shared" si="262"/>
        <v>1335</v>
      </c>
      <c r="M165" s="1643">
        <f>+M161+M157</f>
        <v>1309</v>
      </c>
      <c r="N165" s="1643">
        <f>+N161+N157</f>
        <v>965</v>
      </c>
      <c r="O165" s="2736">
        <f>+O161+O157</f>
        <v>898</v>
      </c>
      <c r="P165" s="2736">
        <f t="shared" si="262"/>
        <v>965</v>
      </c>
      <c r="Q165" s="1643">
        <f>Q157</f>
        <v>844</v>
      </c>
      <c r="R165" s="2812">
        <f>+R161+R157</f>
        <v>988.3</v>
      </c>
      <c r="S165" s="2817">
        <f>S157</f>
        <v>662.3</v>
      </c>
      <c r="T165" s="2812">
        <f t="shared" ref="T165:AD165" si="263">T157</f>
        <v>553.30616142289705</v>
      </c>
      <c r="U165" s="2812">
        <f t="shared" ref="U165" si="264">U157</f>
        <v>679.58216554683975</v>
      </c>
      <c r="V165" s="2812">
        <f t="shared" si="263"/>
        <v>669.25647989241031</v>
      </c>
      <c r="W165" s="2812">
        <f t="shared" si="263"/>
        <v>849.34349432765498</v>
      </c>
      <c r="X165" s="2812">
        <f t="shared" si="263"/>
        <v>762.95852991904007</v>
      </c>
      <c r="Y165" s="1643">
        <f t="shared" si="263"/>
        <v>877.53571245978446</v>
      </c>
      <c r="Z165" s="1643">
        <f t="shared" si="263"/>
        <v>733.14697865256744</v>
      </c>
      <c r="AA165" s="1643">
        <f t="shared" si="263"/>
        <v>837.86771691454203</v>
      </c>
      <c r="AB165" s="1643">
        <f t="shared" si="263"/>
        <v>722.00301138971247</v>
      </c>
      <c r="AC165" s="1643">
        <f t="shared" si="263"/>
        <v>749.54040636679463</v>
      </c>
      <c r="AD165" s="1643">
        <f t="shared" si="263"/>
        <v>646.25858393189492</v>
      </c>
      <c r="AE165" s="1643">
        <f t="shared" ref="AE165" si="265">AE157</f>
        <v>814.03667526022559</v>
      </c>
      <c r="AF165" s="1643"/>
      <c r="AG165" s="1643"/>
      <c r="AH165" s="1643"/>
      <c r="AI165" s="1643"/>
      <c r="AJ165" s="1643"/>
      <c r="AK165" s="1643"/>
      <c r="AL165" s="1494" t="str">
        <f t="shared" si="233"/>
        <v>TOTAL LOCAL GROUP EBITDA</v>
      </c>
      <c r="AM165" s="1643">
        <f>+AM161+AM157</f>
        <v>450.43748525858405</v>
      </c>
      <c r="AN165" s="1643">
        <f>+AN161+AN157</f>
        <v>591.72657999746832</v>
      </c>
      <c r="AO165" s="1643">
        <f>+AO161+AO157</f>
        <v>489.6081191959305</v>
      </c>
      <c r="AP165" s="1643">
        <f>+AP161+AP157</f>
        <v>582.65277069496233</v>
      </c>
      <c r="AQ165" s="1741">
        <f>D165-SUM(AM165:AP165)</f>
        <v>0</v>
      </c>
      <c r="AR165" s="1643">
        <f>+AR161+AR157</f>
        <v>417.72473189977535</v>
      </c>
      <c r="AS165" s="1643">
        <f>+AS161+AS157</f>
        <v>587.54286223972122</v>
      </c>
      <c r="AT165" s="1643">
        <f>+AT161+AT157</f>
        <v>494.14256908215054</v>
      </c>
      <c r="AU165" s="1643">
        <f>+AU161+AU157</f>
        <v>525.55421057559624</v>
      </c>
      <c r="AV165" s="1741">
        <f>E165-SUM(AR165:AU165)</f>
        <v>0</v>
      </c>
      <c r="AW165" s="1643">
        <f>+AW161+AW157</f>
        <v>428.19778332520752</v>
      </c>
      <c r="AX165" s="1643">
        <f>+AX161+AX157</f>
        <v>582.77094097369559</v>
      </c>
      <c r="AY165" s="1643">
        <f>+AY161+AY157</f>
        <v>510.39453527494982</v>
      </c>
      <c r="AZ165" s="1643">
        <f>+AZ161+AZ157</f>
        <v>527.4004237815584</v>
      </c>
      <c r="BA165" s="1741">
        <f>F165-SUM(AW165:AZ165)</f>
        <v>0</v>
      </c>
      <c r="BB165" s="1643">
        <f>+BB161+BB157</f>
        <v>410.73283937920445</v>
      </c>
      <c r="BC165" s="1643">
        <f>+BC161+BC157</f>
        <v>500.0738623700185</v>
      </c>
      <c r="BD165" s="1643">
        <f>+BD161+BD157</f>
        <v>453.3572415682255</v>
      </c>
      <c r="BE165" s="1643">
        <f>+BE161+BE157</f>
        <v>483.6284490042367</v>
      </c>
      <c r="BF165" s="1741">
        <f>G165-SUM(BB165:BE165)</f>
        <v>0</v>
      </c>
      <c r="BG165" s="1849">
        <f>191.6+101.5+10+34.9</f>
        <v>338</v>
      </c>
      <c r="BH165" s="1849">
        <f>420.4</f>
        <v>420.4</v>
      </c>
      <c r="BI165" s="1849">
        <f>309.3</f>
        <v>309.3</v>
      </c>
      <c r="BJ165" s="1849">
        <f>173.5+98.4+25.4+43.7</f>
        <v>340.99999999999994</v>
      </c>
      <c r="BK165" s="1741">
        <f>H165-SUM(BG165:BJ165)</f>
        <v>0</v>
      </c>
      <c r="BL165" s="1849">
        <v>79.2</v>
      </c>
      <c r="BM165" s="1849">
        <v>145.30000000000001</v>
      </c>
      <c r="BN165" s="1849">
        <v>163.30000000000001</v>
      </c>
      <c r="BO165" s="1849">
        <f>296.3+13.2-20</f>
        <v>289.5</v>
      </c>
      <c r="BP165" s="1741">
        <f>I165-SUM(BL165:BO165)</f>
        <v>0</v>
      </c>
      <c r="BQ165" s="1643">
        <f>+BQ161+BQ157</f>
        <v>166.2</v>
      </c>
      <c r="BR165" s="1643">
        <f>+BR161+BR157</f>
        <v>292.7</v>
      </c>
      <c r="BS165" s="1643">
        <f>+BS161+BS157</f>
        <v>272</v>
      </c>
      <c r="BT165" s="1643">
        <f>+BT161+BT157</f>
        <v>422.6</v>
      </c>
      <c r="BU165" s="1741">
        <f>J165-SUM(BQ165:BT165)</f>
        <v>0</v>
      </c>
      <c r="BV165" s="1643">
        <f>+BV161+BV157</f>
        <v>238</v>
      </c>
      <c r="BW165" s="1643">
        <f>+BW161+BW157</f>
        <v>329</v>
      </c>
      <c r="BX165" s="1643">
        <f>+BX161+BX157</f>
        <v>288</v>
      </c>
      <c r="BY165" s="1643">
        <f>+BY161+BY157</f>
        <v>374</v>
      </c>
      <c r="BZ165" s="1741">
        <f>K165-SUM(BV165:BY165)</f>
        <v>0</v>
      </c>
      <c r="CA165" s="1643">
        <f>+CA161+CA157</f>
        <v>247</v>
      </c>
      <c r="CB165" s="1643">
        <f>+CB161+CB157</f>
        <v>351</v>
      </c>
      <c r="CC165" s="1643">
        <f>+CC161+CC157</f>
        <v>318</v>
      </c>
      <c r="CD165" s="1643">
        <f>+CD161+CD157</f>
        <v>419</v>
      </c>
      <c r="CE165" s="1741">
        <f>L165-SUM(CA165:CD165)</f>
        <v>0</v>
      </c>
      <c r="CF165" s="1643">
        <f>+CF161+CF157</f>
        <v>273</v>
      </c>
      <c r="CG165" s="1643">
        <f>+CG161+CG157</f>
        <v>362</v>
      </c>
      <c r="CH165" s="1643">
        <f>+CH161+CH157</f>
        <v>291</v>
      </c>
      <c r="CI165" s="1643">
        <f>+CI161+CI157</f>
        <v>383</v>
      </c>
      <c r="CJ165" s="1741">
        <f>M165-SUM(CF165:CI165)</f>
        <v>0</v>
      </c>
      <c r="CK165" s="1643">
        <f>+CK161+CK157</f>
        <v>200</v>
      </c>
      <c r="CL165" s="1643">
        <f>+CL161+CL157</f>
        <v>238</v>
      </c>
      <c r="CM165" s="1643">
        <f>+CM161+CM157</f>
        <v>214</v>
      </c>
      <c r="CN165" s="1643">
        <f>+CN161+CN157</f>
        <v>313</v>
      </c>
      <c r="CO165" s="1741">
        <f>$N165-SUM(CK165:CN165)</f>
        <v>0</v>
      </c>
      <c r="CP165" s="1643">
        <f>CP157</f>
        <v>182</v>
      </c>
      <c r="CQ165" s="1643">
        <f>CQ157</f>
        <v>217</v>
      </c>
      <c r="CR165" s="1643">
        <f>CR157</f>
        <v>194</v>
      </c>
      <c r="CS165" s="1643">
        <f>CS157</f>
        <v>251</v>
      </c>
      <c r="CT165" s="1741">
        <f>$Q165-SUM(CP165:CS165)</f>
        <v>0</v>
      </c>
      <c r="CU165" s="1643">
        <f>CU157</f>
        <v>161</v>
      </c>
      <c r="CV165" s="1643">
        <f>CV157</f>
        <v>141.30000000000001</v>
      </c>
      <c r="CW165" s="1643">
        <f>CW157</f>
        <v>133</v>
      </c>
      <c r="CX165" s="1643">
        <f>CX157</f>
        <v>227</v>
      </c>
      <c r="CY165" s="1741">
        <f>S165-SUM(CU165:CX165)</f>
        <v>0</v>
      </c>
      <c r="CZ165" s="1643">
        <f>CZ157</f>
        <v>134</v>
      </c>
      <c r="DA165" s="2812">
        <f>DA157</f>
        <v>139</v>
      </c>
      <c r="DB165" s="2812">
        <f>DB157</f>
        <v>116</v>
      </c>
      <c r="DC165" s="2812">
        <f>DC157</f>
        <v>164.30616142289699</v>
      </c>
      <c r="DD165" s="2835">
        <f t="shared" si="225"/>
        <v>0</v>
      </c>
      <c r="DE165" s="1643">
        <f>DE157</f>
        <v>158.11840248096553</v>
      </c>
      <c r="DF165" s="1643">
        <f>DF157</f>
        <v>154.69812600658213</v>
      </c>
      <c r="DG165" s="1643">
        <f>DG157</f>
        <v>149.23003181943892</v>
      </c>
      <c r="DH165" s="1643">
        <f>DH157</f>
        <v>217.53560523985317</v>
      </c>
      <c r="DI165" s="1741"/>
      <c r="DJ165" s="1741"/>
      <c r="DK165" s="1643"/>
      <c r="DL165" s="1108"/>
      <c r="DM165" s="1108"/>
      <c r="DN165" s="1108"/>
      <c r="DO165" s="1108"/>
      <c r="DP165" s="1108"/>
      <c r="DQ165" s="1108"/>
      <c r="DR165" s="1108"/>
      <c r="DS165" s="1108"/>
      <c r="DT165" s="1108"/>
    </row>
    <row r="166" spans="1:132" ht="11.25" hidden="1" customHeight="1" outlineLevel="1">
      <c r="A166" s="1797" t="s">
        <v>344</v>
      </c>
      <c r="B166" s="1770" t="s">
        <v>1455</v>
      </c>
      <c r="C166" s="1476">
        <f>C165/B165-1</f>
        <v>-1.4524045488787496E-2</v>
      </c>
      <c r="D166" s="1476">
        <f t="shared" ref="D166:J166" si="266">D165/C165-1</f>
        <v>1.664834952898131E-2</v>
      </c>
      <c r="E166" s="1476">
        <f t="shared" si="266"/>
        <v>-4.2309650731247705E-2</v>
      </c>
      <c r="F166" s="1476">
        <f t="shared" si="266"/>
        <v>1.1752952232704672E-2</v>
      </c>
      <c r="G166" s="1476">
        <f t="shared" si="266"/>
        <v>-9.8093934730715815E-2</v>
      </c>
      <c r="H166" s="1476">
        <f t="shared" si="266"/>
        <v>-0.23763080427557171</v>
      </c>
      <c r="I166" s="1476">
        <f t="shared" si="266"/>
        <v>-0.51920210122808275</v>
      </c>
      <c r="J166" s="1476">
        <f t="shared" si="266"/>
        <v>0.70308578178059888</v>
      </c>
      <c r="K166" s="1476">
        <f t="shared" ref="K166:W166" si="267">K165/J165-1</f>
        <v>6.5452969224100821E-2</v>
      </c>
      <c r="L166" s="1476">
        <f t="shared" si="267"/>
        <v>8.6248982912937366E-2</v>
      </c>
      <c r="M166" s="1476">
        <f t="shared" si="267"/>
        <v>-1.9475655430711614E-2</v>
      </c>
      <c r="N166" s="1476">
        <f t="shared" si="267"/>
        <v>-0.26279602750190989</v>
      </c>
      <c r="O166" s="2725"/>
      <c r="P166" s="2725">
        <f t="shared" si="267"/>
        <v>7.4610244988864149E-2</v>
      </c>
      <c r="Q166" s="1476">
        <f t="shared" si="267"/>
        <v>-0.12538860103626948</v>
      </c>
      <c r="R166" s="1476">
        <f t="shared" si="267"/>
        <v>0.17097156398104252</v>
      </c>
      <c r="S166" s="2725"/>
      <c r="T166" s="1476">
        <f>T165/S165-1</f>
        <v>-0.16456868273758551</v>
      </c>
      <c r="U166" s="1476">
        <f>U165/T165-1</f>
        <v>0.22822085298889117</v>
      </c>
      <c r="V166" s="1476">
        <f t="shared" si="267"/>
        <v>-1.5194168090212679E-2</v>
      </c>
      <c r="W166" s="1476">
        <f t="shared" si="267"/>
        <v>0.2690852010341318</v>
      </c>
      <c r="X166" s="1476">
        <f t="shared" ref="X166:AE166" si="268">X165/W165-1</f>
        <v>-0.1017079249862245</v>
      </c>
      <c r="Y166" s="1476">
        <f t="shared" si="268"/>
        <v>0.15017484967748196</v>
      </c>
      <c r="Z166" s="1476">
        <f t="shared" si="268"/>
        <v>-0.16453886919597482</v>
      </c>
      <c r="AA166" s="1476">
        <f t="shared" si="268"/>
        <v>0.1428373045394502</v>
      </c>
      <c r="AB166" s="1476">
        <f t="shared" si="268"/>
        <v>-0.13828520085664919</v>
      </c>
      <c r="AC166" s="1476">
        <f t="shared" si="268"/>
        <v>3.8140277177068915E-2</v>
      </c>
      <c r="AD166" s="1476">
        <f t="shared" si="268"/>
        <v>-0.13779353528855354</v>
      </c>
      <c r="AE166" s="1476">
        <f t="shared" si="268"/>
        <v>0.25961448791527664</v>
      </c>
      <c r="AF166" s="1476"/>
      <c r="AG166" s="1476"/>
      <c r="AH166" s="1476"/>
      <c r="AI166" s="1476"/>
      <c r="AJ166" s="1476"/>
      <c r="AK166" s="1476"/>
      <c r="AL166" s="1797" t="str">
        <f t="shared" si="233"/>
        <v xml:space="preserve">% Change </v>
      </c>
      <c r="AM166" s="1770" t="s">
        <v>1455</v>
      </c>
      <c r="AN166" s="1770" t="s">
        <v>1455</v>
      </c>
      <c r="AO166" s="1770" t="s">
        <v>1455</v>
      </c>
      <c r="AP166" s="1770" t="s">
        <v>1455</v>
      </c>
      <c r="AQ166" s="1845"/>
      <c r="AR166" s="1364">
        <f>AR165/AM165-1</f>
        <v>-7.2624402784837505E-2</v>
      </c>
      <c r="AS166" s="1364">
        <f>AS165/AN165-1</f>
        <v>-7.0703563084237864E-3</v>
      </c>
      <c r="AT166" s="1364">
        <f>AT165/AO165-1</f>
        <v>9.2613862157082671E-3</v>
      </c>
      <c r="AU166" s="1364">
        <f>AU165/AP165-1</f>
        <v>-9.7997577616015574E-2</v>
      </c>
      <c r="AV166" s="1845"/>
      <c r="AW166" s="1364">
        <f>AW165/AR165-1</f>
        <v>2.5071657542998782E-2</v>
      </c>
      <c r="AX166" s="1364">
        <f>AX165/AS165-1</f>
        <v>-8.1218266320775001E-3</v>
      </c>
      <c r="AY166" s="1364">
        <f>AY165/AT165-1</f>
        <v>3.2889225113688525E-2</v>
      </c>
      <c r="AZ166" s="1364">
        <f>AZ165/AU165-1</f>
        <v>3.512888240282841E-3</v>
      </c>
      <c r="BA166" s="1845"/>
      <c r="BB166" s="1364">
        <f>BB165/AW165-1</f>
        <v>-4.0787095650933858E-2</v>
      </c>
      <c r="BC166" s="1364">
        <f>BC165/AX165-1</f>
        <v>-0.14190322953561574</v>
      </c>
      <c r="BD166" s="1364">
        <f>BD165/AY165-1</f>
        <v>-0.11175138008873531</v>
      </c>
      <c r="BE166" s="1364">
        <f>BE165/AZ165-1</f>
        <v>-8.2995714079007632E-2</v>
      </c>
      <c r="BF166" s="1845"/>
      <c r="BG166" s="1364">
        <f>BG165/BB165-1</f>
        <v>-0.17708065293521535</v>
      </c>
      <c r="BH166" s="1364">
        <f>BH165/BC165-1</f>
        <v>-0.1593241886156922</v>
      </c>
      <c r="BI166" s="1364">
        <f>BI165/BD165-1</f>
        <v>-0.31775656890339177</v>
      </c>
      <c r="BJ166" s="1364">
        <f>BJ165/BE165-1</f>
        <v>-0.29491327339799922</v>
      </c>
      <c r="BK166" s="1845"/>
      <c r="BL166" s="1364">
        <f>BL165/BG165-1</f>
        <v>-0.76568047337278111</v>
      </c>
      <c r="BM166" s="1364">
        <f>BM165/BH165-1</f>
        <v>-0.65437678401522348</v>
      </c>
      <c r="BN166" s="1364">
        <f>BN165/BI165-1</f>
        <v>-0.47203362431296469</v>
      </c>
      <c r="BO166" s="1364">
        <f>BO165/BJ165-1</f>
        <v>-0.1510263929618767</v>
      </c>
      <c r="BP166" s="1845"/>
      <c r="BQ166" s="1364">
        <f>BQ165/BL165-1</f>
        <v>1.0984848484848482</v>
      </c>
      <c r="BR166" s="1364">
        <f>BR165/BM165-1</f>
        <v>1.0144528561596693</v>
      </c>
      <c r="BS166" s="1364">
        <f>BS165/BN165-1</f>
        <v>0.66564605021432932</v>
      </c>
      <c r="BT166" s="1364">
        <f>BT165/BO165-1</f>
        <v>0.4597582037996546</v>
      </c>
      <c r="BU166" s="1477"/>
      <c r="BV166" s="1364">
        <f>BV165/BQ165-1</f>
        <v>0.4320096269554754</v>
      </c>
      <c r="BW166" s="1364">
        <f>BW165/BR165-1</f>
        <v>0.12401776563033828</v>
      </c>
      <c r="BX166" s="1364">
        <f>BX165/BS165-1</f>
        <v>5.8823529411764719E-2</v>
      </c>
      <c r="BY166" s="1364">
        <f>BY165/BT165-1</f>
        <v>-0.11500236630383343</v>
      </c>
      <c r="BZ166" s="1477"/>
      <c r="CA166" s="1364">
        <f>CA165/BV165-1</f>
        <v>3.7815126050420256E-2</v>
      </c>
      <c r="CB166" s="1364">
        <f>CB165/BW165-1</f>
        <v>6.6869300911854168E-2</v>
      </c>
      <c r="CC166" s="1364">
        <f>CC165/BX165-1</f>
        <v>0.10416666666666674</v>
      </c>
      <c r="CD166" s="1364">
        <f>CD165/BY165-1</f>
        <v>0.1203208556149733</v>
      </c>
      <c r="CE166" s="1477"/>
      <c r="CF166" s="1364">
        <f>CF165/CA165-1</f>
        <v>0.10526315789473695</v>
      </c>
      <c r="CG166" s="1364">
        <f>CG165/CB165-1</f>
        <v>3.1339031339031376E-2</v>
      </c>
      <c r="CH166" s="1364">
        <f>CH165/CC165-1</f>
        <v>-8.4905660377358472E-2</v>
      </c>
      <c r="CI166" s="1364">
        <f>CI165/CD165-1</f>
        <v>-8.591885441527447E-2</v>
      </c>
      <c r="CJ166" s="1477"/>
      <c r="CK166" s="1364">
        <f>CK165/CF165-1</f>
        <v>-0.26739926739926745</v>
      </c>
      <c r="CL166" s="1364">
        <f>CL165/CG165-1</f>
        <v>-0.34254143646408841</v>
      </c>
      <c r="CM166" s="1364">
        <f>CM165/CH165-1</f>
        <v>-0.26460481099656352</v>
      </c>
      <c r="CN166" s="1364">
        <f>+(CN157/CI157)-1</f>
        <v>0.19011406844106471</v>
      </c>
      <c r="CO166" s="1477"/>
      <c r="CP166" s="2008">
        <f>CP165/CK165-1</f>
        <v>-8.9999999999999969E-2</v>
      </c>
      <c r="CQ166" s="2008">
        <f>CQ165/CL165-1</f>
        <v>-8.8235294117647078E-2</v>
      </c>
      <c r="CR166" s="2008">
        <f>CR165/CM165-1</f>
        <v>-9.3457943925233655E-2</v>
      </c>
      <c r="CS166" s="1364">
        <f>+(CS157/CN157)-1</f>
        <v>-0.19808306709265178</v>
      </c>
      <c r="CT166" s="1477"/>
      <c r="CU166" s="1364">
        <f>+(CU157/CP157)-1</f>
        <v>-0.11538461538461542</v>
      </c>
      <c r="CV166" s="1364">
        <f>+(CV157/CQ157)-1</f>
        <v>-0.34884792626728101</v>
      </c>
      <c r="CW166" s="1364">
        <f>+(CW157/CR157)-1</f>
        <v>-0.31443298969072164</v>
      </c>
      <c r="CX166" s="1364">
        <f>+(CX157/CS157)-1</f>
        <v>-9.5617529880478114E-2</v>
      </c>
      <c r="CY166" s="1477"/>
      <c r="CZ166" s="1364">
        <f>+(CZ157/CU157)-1</f>
        <v>-0.16770186335403725</v>
      </c>
      <c r="DA166" s="2827">
        <f>+(DA157/CV157)-1</f>
        <v>-1.6277423920736056E-2</v>
      </c>
      <c r="DB166" s="2827">
        <f>+(DB157/CW157)-1</f>
        <v>-0.1278195488721805</v>
      </c>
      <c r="DC166" s="2827">
        <f>+(DC157/CX157)-1</f>
        <v>-0.27618431091234807</v>
      </c>
      <c r="DD166" s="2835"/>
      <c r="DE166" s="1364">
        <f>+(DE157/CZ157)-1</f>
        <v>0.1799880782161607</v>
      </c>
      <c r="DF166" s="1364">
        <f>+(DF157/DA157)-1</f>
        <v>0.11293615832073467</v>
      </c>
      <c r="DG166" s="1364">
        <f>+(DG157/DB157)-1</f>
        <v>0.28646579154688734</v>
      </c>
      <c r="DH166" s="1364">
        <f>+(DH157/DC157)-1</f>
        <v>0.32396498923708861</v>
      </c>
      <c r="DI166" s="1741"/>
      <c r="DJ166" s="1477"/>
      <c r="DK166" s="1364"/>
      <c r="DL166" s="1477"/>
      <c r="DM166" s="1477"/>
      <c r="DN166" s="1477"/>
      <c r="DO166" s="1477"/>
      <c r="DP166" s="1477"/>
      <c r="DQ166" s="1477"/>
      <c r="DR166" s="1477"/>
      <c r="DS166" s="1477"/>
      <c r="DT166" s="1477"/>
    </row>
    <row r="167" spans="1:132" ht="11.25" hidden="1" customHeight="1" outlineLevel="1">
      <c r="A167" s="1797" t="s">
        <v>1208</v>
      </c>
      <c r="B167" s="1476">
        <f>B165/B145</f>
        <v>0.390535967852702</v>
      </c>
      <c r="C167" s="1476">
        <f t="shared" ref="C167:J167" si="269">C165/C145</f>
        <v>0.37668922371928598</v>
      </c>
      <c r="D167" s="1476">
        <f t="shared" si="269"/>
        <v>0.36355007946382634</v>
      </c>
      <c r="E167" s="1476">
        <f t="shared" si="269"/>
        <v>0.34585381277527227</v>
      </c>
      <c r="F167" s="1476">
        <f t="shared" si="269"/>
        <v>0.34632969079538317</v>
      </c>
      <c r="G167" s="1476">
        <f t="shared" si="269"/>
        <v>0.32904032445706749</v>
      </c>
      <c r="H167" s="1476">
        <f t="shared" si="269"/>
        <v>0.27508299160320254</v>
      </c>
      <c r="I167" s="1476">
        <f t="shared" si="269"/>
        <v>0.16591137349043433</v>
      </c>
      <c r="J167" s="1476">
        <f t="shared" si="269"/>
        <v>0.25066823130582172</v>
      </c>
      <c r="K167" s="1476">
        <f t="shared" ref="K167:V167" si="270">K165/K145</f>
        <v>0.30918238993710689</v>
      </c>
      <c r="L167" s="1476">
        <f t="shared" si="270"/>
        <v>0.3289311585275711</v>
      </c>
      <c r="M167" s="1476">
        <f t="shared" si="270"/>
        <v>0.32724999999999999</v>
      </c>
      <c r="N167" s="1476">
        <f>N165/N145</f>
        <v>0.35014513788098695</v>
      </c>
      <c r="O167" s="2725">
        <f>O165/O145</f>
        <v>0.33308605341246289</v>
      </c>
      <c r="P167" s="2725">
        <f>P165/P145</f>
        <v>0.35014513788098695</v>
      </c>
      <c r="Q167" s="1476">
        <f>Q165/Q145</f>
        <v>0.29886685552407932</v>
      </c>
      <c r="R167" s="1476">
        <f t="shared" si="270"/>
        <v>0.32954318106035346</v>
      </c>
      <c r="S167" s="2725"/>
      <c r="T167" s="1476">
        <f>T165/T145</f>
        <v>0.3253323750687509</v>
      </c>
      <c r="U167" s="1476">
        <f>U165/U145</f>
        <v>0.35384042926497494</v>
      </c>
      <c r="V167" s="1476">
        <f t="shared" si="270"/>
        <v>0.33037265764277235</v>
      </c>
      <c r="W167" s="1476">
        <f t="shared" ref="W167:AB167" si="271">W165/W145</f>
        <v>0.34876520245215792</v>
      </c>
      <c r="X167" s="1476">
        <f t="shared" si="271"/>
        <v>0.30223539012850842</v>
      </c>
      <c r="Y167" s="1476">
        <f t="shared" si="271"/>
        <v>0.31945890951959405</v>
      </c>
      <c r="Z167" s="1476">
        <f t="shared" si="271"/>
        <v>0.27142060011762698</v>
      </c>
      <c r="AA167" s="1476">
        <f t="shared" si="271"/>
        <v>0.28841752647105795</v>
      </c>
      <c r="AB167" s="1476">
        <f t="shared" si="271"/>
        <v>0.25051219145024028</v>
      </c>
      <c r="AC167" s="1476">
        <f>AC165/AC145</f>
        <v>0.25019418957914608</v>
      </c>
      <c r="AD167" s="1476">
        <f>AD165/AD145</f>
        <v>0.21711437262672625</v>
      </c>
      <c r="AE167" s="1476">
        <f>AE165/AE145</f>
        <v>0.25178205423126748</v>
      </c>
      <c r="AF167" s="1476"/>
      <c r="AG167" s="1476"/>
      <c r="AH167" s="1476"/>
      <c r="AI167" s="1476"/>
      <c r="AJ167" s="1476"/>
      <c r="AK167" s="1476"/>
      <c r="AL167" s="1797" t="str">
        <f t="shared" si="233"/>
        <v xml:space="preserve">% Margin </v>
      </c>
      <c r="AM167" s="1476">
        <f>AM165/AM145</f>
        <v>0.35360844467738822</v>
      </c>
      <c r="AN167" s="1476">
        <f>AN165/AN145</f>
        <v>0.39123760645839889</v>
      </c>
      <c r="AO167" s="1476">
        <f>AO165/AO145</f>
        <v>0.34106067264143541</v>
      </c>
      <c r="AP167" s="1476">
        <f>AP165/AP145</f>
        <v>0.36547740244141452</v>
      </c>
      <c r="AQ167" s="1845"/>
      <c r="AR167" s="1476">
        <f>AR165/AR145</f>
        <v>0.32372417907377044</v>
      </c>
      <c r="AS167" s="1476">
        <f>AS165/AS145</f>
        <v>0.38805177921933504</v>
      </c>
      <c r="AT167" s="1476">
        <f>AT165/AT145</f>
        <v>0.33681578011268554</v>
      </c>
      <c r="AU167" s="1476">
        <f>AU165/AU145</f>
        <v>0.33191174723491085</v>
      </c>
      <c r="AV167" s="1845"/>
      <c r="AW167" s="1476">
        <f>AW165/AW145</f>
        <v>0.33060148834145903</v>
      </c>
      <c r="AX167" s="1476">
        <f>AX165/AX145</f>
        <v>0.3828081196720331</v>
      </c>
      <c r="AY167" s="1476">
        <f>AY165/AY145</f>
        <v>0.34058553280176873</v>
      </c>
      <c r="AZ167" s="1476">
        <f>AZ165/AZ145</f>
        <v>0.32972834697422804</v>
      </c>
      <c r="BA167" s="1845"/>
      <c r="BB167" s="1476">
        <f>BB165/BB145</f>
        <v>0.31665597066770673</v>
      </c>
      <c r="BC167" s="1476">
        <f>BC165/BC145</f>
        <v>0.34369032077345246</v>
      </c>
      <c r="BD167" s="1476">
        <f>BD165/BD145</f>
        <v>0.31945661203048537</v>
      </c>
      <c r="BE167" s="1476">
        <f>BE165/BE145</f>
        <v>0.33482005098241485</v>
      </c>
      <c r="BF167" s="1845"/>
      <c r="BG167" s="1476">
        <f>BG165/BG145</f>
        <v>0.27475207283368558</v>
      </c>
      <c r="BH167" s="1476">
        <f>BH165/BH145</f>
        <v>0.30607935930105568</v>
      </c>
      <c r="BI167" s="1476">
        <f>BI165/BI145</f>
        <v>0.24641491395793499</v>
      </c>
      <c r="BJ167" s="1476">
        <f>BJ165/BJ145</f>
        <v>0.27018461294667617</v>
      </c>
      <c r="BK167" s="1845"/>
      <c r="BL167" s="1476">
        <f>BL165/BL145</f>
        <v>8.8958777940020231E-2</v>
      </c>
      <c r="BM167" s="1476">
        <f>BM165/BM145</f>
        <v>0.14335043409629045</v>
      </c>
      <c r="BN167" s="1476">
        <f>BN165/BN145</f>
        <v>0.16093426628560165</v>
      </c>
      <c r="BO167" s="1476">
        <f>BO165/BO145</f>
        <v>0.24877545759216291</v>
      </c>
      <c r="BP167" s="1845"/>
      <c r="BQ167" s="1476">
        <f>BQ165/BQ145</f>
        <v>0.16658314122481707</v>
      </c>
      <c r="BR167" s="1476">
        <f>BR165/BR145</f>
        <v>0.25799911855442925</v>
      </c>
      <c r="BS167" s="1476">
        <f>BS165/BS145</f>
        <v>0.23922603342128407</v>
      </c>
      <c r="BT167" s="1476">
        <f>BT165/BT145</f>
        <v>0.31714821763602252</v>
      </c>
      <c r="BU167" s="1477"/>
      <c r="BV167" s="1476">
        <f>BV165/BV145</f>
        <v>0.26444444444444443</v>
      </c>
      <c r="BW167" s="1476">
        <f>BW165/BW145</f>
        <v>0.32160312805474095</v>
      </c>
      <c r="BX167" s="1476">
        <f>BX165/BX145</f>
        <v>0.29120323559150657</v>
      </c>
      <c r="BY167" s="1476">
        <f>BY165/BY145</f>
        <v>0.35183443085606775</v>
      </c>
      <c r="BZ167" s="1477"/>
      <c r="CA167" s="1476">
        <f>CA165/CA145</f>
        <v>0.27205639387597752</v>
      </c>
      <c r="CB167" s="1476">
        <f>CB165/CB145</f>
        <v>0.33899942051381105</v>
      </c>
      <c r="CC167" s="1476">
        <f>CC165/CC145</f>
        <v>0.32040302267002518</v>
      </c>
      <c r="CD167" s="1476">
        <f>CD165/CD145</f>
        <v>0.37317420733879586</v>
      </c>
      <c r="CE167" s="1477"/>
      <c r="CF167" s="1476">
        <f>CF165/CF145</f>
        <v>0.29706202393906422</v>
      </c>
      <c r="CG167" s="1476">
        <f>CG165/CG145</f>
        <v>0.35043562439496612</v>
      </c>
      <c r="CH167" s="1476">
        <f>CH165/CH145</f>
        <v>0.29633401221995925</v>
      </c>
      <c r="CI167" s="1476">
        <f>CI165/CI145</f>
        <v>0.3592870544090056</v>
      </c>
      <c r="CJ167" s="1477"/>
      <c r="CK167" s="1476">
        <f>CK165/CK145</f>
        <v>0.31948881789137379</v>
      </c>
      <c r="CL167" s="1476">
        <f>CL165/CL145</f>
        <v>0.35789473684210527</v>
      </c>
      <c r="CM167" s="1476">
        <f>CM165/CM145</f>
        <v>0.31470588235294117</v>
      </c>
      <c r="CN167" s="1476">
        <f>CN165/CN145</f>
        <v>0.39872611464968155</v>
      </c>
      <c r="CO167" s="1477"/>
      <c r="CP167" s="2184">
        <f>CP165/CP145</f>
        <v>0.28173374613003094</v>
      </c>
      <c r="CQ167" s="2184">
        <f>CQ165/CQ145</f>
        <v>0.30780141843971631</v>
      </c>
      <c r="CR167" s="2184">
        <f>CR165/CR145</f>
        <v>0.27953890489913547</v>
      </c>
      <c r="CS167" s="1476">
        <f>CS165/CS145</f>
        <v>0.32220795892169446</v>
      </c>
      <c r="CT167" s="1477"/>
      <c r="CU167" s="1476">
        <f>CU165/CU145</f>
        <v>0.359375</v>
      </c>
      <c r="CV167" s="1476">
        <f>CV165/CV145</f>
        <v>0.35681818181818187</v>
      </c>
      <c r="CW167" s="1476">
        <f>CW165/CW145</f>
        <v>0.32518337408312958</v>
      </c>
      <c r="CX167" s="1476">
        <f>CX165/CX145</f>
        <v>0.43155893536121676</v>
      </c>
      <c r="CY167" s="1477"/>
      <c r="CZ167" s="1476">
        <f>CZ165/CZ145</f>
        <v>0.32762836185819072</v>
      </c>
      <c r="DA167" s="2833">
        <f>DA165/DA145</f>
        <v>0.33737864077669905</v>
      </c>
      <c r="DB167" s="2833">
        <f>DB165/DB145</f>
        <v>0.29219143576826195</v>
      </c>
      <c r="DC167" s="2833">
        <f>DC165/DC145</f>
        <v>0.34036078659337576</v>
      </c>
      <c r="DD167" s="2835"/>
      <c r="DE167" s="1476">
        <f>DE165/DE145</f>
        <v>0.35167244402915521</v>
      </c>
      <c r="DF167" s="1476">
        <f>DF165/DF145</f>
        <v>0.34835790584355236</v>
      </c>
      <c r="DG167" s="1476">
        <f>DG165/DG145</f>
        <v>0.3296371216243747</v>
      </c>
      <c r="DH167" s="1476">
        <f>DH165/DH145</f>
        <v>0.37886123244143838</v>
      </c>
      <c r="DI167" s="1741"/>
      <c r="DJ167" s="1477"/>
      <c r="DK167" s="1476"/>
      <c r="DL167" s="1477"/>
      <c r="DM167" s="1477"/>
      <c r="DN167" s="1477"/>
      <c r="DO167" s="1477"/>
      <c r="DP167" s="1477"/>
      <c r="DQ167" s="1477"/>
      <c r="DR167" s="1477"/>
      <c r="DS167" s="1477"/>
      <c r="DT167" s="1477"/>
      <c r="DU167" s="1101"/>
    </row>
    <row r="168" spans="1:132" s="1101" customFormat="1" ht="11.25" customHeight="1" collapsed="1">
      <c r="A168" s="1109"/>
      <c r="B168" s="1372"/>
      <c r="C168" s="1372"/>
      <c r="D168" s="1372"/>
      <c r="E168" s="1372"/>
      <c r="F168" s="1372"/>
      <c r="G168" s="1800"/>
      <c r="H168" s="1372"/>
      <c r="I168" s="1372"/>
      <c r="J168" s="1372"/>
      <c r="K168" s="1372"/>
      <c r="L168" s="1800"/>
      <c r="M168" s="1800"/>
      <c r="N168" s="1800"/>
      <c r="O168" s="2737"/>
      <c r="P168" s="2737"/>
      <c r="Q168" s="1800"/>
      <c r="R168" s="1800"/>
      <c r="S168" s="2737"/>
      <c r="T168" s="1800"/>
      <c r="U168" s="1800"/>
      <c r="V168" s="1800"/>
      <c r="W168" s="1800"/>
      <c r="X168" s="1800"/>
      <c r="Y168" s="1800"/>
      <c r="Z168" s="1800"/>
      <c r="AA168" s="1800"/>
      <c r="AB168" s="1800"/>
      <c r="AC168" s="1800"/>
      <c r="AD168" s="1800"/>
      <c r="AE168" s="1800"/>
      <c r="AF168" s="1800"/>
      <c r="AG168" s="1800"/>
      <c r="AH168" s="1800"/>
      <c r="AI168" s="1800"/>
      <c r="AJ168" s="1800"/>
      <c r="AK168" s="1800"/>
      <c r="AL168" s="2934"/>
      <c r="AM168" s="2790"/>
      <c r="AN168" s="2790"/>
      <c r="AO168" s="2790"/>
      <c r="AP168" s="2790"/>
      <c r="AQ168" s="2969"/>
      <c r="AR168" s="2790"/>
      <c r="AS168" s="2790"/>
      <c r="AT168" s="2790"/>
      <c r="AU168" s="2790"/>
      <c r="AV168" s="2969"/>
      <c r="AW168" s="2790"/>
      <c r="AX168" s="2790"/>
      <c r="AY168" s="2790"/>
      <c r="AZ168" s="2790"/>
      <c r="BA168" s="2969"/>
      <c r="BB168" s="2790"/>
      <c r="BC168" s="2790"/>
      <c r="BD168" s="2790"/>
      <c r="BE168" s="2790"/>
      <c r="BF168" s="2969"/>
      <c r="BG168" s="2791"/>
      <c r="BH168" s="2790"/>
      <c r="BI168" s="2791"/>
      <c r="BJ168" s="2790"/>
      <c r="BK168" s="2969"/>
      <c r="BL168" s="2969"/>
      <c r="BM168" s="2969"/>
      <c r="BN168" s="2969"/>
      <c r="BO168" s="2969"/>
      <c r="BP168" s="2969"/>
      <c r="BQ168" s="2969"/>
      <c r="BR168" s="2969"/>
      <c r="BS168" s="2969"/>
      <c r="BT168" s="2969"/>
      <c r="BU168" s="2969"/>
      <c r="BV168" s="2969"/>
      <c r="BW168" s="2969"/>
      <c r="BX168" s="2969"/>
      <c r="BY168" s="2969"/>
      <c r="BZ168" s="2934"/>
      <c r="CA168" s="2934"/>
      <c r="CB168" s="2934"/>
      <c r="CC168" s="2934"/>
      <c r="CD168" s="2934"/>
      <c r="CE168" s="2934"/>
      <c r="CF168" s="2879"/>
      <c r="CG168" s="2879"/>
      <c r="CH168" s="2879"/>
      <c r="CI168" s="2879"/>
      <c r="CJ168" s="2934"/>
      <c r="CK168" s="2985"/>
      <c r="CL168" s="2985"/>
      <c r="CM168" s="2985"/>
      <c r="CN168" s="2934"/>
      <c r="CO168" s="2934"/>
      <c r="CP168" s="2985"/>
      <c r="CQ168" s="2985"/>
      <c r="CR168" s="2985"/>
      <c r="CS168" s="2934"/>
      <c r="CT168" s="2934"/>
      <c r="CU168" s="2934"/>
      <c r="CV168" s="2934"/>
      <c r="CW168" s="2934"/>
      <c r="CX168" s="2934"/>
      <c r="CY168" s="2934"/>
      <c r="CZ168" s="2934"/>
      <c r="DA168" s="2934"/>
      <c r="DB168" s="2934"/>
      <c r="DC168" s="2934"/>
      <c r="DD168" s="2835"/>
      <c r="DE168" s="2835"/>
      <c r="DF168" s="2835"/>
      <c r="DG168" s="2835"/>
      <c r="DH168" s="2835"/>
      <c r="DI168" s="2835"/>
      <c r="DJ168" s="1109"/>
      <c r="DK168" s="1109"/>
      <c r="DL168" s="1109"/>
      <c r="DM168" s="1109"/>
      <c r="DN168" s="1477"/>
      <c r="DO168" s="1477"/>
      <c r="DP168" s="1477"/>
      <c r="DQ168" s="1477"/>
      <c r="DR168" s="1477"/>
      <c r="DS168" s="1477"/>
      <c r="DT168" s="1477"/>
      <c r="DU168"/>
      <c r="DV168"/>
      <c r="DX168"/>
      <c r="DY168"/>
      <c r="DZ168"/>
      <c r="EA168"/>
      <c r="EB168"/>
    </row>
    <row r="169" spans="1:132" ht="11.25" hidden="1" customHeight="1" outlineLevel="1">
      <c r="A169" s="1494" t="s">
        <v>718</v>
      </c>
      <c r="B169" s="1372"/>
      <c r="C169" s="1372"/>
      <c r="D169" s="1372"/>
      <c r="E169" s="1372"/>
      <c r="F169" s="1372"/>
      <c r="G169" s="1372"/>
      <c r="H169" s="1372"/>
      <c r="I169" s="1372"/>
      <c r="J169" s="1372"/>
      <c r="K169" s="1372"/>
      <c r="L169" s="1800"/>
      <c r="M169" s="1800"/>
      <c r="N169" s="1800"/>
      <c r="O169" s="2737"/>
      <c r="P169" s="2737"/>
      <c r="Q169" s="2997"/>
      <c r="R169" s="2997"/>
      <c r="S169" s="2998"/>
      <c r="T169" s="2997"/>
      <c r="U169" s="1800"/>
      <c r="V169" s="1800"/>
      <c r="W169" s="1800"/>
      <c r="X169" s="1800"/>
      <c r="Y169" s="1800"/>
      <c r="Z169" s="1800"/>
      <c r="AA169" s="1800"/>
      <c r="AB169" s="1800"/>
      <c r="AC169" s="1800"/>
      <c r="AD169" s="1800"/>
      <c r="AE169" s="1800"/>
      <c r="AF169" s="1800"/>
      <c r="AG169" s="1800"/>
      <c r="AH169" s="1800"/>
      <c r="AI169" s="1800"/>
      <c r="AJ169" s="1800"/>
      <c r="AK169" s="1800"/>
      <c r="AL169" s="2894" t="s">
        <v>718</v>
      </c>
      <c r="AM169" s="2790"/>
      <c r="AN169" s="2790"/>
      <c r="AO169" s="2790"/>
      <c r="AP169" s="2790"/>
      <c r="AQ169" s="2969"/>
      <c r="AR169" s="2790"/>
      <c r="AS169" s="2790"/>
      <c r="AT169" s="2790"/>
      <c r="AU169" s="2790"/>
      <c r="AV169" s="2969"/>
      <c r="AW169" s="2790"/>
      <c r="AX169" s="2790"/>
      <c r="AY169" s="2790"/>
      <c r="AZ169" s="2790"/>
      <c r="BA169" s="2969"/>
      <c r="BB169" s="2790"/>
      <c r="BC169" s="2790"/>
      <c r="BD169" s="2790"/>
      <c r="BE169" s="2790"/>
      <c r="BF169" s="2969"/>
      <c r="BG169" s="2791"/>
      <c r="BH169" s="2790"/>
      <c r="BI169" s="2791"/>
      <c r="BJ169" s="2790"/>
      <c r="BK169" s="2969"/>
      <c r="BL169" s="2969"/>
      <c r="BM169" s="2969"/>
      <c r="BN169" s="2969"/>
      <c r="BO169" s="2969"/>
      <c r="BP169" s="2969"/>
      <c r="BQ169" s="2969"/>
      <c r="BR169" s="2969"/>
      <c r="BS169" s="2969"/>
      <c r="BT169" s="2969"/>
      <c r="BU169" s="2969"/>
      <c r="BV169" s="2969"/>
      <c r="BW169" s="2969"/>
      <c r="BX169" s="2969"/>
      <c r="BY169" s="2969"/>
      <c r="BZ169" s="2862"/>
      <c r="CA169" s="2862"/>
      <c r="CB169" s="2862"/>
      <c r="CC169" s="2862"/>
      <c r="CD169" s="2862"/>
      <c r="CE169" s="2862"/>
      <c r="CF169" s="2862"/>
      <c r="CG169" s="2862"/>
      <c r="CH169" s="2862"/>
      <c r="CI169" s="2862"/>
      <c r="CJ169" s="2862"/>
      <c r="CK169" s="2867"/>
      <c r="CL169" s="2867"/>
      <c r="CM169" s="2867"/>
      <c r="CN169" s="2862"/>
      <c r="CO169" s="2862"/>
      <c r="CP169" s="2867"/>
      <c r="CQ169" s="2867"/>
      <c r="CR169" s="2867"/>
      <c r="CS169" s="2862"/>
      <c r="CT169" s="2862"/>
      <c r="CU169" s="2862"/>
      <c r="CV169" s="2862"/>
      <c r="CW169" s="2862"/>
      <c r="CX169" s="2862"/>
      <c r="CY169" s="2862"/>
      <c r="CZ169" s="2862"/>
      <c r="DA169" s="2862"/>
      <c r="DB169" s="2862"/>
      <c r="DC169" s="2862"/>
      <c r="DD169" s="2835"/>
      <c r="DE169" s="2835"/>
      <c r="DF169" s="2835"/>
      <c r="DG169" s="2835"/>
      <c r="DH169" s="2835"/>
      <c r="DI169" s="2835"/>
      <c r="DJ169" s="1108"/>
      <c r="DK169" s="1108"/>
      <c r="DL169" s="1108"/>
      <c r="DM169" s="1108"/>
      <c r="DN169" s="1477"/>
      <c r="DO169" s="1477"/>
      <c r="DP169" s="1477"/>
      <c r="DQ169" s="1477"/>
      <c r="DR169" s="1477"/>
      <c r="DS169" s="1477"/>
      <c r="DT169" s="1477"/>
      <c r="DU169" s="1477"/>
      <c r="DV169" s="1477"/>
      <c r="DW169" s="1477"/>
      <c r="DX169" s="1477"/>
      <c r="DY169" s="1477"/>
      <c r="DZ169" s="1101"/>
      <c r="EA169" s="1101"/>
      <c r="EB169" s="1101"/>
    </row>
    <row r="170" spans="1:132" ht="11.25" hidden="1" customHeight="1" outlineLevel="1">
      <c r="A170" s="1826" t="s">
        <v>122</v>
      </c>
      <c r="B170" s="1372"/>
      <c r="C170" s="1372"/>
      <c r="D170" s="1372"/>
      <c r="E170" s="1372"/>
      <c r="F170" s="1372"/>
      <c r="G170" s="1372"/>
      <c r="H170" s="1105">
        <f>SUM(BG170:BJ170)</f>
        <v>71.599999999999994</v>
      </c>
      <c r="I170" s="1105">
        <f>SUM(BL170:BO170)</f>
        <v>67.599999999999994</v>
      </c>
      <c r="J170" s="1105">
        <f>SUM(BQ170:BT170)</f>
        <v>62.427130890052354</v>
      </c>
      <c r="K170" s="1636">
        <f>SUM(BV170:BY170)</f>
        <v>59.099999999999994</v>
      </c>
      <c r="L170" s="1636">
        <f>SUM(CA170:CD170)</f>
        <v>57.9</v>
      </c>
      <c r="M170" s="1636">
        <f>SUM(CF170:CI170)</f>
        <v>54.7</v>
      </c>
      <c r="N170" s="1636">
        <f>SUM(CK170:CN170)</f>
        <v>56.2</v>
      </c>
      <c r="O170" s="2714">
        <f>M170</f>
        <v>54.7</v>
      </c>
      <c r="P170" s="2714">
        <f>N170</f>
        <v>56.2</v>
      </c>
      <c r="Q170" s="2970">
        <f>SUM(CP170:CS170)</f>
        <v>50.5</v>
      </c>
      <c r="R170" s="3156">
        <f>SUM(CU170:CX170)</f>
        <v>44.3</v>
      </c>
      <c r="S170" s="2808">
        <f>R170</f>
        <v>44.3</v>
      </c>
      <c r="T170" s="2970">
        <f>SUM(CZ170:DC170)</f>
        <v>45.274999999999999</v>
      </c>
      <c r="U170" s="2970">
        <f>SUM(DE170:DH170)</f>
        <v>46.406874999999992</v>
      </c>
      <c r="V170" s="1635">
        <f t="shared" ref="V170:AE170" si="272">+U170*1.025</f>
        <v>47.567046874999988</v>
      </c>
      <c r="W170" s="1635">
        <f t="shared" si="272"/>
        <v>48.756223046874986</v>
      </c>
      <c r="X170" s="1635">
        <f t="shared" si="272"/>
        <v>49.975128623046857</v>
      </c>
      <c r="Y170" s="1635">
        <f t="shared" si="272"/>
        <v>51.224506838623022</v>
      </c>
      <c r="Z170" s="1635">
        <f t="shared" si="272"/>
        <v>52.505119509588596</v>
      </c>
      <c r="AA170" s="1635">
        <f t="shared" si="272"/>
        <v>53.817747497328305</v>
      </c>
      <c r="AB170" s="1635">
        <f t="shared" si="272"/>
        <v>55.163191184761509</v>
      </c>
      <c r="AC170" s="1635">
        <f t="shared" si="272"/>
        <v>56.542270964380542</v>
      </c>
      <c r="AD170" s="1635">
        <f t="shared" si="272"/>
        <v>57.955827738490051</v>
      </c>
      <c r="AE170" s="1635">
        <f t="shared" si="272"/>
        <v>59.404723431952299</v>
      </c>
      <c r="AF170" s="1635"/>
      <c r="AG170" s="1635"/>
      <c r="AH170" s="1635"/>
      <c r="AI170" s="1635"/>
      <c r="AJ170" s="1635"/>
      <c r="AK170" s="1635"/>
      <c r="AL170" s="2968" t="s">
        <v>122</v>
      </c>
      <c r="AM170" s="2790"/>
      <c r="AN170" s="2790"/>
      <c r="AO170" s="2790"/>
      <c r="AP170" s="2790"/>
      <c r="AQ170" s="2969"/>
      <c r="AR170" s="2790"/>
      <c r="AS170" s="2790"/>
      <c r="AT170" s="2790"/>
      <c r="AU170" s="2790"/>
      <c r="AV170" s="2969"/>
      <c r="AW170" s="2790"/>
      <c r="AX170" s="2790"/>
      <c r="AY170" s="2790"/>
      <c r="AZ170" s="2790"/>
      <c r="BA170" s="2969"/>
      <c r="BB170" s="2790"/>
      <c r="BC170" s="2790"/>
      <c r="BD170" s="2790"/>
      <c r="BE170" s="2790"/>
      <c r="BF170" s="2969"/>
      <c r="BG170" s="2791">
        <f>BJ170</f>
        <v>17.899999999999999</v>
      </c>
      <c r="BH170" s="2791">
        <f>BJ170</f>
        <v>17.899999999999999</v>
      </c>
      <c r="BI170" s="2791">
        <f>BJ170</f>
        <v>17.899999999999999</v>
      </c>
      <c r="BJ170" s="2986">
        <f>BJ172-BJ171</f>
        <v>17.899999999999999</v>
      </c>
      <c r="BK170" s="2969"/>
      <c r="BL170" s="2791">
        <f>BO170</f>
        <v>16.899999999999999</v>
      </c>
      <c r="BM170" s="2791">
        <f>BO170</f>
        <v>16.899999999999999</v>
      </c>
      <c r="BN170" s="2791">
        <f>BO170</f>
        <v>16.899999999999999</v>
      </c>
      <c r="BO170" s="2986">
        <f>BO172-BO171</f>
        <v>16.899999999999999</v>
      </c>
      <c r="BP170" s="2969"/>
      <c r="BQ170" s="2986">
        <f>BQ172-BQ171</f>
        <v>15.149999999999999</v>
      </c>
      <c r="BR170" s="2986">
        <f>BR172-BR171</f>
        <v>15.149999999999999</v>
      </c>
      <c r="BS170" s="2986">
        <f>BS172-BS171</f>
        <v>15.350000000000001</v>
      </c>
      <c r="BT170" s="2986">
        <f>BT172-BT171</f>
        <v>16.777130890052359</v>
      </c>
      <c r="BU170" s="2862"/>
      <c r="BV170" s="2986">
        <f>BV172-BV171</f>
        <v>16.024999999999999</v>
      </c>
      <c r="BW170" s="2986">
        <f>BW172-BW171</f>
        <v>16.024999999999999</v>
      </c>
      <c r="BX170" s="2986">
        <f>BX172-BX171</f>
        <v>13.025</v>
      </c>
      <c r="BY170" s="2986">
        <f>BY172-BY171</f>
        <v>14.025</v>
      </c>
      <c r="BZ170" s="2862"/>
      <c r="CA170" s="2986">
        <f>CA172-CA171</f>
        <v>13.975</v>
      </c>
      <c r="CB170" s="2986">
        <f>CB172-CB171</f>
        <v>14.975</v>
      </c>
      <c r="CC170" s="2986">
        <f>CC172-CC171</f>
        <v>14.975</v>
      </c>
      <c r="CD170" s="2986">
        <f>CD172-CD171</f>
        <v>13.975000000000001</v>
      </c>
      <c r="CE170" s="2862"/>
      <c r="CF170" s="2986">
        <f>CF172-CF171</f>
        <v>15.175000000000001</v>
      </c>
      <c r="CG170" s="2986">
        <f>CG172-CG171</f>
        <v>13.175000000000001</v>
      </c>
      <c r="CH170" s="2986">
        <f>CH172-CH171</f>
        <v>12.175000000000001</v>
      </c>
      <c r="CI170" s="2986">
        <f>CI172-CI171</f>
        <v>14.175000000000001</v>
      </c>
      <c r="CJ170" s="2862"/>
      <c r="CK170" s="2986">
        <f>CK172-CK171</f>
        <v>13.3</v>
      </c>
      <c r="CL170" s="2986">
        <f>CL172-CL171</f>
        <v>15.3</v>
      </c>
      <c r="CM170" s="2986">
        <f>CM172-CM171</f>
        <v>14.3</v>
      </c>
      <c r="CN170" s="2986">
        <f>CN172-CN171</f>
        <v>13.3</v>
      </c>
      <c r="CO170" s="2835">
        <f>$N170-SUM(CK170:CN170)</f>
        <v>0</v>
      </c>
      <c r="CP170" s="2986">
        <f>CP172-CP171</f>
        <v>13.975</v>
      </c>
      <c r="CQ170" s="2986">
        <f>CQ172-CQ171</f>
        <v>11.975</v>
      </c>
      <c r="CR170" s="2986">
        <f>CR172-CR171</f>
        <v>12</v>
      </c>
      <c r="CS170" s="2986">
        <f>CS172-CS171</f>
        <v>12.55</v>
      </c>
      <c r="CT170" s="2835">
        <f>$Q170-SUM(CP170:CS170)</f>
        <v>0</v>
      </c>
      <c r="CU170" s="2986">
        <f>CU172-CU171</f>
        <v>11</v>
      </c>
      <c r="CV170" s="2986">
        <f>CV172-CV171</f>
        <v>11.3</v>
      </c>
      <c r="CW170" s="2986">
        <f>CW172-CW171</f>
        <v>11</v>
      </c>
      <c r="CX170" s="2986">
        <f>CX172-CX171</f>
        <v>11</v>
      </c>
      <c r="CY170" s="2835">
        <f>S170-SUM(CU170:CX170)</f>
        <v>0</v>
      </c>
      <c r="CZ170" s="2986">
        <f>CZ172-CZ171</f>
        <v>11</v>
      </c>
      <c r="DA170" s="2986">
        <f>DA172-DA171</f>
        <v>12</v>
      </c>
      <c r="DB170" s="2986">
        <f>DB172-DB171</f>
        <v>11</v>
      </c>
      <c r="DC170" s="2987">
        <f>CX170*1.025</f>
        <v>11.274999999999999</v>
      </c>
      <c r="DD170" s="2835">
        <f t="shared" si="225"/>
        <v>0</v>
      </c>
      <c r="DE170" s="2987">
        <f t="shared" ref="DE170:DF170" si="273">CZ170*1.025</f>
        <v>11.274999999999999</v>
      </c>
      <c r="DF170" s="2987">
        <f t="shared" si="273"/>
        <v>12.299999999999999</v>
      </c>
      <c r="DG170" s="2987">
        <f>DB170*1.025</f>
        <v>11.274999999999999</v>
      </c>
      <c r="DH170" s="2987">
        <f>DC170*1.025</f>
        <v>11.556874999999998</v>
      </c>
      <c r="DI170" s="1741">
        <f t="shared" ref="DI170:DI174" si="274">U170-SUM(DE170:DH170)</f>
        <v>0</v>
      </c>
      <c r="DJ170" s="1741"/>
      <c r="DK170" s="1105" t="s">
        <v>1237</v>
      </c>
      <c r="DL170" s="1108"/>
      <c r="DM170" s="1108"/>
      <c r="DN170" s="1477"/>
      <c r="DO170" s="1477"/>
      <c r="DP170" s="1477"/>
      <c r="DQ170" s="1477"/>
      <c r="DR170" s="1477"/>
      <c r="DS170" s="1477"/>
      <c r="DT170" s="1477"/>
      <c r="DU170" s="1477"/>
      <c r="DV170" s="1477"/>
      <c r="DW170" s="1477"/>
      <c r="DX170" s="1477"/>
      <c r="DY170" s="1477"/>
    </row>
    <row r="171" spans="1:132" ht="11.25" hidden="1" customHeight="1" outlineLevel="1">
      <c r="A171" s="1826" t="s">
        <v>1054</v>
      </c>
      <c r="B171" s="1372"/>
      <c r="C171" s="1372"/>
      <c r="D171" s="1372"/>
      <c r="E171" s="1372"/>
      <c r="F171" s="1372"/>
      <c r="G171" s="1372"/>
      <c r="H171" s="1639">
        <f>SUM(BG171:BJ171)</f>
        <v>32.6</v>
      </c>
      <c r="I171" s="1639">
        <f>SUM(BL171:BO171)</f>
        <v>34.6</v>
      </c>
      <c r="J171" s="1639">
        <f>SUM(BQ171:BT171)</f>
        <v>37.172869109947641</v>
      </c>
      <c r="K171" s="1637">
        <f>SUM(BV171:BY171)</f>
        <v>39.9</v>
      </c>
      <c r="L171" s="1637">
        <f>SUM(CA171:CD171)</f>
        <v>32.1</v>
      </c>
      <c r="M171" s="1637">
        <f>SUM(CF171:CI171)</f>
        <v>31.3</v>
      </c>
      <c r="N171" s="1637">
        <f>SUM(CK171:CN171)</f>
        <v>30.8</v>
      </c>
      <c r="O171" s="2723">
        <f>M171</f>
        <v>31.3</v>
      </c>
      <c r="P171" s="2723">
        <f>N171</f>
        <v>30.8</v>
      </c>
      <c r="Q171" s="2799">
        <f>SUM(CP171:CS171)</f>
        <v>28.5</v>
      </c>
      <c r="R171" s="3155">
        <f>'Segment Detail'!AM192+'Segment Detail'!AM202</f>
        <v>26</v>
      </c>
      <c r="S171" s="2811">
        <v>0</v>
      </c>
      <c r="T171" s="2799">
        <f>SUM(CZ171:DC171)</f>
        <v>0</v>
      </c>
      <c r="U171" s="2799">
        <f>SUM(DE171:DH171)</f>
        <v>0</v>
      </c>
      <c r="V171" s="1639">
        <f>'Segment Detail'!AP192+'Segment Detail'!AP202</f>
        <v>0</v>
      </c>
      <c r="W171" s="1639">
        <f>'Segment Detail'!AQ192+'Segment Detail'!AQ202</f>
        <v>0</v>
      </c>
      <c r="X171" s="1639">
        <f>'Segment Detail'!AR192+'Segment Detail'!AR202</f>
        <v>0</v>
      </c>
      <c r="Y171" s="1639">
        <f>'Segment Detail'!AS192+'Segment Detail'!AS202</f>
        <v>0</v>
      </c>
      <c r="Z171" s="1639">
        <f>'Segment Detail'!AT192+'Segment Detail'!AT202</f>
        <v>0</v>
      </c>
      <c r="AA171" s="1639">
        <f>'Segment Detail'!AU192+'Segment Detail'!AU202</f>
        <v>0</v>
      </c>
      <c r="AB171" s="1639">
        <f>'Segment Detail'!AV192+'Segment Detail'!AV202</f>
        <v>0</v>
      </c>
      <c r="AC171" s="1639">
        <f>'Segment Detail'!AW192+'Segment Detail'!AW202</f>
        <v>0</v>
      </c>
      <c r="AD171" s="1639">
        <f>'Segment Detail'!AX192+'Segment Detail'!AX202</f>
        <v>0</v>
      </c>
      <c r="AE171" s="1639">
        <f>'Segment Detail'!AY192+'Segment Detail'!AY202</f>
        <v>0</v>
      </c>
      <c r="AF171" s="1771"/>
      <c r="AG171" s="1771"/>
      <c r="AH171" s="1771"/>
      <c r="AI171" s="1771"/>
      <c r="AJ171" s="1771"/>
      <c r="AK171" s="1771"/>
      <c r="AL171" s="2968" t="s">
        <v>1054</v>
      </c>
      <c r="AM171" s="2790"/>
      <c r="AN171" s="2790"/>
      <c r="AO171" s="2790"/>
      <c r="AP171" s="2790"/>
      <c r="AQ171" s="2969"/>
      <c r="AR171" s="2790"/>
      <c r="AS171" s="2790"/>
      <c r="AT171" s="2790"/>
      <c r="AU171" s="2790"/>
      <c r="AV171" s="2969"/>
      <c r="AW171" s="2790"/>
      <c r="AX171" s="2790"/>
      <c r="AY171" s="2790"/>
      <c r="AZ171" s="2790"/>
      <c r="BA171" s="2969"/>
      <c r="BB171" s="2790"/>
      <c r="BC171" s="2790"/>
      <c r="BD171" s="2790"/>
      <c r="BE171" s="2790"/>
      <c r="BF171" s="2969"/>
      <c r="BG171" s="2988">
        <f>'Segment Detail'!DI192+'Segment Detail'!DI202</f>
        <v>7.3</v>
      </c>
      <c r="BH171" s="2988">
        <f>'Segment Detail'!DJ192+'Segment Detail'!DJ202</f>
        <v>7.9</v>
      </c>
      <c r="BI171" s="2988">
        <f>'Segment Detail'!DK192+'Segment Detail'!DK202</f>
        <v>8.8000000000000007</v>
      </c>
      <c r="BJ171" s="2988">
        <f>'Segment Detail'!DL192+'Segment Detail'!DL202</f>
        <v>8.6</v>
      </c>
      <c r="BK171" s="2835"/>
      <c r="BL171" s="2988">
        <f>'Segment Detail'!DN192+'Segment Detail'!DN202</f>
        <v>8.5</v>
      </c>
      <c r="BM171" s="2988">
        <f>'Segment Detail'!DO192+'Segment Detail'!DO202</f>
        <v>9.3000000000000007</v>
      </c>
      <c r="BN171" s="2988">
        <f>'Segment Detail'!DP192+'Segment Detail'!DP202</f>
        <v>10.3</v>
      </c>
      <c r="BO171" s="2988">
        <f>'Segment Detail'!DQ192+'Segment Detail'!DQ202</f>
        <v>6.5</v>
      </c>
      <c r="BP171" s="2969"/>
      <c r="BQ171" s="2988">
        <f>'Segment Detail'!DS192+'Segment Detail'!DS202</f>
        <v>9.25</v>
      </c>
      <c r="BR171" s="2988">
        <f>'Segment Detail'!DT192+'Segment Detail'!DT202</f>
        <v>9.25</v>
      </c>
      <c r="BS171" s="2988">
        <f>'Segment Detail'!DU192+'Segment Detail'!DU202</f>
        <v>9.25</v>
      </c>
      <c r="BT171" s="2988">
        <f>'Segment Detail'!DV192+'Segment Detail'!DV202</f>
        <v>9.4228691099476407</v>
      </c>
      <c r="BU171" s="2862"/>
      <c r="BV171" s="2988">
        <f>'Segment Detail'!DX192+'Segment Detail'!DX202</f>
        <v>9.9749999999999996</v>
      </c>
      <c r="BW171" s="2988">
        <f>'Segment Detail'!DY192+'Segment Detail'!DY202</f>
        <v>9.9749999999999996</v>
      </c>
      <c r="BX171" s="2988">
        <f>'Segment Detail'!DZ192+'Segment Detail'!DZ202</f>
        <v>9.9749999999999996</v>
      </c>
      <c r="BY171" s="2988">
        <f>'Segment Detail'!EA192+'Segment Detail'!EA202</f>
        <v>9.9749999999999996</v>
      </c>
      <c r="BZ171" s="2862"/>
      <c r="CA171" s="2988">
        <f>'Segment Detail'!EC192+'Segment Detail'!EC202</f>
        <v>8.0250000000000004</v>
      </c>
      <c r="CB171" s="2988">
        <f>'Segment Detail'!ED192+'Segment Detail'!ED202</f>
        <v>8.0250000000000004</v>
      </c>
      <c r="CC171" s="2988">
        <f>'Segment Detail'!EE192+'Segment Detail'!EE202</f>
        <v>8.0250000000000004</v>
      </c>
      <c r="CD171" s="2988">
        <f>'Segment Detail'!EF192+'Segment Detail'!EF202</f>
        <v>8.0249999999999986</v>
      </c>
      <c r="CE171" s="2862"/>
      <c r="CF171" s="2988">
        <f>'Segment Detail'!EH192+'Segment Detail'!EH202</f>
        <v>7.8250000000000002</v>
      </c>
      <c r="CG171" s="2988">
        <f>'Segment Detail'!EI192+'Segment Detail'!EI202</f>
        <v>7.8250000000000002</v>
      </c>
      <c r="CH171" s="2988">
        <f>'Segment Detail'!EJ192+'Segment Detail'!EJ202</f>
        <v>7.8250000000000002</v>
      </c>
      <c r="CI171" s="2988">
        <f>'Segment Detail'!EK192+'Segment Detail'!EK202</f>
        <v>7.8250000000000002</v>
      </c>
      <c r="CJ171" s="2862"/>
      <c r="CK171" s="2989">
        <f>'Segment Detail'!EM192+'Segment Detail'!EM202</f>
        <v>7.7</v>
      </c>
      <c r="CL171" s="2989">
        <f>'Segment Detail'!EN192+'Segment Detail'!EN202</f>
        <v>7.7</v>
      </c>
      <c r="CM171" s="2989">
        <f>'Segment Detail'!EO192+'Segment Detail'!EO202</f>
        <v>7.7</v>
      </c>
      <c r="CN171" s="2989">
        <f>'Segment Detail'!EP192+'Segment Detail'!EP202</f>
        <v>7.7</v>
      </c>
      <c r="CO171" s="2835">
        <f>$N171-SUM(CK171:CN171)</f>
        <v>0</v>
      </c>
      <c r="CP171" s="2989">
        <f>'Segment Detail'!ER192+'Segment Detail'!ER202</f>
        <v>7.0250000000000004</v>
      </c>
      <c r="CQ171" s="2989">
        <f>'Segment Detail'!ES192+'Segment Detail'!ES202</f>
        <v>7.0250000000000004</v>
      </c>
      <c r="CR171" s="2989">
        <f>'Segment Detail'!ET192+'Segment Detail'!ET202</f>
        <v>8</v>
      </c>
      <c r="CS171" s="2989">
        <f>'Segment Detail'!EU192+'Segment Detail'!EU202</f>
        <v>6.4499999999999993</v>
      </c>
      <c r="CT171" s="2835">
        <f>$Q171-SUM(CP171:CS171)</f>
        <v>0</v>
      </c>
      <c r="CU171" s="2989">
        <v>0</v>
      </c>
      <c r="CV171" s="2989">
        <v>0</v>
      </c>
      <c r="CW171" s="2989">
        <v>0</v>
      </c>
      <c r="CX171" s="2989">
        <v>0</v>
      </c>
      <c r="CY171" s="2835">
        <f>S171-SUM(CU171:CX171)</f>
        <v>0</v>
      </c>
      <c r="CZ171" s="2989">
        <f>'Segment Detail'!FB192+'Segment Detail'!FB202</f>
        <v>0</v>
      </c>
      <c r="DA171" s="2989">
        <f>'Segment Detail'!FC192+'Segment Detail'!FC202</f>
        <v>0</v>
      </c>
      <c r="DB171" s="2989">
        <f>'Segment Detail'!FD192+'Segment Detail'!FD202</f>
        <v>0</v>
      </c>
      <c r="DC171" s="2989">
        <f>'Segment Detail'!FE192+'Segment Detail'!FE202</f>
        <v>0</v>
      </c>
      <c r="DD171" s="2835">
        <f t="shared" si="225"/>
        <v>0</v>
      </c>
      <c r="DE171" s="2989">
        <f>'Segment Detail'!FG192+'Segment Detail'!FG202</f>
        <v>0</v>
      </c>
      <c r="DF171" s="2989">
        <f>'Segment Detail'!FH192+'Segment Detail'!FH202</f>
        <v>0</v>
      </c>
      <c r="DG171" s="2989">
        <f>'Segment Detail'!FI192+'Segment Detail'!FI202</f>
        <v>0</v>
      </c>
      <c r="DH171" s="2989">
        <f>'Segment Detail'!FJ192+'Segment Detail'!FJ202</f>
        <v>0</v>
      </c>
      <c r="DI171" s="1741">
        <f t="shared" si="274"/>
        <v>0</v>
      </c>
      <c r="DJ171" s="1741"/>
      <c r="DK171" s="1712"/>
      <c r="DL171" s="1108"/>
      <c r="DM171" s="1108"/>
      <c r="DN171" s="1477"/>
      <c r="DO171" s="1477"/>
      <c r="DP171" s="1477"/>
      <c r="DQ171" s="1477"/>
      <c r="DR171" s="1477"/>
      <c r="DS171" s="1477"/>
      <c r="DT171" s="1477"/>
      <c r="DU171" s="1477"/>
      <c r="DV171" s="1477"/>
      <c r="DW171" s="1477"/>
      <c r="DX171" s="1477"/>
      <c r="DY171" s="1477"/>
    </row>
    <row r="172" spans="1:132" ht="11.25" hidden="1" customHeight="1" outlineLevel="1">
      <c r="A172" s="1365" t="s">
        <v>721</v>
      </c>
      <c r="B172" s="1372"/>
      <c r="C172" s="1372"/>
      <c r="D172" s="1372"/>
      <c r="E172" s="1372"/>
      <c r="F172" s="1372"/>
      <c r="G172" s="1372"/>
      <c r="H172" s="1475">
        <f>SUM(H170:H171)</f>
        <v>104.19999999999999</v>
      </c>
      <c r="I172" s="1475">
        <f>SUM(I170:I171)</f>
        <v>102.19999999999999</v>
      </c>
      <c r="J172" s="1475">
        <f t="shared" ref="J172:W172" si="275">SUM(J170:J171)</f>
        <v>99.6</v>
      </c>
      <c r="K172" s="1475">
        <f t="shared" si="275"/>
        <v>99</v>
      </c>
      <c r="L172" s="1475">
        <f t="shared" si="275"/>
        <v>90</v>
      </c>
      <c r="M172" s="1475">
        <f>SUM(M170:M171)</f>
        <v>86</v>
      </c>
      <c r="N172" s="1475">
        <f>SUM(N170:N171)</f>
        <v>87</v>
      </c>
      <c r="O172" s="2720">
        <f>SUM(O170:O171)</f>
        <v>86</v>
      </c>
      <c r="P172" s="2720">
        <f t="shared" si="275"/>
        <v>87</v>
      </c>
      <c r="Q172" s="2991">
        <f>SUM(Q170:Q171)</f>
        <v>79</v>
      </c>
      <c r="R172" s="2991">
        <f>SUM(R170:R171)</f>
        <v>70.3</v>
      </c>
      <c r="S172" s="2826">
        <f t="shared" si="275"/>
        <v>44.3</v>
      </c>
      <c r="T172" s="2991">
        <f t="shared" si="275"/>
        <v>45.274999999999999</v>
      </c>
      <c r="U172" s="2991">
        <f t="shared" si="275"/>
        <v>46.406874999999992</v>
      </c>
      <c r="V172" s="1475">
        <f t="shared" si="275"/>
        <v>47.567046874999988</v>
      </c>
      <c r="W172" s="1475">
        <f t="shared" si="275"/>
        <v>48.756223046874986</v>
      </c>
      <c r="X172" s="1475">
        <f t="shared" ref="X172:AC172" si="276">SUM(X170:X171)</f>
        <v>49.975128623046857</v>
      </c>
      <c r="Y172" s="1475">
        <f t="shared" si="276"/>
        <v>51.224506838623022</v>
      </c>
      <c r="Z172" s="1475">
        <f t="shared" si="276"/>
        <v>52.505119509588596</v>
      </c>
      <c r="AA172" s="1475">
        <f t="shared" si="276"/>
        <v>53.817747497328305</v>
      </c>
      <c r="AB172" s="1475">
        <f t="shared" si="276"/>
        <v>55.163191184761509</v>
      </c>
      <c r="AC172" s="1475">
        <f t="shared" si="276"/>
        <v>56.542270964380542</v>
      </c>
      <c r="AD172" s="1475">
        <f>SUM(AD170:AD171)</f>
        <v>57.955827738490051</v>
      </c>
      <c r="AE172" s="1475">
        <f>SUM(AE170:AE171)</f>
        <v>59.404723431952299</v>
      </c>
      <c r="AF172" s="1475"/>
      <c r="AG172" s="1475"/>
      <c r="AH172" s="1475"/>
      <c r="AI172" s="1475"/>
      <c r="AJ172" s="1475"/>
      <c r="AK172" s="1475"/>
      <c r="AL172" s="2990" t="s">
        <v>721</v>
      </c>
      <c r="AM172" s="2790"/>
      <c r="AN172" s="2790"/>
      <c r="AO172" s="2790"/>
      <c r="AP172" s="2790"/>
      <c r="AQ172" s="2969"/>
      <c r="AR172" s="2790"/>
      <c r="AS172" s="2790"/>
      <c r="AT172" s="2790"/>
      <c r="AU172" s="2790"/>
      <c r="AV172" s="2969"/>
      <c r="AW172" s="2790"/>
      <c r="AX172" s="2790"/>
      <c r="AY172" s="2790"/>
      <c r="AZ172" s="2790"/>
      <c r="BA172" s="2969"/>
      <c r="BB172" s="2790"/>
      <c r="BC172" s="2790"/>
      <c r="BD172" s="2790"/>
      <c r="BE172" s="2790"/>
      <c r="BF172" s="2969"/>
      <c r="BG172" s="2804">
        <f>SUM(BG170:BG171)</f>
        <v>25.2</v>
      </c>
      <c r="BH172" s="2804">
        <f>SUM(BH170:BH171)</f>
        <v>25.799999999999997</v>
      </c>
      <c r="BI172" s="2804">
        <f>SUM(BI170:BI171)</f>
        <v>26.7</v>
      </c>
      <c r="BJ172" s="2829">
        <v>26.5</v>
      </c>
      <c r="BK172" s="2804"/>
      <c r="BL172" s="2804">
        <f>SUM(BL170:BL171)</f>
        <v>25.4</v>
      </c>
      <c r="BM172" s="2804">
        <f>SUM(BM170:BM171)</f>
        <v>26.2</v>
      </c>
      <c r="BN172" s="2804">
        <f>SUM(BN170:BN171)</f>
        <v>27.2</v>
      </c>
      <c r="BO172" s="2829">
        <v>23.4</v>
      </c>
      <c r="BP172" s="2835">
        <f>I172-SUM(BL172:BO172)</f>
        <v>0</v>
      </c>
      <c r="BQ172" s="2829">
        <v>24.4</v>
      </c>
      <c r="BR172" s="2829">
        <v>24.4</v>
      </c>
      <c r="BS172" s="2829">
        <v>24.6</v>
      </c>
      <c r="BT172" s="2829">
        <v>26.2</v>
      </c>
      <c r="BU172" s="2835">
        <f>J172-SUM(BQ172:BT172)</f>
        <v>0</v>
      </c>
      <c r="BV172" s="2829">
        <v>26</v>
      </c>
      <c r="BW172" s="2829">
        <v>26</v>
      </c>
      <c r="BX172" s="2829">
        <v>23</v>
      </c>
      <c r="BY172" s="2829">
        <v>24</v>
      </c>
      <c r="BZ172" s="2835">
        <f>K172-SUM(BV172:BY172)</f>
        <v>0</v>
      </c>
      <c r="CA172" s="2829">
        <v>22</v>
      </c>
      <c r="CB172" s="2829">
        <v>23</v>
      </c>
      <c r="CC172" s="2829">
        <v>23</v>
      </c>
      <c r="CD172" s="2829">
        <v>22</v>
      </c>
      <c r="CE172" s="2835">
        <f>L172-SUM(CA172:CD172)</f>
        <v>0</v>
      </c>
      <c r="CF172" s="2829">
        <v>23</v>
      </c>
      <c r="CG172" s="2829">
        <v>21</v>
      </c>
      <c r="CH172" s="2829">
        <v>20</v>
      </c>
      <c r="CI172" s="2829">
        <v>22</v>
      </c>
      <c r="CJ172" s="2835">
        <f>M172-SUM(CF172:CI172)</f>
        <v>0</v>
      </c>
      <c r="CK172" s="2829">
        <v>21</v>
      </c>
      <c r="CL172" s="2829">
        <v>23</v>
      </c>
      <c r="CM172" s="2829">
        <v>22</v>
      </c>
      <c r="CN172" s="2829">
        <v>21</v>
      </c>
      <c r="CO172" s="2835">
        <f>$N172-SUM(CK172:CN172)</f>
        <v>0</v>
      </c>
      <c r="CP172" s="2829">
        <v>21</v>
      </c>
      <c r="CQ172" s="2829">
        <v>19</v>
      </c>
      <c r="CR172" s="2829">
        <v>20</v>
      </c>
      <c r="CS172" s="2829">
        <v>19</v>
      </c>
      <c r="CT172" s="2835">
        <f>$Q172-SUM(CP172:CS172)</f>
        <v>0</v>
      </c>
      <c r="CU172" s="2829">
        <v>11</v>
      </c>
      <c r="CV172" s="2829">
        <f>18-6.7</f>
        <v>11.3</v>
      </c>
      <c r="CW172" s="2829">
        <f>11</f>
        <v>11</v>
      </c>
      <c r="CX172" s="2829">
        <v>11</v>
      </c>
      <c r="CY172" s="2835"/>
      <c r="CZ172" s="2829">
        <v>11</v>
      </c>
      <c r="DA172" s="2829">
        <v>12</v>
      </c>
      <c r="DB172" s="2829">
        <v>11</v>
      </c>
      <c r="DC172" s="2804">
        <f>SUM(DC170:DC171)</f>
        <v>11.274999999999999</v>
      </c>
      <c r="DD172" s="2835">
        <f t="shared" si="225"/>
        <v>0</v>
      </c>
      <c r="DE172" s="2804">
        <f t="shared" ref="DE172:DF172" si="277">SUM(DE170:DE171)</f>
        <v>11.274999999999999</v>
      </c>
      <c r="DF172" s="2804">
        <f t="shared" si="277"/>
        <v>12.299999999999999</v>
      </c>
      <c r="DG172" s="2804">
        <f>SUM(DG170:DG171)</f>
        <v>11.274999999999999</v>
      </c>
      <c r="DH172" s="2804">
        <f>SUM(DH170:DH171)</f>
        <v>11.556874999999998</v>
      </c>
      <c r="DI172" s="1741">
        <f t="shared" si="274"/>
        <v>0</v>
      </c>
      <c r="DJ172" s="1741"/>
      <c r="DK172" s="1105" t="s">
        <v>1237</v>
      </c>
      <c r="DL172" s="1108"/>
      <c r="DM172" s="1108"/>
      <c r="DN172" s="1477"/>
      <c r="DO172" s="1477"/>
      <c r="DP172" s="1477"/>
      <c r="DQ172" s="1477"/>
      <c r="DR172" s="1477"/>
      <c r="DS172" s="1477"/>
      <c r="DT172" s="1477"/>
      <c r="DU172" s="1477"/>
      <c r="DV172" s="1477"/>
      <c r="DW172" s="1477"/>
      <c r="DX172" s="1477"/>
      <c r="DY172" s="1477"/>
    </row>
    <row r="173" spans="1:132" ht="11.25" hidden="1" customHeight="1" outlineLevel="1">
      <c r="A173" s="1365" t="s">
        <v>1055</v>
      </c>
      <c r="B173" s="1372"/>
      <c r="C173" s="1372"/>
      <c r="D173" s="1372"/>
      <c r="E173" s="1372"/>
      <c r="F173" s="1372"/>
      <c r="G173" s="1372"/>
      <c r="H173" s="1639">
        <f>SUM(BG173:BJ173)</f>
        <v>243.89999999999998</v>
      </c>
      <c r="I173" s="1639">
        <f>SUM(BL173:BO173)</f>
        <v>265.60000000000002</v>
      </c>
      <c r="J173" s="1774">
        <f>SUM(BQ173:BT173)</f>
        <v>248.9</v>
      </c>
      <c r="K173" s="1639">
        <f>'Segment Detail'!AH193+'Segment Detail'!AH203</f>
        <v>183</v>
      </c>
      <c r="L173" s="1639">
        <f>'Segment Detail'!AI193+'Segment Detail'!AI203</f>
        <v>169</v>
      </c>
      <c r="M173" s="1637">
        <f>SUM(CF173:CI173)</f>
        <v>168</v>
      </c>
      <c r="N173" s="1851">
        <v>0</v>
      </c>
      <c r="O173" s="2738">
        <v>0</v>
      </c>
      <c r="P173" s="2738">
        <v>0</v>
      </c>
      <c r="Q173" s="2999">
        <v>0</v>
      </c>
      <c r="R173" s="2999">
        <v>0</v>
      </c>
      <c r="S173" s="3000"/>
      <c r="T173" s="2999">
        <v>0</v>
      </c>
      <c r="U173" s="2999">
        <v>0</v>
      </c>
      <c r="V173" s="1851">
        <v>0</v>
      </c>
      <c r="W173" s="1851">
        <v>0</v>
      </c>
      <c r="X173" s="1851">
        <v>0</v>
      </c>
      <c r="Y173" s="1851">
        <v>0</v>
      </c>
      <c r="Z173" s="1851">
        <v>0</v>
      </c>
      <c r="AA173" s="1851">
        <v>0</v>
      </c>
      <c r="AB173" s="1851">
        <v>0</v>
      </c>
      <c r="AC173" s="1851">
        <v>0</v>
      </c>
      <c r="AD173" s="1851">
        <v>0</v>
      </c>
      <c r="AE173" s="1851">
        <v>0</v>
      </c>
      <c r="AF173" s="1771"/>
      <c r="AG173" s="1771"/>
      <c r="AH173" s="1771"/>
      <c r="AI173" s="1771"/>
      <c r="AJ173" s="1771"/>
      <c r="AK173" s="1771"/>
      <c r="AL173" s="2990" t="s">
        <v>1055</v>
      </c>
      <c r="AM173" s="2790"/>
      <c r="AN173" s="2790"/>
      <c r="AO173" s="2790"/>
      <c r="AP173" s="2790"/>
      <c r="AQ173" s="2969"/>
      <c r="AR173" s="2790"/>
      <c r="AS173" s="2790"/>
      <c r="AT173" s="2790"/>
      <c r="AU173" s="2790"/>
      <c r="AV173" s="2969"/>
      <c r="AW173" s="2790"/>
      <c r="AX173" s="2790"/>
      <c r="AY173" s="2790"/>
      <c r="AZ173" s="2790"/>
      <c r="BA173" s="2969"/>
      <c r="BB173" s="2790"/>
      <c r="BC173" s="2790"/>
      <c r="BD173" s="2790"/>
      <c r="BE173" s="2790"/>
      <c r="BF173" s="2969"/>
      <c r="BG173" s="2988">
        <f>'Segment Detail'!DI193+'Segment Detail'!DI203</f>
        <v>57.4</v>
      </c>
      <c r="BH173" s="2988">
        <f>'Segment Detail'!DJ193+'Segment Detail'!DJ203</f>
        <v>61.2</v>
      </c>
      <c r="BI173" s="2988">
        <f>'Segment Detail'!DK193+'Segment Detail'!DK203</f>
        <v>62.1</v>
      </c>
      <c r="BJ173" s="2988">
        <f>'Segment Detail'!DL193+'Segment Detail'!DL203</f>
        <v>63.2</v>
      </c>
      <c r="BK173" s="2969"/>
      <c r="BL173" s="2988">
        <f>'Segment Detail'!DN193+'Segment Detail'!DN203</f>
        <v>63.3</v>
      </c>
      <c r="BM173" s="2988">
        <f>'Segment Detail'!DO193+'Segment Detail'!DO203</f>
        <v>67</v>
      </c>
      <c r="BN173" s="2988">
        <f>'Segment Detail'!DP193+'Segment Detail'!DP203</f>
        <v>67.5</v>
      </c>
      <c r="BO173" s="2988">
        <f>'Segment Detail'!DQ193+'Segment Detail'!DQ203</f>
        <v>67.8</v>
      </c>
      <c r="BP173" s="2969"/>
      <c r="BQ173" s="2988">
        <f>'Segment Detail'!DS193+'Segment Detail'!DS203</f>
        <v>62.9</v>
      </c>
      <c r="BR173" s="2988">
        <f>'Segment Detail'!DT193+'Segment Detail'!DT203</f>
        <v>65.2</v>
      </c>
      <c r="BS173" s="2988">
        <f>'Segment Detail'!DU193+'Segment Detail'!DU203</f>
        <v>61.4</v>
      </c>
      <c r="BT173" s="2988">
        <f>'Segment Detail'!DV193+'Segment Detail'!DV203</f>
        <v>59.4</v>
      </c>
      <c r="BU173" s="2862"/>
      <c r="BV173" s="2988">
        <f>'Segment Detail'!DX193+'Segment Detail'!DX203</f>
        <v>48</v>
      </c>
      <c r="BW173" s="2988">
        <f>'Segment Detail'!DY193+'Segment Detail'!DY203</f>
        <v>46</v>
      </c>
      <c r="BX173" s="2988">
        <f>'Segment Detail'!DZ193+'Segment Detail'!DZ203</f>
        <v>45</v>
      </c>
      <c r="BY173" s="2988">
        <f>'Segment Detail'!EA193+'Segment Detail'!EA203</f>
        <v>44</v>
      </c>
      <c r="BZ173" s="2862"/>
      <c r="CA173" s="2988">
        <f>'Segment Detail'!EC193+'Segment Detail'!EC203</f>
        <v>43</v>
      </c>
      <c r="CB173" s="2988">
        <f>'Segment Detail'!ED193+'Segment Detail'!ED203</f>
        <v>41</v>
      </c>
      <c r="CC173" s="2988">
        <f>'Segment Detail'!EE193+'Segment Detail'!EE203</f>
        <v>43</v>
      </c>
      <c r="CD173" s="2988">
        <f>'Segment Detail'!EF193+'Segment Detail'!EF203</f>
        <v>42</v>
      </c>
      <c r="CE173" s="2835"/>
      <c r="CF173" s="2989">
        <f>'Segment Detail'!EH193+'Segment Detail'!EH203</f>
        <v>42</v>
      </c>
      <c r="CG173" s="2989">
        <f>'Segment Detail'!EI193+'Segment Detail'!EI203</f>
        <v>42</v>
      </c>
      <c r="CH173" s="2989">
        <f>'Segment Detail'!EJ193+'Segment Detail'!EJ203</f>
        <v>42</v>
      </c>
      <c r="CI173" s="2989">
        <f>'Segment Detail'!EK193+'Segment Detail'!EK203</f>
        <v>42</v>
      </c>
      <c r="CJ173" s="2835"/>
      <c r="CK173" s="2987">
        <v>0</v>
      </c>
      <c r="CL173" s="2987">
        <v>0</v>
      </c>
      <c r="CM173" s="2987">
        <v>0</v>
      </c>
      <c r="CN173" s="2987">
        <v>0</v>
      </c>
      <c r="CO173" s="2835"/>
      <c r="CP173" s="2987">
        <v>0</v>
      </c>
      <c r="CQ173" s="2987">
        <v>0</v>
      </c>
      <c r="CR173" s="2987">
        <v>0</v>
      </c>
      <c r="CS173" s="2987">
        <v>0</v>
      </c>
      <c r="CT173" s="2835"/>
      <c r="CU173" s="2987">
        <v>0</v>
      </c>
      <c r="CV173" s="2987">
        <v>0</v>
      </c>
      <c r="CW173" s="2987">
        <v>0</v>
      </c>
      <c r="CX173" s="2987">
        <v>0</v>
      </c>
      <c r="CY173" s="2835"/>
      <c r="CZ173" s="2987">
        <v>0</v>
      </c>
      <c r="DA173" s="2987">
        <v>0</v>
      </c>
      <c r="DB173" s="2987">
        <v>0</v>
      </c>
      <c r="DC173" s="2987">
        <v>0</v>
      </c>
      <c r="DD173" s="2835">
        <f t="shared" si="225"/>
        <v>0</v>
      </c>
      <c r="DE173" s="2987">
        <v>0</v>
      </c>
      <c r="DF173" s="2987">
        <v>0</v>
      </c>
      <c r="DG173" s="2987">
        <v>0</v>
      </c>
      <c r="DH173" s="2987">
        <v>0</v>
      </c>
      <c r="DI173" s="1741">
        <f t="shared" si="274"/>
        <v>0</v>
      </c>
      <c r="DJ173" s="1741"/>
      <c r="DK173" s="1105" t="s">
        <v>1237</v>
      </c>
      <c r="DL173" s="1108"/>
      <c r="DM173" s="1108"/>
      <c r="DN173" s="1477"/>
      <c r="DO173" s="1477"/>
      <c r="DP173" s="1477"/>
      <c r="DQ173" s="1477"/>
      <c r="DR173" s="1477"/>
      <c r="DS173" s="1477"/>
      <c r="DT173" s="1477"/>
      <c r="DU173" s="1477"/>
      <c r="DV173" s="1477"/>
      <c r="DW173" s="1477"/>
      <c r="DX173" s="1477"/>
      <c r="DY173" s="1477"/>
    </row>
    <row r="174" spans="1:132" ht="11.25" hidden="1" customHeight="1" outlineLevel="1">
      <c r="A174" s="1365" t="s">
        <v>728</v>
      </c>
      <c r="B174" s="1372"/>
      <c r="C174" s="1372"/>
      <c r="D174" s="1372"/>
      <c r="E174" s="1372"/>
      <c r="F174" s="1372"/>
      <c r="G174" s="1372"/>
      <c r="H174" s="1475">
        <f>H172+H173</f>
        <v>348.09999999999997</v>
      </c>
      <c r="I174" s="1475">
        <f t="shared" ref="I174:W174" si="278">I172+I173</f>
        <v>367.8</v>
      </c>
      <c r="J174" s="1475">
        <f t="shared" si="278"/>
        <v>348.5</v>
      </c>
      <c r="K174" s="1475">
        <f t="shared" si="278"/>
        <v>282</v>
      </c>
      <c r="L174" s="1475">
        <f t="shared" si="278"/>
        <v>259</v>
      </c>
      <c r="M174" s="1475">
        <f>M172+M173</f>
        <v>254</v>
      </c>
      <c r="N174" s="1475">
        <f>N172+N173</f>
        <v>87</v>
      </c>
      <c r="O174" s="2720">
        <f>O172+O173</f>
        <v>86</v>
      </c>
      <c r="P174" s="2720">
        <f t="shared" si="278"/>
        <v>87</v>
      </c>
      <c r="Q174" s="2991">
        <f>Q172+Q173</f>
        <v>79</v>
      </c>
      <c r="R174" s="2991">
        <f t="shared" si="278"/>
        <v>70.3</v>
      </c>
      <c r="S174" s="2826">
        <f>S172+S173</f>
        <v>44.3</v>
      </c>
      <c r="T174" s="2991">
        <f>T172+T173</f>
        <v>45.274999999999999</v>
      </c>
      <c r="U174" s="2991">
        <f>U172+U173</f>
        <v>46.406874999999992</v>
      </c>
      <c r="V174" s="1475">
        <f t="shared" si="278"/>
        <v>47.567046874999988</v>
      </c>
      <c r="W174" s="1475">
        <f t="shared" si="278"/>
        <v>48.756223046874986</v>
      </c>
      <c r="X174" s="1475">
        <f t="shared" ref="X174:AC174" si="279">X172+X173</f>
        <v>49.975128623046857</v>
      </c>
      <c r="Y174" s="1475">
        <f t="shared" si="279"/>
        <v>51.224506838623022</v>
      </c>
      <c r="Z174" s="1475">
        <f t="shared" si="279"/>
        <v>52.505119509588596</v>
      </c>
      <c r="AA174" s="1475">
        <f t="shared" si="279"/>
        <v>53.817747497328305</v>
      </c>
      <c r="AB174" s="1475">
        <f t="shared" si="279"/>
        <v>55.163191184761509</v>
      </c>
      <c r="AC174" s="1475">
        <f t="shared" si="279"/>
        <v>56.542270964380542</v>
      </c>
      <c r="AD174" s="1475">
        <f>AD172+AD173</f>
        <v>57.955827738490051</v>
      </c>
      <c r="AE174" s="1475">
        <f>AE172+AE173</f>
        <v>59.404723431952299</v>
      </c>
      <c r="AF174" s="1475"/>
      <c r="AG174" s="1475"/>
      <c r="AH174" s="1475"/>
      <c r="AI174" s="1475"/>
      <c r="AJ174" s="1475"/>
      <c r="AK174" s="1475"/>
      <c r="AL174" s="2990" t="s">
        <v>728</v>
      </c>
      <c r="AM174" s="2790"/>
      <c r="AN174" s="2790"/>
      <c r="AO174" s="2790"/>
      <c r="AP174" s="2790"/>
      <c r="AQ174" s="2969"/>
      <c r="AR174" s="2790"/>
      <c r="AS174" s="2790"/>
      <c r="AT174" s="2790"/>
      <c r="AU174" s="2790"/>
      <c r="AV174" s="2969"/>
      <c r="AW174" s="2790"/>
      <c r="AX174" s="2790"/>
      <c r="AY174" s="2790"/>
      <c r="AZ174" s="2790"/>
      <c r="BA174" s="2969"/>
      <c r="BB174" s="2790"/>
      <c r="BC174" s="2790"/>
      <c r="BD174" s="2790"/>
      <c r="BE174" s="2790"/>
      <c r="BF174" s="2969"/>
      <c r="BG174" s="2991">
        <f>SUM(BG172:BG173)</f>
        <v>82.6</v>
      </c>
      <c r="BH174" s="2991">
        <f>SUM(BH172:BH173)</f>
        <v>87</v>
      </c>
      <c r="BI174" s="2991">
        <f>SUM(BI172:BI173)</f>
        <v>88.8</v>
      </c>
      <c r="BJ174" s="2991">
        <f>SUM(BJ172:BJ173)</f>
        <v>89.7</v>
      </c>
      <c r="BK174" s="2969"/>
      <c r="BL174" s="2991">
        <f>SUM(BL172:BL173)</f>
        <v>88.699999999999989</v>
      </c>
      <c r="BM174" s="2991">
        <f>SUM(BM172:BM173)</f>
        <v>93.2</v>
      </c>
      <c r="BN174" s="2991">
        <f>SUM(BN172:BN173)</f>
        <v>94.7</v>
      </c>
      <c r="BO174" s="2991">
        <f>SUM(BO172:BO173)</f>
        <v>91.199999999999989</v>
      </c>
      <c r="BP174" s="2835">
        <f>I174-SUM(BL174:BO174)</f>
        <v>0</v>
      </c>
      <c r="BQ174" s="2991">
        <f>SUM(BQ172:BQ173)</f>
        <v>87.3</v>
      </c>
      <c r="BR174" s="2991">
        <f>SUM(BR172:BR173)</f>
        <v>89.6</v>
      </c>
      <c r="BS174" s="2991">
        <f>SUM(BS172:BS173)</f>
        <v>86</v>
      </c>
      <c r="BT174" s="2991">
        <f>SUM(BT172:BT173)</f>
        <v>85.6</v>
      </c>
      <c r="BU174" s="2835">
        <f>J174-SUM(BQ174:BT174)</f>
        <v>0</v>
      </c>
      <c r="BV174" s="2991">
        <f>SUM(BV172:BV173)</f>
        <v>74</v>
      </c>
      <c r="BW174" s="2991">
        <f>SUM(BW172:BW173)</f>
        <v>72</v>
      </c>
      <c r="BX174" s="2991">
        <f>SUM(BX172:BX173)</f>
        <v>68</v>
      </c>
      <c r="BY174" s="2991">
        <f>SUM(BY172:BY173)</f>
        <v>68</v>
      </c>
      <c r="BZ174" s="2835">
        <f>K174-SUM(BV174:BY174)</f>
        <v>0</v>
      </c>
      <c r="CA174" s="2991">
        <f>SUM(CA172:CA173)</f>
        <v>65</v>
      </c>
      <c r="CB174" s="2991">
        <f>SUM(CB172:CB173)</f>
        <v>64</v>
      </c>
      <c r="CC174" s="2991">
        <f>SUM(CC172:CC173)</f>
        <v>66</v>
      </c>
      <c r="CD174" s="2991">
        <f>SUM(CD172:CD173)</f>
        <v>64</v>
      </c>
      <c r="CE174" s="2835">
        <f>L174-SUM(CA174:CD174)</f>
        <v>0</v>
      </c>
      <c r="CF174" s="2991">
        <f>SUM(CF172:CF173)</f>
        <v>65</v>
      </c>
      <c r="CG174" s="2991">
        <f>SUM(CG172:CG173)</f>
        <v>63</v>
      </c>
      <c r="CH174" s="2991">
        <f>SUM(CH172:CH173)</f>
        <v>62</v>
      </c>
      <c r="CI174" s="2991">
        <f>SUM(CI172:CI173)</f>
        <v>64</v>
      </c>
      <c r="CJ174" s="2835">
        <f>M174-SUM(CF174:CI174)</f>
        <v>0</v>
      </c>
      <c r="CK174" s="2992">
        <f>SUM(CK172:CK173)</f>
        <v>21</v>
      </c>
      <c r="CL174" s="2992">
        <f>SUM(CL172:CL173)</f>
        <v>23</v>
      </c>
      <c r="CM174" s="2992">
        <f>SUM(CM172:CM173)</f>
        <v>22</v>
      </c>
      <c r="CN174" s="2992">
        <f>SUM(CN172:CN173)</f>
        <v>21</v>
      </c>
      <c r="CO174" s="2835">
        <f>$N174-SUM(CK174:CN174)</f>
        <v>0</v>
      </c>
      <c r="CP174" s="2992">
        <f>SUM(CP172:CP173)</f>
        <v>21</v>
      </c>
      <c r="CQ174" s="2992">
        <f>SUM(CQ172:CQ173)</f>
        <v>19</v>
      </c>
      <c r="CR174" s="2992">
        <f>SUM(CR172:CR173)</f>
        <v>20</v>
      </c>
      <c r="CS174" s="2992">
        <f>SUM(CS172:CS173)</f>
        <v>19</v>
      </c>
      <c r="CT174" s="2835">
        <f>$Q174-SUM(CP174:CS174)</f>
        <v>0</v>
      </c>
      <c r="CU174" s="2992">
        <f>SUM(CU172:CU173)</f>
        <v>11</v>
      </c>
      <c r="CV174" s="2992">
        <f>SUM(CV172:CV173)</f>
        <v>11.3</v>
      </c>
      <c r="CW174" s="2992">
        <f>SUM(CW172:CW173)</f>
        <v>11</v>
      </c>
      <c r="CX174" s="2992">
        <f>SUM(CX172:CX173)</f>
        <v>11</v>
      </c>
      <c r="CY174" s="2835">
        <f>S174-SUM(CU174:CX174)</f>
        <v>0</v>
      </c>
      <c r="CZ174" s="2992">
        <f>SUM(CZ172:CZ173)</f>
        <v>11</v>
      </c>
      <c r="DA174" s="2992">
        <f>SUM(DA172:DA173)</f>
        <v>12</v>
      </c>
      <c r="DB174" s="2992">
        <f>SUM(DB172:DB173)</f>
        <v>11</v>
      </c>
      <c r="DC174" s="2992">
        <f>SUM(DC172:DC173)</f>
        <v>11.274999999999999</v>
      </c>
      <c r="DD174" s="2835">
        <f t="shared" si="225"/>
        <v>0</v>
      </c>
      <c r="DE174" s="2992">
        <f t="shared" ref="DE174:DF174" si="280">SUM(DE172:DE173)</f>
        <v>11.274999999999999</v>
      </c>
      <c r="DF174" s="2992">
        <f t="shared" si="280"/>
        <v>12.299999999999999</v>
      </c>
      <c r="DG174" s="2992">
        <f>SUM(DG172:DG173)</f>
        <v>11.274999999999999</v>
      </c>
      <c r="DH174" s="2992">
        <f>SUM(DH172:DH173)</f>
        <v>11.556874999999998</v>
      </c>
      <c r="DI174" s="1741">
        <f t="shared" si="274"/>
        <v>0</v>
      </c>
      <c r="DJ174" s="1741"/>
      <c r="DK174" s="1475"/>
      <c r="DL174" s="1108"/>
      <c r="DM174" s="1108"/>
      <c r="DN174" s="1477"/>
      <c r="DO174" s="1477"/>
      <c r="DP174" s="1477"/>
      <c r="DQ174" s="1477"/>
      <c r="DR174" s="1477"/>
      <c r="DS174" s="1477"/>
      <c r="DT174" s="1477"/>
      <c r="DU174" s="1477"/>
      <c r="DV174" s="1477"/>
      <c r="DW174" s="1477"/>
      <c r="DX174" s="1477"/>
      <c r="DY174" s="1477"/>
    </row>
    <row r="175" spans="1:132" ht="11.25" hidden="1" customHeight="1" outlineLevel="1">
      <c r="A175" s="1797"/>
      <c r="B175" s="1372"/>
      <c r="C175" s="1372"/>
      <c r="D175" s="1372"/>
      <c r="E175" s="1372"/>
      <c r="F175" s="1372"/>
      <c r="G175" s="1372"/>
      <c r="H175" s="1372"/>
      <c r="I175" s="1372"/>
      <c r="J175" s="1372"/>
      <c r="K175" s="1372"/>
      <c r="L175" s="1800"/>
      <c r="M175" s="1800"/>
      <c r="N175" s="1800"/>
      <c r="O175" s="2737"/>
      <c r="P175" s="2737"/>
      <c r="Q175" s="2997"/>
      <c r="R175" s="2997"/>
      <c r="S175" s="2998"/>
      <c r="T175" s="2997"/>
      <c r="U175" s="2997"/>
      <c r="V175" s="2997"/>
      <c r="W175" s="2997"/>
      <c r="X175" s="2997"/>
      <c r="Y175" s="2997"/>
      <c r="Z175" s="2997"/>
      <c r="AA175" s="2997"/>
      <c r="AB175" s="2997"/>
      <c r="AC175" s="2997"/>
      <c r="AD175" s="2997"/>
      <c r="AE175" s="2997"/>
      <c r="AF175" s="2997"/>
      <c r="AG175" s="2997"/>
      <c r="AH175" s="2997"/>
      <c r="AI175" s="2997"/>
      <c r="AJ175" s="2997"/>
      <c r="AK175" s="1800"/>
      <c r="AL175" s="1797"/>
      <c r="AM175" s="1372"/>
      <c r="AN175" s="1372"/>
      <c r="AO175" s="1372"/>
      <c r="AP175" s="1372"/>
      <c r="AQ175" s="1799"/>
      <c r="AR175" s="1372"/>
      <c r="AS175" s="1372"/>
      <c r="AT175" s="1372"/>
      <c r="AU175" s="1372"/>
      <c r="AV175" s="1799"/>
      <c r="AW175" s="1372"/>
      <c r="AX175" s="1372"/>
      <c r="AY175" s="1372"/>
      <c r="AZ175" s="1372"/>
      <c r="BA175" s="1799"/>
      <c r="BB175" s="1372"/>
      <c r="BC175" s="1372"/>
      <c r="BD175" s="1372"/>
      <c r="BE175" s="1372"/>
      <c r="BF175" s="1799"/>
      <c r="BG175" s="1798"/>
      <c r="BH175" s="1372"/>
      <c r="BI175" s="1798"/>
      <c r="BJ175" s="1372"/>
      <c r="BK175" s="1799"/>
      <c r="BL175" s="1798"/>
      <c r="BM175" s="1372"/>
      <c r="BN175" s="1372"/>
      <c r="BO175" s="1372"/>
      <c r="BP175" s="1799"/>
      <c r="BQ175" s="1108"/>
      <c r="BR175" s="1108"/>
      <c r="BS175" s="1108"/>
      <c r="BT175" s="1108"/>
      <c r="BU175" s="1108"/>
      <c r="BV175" s="1108"/>
      <c r="BW175" s="1108"/>
      <c r="BX175" s="1108"/>
      <c r="BY175" s="1108"/>
      <c r="BZ175" s="1108"/>
      <c r="CA175" s="1108"/>
      <c r="CB175" s="1108"/>
      <c r="CC175" s="1108"/>
      <c r="CD175" s="1108"/>
      <c r="CE175" s="1108"/>
      <c r="CF175" s="1108"/>
      <c r="CG175" s="1108"/>
      <c r="CH175" s="1108"/>
      <c r="CI175" s="1108"/>
      <c r="CJ175" s="1108"/>
      <c r="CK175" s="1470"/>
      <c r="CL175" s="1470"/>
      <c r="CM175" s="1470"/>
      <c r="CN175" s="1108"/>
      <c r="CO175" s="1108"/>
      <c r="CP175" s="1470"/>
      <c r="CQ175" s="1470"/>
      <c r="CR175" s="1470"/>
      <c r="CS175" s="1108"/>
      <c r="CT175" s="1108"/>
      <c r="CU175" s="1108"/>
      <c r="CV175" s="1108"/>
      <c r="CW175" s="1108"/>
      <c r="CX175" s="2862"/>
      <c r="CY175" s="1108"/>
      <c r="CZ175" s="1108"/>
      <c r="DA175" s="2862"/>
      <c r="DB175" s="2862"/>
      <c r="DC175" s="2862"/>
      <c r="DD175" s="2835"/>
      <c r="DE175" s="1741"/>
      <c r="DF175" s="1741"/>
      <c r="DG175" s="1741"/>
      <c r="DH175" s="1741"/>
      <c r="DI175" s="1741"/>
      <c r="DJ175" s="1741"/>
      <c r="DK175" s="1108"/>
      <c r="DL175" s="1108"/>
      <c r="DM175" s="1108"/>
      <c r="DN175" s="1477"/>
      <c r="DO175" s="1477"/>
      <c r="DP175" s="1477"/>
      <c r="DQ175" s="1477"/>
      <c r="DR175" s="1477"/>
      <c r="DS175" s="1477"/>
      <c r="DT175" s="1477"/>
      <c r="DU175" s="1477"/>
      <c r="DV175" s="1477"/>
      <c r="DW175" s="1477"/>
      <c r="DX175" s="1477"/>
      <c r="DY175" s="1477"/>
    </row>
    <row r="176" spans="1:132" ht="11.25" customHeight="1" collapsed="1">
      <c r="A176" s="1494" t="s">
        <v>685</v>
      </c>
      <c r="B176" s="1372"/>
      <c r="C176" s="1372"/>
      <c r="D176" s="1372"/>
      <c r="E176" s="1372"/>
      <c r="F176" s="1372"/>
      <c r="G176" s="1372"/>
      <c r="H176" s="1372"/>
      <c r="I176" s="1372"/>
      <c r="J176" s="1372"/>
      <c r="K176" s="1372"/>
      <c r="L176" s="1108"/>
      <c r="M176" s="1372"/>
      <c r="N176" s="1372"/>
      <c r="O176" s="2730"/>
      <c r="P176" s="2730"/>
      <c r="Q176" s="2790"/>
      <c r="R176" s="2790"/>
      <c r="S176" s="2789"/>
      <c r="T176" s="2790"/>
      <c r="U176" s="2790"/>
      <c r="V176" s="2790"/>
      <c r="W176" s="2790"/>
      <c r="X176" s="2790"/>
      <c r="Y176" s="2790"/>
      <c r="Z176" s="2790"/>
      <c r="AA176" s="2790"/>
      <c r="AB176" s="2790"/>
      <c r="AC176" s="2790"/>
      <c r="AD176" s="2790"/>
      <c r="AE176" s="2790"/>
      <c r="AF176" s="2790"/>
      <c r="AG176" s="2790"/>
      <c r="AH176" s="2790"/>
      <c r="AI176" s="2790"/>
      <c r="AJ176" s="2790"/>
      <c r="AK176" s="1372"/>
      <c r="AL176" s="1494" t="s">
        <v>685</v>
      </c>
      <c r="AM176" s="1372"/>
      <c r="AN176" s="1372"/>
      <c r="AO176" s="1372"/>
      <c r="AP176" s="1372"/>
      <c r="AQ176" s="1799"/>
      <c r="AR176" s="1372"/>
      <c r="AS176" s="1372"/>
      <c r="AT176" s="1372"/>
      <c r="AU176" s="1372"/>
      <c r="AV176" s="1799"/>
      <c r="AW176" s="1372"/>
      <c r="AX176" s="1372"/>
      <c r="AY176" s="1372"/>
      <c r="AZ176" s="1372"/>
      <c r="BA176" s="1799"/>
      <c r="BB176" s="1372"/>
      <c r="BC176" s="1372"/>
      <c r="BD176" s="1372"/>
      <c r="BE176" s="1372"/>
      <c r="BF176" s="1799"/>
      <c r="BG176" s="1798"/>
      <c r="BH176" s="1372"/>
      <c r="BI176" s="1798"/>
      <c r="BJ176" s="1372"/>
      <c r="BK176" s="1799"/>
      <c r="BL176" s="1798"/>
      <c r="BM176" s="1372"/>
      <c r="BN176" s="1372"/>
      <c r="BO176" s="1372"/>
      <c r="BP176" s="1799"/>
      <c r="BQ176" s="1108"/>
      <c r="BR176" s="1108"/>
      <c r="BS176" s="1108"/>
      <c r="BT176" s="1108"/>
      <c r="BU176" s="1108"/>
      <c r="BV176" s="1108"/>
      <c r="BW176" s="1108"/>
      <c r="BX176" s="1108"/>
      <c r="BY176" s="1108"/>
      <c r="BZ176" s="1108"/>
      <c r="CA176" s="1108"/>
      <c r="CB176" s="1108"/>
      <c r="CC176" s="1108"/>
      <c r="CD176" s="1108"/>
      <c r="CE176" s="1108"/>
      <c r="CF176" s="1108"/>
      <c r="CG176" s="1108"/>
      <c r="CH176" s="1108"/>
      <c r="CI176" s="1108"/>
      <c r="CJ176" s="1108"/>
      <c r="CK176" s="1470"/>
      <c r="CL176" s="1470"/>
      <c r="CM176" s="1470"/>
      <c r="CN176" s="1108"/>
      <c r="CO176" s="1108"/>
      <c r="CP176" s="1660"/>
      <c r="CQ176" s="1470"/>
      <c r="CR176" s="1470"/>
      <c r="CS176" s="1108"/>
      <c r="CT176" s="1108"/>
      <c r="CU176" s="1108"/>
      <c r="CV176" s="1108"/>
      <c r="CW176" s="1108"/>
      <c r="CX176" s="2862"/>
      <c r="CY176" s="2862"/>
      <c r="CZ176" s="2862"/>
      <c r="DA176" s="2862"/>
      <c r="DB176" s="2862"/>
      <c r="DC176" s="2862"/>
      <c r="DD176" s="2835"/>
      <c r="DE176" s="1741"/>
      <c r="DF176" s="1741"/>
      <c r="DG176" s="1741"/>
      <c r="DH176" s="1741"/>
      <c r="DI176" s="1741"/>
      <c r="DJ176" s="1741"/>
      <c r="DK176" s="1108"/>
      <c r="DL176" s="1108"/>
      <c r="DM176" s="1108"/>
      <c r="DO176"/>
      <c r="DP176"/>
      <c r="DQ176"/>
      <c r="DR176"/>
      <c r="DS176"/>
      <c r="DT176"/>
    </row>
    <row r="177" spans="1:129" s="769" customFormat="1" ht="11.25" customHeight="1">
      <c r="A177" s="2647" t="s">
        <v>122</v>
      </c>
      <c r="B177" s="1787"/>
      <c r="C177" s="1787"/>
      <c r="D177" s="1787"/>
      <c r="E177" s="1787"/>
      <c r="F177" s="1787"/>
      <c r="G177" s="1787"/>
      <c r="H177" s="1634">
        <f>H149-H170</f>
        <v>309.10000000000002</v>
      </c>
      <c r="I177" s="1634">
        <f t="shared" ref="I177:V177" si="281">I149-I170</f>
        <v>98.376342170277894</v>
      </c>
      <c r="J177" s="1634">
        <f t="shared" si="281"/>
        <v>359.80625859588497</v>
      </c>
      <c r="K177" s="1634">
        <f t="shared" si="281"/>
        <v>366.53999999999996</v>
      </c>
      <c r="L177" s="1634">
        <f t="shared" si="281"/>
        <v>466.38</v>
      </c>
      <c r="M177" s="1634">
        <f t="shared" si="281"/>
        <v>415.9199999999999</v>
      </c>
      <c r="N177" s="1634">
        <f>N149-N170</f>
        <v>498.88999999999993</v>
      </c>
      <c r="O177" s="3146">
        <f>O149-O170</f>
        <v>415.9199999999999</v>
      </c>
      <c r="P177" s="3146">
        <f>P149-P170</f>
        <v>498.88999999999993</v>
      </c>
      <c r="Q177" s="2896">
        <f>Q149-Q170</f>
        <v>487</v>
      </c>
      <c r="R177" s="2896">
        <f>R149-R170</f>
        <v>618</v>
      </c>
      <c r="S177" s="3147">
        <f>R177</f>
        <v>618</v>
      </c>
      <c r="T177" s="2896">
        <f>T149-T170</f>
        <v>508.03116142289707</v>
      </c>
      <c r="U177" s="1634">
        <f>U149-U170</f>
        <v>633.17529054683973</v>
      </c>
      <c r="V177" s="1634">
        <f t="shared" si="281"/>
        <v>621.68943301741035</v>
      </c>
      <c r="W177" s="1634">
        <f t="shared" ref="W177:AB177" si="282">W149-W170</f>
        <v>800.58727128077999</v>
      </c>
      <c r="X177" s="1634">
        <f t="shared" si="282"/>
        <v>712.98340129599319</v>
      </c>
      <c r="Y177" s="1634">
        <f t="shared" si="282"/>
        <v>826.31120562116143</v>
      </c>
      <c r="Z177" s="1634">
        <f t="shared" si="282"/>
        <v>680.64185914297889</v>
      </c>
      <c r="AA177" s="1634">
        <f t="shared" si="282"/>
        <v>784.04996941721367</v>
      </c>
      <c r="AB177" s="1634">
        <f t="shared" si="282"/>
        <v>666.83982020495091</v>
      </c>
      <c r="AC177" s="1634">
        <f>AC149-AC170</f>
        <v>692.99813540241405</v>
      </c>
      <c r="AD177" s="1634">
        <f>AD149-AD170</f>
        <v>588.30275619340489</v>
      </c>
      <c r="AE177" s="1634">
        <f>AE149-AE170</f>
        <v>754.63195182827326</v>
      </c>
      <c r="AF177" s="1634"/>
      <c r="AG177" s="1634"/>
      <c r="AH177" s="1634"/>
      <c r="AI177" s="1634"/>
      <c r="AJ177" s="1634"/>
      <c r="AK177" s="1634"/>
      <c r="AL177" s="2647" t="s">
        <v>122</v>
      </c>
      <c r="AM177" s="1787"/>
      <c r="AN177" s="1787"/>
      <c r="AO177" s="1787"/>
      <c r="AP177" s="1787"/>
      <c r="AQ177" s="3148"/>
      <c r="AR177" s="1787"/>
      <c r="AS177" s="1787"/>
      <c r="AT177" s="1787"/>
      <c r="AU177" s="1787"/>
      <c r="AV177" s="3148"/>
      <c r="AW177" s="1787"/>
      <c r="AX177" s="1787"/>
      <c r="AY177" s="1787"/>
      <c r="AZ177" s="1787"/>
      <c r="BA177" s="3148"/>
      <c r="BB177" s="1787"/>
      <c r="BC177" s="1787"/>
      <c r="BD177" s="1787"/>
      <c r="BE177" s="1787"/>
      <c r="BF177" s="3148"/>
      <c r="BG177" s="1790">
        <f>BG149-BG170</f>
        <v>86.299999999999983</v>
      </c>
      <c r="BH177" s="1790">
        <f>BH149-BH170</f>
        <v>87.699999999999989</v>
      </c>
      <c r="BI177" s="1790">
        <f>BI149-BI170</f>
        <v>33.199999999999996</v>
      </c>
      <c r="BJ177" s="1790">
        <f>BJ149-BJ170</f>
        <v>101.90000000000003</v>
      </c>
      <c r="BK177" s="3148"/>
      <c r="BL177" s="1790">
        <f>BL149-BL170</f>
        <v>-15</v>
      </c>
      <c r="BM177" s="1790">
        <f>BM149-BM170</f>
        <v>-11.600000000000001</v>
      </c>
      <c r="BN177" s="1790">
        <f>BN149-BN170</f>
        <v>20.699999999999996</v>
      </c>
      <c r="BO177" s="1790">
        <f>BO149-BO170</f>
        <v>104.2763421702779</v>
      </c>
      <c r="BP177" s="3148"/>
      <c r="BQ177" s="1790">
        <f>BQ149-BQ170</f>
        <v>39.500000000000007</v>
      </c>
      <c r="BR177" s="1790">
        <f>BR149-BR170</f>
        <v>76.18199999999996</v>
      </c>
      <c r="BS177" s="1790">
        <f>BS149-BS170</f>
        <v>63.565999999999967</v>
      </c>
      <c r="BT177" s="1790">
        <f>BT149-BT170</f>
        <v>180.55825859588501</v>
      </c>
      <c r="BU177" s="1470"/>
      <c r="BV177" s="1790">
        <f>BV149-BV170</f>
        <v>71.858000000000004</v>
      </c>
      <c r="BW177" s="1790">
        <f>BW149-BW170</f>
        <v>99.683999999999997</v>
      </c>
      <c r="BX177" s="1790">
        <f>BX149-BX170</f>
        <v>61.426999999999985</v>
      </c>
      <c r="BY177" s="1790">
        <f>BY149-BY170</f>
        <v>133.57099999999997</v>
      </c>
      <c r="BZ177" s="1470"/>
      <c r="CA177" s="1790">
        <f>CA149-CA170</f>
        <v>73.829000000000008</v>
      </c>
      <c r="CB177" s="1790">
        <f>CB149-CB170</f>
        <v>117.53700000000001</v>
      </c>
      <c r="CC177" s="1790">
        <f>CC149-CC170</f>
        <v>86.551000000000016</v>
      </c>
      <c r="CD177" s="1790">
        <f>CD149-CD170</f>
        <v>188.46299999999999</v>
      </c>
      <c r="CE177" s="1470"/>
      <c r="CF177" s="1790">
        <f>CF149-CF170</f>
        <v>101.271</v>
      </c>
      <c r="CG177" s="1790">
        <f>CG149-CG170</f>
        <v>128.71299999999997</v>
      </c>
      <c r="CH177" s="1790">
        <f>CH149-CH170</f>
        <v>58.058999999999983</v>
      </c>
      <c r="CI177" s="1790">
        <f>CI149-CI170</f>
        <v>127.87699999999997</v>
      </c>
      <c r="CJ177" s="1470"/>
      <c r="CK177" s="1790">
        <f>CK149-CK170</f>
        <v>107.387</v>
      </c>
      <c r="CL177" s="1790">
        <f>CL149-CL170</f>
        <v>113.52099999999997</v>
      </c>
      <c r="CM177" s="1790">
        <f>CM149-CM170</f>
        <v>94.918000000000006</v>
      </c>
      <c r="CN177" s="1790">
        <f>CN149-CN170</f>
        <v>183.06399999999996</v>
      </c>
      <c r="CO177" s="1470"/>
      <c r="CP177" s="1635">
        <v>109</v>
      </c>
      <c r="CQ177" s="1635">
        <v>128</v>
      </c>
      <c r="CR177" s="1635">
        <v>101</v>
      </c>
      <c r="CS177" s="1635">
        <v>149</v>
      </c>
      <c r="CT177" s="3149">
        <f>$Q177-SUM(CP177:CS177)</f>
        <v>0</v>
      </c>
      <c r="CU177" s="1635">
        <v>150</v>
      </c>
      <c r="CV177" s="1635">
        <v>130</v>
      </c>
      <c r="CW177" s="1635">
        <v>122</v>
      </c>
      <c r="CX177" s="2829">
        <v>216</v>
      </c>
      <c r="CY177" s="3240">
        <f>S177-SUM(CU177:CX177)</f>
        <v>0</v>
      </c>
      <c r="CZ177" s="2829">
        <v>123</v>
      </c>
      <c r="DA177" s="2829">
        <v>127</v>
      </c>
      <c r="DB177" s="2829">
        <v>105</v>
      </c>
      <c r="DC177" s="2840">
        <f>DC149-DC170</f>
        <v>153.03116142289699</v>
      </c>
      <c r="DD177" s="2975">
        <f t="shared" si="225"/>
        <v>0</v>
      </c>
      <c r="DE177" s="2840">
        <f t="shared" ref="DE177:DH177" si="283">DE149-DE170</f>
        <v>146.84340248096552</v>
      </c>
      <c r="DF177" s="2840">
        <f t="shared" si="283"/>
        <v>142.39812600658212</v>
      </c>
      <c r="DG177" s="2840">
        <f t="shared" si="283"/>
        <v>137.95503181943891</v>
      </c>
      <c r="DH177" s="2840">
        <f t="shared" si="283"/>
        <v>205.97873023985318</v>
      </c>
      <c r="DI177" s="1741">
        <f t="shared" ref="DI177:DI181" si="284">U177-SUM(DE177:DH177)</f>
        <v>0</v>
      </c>
      <c r="DJ177" s="1470"/>
      <c r="DK177" s="1790"/>
      <c r="DL177" s="1470"/>
      <c r="DM177" s="1470"/>
    </row>
    <row r="178" spans="1:129" s="769" customFormat="1" ht="11.25" hidden="1" customHeight="1" outlineLevel="1">
      <c r="A178" s="2647" t="s">
        <v>1054</v>
      </c>
      <c r="B178" s="1787"/>
      <c r="C178" s="1787"/>
      <c r="D178" s="1787"/>
      <c r="E178" s="1787"/>
      <c r="F178" s="1787"/>
      <c r="G178" s="1787"/>
      <c r="H178" s="1638">
        <f>H153-H171</f>
        <v>520.70000000000016</v>
      </c>
      <c r="I178" s="1638">
        <f t="shared" ref="I178:V178" si="285">I153-I171</f>
        <v>292.32365782972215</v>
      </c>
      <c r="J178" s="1638">
        <f t="shared" si="285"/>
        <v>405.49374140411487</v>
      </c>
      <c r="K178" s="1638">
        <f t="shared" si="285"/>
        <v>383.46000000000004</v>
      </c>
      <c r="L178" s="1638">
        <f t="shared" si="285"/>
        <v>400.62</v>
      </c>
      <c r="M178" s="1638">
        <f t="shared" si="285"/>
        <v>396.08000000000004</v>
      </c>
      <c r="N178" s="1638">
        <f>N153-N171</f>
        <v>379.11</v>
      </c>
      <c r="O178" s="3150">
        <f>O153-O171</f>
        <v>396.08000000000004</v>
      </c>
      <c r="P178" s="3150">
        <f>P153-P171</f>
        <v>379.11</v>
      </c>
      <c r="Q178" s="2853">
        <f>Q153-Q171</f>
        <v>278</v>
      </c>
      <c r="R178" s="2799">
        <f>SUM(56, 82, 77, 85)</f>
        <v>300</v>
      </c>
      <c r="S178" s="3151">
        <v>0</v>
      </c>
      <c r="T178" s="2853">
        <f>T153-T171</f>
        <v>0</v>
      </c>
      <c r="U178" s="1638">
        <f>U153-U171</f>
        <v>0</v>
      </c>
      <c r="V178" s="1638">
        <f t="shared" si="285"/>
        <v>0</v>
      </c>
      <c r="W178" s="1638">
        <f t="shared" ref="W178:AB178" si="286">W153-W171</f>
        <v>0</v>
      </c>
      <c r="X178" s="1638">
        <f t="shared" si="286"/>
        <v>0</v>
      </c>
      <c r="Y178" s="1638">
        <f t="shared" si="286"/>
        <v>0</v>
      </c>
      <c r="Z178" s="1638">
        <f t="shared" si="286"/>
        <v>0</v>
      </c>
      <c r="AA178" s="1638">
        <f t="shared" si="286"/>
        <v>0</v>
      </c>
      <c r="AB178" s="1638">
        <f t="shared" si="286"/>
        <v>0</v>
      </c>
      <c r="AC178" s="1638">
        <f>AC153-AC171</f>
        <v>0</v>
      </c>
      <c r="AD178" s="1638">
        <f>AD153-AD171</f>
        <v>0</v>
      </c>
      <c r="AE178" s="1638">
        <f>AE153-AE171</f>
        <v>0</v>
      </c>
      <c r="AF178" s="2185"/>
      <c r="AG178" s="2185"/>
      <c r="AH178" s="2185"/>
      <c r="AI178" s="2185"/>
      <c r="AJ178" s="2185"/>
      <c r="AK178" s="2185"/>
      <c r="AL178" s="2647" t="s">
        <v>1054</v>
      </c>
      <c r="AM178" s="1787"/>
      <c r="AN178" s="1787"/>
      <c r="AO178" s="1787"/>
      <c r="AP178" s="1787"/>
      <c r="AQ178" s="3148"/>
      <c r="AR178" s="1787"/>
      <c r="AS178" s="1787"/>
      <c r="AT178" s="1787"/>
      <c r="AU178" s="1787"/>
      <c r="AV178" s="3148"/>
      <c r="AW178" s="1787"/>
      <c r="AX178" s="1787"/>
      <c r="AY178" s="1787"/>
      <c r="AZ178" s="1787"/>
      <c r="BA178" s="3148"/>
      <c r="BB178" s="1787"/>
      <c r="BC178" s="1787"/>
      <c r="BD178" s="1787"/>
      <c r="BE178" s="1787"/>
      <c r="BF178" s="3148"/>
      <c r="BG178" s="1492">
        <f>BG153-BG171</f>
        <v>125.00000000000001</v>
      </c>
      <c r="BH178" s="1492">
        <f>BH153-BH171</f>
        <v>150.69999999999999</v>
      </c>
      <c r="BI178" s="1492">
        <f>BI153-BI171</f>
        <v>130.79999999999998</v>
      </c>
      <c r="BJ178" s="1492">
        <f>BJ153-BJ171</f>
        <v>114.2</v>
      </c>
      <c r="BK178" s="3148"/>
      <c r="BL178" s="1492">
        <f>BL153-BL171</f>
        <v>43.7</v>
      </c>
      <c r="BM178" s="1492">
        <f>BM153-BM171</f>
        <v>86</v>
      </c>
      <c r="BN178" s="1492">
        <f>BN153-BN171</f>
        <v>82.8</v>
      </c>
      <c r="BO178" s="1492">
        <f>BO153-BO171</f>
        <v>79.823657829722094</v>
      </c>
      <c r="BP178" s="3148"/>
      <c r="BQ178" s="1492">
        <f>BQ153-BQ171</f>
        <v>70.099999999999994</v>
      </c>
      <c r="BR178" s="1492">
        <f>BR153-BR171</f>
        <v>113.41800000000003</v>
      </c>
      <c r="BS178" s="1492">
        <f>BS153-BS171</f>
        <v>106.93400000000003</v>
      </c>
      <c r="BT178" s="1492">
        <f>BT153-BT171</f>
        <v>115.04174140411502</v>
      </c>
      <c r="BU178" s="1470"/>
      <c r="BV178" s="1492">
        <f>BV153-BV171</f>
        <v>71.141999999999996</v>
      </c>
      <c r="BW178" s="1492">
        <f>BW153-BW171</f>
        <v>104.31600000000002</v>
      </c>
      <c r="BX178" s="1492">
        <f>BX153-BX171</f>
        <v>99.573000000000022</v>
      </c>
      <c r="BY178" s="1492">
        <f>BY153-BY171</f>
        <v>108.42900000000003</v>
      </c>
      <c r="BZ178" s="1470"/>
      <c r="CA178" s="1492">
        <f>CA153-CA171</f>
        <v>75.170999999999992</v>
      </c>
      <c r="CB178" s="1492">
        <f>CB153-CB171</f>
        <v>107.46299999999999</v>
      </c>
      <c r="CC178" s="1492">
        <f>CC153-CC171</f>
        <v>103.44899999999998</v>
      </c>
      <c r="CD178" s="1492">
        <f>CD153-CD171</f>
        <v>114.53700000000001</v>
      </c>
      <c r="CE178" s="1470"/>
      <c r="CF178" s="1492">
        <f>CF153-CF171</f>
        <v>74.728999999999999</v>
      </c>
      <c r="CG178" s="1492">
        <f>CG153-CG171</f>
        <v>105.28700000000001</v>
      </c>
      <c r="CH178" s="1492">
        <f>CH153-CH171</f>
        <v>102.94100000000002</v>
      </c>
      <c r="CI178" s="1492">
        <f>CI153-CI171</f>
        <v>113.12300000000002</v>
      </c>
      <c r="CJ178" s="1470"/>
      <c r="CK178" s="1492">
        <f>CK153-CK171</f>
        <v>71.613</v>
      </c>
      <c r="CL178" s="1492">
        <f>CL153-CL171</f>
        <v>101.47900000000001</v>
      </c>
      <c r="CM178" s="1492">
        <f>CM153-CM171</f>
        <v>97.081999999999994</v>
      </c>
      <c r="CN178" s="1492">
        <f>CN153-CN171</f>
        <v>108.93600000000001</v>
      </c>
      <c r="CO178" s="1470"/>
      <c r="CP178" s="1657">
        <v>52</v>
      </c>
      <c r="CQ178" s="1657">
        <v>70</v>
      </c>
      <c r="CR178" s="1657">
        <v>73</v>
      </c>
      <c r="CS178" s="1657">
        <v>83</v>
      </c>
      <c r="CT178" s="3149">
        <f>$Q178-SUM(CP178:CS178)</f>
        <v>0</v>
      </c>
      <c r="CU178" s="1492">
        <f>CU153-CU171</f>
        <v>0</v>
      </c>
      <c r="CV178" s="1492">
        <f>CV153-CV171</f>
        <v>0</v>
      </c>
      <c r="CW178" s="1492">
        <f>CW153-CW171</f>
        <v>0</v>
      </c>
      <c r="CX178" s="3152">
        <f>CX153-CX171</f>
        <v>0</v>
      </c>
      <c r="CY178" s="2975">
        <f>S178-SUM(CU178:CX178)</f>
        <v>0</v>
      </c>
      <c r="CZ178" s="3152">
        <f>CZ153-CZ171</f>
        <v>0</v>
      </c>
      <c r="DA178" s="3152">
        <f>DA153-DA171</f>
        <v>0</v>
      </c>
      <c r="DB178" s="3152">
        <f>DB153-DB171</f>
        <v>0</v>
      </c>
      <c r="DC178" s="3152">
        <f>DC153-DC171</f>
        <v>0</v>
      </c>
      <c r="DD178" s="2975">
        <f t="shared" si="225"/>
        <v>0</v>
      </c>
      <c r="DE178" s="3152">
        <f t="shared" ref="DE178:DH178" si="287">DE153-DE171</f>
        <v>0</v>
      </c>
      <c r="DF178" s="3152">
        <f t="shared" si="287"/>
        <v>0</v>
      </c>
      <c r="DG178" s="3152">
        <f t="shared" si="287"/>
        <v>0</v>
      </c>
      <c r="DH178" s="3152">
        <f t="shared" si="287"/>
        <v>0</v>
      </c>
      <c r="DI178" s="1741">
        <f t="shared" si="284"/>
        <v>0</v>
      </c>
      <c r="DJ178" s="1470"/>
      <c r="DK178" s="1492"/>
      <c r="DL178" s="1470"/>
      <c r="DM178" s="1470"/>
    </row>
    <row r="179" spans="1:129" s="875" customFormat="1" ht="11.25" customHeight="1" collapsed="1">
      <c r="A179" s="2646" t="s">
        <v>721</v>
      </c>
      <c r="B179" s="3131"/>
      <c r="C179" s="3131"/>
      <c r="D179" s="3131"/>
      <c r="E179" s="3131"/>
      <c r="F179" s="3131"/>
      <c r="G179" s="3131"/>
      <c r="H179" s="1475">
        <f>SUM(H177:H178)</f>
        <v>829.80000000000018</v>
      </c>
      <c r="I179" s="1475">
        <f t="shared" ref="I179:W179" si="288">SUM(I177:I178)</f>
        <v>390.70000000000005</v>
      </c>
      <c r="J179" s="1475">
        <f t="shared" si="288"/>
        <v>765.29999999999984</v>
      </c>
      <c r="K179" s="1475">
        <f t="shared" si="288"/>
        <v>750</v>
      </c>
      <c r="L179" s="1475">
        <f t="shared" si="288"/>
        <v>867</v>
      </c>
      <c r="M179" s="1475">
        <f t="shared" si="288"/>
        <v>812</v>
      </c>
      <c r="N179" s="1475">
        <f t="shared" si="288"/>
        <v>878</v>
      </c>
      <c r="O179" s="3137">
        <f t="shared" ref="O179:S179" si="289">SUM(O177:O178)</f>
        <v>812</v>
      </c>
      <c r="P179" s="3137">
        <f t="shared" si="289"/>
        <v>878</v>
      </c>
      <c r="Q179" s="2991">
        <f t="shared" si="289"/>
        <v>765</v>
      </c>
      <c r="R179" s="2991">
        <f>SUM(R177:R178)</f>
        <v>918</v>
      </c>
      <c r="S179" s="3138">
        <f t="shared" si="289"/>
        <v>618</v>
      </c>
      <c r="T179" s="2991">
        <f>SUM(T177:T178)</f>
        <v>508.03116142289707</v>
      </c>
      <c r="U179" s="1475">
        <f>SUM(U177:U178)</f>
        <v>633.17529054683973</v>
      </c>
      <c r="V179" s="1475">
        <f t="shared" si="288"/>
        <v>621.68943301741035</v>
      </c>
      <c r="W179" s="1475">
        <f t="shared" si="288"/>
        <v>800.58727128077999</v>
      </c>
      <c r="X179" s="1475">
        <f t="shared" ref="X179:AC179" si="290">SUM(X177:X178)</f>
        <v>712.98340129599319</v>
      </c>
      <c r="Y179" s="1475">
        <f t="shared" si="290"/>
        <v>826.31120562116143</v>
      </c>
      <c r="Z179" s="1475">
        <f t="shared" si="290"/>
        <v>680.64185914297889</v>
      </c>
      <c r="AA179" s="1475">
        <f t="shared" si="290"/>
        <v>784.04996941721367</v>
      </c>
      <c r="AB179" s="1475">
        <f t="shared" si="290"/>
        <v>666.83982020495091</v>
      </c>
      <c r="AC179" s="1475">
        <f t="shared" si="290"/>
        <v>692.99813540241405</v>
      </c>
      <c r="AD179" s="1475">
        <f>SUM(AD177:AD178)</f>
        <v>588.30275619340489</v>
      </c>
      <c r="AE179" s="1475">
        <f>SUM(AE177:AE178)</f>
        <v>754.63195182827326</v>
      </c>
      <c r="AF179" s="1475"/>
      <c r="AG179" s="1475"/>
      <c r="AH179" s="1475"/>
      <c r="AI179" s="1475"/>
      <c r="AJ179" s="1475"/>
      <c r="AK179" s="1475"/>
      <c r="AL179" s="2646" t="s">
        <v>721</v>
      </c>
      <c r="AM179" s="3131"/>
      <c r="AN179" s="3131"/>
      <c r="AO179" s="3131"/>
      <c r="AP179" s="3131"/>
      <c r="AQ179" s="3132"/>
      <c r="AR179" s="3131"/>
      <c r="AS179" s="3131"/>
      <c r="AT179" s="3131"/>
      <c r="AU179" s="3131"/>
      <c r="AV179" s="3132"/>
      <c r="AW179" s="3131"/>
      <c r="AX179" s="3131"/>
      <c r="AY179" s="3131"/>
      <c r="AZ179" s="3131"/>
      <c r="BA179" s="3132"/>
      <c r="BB179" s="3131"/>
      <c r="BC179" s="3131"/>
      <c r="BD179" s="3131"/>
      <c r="BE179" s="3131"/>
      <c r="BF179" s="3132"/>
      <c r="BG179" s="3133">
        <f>SUM(BG177:BG178)</f>
        <v>211.3</v>
      </c>
      <c r="BH179" s="3133">
        <f>SUM(BH177:BH178)</f>
        <v>238.39999999999998</v>
      </c>
      <c r="BI179" s="3133">
        <f>SUM(BI177:BI178)</f>
        <v>163.99999999999997</v>
      </c>
      <c r="BJ179" s="3133">
        <f>SUM(BJ177:BJ178)</f>
        <v>216.10000000000002</v>
      </c>
      <c r="BK179" s="3132"/>
      <c r="BL179" s="3133">
        <f>SUM(BL177:BL178)</f>
        <v>28.700000000000003</v>
      </c>
      <c r="BM179" s="3133">
        <f>SUM(BM177:BM178)</f>
        <v>74.400000000000006</v>
      </c>
      <c r="BN179" s="3133">
        <f>SUM(BN177:BN178)</f>
        <v>103.5</v>
      </c>
      <c r="BO179" s="3133">
        <f>SUM(BO177:BO178)</f>
        <v>184.1</v>
      </c>
      <c r="BP179" s="2188">
        <f>I179-SUM(BL179:BO179)</f>
        <v>0</v>
      </c>
      <c r="BQ179" s="3133">
        <f>SUM(BQ177:BQ178)</f>
        <v>109.6</v>
      </c>
      <c r="BR179" s="3133">
        <f>SUM(BR177:BR178)</f>
        <v>189.6</v>
      </c>
      <c r="BS179" s="3133">
        <f>SUM(BS177:BS178)</f>
        <v>170.5</v>
      </c>
      <c r="BT179" s="3133">
        <f>SUM(BT177:BT178)</f>
        <v>295.60000000000002</v>
      </c>
      <c r="BU179" s="2188">
        <f>J179-SUM(BQ179:BT179)</f>
        <v>0</v>
      </c>
      <c r="BV179" s="3133">
        <f>SUM(BV177:BV178)</f>
        <v>143</v>
      </c>
      <c r="BW179" s="3133">
        <f>SUM(BW177:BW178)</f>
        <v>204</v>
      </c>
      <c r="BX179" s="3133">
        <f>SUM(BX177:BX178)</f>
        <v>161</v>
      </c>
      <c r="BY179" s="3133">
        <f>SUM(BY177:BY178)</f>
        <v>242</v>
      </c>
      <c r="BZ179" s="2188">
        <f>K179-SUM(BV179:BY179)</f>
        <v>0</v>
      </c>
      <c r="CA179" s="3133">
        <f>SUM(CA177:CA178)</f>
        <v>149</v>
      </c>
      <c r="CB179" s="3133">
        <f>SUM(CB177:CB178)</f>
        <v>225</v>
      </c>
      <c r="CC179" s="3133">
        <f>SUM(CC177:CC178)</f>
        <v>190</v>
      </c>
      <c r="CD179" s="3133">
        <f>SUM(CD177:CD178)</f>
        <v>303</v>
      </c>
      <c r="CE179" s="2188">
        <f>L179-SUM(CA179:CD179)</f>
        <v>0</v>
      </c>
      <c r="CF179" s="3133">
        <f>SUM(CF177:CF178)</f>
        <v>176</v>
      </c>
      <c r="CG179" s="3133">
        <f>SUM(CG177:CG178)</f>
        <v>233.99999999999997</v>
      </c>
      <c r="CH179" s="3133">
        <f>SUM(CH177:CH178)</f>
        <v>161</v>
      </c>
      <c r="CI179" s="3133">
        <f>SUM(CI177:CI178)</f>
        <v>241</v>
      </c>
      <c r="CJ179" s="2188">
        <f>M179-SUM(CF179:CI179)</f>
        <v>0</v>
      </c>
      <c r="CK179" s="3133">
        <f>SUM(CK177:CK178)</f>
        <v>179</v>
      </c>
      <c r="CL179" s="3133">
        <f>SUM(CL177:CL178)</f>
        <v>215</v>
      </c>
      <c r="CM179" s="3133">
        <f>SUM(CM177:CM178)</f>
        <v>192</v>
      </c>
      <c r="CN179" s="3133">
        <f>SUM(CN177:CN178)</f>
        <v>292</v>
      </c>
      <c r="CO179" s="2188">
        <f>$N179-SUM(CK179:CN179)</f>
        <v>0</v>
      </c>
      <c r="CP179" s="3133">
        <f>CP177+CP178</f>
        <v>161</v>
      </c>
      <c r="CQ179" s="3133">
        <f>CQ177+CQ178</f>
        <v>198</v>
      </c>
      <c r="CR179" s="3133">
        <f>CR177+CR178</f>
        <v>174</v>
      </c>
      <c r="CS179" s="3133">
        <f>CS177+CS178</f>
        <v>232</v>
      </c>
      <c r="CT179" s="2188">
        <f>$Q179-SUM(CP179:CS179)</f>
        <v>0</v>
      </c>
      <c r="CU179" s="3133">
        <f>CU177+CU178</f>
        <v>150</v>
      </c>
      <c r="CV179" s="3133">
        <f>CV177+CV178</f>
        <v>130</v>
      </c>
      <c r="CW179" s="3133">
        <f>CW177+CW178</f>
        <v>122</v>
      </c>
      <c r="CX179" s="3139">
        <f>SUM(CX177:CX178)</f>
        <v>216</v>
      </c>
      <c r="CY179" s="3102">
        <f>S179-SUM(CU179:CX179)</f>
        <v>0</v>
      </c>
      <c r="CZ179" s="3139">
        <f>SUM(CZ177:CZ178)</f>
        <v>123</v>
      </c>
      <c r="DA179" s="3139">
        <f>SUM(DA177:DA178)</f>
        <v>127</v>
      </c>
      <c r="DB179" s="3139">
        <f>SUM(DB177:DB178)</f>
        <v>105</v>
      </c>
      <c r="DC179" s="3139">
        <f>SUM(DC177:DC178)</f>
        <v>153.03116142289699</v>
      </c>
      <c r="DD179" s="3102">
        <f t="shared" si="225"/>
        <v>0</v>
      </c>
      <c r="DE179" s="3139">
        <f t="shared" ref="DE179:DH179" si="291">SUM(DE177:DE178)</f>
        <v>146.84340248096552</v>
      </c>
      <c r="DF179" s="3139">
        <f t="shared" si="291"/>
        <v>142.39812600658212</v>
      </c>
      <c r="DG179" s="3139">
        <f t="shared" si="291"/>
        <v>137.95503181943891</v>
      </c>
      <c r="DH179" s="3139">
        <f t="shared" si="291"/>
        <v>205.97873023985318</v>
      </c>
      <c r="DI179" s="1741">
        <f t="shared" si="284"/>
        <v>0</v>
      </c>
      <c r="DJ179" s="2188"/>
      <c r="DK179" s="3133"/>
      <c r="DL179" s="1494"/>
      <c r="DM179" s="1494"/>
    </row>
    <row r="180" spans="1:129" s="875" customFormat="1" ht="11.25" hidden="1" customHeight="1" outlineLevel="1">
      <c r="A180" s="2646" t="s">
        <v>1055</v>
      </c>
      <c r="B180" s="3131"/>
      <c r="C180" s="3131"/>
      <c r="D180" s="3131"/>
      <c r="E180" s="3131"/>
      <c r="F180" s="3131"/>
      <c r="G180" s="3131"/>
      <c r="H180" s="3134">
        <f t="shared" ref="H180:M180" si="292">H161-H173</f>
        <v>230.80000000000007</v>
      </c>
      <c r="I180" s="3134">
        <f t="shared" si="292"/>
        <v>-81.200000000000017</v>
      </c>
      <c r="J180" s="3134">
        <f t="shared" si="292"/>
        <v>39.699999999999903</v>
      </c>
      <c r="K180" s="3134">
        <f t="shared" si="292"/>
        <v>197</v>
      </c>
      <c r="L180" s="3134">
        <f t="shared" si="292"/>
        <v>209</v>
      </c>
      <c r="M180" s="3134">
        <f t="shared" si="292"/>
        <v>243</v>
      </c>
      <c r="N180" s="3140">
        <v>0</v>
      </c>
      <c r="O180" s="3141">
        <v>0</v>
      </c>
      <c r="P180" s="3141">
        <v>0</v>
      </c>
      <c r="Q180" s="3142">
        <v>0</v>
      </c>
      <c r="R180" s="3142">
        <v>0</v>
      </c>
      <c r="S180" s="3143">
        <v>0</v>
      </c>
      <c r="T180" s="3142">
        <v>0</v>
      </c>
      <c r="U180" s="3140">
        <v>0</v>
      </c>
      <c r="V180" s="3140">
        <v>0</v>
      </c>
      <c r="W180" s="3140">
        <v>0</v>
      </c>
      <c r="X180" s="3140">
        <v>0</v>
      </c>
      <c r="Y180" s="3140">
        <v>0</v>
      </c>
      <c r="Z180" s="3140">
        <v>0</v>
      </c>
      <c r="AA180" s="3140">
        <v>0</v>
      </c>
      <c r="AB180" s="3140">
        <v>0</v>
      </c>
      <c r="AC180" s="3140">
        <v>0</v>
      </c>
      <c r="AD180" s="3140">
        <v>0</v>
      </c>
      <c r="AE180" s="3140">
        <v>0</v>
      </c>
      <c r="AF180" s="3135"/>
      <c r="AG180" s="3135"/>
      <c r="AH180" s="3135"/>
      <c r="AI180" s="3135"/>
      <c r="AJ180" s="3135"/>
      <c r="AK180" s="3135"/>
      <c r="AL180" s="2646" t="s">
        <v>1055</v>
      </c>
      <c r="AM180" s="3131"/>
      <c r="AN180" s="3131"/>
      <c r="AO180" s="3131"/>
      <c r="AP180" s="3131"/>
      <c r="AQ180" s="3132"/>
      <c r="AR180" s="3131"/>
      <c r="AS180" s="3131"/>
      <c r="AT180" s="3131"/>
      <c r="AU180" s="3131"/>
      <c r="AV180" s="3132"/>
      <c r="AW180" s="3131"/>
      <c r="AX180" s="3131"/>
      <c r="AY180" s="3131"/>
      <c r="AZ180" s="3131"/>
      <c r="BA180" s="3132"/>
      <c r="BB180" s="3131"/>
      <c r="BC180" s="3131"/>
      <c r="BD180" s="3131"/>
      <c r="BE180" s="3131"/>
      <c r="BF180" s="3132"/>
      <c r="BG180" s="3136">
        <f>BG161-BG173</f>
        <v>44.1</v>
      </c>
      <c r="BH180" s="3136">
        <f>BH161-BH173</f>
        <v>94.999999999999986</v>
      </c>
      <c r="BI180" s="3136">
        <f>BI161-BI173</f>
        <v>56.500000000000007</v>
      </c>
      <c r="BJ180" s="3136">
        <f>BJ161-BJ173</f>
        <v>35.200000000000003</v>
      </c>
      <c r="BK180" s="3132"/>
      <c r="BL180" s="3136">
        <f>BL161-BL173</f>
        <v>-38.199999999999996</v>
      </c>
      <c r="BM180" s="3136">
        <f>BM161-BM173</f>
        <v>-22.299999999999997</v>
      </c>
      <c r="BN180" s="3136">
        <f>BN161-BN173</f>
        <v>-34.9</v>
      </c>
      <c r="BO180" s="3136">
        <f>BO161-BO173</f>
        <v>14.200000000000003</v>
      </c>
      <c r="BP180" s="3132"/>
      <c r="BQ180" s="3136">
        <f>BQ161-BQ173</f>
        <v>-30.699999999999996</v>
      </c>
      <c r="BR180" s="3136">
        <f>BR161-BR173</f>
        <v>13.5</v>
      </c>
      <c r="BS180" s="3136">
        <f>BS161-BS173</f>
        <v>15.500000000000007</v>
      </c>
      <c r="BT180" s="3136">
        <f>BT161-BT173</f>
        <v>41.4</v>
      </c>
      <c r="BU180" s="1494"/>
      <c r="BV180" s="3136">
        <f>BV161-BV173</f>
        <v>21</v>
      </c>
      <c r="BW180" s="3136">
        <f>BW161-BW173</f>
        <v>53</v>
      </c>
      <c r="BX180" s="3136">
        <f>BX161-BX173</f>
        <v>59</v>
      </c>
      <c r="BY180" s="3136">
        <f>BY161-BY173</f>
        <v>64</v>
      </c>
      <c r="BZ180" s="1494"/>
      <c r="CA180" s="3136">
        <f>CA161-CA173</f>
        <v>33</v>
      </c>
      <c r="CB180" s="3136">
        <f>CB161-CB173</f>
        <v>62</v>
      </c>
      <c r="CC180" s="3136">
        <f>CC161-CC173</f>
        <v>62</v>
      </c>
      <c r="CD180" s="3136">
        <f>CD161-CD173</f>
        <v>52</v>
      </c>
      <c r="CE180" s="1494"/>
      <c r="CF180" s="3136">
        <f>CF161-CF173</f>
        <v>32</v>
      </c>
      <c r="CG180" s="3136">
        <f>CG161-CG173</f>
        <v>65</v>
      </c>
      <c r="CH180" s="3136">
        <f>CH161-CH173</f>
        <v>68</v>
      </c>
      <c r="CI180" s="3136">
        <f>CI161-CI173</f>
        <v>78</v>
      </c>
      <c r="CJ180" s="1494"/>
      <c r="CK180" s="3140">
        <v>0</v>
      </c>
      <c r="CL180" s="3140">
        <v>0</v>
      </c>
      <c r="CM180" s="3140">
        <v>0</v>
      </c>
      <c r="CN180" s="3140">
        <v>0</v>
      </c>
      <c r="CO180" s="1494"/>
      <c r="CP180" s="3140">
        <v>0</v>
      </c>
      <c r="CQ180" s="3140">
        <v>0</v>
      </c>
      <c r="CR180" s="3140">
        <v>0</v>
      </c>
      <c r="CS180" s="3140">
        <v>0</v>
      </c>
      <c r="CT180" s="1494"/>
      <c r="CU180" s="3140">
        <v>0</v>
      </c>
      <c r="CV180" s="3140">
        <v>0</v>
      </c>
      <c r="CW180" s="3140">
        <v>0</v>
      </c>
      <c r="CX180" s="3142">
        <v>0</v>
      </c>
      <c r="CY180" s="3102"/>
      <c r="CZ180" s="3142">
        <v>0</v>
      </c>
      <c r="DA180" s="3142">
        <v>0</v>
      </c>
      <c r="DB180" s="3142">
        <v>0</v>
      </c>
      <c r="DC180" s="3142">
        <v>0</v>
      </c>
      <c r="DD180" s="3102">
        <f t="shared" si="225"/>
        <v>0</v>
      </c>
      <c r="DE180" s="3140">
        <v>0</v>
      </c>
      <c r="DF180" s="3140">
        <v>0</v>
      </c>
      <c r="DG180" s="3140">
        <v>0</v>
      </c>
      <c r="DH180" s="3140">
        <v>0</v>
      </c>
      <c r="DI180" s="1741">
        <f t="shared" si="284"/>
        <v>0</v>
      </c>
      <c r="DJ180" s="1494"/>
      <c r="DK180" s="3136"/>
      <c r="DL180" s="1494"/>
      <c r="DM180" s="1494"/>
    </row>
    <row r="181" spans="1:129" s="875" customFormat="1" ht="11.25" customHeight="1" collapsed="1">
      <c r="A181" s="1494" t="s">
        <v>722</v>
      </c>
      <c r="B181" s="3131"/>
      <c r="C181" s="3131"/>
      <c r="D181" s="3131"/>
      <c r="E181" s="3131"/>
      <c r="F181" s="3131"/>
      <c r="G181" s="3131"/>
      <c r="H181" s="1852">
        <f>H179+H180</f>
        <v>1060.6000000000004</v>
      </c>
      <c r="I181" s="1852">
        <f t="shared" ref="I181:W181" si="293">I179+I180</f>
        <v>309.5</v>
      </c>
      <c r="J181" s="1852">
        <f t="shared" si="293"/>
        <v>804.99999999999977</v>
      </c>
      <c r="K181" s="1852">
        <f t="shared" si="293"/>
        <v>947</v>
      </c>
      <c r="L181" s="1852">
        <f t="shared" si="293"/>
        <v>1076</v>
      </c>
      <c r="M181" s="1852">
        <f t="shared" si="293"/>
        <v>1055</v>
      </c>
      <c r="N181" s="1852">
        <f t="shared" si="293"/>
        <v>878</v>
      </c>
      <c r="O181" s="3144">
        <f>O179+O180</f>
        <v>812</v>
      </c>
      <c r="P181" s="3144">
        <f t="shared" si="293"/>
        <v>878</v>
      </c>
      <c r="Q181" s="2992">
        <f>Q179+Q180</f>
        <v>765</v>
      </c>
      <c r="R181" s="2992">
        <f t="shared" si="293"/>
        <v>918</v>
      </c>
      <c r="S181" s="3145">
        <f t="shared" si="293"/>
        <v>618</v>
      </c>
      <c r="T181" s="2992">
        <f>T179+T180</f>
        <v>508.03116142289707</v>
      </c>
      <c r="U181" s="1852">
        <f>U179+U180</f>
        <v>633.17529054683973</v>
      </c>
      <c r="V181" s="1852">
        <f t="shared" si="293"/>
        <v>621.68943301741035</v>
      </c>
      <c r="W181" s="1852">
        <f t="shared" si="293"/>
        <v>800.58727128077999</v>
      </c>
      <c r="X181" s="1852">
        <f t="shared" ref="X181:AC181" si="294">X179+X180</f>
        <v>712.98340129599319</v>
      </c>
      <c r="Y181" s="1852">
        <f t="shared" si="294"/>
        <v>826.31120562116143</v>
      </c>
      <c r="Z181" s="1852">
        <f t="shared" si="294"/>
        <v>680.64185914297889</v>
      </c>
      <c r="AA181" s="1852">
        <f t="shared" si="294"/>
        <v>784.04996941721367</v>
      </c>
      <c r="AB181" s="1852">
        <f t="shared" si="294"/>
        <v>666.83982020495091</v>
      </c>
      <c r="AC181" s="1852">
        <f t="shared" si="294"/>
        <v>692.99813540241405</v>
      </c>
      <c r="AD181" s="1852">
        <f>AD179+AD180</f>
        <v>588.30275619340489</v>
      </c>
      <c r="AE181" s="1852">
        <f>AE179+AE180</f>
        <v>754.63195182827326</v>
      </c>
      <c r="AF181" s="1475"/>
      <c r="AG181" s="1475"/>
      <c r="AH181" s="1475"/>
      <c r="AI181" s="1475"/>
      <c r="AJ181" s="1475"/>
      <c r="AK181" s="1475"/>
      <c r="AL181" s="1494" t="s">
        <v>722</v>
      </c>
      <c r="AM181" s="3131"/>
      <c r="AN181" s="3131"/>
      <c r="AO181" s="3131"/>
      <c r="AP181" s="3131"/>
      <c r="AQ181" s="3132"/>
      <c r="AR181" s="3131"/>
      <c r="AS181" s="3131"/>
      <c r="AT181" s="3131"/>
      <c r="AU181" s="3131"/>
      <c r="AV181" s="3132"/>
      <c r="AW181" s="3131"/>
      <c r="AX181" s="3131"/>
      <c r="AY181" s="3131"/>
      <c r="AZ181" s="3131"/>
      <c r="BA181" s="3132"/>
      <c r="BB181" s="3131"/>
      <c r="BC181" s="3131"/>
      <c r="BD181" s="3131"/>
      <c r="BE181" s="3131"/>
      <c r="BF181" s="3132"/>
      <c r="BG181" s="3133">
        <f>BG179+BG180</f>
        <v>255.4</v>
      </c>
      <c r="BH181" s="3133">
        <f>BH179+BH180</f>
        <v>333.4</v>
      </c>
      <c r="BI181" s="3133">
        <f>BI179+BI180</f>
        <v>220.49999999999997</v>
      </c>
      <c r="BJ181" s="3133">
        <f>BJ179+BJ180</f>
        <v>251.3</v>
      </c>
      <c r="BK181" s="3132"/>
      <c r="BL181" s="3133">
        <f>BL179+BL180</f>
        <v>-9.4999999999999929</v>
      </c>
      <c r="BM181" s="3133">
        <f>BM179+BM180</f>
        <v>52.100000000000009</v>
      </c>
      <c r="BN181" s="3133">
        <f>BN179+BN180</f>
        <v>68.599999999999994</v>
      </c>
      <c r="BO181" s="3133">
        <f>BO179+BO180</f>
        <v>198.3</v>
      </c>
      <c r="BP181" s="2188">
        <f>I181-SUM(BL181:BO181)</f>
        <v>0</v>
      </c>
      <c r="BQ181" s="3133">
        <f>BQ179+BQ180</f>
        <v>78.900000000000006</v>
      </c>
      <c r="BR181" s="3133">
        <f>BR179+BR180</f>
        <v>203.1</v>
      </c>
      <c r="BS181" s="3133">
        <f>BS179+BS180</f>
        <v>186</v>
      </c>
      <c r="BT181" s="3133">
        <f>BT179+BT180</f>
        <v>337</v>
      </c>
      <c r="BU181" s="2188">
        <f>J181-SUM(BQ181:BT181)</f>
        <v>0</v>
      </c>
      <c r="BV181" s="3133">
        <f>BV179+BV180</f>
        <v>164</v>
      </c>
      <c r="BW181" s="3133">
        <f>BW179+BW180</f>
        <v>257</v>
      </c>
      <c r="BX181" s="3133">
        <f>BX179+BX180</f>
        <v>220</v>
      </c>
      <c r="BY181" s="3133">
        <f>BY179+BY180</f>
        <v>306</v>
      </c>
      <c r="BZ181" s="2188">
        <f>K181-SUM(BV181:BY181)</f>
        <v>0</v>
      </c>
      <c r="CA181" s="3133">
        <f>CA179+CA180</f>
        <v>182</v>
      </c>
      <c r="CB181" s="3133">
        <f>CB179+CB180</f>
        <v>287</v>
      </c>
      <c r="CC181" s="3133">
        <f>CC179+CC180</f>
        <v>252</v>
      </c>
      <c r="CD181" s="3133">
        <f>CD179+CD180</f>
        <v>355</v>
      </c>
      <c r="CE181" s="2188">
        <f>L181-SUM(CA181:CD181)</f>
        <v>0</v>
      </c>
      <c r="CF181" s="3133">
        <f>CF179+CF180</f>
        <v>208</v>
      </c>
      <c r="CG181" s="3133">
        <f>CG179+CG180</f>
        <v>299</v>
      </c>
      <c r="CH181" s="3133">
        <f>CH179+CH180</f>
        <v>229</v>
      </c>
      <c r="CI181" s="3133">
        <f>CI179+CI180</f>
        <v>319</v>
      </c>
      <c r="CJ181" s="2188">
        <f>M181-SUM(CF181:CI181)</f>
        <v>0</v>
      </c>
      <c r="CK181" s="3133">
        <f>CK179+CK180</f>
        <v>179</v>
      </c>
      <c r="CL181" s="3133">
        <f>CL179+CL180</f>
        <v>215</v>
      </c>
      <c r="CM181" s="3133">
        <f>CM179+CM180</f>
        <v>192</v>
      </c>
      <c r="CN181" s="3133">
        <f>CN179+CN180</f>
        <v>292</v>
      </c>
      <c r="CO181" s="2188">
        <f>$N181-SUM(CK181:CN181)</f>
        <v>0</v>
      </c>
      <c r="CP181" s="3133">
        <f>CP179+CP180</f>
        <v>161</v>
      </c>
      <c r="CQ181" s="3133">
        <f>CQ179+CQ180</f>
        <v>198</v>
      </c>
      <c r="CR181" s="3133">
        <f>CR179+CR180</f>
        <v>174</v>
      </c>
      <c r="CS181" s="3133">
        <f>CS179+CS180</f>
        <v>232</v>
      </c>
      <c r="CT181" s="2188">
        <f>$Q181-SUM(CP181:CS181)</f>
        <v>0</v>
      </c>
      <c r="CU181" s="3133">
        <f>CU179+CU180</f>
        <v>150</v>
      </c>
      <c r="CV181" s="3133">
        <f>CV179+CV180</f>
        <v>130</v>
      </c>
      <c r="CW181" s="3133">
        <f>CW179+CW180</f>
        <v>122</v>
      </c>
      <c r="CX181" s="3133">
        <f>CX179+CX180</f>
        <v>216</v>
      </c>
      <c r="CY181" s="3102">
        <f>S181-SUM(CU181:CX181)</f>
        <v>0</v>
      </c>
      <c r="CZ181" s="3139">
        <f>CZ179+CZ180</f>
        <v>123</v>
      </c>
      <c r="DA181" s="3139">
        <f>DA179+DA180</f>
        <v>127</v>
      </c>
      <c r="DB181" s="3139">
        <f>DB179+DB180</f>
        <v>105</v>
      </c>
      <c r="DC181" s="3139">
        <f>DC179+DC180</f>
        <v>153.03116142289699</v>
      </c>
      <c r="DD181" s="3102">
        <f t="shared" si="225"/>
        <v>0</v>
      </c>
      <c r="DE181" s="3133">
        <f t="shared" ref="DE181:DH181" si="295">DE179+DE180</f>
        <v>146.84340248096552</v>
      </c>
      <c r="DF181" s="3133">
        <f t="shared" si="295"/>
        <v>142.39812600658212</v>
      </c>
      <c r="DG181" s="3133">
        <f t="shared" si="295"/>
        <v>137.95503181943891</v>
      </c>
      <c r="DH181" s="3133">
        <f t="shared" si="295"/>
        <v>205.97873023985318</v>
      </c>
      <c r="DI181" s="1741">
        <f t="shared" si="284"/>
        <v>0</v>
      </c>
      <c r="DJ181" s="2188"/>
      <c r="DK181" s="3133"/>
      <c r="DL181" s="1494"/>
      <c r="DM181" s="1494"/>
    </row>
    <row r="182" spans="1:129" ht="11.25" customHeight="1">
      <c r="A182" s="1853" t="s">
        <v>344</v>
      </c>
      <c r="B182" s="1854"/>
      <c r="C182" s="1854"/>
      <c r="D182" s="1854"/>
      <c r="E182" s="1854"/>
      <c r="F182" s="1854"/>
      <c r="G182" s="1854"/>
      <c r="H182" s="1855"/>
      <c r="I182" s="1110">
        <f>I181/H181-1</f>
        <v>-0.70818404676598168</v>
      </c>
      <c r="J182" s="1110">
        <f t="shared" ref="J182:W182" si="296">J181/I181-1</f>
        <v>1.6009693053311786</v>
      </c>
      <c r="K182" s="1110">
        <f t="shared" si="296"/>
        <v>0.17639751552795069</v>
      </c>
      <c r="L182" s="1110">
        <f t="shared" si="296"/>
        <v>0.13621964097148886</v>
      </c>
      <c r="M182" s="1110">
        <f t="shared" si="296"/>
        <v>-1.9516728624535351E-2</v>
      </c>
      <c r="N182" s="1110">
        <f t="shared" si="296"/>
        <v>-0.16777251184834119</v>
      </c>
      <c r="O182" s="2705"/>
      <c r="P182" s="2705">
        <f t="shared" si="296"/>
        <v>8.1280788177339858E-2</v>
      </c>
      <c r="Q182" s="2802">
        <f t="shared" si="296"/>
        <v>-0.12870159453302965</v>
      </c>
      <c r="R182" s="2802">
        <f t="shared" si="296"/>
        <v>0.19999999999999996</v>
      </c>
      <c r="S182" s="2837"/>
      <c r="T182" s="2802">
        <f>T181/S181-1</f>
        <v>-0.1779431044936941</v>
      </c>
      <c r="U182" s="1110">
        <f>U181/T181-1</f>
        <v>0.24633160055268677</v>
      </c>
      <c r="V182" s="1110">
        <f t="shared" si="296"/>
        <v>-1.8140091221041876E-2</v>
      </c>
      <c r="W182" s="1110">
        <f t="shared" si="296"/>
        <v>0.2877607833787319</v>
      </c>
      <c r="X182" s="1110">
        <f t="shared" ref="X182:AE182" si="297">X181/W181-1</f>
        <v>-0.10942451014070964</v>
      </c>
      <c r="Y182" s="1110">
        <f t="shared" si="297"/>
        <v>0.15894872744466659</v>
      </c>
      <c r="Z182" s="1110">
        <f t="shared" si="297"/>
        <v>-0.17628872207860091</v>
      </c>
      <c r="AA182" s="1110">
        <f t="shared" si="297"/>
        <v>0.15192734458682833</v>
      </c>
      <c r="AB182" s="1110">
        <f t="shared" si="297"/>
        <v>-0.14949321316775943</v>
      </c>
      <c r="AC182" s="1110">
        <f t="shared" si="297"/>
        <v>3.9227284281588837E-2</v>
      </c>
      <c r="AD182" s="1110">
        <f t="shared" si="297"/>
        <v>-0.15107598976181091</v>
      </c>
      <c r="AE182" s="1110">
        <f t="shared" si="297"/>
        <v>0.28272720785993988</v>
      </c>
      <c r="AF182" s="1110"/>
      <c r="AG182" s="1110"/>
      <c r="AH182" s="1110"/>
      <c r="AI182" s="1110"/>
      <c r="AJ182" s="1110"/>
      <c r="AK182" s="1110"/>
      <c r="AL182" s="1853" t="str">
        <f>+A182</f>
        <v xml:space="preserve">% Change </v>
      </c>
      <c r="AM182" s="1854"/>
      <c r="AN182" s="1854"/>
      <c r="AO182" s="1854"/>
      <c r="AP182" s="1854"/>
      <c r="AQ182" s="1856"/>
      <c r="AR182" s="1854"/>
      <c r="AS182" s="1854"/>
      <c r="AT182" s="1854"/>
      <c r="AU182" s="1854"/>
      <c r="AV182" s="1856"/>
      <c r="AW182" s="1854"/>
      <c r="AX182" s="1854"/>
      <c r="AY182" s="1854"/>
      <c r="AZ182" s="1854"/>
      <c r="BA182" s="1856"/>
      <c r="BB182" s="1854"/>
      <c r="BC182" s="1854"/>
      <c r="BD182" s="1854"/>
      <c r="BE182" s="1854"/>
      <c r="BF182" s="1856"/>
      <c r="BG182" s="1854"/>
      <c r="BH182" s="1854"/>
      <c r="BI182" s="1854"/>
      <c r="BJ182" s="1854"/>
      <c r="BK182" s="1856"/>
      <c r="BL182" s="1801">
        <f>BL181/BG181-1</f>
        <v>-1.0371965544244321</v>
      </c>
      <c r="BM182" s="1801">
        <f>BM181/BH181-1</f>
        <v>-0.84373125374925007</v>
      </c>
      <c r="BN182" s="1801">
        <f>BN181/BI181-1</f>
        <v>-0.68888888888888888</v>
      </c>
      <c r="BO182" s="1801">
        <f>BO181/BJ181-1</f>
        <v>-0.21090330282530834</v>
      </c>
      <c r="BP182" s="1857"/>
      <c r="BQ182" s="1801">
        <f>BQ181/BL181-1</f>
        <v>-9.3052631578947445</v>
      </c>
      <c r="BR182" s="1801">
        <f>BR181/BM181-1</f>
        <v>2.8982725527831086</v>
      </c>
      <c r="BS182" s="1801">
        <f>BS181/BN181-1</f>
        <v>1.7113702623906706</v>
      </c>
      <c r="BT182" s="1801">
        <f>BT181/BO181-1</f>
        <v>0.69944528492183555</v>
      </c>
      <c r="BU182" s="1857"/>
      <c r="BV182" s="1801">
        <f>BV181/BQ181-1</f>
        <v>1.0785804816223066</v>
      </c>
      <c r="BW182" s="1801">
        <f>BW181/BR181-1</f>
        <v>0.26538650910881345</v>
      </c>
      <c r="BX182" s="1801">
        <f>BX181/BS181-1</f>
        <v>0.18279569892473124</v>
      </c>
      <c r="BY182" s="1801">
        <f>BY181/BT181-1</f>
        <v>-9.1988130563798176E-2</v>
      </c>
      <c r="BZ182" s="1164"/>
      <c r="CA182" s="1801">
        <f>CA181/BV181-1</f>
        <v>0.10975609756097571</v>
      </c>
      <c r="CB182" s="1801">
        <f>CB181/BW181-1</f>
        <v>0.11673151750972766</v>
      </c>
      <c r="CC182" s="1801">
        <f>CC181/BX181-1</f>
        <v>0.1454545454545455</v>
      </c>
      <c r="CD182" s="1801">
        <f>CD181/BY181-1</f>
        <v>0.16013071895424846</v>
      </c>
      <c r="CE182" s="1164"/>
      <c r="CF182" s="1801">
        <f>CF181/CA181-1</f>
        <v>0.14285714285714279</v>
      </c>
      <c r="CG182" s="1801">
        <f>CG181/CB181-1</f>
        <v>4.1811846689895571E-2</v>
      </c>
      <c r="CH182" s="1801">
        <f>CH181/CC181-1</f>
        <v>-9.1269841269841279E-2</v>
      </c>
      <c r="CI182" s="1801">
        <f>CI181/CD181-1</f>
        <v>-0.10140845070422533</v>
      </c>
      <c r="CJ182" s="1164"/>
      <c r="CK182" s="1802">
        <f>CK181/CF181-1</f>
        <v>-0.13942307692307687</v>
      </c>
      <c r="CL182" s="1802">
        <f>CL181/CG181-1</f>
        <v>-0.28093645484949836</v>
      </c>
      <c r="CM182" s="1802">
        <f>CM181/CH181-1</f>
        <v>-0.16157205240174677</v>
      </c>
      <c r="CN182" s="1801">
        <f>CN181/CI181-1</f>
        <v>-8.4639498432601878E-2</v>
      </c>
      <c r="CO182" s="1164"/>
      <c r="CP182" s="2024">
        <f>CP181/CK181-1</f>
        <v>-0.1005586592178771</v>
      </c>
      <c r="CQ182" s="2024">
        <f>CQ181/CL181-1</f>
        <v>-7.906976744186045E-2</v>
      </c>
      <c r="CR182" s="2024">
        <f>CR181/CM181-1</f>
        <v>-9.375E-2</v>
      </c>
      <c r="CS182" s="2024">
        <f>CS181/CN181-1</f>
        <v>-0.20547945205479456</v>
      </c>
      <c r="CT182" s="1164"/>
      <c r="CU182" s="1801">
        <f>CU181/CP181-1</f>
        <v>-6.8322981366459645E-2</v>
      </c>
      <c r="CV182" s="1801">
        <f>CV181/CQ181-1</f>
        <v>-0.34343434343434343</v>
      </c>
      <c r="CW182" s="1801">
        <f>CW181/CR181-1</f>
        <v>-0.29885057471264365</v>
      </c>
      <c r="CX182" s="1801">
        <f>CX181/CS181-1</f>
        <v>-6.8965517241379337E-2</v>
      </c>
      <c r="CY182" s="3153"/>
      <c r="CZ182" s="3089">
        <f>CZ181/CU181-1</f>
        <v>-0.18000000000000005</v>
      </c>
      <c r="DA182" s="3089">
        <f>DA181/CV181-1</f>
        <v>-2.3076923076923106E-2</v>
      </c>
      <c r="DB182" s="1801">
        <f>DB181/CW181-1</f>
        <v>-0.13934426229508201</v>
      </c>
      <c r="DC182" s="1801">
        <f>DC181/CX181-1</f>
        <v>-0.29152240081992131</v>
      </c>
      <c r="DD182" s="1741"/>
      <c r="DE182" s="1801">
        <f t="shared" ref="DE182:DH182" si="298">DE181/CZ181-1</f>
        <v>0.19384880065825638</v>
      </c>
      <c r="DF182" s="1801">
        <f t="shared" si="298"/>
        <v>0.12124508666600087</v>
      </c>
      <c r="DG182" s="1801">
        <f t="shared" si="298"/>
        <v>0.31385744589941833</v>
      </c>
      <c r="DH182" s="1801">
        <f t="shared" si="298"/>
        <v>0.34599207327870429</v>
      </c>
      <c r="DI182" s="1741"/>
      <c r="DJ182" s="1164"/>
      <c r="DK182" s="1801"/>
      <c r="DL182" s="1164"/>
      <c r="DM182" s="1164"/>
      <c r="DO182"/>
      <c r="DP182"/>
      <c r="DQ182"/>
      <c r="DR182"/>
      <c r="DS182"/>
      <c r="DT182"/>
    </row>
    <row r="183" spans="1:129" ht="11.25" customHeight="1">
      <c r="A183" s="1797" t="s">
        <v>1208</v>
      </c>
      <c r="B183" s="1372"/>
      <c r="C183" s="1372"/>
      <c r="D183" s="1372"/>
      <c r="E183" s="1372"/>
      <c r="F183" s="1372"/>
      <c r="G183" s="1372"/>
      <c r="H183" s="1110">
        <f>H181/H145</f>
        <v>0.20710798672134356</v>
      </c>
      <c r="I183" s="1110">
        <f t="shared" ref="I183:V183" si="299">I181/I145</f>
        <v>7.5815104230458313E-2</v>
      </c>
      <c r="J183" s="1110">
        <f t="shared" si="299"/>
        <v>0.17493534997935542</v>
      </c>
      <c r="K183" s="1110">
        <f t="shared" si="299"/>
        <v>0.23823899371069182</v>
      </c>
      <c r="L183" s="1110">
        <f t="shared" si="299"/>
        <v>0.26511604986941312</v>
      </c>
      <c r="M183" s="1110">
        <f t="shared" si="299"/>
        <v>0.26374999999999998</v>
      </c>
      <c r="N183" s="1110">
        <f>N181/N145</f>
        <v>0.31857764876632799</v>
      </c>
      <c r="O183" s="2705">
        <f>O181/O145</f>
        <v>0.30118694362017806</v>
      </c>
      <c r="P183" s="2705">
        <f>P181/P145</f>
        <v>0.31857764876632799</v>
      </c>
      <c r="Q183" s="2802">
        <f>Q181/Q145</f>
        <v>0.27089235127478756</v>
      </c>
      <c r="R183" s="2802">
        <f t="shared" si="299"/>
        <v>0.30610203401133712</v>
      </c>
      <c r="S183" s="2837"/>
      <c r="T183" s="2802">
        <f>T181/T145</f>
        <v>0.29871162816913371</v>
      </c>
      <c r="U183" s="1110">
        <f>U181/U145</f>
        <v>0.32967759892107851</v>
      </c>
      <c r="V183" s="1110">
        <f t="shared" si="299"/>
        <v>0.30689159744468747</v>
      </c>
      <c r="W183" s="1110">
        <f t="shared" ref="W183:AC183" si="300">W181/W145</f>
        <v>0.32874447571991072</v>
      </c>
      <c r="X183" s="1110">
        <f t="shared" si="300"/>
        <v>0.28243843930640838</v>
      </c>
      <c r="Y183" s="1110">
        <f t="shared" si="300"/>
        <v>0.30081109284045754</v>
      </c>
      <c r="Z183" s="1110">
        <f t="shared" si="300"/>
        <v>0.2519825181756789</v>
      </c>
      <c r="AA183" s="1110">
        <f t="shared" si="300"/>
        <v>0.26989195101317626</v>
      </c>
      <c r="AB183" s="1110">
        <f t="shared" si="300"/>
        <v>0.23137231018508561</v>
      </c>
      <c r="AC183" s="1110">
        <f t="shared" si="300"/>
        <v>0.23132056043156024</v>
      </c>
      <c r="AD183" s="1110">
        <f>AD181/AD145</f>
        <v>0.19764377139625822</v>
      </c>
      <c r="AE183" s="1110">
        <f>AE181/AE145</f>
        <v>0.23340813601443053</v>
      </c>
      <c r="AF183" s="1110"/>
      <c r="AG183" s="1110"/>
      <c r="AH183" s="1110"/>
      <c r="AI183" s="1110"/>
      <c r="AJ183" s="1110"/>
      <c r="AK183" s="1110"/>
      <c r="AL183" s="1797" t="str">
        <f>+A183</f>
        <v xml:space="preserve">% Margin </v>
      </c>
      <c r="AM183" s="1372"/>
      <c r="AN183" s="1372"/>
      <c r="AO183" s="1372"/>
      <c r="AP183" s="1372"/>
      <c r="AQ183" s="1799"/>
      <c r="AR183" s="1372"/>
      <c r="AS183" s="1372"/>
      <c r="AT183" s="1372"/>
      <c r="AU183" s="1372"/>
      <c r="AV183" s="1799"/>
      <c r="AW183" s="1372"/>
      <c r="AX183" s="1372"/>
      <c r="AY183" s="1372"/>
      <c r="AZ183" s="1372"/>
      <c r="BA183" s="1799"/>
      <c r="BB183" s="1372"/>
      <c r="BC183" s="1372"/>
      <c r="BD183" s="1372"/>
      <c r="BE183" s="1372"/>
      <c r="BF183" s="1799"/>
      <c r="BG183" s="1110">
        <f t="shared" ref="BG183:BT183" si="301">BG181/BG145</f>
        <v>0.20760851894000976</v>
      </c>
      <c r="BH183" s="1110">
        <f t="shared" si="301"/>
        <v>0.24273753185293045</v>
      </c>
      <c r="BI183" s="1110">
        <f t="shared" si="301"/>
        <v>0.17566921606118543</v>
      </c>
      <c r="BJ183" s="1110">
        <f t="shared" si="301"/>
        <v>0.19911259012756519</v>
      </c>
      <c r="BK183" s="1799"/>
      <c r="BL183" s="1110">
        <f t="shared" si="301"/>
        <v>-1.0670560485229691E-2</v>
      </c>
      <c r="BM183" s="1110">
        <f t="shared" si="301"/>
        <v>5.1400947119179169E-2</v>
      </c>
      <c r="BN183" s="1110">
        <f t="shared" si="301"/>
        <v>6.7606189021385626E-2</v>
      </c>
      <c r="BO183" s="1110">
        <f t="shared" si="301"/>
        <v>0.17040474349059037</v>
      </c>
      <c r="BP183" s="1741"/>
      <c r="BQ183" s="1110">
        <f t="shared" si="301"/>
        <v>7.9081888343189341E-2</v>
      </c>
      <c r="BR183" s="1110">
        <f t="shared" si="301"/>
        <v>0.17902159541648302</v>
      </c>
      <c r="BS183" s="1110">
        <f t="shared" si="301"/>
        <v>0.16358839050131926</v>
      </c>
      <c r="BT183" s="1110">
        <f t="shared" si="301"/>
        <v>0.2529080675422139</v>
      </c>
      <c r="BU183" s="1741"/>
      <c r="BV183" s="1110">
        <f>BV181/BV145</f>
        <v>0.18222222222222223</v>
      </c>
      <c r="BW183" s="1110">
        <f>BW181/BW145</f>
        <v>0.2512218963831867</v>
      </c>
      <c r="BX183" s="1110">
        <f>BX181/BX145</f>
        <v>0.2224469160768453</v>
      </c>
      <c r="BY183" s="1110">
        <f>BY181/BY145</f>
        <v>0.28786453433678272</v>
      </c>
      <c r="BZ183" s="1108"/>
      <c r="CA183" s="1110">
        <f>CA181/CA145</f>
        <v>0.20046260601387819</v>
      </c>
      <c r="CB183" s="1110">
        <f>CB181/CB145</f>
        <v>0.27718756036314468</v>
      </c>
      <c r="CC183" s="1110">
        <f>CC181/CC145</f>
        <v>0.25390428211586902</v>
      </c>
      <c r="CD183" s="1110">
        <f>CD181/CD145</f>
        <v>0.31617385108656931</v>
      </c>
      <c r="CE183" s="1108"/>
      <c r="CF183" s="1110">
        <f>CF181/CF145</f>
        <v>0.22633297062023938</v>
      </c>
      <c r="CG183" s="1110">
        <f>CG181/CG145</f>
        <v>0.28944820909970959</v>
      </c>
      <c r="CH183" s="1110">
        <f>CH181/CH145</f>
        <v>0.23319755600814665</v>
      </c>
      <c r="CI183" s="1110">
        <f>CI181/CI145</f>
        <v>0.29924953095684803</v>
      </c>
      <c r="CJ183" s="1108"/>
      <c r="CK183" s="1737">
        <f>CK181/CK145</f>
        <v>0.28594249201277955</v>
      </c>
      <c r="CL183" s="1737">
        <f>CL181/CL145</f>
        <v>0.32330827067669171</v>
      </c>
      <c r="CM183" s="1737">
        <f>CM181/CM145</f>
        <v>0.28235294117647058</v>
      </c>
      <c r="CN183" s="1110">
        <f>CN181/CN145</f>
        <v>0.3719745222929936</v>
      </c>
      <c r="CO183" s="1108"/>
      <c r="CP183" s="2023">
        <f>CP181/CP145</f>
        <v>0.24922600619195046</v>
      </c>
      <c r="CQ183" s="2023">
        <f>CQ181/CQ145</f>
        <v>0.28085106382978725</v>
      </c>
      <c r="CR183" s="2023">
        <f>CR181/CR145</f>
        <v>0.25072046109510088</v>
      </c>
      <c r="CS183" s="2023">
        <f>CS181/CS145</f>
        <v>0.29781771501925547</v>
      </c>
      <c r="CT183" s="1108"/>
      <c r="CU183" s="1110">
        <f>CU181/CU145</f>
        <v>0.33482142857142855</v>
      </c>
      <c r="CV183" s="1110">
        <f>CV181/CV145</f>
        <v>0.32828282828282829</v>
      </c>
      <c r="CW183" s="1110">
        <f>CW181/CW145</f>
        <v>0.2982885085574572</v>
      </c>
      <c r="CX183" s="1110">
        <f>CX181/CX145</f>
        <v>0.41064638783269963</v>
      </c>
      <c r="CY183" s="1108"/>
      <c r="CZ183" s="1110">
        <f>CZ181/CZ145</f>
        <v>0.30073349633251834</v>
      </c>
      <c r="DA183" s="1110">
        <f>DA181/DA145</f>
        <v>0.30825242718446599</v>
      </c>
      <c r="DB183" s="1110">
        <f>DB181/DB145</f>
        <v>0.26448362720403024</v>
      </c>
      <c r="DC183" s="1110">
        <f>DC181/DC145</f>
        <v>0.31700458475890497</v>
      </c>
      <c r="DD183" s="1741"/>
      <c r="DE183" s="1110">
        <f t="shared" ref="DE183:DH183" si="302">DE181/DE145</f>
        <v>0.32659562346801874</v>
      </c>
      <c r="DF183" s="1110">
        <f t="shared" si="302"/>
        <v>0.32066007683628062</v>
      </c>
      <c r="DG183" s="1110">
        <f t="shared" si="302"/>
        <v>0.30473155468854635</v>
      </c>
      <c r="DH183" s="1110">
        <f t="shared" si="302"/>
        <v>0.35873371400212817</v>
      </c>
      <c r="DI183" s="1741"/>
      <c r="DJ183" s="1108"/>
      <c r="DK183" s="1110"/>
      <c r="DL183" s="1108"/>
      <c r="DM183" s="1108"/>
      <c r="DN183" s="1477"/>
      <c r="DO183" s="1477"/>
      <c r="DP183" s="1477"/>
      <c r="DQ183" s="1477"/>
      <c r="DR183" s="1477"/>
      <c r="DS183" s="1477"/>
      <c r="DT183" s="1477"/>
      <c r="DU183" s="1477"/>
      <c r="DV183" s="1477"/>
      <c r="DW183" s="1477"/>
      <c r="DX183" s="1477"/>
      <c r="DY183" s="1477"/>
    </row>
    <row r="184" spans="1:129" ht="11.25" customHeight="1">
      <c r="A184" s="1365"/>
      <c r="B184" s="1372"/>
      <c r="C184" s="1372"/>
      <c r="D184" s="1372"/>
      <c r="E184" s="1372"/>
      <c r="F184" s="1372"/>
      <c r="G184" s="1372"/>
      <c r="H184" s="1372"/>
      <c r="I184" s="1372"/>
      <c r="J184" s="1800"/>
      <c r="K184" s="1372"/>
      <c r="L184" s="1372"/>
      <c r="M184" s="1372"/>
      <c r="N184" s="1801"/>
      <c r="O184" s="2739"/>
      <c r="P184" s="2739"/>
      <c r="Q184" s="1801"/>
      <c r="R184" s="1801"/>
      <c r="S184" s="2739"/>
      <c r="T184" s="1801"/>
      <c r="U184" s="1801"/>
      <c r="V184" s="1801"/>
      <c r="W184" s="1801"/>
      <c r="X184" s="1801"/>
      <c r="Y184" s="1801"/>
      <c r="Z184" s="1801"/>
      <c r="AA184" s="1801"/>
      <c r="AB184" s="1801"/>
      <c r="AC184" s="1801"/>
      <c r="AD184" s="1801"/>
      <c r="AE184" s="1801"/>
      <c r="AF184" s="1801"/>
      <c r="AG184" s="1801"/>
      <c r="AH184" s="1801"/>
      <c r="AI184" s="1801"/>
      <c r="AJ184" s="1801"/>
      <c r="AK184" s="1372"/>
      <c r="AL184" s="1109"/>
      <c r="AM184" s="1372"/>
      <c r="AN184" s="1372"/>
      <c r="AO184" s="1372"/>
      <c r="AP184" s="1372"/>
      <c r="AQ184" s="1799"/>
      <c r="AR184" s="1372"/>
      <c r="AS184" s="1372"/>
      <c r="AT184" s="1372"/>
      <c r="AU184" s="1372"/>
      <c r="AV184" s="1799"/>
      <c r="AW184" s="1372"/>
      <c r="AX184" s="1372"/>
      <c r="AY184" s="1372"/>
      <c r="AZ184" s="1372"/>
      <c r="BA184" s="1799"/>
      <c r="BB184" s="1372"/>
      <c r="BC184" s="1372"/>
      <c r="BD184" s="1372"/>
      <c r="BE184" s="1372"/>
      <c r="BF184" s="1799"/>
      <c r="BG184" s="1372"/>
      <c r="BH184" s="1372"/>
      <c r="BI184" s="1372"/>
      <c r="BJ184" s="1372"/>
      <c r="BK184" s="1799"/>
      <c r="BL184" s="1372"/>
      <c r="BM184" s="1372"/>
      <c r="BN184" s="1372"/>
      <c r="BO184" s="1372"/>
      <c r="BP184" s="1799"/>
      <c r="BQ184" s="1108"/>
      <c r="BR184" s="1108"/>
      <c r="BS184" s="1108"/>
      <c r="BT184" s="1108"/>
      <c r="BU184" s="1108"/>
      <c r="BV184" s="1108"/>
      <c r="BW184" s="1108"/>
      <c r="BX184" s="1108"/>
      <c r="BY184" s="1108"/>
      <c r="BZ184" s="1108"/>
      <c r="CA184" s="1108"/>
      <c r="CB184" s="1108"/>
      <c r="CC184" s="1108"/>
      <c r="CD184" s="1108"/>
      <c r="CE184" s="1108"/>
      <c r="CF184" s="1108"/>
      <c r="CG184" s="1108"/>
      <c r="CH184" s="1108"/>
      <c r="CI184" s="1108"/>
      <c r="CJ184" s="1108"/>
      <c r="CK184" s="1470"/>
      <c r="CL184" s="1470"/>
      <c r="CM184" s="1470"/>
      <c r="CN184" s="1108"/>
      <c r="CO184" s="1108"/>
      <c r="CP184" s="1470"/>
      <c r="CQ184" s="1470"/>
      <c r="CR184" s="1470"/>
      <c r="CS184" s="1108"/>
      <c r="CT184" s="1108"/>
      <c r="CU184" s="1108"/>
      <c r="CV184" s="1108"/>
      <c r="CW184" s="1108"/>
      <c r="CX184" s="1108"/>
      <c r="CY184" s="1108"/>
      <c r="CZ184" s="1108"/>
      <c r="DA184" s="1108"/>
      <c r="DB184" s="1108"/>
      <c r="DC184" s="1108"/>
      <c r="DD184" s="1741"/>
      <c r="DE184" s="1741"/>
      <c r="DF184" s="1741"/>
      <c r="DG184" s="1741"/>
      <c r="DH184" s="1741"/>
      <c r="DI184" s="2835"/>
      <c r="DJ184" s="1108"/>
      <c r="DK184" s="1108"/>
      <c r="DL184" s="1108"/>
      <c r="DM184" s="1108"/>
      <c r="DN184" s="1477"/>
      <c r="DO184" s="1477"/>
      <c r="DP184" s="1477"/>
      <c r="DQ184" s="1477"/>
      <c r="DR184" s="1477"/>
      <c r="DS184" s="1477"/>
      <c r="DT184" s="1477"/>
      <c r="DU184" s="1477"/>
      <c r="DV184" s="1477"/>
      <c r="DW184" s="1477"/>
      <c r="DX184" s="1477"/>
      <c r="DY184" s="1477"/>
    </row>
    <row r="185" spans="1:129" ht="11.25" customHeight="1">
      <c r="A185" s="2450" t="s">
        <v>422</v>
      </c>
      <c r="B185" s="101" t="str">
        <f>B3</f>
        <v>2002</v>
      </c>
      <c r="C185" s="101" t="str">
        <f t="shared" ref="C185:J185" si="303">C3</f>
        <v>2003</v>
      </c>
      <c r="D185" s="101" t="str">
        <f t="shared" si="303"/>
        <v>2004</v>
      </c>
      <c r="E185" s="101" t="str">
        <f t="shared" si="303"/>
        <v>2005</v>
      </c>
      <c r="F185" s="101">
        <f t="shared" si="303"/>
        <v>2006</v>
      </c>
      <c r="G185" s="101">
        <f t="shared" si="303"/>
        <v>2007</v>
      </c>
      <c r="H185" s="101">
        <f t="shared" si="303"/>
        <v>2008</v>
      </c>
      <c r="I185" s="101">
        <f t="shared" si="303"/>
        <v>2009</v>
      </c>
      <c r="J185" s="101">
        <f t="shared" si="303"/>
        <v>2010</v>
      </c>
      <c r="K185" s="101">
        <f t="shared" ref="K185:V185" si="304">K3</f>
        <v>2011</v>
      </c>
      <c r="L185" s="101" t="str">
        <f t="shared" si="304"/>
        <v>2012A</v>
      </c>
      <c r="M185" s="101" t="str">
        <f t="shared" si="304"/>
        <v>2013A</v>
      </c>
      <c r="N185" s="101" t="str">
        <f t="shared" si="304"/>
        <v>2014A</v>
      </c>
      <c r="O185" s="2740"/>
      <c r="P185" s="2740"/>
      <c r="Q185" s="101" t="str">
        <f>Q3</f>
        <v>2015A</v>
      </c>
      <c r="R185" s="101" t="str">
        <f t="shared" si="304"/>
        <v>2016A</v>
      </c>
      <c r="S185" s="2740"/>
      <c r="T185" s="101" t="str">
        <f t="shared" si="304"/>
        <v>2017E</v>
      </c>
      <c r="U185" s="101" t="str">
        <f t="shared" si="304"/>
        <v>2018E</v>
      </c>
      <c r="V185" s="101" t="str">
        <f t="shared" si="304"/>
        <v>2019E</v>
      </c>
      <c r="W185" s="101" t="str">
        <f t="shared" ref="W185:AB185" si="305">W3</f>
        <v>2020E</v>
      </c>
      <c r="X185" s="101" t="str">
        <f t="shared" si="305"/>
        <v>2021E</v>
      </c>
      <c r="Y185" s="101" t="str">
        <f t="shared" si="305"/>
        <v>2022E</v>
      </c>
      <c r="Z185" s="101" t="str">
        <f t="shared" si="305"/>
        <v>2023E</v>
      </c>
      <c r="AA185" s="101" t="str">
        <f t="shared" si="305"/>
        <v>2024E</v>
      </c>
      <c r="AB185" s="101" t="str">
        <f t="shared" si="305"/>
        <v>2025E</v>
      </c>
      <c r="AC185" s="101" t="str">
        <f>AC3</f>
        <v>2026E</v>
      </c>
      <c r="AD185" s="101" t="str">
        <f>AD3</f>
        <v>2027E</v>
      </c>
      <c r="AE185" s="101" t="str">
        <f>AE3</f>
        <v>2028E</v>
      </c>
      <c r="AF185" s="1534"/>
      <c r="AG185" s="1534"/>
      <c r="AH185" s="1534"/>
      <c r="AI185" s="1534"/>
      <c r="AJ185" s="1534"/>
      <c r="AK185" s="1534"/>
      <c r="AL185" s="2450" t="s">
        <v>1219</v>
      </c>
      <c r="AM185" s="101" t="s">
        <v>670</v>
      </c>
      <c r="AN185" s="101" t="s">
        <v>671</v>
      </c>
      <c r="AO185" s="101" t="s">
        <v>672</v>
      </c>
      <c r="AP185" s="101" t="s">
        <v>673</v>
      </c>
      <c r="AQ185" s="1741"/>
      <c r="AR185" s="101" t="s">
        <v>670</v>
      </c>
      <c r="AS185" s="101" t="s">
        <v>671</v>
      </c>
      <c r="AT185" s="101" t="s">
        <v>672</v>
      </c>
      <c r="AU185" s="101" t="s">
        <v>673</v>
      </c>
      <c r="AV185" s="1741"/>
      <c r="AW185" s="101" t="s">
        <v>670</v>
      </c>
      <c r="AX185" s="101" t="s">
        <v>671</v>
      </c>
      <c r="AY185" s="101" t="s">
        <v>672</v>
      </c>
      <c r="AZ185" s="101" t="s">
        <v>673</v>
      </c>
      <c r="BA185" s="1741"/>
      <c r="BB185" s="101" t="s">
        <v>670</v>
      </c>
      <c r="BC185" s="101" t="s">
        <v>671</v>
      </c>
      <c r="BD185" s="101" t="s">
        <v>672</v>
      </c>
      <c r="BE185" s="101" t="s">
        <v>673</v>
      </c>
      <c r="BF185" s="1741"/>
      <c r="BG185" s="101" t="s">
        <v>670</v>
      </c>
      <c r="BH185" s="101" t="s">
        <v>671</v>
      </c>
      <c r="BI185" s="101" t="s">
        <v>672</v>
      </c>
      <c r="BJ185" s="101" t="s">
        <v>673</v>
      </c>
      <c r="BK185" s="1741"/>
      <c r="BL185" s="101" t="s">
        <v>670</v>
      </c>
      <c r="BM185" s="101" t="s">
        <v>671</v>
      </c>
      <c r="BN185" s="101" t="s">
        <v>672</v>
      </c>
      <c r="BO185" s="101" t="s">
        <v>673</v>
      </c>
      <c r="BP185" s="1741"/>
      <c r="BQ185" s="101" t="s">
        <v>670</v>
      </c>
      <c r="BR185" s="101" t="s">
        <v>671</v>
      </c>
      <c r="BS185" s="101" t="s">
        <v>672</v>
      </c>
      <c r="BT185" s="101" t="s">
        <v>673</v>
      </c>
      <c r="BU185" s="1108"/>
      <c r="BV185" s="101" t="s">
        <v>670</v>
      </c>
      <c r="BW185" s="101" t="s">
        <v>671</v>
      </c>
      <c r="BX185" s="101" t="s">
        <v>672</v>
      </c>
      <c r="BY185" s="101" t="s">
        <v>673</v>
      </c>
      <c r="BZ185" s="1741"/>
      <c r="CA185" s="101" t="s">
        <v>670</v>
      </c>
      <c r="CB185" s="101" t="s">
        <v>671</v>
      </c>
      <c r="CC185" s="101" t="s">
        <v>672</v>
      </c>
      <c r="CD185" s="101" t="s">
        <v>673</v>
      </c>
      <c r="CE185" s="1108"/>
      <c r="CF185" s="101" t="s">
        <v>670</v>
      </c>
      <c r="CG185" s="101" t="s">
        <v>671</v>
      </c>
      <c r="CH185" s="101" t="s">
        <v>672</v>
      </c>
      <c r="CI185" s="101" t="s">
        <v>673</v>
      </c>
      <c r="CJ185" s="1741"/>
      <c r="CK185" s="101" t="s">
        <v>670</v>
      </c>
      <c r="CL185" s="101" t="s">
        <v>671</v>
      </c>
      <c r="CM185" s="101" t="s">
        <v>672</v>
      </c>
      <c r="CN185" s="101" t="s">
        <v>673</v>
      </c>
      <c r="CO185" s="1108"/>
      <c r="CP185" s="101" t="s">
        <v>670</v>
      </c>
      <c r="CQ185" s="101" t="s">
        <v>671</v>
      </c>
      <c r="CR185" s="101" t="s">
        <v>672</v>
      </c>
      <c r="CS185" s="101" t="s">
        <v>673</v>
      </c>
      <c r="CT185" s="1108"/>
      <c r="CU185" s="101" t="str">
        <f>CU3</f>
        <v>1Q</v>
      </c>
      <c r="CV185" s="101" t="str">
        <f>CV3</f>
        <v>2Q</v>
      </c>
      <c r="CW185" s="101" t="str">
        <f>CW3</f>
        <v>3Q</v>
      </c>
      <c r="CX185" s="101" t="str">
        <f>CX3</f>
        <v>4Q</v>
      </c>
      <c r="CY185" s="1108"/>
      <c r="CZ185" s="101" t="str">
        <f>CZ3</f>
        <v>1Q</v>
      </c>
      <c r="DA185" s="101" t="str">
        <f>DA3</f>
        <v>2Q</v>
      </c>
      <c r="DB185" s="101" t="str">
        <f>DB3</f>
        <v>3Q</v>
      </c>
      <c r="DC185" s="101" t="str">
        <f>DC3</f>
        <v>4QE</v>
      </c>
      <c r="DD185" s="1741"/>
      <c r="DE185" s="101" t="str">
        <f>DE3</f>
        <v>1QE</v>
      </c>
      <c r="DF185" s="101" t="str">
        <f>DF3</f>
        <v>2QE</v>
      </c>
      <c r="DG185" s="101" t="str">
        <f>DG3</f>
        <v>3QE</v>
      </c>
      <c r="DH185" s="101" t="str">
        <f>DH3</f>
        <v>4QE</v>
      </c>
      <c r="DI185" s="2835"/>
      <c r="DJ185" s="1108"/>
      <c r="DK185" s="1706"/>
      <c r="DL185" s="1108"/>
      <c r="DM185" s="1108"/>
      <c r="DN185" s="1477"/>
      <c r="DO185" s="1477"/>
      <c r="DP185" s="1477"/>
      <c r="DQ185" s="1477"/>
      <c r="DR185" s="1477"/>
      <c r="DS185" s="1477"/>
      <c r="DT185" s="1477"/>
      <c r="DU185" s="1477"/>
      <c r="DV185" s="1477"/>
      <c r="DW185" s="1477"/>
      <c r="DX185" s="1477"/>
      <c r="DY185" s="1477"/>
    </row>
    <row r="186" spans="1:129" ht="11.25" customHeight="1">
      <c r="A186" s="1108" t="s">
        <v>337</v>
      </c>
      <c r="B186" s="1108" t="s">
        <v>337</v>
      </c>
      <c r="C186" s="1108" t="s">
        <v>337</v>
      </c>
      <c r="D186" s="1108" t="s">
        <v>337</v>
      </c>
      <c r="E186" s="1108" t="s">
        <v>337</v>
      </c>
      <c r="F186" s="1108" t="s">
        <v>337</v>
      </c>
      <c r="G186" s="1108" t="s">
        <v>337</v>
      </c>
      <c r="H186" s="1108" t="s">
        <v>337</v>
      </c>
      <c r="I186" s="1108" t="s">
        <v>337</v>
      </c>
      <c r="J186" s="1108" t="s">
        <v>337</v>
      </c>
      <c r="K186" s="1108" t="s">
        <v>337</v>
      </c>
      <c r="L186" s="1108" t="s">
        <v>337</v>
      </c>
      <c r="M186" s="1108" t="s">
        <v>337</v>
      </c>
      <c r="N186" s="1108" t="s">
        <v>337</v>
      </c>
      <c r="O186" s="2709" t="s">
        <v>337</v>
      </c>
      <c r="P186" s="2709" t="s">
        <v>337</v>
      </c>
      <c r="Q186" s="1108" t="s">
        <v>337</v>
      </c>
      <c r="R186" s="1108" t="s">
        <v>337</v>
      </c>
      <c r="S186" s="2709"/>
      <c r="T186" s="1108" t="s">
        <v>337</v>
      </c>
      <c r="U186" s="1108" t="s">
        <v>337</v>
      </c>
      <c r="V186" s="1108" t="s">
        <v>337</v>
      </c>
      <c r="W186" s="1108" t="s">
        <v>337</v>
      </c>
      <c r="X186" s="1108" t="s">
        <v>337</v>
      </c>
      <c r="Y186" s="1108" t="s">
        <v>337</v>
      </c>
      <c r="Z186" s="1108" t="s">
        <v>337</v>
      </c>
      <c r="AA186" s="1108" t="s">
        <v>337</v>
      </c>
      <c r="AB186" s="1108" t="s">
        <v>337</v>
      </c>
      <c r="AC186" s="1108" t="s">
        <v>337</v>
      </c>
      <c r="AD186" s="1108" t="s">
        <v>337</v>
      </c>
      <c r="AE186" s="1108" t="s">
        <v>337</v>
      </c>
      <c r="AF186" s="1108" t="s">
        <v>337</v>
      </c>
      <c r="AG186" s="1108" t="s">
        <v>337</v>
      </c>
      <c r="AH186" s="1108" t="s">
        <v>337</v>
      </c>
      <c r="AI186" s="1108" t="s">
        <v>337</v>
      </c>
      <c r="AJ186" s="1108" t="s">
        <v>337</v>
      </c>
      <c r="AK186" s="1804"/>
      <c r="AL186" s="1108"/>
      <c r="AM186" s="1108" t="s">
        <v>337</v>
      </c>
      <c r="AN186" s="1108"/>
      <c r="AO186" s="1108"/>
      <c r="AP186" s="1108"/>
      <c r="AQ186" s="1741"/>
      <c r="AR186" s="1108"/>
      <c r="AS186" s="1108"/>
      <c r="AT186" s="1108"/>
      <c r="AU186" s="1108"/>
      <c r="AV186" s="1741"/>
      <c r="AW186" s="1108"/>
      <c r="AX186" s="1108"/>
      <c r="AY186" s="1108"/>
      <c r="AZ186" s="1108"/>
      <c r="BA186" s="1741"/>
      <c r="BB186" s="1108"/>
      <c r="BC186" s="1108"/>
      <c r="BD186" s="1108"/>
      <c r="BE186" s="1108"/>
      <c r="BF186" s="1741"/>
      <c r="BG186" s="1108"/>
      <c r="BH186" s="1108"/>
      <c r="BI186" s="1108"/>
      <c r="BJ186" s="1108"/>
      <c r="BK186" s="1741"/>
      <c r="BL186" s="1108"/>
      <c r="BM186" s="1108"/>
      <c r="BN186" s="1108"/>
      <c r="BO186" s="1108"/>
      <c r="BP186" s="1741"/>
      <c r="BQ186" s="1108"/>
      <c r="BR186" s="1108"/>
      <c r="BS186" s="1108"/>
      <c r="BT186" s="1108"/>
      <c r="BU186" s="1108"/>
      <c r="BV186" s="1108"/>
      <c r="BW186" s="1108"/>
      <c r="BX186" s="1108"/>
      <c r="BY186" s="1108"/>
      <c r="BZ186" s="1108"/>
      <c r="CA186" s="1108"/>
      <c r="CB186" s="1108"/>
      <c r="CC186" s="1108"/>
      <c r="CD186" s="1108"/>
      <c r="CE186" s="1108"/>
      <c r="CF186" s="1805"/>
      <c r="CG186" s="1805"/>
      <c r="CH186" s="1805"/>
      <c r="CI186" s="1805"/>
      <c r="CJ186" s="1805"/>
      <c r="CK186" s="1805"/>
      <c r="CL186" s="1805"/>
      <c r="CM186" s="1805"/>
      <c r="CN186" s="1805"/>
      <c r="CO186" s="1805"/>
      <c r="CP186" s="1805"/>
      <c r="CQ186" s="1805"/>
      <c r="CR186" s="1805"/>
      <c r="CS186" s="1805"/>
      <c r="CT186" s="1805"/>
      <c r="CU186" s="1805"/>
      <c r="CV186" s="1805"/>
      <c r="CW186" s="3035"/>
      <c r="CX186" s="3035"/>
      <c r="CY186" s="3035"/>
      <c r="CZ186" s="3035"/>
      <c r="DA186" s="3035"/>
      <c r="DB186" s="3035"/>
      <c r="DC186" s="1805"/>
      <c r="DD186" s="1741"/>
      <c r="DE186" s="1741"/>
      <c r="DF186" s="1741"/>
      <c r="DG186" s="1741"/>
      <c r="DH186" s="1741"/>
      <c r="DI186" s="2835"/>
      <c r="DJ186" s="1108"/>
      <c r="DK186" s="1108"/>
      <c r="DL186" s="1108"/>
      <c r="DM186" s="1108"/>
      <c r="DN186" s="1477"/>
      <c r="DO186" s="1477"/>
      <c r="DP186" s="1477"/>
      <c r="DQ186" s="1477"/>
      <c r="DR186" s="1477"/>
      <c r="DS186" s="1477"/>
      <c r="DT186" s="1477"/>
      <c r="DU186" s="1477"/>
      <c r="DV186" s="1477"/>
      <c r="DW186" s="1477"/>
      <c r="DX186" s="1477"/>
      <c r="DY186" s="1477"/>
    </row>
    <row r="187" spans="1:129" ht="11.25" customHeight="1">
      <c r="A187" s="1806" t="s">
        <v>1222</v>
      </c>
      <c r="B187" s="1105">
        <f>'Revenue and OCF'!O77</f>
        <v>13170.5</v>
      </c>
      <c r="C187" s="1105">
        <f>'Revenue and OCF'!P77</f>
        <v>13595.699999999999</v>
      </c>
      <c r="D187" s="1105">
        <f>'Revenue and OCF'!Q77</f>
        <v>14585.599999999999</v>
      </c>
      <c r="E187" s="1105">
        <f>'Revenue and OCF'!R77</f>
        <v>14576.400000000001</v>
      </c>
      <c r="F187" s="1105">
        <f>'Revenue and OCF'!S77</f>
        <v>14357.400000000001</v>
      </c>
      <c r="G187" s="1105">
        <f>'Revenue and OCF'!T77</f>
        <v>14100.800000000001</v>
      </c>
      <c r="H187" s="1105">
        <f>'Revenue and OCF'!U77</f>
        <v>14122</v>
      </c>
      <c r="I187" s="1105">
        <f>'Revenue and OCF'!Y77</f>
        <v>13199.7</v>
      </c>
      <c r="J187" s="1105">
        <f>'Revenue and OCF'!Z77</f>
        <v>14258.3</v>
      </c>
      <c r="K187" s="1105">
        <f>'Revenue and OCF'!AA77</f>
        <v>13840</v>
      </c>
      <c r="L187" s="1105">
        <f>'Revenue and OCF'!AB77</f>
        <v>14314.599999999999</v>
      </c>
      <c r="M187" s="1105">
        <f>'Revenue and OCF'!AC77</f>
        <v>15523</v>
      </c>
      <c r="N187" s="1105">
        <f>'Revenue and OCF'!AD77</f>
        <v>14018.999999999998</v>
      </c>
      <c r="O187" s="2714">
        <f>SUM(O45,O145)</f>
        <v>14219</v>
      </c>
      <c r="P187" s="2714">
        <f>P45+P145</f>
        <v>14019</v>
      </c>
      <c r="Q187" s="1634">
        <f>Q45+Q145</f>
        <v>14284</v>
      </c>
      <c r="R187" s="1105">
        <f>'Revenue and OCF'!AH77</f>
        <v>14803</v>
      </c>
      <c r="S187" s="1105">
        <f>'Revenue and OCF'!AI77</f>
        <v>13583</v>
      </c>
      <c r="T187" s="2804">
        <f>'Revenue and OCF'!AJ77</f>
        <v>14031.930996073021</v>
      </c>
      <c r="U187" s="2804">
        <f>'Revenue and OCF'!AK77</f>
        <v>15008.028740642694</v>
      </c>
      <c r="V187" s="2804">
        <f>'Revenue and OCF'!AL77</f>
        <v>16180.707614074354</v>
      </c>
      <c r="W187" s="2804">
        <f>'Revenue and OCF'!AM77</f>
        <v>16807.255354465688</v>
      </c>
      <c r="X187" s="1105">
        <f>'Revenue and OCF'!AN77</f>
        <v>17566.438665249108</v>
      </c>
      <c r="Y187" s="1105">
        <f>'Revenue and OCF'!AO77</f>
        <v>18750.645603261786</v>
      </c>
      <c r="Z187" s="1105">
        <f>'Revenue and OCF'!AP77</f>
        <v>18740.483394438277</v>
      </c>
      <c r="AA187" s="1105">
        <f>'Revenue and OCF'!AQ77</f>
        <v>19363.436530905125</v>
      </c>
      <c r="AB187" s="1105">
        <f>'Revenue and OCF'!AR77</f>
        <v>20425.50746059138</v>
      </c>
      <c r="AC187" s="1105">
        <f>'Revenue and OCF'!AS77</f>
        <v>20334.143862267443</v>
      </c>
      <c r="AD187" s="1105">
        <f>'Revenue and OCF'!AT77</f>
        <v>20801.23947937728</v>
      </c>
      <c r="AE187" s="1105">
        <f>'Revenue and OCF'!AU77</f>
        <v>22136.198353482469</v>
      </c>
      <c r="AF187" s="1105"/>
      <c r="AG187" s="1105"/>
      <c r="AH187" s="1105"/>
      <c r="AI187" s="1105"/>
      <c r="AJ187" s="1105"/>
      <c r="AK187" s="1105"/>
      <c r="AL187" s="1807" t="str">
        <f>A187</f>
        <v xml:space="preserve">Total Segment Revenues </v>
      </c>
      <c r="AM187" s="1105">
        <f>'Revenue and OCF'!CE77</f>
        <v>3519.2000000000003</v>
      </c>
      <c r="AN187" s="1105">
        <f>'Revenue and OCF'!CF77</f>
        <v>3664.7000000000003</v>
      </c>
      <c r="AO187" s="1105">
        <f>'Revenue and OCF'!CG77</f>
        <v>3639.5</v>
      </c>
      <c r="AP187" s="1105">
        <f>'Revenue and OCF'!CH77</f>
        <v>3762.2</v>
      </c>
      <c r="AQ187" s="1741">
        <f>D187-SUM(AM187:AP187)</f>
        <v>0</v>
      </c>
      <c r="AR187" s="1105">
        <f>'Revenue and OCF'!CJ77</f>
        <v>3454.6</v>
      </c>
      <c r="AS187" s="1105">
        <f>'Revenue and OCF'!CK77</f>
        <v>3669.1</v>
      </c>
      <c r="AT187" s="1105">
        <f>'Revenue and OCF'!CL77</f>
        <v>3614.5</v>
      </c>
      <c r="AU187" s="1105">
        <f>'Revenue and OCF'!CM77</f>
        <v>3838.2000000000003</v>
      </c>
      <c r="AV187" s="1741">
        <f>E187-SUM(AR187:AU187)</f>
        <v>0</v>
      </c>
      <c r="AW187" s="1105">
        <f>'Revenue and OCF'!CO77</f>
        <v>3583.4999999999995</v>
      </c>
      <c r="AX187" s="1105">
        <f>'Revenue and OCF'!CP77</f>
        <v>3489.3</v>
      </c>
      <c r="AY187" s="1105">
        <f>'Revenue and OCF'!CQ77</f>
        <v>3392.3</v>
      </c>
      <c r="AZ187" s="1105">
        <f>'Revenue and OCF'!CR77</f>
        <v>3892.3</v>
      </c>
      <c r="BA187" s="1741">
        <f>F187-SUM(AW187:AZ187)</f>
        <v>0</v>
      </c>
      <c r="BB187" s="1105">
        <f>'Revenue and OCF'!CT77</f>
        <v>3661.7000000000003</v>
      </c>
      <c r="BC187" s="1105">
        <f>'Revenue and OCF'!CU77</f>
        <v>3380.9</v>
      </c>
      <c r="BD187" s="1105">
        <f>'Revenue and OCF'!CV77</f>
        <v>3289.7</v>
      </c>
      <c r="BE187" s="1105">
        <f>'Revenue and OCF'!CW77</f>
        <v>3768.5000000000005</v>
      </c>
      <c r="BF187" s="1741">
        <f>G187-SUM(BB187:BE187)</f>
        <v>0</v>
      </c>
      <c r="BG187" s="1105">
        <f>'Revenue and OCF'!CY77</f>
        <v>3702.9841239049997</v>
      </c>
      <c r="BH187" s="1105">
        <f>'Revenue and OCF'!CZ77</f>
        <v>3432.7583159999995</v>
      </c>
      <c r="BI187" s="1105">
        <f>'Revenue and OCF'!DA77</f>
        <v>3412.2841090437505</v>
      </c>
      <c r="BJ187" s="1105">
        <f>'Revenue and OCF'!DB77</f>
        <v>3573.9734510512494</v>
      </c>
      <c r="BK187" s="1741">
        <f>H187-SUM(BG187:BJ187)</f>
        <v>0</v>
      </c>
      <c r="BL187" s="1105">
        <f>'Revenue and OCF'!DD77</f>
        <v>3212.4499849578997</v>
      </c>
      <c r="BM187" s="1105">
        <f>'Revenue and OCF'!DE77</f>
        <v>3044.7972104639998</v>
      </c>
      <c r="BN187" s="1105">
        <f>BN45+BN145</f>
        <v>3404.5</v>
      </c>
      <c r="BO187" s="1105">
        <f>'Revenue and OCF'!DG77</f>
        <v>3539.6115129816371</v>
      </c>
      <c r="BP187" s="1741">
        <f>I187-SUM(BL187:BO187)</f>
        <v>-1.6587084035363659</v>
      </c>
      <c r="BQ187" s="1772">
        <f>BQ45+BQ145</f>
        <v>3598.8999999999996</v>
      </c>
      <c r="BR187" s="1772">
        <f>BR45+BR145</f>
        <v>3364.7</v>
      </c>
      <c r="BS187" s="1772">
        <f>BS45+BS145</f>
        <v>3341.6000000000004</v>
      </c>
      <c r="BT187" s="1772">
        <f>BT45+BT145</f>
        <v>3953.1</v>
      </c>
      <c r="BU187" s="1741">
        <f>J187-SUM(BQ187:BT187)</f>
        <v>0</v>
      </c>
      <c r="BV187" s="1772">
        <f>BV45+BV145</f>
        <v>3442</v>
      </c>
      <c r="BW187" s="1772">
        <f>BW45+BW145</f>
        <v>3455</v>
      </c>
      <c r="BX187" s="1772">
        <f>BX45+BX145</f>
        <v>3261</v>
      </c>
      <c r="BY187" s="1772">
        <f>BY45+BY145</f>
        <v>3682</v>
      </c>
      <c r="BZ187" s="1741">
        <f>K187-SUM(BV187:BY187)</f>
        <v>0</v>
      </c>
      <c r="CA187" s="1772">
        <f>CA45+CA145</f>
        <v>3853.9</v>
      </c>
      <c r="CB187" s="1772">
        <f>CB45+CB145</f>
        <v>3377.4</v>
      </c>
      <c r="CC187" s="1772">
        <f>CC45+CC145</f>
        <v>3318.5</v>
      </c>
      <c r="CD187" s="1772">
        <f>CD45+CD145</f>
        <v>3764.8</v>
      </c>
      <c r="CE187" s="1741">
        <f>L187-SUM(CA187:CD187)</f>
        <v>0</v>
      </c>
      <c r="CF187" s="1772">
        <f>CF45+CF145</f>
        <v>4107</v>
      </c>
      <c r="CG187" s="1772">
        <f>CG45+CG145</f>
        <v>3748</v>
      </c>
      <c r="CH187" s="1772">
        <f>CH45+CH145</f>
        <v>3686</v>
      </c>
      <c r="CI187" s="1772">
        <f>CI45+CI145</f>
        <v>3982</v>
      </c>
      <c r="CJ187" s="1805"/>
      <c r="CK187" s="1808">
        <f>CK45+CK145</f>
        <v>3619</v>
      </c>
      <c r="CL187" s="1808">
        <f>CL45+CL145</f>
        <v>3227</v>
      </c>
      <c r="CM187" s="1808">
        <f>CM45+CM145</f>
        <v>3414</v>
      </c>
      <c r="CN187" s="1772">
        <f>CN45+CN145</f>
        <v>3759</v>
      </c>
      <c r="CO187" s="2446">
        <f>$N187-SUM(CK187:CN187)</f>
        <v>0</v>
      </c>
      <c r="CP187" s="1808">
        <f>CP45+CP145</f>
        <v>3591</v>
      </c>
      <c r="CQ187" s="1808">
        <f>CQ45+CQ145</f>
        <v>3304</v>
      </c>
      <c r="CR187" s="1808">
        <f>CR45+CR145</f>
        <v>3355</v>
      </c>
      <c r="CS187" s="1808">
        <f>CS45+CS145</f>
        <v>4034</v>
      </c>
      <c r="CT187" s="1741">
        <f>$Q187-SUM(CP187:CS187)</f>
        <v>0</v>
      </c>
      <c r="CU187" s="1808">
        <f>CU45+CU145</f>
        <v>3705</v>
      </c>
      <c r="CV187" s="1808">
        <f>CV45+CV145</f>
        <v>3066</v>
      </c>
      <c r="CW187" s="3041">
        <f>CW45+CW145</f>
        <v>3182</v>
      </c>
      <c r="CX187" s="3041">
        <f>CX45+CX145</f>
        <v>3630</v>
      </c>
      <c r="CY187" s="2835">
        <f>S187-SUM(CU187:CX187)</f>
        <v>0</v>
      </c>
      <c r="CZ187" s="3041">
        <f>CZ45+CZ145</f>
        <v>3460</v>
      </c>
      <c r="DA187" s="3041">
        <f>DA45+DA145</f>
        <v>3373</v>
      </c>
      <c r="DB187" s="3041">
        <f>DB45+DB145</f>
        <v>3280</v>
      </c>
      <c r="DC187" s="3041">
        <f>DC45+DC145</f>
        <v>3918.9309960730207</v>
      </c>
      <c r="DD187" s="2835">
        <f t="shared" si="225"/>
        <v>0</v>
      </c>
      <c r="DE187" s="3041">
        <f t="shared" ref="DE187:DH187" si="306">DE45+DE145</f>
        <v>3720.4384672350734</v>
      </c>
      <c r="DF187" s="3041">
        <f t="shared" si="306"/>
        <v>3625.6218282452764</v>
      </c>
      <c r="DG187" s="3041">
        <f t="shared" si="306"/>
        <v>3416.1558285123001</v>
      </c>
      <c r="DH187" s="3041">
        <f t="shared" si="306"/>
        <v>4245.812616650046</v>
      </c>
      <c r="DI187" s="2835">
        <f t="shared" ref="DI187:DI214" si="307">U187-SUM(DE187:DH187)</f>
        <v>0</v>
      </c>
      <c r="DJ187" s="1741"/>
      <c r="DK187" s="1772"/>
      <c r="DL187" s="2377"/>
      <c r="DM187" s="2377"/>
      <c r="DN187" s="1477"/>
      <c r="DO187" s="1477"/>
      <c r="DP187" s="1477"/>
      <c r="DQ187" s="1477"/>
      <c r="DR187" s="1477"/>
      <c r="DS187" s="1477"/>
      <c r="DT187" s="1477"/>
      <c r="DU187" s="1477"/>
      <c r="DV187" s="1477"/>
      <c r="DW187" s="1477"/>
      <c r="DX187" s="1477"/>
      <c r="DY187" s="1477"/>
    </row>
    <row r="188" spans="1:129" ht="11.25" hidden="1" customHeight="1" outlineLevel="1">
      <c r="A188" s="2468" t="s">
        <v>1693</v>
      </c>
      <c r="B188" s="1105"/>
      <c r="C188" s="1105"/>
      <c r="D188" s="1105"/>
      <c r="E188" s="1105"/>
      <c r="F188" s="1105"/>
      <c r="G188" s="1105"/>
      <c r="H188" s="1105"/>
      <c r="I188" s="1105"/>
      <c r="J188" s="1105"/>
      <c r="K188" s="1105"/>
      <c r="L188" s="1105"/>
      <c r="M188" s="1105"/>
      <c r="N188" s="1105"/>
      <c r="O188" s="2714"/>
      <c r="P188" s="2714"/>
      <c r="Q188" s="2467">
        <f>-Q273</f>
        <v>-217</v>
      </c>
      <c r="R188" s="2467">
        <f>-R273</f>
        <v>-257.37134498606201</v>
      </c>
      <c r="S188" s="2467">
        <f>R188</f>
        <v>-257.37134498606201</v>
      </c>
      <c r="T188" s="3044">
        <f>-T273</f>
        <v>-305.78263202048498</v>
      </c>
      <c r="U188" s="3044">
        <f t="shared" ref="U188:AD188" si="308">-U273</f>
        <v>-404.49957905411901</v>
      </c>
      <c r="V188" s="3044">
        <f t="shared" si="308"/>
        <v>-515.09039018381191</v>
      </c>
      <c r="W188" s="3044">
        <f t="shared" si="308"/>
        <v>-734.01480879166195</v>
      </c>
      <c r="X188" s="2467">
        <f t="shared" si="308"/>
        <v>-904.24860337203586</v>
      </c>
      <c r="Y188" s="2467">
        <f t="shared" si="308"/>
        <v>-1001.5198220724735</v>
      </c>
      <c r="Z188" s="2467">
        <f t="shared" si="308"/>
        <v>-1095.0245862320937</v>
      </c>
      <c r="AA188" s="2467">
        <f t="shared" si="308"/>
        <v>-1183.5431959028967</v>
      </c>
      <c r="AB188" s="2467">
        <f t="shared" si="308"/>
        <v>-1271.2708028530506</v>
      </c>
      <c r="AC188" s="2467">
        <f t="shared" si="308"/>
        <v>-1346.3185386543041</v>
      </c>
      <c r="AD188" s="2467">
        <f t="shared" si="308"/>
        <v>-1424.7812846989509</v>
      </c>
      <c r="AE188" s="2467">
        <f t="shared" ref="AE188" si="309">-AE273</f>
        <v>-1501.8869222388894</v>
      </c>
      <c r="AF188" s="1105"/>
      <c r="AG188" s="1105"/>
      <c r="AH188" s="1105"/>
      <c r="AI188" s="1105"/>
      <c r="AJ188" s="1105"/>
      <c r="AK188" s="1105"/>
      <c r="AL188" s="2468" t="s">
        <v>1693</v>
      </c>
      <c r="AM188" s="1105"/>
      <c r="AN188" s="1105"/>
      <c r="AO188" s="1105"/>
      <c r="AP188" s="1105"/>
      <c r="AQ188" s="1741"/>
      <c r="AR188" s="1105"/>
      <c r="AS188" s="1105"/>
      <c r="AT188" s="1105"/>
      <c r="AU188" s="1105"/>
      <c r="AV188" s="1741"/>
      <c r="AW188" s="1105"/>
      <c r="AX188" s="1105"/>
      <c r="AY188" s="1105"/>
      <c r="AZ188" s="1105"/>
      <c r="BA188" s="1741"/>
      <c r="BB188" s="1105"/>
      <c r="BC188" s="1105"/>
      <c r="BD188" s="1105"/>
      <c r="BE188" s="1105"/>
      <c r="BF188" s="1741"/>
      <c r="BG188" s="1105"/>
      <c r="BH188" s="1105"/>
      <c r="BI188" s="1105"/>
      <c r="BJ188" s="1105"/>
      <c r="BK188" s="1741"/>
      <c r="BL188" s="1105"/>
      <c r="BM188" s="1105"/>
      <c r="BN188" s="1105"/>
      <c r="BO188" s="1105"/>
      <c r="BP188" s="1741"/>
      <c r="BQ188" s="1772"/>
      <c r="BR188" s="1772"/>
      <c r="BS188" s="1772"/>
      <c r="BT188" s="1772"/>
      <c r="BU188" s="1741"/>
      <c r="BV188" s="1772"/>
      <c r="BW188" s="1772"/>
      <c r="BX188" s="1772"/>
      <c r="BY188" s="1772"/>
      <c r="BZ188" s="1741"/>
      <c r="CA188" s="1772"/>
      <c r="CB188" s="1772"/>
      <c r="CC188" s="1772"/>
      <c r="CD188" s="1772"/>
      <c r="CE188" s="1741"/>
      <c r="CF188" s="1772"/>
      <c r="CG188" s="1772"/>
      <c r="CH188" s="1772"/>
      <c r="CI188" s="1772"/>
      <c r="CJ188" s="1805"/>
      <c r="CK188" s="1808"/>
      <c r="CL188" s="1808"/>
      <c r="CM188" s="1808"/>
      <c r="CN188" s="1772"/>
      <c r="CO188" s="2446"/>
      <c r="CP188" s="2467">
        <f>-CP273</f>
        <v>-50</v>
      </c>
      <c r="CQ188" s="2467">
        <f>-CQ273</f>
        <v>-51</v>
      </c>
      <c r="CR188" s="2467">
        <f>-CR273</f>
        <v>-56</v>
      </c>
      <c r="CS188" s="2467">
        <f>-CS273</f>
        <v>-60</v>
      </c>
      <c r="CT188" s="1741">
        <f>$Q188-SUM(CP188:CS188)</f>
        <v>0</v>
      </c>
      <c r="CU188" s="2467">
        <f>-CU273</f>
        <v>-64.30786899721241</v>
      </c>
      <c r="CV188" s="2467">
        <f>-CV273</f>
        <v>-63.384836246515512</v>
      </c>
      <c r="CW188" s="3044">
        <f>-CW273</f>
        <v>-63.744836246515518</v>
      </c>
      <c r="CX188" s="3044">
        <f>-CX273</f>
        <v>-65.933803495818609</v>
      </c>
      <c r="CY188" s="2835">
        <f>S188-SUM(CU188:CX188)</f>
        <v>0</v>
      </c>
      <c r="CZ188" s="3044">
        <f>-CZ273</f>
        <v>-74.227647835227671</v>
      </c>
      <c r="DA188" s="3044">
        <f>-DA273</f>
        <v>-73.871733162151102</v>
      </c>
      <c r="DB188" s="3044">
        <f>-DB273</f>
        <v>-75.240649341129355</v>
      </c>
      <c r="DC188" s="3044">
        <f>-DC273</f>
        <v>-82.442601681976839</v>
      </c>
      <c r="DD188" s="2835">
        <f t="shared" si="225"/>
        <v>0</v>
      </c>
      <c r="DE188" s="3044">
        <f t="shared" ref="DE188:DH188" si="310">-DE273</f>
        <v>-97.639465812521735</v>
      </c>
      <c r="DF188" s="3044">
        <f t="shared" si="310"/>
        <v>-99.287272590201169</v>
      </c>
      <c r="DG188" s="3044">
        <f t="shared" si="310"/>
        <v>-101.36573668906917</v>
      </c>
      <c r="DH188" s="3044">
        <f t="shared" si="310"/>
        <v>-106.20710396232694</v>
      </c>
      <c r="DI188" s="2835">
        <f t="shared" si="307"/>
        <v>0</v>
      </c>
      <c r="DJ188" s="1741"/>
      <c r="DK188" s="1772"/>
      <c r="DL188" s="2377"/>
      <c r="DM188" s="2377"/>
      <c r="DN188" s="1477"/>
      <c r="DO188" s="1477"/>
      <c r="DP188" s="1477"/>
      <c r="DQ188" s="1477"/>
      <c r="DR188" s="1477"/>
      <c r="DS188" s="1477"/>
      <c r="DT188" s="1477"/>
      <c r="DU188" s="1477"/>
      <c r="DV188" s="1477"/>
      <c r="DW188" s="1477"/>
      <c r="DX188" s="1477"/>
      <c r="DY188" s="1477"/>
    </row>
    <row r="189" spans="1:129" ht="11.25" hidden="1" customHeight="1" outlineLevel="1">
      <c r="A189" s="2468" t="s">
        <v>1692</v>
      </c>
      <c r="B189" s="1105"/>
      <c r="C189" s="1105"/>
      <c r="D189" s="1105"/>
      <c r="E189" s="1105"/>
      <c r="F189" s="1105"/>
      <c r="G189" s="1105"/>
      <c r="H189" s="1105"/>
      <c r="I189" s="1105"/>
      <c r="J189" s="1105"/>
      <c r="K189" s="1105"/>
      <c r="L189" s="1105"/>
      <c r="M189" s="1105"/>
      <c r="N189" s="1105"/>
      <c r="O189" s="2714"/>
      <c r="P189" s="2714"/>
      <c r="Q189" s="2467">
        <f>Q190-Q188</f>
        <v>-181</v>
      </c>
      <c r="R189" s="2467">
        <f>R190-R188</f>
        <v>-159.62865501393799</v>
      </c>
      <c r="S189" s="2783">
        <f>R189</f>
        <v>-159.62865501393799</v>
      </c>
      <c r="T189" s="3044">
        <f>T190-T188</f>
        <v>-168.24727206215363</v>
      </c>
      <c r="U189" s="3044">
        <f>U190-U188</f>
        <v>-179.21985742596593</v>
      </c>
      <c r="V189" s="3044">
        <f t="shared" ref="V189:AB189" si="311">U189*(V187+V188)/(U187+U188)</f>
        <v>-192.25419104446183</v>
      </c>
      <c r="W189" s="3044">
        <f t="shared" si="311"/>
        <v>-197.25669371386368</v>
      </c>
      <c r="X189" s="2467">
        <f t="shared" si="311"/>
        <v>-204.48449783963846</v>
      </c>
      <c r="Y189" s="2467">
        <f t="shared" si="311"/>
        <v>-217.82377100373839</v>
      </c>
      <c r="Z189" s="2467">
        <f t="shared" si="311"/>
        <v>-216.55153195027134</v>
      </c>
      <c r="AA189" s="2467">
        <f t="shared" si="311"/>
        <v>-223.1103081636152</v>
      </c>
      <c r="AB189" s="2467">
        <f t="shared" si="311"/>
        <v>-235.0678062075819</v>
      </c>
      <c r="AC189" s="2467">
        <f>AB189*(AC187+AC188)/(AB187+AB188)</f>
        <v>-233.02554537830045</v>
      </c>
      <c r="AD189" s="2467">
        <f>AC189*(AD187+AD188)/(AC187+AC188)</f>
        <v>-237.79499028251908</v>
      </c>
      <c r="AE189" s="2467">
        <f>AD189*(AE187+AE188)/(AD187+AD188)</f>
        <v>-253.23182580532986</v>
      </c>
      <c r="AF189" s="1105"/>
      <c r="AG189" s="1105"/>
      <c r="AH189" s="1105"/>
      <c r="AI189" s="1105"/>
      <c r="AJ189" s="1105"/>
      <c r="AK189" s="1105"/>
      <c r="AL189" s="2468" t="s">
        <v>1692</v>
      </c>
      <c r="AM189" s="1105"/>
      <c r="AN189" s="1105"/>
      <c r="AO189" s="1105"/>
      <c r="AP189" s="1105"/>
      <c r="AQ189" s="1741"/>
      <c r="AR189" s="1105"/>
      <c r="AS189" s="1105"/>
      <c r="AT189" s="1105"/>
      <c r="AU189" s="1105"/>
      <c r="AV189" s="1741"/>
      <c r="AW189" s="1105"/>
      <c r="AX189" s="1105"/>
      <c r="AY189" s="1105"/>
      <c r="AZ189" s="1105"/>
      <c r="BA189" s="1741"/>
      <c r="BB189" s="1105"/>
      <c r="BC189" s="1105"/>
      <c r="BD189" s="1105"/>
      <c r="BE189" s="1105"/>
      <c r="BF189" s="1741"/>
      <c r="BG189" s="1105"/>
      <c r="BH189" s="1105"/>
      <c r="BI189" s="1105"/>
      <c r="BJ189" s="1105"/>
      <c r="BK189" s="1741"/>
      <c r="BL189" s="1105"/>
      <c r="BM189" s="1105"/>
      <c r="BN189" s="1105"/>
      <c r="BO189" s="1105"/>
      <c r="BP189" s="1741"/>
      <c r="BQ189" s="1772"/>
      <c r="BR189" s="1772"/>
      <c r="BS189" s="1772"/>
      <c r="BT189" s="1772"/>
      <c r="BU189" s="1741"/>
      <c r="BV189" s="1772"/>
      <c r="BW189" s="1772"/>
      <c r="BX189" s="1772"/>
      <c r="BY189" s="1772"/>
      <c r="BZ189" s="1741"/>
      <c r="CA189" s="1772"/>
      <c r="CB189" s="1772"/>
      <c r="CC189" s="1772"/>
      <c r="CD189" s="1772"/>
      <c r="CE189" s="1741"/>
      <c r="CF189" s="1772"/>
      <c r="CG189" s="1772"/>
      <c r="CH189" s="1772"/>
      <c r="CI189" s="1772"/>
      <c r="CJ189" s="1805"/>
      <c r="CK189" s="1808"/>
      <c r="CL189" s="1808"/>
      <c r="CM189" s="1808"/>
      <c r="CN189" s="1772"/>
      <c r="CO189" s="2446"/>
      <c r="CP189" s="2469">
        <f>CP190-CP188</f>
        <v>-41</v>
      </c>
      <c r="CQ189" s="2469">
        <f>CQ190-CQ188</f>
        <v>-34</v>
      </c>
      <c r="CR189" s="2469">
        <f>CR190-CR188</f>
        <v>-42</v>
      </c>
      <c r="CS189" s="2469">
        <f>CS190-CS188</f>
        <v>-64</v>
      </c>
      <c r="CT189" s="1741">
        <f>$Q189-SUM(CP189:CS189)</f>
        <v>0</v>
      </c>
      <c r="CU189" s="2469">
        <f>CU190-CU188</f>
        <v>-52.69213100278759</v>
      </c>
      <c r="CV189" s="2469">
        <f>CV190-CV188</f>
        <v>-26.615163753484488</v>
      </c>
      <c r="CW189" s="3045">
        <f>CW190-CW188</f>
        <v>-34.255163753484482</v>
      </c>
      <c r="CX189" s="3045">
        <f>CX190-CX188</f>
        <v>-46.066196504181391</v>
      </c>
      <c r="CY189" s="2835">
        <f>S189-SUM(CU189:CX189)</f>
        <v>0</v>
      </c>
      <c r="CZ189" s="3045">
        <f>CZ190-CZ188</f>
        <v>-42.772352164772329</v>
      </c>
      <c r="DA189" s="3045">
        <f>DA190-DA188</f>
        <v>-42.128266837848898</v>
      </c>
      <c r="DB189" s="3045">
        <f>DB190-DB188</f>
        <v>-33.759350658870645</v>
      </c>
      <c r="DC189" s="3045">
        <f>CX189*(DC187+DC188)/(CX187+CX188)</f>
        <v>-49.587302400661741</v>
      </c>
      <c r="DD189" s="2835">
        <f t="shared" si="225"/>
        <v>0</v>
      </c>
      <c r="DE189" s="3045">
        <f t="shared" ref="DE189:DH189" si="312">CZ189*(DE187+DE188)/(CZ187+CZ188)</f>
        <v>-45.766702126903603</v>
      </c>
      <c r="DF189" s="3045">
        <f t="shared" si="312"/>
        <v>-45.029580878513308</v>
      </c>
      <c r="DG189" s="3045">
        <f t="shared" si="312"/>
        <v>-34.918428757342966</v>
      </c>
      <c r="DH189" s="3045">
        <f t="shared" si="312"/>
        <v>-53.505145663206051</v>
      </c>
      <c r="DI189" s="2835">
        <f t="shared" si="307"/>
        <v>0</v>
      </c>
      <c r="DJ189" s="1741"/>
      <c r="DK189" s="1772"/>
      <c r="DL189" s="2377"/>
      <c r="DM189" s="2377"/>
      <c r="DN189" s="1477"/>
      <c r="DO189" s="1477"/>
      <c r="DP189" s="1477"/>
      <c r="DQ189" s="1477"/>
      <c r="DR189" s="1477"/>
      <c r="DS189" s="1477"/>
      <c r="DT189" s="1477"/>
    </row>
    <row r="190" spans="1:129" ht="11.25" customHeight="1" collapsed="1">
      <c r="A190" s="2371" t="s">
        <v>1224</v>
      </c>
      <c r="B190" s="1639">
        <f>'Revenue and OCF'!O78</f>
        <v>-7.1000000000003638</v>
      </c>
      <c r="C190" s="1639">
        <f>'Revenue and OCF'!P78</f>
        <v>-41.199999999998909</v>
      </c>
      <c r="D190" s="1639">
        <f>'Revenue and OCF'!Q78</f>
        <v>-38.299999999999272</v>
      </c>
      <c r="E190" s="1639">
        <f>'Revenue and OCF'!R78</f>
        <v>-40.000000000001819</v>
      </c>
      <c r="F190" s="1639">
        <f>'Revenue and OCF'!S78</f>
        <v>-37.200000000000003</v>
      </c>
      <c r="G190" s="1639">
        <f>'Revenue and OCF'!T78</f>
        <v>-28.3</v>
      </c>
      <c r="H190" s="1639">
        <f>SUM(BG190:BJ190)</f>
        <v>-171.60000000000002</v>
      </c>
      <c r="I190" s="1639">
        <f>SUM(BL190:BO190)</f>
        <v>-185.10000000000002</v>
      </c>
      <c r="J190" s="1639">
        <f>SUM(BQ190:BT190)</f>
        <v>-198.5</v>
      </c>
      <c r="K190" s="1809">
        <f>SUM(BV190:BY190)</f>
        <v>-203</v>
      </c>
      <c r="L190" s="1809">
        <f>SUM(CA190:CD190)</f>
        <v>-237</v>
      </c>
      <c r="M190" s="1809">
        <f>SUM(CF190:CI190)</f>
        <v>-239</v>
      </c>
      <c r="N190" s="1809">
        <f>SUM(CK190:CN190)</f>
        <v>-213</v>
      </c>
      <c r="O190" s="2728">
        <v>-214</v>
      </c>
      <c r="P190" s="2728">
        <f>N190</f>
        <v>-213</v>
      </c>
      <c r="Q190" s="2472">
        <f>SUM(CP190:CS190)</f>
        <v>-398</v>
      </c>
      <c r="R190" s="2472">
        <f>SUM(CU190:CX190)</f>
        <v>-417</v>
      </c>
      <c r="S190" s="2784">
        <f>R190</f>
        <v>-417</v>
      </c>
      <c r="T190" s="3183">
        <f>SUM(CZ190:DC190)</f>
        <v>-474.02990408263861</v>
      </c>
      <c r="U190" s="3183">
        <f>SUM(DE190:DH190)</f>
        <v>-583.71943648008494</v>
      </c>
      <c r="V190" s="3183">
        <f t="shared" ref="V190:AD190" si="313">V188+V189</f>
        <v>-707.34458122827368</v>
      </c>
      <c r="W190" s="3183">
        <f t="shared" si="313"/>
        <v>-931.27150250552563</v>
      </c>
      <c r="X190" s="2472">
        <f t="shared" si="313"/>
        <v>-1108.7331012116742</v>
      </c>
      <c r="Y190" s="2472">
        <f t="shared" si="313"/>
        <v>-1219.3435930762118</v>
      </c>
      <c r="Z190" s="2472">
        <f t="shared" si="313"/>
        <v>-1311.576118182365</v>
      </c>
      <c r="AA190" s="2472">
        <f t="shared" si="313"/>
        <v>-1406.6535040665119</v>
      </c>
      <c r="AB190" s="2472">
        <f t="shared" si="313"/>
        <v>-1506.3386090606325</v>
      </c>
      <c r="AC190" s="2472">
        <f t="shared" si="313"/>
        <v>-1579.3440840326045</v>
      </c>
      <c r="AD190" s="2472">
        <f t="shared" si="313"/>
        <v>-1662.5762749814701</v>
      </c>
      <c r="AE190" s="2472">
        <f t="shared" ref="AE190" si="314">AE188+AE189</f>
        <v>-1755.1187480442193</v>
      </c>
      <c r="AF190" s="1105"/>
      <c r="AG190" s="1105"/>
      <c r="AH190" s="1105"/>
      <c r="AI190" s="1105"/>
      <c r="AJ190" s="1105"/>
      <c r="AK190" s="1771"/>
      <c r="AL190" s="1807" t="str">
        <f t="shared" ref="AL190:AL200" si="315">A190</f>
        <v xml:space="preserve">Eliminations </v>
      </c>
      <c r="AM190" s="1639">
        <f>'Revenue and OCF'!CE78</f>
        <v>-6.7</v>
      </c>
      <c r="AN190" s="1639">
        <f>'Revenue and OCF'!CF78</f>
        <v>-7.5</v>
      </c>
      <c r="AO190" s="1639">
        <f>'Revenue and OCF'!CG78</f>
        <v>-10.7</v>
      </c>
      <c r="AP190" s="1639">
        <f>'Revenue and OCF'!CH78</f>
        <v>-13.399999999999274</v>
      </c>
      <c r="AQ190" s="1741">
        <f>D190-SUM(AM190:AP190)</f>
        <v>0</v>
      </c>
      <c r="AR190" s="1639">
        <f>'Revenue and OCF'!CJ78</f>
        <v>-6.8</v>
      </c>
      <c r="AS190" s="1639">
        <f>'Revenue and OCF'!CK78</f>
        <v>-11.4</v>
      </c>
      <c r="AT190" s="1639">
        <f>'Revenue and OCF'!CL78</f>
        <v>-11.7</v>
      </c>
      <c r="AU190" s="1639">
        <f>'Revenue and OCF'!CM78</f>
        <v>-10.10000000000182</v>
      </c>
      <c r="AV190" s="1741">
        <f>E190-SUM(AR190:AU190)</f>
        <v>0</v>
      </c>
      <c r="AW190" s="1639">
        <f>'Revenue and OCF'!CO78</f>
        <v>-8.1</v>
      </c>
      <c r="AX190" s="1639">
        <f>'Revenue and OCF'!CP78</f>
        <v>-6.2</v>
      </c>
      <c r="AY190" s="1639">
        <f>'Revenue and OCF'!CQ78</f>
        <v>-13.5</v>
      </c>
      <c r="AZ190" s="1639">
        <f>'Revenue and OCF'!CR78</f>
        <v>-9.4</v>
      </c>
      <c r="BA190" s="1741">
        <f>F190-SUM(AW190:AZ190)</f>
        <v>0</v>
      </c>
      <c r="BB190" s="1639">
        <f>'Revenue and OCF'!CT78</f>
        <v>-4.3</v>
      </c>
      <c r="BC190" s="1639">
        <f>'Revenue and OCF'!CU78</f>
        <v>-6</v>
      </c>
      <c r="BD190" s="1639">
        <f>'Revenue and OCF'!CV78</f>
        <v>-8.3000000000000007</v>
      </c>
      <c r="BE190" s="1639">
        <f>'Revenue and OCF'!CW78</f>
        <v>-9.6999999999999993</v>
      </c>
      <c r="BF190" s="1741">
        <f>G190-SUM(BB190:BE190)</f>
        <v>0</v>
      </c>
      <c r="BG190" s="1639">
        <v>-49.1</v>
      </c>
      <c r="BH190" s="1639">
        <v>-34.799999999999997</v>
      </c>
      <c r="BI190" s="1639">
        <v>-40.700000000000003</v>
      </c>
      <c r="BJ190" s="1639">
        <v>-47</v>
      </c>
      <c r="BK190" s="1741">
        <f>H190-SUM(BG190:BJ190)</f>
        <v>0</v>
      </c>
      <c r="BL190" s="1639">
        <v>-50.3</v>
      </c>
      <c r="BM190" s="1639">
        <v>-32.6</v>
      </c>
      <c r="BN190" s="1639">
        <v>-54.5</v>
      </c>
      <c r="BO190" s="1639">
        <v>-47.7</v>
      </c>
      <c r="BP190" s="1741">
        <f>I190-SUM(BL190:BO190)</f>
        <v>0</v>
      </c>
      <c r="BQ190" s="1639">
        <v>-68</v>
      </c>
      <c r="BR190" s="1639">
        <v>-33.700000000000003</v>
      </c>
      <c r="BS190" s="1639">
        <v>-44.1</v>
      </c>
      <c r="BT190" s="1639">
        <v>-52.7</v>
      </c>
      <c r="BU190" s="1741">
        <f>J190-SUM(BQ190:BT190)</f>
        <v>0</v>
      </c>
      <c r="BV190" s="1775">
        <v>-66</v>
      </c>
      <c r="BW190" s="1775">
        <v>-27</v>
      </c>
      <c r="BX190" s="1775">
        <v>-40</v>
      </c>
      <c r="BY190" s="1775">
        <v>-70</v>
      </c>
      <c r="BZ190" s="1741">
        <f>K190-SUM(BV190:BY190)</f>
        <v>0</v>
      </c>
      <c r="CA190" s="1775">
        <v>-60</v>
      </c>
      <c r="CB190" s="1775">
        <v>-51</v>
      </c>
      <c r="CC190" s="1775">
        <v>-55</v>
      </c>
      <c r="CD190" s="1775">
        <v>-71</v>
      </c>
      <c r="CE190" s="1741">
        <f>L190-SUM(CA190:CD190)</f>
        <v>0</v>
      </c>
      <c r="CF190" s="1775">
        <v>-67</v>
      </c>
      <c r="CG190" s="1775">
        <v>-49</v>
      </c>
      <c r="CH190" s="1775">
        <v>-52</v>
      </c>
      <c r="CI190" s="1775">
        <v>-71</v>
      </c>
      <c r="CJ190" s="1805"/>
      <c r="CK190" s="1775">
        <v>-49</v>
      </c>
      <c r="CL190" s="1775">
        <v>-39</v>
      </c>
      <c r="CM190" s="1775">
        <v>-47</v>
      </c>
      <c r="CN190" s="1775">
        <v>-78</v>
      </c>
      <c r="CO190" s="2446">
        <f>$N190-SUM(CK190:CN190)</f>
        <v>0</v>
      </c>
      <c r="CP190" s="1775">
        <v>-91</v>
      </c>
      <c r="CQ190" s="1775">
        <v>-85</v>
      </c>
      <c r="CR190" s="1775">
        <v>-98</v>
      </c>
      <c r="CS190" s="1775">
        <v>-124</v>
      </c>
      <c r="CT190" s="1741">
        <f>$Q190-SUM(CP190:CS190)</f>
        <v>0</v>
      </c>
      <c r="CU190" s="1775">
        <v>-117</v>
      </c>
      <c r="CV190" s="1775">
        <v>-90</v>
      </c>
      <c r="CW190" s="3046">
        <v>-98</v>
      </c>
      <c r="CX190" s="3046">
        <v>-112</v>
      </c>
      <c r="CY190" s="2835">
        <f>S190-SUM(CU190:CX190)</f>
        <v>0</v>
      </c>
      <c r="CZ190" s="3046">
        <v>-117</v>
      </c>
      <c r="DA190" s="3046">
        <v>-116</v>
      </c>
      <c r="DB190" s="3046">
        <v>-109</v>
      </c>
      <c r="DC190" s="3183">
        <f>DC188+DC189</f>
        <v>-132.02990408263858</v>
      </c>
      <c r="DD190" s="2835">
        <f t="shared" si="225"/>
        <v>0</v>
      </c>
      <c r="DE190" s="3183">
        <f t="shared" ref="DE190:DH190" si="316">DE188+DE189</f>
        <v>-143.40616793942533</v>
      </c>
      <c r="DF190" s="3183">
        <f t="shared" si="316"/>
        <v>-144.31685346871447</v>
      </c>
      <c r="DG190" s="3183">
        <f t="shared" si="316"/>
        <v>-136.28416544641215</v>
      </c>
      <c r="DH190" s="3183">
        <f t="shared" si="316"/>
        <v>-159.71224962553299</v>
      </c>
      <c r="DI190" s="2835">
        <f t="shared" si="307"/>
        <v>0</v>
      </c>
      <c r="DJ190" s="1741"/>
      <c r="DK190" s="1639" t="s">
        <v>1237</v>
      </c>
      <c r="DL190" s="2377"/>
      <c r="DM190" s="2377"/>
      <c r="DN190" s="1477"/>
      <c r="DO190" s="1477"/>
      <c r="DP190" s="1477"/>
      <c r="DQ190" s="1477"/>
      <c r="DR190" s="1477"/>
      <c r="DS190" s="1477"/>
      <c r="DT190" s="1477"/>
    </row>
    <row r="191" spans="1:129" ht="11.25" customHeight="1">
      <c r="A191" s="1494" t="s">
        <v>1220</v>
      </c>
      <c r="B191" s="1643">
        <f>'Revenue and OCF'!O79</f>
        <v>13163.4</v>
      </c>
      <c r="C191" s="1643">
        <f>'Revenue and OCF'!P79</f>
        <v>13554.5</v>
      </c>
      <c r="D191" s="1643">
        <f>'Revenue and OCF'!Q79</f>
        <v>14547.3</v>
      </c>
      <c r="E191" s="1643">
        <f>'Revenue and OCF'!R79</f>
        <v>14536.4</v>
      </c>
      <c r="F191" s="1643">
        <f>'Revenue and OCF'!S79</f>
        <v>14320.2</v>
      </c>
      <c r="G191" s="1643">
        <f>'Revenue and OCF'!T79</f>
        <v>14072.9</v>
      </c>
      <c r="H191" s="1643">
        <f>'Revenue and OCF'!U79</f>
        <v>13950.4</v>
      </c>
      <c r="I191" s="1643">
        <f>'Revenue and OCF'!Y79</f>
        <v>13014.6</v>
      </c>
      <c r="J191" s="1643">
        <f>'Revenue and OCF'!Z79</f>
        <v>14059.8</v>
      </c>
      <c r="K191" s="1643">
        <f>'Revenue and OCF'!AA79</f>
        <v>13637</v>
      </c>
      <c r="L191" s="1643">
        <f>'Revenue and OCF'!AB79</f>
        <v>14077.599999999999</v>
      </c>
      <c r="M191" s="1643">
        <f>'Revenue and OCF'!AC79</f>
        <v>15284</v>
      </c>
      <c r="N191" s="1643">
        <f>'Revenue and OCF'!AD79</f>
        <v>13805.999999999998</v>
      </c>
      <c r="O191" s="2736">
        <f>O187+O190</f>
        <v>14005</v>
      </c>
      <c r="P191" s="2736">
        <f>P187+P190</f>
        <v>13806</v>
      </c>
      <c r="Q191" s="1643">
        <f>Q187+Q190</f>
        <v>13886</v>
      </c>
      <c r="R191" s="1643">
        <f>'Revenue and OCF'!AH79</f>
        <v>14386</v>
      </c>
      <c r="S191" s="1643">
        <f>'Revenue and OCF'!AI79</f>
        <v>13166</v>
      </c>
      <c r="T191" s="2812">
        <f>'Revenue and OCF'!AJ79</f>
        <v>13557.901091990381</v>
      </c>
      <c r="U191" s="2812">
        <f>'Revenue and OCF'!AK79</f>
        <v>14424.309304162609</v>
      </c>
      <c r="V191" s="2812">
        <f>'Revenue and OCF'!AL79</f>
        <v>15473.36303284608</v>
      </c>
      <c r="W191" s="2812">
        <f>'Revenue and OCF'!AM79</f>
        <v>15875.983851960162</v>
      </c>
      <c r="X191" s="1643">
        <f>'Revenue and OCF'!AN79</f>
        <v>16457.705564037435</v>
      </c>
      <c r="Y191" s="1643">
        <f>'Revenue and OCF'!AO79</f>
        <v>17531.302010185573</v>
      </c>
      <c r="Z191" s="1643">
        <f>'Revenue and OCF'!AP79</f>
        <v>17428.907276255912</v>
      </c>
      <c r="AA191" s="1643">
        <f>'Revenue and OCF'!AQ79</f>
        <v>17956.783026838613</v>
      </c>
      <c r="AB191" s="1643">
        <f>'Revenue and OCF'!AR79</f>
        <v>18919.168851530747</v>
      </c>
      <c r="AC191" s="1643">
        <f>'Revenue and OCF'!AS79</f>
        <v>18754.799778234839</v>
      </c>
      <c r="AD191" s="1643">
        <f>'Revenue and OCF'!AT79</f>
        <v>19138.663204395809</v>
      </c>
      <c r="AE191" s="1643">
        <f>'Revenue and OCF'!AU79</f>
        <v>20381.079605438248</v>
      </c>
      <c r="AF191" s="1105"/>
      <c r="AG191" s="1105"/>
      <c r="AH191" s="1105"/>
      <c r="AI191" s="1105"/>
      <c r="AJ191" s="1643"/>
      <c r="AK191" s="1643"/>
      <c r="AL191" s="1494" t="str">
        <f t="shared" si="315"/>
        <v xml:space="preserve">Total Revenues </v>
      </c>
      <c r="AM191" s="1643">
        <f>'Revenue and OCF'!CE79</f>
        <v>3512.5000000000005</v>
      </c>
      <c r="AN191" s="1643">
        <f>'Revenue and OCF'!CF79</f>
        <v>3657.2000000000003</v>
      </c>
      <c r="AO191" s="1643">
        <f>'Revenue and OCF'!CG79</f>
        <v>3628.8</v>
      </c>
      <c r="AP191" s="1643">
        <f>'Revenue and OCF'!CH79</f>
        <v>3748.8000000000006</v>
      </c>
      <c r="AQ191" s="1741">
        <f>D191-SUM(AM191:AP191)</f>
        <v>0</v>
      </c>
      <c r="AR191" s="1643">
        <f>'Revenue and OCF'!CJ79</f>
        <v>3447.7999999999997</v>
      </c>
      <c r="AS191" s="1643">
        <f>'Revenue and OCF'!CK79</f>
        <v>3657.7</v>
      </c>
      <c r="AT191" s="1643">
        <f>'Revenue and OCF'!CL79</f>
        <v>3602.8</v>
      </c>
      <c r="AU191" s="1643">
        <f>'Revenue and OCF'!CM79</f>
        <v>3828.0999999999985</v>
      </c>
      <c r="AV191" s="1741">
        <f>E191-SUM(AR191:AU191)</f>
        <v>0</v>
      </c>
      <c r="AW191" s="1643">
        <f>'Revenue and OCF'!CO79</f>
        <v>3575.3999999999996</v>
      </c>
      <c r="AX191" s="1643">
        <f>'Revenue and OCF'!CP79</f>
        <v>3483.1000000000004</v>
      </c>
      <c r="AY191" s="1643">
        <f>'Revenue and OCF'!CQ79</f>
        <v>3378.8</v>
      </c>
      <c r="AZ191" s="1643">
        <f>'Revenue and OCF'!CR79</f>
        <v>3882.9000000000015</v>
      </c>
      <c r="BA191" s="1741">
        <f>F191-SUM(AW191:AZ191)</f>
        <v>0</v>
      </c>
      <c r="BB191" s="1643">
        <f>'Revenue and OCF'!CT79</f>
        <v>3657.4</v>
      </c>
      <c r="BC191" s="1643">
        <f>'Revenue and OCF'!CU79</f>
        <v>3374.9</v>
      </c>
      <c r="BD191" s="1643">
        <f>'Revenue and OCF'!CV79</f>
        <v>3281.3999999999996</v>
      </c>
      <c r="BE191" s="1643">
        <f>'Revenue and OCF'!CW79</f>
        <v>3759.1999999999989</v>
      </c>
      <c r="BF191" s="1741">
        <f>G191-SUM(BB191:BE191)</f>
        <v>0</v>
      </c>
      <c r="BG191" s="1643">
        <f>'Revenue and OCF'!CY79</f>
        <v>3653.8841239049998</v>
      </c>
      <c r="BH191" s="1643">
        <f>'Revenue and OCF'!CZ79</f>
        <v>3397.9583159999993</v>
      </c>
      <c r="BI191" s="1643">
        <f>'Revenue and OCF'!DA79</f>
        <v>3371.5841090437507</v>
      </c>
      <c r="BJ191" s="1643">
        <f>'Revenue and OCF'!DB79</f>
        <v>3526.9734510512499</v>
      </c>
      <c r="BK191" s="1741">
        <f>H191-SUM(BG191:BJ191)</f>
        <v>0</v>
      </c>
      <c r="BL191" s="1643">
        <f>'Revenue and OCF'!DD79</f>
        <v>3162.1499849578995</v>
      </c>
      <c r="BM191" s="1643">
        <f>'Revenue and OCF'!DE79</f>
        <v>3012.1972104639999</v>
      </c>
      <c r="BN191" s="1643">
        <f>BN187+BN190</f>
        <v>3350</v>
      </c>
      <c r="BO191" s="1643">
        <f>BO187+BO190</f>
        <v>3491.9115129816373</v>
      </c>
      <c r="BP191" s="1741">
        <f>I191-SUM(BL191:BO191)</f>
        <v>-1.6587084035363659</v>
      </c>
      <c r="BQ191" s="1643">
        <f>BQ187+BQ190</f>
        <v>3530.8999999999996</v>
      </c>
      <c r="BR191" s="1643">
        <f>BR187+BR190</f>
        <v>3331</v>
      </c>
      <c r="BS191" s="1643">
        <f>BS187+BS190</f>
        <v>3297.5000000000005</v>
      </c>
      <c r="BT191" s="1643">
        <f>BT187+BT190</f>
        <v>3900.4</v>
      </c>
      <c r="BU191" s="1741">
        <f>J191-SUM(BQ191:BT191)</f>
        <v>0</v>
      </c>
      <c r="BV191" s="1643">
        <f>BV187+BV190</f>
        <v>3376</v>
      </c>
      <c r="BW191" s="1643">
        <f>BW187+BW190</f>
        <v>3428</v>
      </c>
      <c r="BX191" s="1643">
        <f>BX187+BX190</f>
        <v>3221</v>
      </c>
      <c r="BY191" s="1643">
        <f>BY187+BY190</f>
        <v>3612</v>
      </c>
      <c r="BZ191" s="1741">
        <f>K191-SUM(BV191:BY191)</f>
        <v>0</v>
      </c>
      <c r="CA191" s="1643">
        <f>CA187+CA190</f>
        <v>3793.9</v>
      </c>
      <c r="CB191" s="1643">
        <f>CB187+CB190</f>
        <v>3326.4</v>
      </c>
      <c r="CC191" s="1643">
        <f>CC187+CC190</f>
        <v>3263.5</v>
      </c>
      <c r="CD191" s="1643">
        <f>CD187+CD190</f>
        <v>3693.8</v>
      </c>
      <c r="CE191" s="1741">
        <f>L191-SUM(CA191:CD191)</f>
        <v>0</v>
      </c>
      <c r="CF191" s="1643">
        <f>CF187+CF190</f>
        <v>4040</v>
      </c>
      <c r="CG191" s="1643">
        <f>CG187+CG190</f>
        <v>3699</v>
      </c>
      <c r="CH191" s="1643">
        <f>CH187+CH190</f>
        <v>3634</v>
      </c>
      <c r="CI191" s="1643">
        <f>CI187+CI190</f>
        <v>3911</v>
      </c>
      <c r="CJ191" s="1805"/>
      <c r="CK191" s="1643">
        <f>CK187+CK190</f>
        <v>3570</v>
      </c>
      <c r="CL191" s="1643">
        <f>CL187+CL190</f>
        <v>3188</v>
      </c>
      <c r="CM191" s="1643">
        <f>CM187+CM190</f>
        <v>3367</v>
      </c>
      <c r="CN191" s="1643">
        <f>CN187+CN190</f>
        <v>3681</v>
      </c>
      <c r="CO191" s="2446">
        <f>$N191-SUM(CK191:CN191)</f>
        <v>0</v>
      </c>
      <c r="CP191" s="1643">
        <f>CP187+CP190</f>
        <v>3500</v>
      </c>
      <c r="CQ191" s="1643">
        <f>CQ187+CQ190</f>
        <v>3219</v>
      </c>
      <c r="CR191" s="1643">
        <f>CR187+CR190</f>
        <v>3257</v>
      </c>
      <c r="CS191" s="1643">
        <f>CS187+CS190</f>
        <v>3910</v>
      </c>
      <c r="CT191" s="1741">
        <f>$Q191-SUM(CP191:CS191)</f>
        <v>0</v>
      </c>
      <c r="CU191" s="1643">
        <f>CU187+CU190</f>
        <v>3588</v>
      </c>
      <c r="CV191" s="1643">
        <f>CV187+CV190</f>
        <v>2976</v>
      </c>
      <c r="CW191" s="2812">
        <f>CW187+CW190</f>
        <v>3084</v>
      </c>
      <c r="CX191" s="2812">
        <f>CX187+CX190</f>
        <v>3518</v>
      </c>
      <c r="CY191" s="2835">
        <f>S191-SUM(CU191:CX191)</f>
        <v>0</v>
      </c>
      <c r="CZ191" s="2812">
        <f>CZ187+CZ190</f>
        <v>3343</v>
      </c>
      <c r="DA191" s="2812">
        <f>DA187+DA190</f>
        <v>3257</v>
      </c>
      <c r="DB191" s="2812">
        <f>DB187+DB190</f>
        <v>3171</v>
      </c>
      <c r="DC191" s="2812">
        <f>DC187+DC190</f>
        <v>3786.9010919903822</v>
      </c>
      <c r="DD191" s="2835">
        <f t="shared" si="225"/>
        <v>0</v>
      </c>
      <c r="DE191" s="2812">
        <f t="shared" ref="DE191:DH191" si="317">DE187+DE190</f>
        <v>3577.032299295648</v>
      </c>
      <c r="DF191" s="2812">
        <f t="shared" si="317"/>
        <v>3481.3049747765622</v>
      </c>
      <c r="DG191" s="2812">
        <f t="shared" si="317"/>
        <v>3279.8716630658878</v>
      </c>
      <c r="DH191" s="2812">
        <f t="shared" si="317"/>
        <v>4086.1003670245132</v>
      </c>
      <c r="DI191" s="2835">
        <f t="shared" si="307"/>
        <v>0</v>
      </c>
      <c r="DJ191" s="1741"/>
      <c r="DK191" s="1643"/>
      <c r="DL191" s="2178"/>
      <c r="DM191" s="2178"/>
      <c r="DN191" s="1477"/>
      <c r="DO191" s="1477"/>
      <c r="DP191" s="1477"/>
      <c r="DQ191" s="1477"/>
      <c r="DR191" s="1477"/>
      <c r="DS191" s="1477"/>
      <c r="DT191" s="1477"/>
    </row>
    <row r="192" spans="1:129" ht="11.25" customHeight="1">
      <c r="A192" s="1797" t="s">
        <v>344</v>
      </c>
      <c r="B192" s="1770" t="s">
        <v>1455</v>
      </c>
      <c r="C192" s="1786">
        <f t="shared" ref="C192:J192" si="318">C191/B191-1</f>
        <v>2.9711168846954461E-2</v>
      </c>
      <c r="D192" s="1786">
        <f t="shared" si="318"/>
        <v>7.3245047770113203E-2</v>
      </c>
      <c r="E192" s="1786">
        <f t="shared" si="318"/>
        <v>-7.4927993510820468E-4</v>
      </c>
      <c r="F192" s="1786">
        <f t="shared" si="318"/>
        <v>-1.4873008447758629E-2</v>
      </c>
      <c r="G192" s="1786">
        <f t="shared" si="318"/>
        <v>-1.726931188111902E-2</v>
      </c>
      <c r="H192" s="1786">
        <f t="shared" si="318"/>
        <v>-8.7046735214489912E-3</v>
      </c>
      <c r="I192" s="1786">
        <f t="shared" si="318"/>
        <v>-6.7080513820392151E-2</v>
      </c>
      <c r="J192" s="1786">
        <f t="shared" si="318"/>
        <v>8.0309805910285359E-2</v>
      </c>
      <c r="K192" s="1786">
        <f t="shared" ref="K192:W192" si="319">K191/J191-1</f>
        <v>-3.007155151566876E-2</v>
      </c>
      <c r="L192" s="1786">
        <f t="shared" si="319"/>
        <v>3.2309158905917679E-2</v>
      </c>
      <c r="M192" s="1786">
        <f t="shared" si="319"/>
        <v>8.5696425527078679E-2</v>
      </c>
      <c r="N192" s="1786">
        <f t="shared" si="319"/>
        <v>-9.6702433917822628E-2</v>
      </c>
      <c r="O192" s="2724"/>
      <c r="P192" s="2724">
        <f t="shared" si="319"/>
        <v>-1.4209210996072863E-2</v>
      </c>
      <c r="Q192" s="1786">
        <f t="shared" si="319"/>
        <v>5.7945820657685498E-3</v>
      </c>
      <c r="R192" s="1786">
        <f t="shared" si="319"/>
        <v>3.6007489557827954E-2</v>
      </c>
      <c r="S192" s="2724"/>
      <c r="T192" s="2814">
        <f>T191/S191-1</f>
        <v>2.9766147044689495E-2</v>
      </c>
      <c r="U192" s="2814">
        <f t="shared" si="319"/>
        <v>6.3904302464935059E-2</v>
      </c>
      <c r="V192" s="2814">
        <f t="shared" si="319"/>
        <v>7.2728177589808984E-2</v>
      </c>
      <c r="W192" s="2814">
        <f t="shared" si="319"/>
        <v>2.6020252886164386E-2</v>
      </c>
      <c r="X192" s="1786">
        <f t="shared" ref="X192:AE192" si="320">X191/W191-1</f>
        <v>3.6641616513451547E-2</v>
      </c>
      <c r="Y192" s="1786">
        <f t="shared" si="320"/>
        <v>6.5233664678878922E-2</v>
      </c>
      <c r="Z192" s="1786">
        <f t="shared" si="320"/>
        <v>-5.8406805079377344E-3</v>
      </c>
      <c r="AA192" s="1786">
        <f t="shared" si="320"/>
        <v>3.0287369266221775E-2</v>
      </c>
      <c r="AB192" s="1786">
        <f t="shared" si="320"/>
        <v>5.3594556622627243E-2</v>
      </c>
      <c r="AC192" s="1786">
        <f t="shared" si="320"/>
        <v>-8.6879648141947596E-3</v>
      </c>
      <c r="AD192" s="1786">
        <f t="shared" si="320"/>
        <v>2.046747662997972E-2</v>
      </c>
      <c r="AE192" s="1786">
        <f t="shared" si="320"/>
        <v>6.4916571642113396E-2</v>
      </c>
      <c r="AF192" s="1105"/>
      <c r="AG192" s="1105"/>
      <c r="AH192" s="1105"/>
      <c r="AI192" s="1105"/>
      <c r="AJ192" s="1786"/>
      <c r="AK192" s="1786"/>
      <c r="AL192" s="1810" t="str">
        <f t="shared" si="315"/>
        <v xml:space="preserve">% Change </v>
      </c>
      <c r="AM192" s="1770" t="s">
        <v>1455</v>
      </c>
      <c r="AN192" s="1770" t="s">
        <v>1455</v>
      </c>
      <c r="AO192" s="1770" t="s">
        <v>1455</v>
      </c>
      <c r="AP192" s="1770" t="s">
        <v>1455</v>
      </c>
      <c r="AQ192" s="1811"/>
      <c r="AR192" s="1364">
        <f>AR191/AM191-1</f>
        <v>-1.8419928825622933E-2</v>
      </c>
      <c r="AS192" s="1364">
        <f>AS191/AN191-1</f>
        <v>1.3671661380287858E-4</v>
      </c>
      <c r="AT192" s="1364">
        <f>AT191/AO191-1</f>
        <v>-7.1649029982363555E-3</v>
      </c>
      <c r="AU192" s="1364">
        <f>AU191/AP191-1</f>
        <v>2.1153435766111173E-2</v>
      </c>
      <c r="AV192" s="1811"/>
      <c r="AW192" s="1364">
        <f>AW191/AR191-1</f>
        <v>3.700910725680151E-2</v>
      </c>
      <c r="AX192" s="1364">
        <f>AX191/AS191-1</f>
        <v>-4.7734915383984333E-2</v>
      </c>
      <c r="AY192" s="1364">
        <f>AY191/AT191-1</f>
        <v>-6.2173864771844167E-2</v>
      </c>
      <c r="AZ192" s="1364">
        <f>AZ191/AU191-1</f>
        <v>1.4315195527808244E-2</v>
      </c>
      <c r="BA192" s="1811"/>
      <c r="BB192" s="1364">
        <f>BB191/AW191-1</f>
        <v>2.2934496839514651E-2</v>
      </c>
      <c r="BC192" s="1364">
        <f>BC191/AX191-1</f>
        <v>-3.1064281817920869E-2</v>
      </c>
      <c r="BD192" s="1364">
        <f>BD191/AY191-1</f>
        <v>-2.882680241505875E-2</v>
      </c>
      <c r="BE192" s="1364">
        <f>BE191/AZ191-1</f>
        <v>-3.1857632182132556E-2</v>
      </c>
      <c r="BF192" s="1811"/>
      <c r="BG192" s="1364">
        <f>BG191/BB191-1</f>
        <v>-9.6130477798439529E-4</v>
      </c>
      <c r="BH192" s="1364">
        <f>BH191/BC191-1</f>
        <v>6.8322960680313738E-3</v>
      </c>
      <c r="BI192" s="1364">
        <f>BI191/BD191-1</f>
        <v>2.7483424466310469E-2</v>
      </c>
      <c r="BJ192" s="1364">
        <f>BJ191/BE191-1</f>
        <v>-6.17755237680222E-2</v>
      </c>
      <c r="BK192" s="1811"/>
      <c r="BL192" s="1364">
        <f>BL191/BG191-1</f>
        <v>-0.13457847109326815</v>
      </c>
      <c r="BM192" s="1364">
        <f>BM191/BH191-1</f>
        <v>-0.11352732130925869</v>
      </c>
      <c r="BN192" s="1364">
        <f>BN191/BI191-1</f>
        <v>-6.4017709022458069E-3</v>
      </c>
      <c r="BO192" s="1364">
        <f>BO191/BJ191-1</f>
        <v>-9.941083639050885E-3</v>
      </c>
      <c r="BP192" s="1811"/>
      <c r="BQ192" s="1364">
        <f>BQ191/BL191-1</f>
        <v>0.11661370168910867</v>
      </c>
      <c r="BR192" s="1364">
        <f>BR191/BM191-1</f>
        <v>0.10583728994519981</v>
      </c>
      <c r="BS192" s="1364">
        <f>BS191/BN191-1</f>
        <v>-1.5671641791044633E-2</v>
      </c>
      <c r="BT192" s="1364">
        <f>BT191/BO191-1</f>
        <v>0.1169813397331958</v>
      </c>
      <c r="BU192" s="1477"/>
      <c r="BV192" s="1364">
        <f>BV191/BQ191-1</f>
        <v>-4.3869834886289483E-2</v>
      </c>
      <c r="BW192" s="1364">
        <f>BW191/BR191-1</f>
        <v>2.912038426898822E-2</v>
      </c>
      <c r="BX192" s="1364">
        <f>BX191/BS191-1</f>
        <v>-2.3199393479909181E-2</v>
      </c>
      <c r="BY192" s="1364">
        <f>BY191/BT191-1</f>
        <v>-7.3941134242641815E-2</v>
      </c>
      <c r="BZ192" s="1477"/>
      <c r="CA192" s="1364">
        <f>CA191/BV191-1</f>
        <v>0.12378554502369665</v>
      </c>
      <c r="CB192" s="1364">
        <f>CB191/BW191-1</f>
        <v>-2.963827304550759E-2</v>
      </c>
      <c r="CC192" s="1364">
        <f>CC191/BX191-1</f>
        <v>1.3194660043464701E-2</v>
      </c>
      <c r="CD192" s="1364">
        <f>CD191/BY191-1</f>
        <v>2.2646733111849393E-2</v>
      </c>
      <c r="CE192" s="1477"/>
      <c r="CF192" s="1364">
        <f>CF191/CA191-1</f>
        <v>6.4867286960647252E-2</v>
      </c>
      <c r="CG192" s="1364">
        <f>CG191/CB191-1</f>
        <v>0.1120129870129869</v>
      </c>
      <c r="CH192" s="1364">
        <f>CH191/CC191-1</f>
        <v>0.11352842040753797</v>
      </c>
      <c r="CI192" s="1364">
        <f>CI191/CD191-1</f>
        <v>5.8801234501055788E-2</v>
      </c>
      <c r="CJ192" s="1477"/>
      <c r="CK192" s="1364">
        <f>CK191/CF191-1</f>
        <v>-0.11633663366336633</v>
      </c>
      <c r="CL192" s="1364">
        <f>CL191/CG191-1</f>
        <v>-0.13814544471478774</v>
      </c>
      <c r="CM192" s="1364">
        <f>CM191/CH191-1</f>
        <v>-7.347275729224001E-2</v>
      </c>
      <c r="CN192" s="1364">
        <f>CN191/CI191-1</f>
        <v>-5.8808488877524878E-2</v>
      </c>
      <c r="CO192" s="1477"/>
      <c r="CP192" s="2008">
        <f>CP191/CK191-1</f>
        <v>-1.9607843137254943E-2</v>
      </c>
      <c r="CQ192" s="2008">
        <f>CQ191/CL191-1</f>
        <v>9.7239648682558855E-3</v>
      </c>
      <c r="CR192" s="2008">
        <f>CR191/CM191-1</f>
        <v>-3.2670032670032656E-2</v>
      </c>
      <c r="CS192" s="1364">
        <f>CS191/CN191-1</f>
        <v>6.2211355609888663E-2</v>
      </c>
      <c r="CT192" s="1477"/>
      <c r="CU192" s="2008">
        <f>CU191/CP191-1</f>
        <v>2.5142857142857133E-2</v>
      </c>
      <c r="CV192" s="2008">
        <f>CV191/CQ191-1</f>
        <v>-7.5489282385834078E-2</v>
      </c>
      <c r="CW192" s="2980">
        <f>CW191/CR191-1</f>
        <v>-5.3116364752839984E-2</v>
      </c>
      <c r="CX192" s="2980">
        <f>CX191/CS191-1</f>
        <v>-0.10025575447570334</v>
      </c>
      <c r="CY192" s="2937"/>
      <c r="CZ192" s="2980">
        <f>CZ191/CU191-1</f>
        <v>-6.8283166109253113E-2</v>
      </c>
      <c r="DA192" s="2980">
        <f>DA191/CV191-1</f>
        <v>9.4422043010752743E-2</v>
      </c>
      <c r="DB192" s="2980">
        <f>DB191/CW191-1</f>
        <v>2.821011673151741E-2</v>
      </c>
      <c r="DC192" s="2980">
        <f>DC191/CX191-1</f>
        <v>7.6435785102439535E-2</v>
      </c>
      <c r="DD192" s="2835"/>
      <c r="DE192" s="2980">
        <f t="shared" ref="DE192:DH192" si="321">DE191/CZ191-1</f>
        <v>7.0006670444405561E-2</v>
      </c>
      <c r="DF192" s="2980">
        <f t="shared" si="321"/>
        <v>6.8868582983285798E-2</v>
      </c>
      <c r="DG192" s="2980">
        <f t="shared" si="321"/>
        <v>3.433354243641995E-2</v>
      </c>
      <c r="DH192" s="2980">
        <f t="shared" si="321"/>
        <v>7.9009001757918362E-2</v>
      </c>
      <c r="DI192" s="2937"/>
      <c r="DJ192" s="1477"/>
      <c r="DK192" s="1364"/>
      <c r="DL192" s="2378"/>
      <c r="DM192" s="2378"/>
      <c r="DN192" s="1477"/>
      <c r="DO192" s="1477"/>
      <c r="DP192" s="1477"/>
      <c r="DQ192" s="1477"/>
      <c r="DR192" s="1477"/>
      <c r="DS192" s="1477"/>
      <c r="DT192" s="1477"/>
    </row>
    <row r="193" spans="1:124" ht="11.25" customHeight="1">
      <c r="A193" s="1108"/>
      <c r="B193" s="1803"/>
      <c r="C193" s="1803"/>
      <c r="D193" s="1803"/>
      <c r="E193" s="1803"/>
      <c r="F193" s="1803"/>
      <c r="G193" s="1803"/>
      <c r="H193" s="1803"/>
      <c r="I193" s="1803"/>
      <c r="J193" s="1803"/>
      <c r="K193" s="1803"/>
      <c r="L193" s="1630"/>
      <c r="M193" s="2471"/>
      <c r="N193" s="1105"/>
      <c r="O193" s="2714"/>
      <c r="P193" s="2767"/>
      <c r="Q193" s="1786"/>
      <c r="R193" s="1786"/>
      <c r="S193" s="1786"/>
      <c r="T193" s="2814"/>
      <c r="U193" s="2814"/>
      <c r="V193" s="2814"/>
      <c r="W193" s="2814"/>
      <c r="X193" s="1786"/>
      <c r="Y193" s="1786"/>
      <c r="Z193" s="1786"/>
      <c r="AA193" s="1786"/>
      <c r="AB193" s="1786"/>
      <c r="AC193" s="1786"/>
      <c r="AD193" s="1786"/>
      <c r="AE193" s="1786"/>
      <c r="AF193" s="1105"/>
      <c r="AG193" s="1105"/>
      <c r="AH193" s="1105"/>
      <c r="AI193" s="1105"/>
      <c r="AJ193" s="1786"/>
      <c r="AK193" s="1786"/>
      <c r="AL193" s="1687"/>
      <c r="AM193" s="1108"/>
      <c r="AN193" s="1108"/>
      <c r="AO193" s="1108"/>
      <c r="AP193" s="1108"/>
      <c r="AQ193" s="1741"/>
      <c r="AR193" s="1108"/>
      <c r="AS193" s="1108"/>
      <c r="AT193" s="1108"/>
      <c r="AU193" s="1108"/>
      <c r="AV193" s="1741"/>
      <c r="AW193" s="1108"/>
      <c r="AX193" s="1108"/>
      <c r="AY193" s="1108"/>
      <c r="AZ193" s="1108"/>
      <c r="BA193" s="1741"/>
      <c r="BB193" s="1108"/>
      <c r="BC193" s="1108"/>
      <c r="BD193" s="1108"/>
      <c r="BE193" s="1108"/>
      <c r="BF193" s="1741"/>
      <c r="BG193" s="1108"/>
      <c r="BH193" s="1108"/>
      <c r="BI193" s="1108"/>
      <c r="BJ193" s="1108"/>
      <c r="BK193" s="1741"/>
      <c r="BL193" s="1772"/>
      <c r="BM193" s="1772"/>
      <c r="BN193" s="1108"/>
      <c r="BO193" s="1108"/>
      <c r="BP193" s="1741"/>
      <c r="BQ193" s="1108"/>
      <c r="BR193" s="1108"/>
      <c r="BS193" s="1108"/>
      <c r="BT193" s="1108"/>
      <c r="BU193" s="1108"/>
      <c r="BV193" s="1108"/>
      <c r="BW193" s="1108"/>
      <c r="BX193" s="1108"/>
      <c r="BY193" s="1108"/>
      <c r="BZ193" s="1108"/>
      <c r="CA193" s="1108"/>
      <c r="CB193" s="1108"/>
      <c r="CC193" s="1108"/>
      <c r="CD193" s="1108"/>
      <c r="CE193" s="1108"/>
      <c r="CF193" s="1108"/>
      <c r="CG193" s="1108"/>
      <c r="CH193" s="1108"/>
      <c r="CI193" s="1108"/>
      <c r="CJ193" s="1108"/>
      <c r="CK193" s="1470"/>
      <c r="CL193" s="1470"/>
      <c r="CM193" s="1470"/>
      <c r="CN193" s="1108"/>
      <c r="CO193" s="2447"/>
      <c r="CP193" s="1577"/>
      <c r="CQ193" s="1577"/>
      <c r="CR193" s="1577"/>
      <c r="CS193" s="1577"/>
      <c r="CT193" s="1577"/>
      <c r="CU193" s="1577"/>
      <c r="CV193" s="2807"/>
      <c r="CW193" s="2807"/>
      <c r="CX193" s="2807"/>
      <c r="CY193" s="2807"/>
      <c r="CZ193" s="2807"/>
      <c r="DA193" s="2807"/>
      <c r="DB193" s="2807"/>
      <c r="DC193" s="2807"/>
      <c r="DD193" s="2835"/>
      <c r="DE193" s="2807"/>
      <c r="DF193" s="2807"/>
      <c r="DG193" s="2807"/>
      <c r="DH193" s="2807"/>
      <c r="DI193" s="2807"/>
      <c r="DJ193" s="2807"/>
      <c r="DK193" s="1577"/>
      <c r="DL193" s="1577"/>
      <c r="DM193" s="1577"/>
      <c r="DN193" s="1477"/>
      <c r="DO193" s="1108"/>
      <c r="DP193" s="1108"/>
      <c r="DQ193" s="1108"/>
      <c r="DR193" s="1108"/>
      <c r="DS193" s="1108"/>
      <c r="DT193" s="1108"/>
    </row>
    <row r="194" spans="1:124" ht="11.25" customHeight="1">
      <c r="A194" s="1806" t="s">
        <v>1225</v>
      </c>
      <c r="B194" s="1105">
        <f>'Revenue and OCF'!O82</f>
        <v>3181.2999999999997</v>
      </c>
      <c r="C194" s="1105">
        <f>'Revenue and OCF'!P82</f>
        <v>3230.6</v>
      </c>
      <c r="D194" s="1105">
        <f>'Revenue and OCF'!Q82</f>
        <v>3563.5</v>
      </c>
      <c r="E194" s="1105">
        <f>'Revenue and OCF'!R82</f>
        <v>3404.4000000000005</v>
      </c>
      <c r="F194" s="1105">
        <f>'Revenue and OCF'!S82</f>
        <v>3413.7</v>
      </c>
      <c r="G194" s="1105">
        <f>'Revenue and OCF'!T82</f>
        <v>3329.5999999999995</v>
      </c>
      <c r="H194" s="1105">
        <f>'Revenue and OCF'!U82</f>
        <v>2911.8</v>
      </c>
      <c r="I194" s="1105">
        <f>'Revenue and OCF'!Y82</f>
        <v>2066.6000000000004</v>
      </c>
      <c r="J194" s="1105">
        <f>'Revenue and OCF'!Z82</f>
        <v>2688.9</v>
      </c>
      <c r="K194" s="1105">
        <f>K99+K165</f>
        <v>3459</v>
      </c>
      <c r="L194" s="1105">
        <f>L99+L165</f>
        <v>3784</v>
      </c>
      <c r="M194" s="1105">
        <f>M99+M165</f>
        <v>4078</v>
      </c>
      <c r="N194" s="1105">
        <f>N99+N165</f>
        <v>3524</v>
      </c>
      <c r="O194" s="2714">
        <f>SUM(O99,O165)</f>
        <v>3667</v>
      </c>
      <c r="P194" s="2714">
        <f>SUM(P99,P165)</f>
        <v>3524</v>
      </c>
      <c r="Q194" s="1105">
        <f>Q99+Q165</f>
        <v>3352</v>
      </c>
      <c r="R194" s="2804">
        <f>R99+R165</f>
        <v>3731.3</v>
      </c>
      <c r="S194" s="2808">
        <f>SUM(CU194:CX194)</f>
        <v>3405.3</v>
      </c>
      <c r="T194" s="2804">
        <f>T99+T165</f>
        <v>3359.3769990247993</v>
      </c>
      <c r="U194" s="2804">
        <f>U99+U165</f>
        <v>3593.6366914621472</v>
      </c>
      <c r="V194" s="2804">
        <f>'Revenue and OCF'!AL82</f>
        <v>3787.1414026751218</v>
      </c>
      <c r="W194" s="2804">
        <f>'Revenue and OCF'!AM82</f>
        <v>4147.0645206899489</v>
      </c>
      <c r="X194" s="1105">
        <f>'Revenue and OCF'!AN82</f>
        <v>4267.0527087422915</v>
      </c>
      <c r="Y194" s="1105">
        <f>'Revenue and OCF'!AO82</f>
        <v>4529.5243123204664</v>
      </c>
      <c r="Z194" s="1105">
        <f>'Revenue and OCF'!AP82</f>
        <v>4357.2138636346717</v>
      </c>
      <c r="AA194" s="1105">
        <f>'Revenue and OCF'!AQ82</f>
        <v>4470.3489313516084</v>
      </c>
      <c r="AB194" s="1105">
        <f>'Revenue and OCF'!AR82</f>
        <v>4486.0787917407606</v>
      </c>
      <c r="AC194" s="1105">
        <f>'Revenue and OCF'!AS82</f>
        <v>4438.1267319336148</v>
      </c>
      <c r="AD194" s="1105">
        <f>'Revenue and OCF'!AT82</f>
        <v>4399.9768775133407</v>
      </c>
      <c r="AE194" s="1105">
        <f>'Revenue and OCF'!AU82</f>
        <v>4610.0548926584834</v>
      </c>
      <c r="AF194" s="1105"/>
      <c r="AG194" s="1105"/>
      <c r="AH194" s="1105"/>
      <c r="AI194" s="1105"/>
      <c r="AJ194" s="1105"/>
      <c r="AK194" s="1105"/>
      <c r="AL194" s="1807" t="str">
        <f t="shared" si="315"/>
        <v xml:space="preserve">Total Segment EBITDA </v>
      </c>
      <c r="AM194" s="1105">
        <f>'Revenue and OCF'!CE82</f>
        <v>707.2</v>
      </c>
      <c r="AN194" s="1105">
        <f>'Revenue and OCF'!CF82</f>
        <v>1086.0000000000002</v>
      </c>
      <c r="AO194" s="1105">
        <f>'Revenue and OCF'!CG82</f>
        <v>961.90000000000009</v>
      </c>
      <c r="AP194" s="1105">
        <f>'Revenue and OCF'!CH82</f>
        <v>808.4</v>
      </c>
      <c r="AQ194" s="1741">
        <f>D194-SUM(AM194:AP194)</f>
        <v>0</v>
      </c>
      <c r="AR194" s="1105">
        <f>'Revenue and OCF'!CJ82</f>
        <v>674.6</v>
      </c>
      <c r="AS194" s="1105">
        <f>'Revenue and OCF'!CK82</f>
        <v>995.8</v>
      </c>
      <c r="AT194" s="1105">
        <f>'Revenue and OCF'!CL82</f>
        <v>887.09999999999991</v>
      </c>
      <c r="AU194" s="1105">
        <f>'Revenue and OCF'!CM82</f>
        <v>846.9</v>
      </c>
      <c r="AV194" s="1741">
        <f>E194-SUM(AR194:AU194)</f>
        <v>0</v>
      </c>
      <c r="AW194" s="1105">
        <f>'Revenue and OCF'!CO82</f>
        <v>699.19999999999993</v>
      </c>
      <c r="AX194" s="1105">
        <f>'Revenue and OCF'!CP82</f>
        <v>933.9</v>
      </c>
      <c r="AY194" s="1105">
        <f>'Revenue and OCF'!CQ82</f>
        <v>832.6</v>
      </c>
      <c r="AZ194" s="1105">
        <f>'Revenue and OCF'!CR82</f>
        <v>948</v>
      </c>
      <c r="BA194" s="1741">
        <f>F194-SUM(AW194:AZ194)</f>
        <v>0</v>
      </c>
      <c r="BB194" s="1105">
        <f>'Revenue and OCF'!CT82</f>
        <v>683.99999999999989</v>
      </c>
      <c r="BC194" s="1105">
        <f>'Revenue and OCF'!CU82</f>
        <v>925.2</v>
      </c>
      <c r="BD194" s="1105">
        <f>'Revenue and OCF'!CV82</f>
        <v>823</v>
      </c>
      <c r="BE194" s="1105">
        <f>'Revenue and OCF'!CW82</f>
        <v>897.4</v>
      </c>
      <c r="BF194" s="1741">
        <f>G194-SUM(BB194:BE194)</f>
        <v>0</v>
      </c>
      <c r="BG194" s="1105">
        <f>'Revenue and OCF'!CY82</f>
        <v>749.47924972625003</v>
      </c>
      <c r="BH194" s="1105">
        <f>'Revenue and OCF'!CZ82</f>
        <v>830.09473068</v>
      </c>
      <c r="BI194" s="1105">
        <f>'Revenue and OCF'!DA82</f>
        <v>702.96897686793739</v>
      </c>
      <c r="BJ194" s="1105">
        <f>'Revenue and OCF'!DB82</f>
        <v>629.25704272581243</v>
      </c>
      <c r="BK194" s="1741">
        <f>H194-SUM(BG194:BJ194)</f>
        <v>0</v>
      </c>
      <c r="BL194" s="1105">
        <f>'Revenue and OCF'!DD82</f>
        <v>330.23853314169935</v>
      </c>
      <c r="BM194" s="1105">
        <f>'Revenue and OCF'!DE82</f>
        <v>467.91093352486837</v>
      </c>
      <c r="BN194" s="1105">
        <f>BN99+BN165</f>
        <v>644.1</v>
      </c>
      <c r="BO194" s="1105">
        <f>BO99+BO165</f>
        <v>646.70000000000005</v>
      </c>
      <c r="BP194" s="1741">
        <f>I194-SUM(BL194:BO194)</f>
        <v>-22.349466666567423</v>
      </c>
      <c r="BQ194" s="1772">
        <f>BQ99+BQ165</f>
        <v>415.5</v>
      </c>
      <c r="BR194" s="1772">
        <f>BR99+BR165</f>
        <v>661.5</v>
      </c>
      <c r="BS194" s="1772">
        <f>BS99+BS165</f>
        <v>751.59999999999991</v>
      </c>
      <c r="BT194" s="1772">
        <f>BT99+BT165</f>
        <v>860.30000000000007</v>
      </c>
      <c r="BU194" s="1741">
        <f>J194-SUM(BQ194:BT194)</f>
        <v>0</v>
      </c>
      <c r="BV194" s="1772">
        <f>BV99+BV165</f>
        <v>666</v>
      </c>
      <c r="BW194" s="1772">
        <f>BW99+BW165</f>
        <v>964</v>
      </c>
      <c r="BX194" s="1772">
        <f>BX99+BX165</f>
        <v>934</v>
      </c>
      <c r="BY194" s="1772">
        <f>BY99+BY165</f>
        <v>895</v>
      </c>
      <c r="BZ194" s="1741">
        <f>K194-SUM(BV194:BY194)</f>
        <v>0</v>
      </c>
      <c r="CA194" s="1772">
        <f>CA99+CA165</f>
        <v>877</v>
      </c>
      <c r="CB194" s="1772">
        <f>CB99+CB165</f>
        <v>976</v>
      </c>
      <c r="CC194" s="1772">
        <f>CC99+CC165</f>
        <v>968</v>
      </c>
      <c r="CD194" s="1772">
        <f>CD99+CD165</f>
        <v>963</v>
      </c>
      <c r="CE194" s="1741">
        <f>L194-SUM(CA194:CD194)</f>
        <v>0</v>
      </c>
      <c r="CF194" s="1772">
        <f>CF99+CF165</f>
        <v>996</v>
      </c>
      <c r="CG194" s="1772">
        <f>CG99+CG165</f>
        <v>1019</v>
      </c>
      <c r="CH194" s="1772">
        <f>CH99+CH165</f>
        <v>1026</v>
      </c>
      <c r="CI194" s="1772">
        <f>CI99+CI165</f>
        <v>1037</v>
      </c>
      <c r="CJ194" s="1741">
        <f>M194-SUM(CF194:CI194)</f>
        <v>0</v>
      </c>
      <c r="CK194" s="1808">
        <f>CK99+CK165</f>
        <v>929</v>
      </c>
      <c r="CL194" s="1808">
        <f>CL99+CL165</f>
        <v>857</v>
      </c>
      <c r="CM194" s="1808">
        <f>CM99+CM165</f>
        <v>864</v>
      </c>
      <c r="CN194" s="1772">
        <f>CN99+CN165</f>
        <v>874</v>
      </c>
      <c r="CO194" s="1741">
        <f>$N194-SUM(CK194:CN194)</f>
        <v>0</v>
      </c>
      <c r="CP194" s="1808">
        <f>CP99+CP165</f>
        <v>830</v>
      </c>
      <c r="CQ194" s="1808">
        <f>CQ99+CQ165</f>
        <v>764</v>
      </c>
      <c r="CR194" s="1808">
        <f>CR99+CR165</f>
        <v>859</v>
      </c>
      <c r="CS194" s="1772">
        <f>CS99+CS165</f>
        <v>899</v>
      </c>
      <c r="CT194" s="1741">
        <f>$Q194-SUM(CP194:CS194)</f>
        <v>0</v>
      </c>
      <c r="CU194" s="1808">
        <f>CU99+CU165</f>
        <v>888</v>
      </c>
      <c r="CV194" s="3041">
        <f>CV99+CV165</f>
        <v>782.3</v>
      </c>
      <c r="CW194" s="3041">
        <f>CW99+CW165</f>
        <v>845</v>
      </c>
      <c r="CX194" s="3041">
        <f>CX99+CX165</f>
        <v>890</v>
      </c>
      <c r="CY194" s="2835">
        <f>S194-SUM(CU194:CX194)</f>
        <v>0</v>
      </c>
      <c r="CZ194" s="3041">
        <f>CZ99+CZ165</f>
        <v>830</v>
      </c>
      <c r="DA194" s="3041">
        <f>DA99+DA165</f>
        <v>801</v>
      </c>
      <c r="DB194" s="3041">
        <f>DB99+DB165</f>
        <v>837</v>
      </c>
      <c r="DC194" s="3041">
        <f>DC99+DC165</f>
        <v>891.37699902479903</v>
      </c>
      <c r="DD194" s="2835">
        <f t="shared" si="225"/>
        <v>0</v>
      </c>
      <c r="DE194" s="3041">
        <f t="shared" ref="DE194:DH194" si="322">DE99+DE165</f>
        <v>855.14048065291604</v>
      </c>
      <c r="DF194" s="3041">
        <f t="shared" si="322"/>
        <v>844.6035875818252</v>
      </c>
      <c r="DG194" s="3041">
        <f t="shared" si="322"/>
        <v>900.95210571498114</v>
      </c>
      <c r="DH194" s="3041">
        <f t="shared" si="322"/>
        <v>992.94051751242478</v>
      </c>
      <c r="DI194" s="2835">
        <f t="shared" si="307"/>
        <v>0</v>
      </c>
      <c r="DJ194" s="1741"/>
      <c r="DK194" s="1772"/>
      <c r="DL194" s="1108"/>
      <c r="DM194" s="1108"/>
      <c r="DN194" s="1477"/>
      <c r="DO194" s="1108"/>
      <c r="DP194" s="1108"/>
      <c r="DQ194" s="1108"/>
      <c r="DR194" s="1108"/>
      <c r="DS194" s="1108"/>
      <c r="DT194" s="1108"/>
    </row>
    <row r="195" spans="1:124" ht="11.25" customHeight="1">
      <c r="A195" s="1806" t="s">
        <v>863</v>
      </c>
      <c r="B195" s="1105">
        <f>'Revenue and OCF'!O83</f>
        <v>-54.100000000000051</v>
      </c>
      <c r="C195" s="1105">
        <f>'Revenue and OCF'!P83</f>
        <v>-71.299999999999983</v>
      </c>
      <c r="D195" s="1105">
        <f>'Revenue and OCF'!Q83</f>
        <v>-96.69999999999996</v>
      </c>
      <c r="E195" s="1105">
        <f>'Revenue and OCF'!R83</f>
        <v>-118.7</v>
      </c>
      <c r="F195" s="1105">
        <f>'Revenue and OCF'!S83</f>
        <v>-162.9</v>
      </c>
      <c r="G195" s="1105">
        <f>'Revenue and OCF'!T83</f>
        <v>-159</v>
      </c>
      <c r="H195" s="1105">
        <f>'Revenue and OCF'!U83</f>
        <v>-145.5</v>
      </c>
      <c r="I195" s="1105">
        <f>'Revenue and OCF'!Y83</f>
        <v>-147.1</v>
      </c>
      <c r="J195" s="1105">
        <f>'Revenue and OCF'!Z83</f>
        <v>-218.20000000000002</v>
      </c>
      <c r="K195" s="1796">
        <f>+SUM(BV195:BY195)</f>
        <v>-234</v>
      </c>
      <c r="L195" s="1796">
        <f>SUM(CA195:CD195)</f>
        <v>-248</v>
      </c>
      <c r="M195" s="1796">
        <f>SUM(CF195:CI195)</f>
        <v>-342</v>
      </c>
      <c r="N195" s="1796">
        <f>SUM(CK195:CN195)</f>
        <v>-269</v>
      </c>
      <c r="O195" s="2727">
        <v>-332</v>
      </c>
      <c r="P195" s="2727">
        <f>N195</f>
        <v>-269</v>
      </c>
      <c r="Q195" s="1796">
        <f>SUM(CP195:CS195)</f>
        <v>-245</v>
      </c>
      <c r="R195" s="2809">
        <f>SUM(CU195:CX195)</f>
        <v>-320</v>
      </c>
      <c r="S195" s="2808">
        <f>SUM(CU195:CX195)</f>
        <v>-320</v>
      </c>
      <c r="T195" s="2809">
        <f>SUM(CZ195:DC195)</f>
        <v>-326</v>
      </c>
      <c r="U195" s="2809">
        <f>SUM(DE195:DH195)</f>
        <v>-339.03999999999996</v>
      </c>
      <c r="V195" s="2804">
        <f t="shared" ref="V195:AE195" si="323">U195*1.03</f>
        <v>-349.21119999999996</v>
      </c>
      <c r="W195" s="2804">
        <f t="shared" si="323"/>
        <v>-359.68753599999997</v>
      </c>
      <c r="X195" s="1105">
        <f t="shared" si="323"/>
        <v>-370.47816207999995</v>
      </c>
      <c r="Y195" s="1105">
        <f t="shared" si="323"/>
        <v>-381.59250694239995</v>
      </c>
      <c r="Z195" s="1105">
        <f t="shared" si="323"/>
        <v>-393.04028215067194</v>
      </c>
      <c r="AA195" s="1105">
        <f t="shared" si="323"/>
        <v>-404.83149061519214</v>
      </c>
      <c r="AB195" s="1105">
        <f t="shared" si="323"/>
        <v>-416.97643533364788</v>
      </c>
      <c r="AC195" s="1105">
        <f t="shared" si="323"/>
        <v>-429.48572839365733</v>
      </c>
      <c r="AD195" s="1105">
        <f t="shared" si="323"/>
        <v>-442.37030024546704</v>
      </c>
      <c r="AE195" s="1105">
        <f t="shared" si="323"/>
        <v>-455.64140925283107</v>
      </c>
      <c r="AF195" s="1105"/>
      <c r="AG195" s="1105"/>
      <c r="AH195" s="1105"/>
      <c r="AI195" s="1105"/>
      <c r="AJ195" s="1105"/>
      <c r="AK195" s="1105"/>
      <c r="AL195" s="1807" t="str">
        <f t="shared" si="315"/>
        <v>Corporate Expenses</v>
      </c>
      <c r="AM195" s="1105">
        <f>'Revenue and OCF'!CE83</f>
        <v>-13.95</v>
      </c>
      <c r="AN195" s="1105">
        <f>'Revenue and OCF'!CF83</f>
        <v>-38.550000000000004</v>
      </c>
      <c r="AO195" s="1105">
        <f>'Revenue and OCF'!CG83</f>
        <v>-20.849999999999998</v>
      </c>
      <c r="AP195" s="1105">
        <f>'Revenue and OCF'!CH83</f>
        <v>-23.349999999999966</v>
      </c>
      <c r="AQ195" s="1741">
        <f>D195-SUM(AM195:AP195)</f>
        <v>0</v>
      </c>
      <c r="AR195" s="1105">
        <f>'Revenue and OCF'!CJ83</f>
        <v>-18.45</v>
      </c>
      <c r="AS195" s="1105">
        <f>'Revenue and OCF'!CK83</f>
        <v>-26.35</v>
      </c>
      <c r="AT195" s="1105">
        <f>'Revenue and OCF'!CL83</f>
        <v>-35.849999999999994</v>
      </c>
      <c r="AU195" s="1105">
        <f>'Revenue and OCF'!CM83</f>
        <v>-38.049999999999997</v>
      </c>
      <c r="AV195" s="1741">
        <f>E195-SUM(AR195:AU195)</f>
        <v>0</v>
      </c>
      <c r="AW195" s="1105">
        <f>'Revenue and OCF'!CO83</f>
        <v>-27.7</v>
      </c>
      <c r="AX195" s="1105">
        <f>'Revenue and OCF'!CP83</f>
        <v>-39.700000000000003</v>
      </c>
      <c r="AY195" s="1105">
        <f>'Revenue and OCF'!CQ83</f>
        <v>-41.3</v>
      </c>
      <c r="AZ195" s="1105">
        <f>'Revenue and OCF'!CR83</f>
        <v>-54.2</v>
      </c>
      <c r="BA195" s="1741">
        <f>F195-SUM(AW195:AZ195)</f>
        <v>0</v>
      </c>
      <c r="BB195" s="1105">
        <f>'Revenue and OCF'!CT83</f>
        <v>-26.8</v>
      </c>
      <c r="BC195" s="1105">
        <f>'Revenue and OCF'!CU83</f>
        <v>-41.6</v>
      </c>
      <c r="BD195" s="1105">
        <f>'Revenue and OCF'!CV83</f>
        <v>-41.3</v>
      </c>
      <c r="BE195" s="1105">
        <f>'Revenue and OCF'!CW83</f>
        <v>-49.3</v>
      </c>
      <c r="BF195" s="1741">
        <f>G195-SUM(BB195:BE195)</f>
        <v>0</v>
      </c>
      <c r="BG195" s="1105">
        <f>'Revenue and OCF'!CY83</f>
        <v>-26</v>
      </c>
      <c r="BH195" s="1105">
        <f>'Revenue and OCF'!CZ83</f>
        <v>-41.9</v>
      </c>
      <c r="BI195" s="1105">
        <f>'Revenue and OCF'!DA83</f>
        <v>-38.5</v>
      </c>
      <c r="BJ195" s="1105">
        <f>'Revenue and OCF'!DB83</f>
        <v>-39.1</v>
      </c>
      <c r="BK195" s="1741">
        <f>H195-SUM(BG195:BJ195)</f>
        <v>0</v>
      </c>
      <c r="BL195" s="1105">
        <f>'Revenue and OCF'!DD83</f>
        <v>-28.5</v>
      </c>
      <c r="BM195" s="1105">
        <f>'Revenue and OCF'!DE83</f>
        <v>-34.700000000000003</v>
      </c>
      <c r="BN195" s="1105">
        <f>'Revenue and OCF'!DF83</f>
        <v>-34.799999999999997</v>
      </c>
      <c r="BO195" s="1105">
        <f>'Revenue and OCF'!DG83</f>
        <v>-49.1</v>
      </c>
      <c r="BP195" s="1741">
        <f>I195-SUM(BL195:BO195)</f>
        <v>0</v>
      </c>
      <c r="BQ195" s="1105">
        <f>'Revenue and OCF'!DI83</f>
        <v>-38.700000000000003</v>
      </c>
      <c r="BR195" s="1105">
        <v>-55.9</v>
      </c>
      <c r="BS195" s="1105">
        <v>-58.7</v>
      </c>
      <c r="BT195" s="1105">
        <v>-64.900000000000006</v>
      </c>
      <c r="BU195" s="1741">
        <f>J195-SUM(BQ195:BT195)</f>
        <v>0</v>
      </c>
      <c r="BV195" s="1647">
        <v>-52</v>
      </c>
      <c r="BW195" s="1647">
        <v>-63</v>
      </c>
      <c r="BX195" s="1647">
        <v>-55</v>
      </c>
      <c r="BY195" s="1647">
        <v>-64</v>
      </c>
      <c r="BZ195" s="1741">
        <f>K195-SUM(BV195:BY195)</f>
        <v>0</v>
      </c>
      <c r="CA195" s="1647">
        <v>-58</v>
      </c>
      <c r="CB195" s="1647">
        <v>-52</v>
      </c>
      <c r="CC195" s="1647">
        <v>-53</v>
      </c>
      <c r="CD195" s="1647">
        <f>-97-CD196</f>
        <v>-85</v>
      </c>
      <c r="CE195" s="1741">
        <f>L195-SUM(CA195:CD195)</f>
        <v>0</v>
      </c>
      <c r="CF195" s="1647">
        <f>-80-CF196</f>
        <v>-80</v>
      </c>
      <c r="CG195" s="1647">
        <f>-67-CG196</f>
        <v>-67</v>
      </c>
      <c r="CH195" s="1647">
        <v>-85</v>
      </c>
      <c r="CI195" s="1647">
        <v>-110</v>
      </c>
      <c r="CJ195" s="1741">
        <f>M195-SUM(CF195:CI195)</f>
        <v>0</v>
      </c>
      <c r="CK195" s="1647">
        <v>-67</v>
      </c>
      <c r="CL195" s="1647">
        <f>-62+6</f>
        <v>-56</v>
      </c>
      <c r="CM195" s="1647">
        <v>-50</v>
      </c>
      <c r="CN195" s="2022">
        <v>-96</v>
      </c>
      <c r="CO195" s="1741">
        <f>$N195-SUM(CK195:CN195)</f>
        <v>0</v>
      </c>
      <c r="CP195" s="1647">
        <f>-68+8</f>
        <v>-60</v>
      </c>
      <c r="CQ195" s="1647">
        <f>-64+7</f>
        <v>-57</v>
      </c>
      <c r="CR195" s="1647">
        <f>-49+8</f>
        <v>-41</v>
      </c>
      <c r="CS195" s="1647">
        <f>-94+7</f>
        <v>-87</v>
      </c>
      <c r="CT195" s="1741">
        <f>$Q195-SUM(CP195:CS195)</f>
        <v>0</v>
      </c>
      <c r="CU195" s="1647">
        <f>CU208+9</f>
        <v>-75</v>
      </c>
      <c r="CV195" s="3042">
        <f>CV208+8</f>
        <v>-75</v>
      </c>
      <c r="CW195" s="3042">
        <f>CW208+8</f>
        <v>-70</v>
      </c>
      <c r="CX195" s="3042">
        <f>CX208+9</f>
        <v>-100</v>
      </c>
      <c r="CY195" s="2835">
        <f>S195-SUM(CU195:CX195)</f>
        <v>0</v>
      </c>
      <c r="CZ195" s="3042">
        <f>CZ208+8</f>
        <v>-71</v>
      </c>
      <c r="DA195" s="3042">
        <f>DA208+9</f>
        <v>-76</v>
      </c>
      <c r="DB195" s="3042">
        <f>DB208+8</f>
        <v>-75</v>
      </c>
      <c r="DC195" s="2891">
        <f>CX195*1.04</f>
        <v>-104</v>
      </c>
      <c r="DD195" s="2835">
        <f t="shared" si="225"/>
        <v>0</v>
      </c>
      <c r="DE195" s="2891">
        <f t="shared" ref="DE195:DH195" si="324">CZ195*1.04</f>
        <v>-73.84</v>
      </c>
      <c r="DF195" s="2891">
        <f t="shared" si="324"/>
        <v>-79.040000000000006</v>
      </c>
      <c r="DG195" s="2891">
        <f t="shared" si="324"/>
        <v>-78</v>
      </c>
      <c r="DH195" s="2891">
        <f t="shared" si="324"/>
        <v>-108.16</v>
      </c>
      <c r="DI195" s="2835">
        <f t="shared" si="307"/>
        <v>0</v>
      </c>
      <c r="DJ195" s="1741"/>
      <c r="DK195" s="1105" t="s">
        <v>1237</v>
      </c>
      <c r="DL195" s="1108"/>
      <c r="DM195" s="1108"/>
      <c r="DN195" s="1477"/>
      <c r="DO195" s="1108"/>
      <c r="DP195" s="1108"/>
      <c r="DQ195" s="1108"/>
      <c r="DR195" s="1108"/>
      <c r="DS195" s="1108"/>
      <c r="DT195" s="1108"/>
    </row>
    <row r="196" spans="1:124" ht="11.25" customHeight="1">
      <c r="A196" s="1806" t="s">
        <v>1106</v>
      </c>
      <c r="B196" s="1105">
        <f>'Revenue and OCF'!O84</f>
        <v>-67.8</v>
      </c>
      <c r="C196" s="1105">
        <f>'Revenue and OCF'!P84</f>
        <v>-146.5</v>
      </c>
      <c r="D196" s="1105">
        <f>'Revenue and OCF'!Q84</f>
        <v>-113.8</v>
      </c>
      <c r="E196" s="1105">
        <f>'Revenue and OCF'!R84</f>
        <v>-118.7</v>
      </c>
      <c r="F196" s="1105">
        <f>'Revenue and OCF'!S84</f>
        <v>-139.69999999999999</v>
      </c>
      <c r="G196" s="1105">
        <f>'Revenue and OCF'!T84</f>
        <v>-96.5</v>
      </c>
      <c r="H196" s="1105">
        <f>'Revenue and OCF'!U84</f>
        <v>-79.2</v>
      </c>
      <c r="I196" s="1105">
        <f>'Revenue and OCF'!Y84</f>
        <v>-143.70000000000002</v>
      </c>
      <c r="J196" s="1105">
        <f>'Revenue and OCF'!Z84</f>
        <v>-105.1</v>
      </c>
      <c r="K196" s="1796">
        <f>+SUM(BV196:BY196)</f>
        <v>-75</v>
      </c>
      <c r="L196" s="1796">
        <f>SUM(CA196:CD196)</f>
        <v>-48</v>
      </c>
      <c r="M196" s="1796">
        <f>SUM(CF196:CI196)</f>
        <v>0</v>
      </c>
      <c r="N196" s="1796">
        <f>SUM(CK196:CN196)</f>
        <v>0</v>
      </c>
      <c r="O196" s="2727">
        <f>M196</f>
        <v>0</v>
      </c>
      <c r="P196" s="2727">
        <f>N196</f>
        <v>0</v>
      </c>
      <c r="Q196" s="1796">
        <f>SUM(CP196:CS196)</f>
        <v>0</v>
      </c>
      <c r="R196" s="2809">
        <f>SUM(CU196:CX196)</f>
        <v>0</v>
      </c>
      <c r="S196" s="2808">
        <f>SUM(CU196:CX196)</f>
        <v>0</v>
      </c>
      <c r="T196" s="2809">
        <f>SUM(CZ196:DC196)</f>
        <v>0</v>
      </c>
      <c r="U196" s="2809">
        <f t="shared" ref="U196:U197" si="325">SUM(DE196:DH196)</f>
        <v>0</v>
      </c>
      <c r="V196" s="2804">
        <f t="shared" ref="V196:AE196" si="326">U196*1.02</f>
        <v>0</v>
      </c>
      <c r="W196" s="2804">
        <f t="shared" si="326"/>
        <v>0</v>
      </c>
      <c r="X196" s="1105">
        <f t="shared" si="326"/>
        <v>0</v>
      </c>
      <c r="Y196" s="1105">
        <f t="shared" si="326"/>
        <v>0</v>
      </c>
      <c r="Z196" s="1105">
        <f t="shared" si="326"/>
        <v>0</v>
      </c>
      <c r="AA196" s="1105">
        <f t="shared" si="326"/>
        <v>0</v>
      </c>
      <c r="AB196" s="1105">
        <f t="shared" si="326"/>
        <v>0</v>
      </c>
      <c r="AC196" s="1105">
        <f t="shared" si="326"/>
        <v>0</v>
      </c>
      <c r="AD196" s="1105">
        <f t="shared" si="326"/>
        <v>0</v>
      </c>
      <c r="AE196" s="1105">
        <f t="shared" si="326"/>
        <v>0</v>
      </c>
      <c r="AF196" s="1105"/>
      <c r="AG196" s="1105"/>
      <c r="AH196" s="1105"/>
      <c r="AI196" s="1105"/>
      <c r="AJ196" s="1105"/>
      <c r="AK196" s="1105"/>
      <c r="AL196" s="1807" t="str">
        <f t="shared" si="315"/>
        <v>Residual Costs of Discontinued Businesses</v>
      </c>
      <c r="AM196" s="1105">
        <f>'Revenue and OCF'!CE84</f>
        <v>-28.45</v>
      </c>
      <c r="AN196" s="1105">
        <f>'Revenue and OCF'!CF84</f>
        <v>-28.45</v>
      </c>
      <c r="AO196" s="1105">
        <f>'Revenue and OCF'!CG84</f>
        <v>-28.45</v>
      </c>
      <c r="AP196" s="1105">
        <f>D196-SUM(AM196:AO196)</f>
        <v>-28.450000000000003</v>
      </c>
      <c r="AQ196" s="1741">
        <f>D196-SUM(AM196:AP196)</f>
        <v>0</v>
      </c>
      <c r="AR196" s="1105">
        <f>'Revenue and OCF'!CJ84</f>
        <v>-29.7</v>
      </c>
      <c r="AS196" s="1105">
        <f>'Revenue and OCF'!CK84</f>
        <v>-29.6</v>
      </c>
      <c r="AT196" s="1105">
        <f>'Revenue and OCF'!CL84</f>
        <v>-29.7</v>
      </c>
      <c r="AU196" s="1105">
        <f>'Revenue and OCF'!CM84</f>
        <v>-29.7</v>
      </c>
      <c r="AV196" s="1741">
        <f>E196-SUM(AR196:AU196)</f>
        <v>0</v>
      </c>
      <c r="AW196" s="1105">
        <f>'Revenue and OCF'!CO84</f>
        <v>-35.299999999999997</v>
      </c>
      <c r="AX196" s="1105">
        <f>'Revenue and OCF'!CP84</f>
        <v>-35.299999999999997</v>
      </c>
      <c r="AY196" s="1105">
        <f>'Revenue and OCF'!CQ84</f>
        <v>-34.9</v>
      </c>
      <c r="AZ196" s="1105">
        <f>'Revenue and OCF'!CR84</f>
        <v>-34.200000000000003</v>
      </c>
      <c r="BA196" s="1741">
        <f>F196-SUM(AW196:AZ196)</f>
        <v>0</v>
      </c>
      <c r="BB196" s="1105">
        <f>'Revenue and OCF'!CT84</f>
        <v>-24.1</v>
      </c>
      <c r="BC196" s="1105">
        <f>'Revenue and OCF'!CU84</f>
        <v>-24.2</v>
      </c>
      <c r="BD196" s="1105">
        <f>'Revenue and OCF'!CV84</f>
        <v>-24.1</v>
      </c>
      <c r="BE196" s="1105">
        <f>'Revenue and OCF'!CW84</f>
        <v>-24.1</v>
      </c>
      <c r="BF196" s="1741">
        <f>G196-SUM(BB196:BE196)</f>
        <v>0</v>
      </c>
      <c r="BG196" s="1105">
        <f>'Revenue and OCF'!CY84</f>
        <v>-22.4</v>
      </c>
      <c r="BH196" s="1105">
        <f>'Revenue and OCF'!CZ84</f>
        <v>-22.5</v>
      </c>
      <c r="BI196" s="1105">
        <f>'Revenue and OCF'!DA84</f>
        <v>-18.3</v>
      </c>
      <c r="BJ196" s="1105">
        <f>'Revenue and OCF'!DB84</f>
        <v>-16</v>
      </c>
      <c r="BK196" s="1741">
        <f>H196-SUM(BG196:BJ196)</f>
        <v>0</v>
      </c>
      <c r="BL196" s="1105">
        <f>'Revenue and OCF'!DD84</f>
        <v>-36</v>
      </c>
      <c r="BM196" s="1105">
        <f>'Revenue and OCF'!DE84</f>
        <v>-35.9</v>
      </c>
      <c r="BN196" s="1105">
        <f>'Revenue and OCF'!DF84</f>
        <v>-35.9</v>
      </c>
      <c r="BO196" s="1105">
        <f>'Revenue and OCF'!DG84</f>
        <v>-35.9</v>
      </c>
      <c r="BP196" s="1741">
        <f>I196-SUM(BL196:BO196)</f>
        <v>0</v>
      </c>
      <c r="BQ196" s="1105">
        <f>'Revenue and OCF'!DI84</f>
        <v>-26.3</v>
      </c>
      <c r="BR196" s="1105">
        <f>'Revenue and OCF'!DJ84</f>
        <v>-26.2</v>
      </c>
      <c r="BS196" s="1105">
        <f>'Revenue and OCF'!DK84</f>
        <v>-26.3</v>
      </c>
      <c r="BT196" s="1105">
        <f>'Revenue and OCF'!DL84</f>
        <v>-26.3</v>
      </c>
      <c r="BU196" s="1741">
        <f>J196-SUM(BQ196:BT196)</f>
        <v>0</v>
      </c>
      <c r="BV196" s="1647">
        <v>-19</v>
      </c>
      <c r="BW196" s="1647">
        <v>-18</v>
      </c>
      <c r="BX196" s="1647">
        <v>-19</v>
      </c>
      <c r="BY196" s="1647">
        <v>-19</v>
      </c>
      <c r="BZ196" s="1741">
        <f>K196-SUM(BV196:BY196)</f>
        <v>0</v>
      </c>
      <c r="CA196" s="1647">
        <v>-12</v>
      </c>
      <c r="CB196" s="1647">
        <v>-12</v>
      </c>
      <c r="CC196" s="1647">
        <v>-12</v>
      </c>
      <c r="CD196" s="1647">
        <v>-12</v>
      </c>
      <c r="CE196" s="1741">
        <f>L196-SUM(CA196:CD196)</f>
        <v>0</v>
      </c>
      <c r="CF196" s="1647">
        <v>0</v>
      </c>
      <c r="CG196" s="1647">
        <v>0</v>
      </c>
      <c r="CH196" s="1647">
        <v>0</v>
      </c>
      <c r="CI196" s="1647">
        <v>0</v>
      </c>
      <c r="CJ196" s="1741">
        <f>M196-SUM(CF196:CI196)</f>
        <v>0</v>
      </c>
      <c r="CK196" s="1647">
        <v>0</v>
      </c>
      <c r="CL196" s="1647">
        <v>0</v>
      </c>
      <c r="CM196" s="1647">
        <v>0</v>
      </c>
      <c r="CN196" s="2022">
        <v>0</v>
      </c>
      <c r="CO196" s="1741">
        <f>$N196-SUM(CK196:CN196)</f>
        <v>0</v>
      </c>
      <c r="CP196" s="1647">
        <f>CK196</f>
        <v>0</v>
      </c>
      <c r="CQ196" s="1647">
        <f>CL196</f>
        <v>0</v>
      </c>
      <c r="CR196" s="1647">
        <f>CM196</f>
        <v>0</v>
      </c>
      <c r="CS196" s="1647">
        <f>CN196</f>
        <v>0</v>
      </c>
      <c r="CT196" s="1741">
        <f>$Q196-SUM(CP196:CS196)</f>
        <v>0</v>
      </c>
      <c r="CU196" s="1647">
        <v>0</v>
      </c>
      <c r="CV196" s="1647">
        <v>0</v>
      </c>
      <c r="CW196" s="3042">
        <v>0</v>
      </c>
      <c r="CX196" s="3042">
        <v>0</v>
      </c>
      <c r="CY196" s="2835">
        <f>S196-SUM(CU196:CX196)</f>
        <v>0</v>
      </c>
      <c r="CZ196" s="3042">
        <v>0</v>
      </c>
      <c r="DA196" s="3042">
        <v>0</v>
      </c>
      <c r="DB196" s="3042">
        <v>0</v>
      </c>
      <c r="DC196" s="3042">
        <v>0</v>
      </c>
      <c r="DD196" s="2835">
        <f t="shared" si="225"/>
        <v>0</v>
      </c>
      <c r="DE196" s="3042">
        <v>0</v>
      </c>
      <c r="DF196" s="3042">
        <v>0</v>
      </c>
      <c r="DG196" s="3042">
        <v>0</v>
      </c>
      <c r="DH196" s="3042">
        <v>0</v>
      </c>
      <c r="DI196" s="2835">
        <f t="shared" si="307"/>
        <v>0</v>
      </c>
      <c r="DJ196" s="1741"/>
      <c r="DK196" s="1105" t="s">
        <v>1237</v>
      </c>
      <c r="DL196" s="1108"/>
      <c r="DM196" s="1108"/>
      <c r="DN196" s="1477"/>
      <c r="DO196" s="1108"/>
      <c r="DP196" s="1108"/>
      <c r="DQ196" s="1108"/>
      <c r="DR196" s="1108"/>
      <c r="DS196" s="1108"/>
      <c r="DT196" s="1108"/>
    </row>
    <row r="197" spans="1:124" ht="11.25" customHeight="1">
      <c r="A197" s="1806" t="s">
        <v>1224</v>
      </c>
      <c r="B197" s="1639">
        <f>'Revenue and OCF'!O85</f>
        <v>-4.9737991503207013E-13</v>
      </c>
      <c r="C197" s="1639">
        <f>'Revenue and OCF'!P85</f>
        <v>0.20000000000098339</v>
      </c>
      <c r="D197" s="1639">
        <f>'Revenue and OCF'!Q85</f>
        <v>-1.8000000000006793</v>
      </c>
      <c r="E197" s="1639">
        <f>'Revenue and OCF'!R85</f>
        <v>-1.7999999999998124</v>
      </c>
      <c r="F197" s="1639">
        <f>'Revenue and OCF'!S85</f>
        <v>0</v>
      </c>
      <c r="G197" s="1639">
        <f>'Revenue and OCF'!T85</f>
        <v>3.4000000000005457</v>
      </c>
      <c r="H197" s="1639">
        <f>'Revenue and OCF'!U85</f>
        <v>2.6999999999999997</v>
      </c>
      <c r="I197" s="1639">
        <f>'Revenue and OCF'!Y85</f>
        <v>-2.1999999999999993</v>
      </c>
      <c r="J197" s="1639">
        <f>'Revenue and OCF'!Z85</f>
        <v>3.4000000000000004</v>
      </c>
      <c r="K197" s="1809">
        <f>+SUM(BV197:BY197)</f>
        <v>7</v>
      </c>
      <c r="L197" s="1809">
        <f>SUM(CA197:CD197)</f>
        <v>0</v>
      </c>
      <c r="M197" s="1809">
        <f>SUM(CF197:CI197)</f>
        <v>0</v>
      </c>
      <c r="N197" s="1809">
        <f>SUM(CK197:CN197)</f>
        <v>0</v>
      </c>
      <c r="O197" s="2728">
        <f>M197</f>
        <v>0</v>
      </c>
      <c r="P197" s="2728">
        <f>N197</f>
        <v>0</v>
      </c>
      <c r="Q197" s="1809">
        <f>SUM(CP197:CS197)</f>
        <v>0</v>
      </c>
      <c r="R197" s="2810">
        <f>SUM(CU197:CX197)</f>
        <v>0</v>
      </c>
      <c r="S197" s="2811">
        <f>SUM(CU197:CX197)</f>
        <v>0</v>
      </c>
      <c r="T197" s="2810">
        <f>SUM(CZ197:DC197)</f>
        <v>0</v>
      </c>
      <c r="U197" s="2810">
        <f t="shared" si="325"/>
        <v>0</v>
      </c>
      <c r="V197" s="2798">
        <f t="shared" ref="V197:AE197" si="327">U197*(V194/U194)</f>
        <v>0</v>
      </c>
      <c r="W197" s="1639">
        <f t="shared" si="327"/>
        <v>0</v>
      </c>
      <c r="X197" s="1639">
        <f t="shared" si="327"/>
        <v>0</v>
      </c>
      <c r="Y197" s="1639">
        <f t="shared" si="327"/>
        <v>0</v>
      </c>
      <c r="Z197" s="1639">
        <f t="shared" si="327"/>
        <v>0</v>
      </c>
      <c r="AA197" s="1639">
        <f t="shared" si="327"/>
        <v>0</v>
      </c>
      <c r="AB197" s="1639">
        <f t="shared" si="327"/>
        <v>0</v>
      </c>
      <c r="AC197" s="1639">
        <f t="shared" si="327"/>
        <v>0</v>
      </c>
      <c r="AD197" s="1639">
        <f t="shared" si="327"/>
        <v>0</v>
      </c>
      <c r="AE197" s="1639">
        <f t="shared" si="327"/>
        <v>0</v>
      </c>
      <c r="AF197" s="1105"/>
      <c r="AG197" s="1105"/>
      <c r="AH197" s="1105"/>
      <c r="AI197" s="1105"/>
      <c r="AJ197" s="1771"/>
      <c r="AK197" s="1771"/>
      <c r="AL197" s="1807" t="str">
        <f t="shared" si="315"/>
        <v xml:space="preserve">Eliminations </v>
      </c>
      <c r="AM197" s="1639">
        <f>'Revenue and OCF'!CE85</f>
        <v>-0.45000000000016982</v>
      </c>
      <c r="AN197" s="1639">
        <f>'Revenue and OCF'!CF85</f>
        <v>-0.45000000000016982</v>
      </c>
      <c r="AO197" s="1639">
        <f>'Revenue and OCF'!CG85</f>
        <v>-0.45000000000016982</v>
      </c>
      <c r="AP197" s="1639">
        <f>'Revenue and OCF'!CH85</f>
        <v>-0.45000000000016982</v>
      </c>
      <c r="AQ197" s="1741">
        <f>D197-SUM(AM197:AP197)</f>
        <v>0</v>
      </c>
      <c r="AR197" s="1639">
        <f>'Revenue and OCF'!CJ85</f>
        <v>-0.4499999999999531</v>
      </c>
      <c r="AS197" s="1639">
        <f>'Revenue and OCF'!CK85</f>
        <v>-0.4499999999999531</v>
      </c>
      <c r="AT197" s="1639">
        <f>'Revenue and OCF'!CL85</f>
        <v>-0.4499999999999531</v>
      </c>
      <c r="AU197" s="1639">
        <f>'Revenue and OCF'!CM85</f>
        <v>-0.4499999999999531</v>
      </c>
      <c r="AV197" s="1741">
        <f>E197-SUM(AR197:AU197)</f>
        <v>0</v>
      </c>
      <c r="AW197" s="1639">
        <f>'Revenue and OCF'!CO85</f>
        <v>0</v>
      </c>
      <c r="AX197" s="1639">
        <f>'Revenue and OCF'!CP85</f>
        <v>0</v>
      </c>
      <c r="AY197" s="1639">
        <f>'Revenue and OCF'!CQ85</f>
        <v>0</v>
      </c>
      <c r="AZ197" s="1639">
        <f>'Revenue and OCF'!CR85</f>
        <v>0</v>
      </c>
      <c r="BA197" s="1741">
        <f>F197-SUM(AW197:AZ197)</f>
        <v>0</v>
      </c>
      <c r="BB197" s="1639">
        <f>'Revenue and OCF'!CT85</f>
        <v>0.85000000000013642</v>
      </c>
      <c r="BC197" s="1639">
        <f>'Revenue and OCF'!CU85</f>
        <v>0.85000000000013642</v>
      </c>
      <c r="BD197" s="1639">
        <f>'Revenue and OCF'!CV85</f>
        <v>0.85000000000013642</v>
      </c>
      <c r="BE197" s="1639">
        <f>'Revenue and OCF'!CW85</f>
        <v>0.85000000000013642</v>
      </c>
      <c r="BF197" s="1741">
        <f>G197-SUM(BB197:BE197)</f>
        <v>0</v>
      </c>
      <c r="BG197" s="1639">
        <f>'Revenue and OCF'!CY85</f>
        <v>0.6</v>
      </c>
      <c r="BH197" s="1639">
        <f>'Revenue and OCF'!CZ85</f>
        <v>0.7</v>
      </c>
      <c r="BI197" s="1639">
        <f>'Revenue and OCF'!DA85</f>
        <v>0.7</v>
      </c>
      <c r="BJ197" s="1639">
        <f>'Revenue and OCF'!DB85</f>
        <v>0.7</v>
      </c>
      <c r="BK197" s="1741">
        <f>H197-SUM(BG197:BJ197)</f>
        <v>0</v>
      </c>
      <c r="BL197" s="1639">
        <v>0.5</v>
      </c>
      <c r="BM197" s="1639">
        <v>0.7</v>
      </c>
      <c r="BN197" s="1639">
        <v>-4.0999999999999996</v>
      </c>
      <c r="BO197" s="1639">
        <v>0.7</v>
      </c>
      <c r="BP197" s="1741">
        <f>I197-SUM(BL197:BO197)</f>
        <v>0</v>
      </c>
      <c r="BQ197" s="1639">
        <v>0.8</v>
      </c>
      <c r="BR197" s="1639">
        <v>0.8</v>
      </c>
      <c r="BS197" s="1639">
        <v>0.8</v>
      </c>
      <c r="BT197" s="1639">
        <v>1</v>
      </c>
      <c r="BU197" s="1741">
        <f>J197-SUM(BQ197:BT197)</f>
        <v>0</v>
      </c>
      <c r="BV197" s="1657">
        <v>1</v>
      </c>
      <c r="BW197" s="1657">
        <v>3</v>
      </c>
      <c r="BX197" s="1657">
        <v>1</v>
      </c>
      <c r="BY197" s="1657">
        <v>2</v>
      </c>
      <c r="BZ197" s="1741">
        <f>K197-SUM(BV197:BY197)</f>
        <v>0</v>
      </c>
      <c r="CA197" s="1657">
        <v>0</v>
      </c>
      <c r="CB197" s="1775">
        <v>-1</v>
      </c>
      <c r="CC197" s="1775">
        <v>1</v>
      </c>
      <c r="CD197" s="1657">
        <v>0</v>
      </c>
      <c r="CE197" s="1741">
        <f>L197-SUM(CA197:CD197)</f>
        <v>0</v>
      </c>
      <c r="CF197" s="1775">
        <v>0</v>
      </c>
      <c r="CG197" s="1775">
        <v>0</v>
      </c>
      <c r="CH197" s="1775">
        <v>0</v>
      </c>
      <c r="CI197" s="1775">
        <v>0</v>
      </c>
      <c r="CJ197" s="1741">
        <f>M197-SUM(CF197:CI197)</f>
        <v>0</v>
      </c>
      <c r="CK197" s="1775">
        <v>0</v>
      </c>
      <c r="CL197" s="1775">
        <v>0</v>
      </c>
      <c r="CM197" s="1775">
        <v>0</v>
      </c>
      <c r="CN197" s="1775">
        <v>0</v>
      </c>
      <c r="CO197" s="1741">
        <f>$N197-SUM(CK197:CN197)</f>
        <v>0</v>
      </c>
      <c r="CP197" s="1775">
        <f>CK197/CK194*CP194</f>
        <v>0</v>
      </c>
      <c r="CQ197" s="1775">
        <f>CL197/CL194*CQ194</f>
        <v>0</v>
      </c>
      <c r="CR197" s="1775">
        <f>CM197/CM194*CR194</f>
        <v>0</v>
      </c>
      <c r="CS197" s="1775">
        <f>CN197/CN194*CS194</f>
        <v>0</v>
      </c>
      <c r="CT197" s="1741">
        <f>$Q197-SUM(CP197:CS197)</f>
        <v>0</v>
      </c>
      <c r="CU197" s="1775">
        <v>0</v>
      </c>
      <c r="CV197" s="1775">
        <v>0</v>
      </c>
      <c r="CW197" s="1775">
        <v>0</v>
      </c>
      <c r="CX197" s="3046">
        <v>0</v>
      </c>
      <c r="CY197" s="2835">
        <f>S197-SUM(CU197:CX197)</f>
        <v>0</v>
      </c>
      <c r="CZ197" s="3046">
        <v>0</v>
      </c>
      <c r="DA197" s="3046">
        <v>0</v>
      </c>
      <c r="DB197" s="3046">
        <v>0</v>
      </c>
      <c r="DC197" s="3046">
        <v>0</v>
      </c>
      <c r="DD197" s="2835">
        <f t="shared" si="225"/>
        <v>0</v>
      </c>
      <c r="DE197" s="3046">
        <v>0</v>
      </c>
      <c r="DF197" s="3046">
        <v>0</v>
      </c>
      <c r="DG197" s="3046">
        <v>0</v>
      </c>
      <c r="DH197" s="3046">
        <v>0</v>
      </c>
      <c r="DI197" s="2835">
        <f t="shared" si="307"/>
        <v>0</v>
      </c>
      <c r="DJ197" s="1741"/>
      <c r="DK197" s="1639" t="s">
        <v>1237</v>
      </c>
      <c r="DL197" s="1108"/>
      <c r="DM197" s="1108"/>
      <c r="DN197" s="1477"/>
      <c r="DO197" s="1108"/>
      <c r="DP197" s="1108"/>
      <c r="DQ197" s="1108"/>
      <c r="DR197" s="1108"/>
      <c r="DS197" s="1108"/>
      <c r="DT197" s="1108"/>
    </row>
    <row r="198" spans="1:124" ht="11.25" customHeight="1">
      <c r="A198" s="1494" t="s">
        <v>1221</v>
      </c>
      <c r="B198" s="1643">
        <f>'Revenue and OCF'!O86</f>
        <v>3059.3999999999992</v>
      </c>
      <c r="C198" s="1643">
        <f>'Revenue and OCF'!P86</f>
        <v>3013.0000000000009</v>
      </c>
      <c r="D198" s="1643">
        <f>'Revenue and OCF'!Q86</f>
        <v>3351.1999999999994</v>
      </c>
      <c r="E198" s="1643">
        <f>'Revenue and OCF'!R86</f>
        <v>3165.2000000000007</v>
      </c>
      <c r="F198" s="1643">
        <f>'Revenue and OCF'!S86</f>
        <v>3111.1</v>
      </c>
      <c r="G198" s="1643">
        <f>'Revenue and OCF'!T86</f>
        <v>3077.5</v>
      </c>
      <c r="H198" s="1643">
        <f>'Revenue and OCF'!U86</f>
        <v>2689.8</v>
      </c>
      <c r="I198" s="1643">
        <f>'Revenue and OCF'!Y86</f>
        <v>1773.6000000000004</v>
      </c>
      <c r="J198" s="1643">
        <f>'Revenue and OCF'!Z86</f>
        <v>2369.0000000000005</v>
      </c>
      <c r="K198" s="1643">
        <f>'Revenue and OCF'!AA86</f>
        <v>3157.0000000000005</v>
      </c>
      <c r="L198" s="1643">
        <f>'Revenue and OCF'!AB86</f>
        <v>3487.9999999999995</v>
      </c>
      <c r="M198" s="1643">
        <f>SUM(M194:M197)</f>
        <v>3736</v>
      </c>
      <c r="N198" s="1643">
        <f>SUM(N194:N197)</f>
        <v>3255</v>
      </c>
      <c r="O198" s="2736">
        <f>SUM(O194:O197)</f>
        <v>3335</v>
      </c>
      <c r="P198" s="2736">
        <f>SUM(P194:P197)</f>
        <v>3255</v>
      </c>
      <c r="Q198" s="1643">
        <f>SUM(Q194:Q197)</f>
        <v>3107</v>
      </c>
      <c r="R198" s="2812">
        <f>'Revenue and OCF'!AH86</f>
        <v>3411.3</v>
      </c>
      <c r="S198" s="2813">
        <f>S194+S195+S196+S197</f>
        <v>3085.3</v>
      </c>
      <c r="T198" s="2812">
        <f>'Revenue and OCF'!AJ86</f>
        <v>3033.3769990247988</v>
      </c>
      <c r="U198" s="2812">
        <f>'Revenue and OCF'!AK86</f>
        <v>3254.5966914621472</v>
      </c>
      <c r="V198" s="2812">
        <f>'Revenue and OCF'!AL86</f>
        <v>3437.930202675122</v>
      </c>
      <c r="W198" s="1643">
        <f>'Revenue and OCF'!AM86</f>
        <v>3787.376984689949</v>
      </c>
      <c r="X198" s="1643">
        <f>'Revenue and OCF'!AN86</f>
        <v>3896.5745466622916</v>
      </c>
      <c r="Y198" s="1643">
        <f>'Revenue and OCF'!AO86</f>
        <v>4147.9318053780662</v>
      </c>
      <c r="Z198" s="1643">
        <f>'Revenue and OCF'!AP86</f>
        <v>3964.1735814839999</v>
      </c>
      <c r="AA198" s="1643">
        <f>'Revenue and OCF'!AQ86</f>
        <v>4065.5174407364161</v>
      </c>
      <c r="AB198" s="1643">
        <f>'Revenue and OCF'!AR86</f>
        <v>4069.1023564071129</v>
      </c>
      <c r="AC198" s="1643">
        <f>'Revenue and OCF'!AS86</f>
        <v>4008.6410035399576</v>
      </c>
      <c r="AD198" s="1643">
        <f>'Revenue and OCF'!AT86</f>
        <v>3957.6065772678735</v>
      </c>
      <c r="AE198" s="1643">
        <f>'Revenue and OCF'!AU86</f>
        <v>4154.4134834056522</v>
      </c>
      <c r="AF198" s="1105"/>
      <c r="AG198" s="1105"/>
      <c r="AH198" s="1105"/>
      <c r="AI198" s="1105"/>
      <c r="AJ198" s="1643"/>
      <c r="AK198" s="1643"/>
      <c r="AL198" s="1494" t="str">
        <f t="shared" si="315"/>
        <v xml:space="preserve">Total EBITDA </v>
      </c>
      <c r="AM198" s="1643">
        <f>'Revenue and OCF'!CE86</f>
        <v>664.3499999999998</v>
      </c>
      <c r="AN198" s="1643">
        <f>'Revenue and OCF'!CF86</f>
        <v>1018.55</v>
      </c>
      <c r="AO198" s="1643">
        <f>'Revenue and OCF'!CG86</f>
        <v>912.14999999999986</v>
      </c>
      <c r="AP198" s="1643">
        <f>'Revenue and OCF'!CH86</f>
        <v>756.14999999999975</v>
      </c>
      <c r="AQ198" s="1741">
        <f>D198-SUM(AM198:AP198)</f>
        <v>0</v>
      </c>
      <c r="AR198" s="1643">
        <f>'Revenue and OCF'!CJ86</f>
        <v>626</v>
      </c>
      <c r="AS198" s="1643">
        <f>'Revenue and OCF'!CK86</f>
        <v>939.4</v>
      </c>
      <c r="AT198" s="1643">
        <f>'Revenue and OCF'!CL86</f>
        <v>821.09999999999991</v>
      </c>
      <c r="AU198" s="1643">
        <f>'Revenue and OCF'!CM86</f>
        <v>778.7</v>
      </c>
      <c r="AV198" s="1741">
        <f>E198-SUM(AR198:AU198)</f>
        <v>0</v>
      </c>
      <c r="AW198" s="1643">
        <f>'Revenue and OCF'!CO86</f>
        <v>636.19999999999993</v>
      </c>
      <c r="AX198" s="1643">
        <f>'Revenue and OCF'!CP86</f>
        <v>858.9</v>
      </c>
      <c r="AY198" s="1643">
        <f>'Revenue and OCF'!CQ86</f>
        <v>756.40000000000009</v>
      </c>
      <c r="AZ198" s="1643">
        <f>'Revenue and OCF'!CR86</f>
        <v>859.59999999999991</v>
      </c>
      <c r="BA198" s="1741">
        <f>F198-SUM(AW198:AZ198)</f>
        <v>0</v>
      </c>
      <c r="BB198" s="1643">
        <f>'Revenue and OCF'!CT86</f>
        <v>633.95000000000005</v>
      </c>
      <c r="BC198" s="1643">
        <f>'Revenue and OCF'!CU86</f>
        <v>860.25000000000011</v>
      </c>
      <c r="BD198" s="1643">
        <f>'Revenue and OCF'!CV86</f>
        <v>758.45000000000016</v>
      </c>
      <c r="BE198" s="1643">
        <f>'Revenue and OCF'!CW86</f>
        <v>824.85000000000014</v>
      </c>
      <c r="BF198" s="1741">
        <f>G198-SUM(BB198:BE198)</f>
        <v>0</v>
      </c>
      <c r="BG198" s="1643">
        <f>'Revenue and OCF'!CY86</f>
        <v>701.67924972625008</v>
      </c>
      <c r="BH198" s="1643">
        <f>'Revenue and OCF'!CZ86</f>
        <v>766.39473068000007</v>
      </c>
      <c r="BI198" s="1643">
        <f>'Revenue and OCF'!DA86</f>
        <v>646.86897686793748</v>
      </c>
      <c r="BJ198" s="1643">
        <f>'Revenue and OCF'!DB86</f>
        <v>574.85704272581245</v>
      </c>
      <c r="BK198" s="1741">
        <f>H198-SUM(BG198:BJ198)</f>
        <v>0</v>
      </c>
      <c r="BL198" s="1643">
        <f>'Revenue and OCF'!DD86</f>
        <v>266.23853314169935</v>
      </c>
      <c r="BM198" s="1643">
        <f>'Revenue and OCF'!DE86</f>
        <v>398.01093352486839</v>
      </c>
      <c r="BN198" s="1643">
        <f>'Revenue and OCF'!DF86</f>
        <v>566.82739985984585</v>
      </c>
      <c r="BO198" s="1643">
        <f>'Revenue and OCF'!DG86</f>
        <v>542.52313347358677</v>
      </c>
      <c r="BP198" s="1741">
        <f>I198-SUM(BL198:BO198)</f>
        <v>0</v>
      </c>
      <c r="BQ198" s="1643">
        <f>BQ194+BQ195+BQ196+BQ197</f>
        <v>351.3</v>
      </c>
      <c r="BR198" s="1643">
        <f>BR194+BR195+BR196+BR197</f>
        <v>580.19999999999993</v>
      </c>
      <c r="BS198" s="1643">
        <f>BS194+BS195+BS196+BS197</f>
        <v>667.39999999999986</v>
      </c>
      <c r="BT198" s="1643">
        <f>BT194+BT195+BT196+BT197</f>
        <v>770.10000000000014</v>
      </c>
      <c r="BU198" s="1741">
        <f>J198-SUM(BQ198:BT198)</f>
        <v>0</v>
      </c>
      <c r="BV198" s="1643">
        <f>BV194+BV195+BV196+BV197</f>
        <v>596</v>
      </c>
      <c r="BW198" s="1643">
        <f>BW194+BW195+BW196+BW197</f>
        <v>886</v>
      </c>
      <c r="BX198" s="1643">
        <f>BX194+BX195+BX196+BX197</f>
        <v>861</v>
      </c>
      <c r="BY198" s="1643">
        <f>BY194+BY195+BY196+BY197</f>
        <v>814</v>
      </c>
      <c r="BZ198" s="1741">
        <f>K198-SUM(BV198:BY198)</f>
        <v>0</v>
      </c>
      <c r="CA198" s="1643">
        <f>CA194+CA195+CA196+CA197</f>
        <v>807</v>
      </c>
      <c r="CB198" s="1643">
        <f>CB194+CB195+CB196+CB197</f>
        <v>911</v>
      </c>
      <c r="CC198" s="1643">
        <f>CC194+CC195+CC196+CC197</f>
        <v>904</v>
      </c>
      <c r="CD198" s="1643">
        <f>CD194+CD195+CD196+CD197</f>
        <v>866</v>
      </c>
      <c r="CE198" s="1741">
        <f>L198-SUM(CA198:CD198)</f>
        <v>0</v>
      </c>
      <c r="CF198" s="1643">
        <f>CF194+CF195+CF196+CF197</f>
        <v>916</v>
      </c>
      <c r="CG198" s="1643">
        <f>CG194+CG195+CG196+CG197</f>
        <v>952</v>
      </c>
      <c r="CH198" s="1643">
        <f>CH194+CH195+CH196+CH197</f>
        <v>941</v>
      </c>
      <c r="CI198" s="1643">
        <f>CI194+CI195+CI196+CI197</f>
        <v>927</v>
      </c>
      <c r="CJ198" s="1741">
        <f>M198-SUM(CF198:CI198)</f>
        <v>0</v>
      </c>
      <c r="CK198" s="1643">
        <f>CK194+CK195+CK196+CK197</f>
        <v>862</v>
      </c>
      <c r="CL198" s="1643">
        <f>CL194+CL195+CL196+CL197</f>
        <v>801</v>
      </c>
      <c r="CM198" s="1643">
        <f>CM194+CM195+CM196+CM197</f>
        <v>814</v>
      </c>
      <c r="CN198" s="1643">
        <f>CN194+CN195+CN196+CN197</f>
        <v>778</v>
      </c>
      <c r="CO198" s="1741">
        <f>$N198-SUM(CK198:CN198)</f>
        <v>0</v>
      </c>
      <c r="CP198" s="1643">
        <f>CP194+CP195+CP196+CP197</f>
        <v>770</v>
      </c>
      <c r="CQ198" s="1643">
        <f>CQ194+CQ195+CQ196+CQ197</f>
        <v>707</v>
      </c>
      <c r="CR198" s="1643">
        <f>CR194+CR195+CR196+CR197</f>
        <v>818</v>
      </c>
      <c r="CS198" s="1643">
        <f>CS194+CS195+CS196+CS197</f>
        <v>812</v>
      </c>
      <c r="CT198" s="1741">
        <f>$Q198-SUM(CP198:CS198)</f>
        <v>0</v>
      </c>
      <c r="CU198" s="1643">
        <f>CU194+CU195+CU196+CU197</f>
        <v>813</v>
      </c>
      <c r="CV198" s="1643">
        <f>CV194+CV195+CV196+CV197</f>
        <v>707.3</v>
      </c>
      <c r="CW198" s="1643">
        <f>CW194+CW195+CW196+CW197</f>
        <v>775</v>
      </c>
      <c r="CX198" s="2812">
        <f>CX194+CX195+CX196+CX197</f>
        <v>790</v>
      </c>
      <c r="CY198" s="2835">
        <f>S198-SUM(CU198:CX198)</f>
        <v>0</v>
      </c>
      <c r="CZ198" s="2812">
        <f>CZ194+CZ195+CZ196+CZ197</f>
        <v>759</v>
      </c>
      <c r="DA198" s="2812">
        <f>DA194+DA195+DA196+DA197</f>
        <v>725</v>
      </c>
      <c r="DB198" s="2812">
        <f>DB194+DB195+DB196+DB197</f>
        <v>762</v>
      </c>
      <c r="DC198" s="2812">
        <f>DC194+DC195+DC196+DC197</f>
        <v>787.37699902479903</v>
      </c>
      <c r="DD198" s="2835">
        <f t="shared" si="225"/>
        <v>0</v>
      </c>
      <c r="DE198" s="2812">
        <f t="shared" ref="DE198:DG198" si="328">DE194+DE195+DE196+DE197</f>
        <v>781.30048065291601</v>
      </c>
      <c r="DF198" s="2812">
        <f t="shared" si="328"/>
        <v>765.56358758182523</v>
      </c>
      <c r="DG198" s="2812">
        <f t="shared" si="328"/>
        <v>822.95210571498114</v>
      </c>
      <c r="DH198" s="2812">
        <f>DH194+DH195+DH196+DH197</f>
        <v>884.78051751242481</v>
      </c>
      <c r="DI198" s="2835">
        <f>U198-SUM(DE198:DH198)</f>
        <v>0</v>
      </c>
      <c r="DJ198" s="1741"/>
      <c r="DK198" s="1643"/>
      <c r="DL198" s="1108"/>
      <c r="DM198" s="1108"/>
      <c r="DN198" s="1477"/>
      <c r="DO198" s="1108"/>
      <c r="DP198" s="1108"/>
      <c r="DQ198" s="1108"/>
      <c r="DR198" s="1108"/>
      <c r="DS198" s="1108"/>
      <c r="DT198" s="1108"/>
    </row>
    <row r="199" spans="1:124" ht="11.25" customHeight="1">
      <c r="A199" s="1797" t="s">
        <v>344</v>
      </c>
      <c r="B199" s="1770" t="s">
        <v>1455</v>
      </c>
      <c r="C199" s="1786">
        <f t="shared" ref="C199:J199" si="329">C198/B198-1</f>
        <v>-1.5166372491337565E-2</v>
      </c>
      <c r="D199" s="1786">
        <f t="shared" si="329"/>
        <v>0.11224692997012897</v>
      </c>
      <c r="E199" s="1786">
        <f t="shared" si="329"/>
        <v>-5.550250656481226E-2</v>
      </c>
      <c r="F199" s="1786">
        <f t="shared" si="329"/>
        <v>-1.7092126879818315E-2</v>
      </c>
      <c r="G199" s="1786">
        <f t="shared" si="329"/>
        <v>-1.0800038571566306E-2</v>
      </c>
      <c r="H199" s="1786">
        <f t="shared" si="329"/>
        <v>-0.12597887896019488</v>
      </c>
      <c r="I199" s="1786">
        <f t="shared" si="329"/>
        <v>-0.3406201204550523</v>
      </c>
      <c r="J199" s="1786">
        <f t="shared" si="329"/>
        <v>0.33570139828597201</v>
      </c>
      <c r="K199" s="1786">
        <f>K198/J198-1</f>
        <v>0.33262980160405231</v>
      </c>
      <c r="L199" s="1786">
        <f>L198/K198-1</f>
        <v>0.10484637313905587</v>
      </c>
      <c r="M199" s="1786">
        <f>M198/L198-1</f>
        <v>7.1100917431192734E-2</v>
      </c>
      <c r="N199" s="1786">
        <f>N198/M198-1</f>
        <v>-0.12874732334047112</v>
      </c>
      <c r="O199" s="2724"/>
      <c r="P199" s="2724">
        <f t="shared" ref="P199:W199" si="330">P198/O198-1</f>
        <v>-2.398800599700146E-2</v>
      </c>
      <c r="Q199" s="1786">
        <f t="shared" si="330"/>
        <v>-4.5468509984639027E-2</v>
      </c>
      <c r="R199" s="2814">
        <f t="shared" si="330"/>
        <v>9.7940135178628873E-2</v>
      </c>
      <c r="S199" s="2863"/>
      <c r="T199" s="2814">
        <f>T198/S198-1</f>
        <v>-1.6829157934463823E-2</v>
      </c>
      <c r="U199" s="2814">
        <f t="shared" si="330"/>
        <v>7.2928519108725443E-2</v>
      </c>
      <c r="V199" s="2814">
        <f t="shared" si="330"/>
        <v>5.6330638967930335E-2</v>
      </c>
      <c r="W199" s="1786">
        <f t="shared" si="330"/>
        <v>0.10164452487805464</v>
      </c>
      <c r="X199" s="1786">
        <f t="shared" ref="X199:AE199" si="331">X198/W198-1</f>
        <v>2.8831975906745466E-2</v>
      </c>
      <c r="Y199" s="1786">
        <f t="shared" si="331"/>
        <v>6.4507237242793503E-2</v>
      </c>
      <c r="Z199" s="1786">
        <f t="shared" si="331"/>
        <v>-4.4301168031695148E-2</v>
      </c>
      <c r="AA199" s="1786">
        <f t="shared" si="331"/>
        <v>2.5564939871900894E-2</v>
      </c>
      <c r="AB199" s="1786">
        <f t="shared" si="331"/>
        <v>8.8178582996012445E-4</v>
      </c>
      <c r="AC199" s="1786">
        <f t="shared" si="331"/>
        <v>-1.485864634787426E-2</v>
      </c>
      <c r="AD199" s="1786">
        <f t="shared" si="331"/>
        <v>-1.2731104188929976E-2</v>
      </c>
      <c r="AE199" s="1786">
        <f t="shared" si="331"/>
        <v>4.9728769723655475E-2</v>
      </c>
      <c r="AF199" s="1105"/>
      <c r="AG199" s="1105"/>
      <c r="AH199" s="1105"/>
      <c r="AI199" s="1105"/>
      <c r="AJ199" s="1786"/>
      <c r="AK199" s="1786"/>
      <c r="AL199" s="1810" t="str">
        <f t="shared" si="315"/>
        <v xml:space="preserve">% Change </v>
      </c>
      <c r="AM199" s="1770" t="s">
        <v>1455</v>
      </c>
      <c r="AN199" s="1770" t="s">
        <v>1455</v>
      </c>
      <c r="AO199" s="1770" t="s">
        <v>1455</v>
      </c>
      <c r="AP199" s="1770" t="s">
        <v>1455</v>
      </c>
      <c r="AQ199" s="1811"/>
      <c r="AR199" s="1364">
        <f>AR198/AM198-1</f>
        <v>-5.7725596447655292E-2</v>
      </c>
      <c r="AS199" s="1364">
        <f>AS198/AN198-1</f>
        <v>-7.7708507191595833E-2</v>
      </c>
      <c r="AT199" s="1364">
        <f>AT198/AO198-1</f>
        <v>-9.9819108699227055E-2</v>
      </c>
      <c r="AU199" s="1364">
        <f>AU198/AP198-1</f>
        <v>2.9822125239701514E-2</v>
      </c>
      <c r="AV199" s="1811"/>
      <c r="AW199" s="1364">
        <f>AW198/AR198-1</f>
        <v>1.629392971246002E-2</v>
      </c>
      <c r="AX199" s="1364">
        <f>AX198/AS198-1</f>
        <v>-8.5692995529061067E-2</v>
      </c>
      <c r="AY199" s="1364">
        <f>AY198/AT198-1</f>
        <v>-7.879673608573845E-2</v>
      </c>
      <c r="AZ199" s="1364">
        <f>AZ198/AU198-1</f>
        <v>0.1038911005522023</v>
      </c>
      <c r="BA199" s="1811"/>
      <c r="BB199" s="1364">
        <f>BB198/AW198-1</f>
        <v>-3.5366237032378178E-3</v>
      </c>
      <c r="BC199" s="1364">
        <f>BC198/AX198-1</f>
        <v>1.5717778553965278E-3</v>
      </c>
      <c r="BD199" s="1364">
        <f>BD198/AY198-1</f>
        <v>2.7102062400847782E-3</v>
      </c>
      <c r="BE199" s="1364">
        <f>BE198/AZ198-1</f>
        <v>-4.0425779432293862E-2</v>
      </c>
      <c r="BF199" s="1811"/>
      <c r="BG199" s="1364">
        <f>BG198/BB198-1</f>
        <v>0.10683689522241502</v>
      </c>
      <c r="BH199" s="1364">
        <f>BH198/BC198-1</f>
        <v>-0.10910231830281902</v>
      </c>
      <c r="BI199" s="1364">
        <f>BI198/BD198-1</f>
        <v>-0.14711717731170504</v>
      </c>
      <c r="BJ199" s="1364">
        <f>BJ198/BE198-1</f>
        <v>-0.3030768712786418</v>
      </c>
      <c r="BK199" s="1811"/>
      <c r="BL199" s="1364">
        <f>BL198/BG198-1</f>
        <v>-0.62056946497196774</v>
      </c>
      <c r="BM199" s="1364">
        <f>BM198/BH198-1</f>
        <v>-0.4806710985972924</v>
      </c>
      <c r="BN199" s="1364">
        <f>BN198/BI198-1</f>
        <v>-0.12373692334983111</v>
      </c>
      <c r="BO199" s="1364">
        <f>BO198/BJ198-1</f>
        <v>-5.6246869828552981E-2</v>
      </c>
      <c r="BP199" s="1811"/>
      <c r="BQ199" s="1364">
        <f>BQ198/BL198-1</f>
        <v>0.3194934476784721</v>
      </c>
      <c r="BR199" s="1364">
        <f>BR198/BM198-1</f>
        <v>0.45774889865870505</v>
      </c>
      <c r="BS199" s="1364">
        <f>BS198/BN198-1</f>
        <v>0.17743073140963483</v>
      </c>
      <c r="BT199" s="1364">
        <f>BT198/BO198-1</f>
        <v>0.41947864060527329</v>
      </c>
      <c r="BU199" s="1477"/>
      <c r="BV199" s="1364">
        <f>BV198/BQ198-1</f>
        <v>0.69655565044121825</v>
      </c>
      <c r="BW199" s="1364">
        <f>BW198/BR198-1</f>
        <v>0.52705963460875571</v>
      </c>
      <c r="BX199" s="1364">
        <f>BX198/BS198-1</f>
        <v>0.29008091099790256</v>
      </c>
      <c r="BY199" s="1364">
        <f>BY198/BT198-1</f>
        <v>5.7005583690429518E-2</v>
      </c>
      <c r="BZ199" s="1477"/>
      <c r="CA199" s="1364">
        <f>CA198/BV198-1</f>
        <v>0.35402684563758391</v>
      </c>
      <c r="CB199" s="1364">
        <f>CB198/BW198-1</f>
        <v>2.8216704288938965E-2</v>
      </c>
      <c r="CC199" s="1364">
        <f>CC198/BX198-1</f>
        <v>4.9941927990708512E-2</v>
      </c>
      <c r="CD199" s="1364">
        <f>CD198/BY198-1</f>
        <v>6.3882063882063855E-2</v>
      </c>
      <c r="CE199" s="1477"/>
      <c r="CF199" s="1364">
        <f>CF198/CA198-1</f>
        <v>0.13506815365551428</v>
      </c>
      <c r="CG199" s="1364">
        <f>CG198/CB198-1</f>
        <v>4.5005488474204158E-2</v>
      </c>
      <c r="CH199" s="1364">
        <f>CH198/CC198-1</f>
        <v>4.0929203539822989E-2</v>
      </c>
      <c r="CI199" s="1364">
        <f>CI198/CD198-1</f>
        <v>7.0438799076212533E-2</v>
      </c>
      <c r="CJ199" s="1477"/>
      <c r="CK199" s="1364">
        <f>CK198/CF198-1</f>
        <v>-5.8951965065502154E-2</v>
      </c>
      <c r="CL199" s="1364">
        <f>CL198/CG198-1</f>
        <v>-0.15861344537815125</v>
      </c>
      <c r="CM199" s="1364">
        <f>CM198/CH198-1</f>
        <v>-0.13496280552603612</v>
      </c>
      <c r="CN199" s="1364">
        <f>CN198/CI198-1</f>
        <v>-0.1607335490830637</v>
      </c>
      <c r="CO199" s="1477"/>
      <c r="CP199" s="2008">
        <f>CP198/CK198-1</f>
        <v>-0.10672853828306261</v>
      </c>
      <c r="CQ199" s="2008">
        <f>CQ198/CL198-1</f>
        <v>-0.11735330836454427</v>
      </c>
      <c r="CR199" s="2008">
        <f>CR198/CM198-1</f>
        <v>4.9140049140048436E-3</v>
      </c>
      <c r="CS199" s="1364">
        <f>CS198/CN198-1</f>
        <v>4.3701799485861281E-2</v>
      </c>
      <c r="CT199" s="1477"/>
      <c r="CU199" s="2008">
        <f>CU198/CP198-1</f>
        <v>5.5844155844155807E-2</v>
      </c>
      <c r="CV199" s="2008">
        <f>CV198/CQ198-1</f>
        <v>4.2432814710036126E-4</v>
      </c>
      <c r="CW199" s="2008">
        <f>CW198/CR198-1</f>
        <v>-5.2567237163814173E-2</v>
      </c>
      <c r="CX199" s="2980">
        <f>CX198/CS198-1</f>
        <v>-2.7093596059113323E-2</v>
      </c>
      <c r="CY199" s="2937"/>
      <c r="CZ199" s="2980">
        <f>CZ198/CU198-1</f>
        <v>-6.6420664206642055E-2</v>
      </c>
      <c r="DA199" s="2980">
        <f>DA198/CV198-1</f>
        <v>2.5024741976530596E-2</v>
      </c>
      <c r="DB199" s="2980">
        <f>DB198/CW198-1</f>
        <v>-1.6774193548387051E-2</v>
      </c>
      <c r="DC199" s="2980">
        <f>DC198/CX198-1</f>
        <v>-3.3202543989885314E-3</v>
      </c>
      <c r="DD199" s="2835"/>
      <c r="DE199" s="2980">
        <f t="shared" ref="DE199:DH199" si="332">DE198/CZ198-1</f>
        <v>2.9381397434671941E-2</v>
      </c>
      <c r="DF199" s="2980">
        <f t="shared" si="332"/>
        <v>5.5949775974931448E-2</v>
      </c>
      <c r="DG199" s="2980">
        <f t="shared" si="332"/>
        <v>7.9989640045907029E-2</v>
      </c>
      <c r="DH199" s="2980">
        <f t="shared" si="332"/>
        <v>0.12370632950703953</v>
      </c>
      <c r="DI199" s="2937"/>
      <c r="DJ199" s="1477"/>
      <c r="DK199" s="1364"/>
      <c r="DL199" s="1477"/>
      <c r="DM199" s="1477"/>
      <c r="DN199" s="1477"/>
      <c r="DO199" s="1477"/>
      <c r="DP199" s="1477"/>
      <c r="DQ199" s="1477"/>
      <c r="DR199" s="1477"/>
      <c r="DS199" s="1477"/>
      <c r="DT199" s="1477"/>
    </row>
    <row r="200" spans="1:124" ht="11.25" customHeight="1">
      <c r="A200" s="1797" t="s">
        <v>690</v>
      </c>
      <c r="B200" s="1786">
        <f>B198/B191</f>
        <v>0.23241715666165272</v>
      </c>
      <c r="C200" s="1786">
        <f t="shared" ref="C200:H200" si="333">C198/C191</f>
        <v>0.22228780109926599</v>
      </c>
      <c r="D200" s="1786">
        <f t="shared" si="333"/>
        <v>0.230365772342634</v>
      </c>
      <c r="E200" s="1786">
        <f t="shared" si="333"/>
        <v>0.2177430450455409</v>
      </c>
      <c r="F200" s="1786">
        <f t="shared" si="333"/>
        <v>0.21725255233865448</v>
      </c>
      <c r="G200" s="1786">
        <f t="shared" si="333"/>
        <v>0.21868271642660717</v>
      </c>
      <c r="H200" s="1786">
        <f t="shared" si="333"/>
        <v>0.19281167565087742</v>
      </c>
      <c r="I200" s="1786">
        <f>I198/I191</f>
        <v>0.13627771886957726</v>
      </c>
      <c r="J200" s="1786">
        <f>J198/J191</f>
        <v>0.16849457318027289</v>
      </c>
      <c r="K200" s="1786">
        <f t="shared" ref="K200:V200" si="334">K198/K191</f>
        <v>0.23150252988193887</v>
      </c>
      <c r="L200" s="1786">
        <f t="shared" si="334"/>
        <v>0.24776950616582372</v>
      </c>
      <c r="M200" s="1786">
        <f t="shared" si="334"/>
        <v>0.24443862863124838</v>
      </c>
      <c r="N200" s="1786">
        <f>N198/N191</f>
        <v>0.23576705780095614</v>
      </c>
      <c r="O200" s="2724"/>
      <c r="P200" s="2724">
        <f>P198/P191</f>
        <v>0.23576705780095611</v>
      </c>
      <c r="Q200" s="1786">
        <f>Q198/Q191</f>
        <v>0.22375054011234335</v>
      </c>
      <c r="R200" s="2814">
        <f t="shared" si="334"/>
        <v>0.23712637286250524</v>
      </c>
      <c r="S200" s="2814">
        <f t="shared" si="334"/>
        <v>0.23433844751632996</v>
      </c>
      <c r="T200" s="2814">
        <f>T198/T191</f>
        <v>0.22373499986785056</v>
      </c>
      <c r="U200" s="2814">
        <f t="shared" si="334"/>
        <v>0.22563275806370336</v>
      </c>
      <c r="V200" s="2814">
        <f t="shared" si="334"/>
        <v>0.22218377448892371</v>
      </c>
      <c r="W200" s="1786">
        <f t="shared" ref="W200:AB200" si="335">W198/W191</f>
        <v>0.23856014342206153</v>
      </c>
      <c r="X200" s="1786">
        <f t="shared" si="335"/>
        <v>0.23676292734127494</v>
      </c>
      <c r="Y200" s="1786">
        <f t="shared" si="335"/>
        <v>0.23660146878812222</v>
      </c>
      <c r="Z200" s="1786">
        <f t="shared" si="335"/>
        <v>0.22744819962893198</v>
      </c>
      <c r="AA200" s="1786">
        <f t="shared" si="335"/>
        <v>0.22640566713202481</v>
      </c>
      <c r="AB200" s="1786">
        <f t="shared" si="335"/>
        <v>0.21507828321315936</v>
      </c>
      <c r="AC200" s="1786">
        <f>AC198/AC191</f>
        <v>0.2137394720786106</v>
      </c>
      <c r="AD200" s="1786">
        <f>AD198/AD191</f>
        <v>0.20678594607166095</v>
      </c>
      <c r="AE200" s="1786">
        <f>AE198/AE191</f>
        <v>0.20383677233158626</v>
      </c>
      <c r="AF200" s="1105"/>
      <c r="AG200" s="1105"/>
      <c r="AH200" s="1105"/>
      <c r="AI200" s="1105"/>
      <c r="AJ200" s="1786"/>
      <c r="AK200" s="1786"/>
      <c r="AL200" s="1810" t="str">
        <f t="shared" si="315"/>
        <v>% Margin</v>
      </c>
      <c r="AM200" s="1364">
        <f>AM198/AM191</f>
        <v>0.18913879003558712</v>
      </c>
      <c r="AN200" s="1364">
        <f>AN198/AN191</f>
        <v>0.27850541397790657</v>
      </c>
      <c r="AO200" s="1364">
        <f>AO198/AO191</f>
        <v>0.25136408730158727</v>
      </c>
      <c r="AP200" s="1364">
        <f>AP198/AP191</f>
        <v>0.20170454545454536</v>
      </c>
      <c r="AQ200" s="1811"/>
      <c r="AR200" s="1364">
        <f>AR198/AR191</f>
        <v>0.18156505597772493</v>
      </c>
      <c r="AS200" s="1364">
        <f>AS198/AS191</f>
        <v>0.25682806135002872</v>
      </c>
      <c r="AT200" s="1364">
        <f>AT198/AT191</f>
        <v>0.22790607305429106</v>
      </c>
      <c r="AU200" s="1364">
        <f>AU198/AU191</f>
        <v>0.20341683864057897</v>
      </c>
      <c r="AV200" s="1811"/>
      <c r="AW200" s="1364">
        <f>AW198/AW191</f>
        <v>0.17793813279633047</v>
      </c>
      <c r="AX200" s="1364">
        <f>AX198/AX191</f>
        <v>0.24659068071545459</v>
      </c>
      <c r="AY200" s="1364">
        <f>AY198/AY191</f>
        <v>0.2238664614656091</v>
      </c>
      <c r="AZ200" s="1364">
        <f>AZ198/AZ191</f>
        <v>0.22138092662700548</v>
      </c>
      <c r="BA200" s="1811"/>
      <c r="BB200" s="1364">
        <f>BB198/BB191</f>
        <v>0.17333351561218352</v>
      </c>
      <c r="BC200" s="1364">
        <f>BC198/BC191</f>
        <v>0.25489644137604078</v>
      </c>
      <c r="BD200" s="1364">
        <f>BD198/BD191</f>
        <v>0.2311361004449321</v>
      </c>
      <c r="BE200" s="1364">
        <f>BE198/BE191</f>
        <v>0.21942168546499266</v>
      </c>
      <c r="BF200" s="1811"/>
      <c r="BG200" s="1364">
        <f>BG198/BG191</f>
        <v>0.19203653589768124</v>
      </c>
      <c r="BH200" s="1364">
        <f>BH198/BH191</f>
        <v>0.22554565400972396</v>
      </c>
      <c r="BI200" s="1364">
        <f>BI198/BI191</f>
        <v>0.1918590656341071</v>
      </c>
      <c r="BJ200" s="1364">
        <f>BJ198/BJ191</f>
        <v>0.16298876379533578</v>
      </c>
      <c r="BK200" s="1811"/>
      <c r="BL200" s="1364">
        <f>BL198/BL191</f>
        <v>8.4195415906321736E-2</v>
      </c>
      <c r="BM200" s="1364">
        <f>BM198/BM191</f>
        <v>0.13213309279426583</v>
      </c>
      <c r="BN200" s="1364">
        <f>BN198/BN191</f>
        <v>0.16920220891338683</v>
      </c>
      <c r="BO200" s="1364">
        <f>BO198/BO191</f>
        <v>0.15536565902563285</v>
      </c>
      <c r="BP200" s="1811"/>
      <c r="BQ200" s="1364">
        <f>BQ198/BQ191</f>
        <v>9.9493047098473494E-2</v>
      </c>
      <c r="BR200" s="1364">
        <f>BR198/BR191</f>
        <v>0.17418192734914439</v>
      </c>
      <c r="BS200" s="1364">
        <f>BS198/BS191</f>
        <v>0.20239575435936308</v>
      </c>
      <c r="BT200" s="1364">
        <f>BT198/BT191</f>
        <v>0.1974412880730182</v>
      </c>
      <c r="BU200" s="1477"/>
      <c r="BV200" s="1364">
        <f>BV198/BV191</f>
        <v>0.17654028436018956</v>
      </c>
      <c r="BW200" s="1364">
        <f>BW198/BW191</f>
        <v>0.25845974329054844</v>
      </c>
      <c r="BX200" s="1364">
        <f>BX198/BX191</f>
        <v>0.26730828935113321</v>
      </c>
      <c r="BY200" s="1364">
        <f>BY198/BY191</f>
        <v>0.22535991140642303</v>
      </c>
      <c r="BZ200" s="1477"/>
      <c r="CA200" s="1364">
        <f>CA198/CA191</f>
        <v>0.21270987638050554</v>
      </c>
      <c r="CB200" s="1364">
        <f>CB198/CB191</f>
        <v>0.27386964886964887</v>
      </c>
      <c r="CC200" s="1364">
        <f>CC198/CC191</f>
        <v>0.27700321740462691</v>
      </c>
      <c r="CD200" s="1364">
        <f>CD198/CD191</f>
        <v>0.23444691104012128</v>
      </c>
      <c r="CE200" s="1477"/>
      <c r="CF200" s="1364">
        <f>CF198/CF191</f>
        <v>0.22673267326732674</v>
      </c>
      <c r="CG200" s="1364">
        <f>CG198/CG191</f>
        <v>0.25736685590700187</v>
      </c>
      <c r="CH200" s="1364">
        <f>CH198/CH191</f>
        <v>0.25894331315354979</v>
      </c>
      <c r="CI200" s="1364">
        <f>CI198/CI191</f>
        <v>0.2370237790846331</v>
      </c>
      <c r="CJ200" s="1477"/>
      <c r="CK200" s="1364">
        <f>CK198/CK191</f>
        <v>0.24145658263305322</v>
      </c>
      <c r="CL200" s="1364">
        <f>CL198/CL191</f>
        <v>0.2512547051442911</v>
      </c>
      <c r="CM200" s="1364">
        <f>CM198/CM191</f>
        <v>0.24175824175824176</v>
      </c>
      <c r="CN200" s="1364">
        <f>CN198/CN191</f>
        <v>0.21135560988861724</v>
      </c>
      <c r="CO200" s="1477"/>
      <c r="CP200" s="2008">
        <f>CP198/CP191</f>
        <v>0.22</v>
      </c>
      <c r="CQ200" s="2008">
        <f>CQ198/CQ191</f>
        <v>0.21963342652997825</v>
      </c>
      <c r="CR200" s="2008">
        <f>CR198/CR191</f>
        <v>0.25115136628799511</v>
      </c>
      <c r="CS200" s="1364">
        <f>CS198/CS191</f>
        <v>0.20767263427109975</v>
      </c>
      <c r="CT200" s="1477"/>
      <c r="CU200" s="2008">
        <f>CU198/CU191</f>
        <v>0.22658862876254179</v>
      </c>
      <c r="CV200" s="2008">
        <f>CV198/CV191</f>
        <v>0.23766801075268815</v>
      </c>
      <c r="CW200" s="2008">
        <f>CW198/CW191</f>
        <v>0.25129701686121919</v>
      </c>
      <c r="CX200" s="2980">
        <f>CX198/CX191</f>
        <v>0.2245594087549744</v>
      </c>
      <c r="CY200" s="2937"/>
      <c r="CZ200" s="2980">
        <f>CZ198/CZ191</f>
        <v>0.22704157941968292</v>
      </c>
      <c r="DA200" s="2980">
        <f>DA198/DA191</f>
        <v>0.22259748234571691</v>
      </c>
      <c r="DB200" s="2980">
        <f>DB198/DB191</f>
        <v>0.24030274361400189</v>
      </c>
      <c r="DC200" s="2980">
        <f>DC198/DC191</f>
        <v>0.20792119463858413</v>
      </c>
      <c r="DD200" s="2835"/>
      <c r="DE200" s="2980">
        <f t="shared" ref="DE200:DH200" si="336">DE198/DE191</f>
        <v>0.21842142180453936</v>
      </c>
      <c r="DF200" s="2980">
        <f t="shared" si="336"/>
        <v>0.21990707310294202</v>
      </c>
      <c r="DG200" s="2980">
        <f t="shared" si="336"/>
        <v>0.25090984960848123</v>
      </c>
      <c r="DH200" s="2980">
        <f t="shared" si="336"/>
        <v>0.21653421062603989</v>
      </c>
      <c r="DI200" s="2937"/>
      <c r="DJ200" s="1477"/>
      <c r="DK200" s="1364"/>
      <c r="DL200" s="1477"/>
      <c r="DM200" s="1477"/>
      <c r="DN200" s="1477"/>
      <c r="DO200" s="1477"/>
      <c r="DP200" s="1477"/>
      <c r="DQ200" s="1477"/>
      <c r="DR200" s="1477"/>
      <c r="DS200" s="1477"/>
      <c r="DT200" s="1477"/>
    </row>
    <row r="201" spans="1:124" ht="11.25" customHeight="1">
      <c r="A201" s="1797"/>
      <c r="B201" s="1786"/>
      <c r="C201" s="1786"/>
      <c r="D201" s="1786"/>
      <c r="E201" s="1786"/>
      <c r="F201" s="1786"/>
      <c r="G201" s="1786"/>
      <c r="H201" s="1786"/>
      <c r="I201" s="1786"/>
      <c r="J201" s="1786"/>
      <c r="K201" s="1786"/>
      <c r="L201" s="1786"/>
      <c r="M201" s="1786"/>
      <c r="N201" s="1786"/>
      <c r="O201" s="2724"/>
      <c r="P201" s="2724"/>
      <c r="Q201" s="1786"/>
      <c r="R201" s="2814"/>
      <c r="S201" s="2814"/>
      <c r="T201" s="2814"/>
      <c r="U201" s="2814"/>
      <c r="V201" s="2814"/>
      <c r="W201" s="1786"/>
      <c r="X201" s="1786"/>
      <c r="Y201" s="1786"/>
      <c r="Z201" s="1786"/>
      <c r="AA201" s="1786"/>
      <c r="AB201" s="1786"/>
      <c r="AC201" s="1786"/>
      <c r="AD201" s="1786"/>
      <c r="AE201" s="1786"/>
      <c r="AF201" s="1105"/>
      <c r="AG201" s="1105"/>
      <c r="AH201" s="1105"/>
      <c r="AI201" s="1105"/>
      <c r="AJ201" s="1786"/>
      <c r="AK201" s="1786"/>
      <c r="AL201" s="1810"/>
      <c r="AM201" s="1364"/>
      <c r="AN201" s="1364"/>
      <c r="AO201" s="1364"/>
      <c r="AP201" s="1364"/>
      <c r="AQ201" s="1811"/>
      <c r="AR201" s="1364"/>
      <c r="AS201" s="1364"/>
      <c r="AT201" s="1364"/>
      <c r="AU201" s="1364"/>
      <c r="AV201" s="1811"/>
      <c r="AW201" s="1364"/>
      <c r="AX201" s="1364"/>
      <c r="AY201" s="1364"/>
      <c r="AZ201" s="1364"/>
      <c r="BA201" s="1811"/>
      <c r="BB201" s="1364"/>
      <c r="BC201" s="1364"/>
      <c r="BD201" s="1364"/>
      <c r="BE201" s="1364"/>
      <c r="BF201" s="1811"/>
      <c r="BG201" s="1364"/>
      <c r="BH201" s="1364"/>
      <c r="BI201" s="1364"/>
      <c r="BJ201" s="1364"/>
      <c r="BK201" s="1811"/>
      <c r="BL201" s="1364"/>
      <c r="BM201" s="1364"/>
      <c r="BN201" s="1364"/>
      <c r="BO201" s="1364"/>
      <c r="BP201" s="1811"/>
      <c r="BQ201" s="1364"/>
      <c r="BR201" s="1364"/>
      <c r="BS201" s="1364"/>
      <c r="BT201" s="1364"/>
      <c r="BU201" s="1477"/>
      <c r="BV201" s="1858"/>
      <c r="BW201" s="1858"/>
      <c r="BX201" s="1858"/>
      <c r="BY201" s="1858"/>
      <c r="BZ201" s="1477"/>
      <c r="CA201" s="1477"/>
      <c r="CB201" s="1477"/>
      <c r="CC201" s="1477"/>
      <c r="CD201" s="1477"/>
      <c r="CE201" s="1477"/>
      <c r="CF201" s="1477"/>
      <c r="CG201" s="1477"/>
      <c r="CH201" s="1477"/>
      <c r="CI201" s="1477"/>
      <c r="CJ201" s="1477"/>
      <c r="CK201" s="1477"/>
      <c r="CL201" s="1477"/>
      <c r="CM201" s="1477"/>
      <c r="CN201" s="1477"/>
      <c r="CO201" s="1477"/>
      <c r="CP201" s="1477"/>
      <c r="CQ201" s="1477"/>
      <c r="CR201" s="1477"/>
      <c r="CS201" s="1477"/>
      <c r="CT201" s="1477"/>
      <c r="CU201" s="1477"/>
      <c r="CV201" s="1477"/>
      <c r="CW201" s="1477"/>
      <c r="CX201" s="2937"/>
      <c r="CY201" s="2937"/>
      <c r="CZ201" s="2937"/>
      <c r="DA201" s="2937"/>
      <c r="DB201" s="2937"/>
      <c r="DC201" s="2937"/>
      <c r="DD201" s="2835"/>
      <c r="DE201" s="2937"/>
      <c r="DF201" s="2937"/>
      <c r="DG201" s="2937"/>
      <c r="DH201" s="2937"/>
      <c r="DI201" s="2937"/>
      <c r="DJ201" s="2937"/>
      <c r="DK201" s="1477"/>
      <c r="DL201" s="1477"/>
      <c r="DM201" s="1477"/>
      <c r="DN201" s="1477"/>
      <c r="DO201" s="1477"/>
      <c r="DP201" s="1477"/>
      <c r="DQ201" s="1477"/>
      <c r="DR201" s="1477"/>
      <c r="DS201" s="1477"/>
      <c r="DT201" s="1477"/>
    </row>
    <row r="202" spans="1:124" ht="11.25" customHeight="1">
      <c r="A202" s="1806" t="s">
        <v>724</v>
      </c>
      <c r="B202" s="1786"/>
      <c r="C202" s="1786"/>
      <c r="D202" s="1786"/>
      <c r="E202" s="1786"/>
      <c r="F202" s="1786"/>
      <c r="G202" s="1786"/>
      <c r="H202" s="1859">
        <f>H174+H108</f>
        <v>516.29999999999995</v>
      </c>
      <c r="I202" s="1859">
        <f>I174+I108</f>
        <v>563.4</v>
      </c>
      <c r="J202" s="1859">
        <f t="shared" ref="J202:V202" si="337">J174+J108</f>
        <v>541.09999999999991</v>
      </c>
      <c r="K202" s="1859">
        <f>K174+K108</f>
        <v>471</v>
      </c>
      <c r="L202" s="1727">
        <f t="shared" si="337"/>
        <v>452</v>
      </c>
      <c r="M202" s="1727">
        <f>M174+M108</f>
        <v>433</v>
      </c>
      <c r="N202" s="1727">
        <f>N174+N108</f>
        <v>255</v>
      </c>
      <c r="O202" s="2753">
        <f>O174+O108</f>
        <v>265</v>
      </c>
      <c r="P202" s="2753">
        <f>P174+P108</f>
        <v>255</v>
      </c>
      <c r="Q202" s="1727">
        <f>Q174+Q108</f>
        <v>234</v>
      </c>
      <c r="R202" s="2815">
        <f t="shared" si="337"/>
        <v>216.3</v>
      </c>
      <c r="S202" s="2808">
        <f>SUM(CU202:CX202)</f>
        <v>190.3</v>
      </c>
      <c r="T202" s="2815">
        <f t="shared" ca="1" si="337"/>
        <v>188.16672288960859</v>
      </c>
      <c r="U202" s="2815">
        <f t="shared" ca="1" si="337"/>
        <v>184.83331219075561</v>
      </c>
      <c r="V202" s="2815">
        <f t="shared" ca="1" si="337"/>
        <v>182.64543301470459</v>
      </c>
      <c r="W202" s="1727">
        <f t="shared" ref="W202:AB202" ca="1" si="338">W174+W108</f>
        <v>183.82307108155283</v>
      </c>
      <c r="X202" s="1727">
        <f t="shared" ca="1" si="338"/>
        <v>190.20531182508859</v>
      </c>
      <c r="Y202" s="1727">
        <f t="shared" ca="1" si="338"/>
        <v>201.70790847805304</v>
      </c>
      <c r="Z202" s="1727">
        <f t="shared" ca="1" si="338"/>
        <v>200.01808232280581</v>
      </c>
      <c r="AA202" s="1727">
        <f t="shared" ca="1" si="338"/>
        <v>205.66683406235563</v>
      </c>
      <c r="AB202" s="1727">
        <f t="shared" ca="1" si="338"/>
        <v>215.71494432931809</v>
      </c>
      <c r="AC202" s="1727">
        <f ca="1">AC174+AC108</f>
        <v>214.216333777166</v>
      </c>
      <c r="AD202" s="1727">
        <f ca="1">AD174+AD108</f>
        <v>218.29469554124407</v>
      </c>
      <c r="AE202" s="1727">
        <f ca="1">AE174+AE108</f>
        <v>231.04362714466868</v>
      </c>
      <c r="AF202" s="1105"/>
      <c r="AG202" s="1105"/>
      <c r="AH202" s="1105"/>
      <c r="AI202" s="1105"/>
      <c r="AJ202" s="1859"/>
      <c r="AK202" s="1859"/>
      <c r="AL202" s="1806" t="s">
        <v>724</v>
      </c>
      <c r="AM202" s="1364"/>
      <c r="AN202" s="1364"/>
      <c r="AO202" s="1364"/>
      <c r="AP202" s="1364"/>
      <c r="AQ202" s="1811"/>
      <c r="AR202" s="1364"/>
      <c r="AS202" s="1364"/>
      <c r="AT202" s="1364"/>
      <c r="AU202" s="1364"/>
      <c r="AV202" s="1811"/>
      <c r="AW202" s="1364"/>
      <c r="AX202" s="1364"/>
      <c r="AY202" s="1364"/>
      <c r="AZ202" s="1364"/>
      <c r="BA202" s="1811"/>
      <c r="BB202" s="1364"/>
      <c r="BC202" s="1364"/>
      <c r="BD202" s="1364"/>
      <c r="BE202" s="1364"/>
      <c r="BF202" s="1811"/>
      <c r="BG202" s="1105">
        <f>BG174+BG108</f>
        <v>114.6</v>
      </c>
      <c r="BH202" s="1105">
        <f>BH174+BH108</f>
        <v>118.89999999999999</v>
      </c>
      <c r="BI202" s="1105">
        <f>BI174+BI108</f>
        <v>138.39999999999998</v>
      </c>
      <c r="BJ202" s="1105">
        <f>BJ174+BJ108</f>
        <v>144.4</v>
      </c>
      <c r="BK202" s="1741">
        <f>H202-SUM(BG202:BJ202)</f>
        <v>0</v>
      </c>
      <c r="BL202" s="1105">
        <f>BL174+BL108</f>
        <v>137.79999999999998</v>
      </c>
      <c r="BM202" s="1105">
        <f>BM174+BM108</f>
        <v>140.4</v>
      </c>
      <c r="BN202" s="1105">
        <f>BN174+BN108</f>
        <v>142.6</v>
      </c>
      <c r="BO202" s="1105">
        <f>BO174+BO108</f>
        <v>142.6</v>
      </c>
      <c r="BP202" s="1741">
        <f>I202-SUM(BL202:BO202)</f>
        <v>0</v>
      </c>
      <c r="BQ202" s="1727">
        <f>BQ174+BQ108</f>
        <v>135.9</v>
      </c>
      <c r="BR202" s="1727">
        <f>BR174+BR108</f>
        <v>138.30000000000001</v>
      </c>
      <c r="BS202" s="1727">
        <f>BS174+BS108</f>
        <v>133.9</v>
      </c>
      <c r="BT202" s="1727">
        <f>BT174+BT108</f>
        <v>133</v>
      </c>
      <c r="BU202" s="1860">
        <f>J202-SUM(BQ202:BT202)</f>
        <v>0</v>
      </c>
      <c r="BV202" s="1727">
        <f>BV174+BV108</f>
        <v>120</v>
      </c>
      <c r="BW202" s="1727">
        <f>BW174+BW108</f>
        <v>119</v>
      </c>
      <c r="BX202" s="1727">
        <f>BX174+BX108</f>
        <v>115</v>
      </c>
      <c r="BY202" s="1727">
        <f>BY174+BY108</f>
        <v>117</v>
      </c>
      <c r="BZ202" s="1741">
        <f>K202-SUM(BV202:BY202)</f>
        <v>0</v>
      </c>
      <c r="CA202" s="1727">
        <f>CA174+CA108</f>
        <v>113</v>
      </c>
      <c r="CB202" s="1727">
        <f>CB174+CB108</f>
        <v>113</v>
      </c>
      <c r="CC202" s="1727">
        <f>CC174+CC108</f>
        <v>111</v>
      </c>
      <c r="CD202" s="1727">
        <f>CD174+CD108</f>
        <v>115</v>
      </c>
      <c r="CE202" s="1741">
        <f>L202-SUM(CA202:CD202)</f>
        <v>0</v>
      </c>
      <c r="CF202" s="1727">
        <f>CF174+CF108</f>
        <v>111</v>
      </c>
      <c r="CG202" s="1727">
        <f>CG174+CG108</f>
        <v>107</v>
      </c>
      <c r="CH202" s="1727">
        <f>CH174+CH108</f>
        <v>107</v>
      </c>
      <c r="CI202" s="1727">
        <f>CI174+CI108</f>
        <v>108</v>
      </c>
      <c r="CJ202" s="1741">
        <f>M202-SUM(CF202:CI202)</f>
        <v>0</v>
      </c>
      <c r="CK202" s="1727">
        <f>CK174+CK108</f>
        <v>65</v>
      </c>
      <c r="CL202" s="1659">
        <f>CL174+CL108</f>
        <v>65</v>
      </c>
      <c r="CM202" s="1659">
        <f>CM174+CM108</f>
        <v>62</v>
      </c>
      <c r="CN202" s="1727">
        <f>CN174+CN108</f>
        <v>63</v>
      </c>
      <c r="CO202" s="1741">
        <f>$N202-SUM(CK202:CN202)</f>
        <v>0</v>
      </c>
      <c r="CP202" s="1659">
        <f>CP174+CP108</f>
        <v>60</v>
      </c>
      <c r="CQ202" s="1659">
        <f>CQ174+CQ108</f>
        <v>59</v>
      </c>
      <c r="CR202" s="1659">
        <f>CR174+CR108</f>
        <v>57</v>
      </c>
      <c r="CS202" s="1727">
        <f>CS174+CS108</f>
        <v>58</v>
      </c>
      <c r="CT202" s="2182">
        <f>$Q202-SUM(CP202:CS202)</f>
        <v>0</v>
      </c>
      <c r="CU202" s="1727">
        <f>CU174+CU108</f>
        <v>48</v>
      </c>
      <c r="CV202" s="1727">
        <f>CV174+CV108</f>
        <v>48.3</v>
      </c>
      <c r="CW202" s="1727">
        <f>CW174+CW108</f>
        <v>46</v>
      </c>
      <c r="CX202" s="2815">
        <f>CX174+CX108</f>
        <v>48</v>
      </c>
      <c r="CY202" s="2835">
        <f t="shared" ref="CY202:CY208" si="339">S202-SUM(CU202:CX202)</f>
        <v>0</v>
      </c>
      <c r="CZ202" s="2815">
        <f>CZ174+CZ108</f>
        <v>47</v>
      </c>
      <c r="DA202" s="2815">
        <f>DA174+DA108</f>
        <v>47</v>
      </c>
      <c r="DB202" s="2815">
        <f>DB174+DB108</f>
        <v>47</v>
      </c>
      <c r="DC202" s="2815">
        <f ca="1">DC174+DC108</f>
        <v>47.166722889608579</v>
      </c>
      <c r="DD202" s="2835">
        <f t="shared" ca="1" si="225"/>
        <v>0</v>
      </c>
      <c r="DE202" s="2815">
        <f t="shared" ref="DE202:DH202" si="340">DE174+DE108</f>
        <v>46.16664732528676</v>
      </c>
      <c r="DF202" s="2815">
        <f t="shared" si="340"/>
        <v>46.16664732528676</v>
      </c>
      <c r="DG202" s="2815">
        <f t="shared" si="340"/>
        <v>46.16664732528676</v>
      </c>
      <c r="DH202" s="2815">
        <f t="shared" ca="1" si="340"/>
        <v>46.333370214895339</v>
      </c>
      <c r="DI202" s="2835">
        <f t="shared" ca="1" si="307"/>
        <v>0</v>
      </c>
      <c r="DJ202" s="2182"/>
      <c r="DK202" s="1727"/>
      <c r="DL202" s="1477"/>
      <c r="DM202" s="1477"/>
      <c r="DN202" s="1477"/>
      <c r="DO202" s="1477"/>
      <c r="DP202" s="1477"/>
      <c r="DQ202" s="1477"/>
      <c r="DR202" s="1477"/>
      <c r="DS202" s="1477"/>
      <c r="DT202" s="1477"/>
    </row>
    <row r="203" spans="1:124" ht="11.25" customHeight="1">
      <c r="A203" s="1806" t="s">
        <v>725</v>
      </c>
      <c r="B203" s="1786"/>
      <c r="C203" s="1786"/>
      <c r="D203" s="1786"/>
      <c r="E203" s="1786"/>
      <c r="F203" s="1786"/>
      <c r="G203" s="1786"/>
      <c r="H203" s="1861">
        <f>'Segment Detail'!AE198+'Segment Detail'!AE208</f>
        <v>13.200000000000001</v>
      </c>
      <c r="I203" s="1861">
        <f>'Segment Detail'!AF198+'Segment Detail'!AF208</f>
        <v>18.899999999999999</v>
      </c>
      <c r="J203" s="1861">
        <f>'Segment Detail'!AG198+'Segment Detail'!AG208</f>
        <v>21.2</v>
      </c>
      <c r="K203" s="1861">
        <f>'Segment Detail'!AH198+'Segment Detail'!AH208</f>
        <v>24</v>
      </c>
      <c r="L203" s="1862">
        <f>'Segment Detail'!AI198+'Segment Detail'!AI208</f>
        <v>23</v>
      </c>
      <c r="M203" s="1862">
        <f>'Segment Detail'!AJ198+'Segment Detail'!AJ208</f>
        <v>24</v>
      </c>
      <c r="N203" s="1862">
        <f>'Segment Detail'!AK198+'Segment Detail'!AK208</f>
        <v>26</v>
      </c>
      <c r="O203" s="2768">
        <f>M203+1</f>
        <v>25</v>
      </c>
      <c r="P203" s="2768">
        <f>N203</f>
        <v>26</v>
      </c>
      <c r="Q203" s="1862">
        <f>'Segment Detail'!AL198+'Segment Detail'!AL208</f>
        <v>30</v>
      </c>
      <c r="R203" s="2816">
        <f ca="1">'Segment Detail'!AM198+'Segment Detail'!AM208</f>
        <v>34</v>
      </c>
      <c r="S203" s="2808">
        <f ca="1">SUM(CU203:CX203)</f>
        <v>34</v>
      </c>
      <c r="T203" s="2816">
        <f ca="1">'Segment Detail'!AN198+'Segment Detail'!AN208</f>
        <v>33.446607999999998</v>
      </c>
      <c r="U203" s="2816">
        <f ca="1">'Segment Detail'!AO198+'Segment Detail'!AO208</f>
        <v>33.446607999999998</v>
      </c>
      <c r="V203" s="2816">
        <f ca="1">'Segment Detail'!AP198+'Segment Detail'!AP208</f>
        <v>32.446607999999998</v>
      </c>
      <c r="W203" s="1862">
        <f ca="1">'Segment Detail'!AQ198+'Segment Detail'!AQ208</f>
        <v>30.446608000000001</v>
      </c>
      <c r="X203" s="1862">
        <f ca="1">'Segment Detail'!AR198+'Segment Detail'!AR208</f>
        <v>28.446608000000001</v>
      </c>
      <c r="Y203" s="1862">
        <f ca="1">'Segment Detail'!AS198+'Segment Detail'!AS208</f>
        <v>27.446608000000001</v>
      </c>
      <c r="Z203" s="1862">
        <f ca="1">'Segment Detail'!AT198+'Segment Detail'!AT208</f>
        <v>25.446608000000001</v>
      </c>
      <c r="AA203" s="1862">
        <f ca="1">'Segment Detail'!AU198+'Segment Detail'!AU208</f>
        <v>24.446608000000001</v>
      </c>
      <c r="AB203" s="1862">
        <f ca="1">'Segment Detail'!AV198+'Segment Detail'!AV208</f>
        <v>23.446608000000001</v>
      </c>
      <c r="AC203" s="1862">
        <f ca="1">'Segment Detail'!AW198+'Segment Detail'!AW208</f>
        <v>22.446608000000001</v>
      </c>
      <c r="AD203" s="1862">
        <f ca="1">'Segment Detail'!AX198+'Segment Detail'!AX208</f>
        <v>21.446608000000001</v>
      </c>
      <c r="AE203" s="1862">
        <f ca="1">'Segment Detail'!AY198+'Segment Detail'!AY208</f>
        <v>20.446608000000001</v>
      </c>
      <c r="AF203" s="1105"/>
      <c r="AG203" s="1105"/>
      <c r="AH203" s="1105"/>
      <c r="AI203" s="1105"/>
      <c r="AJ203" s="1863"/>
      <c r="AK203" s="1863"/>
      <c r="AL203" s="1806" t="s">
        <v>725</v>
      </c>
      <c r="AM203" s="1364"/>
      <c r="AN203" s="1364"/>
      <c r="AO203" s="1364"/>
      <c r="AP203" s="1364"/>
      <c r="AQ203" s="1811"/>
      <c r="AR203" s="1364"/>
      <c r="AS203" s="1364"/>
      <c r="AT203" s="1364"/>
      <c r="AU203" s="1364"/>
      <c r="AV203" s="1811"/>
      <c r="AW203" s="1364"/>
      <c r="AX203" s="1364"/>
      <c r="AY203" s="1364"/>
      <c r="AZ203" s="1364"/>
      <c r="BA203" s="1811"/>
      <c r="BB203" s="1364"/>
      <c r="BC203" s="1364"/>
      <c r="BD203" s="1364"/>
      <c r="BE203" s="1364"/>
      <c r="BF203" s="1811"/>
      <c r="BG203" s="1639">
        <f>'Segment Detail'!DI198+'Segment Detail'!DI208</f>
        <v>3.2</v>
      </c>
      <c r="BH203" s="1639">
        <f>'Segment Detail'!DJ198+'Segment Detail'!DJ208</f>
        <v>3.1</v>
      </c>
      <c r="BI203" s="1639">
        <f>'Segment Detail'!DK198+'Segment Detail'!DK208</f>
        <v>3.3</v>
      </c>
      <c r="BJ203" s="1639">
        <f>'Segment Detail'!DL198+'Segment Detail'!DL208</f>
        <v>3.6</v>
      </c>
      <c r="BK203" s="1741">
        <f>H203-SUM(BG203:BJ203)</f>
        <v>0</v>
      </c>
      <c r="BL203" s="1639">
        <f>'Segment Detail'!DN198+'Segment Detail'!DN208</f>
        <v>4.5</v>
      </c>
      <c r="BM203" s="1639">
        <f>'Segment Detail'!DO198+'Segment Detail'!DO208</f>
        <v>4.8</v>
      </c>
      <c r="BN203" s="1639">
        <f>'Segment Detail'!DP198+'Segment Detail'!DP208</f>
        <v>4.8</v>
      </c>
      <c r="BO203" s="1639">
        <f>'Segment Detail'!DQ198+'Segment Detail'!DQ208</f>
        <v>4.8</v>
      </c>
      <c r="BP203" s="1741">
        <f>I203-SUM(BL203:BO203)</f>
        <v>0</v>
      </c>
      <c r="BQ203" s="1639">
        <f>'Segment Detail'!DS198+'Segment Detail'!DS208</f>
        <v>4.9000000000000004</v>
      </c>
      <c r="BR203" s="1639">
        <f>'Segment Detail'!DT198+'Segment Detail'!DT208</f>
        <v>5.2</v>
      </c>
      <c r="BS203" s="1639">
        <f>'Segment Detail'!DU198+'Segment Detail'!DU208</f>
        <v>5.3</v>
      </c>
      <c r="BT203" s="1639">
        <f>'Segment Detail'!DV198+'Segment Detail'!DV208</f>
        <v>5.8</v>
      </c>
      <c r="BU203" s="1741">
        <f>J203-SUM(BQ203:BT203)</f>
        <v>0</v>
      </c>
      <c r="BV203" s="1639">
        <f>'Segment Detail'!DX198+'Segment Detail'!DX208</f>
        <v>6</v>
      </c>
      <c r="BW203" s="1639">
        <f>'Segment Detail'!DY198+'Segment Detail'!DY208</f>
        <v>6</v>
      </c>
      <c r="BX203" s="1639">
        <f>'Segment Detail'!DZ198+'Segment Detail'!DZ208</f>
        <v>5</v>
      </c>
      <c r="BY203" s="1639">
        <f>'Segment Detail'!EA198+'Segment Detail'!EA208</f>
        <v>7</v>
      </c>
      <c r="BZ203" s="1741">
        <f>K203-SUM(BV203:BY203)</f>
        <v>0</v>
      </c>
      <c r="CA203" s="1639">
        <f>'Segment Detail'!EC198+'Segment Detail'!EC208</f>
        <v>6</v>
      </c>
      <c r="CB203" s="1639">
        <f>'Segment Detail'!ED198+'Segment Detail'!ED208</f>
        <v>6</v>
      </c>
      <c r="CC203" s="1639">
        <f>'Segment Detail'!EE198+'Segment Detail'!EE208</f>
        <v>5</v>
      </c>
      <c r="CD203" s="1639">
        <f>'Segment Detail'!EF198+'Segment Detail'!EF208</f>
        <v>6</v>
      </c>
      <c r="CE203" s="1741">
        <f>L203-SUM(CA203:CD203)</f>
        <v>0</v>
      </c>
      <c r="CF203" s="1639">
        <f>'Segment Detail'!EH198+'Segment Detail'!EH208</f>
        <v>5</v>
      </c>
      <c r="CG203" s="1639">
        <f>'Segment Detail'!EI198+'Segment Detail'!EI208</f>
        <v>7</v>
      </c>
      <c r="CH203" s="1639">
        <f>'Segment Detail'!EJ198+'Segment Detail'!EJ208</f>
        <v>6</v>
      </c>
      <c r="CI203" s="1639">
        <f>'Segment Detail'!EK198+'Segment Detail'!EK208</f>
        <v>6</v>
      </c>
      <c r="CJ203" s="1741">
        <f>M203-SUM(CF203:CI203)</f>
        <v>0</v>
      </c>
      <c r="CK203" s="1639">
        <f>'Segment Detail'!EM198+'Segment Detail'!EM208</f>
        <v>6</v>
      </c>
      <c r="CL203" s="1639">
        <f>'Segment Detail'!EN198+'Segment Detail'!EN208</f>
        <v>6</v>
      </c>
      <c r="CM203" s="1639">
        <f>'Segment Detail'!EO198+'Segment Detail'!EO208</f>
        <v>6</v>
      </c>
      <c r="CN203" s="1639">
        <f>'Segment Detail'!EP198+'Segment Detail'!EP208</f>
        <v>8</v>
      </c>
      <c r="CO203" s="1741">
        <f>$N203-SUM(CK203:CN203)</f>
        <v>0</v>
      </c>
      <c r="CP203" s="1639">
        <f>'Segment Detail'!ER198+'Segment Detail'!ER208</f>
        <v>8</v>
      </c>
      <c r="CQ203" s="1639">
        <f>'Segment Detail'!ES198+'Segment Detail'!ES208</f>
        <v>7</v>
      </c>
      <c r="CR203" s="1639">
        <f>'Segment Detail'!ET198+'Segment Detail'!ET208</f>
        <v>8</v>
      </c>
      <c r="CS203" s="1639">
        <f>'Segment Detail'!EU198+'Segment Detail'!EU208</f>
        <v>7</v>
      </c>
      <c r="CT203" s="2182">
        <f>$Q203-SUM(CP203:CS203)</f>
        <v>0</v>
      </c>
      <c r="CU203" s="2049">
        <f ca="1">'Segment Detail'!EW198+'Segment Detail'!EW208</f>
        <v>9</v>
      </c>
      <c r="CV203" s="2049">
        <f ca="1">'Segment Detail'!EX198+'Segment Detail'!EX208</f>
        <v>8</v>
      </c>
      <c r="CW203" s="2049">
        <f ca="1">'Segment Detail'!EY198+'Segment Detail'!EY208</f>
        <v>8</v>
      </c>
      <c r="CX203" s="3083">
        <f ca="1">'Segment Detail'!EZ198+'Segment Detail'!EZ208</f>
        <v>9</v>
      </c>
      <c r="CY203" s="2835">
        <f t="shared" ca="1" si="339"/>
        <v>0</v>
      </c>
      <c r="CZ203" s="3083">
        <f>'Segment Detail'!FB198+'Segment Detail'!FB208</f>
        <v>8</v>
      </c>
      <c r="DA203" s="3083">
        <f>'Segment Detail'!FC198+'Segment Detail'!FC208</f>
        <v>9</v>
      </c>
      <c r="DB203" s="3083">
        <f>'Segment Detail'!FD198+'Segment Detail'!FD208</f>
        <v>8</v>
      </c>
      <c r="DC203" s="3083">
        <f ca="1">'Segment Detail'!FE198+'Segment Detail'!FE208</f>
        <v>8.4466080000000012</v>
      </c>
      <c r="DD203" s="2835">
        <f t="shared" ca="1" si="225"/>
        <v>0</v>
      </c>
      <c r="DE203" s="3083">
        <f>'Segment Detail'!FG198+'Segment Detail'!FG208</f>
        <v>8</v>
      </c>
      <c r="DF203" s="3083">
        <f>'Segment Detail'!FH198+'Segment Detail'!FH208</f>
        <v>9</v>
      </c>
      <c r="DG203" s="3083">
        <f>'Segment Detail'!FI198+'Segment Detail'!FI208</f>
        <v>8</v>
      </c>
      <c r="DH203" s="3083">
        <f ca="1">'Segment Detail'!FJ198+'Segment Detail'!FJ208</f>
        <v>8.4466080000000012</v>
      </c>
      <c r="DI203" s="2835">
        <f t="shared" ca="1" si="307"/>
        <v>0</v>
      </c>
      <c r="DJ203" s="2182"/>
      <c r="DK203" s="1639"/>
      <c r="DL203" s="1477"/>
      <c r="DM203" s="1477"/>
      <c r="DN203" s="1477"/>
      <c r="DO203" s="1477"/>
      <c r="DP203" s="1477"/>
      <c r="DQ203" s="1477"/>
      <c r="DR203" s="1477"/>
      <c r="DS203" s="1477"/>
      <c r="DT203" s="1477"/>
    </row>
    <row r="204" spans="1:124" ht="11.25" customHeight="1">
      <c r="A204" s="1494" t="s">
        <v>726</v>
      </c>
      <c r="B204" s="1372"/>
      <c r="C204" s="1372"/>
      <c r="D204" s="1372"/>
      <c r="E204" s="1372"/>
      <c r="F204" s="1372"/>
      <c r="G204" s="1372"/>
      <c r="H204" s="1643">
        <f>SUM(H202:H203)</f>
        <v>529.5</v>
      </c>
      <c r="I204" s="1643">
        <f t="shared" ref="I204:W204" si="341">SUM(I202:I203)</f>
        <v>582.29999999999995</v>
      </c>
      <c r="J204" s="1643">
        <f t="shared" si="341"/>
        <v>562.29999999999995</v>
      </c>
      <c r="K204" s="1643">
        <f t="shared" si="341"/>
        <v>495</v>
      </c>
      <c r="L204" s="1643">
        <f t="shared" si="341"/>
        <v>475</v>
      </c>
      <c r="M204" s="1643">
        <f t="shared" si="341"/>
        <v>457</v>
      </c>
      <c r="N204" s="1643">
        <f t="shared" si="341"/>
        <v>281</v>
      </c>
      <c r="O204" s="2736">
        <f>SUM(O202:O203)</f>
        <v>290</v>
      </c>
      <c r="P204" s="2736">
        <f t="shared" si="341"/>
        <v>281</v>
      </c>
      <c r="Q204" s="1643">
        <f>SUM(Q202:Q203)</f>
        <v>264</v>
      </c>
      <c r="R204" s="2812">
        <f t="shared" ca="1" si="341"/>
        <v>250.3</v>
      </c>
      <c r="S204" s="2813">
        <f t="shared" ca="1" si="341"/>
        <v>224.3</v>
      </c>
      <c r="T204" s="2812">
        <f t="shared" ca="1" si="341"/>
        <v>221.61333088960859</v>
      </c>
      <c r="U204" s="2812">
        <f t="shared" ca="1" si="341"/>
        <v>218.2799201907556</v>
      </c>
      <c r="V204" s="2812">
        <f t="shared" ca="1" si="341"/>
        <v>215.09204101470459</v>
      </c>
      <c r="W204" s="1643">
        <f t="shared" ca="1" si="341"/>
        <v>214.26967908155282</v>
      </c>
      <c r="X204" s="1643">
        <f t="shared" ref="X204:AC204" ca="1" si="342">SUM(X202:X203)</f>
        <v>218.65191982508858</v>
      </c>
      <c r="Y204" s="1643">
        <f t="shared" ca="1" si="342"/>
        <v>229.15451647805304</v>
      </c>
      <c r="Z204" s="1643">
        <f t="shared" ca="1" si="342"/>
        <v>225.46469032280581</v>
      </c>
      <c r="AA204" s="1643">
        <f t="shared" ca="1" si="342"/>
        <v>230.11344206235563</v>
      </c>
      <c r="AB204" s="1643">
        <f t="shared" ca="1" si="342"/>
        <v>239.16155232931808</v>
      </c>
      <c r="AC204" s="1643">
        <f t="shared" ca="1" si="342"/>
        <v>236.662941777166</v>
      </c>
      <c r="AD204" s="1643">
        <f ca="1">SUM(AD202:AD203)</f>
        <v>239.74130354124406</v>
      </c>
      <c r="AE204" s="1643">
        <f ca="1">SUM(AE202:AE203)</f>
        <v>251.49023514466867</v>
      </c>
      <c r="AF204" s="1105"/>
      <c r="AG204" s="1105"/>
      <c r="AH204" s="1105"/>
      <c r="AI204" s="1105"/>
      <c r="AJ204" s="1643"/>
      <c r="AK204" s="1643"/>
      <c r="AL204" s="1494" t="s">
        <v>726</v>
      </c>
      <c r="AM204" s="1372"/>
      <c r="AN204" s="1372"/>
      <c r="AO204" s="1372"/>
      <c r="AP204" s="1372"/>
      <c r="AQ204" s="1799"/>
      <c r="AR204" s="1372"/>
      <c r="AS204" s="1372"/>
      <c r="AT204" s="1372"/>
      <c r="AU204" s="1372"/>
      <c r="AV204" s="1799"/>
      <c r="AW204" s="1372"/>
      <c r="AX204" s="1372"/>
      <c r="AY204" s="1372"/>
      <c r="AZ204" s="1372"/>
      <c r="BA204" s="1799"/>
      <c r="BB204" s="1372"/>
      <c r="BC204" s="1372"/>
      <c r="BD204" s="1372"/>
      <c r="BE204" s="1372"/>
      <c r="BF204" s="1799"/>
      <c r="BG204" s="1643">
        <f>SUM(BG202:BG203)</f>
        <v>117.8</v>
      </c>
      <c r="BH204" s="1643">
        <f>SUM(BH202:BH203)</f>
        <v>121.99999999999999</v>
      </c>
      <c r="BI204" s="1643">
        <f>SUM(BI202:BI203)</f>
        <v>141.69999999999999</v>
      </c>
      <c r="BJ204" s="1643">
        <f>SUM(BJ202:BJ203)</f>
        <v>148</v>
      </c>
      <c r="BK204" s="1799"/>
      <c r="BL204" s="1643">
        <f>SUM(BL202:BL203)</f>
        <v>142.29999999999998</v>
      </c>
      <c r="BM204" s="1643">
        <f>SUM(BM202:BM203)</f>
        <v>145.20000000000002</v>
      </c>
      <c r="BN204" s="1643">
        <f>SUM(BN202:BN203)</f>
        <v>147.4</v>
      </c>
      <c r="BO204" s="1643">
        <f>SUM(BO202:BO203)</f>
        <v>147.4</v>
      </c>
      <c r="BP204" s="1799"/>
      <c r="BQ204" s="1643">
        <f>SUM(BQ202:BQ203)</f>
        <v>140.80000000000001</v>
      </c>
      <c r="BR204" s="1643">
        <f>SUM(BR202:BR203)</f>
        <v>143.5</v>
      </c>
      <c r="BS204" s="1643">
        <f>SUM(BS202:BS203)</f>
        <v>139.20000000000002</v>
      </c>
      <c r="BT204" s="1643">
        <f>SUM(BT202:BT203)</f>
        <v>138.80000000000001</v>
      </c>
      <c r="BU204" s="1741">
        <f>J204-SUM(BQ204:BT204)</f>
        <v>0</v>
      </c>
      <c r="BV204" s="1643">
        <f>SUM(BV202:BV203)</f>
        <v>126</v>
      </c>
      <c r="BW204" s="1643">
        <f>SUM(BW202:BW203)</f>
        <v>125</v>
      </c>
      <c r="BX204" s="1643">
        <f>SUM(BX202:BX203)</f>
        <v>120</v>
      </c>
      <c r="BY204" s="1643">
        <f>SUM(BY202:BY203)</f>
        <v>124</v>
      </c>
      <c r="BZ204" s="1741">
        <f>K204-SUM(BV204:BY204)</f>
        <v>0</v>
      </c>
      <c r="CA204" s="1643">
        <f>SUM(CA202:CA203)</f>
        <v>119</v>
      </c>
      <c r="CB204" s="1643">
        <f>SUM(CB202:CB203)</f>
        <v>119</v>
      </c>
      <c r="CC204" s="1643">
        <f>SUM(CC202:CC203)</f>
        <v>116</v>
      </c>
      <c r="CD204" s="1643">
        <f>SUM(CD202:CD203)</f>
        <v>121</v>
      </c>
      <c r="CE204" s="1741">
        <f>L204-SUM(CA204:CD204)</f>
        <v>0</v>
      </c>
      <c r="CF204" s="1643">
        <f>SUM(CF202:CF203)</f>
        <v>116</v>
      </c>
      <c r="CG204" s="1643">
        <f>SUM(CG202:CG203)</f>
        <v>114</v>
      </c>
      <c r="CH204" s="1643">
        <f>SUM(CH202:CH203)</f>
        <v>113</v>
      </c>
      <c r="CI204" s="1643">
        <f>SUM(CI202:CI203)</f>
        <v>114</v>
      </c>
      <c r="CJ204" s="1741">
        <f>M204-SUM(CF204:CI204)</f>
        <v>0</v>
      </c>
      <c r="CK204" s="1643">
        <f>SUM(CK202:CK203)</f>
        <v>71</v>
      </c>
      <c r="CL204" s="1643">
        <f>SUM(CL202:CL203)</f>
        <v>71</v>
      </c>
      <c r="CM204" s="1643">
        <f>SUM(CM202:CM203)</f>
        <v>68</v>
      </c>
      <c r="CN204" s="1643">
        <f>SUM(CN202:CN203)</f>
        <v>71</v>
      </c>
      <c r="CO204" s="1741">
        <f>$N204-SUM(CK204:CN204)</f>
        <v>0</v>
      </c>
      <c r="CP204" s="1643">
        <f>SUM(CP202:CP203)</f>
        <v>68</v>
      </c>
      <c r="CQ204" s="1643">
        <f>SUM(CQ202:CQ203)</f>
        <v>66</v>
      </c>
      <c r="CR204" s="1643">
        <f>SUM(CR202:CR203)</f>
        <v>65</v>
      </c>
      <c r="CS204" s="1643">
        <f>SUM(CS202:CS203)</f>
        <v>65</v>
      </c>
      <c r="CT204" s="2182">
        <f>$Q204-SUM(CP204:CS204)</f>
        <v>0</v>
      </c>
      <c r="CU204" s="1643">
        <f ca="1">SUM(CU202:CU203)</f>
        <v>57</v>
      </c>
      <c r="CV204" s="1643">
        <f ca="1">SUM(CV202:CV203)</f>
        <v>56.3</v>
      </c>
      <c r="CW204" s="1643">
        <f ca="1">SUM(CW202:CW203)</f>
        <v>54</v>
      </c>
      <c r="CX204" s="2812">
        <f ca="1">SUM(CX202:CX203)</f>
        <v>57</v>
      </c>
      <c r="CY204" s="2835">
        <f t="shared" ca="1" si="339"/>
        <v>0</v>
      </c>
      <c r="CZ204" s="2812">
        <f>SUM(CZ202:CZ203)</f>
        <v>55</v>
      </c>
      <c r="DA204" s="2812">
        <f>SUM(DA202:DA203)</f>
        <v>56</v>
      </c>
      <c r="DB204" s="2812">
        <f>SUM(DB202:DB203)</f>
        <v>55</v>
      </c>
      <c r="DC204" s="2812">
        <f ca="1">SUM(DC202:DC203)</f>
        <v>55.613330889608577</v>
      </c>
      <c r="DD204" s="2835">
        <f t="shared" ca="1" si="225"/>
        <v>0</v>
      </c>
      <c r="DE204" s="2812">
        <f t="shared" ref="DE204:DH204" si="343">SUM(DE202:DE203)</f>
        <v>54.16664732528676</v>
      </c>
      <c r="DF204" s="2812">
        <f t="shared" si="343"/>
        <v>55.16664732528676</v>
      </c>
      <c r="DG204" s="2812">
        <f t="shared" si="343"/>
        <v>54.16664732528676</v>
      </c>
      <c r="DH204" s="2812">
        <f t="shared" ca="1" si="343"/>
        <v>54.779978214895337</v>
      </c>
      <c r="DI204" s="2835">
        <f t="shared" ca="1" si="307"/>
        <v>0</v>
      </c>
      <c r="DJ204" s="2182"/>
      <c r="DK204" s="1643"/>
      <c r="DL204" s="1108"/>
      <c r="DM204" s="1108"/>
      <c r="DN204" s="1477"/>
      <c r="DO204" s="1108"/>
      <c r="DP204" s="1108"/>
      <c r="DQ204" s="1108"/>
      <c r="DR204" s="1108"/>
      <c r="DS204" s="1108"/>
      <c r="DT204" s="1108"/>
    </row>
    <row r="205" spans="1:124" ht="11.25" customHeight="1">
      <c r="A205" s="1494"/>
      <c r="B205" s="1372"/>
      <c r="C205" s="1372"/>
      <c r="D205" s="1372"/>
      <c r="E205" s="1372"/>
      <c r="F205" s="1372"/>
      <c r="G205" s="1372"/>
      <c r="H205" s="1372"/>
      <c r="I205" s="1372"/>
      <c r="J205" s="1372"/>
      <c r="K205" s="1372"/>
      <c r="L205" s="1372"/>
      <c r="M205" s="1372"/>
      <c r="N205" s="1372"/>
      <c r="O205" s="2730"/>
      <c r="P205" s="2730"/>
      <c r="Q205" s="1372"/>
      <c r="R205" s="2790"/>
      <c r="S205" s="2790"/>
      <c r="T205" s="2790"/>
      <c r="U205" s="2790"/>
      <c r="V205" s="2790"/>
      <c r="W205" s="1372"/>
      <c r="X205" s="1372"/>
      <c r="Y205" s="1372"/>
      <c r="Z205" s="1372"/>
      <c r="AA205" s="1372"/>
      <c r="AB205" s="1372"/>
      <c r="AC205" s="1372"/>
      <c r="AD205" s="1372"/>
      <c r="AE205" s="1372"/>
      <c r="AF205" s="1105"/>
      <c r="AG205" s="1105"/>
      <c r="AH205" s="1105"/>
      <c r="AI205" s="1105"/>
      <c r="AJ205" s="1372"/>
      <c r="AK205" s="1372"/>
      <c r="AL205" s="1494"/>
      <c r="AM205" s="1372"/>
      <c r="AN205" s="1372"/>
      <c r="AO205" s="1372"/>
      <c r="AP205" s="1372"/>
      <c r="AQ205" s="1799"/>
      <c r="AR205" s="1372"/>
      <c r="AS205" s="1372"/>
      <c r="AT205" s="1372"/>
      <c r="AU205" s="1372"/>
      <c r="AV205" s="1799"/>
      <c r="AW205" s="1372"/>
      <c r="AX205" s="1372"/>
      <c r="AY205" s="1372"/>
      <c r="AZ205" s="1372"/>
      <c r="BA205" s="1799"/>
      <c r="BB205" s="1372"/>
      <c r="BC205" s="1372"/>
      <c r="BD205" s="1372"/>
      <c r="BE205" s="1372"/>
      <c r="BF205" s="1799"/>
      <c r="BG205" s="1105"/>
      <c r="BH205" s="1105"/>
      <c r="BI205" s="1105"/>
      <c r="BJ205" s="1105"/>
      <c r="BK205" s="1799"/>
      <c r="BL205" s="1105"/>
      <c r="BM205" s="1105"/>
      <c r="BN205" s="1105"/>
      <c r="BO205" s="1105"/>
      <c r="BP205" s="1799"/>
      <c r="BQ205" s="1105"/>
      <c r="BR205" s="1105"/>
      <c r="BS205" s="1105"/>
      <c r="BT205" s="1105"/>
      <c r="BU205" s="1741"/>
      <c r="BV205" s="1108"/>
      <c r="BW205" s="1108"/>
      <c r="BX205" s="1108"/>
      <c r="BY205" s="1108"/>
      <c r="BZ205" s="1108"/>
      <c r="CA205" s="1108"/>
      <c r="CB205" s="1108"/>
      <c r="CC205" s="1108"/>
      <c r="CD205" s="1108"/>
      <c r="CE205" s="1108"/>
      <c r="CF205" s="1772"/>
      <c r="CG205" s="1108"/>
      <c r="CH205" s="1108"/>
      <c r="CI205" s="1108"/>
      <c r="CJ205" s="1108"/>
      <c r="CK205" s="1470"/>
      <c r="CL205" s="1470"/>
      <c r="CM205" s="1470"/>
      <c r="CN205" s="1470"/>
      <c r="CO205" s="1741"/>
      <c r="CP205" s="1470"/>
      <c r="CQ205" s="1470"/>
      <c r="CR205" s="1470"/>
      <c r="CS205" s="1470"/>
      <c r="CT205" s="1470"/>
      <c r="CU205" s="1470"/>
      <c r="CV205" s="1470"/>
      <c r="CW205" s="1470"/>
      <c r="CX205" s="2867"/>
      <c r="CY205" s="2835">
        <f t="shared" si="339"/>
        <v>0</v>
      </c>
      <c r="CZ205" s="2870"/>
      <c r="DA205" s="2870"/>
      <c r="DB205" s="2870"/>
      <c r="DC205" s="2870"/>
      <c r="DD205" s="2835"/>
      <c r="DE205" s="2835"/>
      <c r="DF205" s="2835"/>
      <c r="DG205" s="2835"/>
      <c r="DH205" s="2835"/>
      <c r="DI205" s="2835">
        <f t="shared" si="307"/>
        <v>0</v>
      </c>
      <c r="DJ205" s="2870"/>
      <c r="DK205" s="2862"/>
      <c r="DL205" s="1108"/>
      <c r="DM205" s="2862"/>
      <c r="DN205" s="2862"/>
      <c r="DO205" s="2862"/>
      <c r="DP205" s="1108"/>
      <c r="DQ205" s="1108"/>
      <c r="DR205" s="1108"/>
      <c r="DS205" s="1108"/>
      <c r="DT205" s="1108"/>
    </row>
    <row r="206" spans="1:124" ht="11.25" customHeight="1">
      <c r="A206" s="1494" t="s">
        <v>353</v>
      </c>
      <c r="B206" s="1372"/>
      <c r="C206" s="1372"/>
      <c r="D206" s="1372"/>
      <c r="E206" s="1372"/>
      <c r="F206" s="1372"/>
      <c r="G206" s="1372"/>
      <c r="H206" s="1643">
        <f>H194-H202</f>
        <v>2395.5</v>
      </c>
      <c r="I206" s="1643">
        <f t="shared" ref="I206:V206" si="344">I194-I202</f>
        <v>1503.2000000000003</v>
      </c>
      <c r="J206" s="1643">
        <f t="shared" si="344"/>
        <v>2147.8000000000002</v>
      </c>
      <c r="K206" s="1643">
        <f t="shared" si="344"/>
        <v>2988</v>
      </c>
      <c r="L206" s="1643">
        <f t="shared" si="344"/>
        <v>3332</v>
      </c>
      <c r="M206" s="1643">
        <f t="shared" si="344"/>
        <v>3645</v>
      </c>
      <c r="N206" s="1643">
        <f t="shared" ref="N206:S206" si="345">N194-N202</f>
        <v>3269</v>
      </c>
      <c r="O206" s="2736">
        <f t="shared" si="345"/>
        <v>3402</v>
      </c>
      <c r="P206" s="2736">
        <f t="shared" si="345"/>
        <v>3269</v>
      </c>
      <c r="Q206" s="1643">
        <f t="shared" si="345"/>
        <v>3118</v>
      </c>
      <c r="R206" s="2812">
        <f t="shared" si="345"/>
        <v>3515</v>
      </c>
      <c r="S206" s="2817">
        <f t="shared" si="345"/>
        <v>3215</v>
      </c>
      <c r="T206" s="2812">
        <f t="shared" ca="1" si="344"/>
        <v>3171.2102761351907</v>
      </c>
      <c r="U206" s="2812">
        <f t="shared" ca="1" si="344"/>
        <v>3408.8033792713913</v>
      </c>
      <c r="V206" s="2812">
        <f t="shared" ca="1" si="344"/>
        <v>3604.4959696604174</v>
      </c>
      <c r="W206" s="1643">
        <f t="shared" ref="W206:AB206" ca="1" si="346">W194-W202</f>
        <v>3963.2414496083961</v>
      </c>
      <c r="X206" s="1643">
        <f t="shared" ca="1" si="346"/>
        <v>4076.8473969172028</v>
      </c>
      <c r="Y206" s="1643">
        <f t="shared" ca="1" si="346"/>
        <v>4327.8164038424129</v>
      </c>
      <c r="Z206" s="1643">
        <f t="shared" ca="1" si="346"/>
        <v>4157.1957813118661</v>
      </c>
      <c r="AA206" s="1643">
        <f t="shared" ca="1" si="346"/>
        <v>4264.6820972892529</v>
      </c>
      <c r="AB206" s="1643">
        <f t="shared" ca="1" si="346"/>
        <v>4270.3638474114423</v>
      </c>
      <c r="AC206" s="1643">
        <f ca="1">AC194-AC202</f>
        <v>4223.9103981564485</v>
      </c>
      <c r="AD206" s="1643">
        <f ca="1">AD194-AD202</f>
        <v>4181.6821819720963</v>
      </c>
      <c r="AE206" s="1643">
        <f ca="1">AE194-AE202</f>
        <v>4379.0112655138146</v>
      </c>
      <c r="AF206" s="1105"/>
      <c r="AG206" s="1105"/>
      <c r="AH206" s="1105"/>
      <c r="AI206" s="1105"/>
      <c r="AJ206" s="1643"/>
      <c r="AK206" s="1643"/>
      <c r="AL206" s="1494" t="s">
        <v>353</v>
      </c>
      <c r="AM206" s="1372"/>
      <c r="AN206" s="1372"/>
      <c r="AO206" s="1372"/>
      <c r="AP206" s="1372"/>
      <c r="AQ206" s="1799"/>
      <c r="AR206" s="1372"/>
      <c r="AS206" s="1372"/>
      <c r="AT206" s="1372"/>
      <c r="AU206" s="1372"/>
      <c r="AV206" s="1799"/>
      <c r="AW206" s="1372"/>
      <c r="AX206" s="1372"/>
      <c r="AY206" s="1372"/>
      <c r="AZ206" s="1372"/>
      <c r="BA206" s="1799"/>
      <c r="BB206" s="1372"/>
      <c r="BC206" s="1372"/>
      <c r="BD206" s="1372"/>
      <c r="BE206" s="1372"/>
      <c r="BF206" s="1799"/>
      <c r="BG206" s="1643">
        <f>BG194-BG202</f>
        <v>634.87924972625001</v>
      </c>
      <c r="BH206" s="1643">
        <f>BH194-BH202</f>
        <v>711.19473068000002</v>
      </c>
      <c r="BI206" s="1643">
        <f>BI194-BI202</f>
        <v>564.56897686793741</v>
      </c>
      <c r="BJ206" s="1643">
        <f>BJ194-BJ202</f>
        <v>484.85704272581245</v>
      </c>
      <c r="BK206" s="1799"/>
      <c r="BL206" s="1643">
        <f>BL194-BL202</f>
        <v>192.43853314169937</v>
      </c>
      <c r="BM206" s="1643">
        <f>BM194-BM202</f>
        <v>327.51093352486839</v>
      </c>
      <c r="BN206" s="1643">
        <f>BN194-BN202</f>
        <v>501.5</v>
      </c>
      <c r="BO206" s="1643">
        <f>BO194-BO202</f>
        <v>504.1</v>
      </c>
      <c r="BP206" s="1799"/>
      <c r="BQ206" s="1643">
        <f>BQ194-BQ202</f>
        <v>279.60000000000002</v>
      </c>
      <c r="BR206" s="1643">
        <f>BR194-BR202</f>
        <v>523.20000000000005</v>
      </c>
      <c r="BS206" s="1643">
        <f>BS194-BS202</f>
        <v>617.69999999999993</v>
      </c>
      <c r="BT206" s="1643">
        <f>BT194-BT202</f>
        <v>727.30000000000007</v>
      </c>
      <c r="BU206" s="1741"/>
      <c r="BV206" s="1643">
        <f>BV194-BV202</f>
        <v>546</v>
      </c>
      <c r="BW206" s="1643">
        <f>BW194-BW202</f>
        <v>845</v>
      </c>
      <c r="BX206" s="1643">
        <f>BX194-BX202</f>
        <v>819</v>
      </c>
      <c r="BY206" s="1643">
        <f>BY194-BY202</f>
        <v>778</v>
      </c>
      <c r="BZ206" s="1108"/>
      <c r="CA206" s="1643">
        <f>CA194-CA202</f>
        <v>764</v>
      </c>
      <c r="CB206" s="1643">
        <f>CB194-CB202</f>
        <v>863</v>
      </c>
      <c r="CC206" s="1643">
        <f>CC194-CC202</f>
        <v>857</v>
      </c>
      <c r="CD206" s="1643">
        <f>CD194-CD202</f>
        <v>848</v>
      </c>
      <c r="CE206" s="1741">
        <f>L206-SUM(CA206:CD206)</f>
        <v>0</v>
      </c>
      <c r="CF206" s="1643">
        <f>CF194-CF202</f>
        <v>885</v>
      </c>
      <c r="CG206" s="1643">
        <f>CG194-CG202</f>
        <v>912</v>
      </c>
      <c r="CH206" s="1643">
        <f>CH194-CH202</f>
        <v>919</v>
      </c>
      <c r="CI206" s="1643">
        <f>CI194-CI202</f>
        <v>929</v>
      </c>
      <c r="CJ206" s="1741">
        <f>M206-SUM(CF206:CI206)</f>
        <v>0</v>
      </c>
      <c r="CK206" s="1643">
        <f>CK194-CK202</f>
        <v>864</v>
      </c>
      <c r="CL206" s="1643">
        <f>CL194-CL202</f>
        <v>792</v>
      </c>
      <c r="CM206" s="1643">
        <f>CM194-CM202</f>
        <v>802</v>
      </c>
      <c r="CN206" s="1643">
        <f>CN194-CN202</f>
        <v>811</v>
      </c>
      <c r="CO206" s="1741">
        <f>$N206-SUM(CK206:CN206)</f>
        <v>0</v>
      </c>
      <c r="CP206" s="1643">
        <f>CP194-CP202</f>
        <v>770</v>
      </c>
      <c r="CQ206" s="1643">
        <f>CQ194-CQ202</f>
        <v>705</v>
      </c>
      <c r="CR206" s="1643">
        <f>CR194-CR202</f>
        <v>802</v>
      </c>
      <c r="CS206" s="1643">
        <f>CS194-CS202</f>
        <v>841</v>
      </c>
      <c r="CT206" s="1741">
        <f>$Q206-SUM(CP206:CS206)</f>
        <v>0</v>
      </c>
      <c r="CU206" s="1643">
        <f>CU194-CU202</f>
        <v>840</v>
      </c>
      <c r="CV206" s="1643">
        <f>CV194-CV202</f>
        <v>734</v>
      </c>
      <c r="CW206" s="1643">
        <f>CW194-CW202</f>
        <v>799</v>
      </c>
      <c r="CX206" s="2812">
        <f>CX194-CX202</f>
        <v>842</v>
      </c>
      <c r="CY206" s="2835">
        <f t="shared" si="339"/>
        <v>0</v>
      </c>
      <c r="CZ206" s="2812">
        <f>CZ194-CZ202</f>
        <v>783</v>
      </c>
      <c r="DA206" s="2812">
        <f>DA194-DA202</f>
        <v>754</v>
      </c>
      <c r="DB206" s="2812">
        <f>DB194-DB202</f>
        <v>790</v>
      </c>
      <c r="DC206" s="2812">
        <f ca="1">DC194-DC202</f>
        <v>844.2102761351905</v>
      </c>
      <c r="DD206" s="2835">
        <f t="shared" ca="1" si="225"/>
        <v>0</v>
      </c>
      <c r="DE206" s="2812">
        <f t="shared" ref="DE206:DH206" si="347">DE194-DE202</f>
        <v>808.97383332762934</v>
      </c>
      <c r="DF206" s="2812">
        <f t="shared" si="347"/>
        <v>798.43694025653849</v>
      </c>
      <c r="DG206" s="2812">
        <f t="shared" si="347"/>
        <v>854.78545838969444</v>
      </c>
      <c r="DH206" s="2812">
        <f t="shared" ca="1" si="347"/>
        <v>946.60714729752942</v>
      </c>
      <c r="DI206" s="2835">
        <f t="shared" ca="1" si="307"/>
        <v>0</v>
      </c>
      <c r="DJ206" s="2835"/>
      <c r="DK206" s="2812"/>
      <c r="DL206" s="1108"/>
      <c r="DM206" s="2862"/>
      <c r="DN206" s="2862"/>
      <c r="DO206" s="2862"/>
      <c r="DP206" s="1108"/>
      <c r="DQ206" s="1108"/>
      <c r="DR206" s="1108"/>
      <c r="DS206" s="1108"/>
      <c r="DT206" s="1108"/>
    </row>
    <row r="207" spans="1:124" ht="11.25" customHeight="1">
      <c r="A207" s="1494" t="s">
        <v>358</v>
      </c>
      <c r="B207" s="1372"/>
      <c r="C207" s="1372"/>
      <c r="D207" s="1372"/>
      <c r="E207" s="1372"/>
      <c r="F207" s="1372"/>
      <c r="G207" s="1372"/>
      <c r="H207" s="1643">
        <f>H198-H204</f>
        <v>2160.3000000000002</v>
      </c>
      <c r="I207" s="1643">
        <f t="shared" ref="I207:U207" si="348">I198-I204</f>
        <v>1191.3000000000004</v>
      </c>
      <c r="J207" s="1643">
        <f t="shared" si="348"/>
        <v>1806.7000000000005</v>
      </c>
      <c r="K207" s="1643">
        <f t="shared" si="348"/>
        <v>2662.0000000000005</v>
      </c>
      <c r="L207" s="1643">
        <f t="shared" si="348"/>
        <v>3012.9999999999995</v>
      </c>
      <c r="M207" s="1643">
        <f t="shared" si="348"/>
        <v>3279</v>
      </c>
      <c r="N207" s="1643">
        <f t="shared" ref="N207:S207" si="349">N198-N204</f>
        <v>2974</v>
      </c>
      <c r="O207" s="2736">
        <f t="shared" si="349"/>
        <v>3045</v>
      </c>
      <c r="P207" s="2736">
        <f t="shared" si="349"/>
        <v>2974</v>
      </c>
      <c r="Q207" s="1643">
        <f t="shared" si="349"/>
        <v>2843</v>
      </c>
      <c r="R207" s="2812">
        <f t="shared" ca="1" si="349"/>
        <v>3161</v>
      </c>
      <c r="S207" s="2817">
        <f t="shared" ca="1" si="349"/>
        <v>2861</v>
      </c>
      <c r="T207" s="2812">
        <f t="shared" ca="1" si="348"/>
        <v>2811.7636681351901</v>
      </c>
      <c r="U207" s="2812">
        <f t="shared" ca="1" si="348"/>
        <v>3036.3167712713916</v>
      </c>
      <c r="V207" s="2812">
        <f ca="1">V198-V204</f>
        <v>3222.8381616604174</v>
      </c>
      <c r="W207" s="1643">
        <f t="shared" ref="W207:AB207" ca="1" si="350">W198-W204</f>
        <v>3573.107305608396</v>
      </c>
      <c r="X207" s="1643">
        <f t="shared" ca="1" si="350"/>
        <v>3677.9226268372031</v>
      </c>
      <c r="Y207" s="1643">
        <f t="shared" ca="1" si="350"/>
        <v>3918.777288900013</v>
      </c>
      <c r="Z207" s="1643">
        <f t="shared" ca="1" si="350"/>
        <v>3738.7088911611941</v>
      </c>
      <c r="AA207" s="1643">
        <f t="shared" ca="1" si="350"/>
        <v>3835.4039986740604</v>
      </c>
      <c r="AB207" s="1643">
        <f t="shared" ca="1" si="350"/>
        <v>3829.9408040777948</v>
      </c>
      <c r="AC207" s="1643">
        <f ca="1">AC198-AC204</f>
        <v>3771.9780617627916</v>
      </c>
      <c r="AD207" s="1643">
        <f ca="1">AD198-AD204</f>
        <v>3717.8652737266293</v>
      </c>
      <c r="AE207" s="1643">
        <f ca="1">AE198-AE204</f>
        <v>3902.9232482609837</v>
      </c>
      <c r="AF207" s="1643"/>
      <c r="AG207" s="1643"/>
      <c r="AH207" s="1643"/>
      <c r="AI207" s="1643"/>
      <c r="AJ207" s="1643"/>
      <c r="AK207" s="1643"/>
      <c r="AL207" s="1494" t="s">
        <v>358</v>
      </c>
      <c r="AM207" s="1372"/>
      <c r="AN207" s="1372"/>
      <c r="AO207" s="1372"/>
      <c r="AP207" s="1372"/>
      <c r="AQ207" s="1799"/>
      <c r="AR207" s="1372"/>
      <c r="AS207" s="1372"/>
      <c r="AT207" s="1372"/>
      <c r="AU207" s="1372"/>
      <c r="AV207" s="1799"/>
      <c r="AW207" s="1372"/>
      <c r="AX207" s="1372"/>
      <c r="AY207" s="1372"/>
      <c r="AZ207" s="1372"/>
      <c r="BA207" s="1799"/>
      <c r="BB207" s="1372"/>
      <c r="BC207" s="1372"/>
      <c r="BD207" s="1372"/>
      <c r="BE207" s="1372"/>
      <c r="BF207" s="1799"/>
      <c r="BG207" s="1643">
        <f>BG198-BG204</f>
        <v>583.87924972625012</v>
      </c>
      <c r="BH207" s="1643">
        <f>BH198-BH204</f>
        <v>644.39473068000007</v>
      </c>
      <c r="BI207" s="1643">
        <f>BI198-BI204</f>
        <v>505.16897686793749</v>
      </c>
      <c r="BJ207" s="1643">
        <f>BJ198-BJ204</f>
        <v>426.85704272581245</v>
      </c>
      <c r="BK207" s="1799"/>
      <c r="BL207" s="1643">
        <f>BL198-BL204</f>
        <v>123.93853314169937</v>
      </c>
      <c r="BM207" s="1643">
        <f>BM198-BM204</f>
        <v>252.81093352486837</v>
      </c>
      <c r="BN207" s="1643">
        <f>BN198-BN204</f>
        <v>419.42739985984588</v>
      </c>
      <c r="BO207" s="1643">
        <f>BO198-BO204</f>
        <v>395.12313347358679</v>
      </c>
      <c r="BP207" s="1799"/>
      <c r="BQ207" s="1643">
        <f>BQ198-BQ204</f>
        <v>210.5</v>
      </c>
      <c r="BR207" s="1643">
        <f>BR198-BR204</f>
        <v>436.69999999999993</v>
      </c>
      <c r="BS207" s="1643">
        <f>BS198-BS204</f>
        <v>528.19999999999982</v>
      </c>
      <c r="BT207" s="1643">
        <f>BT198-BT204</f>
        <v>631.30000000000018</v>
      </c>
      <c r="BU207" s="1864"/>
      <c r="BV207" s="1643">
        <f>BV198-BV204</f>
        <v>470</v>
      </c>
      <c r="BW207" s="1643">
        <f>BW198-BW204</f>
        <v>761</v>
      </c>
      <c r="BX207" s="1643">
        <f>BX198-BX204</f>
        <v>741</v>
      </c>
      <c r="BY207" s="1643">
        <f>BY198-BY204</f>
        <v>690</v>
      </c>
      <c r="BZ207" s="1108"/>
      <c r="CA207" s="1643">
        <f>CA198-CA204</f>
        <v>688</v>
      </c>
      <c r="CB207" s="1643">
        <f>CB198-CB204</f>
        <v>792</v>
      </c>
      <c r="CC207" s="1643">
        <f>CC198-CC204</f>
        <v>788</v>
      </c>
      <c r="CD207" s="1643">
        <f>CD198-CD204</f>
        <v>745</v>
      </c>
      <c r="CE207" s="1741">
        <f>L207-SUM(CA207:CD207)</f>
        <v>0</v>
      </c>
      <c r="CF207" s="1643">
        <f>CF198-CF204</f>
        <v>800</v>
      </c>
      <c r="CG207" s="1643">
        <f>CG198-CG204</f>
        <v>838</v>
      </c>
      <c r="CH207" s="1643">
        <f>CH198-CH204</f>
        <v>828</v>
      </c>
      <c r="CI207" s="1643">
        <f>CI198-CI204</f>
        <v>813</v>
      </c>
      <c r="CJ207" s="1741">
        <f>M207-SUM(CF207:CI207)</f>
        <v>0</v>
      </c>
      <c r="CK207" s="1643">
        <f>CK198-CK204</f>
        <v>791</v>
      </c>
      <c r="CL207" s="1643">
        <f>CL198-CL204</f>
        <v>730</v>
      </c>
      <c r="CM207" s="1643">
        <f>CM198-CM204</f>
        <v>746</v>
      </c>
      <c r="CN207" s="1643">
        <f>CN198-CN204</f>
        <v>707</v>
      </c>
      <c r="CO207" s="1741">
        <f>$N207-SUM(CK207:CN207)</f>
        <v>0</v>
      </c>
      <c r="CP207" s="1643">
        <f>CP198-CP204</f>
        <v>702</v>
      </c>
      <c r="CQ207" s="1643">
        <f>CQ198-CQ204</f>
        <v>641</v>
      </c>
      <c r="CR207" s="1643">
        <f>CR198-CR204</f>
        <v>753</v>
      </c>
      <c r="CS207" s="1643">
        <f>CS198-CS204</f>
        <v>747</v>
      </c>
      <c r="CT207" s="1741">
        <f>$Q207-SUM(CP207:CS207)</f>
        <v>0</v>
      </c>
      <c r="CU207" s="1643">
        <f ca="1">CU198-CU204</f>
        <v>756</v>
      </c>
      <c r="CV207" s="1643">
        <f ca="1">CV198-CV204</f>
        <v>651</v>
      </c>
      <c r="CW207" s="1643">
        <f ca="1">CW198-CW204</f>
        <v>721</v>
      </c>
      <c r="CX207" s="2812">
        <f ca="1">CX198-CX204</f>
        <v>733</v>
      </c>
      <c r="CY207" s="2835">
        <f t="shared" ca="1" si="339"/>
        <v>0</v>
      </c>
      <c r="CZ207" s="2812">
        <f>CZ198-CZ204</f>
        <v>704</v>
      </c>
      <c r="DA207" s="2812">
        <f>DA198-DA204</f>
        <v>669</v>
      </c>
      <c r="DB207" s="2812">
        <f>DB198-DB204</f>
        <v>707</v>
      </c>
      <c r="DC207" s="2812">
        <f ca="1">DC198-DC204</f>
        <v>731.76366813519041</v>
      </c>
      <c r="DD207" s="2835">
        <f t="shared" ca="1" si="225"/>
        <v>0</v>
      </c>
      <c r="DE207" s="2812">
        <f t="shared" ref="DE207:DH207" si="351">DE198-DE204</f>
        <v>727.13383332762919</v>
      </c>
      <c r="DF207" s="2812">
        <f t="shared" si="351"/>
        <v>710.39694025653853</v>
      </c>
      <c r="DG207" s="2812">
        <f t="shared" si="351"/>
        <v>768.78545838969444</v>
      </c>
      <c r="DH207" s="2812">
        <f t="shared" ca="1" si="351"/>
        <v>830.00053929752949</v>
      </c>
      <c r="DI207" s="2835">
        <f t="shared" ca="1" si="307"/>
        <v>0</v>
      </c>
      <c r="DJ207" s="2835"/>
      <c r="DK207" s="2812"/>
      <c r="DL207" s="1108"/>
      <c r="DM207" s="2862"/>
      <c r="DN207" s="2862"/>
      <c r="DO207" s="2862"/>
      <c r="DP207" s="1108"/>
      <c r="DQ207" s="1108"/>
      <c r="DR207" s="1108"/>
      <c r="DS207" s="1108"/>
      <c r="DT207" s="1108"/>
    </row>
    <row r="208" spans="1:124" s="1577" customFormat="1" ht="11.25" customHeight="1">
      <c r="A208" s="1470" t="s">
        <v>1537</v>
      </c>
      <c r="B208" s="1372"/>
      <c r="C208" s="1372"/>
      <c r="D208" s="1372"/>
      <c r="E208" s="1372"/>
      <c r="F208" s="1372"/>
      <c r="G208" s="1372"/>
      <c r="H208" s="1372"/>
      <c r="I208" s="1372"/>
      <c r="J208" s="1372"/>
      <c r="K208" s="1372"/>
      <c r="L208" s="1372"/>
      <c r="M208" s="1372"/>
      <c r="N208" s="1789">
        <f>N207-N206</f>
        <v>-295</v>
      </c>
      <c r="O208" s="2731">
        <f>O207-O206</f>
        <v>-357</v>
      </c>
      <c r="P208" s="2731">
        <f>+SUM(CK208:CN208)</f>
        <v>-295</v>
      </c>
      <c r="Q208" s="1789">
        <f>Q207-Q206</f>
        <v>-275</v>
      </c>
      <c r="R208" s="2818">
        <f ca="1">R207-R206</f>
        <v>-354</v>
      </c>
      <c r="S208" s="2817">
        <f ca="1">S207-S206</f>
        <v>-354</v>
      </c>
      <c r="T208" s="2818">
        <f t="shared" ref="T208:AC208" ca="1" si="352">T207-T206</f>
        <v>-359.44660800000065</v>
      </c>
      <c r="U208" s="2818">
        <f t="shared" ca="1" si="352"/>
        <v>-372.48660799999971</v>
      </c>
      <c r="V208" s="2818">
        <f t="shared" ca="1" si="352"/>
        <v>-381.65780799999993</v>
      </c>
      <c r="W208" s="1789">
        <f t="shared" ca="1" si="352"/>
        <v>-390.13414400000011</v>
      </c>
      <c r="X208" s="1789">
        <f t="shared" ca="1" si="352"/>
        <v>-398.92477007999969</v>
      </c>
      <c r="Y208" s="1789">
        <f t="shared" ca="1" si="352"/>
        <v>-409.03911494239992</v>
      </c>
      <c r="Z208" s="1789">
        <f t="shared" ca="1" si="352"/>
        <v>-418.48689015067202</v>
      </c>
      <c r="AA208" s="1789">
        <f t="shared" ca="1" si="352"/>
        <v>-429.27809861519245</v>
      </c>
      <c r="AB208" s="1789">
        <f t="shared" ca="1" si="352"/>
        <v>-440.42304333364746</v>
      </c>
      <c r="AC208" s="1789">
        <f t="shared" ca="1" si="352"/>
        <v>-451.9323363936569</v>
      </c>
      <c r="AD208" s="1789">
        <f ca="1">AD207-AD206</f>
        <v>-463.81690824546695</v>
      </c>
      <c r="AE208" s="1789">
        <f ca="1">AE207-AE206</f>
        <v>-476.08801725283092</v>
      </c>
      <c r="AF208" s="1372"/>
      <c r="AG208" s="1372"/>
      <c r="AH208" s="1372"/>
      <c r="AI208" s="1372"/>
      <c r="AJ208" s="1372"/>
      <c r="AK208" s="1372"/>
      <c r="AL208" s="1470" t="s">
        <v>1537</v>
      </c>
      <c r="AM208" s="1372"/>
      <c r="AN208" s="1372"/>
      <c r="AO208" s="1372"/>
      <c r="AP208" s="1372"/>
      <c r="AQ208" s="1799"/>
      <c r="AR208" s="1372"/>
      <c r="AS208" s="1372"/>
      <c r="AT208" s="1372"/>
      <c r="AU208" s="1372"/>
      <c r="AV208" s="1799"/>
      <c r="AW208" s="1372"/>
      <c r="AX208" s="1372"/>
      <c r="AY208" s="1372"/>
      <c r="AZ208" s="1372"/>
      <c r="BA208" s="1799"/>
      <c r="BB208" s="1372"/>
      <c r="BC208" s="1372"/>
      <c r="BD208" s="1372"/>
      <c r="BE208" s="1372"/>
      <c r="BF208" s="1799"/>
      <c r="BG208" s="1372"/>
      <c r="BH208" s="1372"/>
      <c r="BI208" s="1372"/>
      <c r="BJ208" s="1372"/>
      <c r="BK208" s="1799"/>
      <c r="BL208" s="1372"/>
      <c r="BM208" s="1372"/>
      <c r="BN208" s="1372"/>
      <c r="BO208" s="1372"/>
      <c r="BP208" s="1799"/>
      <c r="BQ208" s="1108"/>
      <c r="BR208" s="1108"/>
      <c r="BS208" s="1108"/>
      <c r="BT208" s="1108"/>
      <c r="BU208" s="1108"/>
      <c r="BV208" s="1108"/>
      <c r="BW208" s="1108"/>
      <c r="BX208" s="1108"/>
      <c r="BY208" s="1108"/>
      <c r="BZ208" s="1108"/>
      <c r="CA208" s="1108"/>
      <c r="CB208" s="1108"/>
      <c r="CC208" s="1108"/>
      <c r="CD208" s="1108"/>
      <c r="CE208" s="1108"/>
      <c r="CF208" s="1108"/>
      <c r="CG208" s="1108"/>
      <c r="CH208" s="1108"/>
      <c r="CI208" s="1108"/>
      <c r="CJ208" s="1108"/>
      <c r="CK208" s="1808">
        <f>CK207-CK206</f>
        <v>-73</v>
      </c>
      <c r="CL208" s="1808">
        <f>CL207-CL206</f>
        <v>-62</v>
      </c>
      <c r="CM208" s="1808">
        <f>CM207-CM206</f>
        <v>-56</v>
      </c>
      <c r="CN208" s="1808">
        <f>CN207-CN206</f>
        <v>-104</v>
      </c>
      <c r="CO208" s="1741">
        <f>$N208-SUM(CK208:CN208)</f>
        <v>0</v>
      </c>
      <c r="CP208" s="1647">
        <v>-68</v>
      </c>
      <c r="CQ208" s="1647">
        <v>-64</v>
      </c>
      <c r="CR208" s="1647">
        <v>-49</v>
      </c>
      <c r="CS208" s="1647">
        <v>-94</v>
      </c>
      <c r="CT208" s="1741">
        <f>$Q208-SUM(CP208:CS208)</f>
        <v>0</v>
      </c>
      <c r="CU208" s="3042">
        <v>-84</v>
      </c>
      <c r="CV208" s="3042">
        <v>-83</v>
      </c>
      <c r="CW208" s="3042">
        <v>-78</v>
      </c>
      <c r="CX208" s="3042">
        <v>-109</v>
      </c>
      <c r="CY208" s="3040">
        <f t="shared" ca="1" si="339"/>
        <v>0</v>
      </c>
      <c r="CZ208" s="3042">
        <v>-79</v>
      </c>
      <c r="DA208" s="3042">
        <v>-85</v>
      </c>
      <c r="DB208" s="3042">
        <v>-83</v>
      </c>
      <c r="DC208" s="3041">
        <f ca="1">DC207-DC206</f>
        <v>-112.44660800000008</v>
      </c>
      <c r="DD208" s="3474">
        <f t="shared" ca="1" si="225"/>
        <v>-5.6843418860808015E-13</v>
      </c>
      <c r="DE208" s="3041">
        <f t="shared" ref="DE208:DH208" si="353">DE207-DE206</f>
        <v>-81.840000000000146</v>
      </c>
      <c r="DF208" s="3041">
        <f t="shared" si="353"/>
        <v>-88.039999999999964</v>
      </c>
      <c r="DG208" s="3041">
        <f t="shared" si="353"/>
        <v>-86</v>
      </c>
      <c r="DH208" s="3041">
        <f t="shared" ca="1" si="353"/>
        <v>-116.60660799999994</v>
      </c>
      <c r="DI208" s="2835">
        <f t="shared" ca="1" si="307"/>
        <v>0</v>
      </c>
      <c r="DJ208" s="2835"/>
      <c r="DK208" s="2862"/>
      <c r="DL208" s="1108"/>
      <c r="DM208" s="2862"/>
      <c r="DN208" s="2862"/>
      <c r="DO208" s="2862"/>
      <c r="DP208" s="1108"/>
      <c r="DQ208" s="1108"/>
      <c r="DR208" s="1108"/>
      <c r="DS208" s="1108"/>
      <c r="DT208" s="1108"/>
    </row>
    <row r="209" spans="1:124" ht="11.25" customHeight="1">
      <c r="A209" s="1108"/>
      <c r="B209" s="1372"/>
      <c r="C209" s="1372"/>
      <c r="D209" s="1372"/>
      <c r="E209" s="1372"/>
      <c r="F209" s="1372"/>
      <c r="G209" s="1372"/>
      <c r="H209" s="1372"/>
      <c r="I209" s="1372"/>
      <c r="J209" s="1372"/>
      <c r="K209" s="1372"/>
      <c r="L209" s="1372"/>
      <c r="M209" s="1372"/>
      <c r="N209" s="1865"/>
      <c r="O209" s="2741"/>
      <c r="P209" s="2741"/>
      <c r="Q209" s="1866"/>
      <c r="R209" s="2819"/>
      <c r="S209" s="2820"/>
      <c r="T209" s="2819"/>
      <c r="U209" s="2819"/>
      <c r="V209" s="2819"/>
      <c r="W209" s="1866"/>
      <c r="X209" s="1866"/>
      <c r="Y209" s="1866"/>
      <c r="Z209" s="1866"/>
      <c r="AA209" s="1866"/>
      <c r="AB209" s="1866"/>
      <c r="AC209" s="1866"/>
      <c r="AD209" s="1866"/>
      <c r="AE209" s="1866"/>
      <c r="AF209" s="1866"/>
      <c r="AG209" s="1866"/>
      <c r="AH209" s="1866"/>
      <c r="AI209" s="1866"/>
      <c r="AJ209" s="1866"/>
      <c r="AK209" s="1372"/>
      <c r="AL209" s="1109"/>
      <c r="AM209" s="1372"/>
      <c r="AN209" s="1372"/>
      <c r="AO209" s="1372"/>
      <c r="AP209" s="1372"/>
      <c r="AQ209" s="1799"/>
      <c r="AR209" s="1372"/>
      <c r="AS209" s="1372"/>
      <c r="AT209" s="1372"/>
      <c r="AU209" s="1372"/>
      <c r="AV209" s="1799"/>
      <c r="AW209" s="1372"/>
      <c r="AX209" s="1372"/>
      <c r="AY209" s="1372"/>
      <c r="AZ209" s="1372"/>
      <c r="BA209" s="1799"/>
      <c r="BB209" s="1372"/>
      <c r="BC209" s="1372"/>
      <c r="BD209" s="1372"/>
      <c r="BE209" s="1372"/>
      <c r="BF209" s="1799"/>
      <c r="BG209" s="1372"/>
      <c r="BH209" s="1372"/>
      <c r="BI209" s="1372"/>
      <c r="BJ209" s="1372"/>
      <c r="BK209" s="1799"/>
      <c r="BL209" s="1372"/>
      <c r="BM209" s="1372"/>
      <c r="BN209" s="1372"/>
      <c r="BO209" s="1372"/>
      <c r="BP209" s="1799"/>
      <c r="BQ209" s="1108"/>
      <c r="BR209" s="1108"/>
      <c r="BS209" s="1108"/>
      <c r="BT209" s="1108"/>
      <c r="BU209" s="1108"/>
      <c r="BV209" s="1108"/>
      <c r="BW209" s="1108"/>
      <c r="BX209" s="1108"/>
      <c r="BY209" s="1108"/>
      <c r="BZ209" s="1108"/>
      <c r="CA209" s="1108"/>
      <c r="CB209" s="1108"/>
      <c r="CC209" s="1108"/>
      <c r="CD209" s="1108"/>
      <c r="CE209" s="1108"/>
      <c r="CF209" s="1108"/>
      <c r="CG209" s="1108"/>
      <c r="CH209" s="1108"/>
      <c r="CI209" s="1108"/>
      <c r="CJ209" s="1108"/>
      <c r="CK209" s="1470"/>
      <c r="CL209" s="1470"/>
      <c r="CM209" s="1470"/>
      <c r="CN209" s="1108"/>
      <c r="CO209" s="1741">
        <f>$N209-SUM(CK209:CN209)</f>
        <v>0</v>
      </c>
      <c r="CP209" s="1470"/>
      <c r="CQ209" s="1470"/>
      <c r="CR209" s="1470"/>
      <c r="CS209" s="1108"/>
      <c r="CT209" s="1108"/>
      <c r="CU209" s="1108"/>
      <c r="CV209" s="1108"/>
      <c r="CW209" s="1108"/>
      <c r="CX209" s="2862"/>
      <c r="CY209" s="2862"/>
      <c r="CZ209" s="2862"/>
      <c r="DA209" s="2862"/>
      <c r="DB209" s="2862"/>
      <c r="DC209" s="2862"/>
      <c r="DD209" s="2862"/>
      <c r="DE209" s="2862"/>
      <c r="DF209" s="2862"/>
      <c r="DG209" s="2862"/>
      <c r="DH209" s="2862"/>
      <c r="DI209" s="2862"/>
      <c r="DJ209" s="2862"/>
      <c r="DK209" s="2862"/>
      <c r="DL209" s="1108"/>
      <c r="DM209" s="2862"/>
      <c r="DN209" s="2862"/>
      <c r="DO209" s="2862"/>
      <c r="DP209" s="1108"/>
      <c r="DQ209" s="1108"/>
      <c r="DR209" s="1108"/>
      <c r="DS209" s="1108"/>
      <c r="DT209" s="1108"/>
    </row>
    <row r="210" spans="1:124" ht="11.25" customHeight="1">
      <c r="A210" s="1108" t="s">
        <v>1301</v>
      </c>
      <c r="B210" s="1372">
        <f t="shared" ref="B210:V210" si="354">(B45+B145)-B187</f>
        <v>0</v>
      </c>
      <c r="C210" s="1372">
        <f t="shared" si="354"/>
        <v>0</v>
      </c>
      <c r="D210" s="1372">
        <f t="shared" si="354"/>
        <v>0</v>
      </c>
      <c r="E210" s="1372">
        <f t="shared" si="354"/>
        <v>0</v>
      </c>
      <c r="F210" s="1372">
        <f t="shared" si="354"/>
        <v>0</v>
      </c>
      <c r="G210" s="1372">
        <f t="shared" si="354"/>
        <v>0</v>
      </c>
      <c r="H210" s="1372">
        <f t="shared" si="354"/>
        <v>0</v>
      </c>
      <c r="I210" s="1372">
        <f t="shared" si="354"/>
        <v>0</v>
      </c>
      <c r="J210" s="1372">
        <f t="shared" si="354"/>
        <v>0</v>
      </c>
      <c r="K210" s="1372">
        <f t="shared" si="354"/>
        <v>0</v>
      </c>
      <c r="L210" s="1372">
        <f t="shared" si="354"/>
        <v>0</v>
      </c>
      <c r="M210" s="1372">
        <f t="shared" si="354"/>
        <v>0</v>
      </c>
      <c r="N210" s="1372">
        <f t="shared" si="354"/>
        <v>0</v>
      </c>
      <c r="O210" s="2730">
        <f>(O45+O145)-O187</f>
        <v>0</v>
      </c>
      <c r="P210" s="2730">
        <f t="shared" si="354"/>
        <v>0</v>
      </c>
      <c r="Q210" s="1372">
        <f>(Q45+Q145)-Q187</f>
        <v>0</v>
      </c>
      <c r="R210" s="2790">
        <f t="shared" si="354"/>
        <v>0</v>
      </c>
      <c r="S210" s="2789"/>
      <c r="T210" s="2821">
        <f t="shared" si="354"/>
        <v>0</v>
      </c>
      <c r="U210" s="2790">
        <f t="shared" si="354"/>
        <v>0</v>
      </c>
      <c r="V210" s="2790">
        <f t="shared" si="354"/>
        <v>0</v>
      </c>
      <c r="W210" s="1372">
        <f t="shared" ref="W210:AB210" si="355">(W45+W145)-W187</f>
        <v>0</v>
      </c>
      <c r="X210" s="1372">
        <f t="shared" si="355"/>
        <v>0</v>
      </c>
      <c r="Y210" s="1372">
        <f t="shared" si="355"/>
        <v>0</v>
      </c>
      <c r="Z210" s="1372">
        <f t="shared" si="355"/>
        <v>0</v>
      </c>
      <c r="AA210" s="1372">
        <f t="shared" si="355"/>
        <v>0</v>
      </c>
      <c r="AB210" s="1372">
        <f t="shared" si="355"/>
        <v>0</v>
      </c>
      <c r="AC210" s="1372">
        <f>(AC45+AC145)-AC187</f>
        <v>0</v>
      </c>
      <c r="AD210" s="1372">
        <f>(AD45+AD145)-AD187</f>
        <v>0</v>
      </c>
      <c r="AE210" s="1372">
        <f>(AE45+AE145)-AE187</f>
        <v>0</v>
      </c>
      <c r="AF210" s="1372"/>
      <c r="AG210" s="1372"/>
      <c r="AH210" s="1372"/>
      <c r="AI210" s="1372"/>
      <c r="AJ210" s="1372"/>
      <c r="AK210" s="1372"/>
      <c r="AL210" s="1109"/>
      <c r="AM210" s="1372">
        <f t="shared" ref="AM210:BT210" si="356">(AM45+AM145)-AM187</f>
        <v>0</v>
      </c>
      <c r="AN210" s="1372">
        <f t="shared" si="356"/>
        <v>0</v>
      </c>
      <c r="AO210" s="1372">
        <f t="shared" si="356"/>
        <v>0</v>
      </c>
      <c r="AP210" s="1372">
        <f t="shared" si="356"/>
        <v>0</v>
      </c>
      <c r="AQ210" s="1372">
        <f t="shared" si="356"/>
        <v>0</v>
      </c>
      <c r="AR210" s="1372">
        <f t="shared" si="356"/>
        <v>0</v>
      </c>
      <c r="AS210" s="1372">
        <f t="shared" si="356"/>
        <v>0</v>
      </c>
      <c r="AT210" s="1372">
        <f t="shared" si="356"/>
        <v>0</v>
      </c>
      <c r="AU210" s="1372">
        <f t="shared" si="356"/>
        <v>0</v>
      </c>
      <c r="AV210" s="1372">
        <f t="shared" si="356"/>
        <v>0</v>
      </c>
      <c r="AW210" s="1372">
        <f t="shared" si="356"/>
        <v>0</v>
      </c>
      <c r="AX210" s="1372">
        <f t="shared" si="356"/>
        <v>0</v>
      </c>
      <c r="AY210" s="1372">
        <f t="shared" si="356"/>
        <v>0</v>
      </c>
      <c r="AZ210" s="1372">
        <f t="shared" si="356"/>
        <v>0</v>
      </c>
      <c r="BA210" s="1372">
        <f t="shared" si="356"/>
        <v>0</v>
      </c>
      <c r="BB210" s="1372">
        <f t="shared" si="356"/>
        <v>0</v>
      </c>
      <c r="BC210" s="1372">
        <f t="shared" si="356"/>
        <v>0</v>
      </c>
      <c r="BD210" s="1372">
        <f t="shared" si="356"/>
        <v>0</v>
      </c>
      <c r="BE210" s="1372">
        <f t="shared" si="356"/>
        <v>0</v>
      </c>
      <c r="BF210" s="1372">
        <f t="shared" si="356"/>
        <v>0</v>
      </c>
      <c r="BG210" s="1372">
        <f t="shared" si="356"/>
        <v>0.2158760950001124</v>
      </c>
      <c r="BH210" s="1372">
        <f t="shared" si="356"/>
        <v>-4.2583159999994677</v>
      </c>
      <c r="BI210" s="1372">
        <f t="shared" si="356"/>
        <v>4.1158909562491317</v>
      </c>
      <c r="BJ210" s="1372">
        <f t="shared" si="356"/>
        <v>-7.3451051249321608E-2</v>
      </c>
      <c r="BK210" s="1372">
        <f t="shared" si="356"/>
        <v>0</v>
      </c>
      <c r="BL210" s="1372">
        <f t="shared" si="356"/>
        <v>-2.2499849578998692</v>
      </c>
      <c r="BM210" s="1372">
        <f t="shared" si="356"/>
        <v>-5.8972104639997269</v>
      </c>
      <c r="BN210" s="1372">
        <f t="shared" si="356"/>
        <v>0</v>
      </c>
      <c r="BO210" s="1372">
        <f t="shared" si="356"/>
        <v>6.4884870183632302</v>
      </c>
      <c r="BP210" s="1372">
        <f t="shared" si="356"/>
        <v>1.6587084035363659</v>
      </c>
      <c r="BQ210" s="1372">
        <f t="shared" si="356"/>
        <v>0</v>
      </c>
      <c r="BR210" s="1372">
        <f t="shared" si="356"/>
        <v>0</v>
      </c>
      <c r="BS210" s="1372">
        <f t="shared" si="356"/>
        <v>0</v>
      </c>
      <c r="BT210" s="1372">
        <f t="shared" si="356"/>
        <v>0</v>
      </c>
      <c r="BU210" s="1108"/>
      <c r="BV210" s="1372">
        <f>(BV45+BV145)-BV187</f>
        <v>0</v>
      </c>
      <c r="BW210" s="1372">
        <f>(BW45+BW145)-BW187</f>
        <v>0</v>
      </c>
      <c r="BX210" s="1372">
        <f>(BX45+BX145)-BX187</f>
        <v>0</v>
      </c>
      <c r="BY210" s="1372">
        <f>(BY45+BY145)-BY187</f>
        <v>0</v>
      </c>
      <c r="BZ210" s="1108"/>
      <c r="CA210" s="1372">
        <f>(CA45+CA145)-CA187</f>
        <v>0</v>
      </c>
      <c r="CB210" s="1372">
        <f>(CB45+CB145)-CB187</f>
        <v>0</v>
      </c>
      <c r="CC210" s="1372">
        <f>(CC45+CC145)-CC187</f>
        <v>0</v>
      </c>
      <c r="CD210" s="1372">
        <f>(CD45+CD145)-CD187</f>
        <v>0</v>
      </c>
      <c r="CE210" s="1108"/>
      <c r="CF210" s="1372">
        <f>(CF45+CF145)-CF187</f>
        <v>0</v>
      </c>
      <c r="CG210" s="1372">
        <f>(CG45+CG145)-CG187</f>
        <v>0</v>
      </c>
      <c r="CH210" s="1372">
        <f>(CH45+CH145)-CH187</f>
        <v>0</v>
      </c>
      <c r="CI210" s="1372">
        <f>(CI45+CI145)-CI187</f>
        <v>0</v>
      </c>
      <c r="CJ210" s="1108"/>
      <c r="CK210" s="1787">
        <f>(CK45+CK145)-CK187</f>
        <v>0</v>
      </c>
      <c r="CL210" s="1787">
        <f>(CL45+CL145)-CL187</f>
        <v>0</v>
      </c>
      <c r="CM210" s="1787">
        <f>(CM45+CM145)-CM187</f>
        <v>0</v>
      </c>
      <c r="CN210" s="1787">
        <f>(CN45+CN145)-CN187</f>
        <v>0</v>
      </c>
      <c r="CO210" s="1108"/>
      <c r="CP210" s="1787">
        <f>(CP45+CP145)-CP187</f>
        <v>0</v>
      </c>
      <c r="CQ210" s="1787">
        <f>(CQ45+CQ145)-CQ187</f>
        <v>0</v>
      </c>
      <c r="CR210" s="1787">
        <f>(CR45+CR145)-CR187</f>
        <v>0</v>
      </c>
      <c r="CS210" s="1787">
        <f>(CS45+CS145)-CS187</f>
        <v>0</v>
      </c>
      <c r="CT210" s="1108"/>
      <c r="CU210" s="2898">
        <f>(CU45+CU145)-CU187</f>
        <v>0</v>
      </c>
      <c r="CV210" s="2898">
        <f>(CV45+CV145)-CV187</f>
        <v>0</v>
      </c>
      <c r="CW210" s="2898">
        <f>(CW45+CW145)-CW187</f>
        <v>0</v>
      </c>
      <c r="CX210" s="2898">
        <f>(CX45+CX145)-CX187</f>
        <v>0</v>
      </c>
      <c r="CY210" s="2862"/>
      <c r="CZ210" s="2898">
        <f>(CZ45+CZ145)-CZ187</f>
        <v>0</v>
      </c>
      <c r="DA210" s="2898">
        <f>(DA45+DA145)-DA187</f>
        <v>0</v>
      </c>
      <c r="DB210" s="2898">
        <f>(DB45+DB145)-DB187</f>
        <v>0</v>
      </c>
      <c r="DC210" s="2898">
        <f>(DC45+DC145)-DC187</f>
        <v>0</v>
      </c>
      <c r="DD210" s="2835">
        <f t="shared" ref="DD210:DD273" si="357">T210-SUM(CZ210:DC210)</f>
        <v>0</v>
      </c>
      <c r="DE210" s="2898">
        <f>(DE45+DE145)-DE187</f>
        <v>0</v>
      </c>
      <c r="DF210" s="2898">
        <f>(DF45+DF145)-DF187</f>
        <v>0</v>
      </c>
      <c r="DG210" s="2898">
        <f>(DG45+DG145)-DG187</f>
        <v>0</v>
      </c>
      <c r="DH210" s="2898">
        <f>(DH45+DH145)-DH187</f>
        <v>0</v>
      </c>
      <c r="DI210" s="2835">
        <f t="shared" si="307"/>
        <v>0</v>
      </c>
      <c r="DJ210" s="2862"/>
      <c r="DK210" s="2790"/>
      <c r="DL210" s="2862"/>
      <c r="DM210" s="2862"/>
      <c r="DN210" s="2862"/>
      <c r="DO210" s="2862"/>
      <c r="DP210" s="1108"/>
      <c r="DQ210" s="1108"/>
      <c r="DR210" s="1108"/>
      <c r="DS210" s="1108"/>
      <c r="DT210" s="1108"/>
    </row>
    <row r="211" spans="1:124" ht="11.25" customHeight="1">
      <c r="A211" s="1108" t="s">
        <v>1302</v>
      </c>
      <c r="B211" s="1372">
        <f t="shared" ref="B211:V211" si="358">(B99+B165)-B194</f>
        <v>0</v>
      </c>
      <c r="C211" s="1372">
        <f t="shared" si="358"/>
        <v>0</v>
      </c>
      <c r="D211" s="1372">
        <f t="shared" si="358"/>
        <v>0</v>
      </c>
      <c r="E211" s="1372">
        <f t="shared" si="358"/>
        <v>0</v>
      </c>
      <c r="F211" s="1372">
        <f t="shared" ca="1" si="358"/>
        <v>0</v>
      </c>
      <c r="G211" s="1372">
        <f t="shared" ca="1" si="358"/>
        <v>0</v>
      </c>
      <c r="H211" s="1372">
        <f t="shared" si="358"/>
        <v>0</v>
      </c>
      <c r="I211" s="1372">
        <f t="shared" si="358"/>
        <v>0</v>
      </c>
      <c r="J211" s="1372">
        <f t="shared" si="358"/>
        <v>0</v>
      </c>
      <c r="K211" s="1372">
        <f t="shared" si="358"/>
        <v>0</v>
      </c>
      <c r="L211" s="1372">
        <f t="shared" si="358"/>
        <v>0</v>
      </c>
      <c r="M211" s="1372">
        <f>(M99+M165)-M194</f>
        <v>0</v>
      </c>
      <c r="N211" s="1372">
        <f t="shared" si="358"/>
        <v>0</v>
      </c>
      <c r="O211" s="2730">
        <f>(O99+O165)-O194</f>
        <v>0</v>
      </c>
      <c r="P211" s="2730">
        <f t="shared" si="358"/>
        <v>0</v>
      </c>
      <c r="Q211" s="1372">
        <f>(Q99+Q165)-Q194</f>
        <v>0</v>
      </c>
      <c r="R211" s="1372">
        <f t="shared" si="358"/>
        <v>0</v>
      </c>
      <c r="S211" s="2730"/>
      <c r="T211" s="2522">
        <f t="shared" si="358"/>
        <v>0</v>
      </c>
      <c r="U211" s="1372">
        <f t="shared" si="358"/>
        <v>0</v>
      </c>
      <c r="V211" s="1372">
        <f t="shared" si="358"/>
        <v>0</v>
      </c>
      <c r="W211" s="1372">
        <f t="shared" ref="W211:AB211" si="359">(W99+W165)-W194</f>
        <v>0</v>
      </c>
      <c r="X211" s="1372">
        <f t="shared" si="359"/>
        <v>0</v>
      </c>
      <c r="Y211" s="1372">
        <f t="shared" si="359"/>
        <v>0</v>
      </c>
      <c r="Z211" s="1372">
        <f t="shared" si="359"/>
        <v>0</v>
      </c>
      <c r="AA211" s="1372">
        <f t="shared" si="359"/>
        <v>0</v>
      </c>
      <c r="AB211" s="1372">
        <f t="shared" si="359"/>
        <v>0</v>
      </c>
      <c r="AC211" s="1372">
        <f>(AC99+AC165)-AC194</f>
        <v>0</v>
      </c>
      <c r="AD211" s="1372">
        <f>(AD99+AD165)-AD194</f>
        <v>0</v>
      </c>
      <c r="AE211" s="1372">
        <f>(AE99+AE165)-AE194</f>
        <v>0</v>
      </c>
      <c r="AF211" s="1372"/>
      <c r="AG211" s="1372"/>
      <c r="AH211" s="1372"/>
      <c r="AI211" s="1372"/>
      <c r="AJ211" s="1372"/>
      <c r="AK211" s="1372"/>
      <c r="AL211" s="1108"/>
      <c r="AM211" s="1372">
        <f t="shared" ref="AM211:BT211" si="360">(AM99+AM165)-AM194</f>
        <v>0</v>
      </c>
      <c r="AN211" s="1372">
        <f t="shared" si="360"/>
        <v>0</v>
      </c>
      <c r="AO211" s="1372">
        <f t="shared" si="360"/>
        <v>0</v>
      </c>
      <c r="AP211" s="1372">
        <f t="shared" si="360"/>
        <v>0</v>
      </c>
      <c r="AQ211" s="1372">
        <f t="shared" si="360"/>
        <v>0</v>
      </c>
      <c r="AR211" s="1372">
        <f t="shared" si="360"/>
        <v>0</v>
      </c>
      <c r="AS211" s="1372">
        <f t="shared" si="360"/>
        <v>0</v>
      </c>
      <c r="AT211" s="1372">
        <f t="shared" si="360"/>
        <v>0</v>
      </c>
      <c r="AU211" s="1372">
        <f t="shared" si="360"/>
        <v>0</v>
      </c>
      <c r="AV211" s="1372">
        <f t="shared" si="360"/>
        <v>0</v>
      </c>
      <c r="AW211" s="1372">
        <f t="shared" ca="1" si="360"/>
        <v>0</v>
      </c>
      <c r="AX211" s="1372">
        <f t="shared" ca="1" si="360"/>
        <v>3.4020000000000437</v>
      </c>
      <c r="AY211" s="1372">
        <f t="shared" ca="1" si="360"/>
        <v>3.504060000000095</v>
      </c>
      <c r="AZ211" s="1372">
        <f t="shared" ca="1" si="360"/>
        <v>-6.9060599999999113</v>
      </c>
      <c r="BA211" s="1372">
        <f t="shared" ca="1" si="360"/>
        <v>0</v>
      </c>
      <c r="BB211" s="1372">
        <f t="shared" ca="1" si="360"/>
        <v>2.7403047000001379</v>
      </c>
      <c r="BC211" s="1372">
        <f t="shared" ca="1" si="360"/>
        <v>3.049199999999928</v>
      </c>
      <c r="BD211" s="1372">
        <f t="shared" ca="1" si="360"/>
        <v>3.1536539999999604</v>
      </c>
      <c r="BE211" s="1372">
        <f t="shared" ca="1" si="360"/>
        <v>-8.9431587000002537</v>
      </c>
      <c r="BF211" s="1372">
        <f t="shared" ca="1" si="360"/>
        <v>0</v>
      </c>
      <c r="BG211" s="1372">
        <f t="shared" si="360"/>
        <v>-14.779249726249986</v>
      </c>
      <c r="BH211" s="1372">
        <f t="shared" si="360"/>
        <v>-3.3947306800000661</v>
      </c>
      <c r="BI211" s="1372">
        <f t="shared" si="360"/>
        <v>-3.3689768679373628</v>
      </c>
      <c r="BJ211" s="1372">
        <f t="shared" si="360"/>
        <v>21.542957274187529</v>
      </c>
      <c r="BK211" s="1372">
        <f t="shared" si="360"/>
        <v>0</v>
      </c>
      <c r="BL211" s="1372">
        <f t="shared" si="360"/>
        <v>-16.438533141699338</v>
      </c>
      <c r="BM211" s="1372">
        <f t="shared" si="360"/>
        <v>-5.9109335248683692</v>
      </c>
      <c r="BN211" s="1372">
        <f t="shared" si="360"/>
        <v>0</v>
      </c>
      <c r="BO211" s="1372">
        <f t="shared" si="360"/>
        <v>0</v>
      </c>
      <c r="BP211" s="1372">
        <f t="shared" si="360"/>
        <v>22.349466666567423</v>
      </c>
      <c r="BQ211" s="1372">
        <f t="shared" si="360"/>
        <v>0</v>
      </c>
      <c r="BR211" s="1372">
        <f t="shared" si="360"/>
        <v>0</v>
      </c>
      <c r="BS211" s="1372">
        <f t="shared" si="360"/>
        <v>0</v>
      </c>
      <c r="BT211" s="1372">
        <f t="shared" si="360"/>
        <v>0</v>
      </c>
      <c r="BU211" s="1108"/>
      <c r="BV211" s="1372">
        <f>(BV99+BV165)-BV194</f>
        <v>0</v>
      </c>
      <c r="BW211" s="1372">
        <f>(BW99+BW165)-BW194</f>
        <v>0</v>
      </c>
      <c r="BX211" s="1372">
        <f>(BX99+BX165)-BX194</f>
        <v>0</v>
      </c>
      <c r="BY211" s="1372">
        <f>(BY99+BY165)-BY194</f>
        <v>0</v>
      </c>
      <c r="BZ211" s="1108"/>
      <c r="CA211" s="1372">
        <f>(CA99+CA165)-CA194</f>
        <v>0</v>
      </c>
      <c r="CB211" s="1372">
        <f>(CB99+CB165)-CB194</f>
        <v>0</v>
      </c>
      <c r="CC211" s="1372">
        <f>(CC99+CC165)-CC194</f>
        <v>0</v>
      </c>
      <c r="CD211" s="1372">
        <f>(CD99+CD165)-CD194</f>
        <v>0</v>
      </c>
      <c r="CE211" s="1108"/>
      <c r="CF211" s="1372">
        <f>(CF99+CF165)-CF194</f>
        <v>0</v>
      </c>
      <c r="CG211" s="1372">
        <f>(CG99+CG165)-CG194</f>
        <v>0</v>
      </c>
      <c r="CH211" s="1372">
        <f>(CH99+CH165)-CH194</f>
        <v>0</v>
      </c>
      <c r="CI211" s="1372">
        <f>(CI99+CI165)-CI194</f>
        <v>0</v>
      </c>
      <c r="CJ211" s="1108"/>
      <c r="CK211" s="1787">
        <f>(CK99+CK165)-CK194</f>
        <v>0</v>
      </c>
      <c r="CL211" s="1787">
        <f>(CL99+CL165)-CL194</f>
        <v>0</v>
      </c>
      <c r="CM211" s="1787">
        <f>(CM99+CM165)-CM194</f>
        <v>0</v>
      </c>
      <c r="CN211" s="1787">
        <f>(CN99+CN165)-CN194</f>
        <v>0</v>
      </c>
      <c r="CO211" s="1108"/>
      <c r="CP211" s="1787">
        <f>(CP99+CP165)-CP194</f>
        <v>0</v>
      </c>
      <c r="CQ211" s="1787">
        <f>(CQ99+CQ165)-CQ194</f>
        <v>0</v>
      </c>
      <c r="CR211" s="1787">
        <f>(CR99+CR165)-CR194</f>
        <v>0</v>
      </c>
      <c r="CS211" s="1787">
        <f>(CS99+CS165)-CS194</f>
        <v>0</v>
      </c>
      <c r="CT211" s="1108"/>
      <c r="CU211" s="2898">
        <f>(CU99+CU165)-CU194</f>
        <v>0</v>
      </c>
      <c r="CV211" s="2898">
        <f>(CV99+CV165)-CV194</f>
        <v>0</v>
      </c>
      <c r="CW211" s="2898">
        <f>(CW99+CW165)-CW194</f>
        <v>0</v>
      </c>
      <c r="CX211" s="2898">
        <f>(CX99+CX165)-CX194</f>
        <v>0</v>
      </c>
      <c r="CY211" s="2862"/>
      <c r="CZ211" s="2898">
        <f>(CZ99+CZ165)-CZ194</f>
        <v>0</v>
      </c>
      <c r="DA211" s="2898">
        <f>(DA99+DA165)-DA194</f>
        <v>0</v>
      </c>
      <c r="DB211" s="2898">
        <f>(DB99+DB165)-DB194</f>
        <v>0</v>
      </c>
      <c r="DC211" s="2898">
        <f>(DC99+DC165)-DC194</f>
        <v>0</v>
      </c>
      <c r="DD211" s="2835">
        <f t="shared" si="357"/>
        <v>0</v>
      </c>
      <c r="DE211" s="2898">
        <f>(DE99+DE165)-DE194</f>
        <v>0</v>
      </c>
      <c r="DF211" s="2898">
        <f>(DF99+DF165)-DF194</f>
        <v>0</v>
      </c>
      <c r="DG211" s="2898">
        <f>(DG99+DG165)-DG194</f>
        <v>0</v>
      </c>
      <c r="DH211" s="2898">
        <f>(DH99+DH165)-DH194</f>
        <v>0</v>
      </c>
      <c r="DI211" s="2835">
        <f t="shared" si="307"/>
        <v>0</v>
      </c>
      <c r="DJ211" s="2862"/>
      <c r="DK211" s="2790"/>
      <c r="DL211" s="2862"/>
      <c r="DM211" s="2862"/>
      <c r="DN211" s="2862"/>
      <c r="DO211" s="2862"/>
      <c r="DP211" s="1108"/>
      <c r="DQ211" s="1108"/>
      <c r="DR211" s="1108"/>
      <c r="DS211" s="1108"/>
      <c r="DT211" s="1108"/>
    </row>
    <row r="212" spans="1:124" ht="11.25" customHeight="1">
      <c r="A212" s="1470" t="s">
        <v>359</v>
      </c>
      <c r="B212" s="1372"/>
      <c r="C212" s="1372"/>
      <c r="D212" s="1372"/>
      <c r="E212" s="1372"/>
      <c r="F212" s="1372"/>
      <c r="G212" s="1372"/>
      <c r="H212" s="1372"/>
      <c r="I212" s="1372"/>
      <c r="J212" s="1372"/>
      <c r="K212" s="1372"/>
      <c r="L212" s="1372"/>
      <c r="M212" s="1372"/>
      <c r="N212" s="1372"/>
      <c r="O212" s="2730"/>
      <c r="P212" s="2789"/>
      <c r="Q212" s="2790"/>
      <c r="R212" s="2790"/>
      <c r="S212" s="2789"/>
      <c r="T212" s="2522"/>
      <c r="U212" s="1372"/>
      <c r="V212" s="1372"/>
      <c r="W212" s="1372"/>
      <c r="X212" s="1372"/>
      <c r="Y212" s="1372"/>
      <c r="Z212" s="1372"/>
      <c r="AA212" s="1372"/>
      <c r="AB212" s="1372"/>
      <c r="AC212" s="1372"/>
      <c r="AD212" s="1372"/>
      <c r="AE212" s="1372"/>
      <c r="AF212" s="1372"/>
      <c r="AG212" s="1372"/>
      <c r="AH212" s="1372"/>
      <c r="AI212" s="1372"/>
      <c r="AJ212" s="1372"/>
      <c r="AK212" s="1372"/>
      <c r="AL212" s="1108"/>
      <c r="AM212" s="1372"/>
      <c r="AN212" s="1372"/>
      <c r="AO212" s="1372"/>
      <c r="AP212" s="1372"/>
      <c r="AQ212" s="1372"/>
      <c r="AR212" s="1372"/>
      <c r="AS212" s="1372"/>
      <c r="AT212" s="1372"/>
      <c r="AU212" s="1372"/>
      <c r="AV212" s="1372"/>
      <c r="AW212" s="1372"/>
      <c r="AX212" s="1372"/>
      <c r="AY212" s="1372"/>
      <c r="AZ212" s="1372"/>
      <c r="BA212" s="1372"/>
      <c r="BB212" s="1372"/>
      <c r="BC212" s="1372"/>
      <c r="BD212" s="1372"/>
      <c r="BE212" s="1372"/>
      <c r="BF212" s="1372"/>
      <c r="BG212" s="1372"/>
      <c r="BH212" s="1372"/>
      <c r="BI212" s="1372"/>
      <c r="BJ212" s="1372"/>
      <c r="BK212" s="1372"/>
      <c r="BL212" s="1372"/>
      <c r="BM212" s="1372"/>
      <c r="BN212" s="1372"/>
      <c r="BO212" s="1372"/>
      <c r="BP212" s="1372"/>
      <c r="BQ212" s="1372"/>
      <c r="BR212" s="1372"/>
      <c r="BS212" s="1372"/>
      <c r="BT212" s="1372"/>
      <c r="BU212" s="1108"/>
      <c r="BV212" s="1372"/>
      <c r="BW212" s="1372"/>
      <c r="BX212" s="1372"/>
      <c r="BY212" s="1372"/>
      <c r="BZ212" s="1108"/>
      <c r="CA212" s="1372"/>
      <c r="CB212" s="1372"/>
      <c r="CC212" s="1372"/>
      <c r="CD212" s="1372"/>
      <c r="CE212" s="1108"/>
      <c r="CF212" s="1372"/>
      <c r="CG212" s="1372"/>
      <c r="CH212" s="1372"/>
      <c r="CI212" s="1372"/>
      <c r="CJ212" s="1108"/>
      <c r="CK212" s="1787">
        <f>CK206-CK207+CK208</f>
        <v>0</v>
      </c>
      <c r="CL212" s="1787">
        <f>CL206-CL207+CL208</f>
        <v>0</v>
      </c>
      <c r="CM212" s="1787">
        <f>CM206-CM207+CM208</f>
        <v>0</v>
      </c>
      <c r="CN212" s="1787">
        <f>CN206-CN207+CN208</f>
        <v>0</v>
      </c>
      <c r="CO212" s="1108"/>
      <c r="CP212" s="1787">
        <f>CP206-CP207+CP208</f>
        <v>0</v>
      </c>
      <c r="CQ212" s="1787">
        <f>CQ206-CQ207+CQ208</f>
        <v>0</v>
      </c>
      <c r="CR212" s="1787">
        <f>CR206-CR207+CR208</f>
        <v>0</v>
      </c>
      <c r="CS212" s="1787">
        <f>CS206-CS207+CS208</f>
        <v>0</v>
      </c>
      <c r="CT212" s="1108"/>
      <c r="CU212" s="2898">
        <f ca="1">CU206-CU207+CU208</f>
        <v>0</v>
      </c>
      <c r="CV212" s="2898">
        <f ca="1">CV206-CV207+CV208</f>
        <v>0</v>
      </c>
      <c r="CW212" s="2898"/>
      <c r="CX212" s="2898"/>
      <c r="CY212" s="2862"/>
      <c r="CZ212" s="2898">
        <f>CZ206-CZ207+CZ208</f>
        <v>0</v>
      </c>
      <c r="DA212" s="2840">
        <f>DA206-DA207+DA208</f>
        <v>0</v>
      </c>
      <c r="DB212" s="2898"/>
      <c r="DC212" s="2898"/>
      <c r="DD212" s="2835">
        <f t="shared" si="357"/>
        <v>0</v>
      </c>
      <c r="DE212" s="2898">
        <f>DE206-DE207+DE208</f>
        <v>0</v>
      </c>
      <c r="DF212" s="2840">
        <f>DF206-DF207+DF208</f>
        <v>0</v>
      </c>
      <c r="DG212" s="2898"/>
      <c r="DH212" s="2898"/>
      <c r="DI212" s="2835">
        <f t="shared" si="307"/>
        <v>0</v>
      </c>
      <c r="DJ212" s="2862"/>
      <c r="DK212" s="1372"/>
      <c r="DL212" s="1108"/>
      <c r="DM212" s="1108"/>
      <c r="DN212" s="1108"/>
      <c r="DO212" s="1108"/>
      <c r="DP212" s="1108"/>
      <c r="DQ212" s="1108"/>
      <c r="DR212" s="1108"/>
      <c r="DS212" s="1108"/>
      <c r="DT212" s="1108"/>
    </row>
    <row r="213" spans="1:124" ht="11.25" customHeight="1">
      <c r="A213" s="1108" t="s">
        <v>359</v>
      </c>
      <c r="B213" s="1372"/>
      <c r="C213" s="1372"/>
      <c r="D213" s="1372"/>
      <c r="E213" s="1372"/>
      <c r="F213" s="1372"/>
      <c r="G213" s="1372"/>
      <c r="H213" s="1372">
        <f>('GAAP Financial Statements'!N23+'GAAP Financial Statements'!N16+'GAAP Financial Statements'!N15)-H207</f>
        <v>0</v>
      </c>
      <c r="I213" s="1372">
        <f>('GAAP Financial Statements'!R23+'GAAP Financial Statements'!R16+'GAAP Financial Statements'!R15)-I207</f>
        <v>0</v>
      </c>
      <c r="J213" s="1372">
        <f>('GAAP Financial Statements'!S23+'GAAP Financial Statements'!S16+'GAAP Financial Statements'!S15)-J207</f>
        <v>0</v>
      </c>
      <c r="K213" s="1372">
        <f>('GAAP Financial Statements'!T23+'GAAP Financial Statements'!T16+'GAAP Financial Statements'!T15)-K207</f>
        <v>0</v>
      </c>
      <c r="L213" s="1372">
        <f>('GAAP Financial Statements'!U23+'GAAP Financial Statements'!U16+'GAAP Financial Statements'!U15)-L207</f>
        <v>0</v>
      </c>
      <c r="M213" s="1372">
        <f>('GAAP Financial Statements'!V23+'GAAP Financial Statements'!V16+'GAAP Financial Statements'!V15)-M207</f>
        <v>0</v>
      </c>
      <c r="N213" s="1372">
        <f>('GAAP Financial Statements'!W23+'GAAP Financial Statements'!W16+'GAAP Financial Statements'!W15)-N207</f>
        <v>0</v>
      </c>
      <c r="O213" s="2730">
        <f>('GAAP Financial Statements'!X23+'GAAP Financial Statements'!X16+'GAAP Financial Statements'!X15)-O207</f>
        <v>0</v>
      </c>
      <c r="P213" s="2789">
        <f>('GAAP Financial Statements'!Y23+'GAAP Financial Statements'!Y16+'GAAP Financial Statements'!Y15)-P207</f>
        <v>0</v>
      </c>
      <c r="Q213" s="2791">
        <f>('GAAP Financial Statements'!Z23+'GAAP Financial Statements'!Z16+'GAAP Financial Statements'!Z15)-Q207</f>
        <v>0</v>
      </c>
      <c r="R213" s="2792">
        <f ca="1">('GAAP Financial Statements'!AA23+'GAAP Financial Statements'!AA16+'GAAP Financial Statements'!AA15)-R207</f>
        <v>0</v>
      </c>
      <c r="S213" s="2793"/>
      <c r="T213" s="2522">
        <f ca="1">('GAAP Financial Statements'!AC23+'GAAP Financial Statements'!AC16+'GAAP Financial Statements'!AC15)-T207</f>
        <v>0</v>
      </c>
      <c r="U213" s="2522">
        <f ca="1">('GAAP Financial Statements'!AD23+'GAAP Financial Statements'!AD16+'GAAP Financial Statements'!AD15)-U207</f>
        <v>0</v>
      </c>
      <c r="V213" s="2522">
        <f ca="1">('GAAP Financial Statements'!AE23+'GAAP Financial Statements'!AE16+'GAAP Financial Statements'!AE15)-V207</f>
        <v>0</v>
      </c>
      <c r="W213" s="1372">
        <f ca="1">('GAAP Financial Statements'!AF23+'GAAP Financial Statements'!AF16+'GAAP Financial Statements'!AF15)-W207</f>
        <v>0</v>
      </c>
      <c r="X213" s="1372">
        <f ca="1">('GAAP Financial Statements'!AG23+'GAAP Financial Statements'!AG16+'GAAP Financial Statements'!AG15)-X207</f>
        <v>0</v>
      </c>
      <c r="Y213" s="1372">
        <f ca="1">('GAAP Financial Statements'!AH23+'GAAP Financial Statements'!AH16+'GAAP Financial Statements'!AH15)-Y207</f>
        <v>0</v>
      </c>
      <c r="Z213" s="1372">
        <f ca="1">('GAAP Financial Statements'!AI23+'GAAP Financial Statements'!AI16+'GAAP Financial Statements'!AI15)-Z207</f>
        <v>0</v>
      </c>
      <c r="AA213" s="1372">
        <f ca="1">('GAAP Financial Statements'!AJ23+'GAAP Financial Statements'!AJ16+'GAAP Financial Statements'!AJ15)-AA207</f>
        <v>0</v>
      </c>
      <c r="AB213" s="1372">
        <f ca="1">('GAAP Financial Statements'!AK23+'GAAP Financial Statements'!AK16+'GAAP Financial Statements'!AK15)-AB207</f>
        <v>0</v>
      </c>
      <c r="AC213" s="1372">
        <f ca="1">('GAAP Financial Statements'!AL23+'GAAP Financial Statements'!AL16+'GAAP Financial Statements'!AL15)-AC207</f>
        <v>0</v>
      </c>
      <c r="AD213" s="1372">
        <f ca="1">('GAAP Financial Statements'!AM23+'GAAP Financial Statements'!AM16+'GAAP Financial Statements'!AM15)-AD207</f>
        <v>0</v>
      </c>
      <c r="AE213" s="1372">
        <f ca="1">('GAAP Financial Statements'!AN23+'GAAP Financial Statements'!AN16+'GAAP Financial Statements'!AN15)-AE207</f>
        <v>0</v>
      </c>
      <c r="AF213" s="1372"/>
      <c r="AG213" s="1372"/>
      <c r="AH213" s="1372"/>
      <c r="AI213" s="1372"/>
      <c r="AJ213" s="1372"/>
      <c r="AK213" s="1372"/>
      <c r="AL213" s="1108"/>
      <c r="AM213" s="1372"/>
      <c r="AN213" s="1372"/>
      <c r="AO213" s="1372"/>
      <c r="AP213" s="1372"/>
      <c r="AQ213" s="1372"/>
      <c r="AR213" s="1372"/>
      <c r="AS213" s="1372"/>
      <c r="AT213" s="1372"/>
      <c r="AU213" s="1372"/>
      <c r="AV213" s="1372"/>
      <c r="AW213" s="1372"/>
      <c r="AX213" s="1372"/>
      <c r="AY213" s="1372"/>
      <c r="AZ213" s="1372"/>
      <c r="BA213" s="1372"/>
      <c r="BB213" s="1372"/>
      <c r="BC213" s="1372"/>
      <c r="BD213" s="1372"/>
      <c r="BE213" s="1372"/>
      <c r="BF213" s="1372"/>
      <c r="BG213" s="1372">
        <f>('GAAP Financial Statements'!BP23+'GAAP Financial Statements'!BP16+'GAAP Financial Statements'!BP15)-BG207</f>
        <v>0</v>
      </c>
      <c r="BH213" s="1372">
        <f>('GAAP Financial Statements'!BQ23+'GAAP Financial Statements'!BQ16+'GAAP Financial Statements'!BQ15)-BH207</f>
        <v>0</v>
      </c>
      <c r="BI213" s="1372">
        <f>('GAAP Financial Statements'!BR23+'GAAP Financial Statements'!BR16+'GAAP Financial Statements'!BR15)-BI207</f>
        <v>-1.1368683772161603E-12</v>
      </c>
      <c r="BJ213" s="1372">
        <f>('GAAP Financial Statements'!BS23+'GAAP Financial Statements'!BS16+'GAAP Financial Statements'!BS15)-BJ207</f>
        <v>0</v>
      </c>
      <c r="BK213" s="1372"/>
      <c r="BL213" s="1372">
        <f>('GAAP Financial Statements'!BU23+'GAAP Financial Statements'!BU16+'GAAP Financial Statements'!BU15)-BL207</f>
        <v>0</v>
      </c>
      <c r="BM213" s="1372">
        <f>('GAAP Financial Statements'!BV23+'GAAP Financial Statements'!BV16+'GAAP Financial Statements'!BV15)-BM207</f>
        <v>0</v>
      </c>
      <c r="BN213" s="1372">
        <f>('GAAP Financial Statements'!BW23+'GAAP Financial Statements'!BW16+'GAAP Financial Statements'!BW15)-BN207</f>
        <v>0</v>
      </c>
      <c r="BO213" s="1372">
        <f>('GAAP Financial Statements'!BX23+'GAAP Financial Statements'!BX16+'GAAP Financial Statements'!BX15)-BO207</f>
        <v>0</v>
      </c>
      <c r="BP213" s="1372"/>
      <c r="BQ213" s="1372">
        <f>('GAAP Financial Statements'!BZ23+'GAAP Financial Statements'!BZ16+'GAAP Financial Statements'!BZ15)-BQ207</f>
        <v>0</v>
      </c>
      <c r="BR213" s="1372">
        <f>('GAAP Financial Statements'!CA23+'GAAP Financial Statements'!CA16+'GAAP Financial Statements'!CA15)-BR207</f>
        <v>0</v>
      </c>
      <c r="BS213" s="1372">
        <f>('GAAP Financial Statements'!CB23+'GAAP Financial Statements'!CB16+'GAAP Financial Statements'!CB15)-BS207</f>
        <v>0</v>
      </c>
      <c r="BT213" s="1372">
        <f>('GAAP Financial Statements'!CC23+'GAAP Financial Statements'!CC16+'GAAP Financial Statements'!CC15)-BT207</f>
        <v>0</v>
      </c>
      <c r="BU213" s="1108"/>
      <c r="BV213" s="1372">
        <f>('GAAP Financial Statements'!CE23+'GAAP Financial Statements'!CE16+'GAAP Financial Statements'!CE15)-BV207</f>
        <v>0</v>
      </c>
      <c r="BW213" s="1372">
        <f>('GAAP Financial Statements'!CF23+'GAAP Financial Statements'!CF16+'GAAP Financial Statements'!CF15)-BW207</f>
        <v>0</v>
      </c>
      <c r="BX213" s="1372">
        <f>('GAAP Financial Statements'!CG23+'GAAP Financial Statements'!CG16+'GAAP Financial Statements'!CG15)-BX207</f>
        <v>0</v>
      </c>
      <c r="BY213" s="1372">
        <f>('GAAP Financial Statements'!CH23+'GAAP Financial Statements'!CH16+'GAAP Financial Statements'!CH15)-BY207</f>
        <v>0</v>
      </c>
      <c r="BZ213" s="1108"/>
      <c r="CA213" s="1372">
        <f>('GAAP Financial Statements'!CJ23+'GAAP Financial Statements'!CJ16+'GAAP Financial Statements'!CJ15)-CA207</f>
        <v>0</v>
      </c>
      <c r="CB213" s="1372">
        <f>('GAAP Financial Statements'!CK23+'GAAP Financial Statements'!CK16+'GAAP Financial Statements'!CK15)-CB207</f>
        <v>0</v>
      </c>
      <c r="CC213" s="1372">
        <f>('GAAP Financial Statements'!CL23+'GAAP Financial Statements'!CL16+'GAAP Financial Statements'!CL15)-CC207</f>
        <v>0</v>
      </c>
      <c r="CD213" s="1372">
        <f>('GAAP Financial Statements'!CM23+'GAAP Financial Statements'!CM16+'GAAP Financial Statements'!CM15)-CD207</f>
        <v>0</v>
      </c>
      <c r="CE213" s="1108"/>
      <c r="CF213" s="1798">
        <f>('GAAP Financial Statements'!CO23+'GAAP Financial Statements'!CO16+'GAAP Financial Statements'!CO15)-CF207</f>
        <v>0</v>
      </c>
      <c r="CG213" s="1798">
        <f>('GAAP Financial Statements'!CP23+'GAAP Financial Statements'!CP16+'GAAP Financial Statements'!CP15)-CG207</f>
        <v>0</v>
      </c>
      <c r="CH213" s="1798">
        <f>('GAAP Financial Statements'!CQ23+'GAAP Financial Statements'!CQ16+'GAAP Financial Statements'!CQ15)-CH207</f>
        <v>0</v>
      </c>
      <c r="CI213" s="1798">
        <f>('GAAP Financial Statements'!CR23+'GAAP Financial Statements'!CR16+'GAAP Financial Statements'!CR15)-CI207</f>
        <v>0</v>
      </c>
      <c r="CJ213" s="1108"/>
      <c r="CK213" s="1790">
        <f>('GAAP Financial Statements'!CT23+'GAAP Financial Statements'!CT16+'GAAP Financial Statements'!CT15)-CK207</f>
        <v>0</v>
      </c>
      <c r="CL213" s="1790">
        <f>('GAAP Financial Statements'!CU23+'GAAP Financial Statements'!CU16+'GAAP Financial Statements'!CU15)-CL207</f>
        <v>0</v>
      </c>
      <c r="CM213" s="1790">
        <f>('GAAP Financial Statements'!CV23+'GAAP Financial Statements'!CV16+'GAAP Financial Statements'!CV15)-CM207</f>
        <v>0</v>
      </c>
      <c r="CN213" s="1790">
        <f>('GAAP Financial Statements'!CW23+'GAAP Financial Statements'!CW16+'GAAP Financial Statements'!CW15)-CN207</f>
        <v>0</v>
      </c>
      <c r="CO213" s="1108"/>
      <c r="CP213" s="1790">
        <f>('GAAP Financial Statements'!CY23+'GAAP Financial Statements'!CY16+'GAAP Financial Statements'!CY15)-CP207</f>
        <v>0</v>
      </c>
      <c r="CQ213" s="1790">
        <f>('GAAP Financial Statements'!CZ23+'GAAP Financial Statements'!CZ16+'GAAP Financial Statements'!CZ15)-CQ207</f>
        <v>0</v>
      </c>
      <c r="CR213" s="1790">
        <f>('GAAP Financial Statements'!DA23+'GAAP Financial Statements'!DA16+'GAAP Financial Statements'!DA15)-CR207</f>
        <v>0</v>
      </c>
      <c r="CS213" s="1790">
        <f>('GAAP Financial Statements'!DB23+'GAAP Financial Statements'!DB16+'GAAP Financial Statements'!DB15)-CS207</f>
        <v>0</v>
      </c>
      <c r="CT213" s="1108"/>
      <c r="CU213" s="2840">
        <f ca="1">('GAAP Financial Statements'!DD23+'GAAP Financial Statements'!DD16+'GAAP Financial Statements'!DD15)-CU207</f>
        <v>0</v>
      </c>
      <c r="CV213" s="2840">
        <f ca="1">('GAAP Financial Statements'!DE23+'GAAP Financial Statements'!DE16+'GAAP Financial Statements'!DE15)-CV207</f>
        <v>0</v>
      </c>
      <c r="CW213" s="2840">
        <f ca="1">('GAAP Financial Statements'!DF23+'GAAP Financial Statements'!DF16+'GAAP Financial Statements'!DF15)-CW207</f>
        <v>0</v>
      </c>
      <c r="CX213" s="2840">
        <f ca="1">('GAAP Financial Statements'!DG23+'GAAP Financial Statements'!DG16+'GAAP Financial Statements'!DG15)-CX207</f>
        <v>0</v>
      </c>
      <c r="CY213" s="2862"/>
      <c r="CZ213" s="2840">
        <f>('GAAP Financial Statements'!DI23+'GAAP Financial Statements'!DI16+'GAAP Financial Statements'!DI15)-CZ207</f>
        <v>0</v>
      </c>
      <c r="DA213" s="2840">
        <f>('GAAP Financial Statements'!DJ23+'GAAP Financial Statements'!DJ16+'GAAP Financial Statements'!DJ15)-DA207</f>
        <v>0</v>
      </c>
      <c r="DB213" s="2840">
        <f>('GAAP Financial Statements'!DK23+'GAAP Financial Statements'!DK16+'GAAP Financial Statements'!DK15)-DB207</f>
        <v>0</v>
      </c>
      <c r="DC213" s="2840">
        <f ca="1">('GAAP Financial Statements'!DL23+'GAAP Financial Statements'!DL16+'GAAP Financial Statements'!DL15)-DC207</f>
        <v>0</v>
      </c>
      <c r="DD213" s="2835">
        <f t="shared" ca="1" si="357"/>
        <v>0</v>
      </c>
      <c r="DE213" s="2840">
        <f>('GAAP Financial Statements'!DN23+'GAAP Financial Statements'!DN16+'GAAP Financial Statements'!DN15)-DE207</f>
        <v>0</v>
      </c>
      <c r="DF213" s="2840">
        <f>('GAAP Financial Statements'!DO23+'GAAP Financial Statements'!DO16+'GAAP Financial Statements'!DO15)-DF207</f>
        <v>0</v>
      </c>
      <c r="DG213" s="2840">
        <f>('GAAP Financial Statements'!DP23+'GAAP Financial Statements'!DP16+'GAAP Financial Statements'!DP15)-DG207</f>
        <v>0</v>
      </c>
      <c r="DH213" s="2840">
        <f ca="1">('GAAP Financial Statements'!DQ23+'GAAP Financial Statements'!DQ16+'GAAP Financial Statements'!DQ15)-DH207</f>
        <v>0</v>
      </c>
      <c r="DI213" s="2835">
        <f t="shared" ca="1" si="307"/>
        <v>0</v>
      </c>
      <c r="DJ213" s="2862"/>
      <c r="DK213" s="1372"/>
      <c r="DL213" s="1108"/>
      <c r="DM213" s="1108"/>
      <c r="DN213" s="1108"/>
      <c r="DO213" s="1108"/>
      <c r="DP213" s="1108"/>
      <c r="DQ213" s="1108"/>
      <c r="DR213" s="1108"/>
      <c r="DS213" s="1108"/>
      <c r="DT213" s="1108"/>
    </row>
    <row r="214" spans="1:124">
      <c r="A214" s="1108" t="s">
        <v>723</v>
      </c>
      <c r="B214" s="1108"/>
      <c r="C214" s="1108"/>
      <c r="D214" s="1108"/>
      <c r="E214" s="1108"/>
      <c r="F214" s="1108"/>
      <c r="G214" s="1372"/>
      <c r="H214" s="1798">
        <f>'Segment Detail'!AE211-Drivers!H204</f>
        <v>0</v>
      </c>
      <c r="I214" s="1798">
        <f>'Segment Detail'!AF211-Drivers!I204</f>
        <v>0</v>
      </c>
      <c r="J214" s="1798">
        <f>'Segment Detail'!AG211-Drivers!J204</f>
        <v>0</v>
      </c>
      <c r="K214" s="1798">
        <f>'Segment Detail'!AH211-Drivers!K204</f>
        <v>0</v>
      </c>
      <c r="L214" s="1798">
        <f>'Segment Detail'!AI211-Drivers!L204</f>
        <v>0</v>
      </c>
      <c r="M214" s="1798">
        <f>'Segment Detail'!AJ211-Drivers!M204</f>
        <v>0</v>
      </c>
      <c r="N214" s="1798">
        <f>'Segment Detail'!AK211-Drivers!N204</f>
        <v>0</v>
      </c>
      <c r="O214" s="2735"/>
      <c r="P214" s="2794"/>
      <c r="Q214" s="2791">
        <f>'Segment Detail'!AL211-Drivers!Q204</f>
        <v>0</v>
      </c>
      <c r="R214" s="2791">
        <f ca="1">'Segment Detail'!AM211-Drivers!R204</f>
        <v>0</v>
      </c>
      <c r="S214" s="2794"/>
      <c r="T214" s="2522">
        <f ca="1">'Segment Detail'!AN211-Drivers!T204</f>
        <v>0</v>
      </c>
      <c r="U214" s="2522">
        <f ca="1">'Segment Detail'!AO211-Drivers!U204</f>
        <v>0</v>
      </c>
      <c r="V214" s="2522">
        <f ca="1">'Segment Detail'!AP211-Drivers!V204</f>
        <v>0</v>
      </c>
      <c r="W214" s="1798">
        <f ca="1">'Segment Detail'!AQ211-Drivers!W204</f>
        <v>0</v>
      </c>
      <c r="X214" s="1798">
        <f ca="1">'Segment Detail'!AR211-Drivers!X204</f>
        <v>0</v>
      </c>
      <c r="Y214" s="1798">
        <f ca="1">'Segment Detail'!AS211-Drivers!Y204</f>
        <v>0</v>
      </c>
      <c r="Z214" s="1798">
        <f ca="1">'Segment Detail'!AT211-Drivers!Z204</f>
        <v>0</v>
      </c>
      <c r="AA214" s="1798">
        <f ca="1">'Segment Detail'!AU211-Drivers!AA204</f>
        <v>0</v>
      </c>
      <c r="AB214" s="1798">
        <f ca="1">'Segment Detail'!AV211-Drivers!AB204</f>
        <v>0</v>
      </c>
      <c r="AC214" s="1798">
        <f ca="1">'Segment Detail'!AW211-Drivers!AC204</f>
        <v>0</v>
      </c>
      <c r="AD214" s="1798">
        <f ca="1">'Segment Detail'!AX211-Drivers!AD204</f>
        <v>0</v>
      </c>
      <c r="AE214" s="1798">
        <f ca="1">'Segment Detail'!AY211-Drivers!AE204</f>
        <v>0</v>
      </c>
      <c r="AF214" s="1798"/>
      <c r="AG214" s="1798"/>
      <c r="AH214" s="1798"/>
      <c r="AI214" s="1798"/>
      <c r="AJ214" s="1798"/>
      <c r="AK214" s="1798"/>
      <c r="AL214" s="1108"/>
      <c r="AM214" s="1108"/>
      <c r="AN214" s="1108"/>
      <c r="AO214" s="1108"/>
      <c r="AP214" s="1108"/>
      <c r="AQ214" s="1741"/>
      <c r="AR214" s="1108"/>
      <c r="AS214" s="1108"/>
      <c r="AT214" s="1108"/>
      <c r="AU214" s="1108"/>
      <c r="AV214" s="1741"/>
      <c r="AW214" s="1108"/>
      <c r="AX214" s="1108"/>
      <c r="AY214" s="1108"/>
      <c r="AZ214" s="1108"/>
      <c r="BA214" s="1741"/>
      <c r="BB214" s="1108"/>
      <c r="BC214" s="1108"/>
      <c r="BD214" s="1108"/>
      <c r="BE214" s="1108"/>
      <c r="BF214" s="1741"/>
      <c r="BG214" s="1372">
        <f>'Segment Detail'!DI211-Drivers!BG204</f>
        <v>0</v>
      </c>
      <c r="BH214" s="1372">
        <f>'Segment Detail'!DJ211-Drivers!BH204</f>
        <v>0</v>
      </c>
      <c r="BI214" s="1372">
        <f>'Segment Detail'!DK211-Drivers!BI204</f>
        <v>0</v>
      </c>
      <c r="BJ214" s="1798">
        <f>'Segment Detail'!DL211-Drivers!BJ204</f>
        <v>0</v>
      </c>
      <c r="BK214" s="1741"/>
      <c r="BL214" s="1798">
        <f>'Segment Detail'!DN211-Drivers!BL204</f>
        <v>0</v>
      </c>
      <c r="BM214" s="1798">
        <f>'Segment Detail'!DO211-Drivers!BM204</f>
        <v>0</v>
      </c>
      <c r="BN214" s="1798">
        <f>'Segment Detail'!DP211-Drivers!BN204</f>
        <v>0</v>
      </c>
      <c r="BO214" s="1798">
        <f>'Segment Detail'!DQ211-Drivers!BO204</f>
        <v>0</v>
      </c>
      <c r="BP214" s="1741"/>
      <c r="BQ214" s="1798">
        <f>'Segment Detail'!DS211-Drivers!BQ204</f>
        <v>0</v>
      </c>
      <c r="BR214" s="1798">
        <f>'Segment Detail'!DT211-Drivers!BR204</f>
        <v>0</v>
      </c>
      <c r="BS214" s="1798">
        <f>'Segment Detail'!DU211-Drivers!BS204</f>
        <v>0</v>
      </c>
      <c r="BT214" s="1798">
        <f>'Segment Detail'!DV211-Drivers!BT204</f>
        <v>0</v>
      </c>
      <c r="BU214" s="1108"/>
      <c r="BV214" s="1798">
        <f>'Segment Detail'!DX211-Drivers!BV204</f>
        <v>0</v>
      </c>
      <c r="BW214" s="1798">
        <f>'Segment Detail'!DY211-Drivers!BW204</f>
        <v>0</v>
      </c>
      <c r="BX214" s="1798">
        <f>'Segment Detail'!DZ211-Drivers!BX204</f>
        <v>0</v>
      </c>
      <c r="BY214" s="1798">
        <f>'Segment Detail'!EA211-Drivers!BY204</f>
        <v>0</v>
      </c>
      <c r="BZ214" s="1108"/>
      <c r="CA214" s="1798">
        <f>'Segment Detail'!EC211-Drivers!CA204</f>
        <v>0</v>
      </c>
      <c r="CB214" s="1798">
        <f>'Segment Detail'!ED211-Drivers!CB204</f>
        <v>0</v>
      </c>
      <c r="CC214" s="1798">
        <f>'Segment Detail'!EE211-Drivers!CC204</f>
        <v>0</v>
      </c>
      <c r="CD214" s="1798">
        <f>'Segment Detail'!EF211-Drivers!CD204</f>
        <v>0</v>
      </c>
      <c r="CE214" s="1108"/>
      <c r="CF214" s="1798">
        <f>'Segment Detail'!EH211-Drivers!CF204</f>
        <v>0</v>
      </c>
      <c r="CG214" s="1798">
        <f>'Segment Detail'!EI211-Drivers!CG204</f>
        <v>0</v>
      </c>
      <c r="CH214" s="1798">
        <f>'Segment Detail'!EJ211-Drivers!CH204</f>
        <v>0</v>
      </c>
      <c r="CI214" s="1798">
        <f>'Segment Detail'!EK211-Drivers!CI204</f>
        <v>0</v>
      </c>
      <c r="CJ214" s="1108"/>
      <c r="CK214" s="1790">
        <f>'Segment Detail'!EM211-Drivers!CK204</f>
        <v>0</v>
      </c>
      <c r="CL214" s="1790">
        <f>'Segment Detail'!EN211-Drivers!CL204</f>
        <v>0</v>
      </c>
      <c r="CM214" s="1790">
        <f>'Segment Detail'!EO211-Drivers!CM204</f>
        <v>0</v>
      </c>
      <c r="CN214" s="1790">
        <f>'Segment Detail'!EP211-Drivers!CN204</f>
        <v>0</v>
      </c>
      <c r="CO214" s="1108"/>
      <c r="CP214" s="1790">
        <f>'Segment Detail'!ER211-Drivers!CP204</f>
        <v>0</v>
      </c>
      <c r="CQ214" s="1790">
        <f>'Segment Detail'!ES211-Drivers!CQ204</f>
        <v>0</v>
      </c>
      <c r="CR214" s="1790">
        <f>'Segment Detail'!ET211-Drivers!CR204</f>
        <v>0</v>
      </c>
      <c r="CS214" s="1790">
        <f>'Segment Detail'!EU211-Drivers!CS204</f>
        <v>0</v>
      </c>
      <c r="CT214" s="1108"/>
      <c r="CU214" s="2840">
        <f ca="1">'Segment Detail'!EW211-'Segment Detail'!EW192-Drivers!CU204</f>
        <v>0</v>
      </c>
      <c r="CV214" s="2840">
        <f ca="1">'Segment Detail'!EX211-'Segment Detail'!EX192-Drivers!CV204</f>
        <v>0</v>
      </c>
      <c r="CW214" s="2840">
        <f ca="1">'Segment Detail'!EY211-'Segment Detail'!EY192-Drivers!CW204</f>
        <v>0</v>
      </c>
      <c r="CX214" s="2840">
        <f ca="1">'Segment Detail'!EZ211-'Segment Detail'!EZ192-Drivers!CX204</f>
        <v>0</v>
      </c>
      <c r="CY214" s="2862"/>
      <c r="CZ214" s="2840">
        <f>'Segment Detail'!FB211-Drivers!CZ204</f>
        <v>0</v>
      </c>
      <c r="DA214" s="2840">
        <f>'Segment Detail'!FC211-Drivers!DA204</f>
        <v>0</v>
      </c>
      <c r="DB214" s="2840">
        <f>'Segment Detail'!FD211-Drivers!DB204</f>
        <v>0</v>
      </c>
      <c r="DC214" s="2840">
        <f ca="1">'Segment Detail'!FE211-Drivers!DC204</f>
        <v>0</v>
      </c>
      <c r="DD214" s="2835">
        <f t="shared" ca="1" si="357"/>
        <v>0</v>
      </c>
      <c r="DE214" s="2840">
        <f>'Segment Detail'!FG211-Drivers!DE204</f>
        <v>0</v>
      </c>
      <c r="DF214" s="2840">
        <f>'Segment Detail'!FH211-Drivers!DF204</f>
        <v>0</v>
      </c>
      <c r="DG214" s="2840">
        <f>'Segment Detail'!FI211-Drivers!DG204</f>
        <v>0</v>
      </c>
      <c r="DH214" s="2840">
        <f ca="1">'Segment Detail'!FJ211-Drivers!DH204</f>
        <v>0</v>
      </c>
      <c r="DI214" s="2835">
        <f t="shared" ca="1" si="307"/>
        <v>0</v>
      </c>
      <c r="DJ214" s="2862"/>
      <c r="DK214" s="1798"/>
      <c r="DL214" s="1108"/>
      <c r="DM214" s="1108"/>
      <c r="DN214" s="1108"/>
      <c r="DO214" s="1108"/>
      <c r="DP214" s="1108"/>
      <c r="DQ214" s="1108"/>
      <c r="DR214" s="1108"/>
      <c r="DS214" s="1108"/>
      <c r="DT214" s="1108"/>
    </row>
    <row r="215" spans="1:124" ht="11.25" customHeight="1">
      <c r="A215" s="1642"/>
      <c r="B215" s="1642"/>
      <c r="C215" s="1642"/>
      <c r="D215" s="1642"/>
      <c r="E215" s="1108"/>
      <c r="F215" s="1108"/>
      <c r="G215" s="1108"/>
      <c r="H215" s="1108"/>
      <c r="I215" s="1108"/>
      <c r="J215" s="1108"/>
      <c r="K215" s="1108"/>
      <c r="L215" s="1108"/>
      <c r="M215" s="1108"/>
      <c r="N215" s="1108"/>
      <c r="O215" s="2709"/>
      <c r="P215" s="2709"/>
      <c r="Q215" s="1470"/>
      <c r="R215" s="1470"/>
      <c r="S215" s="2709"/>
      <c r="T215" s="1470"/>
      <c r="U215" s="1470"/>
      <c r="V215" s="1470"/>
      <c r="W215" s="1470"/>
      <c r="X215" s="1470"/>
      <c r="Y215" s="1470"/>
      <c r="Z215" s="1470"/>
      <c r="AA215" s="1470"/>
      <c r="AB215" s="1470"/>
      <c r="AC215" s="1470"/>
      <c r="AD215" s="1470"/>
      <c r="AE215" s="1470"/>
      <c r="AF215" s="1798"/>
      <c r="AG215" s="1798"/>
      <c r="AH215" s="1798"/>
      <c r="AI215" s="1798"/>
      <c r="AJ215" s="1798"/>
      <c r="AK215" s="1798"/>
      <c r="AL215" s="1108"/>
      <c r="AM215" s="1108"/>
      <c r="AN215" s="1108"/>
      <c r="AO215" s="1108"/>
      <c r="AP215" s="1108"/>
      <c r="AQ215" s="1741"/>
      <c r="AR215" s="1108"/>
      <c r="AS215" s="1108"/>
      <c r="AT215" s="1108"/>
      <c r="AU215" s="1108"/>
      <c r="AV215" s="1741"/>
      <c r="AW215" s="1108"/>
      <c r="AX215" s="1108"/>
      <c r="AY215" s="1108"/>
      <c r="AZ215" s="1108"/>
      <c r="BA215" s="1741"/>
      <c r="BB215" s="1108"/>
      <c r="BC215" s="1108"/>
      <c r="BD215" s="1108"/>
      <c r="BE215" s="1108"/>
      <c r="BF215" s="1741"/>
      <c r="BG215" s="1108"/>
      <c r="BH215" s="1108"/>
      <c r="BI215" s="1108"/>
      <c r="BJ215" s="1108"/>
      <c r="BK215" s="1741"/>
      <c r="BL215" s="1108"/>
      <c r="BM215" s="1108"/>
      <c r="BN215" s="1108"/>
      <c r="BO215" s="1108"/>
      <c r="BP215" s="1108"/>
      <c r="BQ215" s="1108"/>
      <c r="BR215" s="1108"/>
      <c r="BS215" s="1108"/>
      <c r="BT215" s="1108"/>
      <c r="BU215" s="1108"/>
      <c r="BV215" s="1108"/>
      <c r="BW215" s="1108"/>
      <c r="BX215" s="1108"/>
      <c r="BY215" s="1108"/>
      <c r="BZ215" s="1108"/>
      <c r="CA215" s="1108"/>
      <c r="CB215" s="1108"/>
      <c r="CC215" s="1108"/>
      <c r="CD215" s="1108"/>
      <c r="CE215" s="1108"/>
      <c r="CF215" s="1108"/>
      <c r="CG215" s="1108"/>
      <c r="CH215" s="1108"/>
      <c r="CI215" s="1108"/>
      <c r="CJ215" s="1108"/>
      <c r="CK215" s="1108"/>
      <c r="CL215" s="1108"/>
      <c r="CM215" s="1108"/>
      <c r="CN215" s="1108"/>
      <c r="CO215" s="1108"/>
      <c r="CP215" s="1108"/>
      <c r="CQ215" s="1108"/>
      <c r="CR215" s="1108"/>
      <c r="CS215" s="1108"/>
      <c r="CT215" s="1108"/>
      <c r="CU215" s="2862"/>
      <c r="CV215" s="2862"/>
      <c r="CW215" s="2862"/>
      <c r="CX215" s="2862"/>
      <c r="CY215" s="2862"/>
      <c r="CZ215" s="2862"/>
      <c r="DA215" s="2862"/>
      <c r="DB215" s="2862"/>
      <c r="DC215" s="2862"/>
      <c r="DD215" s="2835"/>
      <c r="DE215" s="2835"/>
      <c r="DF215" s="2835"/>
      <c r="DG215" s="2835"/>
      <c r="DH215" s="2835"/>
      <c r="DI215" s="2835"/>
      <c r="DJ215" s="2862"/>
      <c r="DK215" s="1108"/>
      <c r="DL215" s="1108"/>
      <c r="DM215" s="1108"/>
      <c r="DN215" s="1108"/>
      <c r="DO215" s="1108"/>
      <c r="DP215" s="1108"/>
      <c r="DQ215" s="1108"/>
      <c r="DR215" s="1108"/>
      <c r="DS215" s="1108"/>
      <c r="DT215" s="1108"/>
    </row>
    <row r="216" spans="1:124" ht="11.25" customHeight="1">
      <c r="A216" s="1477" t="s">
        <v>1238</v>
      </c>
      <c r="B216" s="1108"/>
      <c r="C216" s="1108"/>
      <c r="D216" s="1108"/>
      <c r="E216" s="1108"/>
      <c r="F216" s="1108"/>
      <c r="G216" s="1108"/>
      <c r="H216" s="1108"/>
      <c r="I216" s="1108"/>
      <c r="J216" s="1108"/>
      <c r="K216" s="1108"/>
      <c r="L216" s="1108"/>
      <c r="M216" s="1108"/>
      <c r="N216" s="1108"/>
      <c r="O216" s="2709"/>
      <c r="P216" s="2709"/>
      <c r="Q216" s="1470"/>
      <c r="R216" s="1470"/>
      <c r="S216" s="2709"/>
      <c r="T216" s="1470"/>
      <c r="U216" s="1470"/>
      <c r="V216" s="1470"/>
      <c r="W216" s="1470"/>
      <c r="X216" s="1470"/>
      <c r="Y216" s="1470"/>
      <c r="Z216" s="1470"/>
      <c r="AA216" s="1470"/>
      <c r="AB216" s="1470"/>
      <c r="AC216" s="1470"/>
      <c r="AD216" s="1470"/>
      <c r="AE216" s="1798"/>
      <c r="AF216" s="1798"/>
      <c r="AG216" s="1798"/>
      <c r="AH216" s="1798"/>
      <c r="AI216" s="1798"/>
      <c r="AJ216" s="1798"/>
      <c r="AK216" s="1798"/>
      <c r="AL216" s="1108"/>
      <c r="AM216" s="1108"/>
      <c r="AN216" s="1108"/>
      <c r="AO216" s="1108"/>
      <c r="AP216" s="1108"/>
      <c r="AQ216" s="1741"/>
      <c r="AR216" s="1108"/>
      <c r="AS216" s="1108"/>
      <c r="AT216" s="1108"/>
      <c r="AU216" s="1108"/>
      <c r="AV216" s="1741"/>
      <c r="AW216" s="1108"/>
      <c r="AX216" s="1108"/>
      <c r="AY216" s="1108"/>
      <c r="AZ216" s="1108"/>
      <c r="BA216" s="1741"/>
      <c r="BB216" s="1108"/>
      <c r="BC216" s="1108"/>
      <c r="BD216" s="1108"/>
      <c r="BE216" s="1108"/>
      <c r="BF216" s="1741"/>
      <c r="BG216" s="1108"/>
      <c r="BH216" s="1108"/>
      <c r="BI216" s="1108"/>
      <c r="BJ216" s="1108"/>
      <c r="BK216" s="1741"/>
      <c r="BL216" s="1108"/>
      <c r="BM216" s="1108"/>
      <c r="BN216" s="1108"/>
      <c r="BO216" s="1108"/>
      <c r="BP216" s="1108"/>
      <c r="BQ216" s="1108"/>
      <c r="BR216" s="1108"/>
      <c r="BS216" s="1108"/>
      <c r="BT216" s="1108"/>
      <c r="BU216" s="1108"/>
      <c r="BV216" s="1108"/>
      <c r="BW216" s="1108"/>
      <c r="BX216" s="1108"/>
      <c r="BY216" s="1108"/>
      <c r="BZ216" s="1108"/>
      <c r="CA216" s="1108"/>
      <c r="CB216" s="1108"/>
      <c r="CC216" s="1108"/>
      <c r="CD216" s="1108"/>
      <c r="CE216" s="1108"/>
      <c r="CF216" s="1108"/>
      <c r="CG216" s="1108"/>
      <c r="CH216" s="1108"/>
      <c r="CI216" s="1108"/>
      <c r="CJ216" s="1108"/>
      <c r="CK216" s="1108"/>
      <c r="CL216" s="1108"/>
      <c r="CM216" s="1108"/>
      <c r="CN216" s="1108"/>
      <c r="CO216" s="1108"/>
      <c r="CP216" s="1108"/>
      <c r="CQ216" s="1108"/>
      <c r="CR216" s="1108"/>
      <c r="CS216" s="1108"/>
      <c r="CT216" s="1108"/>
      <c r="CU216" s="1108"/>
      <c r="CV216" s="1108"/>
      <c r="CW216" s="1108"/>
      <c r="CX216" s="2862"/>
      <c r="CY216" s="2862"/>
      <c r="CZ216" s="2862"/>
      <c r="DA216" s="2862"/>
      <c r="DB216" s="2862"/>
      <c r="DC216" s="2862"/>
      <c r="DD216" s="2835"/>
      <c r="DE216" s="2835"/>
      <c r="DF216" s="2835"/>
      <c r="DG216" s="2835"/>
      <c r="DH216" s="2835"/>
      <c r="DI216" s="2835"/>
      <c r="DJ216" s="1108"/>
      <c r="DK216" s="11"/>
      <c r="DL216" s="1108"/>
      <c r="DM216" s="1108"/>
      <c r="DN216" s="11"/>
      <c r="DO216" s="11"/>
      <c r="DP216" s="11"/>
      <c r="DQ216" s="11"/>
      <c r="DR216" s="11"/>
      <c r="DS216" s="11"/>
      <c r="DT216" s="11"/>
    </row>
    <row r="217" spans="1:124">
      <c r="A217" s="1665"/>
      <c r="B217" s="1665"/>
      <c r="C217" s="1665"/>
      <c r="D217" s="1665"/>
      <c r="E217" s="1665"/>
      <c r="F217" s="1665"/>
      <c r="G217" s="1665"/>
      <c r="H217" s="1665"/>
      <c r="I217" s="1665"/>
      <c r="J217" s="1665"/>
      <c r="K217" s="1665"/>
      <c r="L217" s="1665"/>
      <c r="M217" s="1665"/>
      <c r="N217" s="2290" t="str">
        <f>N3</f>
        <v>2014A</v>
      </c>
      <c r="O217" s="2742" t="str">
        <f t="shared" ref="O217:AC217" si="361">O3</f>
        <v>2013PF</v>
      </c>
      <c r="P217" s="2742" t="str">
        <f t="shared" si="361"/>
        <v>2014 PF</v>
      </c>
      <c r="Q217" s="2290" t="str">
        <f t="shared" si="361"/>
        <v>2015A</v>
      </c>
      <c r="R217" s="2290" t="str">
        <f t="shared" si="361"/>
        <v>2016A</v>
      </c>
      <c r="S217" s="2742" t="s">
        <v>1760</v>
      </c>
      <c r="T217" s="2290" t="str">
        <f t="shared" si="361"/>
        <v>2017E</v>
      </c>
      <c r="U217" s="2290" t="str">
        <f t="shared" si="361"/>
        <v>2018E</v>
      </c>
      <c r="V217" s="2290" t="str">
        <f t="shared" si="361"/>
        <v>2019E</v>
      </c>
      <c r="W217" s="2290" t="str">
        <f t="shared" si="361"/>
        <v>2020E</v>
      </c>
      <c r="X217" s="2290" t="str">
        <f t="shared" si="361"/>
        <v>2021E</v>
      </c>
      <c r="Y217" s="2290" t="str">
        <f t="shared" si="361"/>
        <v>2022E</v>
      </c>
      <c r="Z217" s="2290" t="str">
        <f t="shared" si="361"/>
        <v>2023E</v>
      </c>
      <c r="AA217" s="2290" t="str">
        <f t="shared" si="361"/>
        <v>2024E</v>
      </c>
      <c r="AB217" s="2290" t="str">
        <f t="shared" si="361"/>
        <v>2025E</v>
      </c>
      <c r="AC217" s="2290" t="str">
        <f t="shared" si="361"/>
        <v>2026E</v>
      </c>
      <c r="AD217" s="2290" t="str">
        <f>AD3</f>
        <v>2027E</v>
      </c>
      <c r="AE217" s="2290" t="str">
        <f>AE3</f>
        <v>2028E</v>
      </c>
      <c r="AF217" s="1798"/>
      <c r="AG217" s="1798"/>
      <c r="AH217" s="1798"/>
      <c r="AI217" s="1798"/>
      <c r="AJ217" s="1798"/>
      <c r="AK217" s="1798"/>
      <c r="AL217" s="2899"/>
      <c r="AM217" s="2899"/>
      <c r="AN217" s="2899"/>
      <c r="AO217" s="2899"/>
      <c r="AP217" s="2899"/>
      <c r="AQ217" s="2899"/>
      <c r="AR217" s="2899"/>
      <c r="AS217" s="2899"/>
      <c r="AT217" s="2899"/>
      <c r="AU217" s="2899"/>
      <c r="AV217" s="2899"/>
      <c r="AW217" s="2899"/>
      <c r="AX217" s="2899"/>
      <c r="AY217" s="2899"/>
      <c r="AZ217" s="2899"/>
      <c r="BA217" s="2899"/>
      <c r="BB217" s="2899"/>
      <c r="BC217" s="2899"/>
      <c r="BD217" s="2899"/>
      <c r="BE217" s="2899"/>
      <c r="BF217" s="2899"/>
      <c r="BG217" s="2899"/>
      <c r="BH217" s="2899"/>
      <c r="BI217" s="2899"/>
      <c r="BJ217" s="2899"/>
      <c r="BK217" s="2899"/>
      <c r="BL217" s="2899"/>
      <c r="BM217" s="2899"/>
      <c r="BN217" s="2899"/>
      <c r="BO217" s="2899"/>
      <c r="BP217" s="2899"/>
      <c r="BQ217" s="2899"/>
      <c r="BR217" s="2899"/>
      <c r="BS217" s="2899"/>
      <c r="BT217" s="2899"/>
      <c r="BU217" s="2899"/>
      <c r="BV217" s="2899"/>
      <c r="BW217" s="2899"/>
      <c r="BX217" s="2899"/>
      <c r="BY217" s="2899"/>
      <c r="BZ217" s="2899"/>
      <c r="CA217" s="2899"/>
      <c r="CB217" s="2899"/>
      <c r="CC217" s="2899"/>
      <c r="CD217" s="2899"/>
      <c r="CE217" s="2899"/>
      <c r="CF217" s="2899"/>
      <c r="CG217" s="2899"/>
      <c r="CH217" s="2899"/>
      <c r="CI217" s="2899"/>
      <c r="CJ217" s="2899"/>
      <c r="CK217" s="2899"/>
      <c r="CL217" s="2899"/>
      <c r="CM217" s="2899"/>
      <c r="CN217" s="2899"/>
      <c r="CO217" s="2899"/>
      <c r="CP217" s="2899"/>
      <c r="CQ217" s="2899"/>
      <c r="CR217" s="2899"/>
      <c r="CS217" s="2899"/>
      <c r="CT217" s="2899"/>
      <c r="CU217" s="2899"/>
      <c r="CV217" s="2899"/>
      <c r="CW217" s="2899"/>
      <c r="CX217" s="2899"/>
      <c r="CY217" s="2899"/>
      <c r="CZ217" s="2899"/>
      <c r="DA217" s="2899"/>
      <c r="DB217" s="2899"/>
      <c r="DC217" s="2899"/>
      <c r="DD217" s="2862"/>
      <c r="DE217" s="2899"/>
      <c r="DF217" s="2899"/>
      <c r="DG217" s="2899"/>
      <c r="DH217" s="2899"/>
      <c r="DI217" s="2835"/>
      <c r="DJ217" s="1470"/>
      <c r="DK217" s="1470"/>
      <c r="DL217" s="1108"/>
      <c r="DM217" s="1108"/>
      <c r="DN217" s="11"/>
      <c r="DO217" s="11"/>
      <c r="DP217" s="11"/>
      <c r="DQ217" s="11"/>
      <c r="DR217" s="11"/>
      <c r="DS217" s="11"/>
      <c r="DT217" s="11"/>
    </row>
    <row r="218" spans="1:124">
      <c r="A218" s="1108" t="s">
        <v>317</v>
      </c>
      <c r="B218" s="1108"/>
      <c r="C218" s="1108"/>
      <c r="D218" s="1108"/>
      <c r="E218" s="1108"/>
      <c r="F218" s="1108"/>
      <c r="G218" s="1650">
        <f>+G123</f>
        <v>1674.7019519435262</v>
      </c>
      <c r="H218" s="1650">
        <f>+H123</f>
        <v>1411.2999999999997</v>
      </c>
      <c r="I218" s="1650">
        <f>SUM(BL218:BO218)</f>
        <v>1137.3</v>
      </c>
      <c r="J218" s="1650">
        <f>SUM(BQ218:BT218)</f>
        <v>1446.1480000000001</v>
      </c>
      <c r="K218" s="1778">
        <f>SUM(BV218:BY218)</f>
        <v>1348.8</v>
      </c>
      <c r="L218" s="1778">
        <f>SUM(CA218:CD218)</f>
        <v>1460.6</v>
      </c>
      <c r="M218" s="1778">
        <f>SUM(CF218:CI218)</f>
        <v>1389.6</v>
      </c>
      <c r="N218" s="1778">
        <f>SUM(CK218:CN218)</f>
        <v>1453</v>
      </c>
      <c r="O218" s="2743">
        <f>M218</f>
        <v>1389.6</v>
      </c>
      <c r="P218" s="2743">
        <f>N218</f>
        <v>1453</v>
      </c>
      <c r="Q218" s="1778">
        <f t="shared" ref="Q218:Q226" si="362">SUM(CP218:CS218)</f>
        <v>1592</v>
      </c>
      <c r="R218" s="1778">
        <f t="shared" ref="R218:R224" si="363">SUM(CU218:CX218)</f>
        <v>1779</v>
      </c>
      <c r="S218" s="2743">
        <f>R218</f>
        <v>1779</v>
      </c>
      <c r="T218" s="1778">
        <f>SUM(CZ218:DC218)</f>
        <v>1700.741161422897</v>
      </c>
      <c r="U218" s="1778">
        <f>SUM(DE218:DH218)</f>
        <v>1920.5893655468399</v>
      </c>
      <c r="V218" s="1650">
        <f t="shared" ref="V218:AB218" si="364">+V123</f>
        <v>2025.7623154034393</v>
      </c>
      <c r="W218" s="1650">
        <f t="shared" si="364"/>
        <v>2435.2873748755487</v>
      </c>
      <c r="X218" s="1650">
        <f t="shared" si="364"/>
        <v>2524.3851475984839</v>
      </c>
      <c r="Y218" s="1650">
        <f t="shared" si="364"/>
        <v>2746.943930220737</v>
      </c>
      <c r="Z218" s="1650">
        <f t="shared" si="364"/>
        <v>2701.1471433444613</v>
      </c>
      <c r="AA218" s="1650">
        <f t="shared" si="364"/>
        <v>2905.0513232198464</v>
      </c>
      <c r="AB218" s="1650">
        <f t="shared" si="364"/>
        <v>2882.1072827233056</v>
      </c>
      <c r="AC218" s="1650">
        <f>+AC123</f>
        <v>2995.8345860373629</v>
      </c>
      <c r="AD218" s="1650">
        <f>+AD123</f>
        <v>2976.5813110999084</v>
      </c>
      <c r="AE218" s="1650">
        <f>+AE123</f>
        <v>3233.1004596241578</v>
      </c>
      <c r="AF218" s="1798"/>
      <c r="AG218" s="1798"/>
      <c r="AH218" s="1798"/>
      <c r="AI218" s="1798"/>
      <c r="AJ218" s="1798"/>
      <c r="AK218" s="1798"/>
      <c r="AL218" s="1108" t="s">
        <v>317</v>
      </c>
      <c r="AM218" s="1108"/>
      <c r="AN218" s="1108"/>
      <c r="AO218" s="1108"/>
      <c r="AP218" s="1108"/>
      <c r="AQ218" s="1741"/>
      <c r="AR218" s="1108"/>
      <c r="AS218" s="1108"/>
      <c r="AT218" s="1108"/>
      <c r="AU218" s="1108"/>
      <c r="AV218" s="1741"/>
      <c r="AW218" s="1108"/>
      <c r="AX218" s="1108"/>
      <c r="AY218" s="1108"/>
      <c r="AZ218" s="1108"/>
      <c r="BA218" s="1741"/>
      <c r="BB218" s="1650">
        <f>+BB123</f>
        <v>437.29488348861855</v>
      </c>
      <c r="BC218" s="1650">
        <f>+BC123</f>
        <v>437.41293503010274</v>
      </c>
      <c r="BD218" s="1650">
        <f>+BD123</f>
        <v>421.2512227174127</v>
      </c>
      <c r="BE218" s="1650">
        <f>+BE123</f>
        <v>378.74291070739207</v>
      </c>
      <c r="BF218" s="1741"/>
      <c r="BG218" s="1650">
        <f>+BG123</f>
        <v>369.79999999999995</v>
      </c>
      <c r="BH218" s="1650">
        <f>+BH123</f>
        <v>359</v>
      </c>
      <c r="BI218" s="1650">
        <f>+BI123</f>
        <v>313.39999999999998</v>
      </c>
      <c r="BJ218" s="1650">
        <f>+BJ123</f>
        <v>369.09999999999997</v>
      </c>
      <c r="BK218" s="1741"/>
      <c r="BL218" s="1650">
        <f>+BL123</f>
        <v>250.7</v>
      </c>
      <c r="BM218" s="1650">
        <f>+BM123</f>
        <v>257.5</v>
      </c>
      <c r="BN218" s="1650">
        <f>+BN123</f>
        <v>270.89999999999998</v>
      </c>
      <c r="BO218" s="1650">
        <f>+BO123</f>
        <v>358.2</v>
      </c>
      <c r="BP218" s="1741">
        <f>I218-SUM(BL218:BO218)</f>
        <v>0</v>
      </c>
      <c r="BQ218" s="1650">
        <f>+BQ123</f>
        <v>322.8</v>
      </c>
      <c r="BR218" s="1650">
        <f>+BR123</f>
        <v>337.90000000000003</v>
      </c>
      <c r="BS218" s="1650">
        <f>+BS123</f>
        <v>330.79999999999995</v>
      </c>
      <c r="BT218" s="1650">
        <f>+BT123</f>
        <v>454.64800000000002</v>
      </c>
      <c r="BU218" s="2188">
        <f>J218-SUM(BQ218:BT218)</f>
        <v>0</v>
      </c>
      <c r="BV218" s="1650">
        <f>+BV123</f>
        <v>326.99199999999996</v>
      </c>
      <c r="BW218" s="1650">
        <f>+BW123</f>
        <v>338.78950000000003</v>
      </c>
      <c r="BX218" s="1650">
        <f>+BX123</f>
        <v>309.5</v>
      </c>
      <c r="BY218" s="1650">
        <f>+BY123</f>
        <v>373.5184999999999</v>
      </c>
      <c r="BZ218" s="2188">
        <f>K218-SUM(BV218:BY218)</f>
        <v>0</v>
      </c>
      <c r="CA218" s="1650">
        <f>+CA123</f>
        <v>333.87216000000001</v>
      </c>
      <c r="CB218" s="1650">
        <f>+CB123</f>
        <v>358.83371</v>
      </c>
      <c r="CC218" s="1650">
        <f>+CC123</f>
        <v>331.82499999999999</v>
      </c>
      <c r="CD218" s="1650">
        <f>+CD123</f>
        <v>436.06912999999986</v>
      </c>
      <c r="CE218" s="2188">
        <f>L218-SUM(CA218:CD218)</f>
        <v>0</v>
      </c>
      <c r="CF218" s="1650">
        <f>+CF123</f>
        <v>349.87216000000001</v>
      </c>
      <c r="CG218" s="1650">
        <f>+CG123</f>
        <v>352.83371</v>
      </c>
      <c r="CH218" s="1650">
        <f>+CH123</f>
        <v>308.61509022927538</v>
      </c>
      <c r="CI218" s="1650">
        <f>+CI123</f>
        <v>378.27903977072447</v>
      </c>
      <c r="CJ218" s="2188">
        <f>M218-SUM(CF218:CI218)</f>
        <v>0</v>
      </c>
      <c r="CK218" s="1649">
        <f>+CK123</f>
        <v>333.26211455999999</v>
      </c>
      <c r="CL218" s="1649">
        <f>+CL123</f>
        <v>337.09202450000004</v>
      </c>
      <c r="CM218" s="1649">
        <f>+CM123</f>
        <v>344.95601095110959</v>
      </c>
      <c r="CN218" s="1650">
        <f>+CN123</f>
        <v>437.68984998889027</v>
      </c>
      <c r="CO218" s="2188">
        <f t="shared" ref="CO218:CO226" si="365">$N218-SUM(CK218:CN218)</f>
        <v>0</v>
      </c>
      <c r="CP218" s="1649">
        <f>+CP123</f>
        <v>375</v>
      </c>
      <c r="CQ218" s="1649">
        <f>+CQ123</f>
        <v>387</v>
      </c>
      <c r="CR218" s="1649">
        <f>+CR123</f>
        <v>376</v>
      </c>
      <c r="CS218" s="1650">
        <f>+CS123</f>
        <v>454</v>
      </c>
      <c r="CT218" s="1741">
        <f t="shared" ref="CT218:CT227" si="366">$Q218-SUM(CP218:CS218)</f>
        <v>0</v>
      </c>
      <c r="CU218" s="1650">
        <f>+CU123</f>
        <v>448</v>
      </c>
      <c r="CV218" s="1650">
        <f>+CV123</f>
        <v>396</v>
      </c>
      <c r="CW218" s="1650">
        <f>+CW123</f>
        <v>409</v>
      </c>
      <c r="CX218" s="2996">
        <f>+CX123</f>
        <v>526</v>
      </c>
      <c r="CY218" s="2835">
        <f t="shared" ref="CY218:CY227" si="367">S218-SUM(CU218:CX218)</f>
        <v>0</v>
      </c>
      <c r="CZ218" s="2996">
        <f>+CZ123</f>
        <v>409</v>
      </c>
      <c r="DA218" s="2996">
        <f>+DA123</f>
        <v>412</v>
      </c>
      <c r="DB218" s="2996">
        <f>+DB123</f>
        <v>397</v>
      </c>
      <c r="DC218" s="2996">
        <f>+DC123</f>
        <v>482.74116142289699</v>
      </c>
      <c r="DD218" s="2835">
        <f t="shared" si="357"/>
        <v>0</v>
      </c>
      <c r="DE218" s="2996">
        <f t="shared" ref="DE218:DG218" si="368">+DE123</f>
        <v>449.61840248096553</v>
      </c>
      <c r="DF218" s="2996">
        <f t="shared" si="368"/>
        <v>444.07812600658212</v>
      </c>
      <c r="DG218" s="2996">
        <f t="shared" si="368"/>
        <v>452.71003181943894</v>
      </c>
      <c r="DH218" s="2996">
        <f>+DH123</f>
        <v>574.18280523985322</v>
      </c>
      <c r="DI218" s="2835">
        <f>U218-SUM(DE218:DH218)</f>
        <v>0</v>
      </c>
      <c r="DJ218" s="11"/>
      <c r="DK218" s="557"/>
      <c r="DL218" s="1108"/>
      <c r="DM218" s="1108"/>
      <c r="DN218" s="11"/>
      <c r="DO218" s="11"/>
      <c r="DP218" s="11"/>
      <c r="DQ218" s="11"/>
      <c r="DR218" s="11"/>
      <c r="DS218" s="11"/>
      <c r="DT218" s="11"/>
    </row>
    <row r="219" spans="1:124">
      <c r="A219" s="1108" t="s">
        <v>1433</v>
      </c>
      <c r="B219" s="1108"/>
      <c r="C219" s="1108"/>
      <c r="D219" s="1108"/>
      <c r="E219" s="1108"/>
      <c r="F219" s="1108"/>
      <c r="G219" s="1146">
        <f>+G12</f>
        <v>4395.7259545005963</v>
      </c>
      <c r="H219" s="1146">
        <f>+H12</f>
        <v>3885.1769222423109</v>
      </c>
      <c r="I219" s="1650">
        <f t="shared" ref="I219:I226" si="369">SUM(BL219:BO219)</f>
        <v>3847.1615952932957</v>
      </c>
      <c r="J219" s="1650">
        <f t="shared" ref="J219:J226" si="370">SUM(BQ219:BT219)</f>
        <v>4316.4534645476988</v>
      </c>
      <c r="K219" s="1776">
        <f t="shared" ref="K219:K226" si="371">SUM(BV219:BY219)</f>
        <v>4333.7175553410325</v>
      </c>
      <c r="L219" s="1776">
        <f t="shared" ref="L219:L226" si="372">SUM(CA219:CD219)</f>
        <v>4143.7087486422452</v>
      </c>
      <c r="M219" s="1776">
        <f t="shared" ref="M219:M226" si="373">SUM(CF219:CI219)</f>
        <v>4663.1081007825578</v>
      </c>
      <c r="N219" s="1776">
        <f t="shared" ref="N219:N226" si="374">SUM(CK219:CN219)</f>
        <v>4398.0079172208298</v>
      </c>
      <c r="O219" s="2744">
        <f t="shared" ref="O219:P221" si="375">M219</f>
        <v>4663.1081007825578</v>
      </c>
      <c r="P219" s="2744">
        <f t="shared" si="375"/>
        <v>4398.0079172208298</v>
      </c>
      <c r="Q219" s="1776">
        <f t="shared" si="362"/>
        <v>4652.8639556721682</v>
      </c>
      <c r="R219" s="1776">
        <f t="shared" si="363"/>
        <v>5280.4842986046215</v>
      </c>
      <c r="S219" s="2743">
        <f t="shared" ref="S219:S224" si="376">R219</f>
        <v>5280.4842986046215</v>
      </c>
      <c r="T219" s="1776">
        <f t="shared" ref="T219:T226" si="377">SUM(CZ219:DC219)</f>
        <v>5163.3452220290146</v>
      </c>
      <c r="U219" s="1776">
        <f t="shared" ref="U219:U226" si="378">SUM(DE219:DH219)</f>
        <v>5413.8800485240808</v>
      </c>
      <c r="V219" s="1146">
        <f t="shared" ref="V219:AB219" si="379">+V12</f>
        <v>6153.6828550188684</v>
      </c>
      <c r="W219" s="1146">
        <f t="shared" si="379"/>
        <v>6066.944292690474</v>
      </c>
      <c r="X219" s="1146">
        <f t="shared" si="379"/>
        <v>6427.9463816385451</v>
      </c>
      <c r="Y219" s="1146">
        <f t="shared" si="379"/>
        <v>7079.2454993733272</v>
      </c>
      <c r="Z219" s="1146">
        <f t="shared" si="379"/>
        <v>6809.4403223688369</v>
      </c>
      <c r="AA219" s="1146">
        <f t="shared" si="379"/>
        <v>6933.2272659042565</v>
      </c>
      <c r="AB219" s="1146">
        <f t="shared" si="379"/>
        <v>7730.0912153743911</v>
      </c>
      <c r="AC219" s="1146">
        <f>+AC12</f>
        <v>7241.8693698266852</v>
      </c>
      <c r="AD219" s="1146">
        <f>+AD12</f>
        <v>7451.0189870752247</v>
      </c>
      <c r="AE219" s="1146">
        <f>+AE12</f>
        <v>8256.5009208489428</v>
      </c>
      <c r="AF219" s="1798"/>
      <c r="AG219" s="1798"/>
      <c r="AH219" s="1798"/>
      <c r="AI219" s="1798"/>
      <c r="AJ219" s="1798"/>
      <c r="AK219" s="1798"/>
      <c r="AL219" s="1108" t="s">
        <v>1433</v>
      </c>
      <c r="AM219" s="1108"/>
      <c r="AN219" s="1108"/>
      <c r="AO219" s="1108"/>
      <c r="AP219" s="1108"/>
      <c r="AQ219" s="1741"/>
      <c r="AR219" s="1108"/>
      <c r="AS219" s="1108"/>
      <c r="AT219" s="1108"/>
      <c r="AU219" s="1108"/>
      <c r="AV219" s="1741"/>
      <c r="AW219" s="1108"/>
      <c r="AX219" s="1108"/>
      <c r="AY219" s="1108"/>
      <c r="AZ219" s="1108"/>
      <c r="BA219" s="1741"/>
      <c r="BB219" s="1146">
        <f>+BB12</f>
        <v>1411.3133602546241</v>
      </c>
      <c r="BC219" s="1146">
        <f>+BC12</f>
        <v>899.02650938743761</v>
      </c>
      <c r="BD219" s="1146">
        <f>+BD12</f>
        <v>867.11784574819603</v>
      </c>
      <c r="BE219" s="1146">
        <f>+BE12</f>
        <v>1218.2682391103385</v>
      </c>
      <c r="BF219" s="1741"/>
      <c r="BG219" s="1146">
        <f>+BG12</f>
        <v>1193.0870930495316</v>
      </c>
      <c r="BH219" s="1146">
        <f>+BH12</f>
        <v>943.97783485680952</v>
      </c>
      <c r="BI219" s="1146">
        <f>+BI12</f>
        <v>754.39252580093057</v>
      </c>
      <c r="BJ219" s="1146">
        <f>+BJ12</f>
        <v>993.7194685350396</v>
      </c>
      <c r="BK219" s="1741"/>
      <c r="BL219" s="1146">
        <f>+BL12</f>
        <v>1090.4816030472718</v>
      </c>
      <c r="BM219" s="1146">
        <f>+BM12</f>
        <v>910.93861063682118</v>
      </c>
      <c r="BN219" s="1146">
        <f>+BN12</f>
        <v>754.39252580093057</v>
      </c>
      <c r="BO219" s="1146">
        <f>+BO12</f>
        <v>1091.3488558082722</v>
      </c>
      <c r="BP219" s="1741">
        <f t="shared" ref="BP219:BP248" si="380">I219-SUM(BL219:BO219)</f>
        <v>0</v>
      </c>
      <c r="BQ219" s="1146">
        <f>+BQ12</f>
        <v>1363.1020038090899</v>
      </c>
      <c r="BR219" s="1146">
        <f>+BR12</f>
        <v>963.11054116866228</v>
      </c>
      <c r="BS219" s="1146">
        <f>+BS12</f>
        <v>807.20000260699578</v>
      </c>
      <c r="BT219" s="1146">
        <f>+BT12</f>
        <v>1183.0409169629506</v>
      </c>
      <c r="BU219" s="2188">
        <f t="shared" ref="BU219:BU250" si="381">J219-SUM(BQ219:BT219)</f>
        <v>0</v>
      </c>
      <c r="BV219" s="1146">
        <f>+BV12</f>
        <v>1254.0538435043627</v>
      </c>
      <c r="BW219" s="1146">
        <f>+BW12</f>
        <v>992.00385740372212</v>
      </c>
      <c r="BX219" s="1146">
        <f>+BX12</f>
        <v>815.27200263306577</v>
      </c>
      <c r="BY219" s="1146">
        <f>+BY12</f>
        <v>1272.3878517998819</v>
      </c>
      <c r="BZ219" s="2188">
        <f t="shared" ref="BZ219:BZ250" si="382">K219-SUM(BV219:BY219)</f>
        <v>0</v>
      </c>
      <c r="CA219" s="1146">
        <f>+CA12</f>
        <v>1291.6754588094936</v>
      </c>
      <c r="CB219" s="1146">
        <f>+CB12</f>
        <v>892.80347166334991</v>
      </c>
      <c r="CC219" s="1146">
        <f>+CC12</f>
        <v>692.98120223810588</v>
      </c>
      <c r="CD219" s="1146">
        <f>+CD12</f>
        <v>1266.2486159312957</v>
      </c>
      <c r="CE219" s="2188">
        <f t="shared" ref="CE219:CE250" si="383">L219-SUM(CA219:CD219)</f>
        <v>0</v>
      </c>
      <c r="CF219" s="1146">
        <f>+CF12</f>
        <v>1504.8019095130601</v>
      </c>
      <c r="CG219" s="1146">
        <f>+CG12</f>
        <v>1017.795957696219</v>
      </c>
      <c r="CH219" s="1146">
        <f>+CH12</f>
        <v>803.85819459620279</v>
      </c>
      <c r="CI219" s="1146">
        <f>+CI12</f>
        <v>1336.6520389770758</v>
      </c>
      <c r="CJ219" s="2188">
        <f t="shared" ref="CJ219:CJ250" si="384">M219-SUM(CF219:CI219)</f>
        <v>0</v>
      </c>
      <c r="CK219" s="1648">
        <f>+CK12</f>
        <v>1226.413556253144</v>
      </c>
      <c r="CL219" s="1648">
        <f>+CL12</f>
        <v>966.90615981140809</v>
      </c>
      <c r="CM219" s="1648">
        <f>+CM12</f>
        <v>811.89677654216484</v>
      </c>
      <c r="CN219" s="1146">
        <f>+CN12</f>
        <v>1392.7914246141131</v>
      </c>
      <c r="CO219" s="2188">
        <f t="shared" si="365"/>
        <v>0</v>
      </c>
      <c r="CP219" s="1648">
        <f>+CP12</f>
        <v>1227.6399698093969</v>
      </c>
      <c r="CQ219" s="1648">
        <f>+CQ12</f>
        <v>1012.3507493225442</v>
      </c>
      <c r="CR219" s="1648">
        <f>+CR12</f>
        <v>865.48196379394778</v>
      </c>
      <c r="CS219" s="1146">
        <f>+CS12</f>
        <v>1547.3912727462796</v>
      </c>
      <c r="CT219" s="1741">
        <f t="shared" si="366"/>
        <v>0</v>
      </c>
      <c r="CU219" s="1146">
        <f>+CU12</f>
        <v>1832.8664749254294</v>
      </c>
      <c r="CV219" s="1146">
        <f>+CV12</f>
        <v>1058.7164136415167</v>
      </c>
      <c r="CW219" s="1146">
        <f>+CW12</f>
        <v>905.72687511036634</v>
      </c>
      <c r="CX219" s="1146">
        <f>+CX12</f>
        <v>1483.174534927309</v>
      </c>
      <c r="CY219" s="1741">
        <f t="shared" si="367"/>
        <v>0</v>
      </c>
      <c r="CZ219" s="1146">
        <f>+CZ12</f>
        <v>1476.3739455524335</v>
      </c>
      <c r="DA219" s="1146">
        <f>+DA12</f>
        <v>1181.5804534446147</v>
      </c>
      <c r="DB219" s="1146">
        <f>+DB12</f>
        <v>954.63612636632615</v>
      </c>
      <c r="DC219" s="1146">
        <f>+DC12</f>
        <v>1550.7546966656403</v>
      </c>
      <c r="DD219" s="1741">
        <f t="shared" si="357"/>
        <v>0</v>
      </c>
      <c r="DE219" s="1146">
        <f t="shared" ref="DE219:DG219" si="385">+DE12</f>
        <v>1573.8467440851937</v>
      </c>
      <c r="DF219" s="1146">
        <f t="shared" si="385"/>
        <v>1180.0179601444288</v>
      </c>
      <c r="DG219" s="1146">
        <f t="shared" si="385"/>
        <v>1034.4625257831915</v>
      </c>
      <c r="DH219" s="1146">
        <f>+DH12</f>
        <v>1625.5528185112667</v>
      </c>
      <c r="DI219" s="2835">
        <f t="shared" ref="DI219:DI250" si="386">U219-SUM(DE219:DH219)</f>
        <v>0</v>
      </c>
      <c r="DJ219" s="11"/>
      <c r="DK219" s="54"/>
      <c r="DL219" s="1108"/>
      <c r="DM219" s="1108"/>
      <c r="DN219" s="11"/>
      <c r="DO219" s="11"/>
      <c r="DP219" s="11"/>
      <c r="DQ219" s="11"/>
      <c r="DR219" s="11"/>
      <c r="DS219" s="11"/>
      <c r="DT219" s="11"/>
    </row>
    <row r="220" spans="1:124">
      <c r="A220" s="1108" t="s">
        <v>55</v>
      </c>
      <c r="B220" s="1108"/>
      <c r="C220" s="1108"/>
      <c r="D220" s="1108"/>
      <c r="E220" s="1108"/>
      <c r="F220" s="1108"/>
      <c r="G220" s="1146">
        <f>-G242</f>
        <v>0</v>
      </c>
      <c r="H220" s="1146">
        <f>-H242</f>
        <v>-25</v>
      </c>
      <c r="I220" s="1650">
        <f t="shared" si="369"/>
        <v>-72.967917412423034</v>
      </c>
      <c r="J220" s="1650">
        <f t="shared" si="370"/>
        <v>-95.935834824846069</v>
      </c>
      <c r="K220" s="1776">
        <f t="shared" si="371"/>
        <v>-197.38799697179414</v>
      </c>
      <c r="L220" s="1776">
        <f t="shared" si="372"/>
        <v>-280.8</v>
      </c>
      <c r="M220" s="1776">
        <f t="shared" si="373"/>
        <v>-391.06799999999998</v>
      </c>
      <c r="N220" s="1776">
        <f t="shared" si="374"/>
        <v>-543.60599999999999</v>
      </c>
      <c r="O220" s="2744">
        <f t="shared" si="375"/>
        <v>-391.06799999999998</v>
      </c>
      <c r="P220" s="2744">
        <f t="shared" si="375"/>
        <v>-543.60599999999999</v>
      </c>
      <c r="Q220" s="1776">
        <f t="shared" si="362"/>
        <v>-979.15293488714883</v>
      </c>
      <c r="R220" s="1776">
        <f t="shared" si="363"/>
        <v>-1295.9312473133436</v>
      </c>
      <c r="S220" s="2743">
        <f t="shared" si="376"/>
        <v>-1295.9312473133436</v>
      </c>
      <c r="T220" s="1776">
        <f t="shared" si="377"/>
        <v>-1640.7689302666586</v>
      </c>
      <c r="U220" s="1776">
        <f t="shared" si="378"/>
        <v>-2127.2220565797115</v>
      </c>
      <c r="V220" s="1146">
        <f t="shared" ref="V220:AD220" si="387">-V267-V273</f>
        <v>-2606.9173691514957</v>
      </c>
      <c r="W220" s="1146">
        <f t="shared" si="387"/>
        <v>-3345.7775849512673</v>
      </c>
      <c r="X220" s="1146">
        <f t="shared" si="387"/>
        <v>-3909.8392112348838</v>
      </c>
      <c r="Y220" s="1146">
        <f t="shared" si="387"/>
        <v>-4229.5386710683133</v>
      </c>
      <c r="Z220" s="1146">
        <f t="shared" si="387"/>
        <v>-4520.6057560100899</v>
      </c>
      <c r="AA220" s="1146">
        <f t="shared" si="387"/>
        <v>-4780.2450533850706</v>
      </c>
      <c r="AB220" s="1146">
        <f t="shared" si="387"/>
        <v>-5027.2493126777954</v>
      </c>
      <c r="AC220" s="1146">
        <f t="shared" si="387"/>
        <v>-5269.5303793254952</v>
      </c>
      <c r="AD220" s="1146">
        <f t="shared" si="387"/>
        <v>-5520.5234405332112</v>
      </c>
      <c r="AE220" s="1146">
        <f t="shared" ref="AE220" si="388">-AE267-AE273</f>
        <v>-5761.7081199542645</v>
      </c>
      <c r="AF220" s="1798"/>
      <c r="AG220" s="1798"/>
      <c r="AH220" s="1798"/>
      <c r="AI220" s="1798"/>
      <c r="AJ220" s="1798"/>
      <c r="AK220" s="1798"/>
      <c r="AL220" s="1108" t="s">
        <v>55</v>
      </c>
      <c r="AM220" s="1108"/>
      <c r="AN220" s="1108"/>
      <c r="AO220" s="1108"/>
      <c r="AP220" s="1108"/>
      <c r="AQ220" s="1741"/>
      <c r="AR220" s="1108"/>
      <c r="AS220" s="1108"/>
      <c r="AT220" s="1108"/>
      <c r="AU220" s="1108"/>
      <c r="AV220" s="1741"/>
      <c r="AW220" s="1108"/>
      <c r="AX220" s="1108"/>
      <c r="AY220" s="1108"/>
      <c r="AZ220" s="1108"/>
      <c r="BA220" s="1741"/>
      <c r="BB220" s="1146">
        <f>-BB242</f>
        <v>-12.5</v>
      </c>
      <c r="BC220" s="1146">
        <f>-BC242</f>
        <v>-12.5</v>
      </c>
      <c r="BD220" s="1146">
        <f>-BD242</f>
        <v>-23.983958706211517</v>
      </c>
      <c r="BE220" s="1146">
        <f>-BE242</f>
        <v>-23.983958706211517</v>
      </c>
      <c r="BF220" s="1741"/>
      <c r="BG220" s="1146">
        <f>-BG242</f>
        <v>-12.5</v>
      </c>
      <c r="BH220" s="1146">
        <f>-BH242</f>
        <v>-12.5</v>
      </c>
      <c r="BI220" s="1146">
        <f>-BI242</f>
        <v>-23.983958706211517</v>
      </c>
      <c r="BJ220" s="1146">
        <f>-BJ242</f>
        <v>-23.983958706211517</v>
      </c>
      <c r="BK220" s="1741"/>
      <c r="BL220" s="1146">
        <f>-BL242</f>
        <v>-12.5</v>
      </c>
      <c r="BM220" s="1146">
        <f>-BM242</f>
        <v>-12.5</v>
      </c>
      <c r="BN220" s="1146">
        <f>-BN242</f>
        <v>-23.983958706211517</v>
      </c>
      <c r="BO220" s="1146">
        <f>-BO242</f>
        <v>-23.983958706211517</v>
      </c>
      <c r="BP220" s="1741">
        <f t="shared" si="380"/>
        <v>0</v>
      </c>
      <c r="BQ220" s="1146">
        <f>-BQ242</f>
        <v>-23.983958706211517</v>
      </c>
      <c r="BR220" s="1146">
        <f>-BR242</f>
        <v>-23.983958706211517</v>
      </c>
      <c r="BS220" s="1146">
        <f>-BS242</f>
        <v>-23.983958706211517</v>
      </c>
      <c r="BT220" s="1146">
        <f>-BT242</f>
        <v>-23.983958706211517</v>
      </c>
      <c r="BU220" s="2188">
        <f t="shared" si="381"/>
        <v>0</v>
      </c>
      <c r="BV220" s="1146">
        <f>-BV242</f>
        <v>-30</v>
      </c>
      <c r="BW220" s="1146">
        <f>-BW242</f>
        <v>-30</v>
      </c>
      <c r="BX220" s="1146">
        <f>-BX242</f>
        <v>-45</v>
      </c>
      <c r="BY220" s="1146">
        <f>-BY242</f>
        <v>-92.387996971794138</v>
      </c>
      <c r="BZ220" s="2188">
        <f t="shared" si="382"/>
        <v>0</v>
      </c>
      <c r="CA220" s="1146">
        <f>-CA242</f>
        <v>-60.5</v>
      </c>
      <c r="CB220" s="1146">
        <f>-CB242</f>
        <v>-60.5</v>
      </c>
      <c r="CC220" s="1146">
        <f>-CC242</f>
        <v>-74</v>
      </c>
      <c r="CD220" s="1146">
        <f>-CD242</f>
        <v>-85.8</v>
      </c>
      <c r="CE220" s="2188">
        <f t="shared" si="383"/>
        <v>0</v>
      </c>
      <c r="CF220" s="1146">
        <f>-CF242</f>
        <v>-89.174999999999997</v>
      </c>
      <c r="CG220" s="1146">
        <f>-CG242</f>
        <v>-89.174999999999997</v>
      </c>
      <c r="CH220" s="1146">
        <f>-CH242</f>
        <v>-100.98</v>
      </c>
      <c r="CI220" s="1146">
        <f>-CI242</f>
        <v>-111.738</v>
      </c>
      <c r="CJ220" s="2188">
        <f t="shared" si="384"/>
        <v>0</v>
      </c>
      <c r="CK220" s="1146">
        <f>-CK242</f>
        <v>-128.26500000000001</v>
      </c>
      <c r="CL220" s="1146">
        <f>-CL242</f>
        <v>-128.26500000000001</v>
      </c>
      <c r="CM220" s="1146">
        <f>-CM242</f>
        <v>-137.916</v>
      </c>
      <c r="CN220" s="1146">
        <f>-CN242</f>
        <v>-149.16</v>
      </c>
      <c r="CO220" s="2188">
        <f t="shared" si="365"/>
        <v>0</v>
      </c>
      <c r="CP220" s="1146">
        <f>-CP267-CP273</f>
        <v>-230.20696568627449</v>
      </c>
      <c r="CQ220" s="1146">
        <f>-CQ267-CQ273</f>
        <v>-233.06980680705192</v>
      </c>
      <c r="CR220" s="1146">
        <f>-CR267-CR273</f>
        <v>-248.6235081081081</v>
      </c>
      <c r="CS220" s="3097">
        <f>-CS267-CS273</f>
        <v>-267.2526542857143</v>
      </c>
      <c r="CT220" s="2835">
        <f t="shared" si="366"/>
        <v>0</v>
      </c>
      <c r="CU220" s="3097">
        <f>-CU267-CU273</f>
        <v>-324.1446235087293</v>
      </c>
      <c r="CV220" s="3097">
        <f>-CV267-CV273</f>
        <v>-326.40341968894199</v>
      </c>
      <c r="CW220" s="3097">
        <f>-CW267-CW273</f>
        <v>-319.25193937076017</v>
      </c>
      <c r="CX220" s="3097">
        <f>-CX267-CX273</f>
        <v>-326.13126474491219</v>
      </c>
      <c r="CY220" s="2835">
        <f t="shared" si="367"/>
        <v>0</v>
      </c>
      <c r="CZ220" s="3097">
        <f>-CZ267-CZ273</f>
        <v>-407.34860834306198</v>
      </c>
      <c r="DA220" s="3097">
        <f>-DA267-DA273</f>
        <v>-405.28023343502599</v>
      </c>
      <c r="DB220" s="3097">
        <f>-DB267-DB273</f>
        <v>-406.70801259919619</v>
      </c>
      <c r="DC220" s="3097">
        <f>-DC267-DC273</f>
        <v>-421.43207588937457</v>
      </c>
      <c r="DD220" s="1741">
        <f t="shared" si="357"/>
        <v>0</v>
      </c>
      <c r="DE220" s="3097">
        <f t="shared" ref="DE220:DG220" si="389">-DE267-DE273</f>
        <v>-522.63933387142549</v>
      </c>
      <c r="DF220" s="3097">
        <f t="shared" si="389"/>
        <v>-528.38717261010709</v>
      </c>
      <c r="DG220" s="3097">
        <f t="shared" si="389"/>
        <v>-530.60200494163962</v>
      </c>
      <c r="DH220" s="3097">
        <f>-DH267-DH273</f>
        <v>-545.59354515653934</v>
      </c>
      <c r="DI220" s="2835">
        <f t="shared" si="386"/>
        <v>0</v>
      </c>
      <c r="DJ220" s="11"/>
      <c r="DK220" s="54"/>
      <c r="DL220" s="11"/>
      <c r="DM220" s="11"/>
      <c r="DN220" s="11"/>
      <c r="DO220" s="11"/>
      <c r="DP220" s="11"/>
      <c r="DQ220" s="11"/>
      <c r="DR220" s="11"/>
      <c r="DS220" s="11"/>
      <c r="DT220" s="11"/>
    </row>
    <row r="221" spans="1:124">
      <c r="A221" s="1108" t="s">
        <v>1054</v>
      </c>
      <c r="B221" s="1108"/>
      <c r="C221" s="1108"/>
      <c r="D221" s="1108"/>
      <c r="E221" s="1108"/>
      <c r="F221" s="1108"/>
      <c r="G221" s="1146">
        <f>G128</f>
        <v>1753.6999999999998</v>
      </c>
      <c r="H221" s="1146">
        <f>H128</f>
        <v>1539.1000000000001</v>
      </c>
      <c r="I221" s="1650">
        <f t="shared" si="369"/>
        <v>1222.4000000000001</v>
      </c>
      <c r="J221" s="1650">
        <f t="shared" si="370"/>
        <v>1336.3519999999999</v>
      </c>
      <c r="K221" s="1776">
        <f t="shared" si="371"/>
        <v>1340.2</v>
      </c>
      <c r="L221" s="1776">
        <f t="shared" si="372"/>
        <v>1313.4</v>
      </c>
      <c r="M221" s="1776">
        <f t="shared" si="373"/>
        <v>1306.4000000000001</v>
      </c>
      <c r="N221" s="1776">
        <f t="shared" si="374"/>
        <v>1303</v>
      </c>
      <c r="O221" s="2744">
        <f t="shared" si="375"/>
        <v>1306.4000000000001</v>
      </c>
      <c r="P221" s="2744">
        <f t="shared" si="375"/>
        <v>1303</v>
      </c>
      <c r="Q221" s="1776">
        <f t="shared" si="362"/>
        <v>1232</v>
      </c>
      <c r="R221" s="2785">
        <f>R128</f>
        <v>1220</v>
      </c>
      <c r="S221" s="2743">
        <v>0</v>
      </c>
      <c r="T221" s="1776">
        <f t="shared" si="377"/>
        <v>0</v>
      </c>
      <c r="U221" s="1776">
        <f t="shared" si="378"/>
        <v>0</v>
      </c>
      <c r="V221" s="1146">
        <f t="shared" ref="V221:AB221" si="390">V128</f>
        <v>0</v>
      </c>
      <c r="W221" s="1146">
        <f t="shared" si="390"/>
        <v>0</v>
      </c>
      <c r="X221" s="1146">
        <f t="shared" si="390"/>
        <v>0</v>
      </c>
      <c r="Y221" s="1146">
        <f t="shared" si="390"/>
        <v>0</v>
      </c>
      <c r="Z221" s="1146">
        <f t="shared" si="390"/>
        <v>0</v>
      </c>
      <c r="AA221" s="1146">
        <f t="shared" si="390"/>
        <v>0</v>
      </c>
      <c r="AB221" s="1146">
        <f t="shared" si="390"/>
        <v>0</v>
      </c>
      <c r="AC221" s="1146">
        <f>AC128</f>
        <v>0</v>
      </c>
      <c r="AD221" s="1648" t="s">
        <v>337</v>
      </c>
      <c r="AE221" s="1146">
        <f>AE128</f>
        <v>0</v>
      </c>
      <c r="AF221" s="1798"/>
      <c r="AG221" s="1798"/>
      <c r="AH221" s="1798"/>
      <c r="AI221" s="1798"/>
      <c r="AJ221" s="1798"/>
      <c r="AK221" s="1798"/>
      <c r="AL221" s="1108" t="s">
        <v>1054</v>
      </c>
      <c r="AM221" s="1108"/>
      <c r="AN221" s="1108"/>
      <c r="AO221" s="1108"/>
      <c r="AP221" s="1108"/>
      <c r="AQ221" s="1741"/>
      <c r="AR221" s="1108"/>
      <c r="AS221" s="1108"/>
      <c r="AT221" s="1108"/>
      <c r="AU221" s="1108"/>
      <c r="AV221" s="1741"/>
      <c r="AW221" s="1108"/>
      <c r="AX221" s="1108"/>
      <c r="AY221" s="1108"/>
      <c r="AZ221" s="1108"/>
      <c r="BA221" s="1741"/>
      <c r="BB221" s="1146">
        <f>BB128</f>
        <v>397.5</v>
      </c>
      <c r="BC221" s="1146">
        <f>BC128</f>
        <v>463.4</v>
      </c>
      <c r="BD221" s="1146">
        <f>BD128</f>
        <v>445.7</v>
      </c>
      <c r="BE221" s="1146">
        <f>BE128</f>
        <v>447.1</v>
      </c>
      <c r="BF221" s="1741"/>
      <c r="BG221" s="1146">
        <f>BG128</f>
        <v>363.5</v>
      </c>
      <c r="BH221" s="1146">
        <f>BH128</f>
        <v>416.4</v>
      </c>
      <c r="BI221" s="1146">
        <f>BI128</f>
        <v>392.5</v>
      </c>
      <c r="BJ221" s="1146">
        <f>BJ128</f>
        <v>366.7</v>
      </c>
      <c r="BK221" s="1741"/>
      <c r="BL221" s="1146">
        <f>BL128</f>
        <v>259.7</v>
      </c>
      <c r="BM221" s="1146">
        <f>BM128</f>
        <v>322</v>
      </c>
      <c r="BN221" s="1146">
        <f>BN128</f>
        <v>318.89999999999998</v>
      </c>
      <c r="BO221" s="1146">
        <f>BO128</f>
        <v>321.8</v>
      </c>
      <c r="BP221" s="1741">
        <f t="shared" si="380"/>
        <v>0</v>
      </c>
      <c r="BQ221" s="1146">
        <f>BQ128</f>
        <v>282.7</v>
      </c>
      <c r="BR221" s="1146">
        <f>BR128</f>
        <v>340.3</v>
      </c>
      <c r="BS221" s="1146">
        <f>BS128</f>
        <v>346.5</v>
      </c>
      <c r="BT221" s="1146">
        <f>BT128</f>
        <v>366.85199999999998</v>
      </c>
      <c r="BU221" s="2188">
        <f t="shared" si="381"/>
        <v>0</v>
      </c>
      <c r="BV221" s="1146">
        <f>BV128</f>
        <v>294.00800000000004</v>
      </c>
      <c r="BW221" s="1146">
        <f>BW128</f>
        <v>352.21049999999997</v>
      </c>
      <c r="BX221" s="1146">
        <f>BX128</f>
        <v>346.5</v>
      </c>
      <c r="BY221" s="1146">
        <f>BY128</f>
        <v>347.4815000000001</v>
      </c>
      <c r="BZ221" s="2188">
        <f t="shared" si="382"/>
        <v>0</v>
      </c>
      <c r="CA221" s="1146">
        <f>CA128</f>
        <v>288.12783999999999</v>
      </c>
      <c r="CB221" s="1146">
        <f>CB128</f>
        <v>345.16629</v>
      </c>
      <c r="CC221" s="1146">
        <f>CC128</f>
        <v>329.17500000000001</v>
      </c>
      <c r="CD221" s="1146">
        <f>CD128</f>
        <v>350.93087000000014</v>
      </c>
      <c r="CE221" s="2188">
        <f t="shared" si="383"/>
        <v>0</v>
      </c>
      <c r="CF221" s="1146">
        <f>CF128</f>
        <v>288.12783999999999</v>
      </c>
      <c r="CG221" s="1146">
        <f>CG128</f>
        <v>345.16629</v>
      </c>
      <c r="CH221" s="1146">
        <f>CH128</f>
        <v>332.38490977072462</v>
      </c>
      <c r="CI221" s="1146">
        <f>CI128</f>
        <v>340.72096022927553</v>
      </c>
      <c r="CJ221" s="2188">
        <f t="shared" si="384"/>
        <v>0</v>
      </c>
      <c r="CK221" s="1648">
        <f>CK128</f>
        <v>292.73788544000001</v>
      </c>
      <c r="CL221" s="1648">
        <f>CL128</f>
        <v>327.90797549999996</v>
      </c>
      <c r="CM221" s="1648">
        <f>CM128</f>
        <v>335.04398904889041</v>
      </c>
      <c r="CN221" s="1146">
        <f>CN128</f>
        <v>347.31015001110973</v>
      </c>
      <c r="CO221" s="2188">
        <f t="shared" si="365"/>
        <v>0</v>
      </c>
      <c r="CP221" s="1648">
        <f>CP128</f>
        <v>271</v>
      </c>
      <c r="CQ221" s="1648">
        <f>CQ128</f>
        <v>318</v>
      </c>
      <c r="CR221" s="1648">
        <f>CR128</f>
        <v>318</v>
      </c>
      <c r="CS221" s="3097">
        <f>CS128</f>
        <v>325</v>
      </c>
      <c r="CT221" s="2835">
        <f t="shared" si="366"/>
        <v>0</v>
      </c>
      <c r="CU221" s="3097">
        <f>CU128</f>
        <v>0</v>
      </c>
      <c r="CV221" s="3097">
        <f>CV128</f>
        <v>0</v>
      </c>
      <c r="CW221" s="3097">
        <f>CW128</f>
        <v>0</v>
      </c>
      <c r="CX221" s="3097">
        <f>CX128</f>
        <v>0</v>
      </c>
      <c r="CY221" s="2835">
        <f t="shared" si="367"/>
        <v>0</v>
      </c>
      <c r="CZ221" s="3097">
        <f>CZ128</f>
        <v>0</v>
      </c>
      <c r="DA221" s="3097">
        <f>DA128</f>
        <v>0</v>
      </c>
      <c r="DB221" s="3097">
        <f>DB128</f>
        <v>0</v>
      </c>
      <c r="DC221" s="3097">
        <f>DC128</f>
        <v>0</v>
      </c>
      <c r="DD221" s="1741">
        <f t="shared" si="357"/>
        <v>0</v>
      </c>
      <c r="DE221" s="3097">
        <f t="shared" ref="DE221:DG221" si="391">DE128</f>
        <v>0</v>
      </c>
      <c r="DF221" s="3097">
        <f t="shared" si="391"/>
        <v>0</v>
      </c>
      <c r="DG221" s="3097">
        <f t="shared" si="391"/>
        <v>0</v>
      </c>
      <c r="DH221" s="3097">
        <f>DH128</f>
        <v>0</v>
      </c>
      <c r="DI221" s="2835">
        <f t="shared" si="386"/>
        <v>0</v>
      </c>
      <c r="DJ221" s="11"/>
      <c r="DK221" s="54"/>
      <c r="DL221" s="11"/>
      <c r="DM221" s="11"/>
      <c r="DN221" s="11"/>
      <c r="DO221" s="11"/>
      <c r="DP221" s="11"/>
      <c r="DQ221" s="11"/>
      <c r="DR221" s="11"/>
      <c r="DS221" s="11"/>
      <c r="DT221" s="11"/>
    </row>
    <row r="222" spans="1:124">
      <c r="A222" s="1108" t="s">
        <v>1055</v>
      </c>
      <c r="B222" s="1108"/>
      <c r="C222" s="1108"/>
      <c r="D222" s="1108"/>
      <c r="E222" s="1108"/>
      <c r="F222" s="1108"/>
      <c r="G222" s="1146">
        <f>G142</f>
        <v>2187.3000000000002</v>
      </c>
      <c r="H222" s="1146">
        <f>H142</f>
        <v>2170.6</v>
      </c>
      <c r="I222" s="1650">
        <f t="shared" si="369"/>
        <v>1722.6000000000001</v>
      </c>
      <c r="J222" s="1650">
        <f t="shared" si="370"/>
        <v>1819.2</v>
      </c>
      <c r="K222" s="1776">
        <f t="shared" si="371"/>
        <v>1286</v>
      </c>
      <c r="L222" s="1776">
        <f t="shared" si="372"/>
        <v>1284.5999999999999</v>
      </c>
      <c r="M222" s="1776">
        <f t="shared" si="373"/>
        <v>1304</v>
      </c>
      <c r="N222" s="1776">
        <f t="shared" si="374"/>
        <v>0</v>
      </c>
      <c r="O222" s="2744">
        <v>0</v>
      </c>
      <c r="P222" s="2744">
        <v>0</v>
      </c>
      <c r="Q222" s="1776">
        <f t="shared" si="362"/>
        <v>0</v>
      </c>
      <c r="R222" s="1776">
        <f t="shared" si="363"/>
        <v>0</v>
      </c>
      <c r="S222" s="2743">
        <f t="shared" si="376"/>
        <v>0</v>
      </c>
      <c r="T222" s="1776">
        <f t="shared" si="377"/>
        <v>0</v>
      </c>
      <c r="U222" s="1776">
        <f t="shared" si="378"/>
        <v>0</v>
      </c>
      <c r="V222" s="1146">
        <f t="shared" ref="V222:AB222" si="392">V142</f>
        <v>0</v>
      </c>
      <c r="W222" s="1146">
        <f t="shared" si="392"/>
        <v>0</v>
      </c>
      <c r="X222" s="1146">
        <f t="shared" si="392"/>
        <v>0</v>
      </c>
      <c r="Y222" s="1146">
        <f t="shared" si="392"/>
        <v>0</v>
      </c>
      <c r="Z222" s="1146">
        <f t="shared" si="392"/>
        <v>0</v>
      </c>
      <c r="AA222" s="1146">
        <f t="shared" si="392"/>
        <v>0</v>
      </c>
      <c r="AB222" s="1146">
        <f t="shared" si="392"/>
        <v>0</v>
      </c>
      <c r="AC222" s="1146">
        <f>AC142</f>
        <v>0</v>
      </c>
      <c r="AD222" s="1146">
        <f>AD142</f>
        <v>0</v>
      </c>
      <c r="AE222" s="1146">
        <f>AE142</f>
        <v>0</v>
      </c>
      <c r="AF222" s="1798"/>
      <c r="AG222" s="1798"/>
      <c r="AH222" s="1798"/>
      <c r="AI222" s="1798"/>
      <c r="AJ222" s="1798"/>
      <c r="AK222" s="1798"/>
      <c r="AL222" s="1108" t="s">
        <v>1055</v>
      </c>
      <c r="AM222" s="1108"/>
      <c r="AN222" s="1108"/>
      <c r="AO222" s="1108"/>
      <c r="AP222" s="1108"/>
      <c r="AQ222" s="1741"/>
      <c r="AR222" s="1108"/>
      <c r="AS222" s="1108"/>
      <c r="AT222" s="1108"/>
      <c r="AU222" s="1108"/>
      <c r="AV222" s="1741"/>
      <c r="AW222" s="1108"/>
      <c r="AX222" s="1108"/>
      <c r="AY222" s="1108"/>
      <c r="AZ222" s="1108"/>
      <c r="BA222" s="1741"/>
      <c r="BB222" s="1146">
        <f>BB142</f>
        <v>462.3</v>
      </c>
      <c r="BC222" s="1146">
        <f>BC142</f>
        <v>554.20000000000005</v>
      </c>
      <c r="BD222" s="1146">
        <f>BD142</f>
        <v>552.20000000000005</v>
      </c>
      <c r="BE222" s="1146">
        <f>BE142</f>
        <v>618.6</v>
      </c>
      <c r="BF222" s="1741"/>
      <c r="BG222" s="1146">
        <f>BG142</f>
        <v>496.9</v>
      </c>
      <c r="BH222" s="1146">
        <f>BH142</f>
        <v>598.1</v>
      </c>
      <c r="BI222" s="1146">
        <f>BI142</f>
        <v>549.29999999999995</v>
      </c>
      <c r="BJ222" s="1146">
        <f>BJ142</f>
        <v>526.29999999999995</v>
      </c>
      <c r="BK222" s="1741"/>
      <c r="BL222" s="1146">
        <f>BL142</f>
        <v>379.9</v>
      </c>
      <c r="BM222" s="1146">
        <f>BM142</f>
        <v>434.1</v>
      </c>
      <c r="BN222" s="1146">
        <f>BN142</f>
        <v>424.9</v>
      </c>
      <c r="BO222" s="1146">
        <f>BO142</f>
        <v>483.7</v>
      </c>
      <c r="BP222" s="1741">
        <f t="shared" si="380"/>
        <v>0</v>
      </c>
      <c r="BQ222" s="1146">
        <f>BQ142</f>
        <v>392.2</v>
      </c>
      <c r="BR222" s="1146">
        <f>BR142</f>
        <v>456.3</v>
      </c>
      <c r="BS222" s="1146">
        <f>BS142</f>
        <v>459.7</v>
      </c>
      <c r="BT222" s="1146">
        <f>BT142</f>
        <v>511</v>
      </c>
      <c r="BU222" s="2188">
        <f t="shared" si="381"/>
        <v>0</v>
      </c>
      <c r="BV222" s="1146">
        <f>BV142</f>
        <v>279</v>
      </c>
      <c r="BW222" s="1146">
        <f>BW142</f>
        <v>332</v>
      </c>
      <c r="BX222" s="1146">
        <f>BX142</f>
        <v>333</v>
      </c>
      <c r="BY222" s="1146">
        <f>BY142</f>
        <v>342</v>
      </c>
      <c r="BZ222" s="2188">
        <f t="shared" si="382"/>
        <v>0</v>
      </c>
      <c r="CA222" s="1146">
        <f>CA142</f>
        <v>285.89999999999998</v>
      </c>
      <c r="CB222" s="1146">
        <f>CB142</f>
        <v>331.4</v>
      </c>
      <c r="CC222" s="1146">
        <f>CC142</f>
        <v>331.50000000000006</v>
      </c>
      <c r="CD222" s="1146">
        <f>CD142</f>
        <v>335.79999999999995</v>
      </c>
      <c r="CE222" s="2188">
        <f t="shared" si="383"/>
        <v>0</v>
      </c>
      <c r="CF222" s="1146">
        <f>CF142</f>
        <v>281</v>
      </c>
      <c r="CG222" s="1146">
        <f>CG142</f>
        <v>335</v>
      </c>
      <c r="CH222" s="1146">
        <f>CH142</f>
        <v>341</v>
      </c>
      <c r="CI222" s="1146">
        <f>CI142</f>
        <v>347</v>
      </c>
      <c r="CJ222" s="2188">
        <f t="shared" si="384"/>
        <v>0</v>
      </c>
      <c r="CK222" s="1648">
        <f>CK142</f>
        <v>0</v>
      </c>
      <c r="CL222" s="1648">
        <f>CL142</f>
        <v>0</v>
      </c>
      <c r="CM222" s="1648">
        <f>CM142</f>
        <v>0</v>
      </c>
      <c r="CN222" s="1146">
        <f>CN142</f>
        <v>0</v>
      </c>
      <c r="CO222" s="2188">
        <f t="shared" si="365"/>
        <v>0</v>
      </c>
      <c r="CP222" s="1648">
        <f>CP142</f>
        <v>0</v>
      </c>
      <c r="CQ222" s="1648">
        <f>CQ142</f>
        <v>0</v>
      </c>
      <c r="CR222" s="1648">
        <f>CR142</f>
        <v>0</v>
      </c>
      <c r="CS222" s="3097">
        <f>CS142</f>
        <v>0</v>
      </c>
      <c r="CT222" s="2835">
        <f t="shared" si="366"/>
        <v>0</v>
      </c>
      <c r="CU222" s="3097">
        <f>CU142</f>
        <v>0</v>
      </c>
      <c r="CV222" s="3097">
        <f>CV142</f>
        <v>0</v>
      </c>
      <c r="CW222" s="3097">
        <f>CW142</f>
        <v>0</v>
      </c>
      <c r="CX222" s="3097">
        <f>CX142</f>
        <v>0</v>
      </c>
      <c r="CY222" s="2835">
        <f t="shared" si="367"/>
        <v>0</v>
      </c>
      <c r="CZ222" s="3097">
        <f>CZ142</f>
        <v>0</v>
      </c>
      <c r="DA222" s="3097">
        <f>DA142</f>
        <v>0</v>
      </c>
      <c r="DB222" s="3097">
        <f>DB142</f>
        <v>0</v>
      </c>
      <c r="DC222" s="3097">
        <f>DC142</f>
        <v>0</v>
      </c>
      <c r="DD222" s="2835">
        <f t="shared" si="357"/>
        <v>0</v>
      </c>
      <c r="DE222" s="3097">
        <f t="shared" ref="DE222:DG222" si="393">DE142</f>
        <v>0</v>
      </c>
      <c r="DF222" s="3097">
        <f t="shared" si="393"/>
        <v>0</v>
      </c>
      <c r="DG222" s="3097">
        <f t="shared" si="393"/>
        <v>0</v>
      </c>
      <c r="DH222" s="3097">
        <f>DH142</f>
        <v>0</v>
      </c>
      <c r="DI222" s="2835">
        <f t="shared" si="386"/>
        <v>0</v>
      </c>
      <c r="DJ222" s="2862"/>
      <c r="DK222" s="54"/>
      <c r="DL222" s="11"/>
      <c r="DM222" s="11"/>
      <c r="DN222" s="11"/>
      <c r="DO222" s="11"/>
      <c r="DP222" s="11"/>
      <c r="DQ222" s="11"/>
      <c r="DR222" s="11"/>
      <c r="DS222" s="11"/>
      <c r="DT222" s="11"/>
    </row>
    <row r="223" spans="1:124">
      <c r="A223" s="1108" t="s">
        <v>308</v>
      </c>
      <c r="B223" s="1108"/>
      <c r="C223" s="1108"/>
      <c r="D223" s="1108"/>
      <c r="E223" s="1108"/>
      <c r="F223" s="1108"/>
      <c r="G223" s="1146">
        <f>G18*0.75</f>
        <v>124.57499999999999</v>
      </c>
      <c r="H223" s="1146">
        <f>H18*0.75</f>
        <v>317.75924999999995</v>
      </c>
      <c r="I223" s="1650">
        <f t="shared" si="369"/>
        <v>432.73795695000001</v>
      </c>
      <c r="J223" s="1650">
        <f t="shared" si="370"/>
        <v>452.49056251347594</v>
      </c>
      <c r="K223" s="1776">
        <f t="shared" si="371"/>
        <v>443.61767780200694</v>
      </c>
      <c r="L223" s="1776">
        <f t="shared" si="372"/>
        <v>451.87274700105706</v>
      </c>
      <c r="M223" s="1776">
        <f t="shared" si="373"/>
        <v>497.92012159689614</v>
      </c>
      <c r="N223" s="1776">
        <f t="shared" si="374"/>
        <v>505.43921598780332</v>
      </c>
      <c r="O223" s="2744">
        <f t="shared" ref="O223:P226" si="394">M223</f>
        <v>497.92012159689614</v>
      </c>
      <c r="P223" s="2744">
        <f t="shared" si="394"/>
        <v>505.43921598780332</v>
      </c>
      <c r="Q223" s="1776">
        <f t="shared" si="362"/>
        <v>510.35503361063417</v>
      </c>
      <c r="R223" s="1776">
        <f t="shared" si="363"/>
        <v>504.57972888111846</v>
      </c>
      <c r="S223" s="2743">
        <f t="shared" si="376"/>
        <v>504.57972888111846</v>
      </c>
      <c r="T223" s="1776">
        <f t="shared" si="377"/>
        <v>528.05542400627291</v>
      </c>
      <c r="U223" s="1776">
        <f t="shared" si="378"/>
        <v>560.96120803822544</v>
      </c>
      <c r="V223" s="1362">
        <f>'CBS Interactive'!X13*0.7+'CBS Interactive'!X137</f>
        <v>586.48331086782457</v>
      </c>
      <c r="W223" s="1362">
        <f>'CBS Interactive'!Y13*0.7+'CBS Interactive'!Y137</f>
        <v>604.68274780715376</v>
      </c>
      <c r="X223" s="1362">
        <f>'CBS Interactive'!Z13*0.7+'CBS Interactive'!Z137</f>
        <v>625.54017350131448</v>
      </c>
      <c r="Y223" s="1362">
        <f>'CBS Interactive'!AA13*0.7+'CBS Interactive'!AA137</f>
        <v>645.53328002654462</v>
      </c>
      <c r="Z223" s="1362">
        <f>'CBS Interactive'!AB13*0.7+'CBS Interactive'!AB137</f>
        <v>664.55322755277746</v>
      </c>
      <c r="AA223" s="1362">
        <f>'CBS Interactive'!AC13*0.7+'CBS Interactive'!AC137</f>
        <v>682.49594205032577</v>
      </c>
      <c r="AB223" s="1362">
        <f>'CBS Interactive'!AD13*0.7+'CBS Interactive'!AD137</f>
        <v>699.26306085251554</v>
      </c>
      <c r="AC223" s="1362">
        <f>'CBS Interactive'!AE13*0.7+'CBS Interactive'!AE137</f>
        <v>715.13463815734804</v>
      </c>
      <c r="AD223" s="1362">
        <f>'CBS Interactive'!AF13*0.7+'CBS Interactive'!AF137</f>
        <v>730.97532746305808</v>
      </c>
      <c r="AE223" s="1362">
        <f>'CBS Interactive'!AG13*0.7+'CBS Interactive'!AG137</f>
        <v>746.79414007602759</v>
      </c>
      <c r="AF223" s="1798"/>
      <c r="AG223" s="1798"/>
      <c r="AH223" s="1798"/>
      <c r="AI223" s="1798"/>
      <c r="AJ223" s="1798"/>
      <c r="AK223" s="1798"/>
      <c r="AL223" s="1108" t="s">
        <v>308</v>
      </c>
      <c r="AM223" s="1108"/>
      <c r="AN223" s="1108"/>
      <c r="AO223" s="1108"/>
      <c r="AP223" s="1108"/>
      <c r="AQ223" s="1741"/>
      <c r="AR223" s="1108"/>
      <c r="AS223" s="1108"/>
      <c r="AT223" s="1108"/>
      <c r="AU223" s="1108"/>
      <c r="AV223" s="1741"/>
      <c r="AW223" s="1108"/>
      <c r="AX223" s="1108"/>
      <c r="AY223" s="1108"/>
      <c r="AZ223" s="1108"/>
      <c r="BA223" s="1741"/>
      <c r="BB223" s="1146">
        <f>BB18*0.75</f>
        <v>28.950000000000003</v>
      </c>
      <c r="BC223" s="1146">
        <f>BC18*0.75</f>
        <v>23.85</v>
      </c>
      <c r="BD223" s="1146">
        <f>BD18*0.75</f>
        <v>27.825000000000003</v>
      </c>
      <c r="BE223" s="1146">
        <f>BE18*0.7</f>
        <v>41.019999999999996</v>
      </c>
      <c r="BF223" s="1741"/>
      <c r="BG223" s="1146">
        <f>BG18*0.75</f>
        <v>39.674999999999997</v>
      </c>
      <c r="BH223" s="1146">
        <f>BH18*0.75</f>
        <v>30.150000000000002</v>
      </c>
      <c r="BI223" s="1146">
        <f>BI18*0.75</f>
        <v>107.47500000000001</v>
      </c>
      <c r="BJ223" s="1146">
        <f>BJ18*0.7</f>
        <v>131.09529999999998</v>
      </c>
      <c r="BK223" s="1741"/>
      <c r="BL223" s="1146">
        <f>BL18*0.8</f>
        <v>107.44000000000001</v>
      </c>
      <c r="BM223" s="1146">
        <f>BM18*0.8</f>
        <v>101.68</v>
      </c>
      <c r="BN223" s="1146">
        <f>BN18*0.8</f>
        <v>97.672000000000011</v>
      </c>
      <c r="BO223" s="1146">
        <f>BO18*0.8</f>
        <v>125.94595695000001</v>
      </c>
      <c r="BP223" s="1741">
        <f t="shared" si="380"/>
        <v>0</v>
      </c>
      <c r="BQ223" s="1146">
        <f>BQ18*0.8</f>
        <v>111.4010486656</v>
      </c>
      <c r="BR223" s="1146">
        <f>BR18*0.8</f>
        <v>105.55925657526733</v>
      </c>
      <c r="BS223" s="1146">
        <f>BS18*0.8</f>
        <v>102.90072049362357</v>
      </c>
      <c r="BT223" s="1146">
        <f>BT18*0.8</f>
        <v>132.62953677898503</v>
      </c>
      <c r="BU223" s="2188">
        <f t="shared" si="381"/>
        <v>0</v>
      </c>
      <c r="BV223" s="1146">
        <f>BV18*0.8</f>
        <v>92.094926669347217</v>
      </c>
      <c r="BW223" s="1146">
        <f>BW18*0.8</f>
        <v>102.88823421914663</v>
      </c>
      <c r="BX223" s="1146">
        <f>BX18*0.8</f>
        <v>108.6284618612811</v>
      </c>
      <c r="BY223" s="1146">
        <f>BY18*0.8</f>
        <v>140.00605505223197</v>
      </c>
      <c r="BZ223" s="2188">
        <f t="shared" si="382"/>
        <v>0</v>
      </c>
      <c r="CA223" s="1146">
        <f>CA18*0.775</f>
        <v>93.896890985508378</v>
      </c>
      <c r="CB223" s="1146">
        <f>CB18*0.775</f>
        <v>104.77590710579702</v>
      </c>
      <c r="CC223" s="1146">
        <f>CC18*0.775</f>
        <v>110.61457827358885</v>
      </c>
      <c r="CD223" s="1146">
        <f>CD18*0.775</f>
        <v>142.58537063616276</v>
      </c>
      <c r="CE223" s="2188">
        <f t="shared" si="383"/>
        <v>0</v>
      </c>
      <c r="CF223" s="1146">
        <f>CF18*0.74</f>
        <v>107.92043502095912</v>
      </c>
      <c r="CG223" s="1146">
        <f>CG18*0.75</f>
        <v>116.87751789757844</v>
      </c>
      <c r="CH223" s="1146">
        <f>CH18*0.75</f>
        <v>119.5877638717384</v>
      </c>
      <c r="CI223" s="1146">
        <f>CI18*0.75</f>
        <v>153.53440480662016</v>
      </c>
      <c r="CJ223" s="2188">
        <f t="shared" si="384"/>
        <v>0</v>
      </c>
      <c r="CK223" s="1648">
        <f>CK18*0.725</f>
        <v>110.95003228878592</v>
      </c>
      <c r="CL223" s="1648">
        <f>CL18*0.725</f>
        <v>118.56339999681217</v>
      </c>
      <c r="CM223" s="1648">
        <f>CM18*0.725</f>
        <v>121.27939311161644</v>
      </c>
      <c r="CN223" s="1146">
        <f>CN18*0.725</f>
        <v>154.64639059058882</v>
      </c>
      <c r="CO223" s="2188">
        <f t="shared" si="365"/>
        <v>0</v>
      </c>
      <c r="CP223" s="1362">
        <f>'CBS Interactive'!CL13*0.7+'CBS Interactive'!CL137</f>
        <v>111.47329988895532</v>
      </c>
      <c r="CQ223" s="1362">
        <f>'CBS Interactive'!CM13*0.7+'CBS Interactive'!CM137</f>
        <v>119.31063768897715</v>
      </c>
      <c r="CR223" s="1362">
        <f>'CBS Interactive'!CN13*0.7+'CBS Interactive'!CN137</f>
        <v>122.87785725446757</v>
      </c>
      <c r="CS223" s="2952">
        <f>'CBS Interactive'!CO13*0.7+'CBS Interactive'!CO137</f>
        <v>156.6932387782341</v>
      </c>
      <c r="CT223" s="2835">
        <f t="shared" si="366"/>
        <v>0</v>
      </c>
      <c r="CU223" s="2952">
        <f>'CBS Interactive'!CQ13*0.7+'CBS Interactive'!CQ137</f>
        <v>109.15794042190494</v>
      </c>
      <c r="CV223" s="2952">
        <f>'CBS Interactive'!CR13*0.7+'CBS Interactive'!CR137</f>
        <v>118.64723011811077</v>
      </c>
      <c r="CW223" s="2952">
        <f>'CBS Interactive'!CS13*0.7+'CBS Interactive'!CS137</f>
        <v>122.64393104408256</v>
      </c>
      <c r="CX223" s="2952">
        <f>'CBS Interactive'!CT13*0.7+'CBS Interactive'!CT137</f>
        <v>154.13062729702023</v>
      </c>
      <c r="CY223" s="2835">
        <f t="shared" si="367"/>
        <v>0</v>
      </c>
      <c r="CZ223" s="2952">
        <f>'CBS Interactive'!CV13*0.7+'CBS Interactive'!CV137</f>
        <v>115.09115865894839</v>
      </c>
      <c r="DA223" s="2952">
        <f>'CBS Interactive'!CW13*0.7+'CBS Interactive'!CW137</f>
        <v>123.82979524996217</v>
      </c>
      <c r="DB223" s="2952">
        <f>'CBS Interactive'!CX13*0.7+'CBS Interactive'!CX137</f>
        <v>127.67341530340364</v>
      </c>
      <c r="DC223" s="2952">
        <f>'CBS Interactive'!CY13*0.7+'CBS Interactive'!CY137</f>
        <v>161.46105479395868</v>
      </c>
      <c r="DD223" s="2835">
        <f t="shared" si="357"/>
        <v>0</v>
      </c>
      <c r="DE223" s="2952">
        <f>'CBS Interactive'!DA13*0.7+'CBS Interactive'!DA137</f>
        <v>123.01520972470055</v>
      </c>
      <c r="DF223" s="2952">
        <f>'CBS Interactive'!DB13*0.7+'CBS Interactive'!DB137</f>
        <v>132.3899080278297</v>
      </c>
      <c r="DG223" s="2952">
        <f>'CBS Interactive'!DC13*0.7+'CBS Interactive'!DC137</f>
        <v>136.08407442609379</v>
      </c>
      <c r="DH223" s="2952">
        <f>'CBS Interactive'!DD13*0.7+'CBS Interactive'!DD137</f>
        <v>169.47201585960136</v>
      </c>
      <c r="DI223" s="2835">
        <f t="shared" si="386"/>
        <v>0</v>
      </c>
      <c r="DJ223" s="2862"/>
      <c r="DK223" s="54"/>
      <c r="DL223" s="11"/>
      <c r="DM223" s="11"/>
      <c r="DN223" s="11"/>
      <c r="DO223" s="11"/>
      <c r="DP223" s="11"/>
      <c r="DQ223" s="11"/>
      <c r="DR223" s="11"/>
      <c r="DS223" s="11"/>
      <c r="DT223" s="11"/>
    </row>
    <row r="224" spans="1:124">
      <c r="A224" s="1470" t="s">
        <v>414</v>
      </c>
      <c r="B224" s="1108"/>
      <c r="C224" s="1108"/>
      <c r="D224" s="1108"/>
      <c r="E224" s="1108"/>
      <c r="F224" s="1108"/>
      <c r="G224" s="1146">
        <f>SUM(BB224:BE224)</f>
        <v>61.023948300000001</v>
      </c>
      <c r="H224" s="1146">
        <f>SUM(BG224:BJ224)</f>
        <v>73.792243665000001</v>
      </c>
      <c r="I224" s="1776">
        <f>SUM(BL224:BO224)</f>
        <v>51.851295693539996</v>
      </c>
      <c r="J224" s="1776">
        <f>SUM(BQ224:BT224)</f>
        <v>59.858055466057792</v>
      </c>
      <c r="K224" s="1776">
        <f>SUM(BV224:BY224)</f>
        <v>34.191298291690387</v>
      </c>
      <c r="L224" s="1776">
        <f t="shared" si="372"/>
        <v>37.762342679884014</v>
      </c>
      <c r="M224" s="1776">
        <f t="shared" si="373"/>
        <v>40.638590214716828</v>
      </c>
      <c r="N224" s="1776">
        <f t="shared" si="374"/>
        <v>43.1514303559035</v>
      </c>
      <c r="O224" s="2744">
        <f t="shared" si="394"/>
        <v>40.638590214716828</v>
      </c>
      <c r="P224" s="2744">
        <f t="shared" si="394"/>
        <v>43.1514303559035</v>
      </c>
      <c r="Q224" s="1776">
        <f>SUM(CP224:CS224)</f>
        <v>45.031567642108101</v>
      </c>
      <c r="R224" s="1776">
        <f t="shared" si="363"/>
        <v>46.909359628541708</v>
      </c>
      <c r="S224" s="2743">
        <f t="shared" si="376"/>
        <v>46.909359628541708</v>
      </c>
      <c r="T224" s="1776">
        <f t="shared" si="377"/>
        <v>48.785734013683381</v>
      </c>
      <c r="U224" s="1776">
        <f>SUM(DE224:DH224)</f>
        <v>50.737163374230732</v>
      </c>
      <c r="V224" s="1146">
        <f t="shared" ref="V224:AC224" si="395">V33-V241</f>
        <v>52.766649909199955</v>
      </c>
      <c r="W224" s="1146">
        <f t="shared" si="395"/>
        <v>54.877315905567968</v>
      </c>
      <c r="X224" s="1146">
        <f t="shared" si="395"/>
        <v>57.072408541790679</v>
      </c>
      <c r="Y224" s="1146">
        <f t="shared" si="395"/>
        <v>59.35530488346231</v>
      </c>
      <c r="Z224" s="1146">
        <f t="shared" si="395"/>
        <v>61.729517078800797</v>
      </c>
      <c r="AA224" s="1146">
        <f t="shared" si="395"/>
        <v>64.198697761952843</v>
      </c>
      <c r="AB224" s="1146">
        <f t="shared" si="395"/>
        <v>66.76664567243094</v>
      </c>
      <c r="AC224" s="1146">
        <f t="shared" si="395"/>
        <v>69.437311499328189</v>
      </c>
      <c r="AD224" s="1146">
        <f>AD33-AD241</f>
        <v>72.214803959301321</v>
      </c>
      <c r="AE224" s="1146">
        <f>AE33-AE241</f>
        <v>75.103396117673384</v>
      </c>
      <c r="AF224" s="1798"/>
      <c r="AG224" s="1798"/>
      <c r="AH224" s="1798"/>
      <c r="AI224" s="1798"/>
      <c r="AJ224" s="1798"/>
      <c r="AK224" s="1798"/>
      <c r="AL224" s="1108" t="s">
        <v>414</v>
      </c>
      <c r="AM224" s="1108"/>
      <c r="AN224" s="1108"/>
      <c r="AO224" s="1108"/>
      <c r="AP224" s="1108"/>
      <c r="AQ224" s="1741"/>
      <c r="AR224" s="1108"/>
      <c r="AS224" s="1108"/>
      <c r="AT224" s="1108"/>
      <c r="AU224" s="1108"/>
      <c r="AV224" s="1741"/>
      <c r="AW224" s="1108"/>
      <c r="AX224" s="1108"/>
      <c r="AY224" s="1108"/>
      <c r="AZ224" s="1108"/>
      <c r="BA224" s="1741"/>
      <c r="BB224" s="1648">
        <f>+BB33-BB241</f>
        <v>13.701523499999999</v>
      </c>
      <c r="BC224" s="1648">
        <f>+BC33-BC241</f>
        <v>15.245999999999999</v>
      </c>
      <c r="BD224" s="1648">
        <f>+BD33-BD241</f>
        <v>15.768270000000001</v>
      </c>
      <c r="BE224" s="1648">
        <f>+BE33-BE241</f>
        <v>16.308154800000001</v>
      </c>
      <c r="BF224" s="1741"/>
      <c r="BG224" s="1648">
        <f>+BG33-BG241</f>
        <v>16.852873904999999</v>
      </c>
      <c r="BH224" s="1648">
        <f>+BH33-BH241</f>
        <v>18.447659999999999</v>
      </c>
      <c r="BI224" s="1648">
        <f>+BI33-BI241</f>
        <v>18.921924000000001</v>
      </c>
      <c r="BJ224" s="1648">
        <f>+BJ33-BJ241</f>
        <v>19.569785759999998</v>
      </c>
      <c r="BK224" s="1741"/>
      <c r="BL224" s="1648">
        <f>+BL33-BL241</f>
        <v>11.931834724739998</v>
      </c>
      <c r="BM224" s="1648">
        <f>+BM33-BM241</f>
        <v>12.839571359999999</v>
      </c>
      <c r="BN224" s="1648">
        <f>+BN33-BN241</f>
        <v>13.283190648</v>
      </c>
      <c r="BO224" s="1648">
        <f>+BO33-BO241</f>
        <v>13.796698960799999</v>
      </c>
      <c r="BP224" s="1741">
        <f t="shared" si="380"/>
        <v>0</v>
      </c>
      <c r="BQ224" s="1648">
        <f>+BQ33-BQ241</f>
        <v>13.960246627945796</v>
      </c>
      <c r="BR224" s="1648">
        <f>+BR33-BR241</f>
        <v>14.893902777599997</v>
      </c>
      <c r="BS224" s="1648">
        <f>+BS33-BS241</f>
        <v>15.275669245199996</v>
      </c>
      <c r="BT224" s="1648">
        <f>+BT33-BT241</f>
        <v>15.728236815311998</v>
      </c>
      <c r="BU224" s="2188">
        <f t="shared" si="381"/>
        <v>0</v>
      </c>
      <c r="BV224" s="1648">
        <f>+BV33-BV241</f>
        <v>7.9573405779291058</v>
      </c>
      <c r="BW224" s="1648">
        <f>+BW33-BW241</f>
        <v>8.5639940971199984</v>
      </c>
      <c r="BX224" s="1648">
        <f>+BX33-BX241</f>
        <v>8.7835098159899978</v>
      </c>
      <c r="BY224" s="1648">
        <f>+BY33-BY241</f>
        <v>8.8864538006512817</v>
      </c>
      <c r="BZ224" s="2188">
        <f t="shared" si="382"/>
        <v>0</v>
      </c>
      <c r="CA224" s="1648">
        <f>+CA33-CA241</f>
        <v>8.9917948530598899</v>
      </c>
      <c r="CB224" s="1648">
        <f>+CB33-CB241</f>
        <v>9.4203935068319993</v>
      </c>
      <c r="CC224" s="1648">
        <f>+CC33-CC241</f>
        <v>9.4861906012692003</v>
      </c>
      <c r="CD224" s="1648">
        <f>+CD33-CD241</f>
        <v>9.8639637187229212</v>
      </c>
      <c r="CE224" s="2188">
        <f t="shared" si="383"/>
        <v>0</v>
      </c>
      <c r="CF224" s="1648">
        <f>+CF33-CF241</f>
        <v>9.71113844130468</v>
      </c>
      <c r="CG224" s="1648">
        <f>+CG33-CG241</f>
        <v>10.145763806858064</v>
      </c>
      <c r="CH224" s="1648">
        <f>+CH33-CH241</f>
        <v>10.197654896364391</v>
      </c>
      <c r="CI224" s="1648">
        <f>+CI33-CI241</f>
        <v>10.584033070189694</v>
      </c>
      <c r="CJ224" s="2188">
        <f t="shared" si="384"/>
        <v>0</v>
      </c>
      <c r="CK224" s="1648">
        <f>+CK33-CK241</f>
        <v>10.39091813219601</v>
      </c>
      <c r="CL224" s="1648">
        <f>+CL33-CL241</f>
        <v>10.805238454303836</v>
      </c>
      <c r="CM224" s="1648">
        <f>+CM33-CM241</f>
        <v>10.789118880353524</v>
      </c>
      <c r="CN224" s="1648">
        <f>+CN33-CN241</f>
        <v>11.166154889050127</v>
      </c>
      <c r="CO224" s="2188">
        <f t="shared" si="365"/>
        <v>0</v>
      </c>
      <c r="CP224" s="1648">
        <f>+CP33-CP241</f>
        <v>10.806554857483849</v>
      </c>
      <c r="CQ224" s="1648">
        <f>+CQ33-CQ241</f>
        <v>11.248253230930292</v>
      </c>
      <c r="CR224" s="1648">
        <f>+CR33-CR241</f>
        <v>11.274629229969431</v>
      </c>
      <c r="CS224" s="3034">
        <f>+CS33-CS241</f>
        <v>11.702130323724532</v>
      </c>
      <c r="CT224" s="2835">
        <f t="shared" si="366"/>
        <v>0</v>
      </c>
      <c r="CU224" s="3034">
        <f>+CU33-CU241</f>
        <v>11.292849826070622</v>
      </c>
      <c r="CV224" s="3034">
        <f>+CV33-CV241</f>
        <v>11.720679866629368</v>
      </c>
      <c r="CW224" s="3034">
        <f>+CW33-CW241</f>
        <v>11.725614399168208</v>
      </c>
      <c r="CX224" s="3034">
        <f>+CX33-CX241</f>
        <v>12.170215536673513</v>
      </c>
      <c r="CY224" s="2835">
        <f t="shared" si="367"/>
        <v>0</v>
      </c>
      <c r="CZ224" s="3034">
        <f>+CZ33-CZ241</f>
        <v>11.744563819113448</v>
      </c>
      <c r="DA224" s="3034">
        <f>+DA33-DA241</f>
        <v>12.189507061294542</v>
      </c>
      <c r="DB224" s="3034">
        <f>+DB33-DB241</f>
        <v>12.194638975134939</v>
      </c>
      <c r="DC224" s="3034">
        <f>+DC33-DC241</f>
        <v>12.657024158140455</v>
      </c>
      <c r="DD224" s="2835">
        <f t="shared" si="357"/>
        <v>0</v>
      </c>
      <c r="DE224" s="3034">
        <f t="shared" ref="DE224:DG224" si="396">+DE33-DE241</f>
        <v>12.214346371877987</v>
      </c>
      <c r="DF224" s="3034">
        <f t="shared" si="396"/>
        <v>12.677087343746326</v>
      </c>
      <c r="DG224" s="3034">
        <f t="shared" si="396"/>
        <v>12.682424534140338</v>
      </c>
      <c r="DH224" s="3034">
        <f>+DH33-DH241</f>
        <v>13.163305124466074</v>
      </c>
      <c r="DI224" s="2835">
        <f t="shared" si="386"/>
        <v>0</v>
      </c>
      <c r="DJ224" s="2862"/>
      <c r="DK224" s="54"/>
      <c r="DL224" s="11"/>
      <c r="DM224" s="11"/>
      <c r="DN224" s="11"/>
      <c r="DO224" s="11"/>
      <c r="DP224" s="11"/>
      <c r="DQ224" s="11"/>
      <c r="DR224" s="11"/>
      <c r="DS224" s="11"/>
      <c r="DT224" s="11"/>
    </row>
    <row r="225" spans="1:124">
      <c r="A225" s="3411" t="str">
        <f>A21</f>
        <v>Network Ten (Australia)</v>
      </c>
      <c r="B225" s="1108"/>
      <c r="C225" s="1108"/>
      <c r="D225" s="1108"/>
      <c r="E225" s="1108"/>
      <c r="F225" s="1108"/>
      <c r="G225" s="1146"/>
      <c r="H225" s="1146"/>
      <c r="I225" s="1776"/>
      <c r="J225" s="1776"/>
      <c r="K225" s="1776"/>
      <c r="L225" s="1776"/>
      <c r="M225" s="1776"/>
      <c r="N225" s="1776"/>
      <c r="O225" s="2744"/>
      <c r="P225" s="2744"/>
      <c r="Q225" s="1776"/>
      <c r="R225" s="1776"/>
      <c r="S225" s="2743"/>
      <c r="T225" s="1776">
        <f t="shared" si="377"/>
        <v>75.980392156862749</v>
      </c>
      <c r="U225" s="1776">
        <f>SUM(DE225:DH225)</f>
        <v>500</v>
      </c>
      <c r="V225" s="1146">
        <f>V21</f>
        <v>500</v>
      </c>
      <c r="W225" s="1146">
        <f t="shared" ref="W225:AE225" si="397">W21</f>
        <v>500</v>
      </c>
      <c r="X225" s="1146">
        <f t="shared" si="397"/>
        <v>500</v>
      </c>
      <c r="Y225" s="1146">
        <f t="shared" si="397"/>
        <v>500</v>
      </c>
      <c r="Z225" s="1146">
        <f t="shared" si="397"/>
        <v>500</v>
      </c>
      <c r="AA225" s="1146">
        <f t="shared" si="397"/>
        <v>500</v>
      </c>
      <c r="AB225" s="1146">
        <f t="shared" si="397"/>
        <v>500</v>
      </c>
      <c r="AC225" s="1146">
        <f t="shared" si="397"/>
        <v>500</v>
      </c>
      <c r="AD225" s="1146">
        <f t="shared" si="397"/>
        <v>500</v>
      </c>
      <c r="AE225" s="1146">
        <f t="shared" si="397"/>
        <v>500</v>
      </c>
      <c r="AF225" s="1798"/>
      <c r="AG225" s="1798"/>
      <c r="AH225" s="1798"/>
      <c r="AI225" s="1798"/>
      <c r="AJ225" s="1798"/>
      <c r="AK225" s="1798"/>
      <c r="AL225" s="1108"/>
      <c r="AM225" s="1108"/>
      <c r="AN225" s="1108"/>
      <c r="AO225" s="1108"/>
      <c r="AP225" s="1108"/>
      <c r="AQ225" s="1741"/>
      <c r="AR225" s="1108"/>
      <c r="AS225" s="1108"/>
      <c r="AT225" s="1108"/>
      <c r="AU225" s="1108"/>
      <c r="AV225" s="1741"/>
      <c r="AW225" s="1108"/>
      <c r="AX225" s="1108"/>
      <c r="AY225" s="1108"/>
      <c r="AZ225" s="1108"/>
      <c r="BA225" s="1741"/>
      <c r="BB225" s="1648"/>
      <c r="BC225" s="1648"/>
      <c r="BD225" s="1648"/>
      <c r="BE225" s="1648"/>
      <c r="BF225" s="1741"/>
      <c r="BG225" s="1648"/>
      <c r="BH225" s="1648"/>
      <c r="BI225" s="1648"/>
      <c r="BJ225" s="1648"/>
      <c r="BK225" s="1741"/>
      <c r="BL225" s="1648"/>
      <c r="BM225" s="1648"/>
      <c r="BN225" s="1648"/>
      <c r="BO225" s="1648"/>
      <c r="BP225" s="1741"/>
      <c r="BQ225" s="1648"/>
      <c r="BR225" s="1648"/>
      <c r="BS225" s="1648"/>
      <c r="BT225" s="1648"/>
      <c r="BU225" s="2188"/>
      <c r="BV225" s="1648"/>
      <c r="BW225" s="1648"/>
      <c r="BX225" s="1648"/>
      <c r="BY225" s="1648"/>
      <c r="BZ225" s="2188"/>
      <c r="CA225" s="1648"/>
      <c r="CB225" s="1648"/>
      <c r="CC225" s="1648"/>
      <c r="CD225" s="1648"/>
      <c r="CE225" s="2188"/>
      <c r="CF225" s="1648"/>
      <c r="CG225" s="1648"/>
      <c r="CH225" s="1648"/>
      <c r="CI225" s="1648"/>
      <c r="CJ225" s="2188"/>
      <c r="CK225" s="1648"/>
      <c r="CL225" s="1648"/>
      <c r="CM225" s="1648"/>
      <c r="CN225" s="1648"/>
      <c r="CO225" s="2188"/>
      <c r="CP225" s="1648"/>
      <c r="CQ225" s="1648"/>
      <c r="CR225" s="1648"/>
      <c r="CS225" s="3034"/>
      <c r="CT225" s="2835"/>
      <c r="CU225" s="3034"/>
      <c r="CV225" s="3034"/>
      <c r="CW225" s="3034"/>
      <c r="CX225" s="3034"/>
      <c r="CY225" s="2835"/>
      <c r="CZ225" s="3034"/>
      <c r="DA225" s="3034"/>
      <c r="DB225" s="3034"/>
      <c r="DC225" s="3034">
        <f>DC21</f>
        <v>75.980392156862749</v>
      </c>
      <c r="DD225" s="2835">
        <f t="shared" si="357"/>
        <v>0</v>
      </c>
      <c r="DE225" s="3034">
        <f t="shared" ref="DE225:DH225" si="398">DE21</f>
        <v>100</v>
      </c>
      <c r="DF225" s="3034">
        <f t="shared" si="398"/>
        <v>130</v>
      </c>
      <c r="DG225" s="3034">
        <f t="shared" si="398"/>
        <v>115</v>
      </c>
      <c r="DH225" s="3034">
        <f t="shared" si="398"/>
        <v>155</v>
      </c>
      <c r="DI225" s="2835">
        <f t="shared" si="386"/>
        <v>0</v>
      </c>
      <c r="DJ225" s="2862"/>
      <c r="DK225" s="54"/>
      <c r="DL225" s="11"/>
      <c r="DM225" s="11"/>
      <c r="DN225" s="11"/>
      <c r="DO225" s="11"/>
      <c r="DP225" s="11"/>
      <c r="DQ225" s="11"/>
      <c r="DR225" s="11"/>
      <c r="DS225" s="11"/>
      <c r="DT225" s="11"/>
    </row>
    <row r="226" spans="1:124">
      <c r="A226" s="1470" t="s">
        <v>1676</v>
      </c>
      <c r="B226" s="1108"/>
      <c r="C226" s="1108"/>
      <c r="D226" s="1108"/>
      <c r="E226" s="1108"/>
      <c r="F226" s="1108"/>
      <c r="G226" s="1867">
        <v>-110</v>
      </c>
      <c r="H226" s="1867">
        <v>-110</v>
      </c>
      <c r="I226" s="1867">
        <f t="shared" si="369"/>
        <v>-170.38293052441236</v>
      </c>
      <c r="J226" s="1867">
        <f t="shared" si="370"/>
        <v>-181.76624770238595</v>
      </c>
      <c r="K226" s="1868">
        <f t="shared" si="371"/>
        <v>-190.1385344629366</v>
      </c>
      <c r="L226" s="1869">
        <f t="shared" si="372"/>
        <v>40.656161676813781</v>
      </c>
      <c r="M226" s="1869">
        <f t="shared" si="373"/>
        <v>-7.5988125941707949</v>
      </c>
      <c r="N226" s="1869">
        <f t="shared" si="374"/>
        <v>45.007436435463433</v>
      </c>
      <c r="O226" s="2745">
        <f t="shared" si="394"/>
        <v>-7.5988125941707949</v>
      </c>
      <c r="P226" s="2745">
        <f t="shared" si="394"/>
        <v>45.007436435463433</v>
      </c>
      <c r="Q226" s="1869">
        <f t="shared" si="362"/>
        <v>-35.097622037761766</v>
      </c>
      <c r="R226" s="1869">
        <f>SUM(CU226:CX226)</f>
        <v>-32.042139800938457</v>
      </c>
      <c r="S226" s="2743">
        <f>R226</f>
        <v>-32.042139800938457</v>
      </c>
      <c r="T226" s="1869">
        <f t="shared" si="377"/>
        <v>-59.320863070038058</v>
      </c>
      <c r="U226" s="1869">
        <f t="shared" si="378"/>
        <v>-59.320863070038058</v>
      </c>
      <c r="V226" s="2479">
        <f t="shared" ref="V226:AE226" si="399">U226</f>
        <v>-59.320863070038058</v>
      </c>
      <c r="W226" s="2479">
        <f t="shared" si="399"/>
        <v>-59.320863070038058</v>
      </c>
      <c r="X226" s="2479">
        <f t="shared" si="399"/>
        <v>-59.320863070038058</v>
      </c>
      <c r="Y226" s="2479">
        <f t="shared" si="399"/>
        <v>-59.320863070038058</v>
      </c>
      <c r="Z226" s="2479">
        <f t="shared" si="399"/>
        <v>-59.320863070038058</v>
      </c>
      <c r="AA226" s="2479">
        <f t="shared" si="399"/>
        <v>-59.320863070038058</v>
      </c>
      <c r="AB226" s="2479">
        <f t="shared" si="399"/>
        <v>-59.320863070038058</v>
      </c>
      <c r="AC226" s="2479">
        <f t="shared" si="399"/>
        <v>-59.320863070038058</v>
      </c>
      <c r="AD226" s="2479">
        <f t="shared" si="399"/>
        <v>-59.320863070038058</v>
      </c>
      <c r="AE226" s="2479">
        <f t="shared" si="399"/>
        <v>-59.320863070038058</v>
      </c>
      <c r="AF226" s="1798"/>
      <c r="AG226" s="1798"/>
      <c r="AH226" s="1798"/>
      <c r="AI226" s="1798"/>
      <c r="AJ226" s="1798"/>
      <c r="AK226" s="1798"/>
      <c r="AL226" s="1108" t="s">
        <v>1676</v>
      </c>
      <c r="AM226" s="1108"/>
      <c r="AN226" s="1108"/>
      <c r="AO226" s="1108"/>
      <c r="AP226" s="1108"/>
      <c r="AQ226" s="1741"/>
      <c r="AR226" s="1108"/>
      <c r="AS226" s="1108"/>
      <c r="AT226" s="1108"/>
      <c r="AU226" s="1108"/>
      <c r="AV226" s="1741"/>
      <c r="AW226" s="1108"/>
      <c r="AX226" s="1108"/>
      <c r="AY226" s="1108"/>
      <c r="AZ226" s="1108"/>
      <c r="BA226" s="1741"/>
      <c r="BB226" s="1776">
        <f>BB227-SUM(BB218:BB224)</f>
        <v>-43.359767243242459</v>
      </c>
      <c r="BC226" s="1776">
        <f>BC227-SUM(BC218:BC224)</f>
        <v>54.364555582459161</v>
      </c>
      <c r="BD226" s="1776">
        <f>BD227-SUM(BD218:BD224)</f>
        <v>-78.778379759397467</v>
      </c>
      <c r="BE226" s="1776">
        <f>BE227-SUM(BE218:BE224)</f>
        <v>6.6446540884817296</v>
      </c>
      <c r="BF226" s="1741"/>
      <c r="BG226" s="1776">
        <f>BG227-SUM(BG218:BG224)</f>
        <v>-54.414966954531337</v>
      </c>
      <c r="BH226" s="1776">
        <f>BH227-SUM(BH218:BH224)</f>
        <v>5.7245051431909815</v>
      </c>
      <c r="BI226" s="1776">
        <f>BI227-SUM(BI218:BI224)</f>
        <v>-31.005491094719218</v>
      </c>
      <c r="BJ226" s="1776">
        <f>BJ227-SUM(BJ218:BJ224)</f>
        <v>4.1994044111711446</v>
      </c>
      <c r="BK226" s="1741"/>
      <c r="BL226" s="1776">
        <f>BL227-SUM(BL218:BL224)</f>
        <v>-59.953437772011739</v>
      </c>
      <c r="BM226" s="1776">
        <f>BM227-SUM(BM218:BM224)</f>
        <v>-40.258181996821122</v>
      </c>
      <c r="BN226" s="1776">
        <f>BN227-SUM(BN218:BN224)</f>
        <v>-50.863757742719145</v>
      </c>
      <c r="BO226" s="1776">
        <f>BO227-SUM(BO218:BO224)</f>
        <v>-19.307553012860353</v>
      </c>
      <c r="BP226" s="1741">
        <f t="shared" si="380"/>
        <v>0</v>
      </c>
      <c r="BQ226" s="1776">
        <f>BQ227-SUM(BQ218:BQ224)</f>
        <v>-80.779340396424232</v>
      </c>
      <c r="BR226" s="1776">
        <f>BR227-SUM(BR218:BR224)</f>
        <v>-37.079741815317902</v>
      </c>
      <c r="BS226" s="1776">
        <f>BS227-SUM(BS218:BS224)</f>
        <v>-47.092433639607862</v>
      </c>
      <c r="BT226" s="1776">
        <f>BT227-SUM(BT218:BT224)</f>
        <v>-16.814731851035958</v>
      </c>
      <c r="BU226" s="2188">
        <f t="shared" si="381"/>
        <v>0</v>
      </c>
      <c r="BV226" s="1776">
        <f>BV227-SUM(BV218:BV224)</f>
        <v>-66.106110751639335</v>
      </c>
      <c r="BW226" s="1776">
        <f>BW227-SUM(BW218:BW224)</f>
        <v>-39.456085719989005</v>
      </c>
      <c r="BX226" s="1776">
        <f>BX227-SUM(BX218:BX224)</f>
        <v>-28.683974310336907</v>
      </c>
      <c r="BY226" s="1776">
        <f>BY227-SUM(BY218:BY224)</f>
        <v>-55.892363680971357</v>
      </c>
      <c r="BZ226" s="2188">
        <f t="shared" si="382"/>
        <v>0</v>
      </c>
      <c r="CA226" s="1776">
        <f>CA227-SUM(CA218:CA224)</f>
        <v>25.935855351938244</v>
      </c>
      <c r="CB226" s="1776">
        <f>CB227-SUM(CB218:CB224)</f>
        <v>10.500227724020988</v>
      </c>
      <c r="CC226" s="1776">
        <f>CC227-SUM(CC218:CC224)</f>
        <v>44.918028887035916</v>
      </c>
      <c r="CD226" s="1776">
        <f>CD227-SUM(CD218:CD224)</f>
        <v>-40.697950286181367</v>
      </c>
      <c r="CE226" s="2188">
        <f t="shared" si="383"/>
        <v>0</v>
      </c>
      <c r="CF226" s="1776">
        <f>CF227-SUM(CF218:CF224)</f>
        <v>2.7415170246758862</v>
      </c>
      <c r="CG226" s="1776">
        <f>CG227-SUM(CG218:CG224)</f>
        <v>1.3557605993441939</v>
      </c>
      <c r="CH226" s="1776">
        <f>CH227-SUM(CH218:CH224)</f>
        <v>41.336386635694453</v>
      </c>
      <c r="CI226" s="1776">
        <f>CI227-SUM(CI218:CI224)</f>
        <v>-53.032476853885328</v>
      </c>
      <c r="CJ226" s="2188">
        <f t="shared" si="384"/>
        <v>0</v>
      </c>
      <c r="CK226" s="1776">
        <f>CK227-SUM(CK218:CK224)</f>
        <v>27.510493325874222</v>
      </c>
      <c r="CL226" s="1776">
        <f>CL227-SUM(CL218:CL224)</f>
        <v>2.9902017374758998</v>
      </c>
      <c r="CM226" s="1776">
        <f>CM227-SUM(CM218:CM224)</f>
        <v>61.950711465865197</v>
      </c>
      <c r="CN226" s="1776">
        <f>CN227-SUM(CN218:CN224)</f>
        <v>-47.443970093751886</v>
      </c>
      <c r="CO226" s="2188">
        <f t="shared" si="365"/>
        <v>0</v>
      </c>
      <c r="CP226" s="1776">
        <f>CP227-SUM(CP218:CP224)</f>
        <v>18.287141130438386</v>
      </c>
      <c r="CQ226" s="1776">
        <f>CQ227-SUM(CQ218:CQ224)</f>
        <v>-20.839833435399669</v>
      </c>
      <c r="CR226" s="1776">
        <f>CR227-SUM(CR218:CR224)</f>
        <v>35.989057829723606</v>
      </c>
      <c r="CS226" s="3098">
        <f>CS227-SUM(CS218:CS224)</f>
        <v>-68.533987562524089</v>
      </c>
      <c r="CT226" s="2835">
        <f t="shared" si="366"/>
        <v>0</v>
      </c>
      <c r="CU226" s="3098">
        <f>CU227-SUM(CU218:CU224)</f>
        <v>7.8273583353238791</v>
      </c>
      <c r="CV226" s="3098">
        <f>CV227-SUM(CV218:CV224)</f>
        <v>-13.680903937314724</v>
      </c>
      <c r="CW226" s="3098">
        <f>CW227-SUM(CW218:CW224)</f>
        <v>27.155518817143047</v>
      </c>
      <c r="CX226" s="3098">
        <f>CX227-SUM(CX218:CX224)</f>
        <v>-53.34411301609066</v>
      </c>
      <c r="CY226" s="2835">
        <f t="shared" si="367"/>
        <v>0</v>
      </c>
      <c r="CZ226" s="3098">
        <f>CZ227-SUM(CZ218:CZ224)</f>
        <v>-1.8610596874334533</v>
      </c>
      <c r="DA226" s="3098">
        <f>DA227-SUM(DA218:DA224)</f>
        <v>-25.319522320845408</v>
      </c>
      <c r="DB226" s="3098">
        <f>DB227-SUM(DB218:DB224)</f>
        <v>21.203831954331463</v>
      </c>
      <c r="DC226" s="2933">
        <f>CX226</f>
        <v>-53.34411301609066</v>
      </c>
      <c r="DD226" s="2835">
        <f t="shared" si="357"/>
        <v>0</v>
      </c>
      <c r="DE226" s="2933">
        <f t="shared" ref="DE226:DG226" si="400">CZ226</f>
        <v>-1.8610596874334533</v>
      </c>
      <c r="DF226" s="2933">
        <f t="shared" si="400"/>
        <v>-25.319522320845408</v>
      </c>
      <c r="DG226" s="2933">
        <f t="shared" si="400"/>
        <v>21.203831954331463</v>
      </c>
      <c r="DH226" s="2933">
        <f>DC226</f>
        <v>-53.34411301609066</v>
      </c>
      <c r="DI226" s="2835">
        <f t="shared" si="386"/>
        <v>0</v>
      </c>
      <c r="DJ226" s="2862"/>
      <c r="DK226" s="54" t="s">
        <v>1237</v>
      </c>
      <c r="DL226" s="11"/>
      <c r="DM226" s="11"/>
      <c r="DN226" s="11"/>
      <c r="DO226" s="11"/>
      <c r="DP226" s="11"/>
      <c r="DQ226" s="11"/>
      <c r="DR226" s="11"/>
      <c r="DS226" s="11"/>
      <c r="DT226" s="11"/>
    </row>
    <row r="227" spans="1:124" s="875" customFormat="1">
      <c r="A227" s="1494" t="s">
        <v>480</v>
      </c>
      <c r="B227" s="1494"/>
      <c r="C227" s="1494"/>
      <c r="D227" s="1494"/>
      <c r="E227" s="1494"/>
      <c r="F227" s="1494"/>
      <c r="G227" s="2304">
        <f t="shared" ref="G227:L227" si="401">SUM(G218:G226)</f>
        <v>10087.026854744123</v>
      </c>
      <c r="H227" s="2304">
        <f t="shared" si="401"/>
        <v>9262.7284159073115</v>
      </c>
      <c r="I227" s="2304">
        <f t="shared" si="401"/>
        <v>8170.7000000000007</v>
      </c>
      <c r="J227" s="2304">
        <f t="shared" si="401"/>
        <v>9152.8000000000011</v>
      </c>
      <c r="K227" s="2304">
        <f>SUM(K218:K226)</f>
        <v>8399</v>
      </c>
      <c r="L227" s="2304">
        <f t="shared" si="401"/>
        <v>8451.7999999999993</v>
      </c>
      <c r="M227" s="2304">
        <f>SUM(M218:M226)</f>
        <v>8803.0000000000018</v>
      </c>
      <c r="N227" s="2304">
        <f>SUM(N218:N226)</f>
        <v>7204</v>
      </c>
      <c r="O227" s="2746">
        <f>SUM(O218:O226)</f>
        <v>7499</v>
      </c>
      <c r="P227" s="2746">
        <f t="shared" ref="P227:W227" si="402">SUM(P218:P226)</f>
        <v>7204</v>
      </c>
      <c r="Q227" s="2304">
        <f>SUM(Q218:Q226)</f>
        <v>7018</v>
      </c>
      <c r="R227" s="2304">
        <f>SUM(R218:R226)</f>
        <v>7502.9999999999991</v>
      </c>
      <c r="S227" s="2786">
        <f>SUM(S218:S226)</f>
        <v>6282.9999999999991</v>
      </c>
      <c r="T227" s="2304">
        <f>SUM(T218:T226)</f>
        <v>5816.8181402920336</v>
      </c>
      <c r="U227" s="2304">
        <f>SUM(U218:U226)</f>
        <v>6259.6248658336272</v>
      </c>
      <c r="V227" s="2304">
        <f t="shared" si="402"/>
        <v>6652.4568989777981</v>
      </c>
      <c r="W227" s="2304">
        <f t="shared" si="402"/>
        <v>6256.6932832574385</v>
      </c>
      <c r="X227" s="2304">
        <f t="shared" ref="X227:AC227" si="403">SUM(X218:X226)</f>
        <v>6165.7840369752112</v>
      </c>
      <c r="Y227" s="2304">
        <f t="shared" si="403"/>
        <v>6742.2184803657192</v>
      </c>
      <c r="Z227" s="2304">
        <f t="shared" si="403"/>
        <v>6156.9435912647496</v>
      </c>
      <c r="AA227" s="2304">
        <f t="shared" si="403"/>
        <v>6245.407312481273</v>
      </c>
      <c r="AB227" s="2304">
        <f t="shared" si="403"/>
        <v>6791.6580288748091</v>
      </c>
      <c r="AC227" s="2304">
        <f t="shared" si="403"/>
        <v>6193.4246631251908</v>
      </c>
      <c r="AD227" s="2304">
        <f>SUM(AD218:AD226)</f>
        <v>6150.9461259942436</v>
      </c>
      <c r="AE227" s="2304">
        <f>SUM(AE218:AE226)</f>
        <v>6990.4699336424992</v>
      </c>
      <c r="AF227" s="1798"/>
      <c r="AG227" s="1798"/>
      <c r="AH227" s="1798"/>
      <c r="AI227" s="1798"/>
      <c r="AJ227" s="1798"/>
      <c r="AK227" s="1798"/>
      <c r="AL227" s="1494" t="s">
        <v>480</v>
      </c>
      <c r="AM227" s="1494"/>
      <c r="AN227" s="1494"/>
      <c r="AO227" s="1494"/>
      <c r="AP227" s="1494"/>
      <c r="AQ227" s="2188"/>
      <c r="AR227" s="1494"/>
      <c r="AS227" s="1494"/>
      <c r="AT227" s="1494"/>
      <c r="AU227" s="1494"/>
      <c r="AV227" s="2188"/>
      <c r="AW227" s="1494"/>
      <c r="AX227" s="1494"/>
      <c r="AY227" s="1494"/>
      <c r="AZ227" s="1494"/>
      <c r="BA227" s="2188"/>
      <c r="BB227" s="2305">
        <v>2695.2</v>
      </c>
      <c r="BC227" s="2305">
        <v>2435</v>
      </c>
      <c r="BD227" s="2305">
        <v>2227.1</v>
      </c>
      <c r="BE227" s="2305">
        <f>10060-SUM(BB227:BD227)</f>
        <v>2702.7000000000007</v>
      </c>
      <c r="BF227" s="2188"/>
      <c r="BG227" s="2305">
        <v>2412.9</v>
      </c>
      <c r="BH227" s="2305">
        <v>2359.3000000000002</v>
      </c>
      <c r="BI227" s="2305">
        <v>2081</v>
      </c>
      <c r="BJ227" s="2305">
        <f>9239.9-SUM(BG227:BI227)</f>
        <v>2386.6999999999989</v>
      </c>
      <c r="BK227" s="2188"/>
      <c r="BL227" s="2305">
        <f>4014-BM227</f>
        <v>2027.7</v>
      </c>
      <c r="BM227" s="2305">
        <v>1986.3</v>
      </c>
      <c r="BN227" s="2305">
        <v>1805.2</v>
      </c>
      <c r="BO227" s="2305">
        <v>2351.5</v>
      </c>
      <c r="BP227" s="1741">
        <f t="shared" si="380"/>
        <v>0</v>
      </c>
      <c r="BQ227" s="2305">
        <f>4538.4-BR227</f>
        <v>2381.3999999999996</v>
      </c>
      <c r="BR227" s="2305">
        <v>2157</v>
      </c>
      <c r="BS227" s="2305">
        <v>1991.3</v>
      </c>
      <c r="BT227" s="2305">
        <v>2623.1</v>
      </c>
      <c r="BU227" s="2188">
        <f t="shared" si="381"/>
        <v>0</v>
      </c>
      <c r="BV227" s="2305">
        <v>2158</v>
      </c>
      <c r="BW227" s="2305">
        <v>2057</v>
      </c>
      <c r="BX227" s="2305">
        <v>1848</v>
      </c>
      <c r="BY227" s="2305">
        <v>2336</v>
      </c>
      <c r="BZ227" s="2188">
        <f t="shared" si="382"/>
        <v>0</v>
      </c>
      <c r="CA227" s="2305">
        <v>2267.9</v>
      </c>
      <c r="CB227" s="2305">
        <v>1992.4</v>
      </c>
      <c r="CC227" s="2305">
        <v>1776.5</v>
      </c>
      <c r="CD227" s="2305">
        <v>2415</v>
      </c>
      <c r="CE227" s="2188">
        <f t="shared" si="383"/>
        <v>0</v>
      </c>
      <c r="CF227" s="2305">
        <v>2455</v>
      </c>
      <c r="CG227" s="2305">
        <v>2090</v>
      </c>
      <c r="CH227" s="2305">
        <v>1856</v>
      </c>
      <c r="CI227" s="2305">
        <v>2402</v>
      </c>
      <c r="CJ227" s="2188">
        <f t="shared" si="384"/>
        <v>0</v>
      </c>
      <c r="CK227" s="2305">
        <f>3509-CL227</f>
        <v>1873</v>
      </c>
      <c r="CL227" s="2305">
        <v>1636</v>
      </c>
      <c r="CM227" s="2305">
        <v>1548</v>
      </c>
      <c r="CN227" s="2305">
        <v>2147</v>
      </c>
      <c r="CO227" s="2188">
        <f>$N227-SUM(CK227:CN227)</f>
        <v>0</v>
      </c>
      <c r="CP227" s="2305">
        <v>1784</v>
      </c>
      <c r="CQ227" s="2305">
        <v>1594</v>
      </c>
      <c r="CR227" s="2305">
        <v>1481</v>
      </c>
      <c r="CS227" s="3099">
        <v>2159</v>
      </c>
      <c r="CT227" s="2835">
        <f t="shared" si="366"/>
        <v>0</v>
      </c>
      <c r="CU227" s="3099">
        <v>2085</v>
      </c>
      <c r="CV227" s="3099">
        <v>1245</v>
      </c>
      <c r="CW227" s="3099">
        <f>1469-319+7</f>
        <v>1157</v>
      </c>
      <c r="CX227" s="3099">
        <v>1796</v>
      </c>
      <c r="CY227" s="2835">
        <f t="shared" si="367"/>
        <v>0</v>
      </c>
      <c r="CZ227" s="3099">
        <v>1603</v>
      </c>
      <c r="DA227" s="3099">
        <v>1299</v>
      </c>
      <c r="DB227" s="3099">
        <v>1106</v>
      </c>
      <c r="DC227" s="3100">
        <f>SUM(DC218:DC226)</f>
        <v>1808.8181402920341</v>
      </c>
      <c r="DD227" s="2835">
        <f t="shared" si="357"/>
        <v>0</v>
      </c>
      <c r="DE227" s="3100">
        <f t="shared" ref="DE227:DG227" si="404">SUM(DE218:DE226)</f>
        <v>1734.1943091038786</v>
      </c>
      <c r="DF227" s="3100">
        <f t="shared" si="404"/>
        <v>1345.4563865916343</v>
      </c>
      <c r="DG227" s="3100">
        <f t="shared" si="404"/>
        <v>1241.5408835755563</v>
      </c>
      <c r="DH227" s="3100">
        <f>SUM(DH218:DH226)</f>
        <v>1938.4332865625574</v>
      </c>
      <c r="DI227" s="2835">
        <f t="shared" si="386"/>
        <v>0</v>
      </c>
      <c r="DJ227" s="3102"/>
      <c r="DK227" s="1176" t="s">
        <v>1237</v>
      </c>
      <c r="DL227" s="9"/>
      <c r="DM227" s="9"/>
      <c r="DN227" s="11"/>
      <c r="DO227" s="11"/>
      <c r="DP227" s="11"/>
      <c r="DQ227" s="11"/>
      <c r="DR227" s="11"/>
      <c r="DS227" s="11"/>
      <c r="DT227" s="11"/>
    </row>
    <row r="228" spans="1:124">
      <c r="A228" s="1477" t="s">
        <v>1239</v>
      </c>
      <c r="B228" s="1108"/>
      <c r="C228" s="1108"/>
      <c r="D228" s="1108"/>
      <c r="E228" s="1470" t="s">
        <v>784</v>
      </c>
      <c r="F228" s="1108"/>
      <c r="G228" s="1650"/>
      <c r="H228" s="1110">
        <f>H227/G227-1</f>
        <v>-8.171867198401761E-2</v>
      </c>
      <c r="I228" s="1110">
        <f t="shared" ref="I228:K228" si="405">I227/H227-1</f>
        <v>-0.11789489736435754</v>
      </c>
      <c r="J228" s="1110">
        <f t="shared" si="405"/>
        <v>0.12019777987198155</v>
      </c>
      <c r="K228" s="1110">
        <f t="shared" si="405"/>
        <v>-8.235731142382674E-2</v>
      </c>
      <c r="L228" s="1110">
        <f>+L227/K227-1</f>
        <v>6.2864626741276908E-3</v>
      </c>
      <c r="M228" s="1110">
        <f>+M227/L227-1</f>
        <v>4.1553278591542897E-2</v>
      </c>
      <c r="N228" s="1110">
        <f>+N227/M227-1</f>
        <v>-0.18164262183346602</v>
      </c>
      <c r="O228" s="2709"/>
      <c r="P228" s="2705">
        <f>+P227/O227-1</f>
        <v>-3.9338578477130293E-2</v>
      </c>
      <c r="Q228" s="1110">
        <f>+Q227/P227-1</f>
        <v>-2.5818989450305363E-2</v>
      </c>
      <c r="R228" s="1110">
        <f>+R227/Q227-1</f>
        <v>6.9108007979481245E-2</v>
      </c>
      <c r="S228" s="2705"/>
      <c r="T228" s="1110">
        <f>T227/S227-1</f>
        <v>-7.4197335621194571E-2</v>
      </c>
      <c r="U228" s="1110">
        <f t="shared" ref="U228:AE228" si="406">+U227/T227-1</f>
        <v>7.6125248350872976E-2</v>
      </c>
      <c r="V228" s="1110">
        <f t="shared" si="406"/>
        <v>6.2756481668467368E-2</v>
      </c>
      <c r="W228" s="1110">
        <f t="shared" si="406"/>
        <v>-5.9491346089167729E-2</v>
      </c>
      <c r="X228" s="1110">
        <f t="shared" si="406"/>
        <v>-1.4529918947041143E-2</v>
      </c>
      <c r="Y228" s="1110">
        <f t="shared" si="406"/>
        <v>9.3489236718919067E-2</v>
      </c>
      <c r="Z228" s="1110">
        <f t="shared" si="406"/>
        <v>-8.680746416114693E-2</v>
      </c>
      <c r="AA228" s="1110">
        <f t="shared" si="406"/>
        <v>1.4368122739021549E-2</v>
      </c>
      <c r="AB228" s="1110">
        <f t="shared" si="406"/>
        <v>8.7464386078049516E-2</v>
      </c>
      <c r="AC228" s="1110">
        <f t="shared" si="406"/>
        <v>-8.8083552382381858E-2</v>
      </c>
      <c r="AD228" s="1110">
        <f t="shared" si="406"/>
        <v>-6.8586508178356542E-3</v>
      </c>
      <c r="AE228" s="1110">
        <f t="shared" si="406"/>
        <v>0.13648693883049656</v>
      </c>
      <c r="AF228" s="1798"/>
      <c r="AG228" s="1798"/>
      <c r="AH228" s="1798"/>
      <c r="AI228" s="1798"/>
      <c r="AJ228" s="1798"/>
      <c r="AK228" s="1798"/>
      <c r="AL228" s="1108" t="s">
        <v>1239</v>
      </c>
      <c r="AM228" s="1108"/>
      <c r="AN228" s="1108"/>
      <c r="AO228" s="1108"/>
      <c r="AP228" s="1108"/>
      <c r="AQ228" s="1741"/>
      <c r="AR228" s="1108"/>
      <c r="AS228" s="1108"/>
      <c r="AT228" s="1108"/>
      <c r="AU228" s="1108"/>
      <c r="AV228" s="1741"/>
      <c r="AW228" s="1108"/>
      <c r="AX228" s="1108"/>
      <c r="AY228" s="1108"/>
      <c r="AZ228" s="1108"/>
      <c r="BA228" s="1741"/>
      <c r="BB228" s="1651">
        <f>BB227-SUM(BB218:BB226)</f>
        <v>0</v>
      </c>
      <c r="BC228" s="1651">
        <f>BC227-SUM(BC218:BC226)</f>
        <v>0</v>
      </c>
      <c r="BD228" s="1651">
        <f>BD227-SUM(BD218:BD226)</f>
        <v>0</v>
      </c>
      <c r="BE228" s="1651">
        <f>BE227-SUM(BE218:BE226)</f>
        <v>0</v>
      </c>
      <c r="BF228" s="1741"/>
      <c r="BG228" s="1651">
        <f>BG227-SUM(BG218:BG226)</f>
        <v>0</v>
      </c>
      <c r="BH228" s="1651">
        <f>BH227-SUM(BH218:BH226)</f>
        <v>0</v>
      </c>
      <c r="BI228" s="1651">
        <f>BI227-SUM(BI218:BI226)</f>
        <v>0</v>
      </c>
      <c r="BJ228" s="1651">
        <f>BJ227-SUM(BJ218:BJ226)</f>
        <v>0</v>
      </c>
      <c r="BK228" s="1741"/>
      <c r="BL228" s="1651">
        <f>BL227-SUM(BL218:BL226)</f>
        <v>0</v>
      </c>
      <c r="BM228" s="1651">
        <f>BM227-SUM(BM218:BM226)</f>
        <v>0</v>
      </c>
      <c r="BN228" s="1651">
        <f>BN227-SUM(BN218:BN226)</f>
        <v>0</v>
      </c>
      <c r="BO228" s="1651">
        <f>BO227-SUM(BO218:BO226)</f>
        <v>0</v>
      </c>
      <c r="BP228" s="1741"/>
      <c r="BQ228" s="1651">
        <f>BQ227-SUM(BQ218:BQ226)</f>
        <v>0</v>
      </c>
      <c r="BR228" s="1651">
        <f>BR227-SUM(BR218:BR226)</f>
        <v>0</v>
      </c>
      <c r="BS228" s="1651">
        <f>BS227-SUM(BS218:BS226)</f>
        <v>0</v>
      </c>
      <c r="BT228" s="1651">
        <f>BT227-SUM(BT218:BT226)</f>
        <v>0</v>
      </c>
      <c r="BU228" s="2188"/>
      <c r="BV228" s="1651">
        <f>BV227-SUM(BV218:BV226)</f>
        <v>0</v>
      </c>
      <c r="BW228" s="1651">
        <f>BW227-SUM(BW218:BW226)</f>
        <v>0</v>
      </c>
      <c r="BX228" s="1651">
        <f>BX227-SUM(BX218:BX226)</f>
        <v>0</v>
      </c>
      <c r="BY228" s="1651">
        <f>BY227-SUM(BY218:BY226)</f>
        <v>0</v>
      </c>
      <c r="BZ228" s="2188"/>
      <c r="CA228" s="1651">
        <f>CA227-SUM(CA218:CA226)</f>
        <v>0</v>
      </c>
      <c r="CB228" s="1651">
        <f>CB227-SUM(CB218:CB226)</f>
        <v>0</v>
      </c>
      <c r="CC228" s="1651">
        <f>CC227-SUM(CC218:CC226)</f>
        <v>0</v>
      </c>
      <c r="CD228" s="1651">
        <f>CD227-SUM(CD218:CD226)</f>
        <v>0</v>
      </c>
      <c r="CE228" s="2188"/>
      <c r="CF228" s="1651">
        <f>CF227-SUM(CF218:CF226)</f>
        <v>0</v>
      </c>
      <c r="CG228" s="1651">
        <f>CG227-SUM(CG218:CG226)</f>
        <v>0</v>
      </c>
      <c r="CH228" s="1651">
        <f>CH227-SUM(CH218:CH226)</f>
        <v>0</v>
      </c>
      <c r="CI228" s="1651">
        <f>CI227-SUM(CI218:CI226)</f>
        <v>0</v>
      </c>
      <c r="CJ228" s="2188"/>
      <c r="CK228" s="1651">
        <f>CK227-SUM(CK218:CK226)</f>
        <v>0</v>
      </c>
      <c r="CL228" s="1651">
        <f>CL227-SUM(CL218:CL226)</f>
        <v>0</v>
      </c>
      <c r="CM228" s="1651">
        <f>CM227-SUM(CM218:CM226)</f>
        <v>0</v>
      </c>
      <c r="CN228" s="1651">
        <f>CN227-SUM(CN218:CN226)</f>
        <v>0</v>
      </c>
      <c r="CO228" s="1146"/>
      <c r="CP228" s="1651">
        <f>CP227-SUM(CP218:CP226)</f>
        <v>0</v>
      </c>
      <c r="CQ228" s="1651">
        <f>CQ227-SUM(CQ218:CQ226)</f>
        <v>0</v>
      </c>
      <c r="CR228" s="1651">
        <f>CR227-SUM(CR218:CR226)</f>
        <v>0</v>
      </c>
      <c r="CS228" s="3101">
        <f>CS227-SUM(CS218:CS226)</f>
        <v>0</v>
      </c>
      <c r="CT228" s="2862"/>
      <c r="CU228" s="3101">
        <f>CU227-SUM(CU218:CU226)</f>
        <v>0</v>
      </c>
      <c r="CV228" s="3101">
        <f>CV227-SUM(CV218:CV226)</f>
        <v>0</v>
      </c>
      <c r="CW228" s="3101">
        <f>CW227-SUM(CW218:CW226)</f>
        <v>0</v>
      </c>
      <c r="CX228" s="3101">
        <f>CX227-SUM(CX218:CX226)</f>
        <v>0</v>
      </c>
      <c r="CY228" s="2862"/>
      <c r="CZ228" s="3101">
        <f>CZ227-SUM(CZ218:CZ226)</f>
        <v>0</v>
      </c>
      <c r="DA228" s="3101">
        <f>DA227-SUM(DA218:DA226)</f>
        <v>0</v>
      </c>
      <c r="DB228" s="3101">
        <f>DB227-SUM(DB218:DB226)</f>
        <v>0</v>
      </c>
      <c r="DC228" s="3101">
        <f>DC227-SUM(DC218:DC226)</f>
        <v>0</v>
      </c>
      <c r="DD228" s="2835"/>
      <c r="DE228" s="3101">
        <f t="shared" ref="DE228:DG228" si="407">DE227-SUM(DE218:DE226)</f>
        <v>0</v>
      </c>
      <c r="DF228" s="3101">
        <f t="shared" si="407"/>
        <v>0</v>
      </c>
      <c r="DG228" s="3101">
        <f t="shared" si="407"/>
        <v>0</v>
      </c>
      <c r="DH228" s="3101">
        <f>DH227-SUM(DH218:DH226)</f>
        <v>0</v>
      </c>
      <c r="DI228" s="2862"/>
      <c r="DJ228" s="2862"/>
      <c r="DK228" s="1311"/>
      <c r="DL228" s="11"/>
      <c r="DM228" s="11"/>
      <c r="DN228" s="11"/>
      <c r="DO228" s="11"/>
      <c r="DP228" s="11"/>
      <c r="DQ228" s="11"/>
      <c r="DR228" s="11"/>
      <c r="DS228" s="11"/>
      <c r="DT228" s="11"/>
    </row>
    <row r="229" spans="1:124">
      <c r="A229" s="1477"/>
      <c r="B229" s="1108"/>
      <c r="C229" s="1108"/>
      <c r="D229" s="1108"/>
      <c r="E229" s="1108"/>
      <c r="F229" s="1108"/>
      <c r="G229" s="1108"/>
      <c r="H229" s="1108"/>
      <c r="I229" s="1108"/>
      <c r="J229" s="1108"/>
      <c r="K229" s="1108"/>
      <c r="L229" s="1108"/>
      <c r="M229" s="1795"/>
      <c r="N229" s="1795"/>
      <c r="O229" s="2747"/>
      <c r="P229" s="2747"/>
      <c r="Q229" s="1870"/>
      <c r="R229" s="1870"/>
      <c r="S229" s="2747"/>
      <c r="T229" s="1870"/>
      <c r="U229" s="1870"/>
      <c r="V229" s="1870"/>
      <c r="W229" s="1870"/>
      <c r="X229" s="1870"/>
      <c r="Y229" s="1870"/>
      <c r="Z229" s="1870"/>
      <c r="AA229" s="1870"/>
      <c r="AB229" s="1870"/>
      <c r="AC229" s="1870"/>
      <c r="AD229" s="1870"/>
      <c r="AE229" s="1798"/>
      <c r="AF229" s="1798"/>
      <c r="AG229" s="1798"/>
      <c r="AH229" s="1798"/>
      <c r="AI229" s="1798"/>
      <c r="AJ229" s="1798"/>
      <c r="AK229" s="1798"/>
      <c r="AL229" s="1108"/>
      <c r="AM229" s="1108"/>
      <c r="AN229" s="1108"/>
      <c r="AO229" s="1108"/>
      <c r="AP229" s="1108"/>
      <c r="AQ229" s="1741"/>
      <c r="AR229" s="1108"/>
      <c r="AS229" s="1108"/>
      <c r="AT229" s="1108"/>
      <c r="AU229" s="1108"/>
      <c r="AV229" s="1741"/>
      <c r="AW229" s="1108"/>
      <c r="AX229" s="1108"/>
      <c r="AY229" s="1108"/>
      <c r="AZ229" s="1108"/>
      <c r="BA229" s="1741"/>
      <c r="BB229" s="1651"/>
      <c r="BC229" s="1651"/>
      <c r="BD229" s="1651"/>
      <c r="BE229" s="1651"/>
      <c r="BF229" s="1741"/>
      <c r="BG229" s="1651"/>
      <c r="BH229" s="1651"/>
      <c r="BI229" s="1651"/>
      <c r="BJ229" s="1651"/>
      <c r="BK229" s="1741"/>
      <c r="BL229" s="1651"/>
      <c r="BM229" s="1651"/>
      <c r="BN229" s="1651"/>
      <c r="BO229" s="1651"/>
      <c r="BP229" s="1741"/>
      <c r="BQ229" s="1651"/>
      <c r="BR229" s="1651"/>
      <c r="BS229" s="1651"/>
      <c r="BT229" s="1651"/>
      <c r="BU229" s="2188"/>
      <c r="BV229" s="1146"/>
      <c r="BW229" s="1146"/>
      <c r="BX229" s="1146"/>
      <c r="BY229" s="1146"/>
      <c r="BZ229" s="2188"/>
      <c r="CA229" s="1146"/>
      <c r="CB229" s="1146"/>
      <c r="CC229" s="1146"/>
      <c r="CD229" s="1110"/>
      <c r="CE229" s="2188"/>
      <c r="CF229" s="1146"/>
      <c r="CG229" s="1146"/>
      <c r="CH229" s="1146"/>
      <c r="CI229" s="1146"/>
      <c r="CJ229" s="2188"/>
      <c r="CK229" s="1648"/>
      <c r="CL229" s="1648"/>
      <c r="CM229" s="1648"/>
      <c r="CN229" s="1777"/>
      <c r="CO229" s="1650"/>
      <c r="CP229" s="1110">
        <f>CP227/CK227-1</f>
        <v>-4.7517351841964817E-2</v>
      </c>
      <c r="CQ229" s="1110">
        <f>CQ227/CL227-1</f>
        <v>-2.5672371638141844E-2</v>
      </c>
      <c r="CR229" s="1110">
        <f>CR227/CM227-1</f>
        <v>-4.3281653746770066E-2</v>
      </c>
      <c r="CS229" s="2802">
        <f>CS227/CN227-1</f>
        <v>5.5891942244992165E-3</v>
      </c>
      <c r="CT229" s="2862"/>
      <c r="CU229" s="2835"/>
      <c r="CV229" s="2835"/>
      <c r="CW229" s="2835"/>
      <c r="CX229" s="2835"/>
      <c r="CY229" s="2835"/>
      <c r="CZ229" s="2835"/>
      <c r="DA229" s="2835"/>
      <c r="DB229" s="2835"/>
      <c r="DC229" s="2835"/>
      <c r="DD229" s="2835"/>
      <c r="DE229" s="2835"/>
      <c r="DF229" s="2835"/>
      <c r="DG229" s="2835"/>
      <c r="DH229" s="2835"/>
      <c r="DI229" s="2835"/>
      <c r="DJ229" s="2835"/>
      <c r="DK229" s="11"/>
      <c r="DL229" s="11"/>
      <c r="DM229" s="11"/>
      <c r="DN229" s="11"/>
      <c r="DO229" s="11"/>
      <c r="DP229" s="11"/>
      <c r="DQ229" s="11"/>
      <c r="DR229" s="11"/>
      <c r="DS229" s="11"/>
      <c r="DT229" s="11"/>
    </row>
    <row r="230" spans="1:124">
      <c r="A230" s="1477"/>
      <c r="B230" s="1108"/>
      <c r="C230" s="1108"/>
      <c r="D230" s="1108"/>
      <c r="E230" s="1108"/>
      <c r="F230" s="1108"/>
      <c r="G230" s="1108"/>
      <c r="H230" s="1108"/>
      <c r="I230" s="1108"/>
      <c r="J230" s="1108"/>
      <c r="K230" s="1108"/>
      <c r="L230" s="1108"/>
      <c r="M230" s="1108"/>
      <c r="N230" s="1108"/>
      <c r="O230" s="2709"/>
      <c r="P230" s="2709"/>
      <c r="Q230" s="2709"/>
      <c r="R230" s="2709"/>
      <c r="S230" s="2709"/>
      <c r="T230" s="2709"/>
      <c r="U230" s="2709"/>
      <c r="V230" s="2709"/>
      <c r="W230" s="2709"/>
      <c r="X230" s="1470"/>
      <c r="Y230" s="1470"/>
      <c r="Z230" s="1470"/>
      <c r="AA230" s="1470"/>
      <c r="AB230" s="1470"/>
      <c r="AC230" s="1470"/>
      <c r="AD230" s="1470"/>
      <c r="AE230" s="1798"/>
      <c r="AF230" s="1798"/>
      <c r="AG230" s="1798"/>
      <c r="AH230" s="1798"/>
      <c r="AI230" s="1798"/>
      <c r="AJ230" s="1798"/>
      <c r="AK230" s="1798"/>
      <c r="AL230" s="1108"/>
      <c r="AM230" s="1108"/>
      <c r="AN230" s="1108"/>
      <c r="AO230" s="1108"/>
      <c r="AP230" s="1108"/>
      <c r="AQ230" s="1108"/>
      <c r="AR230" s="1108"/>
      <c r="AS230" s="1108"/>
      <c r="AT230" s="1108"/>
      <c r="AU230" s="1108"/>
      <c r="AV230" s="1108"/>
      <c r="AW230" s="1108"/>
      <c r="AX230" s="1108"/>
      <c r="AY230" s="1108"/>
      <c r="AZ230" s="1108"/>
      <c r="BA230" s="1108"/>
      <c r="BB230" s="1108"/>
      <c r="BC230" s="1108"/>
      <c r="BD230" s="1108"/>
      <c r="BE230" s="1108"/>
      <c r="BF230" s="1108"/>
      <c r="BG230" s="1108"/>
      <c r="BH230" s="1108"/>
      <c r="BI230" s="1108"/>
      <c r="BJ230" s="1108"/>
      <c r="BK230" s="1108"/>
      <c r="BL230" s="1108"/>
      <c r="BM230" s="1108"/>
      <c r="BN230" s="1108"/>
      <c r="BO230" s="1108"/>
      <c r="BP230" s="1108"/>
      <c r="BQ230" s="1108"/>
      <c r="BR230" s="1108"/>
      <c r="BS230" s="1108"/>
      <c r="BT230" s="1108"/>
      <c r="BU230" s="1108"/>
      <c r="BV230" s="1108"/>
      <c r="BW230" s="1108"/>
      <c r="BX230" s="1108"/>
      <c r="BY230" s="1108"/>
      <c r="BZ230" s="1108"/>
      <c r="CA230" s="1108"/>
      <c r="CB230" s="1108"/>
      <c r="CC230" s="1108"/>
      <c r="CD230" s="1108"/>
      <c r="CE230" s="1108"/>
      <c r="CF230" s="1108"/>
      <c r="CG230" s="1108"/>
      <c r="CH230" s="1108"/>
      <c r="CI230" s="1108"/>
      <c r="CJ230" s="1108"/>
      <c r="CK230" s="1108"/>
      <c r="CL230" s="1108"/>
      <c r="CM230" s="1108"/>
      <c r="CN230" s="1108"/>
      <c r="CO230" s="1108"/>
      <c r="CP230" s="1108"/>
      <c r="CQ230" s="1108"/>
      <c r="CR230" s="1108"/>
      <c r="CS230" s="1108"/>
      <c r="CT230" s="2862"/>
      <c r="CU230" s="2862"/>
      <c r="CV230" s="2862"/>
      <c r="CW230" s="2862"/>
      <c r="CX230" s="2862"/>
      <c r="CY230" s="2862"/>
      <c r="CZ230" s="2862"/>
      <c r="DA230" s="2862"/>
      <c r="DB230" s="2862"/>
      <c r="DC230" s="2862"/>
      <c r="DD230" s="2835"/>
      <c r="DE230" s="2835"/>
      <c r="DF230" s="2835"/>
      <c r="DG230" s="2835"/>
      <c r="DH230" s="2835"/>
      <c r="DI230" s="2835"/>
      <c r="DJ230" s="2835"/>
      <c r="DK230" s="11"/>
      <c r="DL230" s="11"/>
      <c r="DM230" s="11"/>
      <c r="DN230" s="11"/>
      <c r="DO230" s="11"/>
      <c r="DP230" s="11"/>
      <c r="DQ230" s="11"/>
      <c r="DR230" s="11"/>
      <c r="DS230" s="11"/>
      <c r="DT230" s="11"/>
    </row>
    <row r="231" spans="1:124">
      <c r="A231" s="1108" t="s">
        <v>309</v>
      </c>
      <c r="B231" s="1108"/>
      <c r="C231" s="1108"/>
      <c r="D231" s="1108"/>
      <c r="E231" s="1108"/>
      <c r="F231" s="1108"/>
      <c r="G231" s="1650">
        <v>1705.4838214609558</v>
      </c>
      <c r="H231" s="1650">
        <v>2332.2240633544079</v>
      </c>
      <c r="I231" s="1650">
        <f>SUM(BL231:BO231)</f>
        <v>2142.9159585192042</v>
      </c>
      <c r="J231" s="1650">
        <f>SUM(BQ231:BT231)</f>
        <v>1980.3333323104569</v>
      </c>
      <c r="K231" s="1778">
        <f>SUM(BV231:BY231)</f>
        <v>2025.760347406459</v>
      </c>
      <c r="L231" s="1778">
        <f>SUM(CA231:CD231)</f>
        <v>2389.2296423241328</v>
      </c>
      <c r="M231" s="1778">
        <f>SUM(CF231:CI231)</f>
        <v>2719.8038914121935</v>
      </c>
      <c r="N231" s="1778">
        <f>SUM(CK231:CN231)</f>
        <v>2697.8345434856483</v>
      </c>
      <c r="O231" s="2743">
        <f t="shared" ref="O231:P236" si="408">M231</f>
        <v>2719.8038914121935</v>
      </c>
      <c r="P231" s="2743">
        <f t="shared" si="408"/>
        <v>2697.8345434856483</v>
      </c>
      <c r="Q231" s="1778">
        <f>SUM(CP231:CS231)</f>
        <v>2591.0286887855809</v>
      </c>
      <c r="R231" s="1778">
        <f>SUM(CU231:CX231)</f>
        <v>2409.1759737814209</v>
      </c>
      <c r="S231" s="2743">
        <f t="shared" ref="S231:S236" si="409">R231</f>
        <v>2409.1759737814209</v>
      </c>
      <c r="T231" s="3281">
        <f>SUM(CZ231:DC231)</f>
        <v>2538.8028443911426</v>
      </c>
      <c r="U231" s="3281">
        <f t="shared" ref="U231:U236" si="410">SUM(DE231:DH231)</f>
        <v>2653.5523715302265</v>
      </c>
      <c r="V231" s="2217">
        <f t="shared" ref="V231:AE231" si="411">+V15+V189-U248</f>
        <v>2756.4416856114112</v>
      </c>
      <c r="W231" s="1649">
        <f t="shared" si="411"/>
        <v>2868.7592662153506</v>
      </c>
      <c r="X231" s="1649">
        <f t="shared" si="411"/>
        <v>2985.3846104276663</v>
      </c>
      <c r="Y231" s="1649">
        <f t="shared" si="411"/>
        <v>3093.142574865094</v>
      </c>
      <c r="Z231" s="1649">
        <f t="shared" si="411"/>
        <v>3212.1546187120821</v>
      </c>
      <c r="AA231" s="1649">
        <f t="shared" si="411"/>
        <v>3318.2448527058482</v>
      </c>
      <c r="AB231" s="1649">
        <f t="shared" si="411"/>
        <v>3413.0598867840476</v>
      </c>
      <c r="AC231" s="1649">
        <f t="shared" si="411"/>
        <v>3515.2115849846323</v>
      </c>
      <c r="AD231" s="1649">
        <f t="shared" si="411"/>
        <v>3601.818743766044</v>
      </c>
      <c r="AE231" s="1649">
        <f t="shared" si="411"/>
        <v>3670.7877936507116</v>
      </c>
      <c r="AF231" s="1798"/>
      <c r="AG231" s="1798"/>
      <c r="AH231" s="1798"/>
      <c r="AI231" s="1798"/>
      <c r="AJ231" s="1798"/>
      <c r="AK231" s="1798"/>
      <c r="AL231" s="1108" t="s">
        <v>309</v>
      </c>
      <c r="AM231" s="1108"/>
      <c r="AN231" s="1108"/>
      <c r="AO231" s="1108"/>
      <c r="AP231" s="1108"/>
      <c r="AQ231" s="1741"/>
      <c r="AR231" s="1108"/>
      <c r="AS231" s="1108"/>
      <c r="AT231" s="1108"/>
      <c r="AU231" s="1108"/>
      <c r="AV231" s="1741"/>
      <c r="AW231" s="1108"/>
      <c r="AX231" s="1108"/>
      <c r="AY231" s="1108"/>
      <c r="AZ231" s="1108"/>
      <c r="BA231" s="1741"/>
      <c r="BB231" s="1146"/>
      <c r="BC231" s="1146"/>
      <c r="BD231" s="1146"/>
      <c r="BE231" s="1146"/>
      <c r="BF231" s="1741"/>
      <c r="BG231" s="1146"/>
      <c r="BH231" s="1146"/>
      <c r="BI231" s="1146"/>
      <c r="BJ231" s="1146"/>
      <c r="BK231" s="1741"/>
      <c r="BL231" s="1146">
        <f>+BL15+BL190-BL248</f>
        <v>484.71839695272814</v>
      </c>
      <c r="BM231" s="1146">
        <f>+BM15+BM190-BM248</f>
        <v>379.6613893631789</v>
      </c>
      <c r="BN231" s="1146">
        <f>+BN15+BN190-BN248</f>
        <v>826.31747419906947</v>
      </c>
      <c r="BO231" s="1146">
        <f>+BO15+BO190-BO248</f>
        <v>452.21869800422758</v>
      </c>
      <c r="BP231" s="1741">
        <f t="shared" si="380"/>
        <v>0</v>
      </c>
      <c r="BQ231" s="1146">
        <f>+BQ15+BQ190-BQ248</f>
        <v>447.84668535891018</v>
      </c>
      <c r="BR231" s="1146">
        <f>+BR15+BR190-BR248</f>
        <v>452.04038811225365</v>
      </c>
      <c r="BS231" s="1146">
        <f>+BS15+BS190-BS248</f>
        <v>542.17409677597493</v>
      </c>
      <c r="BT231" s="1146">
        <f>+BT15+BT190-BT248</f>
        <v>538.27216206331809</v>
      </c>
      <c r="BU231" s="2188">
        <f t="shared" si="381"/>
        <v>0</v>
      </c>
      <c r="BV231" s="1146">
        <f>+BV15+BV190-BV248</f>
        <v>465.8274981589534</v>
      </c>
      <c r="BW231" s="1146">
        <f>+BW15+BW190-BW248</f>
        <v>607.38584982234465</v>
      </c>
      <c r="BX231" s="1146">
        <f>+BX15+BX190-BX248</f>
        <v>557.94242004033276</v>
      </c>
      <c r="BY231" s="1146">
        <f>+BY15+BY190-BY248</f>
        <v>394.60457938482818</v>
      </c>
      <c r="BZ231" s="2188">
        <f t="shared" si="382"/>
        <v>0</v>
      </c>
      <c r="CA231" s="1146">
        <f>+CA15+CA190-CA248</f>
        <v>756.16726249952762</v>
      </c>
      <c r="CB231" s="1146">
        <f>+CB15+CB190-CB248</f>
        <v>550.00180949046035</v>
      </c>
      <c r="CC231" s="1146">
        <f>+CC15+CC190-CC248</f>
        <v>714.29030966694086</v>
      </c>
      <c r="CD231" s="1146">
        <f>+CD15+CD190-CD248</f>
        <v>368.77026066720396</v>
      </c>
      <c r="CE231" s="2188">
        <f t="shared" si="383"/>
        <v>0</v>
      </c>
      <c r="CF231" s="1146">
        <f>+CF15+CF190-CF248</f>
        <v>752.85966478294108</v>
      </c>
      <c r="CG231" s="1146">
        <f>+CG15+CG190-CG248</f>
        <v>697.36735177367643</v>
      </c>
      <c r="CH231" s="1146">
        <f>+CH15+CH190-CH248</f>
        <v>780.69145357481261</v>
      </c>
      <c r="CI231" s="1146">
        <f>+CI15+CI190-CI248</f>
        <v>488.88542128076392</v>
      </c>
      <c r="CJ231" s="2188">
        <f t="shared" si="384"/>
        <v>0</v>
      </c>
      <c r="CK231" s="1146">
        <f>+CK15+CK190-CK248</f>
        <v>804.55191645197897</v>
      </c>
      <c r="CL231" s="1146">
        <f>+CL15+CL190-CL248</f>
        <v>597.55811605505778</v>
      </c>
      <c r="CM231" s="1146">
        <f>+CM15+CM190-CM248</f>
        <v>799.82130192457112</v>
      </c>
      <c r="CN231" s="1146">
        <f>+CN15+CN190-CN248</f>
        <v>495.90320905404019</v>
      </c>
      <c r="CO231" s="1741">
        <f t="shared" ref="CO231:CO245" si="412">$N231-SUM(CK231:CN231)</f>
        <v>0</v>
      </c>
      <c r="CP231" s="1146">
        <f>+CP15+CP189-CP248</f>
        <v>767.06770178069382</v>
      </c>
      <c r="CQ231" s="1146">
        <f>+CQ15+CQ189-CQ248</f>
        <v>502.99305566569672</v>
      </c>
      <c r="CR231" s="1146">
        <f>+CR15+CR189-CR248</f>
        <v>769.10649308010591</v>
      </c>
      <c r="CS231" s="3097">
        <f>+CS15+CS189-CS248</f>
        <v>551.86143825908425</v>
      </c>
      <c r="CT231" s="2835">
        <f t="shared" ref="CT231:CT237" si="413">$Q231-SUM(CP231:CS231)</f>
        <v>0</v>
      </c>
      <c r="CU231" s="3034">
        <f>+CU15+CU189-CP248</f>
        <v>473.34435763281294</v>
      </c>
      <c r="CV231" s="3034">
        <f>+CV15+CV189-CQ248</f>
        <v>618.58029637171626</v>
      </c>
      <c r="CW231" s="3034">
        <f>+CW15+CW189-CR248</f>
        <v>750.27229282597762</v>
      </c>
      <c r="CX231" s="3034">
        <f>+CX15+CX189-CS248</f>
        <v>566.97902695091375</v>
      </c>
      <c r="CY231" s="2835">
        <f t="shared" ref="CY231:CY237" si="414">S231-SUM(CU231:CX231)</f>
        <v>0</v>
      </c>
      <c r="CZ231" s="3034">
        <f>+CZ15+CZ189-CU248</f>
        <v>591.77534951750715</v>
      </c>
      <c r="DA231" s="3034">
        <f>+DA15+DA189-CV248</f>
        <v>703.31049288766178</v>
      </c>
      <c r="DB231" s="3034">
        <f>+DB15+DB189-CW248</f>
        <v>548.25003624052113</v>
      </c>
      <c r="DC231" s="3034">
        <f>+DC15+DC189-CX248</f>
        <v>695.46696574545228</v>
      </c>
      <c r="DD231" s="2835">
        <f t="shared" si="357"/>
        <v>0</v>
      </c>
      <c r="DE231" s="3034">
        <f t="shared" ref="DE231:DG231" si="415">+DE15+DE189-CZ248</f>
        <v>553.45361447126186</v>
      </c>
      <c r="DF231" s="3034">
        <f t="shared" si="415"/>
        <v>733.42672923601776</v>
      </c>
      <c r="DG231" s="3034">
        <f t="shared" si="415"/>
        <v>650.29236617695744</v>
      </c>
      <c r="DH231" s="3034">
        <f>+DH15+DH189-DC248</f>
        <v>716.37966164598936</v>
      </c>
      <c r="DI231" s="2835">
        <f t="shared" si="386"/>
        <v>0</v>
      </c>
      <c r="DJ231" s="2835"/>
      <c r="DK231" s="54"/>
      <c r="DL231" s="11"/>
      <c r="DM231" s="11"/>
      <c r="DN231" s="11"/>
      <c r="DO231" s="11"/>
      <c r="DP231" s="11"/>
      <c r="DQ231" s="11"/>
      <c r="DR231" s="11"/>
      <c r="DS231" s="11"/>
      <c r="DT231" s="11"/>
    </row>
    <row r="232" spans="1:124">
      <c r="A232" s="1108" t="s">
        <v>689</v>
      </c>
      <c r="B232" s="1108"/>
      <c r="C232" s="1108"/>
      <c r="D232" s="1108"/>
      <c r="E232" s="1108"/>
      <c r="F232" s="1108"/>
      <c r="G232" s="1650">
        <f>G39</f>
        <v>886.1</v>
      </c>
      <c r="H232" s="1650">
        <f>H39</f>
        <v>857.7</v>
      </c>
      <c r="I232" s="1650">
        <f>SUM(BL232:BO232)</f>
        <v>793.5</v>
      </c>
      <c r="J232" s="1650">
        <f>SUM(BQ232:BT232)</f>
        <v>790.8</v>
      </c>
      <c r="K232" s="1778">
        <f>SUM(BV232:BY232)</f>
        <v>787</v>
      </c>
      <c r="L232" s="1776">
        <f>SUM(CA232:CD232)</f>
        <v>790</v>
      </c>
      <c r="M232" s="1776">
        <f>SUM(CF232:CI232)</f>
        <v>809</v>
      </c>
      <c r="N232" s="1776">
        <f>SUM(CK232:CN232)</f>
        <v>778</v>
      </c>
      <c r="O232" s="2744">
        <f t="shared" si="408"/>
        <v>809</v>
      </c>
      <c r="P232" s="2744">
        <f t="shared" si="408"/>
        <v>778</v>
      </c>
      <c r="Q232" s="1776">
        <f>SUM(CP232:CS232)</f>
        <v>780</v>
      </c>
      <c r="R232" s="1776">
        <f>SUM(CU232:CX232)</f>
        <v>767</v>
      </c>
      <c r="S232" s="2743">
        <f t="shared" si="409"/>
        <v>767</v>
      </c>
      <c r="T232" s="3282">
        <f>SUM(CZ232:DC232)</f>
        <v>804</v>
      </c>
      <c r="U232" s="3282">
        <f t="shared" si="410"/>
        <v>816.06</v>
      </c>
      <c r="V232" s="3283">
        <f>V39</f>
        <v>832.38119999999992</v>
      </c>
      <c r="W232" s="1650">
        <f t="shared" ref="W232:AB232" si="416">W39</f>
        <v>849.02882399999999</v>
      </c>
      <c r="X232" s="1650">
        <f t="shared" si="416"/>
        <v>866.00940047999995</v>
      </c>
      <c r="Y232" s="1650">
        <f t="shared" si="416"/>
        <v>883.32958848959993</v>
      </c>
      <c r="Z232" s="1650">
        <f t="shared" si="416"/>
        <v>900.99618025939196</v>
      </c>
      <c r="AA232" s="1650">
        <f t="shared" si="416"/>
        <v>919.0161038645798</v>
      </c>
      <c r="AB232" s="1650">
        <f t="shared" si="416"/>
        <v>937.39642594187137</v>
      </c>
      <c r="AC232" s="1650">
        <f>AC39</f>
        <v>956.14435446070877</v>
      </c>
      <c r="AD232" s="1650">
        <f>AD39</f>
        <v>975.26724154992291</v>
      </c>
      <c r="AE232" s="1650">
        <f>AE39</f>
        <v>994.77258638092144</v>
      </c>
      <c r="AF232" s="1798"/>
      <c r="AG232" s="1798"/>
      <c r="AH232" s="1798"/>
      <c r="AI232" s="1798"/>
      <c r="AJ232" s="1798"/>
      <c r="AK232" s="1798"/>
      <c r="AL232" s="1108" t="s">
        <v>689</v>
      </c>
      <c r="AM232" s="1108"/>
      <c r="AN232" s="1108"/>
      <c r="AO232" s="1108"/>
      <c r="AP232" s="1108"/>
      <c r="AQ232" s="1741"/>
      <c r="AR232" s="1108"/>
      <c r="AS232" s="1108"/>
      <c r="AT232" s="1108"/>
      <c r="AU232" s="1108"/>
      <c r="AV232" s="1741"/>
      <c r="AW232" s="1108"/>
      <c r="AX232" s="1108"/>
      <c r="AY232" s="1108"/>
      <c r="AZ232" s="1108"/>
      <c r="BA232" s="1741"/>
      <c r="BB232" s="1146"/>
      <c r="BC232" s="1146"/>
      <c r="BD232" s="1146"/>
      <c r="BE232" s="1146"/>
      <c r="BF232" s="1741"/>
      <c r="BG232" s="1146"/>
      <c r="BH232" s="1146"/>
      <c r="BI232" s="1146"/>
      <c r="BJ232" s="1146"/>
      <c r="BK232" s="1741"/>
      <c r="BL232" s="1146">
        <f>BL39</f>
        <v>161.69999999999999</v>
      </c>
      <c r="BM232" s="1146">
        <f>BM39</f>
        <v>181.4</v>
      </c>
      <c r="BN232" s="1146">
        <f>BN39</f>
        <v>230.4</v>
      </c>
      <c r="BO232" s="1146">
        <f>BO39</f>
        <v>220</v>
      </c>
      <c r="BP232" s="1741">
        <f t="shared" si="380"/>
        <v>0</v>
      </c>
      <c r="BQ232" s="1146">
        <f>BQ39</f>
        <v>151.69999999999999</v>
      </c>
      <c r="BR232" s="1146">
        <f>BR39</f>
        <v>189.7</v>
      </c>
      <c r="BS232" s="1146">
        <f>BS39</f>
        <v>217.7</v>
      </c>
      <c r="BT232" s="1146">
        <f>BT39</f>
        <v>231.7</v>
      </c>
      <c r="BU232" s="2188">
        <f t="shared" si="381"/>
        <v>0</v>
      </c>
      <c r="BV232" s="1146">
        <f>BV39</f>
        <v>155</v>
      </c>
      <c r="BW232" s="1146">
        <f>BW39</f>
        <v>183</v>
      </c>
      <c r="BX232" s="1146">
        <f>BX39</f>
        <v>220</v>
      </c>
      <c r="BY232" s="1146">
        <f>BY39</f>
        <v>229</v>
      </c>
      <c r="BZ232" s="2188">
        <f t="shared" si="382"/>
        <v>0</v>
      </c>
      <c r="CA232" s="1146">
        <f>CA39</f>
        <v>176</v>
      </c>
      <c r="CB232" s="1146">
        <f>CB39</f>
        <v>189</v>
      </c>
      <c r="CC232" s="1146">
        <f>CC39</f>
        <v>210</v>
      </c>
      <c r="CD232" s="1146">
        <f>CD39</f>
        <v>215</v>
      </c>
      <c r="CE232" s="2188">
        <f t="shared" si="383"/>
        <v>0</v>
      </c>
      <c r="CF232" s="1146">
        <f>CF39</f>
        <v>171</v>
      </c>
      <c r="CG232" s="1146">
        <f>CG39</f>
        <v>189</v>
      </c>
      <c r="CH232" s="1146">
        <f>CH39</f>
        <v>224</v>
      </c>
      <c r="CI232" s="1146">
        <f>CI39</f>
        <v>225</v>
      </c>
      <c r="CJ232" s="2188">
        <f t="shared" si="384"/>
        <v>0</v>
      </c>
      <c r="CK232" s="1648">
        <f>CK39</f>
        <v>153</v>
      </c>
      <c r="CL232" s="1648">
        <f>CL39</f>
        <v>211</v>
      </c>
      <c r="CM232" s="1648">
        <f>CM39</f>
        <v>199</v>
      </c>
      <c r="CN232" s="1146">
        <f>CN39</f>
        <v>215</v>
      </c>
      <c r="CO232" s="1741">
        <f t="shared" si="412"/>
        <v>0</v>
      </c>
      <c r="CP232" s="1648">
        <f>CP39</f>
        <v>145</v>
      </c>
      <c r="CQ232" s="1648">
        <f>CQ39</f>
        <v>199</v>
      </c>
      <c r="CR232" s="1648">
        <f>CR39</f>
        <v>203</v>
      </c>
      <c r="CS232" s="3097">
        <f>CS39</f>
        <v>233</v>
      </c>
      <c r="CT232" s="2835">
        <f t="shared" si="413"/>
        <v>0</v>
      </c>
      <c r="CU232" s="3097">
        <f>CU39</f>
        <v>145</v>
      </c>
      <c r="CV232" s="3097">
        <f>CV39</f>
        <v>187</v>
      </c>
      <c r="CW232" s="3097">
        <f>CW39</f>
        <v>226</v>
      </c>
      <c r="CX232" s="3097">
        <f>CX39</f>
        <v>209</v>
      </c>
      <c r="CY232" s="2835">
        <f t="shared" si="414"/>
        <v>0</v>
      </c>
      <c r="CZ232" s="3097">
        <f>CZ39</f>
        <v>161</v>
      </c>
      <c r="DA232" s="3097">
        <f>DA39</f>
        <v>206</v>
      </c>
      <c r="DB232" s="3097">
        <f>DB39</f>
        <v>228</v>
      </c>
      <c r="DC232" s="3097">
        <f>DC39</f>
        <v>209</v>
      </c>
      <c r="DD232" s="2835">
        <f t="shared" si="357"/>
        <v>0</v>
      </c>
      <c r="DE232" s="3097">
        <f t="shared" ref="DE232:DG232" si="417">DE39</f>
        <v>163.41499999999999</v>
      </c>
      <c r="DF232" s="3097">
        <f t="shared" si="417"/>
        <v>209.08999999999997</v>
      </c>
      <c r="DG232" s="3097">
        <f t="shared" si="417"/>
        <v>231.42</v>
      </c>
      <c r="DH232" s="3097">
        <f>DH39</f>
        <v>212.13499999999999</v>
      </c>
      <c r="DI232" s="2835">
        <f t="shared" si="386"/>
        <v>0</v>
      </c>
      <c r="DJ232" s="2835"/>
      <c r="DK232" s="54"/>
      <c r="DL232" s="11"/>
      <c r="DM232" s="11"/>
      <c r="DN232" s="11"/>
      <c r="DO232" s="11"/>
      <c r="DP232" s="11"/>
      <c r="DQ232" s="11"/>
      <c r="DR232" s="11"/>
      <c r="DS232" s="11"/>
      <c r="DT232" s="11"/>
    </row>
    <row r="233" spans="1:124">
      <c r="A233" s="1108" t="s">
        <v>1150</v>
      </c>
      <c r="B233" s="1108"/>
      <c r="C233" s="1108"/>
      <c r="D233" s="1108"/>
      <c r="E233" s="1108"/>
      <c r="F233" s="1108"/>
      <c r="G233" s="1650">
        <f>G24</f>
        <v>0</v>
      </c>
      <c r="H233" s="1650">
        <f>H24</f>
        <v>0</v>
      </c>
      <c r="I233" s="1650">
        <f>SUM(BL233:BO233)</f>
        <v>0</v>
      </c>
      <c r="J233" s="1650">
        <f>SUM(BQ233:BT233)</f>
        <v>92</v>
      </c>
      <c r="K233" s="1778">
        <f>SUM(BV233:BY233)</f>
        <v>100</v>
      </c>
      <c r="L233" s="1776">
        <f>SUM(CA233:CD233)</f>
        <v>100</v>
      </c>
      <c r="M233" s="1776">
        <f>SUM(CF233:CI233)</f>
        <v>94.25</v>
      </c>
      <c r="N233" s="2166">
        <f>SUM(CK233:CN233)</f>
        <v>53</v>
      </c>
      <c r="O233" s="2744">
        <f t="shared" si="408"/>
        <v>94.25</v>
      </c>
      <c r="P233" s="2744">
        <f t="shared" si="408"/>
        <v>53</v>
      </c>
      <c r="Q233" s="2166">
        <f>SUM(CP233:CS233)</f>
        <v>30</v>
      </c>
      <c r="R233" s="2166">
        <f>SUM(CU233:CX233)</f>
        <v>20</v>
      </c>
      <c r="S233" s="2743">
        <f t="shared" si="409"/>
        <v>20</v>
      </c>
      <c r="T233" s="3284">
        <f>SUM(CZ233:DC233)</f>
        <v>19</v>
      </c>
      <c r="U233" s="3284">
        <f t="shared" si="410"/>
        <v>19</v>
      </c>
      <c r="V233" s="3283">
        <f t="shared" ref="V233:AB233" si="418">V24</f>
        <v>19</v>
      </c>
      <c r="W233" s="1650">
        <f t="shared" si="418"/>
        <v>19</v>
      </c>
      <c r="X233" s="1650">
        <f t="shared" si="418"/>
        <v>19</v>
      </c>
      <c r="Y233" s="1650">
        <f t="shared" si="418"/>
        <v>19</v>
      </c>
      <c r="Z233" s="1650">
        <f t="shared" si="418"/>
        <v>19</v>
      </c>
      <c r="AA233" s="1650">
        <f t="shared" si="418"/>
        <v>19</v>
      </c>
      <c r="AB233" s="1650">
        <f t="shared" si="418"/>
        <v>19</v>
      </c>
      <c r="AC233" s="1650">
        <f>AC24</f>
        <v>19</v>
      </c>
      <c r="AD233" s="1650">
        <f>AD24</f>
        <v>19</v>
      </c>
      <c r="AE233" s="1650">
        <f>AE24</f>
        <v>19</v>
      </c>
      <c r="AF233" s="1798"/>
      <c r="AG233" s="1798"/>
      <c r="AH233" s="1798"/>
      <c r="AI233" s="1798"/>
      <c r="AJ233" s="1798"/>
      <c r="AK233" s="1798"/>
      <c r="AL233" s="1108" t="s">
        <v>1150</v>
      </c>
      <c r="AM233" s="1108"/>
      <c r="AN233" s="1108"/>
      <c r="AO233" s="1108"/>
      <c r="AP233" s="1108"/>
      <c r="AQ233" s="1741"/>
      <c r="AR233" s="1108"/>
      <c r="AS233" s="1108"/>
      <c r="AT233" s="1108"/>
      <c r="AU233" s="1108"/>
      <c r="AV233" s="1741"/>
      <c r="AW233" s="1108"/>
      <c r="AX233" s="1108"/>
      <c r="AY233" s="1108"/>
      <c r="AZ233" s="1108"/>
      <c r="BA233" s="1741"/>
      <c r="BB233" s="1146"/>
      <c r="BC233" s="1146"/>
      <c r="BD233" s="1146"/>
      <c r="BE233" s="1146"/>
      <c r="BF233" s="1741"/>
      <c r="BG233" s="1146"/>
      <c r="BH233" s="1146"/>
      <c r="BI233" s="1146"/>
      <c r="BJ233" s="1146"/>
      <c r="BK233" s="1741"/>
      <c r="BL233" s="1146">
        <f>BL24</f>
        <v>0</v>
      </c>
      <c r="BM233" s="1146">
        <f>BM24</f>
        <v>0</v>
      </c>
      <c r="BN233" s="1146">
        <f>BN24</f>
        <v>0</v>
      </c>
      <c r="BO233" s="1146">
        <f>BO24</f>
        <v>0</v>
      </c>
      <c r="BP233" s="1741">
        <f t="shared" si="380"/>
        <v>0</v>
      </c>
      <c r="BQ233" s="1146">
        <f>BQ24</f>
        <v>10</v>
      </c>
      <c r="BR233" s="1146">
        <f>BR24</f>
        <v>32</v>
      </c>
      <c r="BS233" s="1146">
        <f>BS24</f>
        <v>25</v>
      </c>
      <c r="BT233" s="1146">
        <f>BT24</f>
        <v>25</v>
      </c>
      <c r="BU233" s="2188">
        <f t="shared" si="381"/>
        <v>0</v>
      </c>
      <c r="BV233" s="1146">
        <f>BV24</f>
        <v>35</v>
      </c>
      <c r="BW233" s="1146">
        <f>BW24</f>
        <v>25</v>
      </c>
      <c r="BX233" s="1146">
        <f>BX24</f>
        <v>15</v>
      </c>
      <c r="BY233" s="1146">
        <f>BY24</f>
        <v>25</v>
      </c>
      <c r="BZ233" s="2188">
        <f t="shared" si="382"/>
        <v>0</v>
      </c>
      <c r="CA233" s="1146">
        <f>CA24</f>
        <v>35</v>
      </c>
      <c r="CB233" s="1146">
        <f>CB24</f>
        <v>25</v>
      </c>
      <c r="CC233" s="1146">
        <f>CC24</f>
        <v>15</v>
      </c>
      <c r="CD233" s="1146">
        <f>CD24</f>
        <v>25</v>
      </c>
      <c r="CE233" s="2188">
        <f t="shared" si="383"/>
        <v>0</v>
      </c>
      <c r="CF233" s="1146">
        <f>CF24</f>
        <v>10.500000000000002</v>
      </c>
      <c r="CG233" s="1146">
        <f>CG24</f>
        <v>25</v>
      </c>
      <c r="CH233" s="1146">
        <f>CH24</f>
        <v>15</v>
      </c>
      <c r="CI233" s="1146">
        <f>CI24</f>
        <v>43.75</v>
      </c>
      <c r="CJ233" s="2188">
        <f t="shared" si="384"/>
        <v>0</v>
      </c>
      <c r="CK233" s="1648">
        <f>CK24</f>
        <v>13</v>
      </c>
      <c r="CL233" s="1648">
        <f>CL24</f>
        <v>5</v>
      </c>
      <c r="CM233" s="1648">
        <f>CM24</f>
        <v>15</v>
      </c>
      <c r="CN233" s="1146">
        <f>CN24</f>
        <v>20</v>
      </c>
      <c r="CO233" s="1741">
        <f t="shared" si="412"/>
        <v>0</v>
      </c>
      <c r="CP233" s="1648">
        <f>CP24</f>
        <v>5</v>
      </c>
      <c r="CQ233" s="1648">
        <f>CQ24</f>
        <v>5</v>
      </c>
      <c r="CR233" s="1648">
        <f>CR24</f>
        <v>10</v>
      </c>
      <c r="CS233" s="3097">
        <f>CS24</f>
        <v>10</v>
      </c>
      <c r="CT233" s="2835">
        <f t="shared" si="413"/>
        <v>0</v>
      </c>
      <c r="CU233" s="3097">
        <f>CU24</f>
        <v>4</v>
      </c>
      <c r="CV233" s="3097">
        <f>CV24</f>
        <v>5</v>
      </c>
      <c r="CW233" s="3097">
        <f>CW24</f>
        <v>5</v>
      </c>
      <c r="CX233" s="3097">
        <f>CX24</f>
        <v>6</v>
      </c>
      <c r="CY233" s="2835">
        <f t="shared" si="414"/>
        <v>0</v>
      </c>
      <c r="CZ233" s="3097">
        <f>CZ24</f>
        <v>3</v>
      </c>
      <c r="DA233" s="3097">
        <f>DA24</f>
        <v>5</v>
      </c>
      <c r="DB233" s="3097">
        <f>DB24</f>
        <v>5</v>
      </c>
      <c r="DC233" s="3097">
        <f>DC24</f>
        <v>6</v>
      </c>
      <c r="DD233" s="2835">
        <f t="shared" si="357"/>
        <v>0</v>
      </c>
      <c r="DE233" s="3097">
        <f t="shared" ref="DE233:DG233" si="419">DE24</f>
        <v>3</v>
      </c>
      <c r="DF233" s="3097">
        <f t="shared" si="419"/>
        <v>5</v>
      </c>
      <c r="DG233" s="3097">
        <f t="shared" si="419"/>
        <v>5</v>
      </c>
      <c r="DH233" s="3097">
        <f>DH24</f>
        <v>6</v>
      </c>
      <c r="DI233" s="2835">
        <f t="shared" si="386"/>
        <v>0</v>
      </c>
      <c r="DJ233" s="2835"/>
      <c r="DK233" s="54"/>
      <c r="DL233" s="11"/>
      <c r="DM233" s="11"/>
      <c r="DN233" s="11"/>
      <c r="DO233" s="11"/>
      <c r="DP233" s="11"/>
      <c r="DQ233" s="11"/>
      <c r="DR233" s="11"/>
      <c r="DS233" s="11"/>
      <c r="DT233" s="11"/>
    </row>
    <row r="234" spans="1:124">
      <c r="A234" s="1108" t="s">
        <v>310</v>
      </c>
      <c r="B234" s="1108"/>
      <c r="C234" s="1108"/>
      <c r="D234" s="1108"/>
      <c r="E234" s="1108"/>
      <c r="F234" s="1108"/>
      <c r="G234" s="1650">
        <v>175</v>
      </c>
      <c r="H234" s="1650">
        <f>G234</f>
        <v>175</v>
      </c>
      <c r="I234" s="1650">
        <f>SUM(BL234:BO234)</f>
        <v>185.8105501732</v>
      </c>
      <c r="J234" s="1650">
        <f>SUM(BQ234:BT234)</f>
        <v>181.72268232324802</v>
      </c>
      <c r="K234" s="1778">
        <f>SUM(BV234:BY234)</f>
        <v>150.70290056943657</v>
      </c>
      <c r="L234" s="1776">
        <f>SUM(CA234:CD234)</f>
        <v>164.61255244003866</v>
      </c>
      <c r="M234" s="1776">
        <f>SUM(CF234:CI234)</f>
        <v>395.03070489264155</v>
      </c>
      <c r="N234" s="1776">
        <f>SUM(CK234:CN234)</f>
        <v>374.82428482204818</v>
      </c>
      <c r="O234" s="2744">
        <f t="shared" si="408"/>
        <v>395.03070489264155</v>
      </c>
      <c r="P234" s="2744">
        <f t="shared" si="408"/>
        <v>374.82428482204818</v>
      </c>
      <c r="Q234" s="1776">
        <f>SUM(CP234:CS234)</f>
        <v>281.31515198241158</v>
      </c>
      <c r="R234" s="1776">
        <f>SUM(CU234:CX234)</f>
        <v>255.50330015651957</v>
      </c>
      <c r="S234" s="2743">
        <f t="shared" si="409"/>
        <v>255.50330015651957</v>
      </c>
      <c r="T234" s="3282">
        <f>SUM(CZ234:DC234)</f>
        <v>254.74410392118619</v>
      </c>
      <c r="U234" s="3282">
        <f t="shared" si="410"/>
        <v>279.97623194379753</v>
      </c>
      <c r="V234" s="3283">
        <f t="shared" ref="V234:AC234" si="420">V30*0.1</f>
        <v>226.47172375801222</v>
      </c>
      <c r="W234" s="1650">
        <f t="shared" si="420"/>
        <v>237.32874197511862</v>
      </c>
      <c r="X234" s="1650">
        <f t="shared" si="420"/>
        <v>248.4443598171205</v>
      </c>
      <c r="Y234" s="1650">
        <f t="shared" si="420"/>
        <v>259.4990201627553</v>
      </c>
      <c r="Z234" s="1650">
        <f t="shared" si="420"/>
        <v>270.11459189501022</v>
      </c>
      <c r="AA234" s="1650">
        <f t="shared" si="420"/>
        <v>280.24140230549364</v>
      </c>
      <c r="AB234" s="1650">
        <f t="shared" si="420"/>
        <v>290.2706117235283</v>
      </c>
      <c r="AC234" s="1650">
        <f t="shared" si="420"/>
        <v>300.45772218142309</v>
      </c>
      <c r="AD234" s="1650">
        <f>AD30*0.1</f>
        <v>310.79020552880991</v>
      </c>
      <c r="AE234" s="1650">
        <f>AE30*0.1</f>
        <v>321.25461965630359</v>
      </c>
      <c r="AF234" s="1798"/>
      <c r="AG234" s="1798"/>
      <c r="AH234" s="1798"/>
      <c r="AI234" s="1798"/>
      <c r="AJ234" s="1798"/>
      <c r="AK234" s="1798"/>
      <c r="AL234" s="1108" t="s">
        <v>310</v>
      </c>
      <c r="AM234" s="1108"/>
      <c r="AN234" s="1108"/>
      <c r="AO234" s="1108"/>
      <c r="AP234" s="1108"/>
      <c r="AQ234" s="1741"/>
      <c r="AR234" s="1108"/>
      <c r="AS234" s="1108"/>
      <c r="AT234" s="1108"/>
      <c r="AU234" s="1108"/>
      <c r="AV234" s="1741"/>
      <c r="AW234" s="1108"/>
      <c r="AX234" s="1108"/>
      <c r="AY234" s="1108"/>
      <c r="AZ234" s="1108"/>
      <c r="BA234" s="1741"/>
      <c r="BB234" s="1380"/>
      <c r="BC234" s="1380"/>
      <c r="BD234" s="1380"/>
      <c r="BE234" s="1146"/>
      <c r="BF234" s="1741"/>
      <c r="BG234" s="1380"/>
      <c r="BH234" s="1380"/>
      <c r="BI234" s="1380"/>
      <c r="BJ234" s="1146"/>
      <c r="BK234" s="1741"/>
      <c r="BL234" s="1380">
        <v>62</v>
      </c>
      <c r="BM234" s="1380">
        <v>44.4</v>
      </c>
      <c r="BN234" s="1380">
        <v>47</v>
      </c>
      <c r="BO234" s="1146">
        <f>BO30*0.1</f>
        <v>32.410550173200008</v>
      </c>
      <c r="BP234" s="1741">
        <f t="shared" si="380"/>
        <v>0</v>
      </c>
      <c r="BQ234" s="1146">
        <f>BL234</f>
        <v>62</v>
      </c>
      <c r="BR234" s="1146">
        <f>BM234*1.15</f>
        <v>51.059999999999995</v>
      </c>
      <c r="BS234" s="1146">
        <f>BS30*0.1</f>
        <v>34.454055125800004</v>
      </c>
      <c r="BT234" s="1146">
        <f>BT30*0.1</f>
        <v>34.208627197448003</v>
      </c>
      <c r="BU234" s="2188">
        <f t="shared" si="381"/>
        <v>0</v>
      </c>
      <c r="BV234" s="1146">
        <f>BV30*0.1</f>
        <v>36.647553140690299</v>
      </c>
      <c r="BW234" s="1146">
        <f>BW30*0.1</f>
        <v>38.445335300960004</v>
      </c>
      <c r="BX234" s="1146">
        <f>BX30*0.1</f>
        <v>39.072163394670007</v>
      </c>
      <c r="BY234" s="1146">
        <f>BY30*0.1</f>
        <v>36.537848733116242</v>
      </c>
      <c r="BZ234" s="2188">
        <f t="shared" si="382"/>
        <v>0</v>
      </c>
      <c r="CA234" s="1146">
        <f>CA30*0.1</f>
        <v>42.202735048980038</v>
      </c>
      <c r="CB234" s="1146">
        <f>CB30*0.1</f>
        <v>41.459868831056006</v>
      </c>
      <c r="CC234" s="1146">
        <f>CC30*0.1</f>
        <v>40.437936466243599</v>
      </c>
      <c r="CD234" s="1146">
        <f>CD30*0.1</f>
        <v>40.512012093759019</v>
      </c>
      <c r="CE234" s="2188">
        <f t="shared" si="383"/>
        <v>0</v>
      </c>
      <c r="CF234" s="1146">
        <f>CF30*0.15</f>
        <v>66.844430779347661</v>
      </c>
      <c r="CG234" s="1146">
        <f>CG30*0.15+Showtime!DL14</f>
        <v>100.62711809657097</v>
      </c>
      <c r="CH234" s="1146">
        <f>CH30*0.15+Showtime!DM14</f>
        <v>161.30117255181779</v>
      </c>
      <c r="CI234" s="1146">
        <f>CI30*0.15</f>
        <v>66.257983464905124</v>
      </c>
      <c r="CJ234" s="2188">
        <f t="shared" si="384"/>
        <v>0</v>
      </c>
      <c r="CK234" s="1648">
        <f>CK30*0.15+Showtime!DP14</f>
        <v>95.354540933901987</v>
      </c>
      <c r="CL234" s="1648">
        <f>CL30*0.15+Showtime!DQ14</f>
        <v>81.997380772848075</v>
      </c>
      <c r="CM234" s="1648">
        <f>CM30*0.15+Showtime!DR14</f>
        <v>128.20544055982322</v>
      </c>
      <c r="CN234" s="1648">
        <f>CN30*0.15+Showtime!DS14</f>
        <v>69.266922555474949</v>
      </c>
      <c r="CO234" s="1741">
        <f t="shared" si="412"/>
        <v>0</v>
      </c>
      <c r="CP234" s="1648">
        <f>CP30*0.14</f>
        <v>70.416941066507547</v>
      </c>
      <c r="CQ234" s="1648">
        <f>CQ30*0.12</f>
        <v>69.300698707627888</v>
      </c>
      <c r="CR234" s="1648">
        <f>CR30*0.14</f>
        <v>68.378506359347611</v>
      </c>
      <c r="CS234" s="3034">
        <f>CS30*0.14</f>
        <v>73.219005848928546</v>
      </c>
      <c r="CT234" s="2835">
        <f t="shared" si="413"/>
        <v>0</v>
      </c>
      <c r="CU234" s="3034">
        <f>CU30*0.13</f>
        <v>63.356431742036072</v>
      </c>
      <c r="CV234" s="3034">
        <f>CV30*0.12</f>
        <v>59.631728053348255</v>
      </c>
      <c r="CW234" s="3034">
        <f>CW30*0.13</f>
        <v>72.658900427027106</v>
      </c>
      <c r="CX234" s="3034">
        <f>CX30*0.13</f>
        <v>59.856239934108153</v>
      </c>
      <c r="CY234" s="2835">
        <f t="shared" si="414"/>
        <v>0</v>
      </c>
      <c r="CZ234" s="3034">
        <f>CZ30*0.1</f>
        <v>50.385145393628854</v>
      </c>
      <c r="DA234" s="3034">
        <f>DA30*0.13</f>
        <v>68.947880273439026</v>
      </c>
      <c r="DB234" s="3034">
        <f>DB30*0.09</f>
        <v>71.941608307459518</v>
      </c>
      <c r="DC234" s="3034">
        <f>DC30*0.13</f>
        <v>63.469469946658805</v>
      </c>
      <c r="DD234" s="2835">
        <f t="shared" si="357"/>
        <v>0</v>
      </c>
      <c r="DE234" s="3034">
        <f t="shared" ref="DE234:DG234" si="421">DE30*0.13</f>
        <v>68.686595624710748</v>
      </c>
      <c r="DF234" s="3034">
        <f t="shared" si="421"/>
        <v>72.395274287110979</v>
      </c>
      <c r="DG234" s="3034">
        <f t="shared" si="421"/>
        <v>72.265195941012976</v>
      </c>
      <c r="DH234" s="3034">
        <f>DH30*0.13</f>
        <v>66.629166090962826</v>
      </c>
      <c r="DI234" s="2835">
        <f t="shared" si="386"/>
        <v>0</v>
      </c>
      <c r="DJ234" s="2835"/>
      <c r="DK234" s="54"/>
      <c r="DL234" s="11"/>
      <c r="DM234" s="11"/>
      <c r="DN234" s="11"/>
      <c r="DO234" s="11"/>
      <c r="DP234" s="11"/>
      <c r="DQ234" s="11"/>
      <c r="DR234" s="11"/>
      <c r="DS234" s="11"/>
      <c r="DT234" s="11"/>
    </row>
    <row r="235" spans="1:124">
      <c r="A235" s="1470" t="s">
        <v>1622</v>
      </c>
      <c r="B235" s="1108"/>
      <c r="C235" s="1108"/>
      <c r="D235" s="1108"/>
      <c r="E235" s="1108"/>
      <c r="F235" s="1108"/>
      <c r="G235" s="1362">
        <f>Showtime!S17</f>
        <v>35.019864000000005</v>
      </c>
      <c r="H235" s="1362">
        <f>Showtime!T17</f>
        <v>36.770857200000009</v>
      </c>
      <c r="I235" s="1362">
        <f>Showtime!U17</f>
        <v>47.802114360000012</v>
      </c>
      <c r="J235" s="1362">
        <f>Showtime!V17</f>
        <v>61.186706380800018</v>
      </c>
      <c r="K235" s="1362">
        <f>Showtime!W17</f>
        <v>99.542718295040032</v>
      </c>
      <c r="L235" s="1362">
        <f>Showtime!X17</f>
        <v>167.41467941765126</v>
      </c>
      <c r="M235" s="1362">
        <f>Showtime!Y17</f>
        <v>268.24590888953452</v>
      </c>
      <c r="N235" s="1362">
        <f>Showtime!Z17</f>
        <v>333.78492702302282</v>
      </c>
      <c r="O235" s="2714"/>
      <c r="P235" s="2714"/>
      <c r="Q235" s="1362">
        <f>Showtime!AA17</f>
        <v>284.27417337417398</v>
      </c>
      <c r="R235" s="1362">
        <f>Showtime!AB17</f>
        <v>262.86885398105449</v>
      </c>
      <c r="S235" s="2743">
        <f t="shared" si="409"/>
        <v>262.86885398105449</v>
      </c>
      <c r="T235" s="3285">
        <f>Showtime!AC17</f>
        <v>218.52265892726763</v>
      </c>
      <c r="U235" s="3285">
        <f>Showtime!AD17</f>
        <v>229.44879187363102</v>
      </c>
      <c r="V235" s="3285">
        <f>Showtime!AE17</f>
        <v>239.77398750794441</v>
      </c>
      <c r="W235" s="1362">
        <f>Showtime!AF17</f>
        <v>249.36494700826219</v>
      </c>
      <c r="X235" s="1362">
        <f>Showtime!AG17</f>
        <v>258.09272015355134</v>
      </c>
      <c r="Y235" s="1362">
        <f>Showtime!AH17</f>
        <v>265.83550175815787</v>
      </c>
      <c r="Z235" s="1362">
        <f>Showtime!AI17</f>
        <v>272.48138930211178</v>
      </c>
      <c r="AA235" s="1362">
        <f>Showtime!AJ17</f>
        <v>277.93101708815402</v>
      </c>
      <c r="AB235" s="1362">
        <f>Showtime!AK17</f>
        <v>283.48963742991708</v>
      </c>
      <c r="AC235" s="1362">
        <f>Showtime!AL17</f>
        <v>289.15943017851544</v>
      </c>
      <c r="AD235" s="1362">
        <f>Showtime!AM17</f>
        <v>294.94261878208573</v>
      </c>
      <c r="AE235" s="1362">
        <f>Showtime!AN17</f>
        <v>300.84147115772743</v>
      </c>
      <c r="AF235" s="1798"/>
      <c r="AG235" s="1798"/>
      <c r="AH235" s="1798"/>
      <c r="AI235" s="1798"/>
      <c r="AJ235" s="1798"/>
      <c r="AK235" s="1798"/>
      <c r="AL235" s="1108" t="s">
        <v>1622</v>
      </c>
      <c r="AM235" s="1108"/>
      <c r="AN235" s="1108"/>
      <c r="AO235" s="1108"/>
      <c r="AP235" s="1108"/>
      <c r="AQ235" s="1741"/>
      <c r="AR235" s="1108"/>
      <c r="AS235" s="1108"/>
      <c r="AT235" s="1108"/>
      <c r="AU235" s="1108"/>
      <c r="AV235" s="1741"/>
      <c r="AW235" s="1108"/>
      <c r="AX235" s="1108"/>
      <c r="AY235" s="1108"/>
      <c r="AZ235" s="1108"/>
      <c r="BA235" s="1741"/>
      <c r="BB235" s="1380"/>
      <c r="BC235" s="1380"/>
      <c r="BD235" s="1380"/>
      <c r="BE235" s="1146"/>
      <c r="BF235" s="1741"/>
      <c r="BG235" s="1380"/>
      <c r="BH235" s="1380"/>
      <c r="BI235" s="1380"/>
      <c r="BJ235" s="1146"/>
      <c r="BK235" s="1741"/>
      <c r="BL235" s="1776">
        <f>$I$235*0.25</f>
        <v>11.950528590000003</v>
      </c>
      <c r="BM235" s="1776">
        <f>$I$235*0.25</f>
        <v>11.950528590000003</v>
      </c>
      <c r="BN235" s="1776">
        <f>$I$235*0.25</f>
        <v>11.950528590000003</v>
      </c>
      <c r="BO235" s="1776">
        <f>I235-SUM(BL235:BN235)</f>
        <v>11.950528590000005</v>
      </c>
      <c r="BP235" s="1741">
        <f t="shared" si="380"/>
        <v>0</v>
      </c>
      <c r="BQ235" s="1776">
        <f>$J$235*0.25</f>
        <v>15.296676595200005</v>
      </c>
      <c r="BR235" s="1776">
        <f>$J$235*0.25</f>
        <v>15.296676595200005</v>
      </c>
      <c r="BS235" s="1776">
        <f>$J$235*0.25</f>
        <v>15.296676595200005</v>
      </c>
      <c r="BT235" s="1776">
        <f>J235-SUM(BQ235:BS235)</f>
        <v>15.296676595200005</v>
      </c>
      <c r="BU235" s="2188">
        <f t="shared" si="381"/>
        <v>0</v>
      </c>
      <c r="BV235" s="1776">
        <f>$K$235*0.2</f>
        <v>19.908543659008007</v>
      </c>
      <c r="BW235" s="1776">
        <f>$K$235*0.25</f>
        <v>24.885679573760008</v>
      </c>
      <c r="BX235" s="1776">
        <f>$K$235*0.3</f>
        <v>29.862815488512009</v>
      </c>
      <c r="BY235" s="1776">
        <f>K235-SUM(BV235:BX235)</f>
        <v>24.885679573760001</v>
      </c>
      <c r="BZ235" s="2188">
        <f t="shared" si="382"/>
        <v>0</v>
      </c>
      <c r="CA235" s="1776">
        <f>$L$235*0.2</f>
        <v>33.482935883530253</v>
      </c>
      <c r="CB235" s="1776">
        <f>$L$235*0.25</f>
        <v>41.853669854412814</v>
      </c>
      <c r="CC235" s="1776">
        <f>$L$235*0.3</f>
        <v>50.224403825295376</v>
      </c>
      <c r="CD235" s="1776">
        <f>L235-SUM(CA235:CC235)</f>
        <v>41.8536698544128</v>
      </c>
      <c r="CE235" s="2188">
        <f t="shared" si="383"/>
        <v>0</v>
      </c>
      <c r="CF235" s="1362">
        <f>Showtime!DK17</f>
        <v>56.502454303457306</v>
      </c>
      <c r="CG235" s="1362">
        <f>Showtime!DL17</f>
        <v>66.039036839854106</v>
      </c>
      <c r="CH235" s="1362">
        <f>Showtime!DM17</f>
        <v>93.297568898088969</v>
      </c>
      <c r="CI235" s="1362">
        <f>Showtime!DN17</f>
        <v>52.406848848134132</v>
      </c>
      <c r="CJ235" s="2188">
        <f t="shared" si="384"/>
        <v>0</v>
      </c>
      <c r="CK235" s="1362">
        <f>Showtime!DP17</f>
        <v>74.852208873111579</v>
      </c>
      <c r="CL235" s="1362">
        <f>Showtime!DQ17</f>
        <v>60.77152862860742</v>
      </c>
      <c r="CM235" s="1362">
        <f>Showtime!DR17</f>
        <v>134.58683956751565</v>
      </c>
      <c r="CN235" s="1362">
        <f>Showtime!DS17</f>
        <v>63.574349953788158</v>
      </c>
      <c r="CO235" s="1741">
        <f t="shared" si="412"/>
        <v>0</v>
      </c>
      <c r="CP235" s="1362">
        <f>Showtime!DU17</f>
        <v>81.250481978700634</v>
      </c>
      <c r="CQ235" s="1362">
        <f>Showtime!DV17</f>
        <v>27.771528628607427</v>
      </c>
      <c r="CR235" s="1362">
        <f>Showtime!DW17</f>
        <v>55.045523524267225</v>
      </c>
      <c r="CS235" s="2952">
        <f>Showtime!DX17</f>
        <v>120.2066392425987</v>
      </c>
      <c r="CT235" s="2835">
        <f t="shared" si="413"/>
        <v>0</v>
      </c>
      <c r="CU235" s="2952">
        <f>Showtime!DZ17</f>
        <v>57</v>
      </c>
      <c r="CV235" s="2952">
        <f>Showtime!EA17</f>
        <v>56.771528628607427</v>
      </c>
      <c r="CW235" s="2952">
        <f>Showtime!EB17</f>
        <v>116.44552352426723</v>
      </c>
      <c r="CX235" s="2952">
        <f>Showtime!EC17</f>
        <v>32.651801828179828</v>
      </c>
      <c r="CY235" s="2835">
        <f t="shared" si="414"/>
        <v>0</v>
      </c>
      <c r="CZ235" s="2952">
        <f>Showtime!EE17</f>
        <v>52.440000000000005</v>
      </c>
      <c r="DA235" s="2952">
        <f>Showtime!EF17</f>
        <v>65.854973209184607</v>
      </c>
      <c r="DB235" s="2952">
        <f>Showtime!EG17</f>
        <v>61.045523524267225</v>
      </c>
      <c r="DC235" s="2952">
        <f>Showtime!EH17</f>
        <v>39.182162193815792</v>
      </c>
      <c r="DD235" s="2835">
        <f t="shared" si="357"/>
        <v>0</v>
      </c>
      <c r="DE235" s="2952">
        <f>Showtime!EJ17</f>
        <v>55.062000000000005</v>
      </c>
      <c r="DF235" s="2952">
        <f>Showtime!EK17</f>
        <v>69.147721869643846</v>
      </c>
      <c r="DG235" s="2952">
        <f>Showtime!EL17</f>
        <v>64.097799700480593</v>
      </c>
      <c r="DH235" s="2952">
        <f>Showtime!EM17</f>
        <v>41.141270303506587</v>
      </c>
      <c r="DI235" s="2835">
        <f t="shared" si="386"/>
        <v>0</v>
      </c>
      <c r="DJ235" s="2835"/>
      <c r="DK235" s="54"/>
      <c r="DL235" s="11"/>
      <c r="DM235" s="11"/>
      <c r="DN235" s="11"/>
      <c r="DO235" s="11"/>
      <c r="DP235" s="11"/>
      <c r="DQ235" s="11"/>
      <c r="DR235" s="11"/>
      <c r="DS235" s="11"/>
      <c r="DT235" s="11"/>
    </row>
    <row r="236" spans="1:124">
      <c r="A236" s="1108" t="s">
        <v>1151</v>
      </c>
      <c r="B236" s="1108"/>
      <c r="C236" s="1108"/>
      <c r="D236" s="1108"/>
      <c r="E236" s="1108"/>
      <c r="F236" s="1108"/>
      <c r="G236" s="1867">
        <v>-25</v>
      </c>
      <c r="H236" s="1867">
        <v>-25</v>
      </c>
      <c r="I236" s="1867">
        <f>SUM(BL236:BO236)</f>
        <v>-49.628623052403896</v>
      </c>
      <c r="J236" s="1867">
        <f>SUM(BQ236:BT236)</f>
        <v>-34.542721014504828</v>
      </c>
      <c r="K236" s="1868">
        <f>SUM(BV236:BY236)</f>
        <v>85.994033729064412</v>
      </c>
      <c r="L236" s="1869">
        <f>SUM(CA236:CD236)</f>
        <v>-143.2568741818227</v>
      </c>
      <c r="M236" s="1869">
        <f>SUM(CF236:CI236)</f>
        <v>-289.33050519437006</v>
      </c>
      <c r="N236" s="1869">
        <f>SUM(CK236:CN236)</f>
        <v>-247.44375533071906</v>
      </c>
      <c r="O236" s="2745">
        <f t="shared" si="408"/>
        <v>-289.33050519437006</v>
      </c>
      <c r="P236" s="2745">
        <f t="shared" si="408"/>
        <v>-247.44375533071906</v>
      </c>
      <c r="Q236" s="1869">
        <f>SUM(CP236:CS236)</f>
        <v>-63.61801414216626</v>
      </c>
      <c r="R236" s="1869">
        <f>SUM(CU236:CX236)</f>
        <v>-41.548127918994638</v>
      </c>
      <c r="S236" s="2743">
        <f t="shared" si="409"/>
        <v>-41.548127918994638</v>
      </c>
      <c r="T236" s="1869">
        <f>SUM(CZ236:DC236)</f>
        <v>-42.438078066871022</v>
      </c>
      <c r="U236" s="1869">
        <f t="shared" si="410"/>
        <v>-42.438078066871022</v>
      </c>
      <c r="V236" s="2479">
        <f t="shared" ref="V236:AE236" si="422">U236</f>
        <v>-42.438078066871022</v>
      </c>
      <c r="W236" s="2479">
        <f t="shared" si="422"/>
        <v>-42.438078066871022</v>
      </c>
      <c r="X236" s="2479">
        <f t="shared" si="422"/>
        <v>-42.438078066871022</v>
      </c>
      <c r="Y236" s="2479">
        <f t="shared" si="422"/>
        <v>-42.438078066871022</v>
      </c>
      <c r="Z236" s="2479">
        <f t="shared" si="422"/>
        <v>-42.438078066871022</v>
      </c>
      <c r="AA236" s="2479">
        <f t="shared" si="422"/>
        <v>-42.438078066871022</v>
      </c>
      <c r="AB236" s="2479">
        <f t="shared" si="422"/>
        <v>-42.438078066871022</v>
      </c>
      <c r="AC236" s="2479">
        <f t="shared" si="422"/>
        <v>-42.438078066871022</v>
      </c>
      <c r="AD236" s="2479">
        <f t="shared" si="422"/>
        <v>-42.438078066871022</v>
      </c>
      <c r="AE236" s="2479">
        <f t="shared" si="422"/>
        <v>-42.438078066871022</v>
      </c>
      <c r="AF236" s="1798"/>
      <c r="AG236" s="1798"/>
      <c r="AH236" s="1798"/>
      <c r="AI236" s="1798"/>
      <c r="AJ236" s="1798"/>
      <c r="AK236" s="1798"/>
      <c r="AL236" s="1108" t="s">
        <v>1151</v>
      </c>
      <c r="AM236" s="1108"/>
      <c r="AN236" s="1108"/>
      <c r="AO236" s="1108"/>
      <c r="AP236" s="1108"/>
      <c r="AQ236" s="1741"/>
      <c r="AR236" s="1108"/>
      <c r="AS236" s="1108"/>
      <c r="AT236" s="1108"/>
      <c r="AU236" s="1108"/>
      <c r="AV236" s="1741"/>
      <c r="AW236" s="1108"/>
      <c r="AX236" s="1108"/>
      <c r="AY236" s="1108"/>
      <c r="AZ236" s="1108"/>
      <c r="BA236" s="1741"/>
      <c r="BB236" s="1776"/>
      <c r="BC236" s="1776"/>
      <c r="BD236" s="1776"/>
      <c r="BE236" s="1776"/>
      <c r="BF236" s="1741"/>
      <c r="BG236" s="1776"/>
      <c r="BH236" s="1776"/>
      <c r="BI236" s="1776"/>
      <c r="BJ236" s="1776"/>
      <c r="BK236" s="1741"/>
      <c r="BL236" s="1776">
        <f>BL237-BL231-BL232-BL233-BL234-BL235</f>
        <v>10.031074457271957</v>
      </c>
      <c r="BM236" s="1776">
        <f>BM237-BM231-BM232-BM233-BM234-BM235</f>
        <v>-3.4119179531789054</v>
      </c>
      <c r="BN236" s="1776">
        <f>BN237-BN231-BN232-BN233-BN234-BN235</f>
        <v>2.2319972109306168</v>
      </c>
      <c r="BO236" s="1776">
        <f>BO237-BO231-BO232-BO233-BO234-BO235</f>
        <v>-58.479776767427566</v>
      </c>
      <c r="BP236" s="1741">
        <f t="shared" si="380"/>
        <v>0</v>
      </c>
      <c r="BQ236" s="1776">
        <f>BQ237-BQ231-BQ232-BQ233-BQ234-BQ235</f>
        <v>26.756638045889737</v>
      </c>
      <c r="BR236" s="1776">
        <f>BR237-BR231-BR232-BR233-BR234-BR235</f>
        <v>-6.3970647074535947</v>
      </c>
      <c r="BS236" s="1776">
        <f>BS237-BS231-BS232-BS233-BS234-BS235</f>
        <v>-6.4248284969748823</v>
      </c>
      <c r="BT236" s="1776">
        <f>BT237-BT231-BT232-BT233-BT234-BT235</f>
        <v>-48.477465855966088</v>
      </c>
      <c r="BU236" s="2188">
        <f t="shared" si="381"/>
        <v>0</v>
      </c>
      <c r="BV236" s="1776">
        <f>BV237-BV231-BV232-BV233-BV234-BV235</f>
        <v>27.61640504134829</v>
      </c>
      <c r="BW236" s="1776">
        <f>BW237-BW231-BW232-BW233-BW234-BW235</f>
        <v>10.283135302935335</v>
      </c>
      <c r="BX236" s="1776">
        <f>BX237-BX231-BX232-BX233-BX234-BX235</f>
        <v>5.1226010764852212</v>
      </c>
      <c r="BY236" s="1776">
        <f>BY237-BY231-BY232-BY233-BY234-BY235</f>
        <v>42.971892308295565</v>
      </c>
      <c r="BZ236" s="2188">
        <f t="shared" si="382"/>
        <v>0</v>
      </c>
      <c r="CA236" s="1776">
        <f>CA237-CA231-CA232-CA233-CA234-CA235</f>
        <v>-25.852933432037915</v>
      </c>
      <c r="CB236" s="1776">
        <f>CB237-CB231-CB232-CB233-CB234-CB235</f>
        <v>-31.315348175929167</v>
      </c>
      <c r="CC236" s="1776">
        <f>CC237-CC231-CC232-CC233-CC234-CC235</f>
        <v>-98.952649958479839</v>
      </c>
      <c r="CD236" s="1776">
        <f>CD237-CD231-CD232-CD233-CD234-CD235</f>
        <v>12.864057384624225</v>
      </c>
      <c r="CE236" s="2188">
        <f t="shared" si="383"/>
        <v>0</v>
      </c>
      <c r="CF236" s="1776">
        <f>CF237-CF231-CF232-CF233-CF234-CF235</f>
        <v>-49.706549865746048</v>
      </c>
      <c r="CG236" s="1776">
        <f>CG237-CG231-CG232-CG233-CG234-CG235</f>
        <v>-81.033506710101506</v>
      </c>
      <c r="CH236" s="1776">
        <f>CH237-CH231-CH232-CH233-CH234-CH235</f>
        <v>-180.29019502471937</v>
      </c>
      <c r="CI236" s="1776">
        <f>CI237-CI231-CI232-CI233-CI234-CI235</f>
        <v>21.699746406196823</v>
      </c>
      <c r="CJ236" s="2188">
        <f t="shared" si="384"/>
        <v>0</v>
      </c>
      <c r="CK236" s="1776">
        <f>CK237-CK231-CK232-CK233-CK234-CK235</f>
        <v>-67.758666258992534</v>
      </c>
      <c r="CL236" s="1776">
        <f>CL237-CL231-CL232-CL233-CL234-CL235</f>
        <v>-53.327025456513276</v>
      </c>
      <c r="CM236" s="1776">
        <f>CM237-CM231-CM232-CM233-CM234-CM235</f>
        <v>-135.61358205190999</v>
      </c>
      <c r="CN236" s="1776">
        <f>CN237-CN231-CN232-CN233-CN234-CN235</f>
        <v>9.255518436696704</v>
      </c>
      <c r="CO236" s="1741">
        <f t="shared" si="412"/>
        <v>0</v>
      </c>
      <c r="CP236" s="1776">
        <f>CP237-CP231-CP232-CP233-CP234-CP235</f>
        <v>-40.735124825902005</v>
      </c>
      <c r="CQ236" s="1776">
        <f>CQ237-CQ231-CQ232-CQ233-CQ234-CQ235</f>
        <v>10.934716998067969</v>
      </c>
      <c r="CR236" s="1776">
        <f>CR237-CR231-CR232-CR233-CR234-CR235</f>
        <v>-59.530522963720742</v>
      </c>
      <c r="CS236" s="3098">
        <f>CS237-CS231-CS232-CS233-CS234-CS235</f>
        <v>25.712916649388518</v>
      </c>
      <c r="CT236" s="2835">
        <f t="shared" si="413"/>
        <v>0</v>
      </c>
      <c r="CU236" s="3098">
        <f>CU237-CU231-CU232-CU233-CU234-CU235</f>
        <v>-13.700789374849016</v>
      </c>
      <c r="CV236" s="3098">
        <f>CV237-CV231-CV232-CV233-CV234-CV235</f>
        <v>16.01644694632806</v>
      </c>
      <c r="CW236" s="3098">
        <f>CW237-CW231-CW232-CW233-CW234-CW235</f>
        <v>-62.376716777271952</v>
      </c>
      <c r="CX236" s="3098">
        <f>CX237-CX231-CX232-CX233-CX234-CX235</f>
        <v>18.51293128679827</v>
      </c>
      <c r="CY236" s="2835">
        <f t="shared" si="414"/>
        <v>0</v>
      </c>
      <c r="CZ236" s="3098">
        <f>CZ237-CZ231-CZ232-CZ233-CZ234-CZ235</f>
        <v>-13.600494911136011</v>
      </c>
      <c r="DA236" s="3098">
        <f>DA237-DA231-DA232-DA233-DA234-DA235</f>
        <v>6.8866536297145871</v>
      </c>
      <c r="DB236" s="3098">
        <f>DB237-DB231-DB232-DB233-DB234-DB235</f>
        <v>-54.237168072247869</v>
      </c>
      <c r="DC236" s="2933">
        <f>CX236</f>
        <v>18.51293128679827</v>
      </c>
      <c r="DD236" s="2835">
        <f t="shared" si="357"/>
        <v>0</v>
      </c>
      <c r="DE236" s="2933">
        <f t="shared" ref="DE236:DG236" si="423">CZ236</f>
        <v>-13.600494911136011</v>
      </c>
      <c r="DF236" s="2933">
        <f t="shared" si="423"/>
        <v>6.8866536297145871</v>
      </c>
      <c r="DG236" s="2933">
        <f t="shared" si="423"/>
        <v>-54.237168072247869</v>
      </c>
      <c r="DH236" s="2933">
        <f>DC236</f>
        <v>18.51293128679827</v>
      </c>
      <c r="DI236" s="2835">
        <f t="shared" si="386"/>
        <v>0</v>
      </c>
      <c r="DJ236" s="2835"/>
      <c r="DK236" s="54" t="s">
        <v>1237</v>
      </c>
      <c r="DL236" s="11"/>
      <c r="DM236" s="11"/>
      <c r="DN236" s="11"/>
      <c r="DO236" s="11"/>
      <c r="DP236" s="11"/>
      <c r="DQ236" s="11"/>
      <c r="DR236" s="11"/>
      <c r="DS236" s="11"/>
      <c r="DT236" s="11"/>
    </row>
    <row r="237" spans="1:124" s="875" customFormat="1">
      <c r="A237" s="1494" t="s">
        <v>481</v>
      </c>
      <c r="B237" s="1494"/>
      <c r="C237" s="1494"/>
      <c r="D237" s="1494"/>
      <c r="E237" s="1494"/>
      <c r="F237" s="1494"/>
      <c r="G237" s="2304">
        <f t="shared" ref="G237:L237" si="424">SUM(G231:G236)</f>
        <v>2776.6036854609556</v>
      </c>
      <c r="H237" s="2304">
        <f t="shared" si="424"/>
        <v>3376.6949205544079</v>
      </c>
      <c r="I237" s="2304">
        <f t="shared" si="424"/>
        <v>3120.4000000000005</v>
      </c>
      <c r="J237" s="2304">
        <f t="shared" si="424"/>
        <v>3071.5</v>
      </c>
      <c r="K237" s="2304">
        <f t="shared" si="424"/>
        <v>3249.0000000000005</v>
      </c>
      <c r="L237" s="2304">
        <f t="shared" si="424"/>
        <v>3468</v>
      </c>
      <c r="M237" s="2304">
        <f t="shared" ref="M237:T237" si="425">SUM(M231:M236)</f>
        <v>3997</v>
      </c>
      <c r="N237" s="2304">
        <f t="shared" si="425"/>
        <v>3990</v>
      </c>
      <c r="O237" s="2746">
        <f t="shared" si="425"/>
        <v>3728.7540911104652</v>
      </c>
      <c r="P237" s="2746">
        <f t="shared" si="425"/>
        <v>3656.2150729769774</v>
      </c>
      <c r="Q237" s="2304">
        <f>SUM(Q231:Q236)</f>
        <v>3903</v>
      </c>
      <c r="R237" s="2304">
        <f t="shared" si="425"/>
        <v>3673.0000000000005</v>
      </c>
      <c r="S237" s="2786">
        <f t="shared" si="425"/>
        <v>3673.0000000000005</v>
      </c>
      <c r="T237" s="2304">
        <f t="shared" si="425"/>
        <v>3792.6315291727251</v>
      </c>
      <c r="U237" s="2304">
        <f>SUM(U231:U236)</f>
        <v>3955.5993172807839</v>
      </c>
      <c r="V237" s="2304">
        <f t="shared" ref="V237:AC237" si="426">SUM(V231:V236)</f>
        <v>4031.6305188104966</v>
      </c>
      <c r="W237" s="2304">
        <f t="shared" si="426"/>
        <v>4181.0437011318609</v>
      </c>
      <c r="X237" s="2304">
        <f t="shared" si="426"/>
        <v>4334.4930128114675</v>
      </c>
      <c r="Y237" s="2304">
        <f t="shared" si="426"/>
        <v>4478.3686072087366</v>
      </c>
      <c r="Z237" s="2304">
        <f t="shared" si="426"/>
        <v>4632.3087021017254</v>
      </c>
      <c r="AA237" s="2304">
        <f t="shared" si="426"/>
        <v>4771.9952978972051</v>
      </c>
      <c r="AB237" s="2304">
        <f t="shared" si="426"/>
        <v>4900.7784838124935</v>
      </c>
      <c r="AC237" s="2304">
        <f t="shared" si="426"/>
        <v>5037.5350137384094</v>
      </c>
      <c r="AD237" s="2304">
        <f>SUM(AD231:AD236)</f>
        <v>5159.3807315599915</v>
      </c>
      <c r="AE237" s="2304">
        <f>SUM(AE231:AE236)</f>
        <v>5264.2183927787928</v>
      </c>
      <c r="AF237" s="1798"/>
      <c r="AG237" s="1798"/>
      <c r="AH237" s="1798"/>
      <c r="AI237" s="1798"/>
      <c r="AJ237" s="1798"/>
      <c r="AK237" s="1798"/>
      <c r="AL237" s="1494" t="s">
        <v>481</v>
      </c>
      <c r="AM237" s="1494"/>
      <c r="AN237" s="1494"/>
      <c r="AO237" s="1494"/>
      <c r="AP237" s="1494"/>
      <c r="AQ237" s="2188"/>
      <c r="AR237" s="1494"/>
      <c r="AS237" s="1494"/>
      <c r="AT237" s="1494"/>
      <c r="AU237" s="1494"/>
      <c r="AV237" s="2188"/>
      <c r="AW237" s="1494"/>
      <c r="AX237" s="1494"/>
      <c r="AY237" s="1494"/>
      <c r="AZ237" s="1494"/>
      <c r="BA237" s="2188"/>
      <c r="BB237" s="2305"/>
      <c r="BC237" s="2305"/>
      <c r="BD237" s="2305"/>
      <c r="BE237" s="2305"/>
      <c r="BF237" s="2188"/>
      <c r="BG237" s="2305"/>
      <c r="BH237" s="2305"/>
      <c r="BI237" s="2305"/>
      <c r="BJ237" s="2305"/>
      <c r="BK237" s="2188"/>
      <c r="BL237" s="2305">
        <f>1344.4-BM237</f>
        <v>730.40000000000009</v>
      </c>
      <c r="BM237" s="2305">
        <v>614</v>
      </c>
      <c r="BN237" s="2305">
        <v>1117.9000000000001</v>
      </c>
      <c r="BO237" s="2305">
        <v>658.1</v>
      </c>
      <c r="BP237" s="1741">
        <f t="shared" si="380"/>
        <v>0</v>
      </c>
      <c r="BQ237" s="2305">
        <f>1447.3-BR237</f>
        <v>713.59999999999991</v>
      </c>
      <c r="BR237" s="2305">
        <v>733.7</v>
      </c>
      <c r="BS237" s="2305">
        <v>828.2</v>
      </c>
      <c r="BT237" s="2305">
        <v>796</v>
      </c>
      <c r="BU237" s="2188">
        <f t="shared" si="381"/>
        <v>0</v>
      </c>
      <c r="BV237" s="2305">
        <v>740</v>
      </c>
      <c r="BW237" s="2305">
        <v>889</v>
      </c>
      <c r="BX237" s="2305">
        <v>867</v>
      </c>
      <c r="BY237" s="2305">
        <v>753</v>
      </c>
      <c r="BZ237" s="2188">
        <f t="shared" si="382"/>
        <v>0</v>
      </c>
      <c r="CA237" s="2305">
        <v>1017</v>
      </c>
      <c r="CB237" s="2305">
        <v>816</v>
      </c>
      <c r="CC237" s="2305">
        <v>931</v>
      </c>
      <c r="CD237" s="2305">
        <v>704</v>
      </c>
      <c r="CE237" s="2188">
        <f t="shared" si="383"/>
        <v>0</v>
      </c>
      <c r="CF237" s="2305">
        <v>1008</v>
      </c>
      <c r="CG237" s="2305">
        <v>997</v>
      </c>
      <c r="CH237" s="2305">
        <v>1094</v>
      </c>
      <c r="CI237" s="2305">
        <v>898</v>
      </c>
      <c r="CJ237" s="2188">
        <f t="shared" si="384"/>
        <v>0</v>
      </c>
      <c r="CK237" s="2305">
        <v>1073</v>
      </c>
      <c r="CL237" s="2305">
        <v>903</v>
      </c>
      <c r="CM237" s="2305">
        <v>1141</v>
      </c>
      <c r="CN237" s="2305">
        <v>873</v>
      </c>
      <c r="CO237" s="1741">
        <f t="shared" si="412"/>
        <v>0</v>
      </c>
      <c r="CP237" s="2305">
        <v>1028</v>
      </c>
      <c r="CQ237" s="2305">
        <v>815</v>
      </c>
      <c r="CR237" s="2305">
        <v>1046</v>
      </c>
      <c r="CS237" s="3099">
        <v>1014</v>
      </c>
      <c r="CT237" s="2835">
        <f t="shared" si="413"/>
        <v>0</v>
      </c>
      <c r="CU237" s="3099">
        <v>729</v>
      </c>
      <c r="CV237" s="3099">
        <v>943</v>
      </c>
      <c r="CW237" s="3099">
        <v>1108</v>
      </c>
      <c r="CX237" s="3099">
        <v>893</v>
      </c>
      <c r="CY237" s="2835">
        <f t="shared" si="414"/>
        <v>0</v>
      </c>
      <c r="CZ237" s="3099">
        <v>845</v>
      </c>
      <c r="DA237" s="3099">
        <v>1056</v>
      </c>
      <c r="DB237" s="3099">
        <v>860</v>
      </c>
      <c r="DC237" s="3100">
        <f>SUM(DC231:DC236)</f>
        <v>1031.6315291727251</v>
      </c>
      <c r="DD237" s="2835">
        <f t="shared" si="357"/>
        <v>0</v>
      </c>
      <c r="DE237" s="3100">
        <f t="shared" ref="DE237:DG237" si="427">SUM(DE231:DE236)</f>
        <v>830.01671518483658</v>
      </c>
      <c r="DF237" s="3100">
        <f t="shared" si="427"/>
        <v>1095.946379022487</v>
      </c>
      <c r="DG237" s="3100">
        <f t="shared" si="427"/>
        <v>968.83819374620305</v>
      </c>
      <c r="DH237" s="3100">
        <f>SUM(DH231:DH236)</f>
        <v>1060.7980293272569</v>
      </c>
      <c r="DI237" s="2835">
        <f t="shared" si="386"/>
        <v>0</v>
      </c>
      <c r="DJ237" s="3102"/>
      <c r="DK237" s="1176" t="s">
        <v>1237</v>
      </c>
      <c r="DL237" s="11"/>
      <c r="DM237" s="11"/>
      <c r="DN237" s="11"/>
      <c r="DO237" s="11"/>
      <c r="DP237" s="11"/>
      <c r="DQ237" s="11"/>
      <c r="DR237" s="11"/>
      <c r="DS237" s="11"/>
      <c r="DT237" s="11"/>
    </row>
    <row r="238" spans="1:124">
      <c r="A238" s="1477" t="s">
        <v>1239</v>
      </c>
      <c r="B238" s="1108"/>
      <c r="C238" s="1108"/>
      <c r="D238" s="1108"/>
      <c r="E238" s="1108"/>
      <c r="F238" s="1108"/>
      <c r="G238" s="1108"/>
      <c r="H238" s="1135">
        <f t="shared" ref="H238:N238" si="428">+H237/G237-1</f>
        <v>0.21612419454590936</v>
      </c>
      <c r="I238" s="1135">
        <f t="shared" si="428"/>
        <v>-7.5901118278203006E-2</v>
      </c>
      <c r="J238" s="1135">
        <f t="shared" si="428"/>
        <v>-1.567106781181915E-2</v>
      </c>
      <c r="K238" s="1135">
        <f t="shared" si="428"/>
        <v>5.7789353735959725E-2</v>
      </c>
      <c r="L238" s="1110">
        <f t="shared" si="428"/>
        <v>6.7405355493997954E-2</v>
      </c>
      <c r="M238" s="1110">
        <f t="shared" si="428"/>
        <v>0.15253748558246838</v>
      </c>
      <c r="N238" s="1110">
        <f t="shared" si="428"/>
        <v>-1.7513134851138146E-3</v>
      </c>
      <c r="O238" s="2709"/>
      <c r="P238" s="2705">
        <f t="shared" ref="P238:AE238" si="429">+P237/O237-1</f>
        <v>-1.9453956029555464E-2</v>
      </c>
      <c r="Q238" s="1110">
        <f>+Q237/P237-1</f>
        <v>6.7497376958758792E-2</v>
      </c>
      <c r="R238" s="1110">
        <f t="shared" si="429"/>
        <v>-5.8929028952088069E-2</v>
      </c>
      <c r="S238" s="2705"/>
      <c r="T238" s="1110">
        <f>T237/S237-1</f>
        <v>3.2570522508228894E-2</v>
      </c>
      <c r="U238" s="1110">
        <f t="shared" si="429"/>
        <v>4.296958110866278E-2</v>
      </c>
      <c r="V238" s="1110">
        <f t="shared" si="429"/>
        <v>1.9221158522693571E-2</v>
      </c>
      <c r="W238" s="1110">
        <f t="shared" si="429"/>
        <v>3.7060236949850056E-2</v>
      </c>
      <c r="X238" s="1110">
        <f t="shared" si="429"/>
        <v>3.6701197750711456E-2</v>
      </c>
      <c r="Y238" s="1110">
        <f t="shared" si="429"/>
        <v>3.319317714252068E-2</v>
      </c>
      <c r="Z238" s="1110">
        <f t="shared" si="429"/>
        <v>3.4374145675546863E-2</v>
      </c>
      <c r="AA238" s="1110">
        <f t="shared" si="429"/>
        <v>3.0154854690945365E-2</v>
      </c>
      <c r="AB238" s="1110">
        <f t="shared" si="429"/>
        <v>2.698728265135486E-2</v>
      </c>
      <c r="AC238" s="1110">
        <f t="shared" si="429"/>
        <v>2.790506250744218E-2</v>
      </c>
      <c r="AD238" s="1110">
        <f t="shared" si="429"/>
        <v>2.4187567429166057E-2</v>
      </c>
      <c r="AE238" s="1110">
        <f t="shared" si="429"/>
        <v>2.0319814852489682E-2</v>
      </c>
      <c r="AF238" s="1798"/>
      <c r="AG238" s="1798"/>
      <c r="AH238" s="1798"/>
      <c r="AI238" s="1798"/>
      <c r="AJ238" s="1798"/>
      <c r="AK238" s="1798"/>
      <c r="AL238" s="1108" t="s">
        <v>1239</v>
      </c>
      <c r="AM238" s="1108"/>
      <c r="AN238" s="1108"/>
      <c r="AO238" s="1108"/>
      <c r="AP238" s="1108"/>
      <c r="AQ238" s="1741"/>
      <c r="AR238" s="1108"/>
      <c r="AS238" s="1108"/>
      <c r="AT238" s="1108"/>
      <c r="AU238" s="1108"/>
      <c r="AV238" s="1741"/>
      <c r="AW238" s="1108"/>
      <c r="AX238" s="1108"/>
      <c r="AY238" s="1108"/>
      <c r="AZ238" s="1108"/>
      <c r="BA238" s="1741"/>
      <c r="BB238" s="1651"/>
      <c r="BC238" s="1651"/>
      <c r="BD238" s="1651"/>
      <c r="BE238" s="1651"/>
      <c r="BF238" s="1741"/>
      <c r="BG238" s="1651"/>
      <c r="BH238" s="1651"/>
      <c r="BI238" s="1651"/>
      <c r="BJ238" s="1651"/>
      <c r="BK238" s="1741"/>
      <c r="BL238" s="1651">
        <f>+BL237-SUM(BL231:BL236)</f>
        <v>0</v>
      </c>
      <c r="BM238" s="1651">
        <f>+BM237-SUM(BM231:BM236)</f>
        <v>0</v>
      </c>
      <c r="BN238" s="1651">
        <f>+BN237-SUM(BN231:BN236)</f>
        <v>0</v>
      </c>
      <c r="BO238" s="1651">
        <f>+BO237-SUM(BO231:BO236)</f>
        <v>0</v>
      </c>
      <c r="BP238" s="1741"/>
      <c r="BQ238" s="1651">
        <f>+BQ237-SUM(BQ231:BQ236)</f>
        <v>0</v>
      </c>
      <c r="BR238" s="1651">
        <f>+BR237-SUM(BR231:BR236)</f>
        <v>0</v>
      </c>
      <c r="BS238" s="1651">
        <f>+BS237-SUM(BS231:BS236)</f>
        <v>0</v>
      </c>
      <c r="BT238" s="1651">
        <f>+BT237-SUM(BT231:BT236)</f>
        <v>0</v>
      </c>
      <c r="BU238" s="2188"/>
      <c r="BV238" s="1651">
        <f>+BV237-SUM(BV231:BV236)</f>
        <v>0</v>
      </c>
      <c r="BW238" s="1651">
        <f>+BW237-SUM(BW231:BW236)</f>
        <v>0</v>
      </c>
      <c r="BX238" s="1651">
        <f>+BX237-SUM(BX231:BX236)</f>
        <v>0</v>
      </c>
      <c r="BY238" s="1651">
        <f>+BY237-SUM(BY231:BY236)</f>
        <v>0</v>
      </c>
      <c r="BZ238" s="2188"/>
      <c r="CA238" s="1651">
        <f>+CA237-SUM(CA231:CA236)</f>
        <v>0</v>
      </c>
      <c r="CB238" s="1651">
        <f>+CB237-SUM(CB231:CB236)</f>
        <v>0</v>
      </c>
      <c r="CC238" s="1651">
        <f>+CC237-SUM(CC231:CC236)</f>
        <v>0</v>
      </c>
      <c r="CD238" s="1651">
        <f>+CD237-SUM(CD231:CD236)</f>
        <v>0</v>
      </c>
      <c r="CE238" s="2188"/>
      <c r="CF238" s="1651">
        <f>+CF237-SUM(CF231:CF236)</f>
        <v>0</v>
      </c>
      <c r="CG238" s="1651">
        <f>+CG237-SUM(CG231:CG236)</f>
        <v>0</v>
      </c>
      <c r="CH238" s="1651">
        <f>+CH237-SUM(CH231:CH236)</f>
        <v>0</v>
      </c>
      <c r="CI238" s="1651">
        <f>+CI237-SUM(CI231:CI236)</f>
        <v>0</v>
      </c>
      <c r="CJ238" s="2188"/>
      <c r="CK238" s="1651">
        <f>+CK237-SUM(CK231:CK236)</f>
        <v>0</v>
      </c>
      <c r="CL238" s="1651">
        <f>+CL237-SUM(CL231:CL236)</f>
        <v>0</v>
      </c>
      <c r="CM238" s="1651">
        <f>+CM237-SUM(CM231:CM236)</f>
        <v>0</v>
      </c>
      <c r="CN238" s="1651">
        <f>+CN237-SUM(CN231:CN236)</f>
        <v>0</v>
      </c>
      <c r="CO238" s="1741"/>
      <c r="CP238" s="1651">
        <f>+CP237-SUM(CP231:CP236)</f>
        <v>0</v>
      </c>
      <c r="CQ238" s="1651">
        <f>+CQ237-SUM(CQ231:CQ236)</f>
        <v>0</v>
      </c>
      <c r="CR238" s="1651">
        <f>+CR237-SUM(CR231:CR236)</f>
        <v>0</v>
      </c>
      <c r="CS238" s="3101">
        <f>+CS237-SUM(CS231:CS236)</f>
        <v>0</v>
      </c>
      <c r="CT238" s="2862"/>
      <c r="CU238" s="3101">
        <f>+CU237-SUM(CU231:CU236)</f>
        <v>0</v>
      </c>
      <c r="CV238" s="3101">
        <f>+CV237-SUM(CV231:CV236)</f>
        <v>0</v>
      </c>
      <c r="CW238" s="3101">
        <f>+CW237-SUM(CW231:CW236)</f>
        <v>0</v>
      </c>
      <c r="CX238" s="3101">
        <f>+CX237-SUM(CX231:CX236)</f>
        <v>0</v>
      </c>
      <c r="CY238" s="2835"/>
      <c r="CZ238" s="3101">
        <f>+CZ237-SUM(CZ231:CZ236)</f>
        <v>0</v>
      </c>
      <c r="DA238" s="3101">
        <f>+DA237-SUM(DA231:DA236)</f>
        <v>0</v>
      </c>
      <c r="DB238" s="3101">
        <f>+DB237-SUM(DB231:DB236)</f>
        <v>0</v>
      </c>
      <c r="DC238" s="3101">
        <f>+DC237-SUM(DC231:DC236)</f>
        <v>0</v>
      </c>
      <c r="DD238" s="2835"/>
      <c r="DE238" s="3101">
        <f t="shared" ref="DE238:DG238" si="430">+DE237-SUM(DE231:DE236)</f>
        <v>0</v>
      </c>
      <c r="DF238" s="3101">
        <f t="shared" si="430"/>
        <v>0</v>
      </c>
      <c r="DG238" s="3101">
        <f t="shared" si="430"/>
        <v>0</v>
      </c>
      <c r="DH238" s="3101">
        <f>+DH237-SUM(DH231:DH236)</f>
        <v>0</v>
      </c>
      <c r="DI238" s="2862"/>
      <c r="DJ238" s="2862"/>
      <c r="DK238" s="1311"/>
      <c r="DL238" s="11"/>
      <c r="DM238" s="11"/>
      <c r="DN238" s="11"/>
      <c r="DO238" s="11"/>
      <c r="DP238" s="11"/>
      <c r="DQ238" s="11"/>
      <c r="DR238" s="11"/>
      <c r="DS238" s="11"/>
      <c r="DT238" s="11"/>
    </row>
    <row r="239" spans="1:124">
      <c r="A239" s="1108"/>
      <c r="B239" s="1108"/>
      <c r="C239" s="1108"/>
      <c r="D239" s="1108"/>
      <c r="E239" s="1108"/>
      <c r="F239" s="1470"/>
      <c r="G239" s="1649"/>
      <c r="H239" s="1470"/>
      <c r="I239" s="1470"/>
      <c r="J239" s="1470"/>
      <c r="K239" s="1470"/>
      <c r="L239" s="1470"/>
      <c r="M239" s="1470"/>
      <c r="N239" s="1470"/>
      <c r="O239" s="2709"/>
      <c r="P239" s="2709"/>
      <c r="Q239" s="1470"/>
      <c r="R239" s="1470"/>
      <c r="S239" s="2709"/>
      <c r="T239" s="1110"/>
      <c r="U239" s="1470"/>
      <c r="V239" s="1470"/>
      <c r="W239" s="1470"/>
      <c r="X239" s="1470"/>
      <c r="Y239" s="1470"/>
      <c r="Z239" s="1470"/>
      <c r="AA239" s="1470"/>
      <c r="AB239" s="1470"/>
      <c r="AC239" s="1470"/>
      <c r="AD239" s="1470"/>
      <c r="AE239" s="1470"/>
      <c r="AF239" s="1798"/>
      <c r="AG239" s="1798"/>
      <c r="AH239" s="1798"/>
      <c r="AI239" s="1798"/>
      <c r="AJ239" s="1798"/>
      <c r="AK239" s="1798"/>
      <c r="AL239" s="1108"/>
      <c r="AM239" s="1108"/>
      <c r="AN239" s="1108"/>
      <c r="AO239" s="1108"/>
      <c r="AP239" s="1108"/>
      <c r="AQ239" s="1741"/>
      <c r="AR239" s="1108"/>
      <c r="AS239" s="1108"/>
      <c r="AT239" s="1108"/>
      <c r="AU239" s="1108"/>
      <c r="AV239" s="1741"/>
      <c r="AW239" s="1108"/>
      <c r="AX239" s="1108"/>
      <c r="AY239" s="1108"/>
      <c r="AZ239" s="1108"/>
      <c r="BA239" s="1741"/>
      <c r="BB239" s="1108"/>
      <c r="BC239" s="1108"/>
      <c r="BD239" s="1108"/>
      <c r="BE239" s="1108"/>
      <c r="BF239" s="1741"/>
      <c r="BG239" s="1108"/>
      <c r="BH239" s="1108"/>
      <c r="BI239" s="1108"/>
      <c r="BJ239" s="1108"/>
      <c r="BK239" s="1741"/>
      <c r="BL239" s="1108"/>
      <c r="BM239" s="1108"/>
      <c r="BN239" s="1108"/>
      <c r="BO239" s="1108"/>
      <c r="BP239" s="1741"/>
      <c r="BQ239" s="1108"/>
      <c r="BR239" s="1108"/>
      <c r="BS239" s="1108"/>
      <c r="BT239" s="1108"/>
      <c r="BU239" s="2188"/>
      <c r="BV239" s="1108"/>
      <c r="BW239" s="1108"/>
      <c r="BX239" s="1108"/>
      <c r="BY239" s="1108"/>
      <c r="BZ239" s="2188"/>
      <c r="CA239" s="1146"/>
      <c r="CB239" s="1146"/>
      <c r="CC239" s="1108"/>
      <c r="CD239" s="1108"/>
      <c r="CE239" s="2188"/>
      <c r="CF239" s="1146"/>
      <c r="CG239" s="1146"/>
      <c r="CH239" s="1108"/>
      <c r="CI239" s="1108"/>
      <c r="CJ239" s="2188"/>
      <c r="CK239" s="1577"/>
      <c r="CL239" s="1577"/>
      <c r="CM239" s="1577"/>
      <c r="CN239" s="1577"/>
      <c r="CO239" s="1577"/>
      <c r="CP239" s="1577"/>
      <c r="CQ239" s="1577"/>
      <c r="CR239" s="1577"/>
      <c r="CS239" s="2807"/>
      <c r="CT239" s="2862"/>
      <c r="CU239" s="2862"/>
      <c r="CV239" s="2862"/>
      <c r="CW239" s="2862"/>
      <c r="CX239" s="2862"/>
      <c r="CY239" s="2862"/>
      <c r="CZ239" s="2862"/>
      <c r="DA239" s="2862"/>
      <c r="DB239" s="2862"/>
      <c r="DC239" s="2862"/>
      <c r="DD239" s="2835"/>
      <c r="DE239" s="2862"/>
      <c r="DF239" s="2862"/>
      <c r="DG239" s="2862"/>
      <c r="DH239" s="2862"/>
      <c r="DI239" s="2862"/>
      <c r="DJ239" s="2862"/>
      <c r="DK239" s="11"/>
      <c r="DL239" s="11"/>
      <c r="DM239" s="11"/>
      <c r="DN239" s="11"/>
      <c r="DO239" s="11"/>
      <c r="DP239" s="11"/>
      <c r="DQ239" s="11"/>
      <c r="DR239" s="11"/>
      <c r="DS239" s="11"/>
      <c r="DT239" s="11"/>
    </row>
    <row r="240" spans="1:124">
      <c r="A240" s="1108" t="s">
        <v>1152</v>
      </c>
      <c r="B240" s="1108"/>
      <c r="C240" s="1108"/>
      <c r="D240" s="1108"/>
      <c r="E240" s="1108"/>
      <c r="F240" s="1108"/>
      <c r="G240" s="1650">
        <f>+G30-G234*0.15</f>
        <v>1161.5079446250002</v>
      </c>
      <c r="H240" s="1650">
        <f>+H30-H234*0.15</f>
        <v>1164.4577563349999</v>
      </c>
      <c r="I240" s="1650">
        <f>SUM(BL240:BO240)</f>
        <v>1074.9706236709003</v>
      </c>
      <c r="J240" s="1650">
        <f>SUM(BQ240:BT240)</f>
        <v>1193.6138918999891</v>
      </c>
      <c r="K240" s="1778">
        <f>SUM(BV240:BY240)</f>
        <v>1356.3261051249287</v>
      </c>
      <c r="L240" s="1778">
        <f>SUM(CA240:CD240)</f>
        <v>1314.0982925426965</v>
      </c>
      <c r="M240" s="1778">
        <f>SUM(CF240:CI240)</f>
        <v>1270.2614188354341</v>
      </c>
      <c r="N240" s="1778">
        <f>SUM(CK240:CN240)</f>
        <v>1323.5526869685841</v>
      </c>
      <c r="O240" s="2743">
        <f t="shared" ref="O240:P244" si="431">M240</f>
        <v>1270.2614188354341</v>
      </c>
      <c r="P240" s="2743">
        <f t="shared" si="431"/>
        <v>1323.5526869685841</v>
      </c>
      <c r="Q240" s="1778">
        <f>SUM(CP240:CS240)</f>
        <v>1526.3054491697208</v>
      </c>
      <c r="R240" s="1778">
        <f>SUM(CU240:CX240)</f>
        <v>1485.2633137672869</v>
      </c>
      <c r="S240" s="2743">
        <f>R240</f>
        <v>1485.2633137672869</v>
      </c>
      <c r="T240" s="1778">
        <f>SUM(CZ240:DC240)</f>
        <v>1848.5308961971118</v>
      </c>
      <c r="U240" s="1778">
        <f t="shared" ref="U240:U244" si="432">SUM(DE240:DH240)</f>
        <v>1644.2382988271677</v>
      </c>
      <c r="V240" s="1795">
        <f t="shared" ref="V240:AC240" si="433">+V30-V234-V235</f>
        <v>1798.4715263141654</v>
      </c>
      <c r="W240" s="1795">
        <f t="shared" si="433"/>
        <v>1886.5937307678053</v>
      </c>
      <c r="X240" s="1795">
        <f t="shared" si="433"/>
        <v>1977.9065182005329</v>
      </c>
      <c r="Y240" s="1795">
        <f t="shared" si="433"/>
        <v>2069.6556797066396</v>
      </c>
      <c r="Z240" s="1795">
        <f t="shared" si="433"/>
        <v>2158.54993775298</v>
      </c>
      <c r="AA240" s="1795">
        <f t="shared" si="433"/>
        <v>2244.2416036612885</v>
      </c>
      <c r="AB240" s="1795">
        <f t="shared" si="433"/>
        <v>2328.9458680818375</v>
      </c>
      <c r="AC240" s="1795">
        <f t="shared" si="433"/>
        <v>2414.9600694542928</v>
      </c>
      <c r="AD240" s="1795">
        <f>+AD30-AD234-AD235</f>
        <v>2502.1692309772029</v>
      </c>
      <c r="AE240" s="1795">
        <f>+AE30-AE234-AE235</f>
        <v>2590.4501057490047</v>
      </c>
      <c r="AF240" s="1798"/>
      <c r="AG240" s="1798"/>
      <c r="AH240" s="1798"/>
      <c r="AI240" s="1798"/>
      <c r="AJ240" s="1798"/>
      <c r="AK240" s="1798"/>
      <c r="AL240" s="1108" t="s">
        <v>1152</v>
      </c>
      <c r="AM240" s="1108"/>
      <c r="AN240" s="1108"/>
      <c r="AO240" s="1108"/>
      <c r="AP240" s="1108"/>
      <c r="AQ240" s="1741"/>
      <c r="AR240" s="1108"/>
      <c r="AS240" s="1108"/>
      <c r="AT240" s="1108"/>
      <c r="AU240" s="1108"/>
      <c r="AV240" s="1741"/>
      <c r="AW240" s="1108"/>
      <c r="AX240" s="1108"/>
      <c r="AY240" s="1108"/>
      <c r="AZ240" s="1108"/>
      <c r="BA240" s="1741"/>
      <c r="BB240" s="1146"/>
      <c r="BC240" s="1146"/>
      <c r="BD240" s="1146"/>
      <c r="BE240" s="1146"/>
      <c r="BF240" s="1741"/>
      <c r="BG240" s="1146"/>
      <c r="BH240" s="1146"/>
      <c r="BI240" s="1146"/>
      <c r="BJ240" s="1146"/>
      <c r="BK240" s="1741"/>
      <c r="BL240" s="1146">
        <f>+BL30-BL234</f>
        <v>258.71360879210005</v>
      </c>
      <c r="BM240" s="1146">
        <f>+BM30-BM234</f>
        <v>262.60071440000002</v>
      </c>
      <c r="BN240" s="1146">
        <f>+BN30-BN234</f>
        <v>261.96134892000003</v>
      </c>
      <c r="BO240" s="1146">
        <f>+BO30-BO234</f>
        <v>291.69495155880003</v>
      </c>
      <c r="BP240" s="1741">
        <f t="shared" si="380"/>
        <v>0</v>
      </c>
      <c r="BQ240" s="1146">
        <f>+BQ30-BQ234</f>
        <v>282.732922286757</v>
      </c>
      <c r="BR240" s="1146">
        <f>+BR30-BR234</f>
        <v>292.91682870400001</v>
      </c>
      <c r="BS240" s="1146">
        <f>+BS30-BS234</f>
        <v>310.08649613220001</v>
      </c>
      <c r="BT240" s="1146">
        <f>+BT30-BT234</f>
        <v>307.87764477703206</v>
      </c>
      <c r="BU240" s="2188">
        <f t="shared" si="381"/>
        <v>0</v>
      </c>
      <c r="BV240" s="1146">
        <f>+BV30-BV234</f>
        <v>329.82797826621265</v>
      </c>
      <c r="BW240" s="1146">
        <f>+BW30-BW234</f>
        <v>346.00801770864001</v>
      </c>
      <c r="BX240" s="1146">
        <f>+BX30-BX234</f>
        <v>351.64947055203004</v>
      </c>
      <c r="BY240" s="1146">
        <f>+BY30-BY234</f>
        <v>328.84063859804621</v>
      </c>
      <c r="BZ240" s="2188">
        <f t="shared" si="382"/>
        <v>0</v>
      </c>
      <c r="CA240" s="1146">
        <f>+CA30-CA234-CA235</f>
        <v>346.34167955729004</v>
      </c>
      <c r="CB240" s="1146">
        <f>+CB30-CB234-CB235</f>
        <v>331.28514962509121</v>
      </c>
      <c r="CC240" s="1146">
        <f>+CC30-CC234-CC235</f>
        <v>313.71702437089704</v>
      </c>
      <c r="CD240" s="1146">
        <f>+CD30-CD234-CD235</f>
        <v>322.7544389894183</v>
      </c>
      <c r="CE240" s="2188">
        <f t="shared" si="383"/>
        <v>0</v>
      </c>
      <c r="CF240" s="1146">
        <f>+CF30-CF234-CF235</f>
        <v>322.28265344617949</v>
      </c>
      <c r="CG240" s="1146">
        <f>+CG30-CG234-CG235</f>
        <v>317.51463237404801</v>
      </c>
      <c r="CH240" s="1146">
        <f>+CH30-CH234-CH235</f>
        <v>307.40907556221197</v>
      </c>
      <c r="CI240" s="1146">
        <f>+CI30-CI234-CI235</f>
        <v>323.0550574529949</v>
      </c>
      <c r="CJ240" s="2188">
        <f t="shared" si="384"/>
        <v>0</v>
      </c>
      <c r="CK240" s="1146">
        <f>+CK30-CK234-CK235</f>
        <v>332.15685641899972</v>
      </c>
      <c r="CL240" s="1146">
        <f>+CL30-CL234-CL235</f>
        <v>337.21362908419837</v>
      </c>
      <c r="CM240" s="1146">
        <f>+CM30-CM234-CM235</f>
        <v>325.24399027148269</v>
      </c>
      <c r="CN240" s="1146">
        <f>+CN30-CN234-CN235</f>
        <v>328.93821119390321</v>
      </c>
      <c r="CO240" s="1741">
        <f t="shared" si="412"/>
        <v>0</v>
      </c>
      <c r="CP240" s="1648">
        <f>+CP30-CP234-CP235</f>
        <v>351.31072742984566</v>
      </c>
      <c r="CQ240" s="1648">
        <f>+CQ30-CQ234-CQ235</f>
        <v>480.43359522733044</v>
      </c>
      <c r="CR240" s="1648">
        <f>+CR30-CR234-CR235</f>
        <v>364.99387268315377</v>
      </c>
      <c r="CS240" s="3034">
        <f>+CS30-CS234-CS235</f>
        <v>329.56725382939089</v>
      </c>
      <c r="CT240" s="2835">
        <f t="shared" ref="CT240:CT245" si="434">$Q240-SUM(CP240:CS240)</f>
        <v>0</v>
      </c>
      <c r="CU240" s="3034">
        <f>+CU30-CU234-CU235</f>
        <v>367.00073550439521</v>
      </c>
      <c r="CV240" s="3034">
        <f>+CV30-CV234-CV235</f>
        <v>380.52781042927978</v>
      </c>
      <c r="CW240" s="3034">
        <f>+CW30-CW234-CW235</f>
        <v>369.81019471814494</v>
      </c>
      <c r="CX240" s="3034">
        <f>+CX30-CX234-CX235</f>
        <v>367.92457311546701</v>
      </c>
      <c r="CY240" s="2835">
        <f t="shared" ref="CY240:CY245" si="435">S240-SUM(CU240:CX240)</f>
        <v>0</v>
      </c>
      <c r="CZ240" s="3034">
        <f>+CZ30-CZ234-CZ235</f>
        <v>401.02630854265965</v>
      </c>
      <c r="DA240" s="3034">
        <f>+DA30-DA234-DA235</f>
        <v>395.56545631306119</v>
      </c>
      <c r="DB240" s="3034">
        <f>+DB30-DB234-DB235</f>
        <v>666.36407158449015</v>
      </c>
      <c r="DC240" s="3034">
        <f>+DC30-DC234-DC235</f>
        <v>385.57505975690083</v>
      </c>
      <c r="DD240" s="2835">
        <f t="shared" si="357"/>
        <v>0</v>
      </c>
      <c r="DE240" s="3034">
        <f t="shared" ref="DE240:DG240" si="436">+DE30-DE234-DE235</f>
        <v>404.60983225767961</v>
      </c>
      <c r="DF240" s="3034">
        <f t="shared" si="436"/>
        <v>415.34372912871424</v>
      </c>
      <c r="DG240" s="3034">
        <f t="shared" si="436"/>
        <v>419.52312698168311</v>
      </c>
      <c r="DH240" s="3034">
        <f>+DH30-DH234-DH235</f>
        <v>404.76161045909072</v>
      </c>
      <c r="DI240" s="2835">
        <f t="shared" si="386"/>
        <v>0</v>
      </c>
      <c r="DJ240" s="2862"/>
      <c r="DK240" s="54"/>
      <c r="DL240" s="11"/>
      <c r="DM240" s="11"/>
      <c r="DN240" s="11"/>
      <c r="DO240" s="11"/>
      <c r="DP240" s="11"/>
      <c r="DQ240" s="11"/>
      <c r="DR240" s="11"/>
      <c r="DS240" s="11"/>
      <c r="DT240" s="11"/>
    </row>
    <row r="241" spans="1:124">
      <c r="A241" s="1108" t="s">
        <v>414</v>
      </c>
      <c r="B241" s="1108"/>
      <c r="C241" s="1108"/>
      <c r="D241" s="1108"/>
      <c r="E241" s="1108"/>
      <c r="F241" s="1108"/>
      <c r="G241" s="1650">
        <f>+G33</f>
        <v>61.023948300000001</v>
      </c>
      <c r="H241" s="1650">
        <f>+H33</f>
        <v>73.792243665000001</v>
      </c>
      <c r="I241" s="1650">
        <f>SUM(BL241:BO241)</f>
        <v>34.567530462359997</v>
      </c>
      <c r="J241" s="1650">
        <f>SUM(BQ241:BT241)</f>
        <v>39.905370310705194</v>
      </c>
      <c r="K241" s="1778">
        <f>SUM(BV241:BY241)</f>
        <v>79.779696013944218</v>
      </c>
      <c r="L241" s="1776">
        <f>SUM(CA241:CD241)</f>
        <v>88.112132919729348</v>
      </c>
      <c r="M241" s="1776">
        <f>SUM(CF241:CI241)</f>
        <v>94.823377167672589</v>
      </c>
      <c r="N241" s="1776">
        <f>SUM(CK241:CN241)</f>
        <v>100.68667083044147</v>
      </c>
      <c r="O241" s="2744">
        <f t="shared" si="431"/>
        <v>94.823377167672589</v>
      </c>
      <c r="P241" s="2744">
        <f t="shared" si="431"/>
        <v>100.68667083044147</v>
      </c>
      <c r="Q241" s="1776">
        <f>SUM(CP241:CS241)</f>
        <v>105.07365783158556</v>
      </c>
      <c r="R241" s="1776">
        <f>SUM(CU241:CX241)</f>
        <v>109.4551724665973</v>
      </c>
      <c r="S241" s="2743">
        <f>R241</f>
        <v>109.4551724665973</v>
      </c>
      <c r="T241" s="1776">
        <f>SUM(CZ241:DC241)</f>
        <v>113.83337936526121</v>
      </c>
      <c r="U241" s="1776">
        <f t="shared" si="432"/>
        <v>118.38671453987165</v>
      </c>
      <c r="V241" s="1650">
        <f t="shared" ref="V241:AC241" si="437">+V33*0.7</f>
        <v>123.12218312146653</v>
      </c>
      <c r="W241" s="1650">
        <f t="shared" si="437"/>
        <v>128.04707044632519</v>
      </c>
      <c r="X241" s="1650">
        <f t="shared" si="437"/>
        <v>133.16895326417821</v>
      </c>
      <c r="Y241" s="1650">
        <f t="shared" si="437"/>
        <v>138.49571139474534</v>
      </c>
      <c r="Z241" s="1650">
        <f t="shared" si="437"/>
        <v>144.03553985053517</v>
      </c>
      <c r="AA241" s="1650">
        <f t="shared" si="437"/>
        <v>149.79696144455656</v>
      </c>
      <c r="AB241" s="1650">
        <f t="shared" si="437"/>
        <v>155.78883990233885</v>
      </c>
      <c r="AC241" s="1650">
        <f t="shared" si="437"/>
        <v>162.02039349843241</v>
      </c>
      <c r="AD241" s="1650">
        <f>+AD33*0.7</f>
        <v>168.50120923836971</v>
      </c>
      <c r="AE241" s="1650">
        <f>+AE33*0.7</f>
        <v>175.24125760790449</v>
      </c>
      <c r="AF241" s="1798"/>
      <c r="AG241" s="1798"/>
      <c r="AH241" s="1798"/>
      <c r="AI241" s="1798"/>
      <c r="AJ241" s="1798"/>
      <c r="AK241" s="1798"/>
      <c r="AL241" s="1108" t="s">
        <v>414</v>
      </c>
      <c r="AM241" s="1108"/>
      <c r="AN241" s="1108"/>
      <c r="AO241" s="1108"/>
      <c r="AP241" s="1108"/>
      <c r="AQ241" s="1741"/>
      <c r="AR241" s="1108"/>
      <c r="AS241" s="1108"/>
      <c r="AT241" s="1108"/>
      <c r="AU241" s="1108"/>
      <c r="AV241" s="1741"/>
      <c r="AW241" s="1108"/>
      <c r="AX241" s="1108"/>
      <c r="AY241" s="1108"/>
      <c r="AZ241" s="1108"/>
      <c r="BA241" s="1741"/>
      <c r="BB241" s="1146"/>
      <c r="BC241" s="1146"/>
      <c r="BD241" s="1146"/>
      <c r="BE241" s="1146"/>
      <c r="BF241" s="1741"/>
      <c r="BG241" s="1146"/>
      <c r="BH241" s="1146"/>
      <c r="BI241" s="1146"/>
      <c r="BJ241" s="1146"/>
      <c r="BK241" s="1741"/>
      <c r="BL241" s="1146">
        <f>+BL33*0.4</f>
        <v>7.9545564831599993</v>
      </c>
      <c r="BM241" s="1146">
        <f>+BM33*0.4</f>
        <v>8.5597142399999999</v>
      </c>
      <c r="BN241" s="1146">
        <f>+BN33*0.4</f>
        <v>8.8554604319999992</v>
      </c>
      <c r="BO241" s="1146">
        <f>+BO33*0.4</f>
        <v>9.1977993071999986</v>
      </c>
      <c r="BP241" s="1741">
        <f t="shared" si="380"/>
        <v>0</v>
      </c>
      <c r="BQ241" s="1146">
        <f>+BQ33*0.4</f>
        <v>9.3068310852971976</v>
      </c>
      <c r="BR241" s="1146">
        <f>+BR33*0.4</f>
        <v>9.9292685184000007</v>
      </c>
      <c r="BS241" s="1146">
        <f>+BS33*0.4</f>
        <v>10.1837794968</v>
      </c>
      <c r="BT241" s="1146">
        <f>+BT33*0.4</f>
        <v>10.485491210208</v>
      </c>
      <c r="BU241" s="2188">
        <f t="shared" si="381"/>
        <v>0</v>
      </c>
      <c r="BV241" s="1146">
        <f>+BV33*0.7</f>
        <v>18.56712801516791</v>
      </c>
      <c r="BW241" s="1146">
        <f>+BW33*0.7</f>
        <v>19.982652893279997</v>
      </c>
      <c r="BX241" s="1146">
        <f>+BX33*0.7</f>
        <v>20.494856237309996</v>
      </c>
      <c r="BY241" s="1146">
        <f>+BY33*0.7</f>
        <v>20.735058868186314</v>
      </c>
      <c r="BZ241" s="2188">
        <f t="shared" si="382"/>
        <v>0</v>
      </c>
      <c r="CA241" s="1146">
        <f>+CA33*0.7</f>
        <v>20.980854657139734</v>
      </c>
      <c r="CB241" s="1146">
        <f>+CB33*0.7</f>
        <v>21.980918182607997</v>
      </c>
      <c r="CC241" s="1146">
        <f>+CC33*0.7</f>
        <v>22.134444736294796</v>
      </c>
      <c r="CD241" s="1146">
        <f>+CD33*0.7</f>
        <v>23.015915343686814</v>
      </c>
      <c r="CE241" s="2188">
        <f t="shared" si="383"/>
        <v>0</v>
      </c>
      <c r="CF241" s="1146">
        <f>+CF33*0.7</f>
        <v>22.659323029710915</v>
      </c>
      <c r="CG241" s="1146">
        <f>+CG33*0.7</f>
        <v>23.673448882668808</v>
      </c>
      <c r="CH241" s="1146">
        <f>+CH33*0.7</f>
        <v>23.794528091516902</v>
      </c>
      <c r="CI241" s="1146">
        <f>+CI33*0.7</f>
        <v>24.69607716377595</v>
      </c>
      <c r="CJ241" s="2188">
        <f t="shared" si="384"/>
        <v>0</v>
      </c>
      <c r="CK241" s="1146">
        <f>+CK33*0.7</f>
        <v>24.24547564179068</v>
      </c>
      <c r="CL241" s="1146">
        <f>+CL33*0.7</f>
        <v>25.21222306004228</v>
      </c>
      <c r="CM241" s="1146">
        <f>+CM33*0.7</f>
        <v>25.174610720824884</v>
      </c>
      <c r="CN241" s="1146">
        <f>+CN33*0.7</f>
        <v>26.054361407783624</v>
      </c>
      <c r="CO241" s="1741">
        <f t="shared" si="412"/>
        <v>0</v>
      </c>
      <c r="CP241" s="1648">
        <f>+CP33*0.7</f>
        <v>25.215294667462306</v>
      </c>
      <c r="CQ241" s="1648">
        <f>+CQ33*0.7</f>
        <v>26.245924205504014</v>
      </c>
      <c r="CR241" s="1648">
        <f>+CR33*0.7</f>
        <v>26.307468203262001</v>
      </c>
      <c r="CS241" s="3034">
        <f>+CS33*0.7</f>
        <v>27.304970755357239</v>
      </c>
      <c r="CT241" s="2835">
        <f t="shared" si="434"/>
        <v>0</v>
      </c>
      <c r="CU241" s="3097">
        <f>+CU33*0.7</f>
        <v>26.349982927498111</v>
      </c>
      <c r="CV241" s="3097">
        <f>+CV33*0.7</f>
        <v>27.348253022135182</v>
      </c>
      <c r="CW241" s="3097">
        <f>+CW33*0.7</f>
        <v>27.359766931392485</v>
      </c>
      <c r="CX241" s="3097">
        <f>+CX33*0.7</f>
        <v>28.397169585571529</v>
      </c>
      <c r="CY241" s="2835">
        <f t="shared" si="435"/>
        <v>0</v>
      </c>
      <c r="CZ241" s="3097">
        <f>+CZ33*0.7</f>
        <v>27.403982244598037</v>
      </c>
      <c r="DA241" s="3097">
        <f>+DA33*0.7</f>
        <v>28.442183143020593</v>
      </c>
      <c r="DB241" s="3097">
        <f>+DB33*0.7</f>
        <v>28.454157608648185</v>
      </c>
      <c r="DC241" s="3097">
        <f>+DC33*0.7</f>
        <v>29.533056368994391</v>
      </c>
      <c r="DD241" s="2835">
        <f t="shared" si="357"/>
        <v>0</v>
      </c>
      <c r="DE241" s="3097">
        <f t="shared" ref="DE241:DG241" si="438">+DE33*0.7</f>
        <v>28.50014153438196</v>
      </c>
      <c r="DF241" s="3097">
        <f t="shared" si="438"/>
        <v>29.579870468741415</v>
      </c>
      <c r="DG241" s="3097">
        <f t="shared" si="438"/>
        <v>29.592323912994111</v>
      </c>
      <c r="DH241" s="3097">
        <f>+DH33*0.7</f>
        <v>30.714378623754168</v>
      </c>
      <c r="DI241" s="2835">
        <f t="shared" si="386"/>
        <v>0</v>
      </c>
      <c r="DJ241" s="2862"/>
      <c r="DK241" s="54"/>
      <c r="DL241" s="11"/>
      <c r="DM241" s="11"/>
      <c r="DN241" s="11"/>
      <c r="DO241" s="11"/>
      <c r="DP241" s="11"/>
      <c r="DQ241" s="11"/>
      <c r="DR241" s="11"/>
      <c r="DS241" s="11"/>
      <c r="DT241" s="11"/>
    </row>
    <row r="242" spans="1:124">
      <c r="A242" s="1108" t="s">
        <v>183</v>
      </c>
      <c r="B242" s="1108"/>
      <c r="C242" s="1108"/>
      <c r="D242" s="1108"/>
      <c r="E242" s="1108"/>
      <c r="F242" s="1108"/>
      <c r="G242" s="1650">
        <f>+'CBS Stations'!$S8+('CBS Network'!$O$12+'CBS Network'!$O$13)</f>
        <v>0</v>
      </c>
      <c r="H242" s="1650">
        <f>+'CBS Stations'!$T8+('CBS Network'!$P$12+'CBS Network'!$P$13)</f>
        <v>25</v>
      </c>
      <c r="I242" s="1650">
        <f>SUM(BL242:BO242)</f>
        <v>72.967917412423034</v>
      </c>
      <c r="J242" s="1650">
        <f>SUM(BQ242:BT242)</f>
        <v>95.935834824846069</v>
      </c>
      <c r="K242" s="1778">
        <f>SUM(BV242:BY242)</f>
        <v>197.38799697179414</v>
      </c>
      <c r="L242" s="1776">
        <f>SUM(CA242:CD242)</f>
        <v>280.8</v>
      </c>
      <c r="M242" s="1776">
        <f>SUM(CF242:CI242)</f>
        <v>391.06799999999998</v>
      </c>
      <c r="N242" s="1776">
        <f>SUM(CK242:CN242)</f>
        <v>543.60599999999999</v>
      </c>
      <c r="O242" s="2744">
        <f t="shared" si="431"/>
        <v>391.06799999999998</v>
      </c>
      <c r="P242" s="2744">
        <f t="shared" si="431"/>
        <v>543.60599999999999</v>
      </c>
      <c r="Q242" s="1776">
        <f>SUM(CP242:CS242)</f>
        <v>762.15293488714883</v>
      </c>
      <c r="R242" s="2166">
        <f>SUM(CU242:CX242)</f>
        <v>1038.5599023272816</v>
      </c>
      <c r="S242" s="2743">
        <f>R242</f>
        <v>1038.5599023272816</v>
      </c>
      <c r="T242" s="2166">
        <f>SUM(CZ242:DC242)</f>
        <v>1334.9862982461736</v>
      </c>
      <c r="U242" s="2166">
        <f t="shared" si="432"/>
        <v>1722.7224775255925</v>
      </c>
      <c r="V242" s="1146">
        <f t="shared" ref="V242:AD242" si="439">V267</f>
        <v>2091.8269789676838</v>
      </c>
      <c r="W242" s="1146">
        <f t="shared" si="439"/>
        <v>2611.7627761596054</v>
      </c>
      <c r="X242" s="1146">
        <f t="shared" si="439"/>
        <v>3005.5906078628477</v>
      </c>
      <c r="Y242" s="1146">
        <f t="shared" si="439"/>
        <v>3228.01884899584</v>
      </c>
      <c r="Z242" s="1146">
        <f t="shared" si="439"/>
        <v>3425.5811697779964</v>
      </c>
      <c r="AA242" s="1146">
        <f t="shared" si="439"/>
        <v>3596.7018574821741</v>
      </c>
      <c r="AB242" s="1146">
        <f t="shared" si="439"/>
        <v>3755.9785098247453</v>
      </c>
      <c r="AC242" s="1146">
        <f t="shared" si="439"/>
        <v>3923.2118406711916</v>
      </c>
      <c r="AD242" s="1146">
        <f t="shared" si="439"/>
        <v>4095.7421558342603</v>
      </c>
      <c r="AE242" s="1146">
        <f t="shared" ref="AE242" si="440">AE267</f>
        <v>4259.8211977153751</v>
      </c>
      <c r="AF242" s="1798"/>
      <c r="AG242" s="1798"/>
      <c r="AH242" s="1798"/>
      <c r="AI242" s="1798"/>
      <c r="AJ242" s="1798"/>
      <c r="AK242" s="1798"/>
      <c r="AL242" s="1108" t="s">
        <v>183</v>
      </c>
      <c r="AM242" s="1108"/>
      <c r="AN242" s="1108"/>
      <c r="AO242" s="1108"/>
      <c r="AP242" s="1108"/>
      <c r="AQ242" s="1741"/>
      <c r="AR242" s="1108"/>
      <c r="AS242" s="1108"/>
      <c r="AT242" s="1108"/>
      <c r="AU242" s="1108"/>
      <c r="AV242" s="1741"/>
      <c r="AW242" s="1108"/>
      <c r="AX242" s="1108"/>
      <c r="AY242" s="1108"/>
      <c r="AZ242" s="1108"/>
      <c r="BA242" s="1741"/>
      <c r="BB242" s="1146">
        <f>+'CBS Stations'!$U8/4+(('CBS Network'!$Q$12+'CBS Network'!$Q$13)/4)</f>
        <v>12.5</v>
      </c>
      <c r="BC242" s="1146">
        <f>+'CBS Stations'!$U8/4+(('CBS Network'!$Q$12+'CBS Network'!$Q$13)/4)</f>
        <v>12.5</v>
      </c>
      <c r="BD242" s="1146">
        <f>+'CBS Stations'!$V8/4+('CBS Network'!$R$12+'CBS Network'!$R$13)/4</f>
        <v>23.983958706211517</v>
      </c>
      <c r="BE242" s="1146">
        <f>+'CBS Stations'!$V8/4+('CBS Network'!$R$12+'CBS Network'!$R$13)/4</f>
        <v>23.983958706211517</v>
      </c>
      <c r="BF242" s="1741"/>
      <c r="BG242" s="1146">
        <f>+'CBS Stations'!$U8/4+(('CBS Network'!$Q$12+'CBS Network'!$Q$13)/4)</f>
        <v>12.5</v>
      </c>
      <c r="BH242" s="1146">
        <f>+'CBS Stations'!$U8/4+(('CBS Network'!$Q$12+'CBS Network'!$Q$13)/4)</f>
        <v>12.5</v>
      </c>
      <c r="BI242" s="1146">
        <f>+'CBS Stations'!$V8/4+('CBS Network'!$R$12+'CBS Network'!$R$13)/4</f>
        <v>23.983958706211517</v>
      </c>
      <c r="BJ242" s="1146">
        <f>+'CBS Stations'!$V8/4+('CBS Network'!$R$12+'CBS Network'!$R$13)/4</f>
        <v>23.983958706211517</v>
      </c>
      <c r="BK242" s="1741"/>
      <c r="BL242" s="1146">
        <f>+'CBS Stations'!$U8/4+(('CBS Network'!$Q$12+'CBS Network'!$Q$13)/4)</f>
        <v>12.5</v>
      </c>
      <c r="BM242" s="1146">
        <f>+'CBS Stations'!$U8/4+(('CBS Network'!$Q$12+'CBS Network'!$Q$13)/4)</f>
        <v>12.5</v>
      </c>
      <c r="BN242" s="1146">
        <f>+'CBS Stations'!$V8/4+('CBS Network'!$R$12+'CBS Network'!$R$13)/4</f>
        <v>23.983958706211517</v>
      </c>
      <c r="BO242" s="1146">
        <f>+'CBS Stations'!$V8/4+('CBS Network'!$R$12+'CBS Network'!$R$13)/4</f>
        <v>23.983958706211517</v>
      </c>
      <c r="BP242" s="1741">
        <f t="shared" si="380"/>
        <v>0</v>
      </c>
      <c r="BQ242" s="1146">
        <f>+'CBS Stations'!$V8/4+('CBS Network'!$R$12+'CBS Network'!$R$13)/4</f>
        <v>23.983958706211517</v>
      </c>
      <c r="BR242" s="1146">
        <f>+'CBS Stations'!$V8/4+('CBS Network'!$R$12+'CBS Network'!$R$13)/4</f>
        <v>23.983958706211517</v>
      </c>
      <c r="BS242" s="1146">
        <f>+'CBS Stations'!$V8/4+('CBS Network'!$R$12+'CBS Network'!$R$13)/4</f>
        <v>23.983958706211517</v>
      </c>
      <c r="BT242" s="1146">
        <f>+'CBS Stations'!$V8/4+('CBS Network'!$R$12+'CBS Network'!$R$13)/4</f>
        <v>23.983958706211517</v>
      </c>
      <c r="BU242" s="2188">
        <f t="shared" si="381"/>
        <v>0</v>
      </c>
      <c r="BV242" s="2331">
        <v>30</v>
      </c>
      <c r="BW242" s="2331">
        <v>30</v>
      </c>
      <c r="BX242" s="2331">
        <v>45</v>
      </c>
      <c r="BY242" s="1776">
        <f>Retrans!C23-SUM(BV242:BX242)</f>
        <v>92.387996971794138</v>
      </c>
      <c r="BZ242" s="2188">
        <f t="shared" si="382"/>
        <v>0</v>
      </c>
      <c r="CA242" s="1146">
        <f>CA265+CA266</f>
        <v>60.5</v>
      </c>
      <c r="CB242" s="1146">
        <f>CB265+CB266</f>
        <v>60.5</v>
      </c>
      <c r="CC242" s="1146">
        <f>CC265+CC266</f>
        <v>74</v>
      </c>
      <c r="CD242" s="1146">
        <f>CD265+CD266</f>
        <v>85.8</v>
      </c>
      <c r="CE242" s="2188">
        <f t="shared" si="383"/>
        <v>0</v>
      </c>
      <c r="CF242" s="1648">
        <f>CF267</f>
        <v>89.174999999999997</v>
      </c>
      <c r="CG242" s="1648">
        <f>CG267</f>
        <v>89.174999999999997</v>
      </c>
      <c r="CH242" s="1648">
        <f>CH267</f>
        <v>100.98</v>
      </c>
      <c r="CI242" s="1648">
        <f>CI267</f>
        <v>111.738</v>
      </c>
      <c r="CJ242" s="2188">
        <f t="shared" si="384"/>
        <v>0</v>
      </c>
      <c r="CK242" s="1648">
        <f>CK267</f>
        <v>128.26500000000001</v>
      </c>
      <c r="CL242" s="1648">
        <f>CL267</f>
        <v>128.26500000000001</v>
      </c>
      <c r="CM242" s="1648">
        <f>CM267</f>
        <v>137.916</v>
      </c>
      <c r="CN242" s="1648">
        <f>CN267</f>
        <v>149.16</v>
      </c>
      <c r="CO242" s="1741">
        <f t="shared" si="412"/>
        <v>0</v>
      </c>
      <c r="CP242" s="1648">
        <f>CP267</f>
        <v>180.20696568627449</v>
      </c>
      <c r="CQ242" s="1648">
        <f>CQ267</f>
        <v>182.06980680705192</v>
      </c>
      <c r="CR242" s="1648">
        <f>CR267</f>
        <v>192.6235081081081</v>
      </c>
      <c r="CS242" s="3034">
        <f>CS267</f>
        <v>207.2526542857143</v>
      </c>
      <c r="CT242" s="2835">
        <f t="shared" si="434"/>
        <v>0</v>
      </c>
      <c r="CU242" s="3034">
        <f>CU267</f>
        <v>259.83675451151692</v>
      </c>
      <c r="CV242" s="3034">
        <f>CV267</f>
        <v>263.01858344242646</v>
      </c>
      <c r="CW242" s="3034">
        <f>CW267</f>
        <v>255.50710312424465</v>
      </c>
      <c r="CX242" s="3034">
        <f>CX267</f>
        <v>260.19746124909358</v>
      </c>
      <c r="CY242" s="2835">
        <f t="shared" si="435"/>
        <v>0</v>
      </c>
      <c r="CZ242" s="3034">
        <f>CZ267</f>
        <v>333.1209605078343</v>
      </c>
      <c r="DA242" s="3034">
        <f>DA267</f>
        <v>331.4085002728749</v>
      </c>
      <c r="DB242" s="3034">
        <f>DB267</f>
        <v>331.46736325806683</v>
      </c>
      <c r="DC242" s="3034">
        <f>DC267</f>
        <v>338.98947420739773</v>
      </c>
      <c r="DD242" s="2835">
        <f t="shared" si="357"/>
        <v>0</v>
      </c>
      <c r="DE242" s="3034">
        <f t="shared" ref="DE242:DG242" si="441">DE267</f>
        <v>424.99986805890376</v>
      </c>
      <c r="DF242" s="3034">
        <f t="shared" si="441"/>
        <v>429.09990001990593</v>
      </c>
      <c r="DG242" s="3034">
        <f t="shared" si="441"/>
        <v>429.23626825257043</v>
      </c>
      <c r="DH242" s="3034">
        <f>DH267</f>
        <v>439.38644119421241</v>
      </c>
      <c r="DI242" s="2835">
        <f t="shared" si="386"/>
        <v>0</v>
      </c>
      <c r="DJ242" s="2862"/>
      <c r="DK242" s="54"/>
      <c r="DL242" s="11"/>
      <c r="DM242" s="11"/>
      <c r="DN242" s="11"/>
      <c r="DO242" s="11"/>
      <c r="DP242" s="11"/>
      <c r="DQ242" s="11"/>
      <c r="DR242" s="11"/>
      <c r="DS242" s="11"/>
      <c r="DT242" s="11"/>
    </row>
    <row r="243" spans="1:124">
      <c r="A243" s="1108" t="s">
        <v>311</v>
      </c>
      <c r="B243" s="1108"/>
      <c r="C243" s="1108"/>
      <c r="D243" s="1108"/>
      <c r="E243" s="1108"/>
      <c r="F243" s="1108"/>
      <c r="G243" s="1650">
        <f>G18-G223</f>
        <v>41.525000000000006</v>
      </c>
      <c r="H243" s="1650">
        <f>H18-H223</f>
        <v>105.91975000000002</v>
      </c>
      <c r="I243" s="1650">
        <f>SUM(BL243:BO243)</f>
        <v>108.18448923749997</v>
      </c>
      <c r="J243" s="1650">
        <f>SUM(BQ243:BT243)</f>
        <v>113.12264062836896</v>
      </c>
      <c r="K243" s="1778">
        <f>SUM(BV243:BY243)</f>
        <v>110.90441945050171</v>
      </c>
      <c r="L243" s="1776">
        <f>SUM(CA243:CD243)</f>
        <v>131.18886203256488</v>
      </c>
      <c r="M243" s="1776">
        <f>SUM(CF243:CI243)</f>
        <v>167.91788620835206</v>
      </c>
      <c r="N243" s="1776">
        <f>SUM(CK243:CN243)</f>
        <v>191.71832330571854</v>
      </c>
      <c r="O243" s="2744">
        <f t="shared" si="431"/>
        <v>167.91788620835206</v>
      </c>
      <c r="P243" s="2744">
        <f t="shared" si="431"/>
        <v>191.71832330571854</v>
      </c>
      <c r="Q243" s="1776">
        <f>SUM(CP243:CS243)</f>
        <v>231.75232193161654</v>
      </c>
      <c r="R243" s="1776">
        <f>SUM(CU243:CX243)</f>
        <v>262.13134371890141</v>
      </c>
      <c r="S243" s="2743">
        <f>R243</f>
        <v>262.13134371890141</v>
      </c>
      <c r="T243" s="1776">
        <f>SUM(CZ243:DC243)</f>
        <v>317.34190758016706</v>
      </c>
      <c r="U243" s="1776">
        <f t="shared" si="432"/>
        <v>393.97868901865809</v>
      </c>
      <c r="V243" s="1650">
        <f t="shared" ref="V243:AC243" si="442">V18-V223</f>
        <v>450.09598551755596</v>
      </c>
      <c r="W243" s="1650">
        <f t="shared" si="442"/>
        <v>490.08434906020864</v>
      </c>
      <c r="X243" s="1650">
        <f t="shared" si="442"/>
        <v>523.00349378627766</v>
      </c>
      <c r="Y243" s="1650">
        <f t="shared" si="442"/>
        <v>560.78574137697638</v>
      </c>
      <c r="Z243" s="1650">
        <f t="shared" si="442"/>
        <v>601.72939437101115</v>
      </c>
      <c r="AA243" s="1650">
        <f t="shared" si="442"/>
        <v>642.88105273520318</v>
      </c>
      <c r="AB243" s="1650">
        <f t="shared" si="442"/>
        <v>684.26017989760885</v>
      </c>
      <c r="AC243" s="1650">
        <f t="shared" si="442"/>
        <v>725.88885661040968</v>
      </c>
      <c r="AD243" s="1650">
        <f>AD18-AD223</f>
        <v>768.1648096548314</v>
      </c>
      <c r="AE243" s="1650">
        <f>AE18-AE223</f>
        <v>811.11977680776567</v>
      </c>
      <c r="AF243" s="1798"/>
      <c r="AG243" s="1798"/>
      <c r="AH243" s="1798"/>
      <c r="AI243" s="1798"/>
      <c r="AJ243" s="1798"/>
      <c r="AK243" s="1798"/>
      <c r="AL243" s="1108" t="s">
        <v>311</v>
      </c>
      <c r="AM243" s="1108"/>
      <c r="AN243" s="1108"/>
      <c r="AO243" s="1108"/>
      <c r="AP243" s="1108"/>
      <c r="AQ243" s="1741"/>
      <c r="AR243" s="1108"/>
      <c r="AS243" s="1108"/>
      <c r="AT243" s="1108"/>
      <c r="AU243" s="1108"/>
      <c r="AV243" s="1741"/>
      <c r="AW243" s="1108"/>
      <c r="AX243" s="1108"/>
      <c r="AY243" s="1108"/>
      <c r="AZ243" s="1108"/>
      <c r="BA243" s="1741"/>
      <c r="BB243" s="1146"/>
      <c r="BC243" s="1146"/>
      <c r="BD243" s="1146"/>
      <c r="BE243" s="1146"/>
      <c r="BF243" s="1741"/>
      <c r="BG243" s="1146"/>
      <c r="BH243" s="1146"/>
      <c r="BI243" s="1146"/>
      <c r="BJ243" s="1146"/>
      <c r="BK243" s="1741"/>
      <c r="BL243" s="1146">
        <f>BL18-BL223</f>
        <v>26.86</v>
      </c>
      <c r="BM243" s="1146">
        <f>BM18-BM223</f>
        <v>25.419999999999987</v>
      </c>
      <c r="BN243" s="1146">
        <f>BN18-BN223</f>
        <v>24.417999999999992</v>
      </c>
      <c r="BO243" s="1146">
        <f>BO18-BO223</f>
        <v>31.486489237499995</v>
      </c>
      <c r="BP243" s="1741">
        <f t="shared" si="380"/>
        <v>0</v>
      </c>
      <c r="BQ243" s="1146">
        <f>BQ18-BQ223</f>
        <v>27.8502621664</v>
      </c>
      <c r="BR243" s="1146">
        <f>BR18-BR223</f>
        <v>26.389814143816821</v>
      </c>
      <c r="BS243" s="1146">
        <f>BS18-BS223</f>
        <v>25.725180123405892</v>
      </c>
      <c r="BT243" s="1146">
        <f>BT18-BT223</f>
        <v>33.157384194746243</v>
      </c>
      <c r="BU243" s="2188">
        <f t="shared" si="381"/>
        <v>0</v>
      </c>
      <c r="BV243" s="1146">
        <f>BV18-BV223</f>
        <v>23.02373166733679</v>
      </c>
      <c r="BW243" s="1146">
        <f>BW18-BW223</f>
        <v>25.722058554786656</v>
      </c>
      <c r="BX243" s="1146">
        <f>BX18-BX223</f>
        <v>27.15711546532026</v>
      </c>
      <c r="BY243" s="1146">
        <f>BY18-BY223</f>
        <v>35.001513763058</v>
      </c>
      <c r="BZ243" s="2188">
        <f t="shared" si="382"/>
        <v>0</v>
      </c>
      <c r="CA243" s="1146">
        <f>CA18-CA223</f>
        <v>27.260387705470166</v>
      </c>
      <c r="CB243" s="1146">
        <f>CB18-CB223</f>
        <v>30.41881174039267</v>
      </c>
      <c r="CC243" s="1146">
        <f>CC18-CC223</f>
        <v>32.113909821364501</v>
      </c>
      <c r="CD243" s="1146">
        <f>CD18-CD223</f>
        <v>41.395752765337562</v>
      </c>
      <c r="CE243" s="2188">
        <f t="shared" si="383"/>
        <v>0</v>
      </c>
      <c r="CF243" s="1146">
        <f>CF18-CF223</f>
        <v>37.91799068303969</v>
      </c>
      <c r="CG243" s="1146">
        <f>CG18-CG223</f>
        <v>38.959172632526148</v>
      </c>
      <c r="CH243" s="1146">
        <f>CH18-CH223</f>
        <v>39.862587957246134</v>
      </c>
      <c r="CI243" s="1146">
        <f>CI18-CI223</f>
        <v>51.178134935540072</v>
      </c>
      <c r="CJ243" s="2188">
        <f t="shared" si="384"/>
        <v>0</v>
      </c>
      <c r="CK243" s="1648">
        <f>CK18-CK223</f>
        <v>42.084495006091217</v>
      </c>
      <c r="CL243" s="1648">
        <f>CL18-CL223</f>
        <v>44.972324136721852</v>
      </c>
      <c r="CM243" s="1648">
        <f>CM18-CM223</f>
        <v>46.002528421647625</v>
      </c>
      <c r="CN243" s="1146">
        <f>CN18-CN223</f>
        <v>58.658975741257848</v>
      </c>
      <c r="CO243" s="1741">
        <f t="shared" si="412"/>
        <v>0</v>
      </c>
      <c r="CP243" s="1648">
        <f>CP18-CP223</f>
        <v>48.819028520953935</v>
      </c>
      <c r="CQ243" s="1648">
        <f>CQ18-CQ223</f>
        <v>53.3455573227819</v>
      </c>
      <c r="CR243" s="1648">
        <f>CR18-CR223</f>
        <v>56.53368587147871</v>
      </c>
      <c r="CS243" s="3097">
        <f>CS18-CS223</f>
        <v>73.054050216401976</v>
      </c>
      <c r="CT243" s="2835">
        <f t="shared" si="434"/>
        <v>0</v>
      </c>
      <c r="CU243" s="3097">
        <f>CU18-CU223</f>
        <v>54.939096017064898</v>
      </c>
      <c r="CV243" s="3097">
        <f>CV18-CV223</f>
        <v>61.440896115171824</v>
      </c>
      <c r="CW243" s="3097">
        <f>CW18-CW223</f>
        <v>65.101737266089032</v>
      </c>
      <c r="CX243" s="3097">
        <f>CX18-CX223</f>
        <v>80.649614320575665</v>
      </c>
      <c r="CY243" s="2835">
        <f t="shared" si="435"/>
        <v>0</v>
      </c>
      <c r="CZ243" s="3097">
        <f>CZ18-CZ223</f>
        <v>65.987194106338706</v>
      </c>
      <c r="DA243" s="3097">
        <f>DA18-DA223</f>
        <v>73.150991579912485</v>
      </c>
      <c r="DB243" s="3097">
        <f>DB18-DB223</f>
        <v>79.681071430878504</v>
      </c>
      <c r="DC243" s="3097">
        <f>DC18-DC223</f>
        <v>98.522650463037394</v>
      </c>
      <c r="DD243" s="2835">
        <f t="shared" si="357"/>
        <v>0</v>
      </c>
      <c r="DE243" s="3097">
        <f t="shared" ref="DE243:DG243" si="443">DE18-DE223</f>
        <v>86.249878557397977</v>
      </c>
      <c r="DF243" s="3097">
        <f t="shared" si="443"/>
        <v>93.445840853947971</v>
      </c>
      <c r="DG243" s="3097">
        <f t="shared" si="443"/>
        <v>98.107530478963781</v>
      </c>
      <c r="DH243" s="3097">
        <f>DH18-DH223</f>
        <v>116.17543912834833</v>
      </c>
      <c r="DI243" s="2835">
        <f t="shared" si="386"/>
        <v>0</v>
      </c>
      <c r="DJ243" s="2862"/>
      <c r="DK243" s="54"/>
      <c r="DL243" s="11"/>
      <c r="DM243" s="11"/>
      <c r="DN243" s="11"/>
      <c r="DO243" s="11"/>
      <c r="DP243" s="11"/>
      <c r="DQ243" s="11"/>
      <c r="DR243" s="11"/>
      <c r="DS243" s="11"/>
      <c r="DT243" s="11"/>
    </row>
    <row r="244" spans="1:124">
      <c r="A244" s="1108" t="s">
        <v>677</v>
      </c>
      <c r="B244" s="1108"/>
      <c r="C244" s="1108"/>
      <c r="D244" s="1108"/>
      <c r="E244" s="1108"/>
      <c r="F244" s="1108"/>
      <c r="G244" s="1867">
        <v>-100</v>
      </c>
      <c r="H244" s="1867">
        <v>-100</v>
      </c>
      <c r="I244" s="1867">
        <f>SUM(BL244:BO244)</f>
        <v>171.50943921681682</v>
      </c>
      <c r="J244" s="1867">
        <f>SUM(BQ244:BT244)</f>
        <v>155.12226233609067</v>
      </c>
      <c r="K244" s="1868">
        <f>SUM(BV244:BY244)</f>
        <v>4.6017824388310373</v>
      </c>
      <c r="L244" s="1869">
        <f>SUM(CA244:CD244)</f>
        <v>106.80071250500919</v>
      </c>
      <c r="M244" s="1869">
        <f>SUM(CF244:CI244)</f>
        <v>296.92931778854097</v>
      </c>
      <c r="N244" s="1869">
        <f>SUM(CK244:CN244)</f>
        <v>202.43631889525614</v>
      </c>
      <c r="O244" s="2745">
        <f t="shared" si="431"/>
        <v>296.92931778854097</v>
      </c>
      <c r="P244" s="2745">
        <f t="shared" si="431"/>
        <v>202.43631889525614</v>
      </c>
      <c r="Q244" s="1869">
        <f>SUM(CP244:CS244)</f>
        <v>98.71563617992831</v>
      </c>
      <c r="R244" s="1869">
        <f>SUM(CU244:CX244)</f>
        <v>82.59026771993274</v>
      </c>
      <c r="S244" s="2743">
        <f>R244</f>
        <v>82.59026771993274</v>
      </c>
      <c r="T244" s="1869">
        <f>SUM(CZ244:DC244)</f>
        <v>105.75894113690867</v>
      </c>
      <c r="U244" s="1869">
        <f t="shared" si="432"/>
        <v>105.75894113690867</v>
      </c>
      <c r="V244" s="2479">
        <f t="shared" ref="V244:AE244" si="444">U244</f>
        <v>105.75894113690867</v>
      </c>
      <c r="W244" s="2479">
        <f t="shared" si="444"/>
        <v>105.75894113690867</v>
      </c>
      <c r="X244" s="2479">
        <f t="shared" si="444"/>
        <v>105.75894113690867</v>
      </c>
      <c r="Y244" s="2479">
        <f t="shared" si="444"/>
        <v>105.75894113690867</v>
      </c>
      <c r="Z244" s="2479">
        <f t="shared" si="444"/>
        <v>105.75894113690867</v>
      </c>
      <c r="AA244" s="2479">
        <f t="shared" si="444"/>
        <v>105.75894113690867</v>
      </c>
      <c r="AB244" s="2479">
        <f t="shared" si="444"/>
        <v>105.75894113690867</v>
      </c>
      <c r="AC244" s="2479">
        <f t="shared" si="444"/>
        <v>105.75894113690867</v>
      </c>
      <c r="AD244" s="2479">
        <f t="shared" si="444"/>
        <v>105.75894113690867</v>
      </c>
      <c r="AE244" s="2479">
        <f t="shared" si="444"/>
        <v>105.75894113690867</v>
      </c>
      <c r="AF244" s="1798"/>
      <c r="AG244" s="1798"/>
      <c r="AH244" s="1798"/>
      <c r="AI244" s="1798"/>
      <c r="AJ244" s="1798"/>
      <c r="AK244" s="1798"/>
      <c r="AL244" s="1108" t="s">
        <v>677</v>
      </c>
      <c r="AM244" s="1108"/>
      <c r="AN244" s="1108"/>
      <c r="AO244" s="1108"/>
      <c r="AP244" s="1108"/>
      <c r="AQ244" s="1741"/>
      <c r="AR244" s="1108"/>
      <c r="AS244" s="1108"/>
      <c r="AT244" s="1108"/>
      <c r="AU244" s="1108"/>
      <c r="AV244" s="1741"/>
      <c r="AW244" s="1108"/>
      <c r="AX244" s="1108"/>
      <c r="AY244" s="1108"/>
      <c r="AZ244" s="1108"/>
      <c r="BA244" s="1741"/>
      <c r="BB244" s="1776"/>
      <c r="BC244" s="1776"/>
      <c r="BD244" s="1776"/>
      <c r="BE244" s="1776"/>
      <c r="BF244" s="1741"/>
      <c r="BG244" s="1776"/>
      <c r="BH244" s="1776"/>
      <c r="BI244" s="1776"/>
      <c r="BJ244" s="1776"/>
      <c r="BK244" s="1741"/>
      <c r="BL244" s="1776">
        <f>BL245-SUM(BL240:BL243)</f>
        <v>37.271834724739961</v>
      </c>
      <c r="BM244" s="1776">
        <f>BM245-SUM(BM240:BM243)</f>
        <v>31.719571359999975</v>
      </c>
      <c r="BN244" s="1776">
        <f>BN245-SUM(BN240:BN243)</f>
        <v>36.68123194178844</v>
      </c>
      <c r="BO244" s="1776">
        <f>BO245-SUM(BO240:BO243)</f>
        <v>65.83680119028844</v>
      </c>
      <c r="BP244" s="1741">
        <f t="shared" si="380"/>
        <v>0</v>
      </c>
      <c r="BQ244" s="1776">
        <f>BQ245-SUM(BQ240:BQ243)</f>
        <v>38.726025755334319</v>
      </c>
      <c r="BR244" s="1776">
        <f>BR245-SUM(BR240:BR243)</f>
        <v>28.180129927571613</v>
      </c>
      <c r="BS244" s="1776">
        <f>BS245-SUM(BS240:BS243)</f>
        <v>38.220585541382547</v>
      </c>
      <c r="BT244" s="1776">
        <f>BT245-SUM(BT240:BT243)</f>
        <v>49.995521111802191</v>
      </c>
      <c r="BU244" s="2188">
        <f t="shared" si="381"/>
        <v>0</v>
      </c>
      <c r="BV244" s="1776">
        <f>BV245-SUM(BV240:BV243)</f>
        <v>18.581162051282661</v>
      </c>
      <c r="BW244" s="1776">
        <f>BW245-SUM(BW240:BW243)</f>
        <v>4.2872708432933564</v>
      </c>
      <c r="BX244" s="1776">
        <f>BX245-SUM(BX240:BX243)</f>
        <v>-6.3014422546602873</v>
      </c>
      <c r="BY244" s="1776">
        <f>BY245-SUM(BY240:BY243)</f>
        <v>-11.965208201084693</v>
      </c>
      <c r="BZ244" s="2188">
        <f t="shared" si="382"/>
        <v>0</v>
      </c>
      <c r="CA244" s="1776">
        <f>CA245-SUM(CA240:CA243)</f>
        <v>-8.2921919899945351E-2</v>
      </c>
      <c r="CB244" s="1776">
        <f>CB245-SUM(CB240:CB243)</f>
        <v>20.815120451908115</v>
      </c>
      <c r="CC244" s="1776">
        <f>CC245-SUM(CC240:CC243)</f>
        <v>54.034621071443667</v>
      </c>
      <c r="CD244" s="1776">
        <f>CD245-SUM(CD240:CD243)</f>
        <v>32.033892901557351</v>
      </c>
      <c r="CE244" s="2188">
        <f t="shared" si="383"/>
        <v>0</v>
      </c>
      <c r="CF244" s="1776">
        <f>CF245-SUM(CF240:CF243)</f>
        <v>46.965032841069899</v>
      </c>
      <c r="CG244" s="1776">
        <f>CG245-SUM(CG240:CG243)</f>
        <v>79.677746110757028</v>
      </c>
      <c r="CH244" s="1776">
        <f>CH245-SUM(CH240:CH243)</f>
        <v>138.95380838902497</v>
      </c>
      <c r="CI244" s="1776">
        <f>CI245-SUM(CI240:CI243)</f>
        <v>31.332730447689073</v>
      </c>
      <c r="CJ244" s="2188">
        <f t="shared" si="384"/>
        <v>0</v>
      </c>
      <c r="CK244" s="1776">
        <f>CK245-SUM(CK240:CK243)</f>
        <v>40.24817293311844</v>
      </c>
      <c r="CL244" s="1776">
        <f>CL245-SUM(CL240:CL243)</f>
        <v>50.336823719037511</v>
      </c>
      <c r="CM244" s="1776">
        <f>CM245-SUM(CM240:CM243)</f>
        <v>73.662870586044846</v>
      </c>
      <c r="CN244" s="1776">
        <f>CN245-SUM(CN240:CN243)</f>
        <v>38.188451657055339</v>
      </c>
      <c r="CO244" s="1741">
        <f t="shared" si="412"/>
        <v>0</v>
      </c>
      <c r="CP244" s="1776">
        <f>CP245-SUM(CP240:CP243)</f>
        <v>22.447983695463563</v>
      </c>
      <c r="CQ244" s="1776">
        <f>CQ245-SUM(CQ240:CQ243)</f>
        <v>9.9051164373316851</v>
      </c>
      <c r="CR244" s="1776">
        <f>CR245-SUM(CR240:CR243)</f>
        <v>23.541465133997463</v>
      </c>
      <c r="CS244" s="3098">
        <f>CS245-SUM(CS240:CS243)</f>
        <v>42.8210709131356</v>
      </c>
      <c r="CT244" s="2835">
        <f t="shared" si="434"/>
        <v>0</v>
      </c>
      <c r="CU244" s="3098">
        <f>CU245-SUM(CU240:CU243)</f>
        <v>13.873431039524803</v>
      </c>
      <c r="CV244" s="3098">
        <f>CV245-SUM(CV240:CV243)</f>
        <v>0.66445699098676414</v>
      </c>
      <c r="CW244" s="3098">
        <f>CW245-SUM(CW240:CW243)</f>
        <v>35.221197960128961</v>
      </c>
      <c r="CX244" s="3098">
        <f>CX245-SUM(CX240:CX243)</f>
        <v>32.831181729292211</v>
      </c>
      <c r="CY244" s="2835">
        <f t="shared" si="435"/>
        <v>0</v>
      </c>
      <c r="CZ244" s="3098">
        <f>CZ245-SUM(CZ240:CZ243)</f>
        <v>14.461554598569251</v>
      </c>
      <c r="DA244" s="3098">
        <f>DA245-SUM(DA240:DA243)</f>
        <v>19.432868691130807</v>
      </c>
      <c r="DB244" s="3098">
        <f>DB245-SUM(DB240:DB243)</f>
        <v>39.033336117916406</v>
      </c>
      <c r="DC244" s="2933">
        <f>+CX244</f>
        <v>32.831181729292211</v>
      </c>
      <c r="DD244" s="2835">
        <f t="shared" si="357"/>
        <v>0</v>
      </c>
      <c r="DE244" s="2933">
        <f t="shared" ref="DE244:DG244" si="445">+CZ244</f>
        <v>14.461554598569251</v>
      </c>
      <c r="DF244" s="2933">
        <f t="shared" si="445"/>
        <v>19.432868691130807</v>
      </c>
      <c r="DG244" s="2933">
        <f t="shared" si="445"/>
        <v>39.033336117916406</v>
      </c>
      <c r="DH244" s="2933">
        <f>+DC244</f>
        <v>32.831181729292211</v>
      </c>
      <c r="DI244" s="2835">
        <f t="shared" si="386"/>
        <v>0</v>
      </c>
      <c r="DJ244" s="2862"/>
      <c r="DK244" s="1146" t="s">
        <v>1237</v>
      </c>
      <c r="DL244" s="11"/>
      <c r="DM244" s="11"/>
      <c r="DN244" s="11"/>
      <c r="DO244" s="11"/>
      <c r="DP244" s="11"/>
      <c r="DQ244" s="11"/>
      <c r="DR244" s="11"/>
      <c r="DS244" s="11"/>
      <c r="DT244" s="11"/>
    </row>
    <row r="245" spans="1:124" s="875" customFormat="1">
      <c r="A245" s="1494" t="s">
        <v>985</v>
      </c>
      <c r="B245" s="1494"/>
      <c r="C245" s="1494"/>
      <c r="D245" s="1494"/>
      <c r="E245" s="1494"/>
      <c r="F245" s="1494"/>
      <c r="G245" s="2304">
        <f t="shared" ref="G245:L245" si="446">SUM(G240:G244)</f>
        <v>1164.0568929250003</v>
      </c>
      <c r="H245" s="2304">
        <f t="shared" si="446"/>
        <v>1269.16975</v>
      </c>
      <c r="I245" s="2304">
        <f t="shared" si="446"/>
        <v>1462.2000000000003</v>
      </c>
      <c r="J245" s="2304">
        <f t="shared" si="446"/>
        <v>1597.7</v>
      </c>
      <c r="K245" s="2304">
        <f t="shared" si="446"/>
        <v>1749</v>
      </c>
      <c r="L245" s="2304">
        <f t="shared" si="446"/>
        <v>1921</v>
      </c>
      <c r="M245" s="2304">
        <f>SUM(M240:M244)</f>
        <v>2220.9999999999995</v>
      </c>
      <c r="N245" s="2304">
        <f>SUM(N240:N244)</f>
        <v>2362.0000000000005</v>
      </c>
      <c r="O245" s="2746">
        <f>SUM(O240:O244)</f>
        <v>2220.9999999999995</v>
      </c>
      <c r="P245" s="2746">
        <f t="shared" ref="P245:W245" si="447">SUM(P240:P244)</f>
        <v>2362.0000000000005</v>
      </c>
      <c r="Q245" s="2304">
        <f>SUM(Q240:Q244)</f>
        <v>2724</v>
      </c>
      <c r="R245" s="2304">
        <f>SUM(R240:R244)</f>
        <v>2978.0000000000005</v>
      </c>
      <c r="S245" s="2786">
        <f>SUM(S240:S244)</f>
        <v>2978.0000000000005</v>
      </c>
      <c r="T245" s="2304">
        <f t="shared" si="447"/>
        <v>3720.4514225256225</v>
      </c>
      <c r="U245" s="2304">
        <f t="shared" si="447"/>
        <v>3985.0851210481983</v>
      </c>
      <c r="V245" s="2304">
        <f t="shared" si="447"/>
        <v>4569.2756150577807</v>
      </c>
      <c r="W245" s="2304">
        <f t="shared" si="447"/>
        <v>5222.2468675708533</v>
      </c>
      <c r="X245" s="2304">
        <f t="shared" ref="X245:AC245" si="448">SUM(X240:X244)</f>
        <v>5745.4285142507451</v>
      </c>
      <c r="Y245" s="2304">
        <f t="shared" si="448"/>
        <v>6102.7149226111096</v>
      </c>
      <c r="Z245" s="2304">
        <f t="shared" si="448"/>
        <v>6435.6549828894313</v>
      </c>
      <c r="AA245" s="2304">
        <f t="shared" si="448"/>
        <v>6739.3804164601315</v>
      </c>
      <c r="AB245" s="2304">
        <f t="shared" si="448"/>
        <v>7030.7323388434388</v>
      </c>
      <c r="AC245" s="2304">
        <f t="shared" si="448"/>
        <v>7331.8401013712355</v>
      </c>
      <c r="AD245" s="2304">
        <f>SUM(AD240:AD244)</f>
        <v>7640.3363468415737</v>
      </c>
      <c r="AE245" s="2304">
        <f>SUM(AE240:AE244)</f>
        <v>7942.3912790169588</v>
      </c>
      <c r="AF245" s="1798"/>
      <c r="AG245" s="1798"/>
      <c r="AH245" s="1798"/>
      <c r="AI245" s="1798"/>
      <c r="AJ245" s="1798"/>
      <c r="AK245" s="1798"/>
      <c r="AL245" s="1494" t="s">
        <v>985</v>
      </c>
      <c r="AM245" s="1494"/>
      <c r="AN245" s="1494"/>
      <c r="AO245" s="1494"/>
      <c r="AP245" s="1494"/>
      <c r="AQ245" s="2188"/>
      <c r="AR245" s="1494"/>
      <c r="AS245" s="1494"/>
      <c r="AT245" s="1494"/>
      <c r="AU245" s="1494"/>
      <c r="AV245" s="2188"/>
      <c r="AW245" s="1494"/>
      <c r="AX245" s="1494"/>
      <c r="AY245" s="1494"/>
      <c r="AZ245" s="1494"/>
      <c r="BA245" s="2188"/>
      <c r="BB245" s="2305"/>
      <c r="BC245" s="2305"/>
      <c r="BD245" s="2305"/>
      <c r="BE245" s="2305"/>
      <c r="BF245" s="2188"/>
      <c r="BG245" s="2305"/>
      <c r="BH245" s="2305"/>
      <c r="BI245" s="2305"/>
      <c r="BJ245" s="2305"/>
      <c r="BK245" s="2188"/>
      <c r="BL245" s="2305">
        <f>684.1-BM245</f>
        <v>343.3</v>
      </c>
      <c r="BM245" s="2305">
        <v>340.8</v>
      </c>
      <c r="BN245" s="2305">
        <v>355.9</v>
      </c>
      <c r="BO245" s="2305">
        <v>422.2</v>
      </c>
      <c r="BP245" s="1741">
        <f t="shared" si="380"/>
        <v>0</v>
      </c>
      <c r="BQ245" s="2305">
        <f>764-381.4</f>
        <v>382.6</v>
      </c>
      <c r="BR245" s="2305">
        <v>381.4</v>
      </c>
      <c r="BS245" s="2305">
        <v>408.2</v>
      </c>
      <c r="BT245" s="2305">
        <v>425.5</v>
      </c>
      <c r="BU245" s="2188">
        <f t="shared" si="381"/>
        <v>0</v>
      </c>
      <c r="BV245" s="2305">
        <v>420</v>
      </c>
      <c r="BW245" s="2305">
        <v>426</v>
      </c>
      <c r="BX245" s="2305">
        <v>438</v>
      </c>
      <c r="BY245" s="2305">
        <v>465</v>
      </c>
      <c r="BZ245" s="2188">
        <f t="shared" si="382"/>
        <v>0</v>
      </c>
      <c r="CA245" s="2305">
        <v>455</v>
      </c>
      <c r="CB245" s="2305">
        <v>465</v>
      </c>
      <c r="CC245" s="2305">
        <v>496</v>
      </c>
      <c r="CD245" s="2305">
        <v>505</v>
      </c>
      <c r="CE245" s="2188">
        <f t="shared" si="383"/>
        <v>0</v>
      </c>
      <c r="CF245" s="2305">
        <v>519</v>
      </c>
      <c r="CG245" s="2305">
        <v>549</v>
      </c>
      <c r="CH245" s="2305">
        <v>611</v>
      </c>
      <c r="CI245" s="2305">
        <v>542</v>
      </c>
      <c r="CJ245" s="2188">
        <f t="shared" si="384"/>
        <v>0</v>
      </c>
      <c r="CK245" s="2305">
        <v>567</v>
      </c>
      <c r="CL245" s="2305">
        <v>586</v>
      </c>
      <c r="CM245" s="2305">
        <v>608</v>
      </c>
      <c r="CN245" s="2305">
        <v>601</v>
      </c>
      <c r="CO245" s="2188">
        <f t="shared" si="412"/>
        <v>0</v>
      </c>
      <c r="CP245" s="2305">
        <v>628</v>
      </c>
      <c r="CQ245" s="2305">
        <v>752</v>
      </c>
      <c r="CR245" s="2305">
        <v>664</v>
      </c>
      <c r="CS245" s="3099">
        <v>680</v>
      </c>
      <c r="CT245" s="2835">
        <f t="shared" si="434"/>
        <v>0</v>
      </c>
      <c r="CU245" s="3099">
        <v>722</v>
      </c>
      <c r="CV245" s="3099">
        <v>733</v>
      </c>
      <c r="CW245" s="3099">
        <v>753</v>
      </c>
      <c r="CX245" s="3099">
        <v>770</v>
      </c>
      <c r="CY245" s="2835">
        <f t="shared" si="435"/>
        <v>0</v>
      </c>
      <c r="CZ245" s="3099">
        <v>842</v>
      </c>
      <c r="DA245" s="3099">
        <v>848</v>
      </c>
      <c r="DB245" s="3099">
        <f>1145-DB239</f>
        <v>1145</v>
      </c>
      <c r="DC245" s="3100">
        <f>SUM(DC240:DC244)</f>
        <v>885.45142252562255</v>
      </c>
      <c r="DD245" s="2835">
        <f t="shared" si="357"/>
        <v>0</v>
      </c>
      <c r="DE245" s="3100">
        <f t="shared" ref="DE245:DG245" si="449">SUM(DE240:DE244)</f>
        <v>958.82127500693252</v>
      </c>
      <c r="DF245" s="3100">
        <f t="shared" si="449"/>
        <v>986.90220916244039</v>
      </c>
      <c r="DG245" s="3100">
        <f t="shared" si="449"/>
        <v>1015.4925857441278</v>
      </c>
      <c r="DH245" s="3100">
        <f>SUM(DH240:DH244)</f>
        <v>1023.8690511346978</v>
      </c>
      <c r="DI245" s="2835">
        <f t="shared" si="386"/>
        <v>0</v>
      </c>
      <c r="DJ245" s="3102"/>
      <c r="DK245" s="1176" t="s">
        <v>1237</v>
      </c>
      <c r="DL245" s="9"/>
      <c r="DM245" s="9"/>
      <c r="DN245" s="11"/>
      <c r="DO245" s="11"/>
      <c r="DP245" s="11"/>
      <c r="DQ245" s="11"/>
      <c r="DR245" s="11"/>
      <c r="DS245" s="11"/>
      <c r="DT245" s="11"/>
    </row>
    <row r="246" spans="1:124">
      <c r="A246" s="1477" t="s">
        <v>1239</v>
      </c>
      <c r="B246" s="1108"/>
      <c r="C246" s="1108"/>
      <c r="D246" s="1108"/>
      <c r="E246" s="1108"/>
      <c r="F246" s="1108"/>
      <c r="G246" s="1108"/>
      <c r="H246" s="1108"/>
      <c r="I246" s="1651"/>
      <c r="J246" s="1651"/>
      <c r="K246" s="1108"/>
      <c r="L246" s="1110">
        <f>+L245/K245-1</f>
        <v>9.8341909662664317E-2</v>
      </c>
      <c r="M246" s="1110">
        <f>+M245/L245-1</f>
        <v>0.15616866215512726</v>
      </c>
      <c r="N246" s="1110">
        <f>+N245/M245-1</f>
        <v>6.3484916704187766E-2</v>
      </c>
      <c r="O246" s="2709"/>
      <c r="P246" s="2705">
        <f t="shared" ref="P246:AE246" si="450">+P245/O245-1</f>
        <v>6.3484916704187766E-2</v>
      </c>
      <c r="Q246" s="1110">
        <f t="shared" si="450"/>
        <v>0.15325994919559682</v>
      </c>
      <c r="R246" s="2802">
        <f t="shared" si="450"/>
        <v>9.3245227606461256E-2</v>
      </c>
      <c r="S246" s="2837"/>
      <c r="T246" s="2802">
        <f>T245/S245-1</f>
        <v>0.24931209621411088</v>
      </c>
      <c r="U246" s="2802">
        <f t="shared" si="450"/>
        <v>7.1129459430740116E-2</v>
      </c>
      <c r="V246" s="2802">
        <f t="shared" si="450"/>
        <v>0.14659423230987922</v>
      </c>
      <c r="W246" s="2802">
        <f t="shared" si="450"/>
        <v>0.14290476380134387</v>
      </c>
      <c r="X246" s="2802">
        <f t="shared" si="450"/>
        <v>0.10018324677999213</v>
      </c>
      <c r="Y246" s="2802">
        <f t="shared" si="450"/>
        <v>6.2186207255762405E-2</v>
      </c>
      <c r="Z246" s="2802">
        <f t="shared" si="450"/>
        <v>5.4556056525719265E-2</v>
      </c>
      <c r="AA246" s="2802">
        <f t="shared" si="450"/>
        <v>4.71941759429646E-2</v>
      </c>
      <c r="AB246" s="2802">
        <f t="shared" si="450"/>
        <v>4.3231262279202154E-2</v>
      </c>
      <c r="AC246" s="2802">
        <f t="shared" si="450"/>
        <v>4.2827368190968551E-2</v>
      </c>
      <c r="AD246" s="2802">
        <f t="shared" si="450"/>
        <v>4.2076237507231218E-2</v>
      </c>
      <c r="AE246" s="2802">
        <f t="shared" si="450"/>
        <v>3.9534245413194613E-2</v>
      </c>
      <c r="AF246" s="1798"/>
      <c r="AG246" s="1798"/>
      <c r="AH246" s="1798"/>
      <c r="AI246" s="1798"/>
      <c r="AJ246" s="1798"/>
      <c r="AK246" s="1798"/>
      <c r="AL246" s="1108" t="s">
        <v>1239</v>
      </c>
      <c r="AM246" s="1108"/>
      <c r="AN246" s="1108"/>
      <c r="AO246" s="1108"/>
      <c r="AP246" s="1108"/>
      <c r="AQ246" s="1741"/>
      <c r="AR246" s="1108"/>
      <c r="AS246" s="1108"/>
      <c r="AT246" s="1108"/>
      <c r="AU246" s="1108"/>
      <c r="AV246" s="1741"/>
      <c r="AW246" s="1108"/>
      <c r="AX246" s="1108"/>
      <c r="AY246" s="1108"/>
      <c r="AZ246" s="1108"/>
      <c r="BA246" s="1741"/>
      <c r="BB246" s="1651"/>
      <c r="BC246" s="1651"/>
      <c r="BD246" s="1651"/>
      <c r="BE246" s="1651"/>
      <c r="BF246" s="1741"/>
      <c r="BG246" s="1651"/>
      <c r="BH246" s="1651"/>
      <c r="BI246" s="1651"/>
      <c r="BJ246" s="1651"/>
      <c r="BK246" s="1741"/>
      <c r="BL246" s="1651">
        <f>BL245-SUM(BL240:BL244)</f>
        <v>0</v>
      </c>
      <c r="BM246" s="1651">
        <f>BM245-SUM(BM240:BM244)</f>
        <v>0</v>
      </c>
      <c r="BN246" s="1651">
        <f>BN245-SUM(BN240:BN244)</f>
        <v>0</v>
      </c>
      <c r="BO246" s="1651">
        <f>BO245-SUM(BO240:BO244)</f>
        <v>0</v>
      </c>
      <c r="BP246" s="1741"/>
      <c r="BQ246" s="1651">
        <f>BQ245-SUM(BQ240:BQ244)</f>
        <v>0</v>
      </c>
      <c r="BR246" s="1651">
        <f>BR245-SUM(BR240:BR244)</f>
        <v>0</v>
      </c>
      <c r="BS246" s="1651">
        <f>BS245-SUM(BS240:BS244)</f>
        <v>0</v>
      </c>
      <c r="BT246" s="1651">
        <f>BT245-SUM(BT240:BT244)</f>
        <v>0</v>
      </c>
      <c r="BU246" s="2188">
        <f t="shared" si="381"/>
        <v>0</v>
      </c>
      <c r="BV246" s="1651">
        <f>BV245-SUM(BV240:BV244)</f>
        <v>0</v>
      </c>
      <c r="BW246" s="1651">
        <f>BW245-SUM(BW240:BW244)</f>
        <v>0</v>
      </c>
      <c r="BX246" s="1651">
        <f>BX245-SUM(BX240:BX244)</f>
        <v>0</v>
      </c>
      <c r="BY246" s="1651">
        <f>BY245-SUM(BY240:BY244)</f>
        <v>0</v>
      </c>
      <c r="BZ246" s="2188"/>
      <c r="CA246" s="1651">
        <f>CA245-SUM(CA240:CA244)</f>
        <v>0</v>
      </c>
      <c r="CB246" s="1651">
        <f>CB245-SUM(CB240:CB244)</f>
        <v>0</v>
      </c>
      <c r="CC246" s="1651">
        <f>CC245-SUM(CC240:CC244)</f>
        <v>0</v>
      </c>
      <c r="CD246" s="1651">
        <f>CD245-SUM(CD240:CD244)</f>
        <v>0</v>
      </c>
      <c r="CE246" s="2188"/>
      <c r="CF246" s="1651">
        <f>CF245-SUM(CF240:CF244)</f>
        <v>0</v>
      </c>
      <c r="CG246" s="1651">
        <f>CG245-SUM(CG240:CG244)</f>
        <v>0</v>
      </c>
      <c r="CH246" s="1651">
        <f>CH245-SUM(CH240:CH244)</f>
        <v>0</v>
      </c>
      <c r="CI246" s="1651">
        <f>CI245-SUM(CI240:CI244)</f>
        <v>0</v>
      </c>
      <c r="CJ246" s="2188"/>
      <c r="CK246" s="1651">
        <f>CK245-SUM(CK240:CK244)</f>
        <v>0</v>
      </c>
      <c r="CL246" s="1651">
        <f>CL245-SUM(CL240:CL244)</f>
        <v>0</v>
      </c>
      <c r="CM246" s="1651">
        <f>CM245-SUM(CM240:CM244)</f>
        <v>0</v>
      </c>
      <c r="CN246" s="1651">
        <f>CN245-SUM(CN240:CN244)</f>
        <v>0</v>
      </c>
      <c r="CO246" s="1108"/>
      <c r="CP246" s="1651">
        <f>CP245-SUM(CP240:CP244)</f>
        <v>0</v>
      </c>
      <c r="CQ246" s="1651">
        <f>CQ245-SUM(CQ240:CQ244)</f>
        <v>0</v>
      </c>
      <c r="CR246" s="1651">
        <f>CR245-SUM(CR240:CR244)</f>
        <v>0</v>
      </c>
      <c r="CS246" s="3101">
        <f>CS245-SUM(CS240:CS244)</f>
        <v>0</v>
      </c>
      <c r="CT246" s="2835"/>
      <c r="CU246" s="3101">
        <f>CU245-SUM(CU240:CU244)</f>
        <v>0</v>
      </c>
      <c r="CV246" s="3101">
        <f>CV245-SUM(CV240:CV244)</f>
        <v>0</v>
      </c>
      <c r="CW246" s="3101">
        <f>CW245-SUM(CW240:CW244)</f>
        <v>0</v>
      </c>
      <c r="CX246" s="3101">
        <f>CX245-SUM(CX240:CX244)</f>
        <v>0</v>
      </c>
      <c r="CY246" s="2835"/>
      <c r="CZ246" s="3101">
        <f>CZ245-SUM(CZ240:CZ244)</f>
        <v>0</v>
      </c>
      <c r="DA246" s="3101">
        <f>DA245-SUM(DA240:DA244)</f>
        <v>0</v>
      </c>
      <c r="DB246" s="3101">
        <f>DB245-SUM(DB240:DB244)</f>
        <v>0</v>
      </c>
      <c r="DC246" s="3101">
        <f>DC245-SUM(DC240:DC244)</f>
        <v>0</v>
      </c>
      <c r="DD246" s="3040"/>
      <c r="DE246" s="3101">
        <f t="shared" ref="DE246:DG246" si="451">DE245-SUM(DE240:DE244)</f>
        <v>0</v>
      </c>
      <c r="DF246" s="3101">
        <f t="shared" si="451"/>
        <v>0</v>
      </c>
      <c r="DG246" s="3101">
        <f t="shared" si="451"/>
        <v>0</v>
      </c>
      <c r="DH246" s="3101">
        <f>DH245-SUM(DH240:DH244)</f>
        <v>0</v>
      </c>
      <c r="DI246" s="3101"/>
      <c r="DJ246" s="1311"/>
      <c r="DK246" s="1311"/>
      <c r="DL246" s="11"/>
      <c r="DM246" s="11"/>
      <c r="DN246" s="11"/>
      <c r="DO246" s="11"/>
      <c r="DP246" s="11"/>
      <c r="DQ246" s="11"/>
      <c r="DR246" s="11"/>
      <c r="DS246" s="11"/>
      <c r="DT246" s="11"/>
    </row>
    <row r="247" spans="1:124">
      <c r="A247" s="1108"/>
      <c r="B247" s="1108"/>
      <c r="C247" s="1108"/>
      <c r="D247" s="1108"/>
      <c r="E247" s="1108"/>
      <c r="F247" s="1108"/>
      <c r="G247" s="1108"/>
      <c r="H247" s="1108"/>
      <c r="I247" s="1108"/>
      <c r="J247" s="1108"/>
      <c r="K247" s="1108"/>
      <c r="L247" s="1108"/>
      <c r="M247" s="1108"/>
      <c r="N247" s="1108"/>
      <c r="O247" s="2709"/>
      <c r="P247" s="2709"/>
      <c r="Q247" s="1108"/>
      <c r="R247" s="2862"/>
      <c r="S247" s="2993"/>
      <c r="T247" s="2862"/>
      <c r="U247" s="2862"/>
      <c r="V247" s="2862"/>
      <c r="W247" s="2862"/>
      <c r="X247" s="2862"/>
      <c r="Y247" s="2862"/>
      <c r="Z247" s="2862"/>
      <c r="AA247" s="2862"/>
      <c r="AB247" s="2862"/>
      <c r="AC247" s="2862"/>
      <c r="AD247" s="2862"/>
      <c r="AE247" s="2791"/>
      <c r="AF247" s="1798"/>
      <c r="AG247" s="1798"/>
      <c r="AH247" s="1798"/>
      <c r="AI247" s="1798"/>
      <c r="AJ247" s="1798"/>
      <c r="AK247" s="1798"/>
      <c r="AL247" s="1108"/>
      <c r="AM247" s="1108"/>
      <c r="AN247" s="1108"/>
      <c r="AO247" s="1108"/>
      <c r="AP247" s="1108"/>
      <c r="AQ247" s="1741"/>
      <c r="AR247" s="1108"/>
      <c r="AS247" s="1108"/>
      <c r="AT247" s="1108"/>
      <c r="AU247" s="1108"/>
      <c r="AV247" s="1741"/>
      <c r="AW247" s="1108"/>
      <c r="AX247" s="1108"/>
      <c r="AY247" s="1108"/>
      <c r="AZ247" s="1108"/>
      <c r="BA247" s="1741"/>
      <c r="BB247" s="1108"/>
      <c r="BC247" s="1108"/>
      <c r="BD247" s="1108"/>
      <c r="BE247" s="1108"/>
      <c r="BF247" s="1741"/>
      <c r="BG247" s="1108"/>
      <c r="BH247" s="1108"/>
      <c r="BI247" s="1108"/>
      <c r="BJ247" s="1108"/>
      <c r="BK247" s="1741"/>
      <c r="BL247" s="1108"/>
      <c r="BM247" s="1108"/>
      <c r="BN247" s="1108"/>
      <c r="BO247" s="1108"/>
      <c r="BP247" s="1741"/>
      <c r="BQ247" s="1108"/>
      <c r="BR247" s="1108"/>
      <c r="BS247" s="1108"/>
      <c r="BT247" s="1108"/>
      <c r="BU247" s="2188">
        <f t="shared" si="381"/>
        <v>0</v>
      </c>
      <c r="BV247" s="1108"/>
      <c r="BW247" s="1108"/>
      <c r="BX247" s="1108"/>
      <c r="BY247" s="1108"/>
      <c r="BZ247" s="2188"/>
      <c r="CA247" s="1146"/>
      <c r="CB247" s="1108"/>
      <c r="CC247" s="1108"/>
      <c r="CD247" s="1108"/>
      <c r="CE247" s="2188"/>
      <c r="CF247" s="1146"/>
      <c r="CG247" s="1108"/>
      <c r="CH247" s="1108"/>
      <c r="CI247" s="1108"/>
      <c r="CJ247" s="2188"/>
      <c r="CK247" s="2188"/>
      <c r="CL247" s="2188"/>
      <c r="CM247" s="2188"/>
      <c r="CN247" s="2188"/>
      <c r="CO247" s="2188"/>
      <c r="CP247" s="2188"/>
      <c r="CQ247" s="2188"/>
      <c r="CR247" s="2188"/>
      <c r="CS247" s="3102"/>
      <c r="CT247" s="3102"/>
      <c r="CU247" s="3103"/>
      <c r="CV247" s="3102"/>
      <c r="CW247" s="3102"/>
      <c r="CX247" s="3102"/>
      <c r="CY247" s="2835"/>
      <c r="CZ247" s="2835"/>
      <c r="DA247" s="2835"/>
      <c r="DB247" s="2835"/>
      <c r="DC247" s="3102"/>
      <c r="DD247" s="2835"/>
      <c r="DE247" s="3102"/>
      <c r="DF247" s="3102"/>
      <c r="DG247" s="3102"/>
      <c r="DH247" s="3102"/>
      <c r="DI247" s="3102"/>
      <c r="DJ247" s="3102"/>
      <c r="DK247" s="11"/>
      <c r="DL247" s="11"/>
      <c r="DM247" s="11"/>
      <c r="DN247" s="11"/>
      <c r="DO247" s="11"/>
      <c r="DP247" s="11"/>
      <c r="DQ247" s="11"/>
      <c r="DR247" s="11"/>
      <c r="DS247" s="11"/>
      <c r="DT247" s="11"/>
    </row>
    <row r="248" spans="1:124" s="875" customFormat="1">
      <c r="A248" s="1494" t="s">
        <v>677</v>
      </c>
      <c r="B248" s="1494"/>
      <c r="C248" s="1494"/>
      <c r="D248" s="1494"/>
      <c r="E248" s="1494"/>
      <c r="F248" s="1494"/>
      <c r="G248" s="2306">
        <f>G250-G245-G237-G227</f>
        <v>45.21256686992092</v>
      </c>
      <c r="H248" s="2306">
        <f>H250-H245-H237-H227</f>
        <v>41.806913538281151</v>
      </c>
      <c r="I248" s="2306">
        <f>SUM(BL248:BO248)</f>
        <v>260.60000000000002</v>
      </c>
      <c r="J248" s="2306">
        <f>SUM(BQ248:BT248)</f>
        <v>237.8</v>
      </c>
      <c r="K248" s="2306">
        <f>SUM(BV248:BY248)</f>
        <v>240</v>
      </c>
      <c r="L248" s="2306">
        <f>+SUM(CA248:CD248)</f>
        <v>241</v>
      </c>
      <c r="M248" s="2306">
        <f>SUM(CF248:CI248)</f>
        <v>263</v>
      </c>
      <c r="N248" s="2306">
        <f>SUM(CK248:CN248)</f>
        <v>250</v>
      </c>
      <c r="O248" s="2746">
        <f>+O250-O245-O237-O227</f>
        <v>556.2459088895348</v>
      </c>
      <c r="P248" s="2746">
        <f>+P250-P245-P237-P227</f>
        <v>583.78492702302265</v>
      </c>
      <c r="Q248" s="2306">
        <f>SUM(CP248:CS248)</f>
        <v>241</v>
      </c>
      <c r="R248" s="2994">
        <f>SUM(CU248:CX248)</f>
        <v>232</v>
      </c>
      <c r="S248" s="2995">
        <f>R248</f>
        <v>232</v>
      </c>
      <c r="T248" s="2994">
        <f>SUM(CZ248:DC248)</f>
        <v>228.00000000000045</v>
      </c>
      <c r="U248" s="2994">
        <f t="shared" ref="U248" si="452">SUM(DE248:DH248)</f>
        <v>224.00000000000205</v>
      </c>
      <c r="V248" s="2994">
        <f>V250-V227-V237-V245</f>
        <v>220.00000000000546</v>
      </c>
      <c r="W248" s="2994">
        <f t="shared" ref="W248:AB248" si="453">W250-W227-W237-W245</f>
        <v>216.00000000000909</v>
      </c>
      <c r="X248" s="2994">
        <f t="shared" si="453"/>
        <v>212.00000000001</v>
      </c>
      <c r="Y248" s="2994">
        <f t="shared" si="453"/>
        <v>208.00000000000819</v>
      </c>
      <c r="Z248" s="2994">
        <f t="shared" si="453"/>
        <v>204.00000000000546</v>
      </c>
      <c r="AA248" s="2994">
        <f t="shared" si="453"/>
        <v>200.00000000000364</v>
      </c>
      <c r="AB248" s="2994">
        <f t="shared" si="453"/>
        <v>196.00000000000637</v>
      </c>
      <c r="AC248" s="2994">
        <f>AC250-AC227-AC237-AC245</f>
        <v>192.00000000000273</v>
      </c>
      <c r="AD248" s="2994">
        <f>AD250-AD227-AD237-AD245</f>
        <v>188</v>
      </c>
      <c r="AE248" s="2994">
        <f>AE250-AE227-AE237-AE245</f>
        <v>183.99999999999636</v>
      </c>
      <c r="AF248" s="1798"/>
      <c r="AG248" s="1798"/>
      <c r="AH248" s="1798"/>
      <c r="AI248" s="1798"/>
      <c r="AJ248" s="1798"/>
      <c r="AK248" s="1798"/>
      <c r="AL248" s="1494" t="s">
        <v>677</v>
      </c>
      <c r="AM248" s="1494"/>
      <c r="AN248" s="1494"/>
      <c r="AO248" s="1494"/>
      <c r="AP248" s="1494"/>
      <c r="AQ248" s="2188"/>
      <c r="AR248" s="1494"/>
      <c r="AS248" s="1494"/>
      <c r="AT248" s="1494"/>
      <c r="AU248" s="1494"/>
      <c r="AV248" s="2188"/>
      <c r="AW248" s="1494"/>
      <c r="AX248" s="1494"/>
      <c r="AY248" s="1494"/>
      <c r="AZ248" s="1494"/>
      <c r="BA248" s="2188"/>
      <c r="BB248" s="2305"/>
      <c r="BC248" s="2305"/>
      <c r="BD248" s="2305"/>
      <c r="BE248" s="2305"/>
      <c r="BF248" s="2188"/>
      <c r="BG248" s="2305"/>
      <c r="BH248" s="2305"/>
      <c r="BI248" s="2305"/>
      <c r="BJ248" s="2305"/>
      <c r="BK248" s="2188"/>
      <c r="BL248" s="2305">
        <f>123-BM248</f>
        <v>57.8</v>
      </c>
      <c r="BM248" s="2305">
        <v>65.2</v>
      </c>
      <c r="BN248" s="2305">
        <v>71</v>
      </c>
      <c r="BO248" s="2305">
        <v>66.599999999999994</v>
      </c>
      <c r="BP248" s="1741">
        <f t="shared" si="380"/>
        <v>0</v>
      </c>
      <c r="BQ248" s="2305">
        <f>112.2-BR248</f>
        <v>53.300000000000004</v>
      </c>
      <c r="BR248" s="2305">
        <v>58.9</v>
      </c>
      <c r="BS248" s="2305">
        <v>69.8</v>
      </c>
      <c r="BT248" s="2305">
        <v>55.8</v>
      </c>
      <c r="BU248" s="2188">
        <f t="shared" si="381"/>
        <v>0</v>
      </c>
      <c r="BV248" s="2305">
        <v>58</v>
      </c>
      <c r="BW248" s="2305">
        <v>56</v>
      </c>
      <c r="BX248" s="2305">
        <v>68</v>
      </c>
      <c r="BY248" s="2305">
        <v>58</v>
      </c>
      <c r="BZ248" s="2188">
        <f t="shared" si="382"/>
        <v>0</v>
      </c>
      <c r="CA248" s="2305">
        <v>54</v>
      </c>
      <c r="CB248" s="2305">
        <v>53</v>
      </c>
      <c r="CC248" s="2305">
        <v>60</v>
      </c>
      <c r="CD248" s="2305">
        <v>74</v>
      </c>
      <c r="CE248" s="2188">
        <f t="shared" si="383"/>
        <v>0</v>
      </c>
      <c r="CF248" s="2305">
        <v>58</v>
      </c>
      <c r="CG248" s="2305">
        <v>63</v>
      </c>
      <c r="CH248" s="2305">
        <v>73</v>
      </c>
      <c r="CI248" s="2305">
        <v>69</v>
      </c>
      <c r="CJ248" s="2188">
        <f t="shared" si="384"/>
        <v>0</v>
      </c>
      <c r="CK248" s="2305">
        <v>57</v>
      </c>
      <c r="CL248" s="2305">
        <v>63</v>
      </c>
      <c r="CM248" s="2305">
        <v>70</v>
      </c>
      <c r="CN248" s="2305">
        <v>60</v>
      </c>
      <c r="CO248" s="1494"/>
      <c r="CP248" s="2305">
        <v>60</v>
      </c>
      <c r="CQ248" s="2305">
        <v>58</v>
      </c>
      <c r="CR248" s="2305">
        <v>66</v>
      </c>
      <c r="CS248" s="3099">
        <v>57</v>
      </c>
      <c r="CT248" s="3102">
        <f>$Q248-SUM(CP248:CS248)</f>
        <v>0</v>
      </c>
      <c r="CU248" s="3099">
        <v>52</v>
      </c>
      <c r="CV248" s="3099">
        <v>55</v>
      </c>
      <c r="CW248" s="3099">
        <f>66</f>
        <v>66</v>
      </c>
      <c r="CX248" s="3099">
        <v>59</v>
      </c>
      <c r="CY248" s="2835">
        <f>S248-SUM(CU248:CX248)</f>
        <v>0</v>
      </c>
      <c r="CZ248" s="3099">
        <v>53</v>
      </c>
      <c r="DA248" s="3099">
        <v>54</v>
      </c>
      <c r="DB248" s="3099">
        <v>60</v>
      </c>
      <c r="DC248" s="3104">
        <f>+DC250-DC245-DC237-DC227</f>
        <v>61.000000000000455</v>
      </c>
      <c r="DD248" s="2835">
        <f t="shared" si="357"/>
        <v>0</v>
      </c>
      <c r="DE248" s="3104">
        <f t="shared" ref="DE248:DG248" si="454">+DE250-DE245-DE237-DE227</f>
        <v>54.000000000000455</v>
      </c>
      <c r="DF248" s="3104">
        <f t="shared" si="454"/>
        <v>53.000000000000227</v>
      </c>
      <c r="DG248" s="3104">
        <f t="shared" si="454"/>
        <v>54.000000000000227</v>
      </c>
      <c r="DH248" s="3104">
        <f>+DH250-DH245-DH237-DH227</f>
        <v>63.000000000001137</v>
      </c>
      <c r="DI248" s="2835">
        <f t="shared" si="386"/>
        <v>0</v>
      </c>
      <c r="DJ248" s="2894"/>
      <c r="DK248" s="2307" t="s">
        <v>1237</v>
      </c>
      <c r="DL248" s="9"/>
      <c r="DM248" s="9"/>
      <c r="DN248" s="11"/>
      <c r="DO248" s="11"/>
      <c r="DP248" s="11"/>
      <c r="DQ248" s="11"/>
      <c r="DR248" s="11"/>
      <c r="DS248" s="11"/>
      <c r="DT248" s="11"/>
    </row>
    <row r="249" spans="1:124">
      <c r="A249" s="1108"/>
      <c r="B249" s="1108"/>
      <c r="C249" s="1108"/>
      <c r="D249" s="1108"/>
      <c r="E249" s="1108"/>
      <c r="F249" s="1108"/>
      <c r="G249" s="1108"/>
      <c r="H249" s="1108"/>
      <c r="I249" s="1108"/>
      <c r="J249" s="1108"/>
      <c r="K249" s="1108"/>
      <c r="L249" s="1108"/>
      <c r="M249" s="1108"/>
      <c r="N249" s="1108"/>
      <c r="O249" s="2709"/>
      <c r="P249" s="2709"/>
      <c r="Q249" s="1470"/>
      <c r="R249" s="2867"/>
      <c r="S249" s="2993"/>
      <c r="T249" s="2867"/>
      <c r="U249" s="2867"/>
      <c r="V249" s="2867"/>
      <c r="W249" s="2867"/>
      <c r="X249" s="2862"/>
      <c r="Y249" s="2862"/>
      <c r="Z249" s="2862"/>
      <c r="AA249" s="2862"/>
      <c r="AB249" s="2862"/>
      <c r="AC249" s="2862"/>
      <c r="AD249" s="2862"/>
      <c r="AE249" s="2862"/>
      <c r="AF249" s="1798"/>
      <c r="AG249" s="1798"/>
      <c r="AH249" s="1798"/>
      <c r="AI249" s="1798"/>
      <c r="AJ249" s="1798"/>
      <c r="AK249" s="1798"/>
      <c r="AL249" s="1108"/>
      <c r="AM249" s="1108"/>
      <c r="AN249" s="1108"/>
      <c r="AO249" s="1108"/>
      <c r="AP249" s="1108"/>
      <c r="AQ249" s="1741"/>
      <c r="AR249" s="1108"/>
      <c r="AS249" s="1108"/>
      <c r="AT249" s="1108"/>
      <c r="AU249" s="1108"/>
      <c r="AV249" s="1741"/>
      <c r="AW249" s="1108"/>
      <c r="AX249" s="1108"/>
      <c r="AY249" s="1108"/>
      <c r="AZ249" s="1108"/>
      <c r="BA249" s="1741"/>
      <c r="BB249" s="1108"/>
      <c r="BC249" s="1108"/>
      <c r="BD249" s="1108"/>
      <c r="BE249" s="1108"/>
      <c r="BF249" s="1741"/>
      <c r="BG249" s="1108"/>
      <c r="BH249" s="1108"/>
      <c r="BI249" s="1108"/>
      <c r="BJ249" s="1108"/>
      <c r="BK249" s="1741"/>
      <c r="BL249" s="1108"/>
      <c r="BM249" s="1108"/>
      <c r="BN249" s="1108"/>
      <c r="BO249" s="1108"/>
      <c r="BP249" s="1741"/>
      <c r="BQ249" s="1108"/>
      <c r="BR249" s="1108"/>
      <c r="BS249" s="1108"/>
      <c r="BT249" s="1108"/>
      <c r="BU249" s="2188">
        <f t="shared" si="381"/>
        <v>0</v>
      </c>
      <c r="BV249" s="1108"/>
      <c r="BW249" s="1108"/>
      <c r="BX249" s="1108"/>
      <c r="BY249" s="1108"/>
      <c r="BZ249" s="2188"/>
      <c r="CA249" s="1108"/>
      <c r="CB249" s="1108"/>
      <c r="CC249" s="1108"/>
      <c r="CD249" s="1108"/>
      <c r="CE249" s="2188"/>
      <c r="CF249" s="1108"/>
      <c r="CG249" s="1108"/>
      <c r="CH249" s="1108"/>
      <c r="CI249" s="2045"/>
      <c r="CJ249" s="2188"/>
      <c r="CK249" s="1470"/>
      <c r="CL249" s="1470"/>
      <c r="CM249" s="1470"/>
      <c r="CN249" s="2045"/>
      <c r="CO249" s="2045"/>
      <c r="CP249" s="2045"/>
      <c r="CQ249" s="2045"/>
      <c r="CR249" s="2045"/>
      <c r="CS249" s="3105"/>
      <c r="CT249" s="3105"/>
      <c r="CU249" s="3105"/>
      <c r="CV249" s="3105"/>
      <c r="CW249" s="3105"/>
      <c r="CX249" s="3105"/>
      <c r="CY249" s="3105"/>
      <c r="CZ249" s="3105"/>
      <c r="DA249" s="3105"/>
      <c r="DB249" s="3105"/>
      <c r="DC249" s="3105"/>
      <c r="DD249" s="3105"/>
      <c r="DE249" s="3105"/>
      <c r="DF249" s="3105"/>
      <c r="DG249" s="3105"/>
      <c r="DH249" s="3105"/>
      <c r="DI249" s="3105"/>
      <c r="DJ249" s="3105"/>
      <c r="DK249" s="11"/>
      <c r="DL249" s="11"/>
      <c r="DM249" s="11"/>
      <c r="DN249" s="11"/>
      <c r="DO249" s="11"/>
      <c r="DP249" s="11"/>
      <c r="DQ249" s="11"/>
      <c r="DR249" s="11"/>
      <c r="DS249" s="11"/>
      <c r="DT249" s="11"/>
    </row>
    <row r="250" spans="1:124">
      <c r="A250" s="1108" t="s">
        <v>732</v>
      </c>
      <c r="B250" s="1108"/>
      <c r="C250" s="1108"/>
      <c r="D250" s="1108"/>
      <c r="E250" s="1108"/>
      <c r="F250" s="1108"/>
      <c r="G250" s="1650">
        <f>G191</f>
        <v>14072.9</v>
      </c>
      <c r="H250" s="1650">
        <f>H191</f>
        <v>13950.4</v>
      </c>
      <c r="I250" s="1650">
        <f>I227+I237+I245+I248</f>
        <v>13013.900000000003</v>
      </c>
      <c r="J250" s="1650">
        <f>J227+J237+J245+J248</f>
        <v>14059.800000000001</v>
      </c>
      <c r="K250" s="1650">
        <f t="shared" ref="K250:W250" si="455">K191</f>
        <v>13637</v>
      </c>
      <c r="L250" s="1650">
        <f t="shared" si="455"/>
        <v>14077.599999999999</v>
      </c>
      <c r="M250" s="1650">
        <f t="shared" si="455"/>
        <v>15284</v>
      </c>
      <c r="N250" s="1650">
        <f t="shared" si="455"/>
        <v>13805.999999999998</v>
      </c>
      <c r="O250" s="2743">
        <f t="shared" si="455"/>
        <v>14005</v>
      </c>
      <c r="P250" s="2743">
        <f t="shared" si="455"/>
        <v>13806</v>
      </c>
      <c r="Q250" s="1650">
        <f t="shared" ref="Q250:V250" si="456">Q191</f>
        <v>13886</v>
      </c>
      <c r="R250" s="2996">
        <f t="shared" si="456"/>
        <v>14386</v>
      </c>
      <c r="S250" s="2996">
        <f t="shared" si="456"/>
        <v>13166</v>
      </c>
      <c r="T250" s="2996">
        <f t="shared" si="456"/>
        <v>13557.901091990381</v>
      </c>
      <c r="U250" s="2996">
        <f t="shared" si="456"/>
        <v>14424.309304162609</v>
      </c>
      <c r="V250" s="2996">
        <f t="shared" si="456"/>
        <v>15473.36303284608</v>
      </c>
      <c r="W250" s="2996">
        <f t="shared" si="455"/>
        <v>15875.983851960162</v>
      </c>
      <c r="X250" s="2996">
        <f t="shared" ref="X250:AC250" si="457">X191</f>
        <v>16457.705564037435</v>
      </c>
      <c r="Y250" s="2996">
        <f t="shared" si="457"/>
        <v>17531.302010185573</v>
      </c>
      <c r="Z250" s="2996">
        <f t="shared" si="457"/>
        <v>17428.907276255912</v>
      </c>
      <c r="AA250" s="2996">
        <f t="shared" si="457"/>
        <v>17956.783026838613</v>
      </c>
      <c r="AB250" s="2996">
        <f t="shared" si="457"/>
        <v>18919.168851530747</v>
      </c>
      <c r="AC250" s="2996">
        <f t="shared" si="457"/>
        <v>18754.799778234839</v>
      </c>
      <c r="AD250" s="2996">
        <f>AD191</f>
        <v>19138.663204395809</v>
      </c>
      <c r="AE250" s="2996">
        <f>AE191</f>
        <v>20381.079605438248</v>
      </c>
      <c r="AF250" s="1798"/>
      <c r="AG250" s="1798"/>
      <c r="AH250" s="1798"/>
      <c r="AI250" s="1798"/>
      <c r="AJ250" s="1798"/>
      <c r="AK250" s="1798"/>
      <c r="AL250" s="1108" t="s">
        <v>732</v>
      </c>
      <c r="AM250" s="1108"/>
      <c r="AN250" s="1108"/>
      <c r="AO250" s="1108"/>
      <c r="AP250" s="1108"/>
      <c r="AQ250" s="1741"/>
      <c r="AR250" s="1108"/>
      <c r="AS250" s="1108"/>
      <c r="AT250" s="1108"/>
      <c r="AU250" s="1108"/>
      <c r="AV250" s="1741"/>
      <c r="AW250" s="1108"/>
      <c r="AX250" s="1108"/>
      <c r="AY250" s="1108"/>
      <c r="AZ250" s="1108"/>
      <c r="BA250" s="1741"/>
      <c r="BB250" s="1650"/>
      <c r="BC250" s="1650"/>
      <c r="BD250" s="1650"/>
      <c r="BE250" s="1650"/>
      <c r="BF250" s="1741"/>
      <c r="BG250" s="1650"/>
      <c r="BH250" s="1650"/>
      <c r="BI250" s="1650"/>
      <c r="BJ250" s="1650"/>
      <c r="BK250" s="1741"/>
      <c r="BL250" s="1650">
        <f>+BL248+BL245+BL237+BL227</f>
        <v>3159.2</v>
      </c>
      <c r="BM250" s="1650">
        <f>+BM248+BM245+BM237+BM227</f>
        <v>3006.3</v>
      </c>
      <c r="BN250" s="1650">
        <f>+BN248+BN245+BN237+BN227</f>
        <v>3350</v>
      </c>
      <c r="BO250" s="1650">
        <f>BO191</f>
        <v>3491.9115129816373</v>
      </c>
      <c r="BP250" s="1741"/>
      <c r="BQ250" s="1650">
        <f>+BQ248+BQ245+BQ237+BQ227</f>
        <v>3530.8999999999996</v>
      </c>
      <c r="BR250" s="1650">
        <f>+BR248+BR245+BR237+BR227</f>
        <v>3331</v>
      </c>
      <c r="BS250" s="1650">
        <f>+BS248+BS245+BS237+BS227</f>
        <v>3297.5</v>
      </c>
      <c r="BT250" s="1650">
        <f>BT191</f>
        <v>3900.4</v>
      </c>
      <c r="BU250" s="2188">
        <f t="shared" si="381"/>
        <v>0</v>
      </c>
      <c r="BV250" s="1650">
        <f>BV191</f>
        <v>3376</v>
      </c>
      <c r="BW250" s="1650">
        <f>BW191</f>
        <v>3428</v>
      </c>
      <c r="BX250" s="1650">
        <f>BX191</f>
        <v>3221</v>
      </c>
      <c r="BY250" s="1650">
        <f>BY191</f>
        <v>3612</v>
      </c>
      <c r="BZ250" s="2188">
        <f t="shared" si="382"/>
        <v>0</v>
      </c>
      <c r="CA250" s="1650">
        <f>CA191</f>
        <v>3793.9</v>
      </c>
      <c r="CB250" s="1650">
        <f>CB191</f>
        <v>3326.4</v>
      </c>
      <c r="CC250" s="1650">
        <f>CC191</f>
        <v>3263.5</v>
      </c>
      <c r="CD250" s="1650">
        <f>CD191</f>
        <v>3693.8</v>
      </c>
      <c r="CE250" s="2188">
        <f t="shared" si="383"/>
        <v>0</v>
      </c>
      <c r="CF250" s="1650">
        <f>CF191</f>
        <v>4040</v>
      </c>
      <c r="CG250" s="1650">
        <f>CG191</f>
        <v>3699</v>
      </c>
      <c r="CH250" s="1650">
        <f>CH191</f>
        <v>3634</v>
      </c>
      <c r="CI250" s="1650">
        <f>CI191</f>
        <v>3911</v>
      </c>
      <c r="CJ250" s="2188">
        <f t="shared" si="384"/>
        <v>0</v>
      </c>
      <c r="CK250" s="1649">
        <f>CK191</f>
        <v>3570</v>
      </c>
      <c r="CL250" s="1649">
        <f>CL191</f>
        <v>3188</v>
      </c>
      <c r="CM250" s="1649">
        <f>CM191</f>
        <v>3367</v>
      </c>
      <c r="CN250" s="1650">
        <f>CN191</f>
        <v>3681</v>
      </c>
      <c r="CO250" s="1741">
        <f>$N250-SUM(CK250:CN250)</f>
        <v>0</v>
      </c>
      <c r="CP250" s="1649">
        <f>CP191</f>
        <v>3500</v>
      </c>
      <c r="CQ250" s="1649">
        <f>CQ191</f>
        <v>3219</v>
      </c>
      <c r="CR250" s="1649">
        <f>CR191</f>
        <v>3257</v>
      </c>
      <c r="CS250" s="2996">
        <f>CS191</f>
        <v>3910</v>
      </c>
      <c r="CT250" s="2835">
        <f>$Q250-SUM(CP250:CS250)</f>
        <v>0</v>
      </c>
      <c r="CU250" s="2996">
        <f>CU191</f>
        <v>3588</v>
      </c>
      <c r="CV250" s="2996">
        <f>CV191</f>
        <v>2976</v>
      </c>
      <c r="CW250" s="2996">
        <f>CW191</f>
        <v>3084</v>
      </c>
      <c r="CX250" s="2996">
        <f>CX191</f>
        <v>3518</v>
      </c>
      <c r="CY250" s="2835">
        <f>S250-SUM(CU250:CX250)</f>
        <v>0</v>
      </c>
      <c r="CZ250" s="2996">
        <f>CZ191</f>
        <v>3343</v>
      </c>
      <c r="DA250" s="2996">
        <f>DA191</f>
        <v>3257</v>
      </c>
      <c r="DB250" s="2996">
        <f>DB191</f>
        <v>3171</v>
      </c>
      <c r="DC250" s="2996">
        <f>DC191</f>
        <v>3786.9010919903822</v>
      </c>
      <c r="DD250" s="2835">
        <f t="shared" si="357"/>
        <v>0</v>
      </c>
      <c r="DE250" s="2996">
        <f t="shared" ref="DE250:DG250" si="458">DE191</f>
        <v>3577.032299295648</v>
      </c>
      <c r="DF250" s="2996">
        <f t="shared" si="458"/>
        <v>3481.3049747765622</v>
      </c>
      <c r="DG250" s="2996">
        <f t="shared" si="458"/>
        <v>3279.8716630658878</v>
      </c>
      <c r="DH250" s="2996">
        <f>DH191</f>
        <v>4086.1003670245132</v>
      </c>
      <c r="DI250" s="2835">
        <f t="shared" si="386"/>
        <v>0</v>
      </c>
      <c r="DJ250" s="2835"/>
      <c r="DK250" s="557"/>
      <c r="DL250" s="11"/>
      <c r="DM250" s="11"/>
      <c r="DN250" s="11"/>
      <c r="DO250" s="11"/>
      <c r="DP250" s="11"/>
      <c r="DQ250" s="11"/>
      <c r="DR250" s="11"/>
      <c r="DS250" s="11"/>
      <c r="DT250" s="11"/>
    </row>
    <row r="251" spans="1:124">
      <c r="A251" s="1108"/>
      <c r="B251" s="1108"/>
      <c r="C251" s="1108"/>
      <c r="D251" s="1108"/>
      <c r="E251" s="1108"/>
      <c r="F251" s="1108"/>
      <c r="G251" s="1108"/>
      <c r="H251" s="1108"/>
      <c r="I251" s="1108"/>
      <c r="J251" s="1108"/>
      <c r="K251" s="1108"/>
      <c r="L251" s="1108"/>
      <c r="M251" s="1108"/>
      <c r="N251" s="1108"/>
      <c r="O251" s="2744">
        <f t="shared" ref="O251:AC251" si="459">O250-O227-O237-O245-O248</f>
        <v>0</v>
      </c>
      <c r="P251" s="2744">
        <f t="shared" si="459"/>
        <v>0</v>
      </c>
      <c r="Q251" s="1776">
        <f>Q250-Q227-Q237-Q245-Q248</f>
        <v>0</v>
      </c>
      <c r="R251" s="1776">
        <f>R250-R227-R237-R245-R248</f>
        <v>0</v>
      </c>
      <c r="S251" s="3098">
        <f>S250-S227-S237-S245-S248</f>
        <v>0</v>
      </c>
      <c r="T251" s="3098">
        <f t="shared" si="459"/>
        <v>-4.5474735088646412E-13</v>
      </c>
      <c r="U251" s="3098">
        <f t="shared" si="459"/>
        <v>-2.5011104298755527E-12</v>
      </c>
      <c r="V251" s="3098">
        <f t="shared" si="459"/>
        <v>0</v>
      </c>
      <c r="W251" s="1776">
        <f t="shared" si="459"/>
        <v>0</v>
      </c>
      <c r="X251" s="1776">
        <f t="shared" si="459"/>
        <v>0</v>
      </c>
      <c r="Y251" s="1776">
        <f t="shared" si="459"/>
        <v>0</v>
      </c>
      <c r="Z251" s="1776">
        <f t="shared" si="459"/>
        <v>0</v>
      </c>
      <c r="AA251" s="1776">
        <f t="shared" si="459"/>
        <v>0</v>
      </c>
      <c r="AB251" s="1776">
        <f t="shared" si="459"/>
        <v>0</v>
      </c>
      <c r="AC251" s="1776">
        <f t="shared" si="459"/>
        <v>0</v>
      </c>
      <c r="AD251" s="1776">
        <f>AD250-AD227-AD237-AD245-AD248</f>
        <v>0</v>
      </c>
      <c r="AE251" s="1776">
        <f>AE250-AE227-AE237-AE245-AE248</f>
        <v>0</v>
      </c>
      <c r="AF251" s="1798"/>
      <c r="AG251" s="1798"/>
      <c r="AH251" s="1798"/>
      <c r="AI251" s="1798"/>
      <c r="AJ251" s="1798"/>
      <c r="AK251" s="1798"/>
      <c r="AL251" s="1108"/>
      <c r="AM251" s="1108"/>
      <c r="AN251" s="1108"/>
      <c r="AO251" s="1108"/>
      <c r="AP251" s="1108"/>
      <c r="AQ251" s="1741"/>
      <c r="AR251" s="1108"/>
      <c r="AS251" s="1108"/>
      <c r="AT251" s="1108"/>
      <c r="AU251" s="1108"/>
      <c r="AV251" s="1741"/>
      <c r="AW251" s="1108"/>
      <c r="AX251" s="1108"/>
      <c r="AY251" s="1108"/>
      <c r="AZ251" s="1108"/>
      <c r="BA251" s="1741"/>
      <c r="BB251" s="1108"/>
      <c r="BC251" s="1108"/>
      <c r="BD251" s="1108"/>
      <c r="BE251" s="1108"/>
      <c r="BF251" s="1741"/>
      <c r="BG251" s="1108"/>
      <c r="BH251" s="1108"/>
      <c r="BI251" s="1108"/>
      <c r="BJ251" s="1108"/>
      <c r="BK251" s="1741"/>
      <c r="BL251" s="1108"/>
      <c r="BM251" s="1108"/>
      <c r="BN251" s="1108"/>
      <c r="BO251" s="1650"/>
      <c r="BP251" s="1741"/>
      <c r="BQ251" s="1108"/>
      <c r="BR251" s="1108"/>
      <c r="BS251" s="1108"/>
      <c r="BT251" s="1650"/>
      <c r="BU251" s="1108"/>
      <c r="BV251" s="1651">
        <f>BV250-BV227-BV237-BV245-BV248</f>
        <v>0</v>
      </c>
      <c r="BW251" s="1651">
        <f>BW250-BW227-BW237-BW245-BW248</f>
        <v>0</v>
      </c>
      <c r="BX251" s="1651">
        <f>BX250-BX227-BX237-BX245-BX248</f>
        <v>0</v>
      </c>
      <c r="BY251" s="1651">
        <f>BY250-BY227-BY237-BY245-BY248</f>
        <v>0</v>
      </c>
      <c r="BZ251" s="1108"/>
      <c r="CA251" s="1651">
        <f>CA250-CA227-CA237-CA245-CA248</f>
        <v>0</v>
      </c>
      <c r="CB251" s="1651">
        <f>CB250-CB227-CB237-CB245-CB248</f>
        <v>0</v>
      </c>
      <c r="CC251" s="1651">
        <f>CC250-CC227-CC237-CC245-CC248</f>
        <v>0</v>
      </c>
      <c r="CD251" s="1651">
        <f>CD250-CD227-CD237-CD245-CD248</f>
        <v>-4.1999999999998181</v>
      </c>
      <c r="CE251" s="1108"/>
      <c r="CF251" s="1651">
        <f>CF250-CF227-CF237-CF245-CF248</f>
        <v>0</v>
      </c>
      <c r="CG251" s="1651">
        <f>CG250-CG227-CG237-CG245-CG248</f>
        <v>0</v>
      </c>
      <c r="CH251" s="1651">
        <f>CH250-CH227-CH237-CH245-CH248</f>
        <v>0</v>
      </c>
      <c r="CI251" s="1651">
        <f>CI250-CI227-CI237-CI245-CI248</f>
        <v>0</v>
      </c>
      <c r="CJ251" s="1108"/>
      <c r="CK251" s="1651">
        <f>CK250-CK227-CK237-CK245-CK248</f>
        <v>0</v>
      </c>
      <c r="CL251" s="1651">
        <f>CL250-CL227-CL237-CL245-CL248</f>
        <v>0</v>
      </c>
      <c r="CM251" s="1651">
        <f>CM250-CM227-CM237-CM245-CM248</f>
        <v>0</v>
      </c>
      <c r="CN251" s="1651">
        <f>CN250-CN227-CN237-CN245-CN248</f>
        <v>0</v>
      </c>
      <c r="CO251" s="1741"/>
      <c r="CP251" s="1651">
        <f>CP250-CP227-CP237-CP245-CP248</f>
        <v>0</v>
      </c>
      <c r="CQ251" s="1651">
        <f>CQ250-CQ227-CQ237-CQ245-CQ248</f>
        <v>0</v>
      </c>
      <c r="CR251" s="1651">
        <f>CR250-CR227-CR237-CR245-CR248</f>
        <v>0</v>
      </c>
      <c r="CS251" s="3101">
        <f>CS250-CS227-CS237-CS245-CS248</f>
        <v>0</v>
      </c>
      <c r="CT251" s="2835"/>
      <c r="CU251" s="3101">
        <f>CU250-CU227-CU237-CU245-CU248</f>
        <v>0</v>
      </c>
      <c r="CV251" s="3101">
        <f>CV250-CV227-CV237-CV245-CV248</f>
        <v>0</v>
      </c>
      <c r="CW251" s="3101">
        <f>CW250-CW227-CW237-CW245-CW248</f>
        <v>0</v>
      </c>
      <c r="CX251" s="3101">
        <f>CX250-CX227-CX237-CX245-CX248</f>
        <v>0</v>
      </c>
      <c r="CY251" s="2835"/>
      <c r="CZ251" s="3101">
        <f>CZ250-CZ227-CZ237-CZ245-CZ248</f>
        <v>0</v>
      </c>
      <c r="DA251" s="3101">
        <f>DA250-DA227-DA237-DA245-DA248</f>
        <v>0</v>
      </c>
      <c r="DB251" s="3101">
        <f>DB250-DB227-DB237-DB245-DB248</f>
        <v>0</v>
      </c>
      <c r="DC251" s="3101">
        <f>DC250-DC227-DC237-DC245-DC248</f>
        <v>0</v>
      </c>
      <c r="DD251" s="2835"/>
      <c r="DE251" s="3101">
        <f t="shared" ref="DE251:DG251" si="460">DE250-DE227-DE237-DE245-DE248</f>
        <v>-1.1368683772161603E-13</v>
      </c>
      <c r="DF251" s="3101">
        <f t="shared" si="460"/>
        <v>2.2737367544323206E-13</v>
      </c>
      <c r="DG251" s="3101">
        <f t="shared" si="460"/>
        <v>4.5474735088646412E-13</v>
      </c>
      <c r="DH251" s="3101">
        <f>DH250-DH227-DH237-DH245-DH248</f>
        <v>-1.1368683772161603E-13</v>
      </c>
      <c r="DI251" s="2835"/>
      <c r="DJ251" s="2835"/>
      <c r="DK251" s="1311"/>
      <c r="DL251" s="11"/>
      <c r="DM251" s="11"/>
      <c r="DN251" s="11"/>
      <c r="DO251" s="11"/>
      <c r="DP251" s="11"/>
      <c r="DQ251" s="11"/>
      <c r="DR251" s="11"/>
      <c r="DS251" s="11"/>
      <c r="DT251" s="11"/>
    </row>
    <row r="252" spans="1:124" s="2068" customFormat="1">
      <c r="A252" s="1477" t="s">
        <v>812</v>
      </c>
      <c r="B252" s="1477"/>
      <c r="C252" s="1477"/>
      <c r="D252" s="1477"/>
      <c r="E252" s="1477"/>
      <c r="F252" s="1477"/>
      <c r="G252" s="1477"/>
      <c r="H252" s="1477"/>
      <c r="I252" s="1477"/>
      <c r="J252" s="1477"/>
      <c r="K252" s="1477"/>
      <c r="L252" s="1477"/>
      <c r="M252" s="1477"/>
      <c r="N252" s="1477"/>
      <c r="O252" s="2769"/>
      <c r="P252" s="2769"/>
      <c r="Q252" s="1477"/>
      <c r="S252" s="2749"/>
      <c r="U252" s="1477"/>
      <c r="V252" s="1477"/>
      <c r="W252" s="1477"/>
      <c r="X252" s="1477"/>
      <c r="Y252" s="1477"/>
      <c r="Z252" s="1477"/>
      <c r="AA252" s="1477"/>
      <c r="AB252" s="1477"/>
      <c r="AC252" s="1477"/>
      <c r="AD252" s="1477"/>
      <c r="AE252" s="1798"/>
      <c r="AF252" s="1798"/>
      <c r="AG252" s="1798"/>
      <c r="AH252" s="1798"/>
      <c r="AI252" s="1798"/>
      <c r="AJ252" s="1798"/>
      <c r="AK252" s="1798"/>
      <c r="AL252" s="1477" t="s">
        <v>812</v>
      </c>
      <c r="AM252" s="1477"/>
      <c r="AN252" s="1477"/>
      <c r="AO252" s="1477"/>
      <c r="AP252" s="1477"/>
      <c r="AQ252" s="1811"/>
      <c r="AR252" s="1477"/>
      <c r="AS252" s="1477"/>
      <c r="AT252" s="1477"/>
      <c r="AU252" s="1477"/>
      <c r="AV252" s="1811"/>
      <c r="AW252" s="1477"/>
      <c r="AX252" s="1477"/>
      <c r="AY252" s="1477"/>
      <c r="AZ252" s="1477"/>
      <c r="BA252" s="1811"/>
      <c r="BB252" s="1477"/>
      <c r="BC252" s="1477"/>
      <c r="BD252" s="1477"/>
      <c r="BE252" s="1477"/>
      <c r="BF252" s="1811"/>
      <c r="BG252" s="1477"/>
      <c r="BH252" s="1477"/>
      <c r="BI252" s="1477"/>
      <c r="BJ252" s="1477"/>
      <c r="BK252" s="1811"/>
      <c r="BL252" s="1477"/>
      <c r="BM252" s="1477"/>
      <c r="BN252" s="1477"/>
      <c r="BO252" s="1477"/>
      <c r="BP252" s="1811"/>
      <c r="BQ252" s="1477"/>
      <c r="BR252" s="1477"/>
      <c r="BS252" s="1477"/>
      <c r="BT252" s="1477"/>
      <c r="BU252" s="1477"/>
      <c r="BV252" s="1477"/>
      <c r="BW252" s="1477"/>
      <c r="BX252" s="1477"/>
      <c r="BY252" s="2330"/>
      <c r="BZ252" s="1477"/>
      <c r="CA252" s="1477"/>
      <c r="CB252" s="1477"/>
      <c r="CC252" s="1477"/>
      <c r="CD252" s="1477"/>
      <c r="CE252" s="1477"/>
      <c r="CF252" s="1477"/>
      <c r="CG252" s="1477"/>
      <c r="CH252" s="1477"/>
      <c r="CI252" s="1477"/>
      <c r="CJ252" s="1477"/>
      <c r="CK252" s="1477"/>
      <c r="CL252" s="1477"/>
      <c r="CM252" s="1477"/>
      <c r="CN252" s="1477"/>
      <c r="CO252" s="1811"/>
      <c r="CP252" s="1477"/>
      <c r="CQ252" s="1477"/>
      <c r="CR252" s="1477"/>
      <c r="CS252" s="2937"/>
      <c r="CT252" s="3106"/>
      <c r="CU252" s="3106"/>
      <c r="CV252" s="3106"/>
      <c r="CW252" s="3106"/>
      <c r="CX252" s="3106"/>
      <c r="CY252" s="3106"/>
      <c r="CZ252" s="3106"/>
      <c r="DA252" s="3106"/>
      <c r="DB252" s="3106"/>
      <c r="DC252" s="3106"/>
      <c r="DD252" s="2835"/>
      <c r="DE252" s="3106"/>
      <c r="DF252" s="3106"/>
      <c r="DG252" s="3106"/>
      <c r="DH252" s="3106"/>
      <c r="DI252" s="2835"/>
      <c r="DJ252" s="3106"/>
      <c r="DK252" s="186"/>
      <c r="DL252" s="186"/>
      <c r="DM252" s="186"/>
      <c r="DN252" s="11"/>
      <c r="DO252" s="11"/>
      <c r="DP252" s="11"/>
      <c r="DQ252" s="11"/>
      <c r="DR252" s="11"/>
      <c r="DS252" s="11"/>
      <c r="DT252" s="11"/>
    </row>
    <row r="253" spans="1:124" s="2068" customFormat="1">
      <c r="A253" s="1477" t="str">
        <f>+A227</f>
        <v>Total Advertising Sales</v>
      </c>
      <c r="B253" s="1477"/>
      <c r="C253" s="1477"/>
      <c r="D253" s="1477"/>
      <c r="E253" s="1477"/>
      <c r="F253" s="1477"/>
      <c r="G253" s="1477"/>
      <c r="H253" s="1477"/>
      <c r="I253" s="1477"/>
      <c r="J253" s="1477"/>
      <c r="K253" s="1364">
        <f>+K227/J227-1</f>
        <v>-8.235731142382674E-2</v>
      </c>
      <c r="L253" s="1364">
        <f>+L227/K227-1</f>
        <v>6.2864626741276908E-3</v>
      </c>
      <c r="M253" s="1364">
        <f>+M227/L227-1</f>
        <v>4.1553278591542897E-2</v>
      </c>
      <c r="N253" s="1364">
        <f t="shared" ref="N253:W253" si="461">+N227/M227-1</f>
        <v>-0.18164262183346602</v>
      </c>
      <c r="O253" s="2711"/>
      <c r="P253" s="2711">
        <f>+P227/O227-1</f>
        <v>-3.9338578477130293E-2</v>
      </c>
      <c r="Q253" s="1364">
        <f t="shared" si="461"/>
        <v>-2.5818989450305363E-2</v>
      </c>
      <c r="R253" s="1364">
        <f t="shared" si="461"/>
        <v>6.9108007979481245E-2</v>
      </c>
      <c r="S253" s="2711"/>
      <c r="T253" s="1364">
        <f>+T227/R227-1</f>
        <v>-0.22473435421937438</v>
      </c>
      <c r="U253" s="1364">
        <f t="shared" si="461"/>
        <v>7.6125248350872976E-2</v>
      </c>
      <c r="V253" s="1364">
        <f t="shared" si="461"/>
        <v>6.2756481668467368E-2</v>
      </c>
      <c r="W253" s="1364">
        <f t="shared" si="461"/>
        <v>-5.9491346089167729E-2</v>
      </c>
      <c r="X253" s="1364">
        <f t="shared" ref="X253:AE253" si="462">+X227/W227-1</f>
        <v>-1.4529918947041143E-2</v>
      </c>
      <c r="Y253" s="1364">
        <f t="shared" si="462"/>
        <v>9.3489236718919067E-2</v>
      </c>
      <c r="Z253" s="1364">
        <f t="shared" si="462"/>
        <v>-8.680746416114693E-2</v>
      </c>
      <c r="AA253" s="1364">
        <f t="shared" si="462"/>
        <v>1.4368122739021549E-2</v>
      </c>
      <c r="AB253" s="1364">
        <f t="shared" si="462"/>
        <v>8.7464386078049516E-2</v>
      </c>
      <c r="AC253" s="1364">
        <f t="shared" si="462"/>
        <v>-8.8083552382381858E-2</v>
      </c>
      <c r="AD253" s="1364">
        <f t="shared" si="462"/>
        <v>-6.8586508178356542E-3</v>
      </c>
      <c r="AE253" s="1364">
        <f t="shared" si="462"/>
        <v>0.13648693883049656</v>
      </c>
      <c r="AF253" s="1798"/>
      <c r="AG253" s="1798"/>
      <c r="AH253" s="1798"/>
      <c r="AI253" s="1798"/>
      <c r="AJ253" s="1798"/>
      <c r="AK253" s="1798"/>
      <c r="AL253" s="1477" t="s">
        <v>480</v>
      </c>
      <c r="AM253" s="1477"/>
      <c r="AN253" s="1477"/>
      <c r="AO253" s="1477"/>
      <c r="AP253" s="1477"/>
      <c r="AQ253" s="1811"/>
      <c r="AR253" s="1477"/>
      <c r="AS253" s="1477"/>
      <c r="AT253" s="1477"/>
      <c r="AU253" s="1477"/>
      <c r="AV253" s="1811"/>
      <c r="AW253" s="1477"/>
      <c r="AX253" s="1477"/>
      <c r="AY253" s="1477"/>
      <c r="AZ253" s="1477"/>
      <c r="BA253" s="1811"/>
      <c r="BB253" s="1477"/>
      <c r="BC253" s="1477"/>
      <c r="BD253" s="1477"/>
      <c r="BE253" s="1477"/>
      <c r="BF253" s="1811"/>
      <c r="BG253" s="1477"/>
      <c r="BH253" s="1477"/>
      <c r="BI253" s="1477"/>
      <c r="BJ253" s="1477"/>
      <c r="BK253" s="1811"/>
      <c r="BL253" s="1364"/>
      <c r="BM253" s="1364"/>
      <c r="BN253" s="1364"/>
      <c r="BO253" s="1364"/>
      <c r="BP253" s="1811"/>
      <c r="BQ253" s="1364">
        <f>+BQ227/BL227-1</f>
        <v>0.17443408788282277</v>
      </c>
      <c r="BR253" s="1364">
        <f>+BR227/BM227-1</f>
        <v>8.5938679957710429E-2</v>
      </c>
      <c r="BS253" s="1364">
        <f>+BS227/BN227-1</f>
        <v>0.10309107024152442</v>
      </c>
      <c r="BT253" s="1364">
        <f>+BT227/BO227-1</f>
        <v>0.11550074420582601</v>
      </c>
      <c r="BU253" s="1477"/>
      <c r="BV253" s="1364">
        <f>+BV227/BQ227-1</f>
        <v>-9.3810363651633311E-2</v>
      </c>
      <c r="BW253" s="1364">
        <f>+BW227/BR227-1</f>
        <v>-4.6360686138154805E-2</v>
      </c>
      <c r="BX253" s="1364">
        <f>+BX227/BS227-1</f>
        <v>-7.1963039220609648E-2</v>
      </c>
      <c r="BY253" s="1364">
        <f>+BY227/BT227-1</f>
        <v>-0.10945064999428156</v>
      </c>
      <c r="BZ253" s="1477"/>
      <c r="CA253" s="1364">
        <f>+CA227/BV227-1</f>
        <v>5.0926784059314167E-2</v>
      </c>
      <c r="CB253" s="1364">
        <f>+CB227/BW227-1</f>
        <v>-3.140495867768589E-2</v>
      </c>
      <c r="CC253" s="1364">
        <f>+CC227/BX227-1</f>
        <v>-3.8690476190476164E-2</v>
      </c>
      <c r="CD253" s="1364">
        <f>+CD227/BY227-1</f>
        <v>3.3818493150684859E-2</v>
      </c>
      <c r="CE253" s="1477"/>
      <c r="CF253" s="1364">
        <f>+CF227/CA227-1</f>
        <v>8.2499228361038845E-2</v>
      </c>
      <c r="CG253" s="1364">
        <f>+CG227/CB227-1</f>
        <v>4.8986147359967758E-2</v>
      </c>
      <c r="CH253" s="1364">
        <f>+CH227/CC227-1</f>
        <v>4.475091471995496E-2</v>
      </c>
      <c r="CI253" s="1364">
        <f>+CI227/CD227-1</f>
        <v>-5.3830227743271175E-3</v>
      </c>
      <c r="CJ253" s="1477"/>
      <c r="CK253" s="1364">
        <f>+CK227/CF227-1</f>
        <v>-0.2370672097759674</v>
      </c>
      <c r="CL253" s="1364">
        <f>+CL227/CG227-1</f>
        <v>-0.2172248803827751</v>
      </c>
      <c r="CM253" s="1364">
        <f>+CM227/CH227-1</f>
        <v>-0.16594827586206895</v>
      </c>
      <c r="CN253" s="1364">
        <f>+CN227/CI227-1</f>
        <v>-0.10616153205661949</v>
      </c>
      <c r="CO253" s="1811"/>
      <c r="CP253" s="2008">
        <f>+CP227/CK227-1</f>
        <v>-4.7517351841964817E-2</v>
      </c>
      <c r="CQ253" s="2008">
        <f>+CQ227/CL227-1</f>
        <v>-2.5672371638141844E-2</v>
      </c>
      <c r="CR253" s="2008">
        <f>+CR227/CM227-1</f>
        <v>-4.3281653746770066E-2</v>
      </c>
      <c r="CS253" s="2827">
        <f>+CS227/CN227-1</f>
        <v>5.5891942244992165E-3</v>
      </c>
      <c r="CT253" s="3106"/>
      <c r="CU253" s="2827">
        <f>+CU227/CP227-1</f>
        <v>0.16872197309417047</v>
      </c>
      <c r="CV253" s="2827">
        <f>+CV227/CQ227-1</f>
        <v>-0.21894604767879544</v>
      </c>
      <c r="CW253" s="2827">
        <f>+CW227/CR227-1</f>
        <v>-0.21877110060769756</v>
      </c>
      <c r="CX253" s="2827">
        <f>+CX227/CS227-1</f>
        <v>-0.16813339509031955</v>
      </c>
      <c r="CY253" s="3106"/>
      <c r="CZ253" s="2827">
        <f>+CZ227/CU227-1</f>
        <v>-0.23117505995203835</v>
      </c>
      <c r="DA253" s="2827">
        <f>+DA227/CV227-1</f>
        <v>4.3373493975903621E-2</v>
      </c>
      <c r="DB253" s="2827">
        <f>+DB227/CW227-1</f>
        <v>-4.4079515989628337E-2</v>
      </c>
      <c r="DC253" s="2827">
        <f>+DC227/CX227-1</f>
        <v>7.137049160375275E-3</v>
      </c>
      <c r="DD253" s="2835"/>
      <c r="DE253" s="2827">
        <f t="shared" ref="DE253:DG253" si="463">+DE227/CZ227-1</f>
        <v>8.1842987588196303E-2</v>
      </c>
      <c r="DF253" s="2827">
        <f t="shared" si="463"/>
        <v>3.5763192141365918E-2</v>
      </c>
      <c r="DG253" s="2827">
        <f t="shared" si="463"/>
        <v>0.12255052764516838</v>
      </c>
      <c r="DH253" s="2827">
        <f>+DH227/DC227-1</f>
        <v>7.1657367528167759E-2</v>
      </c>
      <c r="DI253" s="2835"/>
      <c r="DJ253" s="3106"/>
      <c r="DK253" s="1104"/>
      <c r="DL253" s="186"/>
      <c r="DM253" s="186"/>
      <c r="DN253" s="11"/>
      <c r="DO253" s="11"/>
      <c r="DP253" s="11"/>
      <c r="DQ253" s="11"/>
      <c r="DR253" s="11"/>
      <c r="DS253" s="11"/>
      <c r="DT253" s="11"/>
    </row>
    <row r="254" spans="1:124" s="2068" customFormat="1">
      <c r="A254" s="1477" t="str">
        <f>+A237</f>
        <v>Total Content Licensing and Distribution</v>
      </c>
      <c r="B254" s="1477"/>
      <c r="C254" s="1477"/>
      <c r="D254" s="1477"/>
      <c r="E254" s="1477"/>
      <c r="F254" s="1477"/>
      <c r="G254" s="1477"/>
      <c r="H254" s="1477"/>
      <c r="I254" s="1477"/>
      <c r="J254" s="1477"/>
      <c r="K254" s="1364">
        <f>+K237/J237-1</f>
        <v>5.7789353735959725E-2</v>
      </c>
      <c r="L254" s="1364">
        <f>+L237/K237-1</f>
        <v>6.7405355493997954E-2</v>
      </c>
      <c r="M254" s="1364">
        <f t="shared" ref="M254:W254" si="464">+M237/L237-1</f>
        <v>0.15253748558246838</v>
      </c>
      <c r="N254" s="1364">
        <f t="shared" si="464"/>
        <v>-1.7513134851138146E-3</v>
      </c>
      <c r="O254" s="2711"/>
      <c r="P254" s="2711">
        <f t="shared" si="464"/>
        <v>-1.9453956029555464E-2</v>
      </c>
      <c r="Q254" s="1364">
        <f t="shared" si="464"/>
        <v>6.7497376958758792E-2</v>
      </c>
      <c r="R254" s="1364">
        <f t="shared" si="464"/>
        <v>-5.8929028952088069E-2</v>
      </c>
      <c r="S254" s="2711"/>
      <c r="T254" s="1364">
        <f>+T237/R237-1</f>
        <v>3.2570522508228894E-2</v>
      </c>
      <c r="U254" s="1364">
        <f t="shared" si="464"/>
        <v>4.296958110866278E-2</v>
      </c>
      <c r="V254" s="1364">
        <f t="shared" si="464"/>
        <v>1.9221158522693571E-2</v>
      </c>
      <c r="W254" s="1364">
        <f t="shared" si="464"/>
        <v>3.7060236949850056E-2</v>
      </c>
      <c r="X254" s="1364">
        <f t="shared" ref="X254:AE254" si="465">+X237/W237-1</f>
        <v>3.6701197750711456E-2</v>
      </c>
      <c r="Y254" s="1364">
        <f t="shared" si="465"/>
        <v>3.319317714252068E-2</v>
      </c>
      <c r="Z254" s="1364">
        <f t="shared" si="465"/>
        <v>3.4374145675546863E-2</v>
      </c>
      <c r="AA254" s="1364">
        <f t="shared" si="465"/>
        <v>3.0154854690945365E-2</v>
      </c>
      <c r="AB254" s="1364">
        <f t="shared" si="465"/>
        <v>2.698728265135486E-2</v>
      </c>
      <c r="AC254" s="1364">
        <f t="shared" si="465"/>
        <v>2.790506250744218E-2</v>
      </c>
      <c r="AD254" s="1364">
        <f t="shared" si="465"/>
        <v>2.4187567429166057E-2</v>
      </c>
      <c r="AE254" s="1364">
        <f t="shared" si="465"/>
        <v>2.0319814852489682E-2</v>
      </c>
      <c r="AF254" s="1798"/>
      <c r="AG254" s="1798"/>
      <c r="AH254" s="1798"/>
      <c r="AI254" s="1798"/>
      <c r="AJ254" s="1798"/>
      <c r="AK254" s="1798"/>
      <c r="AL254" s="1477" t="s">
        <v>481</v>
      </c>
      <c r="AM254" s="1477"/>
      <c r="AN254" s="1477"/>
      <c r="AO254" s="1477"/>
      <c r="AP254" s="1477"/>
      <c r="AQ254" s="1811"/>
      <c r="AR254" s="1477"/>
      <c r="AS254" s="1477"/>
      <c r="AT254" s="1477"/>
      <c r="AU254" s="1477"/>
      <c r="AV254" s="1811"/>
      <c r="AW254" s="1477"/>
      <c r="AX254" s="1477"/>
      <c r="AY254" s="1477"/>
      <c r="AZ254" s="1477"/>
      <c r="BA254" s="1811"/>
      <c r="BB254" s="1477"/>
      <c r="BC254" s="1477"/>
      <c r="BD254" s="1477"/>
      <c r="BE254" s="1477"/>
      <c r="BF254" s="1811"/>
      <c r="BG254" s="1477"/>
      <c r="BH254" s="1477"/>
      <c r="BI254" s="1477"/>
      <c r="BJ254" s="1477"/>
      <c r="BK254" s="1811"/>
      <c r="BL254" s="1364"/>
      <c r="BM254" s="1364"/>
      <c r="BN254" s="1364"/>
      <c r="BO254" s="1364"/>
      <c r="BP254" s="1811"/>
      <c r="BQ254" s="1364">
        <f>+BQ237/BL237-1</f>
        <v>-2.3001095290252183E-2</v>
      </c>
      <c r="BR254" s="1364">
        <f>+BR237/BM237-1</f>
        <v>0.19495114006514669</v>
      </c>
      <c r="BS254" s="1364">
        <f>+BS237/BN237-1</f>
        <v>-0.25914661418731555</v>
      </c>
      <c r="BT254" s="1364">
        <f>+BT237/BO237-1</f>
        <v>0.20954262270171697</v>
      </c>
      <c r="BU254" s="1477"/>
      <c r="BV254" s="1364">
        <f>+BV237/BQ237-1</f>
        <v>3.6995515695067427E-2</v>
      </c>
      <c r="BW254" s="1364">
        <f>+BW237/BR237-1</f>
        <v>0.21166689382581438</v>
      </c>
      <c r="BX254" s="1364">
        <f>+BX237/BS237-1</f>
        <v>4.6848587297754207E-2</v>
      </c>
      <c r="BY254" s="1364">
        <f>+BY237/BT237-1</f>
        <v>-5.4020100502512602E-2</v>
      </c>
      <c r="BZ254" s="1477"/>
      <c r="CA254" s="1364">
        <f>+CA237/BV237-1</f>
        <v>0.37432432432432439</v>
      </c>
      <c r="CB254" s="1364">
        <f>+CB237/BW237-1</f>
        <v>-8.2114735658042726E-2</v>
      </c>
      <c r="CC254" s="1364">
        <f>+CC237/BX237-1</f>
        <v>7.3817762399077225E-2</v>
      </c>
      <c r="CD254" s="1364">
        <f>+CD237/BY237-1</f>
        <v>-6.5073041168658752E-2</v>
      </c>
      <c r="CE254" s="1477"/>
      <c r="CF254" s="1364">
        <f>+CF237/CA237-1</f>
        <v>-8.8495575221239076E-3</v>
      </c>
      <c r="CG254" s="1364">
        <f>+CG237/CB237-1</f>
        <v>0.22181372549019618</v>
      </c>
      <c r="CH254" s="1364">
        <f>+CH237/CC237-1</f>
        <v>0.17508055853920523</v>
      </c>
      <c r="CI254" s="1364">
        <f>+CI237/CD237-1</f>
        <v>0.27556818181818188</v>
      </c>
      <c r="CJ254" s="1477"/>
      <c r="CK254" s="1364">
        <f>+CK237/CF237-1</f>
        <v>6.4484126984126977E-2</v>
      </c>
      <c r="CL254" s="1364">
        <f>+CL237/CG237-1</f>
        <v>-9.4282848545636955E-2</v>
      </c>
      <c r="CM254" s="1364">
        <f>+CM237/CH237-1</f>
        <v>4.2961608775137217E-2</v>
      </c>
      <c r="CN254" s="1364">
        <f>+CN237/CI237-1</f>
        <v>-2.7839643652561197E-2</v>
      </c>
      <c r="CO254" s="1811"/>
      <c r="CP254" s="2008">
        <f>+CP237/CK237-1</f>
        <v>-4.1938490214352253E-2</v>
      </c>
      <c r="CQ254" s="2008">
        <f>+CQ237/CL237-1</f>
        <v>-9.7452934662237034E-2</v>
      </c>
      <c r="CR254" s="2008">
        <f>+CR237/CM237-1</f>
        <v>-8.3260297984224407E-2</v>
      </c>
      <c r="CS254" s="2827">
        <f>+CS237/CN237-1</f>
        <v>0.16151202749140903</v>
      </c>
      <c r="CT254" s="3106"/>
      <c r="CU254" s="2827">
        <f>+CU237/CP237-1</f>
        <v>-0.29085603112840464</v>
      </c>
      <c r="CV254" s="2827">
        <f>+CV237/CQ237-1</f>
        <v>0.15705521472392636</v>
      </c>
      <c r="CW254" s="2827">
        <f>+CW237/CR237-1</f>
        <v>5.9273422562141409E-2</v>
      </c>
      <c r="CX254" s="2827">
        <f>+CX237/CS237-1</f>
        <v>-0.11932938856015785</v>
      </c>
      <c r="CY254" s="3106"/>
      <c r="CZ254" s="2827">
        <f>+CZ237/CU237-1</f>
        <v>0.15912208504801106</v>
      </c>
      <c r="DA254" s="2827">
        <f>+DA237/CV237-1</f>
        <v>0.11983032873806998</v>
      </c>
      <c r="DB254" s="2827">
        <f>+DB237/CW237-1</f>
        <v>-0.223826714801444</v>
      </c>
      <c r="DC254" s="2827">
        <f>+DC237/CX237-1</f>
        <v>0.15524247387763168</v>
      </c>
      <c r="DD254" s="2835"/>
      <c r="DE254" s="2827">
        <f t="shared" ref="DE254:DG254" si="466">+DE237/CZ237-1</f>
        <v>-1.7731698006110519E-2</v>
      </c>
      <c r="DF254" s="2827">
        <f t="shared" si="466"/>
        <v>3.7828010437961135E-2</v>
      </c>
      <c r="DG254" s="2827">
        <f t="shared" si="466"/>
        <v>0.12655603923977088</v>
      </c>
      <c r="DH254" s="2827">
        <f>+DH237/DC237-1</f>
        <v>2.8272207013603667E-2</v>
      </c>
      <c r="DI254" s="2835"/>
      <c r="DJ254" s="3106"/>
      <c r="DK254" s="1104"/>
      <c r="DL254" s="186"/>
      <c r="DM254" s="186"/>
      <c r="DN254" s="11"/>
      <c r="DO254" s="11"/>
      <c r="DP254" s="11"/>
      <c r="DQ254" s="11"/>
      <c r="DR254" s="11"/>
      <c r="DS254" s="11"/>
      <c r="DT254" s="11"/>
    </row>
    <row r="255" spans="1:124" s="2068" customFormat="1">
      <c r="A255" s="1477" t="str">
        <f>+A245</f>
        <v>Total Affiliate and Subscription Revenue</v>
      </c>
      <c r="B255" s="1477"/>
      <c r="C255" s="1477"/>
      <c r="D255" s="1477"/>
      <c r="E255" s="1477"/>
      <c r="F255" s="1477"/>
      <c r="G255" s="1477"/>
      <c r="H255" s="1477"/>
      <c r="I255" s="1477"/>
      <c r="J255" s="1477"/>
      <c r="K255" s="1364">
        <f>+K245/J245-1</f>
        <v>9.4698629279589275E-2</v>
      </c>
      <c r="L255" s="1364">
        <f>+L245/K245-1</f>
        <v>9.8341909662664317E-2</v>
      </c>
      <c r="M255" s="1364">
        <f t="shared" ref="M255:W255" si="467">+M245/L245-1</f>
        <v>0.15616866215512726</v>
      </c>
      <c r="N255" s="1364">
        <f t="shared" si="467"/>
        <v>6.3484916704187766E-2</v>
      </c>
      <c r="O255" s="2711"/>
      <c r="P255" s="2711">
        <f t="shared" si="467"/>
        <v>6.3484916704187766E-2</v>
      </c>
      <c r="Q255" s="1364">
        <f t="shared" si="467"/>
        <v>0.15325994919559682</v>
      </c>
      <c r="R255" s="1364">
        <f t="shared" si="467"/>
        <v>9.3245227606461256E-2</v>
      </c>
      <c r="S255" s="2711"/>
      <c r="T255" s="1364">
        <f>+T245/R245-1</f>
        <v>0.24931209621411088</v>
      </c>
      <c r="U255" s="1364">
        <f t="shared" si="467"/>
        <v>7.1129459430740116E-2</v>
      </c>
      <c r="V255" s="1364">
        <f t="shared" si="467"/>
        <v>0.14659423230987922</v>
      </c>
      <c r="W255" s="1364">
        <f t="shared" si="467"/>
        <v>0.14290476380134387</v>
      </c>
      <c r="X255" s="1364">
        <f t="shared" ref="X255:AE255" si="468">+X245/W245-1</f>
        <v>0.10018324677999213</v>
      </c>
      <c r="Y255" s="1364">
        <f t="shared" si="468"/>
        <v>6.2186207255762405E-2</v>
      </c>
      <c r="Z255" s="1364">
        <f t="shared" si="468"/>
        <v>5.4556056525719265E-2</v>
      </c>
      <c r="AA255" s="1364">
        <f t="shared" si="468"/>
        <v>4.71941759429646E-2</v>
      </c>
      <c r="AB255" s="1364">
        <f t="shared" si="468"/>
        <v>4.3231262279202154E-2</v>
      </c>
      <c r="AC255" s="1364">
        <f t="shared" si="468"/>
        <v>4.2827368190968551E-2</v>
      </c>
      <c r="AD255" s="1364">
        <f t="shared" si="468"/>
        <v>4.2076237507231218E-2</v>
      </c>
      <c r="AE255" s="1364">
        <f t="shared" si="468"/>
        <v>3.9534245413194613E-2</v>
      </c>
      <c r="AF255" s="1798"/>
      <c r="AG255" s="1798"/>
      <c r="AH255" s="1798"/>
      <c r="AI255" s="1798"/>
      <c r="AJ255" s="1798"/>
      <c r="AK255" s="1798"/>
      <c r="AL255" s="1477" t="s">
        <v>985</v>
      </c>
      <c r="AM255" s="1477"/>
      <c r="AN255" s="1477"/>
      <c r="AO255" s="1477"/>
      <c r="AP255" s="1477"/>
      <c r="AQ255" s="1811"/>
      <c r="AR255" s="1477"/>
      <c r="AS255" s="1477"/>
      <c r="AT255" s="1477"/>
      <c r="AU255" s="1477"/>
      <c r="AV255" s="1811"/>
      <c r="AW255" s="1477"/>
      <c r="AX255" s="1477"/>
      <c r="AY255" s="1477"/>
      <c r="AZ255" s="1477"/>
      <c r="BA255" s="1811"/>
      <c r="BB255" s="1477"/>
      <c r="BC255" s="1477"/>
      <c r="BD255" s="1477"/>
      <c r="BE255" s="1477"/>
      <c r="BF255" s="1811"/>
      <c r="BG255" s="1477"/>
      <c r="BH255" s="1477"/>
      <c r="BI255" s="1477"/>
      <c r="BJ255" s="1477"/>
      <c r="BK255" s="1811"/>
      <c r="BL255" s="1364"/>
      <c r="BM255" s="1364"/>
      <c r="BN255" s="1364"/>
      <c r="BO255" s="1364"/>
      <c r="BP255" s="1811"/>
      <c r="BQ255" s="1364">
        <f>+BQ245/BL245-1</f>
        <v>0.11447713370230117</v>
      </c>
      <c r="BR255" s="1364">
        <f>+BR245/BM245-1</f>
        <v>0.119131455399061</v>
      </c>
      <c r="BS255" s="1364">
        <f>+BS245/BN245-1</f>
        <v>0.14695139084012365</v>
      </c>
      <c r="BT255" s="1364">
        <f>+BT245/BO245-1</f>
        <v>7.8162008526765359E-3</v>
      </c>
      <c r="BU255" s="1477"/>
      <c r="BV255" s="1364">
        <f>+BV245/BQ245-1</f>
        <v>9.7752221641400849E-2</v>
      </c>
      <c r="BW255" s="1364">
        <f>+BW245/BR245-1</f>
        <v>0.11693759832197181</v>
      </c>
      <c r="BX255" s="1364">
        <f>+BX245/BS245-1</f>
        <v>7.3003429691327781E-2</v>
      </c>
      <c r="BY255" s="1364">
        <f>+BY245/BT245-1</f>
        <v>9.2831962397179835E-2</v>
      </c>
      <c r="BZ255" s="1477"/>
      <c r="CA255" s="1364">
        <f>+CA245/BV245-1</f>
        <v>8.3333333333333259E-2</v>
      </c>
      <c r="CB255" s="1364">
        <f>+CB245/BW245-1</f>
        <v>9.1549295774647987E-2</v>
      </c>
      <c r="CC255" s="1364">
        <f>+CC245/BX245-1</f>
        <v>0.13242009132420085</v>
      </c>
      <c r="CD255" s="1364">
        <f>+CD245/BY245-1</f>
        <v>8.602150537634401E-2</v>
      </c>
      <c r="CE255" s="1477"/>
      <c r="CF255" s="1364">
        <f>+CF245/CA245-1</f>
        <v>0.1406593406593406</v>
      </c>
      <c r="CG255" s="1364">
        <f>+CG245/CB245-1</f>
        <v>0.1806451612903226</v>
      </c>
      <c r="CH255" s="1364">
        <f>+CH245/CC245-1</f>
        <v>0.23185483870967749</v>
      </c>
      <c r="CI255" s="1364">
        <f>+CI245/CD245-1</f>
        <v>7.3267326732673332E-2</v>
      </c>
      <c r="CJ255" s="1477"/>
      <c r="CK255" s="1364">
        <f>+CK245/CF245-1</f>
        <v>9.2485549132947931E-2</v>
      </c>
      <c r="CL255" s="1364">
        <f>+CL245/CG245-1</f>
        <v>6.7395264116575593E-2</v>
      </c>
      <c r="CM255" s="1364">
        <f>+CM245/CH245-1</f>
        <v>-4.9099836333879043E-3</v>
      </c>
      <c r="CN255" s="1364">
        <f>+CN245/CI245-1</f>
        <v>0.10885608856088558</v>
      </c>
      <c r="CO255" s="1811"/>
      <c r="CP255" s="2008">
        <f>+CP245/CK245-1</f>
        <v>0.10758377425044086</v>
      </c>
      <c r="CQ255" s="2008">
        <f>+CQ245/CL245-1</f>
        <v>0.28327645051194539</v>
      </c>
      <c r="CR255" s="2008">
        <f>+CR245/CM245-1</f>
        <v>9.210526315789469E-2</v>
      </c>
      <c r="CS255" s="2827">
        <f>+CS245/CN245-1</f>
        <v>0.13144758735440942</v>
      </c>
      <c r="CT255" s="3106"/>
      <c r="CU255" s="2827">
        <f>+CU245/CP245-1</f>
        <v>0.14968152866242046</v>
      </c>
      <c r="CV255" s="2827">
        <f>+CV245/CQ245-1</f>
        <v>-2.5265957446808485E-2</v>
      </c>
      <c r="CW255" s="2827">
        <f>+CW245/CR245-1</f>
        <v>0.13403614457831314</v>
      </c>
      <c r="CX255" s="2827">
        <f>+CX245/CS245-1</f>
        <v>0.13235294117647056</v>
      </c>
      <c r="CY255" s="3106"/>
      <c r="CZ255" s="2827">
        <f>+CZ245/CU245-1</f>
        <v>0.16620498614958445</v>
      </c>
      <c r="DA255" s="2827">
        <f>+DA245/CV245-1</f>
        <v>0.15688949522510232</v>
      </c>
      <c r="DB255" s="2827">
        <f>+DB245/CW245-1</f>
        <v>0.52058432934926957</v>
      </c>
      <c r="DC255" s="2827">
        <f>+DC245/CX245-1</f>
        <v>0.14993691237093842</v>
      </c>
      <c r="DD255" s="1741"/>
      <c r="DE255" s="2827">
        <f t="shared" ref="DE255:DG255" si="469">+DE245/CZ245-1</f>
        <v>0.13874260689659446</v>
      </c>
      <c r="DF255" s="2827">
        <f t="shared" si="469"/>
        <v>0.16379977495570808</v>
      </c>
      <c r="DG255" s="2827">
        <f t="shared" si="469"/>
        <v>-0.11310691201386214</v>
      </c>
      <c r="DH255" s="2827">
        <f>+DH245/DC245-1</f>
        <v>0.15632436188792709</v>
      </c>
      <c r="DI255" s="2835"/>
      <c r="DJ255" s="1811"/>
      <c r="DK255" s="1104"/>
      <c r="DL255" s="186"/>
      <c r="DM255" s="186"/>
      <c r="DN255" s="11"/>
      <c r="DO255" s="11"/>
      <c r="DP255" s="11"/>
      <c r="DQ255" s="11"/>
      <c r="DR255" s="11"/>
      <c r="DS255" s="11"/>
      <c r="DT255" s="11"/>
    </row>
    <row r="256" spans="1:124">
      <c r="A256" s="1108"/>
      <c r="B256" s="1108"/>
      <c r="C256" s="1108"/>
      <c r="D256" s="1108"/>
      <c r="E256" s="1108"/>
      <c r="F256" s="1108"/>
      <c r="G256" s="1108"/>
      <c r="H256" s="1108"/>
      <c r="I256" s="1108"/>
      <c r="J256" s="1108"/>
      <c r="K256" s="1108"/>
      <c r="L256" s="1108"/>
      <c r="M256" s="1108"/>
      <c r="N256" s="1108"/>
      <c r="O256" s="2709"/>
      <c r="P256" s="2709"/>
      <c r="Q256" s="1108"/>
      <c r="R256" s="1108"/>
      <c r="S256" s="2709"/>
      <c r="T256" s="1108"/>
      <c r="U256" s="1108"/>
      <c r="V256" s="1108"/>
      <c r="W256" s="1108"/>
      <c r="X256" s="1108"/>
      <c r="Y256" s="1108"/>
      <c r="Z256" s="1108"/>
      <c r="AA256" s="1108"/>
      <c r="AB256" s="1108"/>
      <c r="AC256" s="1108"/>
      <c r="AD256" s="1108"/>
      <c r="AE256" s="1108"/>
      <c r="AF256" s="1798"/>
      <c r="AG256" s="1798"/>
      <c r="AH256" s="1798"/>
      <c r="AI256" s="1798"/>
      <c r="AJ256" s="1798"/>
      <c r="AK256" s="1798"/>
      <c r="AL256" s="1108"/>
      <c r="AM256" s="1108"/>
      <c r="AN256" s="1108"/>
      <c r="AO256" s="1108"/>
      <c r="AP256" s="1108"/>
      <c r="AQ256" s="1741"/>
      <c r="AR256" s="1108"/>
      <c r="AS256" s="1108"/>
      <c r="AT256" s="1108"/>
      <c r="AU256" s="1108"/>
      <c r="AV256" s="1741"/>
      <c r="AW256" s="1108"/>
      <c r="AX256" s="1108"/>
      <c r="AY256" s="1108"/>
      <c r="AZ256" s="1108"/>
      <c r="BA256" s="1741"/>
      <c r="BB256" s="1108"/>
      <c r="BC256" s="1108"/>
      <c r="BD256" s="1108"/>
      <c r="BE256" s="1108"/>
      <c r="BF256" s="1741"/>
      <c r="BG256" s="1108"/>
      <c r="BH256" s="1108"/>
      <c r="BI256" s="1108"/>
      <c r="BJ256" s="1108"/>
      <c r="BK256" s="1741"/>
      <c r="BL256" s="1108"/>
      <c r="BM256" s="1108"/>
      <c r="BN256" s="1108"/>
      <c r="BO256" s="1108"/>
      <c r="BP256" s="1741"/>
      <c r="BQ256" s="1108"/>
      <c r="BR256" s="1108"/>
      <c r="BS256" s="1108"/>
      <c r="BT256" s="1108"/>
      <c r="BU256" s="1108"/>
      <c r="BV256" s="1108"/>
      <c r="BW256" s="1108"/>
      <c r="BX256" s="1108"/>
      <c r="BY256" s="1108"/>
      <c r="BZ256" s="1108"/>
      <c r="CA256" s="1108"/>
      <c r="CB256" s="1108"/>
      <c r="CC256" s="1108"/>
      <c r="CD256" s="1108"/>
      <c r="CE256" s="1108"/>
      <c r="CF256" s="1108"/>
      <c r="CG256" s="1108"/>
      <c r="CH256" s="1108"/>
      <c r="CI256" s="1108"/>
      <c r="CJ256" s="1108"/>
      <c r="CK256" s="1470"/>
      <c r="CL256" s="1470"/>
      <c r="CM256" s="1470"/>
      <c r="CN256" s="1108"/>
      <c r="CO256" s="1741"/>
      <c r="CP256" s="1470"/>
      <c r="CQ256" s="1108"/>
      <c r="CR256" s="1108"/>
      <c r="CS256" s="2862"/>
      <c r="CT256" s="2835"/>
      <c r="CU256" s="2862"/>
      <c r="CV256" s="2862"/>
      <c r="CW256" s="2862"/>
      <c r="CX256" s="2862"/>
      <c r="CY256" s="2862"/>
      <c r="CZ256" s="2862"/>
      <c r="DA256" s="2862"/>
      <c r="DB256" s="2862"/>
      <c r="DC256" s="2862"/>
      <c r="DD256" s="2862"/>
      <c r="DE256" s="2862"/>
      <c r="DF256" s="2862"/>
      <c r="DG256" s="1741"/>
      <c r="DH256" s="1741"/>
      <c r="DI256" s="1741"/>
      <c r="DJ256" s="1741"/>
      <c r="DK256" s="11"/>
      <c r="DL256" s="11"/>
      <c r="DM256" s="11"/>
      <c r="DN256" s="11"/>
      <c r="DO256" s="11"/>
      <c r="DP256" s="11"/>
      <c r="DQ256" s="11"/>
      <c r="DR256" s="11"/>
      <c r="DS256" s="11"/>
      <c r="DT256" s="11"/>
    </row>
    <row r="257" spans="1:124">
      <c r="A257" s="1108" t="s">
        <v>740</v>
      </c>
      <c r="B257" s="1108"/>
      <c r="C257" s="1108"/>
      <c r="D257" s="1108"/>
      <c r="E257" s="1108"/>
      <c r="F257" s="1108"/>
      <c r="G257" s="1108"/>
      <c r="H257" s="1108"/>
      <c r="I257" s="1108"/>
      <c r="J257" s="1108"/>
      <c r="K257" s="1108"/>
      <c r="L257" s="1108"/>
      <c r="M257" s="1108"/>
      <c r="N257" s="1108"/>
      <c r="O257" s="2709"/>
      <c r="P257" s="2709"/>
      <c r="Q257" s="1108"/>
      <c r="R257" s="1108"/>
      <c r="S257" s="2709"/>
      <c r="T257" s="1108"/>
      <c r="U257" s="1108"/>
      <c r="V257" s="1108"/>
      <c r="W257" s="1108"/>
      <c r="X257" s="1108"/>
      <c r="Y257" s="1108"/>
      <c r="Z257" s="1108"/>
      <c r="AA257" s="1108"/>
      <c r="AB257" s="1108"/>
      <c r="AC257" s="1108"/>
      <c r="AD257" s="1108"/>
      <c r="AE257" s="1108"/>
      <c r="AF257" s="1798"/>
      <c r="AG257" s="1798"/>
      <c r="AH257" s="1798"/>
      <c r="AI257" s="1798"/>
      <c r="AJ257" s="1798"/>
      <c r="AK257" s="1798"/>
      <c r="AL257" s="1108" t="s">
        <v>740</v>
      </c>
      <c r="AM257" s="1108"/>
      <c r="AN257" s="1108"/>
      <c r="AO257" s="1108"/>
      <c r="AP257" s="1108"/>
      <c r="AQ257" s="1741"/>
      <c r="AR257" s="1108"/>
      <c r="AS257" s="1108"/>
      <c r="AT257" s="1108"/>
      <c r="AU257" s="1108"/>
      <c r="AV257" s="1741"/>
      <c r="AW257" s="1108"/>
      <c r="AX257" s="1108"/>
      <c r="AY257" s="1108"/>
      <c r="AZ257" s="1108"/>
      <c r="BA257" s="1741"/>
      <c r="BB257" s="1108"/>
      <c r="BC257" s="1108"/>
      <c r="BD257" s="1108"/>
      <c r="BE257" s="1108"/>
      <c r="BF257" s="1741"/>
      <c r="BG257" s="1108"/>
      <c r="BH257" s="1108"/>
      <c r="BI257" s="1108"/>
      <c r="BJ257" s="1108"/>
      <c r="BK257" s="1741"/>
      <c r="BL257" s="1108"/>
      <c r="BM257" s="1108"/>
      <c r="BN257" s="1108"/>
      <c r="BO257" s="1108"/>
      <c r="BP257" s="1741"/>
      <c r="BQ257" s="1108"/>
      <c r="BR257" s="1108"/>
      <c r="BS257" s="1108"/>
      <c r="BT257" s="1108"/>
      <c r="BU257" s="1108"/>
      <c r="BV257" s="1108"/>
      <c r="BW257" s="1108"/>
      <c r="BX257" s="1108"/>
      <c r="BY257" s="1108"/>
      <c r="BZ257" s="1108"/>
      <c r="CA257" s="1108"/>
      <c r="CB257" s="1108"/>
      <c r="CC257" s="1108"/>
      <c r="CD257" s="1108"/>
      <c r="CE257" s="1108"/>
      <c r="CF257" s="1108"/>
      <c r="CG257" s="1108"/>
      <c r="CH257" s="1108"/>
      <c r="CI257" s="1108"/>
      <c r="CJ257" s="1108"/>
      <c r="CK257" s="1470"/>
      <c r="CL257" s="1470"/>
      <c r="CM257" s="1470"/>
      <c r="CN257" s="1108"/>
      <c r="CO257" s="1741"/>
      <c r="CP257" s="1741"/>
      <c r="CQ257" s="1741"/>
      <c r="CR257" s="1741"/>
      <c r="CS257" s="1741"/>
      <c r="CT257" s="1741"/>
      <c r="CU257" s="1741"/>
      <c r="CV257" s="1741"/>
      <c r="CX257" s="1741"/>
      <c r="CY257" s="1741"/>
      <c r="CZ257" s="1741"/>
      <c r="DA257" s="1741"/>
      <c r="DB257" s="1741"/>
      <c r="DC257" s="1741"/>
      <c r="DD257" s="1741"/>
      <c r="DE257" s="1741"/>
      <c r="DF257" s="1741"/>
      <c r="DG257" s="1741"/>
      <c r="DH257" s="1741"/>
      <c r="DI257" s="1741"/>
      <c r="DJ257" s="1741"/>
      <c r="DK257" s="11"/>
      <c r="DL257" s="11"/>
      <c r="DM257" s="11"/>
      <c r="DN257" s="11"/>
      <c r="DO257" s="11"/>
      <c r="DP257" s="11"/>
      <c r="DQ257" s="11"/>
      <c r="DR257" s="11"/>
      <c r="DS257" s="11"/>
      <c r="DT257" s="11"/>
    </row>
    <row r="258" spans="1:124">
      <c r="A258" s="1108" t="s">
        <v>480</v>
      </c>
      <c r="B258" s="1108"/>
      <c r="C258" s="1108"/>
      <c r="D258" s="1108"/>
      <c r="E258" s="1108"/>
      <c r="F258" s="1108"/>
      <c r="G258" s="1135">
        <f t="shared" ref="G258:W258" si="470">G227/G250</f>
        <v>0.71676959651131766</v>
      </c>
      <c r="H258" s="1135">
        <f t="shared" si="470"/>
        <v>0.66397582979035097</v>
      </c>
      <c r="I258" s="1135">
        <f t="shared" si="470"/>
        <v>0.62784407441274315</v>
      </c>
      <c r="J258" s="1135">
        <f t="shared" si="470"/>
        <v>0.65099076800523481</v>
      </c>
      <c r="K258" s="1135">
        <f t="shared" si="470"/>
        <v>0.61589792476351102</v>
      </c>
      <c r="L258" s="1135">
        <f t="shared" si="470"/>
        <v>0.60037222253793265</v>
      </c>
      <c r="M258" s="1135">
        <f t="shared" si="470"/>
        <v>0.57596179010730186</v>
      </c>
      <c r="N258" s="1135">
        <f t="shared" si="470"/>
        <v>0.5218021150224541</v>
      </c>
      <c r="O258" s="2750"/>
      <c r="P258" s="2750"/>
      <c r="Q258" s="1135">
        <f>Q227/Q250</f>
        <v>0.50540112343367416</v>
      </c>
      <c r="R258" s="1135">
        <f t="shared" si="470"/>
        <v>0.52154872792993179</v>
      </c>
      <c r="S258" s="2750"/>
      <c r="T258" s="1135">
        <f t="shared" si="470"/>
        <v>0.42903529837140075</v>
      </c>
      <c r="U258" s="1135">
        <f t="shared" si="470"/>
        <v>0.43396357730814927</v>
      </c>
      <c r="V258" s="1135">
        <f t="shared" si="470"/>
        <v>0.42992960773015509</v>
      </c>
      <c r="W258" s="1135">
        <f t="shared" si="470"/>
        <v>0.39409798734992685</v>
      </c>
      <c r="X258" s="1135">
        <f t="shared" ref="X258:AC258" si="471">X227/X250</f>
        <v>0.37464420620383304</v>
      </c>
      <c r="Y258" s="1135">
        <f t="shared" si="471"/>
        <v>0.38458173137674168</v>
      </c>
      <c r="Z258" s="1135">
        <f t="shared" si="471"/>
        <v>0.35326044792564804</v>
      </c>
      <c r="AA258" s="1135">
        <f t="shared" si="471"/>
        <v>0.34780212597917715</v>
      </c>
      <c r="AB258" s="1135">
        <f t="shared" si="471"/>
        <v>0.35898289624521729</v>
      </c>
      <c r="AC258" s="1135">
        <f t="shared" si="471"/>
        <v>0.33023144668879545</v>
      </c>
      <c r="AD258" s="1135">
        <f>AD227/AD250</f>
        <v>0.32138849303651895</v>
      </c>
      <c r="AE258" s="1135">
        <f>AE227/AE250</f>
        <v>0.34298820616829562</v>
      </c>
      <c r="AF258" s="1798"/>
      <c r="AG258" s="1798"/>
      <c r="AH258" s="1798"/>
      <c r="AI258" s="1798"/>
      <c r="AJ258" s="1798"/>
      <c r="AK258" s="1798"/>
      <c r="AL258" s="1108" t="s">
        <v>480</v>
      </c>
      <c r="AM258" s="1108"/>
      <c r="AN258" s="1108"/>
      <c r="AO258" s="1108"/>
      <c r="AP258" s="1108"/>
      <c r="AQ258" s="1741"/>
      <c r="AR258" s="1108"/>
      <c r="AS258" s="1108"/>
      <c r="AT258" s="1108"/>
      <c r="AU258" s="1108"/>
      <c r="AV258" s="1741"/>
      <c r="AW258" s="1108"/>
      <c r="AX258" s="1108"/>
      <c r="AY258" s="1108"/>
      <c r="AZ258" s="1108"/>
      <c r="BA258" s="1741"/>
      <c r="BB258" s="1108"/>
      <c r="BC258" s="1108"/>
      <c r="BD258" s="1108"/>
      <c r="BE258" s="1108"/>
      <c r="BF258" s="1741"/>
      <c r="BG258" s="1108"/>
      <c r="BH258" s="1108"/>
      <c r="BI258" s="1108"/>
      <c r="BJ258" s="1108"/>
      <c r="BK258" s="1741"/>
      <c r="BL258" s="1108"/>
      <c r="BM258" s="1108"/>
      <c r="BN258" s="1108"/>
      <c r="BO258" s="1108"/>
      <c r="BP258" s="1741"/>
      <c r="BQ258" s="1108"/>
      <c r="BR258" s="1108"/>
      <c r="BS258" s="1108"/>
      <c r="BT258" s="1108"/>
      <c r="BU258" s="1108"/>
      <c r="BV258" s="1108"/>
      <c r="BW258" s="1108"/>
      <c r="BX258" s="1108"/>
      <c r="BY258" s="1108"/>
      <c r="BZ258" s="1108"/>
      <c r="CA258" s="1108"/>
      <c r="CB258" s="1108"/>
      <c r="CC258" s="1108"/>
      <c r="CD258" s="1108"/>
      <c r="CE258" s="1108"/>
      <c r="CF258" s="1108"/>
      <c r="CG258" s="1108"/>
      <c r="CH258" s="1108"/>
      <c r="CI258" s="1108"/>
      <c r="CJ258" s="1108"/>
      <c r="CK258" s="1108"/>
      <c r="CL258" s="1108"/>
      <c r="CM258" s="1108"/>
      <c r="CN258" s="1108"/>
      <c r="CO258" s="1108"/>
      <c r="CP258" s="2453">
        <v>98.039215686274503</v>
      </c>
      <c r="CQ258" s="2453">
        <v>99.90205680705192</v>
      </c>
      <c r="CR258" s="2453">
        <v>108.1081081081081</v>
      </c>
      <c r="CS258" s="2453">
        <v>114.28571428571428</v>
      </c>
      <c r="CT258" s="2279">
        <v>0</v>
      </c>
      <c r="CU258" s="1741"/>
      <c r="CV258" s="1741"/>
      <c r="CX258" s="1741"/>
      <c r="CY258" s="1741"/>
      <c r="CZ258" s="1741"/>
      <c r="DA258" s="1741"/>
      <c r="DB258" s="1741"/>
      <c r="DC258" s="1741"/>
      <c r="DD258" s="1741"/>
      <c r="DE258" s="1741"/>
      <c r="DF258" s="1741"/>
      <c r="DG258" s="1741"/>
      <c r="DH258" s="1741"/>
      <c r="DI258" s="1741"/>
      <c r="DJ258" s="1864"/>
      <c r="DK258" s="11"/>
      <c r="DL258" s="11"/>
      <c r="DM258" s="11"/>
      <c r="DN258" s="11"/>
      <c r="DO258" s="11"/>
      <c r="DP258" s="11"/>
      <c r="DQ258" s="11"/>
      <c r="DR258" s="11"/>
      <c r="DS258" s="11"/>
      <c r="DT258" s="11"/>
    </row>
    <row r="259" spans="1:124">
      <c r="A259" s="1108" t="s">
        <v>481</v>
      </c>
      <c r="B259" s="1108"/>
      <c r="C259" s="1108"/>
      <c r="D259" s="1108"/>
      <c r="E259" s="1108"/>
      <c r="F259" s="1108"/>
      <c r="G259" s="1135">
        <f>G237/G250</f>
        <v>0.19730145779910011</v>
      </c>
      <c r="H259" s="1135">
        <f>H237/H250</f>
        <v>0.24205004304926081</v>
      </c>
      <c r="I259" s="1135">
        <f t="shared" ref="I259:W259" si="472">I237/I250</f>
        <v>0.23977439506988679</v>
      </c>
      <c r="J259" s="1135">
        <f t="shared" si="472"/>
        <v>0.21845972204441028</v>
      </c>
      <c r="K259" s="1135">
        <f t="shared" si="472"/>
        <v>0.23824888171885317</v>
      </c>
      <c r="L259" s="1135">
        <f t="shared" si="472"/>
        <v>0.24634880945615734</v>
      </c>
      <c r="M259" s="1135">
        <f t="shared" si="472"/>
        <v>0.2615153101282387</v>
      </c>
      <c r="N259" s="1135">
        <f t="shared" si="472"/>
        <v>0.28900478053020429</v>
      </c>
      <c r="O259" s="2750"/>
      <c r="P259" s="2750"/>
      <c r="Q259" s="1135">
        <f>Q237/Q250</f>
        <v>0.28107446348840559</v>
      </c>
      <c r="R259" s="1135">
        <f t="shared" si="472"/>
        <v>0.25531766995690258</v>
      </c>
      <c r="S259" s="2750"/>
      <c r="T259" s="1135">
        <f t="shared" si="472"/>
        <v>0.27973589004962596</v>
      </c>
      <c r="U259" s="1135">
        <f t="shared" si="472"/>
        <v>0.27423145426722551</v>
      </c>
      <c r="V259" s="1135">
        <f t="shared" si="472"/>
        <v>0.26055295867177375</v>
      </c>
      <c r="W259" s="1135">
        <f t="shared" si="472"/>
        <v>0.26335651006697386</v>
      </c>
      <c r="X259" s="1135">
        <f t="shared" ref="X259:AC259" si="473">X237/X250</f>
        <v>0.26337164654853151</v>
      </c>
      <c r="Y259" s="1135">
        <f t="shared" si="473"/>
        <v>0.25544985789457242</v>
      </c>
      <c r="Z259" s="1135">
        <f t="shared" si="473"/>
        <v>0.26578308259247568</v>
      </c>
      <c r="AA259" s="1135">
        <f t="shared" si="473"/>
        <v>0.2657488978267919</v>
      </c>
      <c r="AB259" s="1135">
        <f t="shared" si="473"/>
        <v>0.25903772635424055</v>
      </c>
      <c r="AC259" s="1135">
        <f t="shared" si="473"/>
        <v>0.26859977570032639</v>
      </c>
      <c r="AD259" s="1135">
        <f>AD237/AD250</f>
        <v>0.26957895002692633</v>
      </c>
      <c r="AE259" s="1135">
        <f>AE237/AE250</f>
        <v>0.25828947703899602</v>
      </c>
      <c r="AF259" s="1798"/>
      <c r="AG259" s="1798"/>
      <c r="AH259" s="1798"/>
      <c r="AI259" s="1798"/>
      <c r="AJ259" s="1798"/>
      <c r="AK259" s="1798"/>
      <c r="AL259" s="1108" t="s">
        <v>481</v>
      </c>
      <c r="AM259" s="1108"/>
      <c r="AN259" s="1108"/>
      <c r="AO259" s="1108"/>
      <c r="AP259" s="1108"/>
      <c r="AQ259" s="1741"/>
      <c r="AR259" s="1108"/>
      <c r="AS259" s="1108"/>
      <c r="AT259" s="1108"/>
      <c r="AU259" s="1108"/>
      <c r="AV259" s="1741"/>
      <c r="AW259" s="1108"/>
      <c r="AX259" s="1108"/>
      <c r="AY259" s="1108"/>
      <c r="AZ259" s="1108"/>
      <c r="BA259" s="1741"/>
      <c r="BB259" s="1108"/>
      <c r="BC259" s="1108"/>
      <c r="BD259" s="1108"/>
      <c r="BE259" s="1108"/>
      <c r="BF259" s="1741"/>
      <c r="BG259" s="1108"/>
      <c r="BH259" s="1108"/>
      <c r="BI259" s="1108"/>
      <c r="BJ259" s="1108"/>
      <c r="BK259" s="1741"/>
      <c r="BL259" s="1108"/>
      <c r="BM259" s="1108"/>
      <c r="BN259" s="1108"/>
      <c r="BO259" s="1108"/>
      <c r="BP259" s="1741"/>
      <c r="BQ259" s="1108"/>
      <c r="BR259" s="1108"/>
      <c r="BS259" s="1108"/>
      <c r="BT259" s="1108"/>
      <c r="BU259" s="1108"/>
      <c r="BV259" s="1108"/>
      <c r="BW259" s="1108"/>
      <c r="BX259" s="1108"/>
      <c r="BY259" s="1108"/>
      <c r="BZ259" s="1108"/>
      <c r="CA259" s="1108"/>
      <c r="CB259" s="1108"/>
      <c r="CC259" s="1108"/>
      <c r="CD259" s="1108"/>
      <c r="CE259" s="1108"/>
      <c r="CF259" s="1108"/>
      <c r="CG259" s="1108"/>
      <c r="CH259" s="1108"/>
      <c r="CI259" s="1108"/>
      <c r="CJ259" s="1108"/>
      <c r="CK259" s="1648"/>
      <c r="CL259" s="1648"/>
      <c r="CM259" s="1648"/>
      <c r="CN259" s="1146"/>
      <c r="CO259" s="1741"/>
      <c r="CP259" s="2453">
        <v>82.167749999999998</v>
      </c>
      <c r="CQ259" s="2453">
        <v>82.167749999999998</v>
      </c>
      <c r="CR259" s="2453">
        <v>84.5154</v>
      </c>
      <c r="CS259" s="2453">
        <v>92.966940000000008</v>
      </c>
      <c r="CT259" s="2279">
        <v>0</v>
      </c>
      <c r="CU259" s="1741"/>
      <c r="CV259" s="1741"/>
      <c r="CX259" s="1741"/>
      <c r="CY259" s="1741"/>
      <c r="CZ259" s="1741"/>
      <c r="DA259" s="1741"/>
      <c r="DB259" s="1741"/>
      <c r="DC259" s="1741"/>
      <c r="DD259" s="1741"/>
      <c r="DE259" s="1741"/>
      <c r="DF259" s="1741"/>
      <c r="DG259" s="1470"/>
      <c r="DH259" s="1470"/>
      <c r="DI259" s="1470"/>
      <c r="DJ259" s="2445"/>
      <c r="DK259" s="11"/>
      <c r="DL259" s="11"/>
      <c r="DM259" s="11"/>
      <c r="DN259" s="11"/>
      <c r="DO259" s="11"/>
      <c r="DP259" s="11"/>
      <c r="DQ259" s="11"/>
      <c r="DR259" s="11"/>
      <c r="DS259" s="11"/>
      <c r="DT259" s="11"/>
    </row>
    <row r="260" spans="1:124">
      <c r="A260" s="1108" t="s">
        <v>985</v>
      </c>
      <c r="B260" s="1108"/>
      <c r="C260" s="1108"/>
      <c r="D260" s="1108"/>
      <c r="E260" s="1108"/>
      <c r="F260" s="1108"/>
      <c r="G260" s="1135">
        <f t="shared" ref="G260:W260" si="474">G245/G250</f>
        <v>8.2716205822893671E-2</v>
      </c>
      <c r="H260" s="1135">
        <f t="shared" si="474"/>
        <v>9.0977301726115387E-2</v>
      </c>
      <c r="I260" s="1135">
        <f t="shared" si="474"/>
        <v>0.11235678774233704</v>
      </c>
      <c r="J260" s="1135">
        <f t="shared" si="474"/>
        <v>0.11363604034196788</v>
      </c>
      <c r="K260" s="1135">
        <f t="shared" si="474"/>
        <v>0.12825401481264206</v>
      </c>
      <c r="L260" s="1135">
        <f t="shared" si="474"/>
        <v>0.13645791896345968</v>
      </c>
      <c r="M260" s="1135">
        <f t="shared" si="474"/>
        <v>0.1453153624705574</v>
      </c>
      <c r="N260" s="1135">
        <f t="shared" si="474"/>
        <v>0.1710850354918152</v>
      </c>
      <c r="O260" s="2750"/>
      <c r="P260" s="2750"/>
      <c r="Q260" s="1135">
        <f>Q245/Q250</f>
        <v>0.19616880311104709</v>
      </c>
      <c r="R260" s="1135">
        <f t="shared" si="474"/>
        <v>0.20700681217850692</v>
      </c>
      <c r="S260" s="2750"/>
      <c r="T260" s="1135">
        <f t="shared" si="474"/>
        <v>0.27441204927535268</v>
      </c>
      <c r="U260" s="1135">
        <f t="shared" si="474"/>
        <v>0.27627562866377048</v>
      </c>
      <c r="V260" s="1135">
        <f t="shared" si="474"/>
        <v>0.2952994514093899</v>
      </c>
      <c r="W260" s="1135">
        <f t="shared" si="474"/>
        <v>0.32894004656763853</v>
      </c>
      <c r="X260" s="1135">
        <f t="shared" ref="X260:AC260" si="475">X245/X250</f>
        <v>0.34910264325091411</v>
      </c>
      <c r="Y260" s="1135">
        <f t="shared" si="475"/>
        <v>0.34810391829799475</v>
      </c>
      <c r="Z260" s="1135">
        <f t="shared" si="475"/>
        <v>0.36925177699791761</v>
      </c>
      <c r="AA260" s="1135">
        <f t="shared" si="475"/>
        <v>0.37531112373454095</v>
      </c>
      <c r="AB260" s="1135">
        <f t="shared" si="475"/>
        <v>0.37161951426183204</v>
      </c>
      <c r="AC260" s="1135">
        <f t="shared" si="475"/>
        <v>0.39093139825890971</v>
      </c>
      <c r="AD260" s="1135">
        <f>AD245/AD250</f>
        <v>0.39920950931864063</v>
      </c>
      <c r="AE260" s="1135">
        <f>AE245/AE250</f>
        <v>0.38969433576510365</v>
      </c>
      <c r="AF260" s="1798"/>
      <c r="AG260" s="1798"/>
      <c r="AH260" s="1798"/>
      <c r="AI260" s="1798"/>
      <c r="AJ260" s="1798"/>
      <c r="AK260" s="1798"/>
      <c r="AL260" s="1108" t="s">
        <v>985</v>
      </c>
      <c r="AM260" s="1108"/>
      <c r="AN260" s="1108"/>
      <c r="AO260" s="1108"/>
      <c r="AP260" s="1108"/>
      <c r="AQ260" s="1108"/>
      <c r="AR260" s="1108"/>
      <c r="AS260" s="1108"/>
      <c r="AT260" s="1108"/>
      <c r="AU260" s="1108"/>
      <c r="AV260" s="1108"/>
      <c r="AW260" s="1108"/>
      <c r="AX260" s="1108"/>
      <c r="AY260" s="1108"/>
      <c r="AZ260" s="1108"/>
      <c r="BA260" s="1108"/>
      <c r="BB260" s="1108"/>
      <c r="BC260" s="1108"/>
      <c r="BD260" s="1108"/>
      <c r="BE260" s="1108"/>
      <c r="BF260" s="1108"/>
      <c r="BG260" s="1108"/>
      <c r="BH260" s="1108"/>
      <c r="BI260" s="1108"/>
      <c r="BJ260" s="1108"/>
      <c r="BK260" s="1108"/>
      <c r="BL260" s="1108"/>
      <c r="BM260" s="1108"/>
      <c r="BN260" s="1108"/>
      <c r="BO260" s="1108"/>
      <c r="BP260" s="1108"/>
      <c r="BQ260" s="1108"/>
      <c r="BR260" s="1108"/>
      <c r="BS260" s="1108"/>
      <c r="BT260" s="1108"/>
      <c r="BU260" s="1108"/>
      <c r="BV260" s="1108"/>
      <c r="BW260" s="1108"/>
      <c r="BX260" s="1108"/>
      <c r="BY260" s="1108"/>
      <c r="BZ260" s="1108"/>
      <c r="CA260" s="1108"/>
      <c r="CB260" s="1108"/>
      <c r="CC260" s="1108"/>
      <c r="CD260" s="1108"/>
      <c r="CE260" s="1108"/>
      <c r="CF260" s="1108"/>
      <c r="CG260" s="1108"/>
      <c r="CH260" s="1108"/>
      <c r="CI260" s="1108"/>
      <c r="CJ260" s="1108"/>
      <c r="CK260" s="1108"/>
      <c r="CL260" s="1108"/>
      <c r="CM260" s="1108"/>
      <c r="CN260" s="1108"/>
      <c r="CO260" s="1108"/>
      <c r="CP260" s="2452">
        <v>180.20696568627449</v>
      </c>
      <c r="CQ260" s="2452">
        <v>182.06980680705192</v>
      </c>
      <c r="CR260" s="2452">
        <v>192.6235081081081</v>
      </c>
      <c r="CS260" s="2452">
        <v>207.2526542857143</v>
      </c>
      <c r="CT260" s="2188"/>
      <c r="CU260" s="1741"/>
      <c r="CV260" s="1741"/>
      <c r="CX260" s="1741"/>
      <c r="CY260" s="1741"/>
      <c r="CZ260" s="1741"/>
      <c r="DA260" s="1741"/>
      <c r="DB260" s="1741"/>
      <c r="DC260" s="1741"/>
      <c r="DD260" s="1741"/>
      <c r="DE260" s="1741"/>
      <c r="DF260" s="1741"/>
      <c r="DG260" s="1357"/>
      <c r="DH260" s="1357"/>
      <c r="DI260" s="1357"/>
      <c r="DJ260" s="1357"/>
      <c r="DK260" s="1357"/>
      <c r="DL260" s="1357"/>
      <c r="DM260" s="1357"/>
      <c r="DN260" s="1357"/>
      <c r="DO260" s="1357"/>
      <c r="DP260" s="1357"/>
      <c r="DQ260" s="11"/>
      <c r="DR260" s="11"/>
      <c r="DS260" s="11"/>
      <c r="DT260" s="11"/>
    </row>
    <row r="261" spans="1:124">
      <c r="A261" s="1108" t="s">
        <v>984</v>
      </c>
      <c r="B261" s="1108"/>
      <c r="C261" s="1108"/>
      <c r="D261" s="1108"/>
      <c r="E261" s="1108"/>
      <c r="F261" s="1108"/>
      <c r="G261" s="1871">
        <f>G248/G250</f>
        <v>3.2127398666885235E-3</v>
      </c>
      <c r="H261" s="1871">
        <f>H248/H250</f>
        <v>2.9968254342729352E-3</v>
      </c>
      <c r="I261" s="1871">
        <f t="shared" ref="I261:W261" si="476">I248/I250</f>
        <v>2.0024742775032845E-2</v>
      </c>
      <c r="J261" s="1871">
        <f t="shared" si="476"/>
        <v>1.6913469608387032E-2</v>
      </c>
      <c r="K261" s="1871">
        <f t="shared" si="476"/>
        <v>1.7599178704993768E-2</v>
      </c>
      <c r="L261" s="1871">
        <f t="shared" si="476"/>
        <v>1.7119395351480368E-2</v>
      </c>
      <c r="M261" s="1871">
        <f t="shared" si="476"/>
        <v>1.720753729390212E-2</v>
      </c>
      <c r="N261" s="1871">
        <f t="shared" si="476"/>
        <v>1.8108068955526586E-2</v>
      </c>
      <c r="O261" s="2751"/>
      <c r="P261" s="2751"/>
      <c r="Q261" s="1871">
        <f>Q248/Q250</f>
        <v>1.735560996687311E-2</v>
      </c>
      <c r="R261" s="1871">
        <f t="shared" si="476"/>
        <v>1.6126789934658697E-2</v>
      </c>
      <c r="S261" s="2751"/>
      <c r="T261" s="1871">
        <f t="shared" si="476"/>
        <v>1.6816762303620603E-2</v>
      </c>
      <c r="U261" s="1871">
        <f t="shared" si="476"/>
        <v>1.5529339760854926E-2</v>
      </c>
      <c r="V261" s="1871">
        <f t="shared" si="476"/>
        <v>1.4217982188681314E-2</v>
      </c>
      <c r="W261" s="1871">
        <f t="shared" si="476"/>
        <v>1.3605456015460749E-2</v>
      </c>
      <c r="X261" s="1871">
        <f t="shared" ref="X261:AC261" si="477">X248/X250</f>
        <v>1.2881503996721264E-2</v>
      </c>
      <c r="Y261" s="1871">
        <f t="shared" si="477"/>
        <v>1.1864492430691202E-2</v>
      </c>
      <c r="Z261" s="1871">
        <f t="shared" si="477"/>
        <v>1.1704692483958688E-2</v>
      </c>
      <c r="AA261" s="1871">
        <f t="shared" si="477"/>
        <v>1.113785245949005E-2</v>
      </c>
      <c r="AB261" s="1871">
        <f t="shared" si="477"/>
        <v>1.0359863138710136E-2</v>
      </c>
      <c r="AC261" s="1871">
        <f t="shared" si="477"/>
        <v>1.0237379351968393E-2</v>
      </c>
      <c r="AD261" s="1871">
        <f>AD248/AD250</f>
        <v>9.8230476179140738E-3</v>
      </c>
      <c r="AE261" s="1871">
        <f>AE248/AE250</f>
        <v>9.02798102760464E-3</v>
      </c>
      <c r="AF261" s="1798"/>
      <c r="AG261" s="1798"/>
      <c r="AH261" s="1798"/>
      <c r="AI261" s="1798"/>
      <c r="AJ261" s="1798"/>
      <c r="AK261" s="1798"/>
      <c r="AL261" s="1108" t="s">
        <v>984</v>
      </c>
      <c r="AM261" s="1108"/>
      <c r="AN261" s="1108"/>
      <c r="AO261" s="1108"/>
      <c r="AP261" s="1108"/>
      <c r="AQ261" s="1741"/>
      <c r="AR261" s="1108"/>
      <c r="AS261" s="1108"/>
      <c r="AT261" s="1108"/>
      <c r="AU261" s="1108"/>
      <c r="AV261" s="1741"/>
      <c r="AW261" s="1108"/>
      <c r="AX261" s="1108"/>
      <c r="AY261" s="1108"/>
      <c r="AZ261" s="1108"/>
      <c r="BA261" s="1741"/>
      <c r="BB261" s="1108"/>
      <c r="BC261" s="1108"/>
      <c r="BD261" s="1108"/>
      <c r="BE261" s="1108"/>
      <c r="BF261" s="1741"/>
      <c r="BG261" s="1108"/>
      <c r="BH261" s="1108"/>
      <c r="BI261" s="1108"/>
      <c r="BJ261" s="1108"/>
      <c r="BK261" s="1741"/>
      <c r="BL261" s="1108"/>
      <c r="BM261" s="1108"/>
      <c r="BN261" s="1108"/>
      <c r="BO261" s="1108"/>
      <c r="BP261" s="1741"/>
      <c r="BQ261" s="1108"/>
      <c r="BR261" s="1108"/>
      <c r="BS261" s="1108"/>
      <c r="BT261" s="1108"/>
      <c r="BU261" s="1108"/>
      <c r="BV261" s="1108"/>
      <c r="BW261" s="1108"/>
      <c r="BX261" s="1108"/>
      <c r="BY261" s="1108"/>
      <c r="BZ261" s="1108"/>
      <c r="CA261" s="1108"/>
      <c r="CB261" s="1108"/>
      <c r="CC261" s="1108"/>
      <c r="CD261" s="1108"/>
      <c r="CE261" s="1108"/>
      <c r="CF261" s="1108"/>
      <c r="CG261" s="1108"/>
      <c r="CH261" s="1108"/>
      <c r="CI261" s="1108"/>
      <c r="CJ261" s="1108"/>
      <c r="CK261" s="1108"/>
      <c r="CL261" s="1108"/>
      <c r="CM261" s="1108"/>
      <c r="CN261" s="1108"/>
      <c r="CO261" s="1108"/>
      <c r="CP261" s="1108"/>
      <c r="CQ261" s="1108"/>
      <c r="CR261" s="1108"/>
      <c r="CS261" s="1108"/>
      <c r="CT261" s="1108"/>
      <c r="CU261" s="1741"/>
      <c r="CV261" s="1741"/>
      <c r="CX261" s="1741"/>
      <c r="CY261" s="1741"/>
      <c r="CZ261" s="1741"/>
      <c r="DA261" s="1741"/>
      <c r="DB261" s="1741"/>
      <c r="DC261" s="1741"/>
      <c r="DD261" s="1741"/>
      <c r="DE261" s="1741"/>
      <c r="DF261" s="1741"/>
      <c r="DG261" s="1108"/>
      <c r="DH261" s="1108"/>
      <c r="DI261" s="2862"/>
      <c r="DJ261" s="1108"/>
      <c r="DK261" s="1108"/>
      <c r="DL261" s="1108"/>
      <c r="DM261" s="1108"/>
      <c r="DN261" s="1108"/>
      <c r="DO261" s="1108"/>
      <c r="DP261" s="1108"/>
      <c r="DQ261" s="11"/>
      <c r="DR261" s="11"/>
      <c r="DS261" s="11"/>
      <c r="DT261" s="11"/>
    </row>
    <row r="262" spans="1:124">
      <c r="A262" s="1108" t="s">
        <v>732</v>
      </c>
      <c r="B262" s="1108"/>
      <c r="C262" s="1108"/>
      <c r="D262" s="1108"/>
      <c r="E262" s="1108"/>
      <c r="F262" s="1108"/>
      <c r="G262" s="1729">
        <f t="shared" ref="G262:L262" si="478">SUM(G258:G261)</f>
        <v>1</v>
      </c>
      <c r="H262" s="1729">
        <f t="shared" si="478"/>
        <v>1.0000000000000002</v>
      </c>
      <c r="I262" s="1729">
        <f t="shared" si="478"/>
        <v>0.99999999999999978</v>
      </c>
      <c r="J262" s="1729">
        <f t="shared" si="478"/>
        <v>1</v>
      </c>
      <c r="K262" s="1729">
        <f t="shared" si="478"/>
        <v>1</v>
      </c>
      <c r="L262" s="1729">
        <f t="shared" si="478"/>
        <v>1.00029834630903</v>
      </c>
      <c r="M262" s="1729">
        <f t="shared" ref="M262:W262" si="479">SUM(M258:M261)</f>
        <v>1</v>
      </c>
      <c r="N262" s="1729">
        <f t="shared" si="479"/>
        <v>1.0000000000000002</v>
      </c>
      <c r="O262" s="2752"/>
      <c r="P262" s="2752"/>
      <c r="Q262" s="1729">
        <f>SUM(Q258:Q261)</f>
        <v>1</v>
      </c>
      <c r="R262" s="1729">
        <f t="shared" si="479"/>
        <v>1</v>
      </c>
      <c r="S262" s="2752"/>
      <c r="T262" s="1729">
        <f t="shared" si="479"/>
        <v>1</v>
      </c>
      <c r="U262" s="1729">
        <f t="shared" si="479"/>
        <v>1.0000000000000002</v>
      </c>
      <c r="V262" s="1729">
        <f t="shared" si="479"/>
        <v>1.0000000000000002</v>
      </c>
      <c r="W262" s="1729">
        <f t="shared" si="479"/>
        <v>1</v>
      </c>
      <c r="X262" s="1729">
        <f t="shared" ref="X262:AC262" si="480">SUM(X258:X261)</f>
        <v>0.99999999999999989</v>
      </c>
      <c r="Y262" s="1729">
        <f t="shared" si="480"/>
        <v>1</v>
      </c>
      <c r="Z262" s="1729">
        <f t="shared" si="480"/>
        <v>0.99999999999999989</v>
      </c>
      <c r="AA262" s="1729">
        <f t="shared" si="480"/>
        <v>1</v>
      </c>
      <c r="AB262" s="1729">
        <f t="shared" si="480"/>
        <v>1</v>
      </c>
      <c r="AC262" s="1729">
        <f t="shared" si="480"/>
        <v>1</v>
      </c>
      <c r="AD262" s="1729">
        <f>SUM(AD258:AD261)</f>
        <v>1</v>
      </c>
      <c r="AE262" s="1729">
        <f>SUM(AE258:AE261)</f>
        <v>1</v>
      </c>
      <c r="AF262" s="1798"/>
      <c r="AG262" s="1798"/>
      <c r="AH262" s="1798"/>
      <c r="AI262" s="1798"/>
      <c r="AJ262" s="1798"/>
      <c r="AK262" s="1798"/>
      <c r="AL262" s="1108" t="s">
        <v>732</v>
      </c>
      <c r="AM262" s="1108"/>
      <c r="AN262" s="1108"/>
      <c r="AO262" s="1108"/>
      <c r="AP262" s="1108"/>
      <c r="AQ262" s="1741"/>
      <c r="AR262" s="1108"/>
      <c r="AS262" s="1108"/>
      <c r="AT262" s="1108"/>
      <c r="AU262" s="1108"/>
      <c r="AV262" s="1741"/>
      <c r="AW262" s="1108"/>
      <c r="AX262" s="1108"/>
      <c r="AY262" s="1108"/>
      <c r="AZ262" s="1108"/>
      <c r="BA262" s="1741"/>
      <c r="BB262" s="1108"/>
      <c r="BC262" s="1108"/>
      <c r="BD262" s="1108"/>
      <c r="BE262" s="1108"/>
      <c r="BF262" s="1741"/>
      <c r="BG262" s="1108"/>
      <c r="BH262" s="1108"/>
      <c r="BI262" s="1108"/>
      <c r="BJ262" s="1108"/>
      <c r="BK262" s="1741"/>
      <c r="BL262" s="1108"/>
      <c r="BM262" s="1108"/>
      <c r="BN262" s="1108"/>
      <c r="BO262" s="1108"/>
      <c r="BP262" s="1741"/>
      <c r="BQ262" s="1108"/>
      <c r="BR262" s="1108"/>
      <c r="BS262" s="1108"/>
      <c r="BT262" s="1108"/>
      <c r="BU262" s="1108"/>
      <c r="BV262" s="1108"/>
      <c r="BW262" s="1108"/>
      <c r="BX262" s="1108"/>
      <c r="BY262" s="1108"/>
      <c r="BZ262" s="1108"/>
      <c r="CA262" s="1108"/>
      <c r="CB262" s="1108"/>
      <c r="CC262" s="1108"/>
      <c r="CD262" s="1108"/>
      <c r="CE262" s="1727"/>
      <c r="CF262" s="1727"/>
      <c r="CG262" s="1727"/>
      <c r="CH262" s="1727"/>
      <c r="CI262" s="1698"/>
      <c r="CJ262" s="1698"/>
      <c r="CK262" s="1698"/>
      <c r="CL262" s="1698"/>
      <c r="CM262" s="1698"/>
      <c r="CN262" s="1698"/>
      <c r="CO262" s="1698"/>
      <c r="CP262" s="1698"/>
      <c r="CQ262" s="1698"/>
      <c r="CR262" s="1698"/>
      <c r="CS262" s="1698"/>
      <c r="CT262" s="1698"/>
      <c r="CU262" s="1698"/>
      <c r="CV262" s="1698"/>
      <c r="CW262" s="1698"/>
      <c r="CX262" s="1698"/>
      <c r="CY262" s="1698"/>
      <c r="CZ262" s="1698"/>
      <c r="DA262" s="1698"/>
      <c r="DB262" s="1698"/>
      <c r="DC262" s="1698"/>
      <c r="DD262" s="1698"/>
      <c r="DE262" s="1698"/>
      <c r="DF262" s="1698"/>
      <c r="DG262" s="1698"/>
      <c r="DH262" s="1698"/>
      <c r="DI262" s="3286"/>
      <c r="DJ262" s="1698"/>
      <c r="DK262" s="1698"/>
      <c r="DL262" s="1698"/>
      <c r="DM262" s="1698"/>
      <c r="DN262" s="1698"/>
      <c r="DO262" s="1698"/>
      <c r="DP262" s="1698"/>
      <c r="DQ262" s="11"/>
      <c r="DR262" s="11"/>
      <c r="DS262" s="11"/>
      <c r="DT262" s="11"/>
    </row>
    <row r="263" spans="1:124">
      <c r="A263" s="1108"/>
      <c r="B263" s="1108"/>
      <c r="C263" s="1108"/>
      <c r="D263" s="1108"/>
      <c r="E263" s="1108"/>
      <c r="F263" s="1108"/>
      <c r="G263" s="1729"/>
      <c r="H263" s="1729"/>
      <c r="I263" s="1729"/>
      <c r="J263" s="1729"/>
      <c r="K263" s="1729"/>
      <c r="L263" s="1729"/>
      <c r="M263" s="1729"/>
      <c r="N263" s="1729"/>
      <c r="O263" s="2753"/>
      <c r="P263" s="2753"/>
      <c r="Q263" s="1727"/>
      <c r="R263" s="1727"/>
      <c r="S263" s="2753"/>
      <c r="T263" s="1727"/>
      <c r="U263" s="1727"/>
      <c r="V263" s="1727"/>
      <c r="W263" s="1727"/>
      <c r="X263" s="1727"/>
      <c r="Y263" s="1727"/>
      <c r="Z263" s="1727"/>
      <c r="AA263" s="1727"/>
      <c r="AB263" s="1727"/>
      <c r="AC263" s="1727"/>
      <c r="AD263" s="1727"/>
      <c r="AE263" s="1798"/>
      <c r="AF263" s="1798"/>
      <c r="AG263" s="1798"/>
      <c r="AH263" s="1798"/>
      <c r="AI263" s="1798"/>
      <c r="AJ263" s="1798"/>
      <c r="AK263" s="1798"/>
      <c r="AL263" s="1108"/>
      <c r="AM263" s="1108"/>
      <c r="AN263" s="1108"/>
      <c r="AO263" s="1108"/>
      <c r="AP263" s="1108"/>
      <c r="AQ263" s="1741"/>
      <c r="AR263" s="1108"/>
      <c r="AS263" s="1108"/>
      <c r="AT263" s="1108"/>
      <c r="AU263" s="1108"/>
      <c r="AV263" s="1741"/>
      <c r="AW263" s="1108"/>
      <c r="AX263" s="1108"/>
      <c r="AY263" s="1108"/>
      <c r="AZ263" s="1108"/>
      <c r="BA263" s="1741"/>
      <c r="BB263" s="1108"/>
      <c r="BC263" s="1108"/>
      <c r="BD263" s="1108"/>
      <c r="BE263" s="1108"/>
      <c r="BF263" s="1741"/>
      <c r="BG263" s="1108"/>
      <c r="BH263" s="1108"/>
      <c r="BI263" s="1108"/>
      <c r="BJ263" s="1108"/>
      <c r="BK263" s="1741"/>
      <c r="BL263" s="1108"/>
      <c r="BM263" s="1108"/>
      <c r="BN263" s="1108"/>
      <c r="BO263" s="1108"/>
      <c r="BP263" s="1741"/>
      <c r="BQ263" s="1108"/>
      <c r="BR263" s="1108"/>
      <c r="BS263" s="1108"/>
      <c r="BT263" s="1108"/>
      <c r="BU263" s="1108"/>
      <c r="BV263" s="1108"/>
      <c r="BW263" s="1108"/>
      <c r="BX263" s="1108"/>
      <c r="BY263" s="1108"/>
      <c r="BZ263" s="1108"/>
      <c r="CA263" s="1108"/>
      <c r="CB263" s="1108"/>
      <c r="CC263" s="1108"/>
      <c r="CD263" s="1108"/>
      <c r="CE263" s="1727"/>
      <c r="CF263" s="1727"/>
      <c r="CG263" s="1727"/>
      <c r="CH263" s="1727"/>
      <c r="CI263" s="1698"/>
      <c r="CJ263" s="1727"/>
      <c r="CK263" s="1470"/>
      <c r="CL263" s="1470"/>
      <c r="CM263" s="1470"/>
      <c r="CN263" s="1470"/>
      <c r="CO263" s="1470"/>
      <c r="CP263" s="1470"/>
      <c r="CQ263" s="1470"/>
      <c r="CR263" s="1470"/>
      <c r="CS263" s="1470"/>
      <c r="CT263" s="1470"/>
      <c r="CU263" s="1470"/>
      <c r="CV263" s="1470"/>
      <c r="CW263" s="1470"/>
      <c r="CX263" s="1470"/>
      <c r="CY263" s="1470"/>
      <c r="CZ263" s="1470"/>
      <c r="DA263" s="1470"/>
      <c r="DB263" s="1470"/>
      <c r="DC263" s="1470"/>
      <c r="DD263" s="1470"/>
      <c r="DE263" s="1470"/>
      <c r="DF263" s="1470"/>
      <c r="DG263" s="1741"/>
      <c r="DH263" s="1741"/>
      <c r="DI263" s="2835"/>
      <c r="DJ263" s="1470"/>
      <c r="DK263" s="1470"/>
      <c r="DL263" s="1470"/>
      <c r="DM263" s="1470"/>
      <c r="DN263" s="1470"/>
      <c r="DO263" s="1470"/>
      <c r="DP263" s="1470"/>
      <c r="DQ263" s="1470"/>
      <c r="DR263" s="11"/>
      <c r="DS263" s="11"/>
      <c r="DT263" s="11"/>
    </row>
    <row r="264" spans="1:124">
      <c r="A264" s="1666" t="s">
        <v>1751</v>
      </c>
      <c r="B264" s="1108"/>
      <c r="C264" s="1108"/>
      <c r="D264" s="1108"/>
      <c r="E264" s="1108"/>
      <c r="F264" s="1108"/>
      <c r="G264" s="1108"/>
      <c r="H264" s="1108"/>
      <c r="I264" s="1108"/>
      <c r="J264" s="101">
        <f>J3</f>
        <v>2010</v>
      </c>
      <c r="K264" s="101">
        <f>K3</f>
        <v>2011</v>
      </c>
      <c r="L264" s="101" t="str">
        <f>L3</f>
        <v>2012A</v>
      </c>
      <c r="M264" s="101" t="str">
        <f>M3</f>
        <v>2013A</v>
      </c>
      <c r="N264" s="101" t="str">
        <f>N3</f>
        <v>2014A</v>
      </c>
      <c r="O264" s="2709"/>
      <c r="P264" s="2709"/>
      <c r="Q264" s="101" t="str">
        <f>Q3</f>
        <v>2015A</v>
      </c>
      <c r="R264" s="101" t="str">
        <f t="shared" ref="R264:AC264" si="481">R3</f>
        <v>2016A</v>
      </c>
      <c r="S264" s="2740"/>
      <c r="T264" s="101" t="str">
        <f t="shared" si="481"/>
        <v>2017E</v>
      </c>
      <c r="U264" s="101" t="str">
        <f t="shared" si="481"/>
        <v>2018E</v>
      </c>
      <c r="V264" s="101" t="str">
        <f t="shared" si="481"/>
        <v>2019E</v>
      </c>
      <c r="W264" s="101" t="str">
        <f t="shared" si="481"/>
        <v>2020E</v>
      </c>
      <c r="X264" s="101" t="str">
        <f t="shared" si="481"/>
        <v>2021E</v>
      </c>
      <c r="Y264" s="101" t="str">
        <f t="shared" si="481"/>
        <v>2022E</v>
      </c>
      <c r="Z264" s="101" t="str">
        <f t="shared" si="481"/>
        <v>2023E</v>
      </c>
      <c r="AA264" s="101" t="str">
        <f t="shared" si="481"/>
        <v>2024E</v>
      </c>
      <c r="AB264" s="101" t="str">
        <f t="shared" si="481"/>
        <v>2025E</v>
      </c>
      <c r="AC264" s="101" t="str">
        <f t="shared" si="481"/>
        <v>2026E</v>
      </c>
      <c r="AD264" s="101" t="str">
        <f>AD3</f>
        <v>2027E</v>
      </c>
      <c r="AE264" s="101" t="str">
        <f>AE3</f>
        <v>2028E</v>
      </c>
      <c r="AF264" s="1798"/>
      <c r="AG264" s="1798"/>
      <c r="AH264" s="1798"/>
      <c r="AI264" s="1798"/>
      <c r="AJ264" s="1798"/>
      <c r="AK264" s="1798"/>
      <c r="AL264" s="1108" t="s">
        <v>1751</v>
      </c>
      <c r="AM264" s="1108"/>
      <c r="AN264" s="1108"/>
      <c r="AO264" s="1108"/>
      <c r="AP264" s="1108"/>
      <c r="AQ264" s="1741"/>
      <c r="AR264" s="1108"/>
      <c r="AS264" s="1108"/>
      <c r="AT264" s="1108"/>
      <c r="AU264" s="1108"/>
      <c r="AV264" s="1741"/>
      <c r="AW264" s="1108"/>
      <c r="AX264" s="1108"/>
      <c r="AY264" s="1108"/>
      <c r="AZ264" s="1108"/>
      <c r="BA264" s="1741"/>
      <c r="BB264" s="1108"/>
      <c r="BC264" s="1108"/>
      <c r="BD264" s="1108"/>
      <c r="BE264" s="1108"/>
      <c r="BF264" s="1741"/>
      <c r="BG264" s="1108"/>
      <c r="BH264" s="1108"/>
      <c r="BI264" s="1108"/>
      <c r="BJ264" s="1108"/>
      <c r="BK264" s="1741"/>
      <c r="BL264" s="1108"/>
      <c r="BM264" s="1108"/>
      <c r="BN264" s="1108"/>
      <c r="BO264" s="1108"/>
      <c r="BP264" s="1741"/>
      <c r="BQ264" s="1108"/>
      <c r="BR264" s="1108"/>
      <c r="BS264" s="1108"/>
      <c r="BT264" s="1108"/>
      <c r="BU264" s="1108"/>
      <c r="BV264" s="101" t="str">
        <f>BV3</f>
        <v>1Q</v>
      </c>
      <c r="BW264" s="101" t="str">
        <f>BW3</f>
        <v>2Q</v>
      </c>
      <c r="BX264" s="101" t="str">
        <f>BX3</f>
        <v>3Q</v>
      </c>
      <c r="BY264" s="101" t="str">
        <f>BY3</f>
        <v>4Q</v>
      </c>
      <c r="BZ264" s="1108"/>
      <c r="CA264" s="101" t="str">
        <f>CA3</f>
        <v>1Q</v>
      </c>
      <c r="CB264" s="101" t="str">
        <f>CB3</f>
        <v>2Q</v>
      </c>
      <c r="CC264" s="101" t="str">
        <f>CC3</f>
        <v>3Q</v>
      </c>
      <c r="CD264" s="101" t="str">
        <f>CD3</f>
        <v>4Q</v>
      </c>
      <c r="CE264" s="1108"/>
      <c r="CF264" s="101" t="str">
        <f>CF3</f>
        <v>1Q</v>
      </c>
      <c r="CG264" s="101" t="str">
        <f>CG3</f>
        <v>2Q</v>
      </c>
      <c r="CH264" s="101" t="str">
        <f>CH3</f>
        <v>3Q</v>
      </c>
      <c r="CI264" s="101" t="str">
        <f>CI3</f>
        <v>4Q</v>
      </c>
      <c r="CJ264" s="1108"/>
      <c r="CK264" s="101" t="str">
        <f>CK3</f>
        <v>1Q</v>
      </c>
      <c r="CL264" s="101" t="str">
        <f>CL3</f>
        <v>2Q</v>
      </c>
      <c r="CM264" s="101" t="str">
        <f>CM3</f>
        <v>3Q</v>
      </c>
      <c r="CN264" s="101" t="str">
        <f>CN3</f>
        <v>4Q</v>
      </c>
      <c r="CO264" s="1108"/>
      <c r="CP264" s="101" t="str">
        <f>CP3</f>
        <v>1Q</v>
      </c>
      <c r="CQ264" s="101" t="str">
        <f>CQ3</f>
        <v>2Q</v>
      </c>
      <c r="CR264" s="101" t="str">
        <f>CR3</f>
        <v>3Q</v>
      </c>
      <c r="CS264" s="101" t="str">
        <f>CS3</f>
        <v>4Q</v>
      </c>
      <c r="CT264" s="1108"/>
      <c r="CU264" s="101" t="str">
        <f>CU3</f>
        <v>1Q</v>
      </c>
      <c r="CV264" s="101" t="str">
        <f>CV3</f>
        <v>2Q</v>
      </c>
      <c r="CW264" s="101" t="str">
        <f>CW3</f>
        <v>3Q</v>
      </c>
      <c r="CX264" s="101" t="str">
        <f>CX3</f>
        <v>4Q</v>
      </c>
      <c r="CY264" s="1108"/>
      <c r="CZ264" s="101" t="str">
        <f>CZ3</f>
        <v>1Q</v>
      </c>
      <c r="DA264" s="101" t="str">
        <f>DA3</f>
        <v>2Q</v>
      </c>
      <c r="DB264" s="101" t="str">
        <f>DB3</f>
        <v>3Q</v>
      </c>
      <c r="DC264" s="101" t="str">
        <f>DC3</f>
        <v>4QE</v>
      </c>
      <c r="DD264" s="1741"/>
      <c r="DE264" s="101" t="str">
        <f>DE3</f>
        <v>1QE</v>
      </c>
      <c r="DF264" s="101" t="str">
        <f>DF3</f>
        <v>2QE</v>
      </c>
      <c r="DG264" s="101" t="str">
        <f>DG3</f>
        <v>3QE</v>
      </c>
      <c r="DH264" s="101" t="str">
        <f>DH3</f>
        <v>4QE</v>
      </c>
      <c r="DI264" s="2835"/>
      <c r="DJ264" s="1108"/>
      <c r="DK264" s="1108"/>
      <c r="DL264" s="1108"/>
      <c r="DM264" s="1108"/>
      <c r="DN264" s="1108"/>
      <c r="DO264"/>
      <c r="DP264"/>
      <c r="DQ264"/>
      <c r="DR264" s="11"/>
      <c r="DS264" s="11"/>
      <c r="DT264" s="11"/>
    </row>
    <row r="265" spans="1:124" s="769" customFormat="1">
      <c r="A265" s="1470" t="s">
        <v>1679</v>
      </c>
      <c r="B265" s="1470"/>
      <c r="C265" s="1470"/>
      <c r="D265" s="1470"/>
      <c r="E265" s="1470"/>
      <c r="F265" s="1470"/>
      <c r="G265" s="1470"/>
      <c r="H265" s="1470"/>
      <c r="I265" s="1470"/>
      <c r="J265" s="1659">
        <f>Retrans!B8</f>
        <v>84</v>
      </c>
      <c r="K265" s="1659">
        <f>Retrans!C8</f>
        <v>152.71200000000002</v>
      </c>
      <c r="L265" s="2017">
        <f>Retrans!D8</f>
        <v>208</v>
      </c>
      <c r="M265" s="2017">
        <f>Retrans!E8</f>
        <v>288.42</v>
      </c>
      <c r="N265" s="2017">
        <f>Retrans!F8</f>
        <v>358.83960000000002</v>
      </c>
      <c r="O265" s="2709"/>
      <c r="P265" s="2709"/>
      <c r="Q265" s="1776">
        <f>SUM(CP265:CS265)</f>
        <v>420.33509488714884</v>
      </c>
      <c r="R265" s="1776">
        <f>SUM(CU265:CX265)</f>
        <v>487.44572914026907</v>
      </c>
      <c r="S265" s="2744"/>
      <c r="T265" s="1776">
        <f>SUM(CZ265:DC265)</f>
        <v>557.74206776343999</v>
      </c>
      <c r="U265" s="1776">
        <f>SUM(DE265:DH265)</f>
        <v>691.45227188738284</v>
      </c>
      <c r="V265" s="2453">
        <f>Retrans!K8+Retrans!K37</f>
        <v>858.48398363968647</v>
      </c>
      <c r="W265" s="2453">
        <f>Retrans!L8+Retrans!L37</f>
        <v>1183.8948528897772</v>
      </c>
      <c r="X265" s="2453">
        <f>Retrans!M8+Retrans!M37</f>
        <v>1412.8884427688058</v>
      </c>
      <c r="Y265" s="2453">
        <f>Retrans!N8+Retrans!N37</f>
        <v>1517.4542758673838</v>
      </c>
      <c r="Z265" s="2453">
        <f>Retrans!O8+Retrans!O37</f>
        <v>1610.3302738707257</v>
      </c>
      <c r="AA265" s="2453">
        <f>Retrans!P8+Retrans!P37</f>
        <v>1690.7759941469949</v>
      </c>
      <c r="AB265" s="2453">
        <f>Retrans!Q8+Retrans!Q37</f>
        <v>1765.6538928514587</v>
      </c>
      <c r="AC265" s="2453">
        <f>Retrans!R8+Retrans!R37</f>
        <v>1844.2719707593201</v>
      </c>
      <c r="AD265" s="2453">
        <f>Retrans!S8+Retrans!S37</f>
        <v>1925.3801144580411</v>
      </c>
      <c r="AE265" s="2453">
        <f>Retrans!T8+Retrans!T37</f>
        <v>2002.515896318519</v>
      </c>
      <c r="AF265" s="1798"/>
      <c r="AG265" s="1798"/>
      <c r="AH265" s="1798"/>
      <c r="AI265" s="1798"/>
      <c r="AJ265" s="1798"/>
      <c r="AK265" s="1798"/>
      <c r="AL265" s="1470" t="s">
        <v>1679</v>
      </c>
      <c r="AM265" s="1470"/>
      <c r="AN265" s="1470"/>
      <c r="AO265" s="1470"/>
      <c r="AP265" s="1470"/>
      <c r="AQ265" s="2279"/>
      <c r="AR265" s="1470"/>
      <c r="AS265" s="1470"/>
      <c r="AT265" s="1470"/>
      <c r="AU265" s="1470"/>
      <c r="AV265" s="2279"/>
      <c r="AW265" s="1470"/>
      <c r="AX265" s="1470"/>
      <c r="AY265" s="1470"/>
      <c r="AZ265" s="1470"/>
      <c r="BA265" s="2279"/>
      <c r="BB265" s="1470"/>
      <c r="BC265" s="1470"/>
      <c r="BD265" s="1470"/>
      <c r="BE265" s="1470"/>
      <c r="BF265" s="2279"/>
      <c r="BG265" s="1470"/>
      <c r="BH265" s="1470"/>
      <c r="BI265" s="1470"/>
      <c r="BJ265" s="1470"/>
      <c r="BK265" s="2279"/>
      <c r="BL265" s="1470"/>
      <c r="BM265" s="1470"/>
      <c r="BN265" s="1470"/>
      <c r="BO265" s="1470"/>
      <c r="BP265" s="2279"/>
      <c r="BQ265" s="1470"/>
      <c r="BR265" s="1470"/>
      <c r="BS265" s="1470"/>
      <c r="BT265" s="1470"/>
      <c r="BU265" s="1470"/>
      <c r="BV265" s="1659">
        <f>BV242/SUM(BV$242:BY$242)*K265</f>
        <v>23.209921931852097</v>
      </c>
      <c r="BW265" s="1659">
        <f>BW242/SUM(BV$242:BY$242)*K265</f>
        <v>23.209921931852097</v>
      </c>
      <c r="BX265" s="1659">
        <f>BX242/SUM(BV$242:BY$242)*K265</f>
        <v>34.814882897778148</v>
      </c>
      <c r="BY265" s="1659">
        <f>BY242/SUM(BV$242:BY$242)*K265</f>
        <v>71.477273238517668</v>
      </c>
      <c r="BZ265" s="2454"/>
      <c r="CA265" s="2453">
        <f>Scenarios!AX85</f>
        <v>43</v>
      </c>
      <c r="CB265" s="2453">
        <f>Scenarios!AY85</f>
        <v>43</v>
      </c>
      <c r="CC265" s="2453">
        <f>Scenarios!AZ85</f>
        <v>56</v>
      </c>
      <c r="CD265" s="2453">
        <f>Scenarios!BA85</f>
        <v>66</v>
      </c>
      <c r="CE265" s="2454"/>
      <c r="CF265" s="2453">
        <f>Scenarios!BC85</f>
        <v>64.5</v>
      </c>
      <c r="CG265" s="2453">
        <f>Scenarios!BD85</f>
        <v>64.5</v>
      </c>
      <c r="CH265" s="2453">
        <f>Scenarios!BE85</f>
        <v>75.600000000000009</v>
      </c>
      <c r="CI265" s="2453">
        <f>Scenarios!BF85</f>
        <v>83.820000000000007</v>
      </c>
      <c r="CJ265" s="2454"/>
      <c r="CK265" s="2453">
        <f>Scenarios!BH85</f>
        <v>83.850000000000009</v>
      </c>
      <c r="CL265" s="2453">
        <f>Scenarios!BI85</f>
        <v>83.850000000000009</v>
      </c>
      <c r="CM265" s="2453">
        <f>Scenarios!BJ85</f>
        <v>92.232000000000014</v>
      </c>
      <c r="CN265" s="2453">
        <f>Scenarios!BK85</f>
        <v>98.907600000000002</v>
      </c>
      <c r="CO265" s="2279"/>
      <c r="CP265" s="2453">
        <f>Scenarios!BM85</f>
        <v>98.039215686274503</v>
      </c>
      <c r="CQ265" s="2453">
        <f>Scenarios!BN85</f>
        <v>99.90205680705192</v>
      </c>
      <c r="CR265" s="2453">
        <f>Scenarios!BO85</f>
        <v>108.1081081081081</v>
      </c>
      <c r="CS265" s="2453">
        <f>Scenarios!BP85</f>
        <v>114.28571428571428</v>
      </c>
      <c r="CT265" s="2279">
        <f>$Q265-SUM(CP265:CS265)</f>
        <v>0</v>
      </c>
      <c r="CU265" s="2453">
        <f>Scenarios!BR85+0.2*Retrans!$H$37</f>
        <v>121.79520643411441</v>
      </c>
      <c r="CV265" s="2453">
        <f>Scenarios!BS85+0.25*Retrans!$H$37</f>
        <v>120.04703834567331</v>
      </c>
      <c r="CW265" s="2453">
        <f>Scenarios!BT85+0.25*Retrans!$H$37</f>
        <v>120.7288565274915</v>
      </c>
      <c r="CX265" s="2453">
        <f>Scenarios!BU85+0.3*Retrans!$H$37</f>
        <v>124.87462783298979</v>
      </c>
      <c r="CY265" s="2279">
        <f>R265-SUM(CU265:CX265)</f>
        <v>0</v>
      </c>
      <c r="CZ265" s="2453">
        <f>Retrans!X8+Retrans!X37</f>
        <v>136.69916728402885</v>
      </c>
      <c r="DA265" s="2453">
        <f>Retrans!Y8+Retrans!Y37</f>
        <v>136.04370748094124</v>
      </c>
      <c r="DB265" s="3107">
        <f>Retrans!Z8+Retrans!Z37</f>
        <v>138.56473175161943</v>
      </c>
      <c r="DC265" s="3107">
        <f>Retrans!AA8+Retrans!AA37</f>
        <v>146.4344612468505</v>
      </c>
      <c r="DD265" s="1741">
        <f t="shared" si="357"/>
        <v>0</v>
      </c>
      <c r="DE265" s="2453">
        <f>Retrans!AC8+Retrans!AC37</f>
        <v>166.90506976499441</v>
      </c>
      <c r="DF265" s="2453">
        <f>Retrans!AD8+Retrans!AD37</f>
        <v>169.72183348752336</v>
      </c>
      <c r="DG265" s="2453">
        <f>Retrans!AE8+Retrans!AE37</f>
        <v>173.27476357105837</v>
      </c>
      <c r="DH265" s="2453">
        <f>Retrans!AF8+Retrans!AF37</f>
        <v>181.5506050638067</v>
      </c>
      <c r="DI265" s="3287">
        <f>U265-SUM(DE265:DH265)</f>
        <v>0</v>
      </c>
      <c r="DJ265" s="2279"/>
      <c r="DK265" s="2279"/>
      <c r="DL265" s="2279"/>
      <c r="DM265" s="2279"/>
      <c r="DN265" s="2279"/>
      <c r="DR265" s="906"/>
      <c r="DS265" s="906"/>
      <c r="DT265" s="906"/>
    </row>
    <row r="266" spans="1:124" s="769" customFormat="1">
      <c r="A266" s="1470" t="s">
        <v>1680</v>
      </c>
      <c r="B266" s="1470"/>
      <c r="C266" s="1470"/>
      <c r="D266" s="1470"/>
      <c r="E266" s="1470"/>
      <c r="F266" s="1470"/>
      <c r="G266" s="1470"/>
      <c r="H266" s="1470"/>
      <c r="I266" s="1470"/>
      <c r="J266" s="1659">
        <f>Retrans!B20</f>
        <v>11.935834824846065</v>
      </c>
      <c r="K266" s="1659">
        <f>Retrans!C20</f>
        <v>44.675996971794113</v>
      </c>
      <c r="L266" s="2017">
        <f>Retrans!D20</f>
        <v>72.8</v>
      </c>
      <c r="M266" s="2017">
        <f>Retrans!E20</f>
        <v>102.64799999999998</v>
      </c>
      <c r="N266" s="2017">
        <f>Retrans!F20</f>
        <v>184.7664</v>
      </c>
      <c r="O266" s="2709"/>
      <c r="P266" s="2709"/>
      <c r="Q266" s="1776">
        <f>SUM(CP266:CS266)</f>
        <v>341.81783999999999</v>
      </c>
      <c r="R266" s="1776">
        <f>SUM(CU266:CX266)</f>
        <v>551.11417318701263</v>
      </c>
      <c r="S266" s="2744"/>
      <c r="T266" s="1776">
        <f>SUM(CZ266:DC266)</f>
        <v>777.24423048273366</v>
      </c>
      <c r="U266" s="1776">
        <f>SUM(DE266:DH266)</f>
        <v>1031.2702056382095</v>
      </c>
      <c r="V266" s="2453">
        <f>Retrans!K20+Retrans!K43</f>
        <v>1233.3429953279974</v>
      </c>
      <c r="W266" s="2453">
        <f>Retrans!L20+Retrans!L43</f>
        <v>1427.8679232698282</v>
      </c>
      <c r="X266" s="2453">
        <f>Retrans!M20+Retrans!M43</f>
        <v>1592.7021650940419</v>
      </c>
      <c r="Y266" s="2453">
        <f>Retrans!N20+Retrans!N43</f>
        <v>1710.5645731284565</v>
      </c>
      <c r="Z266" s="2453">
        <f>Retrans!O20+Retrans!O43</f>
        <v>1815.2508959072704</v>
      </c>
      <c r="AA266" s="2453">
        <f>Retrans!P20+Retrans!P43</f>
        <v>1905.925863335179</v>
      </c>
      <c r="AB266" s="2453">
        <f>Retrans!Q20+Retrans!Q43</f>
        <v>1990.3246169732865</v>
      </c>
      <c r="AC266" s="2453">
        <f>Retrans!R20+Retrans!R43</f>
        <v>2078.9398699118715</v>
      </c>
      <c r="AD266" s="2453">
        <f>Retrans!S20+Retrans!S43</f>
        <v>2170.3620413762192</v>
      </c>
      <c r="AE266" s="2453">
        <f>Retrans!T20+Retrans!T43</f>
        <v>2257.3053013968565</v>
      </c>
      <c r="AF266" s="1798"/>
      <c r="AG266" s="1798"/>
      <c r="AH266" s="1798"/>
      <c r="AI266" s="1798"/>
      <c r="AJ266" s="1798"/>
      <c r="AK266" s="1798"/>
      <c r="AL266" s="1470" t="s">
        <v>1680</v>
      </c>
      <c r="AM266" s="1470"/>
      <c r="AN266" s="1470"/>
      <c r="AO266" s="1470"/>
      <c r="AP266" s="1470"/>
      <c r="AQ266" s="2279"/>
      <c r="AR266" s="1470"/>
      <c r="AS266" s="1470"/>
      <c r="AT266" s="1470"/>
      <c r="AU266" s="1470"/>
      <c r="AV266" s="2279"/>
      <c r="AW266" s="1470"/>
      <c r="AX266" s="1470"/>
      <c r="AY266" s="1470"/>
      <c r="AZ266" s="1470"/>
      <c r="BA266" s="2279"/>
      <c r="BB266" s="1470"/>
      <c r="BC266" s="1470"/>
      <c r="BD266" s="1470"/>
      <c r="BE266" s="1470"/>
      <c r="BF266" s="2279"/>
      <c r="BG266" s="1470"/>
      <c r="BH266" s="1470"/>
      <c r="BI266" s="1470"/>
      <c r="BJ266" s="1470"/>
      <c r="BK266" s="2279"/>
      <c r="BL266" s="1470"/>
      <c r="BM266" s="1470"/>
      <c r="BN266" s="1470"/>
      <c r="BO266" s="1470"/>
      <c r="BP266" s="2279"/>
      <c r="BQ266" s="1470"/>
      <c r="BR266" s="1470"/>
      <c r="BS266" s="1470"/>
      <c r="BT266" s="1470"/>
      <c r="BU266" s="1470"/>
      <c r="BV266" s="1659">
        <f>BV242/SUM(BV$242:BY$242)*K266</f>
        <v>6.7900780681478992</v>
      </c>
      <c r="BW266" s="1659">
        <f>BW242/SUM(BV$242:BY$242)*K266</f>
        <v>6.7900780681478992</v>
      </c>
      <c r="BX266" s="1659">
        <f>BX242/SUM(BV$242:BY$242)*K266</f>
        <v>10.185117102221851</v>
      </c>
      <c r="BY266" s="1659">
        <f>BY242/SUM(BV$242:BY$242)*K266</f>
        <v>20.910723733276463</v>
      </c>
      <c r="BZ266" s="2454"/>
      <c r="CA266" s="2453">
        <f>Scenarios!AX92</f>
        <v>17.5</v>
      </c>
      <c r="CB266" s="2453">
        <f>Scenarios!AY92</f>
        <v>17.5</v>
      </c>
      <c r="CC266" s="2453">
        <f>Scenarios!AZ92</f>
        <v>18</v>
      </c>
      <c r="CD266" s="2453">
        <f>Scenarios!BA92</f>
        <v>19.8</v>
      </c>
      <c r="CE266" s="2454"/>
      <c r="CF266" s="2453">
        <f>Scenarios!BC92</f>
        <v>24.674999999999997</v>
      </c>
      <c r="CG266" s="2453">
        <f>Scenarios!BD92</f>
        <v>24.674999999999997</v>
      </c>
      <c r="CH266" s="2453">
        <f>Scenarios!BE92</f>
        <v>25.38</v>
      </c>
      <c r="CI266" s="2453">
        <f>Scenarios!BF92</f>
        <v>27.917999999999999</v>
      </c>
      <c r="CJ266" s="2454"/>
      <c r="CK266" s="2453">
        <f>Scenarios!BH92</f>
        <v>44.414999999999999</v>
      </c>
      <c r="CL266" s="2453">
        <f>Scenarios!BI92</f>
        <v>44.414999999999999</v>
      </c>
      <c r="CM266" s="2453">
        <f>Scenarios!BJ92</f>
        <v>45.683999999999997</v>
      </c>
      <c r="CN266" s="2453">
        <f>Scenarios!BK92</f>
        <v>50.252400000000002</v>
      </c>
      <c r="CO266" s="2279">
        <f>$N266-SUM(CK266:CN266)</f>
        <v>0</v>
      </c>
      <c r="CP266" s="2453">
        <f>Scenarios!BM92</f>
        <v>82.167749999999998</v>
      </c>
      <c r="CQ266" s="2453">
        <f>Scenarios!BN92</f>
        <v>82.167749999999998</v>
      </c>
      <c r="CR266" s="2453">
        <f>Scenarios!BO92</f>
        <v>84.5154</v>
      </c>
      <c r="CS266" s="2453">
        <f>Scenarios!BP91</f>
        <v>92.966940000000008</v>
      </c>
      <c r="CT266" s="2279">
        <f>$Q266-SUM(CP266:CS266)</f>
        <v>0</v>
      </c>
      <c r="CU266" s="3107">
        <f>Scenarios!BR91+0.2*Retrans!$H$43</f>
        <v>138.04154807740252</v>
      </c>
      <c r="CV266" s="3107">
        <f>Scenarios!BS91+0.25*Retrans!$H$43</f>
        <v>142.97154509675315</v>
      </c>
      <c r="CW266" s="3107">
        <f>Scenarios!BT91+0.25*Retrans!$H$43</f>
        <v>134.77824659675315</v>
      </c>
      <c r="CX266" s="3107">
        <f>Scenarios!BU91+0.3*Retrans!$H$43</f>
        <v>135.3228334161038</v>
      </c>
      <c r="CY266" s="2975">
        <f>R266-SUM(CU266:CX266)</f>
        <v>0</v>
      </c>
      <c r="CZ266" s="2453">
        <f>Retrans!X20+Retrans!X43</f>
        <v>196.42179322380548</v>
      </c>
      <c r="DA266" s="2453">
        <f>Retrans!Y20+Retrans!Y43</f>
        <v>195.36479279193364</v>
      </c>
      <c r="DB266" s="3107">
        <f>Retrans!Z20+Retrans!Z43</f>
        <v>192.90263150644736</v>
      </c>
      <c r="DC266" s="3107">
        <f>Retrans!AA20+Retrans!AA43</f>
        <v>192.55501296054723</v>
      </c>
      <c r="DD266" s="1741">
        <f t="shared" si="357"/>
        <v>0</v>
      </c>
      <c r="DE266" s="2453">
        <f>Retrans!AC20+Retrans!AC43</f>
        <v>258.09479829390932</v>
      </c>
      <c r="DF266" s="2453">
        <f>Retrans!AD20+Retrans!AD43</f>
        <v>259.37806653238255</v>
      </c>
      <c r="DG266" s="2453">
        <f>Retrans!AE20+Retrans!AE43</f>
        <v>255.96150468151205</v>
      </c>
      <c r="DH266" s="2453">
        <f>Retrans!AF20+Retrans!AF43</f>
        <v>257.83583613040571</v>
      </c>
      <c r="DI266" s="3287">
        <f t="shared" ref="DI266:DI267" si="482">U266-SUM(DE266:DH266)</f>
        <v>0</v>
      </c>
      <c r="DJ266" s="2279"/>
      <c r="DK266" s="2279"/>
      <c r="DL266" s="2279"/>
      <c r="DM266" s="2279"/>
      <c r="DN266" s="2279"/>
      <c r="DR266" s="906"/>
      <c r="DS266" s="906"/>
      <c r="DT266" s="906"/>
    </row>
    <row r="267" spans="1:124" s="875" customFormat="1">
      <c r="A267" s="1494" t="s">
        <v>185</v>
      </c>
      <c r="B267" s="1494"/>
      <c r="C267" s="1494"/>
      <c r="D267" s="1494"/>
      <c r="E267" s="1494"/>
      <c r="F267" s="1494"/>
      <c r="G267" s="1494"/>
      <c r="H267" s="1494"/>
      <c r="I267" s="1494"/>
      <c r="J267" s="2452">
        <f>J265+J266</f>
        <v>95.935834824846069</v>
      </c>
      <c r="K267" s="2452">
        <f>K265+K266</f>
        <v>197.38799697179414</v>
      </c>
      <c r="L267" s="2452">
        <f>L265+L266</f>
        <v>280.8</v>
      </c>
      <c r="M267" s="2452">
        <f>M265+M266</f>
        <v>391.06799999999998</v>
      </c>
      <c r="N267" s="2452">
        <f>N265+N266</f>
        <v>543.60599999999999</v>
      </c>
      <c r="O267" s="2709"/>
      <c r="P267" s="2709"/>
      <c r="Q267" s="2452">
        <f t="shared" ref="Q267:AC267" si="483">Q265+Q266</f>
        <v>762.15293488714883</v>
      </c>
      <c r="R267" s="2452">
        <f t="shared" si="483"/>
        <v>1038.5599023272816</v>
      </c>
      <c r="S267" s="2754"/>
      <c r="T267" s="2452">
        <f t="shared" si="483"/>
        <v>1334.9862982461736</v>
      </c>
      <c r="U267" s="2452">
        <f t="shared" si="483"/>
        <v>1722.7224775255922</v>
      </c>
      <c r="V267" s="2452">
        <f t="shared" si="483"/>
        <v>2091.8269789676838</v>
      </c>
      <c r="W267" s="2452">
        <f t="shared" si="483"/>
        <v>2611.7627761596054</v>
      </c>
      <c r="X267" s="2452">
        <f t="shared" si="483"/>
        <v>3005.5906078628477</v>
      </c>
      <c r="Y267" s="2452">
        <f t="shared" si="483"/>
        <v>3228.01884899584</v>
      </c>
      <c r="Z267" s="2452">
        <f t="shared" si="483"/>
        <v>3425.5811697779964</v>
      </c>
      <c r="AA267" s="2452">
        <f t="shared" si="483"/>
        <v>3596.7018574821741</v>
      </c>
      <c r="AB267" s="2452">
        <f t="shared" si="483"/>
        <v>3755.9785098247453</v>
      </c>
      <c r="AC267" s="2452">
        <f t="shared" si="483"/>
        <v>3923.2118406711916</v>
      </c>
      <c r="AD267" s="2452">
        <f>AD265+AD266</f>
        <v>4095.7421558342603</v>
      </c>
      <c r="AE267" s="2452">
        <f>AE265+AE266</f>
        <v>4259.8211977153751</v>
      </c>
      <c r="AF267" s="1798"/>
      <c r="AG267" s="1798"/>
      <c r="AH267" s="1798"/>
      <c r="AI267" s="1798"/>
      <c r="AJ267" s="1798"/>
      <c r="AK267" s="1798"/>
      <c r="AL267" s="1494" t="s">
        <v>185</v>
      </c>
      <c r="AM267" s="1494"/>
      <c r="AN267" s="1494"/>
      <c r="AO267" s="1494"/>
      <c r="AP267" s="1494"/>
      <c r="AQ267" s="2188"/>
      <c r="AR267" s="1494"/>
      <c r="AS267" s="1494"/>
      <c r="AT267" s="1494"/>
      <c r="AU267" s="1494"/>
      <c r="AV267" s="2188"/>
      <c r="AW267" s="1494"/>
      <c r="AX267" s="1494"/>
      <c r="AY267" s="1494"/>
      <c r="AZ267" s="1494"/>
      <c r="BA267" s="2188"/>
      <c r="BB267" s="1494"/>
      <c r="BC267" s="1494"/>
      <c r="BD267" s="1494"/>
      <c r="BE267" s="1494"/>
      <c r="BF267" s="2188"/>
      <c r="BG267" s="1494"/>
      <c r="BH267" s="1494"/>
      <c r="BI267" s="1494"/>
      <c r="BJ267" s="1494"/>
      <c r="BK267" s="2188"/>
      <c r="BL267" s="1494"/>
      <c r="BM267" s="1494"/>
      <c r="BN267" s="1494"/>
      <c r="BO267" s="1494"/>
      <c r="BP267" s="2188"/>
      <c r="BQ267" s="1494"/>
      <c r="BR267" s="1494"/>
      <c r="BS267" s="1494"/>
      <c r="BT267" s="1494"/>
      <c r="BU267" s="1494"/>
      <c r="BV267" s="2452">
        <f>BV265+BV266</f>
        <v>29.999999999999996</v>
      </c>
      <c r="BW267" s="2452">
        <f>BW265+BW266</f>
        <v>29.999999999999996</v>
      </c>
      <c r="BX267" s="2452">
        <f>BX265+BX266</f>
        <v>45</v>
      </c>
      <c r="BY267" s="2452">
        <f>BY265+BY266</f>
        <v>92.387996971794138</v>
      </c>
      <c r="BZ267" s="2189"/>
      <c r="CA267" s="2452">
        <f>CA265+CA266</f>
        <v>60.5</v>
      </c>
      <c r="CB267" s="2452">
        <f>CB265+CB266</f>
        <v>60.5</v>
      </c>
      <c r="CC267" s="2452">
        <f>CC265+CC266</f>
        <v>74</v>
      </c>
      <c r="CD267" s="2452">
        <f>CD265+CD266</f>
        <v>85.8</v>
      </c>
      <c r="CE267" s="2189"/>
      <c r="CF267" s="2452">
        <f>CF265+CF266</f>
        <v>89.174999999999997</v>
      </c>
      <c r="CG267" s="2452">
        <f>CG265+CG266</f>
        <v>89.174999999999997</v>
      </c>
      <c r="CH267" s="2452">
        <f>CH265+CH266</f>
        <v>100.98</v>
      </c>
      <c r="CI267" s="2452">
        <f>CI265+CI266</f>
        <v>111.738</v>
      </c>
      <c r="CJ267" s="2189"/>
      <c r="CK267" s="2452">
        <f>CK265+CK266</f>
        <v>128.26500000000001</v>
      </c>
      <c r="CL267" s="2452">
        <f>CL265+CL266</f>
        <v>128.26500000000001</v>
      </c>
      <c r="CM267" s="2452">
        <f>CM265+CM266</f>
        <v>137.916</v>
      </c>
      <c r="CN267" s="2452">
        <f>CN265+CN266</f>
        <v>149.16</v>
      </c>
      <c r="CO267" s="2188"/>
      <c r="CP267" s="2452">
        <f>CP265+CP266</f>
        <v>180.20696568627449</v>
      </c>
      <c r="CQ267" s="2452">
        <f>CQ265+CQ266</f>
        <v>182.06980680705192</v>
      </c>
      <c r="CR267" s="2452">
        <f>CR265+CR266</f>
        <v>192.6235081081081</v>
      </c>
      <c r="CS267" s="2452">
        <f>CS265+CS266</f>
        <v>207.2526542857143</v>
      </c>
      <c r="CT267" s="2188"/>
      <c r="CU267" s="3108">
        <f>CU265+CU266</f>
        <v>259.83675451151692</v>
      </c>
      <c r="CV267" s="3108">
        <f>CV265+CV266</f>
        <v>263.01858344242646</v>
      </c>
      <c r="CW267" s="3108">
        <f>CW265+CW266</f>
        <v>255.50710312424465</v>
      </c>
      <c r="CX267" s="3108">
        <f>CX265+CX266</f>
        <v>260.19746124909358</v>
      </c>
      <c r="CY267" s="3102"/>
      <c r="CZ267" s="2452">
        <f>CZ265+CZ266</f>
        <v>333.1209605078343</v>
      </c>
      <c r="DA267" s="2452">
        <f>DA265+DA266</f>
        <v>331.4085002728749</v>
      </c>
      <c r="DB267" s="2452">
        <f>DB265+DB266</f>
        <v>331.46736325806683</v>
      </c>
      <c r="DC267" s="2452">
        <f>DC265+DC266</f>
        <v>338.98947420739773</v>
      </c>
      <c r="DD267" s="1741">
        <f t="shared" si="357"/>
        <v>0</v>
      </c>
      <c r="DE267" s="2452">
        <f>DE265+DE266</f>
        <v>424.99986805890376</v>
      </c>
      <c r="DF267" s="2452">
        <f>DF265+DF266</f>
        <v>429.09990001990593</v>
      </c>
      <c r="DG267" s="2452">
        <f>DG265+DG266</f>
        <v>429.23626825257043</v>
      </c>
      <c r="DH267" s="2452">
        <f>DH265+DH266</f>
        <v>439.38644119421241</v>
      </c>
      <c r="DI267" s="3287">
        <f t="shared" si="482"/>
        <v>0</v>
      </c>
      <c r="DJ267" s="2188"/>
      <c r="DK267" s="2188"/>
      <c r="DL267" s="2188"/>
      <c r="DM267" s="2188"/>
      <c r="DN267" s="2188"/>
      <c r="DR267" s="9"/>
      <c r="DS267" s="9"/>
      <c r="DT267" s="9"/>
    </row>
    <row r="268" spans="1:124" s="875" customFormat="1">
      <c r="A268" s="1477" t="s">
        <v>1681</v>
      </c>
      <c r="B268" s="1494"/>
      <c r="C268" s="1494"/>
      <c r="D268" s="1494"/>
      <c r="E268" s="1494"/>
      <c r="F268" s="1494"/>
      <c r="G268" s="1494"/>
      <c r="H268" s="1494"/>
      <c r="I268" s="1494"/>
      <c r="J268" s="1476"/>
      <c r="K268" s="1476">
        <f t="shared" ref="K268:N270" si="484">K265/J265-1</f>
        <v>0.81800000000000028</v>
      </c>
      <c r="L268" s="1476">
        <f t="shared" si="484"/>
        <v>0.36204096600136193</v>
      </c>
      <c r="M268" s="1476">
        <f t="shared" si="484"/>
        <v>0.38663461538461541</v>
      </c>
      <c r="N268" s="1476">
        <f t="shared" si="484"/>
        <v>0.24415643852714797</v>
      </c>
      <c r="O268" s="2709"/>
      <c r="P268" s="2709"/>
      <c r="Q268" s="1476">
        <f>Q265/N265-1</f>
        <v>0.17137321211802936</v>
      </c>
      <c r="R268" s="1476">
        <f>R265/Q265-1</f>
        <v>0.15965984061154348</v>
      </c>
      <c r="S268" s="2725"/>
      <c r="T268" s="1476">
        <f>T265/R265-1</f>
        <v>0.1442136722526135</v>
      </c>
      <c r="U268" s="1476">
        <f t="shared" ref="U268:AE268" si="485">U265/T265-1</f>
        <v>0.23973483775416859</v>
      </c>
      <c r="V268" s="1476">
        <f t="shared" si="485"/>
        <v>0.24156650942280544</v>
      </c>
      <c r="W268" s="1476">
        <f t="shared" si="485"/>
        <v>0.37905292987582251</v>
      </c>
      <c r="X268" s="1476">
        <f t="shared" si="485"/>
        <v>0.19342392554547949</v>
      </c>
      <c r="Y268" s="1476">
        <f t="shared" si="485"/>
        <v>7.4008555759478512E-2</v>
      </c>
      <c r="Z268" s="1476">
        <f t="shared" si="485"/>
        <v>6.1205137762884831E-2</v>
      </c>
      <c r="AA268" s="1476">
        <f t="shared" si="485"/>
        <v>4.9956037951707222E-2</v>
      </c>
      <c r="AB268" s="1476">
        <f t="shared" si="485"/>
        <v>4.4286114165135171E-2</v>
      </c>
      <c r="AC268" s="1476">
        <f t="shared" si="485"/>
        <v>4.4526324341457535E-2</v>
      </c>
      <c r="AD268" s="1476">
        <f t="shared" si="485"/>
        <v>4.3978407189763535E-2</v>
      </c>
      <c r="AE268" s="1476">
        <f t="shared" si="485"/>
        <v>4.0062625183074685E-2</v>
      </c>
      <c r="AF268" s="1798"/>
      <c r="AG268" s="1798"/>
      <c r="AH268" s="1798"/>
      <c r="AI268" s="1798"/>
      <c r="AJ268" s="1798"/>
      <c r="AK268" s="1798"/>
      <c r="AL268" s="1494" t="s">
        <v>1681</v>
      </c>
      <c r="AM268" s="1494"/>
      <c r="AN268" s="1494"/>
      <c r="AO268" s="1494"/>
      <c r="AP268" s="1494"/>
      <c r="AQ268" s="2188"/>
      <c r="AR268" s="1494"/>
      <c r="AS268" s="1494"/>
      <c r="AT268" s="1494"/>
      <c r="AU268" s="1494"/>
      <c r="AV268" s="2188"/>
      <c r="AW268" s="1494"/>
      <c r="AX268" s="1494"/>
      <c r="AY268" s="1494"/>
      <c r="AZ268" s="1494"/>
      <c r="BA268" s="2188"/>
      <c r="BB268" s="1494"/>
      <c r="BC268" s="1494"/>
      <c r="BD268" s="1494"/>
      <c r="BE268" s="1494"/>
      <c r="BF268" s="2188"/>
      <c r="BG268" s="1494"/>
      <c r="BH268" s="1494"/>
      <c r="BI268" s="1494"/>
      <c r="BJ268" s="1494"/>
      <c r="BK268" s="2188"/>
      <c r="BL268" s="1494"/>
      <c r="BM268" s="1494"/>
      <c r="BN268" s="1494"/>
      <c r="BO268" s="1494"/>
      <c r="BP268" s="2188"/>
      <c r="BQ268" s="1494"/>
      <c r="BR268" s="1494"/>
      <c r="BS268" s="1494"/>
      <c r="BT268" s="1494"/>
      <c r="BU268" s="1494"/>
      <c r="BV268" s="2451"/>
      <c r="BW268" s="2451"/>
      <c r="BX268" s="2451"/>
      <c r="BY268" s="2451"/>
      <c r="BZ268" s="2189"/>
      <c r="CA268" s="1476">
        <f t="shared" ref="CA268:CD270" si="486">CA265/BV265-1</f>
        <v>0.85265595146138873</v>
      </c>
      <c r="CB268" s="1476">
        <f t="shared" si="486"/>
        <v>0.85265595146138873</v>
      </c>
      <c r="CC268" s="1476">
        <f t="shared" si="486"/>
        <v>0.60850749274167071</v>
      </c>
      <c r="CD268" s="1476">
        <f t="shared" si="486"/>
        <v>-7.6629577351673195E-2</v>
      </c>
      <c r="CE268" s="2189"/>
      <c r="CF268" s="1476">
        <f t="shared" ref="CF268:CI270" si="487">CF265/CA265-1</f>
        <v>0.5</v>
      </c>
      <c r="CG268" s="1476">
        <f t="shared" si="487"/>
        <v>0.5</v>
      </c>
      <c r="CH268" s="1476">
        <f t="shared" si="487"/>
        <v>0.35000000000000009</v>
      </c>
      <c r="CI268" s="1476">
        <f t="shared" si="487"/>
        <v>0.27</v>
      </c>
      <c r="CJ268" s="2189"/>
      <c r="CK268" s="1476">
        <f t="shared" ref="CK268:CN270" si="488">CK265/CF265-1</f>
        <v>0.30000000000000004</v>
      </c>
      <c r="CL268" s="1476">
        <f t="shared" si="488"/>
        <v>0.30000000000000004</v>
      </c>
      <c r="CM268" s="1476">
        <f t="shared" si="488"/>
        <v>0.21999999999999997</v>
      </c>
      <c r="CN268" s="1476">
        <f t="shared" si="488"/>
        <v>0.17999999999999994</v>
      </c>
      <c r="CO268" s="2188"/>
      <c r="CP268" s="1476">
        <f t="shared" ref="CP268:CS270" si="489">CP265/CK265-1</f>
        <v>0.16922141545944536</v>
      </c>
      <c r="CQ268" s="1476">
        <f t="shared" si="489"/>
        <v>0.19143776752596198</v>
      </c>
      <c r="CR268" s="1476">
        <f t="shared" si="489"/>
        <v>0.17213231967330289</v>
      </c>
      <c r="CS268" s="1476">
        <f t="shared" si="489"/>
        <v>0.15547960202971534</v>
      </c>
      <c r="CT268" s="2188"/>
      <c r="CU268" s="2833">
        <f t="shared" ref="CU268:CX270" si="490">CU265/CP265-1</f>
        <v>0.24231110562796698</v>
      </c>
      <c r="CV268" s="2833">
        <f t="shared" si="490"/>
        <v>0.20164731520522006</v>
      </c>
      <c r="CW268" s="2833">
        <f t="shared" si="490"/>
        <v>0.11674192287929652</v>
      </c>
      <c r="CX268" s="2833">
        <f>CX265/CS265-1</f>
        <v>9.2652993538660633E-2</v>
      </c>
      <c r="CY268" s="3102"/>
      <c r="CZ268" s="1476">
        <f t="shared" ref="CZ268:DC270" si="491">CZ265/CU265-1</f>
        <v>0.12236902655094894</v>
      </c>
      <c r="DA268" s="1476">
        <f t="shared" si="491"/>
        <v>0.13325334265395039</v>
      </c>
      <c r="DB268" s="1476">
        <f t="shared" si="491"/>
        <v>0.14773498016248077</v>
      </c>
      <c r="DC268" s="1476">
        <f t="shared" si="491"/>
        <v>0.17265183318660493</v>
      </c>
      <c r="DD268" s="1741"/>
      <c r="DE268" s="1476">
        <f t="shared" ref="DE268:DE270" si="492">DE265/CZ265-1</f>
        <v>0.22096625079072196</v>
      </c>
      <c r="DF268" s="1476">
        <f t="shared" ref="DF268:DF270" si="493">DF265/DA265-1</f>
        <v>0.2475537210076415</v>
      </c>
      <c r="DG268" s="1476">
        <f t="shared" ref="DG268:DG270" si="494">DG265/DB265-1</f>
        <v>0.25049687161129497</v>
      </c>
      <c r="DH268" s="1476">
        <f t="shared" ref="DH268:DH270" si="495">DH265/DC265-1</f>
        <v>0.23980792170061305</v>
      </c>
      <c r="DI268" s="3102"/>
      <c r="DJ268" s="2188"/>
      <c r="DK268" s="2188"/>
      <c r="DL268" s="2188"/>
      <c r="DM268" s="2188"/>
      <c r="DN268" s="2188"/>
      <c r="DR268" s="9"/>
      <c r="DS268" s="9"/>
      <c r="DT268" s="9"/>
    </row>
    <row r="269" spans="1:124" s="875" customFormat="1">
      <c r="A269" s="1477" t="s">
        <v>1682</v>
      </c>
      <c r="B269" s="1494"/>
      <c r="C269" s="1494"/>
      <c r="D269" s="1494"/>
      <c r="E269" s="1494"/>
      <c r="F269" s="1494"/>
      <c r="G269" s="1494"/>
      <c r="H269" s="1494"/>
      <c r="I269" s="1494"/>
      <c r="J269" s="1476"/>
      <c r="K269" s="1476">
        <f t="shared" si="484"/>
        <v>2.743014010113054</v>
      </c>
      <c r="L269" s="1476">
        <f t="shared" si="484"/>
        <v>0.62951036203986188</v>
      </c>
      <c r="M269" s="1476">
        <f t="shared" si="484"/>
        <v>0.4099999999999997</v>
      </c>
      <c r="N269" s="1476">
        <f t="shared" si="484"/>
        <v>0.80000000000000027</v>
      </c>
      <c r="O269" s="2709"/>
      <c r="P269" s="2709"/>
      <c r="Q269" s="1476">
        <f>Q266/N266-1</f>
        <v>0.84999999999999987</v>
      </c>
      <c r="R269" s="1476">
        <f>R266/Q266-1</f>
        <v>0.61230371471252831</v>
      </c>
      <c r="S269" s="2725"/>
      <c r="T269" s="1476">
        <f>T266/R266-1</f>
        <v>0.41031435643914582</v>
      </c>
      <c r="U269" s="1476">
        <f t="shared" ref="U269:AE269" si="496">U266/T266-1</f>
        <v>0.32682902644089684</v>
      </c>
      <c r="V269" s="1476">
        <f t="shared" si="496"/>
        <v>0.19594553259175518</v>
      </c>
      <c r="W269" s="1476">
        <f t="shared" si="496"/>
        <v>0.1577216789479543</v>
      </c>
      <c r="X269" s="1476">
        <f t="shared" si="496"/>
        <v>0.11544081853645261</v>
      </c>
      <c r="Y269" s="1476">
        <f t="shared" si="496"/>
        <v>7.4001536895917486E-2</v>
      </c>
      <c r="Z269" s="1476">
        <f t="shared" si="496"/>
        <v>6.119986606957073E-2</v>
      </c>
      <c r="AA269" s="1476">
        <f t="shared" si="496"/>
        <v>4.9951754676087701E-2</v>
      </c>
      <c r="AB269" s="1476">
        <f t="shared" si="496"/>
        <v>4.4282285718300729E-2</v>
      </c>
      <c r="AC269" s="1476">
        <f t="shared" si="496"/>
        <v>4.4523015081501249E-2</v>
      </c>
      <c r="AD269" s="1476">
        <f t="shared" si="496"/>
        <v>4.3975380330852465E-2</v>
      </c>
      <c r="AE269" s="1476">
        <f t="shared" si="496"/>
        <v>4.0059334969527516E-2</v>
      </c>
      <c r="AF269" s="1798"/>
      <c r="AG269" s="1798"/>
      <c r="AH269" s="1798"/>
      <c r="AI269" s="1798"/>
      <c r="AJ269" s="1798"/>
      <c r="AK269" s="1798"/>
      <c r="AL269" s="1494" t="s">
        <v>1682</v>
      </c>
      <c r="AM269" s="1494"/>
      <c r="AN269" s="1494"/>
      <c r="AO269" s="1494"/>
      <c r="AP269" s="1494"/>
      <c r="AQ269" s="2188"/>
      <c r="AR269" s="1494"/>
      <c r="AS269" s="1494"/>
      <c r="AT269" s="1494"/>
      <c r="AU269" s="1494"/>
      <c r="AV269" s="2188"/>
      <c r="AW269" s="1494"/>
      <c r="AX269" s="1494"/>
      <c r="AY269" s="1494"/>
      <c r="AZ269" s="1494"/>
      <c r="BA269" s="2188"/>
      <c r="BB269" s="1494"/>
      <c r="BC269" s="1494"/>
      <c r="BD269" s="1494"/>
      <c r="BE269" s="1494"/>
      <c r="BF269" s="2188"/>
      <c r="BG269" s="1494"/>
      <c r="BH269" s="1494"/>
      <c r="BI269" s="1494"/>
      <c r="BJ269" s="1494"/>
      <c r="BK269" s="2188"/>
      <c r="BL269" s="1494"/>
      <c r="BM269" s="1494"/>
      <c r="BN269" s="1494"/>
      <c r="BO269" s="1494"/>
      <c r="BP269" s="2188"/>
      <c r="BQ269" s="1494"/>
      <c r="BR269" s="1494"/>
      <c r="BS269" s="1494"/>
      <c r="BT269" s="1494"/>
      <c r="BU269" s="1494"/>
      <c r="BV269" s="2451"/>
      <c r="BW269" s="2451"/>
      <c r="BX269" s="2451"/>
      <c r="BY269" s="2451"/>
      <c r="BZ269" s="2189"/>
      <c r="CA269" s="1476">
        <f t="shared" si="486"/>
        <v>1.5772899551909574</v>
      </c>
      <c r="CB269" s="1476">
        <f t="shared" si="486"/>
        <v>1.5772899551909574</v>
      </c>
      <c r="CC269" s="1476">
        <f t="shared" si="486"/>
        <v>0.76728454070237029</v>
      </c>
      <c r="CD269" s="1476">
        <f t="shared" si="486"/>
        <v>-5.3117421828346445E-2</v>
      </c>
      <c r="CE269" s="2189"/>
      <c r="CF269" s="1476">
        <f t="shared" si="487"/>
        <v>0.40999999999999992</v>
      </c>
      <c r="CG269" s="1476">
        <f t="shared" si="487"/>
        <v>0.40999999999999992</v>
      </c>
      <c r="CH269" s="1476">
        <f t="shared" si="487"/>
        <v>0.40999999999999992</v>
      </c>
      <c r="CI269" s="1476">
        <f t="shared" si="487"/>
        <v>0.40999999999999992</v>
      </c>
      <c r="CJ269" s="2189"/>
      <c r="CK269" s="1476">
        <f t="shared" si="488"/>
        <v>0.80000000000000027</v>
      </c>
      <c r="CL269" s="1476">
        <f t="shared" si="488"/>
        <v>0.80000000000000027</v>
      </c>
      <c r="CM269" s="1476">
        <f t="shared" si="488"/>
        <v>0.8</v>
      </c>
      <c r="CN269" s="1476">
        <f t="shared" si="488"/>
        <v>0.8</v>
      </c>
      <c r="CO269" s="2188"/>
      <c r="CP269" s="1476">
        <f t="shared" si="489"/>
        <v>0.85000000000000009</v>
      </c>
      <c r="CQ269" s="1476">
        <f t="shared" si="489"/>
        <v>0.85000000000000009</v>
      </c>
      <c r="CR269" s="1476">
        <f t="shared" si="489"/>
        <v>0.85000000000000009</v>
      </c>
      <c r="CS269" s="1476">
        <f t="shared" si="489"/>
        <v>0.85000000000000009</v>
      </c>
      <c r="CT269" s="2188"/>
      <c r="CU269" s="2833">
        <f t="shared" si="490"/>
        <v>0.67999669064082346</v>
      </c>
      <c r="CV269" s="2833">
        <f>CV266/CQ266-1</f>
        <v>0.73999586330102929</v>
      </c>
      <c r="CW269" s="2833">
        <f t="shared" si="490"/>
        <v>0.59471820043155632</v>
      </c>
      <c r="CX269" s="2833">
        <f t="shared" si="490"/>
        <v>0.45560167319806144</v>
      </c>
      <c r="CY269" s="3102"/>
      <c r="CZ269" s="1476">
        <f t="shared" si="491"/>
        <v>0.42291792550506635</v>
      </c>
      <c r="DA269" s="2833">
        <f t="shared" si="491"/>
        <v>0.36645926753973601</v>
      </c>
      <c r="DB269" s="2833">
        <f t="shared" si="491"/>
        <v>0.43125939368834643</v>
      </c>
      <c r="DC269" s="2833">
        <f t="shared" si="491"/>
        <v>0.42293069173670306</v>
      </c>
      <c r="DD269" s="1741"/>
      <c r="DE269" s="1476">
        <f t="shared" si="492"/>
        <v>0.3139824968395073</v>
      </c>
      <c r="DF269" s="1476">
        <f t="shared" si="493"/>
        <v>0.32766023409665213</v>
      </c>
      <c r="DG269" s="1476">
        <f t="shared" si="494"/>
        <v>0.32689483125561747</v>
      </c>
      <c r="DH269" s="1476">
        <f t="shared" si="495"/>
        <v>0.33902427242044286</v>
      </c>
      <c r="DI269" s="3102"/>
      <c r="DJ269" s="2188"/>
      <c r="DK269" s="2188"/>
      <c r="DL269" s="2188"/>
      <c r="DM269" s="2188"/>
      <c r="DN269" s="2188"/>
      <c r="DR269" s="9"/>
      <c r="DS269" s="9"/>
      <c r="DT269" s="9"/>
    </row>
    <row r="270" spans="1:124" s="875" customFormat="1">
      <c r="A270" s="2004" t="s">
        <v>1783</v>
      </c>
      <c r="B270" s="1494"/>
      <c r="C270" s="1494"/>
      <c r="D270" s="1494"/>
      <c r="E270" s="1494"/>
      <c r="F270" s="1494"/>
      <c r="G270" s="1494"/>
      <c r="H270" s="1494"/>
      <c r="I270" s="1494"/>
      <c r="J270" s="2361"/>
      <c r="K270" s="2361">
        <f t="shared" si="484"/>
        <v>1.0575001753221138</v>
      </c>
      <c r="L270" s="2361">
        <f t="shared" si="484"/>
        <v>0.42257890199942127</v>
      </c>
      <c r="M270" s="2361">
        <f t="shared" si="484"/>
        <v>0.39269230769230767</v>
      </c>
      <c r="N270" s="2361">
        <f t="shared" si="484"/>
        <v>0.3900549265089448</v>
      </c>
      <c r="O270" s="2709"/>
      <c r="P270" s="2709"/>
      <c r="Q270" s="2361">
        <f>Q267/N267-1</f>
        <v>0.40203186662242296</v>
      </c>
      <c r="R270" s="2361">
        <f>R267/Q267-1</f>
        <v>0.36266601463794146</v>
      </c>
      <c r="S270" s="2755"/>
      <c r="T270" s="2361">
        <f>T267/R267-1</f>
        <v>0.28542060525795176</v>
      </c>
      <c r="U270" s="2361">
        <f t="shared" ref="U270:AE270" si="497">U267/T267-1</f>
        <v>0.29044206655064819</v>
      </c>
      <c r="V270" s="2361">
        <f t="shared" si="497"/>
        <v>0.21425650750911984</v>
      </c>
      <c r="W270" s="2361">
        <f t="shared" si="497"/>
        <v>0.24855583297262474</v>
      </c>
      <c r="X270" s="2361">
        <f t="shared" si="497"/>
        <v>0.15079004697445586</v>
      </c>
      <c r="Y270" s="2361">
        <f t="shared" si="497"/>
        <v>7.4004836370962668E-2</v>
      </c>
      <c r="Z270" s="2361">
        <f t="shared" si="497"/>
        <v>6.1202344231544137E-2</v>
      </c>
      <c r="AA270" s="2361">
        <f t="shared" si="497"/>
        <v>4.9953768199650472E-2</v>
      </c>
      <c r="AB270" s="2361">
        <f t="shared" si="497"/>
        <v>4.4284085435446929E-2</v>
      </c>
      <c r="AC270" s="2361">
        <f t="shared" si="497"/>
        <v>4.4524570736760971E-2</v>
      </c>
      <c r="AD270" s="2361">
        <f t="shared" si="497"/>
        <v>4.39768032341461E-2</v>
      </c>
      <c r="AE270" s="2361">
        <f t="shared" si="497"/>
        <v>4.0060881676203364E-2</v>
      </c>
      <c r="AF270" s="1798"/>
      <c r="AG270" s="1798"/>
      <c r="AH270" s="1798"/>
      <c r="AI270" s="1798"/>
      <c r="AJ270" s="1798"/>
      <c r="AK270" s="1798"/>
      <c r="AL270" s="1494" t="s">
        <v>1677</v>
      </c>
      <c r="AM270" s="1494"/>
      <c r="AN270" s="1494"/>
      <c r="AO270" s="1494"/>
      <c r="AP270" s="1494"/>
      <c r="AQ270" s="2188"/>
      <c r="AR270" s="1494"/>
      <c r="AS270" s="1494"/>
      <c r="AT270" s="1494"/>
      <c r="AU270" s="1494"/>
      <c r="AV270" s="2188"/>
      <c r="AW270" s="1494"/>
      <c r="AX270" s="1494"/>
      <c r="AY270" s="1494"/>
      <c r="AZ270" s="1494"/>
      <c r="BA270" s="2188"/>
      <c r="BB270" s="1494"/>
      <c r="BC270" s="1494"/>
      <c r="BD270" s="1494"/>
      <c r="BE270" s="1494"/>
      <c r="BF270" s="2188"/>
      <c r="BG270" s="1494"/>
      <c r="BH270" s="1494"/>
      <c r="BI270" s="1494"/>
      <c r="BJ270" s="1494"/>
      <c r="BK270" s="2188"/>
      <c r="BL270" s="1494"/>
      <c r="BM270" s="1494"/>
      <c r="BN270" s="1494"/>
      <c r="BO270" s="1494"/>
      <c r="BP270" s="2188"/>
      <c r="BQ270" s="1494"/>
      <c r="BR270" s="1494"/>
      <c r="BS270" s="1494"/>
      <c r="BT270" s="1494"/>
      <c r="BU270" s="1494"/>
      <c r="BV270" s="1494"/>
      <c r="BW270" s="1494"/>
      <c r="BX270" s="1494"/>
      <c r="BY270" s="1494"/>
      <c r="BZ270" s="1494"/>
      <c r="CA270" s="2361">
        <f t="shared" si="486"/>
        <v>1.0166666666666671</v>
      </c>
      <c r="CB270" s="2361">
        <f t="shared" si="486"/>
        <v>1.0166666666666671</v>
      </c>
      <c r="CC270" s="2361">
        <f t="shared" si="486"/>
        <v>0.64444444444444438</v>
      </c>
      <c r="CD270" s="2361">
        <f t="shared" si="486"/>
        <v>-7.1307931633212474E-2</v>
      </c>
      <c r="CE270" s="2189"/>
      <c r="CF270" s="2361">
        <f t="shared" si="487"/>
        <v>0.47396694214876023</v>
      </c>
      <c r="CG270" s="2361">
        <f t="shared" si="487"/>
        <v>0.47396694214876023</v>
      </c>
      <c r="CH270" s="2361">
        <f t="shared" si="487"/>
        <v>0.36459459459459476</v>
      </c>
      <c r="CI270" s="2361">
        <f t="shared" si="487"/>
        <v>0.30230769230769239</v>
      </c>
      <c r="CJ270" s="2189"/>
      <c r="CK270" s="2361">
        <f t="shared" si="488"/>
        <v>0.43835155592935271</v>
      </c>
      <c r="CL270" s="2361">
        <f t="shared" si="488"/>
        <v>0.43835155592935271</v>
      </c>
      <c r="CM270" s="2361">
        <f t="shared" si="488"/>
        <v>0.36577540106951867</v>
      </c>
      <c r="CN270" s="2361">
        <f t="shared" si="488"/>
        <v>0.33490844654459528</v>
      </c>
      <c r="CO270" s="2188"/>
      <c r="CP270" s="2361">
        <f t="shared" si="489"/>
        <v>0.40495821686566447</v>
      </c>
      <c r="CQ270" s="2361">
        <f t="shared" si="489"/>
        <v>0.41948159519005102</v>
      </c>
      <c r="CR270" s="2361">
        <f t="shared" si="489"/>
        <v>0.3966726711049342</v>
      </c>
      <c r="CS270" s="2361">
        <f t="shared" si="489"/>
        <v>0.38946536796536813</v>
      </c>
      <c r="CT270" s="2188"/>
      <c r="CU270" s="3109">
        <f>CU267/CP267-1</f>
        <v>0.4418796383480057</v>
      </c>
      <c r="CV270" s="3109">
        <f t="shared" si="490"/>
        <v>0.44460296880064165</v>
      </c>
      <c r="CW270" s="3109">
        <f t="shared" si="490"/>
        <v>0.32645857005596501</v>
      </c>
      <c r="CX270" s="3109">
        <f t="shared" si="490"/>
        <v>0.25546021181659095</v>
      </c>
      <c r="CY270" s="3102"/>
      <c r="CZ270" s="3109">
        <f t="shared" si="491"/>
        <v>0.28203941407014899</v>
      </c>
      <c r="DA270" s="3109">
        <f t="shared" si="491"/>
        <v>0.26001933374954356</v>
      </c>
      <c r="DB270" s="3109">
        <f>DB267/CW267-1</f>
        <v>0.29729216606900044</v>
      </c>
      <c r="DC270" s="3109">
        <f t="shared" si="491"/>
        <v>0.30281622495491822</v>
      </c>
      <c r="DD270" s="2835"/>
      <c r="DE270" s="3109">
        <f t="shared" si="492"/>
        <v>0.27581244785978765</v>
      </c>
      <c r="DF270" s="3109">
        <f t="shared" si="493"/>
        <v>0.29477638523632899</v>
      </c>
      <c r="DG270" s="3109">
        <f t="shared" si="494"/>
        <v>0.29495786261884471</v>
      </c>
      <c r="DH270" s="3109">
        <f t="shared" si="495"/>
        <v>0.29616544059828431</v>
      </c>
      <c r="DI270" s="3102"/>
      <c r="DJ270" s="2188"/>
      <c r="DK270" s="2188"/>
      <c r="DL270" s="2188"/>
      <c r="DM270" s="2188"/>
      <c r="DN270" s="2188"/>
      <c r="DR270" s="9"/>
      <c r="DS270" s="9"/>
      <c r="DT270" s="9"/>
    </row>
    <row r="271" spans="1:124" s="875" customFormat="1">
      <c r="A271" s="2004" t="s">
        <v>1784</v>
      </c>
      <c r="B271" s="1494"/>
      <c r="C271" s="1494"/>
      <c r="D271" s="1494"/>
      <c r="E271" s="1494"/>
      <c r="F271" s="1494"/>
      <c r="G271" s="1494"/>
      <c r="H271" s="1494"/>
      <c r="I271" s="1494"/>
      <c r="J271" s="2361"/>
      <c r="K271" s="2361"/>
      <c r="L271" s="2361"/>
      <c r="M271" s="2361"/>
      <c r="N271" s="2361"/>
      <c r="O271" s="2709"/>
      <c r="P271" s="2709"/>
      <c r="Q271" s="2361"/>
      <c r="R271" s="2361"/>
      <c r="S271" s="2755"/>
      <c r="T271" s="2361">
        <f>Retrans!I24</f>
        <v>0.26332684770533343</v>
      </c>
      <c r="U271" s="2361">
        <f>Retrans!J24</f>
        <v>0.21990438615617558</v>
      </c>
      <c r="V271" s="2361">
        <f>Retrans!K24</f>
        <v>0.16351112316802419</v>
      </c>
      <c r="W271" s="2361">
        <f>Retrans!L24</f>
        <v>0.22337533621868211</v>
      </c>
      <c r="X271" s="2361">
        <f>Retrans!M24</f>
        <v>0.13051193228218172</v>
      </c>
      <c r="Y271" s="2361">
        <f>Retrans!N24</f>
        <v>5.3274580850838582E-2</v>
      </c>
      <c r="Z271" s="2361">
        <f>Retrans!O24</f>
        <v>4.5325916337661143E-2</v>
      </c>
      <c r="AA271" s="2361">
        <f>Retrans!P24</f>
        <v>3.6858171505480986E-2</v>
      </c>
      <c r="AB271" s="2361">
        <f>Retrans!Q24</f>
        <v>3.2431234609383353E-2</v>
      </c>
      <c r="AC271" s="2361">
        <f>Retrans!R24</f>
        <v>3.4161494282261229E-2</v>
      </c>
      <c r="AD271" s="2361">
        <f>Retrans!S24</f>
        <v>3.4403090865311681E-2</v>
      </c>
      <c r="AE271" s="2361">
        <f>Retrans!T24</f>
        <v>2.9557880881756038E-2</v>
      </c>
      <c r="AF271" s="1798"/>
      <c r="AG271" s="1798"/>
      <c r="AH271" s="1798"/>
      <c r="AI271" s="1798"/>
      <c r="AJ271" s="1798"/>
      <c r="AK271" s="1798"/>
      <c r="AL271" s="1494"/>
      <c r="AM271" s="1494"/>
      <c r="AN271" s="1494"/>
      <c r="AO271" s="1494"/>
      <c r="AP271" s="1494"/>
      <c r="AQ271" s="2188"/>
      <c r="AR271" s="1494"/>
      <c r="AS271" s="1494"/>
      <c r="AT271" s="1494"/>
      <c r="AU271" s="1494"/>
      <c r="AV271" s="2188"/>
      <c r="AW271" s="1494"/>
      <c r="AX271" s="1494"/>
      <c r="AY271" s="1494"/>
      <c r="AZ271" s="1494"/>
      <c r="BA271" s="2188"/>
      <c r="BB271" s="1494"/>
      <c r="BC271" s="1494"/>
      <c r="BD271" s="1494"/>
      <c r="BE271" s="1494"/>
      <c r="BF271" s="2188"/>
      <c r="BG271" s="1494"/>
      <c r="BH271" s="1494"/>
      <c r="BI271" s="1494"/>
      <c r="BJ271" s="1494"/>
      <c r="BK271" s="2188"/>
      <c r="BL271" s="1494"/>
      <c r="BM271" s="1494"/>
      <c r="BN271" s="1494"/>
      <c r="BO271" s="1494"/>
      <c r="BP271" s="2188"/>
      <c r="BQ271" s="1494"/>
      <c r="BR271" s="1494"/>
      <c r="BS271" s="1494"/>
      <c r="BT271" s="1494"/>
      <c r="BU271" s="1494"/>
      <c r="BV271" s="1494"/>
      <c r="BW271" s="1494"/>
      <c r="BX271" s="1494"/>
      <c r="BY271" s="1494"/>
      <c r="BZ271" s="1494"/>
      <c r="CA271" s="2361"/>
      <c r="CB271" s="2361"/>
      <c r="CC271" s="2361"/>
      <c r="CD271" s="2361"/>
      <c r="CE271" s="2189"/>
      <c r="CF271" s="2361"/>
      <c r="CG271" s="2361"/>
      <c r="CH271" s="2361"/>
      <c r="CI271" s="2361"/>
      <c r="CJ271" s="2189"/>
      <c r="CK271" s="2361"/>
      <c r="CL271" s="2361"/>
      <c r="CM271" s="2361"/>
      <c r="CN271" s="2361"/>
      <c r="CO271" s="2188"/>
      <c r="CP271" s="2361"/>
      <c r="CQ271" s="2361"/>
      <c r="CR271" s="2361"/>
      <c r="CS271" s="2361"/>
      <c r="CT271" s="2188"/>
      <c r="CU271" s="3109"/>
      <c r="CV271" s="3109"/>
      <c r="CW271" s="3109"/>
      <c r="CX271" s="3109"/>
      <c r="CY271" s="3102"/>
      <c r="CZ271" s="3109">
        <f>Retrans!X24</f>
        <v>0.2804433796979926</v>
      </c>
      <c r="DA271" s="3109">
        <f>Retrans!Y24</f>
        <v>0.25276037229436921</v>
      </c>
      <c r="DB271" s="3109">
        <f>Retrans!Z24</f>
        <v>0.27033148424798314</v>
      </c>
      <c r="DC271" s="3109">
        <f>Retrans!AA24</f>
        <v>0.25000180924756044</v>
      </c>
      <c r="DD271" s="2835"/>
      <c r="DE271" s="3109">
        <f>Retrans!AC24</f>
        <v>0.2099003085100517</v>
      </c>
      <c r="DF271" s="3109">
        <f>Retrans!AD24</f>
        <v>0.21902000032752533</v>
      </c>
      <c r="DG271" s="3109">
        <f>Retrans!AE24</f>
        <v>0.22042273492850128</v>
      </c>
      <c r="DH271" s="3109">
        <f>Retrans!AF24</f>
        <v>0.23054161728544109</v>
      </c>
      <c r="DI271" s="3102"/>
      <c r="DJ271" s="2188"/>
      <c r="DK271" s="2188"/>
      <c r="DL271" s="2188"/>
      <c r="DM271" s="2188"/>
      <c r="DN271" s="2188"/>
      <c r="DR271" s="9"/>
      <c r="DS271" s="9"/>
      <c r="DT271" s="9"/>
    </row>
    <row r="272" spans="1:124" s="875" customFormat="1">
      <c r="A272" s="1494"/>
      <c r="B272" s="1494"/>
      <c r="C272" s="1494"/>
      <c r="D272" s="1494"/>
      <c r="E272" s="1494"/>
      <c r="F272" s="1494"/>
      <c r="G272" s="1494"/>
      <c r="H272" s="1494"/>
      <c r="I272" s="1494"/>
      <c r="J272" s="2190"/>
      <c r="K272" s="2190"/>
      <c r="L272" s="2190"/>
      <c r="M272" s="2190"/>
      <c r="N272" s="2051"/>
      <c r="O272" s="2709"/>
      <c r="P272" s="2709"/>
      <c r="Q272" s="2249"/>
      <c r="R272" s="2249"/>
      <c r="S272" s="2748"/>
      <c r="T272" s="2051"/>
      <c r="U272" s="2051"/>
      <c r="V272" s="2051"/>
      <c r="W272" s="2051"/>
      <c r="X272" s="2051"/>
      <c r="Y272" s="2051"/>
      <c r="Z272" s="2051"/>
      <c r="AA272" s="2051"/>
      <c r="AB272" s="2051"/>
      <c r="AC272" s="2051"/>
      <c r="AD272" s="1494"/>
      <c r="AE272" s="1798"/>
      <c r="AF272" s="1798"/>
      <c r="AG272" s="1798"/>
      <c r="AH272" s="1798"/>
      <c r="AI272" s="1798"/>
      <c r="AJ272" s="1798"/>
      <c r="AK272" s="1798"/>
      <c r="AL272" s="1494"/>
      <c r="AM272" s="1494"/>
      <c r="AN272" s="1494"/>
      <c r="AO272" s="1494"/>
      <c r="AP272" s="1494"/>
      <c r="AQ272" s="2188"/>
      <c r="AR272" s="1494"/>
      <c r="AS272" s="1494"/>
      <c r="AT272" s="1494"/>
      <c r="AU272" s="1494"/>
      <c r="AV272" s="2188"/>
      <c r="AW272" s="1494"/>
      <c r="AX272" s="1494"/>
      <c r="AY272" s="1494"/>
      <c r="AZ272" s="1494"/>
      <c r="BA272" s="2188"/>
      <c r="BB272" s="1494"/>
      <c r="BC272" s="1494"/>
      <c r="BD272" s="1494"/>
      <c r="BE272" s="1494"/>
      <c r="BF272" s="2188"/>
      <c r="BG272" s="1494"/>
      <c r="BH272" s="1494"/>
      <c r="BI272" s="1494"/>
      <c r="BJ272" s="1494"/>
      <c r="BK272" s="2188"/>
      <c r="BL272" s="1494"/>
      <c r="BM272" s="1494"/>
      <c r="BN272" s="1494"/>
      <c r="BO272" s="1494"/>
      <c r="BP272" s="2188"/>
      <c r="BQ272" s="1494"/>
      <c r="BR272" s="1494"/>
      <c r="BS272" s="1494"/>
      <c r="BT272" s="1494"/>
      <c r="BU272" s="1108"/>
      <c r="BV272" s="2128"/>
      <c r="BW272" s="2128"/>
      <c r="BX272" s="2128"/>
      <c r="BY272" s="2128"/>
      <c r="BZ272" s="2189"/>
      <c r="CA272" s="2190"/>
      <c r="CB272" s="2190"/>
      <c r="CC272" s="2190"/>
      <c r="CD272" s="2190"/>
      <c r="CE272" s="2189"/>
      <c r="CF272" s="2190"/>
      <c r="CG272" s="2190"/>
      <c r="CH272" s="2190"/>
      <c r="CI272" s="2190"/>
      <c r="CJ272" s="2189"/>
      <c r="CK272" s="2190"/>
      <c r="CL272" s="2190"/>
      <c r="CM272" s="2190"/>
      <c r="CN272" s="2190"/>
      <c r="CO272" s="1741"/>
      <c r="CP272" s="2190"/>
      <c r="CQ272" s="3110"/>
      <c r="CR272" s="3110"/>
      <c r="CS272" s="3110"/>
      <c r="CT272" s="3110"/>
      <c r="CU272" s="3110"/>
      <c r="CV272" s="3110"/>
      <c r="CW272" s="3110"/>
      <c r="CX272" s="3110"/>
      <c r="CY272" s="3110"/>
      <c r="CZ272" s="3110"/>
      <c r="DA272" s="3110"/>
      <c r="DB272" s="3110"/>
      <c r="DC272" s="3110"/>
      <c r="DD272" s="2835"/>
      <c r="DE272" s="2835"/>
      <c r="DF272" s="2835"/>
      <c r="DG272" s="2835"/>
      <c r="DH272" s="2835"/>
      <c r="DI272" s="2835"/>
      <c r="DJ272" s="1741"/>
      <c r="DK272" s="1741"/>
      <c r="DL272" s="1741"/>
      <c r="DM272" s="1741"/>
      <c r="DN272" s="1741"/>
      <c r="DR272" s="11"/>
      <c r="DS272" s="11"/>
      <c r="DT272" s="11"/>
    </row>
    <row r="273" spans="1:124">
      <c r="A273" s="1470" t="s">
        <v>1683</v>
      </c>
      <c r="B273" s="1108"/>
      <c r="C273" s="1108"/>
      <c r="D273" s="1108"/>
      <c r="E273" s="1108"/>
      <c r="F273" s="1108"/>
      <c r="G273" s="1108"/>
      <c r="H273" s="1108"/>
      <c r="I273" s="1108"/>
      <c r="J273" s="1659">
        <f>J265*0.5</f>
        <v>42</v>
      </c>
      <c r="K273" s="1659">
        <f>K265*0.5</f>
        <v>76.356000000000009</v>
      </c>
      <c r="L273" s="1659">
        <f>L265*0.5</f>
        <v>104</v>
      </c>
      <c r="M273" s="1659">
        <f>M265*0.5</f>
        <v>144.21</v>
      </c>
      <c r="N273" s="1659">
        <f>N265*0.5</f>
        <v>179.41980000000001</v>
      </c>
      <c r="O273" s="2709"/>
      <c r="P273" s="2709"/>
      <c r="Q273" s="1776">
        <f>SUM(CP273:CS273)</f>
        <v>217</v>
      </c>
      <c r="R273" s="1776">
        <f>SUM(CU273:CX273)</f>
        <v>257.37134498606201</v>
      </c>
      <c r="S273" s="2744"/>
      <c r="T273" s="1776">
        <f>SUM(CZ273:DC273)</f>
        <v>305.78263202048498</v>
      </c>
      <c r="U273" s="1776">
        <f t="shared" ref="U273:U274" si="498">SUM(DE273:DH273)</f>
        <v>404.49957905411901</v>
      </c>
      <c r="V273" s="1659">
        <f t="shared" ref="V273:AC273" si="499">V265*V284</f>
        <v>515.09039018381191</v>
      </c>
      <c r="W273" s="1659">
        <f t="shared" si="499"/>
        <v>734.01480879166195</v>
      </c>
      <c r="X273" s="1659">
        <f t="shared" si="499"/>
        <v>904.24860337203586</v>
      </c>
      <c r="Y273" s="1659">
        <f t="shared" si="499"/>
        <v>1001.5198220724735</v>
      </c>
      <c r="Z273" s="1659">
        <f t="shared" si="499"/>
        <v>1095.0245862320937</v>
      </c>
      <c r="AA273" s="1659">
        <f t="shared" si="499"/>
        <v>1183.5431959028967</v>
      </c>
      <c r="AB273" s="1659">
        <f t="shared" si="499"/>
        <v>1271.2708028530506</v>
      </c>
      <c r="AC273" s="1659">
        <f t="shared" si="499"/>
        <v>1346.3185386543041</v>
      </c>
      <c r="AD273" s="1659">
        <f>AD265*AD284</f>
        <v>1424.7812846989509</v>
      </c>
      <c r="AE273" s="1659">
        <f>AE265*AE284</f>
        <v>1501.8869222388894</v>
      </c>
      <c r="AF273" s="1798"/>
      <c r="AG273" s="1798"/>
      <c r="AH273" s="1798"/>
      <c r="AI273" s="1798"/>
      <c r="AJ273" s="1798"/>
      <c r="AK273" s="1798"/>
      <c r="AL273" s="1108" t="s">
        <v>1683</v>
      </c>
      <c r="AM273" s="1108"/>
      <c r="AN273" s="1108"/>
      <c r="AO273" s="1108"/>
      <c r="AP273" s="1108"/>
      <c r="AQ273" s="1741"/>
      <c r="AR273" s="1108"/>
      <c r="AS273" s="1108"/>
      <c r="AT273" s="1108"/>
      <c r="AU273" s="1108"/>
      <c r="AV273" s="1741"/>
      <c r="AW273" s="1108"/>
      <c r="AX273" s="1108"/>
      <c r="AY273" s="1108"/>
      <c r="AZ273" s="1108"/>
      <c r="BA273" s="1741"/>
      <c r="BB273" s="1108"/>
      <c r="BC273" s="1108"/>
      <c r="BD273" s="1108"/>
      <c r="BE273" s="1108"/>
      <c r="BF273" s="1741"/>
      <c r="BG273" s="1108"/>
      <c r="BH273" s="1108"/>
      <c r="BI273" s="1108"/>
      <c r="BJ273" s="1108"/>
      <c r="BK273" s="1741"/>
      <c r="BL273" s="1108"/>
      <c r="BM273" s="1108"/>
      <c r="BN273" s="1108"/>
      <c r="BO273" s="1108"/>
      <c r="BP273" s="1741"/>
      <c r="BQ273" s="1108"/>
      <c r="BR273" s="1108"/>
      <c r="BS273" s="1108"/>
      <c r="BT273" s="1108"/>
      <c r="BU273" s="1108"/>
      <c r="BV273" s="1659">
        <f>BV265*0.5</f>
        <v>11.604960965926049</v>
      </c>
      <c r="BW273" s="1659">
        <f>BW265*0.5</f>
        <v>11.604960965926049</v>
      </c>
      <c r="BX273" s="1659">
        <f>BX265*0.5</f>
        <v>17.407441448889074</v>
      </c>
      <c r="BY273" s="1727">
        <f>BY265*0.5</f>
        <v>35.738636619258834</v>
      </c>
      <c r="BZ273" s="1727"/>
      <c r="CA273" s="1659">
        <f>CA265*0.5</f>
        <v>21.5</v>
      </c>
      <c r="CB273" s="1659">
        <f>CB265*0.5</f>
        <v>21.5</v>
      </c>
      <c r="CC273" s="1659">
        <f>CC265*0.5</f>
        <v>28</v>
      </c>
      <c r="CD273" s="1727">
        <f>CD265*0.5</f>
        <v>33</v>
      </c>
      <c r="CE273" s="1727"/>
      <c r="CF273" s="1659">
        <f>CF265*0.5</f>
        <v>32.25</v>
      </c>
      <c r="CG273" s="1659">
        <f>CG265*0.5</f>
        <v>32.25</v>
      </c>
      <c r="CH273" s="1659">
        <f>CH265*0.5</f>
        <v>37.800000000000004</v>
      </c>
      <c r="CI273" s="1727">
        <f>CI265*0.5</f>
        <v>41.910000000000004</v>
      </c>
      <c r="CJ273" s="2189"/>
      <c r="CK273" s="1659">
        <f>CK265*0.5</f>
        <v>41.925000000000004</v>
      </c>
      <c r="CL273" s="1659">
        <f>CL265*0.5</f>
        <v>41.925000000000004</v>
      </c>
      <c r="CM273" s="1659">
        <f>CM265*0.5</f>
        <v>46.116000000000007</v>
      </c>
      <c r="CN273" s="1727">
        <f>CN265*0.5</f>
        <v>49.453800000000001</v>
      </c>
      <c r="CO273" s="1741">
        <f>$N273-SUM(CK273:CN273)</f>
        <v>0</v>
      </c>
      <c r="CP273" s="1659">
        <f>CP265*CP284</f>
        <v>50</v>
      </c>
      <c r="CQ273" s="2852">
        <f>CQ265*CQ284</f>
        <v>51</v>
      </c>
      <c r="CR273" s="2852">
        <f>CR265*CR284</f>
        <v>56</v>
      </c>
      <c r="CS273" s="2852">
        <f>CS265*CS284</f>
        <v>60</v>
      </c>
      <c r="CT273" s="2835">
        <f>$Q273-SUM(CP273:CS273)</f>
        <v>0</v>
      </c>
      <c r="CU273" s="2852">
        <f>CU265*CU284</f>
        <v>64.30786899721241</v>
      </c>
      <c r="CV273" s="2852">
        <f>CV265*CV284</f>
        <v>63.384836246515512</v>
      </c>
      <c r="CW273" s="2852">
        <f>CW265*CW284</f>
        <v>63.744836246515518</v>
      </c>
      <c r="CX273" s="2852">
        <f>CX265*CX284</f>
        <v>65.933803495818609</v>
      </c>
      <c r="CY273" s="2835">
        <f>R273-SUM(CU273:CX273)</f>
        <v>0</v>
      </c>
      <c r="CZ273" s="2852">
        <f>CZ265*CZ284</f>
        <v>74.227647835227671</v>
      </c>
      <c r="DA273" s="2852">
        <f>DA265*DA284</f>
        <v>73.871733162151102</v>
      </c>
      <c r="DB273" s="2852">
        <f>DB265*DB284</f>
        <v>75.240649341129355</v>
      </c>
      <c r="DC273" s="2852">
        <f>DC265*DC284</f>
        <v>82.442601681976839</v>
      </c>
      <c r="DD273" s="1741">
        <f t="shared" si="357"/>
        <v>0</v>
      </c>
      <c r="DE273" s="2852">
        <f>DE265*DE284</f>
        <v>97.639465812521735</v>
      </c>
      <c r="DF273" s="1659">
        <f>DF265*DF284</f>
        <v>99.287272590201169</v>
      </c>
      <c r="DG273" s="1659">
        <f>DG265*DG284</f>
        <v>101.36573668906917</v>
      </c>
      <c r="DH273" s="1659">
        <f>DH265*DH284</f>
        <v>106.20710396232694</v>
      </c>
      <c r="DI273" s="3287">
        <f t="shared" ref="DI273:DI275" si="500">U273-SUM(DE273:DH273)</f>
        <v>0</v>
      </c>
      <c r="DJ273" s="1741"/>
      <c r="DK273" s="1741"/>
      <c r="DL273" s="1741"/>
      <c r="DM273" s="1741"/>
      <c r="DN273" s="1741"/>
      <c r="DO273" s="875"/>
      <c r="DP273" s="875"/>
      <c r="DQ273" s="875"/>
      <c r="DR273" s="11"/>
      <c r="DS273" s="11"/>
      <c r="DT273" s="11"/>
    </row>
    <row r="274" spans="1:124">
      <c r="A274" s="1470" t="s">
        <v>1684</v>
      </c>
      <c r="B274" s="1108"/>
      <c r="C274" s="1108"/>
      <c r="D274" s="1108"/>
      <c r="E274" s="1108"/>
      <c r="F274" s="1108"/>
      <c r="G274" s="1108"/>
      <c r="H274" s="1108"/>
      <c r="I274" s="1108"/>
      <c r="J274" s="1659">
        <f>J266</f>
        <v>11.935834824846065</v>
      </c>
      <c r="K274" s="1659">
        <f>K266</f>
        <v>44.675996971794113</v>
      </c>
      <c r="L274" s="1659">
        <f>L266</f>
        <v>72.8</v>
      </c>
      <c r="M274" s="1659">
        <f>M266</f>
        <v>102.64799999999998</v>
      </c>
      <c r="N274" s="1659">
        <f>N266</f>
        <v>184.7664</v>
      </c>
      <c r="O274" s="2709"/>
      <c r="P274" s="2709"/>
      <c r="Q274" s="1776">
        <f>SUM(CP274:CS274)</f>
        <v>341.81783999999999</v>
      </c>
      <c r="R274" s="1776">
        <f>SUM(CU274:CX274)</f>
        <v>551.11417318701263</v>
      </c>
      <c r="S274" s="2744"/>
      <c r="T274" s="1776">
        <f>SUM(CZ274:DC274)</f>
        <v>777.24423048273366</v>
      </c>
      <c r="U274" s="1776">
        <f t="shared" si="498"/>
        <v>1031.2702056382095</v>
      </c>
      <c r="V274" s="1659">
        <f t="shared" ref="V274:AC274" si="501">V266</f>
        <v>1233.3429953279974</v>
      </c>
      <c r="W274" s="1659">
        <f t="shared" si="501"/>
        <v>1427.8679232698282</v>
      </c>
      <c r="X274" s="1659">
        <f t="shared" si="501"/>
        <v>1592.7021650940419</v>
      </c>
      <c r="Y274" s="1659">
        <f t="shared" si="501"/>
        <v>1710.5645731284565</v>
      </c>
      <c r="Z274" s="1659">
        <f t="shared" si="501"/>
        <v>1815.2508959072704</v>
      </c>
      <c r="AA274" s="1659">
        <f t="shared" si="501"/>
        <v>1905.925863335179</v>
      </c>
      <c r="AB274" s="1659">
        <f t="shared" si="501"/>
        <v>1990.3246169732865</v>
      </c>
      <c r="AC274" s="1659">
        <f t="shared" si="501"/>
        <v>2078.9398699118715</v>
      </c>
      <c r="AD274" s="1659">
        <f>AD266</f>
        <v>2170.3620413762192</v>
      </c>
      <c r="AE274" s="1659">
        <f>AE266</f>
        <v>2257.3053013968565</v>
      </c>
      <c r="AF274" s="1798"/>
      <c r="AG274" s="1798"/>
      <c r="AH274" s="1798"/>
      <c r="AI274" s="1798"/>
      <c r="AJ274" s="1798"/>
      <c r="AK274" s="1798"/>
      <c r="AL274" s="1108" t="s">
        <v>1684</v>
      </c>
      <c r="AM274" s="1108"/>
      <c r="AN274" s="1108"/>
      <c r="AO274" s="1108"/>
      <c r="AP274" s="1108"/>
      <c r="AQ274" s="1741"/>
      <c r="AR274" s="1108"/>
      <c r="AS274" s="1108"/>
      <c r="AT274" s="1108"/>
      <c r="AU274" s="1108"/>
      <c r="AV274" s="1741"/>
      <c r="AW274" s="1108"/>
      <c r="AX274" s="1108"/>
      <c r="AY274" s="1108"/>
      <c r="AZ274" s="1108"/>
      <c r="BA274" s="1741"/>
      <c r="BB274" s="1108"/>
      <c r="BC274" s="1108"/>
      <c r="BD274" s="1108"/>
      <c r="BE274" s="1108"/>
      <c r="BF274" s="1741"/>
      <c r="BG274" s="1108"/>
      <c r="BH274" s="1108"/>
      <c r="BI274" s="1108"/>
      <c r="BJ274" s="1108"/>
      <c r="BK274" s="1741"/>
      <c r="BL274" s="1108"/>
      <c r="BM274" s="1108"/>
      <c r="BN274" s="1108"/>
      <c r="BO274" s="1108"/>
      <c r="BP274" s="1741"/>
      <c r="BQ274" s="1108"/>
      <c r="BR274" s="1108"/>
      <c r="BS274" s="1108"/>
      <c r="BT274" s="1108"/>
      <c r="BU274" s="1108"/>
      <c r="BV274" s="1659">
        <f>BV266</f>
        <v>6.7900780681478992</v>
      </c>
      <c r="BW274" s="1659">
        <f>BW266</f>
        <v>6.7900780681478992</v>
      </c>
      <c r="BX274" s="1659">
        <f>BX266</f>
        <v>10.185117102221851</v>
      </c>
      <c r="BY274" s="1659">
        <f>BY266</f>
        <v>20.910723733276463</v>
      </c>
      <c r="BZ274" s="1727"/>
      <c r="CA274" s="1659">
        <f>CA266</f>
        <v>17.5</v>
      </c>
      <c r="CB274" s="1659">
        <f>CB266</f>
        <v>17.5</v>
      </c>
      <c r="CC274" s="1659">
        <f>CC266</f>
        <v>18</v>
      </c>
      <c r="CD274" s="1659">
        <f>CD266</f>
        <v>19.8</v>
      </c>
      <c r="CE274" s="1727"/>
      <c r="CF274" s="1659">
        <f>CF266</f>
        <v>24.674999999999997</v>
      </c>
      <c r="CG274" s="1659">
        <f>CG266</f>
        <v>24.674999999999997</v>
      </c>
      <c r="CH274" s="1659">
        <f>CH266</f>
        <v>25.38</v>
      </c>
      <c r="CI274" s="1659">
        <f>CI266</f>
        <v>27.917999999999999</v>
      </c>
      <c r="CJ274" s="2189"/>
      <c r="CK274" s="1659">
        <f>CK266</f>
        <v>44.414999999999999</v>
      </c>
      <c r="CL274" s="1659">
        <f>CL266</f>
        <v>44.414999999999999</v>
      </c>
      <c r="CM274" s="1659">
        <f>CM266</f>
        <v>45.683999999999997</v>
      </c>
      <c r="CN274" s="1659">
        <f>CN266</f>
        <v>50.252400000000002</v>
      </c>
      <c r="CO274" s="1741"/>
      <c r="CP274" s="1659">
        <f>CP266</f>
        <v>82.167749999999998</v>
      </c>
      <c r="CQ274" s="2852">
        <f t="shared" ref="CQ274:CX274" si="502">CQ266</f>
        <v>82.167749999999998</v>
      </c>
      <c r="CR274" s="2852">
        <f t="shared" si="502"/>
        <v>84.5154</v>
      </c>
      <c r="CS274" s="2852">
        <f t="shared" si="502"/>
        <v>92.966940000000008</v>
      </c>
      <c r="CT274" s="2852">
        <f t="shared" si="502"/>
        <v>0</v>
      </c>
      <c r="CU274" s="2852">
        <f t="shared" si="502"/>
        <v>138.04154807740252</v>
      </c>
      <c r="CV274" s="2852">
        <f>CV266</f>
        <v>142.97154509675315</v>
      </c>
      <c r="CW274" s="2852">
        <f t="shared" si="502"/>
        <v>134.77824659675315</v>
      </c>
      <c r="CX274" s="2852">
        <f t="shared" si="502"/>
        <v>135.3228334161038</v>
      </c>
      <c r="CY274" s="2835"/>
      <c r="CZ274" s="2852">
        <f>CZ266</f>
        <v>196.42179322380548</v>
      </c>
      <c r="DA274" s="1659">
        <f>DA266</f>
        <v>195.36479279193364</v>
      </c>
      <c r="DB274" s="1659">
        <f>DB266</f>
        <v>192.90263150644736</v>
      </c>
      <c r="DC274" s="1659">
        <f>DC266</f>
        <v>192.55501296054723</v>
      </c>
      <c r="DD274" s="1741">
        <f>T274-SUM(CZ274:DC274)</f>
        <v>0</v>
      </c>
      <c r="DE274" s="2852">
        <f>DE266</f>
        <v>258.09479829390932</v>
      </c>
      <c r="DF274" s="1659">
        <f>DF266</f>
        <v>259.37806653238255</v>
      </c>
      <c r="DG274" s="1659">
        <f>DG266</f>
        <v>255.96150468151205</v>
      </c>
      <c r="DH274" s="1659">
        <f>DH266</f>
        <v>257.83583613040571</v>
      </c>
      <c r="DI274" s="3287">
        <f t="shared" si="500"/>
        <v>0</v>
      </c>
      <c r="DJ274" s="1741"/>
      <c r="DK274" s="1741"/>
      <c r="DL274" s="1741"/>
      <c r="DM274" s="1741"/>
      <c r="DN274" s="1741"/>
      <c r="DO274" s="875"/>
      <c r="DP274" s="875"/>
      <c r="DQ274" s="875"/>
      <c r="DR274" s="11"/>
      <c r="DS274" s="11"/>
      <c r="DT274" s="11"/>
    </row>
    <row r="275" spans="1:124">
      <c r="A275" s="1494" t="s">
        <v>1678</v>
      </c>
      <c r="B275" s="1108"/>
      <c r="C275" s="1108"/>
      <c r="D275" s="1108"/>
      <c r="E275" s="1108"/>
      <c r="F275" s="1108"/>
      <c r="G275" s="1108"/>
      <c r="H275" s="1108"/>
      <c r="I275" s="1108"/>
      <c r="J275" s="2452">
        <f>SUM(J273:J274)</f>
        <v>53.935834824846069</v>
      </c>
      <c r="K275" s="2452">
        <f>SUM(K273:K274)</f>
        <v>121.03199697179411</v>
      </c>
      <c r="L275" s="2452">
        <f>SUM(L273:L274)</f>
        <v>176.8</v>
      </c>
      <c r="M275" s="2452">
        <f>SUM(M273:M274)</f>
        <v>246.858</v>
      </c>
      <c r="N275" s="2452">
        <f>SUM(N273:N274)</f>
        <v>364.18619999999999</v>
      </c>
      <c r="O275" s="2709"/>
      <c r="P275" s="2709"/>
      <c r="Q275" s="2452">
        <f t="shared" ref="Q275:AC275" si="503">SUM(Q273:Q274)</f>
        <v>558.81783999999993</v>
      </c>
      <c r="R275" s="2452">
        <f t="shared" si="503"/>
        <v>808.48551817307464</v>
      </c>
      <c r="S275" s="2754"/>
      <c r="T275" s="2452">
        <f t="shared" si="503"/>
        <v>1083.0268625032186</v>
      </c>
      <c r="U275" s="2452">
        <f t="shared" si="503"/>
        <v>1435.7697846923286</v>
      </c>
      <c r="V275" s="2452">
        <f t="shared" si="503"/>
        <v>1748.4333855118093</v>
      </c>
      <c r="W275" s="2452">
        <f t="shared" si="503"/>
        <v>2161.8827320614901</v>
      </c>
      <c r="X275" s="2452">
        <f t="shared" si="503"/>
        <v>2496.9507684660775</v>
      </c>
      <c r="Y275" s="2452">
        <f t="shared" si="503"/>
        <v>2712.08439520093</v>
      </c>
      <c r="Z275" s="2452">
        <f t="shared" si="503"/>
        <v>2910.2754821393642</v>
      </c>
      <c r="AA275" s="2452">
        <f t="shared" si="503"/>
        <v>3089.4690592380757</v>
      </c>
      <c r="AB275" s="2452">
        <f t="shared" si="503"/>
        <v>3261.5954198263371</v>
      </c>
      <c r="AC275" s="2452">
        <f t="shared" si="503"/>
        <v>3425.2584085661756</v>
      </c>
      <c r="AD275" s="2452">
        <f>SUM(AD273:AD274)</f>
        <v>3595.1433260751701</v>
      </c>
      <c r="AE275" s="2452">
        <f>SUM(AE273:AE274)</f>
        <v>3759.1922236357459</v>
      </c>
      <c r="AF275" s="1798"/>
      <c r="AG275" s="1798"/>
      <c r="AH275" s="1798"/>
      <c r="AI275" s="1798"/>
      <c r="AJ275" s="1798"/>
      <c r="AK275" s="1798"/>
      <c r="AL275" s="1108" t="s">
        <v>1678</v>
      </c>
      <c r="AM275" s="1108"/>
      <c r="AN275" s="1108"/>
      <c r="AO275" s="1108"/>
      <c r="AP275" s="1108"/>
      <c r="AQ275" s="1741"/>
      <c r="AR275" s="1108"/>
      <c r="AS275" s="1108"/>
      <c r="AT275" s="1108"/>
      <c r="AU275" s="1108"/>
      <c r="AV275" s="1741"/>
      <c r="AW275" s="1108"/>
      <c r="AX275" s="1108"/>
      <c r="AY275" s="1108"/>
      <c r="AZ275" s="1108"/>
      <c r="BA275" s="1741"/>
      <c r="BB275" s="1108"/>
      <c r="BC275" s="1108"/>
      <c r="BD275" s="1108"/>
      <c r="BE275" s="1108"/>
      <c r="BF275" s="1741"/>
      <c r="BG275" s="1108"/>
      <c r="BH275" s="1108"/>
      <c r="BI275" s="1108"/>
      <c r="BJ275" s="1108"/>
      <c r="BK275" s="1741"/>
      <c r="BL275" s="1108"/>
      <c r="BM275" s="1108"/>
      <c r="BN275" s="1108"/>
      <c r="BO275" s="1108"/>
      <c r="BP275" s="1741"/>
      <c r="BQ275" s="1108"/>
      <c r="BR275" s="1108"/>
      <c r="BS275" s="1108"/>
      <c r="BT275" s="1108"/>
      <c r="BU275" s="1108"/>
      <c r="BV275" s="2452">
        <f>SUM(BV273:BV274)</f>
        <v>18.395039034073946</v>
      </c>
      <c r="BW275" s="2452">
        <f>SUM(BW273:BW274)</f>
        <v>18.395039034073946</v>
      </c>
      <c r="BX275" s="2452">
        <f>SUM(BX273:BX274)</f>
        <v>27.592558551110926</v>
      </c>
      <c r="BY275" s="2452">
        <f>SUM(BY273:BY274)</f>
        <v>56.649360352535297</v>
      </c>
      <c r="BZ275" s="1727"/>
      <c r="CA275" s="2452">
        <f>SUM(CA273:CA274)</f>
        <v>39</v>
      </c>
      <c r="CB275" s="2452">
        <f>SUM(CB273:CB274)</f>
        <v>39</v>
      </c>
      <c r="CC275" s="2452">
        <f>SUM(CC273:CC274)</f>
        <v>46</v>
      </c>
      <c r="CD275" s="2452">
        <f>SUM(CD273:CD274)</f>
        <v>52.8</v>
      </c>
      <c r="CE275" s="1727"/>
      <c r="CF275" s="2452">
        <f>SUM(CF273:CF274)</f>
        <v>56.924999999999997</v>
      </c>
      <c r="CG275" s="2452">
        <f>SUM(CG273:CG274)</f>
        <v>56.924999999999997</v>
      </c>
      <c r="CH275" s="2452">
        <f>SUM(CH273:CH274)</f>
        <v>63.180000000000007</v>
      </c>
      <c r="CI275" s="2452">
        <f>SUM(CI273:CI274)</f>
        <v>69.828000000000003</v>
      </c>
      <c r="CJ275" s="2189"/>
      <c r="CK275" s="2452">
        <f>SUM(CK273:CK274)</f>
        <v>86.34</v>
      </c>
      <c r="CL275" s="2452">
        <f>SUM(CL273:CL274)</f>
        <v>86.34</v>
      </c>
      <c r="CM275" s="2452">
        <f>SUM(CM273:CM274)</f>
        <v>91.800000000000011</v>
      </c>
      <c r="CN275" s="2452">
        <f>SUM(CN273:CN274)</f>
        <v>99.706199999999995</v>
      </c>
      <c r="CO275" s="1741"/>
      <c r="CP275" s="2452">
        <f>SUM(CP273:CP274)</f>
        <v>132.16775000000001</v>
      </c>
      <c r="CQ275" s="3108">
        <f t="shared" ref="CQ275:CX275" si="504">SUM(CQ273:CQ274)</f>
        <v>133.16775000000001</v>
      </c>
      <c r="CR275" s="3108">
        <f t="shared" si="504"/>
        <v>140.5154</v>
      </c>
      <c r="CS275" s="3108">
        <f t="shared" si="504"/>
        <v>152.96694000000002</v>
      </c>
      <c r="CT275" s="3111">
        <f t="shared" si="504"/>
        <v>0</v>
      </c>
      <c r="CU275" s="3108">
        <f t="shared" si="504"/>
        <v>202.34941707461493</v>
      </c>
      <c r="CV275" s="3108">
        <f t="shared" si="504"/>
        <v>206.35638134326865</v>
      </c>
      <c r="CW275" s="3108">
        <f t="shared" si="504"/>
        <v>198.52308284326867</v>
      </c>
      <c r="CX275" s="3108">
        <f t="shared" si="504"/>
        <v>201.25663691192241</v>
      </c>
      <c r="CY275" s="2835"/>
      <c r="CZ275" s="3108">
        <f>SUM(CZ273:CZ274)</f>
        <v>270.64944105903317</v>
      </c>
      <c r="DA275" s="2452">
        <f>SUM(DA273:DA274)</f>
        <v>269.23652595408475</v>
      </c>
      <c r="DB275" s="2452">
        <f>SUM(DB273:DB274)</f>
        <v>268.1432808475767</v>
      </c>
      <c r="DC275" s="2452">
        <f>SUM(DC273:DC274)</f>
        <v>274.99761464252407</v>
      </c>
      <c r="DD275" s="1741">
        <f>T275-SUM(CZ275:DC275)</f>
        <v>0</v>
      </c>
      <c r="DE275" s="3108">
        <f>SUM(DE273:DE274)</f>
        <v>355.73426410643106</v>
      </c>
      <c r="DF275" s="2452">
        <f>SUM(DF273:DF274)</f>
        <v>358.6653391225837</v>
      </c>
      <c r="DG275" s="2452">
        <f>SUM(DG273:DG274)</f>
        <v>357.32724137058119</v>
      </c>
      <c r="DH275" s="2452">
        <f>SUM(DH273:DH274)</f>
        <v>364.04294009273264</v>
      </c>
      <c r="DI275" s="3287">
        <f t="shared" si="500"/>
        <v>0</v>
      </c>
      <c r="DJ275" s="1741"/>
      <c r="DK275" s="1741"/>
      <c r="DL275" s="1741"/>
      <c r="DM275" s="1741"/>
      <c r="DN275" s="1741"/>
      <c r="DO275" s="875"/>
      <c r="DP275" s="875"/>
      <c r="DQ275" s="875"/>
      <c r="DR275" s="11"/>
      <c r="DS275" s="11"/>
      <c r="DT275" s="11"/>
    </row>
    <row r="276" spans="1:124">
      <c r="A276" s="1477" t="s">
        <v>812</v>
      </c>
      <c r="B276" s="1108"/>
      <c r="C276" s="1108"/>
      <c r="D276" s="1108"/>
      <c r="E276" s="1108"/>
      <c r="F276" s="1108"/>
      <c r="G276" s="1108"/>
      <c r="H276" s="1108"/>
      <c r="I276" s="2361"/>
      <c r="J276" s="2361"/>
      <c r="K276" s="2361">
        <f>K275/J275-1</f>
        <v>1.2439996963955315</v>
      </c>
      <c r="L276" s="2361">
        <f>L275/K275-1</f>
        <v>0.46077074181633426</v>
      </c>
      <c r="M276" s="2361">
        <f>M275/L275-1</f>
        <v>0.39625565610859725</v>
      </c>
      <c r="N276" s="2361">
        <f>N275/M275-1</f>
        <v>0.47528619692292717</v>
      </c>
      <c r="O276" s="2709"/>
      <c r="P276" s="2709"/>
      <c r="Q276" s="2361">
        <f>Q275/N275-1</f>
        <v>0.5344289267413207</v>
      </c>
      <c r="R276" s="2361">
        <f t="shared" ref="R276:AE276" si="505">R275/Q275-1</f>
        <v>0.44677828856193047</v>
      </c>
      <c r="S276" s="2755"/>
      <c r="T276" s="2361">
        <f>T275/R275-1</f>
        <v>0.33957484476719113</v>
      </c>
      <c r="U276" s="2361">
        <f t="shared" si="505"/>
        <v>0.32570099080812209</v>
      </c>
      <c r="V276" s="2361">
        <f t="shared" si="505"/>
        <v>0.2177672243509996</v>
      </c>
      <c r="W276" s="2361">
        <f t="shared" si="505"/>
        <v>0.236468457978257</v>
      </c>
      <c r="X276" s="2361">
        <f t="shared" si="505"/>
        <v>0.15498899706048319</v>
      </c>
      <c r="Y276" s="2361">
        <f t="shared" si="505"/>
        <v>8.6158537625879106E-2</v>
      </c>
      <c r="Z276" s="2361">
        <f t="shared" si="505"/>
        <v>7.3077035246077227E-2</v>
      </c>
      <c r="AA276" s="2361">
        <f t="shared" si="505"/>
        <v>6.1572719901754835E-2</v>
      </c>
      <c r="AB276" s="2361">
        <f t="shared" si="505"/>
        <v>5.5713896882563674E-2</v>
      </c>
      <c r="AC276" s="2361">
        <f t="shared" si="505"/>
        <v>5.0178813639783826E-2</v>
      </c>
      <c r="AD276" s="2361">
        <f t="shared" si="505"/>
        <v>4.9597693734327208E-2</v>
      </c>
      <c r="AE276" s="2361">
        <f t="shared" si="505"/>
        <v>4.563069749424109E-2</v>
      </c>
      <c r="AF276" s="1798"/>
      <c r="AG276" s="1798"/>
      <c r="AH276" s="1798"/>
      <c r="AI276" s="1798"/>
      <c r="AJ276" s="1798"/>
      <c r="AK276" s="1798"/>
      <c r="AL276" s="1108" t="s">
        <v>812</v>
      </c>
      <c r="AM276" s="1108"/>
      <c r="AN276" s="1108"/>
      <c r="AO276" s="1108"/>
      <c r="AP276" s="1108"/>
      <c r="AQ276" s="1741"/>
      <c r="AR276" s="1108"/>
      <c r="AS276" s="1108"/>
      <c r="AT276" s="1108"/>
      <c r="AU276" s="1108"/>
      <c r="AV276" s="1741"/>
      <c r="AW276" s="1108"/>
      <c r="AX276" s="1108"/>
      <c r="AY276" s="1108"/>
      <c r="AZ276" s="1108"/>
      <c r="BA276" s="1741"/>
      <c r="BB276" s="1108"/>
      <c r="BC276" s="1108"/>
      <c r="BD276" s="1108"/>
      <c r="BE276" s="1108"/>
      <c r="BF276" s="1741"/>
      <c r="BG276" s="1108"/>
      <c r="BH276" s="1108"/>
      <c r="BI276" s="1108"/>
      <c r="BJ276" s="1108"/>
      <c r="BK276" s="1741"/>
      <c r="BL276" s="1108"/>
      <c r="BM276" s="1108"/>
      <c r="BN276" s="1108"/>
      <c r="BO276" s="1108"/>
      <c r="BP276" s="1741"/>
      <c r="BQ276" s="1108"/>
      <c r="BR276" s="1108"/>
      <c r="BS276" s="1108"/>
      <c r="BT276" s="1108"/>
      <c r="BU276" s="1108"/>
      <c r="BV276" s="2361"/>
      <c r="BW276" s="2361"/>
      <c r="BX276" s="2361"/>
      <c r="BY276" s="2361"/>
      <c r="BZ276" s="1727"/>
      <c r="CA276" s="2361">
        <f>CA275/BV275-1</f>
        <v>1.1201368438391772</v>
      </c>
      <c r="CB276" s="2361">
        <f>CB275/BW275-1</f>
        <v>1.1201368438391772</v>
      </c>
      <c r="CC276" s="2361">
        <f>CC275/BX275-1</f>
        <v>0.66711615071114738</v>
      </c>
      <c r="CD276" s="2361">
        <f>CD275/BY275-1</f>
        <v>-6.7950641076621188E-2</v>
      </c>
      <c r="CE276" s="1727"/>
      <c r="CF276" s="2361">
        <f>CF275/CA275-1</f>
        <v>0.45961538461538454</v>
      </c>
      <c r="CG276" s="2361">
        <f>CG275/CB275-1</f>
        <v>0.45961538461538454</v>
      </c>
      <c r="CH276" s="2361">
        <f>CH275/CC275-1</f>
        <v>0.37347826086956526</v>
      </c>
      <c r="CI276" s="2361">
        <f>CI275/CD275-1</f>
        <v>0.32250000000000023</v>
      </c>
      <c r="CJ276" s="2189"/>
      <c r="CK276" s="2361">
        <f>CK275/CF275-1</f>
        <v>0.51673254281949954</v>
      </c>
      <c r="CL276" s="2361">
        <f>CL275/CG275-1</f>
        <v>0.51673254281949954</v>
      </c>
      <c r="CM276" s="2361">
        <f>CM275/CH275-1</f>
        <v>0.45299145299145294</v>
      </c>
      <c r="CN276" s="2361">
        <f>CN275/CI275-1</f>
        <v>0.4278827977315689</v>
      </c>
      <c r="CO276" s="1741"/>
      <c r="CP276" s="2361">
        <f>CP275/CK275-1</f>
        <v>0.53078237201760481</v>
      </c>
      <c r="CQ276" s="3109">
        <f>CQ275/CL275-1</f>
        <v>0.54236448922863101</v>
      </c>
      <c r="CR276" s="3109">
        <f>CR275/CM275-1</f>
        <v>0.53066884531590386</v>
      </c>
      <c r="CS276" s="3109">
        <f>CS275/CN275-1</f>
        <v>0.53417681147210527</v>
      </c>
      <c r="CT276" s="3111"/>
      <c r="CU276" s="3109">
        <f>CU275/CP275-1</f>
        <v>0.53100447782923532</v>
      </c>
      <c r="CV276" s="3109">
        <f>CV275/CQ275-1</f>
        <v>0.54959726617945126</v>
      </c>
      <c r="CW276" s="3109">
        <f>CW275/CR275-1</f>
        <v>0.41282082137095766</v>
      </c>
      <c r="CX276" s="3109">
        <f>CX275/CS275-1</f>
        <v>0.31568714724843416</v>
      </c>
      <c r="CY276" s="2835"/>
      <c r="CZ276" s="3109">
        <f>CZ275/CU275-1</f>
        <v>0.33753506667742506</v>
      </c>
      <c r="DA276" s="3109">
        <f>DA275/CV275-1</f>
        <v>0.30471625932525237</v>
      </c>
      <c r="DB276" s="2361">
        <f>DB275/CW275-1</f>
        <v>0.35069069554633225</v>
      </c>
      <c r="DC276" s="2361">
        <f>DC275/CX275-1</f>
        <v>0.36640271278543479</v>
      </c>
      <c r="DD276" s="1741"/>
      <c r="DE276" s="3109">
        <f>DE275/CZ275-1</f>
        <v>0.31437280163767078</v>
      </c>
      <c r="DF276" s="3109">
        <f>DF275/DA275-1</f>
        <v>0.3321570609767488</v>
      </c>
      <c r="DG276" s="2361">
        <f>DG275/DB275-1</f>
        <v>0.33259815513967772</v>
      </c>
      <c r="DH276" s="2361">
        <f>DH275/DC275-1</f>
        <v>0.32380399213993427</v>
      </c>
      <c r="DI276" s="2835"/>
      <c r="DJ276" s="1741"/>
      <c r="DK276" s="1741"/>
      <c r="DL276" s="1741"/>
      <c r="DM276" s="1741"/>
      <c r="DN276" s="1741"/>
      <c r="DO276" s="875"/>
      <c r="DP276" s="875"/>
      <c r="DQ276" s="875"/>
      <c r="DR276" s="11"/>
      <c r="DS276" s="11"/>
      <c r="DT276" s="11"/>
    </row>
    <row r="277" spans="1:124" ht="6" customHeight="1">
      <c r="A277" s="1477"/>
      <c r="B277" s="1108"/>
      <c r="C277" s="1108"/>
      <c r="D277" s="1108"/>
      <c r="E277" s="1108"/>
      <c r="F277" s="1108"/>
      <c r="G277" s="1108"/>
      <c r="H277" s="1108"/>
      <c r="I277" s="1108"/>
      <c r="J277" s="2361"/>
      <c r="K277" s="2361"/>
      <c r="L277" s="2361"/>
      <c r="M277" s="2361"/>
      <c r="N277" s="1683"/>
      <c r="O277" s="2709"/>
      <c r="P277" s="2709"/>
      <c r="Q277" s="1683"/>
      <c r="R277" s="1683"/>
      <c r="S277" s="2756"/>
      <c r="T277" s="1683"/>
      <c r="U277" s="1683"/>
      <c r="V277" s="1683"/>
      <c r="W277" s="1683"/>
      <c r="X277" s="1683"/>
      <c r="Y277" s="1683"/>
      <c r="Z277" s="1683"/>
      <c r="AA277" s="1683"/>
      <c r="AB277" s="1683"/>
      <c r="AC277" s="1683"/>
      <c r="AD277" s="1683"/>
      <c r="AE277" s="1683"/>
      <c r="AF277" s="1798"/>
      <c r="AG277" s="1798"/>
      <c r="AH277" s="1798"/>
      <c r="AI277" s="1798"/>
      <c r="AJ277" s="1798"/>
      <c r="AK277" s="1798"/>
      <c r="AL277" s="1108"/>
      <c r="AM277" s="1108"/>
      <c r="AN277" s="1108"/>
      <c r="AO277" s="1108"/>
      <c r="AP277" s="1108"/>
      <c r="AQ277" s="1741"/>
      <c r="AR277" s="1108"/>
      <c r="AS277" s="1108"/>
      <c r="AT277" s="1108"/>
      <c r="AU277" s="1108"/>
      <c r="AV277" s="1741"/>
      <c r="AW277" s="1108"/>
      <c r="AX277" s="1108"/>
      <c r="AY277" s="1108"/>
      <c r="AZ277" s="1108"/>
      <c r="BA277" s="1741"/>
      <c r="BB277" s="1108"/>
      <c r="BC277" s="1108"/>
      <c r="BD277" s="1108"/>
      <c r="BE277" s="1108"/>
      <c r="BF277" s="1741"/>
      <c r="BG277" s="1108"/>
      <c r="BH277" s="1108"/>
      <c r="BI277" s="1108"/>
      <c r="BJ277" s="1108"/>
      <c r="BK277" s="1741"/>
      <c r="BL277" s="1108"/>
      <c r="BM277" s="1108"/>
      <c r="BN277" s="1108"/>
      <c r="BO277" s="1108"/>
      <c r="BP277" s="1741"/>
      <c r="BQ277" s="1108"/>
      <c r="BR277" s="1108"/>
      <c r="BS277" s="1108"/>
      <c r="BT277" s="1108"/>
      <c r="BU277" s="1108"/>
      <c r="BV277" s="2361"/>
      <c r="BW277" s="2361"/>
      <c r="BX277" s="2361"/>
      <c r="BY277" s="2361"/>
      <c r="BZ277" s="1727"/>
      <c r="CA277" s="2361"/>
      <c r="CB277" s="2361"/>
      <c r="CC277" s="2361"/>
      <c r="CD277" s="2361"/>
      <c r="CE277" s="1727"/>
      <c r="CF277" s="2361"/>
      <c r="CG277" s="2361"/>
      <c r="CH277" s="2361"/>
      <c r="CI277" s="2361"/>
      <c r="CJ277" s="2189"/>
      <c r="CK277" s="2361"/>
      <c r="CL277" s="2361"/>
      <c r="CM277" s="2361"/>
      <c r="CN277" s="2361"/>
      <c r="CO277" s="1741"/>
      <c r="CP277" s="2361"/>
      <c r="CQ277" s="3109"/>
      <c r="CR277" s="3109"/>
      <c r="CS277" s="3109"/>
      <c r="CT277" s="3111"/>
      <c r="CU277" s="2833"/>
      <c r="CV277" s="2833"/>
      <c r="CW277" s="2833"/>
      <c r="CX277" s="2833"/>
      <c r="CY277" s="2835"/>
      <c r="CZ277" s="2833"/>
      <c r="DA277" s="2833"/>
      <c r="DB277" s="1476"/>
      <c r="DC277" s="1476"/>
      <c r="DD277" s="1741"/>
      <c r="DE277" s="2833"/>
      <c r="DF277" s="2833"/>
      <c r="DG277" s="1476"/>
      <c r="DH277" s="1476"/>
      <c r="DI277" s="2835"/>
      <c r="DJ277" s="1741"/>
      <c r="DK277" s="1741"/>
      <c r="DL277" s="1741"/>
      <c r="DM277" s="1741"/>
      <c r="DN277" s="1741"/>
      <c r="DO277" s="875"/>
      <c r="DP277" s="875"/>
      <c r="DQ277" s="875"/>
      <c r="DR277" s="11"/>
      <c r="DS277" s="11"/>
      <c r="DT277" s="11"/>
    </row>
    <row r="278" spans="1:124" s="862" customFormat="1" ht="11.25">
      <c r="A278" s="1470" t="s">
        <v>1785</v>
      </c>
      <c r="B278" s="1470"/>
      <c r="C278" s="1470"/>
      <c r="D278" s="1470"/>
      <c r="E278" s="1470"/>
      <c r="F278" s="1470"/>
      <c r="G278" s="1470"/>
      <c r="H278" s="1470"/>
      <c r="I278" s="1470"/>
      <c r="J278" s="3166"/>
      <c r="K278" s="3166"/>
      <c r="L278" s="3166"/>
      <c r="M278" s="3166"/>
      <c r="N278" s="3166"/>
      <c r="O278" s="3167"/>
      <c r="P278" s="3167"/>
      <c r="Q278" s="3168">
        <f>Q275+'CBS Interactive'!T125+'CBS Interactive'!T131</f>
        <v>575.96121999999991</v>
      </c>
      <c r="R278" s="3168">
        <f>R275+'CBS Interactive'!U125+'CBS Interactive'!U131</f>
        <v>868.93581817307461</v>
      </c>
      <c r="S278" s="3169"/>
      <c r="T278" s="3166">
        <f>T275+'CBS Interactive'!V125+'CBS Interactive'!V131</f>
        <v>1195.4293475032187</v>
      </c>
      <c r="U278" s="3166">
        <f>U275+'CBS Interactive'!W125+'CBS Interactive'!W131</f>
        <v>1621.4855046923285</v>
      </c>
      <c r="V278" s="3166">
        <f>V275+'CBS Interactive'!X125+'CBS Interactive'!X131</f>
        <v>1987.0458855118095</v>
      </c>
      <c r="W278" s="3166">
        <f>W275+'CBS Interactive'!Y125+'CBS Interactive'!Y131</f>
        <v>2437.5473320614901</v>
      </c>
      <c r="X278" s="3166">
        <f>X275+'CBS Interactive'!Z125+'CBS Interactive'!Z131</f>
        <v>2802.8996484660775</v>
      </c>
      <c r="Y278" s="3166">
        <f>Y275+'CBS Interactive'!AA125+'CBS Interactive'!AA131</f>
        <v>3053.4977201209304</v>
      </c>
      <c r="Z278" s="3166">
        <f>Z275+'CBS Interactive'!AB125+'CBS Interactive'!AB131</f>
        <v>3290.6457465795843</v>
      </c>
      <c r="AA278" s="3166">
        <f>AA275+'CBS Interactive'!AC125+'CBS Interactive'!AC131</f>
        <v>3509.3476087790109</v>
      </c>
      <c r="AB278" s="3166">
        <f>AB275+'CBS Interactive'!AD125+'CBS Interactive'!AD131</f>
        <v>3721.5634137119077</v>
      </c>
      <c r="AC278" s="3166">
        <f>AC275+'CBS Interactive'!AE125+'CBS Interactive'!AE131</f>
        <v>3925.9274287377648</v>
      </c>
      <c r="AD278" s="3166">
        <f>AD275+'CBS Interactive'!AF125+'CBS Interactive'!AF131</f>
        <v>4137.1560106122652</v>
      </c>
      <c r="AE278" s="3166">
        <f>AE275+'CBS Interactive'!AG125+'CBS Interactive'!AG131</f>
        <v>4343.222925203464</v>
      </c>
      <c r="AF278" s="3166">
        <f>AF275+'CBS Interactive'!AH125+'CBS Interactive'!AH131</f>
        <v>0</v>
      </c>
      <c r="AG278" s="3166">
        <f>AG275+'CBS Interactive'!AI125+'CBS Interactive'!AI131</f>
        <v>0</v>
      </c>
      <c r="AH278" s="3166">
        <f>AH275+'CBS Interactive'!AJ125+'CBS Interactive'!AJ131</f>
        <v>0</v>
      </c>
      <c r="AI278" s="3166">
        <f>AI275+'CBS Interactive'!AK125+'CBS Interactive'!AK131</f>
        <v>0</v>
      </c>
      <c r="AJ278" s="3166">
        <f>AJ275+'CBS Interactive'!AL125+'CBS Interactive'!AL131</f>
        <v>0</v>
      </c>
      <c r="AK278" s="1790"/>
      <c r="AL278" s="1470"/>
      <c r="AM278" s="1470"/>
      <c r="AN278" s="1470"/>
      <c r="AO278" s="1470"/>
      <c r="AP278" s="1470"/>
      <c r="AQ278" s="2279"/>
      <c r="AR278" s="1470"/>
      <c r="AS278" s="1470"/>
      <c r="AT278" s="1470"/>
      <c r="AU278" s="1470"/>
      <c r="AV278" s="2279"/>
      <c r="AW278" s="1470"/>
      <c r="AX278" s="1470"/>
      <c r="AY278" s="1470"/>
      <c r="AZ278" s="1470"/>
      <c r="BA278" s="2279"/>
      <c r="BB278" s="1470"/>
      <c r="BC278" s="1470"/>
      <c r="BD278" s="1470"/>
      <c r="BE278" s="1470"/>
      <c r="BF278" s="2279"/>
      <c r="BG278" s="1470"/>
      <c r="BH278" s="1470"/>
      <c r="BI278" s="1470"/>
      <c r="BJ278" s="1470"/>
      <c r="BK278" s="2279"/>
      <c r="BL278" s="1470"/>
      <c r="BM278" s="1470"/>
      <c r="BN278" s="1470"/>
      <c r="BO278" s="1470"/>
      <c r="BP278" s="2279"/>
      <c r="BQ278" s="1470"/>
      <c r="BR278" s="1470"/>
      <c r="BS278" s="1470"/>
      <c r="BT278" s="1470"/>
      <c r="BU278" s="1470"/>
      <c r="BV278" s="3166"/>
      <c r="BW278" s="3166"/>
      <c r="BX278" s="3166"/>
      <c r="BY278" s="3166"/>
      <c r="BZ278" s="1470"/>
      <c r="CA278" s="3166"/>
      <c r="CB278" s="3166"/>
      <c r="CC278" s="3166"/>
      <c r="CD278" s="3166"/>
      <c r="CE278" s="1470"/>
      <c r="CF278" s="3166"/>
      <c r="CG278" s="3166"/>
      <c r="CH278" s="3166"/>
      <c r="CI278" s="3166"/>
      <c r="CJ278" s="1470"/>
      <c r="CK278" s="3170">
        <f>CK275+'CBS Interactive'!CG125+'CBS Interactive'!CG131</f>
        <v>86.34</v>
      </c>
      <c r="CL278" s="3170">
        <f>CL275+'CBS Interactive'!CH125+'CBS Interactive'!CH131</f>
        <v>86.34</v>
      </c>
      <c r="CM278" s="3170">
        <f>CM275+'CBS Interactive'!CI125+'CBS Interactive'!CI131</f>
        <v>91.800000000000011</v>
      </c>
      <c r="CN278" s="3170">
        <f>CN275+'CBS Interactive'!CJ125+'CBS Interactive'!CJ131</f>
        <v>100.110525</v>
      </c>
      <c r="CO278" s="2279"/>
      <c r="CP278" s="3170">
        <f>CP275+'CBS Interactive'!CL125+'CBS Interactive'!CL131</f>
        <v>133.54245500000002</v>
      </c>
      <c r="CQ278" s="3170">
        <f>CQ275+'CBS Interactive'!CM125+'CBS Interactive'!CM131</f>
        <v>136.07889</v>
      </c>
      <c r="CR278" s="3170">
        <f>CR275+'CBS Interactive'!CN125+'CBS Interactive'!CN131</f>
        <v>145.60989499999999</v>
      </c>
      <c r="CS278" s="3170">
        <f>CS275+'CBS Interactive'!CO125+'CBS Interactive'!CO131</f>
        <v>160.72998000000001</v>
      </c>
      <c r="CT278" s="2852"/>
      <c r="CU278" s="3170">
        <f>CU275+'CBS Interactive'!CQ125+'CBS Interactive'!CQ131</f>
        <v>213.18532707461495</v>
      </c>
      <c r="CV278" s="3170">
        <f>CV275+'CBS Interactive'!CR125+'CBS Interactive'!CR131</f>
        <v>220.42689134326866</v>
      </c>
      <c r="CW278" s="3170">
        <f>CW275+'CBS Interactive'!CS125+'CBS Interactive'!CS131</f>
        <v>215.18127284326866</v>
      </c>
      <c r="CX278" s="3170">
        <f>CX275+'CBS Interactive'!CT125+'CBS Interactive'!CT131</f>
        <v>220.14232691192242</v>
      </c>
      <c r="CY278" s="2975"/>
      <c r="CZ278" s="3170">
        <f>CZ275+'CBS Interactive'!CV125+'CBS Interactive'!CV131</f>
        <v>291.87063105903314</v>
      </c>
      <c r="DA278" s="3170">
        <f>DA275+'CBS Interactive'!CW125+'CBS Interactive'!CW131</f>
        <v>294.23569095408476</v>
      </c>
      <c r="DB278" s="3170">
        <f>DB275+'CBS Interactive'!CX125+'CBS Interactive'!CX131</f>
        <v>298.57606084757674</v>
      </c>
      <c r="DC278" s="3170">
        <f>DC275+'CBS Interactive'!CY125+'CBS Interactive'!CY131</f>
        <v>310.74696464252406</v>
      </c>
      <c r="DD278" s="2279"/>
      <c r="DE278" s="3170">
        <f>DE275+'CBS Interactive'!DA125+'CBS Interactive'!DA131</f>
        <v>396.54206410643104</v>
      </c>
      <c r="DF278" s="3170">
        <f>DF275+'CBS Interactive'!DB125+'CBS Interactive'!DB131</f>
        <v>403.16228412258374</v>
      </c>
      <c r="DG278" s="3170">
        <f>DG275+'CBS Interactive'!DC125+'CBS Interactive'!DC131</f>
        <v>405.36564137058122</v>
      </c>
      <c r="DH278" s="3170">
        <f>DH275+'CBS Interactive'!DD125+'CBS Interactive'!DD131</f>
        <v>416.41551509273268</v>
      </c>
      <c r="DI278" s="2975"/>
      <c r="DJ278" s="2279"/>
      <c r="DK278" s="2279"/>
      <c r="DL278" s="2279"/>
      <c r="DM278" s="2279"/>
      <c r="DN278" s="2279"/>
      <c r="DR278" s="906"/>
      <c r="DS278" s="906"/>
      <c r="DT278" s="906"/>
    </row>
    <row r="279" spans="1:124" s="862" customFormat="1" ht="11.25">
      <c r="A279" s="1477" t="s">
        <v>812</v>
      </c>
      <c r="B279" s="1470"/>
      <c r="C279" s="1470"/>
      <c r="D279" s="1470"/>
      <c r="E279" s="1470"/>
      <c r="F279" s="1470"/>
      <c r="G279" s="1470"/>
      <c r="H279" s="1470"/>
      <c r="I279" s="1470"/>
      <c r="J279" s="1476"/>
      <c r="K279" s="1476"/>
      <c r="L279" s="1476"/>
      <c r="M279" s="1476"/>
      <c r="N279" s="1476"/>
      <c r="O279" s="3167"/>
      <c r="P279" s="3167"/>
      <c r="Q279" s="1476"/>
      <c r="R279" s="1476">
        <f t="shared" ref="R279" si="506">R278/Q278-1</f>
        <v>0.50867070212309562</v>
      </c>
      <c r="S279" s="3171"/>
      <c r="T279" s="1476">
        <f>T278/R278-1</f>
        <v>0.37573952241558195</v>
      </c>
      <c r="U279" s="1476">
        <f>U278/T278-1</f>
        <v>0.35640429781899985</v>
      </c>
      <c r="V279" s="1476">
        <f t="shared" ref="V279:AE279" si="507">V278/U278-1</f>
        <v>0.22544782531919383</v>
      </c>
      <c r="W279" s="1476">
        <f t="shared" si="507"/>
        <v>0.22671919648883376</v>
      </c>
      <c r="X279" s="1476">
        <f t="shared" si="507"/>
        <v>0.14988521929360865</v>
      </c>
      <c r="Y279" s="1476">
        <f t="shared" si="507"/>
        <v>8.9406722710174691E-2</v>
      </c>
      <c r="Z279" s="1476">
        <f t="shared" si="507"/>
        <v>7.7664386285921871E-2</v>
      </c>
      <c r="AA279" s="1476">
        <f t="shared" si="507"/>
        <v>6.6461685347550148E-2</v>
      </c>
      <c r="AB279" s="1476">
        <f t="shared" si="507"/>
        <v>6.0471582923850686E-2</v>
      </c>
      <c r="AC279" s="1476">
        <f t="shared" si="507"/>
        <v>5.4913484551381897E-2</v>
      </c>
      <c r="AD279" s="1476">
        <f t="shared" si="507"/>
        <v>5.3803486108354504E-2</v>
      </c>
      <c r="AE279" s="1476">
        <f t="shared" si="507"/>
        <v>4.9808833426299159E-2</v>
      </c>
      <c r="AF279" s="1790"/>
      <c r="AG279" s="1790"/>
      <c r="AH279" s="1790"/>
      <c r="AI279" s="1790"/>
      <c r="AJ279" s="1790"/>
      <c r="AK279" s="1790"/>
      <c r="AL279" s="1470"/>
      <c r="AM279" s="1470"/>
      <c r="AN279" s="1470"/>
      <c r="AO279" s="1470"/>
      <c r="AP279" s="1470"/>
      <c r="AQ279" s="2279"/>
      <c r="AR279" s="1470"/>
      <c r="AS279" s="1470"/>
      <c r="AT279" s="1470"/>
      <c r="AU279" s="1470"/>
      <c r="AV279" s="2279"/>
      <c r="AW279" s="1470"/>
      <c r="AX279" s="1470"/>
      <c r="AY279" s="1470"/>
      <c r="AZ279" s="1470"/>
      <c r="BA279" s="2279"/>
      <c r="BB279" s="1470"/>
      <c r="BC279" s="1470"/>
      <c r="BD279" s="1470"/>
      <c r="BE279" s="1470"/>
      <c r="BF279" s="2279"/>
      <c r="BG279" s="1470"/>
      <c r="BH279" s="1470"/>
      <c r="BI279" s="1470"/>
      <c r="BJ279" s="1470"/>
      <c r="BK279" s="2279"/>
      <c r="BL279" s="1470"/>
      <c r="BM279" s="1470"/>
      <c r="BN279" s="1470"/>
      <c r="BO279" s="1470"/>
      <c r="BP279" s="2279"/>
      <c r="BQ279" s="1470"/>
      <c r="BR279" s="1470"/>
      <c r="BS279" s="1470"/>
      <c r="BT279" s="1470"/>
      <c r="BU279" s="1470"/>
      <c r="BV279" s="1476"/>
      <c r="BW279" s="1476"/>
      <c r="BX279" s="1476"/>
      <c r="BY279" s="1476"/>
      <c r="BZ279" s="1470"/>
      <c r="CA279" s="1476"/>
      <c r="CB279" s="1476"/>
      <c r="CC279" s="1476"/>
      <c r="CD279" s="1476"/>
      <c r="CE279" s="1470"/>
      <c r="CF279" s="1476"/>
      <c r="CG279" s="1476"/>
      <c r="CH279" s="1476"/>
      <c r="CI279" s="1476"/>
      <c r="CJ279" s="1470"/>
      <c r="CK279" s="1476"/>
      <c r="CL279" s="1476"/>
      <c r="CM279" s="1476"/>
      <c r="CN279" s="1476"/>
      <c r="CO279" s="2279"/>
      <c r="CP279" s="2833">
        <f>CP278/CK278-1</f>
        <v>0.54670436645818876</v>
      </c>
      <c r="CQ279" s="2833">
        <f t="shared" ref="CQ279" si="508">CQ278/CL278-1</f>
        <v>0.57608165392633759</v>
      </c>
      <c r="CR279" s="2833">
        <f t="shared" ref="CR279" si="509">CR278/CM278-1</f>
        <v>0.58616443355119796</v>
      </c>
      <c r="CS279" s="2833">
        <f t="shared" ref="CS279" si="510">CS278/CN278-1</f>
        <v>0.60552529316972437</v>
      </c>
      <c r="CT279" s="2852"/>
      <c r="CU279" s="2833">
        <f>CU278/CP278-1</f>
        <v>0.59638616104979447</v>
      </c>
      <c r="CV279" s="2833">
        <f t="shared" ref="CV279:DC279" si="511">CV278/CQ278-1</f>
        <v>0.6198463357782289</v>
      </c>
      <c r="CW279" s="2833">
        <f t="shared" si="511"/>
        <v>0.47779292638916249</v>
      </c>
      <c r="CX279" s="2833">
        <f t="shared" si="511"/>
        <v>0.36964072858045771</v>
      </c>
      <c r="CY279" s="2833"/>
      <c r="CZ279" s="2833">
        <f t="shared" si="511"/>
        <v>0.36909343182365606</v>
      </c>
      <c r="DA279" s="2833">
        <f t="shared" si="511"/>
        <v>0.33484480573594966</v>
      </c>
      <c r="DB279" s="2833">
        <f t="shared" si="511"/>
        <v>0.3875559750269264</v>
      </c>
      <c r="DC279" s="2833">
        <f t="shared" si="511"/>
        <v>0.41157299916636192</v>
      </c>
      <c r="DD279" s="2279"/>
      <c r="DE279" s="2833">
        <f t="shared" ref="DE279" si="512">DE278/CZ278-1</f>
        <v>0.35862269755475085</v>
      </c>
      <c r="DF279" s="2833">
        <f t="shared" ref="DF279" si="513">DF278/DA278-1</f>
        <v>0.37020183654571293</v>
      </c>
      <c r="DG279" s="2833">
        <f t="shared" ref="DG279" si="514">DG278/DB278-1</f>
        <v>0.35766290244387888</v>
      </c>
      <c r="DH279" s="2833">
        <f t="shared" ref="DH279" si="515">DH278/DC278-1</f>
        <v>0.34004692715749352</v>
      </c>
      <c r="DI279" s="2975"/>
      <c r="DJ279" s="2279"/>
      <c r="DK279" s="2279"/>
      <c r="DL279" s="2279"/>
      <c r="DM279" s="2279"/>
      <c r="DN279" s="2279"/>
      <c r="DR279" s="906"/>
      <c r="DS279" s="906"/>
      <c r="DT279" s="906"/>
    </row>
    <row r="280" spans="1:124" s="769" customFormat="1" ht="6.75" customHeight="1">
      <c r="A280" s="1477"/>
      <c r="B280" s="1470"/>
      <c r="C280" s="1470"/>
      <c r="D280" s="1470"/>
      <c r="E280" s="1470"/>
      <c r="F280" s="1470"/>
      <c r="G280" s="1470"/>
      <c r="H280" s="1470"/>
      <c r="I280" s="1470"/>
      <c r="J280" s="1476"/>
      <c r="K280" s="1476"/>
      <c r="L280" s="1476"/>
      <c r="M280" s="1476"/>
      <c r="N280" s="2017"/>
      <c r="O280" s="3167"/>
      <c r="P280" s="3167"/>
      <c r="Q280" s="2017"/>
      <c r="R280" s="2017"/>
      <c r="S280" s="3172"/>
      <c r="T280" s="2017"/>
      <c r="U280" s="2017"/>
      <c r="V280" s="2017"/>
      <c r="W280" s="2017"/>
      <c r="X280" s="2017"/>
      <c r="Y280" s="2017"/>
      <c r="Z280" s="2017"/>
      <c r="AA280" s="2017"/>
      <c r="AB280" s="2017"/>
      <c r="AC280" s="2017"/>
      <c r="AD280" s="2017"/>
      <c r="AE280" s="2017"/>
      <c r="AF280" s="1790"/>
      <c r="AG280" s="1790"/>
      <c r="AH280" s="1790"/>
      <c r="AI280" s="1790"/>
      <c r="AJ280" s="1790"/>
      <c r="AK280" s="1790"/>
      <c r="AL280" s="1470"/>
      <c r="AM280" s="1470"/>
      <c r="AN280" s="1470"/>
      <c r="AO280" s="1470"/>
      <c r="AP280" s="1470"/>
      <c r="AQ280" s="2279"/>
      <c r="AR280" s="1470"/>
      <c r="AS280" s="1470"/>
      <c r="AT280" s="1470"/>
      <c r="AU280" s="1470"/>
      <c r="AV280" s="2279"/>
      <c r="AW280" s="1470"/>
      <c r="AX280" s="1470"/>
      <c r="AY280" s="1470"/>
      <c r="AZ280" s="1470"/>
      <c r="BA280" s="2279"/>
      <c r="BB280" s="1470"/>
      <c r="BC280" s="1470"/>
      <c r="BD280" s="1470"/>
      <c r="BE280" s="1470"/>
      <c r="BF280" s="2279"/>
      <c r="BG280" s="1470"/>
      <c r="BH280" s="1470"/>
      <c r="BI280" s="1470"/>
      <c r="BJ280" s="1470"/>
      <c r="BK280" s="2279"/>
      <c r="BL280" s="1470"/>
      <c r="BM280" s="1470"/>
      <c r="BN280" s="1470"/>
      <c r="BO280" s="1470"/>
      <c r="BP280" s="2279"/>
      <c r="BQ280" s="1470"/>
      <c r="BR280" s="1470"/>
      <c r="BS280" s="1470"/>
      <c r="BT280" s="1470"/>
      <c r="BU280" s="1470"/>
      <c r="BV280" s="1476"/>
      <c r="BW280" s="1476"/>
      <c r="BX280" s="1476"/>
      <c r="BY280" s="1476"/>
      <c r="BZ280" s="1659"/>
      <c r="CA280" s="1476"/>
      <c r="CB280" s="1476"/>
      <c r="CC280" s="1476"/>
      <c r="CD280" s="1476"/>
      <c r="CE280" s="1659"/>
      <c r="CF280" s="1476"/>
      <c r="CG280" s="1476"/>
      <c r="CH280" s="1476"/>
      <c r="CI280" s="1476"/>
      <c r="CJ280" s="2454"/>
      <c r="CK280" s="1476"/>
      <c r="CL280" s="1476"/>
      <c r="CM280" s="1476"/>
      <c r="CN280" s="1476"/>
      <c r="CO280" s="1741"/>
      <c r="CP280" s="1476"/>
      <c r="CQ280" s="2833"/>
      <c r="CR280" s="2833"/>
      <c r="CS280" s="2833"/>
      <c r="CT280" s="2852"/>
      <c r="CU280" s="2833"/>
      <c r="CV280" s="2833"/>
      <c r="CW280" s="2833"/>
      <c r="CX280" s="2833"/>
      <c r="CY280" s="2975"/>
      <c r="CZ280" s="2833"/>
      <c r="DA280" s="1476"/>
      <c r="DB280" s="1476"/>
      <c r="DC280" s="1476"/>
      <c r="DD280" s="2279"/>
      <c r="DE280" s="2833"/>
      <c r="DF280" s="1476"/>
      <c r="DG280" s="1476"/>
      <c r="DH280" s="1476"/>
      <c r="DI280" s="2975"/>
      <c r="DJ280" s="2279"/>
      <c r="DK280" s="2279"/>
      <c r="DL280" s="2279"/>
      <c r="DM280" s="2279"/>
      <c r="DN280" s="2279"/>
      <c r="DR280" s="906"/>
      <c r="DS280" s="906"/>
      <c r="DT280" s="906"/>
    </row>
    <row r="281" spans="1:124" s="862" customFormat="1" ht="11.25">
      <c r="A281" s="1494" t="s">
        <v>1685</v>
      </c>
      <c r="B281" s="1470"/>
      <c r="C281" s="1470"/>
      <c r="D281" s="1470"/>
      <c r="E281" s="1470"/>
      <c r="F281" s="1470"/>
      <c r="G281" s="1470"/>
      <c r="H281" s="1470"/>
      <c r="I281" s="1470"/>
      <c r="J281" s="2452">
        <f>J265*0.5</f>
        <v>42</v>
      </c>
      <c r="K281" s="2452">
        <f>K265*0.5</f>
        <v>76.356000000000009</v>
      </c>
      <c r="L281" s="2452">
        <f>L265*0.5</f>
        <v>104</v>
      </c>
      <c r="M281" s="2452">
        <f>M265*0.5</f>
        <v>144.21</v>
      </c>
      <c r="N281" s="2452">
        <f>N265*0.5</f>
        <v>179.41980000000001</v>
      </c>
      <c r="O281" s="2709"/>
      <c r="P281" s="2709"/>
      <c r="Q281" s="2462">
        <f>SUM(CP281:CS281)</f>
        <v>203.33509488714878</v>
      </c>
      <c r="R281" s="2462">
        <f>SUM(CU281:CX281)</f>
        <v>230.07438415420694</v>
      </c>
      <c r="S281" s="2757"/>
      <c r="T281" s="2462">
        <f>SUM(CZ281:DC281)</f>
        <v>251.95943574295507</v>
      </c>
      <c r="U281" s="2462">
        <f t="shared" ref="U281" si="516">SUM(DE281:DH281)</f>
        <v>286.95269283326382</v>
      </c>
      <c r="V281" s="2452">
        <f t="shared" ref="V281:AC281" si="517">V265*V285</f>
        <v>343.39359345587451</v>
      </c>
      <c r="W281" s="2452">
        <f t="shared" si="517"/>
        <v>449.88004409811521</v>
      </c>
      <c r="X281" s="2452">
        <f t="shared" si="517"/>
        <v>508.6398393967699</v>
      </c>
      <c r="Y281" s="2452">
        <f t="shared" si="517"/>
        <v>515.93445379491027</v>
      </c>
      <c r="Z281" s="2452">
        <f t="shared" si="517"/>
        <v>515.30568763863198</v>
      </c>
      <c r="AA281" s="2452">
        <f t="shared" si="517"/>
        <v>507.23279824409815</v>
      </c>
      <c r="AB281" s="2452">
        <f t="shared" si="517"/>
        <v>494.38308999840808</v>
      </c>
      <c r="AC281" s="2452">
        <f t="shared" si="517"/>
        <v>497.95343210501602</v>
      </c>
      <c r="AD281" s="2452">
        <f>AD265*AD285</f>
        <v>500.59882975909028</v>
      </c>
      <c r="AE281" s="2452">
        <f>AE265*AE285</f>
        <v>500.62897407962976</v>
      </c>
      <c r="AF281" s="1798"/>
      <c r="AG281" s="1798"/>
      <c r="AH281" s="1798"/>
      <c r="AI281" s="1798"/>
      <c r="AJ281" s="1798"/>
      <c r="AK281" s="1798"/>
      <c r="AL281" s="1470" t="s">
        <v>1685</v>
      </c>
      <c r="AM281" s="1470"/>
      <c r="AN281" s="1470"/>
      <c r="AO281" s="1470"/>
      <c r="AP281" s="1470"/>
      <c r="AQ281" s="2279"/>
      <c r="AR281" s="1470"/>
      <c r="AS281" s="1470"/>
      <c r="AT281" s="1470"/>
      <c r="AU281" s="1470"/>
      <c r="AV281" s="2279"/>
      <c r="AW281" s="1470"/>
      <c r="AX281" s="1470"/>
      <c r="AY281" s="1470"/>
      <c r="AZ281" s="1470"/>
      <c r="BA281" s="2279"/>
      <c r="BB281" s="1470"/>
      <c r="BC281" s="1470"/>
      <c r="BD281" s="1470"/>
      <c r="BE281" s="1470"/>
      <c r="BF281" s="2279"/>
      <c r="BG281" s="1470"/>
      <c r="BH281" s="1470"/>
      <c r="BI281" s="1470"/>
      <c r="BJ281" s="1470"/>
      <c r="BK281" s="2279"/>
      <c r="BL281" s="1470"/>
      <c r="BM281" s="1470"/>
      <c r="BN281" s="1470"/>
      <c r="BO281" s="1470"/>
      <c r="BP281" s="2279"/>
      <c r="BQ281" s="1470"/>
      <c r="BR281" s="1470"/>
      <c r="BS281" s="1470"/>
      <c r="BT281" s="1470"/>
      <c r="BU281" s="1470"/>
      <c r="BV281" s="2452">
        <f>BV265*0.5</f>
        <v>11.604960965926049</v>
      </c>
      <c r="BW281" s="2452">
        <f>BW265*0.5</f>
        <v>11.604960965926049</v>
      </c>
      <c r="BX281" s="2452">
        <f>BX265*0.5</f>
        <v>17.407441448889074</v>
      </c>
      <c r="BY281" s="2452">
        <f>BY265*0.5</f>
        <v>35.738636619258834</v>
      </c>
      <c r="BZ281" s="1470"/>
      <c r="CA281" s="2452">
        <f>CA265*0.5</f>
        <v>21.5</v>
      </c>
      <c r="CB281" s="2452">
        <f>CB265*0.5</f>
        <v>21.5</v>
      </c>
      <c r="CC281" s="2452">
        <f>CC265*0.5</f>
        <v>28</v>
      </c>
      <c r="CD281" s="2452">
        <f>CD265*0.5</f>
        <v>33</v>
      </c>
      <c r="CE281" s="1470"/>
      <c r="CF281" s="2452">
        <f>CF265*0.5</f>
        <v>32.25</v>
      </c>
      <c r="CG281" s="2452">
        <f>CG265*0.5</f>
        <v>32.25</v>
      </c>
      <c r="CH281" s="2452">
        <f>CH265*0.5</f>
        <v>37.800000000000004</v>
      </c>
      <c r="CI281" s="2452">
        <f>CI265*0.5</f>
        <v>41.910000000000004</v>
      </c>
      <c r="CJ281" s="1470"/>
      <c r="CK281" s="2452">
        <f>CK265*0.5</f>
        <v>41.925000000000004</v>
      </c>
      <c r="CL281" s="2452">
        <f>CL265*0.5</f>
        <v>41.925000000000004</v>
      </c>
      <c r="CM281" s="2452">
        <f>CM265*0.5</f>
        <v>46.116000000000007</v>
      </c>
      <c r="CN281" s="2452">
        <f>CN265*0.5</f>
        <v>49.453800000000001</v>
      </c>
      <c r="CO281" s="1659"/>
      <c r="CP281" s="2452">
        <f>CP265*CP285</f>
        <v>48.039215686274503</v>
      </c>
      <c r="CQ281" s="3108">
        <f>CQ265*CQ285</f>
        <v>48.90205680705192</v>
      </c>
      <c r="CR281" s="3108">
        <f>CR265*CR285</f>
        <v>52.108108108108098</v>
      </c>
      <c r="CS281" s="3108">
        <f>CS265*CS285</f>
        <v>54.285714285714278</v>
      </c>
      <c r="CT281" s="2975">
        <f>$Q281-SUM(CP281:CS281)</f>
        <v>0</v>
      </c>
      <c r="CU281" s="3108">
        <f>CU265*CU285</f>
        <v>57.487337436901996</v>
      </c>
      <c r="CV281" s="3108">
        <f>CV265*CV285</f>
        <v>56.662202099157803</v>
      </c>
      <c r="CW281" s="3108">
        <f>CW265*CW285</f>
        <v>56.984020280975983</v>
      </c>
      <c r="CX281" s="3108">
        <f>CX265*CX285</f>
        <v>58.940824337171179</v>
      </c>
      <c r="CY281" s="2975">
        <f>R281-SUM(CU281:CX281)</f>
        <v>0</v>
      </c>
      <c r="CZ281" s="3108">
        <f>CZ265*CZ285</f>
        <v>62.471519448801175</v>
      </c>
      <c r="DA281" s="2452">
        <f>DA265*DA285</f>
        <v>62.171974318790141</v>
      </c>
      <c r="DB281" s="2452">
        <f>DB265*DB285</f>
        <v>63.324082410490078</v>
      </c>
      <c r="DC281" s="2452">
        <f>DC265*DC285</f>
        <v>63.991859564873664</v>
      </c>
      <c r="DD281" s="1741">
        <f>T281-SUM(CZ281:DC281)</f>
        <v>0</v>
      </c>
      <c r="DE281" s="3108">
        <f>DE265*DE285</f>
        <v>69.265603952472674</v>
      </c>
      <c r="DF281" s="2452">
        <f>DF265*DF285</f>
        <v>70.434560897322186</v>
      </c>
      <c r="DG281" s="2452">
        <f>DG265*DG285</f>
        <v>71.909026881989206</v>
      </c>
      <c r="DH281" s="2452">
        <f>DH265*DH285</f>
        <v>75.34350110147976</v>
      </c>
      <c r="DI281" s="3287">
        <f t="shared" ref="DI281" si="518">U281-SUM(DE281:DH281)</f>
        <v>0</v>
      </c>
      <c r="DJ281" s="2279"/>
      <c r="DK281" s="2279"/>
      <c r="DL281" s="2279"/>
      <c r="DM281" s="2279"/>
      <c r="DN281" s="2279"/>
      <c r="DO281" s="36"/>
      <c r="DP281" s="36"/>
      <c r="DQ281" s="36"/>
      <c r="DR281" s="906"/>
      <c r="DS281" s="906"/>
      <c r="DT281" s="906"/>
    </row>
    <row r="282" spans="1:124" s="862" customFormat="1" ht="11.25">
      <c r="A282" s="1477" t="s">
        <v>812</v>
      </c>
      <c r="B282" s="1470"/>
      <c r="C282" s="1470"/>
      <c r="D282" s="1470"/>
      <c r="E282" s="1470"/>
      <c r="F282" s="1470"/>
      <c r="G282" s="1470"/>
      <c r="H282" s="1470"/>
      <c r="I282" s="1470"/>
      <c r="J282" s="2361"/>
      <c r="K282" s="2361">
        <f>K281/J281-1</f>
        <v>0.81800000000000028</v>
      </c>
      <c r="L282" s="2361">
        <f>L281/K281-1</f>
        <v>0.36204096600136193</v>
      </c>
      <c r="M282" s="2361">
        <f>M281/L281-1</f>
        <v>0.38663461538461541</v>
      </c>
      <c r="N282" s="2361">
        <f>N281/M281-1</f>
        <v>0.24415643852714797</v>
      </c>
      <c r="O282" s="2709"/>
      <c r="P282" s="2709"/>
      <c r="Q282" s="2361">
        <f>Q281/N281-1</f>
        <v>0.13329239519355607</v>
      </c>
      <c r="R282" s="2361">
        <f t="shared" ref="R282:AE282" si="519">R281/Q281-1</f>
        <v>0.13150356204814773</v>
      </c>
      <c r="S282" s="2755"/>
      <c r="T282" s="2361">
        <f>T281/R281-1</f>
        <v>9.5121634984274062E-2</v>
      </c>
      <c r="U282" s="2361">
        <f>U281/T281-1</f>
        <v>0.13888448744586146</v>
      </c>
      <c r="V282" s="2361">
        <f t="shared" si="519"/>
        <v>0.19669061149186051</v>
      </c>
      <c r="W282" s="2361">
        <f t="shared" si="519"/>
        <v>0.31010028338203122</v>
      </c>
      <c r="X282" s="2361">
        <f t="shared" si="519"/>
        <v>0.13061213999045407</v>
      </c>
      <c r="Y282" s="2361">
        <f t="shared" si="519"/>
        <v>1.4341413772840816E-2</v>
      </c>
      <c r="Z282" s="2361">
        <f t="shared" si="519"/>
        <v>-1.2186938702261063E-3</v>
      </c>
      <c r="AA282" s="2361">
        <f t="shared" si="519"/>
        <v>-1.5666214420274605E-2</v>
      </c>
      <c r="AB282" s="2361">
        <f t="shared" si="519"/>
        <v>-2.5332960112540603E-2</v>
      </c>
      <c r="AC282" s="2361">
        <f t="shared" si="519"/>
        <v>7.2218127578340674E-3</v>
      </c>
      <c r="AD282" s="2361">
        <f t="shared" si="519"/>
        <v>5.3125402568092728E-3</v>
      </c>
      <c r="AE282" s="2361">
        <f t="shared" si="519"/>
        <v>6.0216522187905852E-5</v>
      </c>
      <c r="AF282" s="1798"/>
      <c r="AG282" s="1798"/>
      <c r="AH282" s="1798"/>
      <c r="AI282" s="1798"/>
      <c r="AJ282" s="1798"/>
      <c r="AK282" s="1798"/>
      <c r="AL282" s="1470" t="s">
        <v>812</v>
      </c>
      <c r="AM282" s="1470"/>
      <c r="AN282" s="1470"/>
      <c r="AO282" s="1470"/>
      <c r="AP282" s="1470"/>
      <c r="AQ282" s="2279"/>
      <c r="AR282" s="1470"/>
      <c r="AS282" s="1470"/>
      <c r="AT282" s="1470"/>
      <c r="AU282" s="1470"/>
      <c r="AV282" s="2279"/>
      <c r="AW282" s="1470"/>
      <c r="AX282" s="1470"/>
      <c r="AY282" s="1470"/>
      <c r="AZ282" s="1470"/>
      <c r="BA282" s="2279"/>
      <c r="BB282" s="1470"/>
      <c r="BC282" s="1470"/>
      <c r="BD282" s="1470"/>
      <c r="BE282" s="1470"/>
      <c r="BF282" s="2279"/>
      <c r="BG282" s="1470"/>
      <c r="BH282" s="1470"/>
      <c r="BI282" s="1470"/>
      <c r="BJ282" s="1470"/>
      <c r="BK282" s="2279"/>
      <c r="BL282" s="1470"/>
      <c r="BM282" s="1470"/>
      <c r="BN282" s="1470"/>
      <c r="BO282" s="1470"/>
      <c r="BP282" s="2279"/>
      <c r="BQ282" s="1470"/>
      <c r="BR282" s="1470"/>
      <c r="BS282" s="1470"/>
      <c r="BT282" s="1470"/>
      <c r="BU282" s="1470"/>
      <c r="BV282" s="2361"/>
      <c r="BW282" s="2361"/>
      <c r="BX282" s="2361"/>
      <c r="BY282" s="2361"/>
      <c r="BZ282" s="1470"/>
      <c r="CA282" s="2361">
        <f>CA281/BV281-1</f>
        <v>0.85265595146138873</v>
      </c>
      <c r="CB282" s="2361">
        <f>CB281/BW281-1</f>
        <v>0.85265595146138873</v>
      </c>
      <c r="CC282" s="2361">
        <f>CC281/BX281-1</f>
        <v>0.60850749274167071</v>
      </c>
      <c r="CD282" s="2361">
        <f>CD281/BY281-1</f>
        <v>-7.6629577351673195E-2</v>
      </c>
      <c r="CE282" s="1470"/>
      <c r="CF282" s="2361">
        <f>CF281/CA281-1</f>
        <v>0.5</v>
      </c>
      <c r="CG282" s="2361">
        <f>CG281/CB281-1</f>
        <v>0.5</v>
      </c>
      <c r="CH282" s="2361">
        <f>CH281/CC281-1</f>
        <v>0.35000000000000009</v>
      </c>
      <c r="CI282" s="2361">
        <f>CI281/CD281-1</f>
        <v>0.27</v>
      </c>
      <c r="CJ282" s="1470"/>
      <c r="CK282" s="2361">
        <f>CK281/CF281-1</f>
        <v>0.30000000000000004</v>
      </c>
      <c r="CL282" s="2361">
        <f>CL281/CG281-1</f>
        <v>0.30000000000000004</v>
      </c>
      <c r="CM282" s="2361">
        <f>CM281/CH281-1</f>
        <v>0.21999999999999997</v>
      </c>
      <c r="CN282" s="2361">
        <f>CN281/CI281-1</f>
        <v>0.17999999999999994</v>
      </c>
      <c r="CO282" s="1659"/>
      <c r="CP282" s="2361">
        <f>CP281/CK281-1</f>
        <v>0.14583698715025628</v>
      </c>
      <c r="CQ282" s="3109">
        <f>CQ281/CL281-1</f>
        <v>0.16641757440791682</v>
      </c>
      <c r="CR282" s="3109">
        <f>CR281/CM281-1</f>
        <v>0.12993555616506391</v>
      </c>
      <c r="CS282" s="3109">
        <f>CS281/CN281-1</f>
        <v>9.7705621928229514E-2</v>
      </c>
      <c r="CT282" s="2975"/>
      <c r="CU282" s="3109">
        <f>CU281/CP281-1</f>
        <v>0.19667518746204182</v>
      </c>
      <c r="CV282" s="3109">
        <f>CV281/CQ281-1</f>
        <v>0.15868750311923141</v>
      </c>
      <c r="CW282" s="3109">
        <f>CW281/CR281-1</f>
        <v>9.3573003317485304E-2</v>
      </c>
      <c r="CX282" s="3109">
        <f>CX281/CS281-1</f>
        <v>8.5752027263679809E-2</v>
      </c>
      <c r="CY282" s="2975"/>
      <c r="CZ282" s="3109">
        <f>CZ281/CU281-1</f>
        <v>8.670051935123646E-2</v>
      </c>
      <c r="DA282" s="2361">
        <f>DA281/CV281-1</f>
        <v>9.7238935578083163E-2</v>
      </c>
      <c r="DB282" s="2361">
        <f>DB281/CW281-1</f>
        <v>0.11126035155562231</v>
      </c>
      <c r="DC282" s="2361">
        <f>DC281/CX281-1</f>
        <v>8.5696718437598074E-2</v>
      </c>
      <c r="DD282" s="1741"/>
      <c r="DE282" s="3109">
        <f>DE281/CZ281-1</f>
        <v>0.1087549104554697</v>
      </c>
      <c r="DF282" s="2361">
        <f>DF281/DA281-1</f>
        <v>0.13289889325639215</v>
      </c>
      <c r="DG282" s="2361">
        <f>DG281/DB281-1</f>
        <v>0.13557155737130699</v>
      </c>
      <c r="DH282" s="2361">
        <f>DH281/DC281-1</f>
        <v>0.17739196225573073</v>
      </c>
      <c r="DI282" s="2835"/>
      <c r="DJ282" s="2279"/>
      <c r="DK282" s="2279"/>
      <c r="DL282" s="2279"/>
      <c r="DM282" s="2279"/>
      <c r="DN282" s="2279"/>
      <c r="DO282" s="36"/>
      <c r="DP282" s="36"/>
      <c r="DQ282" s="36"/>
      <c r="DR282" s="906"/>
      <c r="DS282" s="906"/>
      <c r="DT282" s="906"/>
    </row>
    <row r="283" spans="1:124" s="862" customFormat="1" ht="11.25">
      <c r="O283" s="2709"/>
      <c r="P283" s="2709"/>
      <c r="S283" s="2706"/>
      <c r="AC283" s="1470"/>
      <c r="AE283" s="1798"/>
      <c r="AF283" s="1798"/>
      <c r="AG283" s="1798"/>
      <c r="AH283" s="1798"/>
      <c r="AI283" s="1798"/>
      <c r="AJ283" s="1798"/>
      <c r="AK283" s="1798"/>
      <c r="BU283" s="1470"/>
      <c r="BV283" s="1470"/>
      <c r="BW283" s="1470"/>
      <c r="BX283" s="1470"/>
      <c r="BY283" s="1470"/>
      <c r="BZ283" s="1470"/>
      <c r="CA283" s="1470"/>
      <c r="CB283" s="1470"/>
      <c r="CC283" s="1470"/>
      <c r="CD283" s="1470"/>
      <c r="CE283" s="1470"/>
      <c r="CF283" s="1470"/>
      <c r="CG283" s="1470"/>
      <c r="CH283" s="1470"/>
      <c r="CI283" s="1470"/>
      <c r="CJ283" s="1470"/>
      <c r="CK283" s="1470"/>
      <c r="CL283" s="1470"/>
      <c r="CM283" s="1470"/>
      <c r="CN283" s="1470"/>
      <c r="CO283" s="1659"/>
      <c r="CP283" s="1470"/>
      <c r="CQ283" s="1470"/>
      <c r="CR283" s="1470"/>
      <c r="CS283" s="1470"/>
      <c r="CT283" s="1470"/>
      <c r="CU283" s="1470"/>
      <c r="CV283" s="1470"/>
      <c r="CW283" s="1470"/>
      <c r="CX283" s="1470"/>
      <c r="CY283" s="1470"/>
      <c r="CZ283" s="1470"/>
      <c r="DA283" s="1470"/>
      <c r="DB283" s="1470"/>
      <c r="DC283" s="1470"/>
      <c r="DD283" s="1741"/>
      <c r="DE283" s="1470"/>
      <c r="DF283" s="1470"/>
      <c r="DG283" s="1470"/>
      <c r="DH283" s="1470"/>
      <c r="DI283" s="2835"/>
      <c r="DR283" s="1470"/>
      <c r="DS283" s="1470"/>
      <c r="DT283" s="1470"/>
    </row>
    <row r="284" spans="1:124" s="2460" customFormat="1" ht="11.25">
      <c r="A284" s="2456" t="s">
        <v>1686</v>
      </c>
      <c r="B284" s="2457"/>
      <c r="C284" s="2457"/>
      <c r="D284" s="2457"/>
      <c r="E284" s="2457"/>
      <c r="F284" s="2457"/>
      <c r="G284" s="2457"/>
      <c r="H284" s="2457"/>
      <c r="I284" s="2457"/>
      <c r="J284" s="2177">
        <f>J273/J265</f>
        <v>0.5</v>
      </c>
      <c r="K284" s="2177">
        <f>K273/K265</f>
        <v>0.5</v>
      </c>
      <c r="L284" s="2177">
        <f>L273/L265</f>
        <v>0.5</v>
      </c>
      <c r="M284" s="2177">
        <f>M273/M265</f>
        <v>0.5</v>
      </c>
      <c r="N284" s="2177">
        <f>N273/N265</f>
        <v>0.5</v>
      </c>
      <c r="O284" s="2709"/>
      <c r="P284" s="2709"/>
      <c r="Q284" s="2177">
        <f>Q273/Q265</f>
        <v>0.51625477539119102</v>
      </c>
      <c r="R284" s="2177">
        <f>R273/R265</f>
        <v>0.52799999999999991</v>
      </c>
      <c r="S284" s="2711"/>
      <c r="T284" s="2177">
        <f>T273/T265</f>
        <v>0.54825097423022295</v>
      </c>
      <c r="U284" s="3025">
        <f>U273/U265</f>
        <v>0.58500000000000008</v>
      </c>
      <c r="V284" s="3048">
        <f>(60%*60%)+(40%*50%)+4%</f>
        <v>0.60000000000000009</v>
      </c>
      <c r="W284" s="3048">
        <f>MIN(V284+2%, 75%)</f>
        <v>0.62000000000000011</v>
      </c>
      <c r="X284" s="3048">
        <f t="shared" ref="X284:AB284" si="520">MIN(W284+2%, 75%)</f>
        <v>0.64000000000000012</v>
      </c>
      <c r="Y284" s="3048">
        <f t="shared" si="520"/>
        <v>0.66000000000000014</v>
      </c>
      <c r="Z284" s="2048">
        <f t="shared" si="520"/>
        <v>0.68000000000000016</v>
      </c>
      <c r="AA284" s="2048">
        <f t="shared" si="520"/>
        <v>0.70000000000000018</v>
      </c>
      <c r="AB284" s="2048">
        <f t="shared" si="520"/>
        <v>0.7200000000000002</v>
      </c>
      <c r="AC284" s="2048">
        <f>MIN(AB284+1%, 75%)</f>
        <v>0.7300000000000002</v>
      </c>
      <c r="AD284" s="2048">
        <f t="shared" ref="AD284:AJ284" si="521">MIN(AC284+1%, 75%)</f>
        <v>0.74000000000000021</v>
      </c>
      <c r="AE284" s="2048">
        <f t="shared" si="521"/>
        <v>0.75</v>
      </c>
      <c r="AF284" s="2048">
        <f t="shared" si="521"/>
        <v>0.75</v>
      </c>
      <c r="AG284" s="2048">
        <f t="shared" si="521"/>
        <v>0.75</v>
      </c>
      <c r="AH284" s="2048">
        <f t="shared" si="521"/>
        <v>0.75</v>
      </c>
      <c r="AI284" s="2048">
        <f t="shared" si="521"/>
        <v>0.75</v>
      </c>
      <c r="AJ284" s="2048">
        <f t="shared" si="521"/>
        <v>0.75</v>
      </c>
      <c r="AK284" s="1798"/>
      <c r="AL284" s="2457" t="s">
        <v>1686</v>
      </c>
      <c r="AM284" s="2457"/>
      <c r="AN284" s="2457"/>
      <c r="AO284" s="2457"/>
      <c r="AP284" s="2457"/>
      <c r="AQ284" s="2176"/>
      <c r="AR284" s="2457"/>
      <c r="AS284" s="2457"/>
      <c r="AT284" s="2457"/>
      <c r="AU284" s="2457"/>
      <c r="AV284" s="2176"/>
      <c r="AW284" s="2457"/>
      <c r="AX284" s="2457"/>
      <c r="AY284" s="2457"/>
      <c r="AZ284" s="2457"/>
      <c r="BA284" s="2176"/>
      <c r="BB284" s="2457"/>
      <c r="BC284" s="2457"/>
      <c r="BD284" s="2457"/>
      <c r="BE284" s="2457"/>
      <c r="BF284" s="2176"/>
      <c r="BG284" s="2457"/>
      <c r="BH284" s="2457"/>
      <c r="BI284" s="2457"/>
      <c r="BJ284" s="2457"/>
      <c r="BK284" s="2176"/>
      <c r="BL284" s="2457"/>
      <c r="BM284" s="2457"/>
      <c r="BN284" s="2457"/>
      <c r="BO284" s="2457"/>
      <c r="BP284" s="2176"/>
      <c r="BQ284" s="2457"/>
      <c r="BR284" s="2457"/>
      <c r="BS284" s="2457"/>
      <c r="BT284" s="2457"/>
      <c r="BU284" s="2457"/>
      <c r="BV284" s="2177">
        <f t="shared" ref="BV284:CN284" si="522">BV273/BV265</f>
        <v>0.5</v>
      </c>
      <c r="BW284" s="2177">
        <f t="shared" si="522"/>
        <v>0.5</v>
      </c>
      <c r="BX284" s="2177">
        <f t="shared" si="522"/>
        <v>0.5</v>
      </c>
      <c r="BY284" s="2177">
        <f t="shared" si="522"/>
        <v>0.5</v>
      </c>
      <c r="BZ284" s="1470"/>
      <c r="CA284" s="2177">
        <f t="shared" si="522"/>
        <v>0.5</v>
      </c>
      <c r="CB284" s="2177">
        <f t="shared" si="522"/>
        <v>0.5</v>
      </c>
      <c r="CC284" s="2177">
        <f t="shared" si="522"/>
        <v>0.5</v>
      </c>
      <c r="CD284" s="2177">
        <f t="shared" si="522"/>
        <v>0.5</v>
      </c>
      <c r="CE284" s="1470"/>
      <c r="CF284" s="2177">
        <f t="shared" si="522"/>
        <v>0.5</v>
      </c>
      <c r="CG284" s="2177">
        <f t="shared" si="522"/>
        <v>0.5</v>
      </c>
      <c r="CH284" s="2177">
        <f t="shared" si="522"/>
        <v>0.5</v>
      </c>
      <c r="CI284" s="2177">
        <f t="shared" si="522"/>
        <v>0.5</v>
      </c>
      <c r="CJ284" s="1470"/>
      <c r="CK284" s="2177">
        <f t="shared" si="522"/>
        <v>0.5</v>
      </c>
      <c r="CL284" s="2177">
        <f t="shared" si="522"/>
        <v>0.5</v>
      </c>
      <c r="CM284" s="2177">
        <f t="shared" si="522"/>
        <v>0.5</v>
      </c>
      <c r="CN284" s="2177">
        <f t="shared" si="522"/>
        <v>0.5</v>
      </c>
      <c r="CO284" s="1659"/>
      <c r="CP284" s="2048">
        <v>0.51</v>
      </c>
      <c r="CQ284" s="2048">
        <f>(10.5%*60%)+(89.5%*50%)</f>
        <v>0.51049999999999995</v>
      </c>
      <c r="CR284" s="2048">
        <f>(18%*60%)+(82%*50%)</f>
        <v>0.51800000000000002</v>
      </c>
      <c r="CS284" s="2048">
        <f>(25%*60%)+(75%*50%)</f>
        <v>0.52500000000000002</v>
      </c>
      <c r="CT284" s="2048"/>
      <c r="CU284" s="2048">
        <f>CS284+0.3%</f>
        <v>0.52800000000000002</v>
      </c>
      <c r="CV284" s="2048">
        <f>CU284</f>
        <v>0.52800000000000002</v>
      </c>
      <c r="CW284" s="2048">
        <f>CV284</f>
        <v>0.52800000000000002</v>
      </c>
      <c r="CX284" s="2048">
        <f>CW284</f>
        <v>0.52800000000000002</v>
      </c>
      <c r="CY284" s="2176"/>
      <c r="CZ284" s="2048">
        <f>(33%*60%)+(67%*50%)+1%</f>
        <v>0.54300000000000004</v>
      </c>
      <c r="DA284" s="2048">
        <f>CZ284</f>
        <v>0.54300000000000004</v>
      </c>
      <c r="DB284" s="2048">
        <f>DA284</f>
        <v>0.54300000000000004</v>
      </c>
      <c r="DC284" s="2048">
        <f>DB284+2%</f>
        <v>0.56300000000000006</v>
      </c>
      <c r="DD284" s="1741"/>
      <c r="DE284" s="3048">
        <f>(55%*60%)+(45%*50%)+3%</f>
        <v>0.58500000000000008</v>
      </c>
      <c r="DF284" s="2048">
        <f>DE284</f>
        <v>0.58500000000000008</v>
      </c>
      <c r="DG284" s="2048">
        <f t="shared" ref="DG284:DH284" si="523">DF284</f>
        <v>0.58500000000000008</v>
      </c>
      <c r="DH284" s="2048">
        <f t="shared" si="523"/>
        <v>0.58500000000000008</v>
      </c>
      <c r="DI284" s="2835"/>
      <c r="DJ284" s="2176"/>
      <c r="DK284" s="2176"/>
      <c r="DL284" s="2176"/>
      <c r="DM284" s="2176"/>
      <c r="DN284" s="2176"/>
      <c r="DO284" s="2459"/>
      <c r="DP284" s="2459"/>
      <c r="DQ284" s="2459"/>
      <c r="DR284" s="2458"/>
      <c r="DS284" s="2458"/>
      <c r="DT284" s="2458"/>
    </row>
    <row r="285" spans="1:124" s="2460" customFormat="1" ht="11.25">
      <c r="A285" s="2456" t="s">
        <v>1687</v>
      </c>
      <c r="B285" s="2457"/>
      <c r="C285" s="2457"/>
      <c r="D285" s="2457"/>
      <c r="E285" s="2457"/>
      <c r="F285" s="2457"/>
      <c r="G285" s="2457"/>
      <c r="H285" s="2457"/>
      <c r="I285" s="2457"/>
      <c r="J285" s="2177">
        <f>J281/J265</f>
        <v>0.5</v>
      </c>
      <c r="K285" s="2177">
        <f>K281/K265</f>
        <v>0.5</v>
      </c>
      <c r="L285" s="2177">
        <f>L281/L265</f>
        <v>0.5</v>
      </c>
      <c r="M285" s="2177">
        <f>M281/M265</f>
        <v>0.5</v>
      </c>
      <c r="N285" s="2177">
        <f>N281/N265</f>
        <v>0.5</v>
      </c>
      <c r="O285" s="2709"/>
      <c r="P285" s="2709"/>
      <c r="Q285" s="2177">
        <f>Q281/Q265</f>
        <v>0.48374522460880881</v>
      </c>
      <c r="R285" s="2177">
        <f>R281/R265</f>
        <v>0.47199999999999986</v>
      </c>
      <c r="S285" s="2711"/>
      <c r="T285" s="2177">
        <f>1-T284</f>
        <v>0.45174902576977705</v>
      </c>
      <c r="U285" s="3025">
        <f>1-U284</f>
        <v>0.41499999999999992</v>
      </c>
      <c r="V285" s="3025">
        <f t="shared" ref="V285:AD285" si="524">1-V284</f>
        <v>0.39999999999999991</v>
      </c>
      <c r="W285" s="3025">
        <f t="shared" si="524"/>
        <v>0.37999999999999989</v>
      </c>
      <c r="X285" s="3025">
        <f t="shared" si="524"/>
        <v>0.35999999999999988</v>
      </c>
      <c r="Y285" s="3025">
        <f t="shared" si="524"/>
        <v>0.33999999999999986</v>
      </c>
      <c r="Z285" s="2177">
        <f t="shared" si="524"/>
        <v>0.31999999999999984</v>
      </c>
      <c r="AA285" s="2177">
        <f t="shared" si="524"/>
        <v>0.29999999999999982</v>
      </c>
      <c r="AB285" s="2177">
        <f t="shared" si="524"/>
        <v>0.2799999999999998</v>
      </c>
      <c r="AC285" s="2177">
        <f t="shared" si="524"/>
        <v>0.2699999999999998</v>
      </c>
      <c r="AD285" s="2177">
        <f t="shared" si="524"/>
        <v>0.25999999999999979</v>
      </c>
      <c r="AE285" s="2177">
        <f t="shared" ref="AE285" si="525">1-AE284</f>
        <v>0.25</v>
      </c>
      <c r="AF285" s="1798"/>
      <c r="AG285" s="1798"/>
      <c r="AH285" s="1798"/>
      <c r="AI285" s="1798"/>
      <c r="AJ285" s="1798"/>
      <c r="AK285" s="1798"/>
      <c r="AL285" s="2457" t="s">
        <v>1687</v>
      </c>
      <c r="AM285" s="2457"/>
      <c r="AN285" s="2457"/>
      <c r="AO285" s="2457"/>
      <c r="AP285" s="2457"/>
      <c r="AQ285" s="2176"/>
      <c r="AR285" s="2457"/>
      <c r="AS285" s="2457"/>
      <c r="AT285" s="2457"/>
      <c r="AU285" s="2457"/>
      <c r="AV285" s="2176"/>
      <c r="AW285" s="2457"/>
      <c r="AX285" s="2457"/>
      <c r="AY285" s="2457"/>
      <c r="AZ285" s="2457"/>
      <c r="BA285" s="2176"/>
      <c r="BB285" s="2457"/>
      <c r="BC285" s="2457"/>
      <c r="BD285" s="2457"/>
      <c r="BE285" s="2457"/>
      <c r="BF285" s="2176"/>
      <c r="BG285" s="2457"/>
      <c r="BH285" s="2457"/>
      <c r="BI285" s="2457"/>
      <c r="BJ285" s="2457"/>
      <c r="BK285" s="2176"/>
      <c r="BL285" s="2457"/>
      <c r="BM285" s="2457"/>
      <c r="BN285" s="2457"/>
      <c r="BO285" s="2457"/>
      <c r="BP285" s="2176"/>
      <c r="BQ285" s="2457"/>
      <c r="BR285" s="2457"/>
      <c r="BS285" s="2457"/>
      <c r="BT285" s="2457"/>
      <c r="BU285" s="2457"/>
      <c r="BV285" s="2177">
        <f t="shared" ref="BV285:CN285" si="526">BV281/BV265</f>
        <v>0.5</v>
      </c>
      <c r="BW285" s="2177">
        <f t="shared" si="526"/>
        <v>0.5</v>
      </c>
      <c r="BX285" s="2177">
        <f t="shared" si="526"/>
        <v>0.5</v>
      </c>
      <c r="BY285" s="2177">
        <f t="shared" si="526"/>
        <v>0.5</v>
      </c>
      <c r="BZ285" s="1470"/>
      <c r="CA285" s="2177">
        <f t="shared" si="526"/>
        <v>0.5</v>
      </c>
      <c r="CB285" s="2177">
        <f t="shared" si="526"/>
        <v>0.5</v>
      </c>
      <c r="CC285" s="2177">
        <f t="shared" si="526"/>
        <v>0.5</v>
      </c>
      <c r="CD285" s="2177">
        <f t="shared" si="526"/>
        <v>0.5</v>
      </c>
      <c r="CE285" s="1470"/>
      <c r="CF285" s="2177">
        <f t="shared" si="526"/>
        <v>0.5</v>
      </c>
      <c r="CG285" s="2177">
        <f t="shared" si="526"/>
        <v>0.5</v>
      </c>
      <c r="CH285" s="2177">
        <f t="shared" si="526"/>
        <v>0.5</v>
      </c>
      <c r="CI285" s="2177">
        <f t="shared" si="526"/>
        <v>0.5</v>
      </c>
      <c r="CJ285" s="1470"/>
      <c r="CK285" s="2177">
        <f t="shared" si="526"/>
        <v>0.5</v>
      </c>
      <c r="CL285" s="2177">
        <f t="shared" si="526"/>
        <v>0.5</v>
      </c>
      <c r="CM285" s="2177">
        <f t="shared" si="526"/>
        <v>0.5</v>
      </c>
      <c r="CN285" s="2177">
        <f t="shared" si="526"/>
        <v>0.5</v>
      </c>
      <c r="CO285" s="1659"/>
      <c r="CP285" s="2177">
        <f>1-CP284</f>
        <v>0.49</v>
      </c>
      <c r="CQ285" s="2177">
        <f t="shared" ref="CQ285:CX285" si="527">1-CQ284</f>
        <v>0.48950000000000005</v>
      </c>
      <c r="CR285" s="2177">
        <f t="shared" si="527"/>
        <v>0.48199999999999998</v>
      </c>
      <c r="CS285" s="2177">
        <f t="shared" si="527"/>
        <v>0.47499999999999998</v>
      </c>
      <c r="CT285" s="2048"/>
      <c r="CU285" s="2177">
        <f t="shared" si="527"/>
        <v>0.47199999999999998</v>
      </c>
      <c r="CV285" s="2177">
        <f t="shared" si="527"/>
        <v>0.47199999999999998</v>
      </c>
      <c r="CW285" s="2177">
        <f t="shared" si="527"/>
        <v>0.47199999999999998</v>
      </c>
      <c r="CX285" s="2177">
        <f t="shared" si="527"/>
        <v>0.47199999999999998</v>
      </c>
      <c r="CY285" s="2176"/>
      <c r="CZ285" s="2177">
        <f>1-CZ284</f>
        <v>0.45699999999999996</v>
      </c>
      <c r="DA285" s="2177">
        <f>1-DA284</f>
        <v>0.45699999999999996</v>
      </c>
      <c r="DB285" s="2177">
        <f>1-DB284</f>
        <v>0.45699999999999996</v>
      </c>
      <c r="DC285" s="2177">
        <f>1-DC284</f>
        <v>0.43699999999999994</v>
      </c>
      <c r="DD285" s="1741"/>
      <c r="DE285" s="2177">
        <f>1-DE284</f>
        <v>0.41499999999999992</v>
      </c>
      <c r="DF285" s="2177">
        <f>1-DF284</f>
        <v>0.41499999999999992</v>
      </c>
      <c r="DG285" s="2177">
        <f>1-DG284</f>
        <v>0.41499999999999992</v>
      </c>
      <c r="DH285" s="2177">
        <f>1-DH284</f>
        <v>0.41499999999999992</v>
      </c>
      <c r="DI285" s="2835"/>
      <c r="DJ285" s="2176"/>
      <c r="DK285" s="2176"/>
      <c r="DL285" s="2176"/>
      <c r="DM285" s="2176"/>
      <c r="DN285" s="2176"/>
      <c r="DO285" s="2461"/>
      <c r="DP285" s="2461"/>
      <c r="DQ285" s="2461"/>
      <c r="DR285" s="2458"/>
      <c r="DS285" s="2458"/>
      <c r="DT285" s="2458"/>
    </row>
    <row r="286" spans="1:124" s="862" customFormat="1" ht="11.25">
      <c r="A286" s="1477" t="s">
        <v>1688</v>
      </c>
      <c r="B286" s="1470"/>
      <c r="C286" s="1470"/>
      <c r="D286" s="1470"/>
      <c r="E286" s="1470"/>
      <c r="F286" s="1470"/>
      <c r="G286" s="1470"/>
      <c r="H286" s="1470"/>
      <c r="I286" s="1470"/>
      <c r="J286" s="1787">
        <f>J267-J275-J281</f>
        <v>0</v>
      </c>
      <c r="K286" s="1787">
        <f>K267-K275-K281</f>
        <v>0</v>
      </c>
      <c r="L286" s="1787">
        <f>L267-L275-L281</f>
        <v>0</v>
      </c>
      <c r="M286" s="1787">
        <f>M267-M275-M281</f>
        <v>0</v>
      </c>
      <c r="N286" s="1787">
        <f>N267-N275-N281</f>
        <v>0</v>
      </c>
      <c r="O286" s="2709"/>
      <c r="P286" s="2709"/>
      <c r="Q286" s="1787">
        <f t="shared" ref="Q286:AB286" si="528">Q267-Q275-Q281</f>
        <v>0</v>
      </c>
      <c r="R286" s="1787">
        <f t="shared" si="528"/>
        <v>0</v>
      </c>
      <c r="S286" s="2730"/>
      <c r="T286" s="1787">
        <f t="shared" si="528"/>
        <v>0</v>
      </c>
      <c r="U286" s="2898">
        <f t="shared" si="528"/>
        <v>0</v>
      </c>
      <c r="V286" s="2898">
        <f t="shared" si="528"/>
        <v>0</v>
      </c>
      <c r="W286" s="2898">
        <f t="shared" si="528"/>
        <v>0</v>
      </c>
      <c r="X286" s="2898">
        <f t="shared" si="528"/>
        <v>0</v>
      </c>
      <c r="Y286" s="2898">
        <f t="shared" si="528"/>
        <v>0</v>
      </c>
      <c r="Z286" s="1787">
        <f t="shared" si="528"/>
        <v>0</v>
      </c>
      <c r="AA286" s="1787">
        <f t="shared" si="528"/>
        <v>0</v>
      </c>
      <c r="AB286" s="1787">
        <f t="shared" si="528"/>
        <v>0</v>
      </c>
      <c r="AC286" s="1787">
        <f>AC267-AC275-AC281</f>
        <v>0</v>
      </c>
      <c r="AD286" s="1787">
        <f>AD267-AD275-AD281</f>
        <v>0</v>
      </c>
      <c r="AE286" s="1787">
        <f t="shared" ref="AE286:AJ286" si="529">AE267-AE275-AE281</f>
        <v>-5.6843418860808015E-13</v>
      </c>
      <c r="AF286" s="1787">
        <f t="shared" si="529"/>
        <v>0</v>
      </c>
      <c r="AG286" s="1787">
        <f t="shared" si="529"/>
        <v>0</v>
      </c>
      <c r="AH286" s="1787">
        <f t="shared" si="529"/>
        <v>0</v>
      </c>
      <c r="AI286" s="1787">
        <f t="shared" si="529"/>
        <v>0</v>
      </c>
      <c r="AJ286" s="1787">
        <f t="shared" si="529"/>
        <v>0</v>
      </c>
      <c r="AK286" s="1798"/>
      <c r="AL286" s="1470" t="s">
        <v>1688</v>
      </c>
      <c r="AM286" s="1470"/>
      <c r="AN286" s="1470"/>
      <c r="AO286" s="1470"/>
      <c r="AP286" s="1470"/>
      <c r="AQ286" s="2279"/>
      <c r="AR286" s="1470"/>
      <c r="AS286" s="1470"/>
      <c r="AT286" s="1470"/>
      <c r="AU286" s="1470"/>
      <c r="AV286" s="2279"/>
      <c r="AW286" s="1470"/>
      <c r="AX286" s="1470"/>
      <c r="AY286" s="1470"/>
      <c r="AZ286" s="1470"/>
      <c r="BA286" s="2279"/>
      <c r="BB286" s="1470"/>
      <c r="BC286" s="1470"/>
      <c r="BD286" s="1470"/>
      <c r="BE286" s="1470"/>
      <c r="BF286" s="2279"/>
      <c r="BG286" s="1470"/>
      <c r="BH286" s="1470"/>
      <c r="BI286" s="1470"/>
      <c r="BJ286" s="1470"/>
      <c r="BK286" s="2279"/>
      <c r="BL286" s="1470"/>
      <c r="BM286" s="1470"/>
      <c r="BN286" s="1470"/>
      <c r="BO286" s="1470"/>
      <c r="BP286" s="2279"/>
      <c r="BQ286" s="1470"/>
      <c r="BR286" s="1470"/>
      <c r="BS286" s="1470"/>
      <c r="BT286" s="1470"/>
      <c r="BU286" s="1470"/>
      <c r="BV286" s="1659">
        <f>BV267-BV275-BV281</f>
        <v>0</v>
      </c>
      <c r="BW286" s="1659">
        <f>BW267-BW275-BW281</f>
        <v>0</v>
      </c>
      <c r="BX286" s="1659">
        <f>BX267-BX275-BX281</f>
        <v>0</v>
      </c>
      <c r="BY286" s="1659">
        <f>BY267-BY275-BY281</f>
        <v>0</v>
      </c>
      <c r="BZ286" s="1470"/>
      <c r="CA286" s="1659">
        <f>CA267-CA275-CA281</f>
        <v>0</v>
      </c>
      <c r="CB286" s="1659">
        <f>CB267-CB275-CB281</f>
        <v>0</v>
      </c>
      <c r="CC286" s="1659">
        <f>CC267-CC275-CC281</f>
        <v>0</v>
      </c>
      <c r="CD286" s="1659">
        <f>CD267-CD275-CD281</f>
        <v>0</v>
      </c>
      <c r="CE286" s="1470"/>
      <c r="CF286" s="1659">
        <f>CF267-CF275-CF281</f>
        <v>0</v>
      </c>
      <c r="CG286" s="1659">
        <f>CG267-CG275-CG281</f>
        <v>0</v>
      </c>
      <c r="CH286" s="1659">
        <f>CH267-CH275-CH281</f>
        <v>0</v>
      </c>
      <c r="CI286" s="1659">
        <f>CI267-CI275-CI281</f>
        <v>0</v>
      </c>
      <c r="CJ286" s="1470"/>
      <c r="CK286" s="1659">
        <f>CK267-CK275-CK281</f>
        <v>0</v>
      </c>
      <c r="CL286" s="1659">
        <f>CL267-CL275-CL281</f>
        <v>0</v>
      </c>
      <c r="CM286" s="1659">
        <f>CM267-CM275-CM281</f>
        <v>0</v>
      </c>
      <c r="CN286" s="1659">
        <f>CN267-CN275-CN281</f>
        <v>0</v>
      </c>
      <c r="CO286" s="1659"/>
      <c r="CP286" s="1659">
        <f>CP267-CP275-CP281</f>
        <v>0</v>
      </c>
      <c r="CQ286" s="1659">
        <f>CQ267-CQ275-CQ281</f>
        <v>0</v>
      </c>
      <c r="CR286" s="1659">
        <f>CR267-CR275-CR281</f>
        <v>0</v>
      </c>
      <c r="CS286" s="1659">
        <f>CS267-CS275-CS281</f>
        <v>0</v>
      </c>
      <c r="CT286" s="2279"/>
      <c r="CU286" s="1659">
        <f>CU267-CU275-CU281</f>
        <v>0</v>
      </c>
      <c r="CV286" s="1659">
        <f>CV267-CV275-CV281</f>
        <v>0</v>
      </c>
      <c r="CW286" s="1659">
        <f>CW267-CW275-CW281</f>
        <v>0</v>
      </c>
      <c r="CX286" s="1659">
        <f>CX267-CX275-CX281</f>
        <v>0</v>
      </c>
      <c r="CY286" s="2279"/>
      <c r="CZ286" s="1659">
        <f>CZ267-CZ275-CZ281</f>
        <v>0</v>
      </c>
      <c r="DA286" s="1659">
        <f>DA267-DA275-DA281</f>
        <v>0</v>
      </c>
      <c r="DB286" s="1659">
        <f>DB267-DB275-DB281</f>
        <v>0</v>
      </c>
      <c r="DC286" s="1659">
        <f>DC267-DC275-DC281</f>
        <v>0</v>
      </c>
      <c r="DD286" s="1741"/>
      <c r="DE286" s="1659">
        <f>DE267-DE275-DE281</f>
        <v>0</v>
      </c>
      <c r="DF286" s="1659">
        <f>DF267-DF275-DF281</f>
        <v>0</v>
      </c>
      <c r="DG286" s="1659">
        <f>DG267-DG275-DG281</f>
        <v>0</v>
      </c>
      <c r="DH286" s="1659">
        <f>DH267-DH275-DH281</f>
        <v>0</v>
      </c>
      <c r="DI286" s="2835"/>
      <c r="DJ286" s="2279"/>
      <c r="DK286" s="2279"/>
      <c r="DL286" s="2279"/>
      <c r="DM286" s="2279"/>
      <c r="DN286" s="2279"/>
      <c r="DO286" s="36"/>
      <c r="DP286" s="36"/>
      <c r="DQ286" s="36"/>
      <c r="DR286" s="36"/>
      <c r="DS286" s="906"/>
      <c r="DT286" s="906"/>
    </row>
    <row r="287" spans="1:124" s="862" customFormat="1" ht="11.25">
      <c r="A287" s="1477" t="s">
        <v>1701</v>
      </c>
      <c r="B287" s="1470"/>
      <c r="C287" s="1470"/>
      <c r="D287" s="1470"/>
      <c r="E287" s="1470"/>
      <c r="F287" s="1470"/>
      <c r="G287" s="1470"/>
      <c r="H287" s="1470"/>
      <c r="I287" s="1470"/>
      <c r="J287" s="1659"/>
      <c r="K287" s="1659"/>
      <c r="L287" s="1659"/>
      <c r="M287" s="1659"/>
      <c r="N287" s="1659"/>
      <c r="O287" s="2753"/>
      <c r="P287" s="2709"/>
      <c r="Q287" s="2017"/>
      <c r="R287" s="2017"/>
      <c r="S287" s="2756"/>
      <c r="T287" s="2466"/>
      <c r="U287" s="2830">
        <v>0.45137507239270602</v>
      </c>
      <c r="V287" s="2830">
        <v>0.57357931797941486</v>
      </c>
      <c r="W287" s="2830">
        <v>0.84881133212508963</v>
      </c>
      <c r="X287" s="3048">
        <v>1</v>
      </c>
      <c r="Y287" s="3036"/>
      <c r="Z287" s="2017"/>
      <c r="AA287" s="2017"/>
      <c r="AB287" s="2017"/>
      <c r="AC287" s="2017"/>
      <c r="AD287" s="2017"/>
      <c r="AE287" s="1798"/>
      <c r="AF287" s="1798"/>
      <c r="AG287" s="1798"/>
      <c r="AH287" s="1798"/>
      <c r="AI287" s="1798"/>
      <c r="AJ287" s="1798"/>
      <c r="AK287" s="1798"/>
      <c r="AL287" s="1470" t="s">
        <v>1701</v>
      </c>
      <c r="AM287" s="1470"/>
      <c r="AN287" s="1470"/>
      <c r="AO287" s="1470"/>
      <c r="AP287" s="1470"/>
      <c r="AQ287" s="2279"/>
      <c r="AR287" s="1470"/>
      <c r="AS287" s="1470"/>
      <c r="AT287" s="1470"/>
      <c r="AU287" s="1470"/>
      <c r="AV287" s="2279"/>
      <c r="AW287" s="1470"/>
      <c r="AX287" s="1470"/>
      <c r="AY287" s="1470"/>
      <c r="AZ287" s="1470"/>
      <c r="BA287" s="2279"/>
      <c r="BB287" s="1470"/>
      <c r="BC287" s="1470"/>
      <c r="BD287" s="1470"/>
      <c r="BE287" s="1470"/>
      <c r="BF287" s="2279"/>
      <c r="BG287" s="1470"/>
      <c r="BH287" s="1470"/>
      <c r="BI287" s="1470"/>
      <c r="BJ287" s="1470"/>
      <c r="BK287" s="2279"/>
      <c r="BL287" s="1470"/>
      <c r="BM287" s="1470"/>
      <c r="BN287" s="1470"/>
      <c r="BO287" s="1470"/>
      <c r="BP287" s="2279"/>
      <c r="BQ287" s="1470"/>
      <c r="BR287" s="1470"/>
      <c r="BS287" s="1470"/>
      <c r="BT287" s="1470"/>
      <c r="BU287" s="1470"/>
      <c r="BV287" s="1659"/>
      <c r="BW287" s="1659"/>
      <c r="BX287" s="1659"/>
      <c r="BY287" s="1659"/>
      <c r="BZ287" s="1470"/>
      <c r="CA287" s="1659"/>
      <c r="CB287" s="1659"/>
      <c r="CC287" s="1659"/>
      <c r="CD287" s="1659"/>
      <c r="CE287" s="1470"/>
      <c r="CF287" s="1659"/>
      <c r="CG287" s="1659"/>
      <c r="CH287" s="1659"/>
      <c r="CI287" s="1659"/>
      <c r="CJ287" s="1470"/>
      <c r="CK287" s="1659"/>
      <c r="CL287" s="1659"/>
      <c r="CM287" s="1659"/>
      <c r="CN287" s="1659"/>
      <c r="CO287" s="1659"/>
      <c r="CP287" s="1552">
        <v>0.10457713476982763</v>
      </c>
      <c r="CQ287" s="1552">
        <v>0.10395375834378617</v>
      </c>
      <c r="CR287" s="1552">
        <v>0.17817228457150633</v>
      </c>
      <c r="CS287" s="1552">
        <v>0.24754535705183386</v>
      </c>
      <c r="CT287" s="1552"/>
      <c r="CU287" s="1552">
        <v>0.24621053988152922</v>
      </c>
      <c r="CV287" s="1552">
        <v>0.23903542800785621</v>
      </c>
      <c r="CW287" s="1552">
        <v>0.23433934153009306</v>
      </c>
      <c r="CX287" s="1552">
        <v>0.22976668841260425</v>
      </c>
      <c r="CY287" s="1552"/>
      <c r="CZ287" s="1552">
        <v>0.34131808095634003</v>
      </c>
      <c r="DA287" s="1552">
        <v>0.3343014883178787</v>
      </c>
      <c r="DB287" s="1552">
        <v>0.33113999613300937</v>
      </c>
      <c r="DC287" s="1552">
        <v>0.32770907119982756</v>
      </c>
      <c r="DD287" s="1741"/>
      <c r="DE287" s="1741"/>
      <c r="DF287" s="1741"/>
      <c r="DG287" s="1741"/>
      <c r="DH287" s="1741"/>
      <c r="DI287" s="2835"/>
      <c r="DJ287" s="1659"/>
      <c r="DK287" s="1659"/>
      <c r="DL287" s="1659"/>
      <c r="DM287" s="1659"/>
      <c r="DN287" s="1659"/>
      <c r="DO287" s="1494"/>
      <c r="DP287" s="1494"/>
      <c r="DQ287" s="1494"/>
      <c r="DR287" s="1494"/>
      <c r="DS287" s="906"/>
      <c r="DT287" s="906"/>
    </row>
    <row r="288" spans="1:124" s="862" customFormat="1" ht="11.25">
      <c r="A288" s="1470"/>
      <c r="B288" s="1470"/>
      <c r="C288" s="1470"/>
      <c r="D288" s="1470"/>
      <c r="E288" s="1470"/>
      <c r="F288" s="1470"/>
      <c r="G288" s="1470"/>
      <c r="H288" s="1470"/>
      <c r="I288" s="1470"/>
      <c r="J288" s="1659"/>
      <c r="K288" s="1659"/>
      <c r="L288" s="1659"/>
      <c r="M288" s="1659"/>
      <c r="N288" s="1659"/>
      <c r="O288" s="2753"/>
      <c r="P288" s="2709"/>
      <c r="Q288" s="2017"/>
      <c r="R288" s="2017"/>
      <c r="S288" s="2756"/>
      <c r="T288" s="2756"/>
      <c r="U288" s="2756"/>
      <c r="V288" s="2756"/>
      <c r="W288" s="2756"/>
      <c r="X288" s="2756"/>
      <c r="Y288" s="2756"/>
      <c r="Z288" s="2756"/>
      <c r="AA288" s="2756"/>
      <c r="AB288" s="2756"/>
      <c r="AC288" s="2756"/>
      <c r="AD288" s="2756"/>
      <c r="AE288" s="2756"/>
      <c r="AF288" s="2756"/>
      <c r="AG288" s="2756"/>
      <c r="AH288" s="2756"/>
      <c r="AI288" s="2756"/>
      <c r="AJ288" s="2756"/>
      <c r="AK288" s="2756"/>
      <c r="AL288" s="1470"/>
      <c r="AM288" s="1470"/>
      <c r="AN288" s="1470"/>
      <c r="AO288" s="1470"/>
      <c r="AP288" s="1470"/>
      <c r="AQ288" s="2279"/>
      <c r="AR288" s="1470"/>
      <c r="AS288" s="1470"/>
      <c r="AT288" s="1470"/>
      <c r="AU288" s="1470"/>
      <c r="AV288" s="2279"/>
      <c r="AW288" s="1470"/>
      <c r="AX288" s="1470"/>
      <c r="AY288" s="1470"/>
      <c r="AZ288" s="1470"/>
      <c r="BA288" s="2279"/>
      <c r="BB288" s="1470"/>
      <c r="BC288" s="1470"/>
      <c r="BD288" s="1470"/>
      <c r="BE288" s="1470"/>
      <c r="BF288" s="2279"/>
      <c r="BG288" s="1470"/>
      <c r="BH288" s="1470"/>
      <c r="BI288" s="1470"/>
      <c r="BJ288" s="1470"/>
      <c r="BK288" s="2279"/>
      <c r="BL288" s="1470"/>
      <c r="BM288" s="1470"/>
      <c r="BN288" s="1470"/>
      <c r="BO288" s="1470"/>
      <c r="BP288" s="2279"/>
      <c r="BQ288" s="1470"/>
      <c r="BR288" s="1470"/>
      <c r="BS288" s="1470"/>
      <c r="BT288" s="1470"/>
      <c r="BU288" s="1470"/>
      <c r="BV288" s="1659"/>
      <c r="BW288" s="1659"/>
      <c r="BX288" s="1659"/>
      <c r="BY288" s="1659"/>
      <c r="BZ288" s="1470"/>
      <c r="CA288" s="1659"/>
      <c r="CB288" s="1659"/>
      <c r="CC288" s="1659"/>
      <c r="CD288" s="1659"/>
      <c r="CE288" s="1470"/>
      <c r="CF288" s="1659"/>
      <c r="CG288" s="1659"/>
      <c r="CH288" s="1659"/>
      <c r="CI288" s="1659"/>
      <c r="CJ288" s="1470"/>
      <c r="CK288" s="1659"/>
      <c r="CL288" s="1659"/>
      <c r="CM288" s="1659"/>
      <c r="CN288" s="1659"/>
      <c r="CO288" s="1659"/>
      <c r="CP288" s="1659"/>
      <c r="CQ288" s="1659"/>
      <c r="CR288" s="1659"/>
      <c r="CS288" s="1659"/>
      <c r="CT288" s="1659"/>
      <c r="CU288" s="1659"/>
      <c r="CV288" s="1659"/>
      <c r="CW288" s="1659"/>
      <c r="CX288" s="1659"/>
      <c r="CY288" s="1659"/>
      <c r="CZ288" s="1659"/>
      <c r="DA288" s="1659"/>
      <c r="DB288" s="1659"/>
      <c r="DC288" s="1659"/>
      <c r="DD288" s="1659"/>
      <c r="DE288" s="1659"/>
      <c r="DF288" s="1659"/>
      <c r="DG288" s="1659"/>
      <c r="DH288" s="1659"/>
      <c r="DI288" s="2852"/>
      <c r="DJ288" s="1659"/>
      <c r="DK288" s="1659"/>
      <c r="DL288" s="1494"/>
      <c r="DM288" s="1494"/>
      <c r="DN288" s="1494"/>
      <c r="DO288" s="1494"/>
      <c r="DP288" s="1494"/>
      <c r="DQ288" s="1494"/>
      <c r="DR288" s="1494"/>
      <c r="DS288" s="906"/>
      <c r="DT288" s="906"/>
    </row>
    <row r="289" spans="1:124">
      <c r="A289" s="1108"/>
      <c r="B289" s="1108"/>
      <c r="C289" s="1108"/>
      <c r="D289" s="1108"/>
      <c r="E289" s="1108"/>
      <c r="F289" s="1108"/>
      <c r="G289" s="1108"/>
      <c r="H289" s="1108"/>
      <c r="I289" s="1108"/>
      <c r="J289" s="1108"/>
      <c r="K289" s="1108"/>
      <c r="L289" s="1108"/>
      <c r="M289" s="1108"/>
      <c r="N289" s="1108"/>
      <c r="O289" s="2709"/>
      <c r="P289" s="2709"/>
      <c r="Q289" s="1108"/>
      <c r="R289" s="1699"/>
      <c r="S289" s="2758"/>
      <c r="T289" s="2758"/>
      <c r="U289" s="2758"/>
      <c r="V289" s="2758"/>
      <c r="W289" s="2758"/>
      <c r="X289" s="2758"/>
      <c r="Y289" s="2758"/>
      <c r="Z289" s="2758"/>
      <c r="AA289" s="2758"/>
      <c r="AB289" s="2758"/>
      <c r="AC289" s="2758"/>
      <c r="AD289" s="2758"/>
      <c r="AE289" s="2758"/>
      <c r="AF289" s="2758"/>
      <c r="AG289" s="2758"/>
      <c r="AH289" s="2758"/>
      <c r="AI289" s="2758"/>
      <c r="AJ289" s="2758"/>
      <c r="AK289" s="2758"/>
      <c r="AL289" s="1108"/>
      <c r="AM289" s="1108"/>
      <c r="AN289" s="1108"/>
      <c r="AO289" s="1108"/>
      <c r="AP289" s="1108"/>
      <c r="AQ289" s="1741"/>
      <c r="AR289" s="1108"/>
      <c r="AS289" s="1108"/>
      <c r="AT289" s="1108"/>
      <c r="AU289" s="1108"/>
      <c r="AV289" s="1741"/>
      <c r="AW289" s="1108"/>
      <c r="AX289" s="1108"/>
      <c r="AY289" s="1108"/>
      <c r="AZ289" s="1108"/>
      <c r="BA289" s="1741"/>
      <c r="BB289" s="1108"/>
      <c r="BC289" s="1108"/>
      <c r="BD289" s="1108"/>
      <c r="BE289" s="1108"/>
      <c r="BF289" s="1741"/>
      <c r="BG289" s="1108"/>
      <c r="BH289" s="1108"/>
      <c r="BI289" s="1108"/>
      <c r="BJ289" s="1108"/>
      <c r="BK289" s="1741"/>
      <c r="BL289" s="1108"/>
      <c r="BM289" s="1108"/>
      <c r="BN289" s="1108"/>
      <c r="BO289" s="1108"/>
      <c r="BP289" s="1741"/>
      <c r="BQ289" s="1108"/>
      <c r="BR289" s="1108"/>
      <c r="BS289" s="1108"/>
      <c r="BT289" s="1108"/>
      <c r="BU289" s="1108"/>
      <c r="BV289" s="1108"/>
      <c r="BW289" s="1108"/>
      <c r="BX289" s="1108"/>
      <c r="BY289" s="1108"/>
      <c r="BZ289" s="1108"/>
      <c r="CA289" s="1108"/>
      <c r="CB289" s="1795"/>
      <c r="CC289" s="1108"/>
      <c r="CD289" s="1108"/>
      <c r="CE289" s="1108"/>
      <c r="CF289" s="1108"/>
      <c r="CG289" s="1108"/>
      <c r="CH289" s="1108"/>
      <c r="CI289" s="1108"/>
      <c r="CJ289" s="1108"/>
      <c r="CK289" s="1470"/>
      <c r="CL289" s="1470"/>
      <c r="CM289" s="1470"/>
      <c r="CN289" s="1108"/>
      <c r="CO289" s="1108"/>
      <c r="CP289" s="1470"/>
      <c r="CQ289" s="1470"/>
      <c r="CR289" s="1470"/>
      <c r="CS289" s="2179"/>
      <c r="CT289" s="2867"/>
      <c r="CU289" s="2867"/>
      <c r="CV289" s="2867"/>
      <c r="CW289" s="2867"/>
      <c r="CX289" s="2867"/>
      <c r="CY289" s="2867"/>
      <c r="CZ289" s="2867"/>
      <c r="DA289" s="2867"/>
      <c r="DB289" s="2867"/>
      <c r="DC289" s="2867"/>
      <c r="DD289" s="2867"/>
      <c r="DE289" s="2867"/>
      <c r="DF289" s="2867"/>
      <c r="DG289" s="2867"/>
      <c r="DH289" s="2867"/>
      <c r="DI289" s="2867"/>
      <c r="DJ289" s="1470"/>
      <c r="DK289" s="1470"/>
      <c r="DL289" s="2368"/>
      <c r="DM289" s="2368"/>
      <c r="DN289" s="2368"/>
      <c r="DO289" s="2368"/>
      <c r="DP289" s="2368"/>
      <c r="DQ289" s="2368"/>
      <c r="DR289" s="2368"/>
      <c r="DS289" s="11"/>
      <c r="DT289" s="11"/>
    </row>
    <row r="290" spans="1:124" s="1577" customFormat="1">
      <c r="A290" s="1108" t="s">
        <v>1241</v>
      </c>
      <c r="B290" s="1108"/>
      <c r="C290" s="1108"/>
      <c r="D290" s="1108"/>
      <c r="E290" s="1108"/>
      <c r="F290" s="1108"/>
      <c r="G290" s="1108"/>
      <c r="H290" s="1108"/>
      <c r="I290" s="1108"/>
      <c r="J290" s="1108"/>
      <c r="K290" s="1650">
        <f>K219-K275</f>
        <v>4212.6855583692386</v>
      </c>
      <c r="L290" s="1650">
        <f>L219-L275</f>
        <v>3966.908748642245</v>
      </c>
      <c r="M290" s="1650">
        <f>M219-M275</f>
        <v>4416.2501007825576</v>
      </c>
      <c r="N290" s="1650">
        <f>N219-N275</f>
        <v>4033.8217172208297</v>
      </c>
      <c r="O290" s="2709"/>
      <c r="P290" s="2709"/>
      <c r="Q290" s="1650">
        <f>Q219-Q275</f>
        <v>4094.0461156721685</v>
      </c>
      <c r="R290" s="1650">
        <f t="shared" ref="R290:AC290" si="530">R219-R275</f>
        <v>4471.9987804315469</v>
      </c>
      <c r="S290" s="2743"/>
      <c r="T290" s="1650">
        <f>T219-T275</f>
        <v>4080.318359525796</v>
      </c>
      <c r="U290" s="2996">
        <f>U219-U275</f>
        <v>3978.1102638317525</v>
      </c>
      <c r="V290" s="2996">
        <f t="shared" si="530"/>
        <v>4405.2494695070591</v>
      </c>
      <c r="W290" s="2996">
        <f t="shared" si="530"/>
        <v>3905.0615606289839</v>
      </c>
      <c r="X290" s="2996">
        <f t="shared" si="530"/>
        <v>3930.9956131724675</v>
      </c>
      <c r="Y290" s="2996">
        <f t="shared" si="530"/>
        <v>4367.1611041723972</v>
      </c>
      <c r="Z290" s="2996">
        <f t="shared" si="530"/>
        <v>3899.1648402294727</v>
      </c>
      <c r="AA290" s="2996">
        <f t="shared" si="530"/>
        <v>3843.7582066661807</v>
      </c>
      <c r="AB290" s="2996">
        <f t="shared" si="530"/>
        <v>4468.495795548054</v>
      </c>
      <c r="AC290" s="2996">
        <f t="shared" si="530"/>
        <v>3816.6109612605096</v>
      </c>
      <c r="AD290" s="2996">
        <f>AD219-AD275</f>
        <v>3855.8756610000546</v>
      </c>
      <c r="AE290" s="2996">
        <f>AE219-AE275</f>
        <v>4497.3086972131969</v>
      </c>
      <c r="AF290" s="1798"/>
      <c r="AG290" s="1798"/>
      <c r="AH290" s="1798"/>
      <c r="AI290" s="1798"/>
      <c r="AJ290" s="1798"/>
      <c r="AK290" s="1798"/>
      <c r="AL290" s="1108" t="s">
        <v>1241</v>
      </c>
      <c r="AM290" s="1108"/>
      <c r="AN290" s="1108"/>
      <c r="AO290" s="1108"/>
      <c r="AP290" s="1108"/>
      <c r="AQ290" s="1741"/>
      <c r="AR290" s="1108"/>
      <c r="AS290" s="1108"/>
      <c r="AT290" s="1108"/>
      <c r="AU290" s="1108"/>
      <c r="AV290" s="1741"/>
      <c r="AW290" s="1108"/>
      <c r="AX290" s="1108"/>
      <c r="AY290" s="1108"/>
      <c r="AZ290" s="1108"/>
      <c r="BA290" s="1741"/>
      <c r="BB290" s="1108"/>
      <c r="BC290" s="1108"/>
      <c r="BD290" s="1108"/>
      <c r="BE290" s="1108"/>
      <c r="BF290" s="1741"/>
      <c r="BG290" s="1108"/>
      <c r="BH290" s="1108"/>
      <c r="BI290" s="1108"/>
      <c r="BJ290" s="1108"/>
      <c r="BK290" s="1741"/>
      <c r="BL290" s="1108"/>
      <c r="BM290" s="1108"/>
      <c r="BN290" s="1108"/>
      <c r="BO290" s="1108"/>
      <c r="BP290" s="1741"/>
      <c r="BQ290" s="1108"/>
      <c r="BR290" s="1108"/>
      <c r="BS290" s="1108"/>
      <c r="BT290" s="1108"/>
      <c r="BU290" s="1108"/>
      <c r="BV290" s="1650">
        <f>BV219-BV275</f>
        <v>1235.6588044702887</v>
      </c>
      <c r="BW290" s="1650">
        <f>BW219-BW275</f>
        <v>973.60881836964813</v>
      </c>
      <c r="BX290" s="1650">
        <f>BX219-BX275</f>
        <v>787.6794440819549</v>
      </c>
      <c r="BY290" s="1650">
        <f>BY219-BY275</f>
        <v>1215.7384914473466</v>
      </c>
      <c r="BZ290" s="1108"/>
      <c r="CA290" s="1650">
        <f>CA219-CA275</f>
        <v>1252.6754588094936</v>
      </c>
      <c r="CB290" s="1650">
        <f>CB219-CB275</f>
        <v>853.80347166334991</v>
      </c>
      <c r="CC290" s="1650">
        <f>CC219-CC275</f>
        <v>646.98120223810588</v>
      </c>
      <c r="CD290" s="1650">
        <f>CD219-CD275</f>
        <v>1213.4486159312958</v>
      </c>
      <c r="CE290" s="1108"/>
      <c r="CF290" s="1650">
        <f>CF219-CF275</f>
        <v>1447.8769095130601</v>
      </c>
      <c r="CG290" s="1650">
        <f>CG219-CG275</f>
        <v>960.87095769621908</v>
      </c>
      <c r="CH290" s="1650">
        <f>CH219-CH275</f>
        <v>740.67819459620273</v>
      </c>
      <c r="CI290" s="1650">
        <f>CI219-CI275</f>
        <v>1266.8240389770758</v>
      </c>
      <c r="CJ290" s="1108"/>
      <c r="CK290" s="1649">
        <f>CK219-CK275</f>
        <v>1140.073556253144</v>
      </c>
      <c r="CL290" s="1649">
        <f>CL219-CL275</f>
        <v>880.56615981140806</v>
      </c>
      <c r="CM290" s="1649">
        <f>CM219-CM275</f>
        <v>720.09677654216489</v>
      </c>
      <c r="CN290" s="1649">
        <f>CN219-CN275</f>
        <v>1293.085224614113</v>
      </c>
      <c r="CO290" s="1108"/>
      <c r="CP290" s="1649">
        <f>CP219-CP275</f>
        <v>1095.4722198093968</v>
      </c>
      <c r="CQ290" s="1649">
        <f>CQ219-CQ275</f>
        <v>879.18299932254422</v>
      </c>
      <c r="CR290" s="1649">
        <f>CR219-CR275</f>
        <v>724.96656379394778</v>
      </c>
      <c r="CS290" s="1649">
        <f>CS219-CS275</f>
        <v>1394.4243327462796</v>
      </c>
      <c r="CT290" s="2835">
        <f>$Q290-SUM(CP290:CS290)</f>
        <v>0</v>
      </c>
      <c r="CU290" s="2964">
        <f>CU219-CU275</f>
        <v>1630.5170578508146</v>
      </c>
      <c r="CV290" s="2964">
        <f>CV219-CV275</f>
        <v>852.36003229824814</v>
      </c>
      <c r="CW290" s="2964">
        <f>CW219-CW275</f>
        <v>707.2037922670977</v>
      </c>
      <c r="CX290" s="2964">
        <f>CX219-CX275</f>
        <v>1281.9178980153865</v>
      </c>
      <c r="CY290" s="2835">
        <f>R290-SUM(CU290:CX290)</f>
        <v>0</v>
      </c>
      <c r="CZ290" s="2964">
        <f>CZ219-CZ275</f>
        <v>1205.7245044934002</v>
      </c>
      <c r="DA290" s="2964">
        <f>DA219-DA275</f>
        <v>912.34392749052995</v>
      </c>
      <c r="DB290" s="2964">
        <f>DB219-DB275</f>
        <v>686.49284551874939</v>
      </c>
      <c r="DC290" s="2964">
        <f>DC219-DC275</f>
        <v>1275.7570820231163</v>
      </c>
      <c r="DD290" s="2835">
        <f>T290-SUM(CZ290:DC290)</f>
        <v>0</v>
      </c>
      <c r="DE290" s="2964">
        <f t="shared" ref="DE290:DG290" si="531">DE219-DE275</f>
        <v>1218.1124799787626</v>
      </c>
      <c r="DF290" s="2964">
        <f t="shared" si="531"/>
        <v>821.35262102184515</v>
      </c>
      <c r="DG290" s="2964">
        <f t="shared" si="531"/>
        <v>677.1352844126103</v>
      </c>
      <c r="DH290" s="2964">
        <f>DH219-DH275</f>
        <v>1261.5098784185341</v>
      </c>
      <c r="DI290" s="3287">
        <f t="shared" ref="DI290:DI296" si="532">U290-SUM(DE290:DH290)</f>
        <v>0</v>
      </c>
      <c r="DJ290" s="2835"/>
      <c r="DK290" s="1108"/>
      <c r="DL290" s="1108"/>
      <c r="DM290" s="1108"/>
      <c r="DN290" s="1108"/>
      <c r="DO290" s="1108"/>
      <c r="DP290" s="1108"/>
      <c r="DQ290" s="1108"/>
      <c r="DR290" s="1108"/>
      <c r="DS290" s="1108"/>
      <c r="DT290" s="1108"/>
    </row>
    <row r="291" spans="1:124">
      <c r="A291" s="1108" t="s">
        <v>812</v>
      </c>
      <c r="B291" s="1108"/>
      <c r="C291" s="1108"/>
      <c r="D291" s="1108"/>
      <c r="E291" s="1108"/>
      <c r="F291" s="1108"/>
      <c r="G291" s="1108"/>
      <c r="H291" s="1108"/>
      <c r="I291" s="1108"/>
      <c r="J291" s="1108"/>
      <c r="K291" s="1108"/>
      <c r="L291" s="1110">
        <f>L290/K290-1</f>
        <v>-5.8342073321545396E-2</v>
      </c>
      <c r="M291" s="1110">
        <f>M290/L290-1</f>
        <v>0.11327241956198475</v>
      </c>
      <c r="N291" s="1110">
        <f>N290/M290-1</f>
        <v>-8.6595725974387583E-2</v>
      </c>
      <c r="O291" s="2709"/>
      <c r="P291" s="2709"/>
      <c r="Q291" s="1110">
        <f>Q290/N290-1</f>
        <v>1.4929861226695929E-2</v>
      </c>
      <c r="R291" s="1110">
        <f>R290/Q290-1</f>
        <v>9.2317637388733997E-2</v>
      </c>
      <c r="S291" s="2705"/>
      <c r="T291" s="1110">
        <f>T290/R290-1</f>
        <v>-8.7585091172129981E-2</v>
      </c>
      <c r="U291" s="2802">
        <f t="shared" ref="U291:AE291" si="533">U290/T290-1</f>
        <v>-2.5049049286909542E-2</v>
      </c>
      <c r="V291" s="2802">
        <f t="shared" si="533"/>
        <v>0.10737238973961527</v>
      </c>
      <c r="W291" s="2802">
        <f t="shared" si="533"/>
        <v>-0.11354360572320676</v>
      </c>
      <c r="X291" s="2802">
        <f t="shared" si="533"/>
        <v>6.6411379541240212E-3</v>
      </c>
      <c r="Y291" s="2802">
        <f t="shared" si="533"/>
        <v>0.11095547640357895</v>
      </c>
      <c r="Z291" s="2802">
        <f t="shared" si="533"/>
        <v>-0.10716258291817993</v>
      </c>
      <c r="AA291" s="2802">
        <f t="shared" si="533"/>
        <v>-1.4209872070971796E-2</v>
      </c>
      <c r="AB291" s="2802">
        <f t="shared" si="533"/>
        <v>0.16253300943810634</v>
      </c>
      <c r="AC291" s="2802">
        <f t="shared" si="533"/>
        <v>-0.1458846251879693</v>
      </c>
      <c r="AD291" s="2802">
        <f t="shared" si="533"/>
        <v>1.0287844409108127E-2</v>
      </c>
      <c r="AE291" s="2802">
        <f t="shared" si="533"/>
        <v>0.16635210587853377</v>
      </c>
      <c r="AF291" s="1798"/>
      <c r="AG291" s="1798"/>
      <c r="AH291" s="1798"/>
      <c r="AI291" s="1798"/>
      <c r="AJ291" s="1798"/>
      <c r="AK291" s="1798"/>
      <c r="AL291" s="1108" t="s">
        <v>812</v>
      </c>
      <c r="AM291" s="1108"/>
      <c r="AN291" s="1108"/>
      <c r="AO291" s="1108"/>
      <c r="AP291" s="1108"/>
      <c r="AQ291" s="1741"/>
      <c r="AR291" s="1108"/>
      <c r="AS291" s="1108"/>
      <c r="AT291" s="1108"/>
      <c r="AU291" s="1108"/>
      <c r="AV291" s="1741"/>
      <c r="AW291" s="1108"/>
      <c r="AX291" s="1108"/>
      <c r="AY291" s="1108"/>
      <c r="AZ291" s="1108"/>
      <c r="BA291" s="1741"/>
      <c r="BB291" s="1108"/>
      <c r="BC291" s="1108"/>
      <c r="BD291" s="1108"/>
      <c r="BE291" s="1108"/>
      <c r="BF291" s="1741"/>
      <c r="BG291" s="1108"/>
      <c r="BH291" s="1108"/>
      <c r="BI291" s="1108"/>
      <c r="BJ291" s="1108"/>
      <c r="BK291" s="1741"/>
      <c r="BL291" s="1108"/>
      <c r="BM291" s="1108"/>
      <c r="BN291" s="1108"/>
      <c r="BO291" s="1108"/>
      <c r="BP291" s="1741"/>
      <c r="BQ291" s="1108"/>
      <c r="BR291" s="1108"/>
      <c r="BS291" s="1108"/>
      <c r="BT291" s="1108"/>
      <c r="BU291" s="1108"/>
      <c r="BV291" s="1108"/>
      <c r="BW291" s="1108"/>
      <c r="BX291" s="1108"/>
      <c r="BY291" s="1108"/>
      <c r="BZ291" s="1108"/>
      <c r="CA291" s="1110">
        <f>CA290/BV290-1</f>
        <v>1.3771321239846479E-2</v>
      </c>
      <c r="CB291" s="1110">
        <f>CB290/BW290-1</f>
        <v>-0.12305285700566859</v>
      </c>
      <c r="CC291" s="1110">
        <f>CC290/BX290-1</f>
        <v>-0.17862373190128589</v>
      </c>
      <c r="CD291" s="1110">
        <f>CD290/BY290-1</f>
        <v>-1.883526376897704E-3</v>
      </c>
      <c r="CE291" s="1108"/>
      <c r="CF291" s="1110">
        <f>CF290/CA290-1</f>
        <v>0.15582763223371532</v>
      </c>
      <c r="CG291" s="1110">
        <f>CG290/CB290-1</f>
        <v>0.12540062155554854</v>
      </c>
      <c r="CH291" s="1110">
        <f>CH290/CC290-1</f>
        <v>0.14482181558594021</v>
      </c>
      <c r="CI291" s="1110">
        <f>CI290/CD290-1</f>
        <v>4.3986553979309173E-2</v>
      </c>
      <c r="CJ291" s="1108"/>
      <c r="CK291" s="1737">
        <f>CK290/CF290-1</f>
        <v>-0.21258944820346248</v>
      </c>
      <c r="CL291" s="1737">
        <f>CL290/CG290-1</f>
        <v>-8.3575007904650889E-2</v>
      </c>
      <c r="CM291" s="1737">
        <f>CM290/CH290-1</f>
        <v>-2.778726065407966E-2</v>
      </c>
      <c r="CN291" s="1110">
        <f>CN290/CI290-1</f>
        <v>2.0729939462028391E-2</v>
      </c>
      <c r="CO291" s="1108"/>
      <c r="CP291" s="2023">
        <f>CP290/CK290-1</f>
        <v>-3.9121455101835401E-2</v>
      </c>
      <c r="CQ291" s="2023">
        <f>CQ290/CL290-1</f>
        <v>-1.5707627115264522E-3</v>
      </c>
      <c r="CR291" s="2023">
        <f>CR290/CM290-1</f>
        <v>6.7626844202346437E-3</v>
      </c>
      <c r="CS291" s="1110">
        <f>CS290/CN290-1</f>
        <v>7.8370014754757245E-2</v>
      </c>
      <c r="CT291" s="2835"/>
      <c r="CU291" s="3003">
        <f>CU290/CP290-1</f>
        <v>0.4884147935166363</v>
      </c>
      <c r="CV291" s="3003">
        <f>CV290/CQ290-1</f>
        <v>-3.0508969173612899E-2</v>
      </c>
      <c r="CW291" s="3003">
        <f>CW290/CR290-1</f>
        <v>-2.4501504502349225E-2</v>
      </c>
      <c r="CX291" s="3003">
        <f>CX290/CS290-1</f>
        <v>-8.0683069054966028E-2</v>
      </c>
      <c r="CY291" s="2835"/>
      <c r="CZ291" s="3003">
        <f>CZ290/CU290-1</f>
        <v>-0.26052628600974814</v>
      </c>
      <c r="DA291" s="3003">
        <f>DA290/CV290-1</f>
        <v>7.0373894738523957E-2</v>
      </c>
      <c r="DB291" s="3003">
        <f>DB290/CW290-1</f>
        <v>-2.9285683949678454E-2</v>
      </c>
      <c r="DC291" s="3003">
        <f>DC290/CX290-1</f>
        <v>-4.8059364814300176E-3</v>
      </c>
      <c r="DD291" s="2835"/>
      <c r="DE291" s="3003">
        <f t="shared" ref="DE291:DG291" si="534">DE290/CZ290-1</f>
        <v>1.0274300173211959E-2</v>
      </c>
      <c r="DF291" s="3003">
        <f t="shared" si="534"/>
        <v>-9.9733558504590647E-2</v>
      </c>
      <c r="DG291" s="3003">
        <f t="shared" si="534"/>
        <v>-1.3630966684100021E-2</v>
      </c>
      <c r="DH291" s="3003">
        <f>DH290/DC290-1</f>
        <v>-1.1167646102335338E-2</v>
      </c>
      <c r="DI291" s="3287"/>
      <c r="DJ291" s="2862"/>
      <c r="DK291" s="1108"/>
      <c r="DL291" s="11"/>
      <c r="DM291" s="11"/>
      <c r="DN291" s="11"/>
      <c r="DO291" s="11"/>
      <c r="DP291" s="11"/>
      <c r="DQ291" s="11"/>
      <c r="DR291" s="11"/>
      <c r="DS291" s="11"/>
      <c r="DT291" s="11"/>
    </row>
    <row r="292" spans="1:124">
      <c r="A292" s="11" t="s">
        <v>1242</v>
      </c>
      <c r="B292" s="11"/>
      <c r="C292" s="11"/>
      <c r="D292" s="11"/>
      <c r="E292" s="11"/>
      <c r="F292" s="11"/>
      <c r="G292" s="11"/>
      <c r="H292" s="11"/>
      <c r="I292" s="11"/>
      <c r="J292" s="11"/>
      <c r="K292" s="557">
        <f>K218-K281</f>
        <v>1272.444</v>
      </c>
      <c r="L292" s="557">
        <f>L218-L281</f>
        <v>1356.6</v>
      </c>
      <c r="M292" s="557">
        <f>M218-M281</f>
        <v>1245.3899999999999</v>
      </c>
      <c r="N292" s="557">
        <f>N218-N281</f>
        <v>1273.5801999999999</v>
      </c>
      <c r="O292" s="2709"/>
      <c r="P292" s="2709"/>
      <c r="Q292" s="1650">
        <f>Q218-Q265</f>
        <v>1171.6649051128511</v>
      </c>
      <c r="R292" s="1650">
        <f>R218-R265</f>
        <v>1291.5542708597309</v>
      </c>
      <c r="S292" s="2743"/>
      <c r="T292" s="1650">
        <f>T218-T265</f>
        <v>1142.999093659457</v>
      </c>
      <c r="U292" s="2996">
        <f>U218-U265</f>
        <v>1229.1370936594572</v>
      </c>
      <c r="V292" s="2996">
        <f t="shared" ref="V292:AC292" si="535">V218-V265</f>
        <v>1167.2783317637527</v>
      </c>
      <c r="W292" s="2996">
        <f t="shared" si="535"/>
        <v>1251.3925219857715</v>
      </c>
      <c r="X292" s="2996">
        <f t="shared" si="535"/>
        <v>1111.496704829678</v>
      </c>
      <c r="Y292" s="2996">
        <f t="shared" si="535"/>
        <v>1229.4896543533532</v>
      </c>
      <c r="Z292" s="2996">
        <f t="shared" si="535"/>
        <v>1090.8168694737356</v>
      </c>
      <c r="AA292" s="2996">
        <f t="shared" si="535"/>
        <v>1214.2753290728515</v>
      </c>
      <c r="AB292" s="2996">
        <f t="shared" si="535"/>
        <v>1116.4533898718469</v>
      </c>
      <c r="AC292" s="2996">
        <f t="shared" si="535"/>
        <v>1151.5626152780428</v>
      </c>
      <c r="AD292" s="2996">
        <f>AD218-AD265</f>
        <v>1051.2011966418672</v>
      </c>
      <c r="AE292" s="2996">
        <f>AE218-AE265</f>
        <v>1230.5845633056388</v>
      </c>
      <c r="AF292" s="2457"/>
      <c r="AG292" s="2457"/>
      <c r="AH292" s="2457"/>
      <c r="AI292" s="2457"/>
      <c r="AJ292" s="2457"/>
      <c r="AK292" s="11"/>
      <c r="AL292" s="11" t="s">
        <v>1242</v>
      </c>
      <c r="AM292" s="11"/>
      <c r="AN292" s="11"/>
      <c r="AO292" s="11"/>
      <c r="AP292" s="11"/>
      <c r="AQ292" s="1120"/>
      <c r="AR292" s="11"/>
      <c r="AS292" s="11"/>
      <c r="AT292" s="11"/>
      <c r="AU292" s="11"/>
      <c r="AV292" s="1120"/>
      <c r="AW292" s="11"/>
      <c r="AX292" s="11"/>
      <c r="AY292" s="11"/>
      <c r="AZ292" s="11"/>
      <c r="BA292" s="1120"/>
      <c r="BB292" s="11"/>
      <c r="BC292" s="11"/>
      <c r="BD292" s="11"/>
      <c r="BE292" s="11"/>
      <c r="BF292" s="1120"/>
      <c r="BG292" s="11"/>
      <c r="BH292" s="11"/>
      <c r="BI292" s="11"/>
      <c r="BJ292" s="11"/>
      <c r="BK292" s="1120"/>
      <c r="BL292" s="11"/>
      <c r="BM292" s="11"/>
      <c r="BN292" s="11"/>
      <c r="BO292" s="11"/>
      <c r="BP292" s="1120"/>
      <c r="BQ292" s="11"/>
      <c r="BR292" s="11"/>
      <c r="BS292" s="11"/>
      <c r="BT292" s="11"/>
      <c r="BU292" s="1108"/>
      <c r="BV292" s="557">
        <f>BV218-BV281</f>
        <v>315.38703903407389</v>
      </c>
      <c r="BW292" s="557">
        <f>BW218-BW281</f>
        <v>327.18453903407396</v>
      </c>
      <c r="BX292" s="557">
        <f>BX218-BX281</f>
        <v>292.09255855111093</v>
      </c>
      <c r="BY292" s="557">
        <f>BY218-BY281</f>
        <v>337.77986338074106</v>
      </c>
      <c r="BZ292" s="11"/>
      <c r="CA292" s="557">
        <f>CA218-CA281</f>
        <v>312.37216000000001</v>
      </c>
      <c r="CB292" s="557">
        <f>CB218-CB281</f>
        <v>337.33371</v>
      </c>
      <c r="CC292" s="557">
        <f>CC218-CC281</f>
        <v>303.82499999999999</v>
      </c>
      <c r="CD292" s="557">
        <f>CD218-CD281</f>
        <v>403.06912999999986</v>
      </c>
      <c r="CE292" s="11"/>
      <c r="CF292" s="557">
        <f>CF218-CF281</f>
        <v>317.62216000000001</v>
      </c>
      <c r="CG292" s="557">
        <f>CG218-CG281</f>
        <v>320.58371</v>
      </c>
      <c r="CH292" s="557">
        <f>CH218-CH281</f>
        <v>270.81509022927537</v>
      </c>
      <c r="CI292" s="557">
        <f>CI218-CI281</f>
        <v>336.36903977072444</v>
      </c>
      <c r="CJ292" s="1108"/>
      <c r="CK292" s="1649">
        <f>CK218-CK281</f>
        <v>291.33711455999997</v>
      </c>
      <c r="CL292" s="1649">
        <f>CL218-CL281</f>
        <v>295.16702450000003</v>
      </c>
      <c r="CM292" s="1649">
        <f>CM218-CM281</f>
        <v>298.8400109511096</v>
      </c>
      <c r="CN292" s="1649">
        <f>CN218-CN281</f>
        <v>388.23604998889027</v>
      </c>
      <c r="CO292" s="1470"/>
      <c r="CP292" s="1649">
        <f>CP218-CP265</f>
        <v>276.96078431372553</v>
      </c>
      <c r="CQ292" s="1649">
        <f>CQ218-CQ265</f>
        <v>287.09794319294809</v>
      </c>
      <c r="CR292" s="1649">
        <f>CR218-CR265</f>
        <v>267.89189189189187</v>
      </c>
      <c r="CS292" s="1649">
        <f>CS218-CS265</f>
        <v>339.71428571428572</v>
      </c>
      <c r="CT292" s="2835">
        <f>$Q292-SUM(CP292:CS292)</f>
        <v>0</v>
      </c>
      <c r="CU292" s="2964">
        <f>CU218-CU265</f>
        <v>326.20479356588561</v>
      </c>
      <c r="CV292" s="2964">
        <f>CV218-CV265</f>
        <v>275.95296165432671</v>
      </c>
      <c r="CW292" s="2964">
        <f>CW218-CW265</f>
        <v>288.27114347250847</v>
      </c>
      <c r="CX292" s="2964">
        <f>CX218-CX265</f>
        <v>401.1253721670102</v>
      </c>
      <c r="CY292" s="2835">
        <f>R292-SUM(CU292:CX292)</f>
        <v>0</v>
      </c>
      <c r="CZ292" s="2964">
        <f>CZ218-CZ265</f>
        <v>272.30083271597118</v>
      </c>
      <c r="DA292" s="2964">
        <f>DA218-DA265</f>
        <v>275.95629251905876</v>
      </c>
      <c r="DB292" s="2964">
        <f>DB218-DB265</f>
        <v>258.43526824838057</v>
      </c>
      <c r="DC292" s="2964">
        <f>DC218-DC265</f>
        <v>336.30670017604649</v>
      </c>
      <c r="DD292" s="2835">
        <f>T292-SUM(CZ292:DC292)</f>
        <v>0</v>
      </c>
      <c r="DE292" s="2964">
        <f t="shared" ref="DE292:DG292" si="536">DE218-DE265</f>
        <v>282.71333271597109</v>
      </c>
      <c r="DF292" s="2964">
        <f t="shared" si="536"/>
        <v>274.3562925190588</v>
      </c>
      <c r="DG292" s="2964">
        <f t="shared" si="536"/>
        <v>279.43526824838057</v>
      </c>
      <c r="DH292" s="2964">
        <f>DH218-DH265</f>
        <v>392.63220017604652</v>
      </c>
      <c r="DI292" s="3287">
        <f t="shared" si="532"/>
        <v>0</v>
      </c>
      <c r="DJ292" s="2996"/>
      <c r="DK292" s="1108"/>
      <c r="DL292" s="1108"/>
      <c r="DM292" s="1108"/>
      <c r="DN292" s="1108"/>
      <c r="DO292" s="1108"/>
      <c r="DP292" s="1108"/>
      <c r="DQ292" s="1108"/>
      <c r="DR292" s="1108"/>
      <c r="DS292" s="11"/>
      <c r="DT292" s="11"/>
    </row>
    <row r="293" spans="1:124">
      <c r="A293" s="11" t="s">
        <v>812</v>
      </c>
      <c r="B293" s="11"/>
      <c r="C293" s="11"/>
      <c r="D293" s="11"/>
      <c r="E293" s="11"/>
      <c r="F293" s="11"/>
      <c r="G293" s="11"/>
      <c r="H293" s="11"/>
      <c r="I293" s="11"/>
      <c r="J293" s="11"/>
      <c r="K293" s="11"/>
      <c r="L293" s="39">
        <f>L292/K292-1</f>
        <v>6.613729170006688E-2</v>
      </c>
      <c r="M293" s="39">
        <f>M292/L292-1</f>
        <v>-8.1977001326846599E-2</v>
      </c>
      <c r="N293" s="39">
        <f>N292/M292-1</f>
        <v>2.2635640241209565E-2</v>
      </c>
      <c r="O293" s="2770"/>
      <c r="P293" s="2770"/>
      <c r="Q293" s="1110">
        <f>Q292/N292-1</f>
        <v>-8.002267535813512E-2</v>
      </c>
      <c r="R293" s="1110">
        <f>R292/Q292-1</f>
        <v>0.10232393683869234</v>
      </c>
      <c r="S293" s="2705"/>
      <c r="T293" s="1110">
        <f>T292/R292-1</f>
        <v>-0.11502046840152313</v>
      </c>
      <c r="U293" s="2802">
        <f t="shared" ref="U293:AE293" si="537">U292/T292-1</f>
        <v>7.5361389591498629E-2</v>
      </c>
      <c r="V293" s="2802">
        <f t="shared" si="537"/>
        <v>-5.0326983226529287E-2</v>
      </c>
      <c r="W293" s="2802">
        <f t="shared" si="537"/>
        <v>7.2060097350494567E-2</v>
      </c>
      <c r="X293" s="2802">
        <f t="shared" si="537"/>
        <v>-0.11179211534211497</v>
      </c>
      <c r="Y293" s="2802">
        <f t="shared" si="537"/>
        <v>0.10615681451053516</v>
      </c>
      <c r="Z293" s="2802">
        <f t="shared" si="537"/>
        <v>-0.11278889935235137</v>
      </c>
      <c r="AA293" s="2802">
        <f t="shared" si="537"/>
        <v>0.11317982243772828</v>
      </c>
      <c r="AB293" s="2802">
        <f t="shared" si="537"/>
        <v>-8.0559933038988452E-2</v>
      </c>
      <c r="AC293" s="2802">
        <f t="shared" si="537"/>
        <v>3.1447103591333958E-2</v>
      </c>
      <c r="AD293" s="2802">
        <f t="shared" si="537"/>
        <v>-8.7152376522698694E-2</v>
      </c>
      <c r="AE293" s="2802">
        <f t="shared" si="537"/>
        <v>0.17064608301134343</v>
      </c>
      <c r="AF293" s="862"/>
      <c r="AG293" s="862"/>
      <c r="AH293" s="862"/>
      <c r="AI293" s="862"/>
      <c r="AJ293" s="862"/>
      <c r="AK293" s="11"/>
      <c r="AL293" s="11" t="s">
        <v>812</v>
      </c>
      <c r="AM293" s="11"/>
      <c r="AN293" s="11"/>
      <c r="AO293" s="11"/>
      <c r="AP293" s="11"/>
      <c r="AQ293" s="1120"/>
      <c r="AR293" s="11"/>
      <c r="AS293" s="11"/>
      <c r="AT293" s="11"/>
      <c r="AU293" s="11"/>
      <c r="AV293" s="1120"/>
      <c r="AW293" s="11"/>
      <c r="AX293" s="11"/>
      <c r="AY293" s="11"/>
      <c r="AZ293" s="11"/>
      <c r="BA293" s="1120"/>
      <c r="BB293" s="11"/>
      <c r="BC293" s="11"/>
      <c r="BD293" s="11"/>
      <c r="BE293" s="11"/>
      <c r="BF293" s="1120"/>
      <c r="BG293" s="11"/>
      <c r="BH293" s="11"/>
      <c r="BI293" s="11"/>
      <c r="BJ293" s="11"/>
      <c r="BK293" s="1120"/>
      <c r="BL293" s="11"/>
      <c r="BM293" s="11"/>
      <c r="BN293" s="11"/>
      <c r="BO293" s="11"/>
      <c r="BP293" s="1120"/>
      <c r="BQ293" s="11"/>
      <c r="BR293" s="11"/>
      <c r="BS293" s="11"/>
      <c r="BT293" s="11"/>
      <c r="BU293" s="1108"/>
      <c r="BV293" s="11"/>
      <c r="BW293" s="11"/>
      <c r="BX293" s="11"/>
      <c r="BY293" s="11"/>
      <c r="BZ293" s="11"/>
      <c r="CA293" s="39">
        <f>CA292/BV292-1</f>
        <v>-9.5592990863145877E-3</v>
      </c>
      <c r="CB293" s="39">
        <f>CB292/BW292-1</f>
        <v>3.1019714427487299E-2</v>
      </c>
      <c r="CC293" s="39">
        <f>CC292/BX292-1</f>
        <v>4.0166861857372949E-2</v>
      </c>
      <c r="CD293" s="39">
        <f>CD292/BY292-1</f>
        <v>0.19328939850291071</v>
      </c>
      <c r="CE293" s="39"/>
      <c r="CF293" s="39">
        <f>CF292/CA292-1</f>
        <v>1.6806875491080842E-2</v>
      </c>
      <c r="CG293" s="39">
        <f>CG292/CB292-1</f>
        <v>-4.9654094753826983E-2</v>
      </c>
      <c r="CH293" s="39">
        <f>CH292/CC292-1</f>
        <v>-0.10864777345749899</v>
      </c>
      <c r="CI293" s="39">
        <f>CI292/CD292-1</f>
        <v>-0.16548052248326595</v>
      </c>
      <c r="CJ293" s="1110"/>
      <c r="CK293" s="2023">
        <f>CK292/CF292-1</f>
        <v>-8.2755703947105075E-2</v>
      </c>
      <c r="CL293" s="2023">
        <f>CL292/CG292-1</f>
        <v>-7.9282523432023355E-2</v>
      </c>
      <c r="CM293" s="2023">
        <f>CM292/CH292-1</f>
        <v>0.10348360092529552</v>
      </c>
      <c r="CN293" s="2023">
        <f>CN292/CI292-1</f>
        <v>0.15419674252279392</v>
      </c>
      <c r="CO293" s="2023"/>
      <c r="CP293" s="2023">
        <f>CP292/CK292-1</f>
        <v>-4.9346030861830648E-2</v>
      </c>
      <c r="CQ293" s="2023">
        <f>CQ292/CL292-1</f>
        <v>-2.7337340005105903E-2</v>
      </c>
      <c r="CR293" s="2023">
        <f>CR292/CM292-1</f>
        <v>-0.10356082828641333</v>
      </c>
      <c r="CS293" s="2023">
        <f>CS292/CN292-1</f>
        <v>-0.12498005859062555</v>
      </c>
      <c r="CT293" s="2835"/>
      <c r="CU293" s="3003">
        <f>CU292/CP292-1</f>
        <v>0.17780137853877265</v>
      </c>
      <c r="CV293" s="3003">
        <f>CV292/CQ292-1</f>
        <v>-3.8819440552840367E-2</v>
      </c>
      <c r="CW293" s="3003">
        <f>CW292/CR292-1</f>
        <v>7.6072670347338001E-2</v>
      </c>
      <c r="CX293" s="3003">
        <f>CX292/CS292-1</f>
        <v>0.18077275238396617</v>
      </c>
      <c r="CY293" s="2835"/>
      <c r="CZ293" s="3003">
        <f>CZ292/CU292-1</f>
        <v>-0.16524576558384363</v>
      </c>
      <c r="DA293" s="3003">
        <f>DA292/CV292-1</f>
        <v>1.2070407623410162E-5</v>
      </c>
      <c r="DB293" s="3003">
        <f>DB292/CW292-1</f>
        <v>-0.10349934740163569</v>
      </c>
      <c r="DC293" s="3003">
        <f>DC292/CX292-1</f>
        <v>-0.16159205198312954</v>
      </c>
      <c r="DD293" s="2835"/>
      <c r="DE293" s="3003">
        <f t="shared" ref="DE293:DG293" si="538">DE292/CZ292-1</f>
        <v>3.8238957612226177E-2</v>
      </c>
      <c r="DF293" s="3003">
        <f t="shared" si="538"/>
        <v>-5.7980196262038541E-3</v>
      </c>
      <c r="DG293" s="3003">
        <f t="shared" si="538"/>
        <v>8.1258259146801182E-2</v>
      </c>
      <c r="DH293" s="3003">
        <f>DH292/DC292-1</f>
        <v>0.16748253891615983</v>
      </c>
      <c r="DI293" s="3287"/>
      <c r="DJ293" s="2802"/>
      <c r="DK293" s="1108"/>
      <c r="DL293" s="1108"/>
      <c r="DM293" s="1108"/>
      <c r="DN293" s="1108"/>
      <c r="DO293" s="1108"/>
      <c r="DP293" s="1108"/>
      <c r="DQ293" s="1108"/>
      <c r="DR293" s="1108"/>
      <c r="DS293" s="11"/>
      <c r="DT293" s="11"/>
    </row>
    <row r="294" spans="1:124">
      <c r="A294" s="906" t="s">
        <v>1606</v>
      </c>
      <c r="B294" s="11"/>
      <c r="C294" s="11"/>
      <c r="D294" s="11"/>
      <c r="E294" s="11"/>
      <c r="F294" s="11"/>
      <c r="G294" s="11"/>
      <c r="H294" s="11"/>
      <c r="I294" s="11"/>
      <c r="J294" s="11"/>
      <c r="K294" s="11"/>
      <c r="L294" s="133">
        <f>L292-90*0.7</f>
        <v>1293.5999999999999</v>
      </c>
      <c r="M294" s="557">
        <f>M292</f>
        <v>1245.3899999999999</v>
      </c>
      <c r="N294" s="1778">
        <f>SUM(CK294:CN294)</f>
        <v>1187.2701999999999</v>
      </c>
      <c r="O294" s="2743"/>
      <c r="P294" s="2743"/>
      <c r="Q294" s="2046">
        <f>SUM(CP294:CS294)</f>
        <v>1171.6649051128513</v>
      </c>
      <c r="R294" s="1650">
        <f>SUM(CU294:CX294)</f>
        <v>1163.1042708597311</v>
      </c>
      <c r="S294" s="2743"/>
      <c r="T294" s="1795">
        <f>T292-T300*0.7</f>
        <v>1142.999093659457</v>
      </c>
      <c r="U294" s="2996">
        <f t="shared" ref="U294:AB294" si="539">U292-U300*0.7</f>
        <v>1138.511593659457</v>
      </c>
      <c r="V294" s="2996">
        <f t="shared" si="539"/>
        <v>1167.2783317637527</v>
      </c>
      <c r="W294" s="2996">
        <f t="shared" si="539"/>
        <v>1116.5200219857716</v>
      </c>
      <c r="X294" s="2996">
        <f t="shared" si="539"/>
        <v>1111.496704829678</v>
      </c>
      <c r="Y294" s="2996">
        <f t="shared" si="539"/>
        <v>1134.7860068533532</v>
      </c>
      <c r="Z294" s="2996">
        <f t="shared" si="539"/>
        <v>1090.8168694737356</v>
      </c>
      <c r="AA294" s="2996">
        <f t="shared" si="539"/>
        <v>1074.0079290728515</v>
      </c>
      <c r="AB294" s="2996">
        <f t="shared" si="539"/>
        <v>1116.4533898718469</v>
      </c>
      <c r="AC294" s="2996">
        <f>AC292-AC300*0.7</f>
        <v>1053.5443401155428</v>
      </c>
      <c r="AD294" s="2996">
        <f>AD292-AD300*0.7</f>
        <v>1051.2011966418672</v>
      </c>
      <c r="AE294" s="2996">
        <f>AE292-AE300*0.7</f>
        <v>1086.1091413056388</v>
      </c>
      <c r="AF294" s="2457"/>
      <c r="AG294" s="2457"/>
      <c r="AH294" s="2457"/>
      <c r="AI294" s="2457"/>
      <c r="AJ294" s="2457"/>
      <c r="AK294" s="1108"/>
      <c r="AL294" s="1108" t="s">
        <v>1606</v>
      </c>
      <c r="AM294" s="11"/>
      <c r="AN294" s="11"/>
      <c r="AO294" s="11"/>
      <c r="AP294" s="11"/>
      <c r="AQ294" s="1120"/>
      <c r="AR294" s="11"/>
      <c r="AS294" s="11"/>
      <c r="AT294" s="11"/>
      <c r="AU294" s="11"/>
      <c r="AV294" s="1120"/>
      <c r="AW294" s="11"/>
      <c r="AX294" s="11"/>
      <c r="AY294" s="11"/>
      <c r="AZ294" s="11"/>
      <c r="BA294" s="1120"/>
      <c r="BB294" s="11"/>
      <c r="BC294" s="11"/>
      <c r="BD294" s="11"/>
      <c r="BE294" s="11"/>
      <c r="BF294" s="1120"/>
      <c r="BG294" s="11"/>
      <c r="BH294" s="11"/>
      <c r="BI294" s="11"/>
      <c r="BJ294" s="11"/>
      <c r="BK294" s="1120"/>
      <c r="BL294" s="11"/>
      <c r="BM294" s="11"/>
      <c r="BN294" s="11"/>
      <c r="BO294" s="11"/>
      <c r="BP294" s="1120"/>
      <c r="BQ294" s="11"/>
      <c r="BR294" s="11"/>
      <c r="BS294" s="11"/>
      <c r="BT294" s="11"/>
      <c r="BU294" s="1108"/>
      <c r="BV294" s="557">
        <f>BV292</f>
        <v>315.38703903407389</v>
      </c>
      <c r="BW294" s="557">
        <f>BW292</f>
        <v>327.18453903407396</v>
      </c>
      <c r="BX294" s="557">
        <f>BX292</f>
        <v>292.09255855111093</v>
      </c>
      <c r="BY294" s="557">
        <f>BY292</f>
        <v>337.77986338074106</v>
      </c>
      <c r="BZ294" s="11"/>
      <c r="CA294" s="557">
        <f>CA292</f>
        <v>312.37216000000001</v>
      </c>
      <c r="CB294" s="557">
        <f>CB292</f>
        <v>337.33371</v>
      </c>
      <c r="CC294" s="1310">
        <f>CC292-CC300*70%</f>
        <v>271.55500000000001</v>
      </c>
      <c r="CD294" s="2037">
        <f>CD292-CD300*70%</f>
        <v>347.06912999999986</v>
      </c>
      <c r="CE294" s="11"/>
      <c r="CF294" s="557">
        <f>CF292</f>
        <v>317.62216000000001</v>
      </c>
      <c r="CG294" s="557">
        <f>CG292</f>
        <v>320.58371</v>
      </c>
      <c r="CH294" s="557">
        <f>CH292</f>
        <v>270.81509022927537</v>
      </c>
      <c r="CI294" s="557">
        <f>CI292</f>
        <v>336.36903977072444</v>
      </c>
      <c r="CJ294" s="1108"/>
      <c r="CK294" s="2455">
        <f>CK292-CK300*0.7</f>
        <v>291.33711455999997</v>
      </c>
      <c r="CL294" s="2455">
        <f>CL292-CL300*0.7</f>
        <v>292.71702450000004</v>
      </c>
      <c r="CM294" s="2455">
        <f>CM292-CM300*0.7</f>
        <v>267.3400109511096</v>
      </c>
      <c r="CN294" s="2455">
        <f>CN292-CN300*0.7</f>
        <v>335.87604998889026</v>
      </c>
      <c r="CO294" s="1470"/>
      <c r="CP294" s="1649">
        <f>CP292</f>
        <v>276.96078431372553</v>
      </c>
      <c r="CQ294" s="1649">
        <f>CQ292</f>
        <v>287.09794319294809</v>
      </c>
      <c r="CR294" s="1649">
        <f>CR292</f>
        <v>267.89189189189187</v>
      </c>
      <c r="CS294" s="1649">
        <f>CS292</f>
        <v>339.71428571428572</v>
      </c>
      <c r="CT294" s="2835">
        <f>$Q294-SUM(CP294:CS294)</f>
        <v>0</v>
      </c>
      <c r="CU294" s="3112">
        <f>CU292-CU300*0.7</f>
        <v>312.9047935658856</v>
      </c>
      <c r="CV294" s="3112">
        <f>CV292-CV300*0.7</f>
        <v>263.35296165432669</v>
      </c>
      <c r="CW294" s="3112">
        <f>CW292-CW300*0.7</f>
        <v>255.72114347250846</v>
      </c>
      <c r="CX294" s="3112">
        <f>CX292-CX300*0.7</f>
        <v>331.1253721670102</v>
      </c>
      <c r="CY294" s="2835">
        <f>R294-SUM(CU294:CX294)</f>
        <v>0</v>
      </c>
      <c r="CZ294" s="3112">
        <f>CZ292-CZ300*0.7</f>
        <v>272.30083271597118</v>
      </c>
      <c r="DA294" s="3112">
        <f>DA292-DA300*0.7</f>
        <v>275.95629251905876</v>
      </c>
      <c r="DB294" s="3112">
        <f>DB292-DB300*0.7</f>
        <v>258.43526824838057</v>
      </c>
      <c r="DC294" s="3112">
        <f>DC292-DC300*0.7</f>
        <v>336.30670017604649</v>
      </c>
      <c r="DD294" s="2835">
        <f>T294-SUM(CZ294:DC294)</f>
        <v>0</v>
      </c>
      <c r="DE294" s="3112">
        <f t="shared" ref="DE294:DG294" si="540">DE292-DE300*0.7</f>
        <v>277.81333271597111</v>
      </c>
      <c r="DF294" s="3112">
        <f t="shared" si="540"/>
        <v>265.95629251905882</v>
      </c>
      <c r="DG294" s="3112">
        <f t="shared" si="540"/>
        <v>258.43526824838057</v>
      </c>
      <c r="DH294" s="3112">
        <f>DH292-DH300*0.7</f>
        <v>336.30670017604655</v>
      </c>
      <c r="DI294" s="3287">
        <f t="shared" si="532"/>
        <v>0</v>
      </c>
      <c r="DJ294" s="2862"/>
      <c r="DK294" s="1108"/>
      <c r="DL294" s="1108"/>
      <c r="DM294" s="1108"/>
      <c r="DN294" s="1108"/>
      <c r="DO294" s="1108"/>
      <c r="DP294" s="1108"/>
      <c r="DQ294" s="1108"/>
      <c r="DR294" s="1108"/>
      <c r="DS294" s="11"/>
      <c r="DT294" s="11"/>
    </row>
    <row r="295" spans="1:124">
      <c r="A295" s="11" t="s">
        <v>812</v>
      </c>
      <c r="B295" s="11"/>
      <c r="C295" s="11"/>
      <c r="D295" s="11"/>
      <c r="E295" s="11"/>
      <c r="F295" s="11"/>
      <c r="G295" s="11"/>
      <c r="H295" s="11"/>
      <c r="I295" s="11"/>
      <c r="J295" s="11"/>
      <c r="K295" s="11"/>
      <c r="L295" s="11"/>
      <c r="M295" s="39">
        <f>M294/L294-1</f>
        <v>-3.726808905380341E-2</v>
      </c>
      <c r="N295" s="39">
        <f>N294/M294-1</f>
        <v>-4.666795140478075E-2</v>
      </c>
      <c r="O295" s="2770"/>
      <c r="P295" s="2705"/>
      <c r="Q295" s="1110">
        <f>Q294/N294-1</f>
        <v>-1.3143844499043822E-2</v>
      </c>
      <c r="R295" s="1110">
        <f>(R294-30)/Q294-1</f>
        <v>-3.2910974874173826E-2</v>
      </c>
      <c r="S295" s="2705"/>
      <c r="T295" s="1110">
        <f>T294/R294-1</f>
        <v>-1.728579088219917E-2</v>
      </c>
      <c r="U295" s="2802">
        <f t="shared" ref="U295:AE295" si="541">U294/T294-1</f>
        <v>-3.9260748542089274E-3</v>
      </c>
      <c r="V295" s="2802">
        <f t="shared" si="541"/>
        <v>2.5266969844226495E-2</v>
      </c>
      <c r="W295" s="2802">
        <f t="shared" si="541"/>
        <v>-4.348432451520412E-2</v>
      </c>
      <c r="X295" s="2802">
        <f t="shared" si="541"/>
        <v>-4.4990838114656873E-3</v>
      </c>
      <c r="Y295" s="2802">
        <f t="shared" si="541"/>
        <v>2.0953100375807221E-2</v>
      </c>
      <c r="Z295" s="2802">
        <f t="shared" si="541"/>
        <v>-3.8746633386447571E-2</v>
      </c>
      <c r="AA295" s="2802">
        <f t="shared" si="541"/>
        <v>-1.5409498029667845E-2</v>
      </c>
      <c r="AB295" s="2802">
        <f t="shared" si="541"/>
        <v>3.9520621449821824E-2</v>
      </c>
      <c r="AC295" s="2802">
        <f t="shared" si="541"/>
        <v>-5.6347224458268785E-2</v>
      </c>
      <c r="AD295" s="2802">
        <f t="shared" si="541"/>
        <v>-2.2240577681036378E-3</v>
      </c>
      <c r="AE295" s="2802">
        <f t="shared" si="541"/>
        <v>3.3207672113851672E-2</v>
      </c>
      <c r="AF295" s="862"/>
      <c r="AG295" s="862"/>
      <c r="AH295" s="862"/>
      <c r="AI295" s="862"/>
      <c r="AJ295" s="862"/>
      <c r="AK295" s="1108"/>
      <c r="AL295" s="1108" t="s">
        <v>812</v>
      </c>
      <c r="AM295" s="11"/>
      <c r="AN295" s="11"/>
      <c r="AO295" s="11"/>
      <c r="AP295" s="11"/>
      <c r="AQ295" s="1120"/>
      <c r="AR295" s="11"/>
      <c r="AS295" s="11"/>
      <c r="AT295" s="11"/>
      <c r="AU295" s="11"/>
      <c r="AV295" s="1120"/>
      <c r="AW295" s="11"/>
      <c r="AX295" s="11"/>
      <c r="AY295" s="11"/>
      <c r="AZ295" s="11"/>
      <c r="BA295" s="1120"/>
      <c r="BB295" s="11"/>
      <c r="BC295" s="11"/>
      <c r="BD295" s="11"/>
      <c r="BE295" s="11"/>
      <c r="BF295" s="1120"/>
      <c r="BG295" s="11"/>
      <c r="BH295" s="11"/>
      <c r="BI295" s="11"/>
      <c r="BJ295" s="11"/>
      <c r="BK295" s="1120"/>
      <c r="BL295" s="11"/>
      <c r="BM295" s="11"/>
      <c r="BN295" s="11"/>
      <c r="BO295" s="11"/>
      <c r="BP295" s="1120"/>
      <c r="BQ295" s="11"/>
      <c r="BR295" s="11"/>
      <c r="BS295" s="11"/>
      <c r="BT295" s="11"/>
      <c r="BU295" s="1108"/>
      <c r="BV295" s="11"/>
      <c r="BW295" s="11"/>
      <c r="BX295" s="11"/>
      <c r="BY295" s="11"/>
      <c r="BZ295" s="11"/>
      <c r="CA295" s="39">
        <f>CA294/BV294-1</f>
        <v>-9.5592990863145877E-3</v>
      </c>
      <c r="CB295" s="39">
        <f>CB294/BW294-1</f>
        <v>3.1019714427487299E-2</v>
      </c>
      <c r="CC295" s="39">
        <f>CC294/BX294-1</f>
        <v>-7.0311817093132833E-2</v>
      </c>
      <c r="CD295" s="39">
        <f>CD294/BY294-1</f>
        <v>2.750094847657647E-2</v>
      </c>
      <c r="CE295" s="11"/>
      <c r="CF295" s="39">
        <f>CF294/CA294-1</f>
        <v>1.6806875491080842E-2</v>
      </c>
      <c r="CG295" s="1110">
        <f>CG294/CB294-1</f>
        <v>-4.9654094753826983E-2</v>
      </c>
      <c r="CH295" s="39">
        <f>CH294/CC294-1</f>
        <v>-2.7247142226238807E-3</v>
      </c>
      <c r="CI295" s="39">
        <f>CI294/CD294-1</f>
        <v>-3.0829852915110645E-2</v>
      </c>
      <c r="CJ295" s="1164"/>
      <c r="CK295" s="2023">
        <f>CK294/CF294-1</f>
        <v>-8.2755703947105075E-2</v>
      </c>
      <c r="CL295" s="2023">
        <f>CL294/CG294-1</f>
        <v>-8.6924833142644542E-2</v>
      </c>
      <c r="CM295" s="2023">
        <f>CM294/CH294-1</f>
        <v>-1.2831926297843022E-2</v>
      </c>
      <c r="CN295" s="2023">
        <f>CN294/CI294-1</f>
        <v>-1.4656217533284277E-3</v>
      </c>
      <c r="CO295" s="1596"/>
      <c r="CP295" s="2023">
        <f>CP294/CK294-1</f>
        <v>-4.9346030861830648E-2</v>
      </c>
      <c r="CQ295" s="2023">
        <f>CQ294/CL294-1</f>
        <v>-1.9196291423944634E-2</v>
      </c>
      <c r="CR295" s="2023">
        <f>CR294/CM294-1</f>
        <v>2.0643409821778924E-3</v>
      </c>
      <c r="CS295" s="2209">
        <f>CS294/CN294-1</f>
        <v>1.1427536216179757E-2</v>
      </c>
      <c r="CT295" s="2835"/>
      <c r="CU295" s="3003">
        <f>CU294/CP294-1</f>
        <v>0.12978013960071944</v>
      </c>
      <c r="CV295" s="3003">
        <f>CV294/CQ294-1</f>
        <v>-8.2706902301502239E-2</v>
      </c>
      <c r="CW295" s="3003">
        <f>CW294/CR294-1</f>
        <v>-4.5431566940797641E-2</v>
      </c>
      <c r="CX295" s="3003">
        <f>CX294/CS294-1</f>
        <v>-2.52827564469843E-2</v>
      </c>
      <c r="CY295" s="2835"/>
      <c r="CZ295" s="3003">
        <f>CZ294/CU294-1</f>
        <v>-0.12976458553794834</v>
      </c>
      <c r="DA295" s="3003">
        <f>DA294/CV294-1</f>
        <v>4.7857182943987553E-2</v>
      </c>
      <c r="DB295" s="3003">
        <f>DB294/CW294-1</f>
        <v>1.061361113522441E-2</v>
      </c>
      <c r="DC295" s="3003">
        <f>DC294/CX294-1</f>
        <v>1.5647632119301758E-2</v>
      </c>
      <c r="DD295" s="2835"/>
      <c r="DE295" s="3003">
        <f t="shared" ref="DE295:DG295" si="542">DE294/CZ294-1</f>
        <v>2.0244154030002015E-2</v>
      </c>
      <c r="DF295" s="3003">
        <f t="shared" si="542"/>
        <v>-3.6237622663774949E-2</v>
      </c>
      <c r="DG295" s="3003">
        <f t="shared" si="542"/>
        <v>0</v>
      </c>
      <c r="DH295" s="3003">
        <f>DH294/DC294-1</f>
        <v>0</v>
      </c>
      <c r="DI295" s="3287"/>
      <c r="DJ295" s="3153"/>
      <c r="DK295" s="1108"/>
      <c r="DL295" s="1108"/>
      <c r="DM295" s="1108"/>
      <c r="DN295" s="1108"/>
      <c r="DO295" s="1108"/>
      <c r="DP295" s="1108"/>
      <c r="DQ295" s="1108"/>
      <c r="DR295" s="1108"/>
      <c r="DS295" s="11"/>
      <c r="DT295" s="11"/>
    </row>
    <row r="296" spans="1:124">
      <c r="A296" s="906" t="s">
        <v>1770</v>
      </c>
      <c r="B296" s="11"/>
      <c r="C296" s="11"/>
      <c r="D296" s="11"/>
      <c r="E296" s="11"/>
      <c r="F296" s="11"/>
      <c r="G296" s="11"/>
      <c r="H296" s="11"/>
      <c r="I296" s="11"/>
      <c r="J296" s="11"/>
      <c r="K296" s="11"/>
      <c r="L296" s="1649">
        <f>L121-L281-0.7*L300</f>
        <v>825.82241794724769</v>
      </c>
      <c r="M296" s="1649">
        <f>M121-M281-0.7*M300</f>
        <v>853.44419478804639</v>
      </c>
      <c r="N296" s="1649">
        <f>N121-N281-0.7*N300</f>
        <v>761.49879201756801</v>
      </c>
      <c r="O296" s="2743"/>
      <c r="P296" s="2743"/>
      <c r="Q296" s="1649">
        <f>Q121-Q265-0.7*Q300</f>
        <v>767.30600635418136</v>
      </c>
      <c r="R296" s="1649">
        <f>R121-R265-0.7*R300-'CBS Stations'!AB68</f>
        <v>711.94548368950586</v>
      </c>
      <c r="S296" s="2743"/>
      <c r="T296" s="1649">
        <f>T121-T265-0.7*T300-'CBS Stations'!AC68</f>
        <v>715.77667582488766</v>
      </c>
      <c r="U296" s="2964">
        <f>U121-U265-0.7*U300-'CBS Stations'!AD68</f>
        <v>715.77667582488743</v>
      </c>
      <c r="V296" s="2964">
        <f>V121-V265-0.7*V300-'CBS Stations'!AE68</f>
        <v>708.61953144861263</v>
      </c>
      <c r="W296" s="2964">
        <f>W121-W265-0.7*W300-'CBS Stations'!AF68</f>
        <v>701.52279901611018</v>
      </c>
      <c r="X296" s="2964">
        <f>X121-X265-0.7*X300-'CBS Stations'!AG68</f>
        <v>694.51114752721332</v>
      </c>
      <c r="Y296" s="2964">
        <f>Y121-Y265-0.7*Y300-'CBS Stations'!AH68</f>
        <v>687.53219113803402</v>
      </c>
      <c r="Z296" s="2964">
        <f>Z121-Z265-0.7*Z300-'CBS Stations'!AI68</f>
        <v>680.64154511158983</v>
      </c>
      <c r="AA296" s="2964">
        <f>AA121-AA265-0.7*AA300-'CBS Stations'!AJ68</f>
        <v>673.81402757756962</v>
      </c>
      <c r="AB296" s="2964">
        <f>AB121-AB265-0.7*AB300-'CBS Stations'!AK68</f>
        <v>667.06345759396572</v>
      </c>
      <c r="AC296" s="2964">
        <f>AC121-AC265-0.7*AC300-'CBS Stations'!AL68</f>
        <v>660.41009452841763</v>
      </c>
      <c r="AD296" s="2964">
        <f>AD121-AD265-0.7*AD300-'CBS Stations'!AM68</f>
        <v>653.77237564538746</v>
      </c>
      <c r="AE296" s="2964">
        <f>AE121-AE265-0.7*AE300-'CBS Stations'!AN68</f>
        <v>647.20404091673026</v>
      </c>
      <c r="AF296" s="2457"/>
      <c r="AG296" s="2457"/>
      <c r="AH296" s="2457"/>
      <c r="AI296" s="2457"/>
      <c r="AJ296" s="2457"/>
      <c r="AK296" s="1108"/>
      <c r="AL296" s="906" t="s">
        <v>1770</v>
      </c>
      <c r="AM296" s="11"/>
      <c r="AN296" s="11"/>
      <c r="AO296" s="11"/>
      <c r="AP296" s="11"/>
      <c r="AQ296" s="1120"/>
      <c r="AR296" s="11"/>
      <c r="AS296" s="11"/>
      <c r="AT296" s="11"/>
      <c r="AU296" s="11"/>
      <c r="AV296" s="1120"/>
      <c r="AW296" s="11"/>
      <c r="AX296" s="11"/>
      <c r="AY296" s="11"/>
      <c r="AZ296" s="11"/>
      <c r="BA296" s="1120"/>
      <c r="BB296" s="11"/>
      <c r="BC296" s="11"/>
      <c r="BD296" s="11"/>
      <c r="BE296" s="11"/>
      <c r="BF296" s="1120"/>
      <c r="BG296" s="11"/>
      <c r="BH296" s="11"/>
      <c r="BI296" s="11"/>
      <c r="BJ296" s="11"/>
      <c r="BK296" s="1120"/>
      <c r="BL296" s="11"/>
      <c r="BM296" s="11"/>
      <c r="BN296" s="11"/>
      <c r="BO296" s="11"/>
      <c r="BP296" s="1120"/>
      <c r="BQ296" s="11"/>
      <c r="BR296" s="11"/>
      <c r="BS296" s="11"/>
      <c r="BT296" s="11"/>
      <c r="BU296" s="1108"/>
      <c r="BV296" s="11"/>
      <c r="BW296" s="11"/>
      <c r="BX296" s="11"/>
      <c r="BY296" s="11"/>
      <c r="BZ296" s="11"/>
      <c r="CA296" s="39"/>
      <c r="CB296" s="39"/>
      <c r="CC296" s="39"/>
      <c r="CD296" s="39"/>
      <c r="CE296" s="11"/>
      <c r="CF296" s="1649">
        <f>CF121-CF281-0.7*CF300</f>
        <v>217.57077903009088</v>
      </c>
      <c r="CG296" s="1649">
        <f>CG121-CG281-0.7*CG300</f>
        <v>241.31358221087822</v>
      </c>
      <c r="CH296" s="1649">
        <f>CH121-CH281-0.7*CH300</f>
        <v>193.999839939525</v>
      </c>
      <c r="CI296" s="1649">
        <f>CI121-CI281-0.7*CI300</f>
        <v>200.55999360755231</v>
      </c>
      <c r="CJ296" s="1164"/>
      <c r="CK296" s="1649">
        <f>CK121-CK281-0.7*CK300</f>
        <v>189.15922060283407</v>
      </c>
      <c r="CL296" s="1649">
        <f>CL121-CL281-0.7*CL300</f>
        <v>212.77476727822551</v>
      </c>
      <c r="CM296" s="1649">
        <f>CM121-CM281-0.7*CM300</f>
        <v>180.8408215325704</v>
      </c>
      <c r="CN296" s="1649">
        <f>CN121-CN281-0.7*CN300</f>
        <v>178.72398260393803</v>
      </c>
      <c r="CO296" s="1649"/>
      <c r="CP296" s="1649">
        <f>CP121-CP265-0.7*CP300</f>
        <v>174.64016462506967</v>
      </c>
      <c r="CQ296" s="1649">
        <f>CQ121-CQ265-0.7*CQ300</f>
        <v>206.10616625403645</v>
      </c>
      <c r="CR296" s="1649">
        <f>CR121-CR265-0.7*CR300</f>
        <v>185.24038433135931</v>
      </c>
      <c r="CS296" s="1649">
        <f>CS121-CS265-0.7*CS300</f>
        <v>201.31929114371599</v>
      </c>
      <c r="CT296" s="2835">
        <f>$Q296-SUM(CP296:CS296)</f>
        <v>0</v>
      </c>
      <c r="CU296" s="2964">
        <f>CU121-CU265-0.7*CU300-'CBS Stations'!AB91-'CBS Stations'!AB92</f>
        <v>170.91337948139534</v>
      </c>
      <c r="CV296" s="2964">
        <f>CV121-CV265-0.7*CV300</f>
        <v>183.15344785336987</v>
      </c>
      <c r="CW296" s="2964">
        <f>CW121-CW265-0.7*CW300</f>
        <v>170.87122761811997</v>
      </c>
      <c r="CX296" s="2964">
        <f>CX121-CX265-0.7*CX300</f>
        <v>187.0074287366208</v>
      </c>
      <c r="CY296" s="2835">
        <f>R296-SUM(CU296:CX296)</f>
        <v>0</v>
      </c>
      <c r="CZ296" s="2964">
        <f>CZ121-CZ265-0.7*CZ300</f>
        <v>166.52209717727388</v>
      </c>
      <c r="DA296" s="2964">
        <f>DA121-DA265-0.7*DA300-'CBS Stations'!AC92</f>
        <v>184.91520205565604</v>
      </c>
      <c r="DB296" s="2964">
        <f>DB121-DB265-0.7*DB300</f>
        <v>173.59179928060439</v>
      </c>
      <c r="DC296" s="2964">
        <f>CX296*(1+DC297)</f>
        <v>190.74757731135321</v>
      </c>
      <c r="DD296" s="2835">
        <f>T296-SUM(CZ296:DC296)</f>
        <v>0</v>
      </c>
      <c r="DE296" s="2964">
        <f t="shared" ref="DE296:DG296" si="543">CZ296*(1+DE297)</f>
        <v>166.52209717727388</v>
      </c>
      <c r="DF296" s="2964">
        <f t="shared" si="543"/>
        <v>184.91520205565604</v>
      </c>
      <c r="DG296" s="2964">
        <f t="shared" si="543"/>
        <v>173.59179928060439</v>
      </c>
      <c r="DH296" s="2964">
        <f>DC296*(1+DH297)</f>
        <v>190.74757731135321</v>
      </c>
      <c r="DI296" s="3287">
        <f t="shared" si="532"/>
        <v>0</v>
      </c>
      <c r="DJ296" s="2958"/>
      <c r="DK296" s="1108"/>
      <c r="DL296" s="1108"/>
      <c r="DM296" s="1108"/>
      <c r="DN296" s="1108"/>
      <c r="DO296" s="1108"/>
      <c r="DP296" s="1108"/>
      <c r="DQ296" s="1108"/>
      <c r="DR296" s="1108"/>
      <c r="DS296" s="11"/>
      <c r="DT296" s="11"/>
    </row>
    <row r="297" spans="1:124" s="2068" customFormat="1">
      <c r="A297" s="186" t="s">
        <v>812</v>
      </c>
      <c r="B297" s="186"/>
      <c r="C297" s="186"/>
      <c r="D297" s="186"/>
      <c r="E297" s="186"/>
      <c r="F297" s="186"/>
      <c r="G297" s="186"/>
      <c r="H297" s="186"/>
      <c r="I297" s="186"/>
      <c r="J297" s="186"/>
      <c r="K297" s="186"/>
      <c r="L297" s="186"/>
      <c r="M297" s="1104">
        <f>M296/L296-1</f>
        <v>3.3447598709487991E-2</v>
      </c>
      <c r="N297" s="1104">
        <f>N296/M296-1</f>
        <v>-0.10773452245851067</v>
      </c>
      <c r="O297" s="2771"/>
      <c r="P297" s="2711"/>
      <c r="Q297" s="1364">
        <f>Q296/N296-1</f>
        <v>7.6260322373293832E-3</v>
      </c>
      <c r="R297" s="1364">
        <f t="shared" ref="R297:AA297" si="544">R296/Q296-1</f>
        <v>-7.2149210622914905E-2</v>
      </c>
      <c r="S297" s="2711"/>
      <c r="T297" s="1364">
        <f>T296/R296-1</f>
        <v>5.3812998651630028E-3</v>
      </c>
      <c r="U297" s="1364">
        <f t="shared" si="544"/>
        <v>0</v>
      </c>
      <c r="V297" s="1364">
        <f t="shared" si="544"/>
        <v>-9.9991304802250491E-3</v>
      </c>
      <c r="W297" s="1364">
        <f t="shared" si="544"/>
        <v>-1.0014869923207992E-2</v>
      </c>
      <c r="X297" s="1364">
        <f t="shared" si="544"/>
        <v>-9.9949018032353676E-3</v>
      </c>
      <c r="Y297" s="1364">
        <f t="shared" si="544"/>
        <v>-1.0048731995199289E-2</v>
      </c>
      <c r="Z297" s="1364">
        <f t="shared" si="544"/>
        <v>-1.0022288578282357E-2</v>
      </c>
      <c r="AA297" s="1364">
        <f t="shared" si="544"/>
        <v>-1.0031003224907242E-2</v>
      </c>
      <c r="AB297" s="1364">
        <f>AB296/AA296-1</f>
        <v>-1.0018446792912417E-2</v>
      </c>
      <c r="AC297" s="1364">
        <f>AC296/AB296-1</f>
        <v>-9.9741081448924129E-3</v>
      </c>
      <c r="AD297" s="1364">
        <f>AD296/AC296-1</f>
        <v>-1.0050904639442249E-2</v>
      </c>
      <c r="AE297" s="1364">
        <f>AE296/AD296-1</f>
        <v>-1.0046822064289751E-2</v>
      </c>
      <c r="AF297" s="862"/>
      <c r="AG297" s="862"/>
      <c r="AH297" s="862"/>
      <c r="AI297" s="862"/>
      <c r="AJ297" s="862"/>
      <c r="AK297" s="1477"/>
      <c r="AL297" s="1477" t="s">
        <v>812</v>
      </c>
      <c r="AM297" s="186"/>
      <c r="AN297" s="186"/>
      <c r="AO297" s="186"/>
      <c r="AP297" s="186"/>
      <c r="AQ297" s="1287"/>
      <c r="AR297" s="186"/>
      <c r="AS297" s="186"/>
      <c r="AT297" s="186"/>
      <c r="AU297" s="186"/>
      <c r="AV297" s="1287"/>
      <c r="AW297" s="186"/>
      <c r="AX297" s="186"/>
      <c r="AY297" s="186"/>
      <c r="AZ297" s="186"/>
      <c r="BA297" s="1287"/>
      <c r="BB297" s="186"/>
      <c r="BC297" s="186"/>
      <c r="BD297" s="186"/>
      <c r="BE297" s="186"/>
      <c r="BF297" s="1287"/>
      <c r="BG297" s="186"/>
      <c r="BH297" s="186"/>
      <c r="BI297" s="186"/>
      <c r="BJ297" s="186"/>
      <c r="BK297" s="1287"/>
      <c r="BL297" s="186"/>
      <c r="BM297" s="186"/>
      <c r="BN297" s="186"/>
      <c r="BO297" s="186"/>
      <c r="BP297" s="1287"/>
      <c r="BQ297" s="186"/>
      <c r="BR297" s="186"/>
      <c r="BS297" s="186"/>
      <c r="BT297" s="186"/>
      <c r="BU297" s="1477"/>
      <c r="BV297" s="186"/>
      <c r="BW297" s="186"/>
      <c r="BX297" s="186"/>
      <c r="BY297" s="186"/>
      <c r="BZ297" s="186"/>
      <c r="CA297" s="1104"/>
      <c r="CB297" s="1104"/>
      <c r="CC297" s="1104"/>
      <c r="CD297" s="1104"/>
      <c r="CE297" s="186"/>
      <c r="CF297" s="1104"/>
      <c r="CG297" s="1364"/>
      <c r="CH297" s="1104"/>
      <c r="CI297" s="1104"/>
      <c r="CJ297" s="1640"/>
      <c r="CK297" s="2008">
        <f>CK296/CF296-1</f>
        <v>-0.13058535964210238</v>
      </c>
      <c r="CL297" s="2008">
        <f>CL296/CG296-1</f>
        <v>-0.11826443696697242</v>
      </c>
      <c r="CM297" s="2008">
        <f>CM296/CH296-1</f>
        <v>-6.783004775187762E-2</v>
      </c>
      <c r="CN297" s="2008">
        <f>CN296/CI296-1</f>
        <v>-0.10887520791580252</v>
      </c>
      <c r="CO297" s="1640"/>
      <c r="CP297" s="2008">
        <f>CP296/CK296-1</f>
        <v>-7.6755740119320737E-2</v>
      </c>
      <c r="CQ297" s="2008">
        <f>CQ296/CL296-1</f>
        <v>-3.1341127096471744E-2</v>
      </c>
      <c r="CR297" s="2008">
        <f>CR296/CM296-1</f>
        <v>2.4328372109261309E-2</v>
      </c>
      <c r="CS297" s="2008">
        <f>CS296/CN296-1</f>
        <v>0.12642572200201241</v>
      </c>
      <c r="CT297" s="2835"/>
      <c r="CU297" s="2980">
        <f>CU296/CP296-1</f>
        <v>-2.1339794036928872E-2</v>
      </c>
      <c r="CV297" s="2980">
        <f>CV296/CQ296-1</f>
        <v>-0.11136356964874194</v>
      </c>
      <c r="CW297" s="2980">
        <f>CW296/CR296-1</f>
        <v>-7.7570324446831651E-2</v>
      </c>
      <c r="CX297" s="2980">
        <f>CX296/CS296-1</f>
        <v>-7.1090367573758084E-2</v>
      </c>
      <c r="CY297" s="3113"/>
      <c r="CZ297" s="2980">
        <f>CZ296/CU296-1</f>
        <v>-2.5693028348312996E-2</v>
      </c>
      <c r="DA297" s="2980">
        <f>DA296/CV296-1</f>
        <v>9.6190064830043998E-3</v>
      </c>
      <c r="DB297" s="2980">
        <f>DB296/CW296-1</f>
        <v>1.5921765767169527E-2</v>
      </c>
      <c r="DC297" s="2830">
        <f>Scenarios!BZ46</f>
        <v>0.02</v>
      </c>
      <c r="DD297" s="2830"/>
      <c r="DE297" s="2830">
        <f>Scenarios!CB46</f>
        <v>0</v>
      </c>
      <c r="DF297" s="2830">
        <f>Scenarios!CC46</f>
        <v>0</v>
      </c>
      <c r="DG297" s="2830">
        <f>Scenarios!CD46</f>
        <v>0</v>
      </c>
      <c r="DH297" s="2830">
        <f>Scenarios!CE46</f>
        <v>0</v>
      </c>
      <c r="DI297" s="3106"/>
      <c r="DJ297" s="2917"/>
      <c r="DK297" s="1477"/>
      <c r="DL297" s="1477"/>
      <c r="DM297" s="1477"/>
      <c r="DN297" s="1477"/>
      <c r="DO297" s="1477"/>
      <c r="DP297" s="1477"/>
      <c r="DQ297" s="1477"/>
      <c r="DR297" s="1477"/>
      <c r="DS297" s="11"/>
      <c r="DT297" s="11"/>
    </row>
    <row r="298" spans="1:124" s="1577" customFormat="1">
      <c r="A298" s="1108"/>
      <c r="B298" s="1108"/>
      <c r="C298" s="1108"/>
      <c r="D298" s="1108"/>
      <c r="E298" s="1108"/>
      <c r="F298" s="1108"/>
      <c r="G298" s="1108"/>
      <c r="H298" s="1108"/>
      <c r="I298" s="1108"/>
      <c r="J298" s="1108"/>
      <c r="K298" s="1108"/>
      <c r="O298" s="2717"/>
      <c r="P298" s="2717"/>
      <c r="S298" s="2717"/>
      <c r="W298" s="1110"/>
      <c r="X298" s="1110"/>
      <c r="Y298" s="1110"/>
      <c r="Z298" s="1110"/>
      <c r="AA298" s="1110"/>
      <c r="AB298" s="1110"/>
      <c r="AC298" s="1110"/>
      <c r="AD298" s="1108"/>
      <c r="AE298" s="2457"/>
      <c r="AF298" s="2457"/>
      <c r="AG298" s="2457"/>
      <c r="AH298" s="2457"/>
      <c r="AI298" s="2457"/>
      <c r="AJ298" s="2457"/>
      <c r="AK298" s="1108"/>
      <c r="AL298" s="1108"/>
      <c r="AM298" s="1108"/>
      <c r="AN298" s="1108"/>
      <c r="AO298" s="1108"/>
      <c r="AP298" s="1108"/>
      <c r="AQ298" s="1741"/>
      <c r="AR298" s="1108"/>
      <c r="AS298" s="1108"/>
      <c r="AT298" s="1108"/>
      <c r="AU298" s="1108"/>
      <c r="AV298" s="1741"/>
      <c r="AW298" s="1108"/>
      <c r="AX298" s="1108"/>
      <c r="AY298" s="1108"/>
      <c r="AZ298" s="1108"/>
      <c r="BA298" s="1741"/>
      <c r="BB298" s="1108"/>
      <c r="BC298" s="1108"/>
      <c r="BD298" s="1108"/>
      <c r="BE298" s="1108"/>
      <c r="BF298" s="1741"/>
      <c r="BG298" s="1108"/>
      <c r="BH298" s="1108"/>
      <c r="BI298" s="1108"/>
      <c r="BJ298" s="1108"/>
      <c r="BK298" s="1741"/>
      <c r="BL298" s="1108"/>
      <c r="BM298" s="1108"/>
      <c r="BN298" s="1108"/>
      <c r="BO298" s="1108"/>
      <c r="BP298" s="1741"/>
      <c r="BQ298" s="1108"/>
      <c r="BR298" s="1108"/>
      <c r="BS298" s="1108"/>
      <c r="BT298" s="1108"/>
      <c r="BU298" s="1108"/>
      <c r="BV298" s="1108"/>
      <c r="BW298" s="1108"/>
      <c r="BX298" s="1108"/>
      <c r="BY298" s="1108"/>
      <c r="BZ298" s="1108"/>
      <c r="CA298" s="1108"/>
      <c r="CB298" s="1108"/>
      <c r="CC298" s="1108"/>
      <c r="CD298" s="1108"/>
      <c r="CE298" s="1108"/>
      <c r="CF298" s="1110"/>
      <c r="CG298" s="1110"/>
      <c r="CH298" s="1110"/>
      <c r="CI298" s="1108"/>
      <c r="CJ298" s="1108"/>
      <c r="CK298" s="1108"/>
      <c r="CL298" s="1108"/>
      <c r="CM298" s="1108"/>
      <c r="CN298" s="1108"/>
      <c r="CO298" s="1108"/>
      <c r="CP298" s="1108"/>
      <c r="CQ298" s="1108"/>
      <c r="CR298" s="1108"/>
      <c r="CS298" s="1108"/>
      <c r="CT298" s="2862"/>
      <c r="CU298" s="2862"/>
      <c r="CV298" s="2862"/>
      <c r="CW298" s="2862"/>
      <c r="CX298" s="2862"/>
      <c r="CY298" s="2835"/>
      <c r="CZ298" s="2835"/>
      <c r="DA298" s="2835"/>
      <c r="DB298" s="2835"/>
      <c r="DC298" s="2835"/>
      <c r="DD298" s="2835"/>
      <c r="DE298" s="2835"/>
      <c r="DF298" s="2835"/>
      <c r="DG298" s="2835"/>
      <c r="DH298" s="2835"/>
      <c r="DI298" s="2835"/>
      <c r="DJ298" s="2862"/>
      <c r="DK298" s="1108"/>
      <c r="DL298" s="1108"/>
      <c r="DM298" s="1108"/>
      <c r="DN298" s="1108"/>
      <c r="DO298" s="1108"/>
      <c r="DP298" s="1108"/>
      <c r="DQ298" s="1108"/>
      <c r="DR298" s="1108"/>
      <c r="DS298" s="11"/>
      <c r="DT298" s="11"/>
    </row>
    <row r="299" spans="1:124">
      <c r="A299" s="1108"/>
      <c r="B299" s="1108"/>
      <c r="C299" s="1108"/>
      <c r="D299" s="1108"/>
      <c r="E299" s="1108"/>
      <c r="F299" s="1108"/>
      <c r="G299" s="1108"/>
      <c r="H299" s="1108"/>
      <c r="I299" s="1108"/>
      <c r="J299" s="1108"/>
      <c r="K299" s="1108"/>
      <c r="L299" s="1108"/>
      <c r="M299" s="11"/>
      <c r="N299" s="1108"/>
      <c r="O299" s="2709"/>
      <c r="P299" s="2709"/>
      <c r="Q299" s="1577"/>
      <c r="R299" s="1577"/>
      <c r="S299" s="2717"/>
      <c r="T299" s="1577"/>
      <c r="U299" s="1577"/>
      <c r="V299" s="1577"/>
      <c r="W299" s="1108"/>
      <c r="X299" s="1108"/>
      <c r="Y299" s="1108"/>
      <c r="Z299" s="1108"/>
      <c r="AA299" s="1108"/>
      <c r="AB299" s="1108"/>
      <c r="AC299" s="1108"/>
      <c r="AD299" s="1108"/>
      <c r="AE299" s="862"/>
      <c r="AF299" s="862"/>
      <c r="AG299" s="862"/>
      <c r="AH299" s="862"/>
      <c r="AI299" s="862"/>
      <c r="AJ299" s="862"/>
      <c r="AK299" s="1108"/>
      <c r="AL299" s="1108"/>
      <c r="AM299" s="6"/>
      <c r="AN299" s="6"/>
      <c r="AO299" s="6"/>
      <c r="AP299" s="6"/>
      <c r="AQ299" s="1103"/>
      <c r="AR299" s="6"/>
      <c r="AS299" s="6"/>
      <c r="AT299" s="6"/>
      <c r="AU299" s="6"/>
      <c r="AV299" s="1103"/>
      <c r="AW299" s="6"/>
      <c r="AX299" s="6"/>
      <c r="AY299" s="6"/>
      <c r="AZ299" s="6"/>
      <c r="BA299" s="1103"/>
      <c r="BB299" s="6"/>
      <c r="BC299" s="6"/>
      <c r="BD299" s="6"/>
      <c r="BE299" s="6"/>
      <c r="BF299" s="1103"/>
      <c r="BG299" s="6"/>
      <c r="BH299" s="6"/>
      <c r="BI299" s="6"/>
      <c r="BJ299" s="6"/>
      <c r="BK299" s="1103"/>
      <c r="BL299" s="6"/>
      <c r="BM299" s="6"/>
      <c r="BN299" s="6"/>
      <c r="BO299" s="6"/>
      <c r="BP299" s="1103"/>
      <c r="BQ299" s="1108"/>
      <c r="BR299" s="1108"/>
      <c r="BS299" s="1108"/>
      <c r="BT299" s="1108"/>
      <c r="BU299" s="1108"/>
      <c r="BV299" s="1108"/>
      <c r="BW299" s="1108"/>
      <c r="BX299" s="1108"/>
      <c r="BY299" s="1108"/>
      <c r="BZ299" s="1108"/>
      <c r="CA299" s="1108"/>
      <c r="CB299" s="11"/>
      <c r="CC299" s="11"/>
      <c r="CD299" s="11"/>
      <c r="CE299" s="11"/>
      <c r="CF299" s="11"/>
      <c r="CG299" s="11"/>
      <c r="CH299" s="557"/>
      <c r="CI299" s="11"/>
      <c r="CJ299" s="1650"/>
      <c r="CK299" s="1649"/>
      <c r="CL299" s="1649"/>
      <c r="CM299" s="1649"/>
      <c r="CN299" s="1108"/>
      <c r="CO299" s="1650"/>
      <c r="CP299" s="1649"/>
      <c r="CQ299" s="1470"/>
      <c r="CR299" s="1470"/>
      <c r="CS299" s="1470"/>
      <c r="CT299" s="2862"/>
      <c r="CU299" s="2862"/>
      <c r="CV299" s="2862"/>
      <c r="CW299" s="2862"/>
      <c r="CX299" s="2862"/>
      <c r="CY299" s="2835"/>
      <c r="CZ299" s="2835"/>
      <c r="DA299" s="2835"/>
      <c r="DB299" s="2835"/>
      <c r="DC299" s="2835"/>
      <c r="DD299" s="2835"/>
      <c r="DE299" s="2835"/>
      <c r="DF299" s="2835"/>
      <c r="DG299" s="2835"/>
      <c r="DH299" s="2835"/>
      <c r="DI299" s="2835"/>
      <c r="DJ299" s="2862"/>
      <c r="DK299" s="1108"/>
      <c r="DL299" s="1108"/>
      <c r="DM299" s="1108"/>
      <c r="DN299" s="1108"/>
      <c r="DO299" s="1108"/>
      <c r="DP299" s="1108"/>
      <c r="DQ299" s="1108"/>
      <c r="DR299" s="1108"/>
      <c r="DS299" s="11"/>
      <c r="DT299" s="11"/>
    </row>
    <row r="300" spans="1:124">
      <c r="A300" s="1470" t="s">
        <v>1538</v>
      </c>
      <c r="B300" s="1108"/>
      <c r="C300" s="1108"/>
      <c r="D300" s="1108"/>
      <c r="E300" s="1108"/>
      <c r="F300" s="1108"/>
      <c r="G300" s="1108"/>
      <c r="H300" s="1108"/>
      <c r="I300" s="1108"/>
      <c r="J300" s="1108"/>
      <c r="K300" s="1108"/>
      <c r="L300" s="2056">
        <f>SUM(CA300:CD300)</f>
        <v>141.1</v>
      </c>
      <c r="M300" s="2056">
        <v>0</v>
      </c>
      <c r="N300" s="2056">
        <f>SUM(CK300:CN300)</f>
        <v>123.3</v>
      </c>
      <c r="O300" s="2714"/>
      <c r="P300" s="2714"/>
      <c r="Q300" s="2056">
        <v>0</v>
      </c>
      <c r="R300" s="2166">
        <f>SUM(CU300:CX300)</f>
        <v>183.5</v>
      </c>
      <c r="S300" s="2744"/>
      <c r="T300" s="2056">
        <v>0</v>
      </c>
      <c r="U300" s="2056">
        <f>N300*1.05</f>
        <v>129.465</v>
      </c>
      <c r="V300" s="2056">
        <v>0</v>
      </c>
      <c r="W300" s="2056">
        <f>R300*1.05</f>
        <v>192.67500000000001</v>
      </c>
      <c r="X300" s="2056">
        <v>0</v>
      </c>
      <c r="Y300" s="2056">
        <f>U300*1.045</f>
        <v>135.29092499999999</v>
      </c>
      <c r="Z300" s="2056">
        <v>0</v>
      </c>
      <c r="AA300" s="2056">
        <f>W300*1.04</f>
        <v>200.38200000000001</v>
      </c>
      <c r="AB300" s="2056">
        <v>0</v>
      </c>
      <c r="AC300" s="2056">
        <f>Y300*1.035</f>
        <v>140.02610737499998</v>
      </c>
      <c r="AD300" s="2056">
        <f>Z300*1.035</f>
        <v>0</v>
      </c>
      <c r="AE300" s="2056">
        <f>AA300*1.03</f>
        <v>206.39346</v>
      </c>
      <c r="AF300" s="11"/>
      <c r="AG300" s="11"/>
      <c r="AH300" s="11"/>
      <c r="AI300" s="11"/>
      <c r="AJ300" s="11"/>
      <c r="AK300" s="1108"/>
      <c r="AL300" s="1470" t="s">
        <v>1538</v>
      </c>
      <c r="AM300" s="6"/>
      <c r="AN300" s="6"/>
      <c r="AO300" s="6"/>
      <c r="AP300" s="6"/>
      <c r="AQ300" s="1103"/>
      <c r="AR300" s="6"/>
      <c r="AS300" s="6"/>
      <c r="AT300" s="6"/>
      <c r="AU300" s="6"/>
      <c r="AV300" s="1103"/>
      <c r="AW300" s="6"/>
      <c r="AX300" s="6"/>
      <c r="AY300" s="6"/>
      <c r="AZ300" s="6"/>
      <c r="BA300" s="1103"/>
      <c r="BB300" s="6"/>
      <c r="BC300" s="6"/>
      <c r="BD300" s="6"/>
      <c r="BE300" s="6"/>
      <c r="BF300" s="1103"/>
      <c r="BG300" s="6"/>
      <c r="BH300" s="6"/>
      <c r="BI300" s="6"/>
      <c r="BJ300" s="6"/>
      <c r="BK300" s="1103"/>
      <c r="BL300" s="6"/>
      <c r="BM300" s="6"/>
      <c r="BN300" s="6"/>
      <c r="BO300" s="6"/>
      <c r="BP300" s="1103"/>
      <c r="BQ300" s="1108"/>
      <c r="BR300" s="1108"/>
      <c r="BS300" s="1108"/>
      <c r="BT300" s="1108"/>
      <c r="BU300" s="1108"/>
      <c r="BV300" s="1108"/>
      <c r="BW300" s="1108"/>
      <c r="BX300" s="1108"/>
      <c r="BY300" s="1108"/>
      <c r="BZ300" s="1683"/>
      <c r="CA300" s="1655">
        <v>0</v>
      </c>
      <c r="CB300" s="1655">
        <v>15</v>
      </c>
      <c r="CC300" s="1655">
        <v>46.1</v>
      </c>
      <c r="CD300" s="1655">
        <v>80</v>
      </c>
      <c r="CE300" s="513"/>
      <c r="CF300" s="1655">
        <v>0</v>
      </c>
      <c r="CG300" s="1655">
        <v>0</v>
      </c>
      <c r="CH300" s="1655">
        <v>0</v>
      </c>
      <c r="CI300" s="1655">
        <v>0</v>
      </c>
      <c r="CJ300" s="2042"/>
      <c r="CK300" s="1655">
        <v>0</v>
      </c>
      <c r="CL300" s="1655">
        <v>3.5</v>
      </c>
      <c r="CM300" s="1655">
        <v>45</v>
      </c>
      <c r="CN300" s="1655">
        <f>88*0.85</f>
        <v>74.8</v>
      </c>
      <c r="CO300" s="1741">
        <f>$N300-SUM(CK300:CN300)</f>
        <v>0</v>
      </c>
      <c r="CP300" s="1655">
        <v>0</v>
      </c>
      <c r="CQ300" s="1655">
        <v>0</v>
      </c>
      <c r="CR300" s="1655">
        <v>0</v>
      </c>
      <c r="CS300" s="1655">
        <v>0</v>
      </c>
      <c r="CT300" s="1108"/>
      <c r="CU300" s="1655">
        <v>19</v>
      </c>
      <c r="CV300" s="1655">
        <v>18</v>
      </c>
      <c r="CW300" s="1655">
        <v>46.5</v>
      </c>
      <c r="CX300" s="1655">
        <f>CD300*1.25</f>
        <v>100</v>
      </c>
      <c r="CY300" s="1741">
        <f>R300-SUM(CU300:CX300)</f>
        <v>0</v>
      </c>
      <c r="CZ300" s="1655">
        <v>0</v>
      </c>
      <c r="DA300" s="1655">
        <v>0</v>
      </c>
      <c r="DB300" s="1655">
        <v>0</v>
      </c>
      <c r="DC300" s="1655">
        <v>0</v>
      </c>
      <c r="DD300" s="1741">
        <f>T300-SUM(CZ300:DC300)</f>
        <v>0</v>
      </c>
      <c r="DE300" s="1655">
        <v>7</v>
      </c>
      <c r="DF300" s="1655">
        <v>12</v>
      </c>
      <c r="DG300" s="1655">
        <v>30</v>
      </c>
      <c r="DH300" s="3098">
        <f>U300-SUM(DE300:DG300)</f>
        <v>80.465000000000003</v>
      </c>
      <c r="DI300" s="3287">
        <f t="shared" ref="DI300" si="545">U300-SUM(DE300:DH300)</f>
        <v>0</v>
      </c>
      <c r="DJ300" s="1108"/>
      <c r="DK300" s="1108"/>
      <c r="DL300" s="1108"/>
      <c r="DM300" s="1108"/>
      <c r="DN300" s="1108"/>
      <c r="DO300" s="1108"/>
      <c r="DP300" s="1108"/>
      <c r="DQ300" s="1108"/>
      <c r="DR300" s="1108"/>
      <c r="DS300" s="11"/>
      <c r="DT300" s="11"/>
    </row>
    <row r="301" spans="1:124">
      <c r="A301" s="862" t="s">
        <v>1539</v>
      </c>
      <c r="B301" s="6"/>
      <c r="C301" s="6"/>
      <c r="D301" s="6"/>
      <c r="E301" s="6"/>
      <c r="F301" s="6"/>
      <c r="G301" s="6"/>
      <c r="H301" s="6"/>
      <c r="I301" s="6"/>
      <c r="J301" s="6"/>
      <c r="K301" s="6"/>
      <c r="L301" s="2056">
        <f>SUM(CA301:CD301)</f>
        <v>24.9</v>
      </c>
      <c r="M301" s="2056">
        <v>0</v>
      </c>
      <c r="N301" s="2056">
        <f>SUM(CK301:CN301)</f>
        <v>21.7</v>
      </c>
      <c r="O301" s="2714"/>
      <c r="P301" s="2714"/>
      <c r="Q301" s="2056">
        <v>0</v>
      </c>
      <c r="R301" s="2166">
        <f>SUM(CU301:CX301)</f>
        <v>0</v>
      </c>
      <c r="S301" s="2744"/>
      <c r="T301" s="2056">
        <v>0</v>
      </c>
      <c r="U301" s="2056">
        <v>0</v>
      </c>
      <c r="V301" s="2056">
        <v>0</v>
      </c>
      <c r="W301" s="2056">
        <v>0</v>
      </c>
      <c r="X301" s="2056">
        <v>0</v>
      </c>
      <c r="Y301" s="2056">
        <v>0</v>
      </c>
      <c r="Z301" s="2056">
        <v>0</v>
      </c>
      <c r="AA301" s="2056">
        <v>0</v>
      </c>
      <c r="AB301" s="2056">
        <v>0</v>
      </c>
      <c r="AC301" s="2056">
        <v>0</v>
      </c>
      <c r="AD301" s="2056">
        <v>0</v>
      </c>
      <c r="AE301" s="2056">
        <v>0</v>
      </c>
      <c r="AF301" s="11"/>
      <c r="AG301" s="11"/>
      <c r="AH301" s="11"/>
      <c r="AI301" s="11"/>
      <c r="AJ301" s="11"/>
      <c r="AK301" s="1108"/>
      <c r="AL301" s="862" t="s">
        <v>1539</v>
      </c>
      <c r="AM301" s="6"/>
      <c r="AN301" s="6"/>
      <c r="AO301" s="6"/>
      <c r="AP301" s="6"/>
      <c r="AQ301" s="1103"/>
      <c r="AR301" s="6"/>
      <c r="AS301" s="6"/>
      <c r="AT301" s="6"/>
      <c r="AU301" s="6"/>
      <c r="AV301" s="1103"/>
      <c r="AW301" s="6"/>
      <c r="AX301" s="6"/>
      <c r="AY301" s="6"/>
      <c r="AZ301" s="6"/>
      <c r="BA301" s="1103"/>
      <c r="BB301" s="6"/>
      <c r="BC301" s="6"/>
      <c r="BD301" s="6"/>
      <c r="BE301" s="6"/>
      <c r="BF301" s="1103"/>
      <c r="BG301" s="6"/>
      <c r="BH301" s="6"/>
      <c r="BI301" s="6"/>
      <c r="BJ301" s="6"/>
      <c r="BK301" s="1103"/>
      <c r="BL301" s="6"/>
      <c r="BM301" s="6"/>
      <c r="BN301" s="6"/>
      <c r="BO301" s="6"/>
      <c r="BP301" s="1103"/>
      <c r="BQ301" s="1108"/>
      <c r="BR301" s="1108"/>
      <c r="BS301" s="1108"/>
      <c r="BT301" s="1108"/>
      <c r="BU301" s="1108"/>
      <c r="BV301" s="1108"/>
      <c r="BW301" s="1108"/>
      <c r="BX301" s="1108"/>
      <c r="BY301" s="1108"/>
      <c r="BZ301" s="1683"/>
      <c r="CA301" s="1655">
        <v>0</v>
      </c>
      <c r="CB301" s="1655">
        <v>1.5</v>
      </c>
      <c r="CC301" s="1655">
        <v>8.4</v>
      </c>
      <c r="CD301" s="1655">
        <v>15</v>
      </c>
      <c r="CE301" s="513"/>
      <c r="CF301" s="1655">
        <v>0</v>
      </c>
      <c r="CG301" s="1655">
        <v>0</v>
      </c>
      <c r="CH301" s="1655">
        <v>0</v>
      </c>
      <c r="CI301" s="1655">
        <v>0</v>
      </c>
      <c r="CJ301" s="2042"/>
      <c r="CK301" s="1655">
        <v>0</v>
      </c>
      <c r="CL301" s="1655">
        <v>0.5</v>
      </c>
      <c r="CM301" s="1655">
        <v>8</v>
      </c>
      <c r="CN301" s="1655">
        <v>13.2</v>
      </c>
      <c r="CO301" s="1741">
        <f>$N301-SUM(CK301:CN301)</f>
        <v>0</v>
      </c>
      <c r="CP301" s="1655">
        <v>0</v>
      </c>
      <c r="CQ301" s="1655">
        <v>0</v>
      </c>
      <c r="CR301" s="1655">
        <v>0</v>
      </c>
      <c r="CS301" s="1655">
        <v>0</v>
      </c>
      <c r="CT301" s="1108"/>
      <c r="CU301" s="1655">
        <v>0</v>
      </c>
      <c r="CV301" s="1655">
        <v>0</v>
      </c>
      <c r="CW301" s="1655">
        <v>0</v>
      </c>
      <c r="CX301" s="1655">
        <v>0</v>
      </c>
      <c r="CY301" s="1741">
        <f>R301-SUM(CU301:CX301)</f>
        <v>0</v>
      </c>
      <c r="CZ301" s="1655">
        <v>0</v>
      </c>
      <c r="DA301" s="1655">
        <v>0</v>
      </c>
      <c r="DB301" s="1655">
        <v>0</v>
      </c>
      <c r="DC301" s="1655">
        <v>0</v>
      </c>
      <c r="DD301" s="1741">
        <f>T301-SUM(CZ301:DC301)</f>
        <v>0</v>
      </c>
      <c r="DE301" s="1741">
        <v>0</v>
      </c>
      <c r="DF301" s="1741">
        <v>0</v>
      </c>
      <c r="DG301" s="1741">
        <v>0</v>
      </c>
      <c r="DH301" s="1741">
        <v>0</v>
      </c>
      <c r="DI301" s="2835"/>
      <c r="DJ301" s="1108"/>
      <c r="DK301" s="1108"/>
      <c r="DL301" s="1108"/>
      <c r="DM301" s="1108"/>
      <c r="DN301" s="1108"/>
      <c r="DO301" s="1108"/>
      <c r="DP301" s="1108"/>
      <c r="DQ301" s="1108"/>
      <c r="DR301" s="1108"/>
      <c r="DS301" s="11"/>
      <c r="DT301" s="11"/>
    </row>
    <row r="302" spans="1:124">
      <c r="A302" s="36" t="s">
        <v>1540</v>
      </c>
      <c r="B302" s="36"/>
      <c r="C302" s="36"/>
      <c r="D302" s="36"/>
      <c r="E302" s="36"/>
      <c r="F302" s="36"/>
      <c r="G302" s="36"/>
      <c r="H302" s="36"/>
      <c r="I302" s="36"/>
      <c r="J302" s="36"/>
      <c r="K302" s="36"/>
      <c r="L302" s="557">
        <f>L300+L301</f>
        <v>166</v>
      </c>
      <c r="M302" s="557">
        <f>M300+M301</f>
        <v>0</v>
      </c>
      <c r="N302" s="557">
        <f>N300+N301</f>
        <v>145</v>
      </c>
      <c r="O302" s="2772"/>
      <c r="P302" s="2772"/>
      <c r="Q302" s="557">
        <f>Q300+Q301</f>
        <v>0</v>
      </c>
      <c r="R302" s="557">
        <f t="shared" ref="R302:AA302" si="546">R300+R301</f>
        <v>183.5</v>
      </c>
      <c r="S302" s="2759"/>
      <c r="T302" s="557">
        <f>T300+T301</f>
        <v>0</v>
      </c>
      <c r="U302" s="557">
        <f t="shared" si="546"/>
        <v>129.465</v>
      </c>
      <c r="V302" s="557">
        <f>V300+V301</f>
        <v>0</v>
      </c>
      <c r="W302" s="557">
        <f t="shared" si="546"/>
        <v>192.67500000000001</v>
      </c>
      <c r="X302" s="557">
        <f>X300+X301</f>
        <v>0</v>
      </c>
      <c r="Y302" s="557">
        <f t="shared" si="546"/>
        <v>135.29092499999999</v>
      </c>
      <c r="Z302" s="557">
        <f>Z300+Z301</f>
        <v>0</v>
      </c>
      <c r="AA302" s="557">
        <f t="shared" si="546"/>
        <v>200.38200000000001</v>
      </c>
      <c r="AB302" s="557">
        <f>AB300+AB301</f>
        <v>0</v>
      </c>
      <c r="AC302" s="557">
        <f>AC300+AC301</f>
        <v>140.02610737499998</v>
      </c>
      <c r="AD302" s="557">
        <f>AD300+AD301</f>
        <v>0</v>
      </c>
      <c r="AE302" s="557">
        <f>AE300+AE301</f>
        <v>206.39346</v>
      </c>
      <c r="AF302" s="11"/>
      <c r="AG302" s="11"/>
      <c r="AH302" s="11"/>
      <c r="AI302" s="11"/>
      <c r="AJ302" s="11"/>
      <c r="AK302" s="1108"/>
      <c r="AL302" s="36" t="s">
        <v>1540</v>
      </c>
      <c r="AM302" s="6"/>
      <c r="AN302" s="6"/>
      <c r="AO302" s="6"/>
      <c r="AP302" s="6"/>
      <c r="AQ302" s="1103"/>
      <c r="AR302" s="6"/>
      <c r="AS302" s="6"/>
      <c r="AT302" s="6"/>
      <c r="AU302" s="6"/>
      <c r="AV302" s="1103"/>
      <c r="AW302" s="6"/>
      <c r="AX302" s="6"/>
      <c r="AY302" s="6"/>
      <c r="AZ302" s="6"/>
      <c r="BA302" s="1103"/>
      <c r="BB302" s="6"/>
      <c r="BC302" s="6"/>
      <c r="BD302" s="6"/>
      <c r="BE302" s="6"/>
      <c r="BF302" s="1103"/>
      <c r="BG302" s="6"/>
      <c r="BH302" s="6"/>
      <c r="BI302" s="6"/>
      <c r="BJ302" s="6"/>
      <c r="BK302" s="1103"/>
      <c r="BL302" s="6"/>
      <c r="BM302" s="6"/>
      <c r="BN302" s="6"/>
      <c r="BO302" s="6"/>
      <c r="BP302" s="1103"/>
      <c r="BQ302" s="1108"/>
      <c r="BR302" s="1108"/>
      <c r="BS302" s="1108"/>
      <c r="BT302" s="1108"/>
      <c r="BU302" s="1108"/>
      <c r="BV302" s="1108"/>
      <c r="BW302" s="1108"/>
      <c r="BX302" s="1108"/>
      <c r="BY302" s="1108"/>
      <c r="BZ302" s="1108"/>
      <c r="CA302" s="1108"/>
      <c r="CB302" s="1108"/>
      <c r="CC302" s="1108"/>
      <c r="CD302" s="1108"/>
      <c r="CE302" s="11"/>
      <c r="CF302" s="11"/>
      <c r="CG302" s="11"/>
      <c r="CH302" s="11"/>
      <c r="CI302" s="11"/>
      <c r="CJ302" s="11"/>
      <c r="CK302" s="906"/>
      <c r="CL302" s="906"/>
      <c r="CM302" s="906"/>
      <c r="CN302" s="906"/>
      <c r="CO302" s="11"/>
      <c r="CP302" s="11"/>
      <c r="CQ302" s="11"/>
      <c r="CR302" s="11"/>
      <c r="CS302" s="11"/>
      <c r="CT302" s="11"/>
      <c r="CU302" s="11"/>
      <c r="CV302" s="11"/>
      <c r="CW302" s="11"/>
      <c r="CX302" s="11"/>
      <c r="CY302" s="11"/>
      <c r="CZ302" s="11"/>
      <c r="DA302" s="11"/>
      <c r="DB302" s="11"/>
      <c r="DC302" s="1108"/>
      <c r="DD302" s="1108"/>
      <c r="DE302" s="1108"/>
      <c r="DF302" s="1108"/>
      <c r="DG302" s="1108"/>
      <c r="DH302" s="1108"/>
      <c r="DI302" s="2862"/>
      <c r="DJ302" s="11"/>
      <c r="DK302" s="1108"/>
      <c r="DL302" s="1108"/>
      <c r="DM302" s="1108"/>
      <c r="DN302" s="1108"/>
      <c r="DO302" s="1108"/>
      <c r="DP302" s="1108"/>
      <c r="DQ302" s="1108"/>
      <c r="DR302" s="1108"/>
      <c r="DS302" s="11"/>
      <c r="DT302" s="11"/>
    </row>
    <row r="303" spans="1:124">
      <c r="A303" s="6"/>
      <c r="B303" s="6"/>
      <c r="C303" s="6"/>
      <c r="D303" s="6"/>
      <c r="E303" s="6"/>
      <c r="F303" s="6"/>
      <c r="G303" s="6"/>
      <c r="H303" s="6"/>
      <c r="I303" s="6"/>
      <c r="J303" s="6"/>
      <c r="K303" s="6"/>
      <c r="L303" s="11"/>
      <c r="M303" s="11"/>
      <c r="N303" s="11"/>
      <c r="O303" s="2760"/>
      <c r="P303" s="2760"/>
      <c r="Q303" s="11"/>
      <c r="R303" s="11"/>
      <c r="S303" s="2760"/>
      <c r="T303" s="11"/>
      <c r="U303" s="11"/>
      <c r="V303" s="11"/>
      <c r="W303" s="11"/>
      <c r="X303" s="11"/>
      <c r="Y303" s="6"/>
      <c r="Z303" s="6"/>
      <c r="AA303" s="6"/>
      <c r="AB303" s="6"/>
      <c r="AC303" s="1108"/>
      <c r="AD303" s="6"/>
      <c r="AE303" s="6"/>
      <c r="AF303" s="6"/>
      <c r="AG303" s="6"/>
      <c r="AH303" s="6"/>
      <c r="AI303" s="6"/>
      <c r="AJ303" s="6"/>
      <c r="AK303" s="1108"/>
      <c r="AL303" s="6"/>
      <c r="AM303" s="6"/>
      <c r="AN303" s="6"/>
      <c r="AO303" s="6"/>
      <c r="AP303" s="6"/>
      <c r="AQ303" s="1103"/>
      <c r="AR303" s="6"/>
      <c r="AS303" s="6"/>
      <c r="AT303" s="6"/>
      <c r="AU303" s="6"/>
      <c r="AV303" s="1103"/>
      <c r="AW303" s="6"/>
      <c r="AX303" s="6"/>
      <c r="AY303" s="6"/>
      <c r="AZ303" s="6"/>
      <c r="BA303" s="1103"/>
      <c r="BB303" s="6"/>
      <c r="BC303" s="6"/>
      <c r="BD303" s="6"/>
      <c r="BE303" s="6"/>
      <c r="BF303" s="1103"/>
      <c r="BG303" s="6"/>
      <c r="BH303" s="6"/>
      <c r="BI303" s="6"/>
      <c r="BJ303" s="6"/>
      <c r="BK303" s="1103"/>
      <c r="BL303" s="6"/>
      <c r="BM303" s="6"/>
      <c r="BN303" s="6"/>
      <c r="BO303" s="6"/>
      <c r="BP303" s="1103"/>
      <c r="BQ303" s="1108"/>
      <c r="BR303" s="1108"/>
      <c r="BS303" s="1108"/>
      <c r="BT303" s="1108"/>
      <c r="BU303" s="1108"/>
      <c r="BV303" s="1108"/>
      <c r="BW303" s="1108"/>
      <c r="BX303" s="1108"/>
      <c r="BY303" s="1108"/>
      <c r="BZ303" s="1108"/>
      <c r="CA303" s="1108"/>
      <c r="CB303" s="1108"/>
      <c r="CC303" s="1108"/>
      <c r="CD303" s="1108"/>
      <c r="CE303" s="1108"/>
      <c r="CF303" s="11"/>
      <c r="CG303" s="11"/>
      <c r="CH303" s="11"/>
      <c r="CI303" s="11"/>
      <c r="CJ303" s="11"/>
      <c r="CK303" s="906"/>
      <c r="CL303" s="906"/>
      <c r="CM303" s="906"/>
      <c r="CN303" s="11"/>
      <c r="CO303" s="11"/>
      <c r="CP303" s="11"/>
      <c r="CQ303" s="11"/>
      <c r="CR303" s="11"/>
      <c r="CS303" s="11"/>
      <c r="CT303" s="11"/>
      <c r="CU303" s="11"/>
      <c r="CV303" s="11"/>
      <c r="CW303" s="11"/>
      <c r="CX303" s="11"/>
      <c r="CY303" s="11"/>
      <c r="CZ303" s="11"/>
      <c r="DA303" s="11"/>
      <c r="DB303" s="11"/>
      <c r="DC303" s="1108"/>
      <c r="DD303" s="1108"/>
      <c r="DE303" s="1108"/>
      <c r="DF303" s="1108"/>
      <c r="DG303" s="1108"/>
      <c r="DH303" s="1108"/>
      <c r="DI303" s="2862"/>
      <c r="DJ303" s="11"/>
      <c r="DK303" s="1108"/>
      <c r="DL303" s="1108"/>
      <c r="DM303" s="1108"/>
      <c r="DN303" s="1108"/>
      <c r="DO303" s="1108"/>
      <c r="DP303" s="1108"/>
      <c r="DQ303" s="1108"/>
      <c r="DR303" s="1108"/>
      <c r="DS303" s="11"/>
      <c r="DT303" s="11"/>
    </row>
    <row r="304" spans="1:124">
      <c r="A304" s="36" t="s">
        <v>1145</v>
      </c>
      <c r="B304" s="6"/>
      <c r="C304" s="6"/>
      <c r="D304" s="6"/>
      <c r="E304" s="6"/>
      <c r="F304" s="6"/>
      <c r="G304" s="6"/>
      <c r="H304" s="6"/>
      <c r="I304" s="6"/>
      <c r="J304" s="6"/>
      <c r="K304" s="6"/>
      <c r="L304" s="6"/>
      <c r="M304" s="11"/>
      <c r="N304" s="6"/>
      <c r="O304" s="2706"/>
      <c r="P304" s="2706"/>
      <c r="Q304" s="6"/>
      <c r="R304" s="6"/>
      <c r="S304" s="2706"/>
      <c r="T304" s="6"/>
      <c r="U304" s="6"/>
      <c r="V304" s="6"/>
      <c r="W304" s="6"/>
      <c r="X304" s="6"/>
      <c r="Y304" s="6"/>
      <c r="Z304" s="6"/>
      <c r="AA304" s="6"/>
      <c r="AB304" s="6"/>
      <c r="AC304" s="1108"/>
      <c r="AD304" s="6"/>
      <c r="AE304" s="6"/>
      <c r="AF304" s="6"/>
      <c r="AG304" s="6"/>
      <c r="AH304" s="6"/>
      <c r="AI304" s="6"/>
      <c r="AJ304" s="6"/>
      <c r="AK304" s="1108"/>
      <c r="AL304" s="36" t="s">
        <v>1145</v>
      </c>
      <c r="AM304" s="6"/>
      <c r="AN304" s="6"/>
      <c r="AO304" s="6"/>
      <c r="AP304" s="6"/>
      <c r="AQ304" s="1103"/>
      <c r="AR304" s="6"/>
      <c r="AS304" s="6"/>
      <c r="AT304" s="6"/>
      <c r="AU304" s="6"/>
      <c r="AV304" s="1103"/>
      <c r="AW304" s="6"/>
      <c r="AX304" s="6"/>
      <c r="AY304" s="6"/>
      <c r="AZ304" s="6"/>
      <c r="BA304" s="1103"/>
      <c r="BB304" s="6"/>
      <c r="BC304" s="6"/>
      <c r="BD304" s="6"/>
      <c r="BE304" s="6"/>
      <c r="BF304" s="1103"/>
      <c r="BG304" s="6"/>
      <c r="BH304" s="6"/>
      <c r="BI304" s="6"/>
      <c r="BJ304" s="6"/>
      <c r="BK304" s="1103"/>
      <c r="BL304" s="6"/>
      <c r="BM304" s="6"/>
      <c r="BN304" s="6"/>
      <c r="BO304" s="6"/>
      <c r="BP304" s="1103"/>
      <c r="BQ304" s="1108"/>
      <c r="BR304" s="1108"/>
      <c r="BS304" s="1108"/>
      <c r="BT304" s="1108"/>
      <c r="BU304" s="1108"/>
      <c r="BV304" s="1108"/>
      <c r="BW304" s="1108"/>
      <c r="BX304" s="1108"/>
      <c r="BY304" s="1108"/>
      <c r="BZ304" s="1108"/>
      <c r="CA304" s="1108"/>
      <c r="CB304" s="1108"/>
      <c r="CC304" s="1108"/>
      <c r="CD304" s="1108"/>
      <c r="CE304" s="1108"/>
      <c r="CF304" s="11"/>
      <c r="CG304" s="11"/>
      <c r="CH304" s="11"/>
      <c r="CI304" s="11"/>
      <c r="CJ304" s="11"/>
      <c r="CK304" s="906"/>
      <c r="CL304" s="906"/>
      <c r="CM304" s="906"/>
      <c r="CN304" s="11"/>
      <c r="CO304" s="11"/>
      <c r="CP304" s="906"/>
      <c r="CQ304" s="906"/>
      <c r="CR304" s="906"/>
      <c r="CS304" s="1108"/>
      <c r="CT304" s="1108"/>
      <c r="CU304" s="1108"/>
      <c r="CV304" s="1108"/>
      <c r="CW304" s="1108"/>
      <c r="CX304" s="1108"/>
      <c r="CY304" s="1108"/>
      <c r="CZ304" s="1108"/>
      <c r="DA304" s="1108"/>
      <c r="DB304" s="1108"/>
      <c r="DC304" s="1108"/>
      <c r="DD304" s="1108"/>
      <c r="DE304" s="1108"/>
      <c r="DF304" s="1108"/>
      <c r="DG304" s="1108"/>
      <c r="DH304" s="1108"/>
      <c r="DI304" s="2862"/>
      <c r="DJ304" s="11"/>
      <c r="DK304" s="1108"/>
      <c r="DL304" s="1108"/>
      <c r="DM304" s="1108"/>
      <c r="DN304" s="1108"/>
      <c r="DO304" s="1108"/>
      <c r="DP304" s="1108"/>
      <c r="DQ304" s="1108"/>
      <c r="DR304" s="1108"/>
      <c r="DS304" s="11"/>
      <c r="DT304" s="11"/>
    </row>
    <row r="305" spans="1:124">
      <c r="A305" s="1106" t="s">
        <v>1146</v>
      </c>
      <c r="B305" s="6"/>
      <c r="C305" s="6"/>
      <c r="D305" s="6"/>
      <c r="E305" s="6"/>
      <c r="F305" s="6"/>
      <c r="G305" s="6"/>
      <c r="H305" s="6"/>
      <c r="I305" s="6"/>
      <c r="J305" s="6"/>
      <c r="K305" s="6"/>
      <c r="L305" s="1135">
        <f>(L55-K55)/(L12-K12)</f>
        <v>1.1806878547126609</v>
      </c>
      <c r="M305" s="88">
        <f>(M55-L55)/(M12-L12)</f>
        <v>0.34545222239515022</v>
      </c>
      <c r="N305" s="1135">
        <f>(N55-M55)/(N12-M12)</f>
        <v>1.0041015207573232</v>
      </c>
      <c r="O305" s="2750"/>
      <c r="P305" s="2750"/>
      <c r="Q305" s="1135">
        <f>(Q55-P55)/(Q12-P12)</f>
        <v>0.18426525258788129</v>
      </c>
      <c r="R305" s="1135">
        <f t="shared" ref="R305:AE305" si="547">(R55-Q55)/(R12-Q12)</f>
        <v>0.38606459070882426</v>
      </c>
      <c r="S305" s="2750"/>
      <c r="T305" s="1135">
        <f>(T55-R55)/(T12-R12)</f>
        <v>2.1284463739192277E-2</v>
      </c>
      <c r="U305" s="1135">
        <f t="shared" si="547"/>
        <v>6.2314974739768138E-2</v>
      </c>
      <c r="V305" s="1135">
        <f t="shared" si="547"/>
        <v>0.11700083313949135</v>
      </c>
      <c r="W305" s="1135">
        <f t="shared" si="547"/>
        <v>-0.71219134205802559</v>
      </c>
      <c r="X305" s="1135">
        <f t="shared" si="547"/>
        <v>0.23915269790688568</v>
      </c>
      <c r="Y305" s="1135">
        <f t="shared" si="547"/>
        <v>4.6385369731620232E-2</v>
      </c>
      <c r="Z305" s="1135">
        <f t="shared" si="547"/>
        <v>0.52629098149443831</v>
      </c>
      <c r="AA305" s="1135">
        <f t="shared" si="547"/>
        <v>-0.80088620937428345</v>
      </c>
      <c r="AB305" s="1135">
        <f t="shared" si="547"/>
        <v>3.1691298960612055E-2</v>
      </c>
      <c r="AC305" s="1135">
        <f t="shared" si="547"/>
        <v>0.37149411815214078</v>
      </c>
      <c r="AD305" s="1135">
        <f t="shared" si="547"/>
        <v>-0.19042733322784655</v>
      </c>
      <c r="AE305" s="1135">
        <f t="shared" si="547"/>
        <v>-7.7194261877067252E-2</v>
      </c>
      <c r="AF305" s="1135"/>
      <c r="AG305" s="1135"/>
      <c r="AH305" s="1135"/>
      <c r="AI305" s="1135"/>
      <c r="AJ305" s="1135"/>
      <c r="AK305" s="1108"/>
      <c r="AL305" s="1106" t="s">
        <v>1146</v>
      </c>
      <c r="AM305" s="6"/>
      <c r="AN305" s="6"/>
      <c r="AO305" s="6"/>
      <c r="AP305" s="6"/>
      <c r="AQ305" s="1103"/>
      <c r="AR305" s="6"/>
      <c r="AS305" s="6"/>
      <c r="AT305" s="6"/>
      <c r="AU305" s="6"/>
      <c r="AV305" s="1103"/>
      <c r="AW305" s="6"/>
      <c r="AX305" s="6"/>
      <c r="AY305" s="6"/>
      <c r="AZ305" s="6"/>
      <c r="BA305" s="1103"/>
      <c r="BB305" s="6"/>
      <c r="BC305" s="6"/>
      <c r="BD305" s="6"/>
      <c r="BE305" s="6"/>
      <c r="BF305" s="1103"/>
      <c r="BG305" s="6"/>
      <c r="BH305" s="6"/>
      <c r="BI305" s="6"/>
      <c r="BJ305" s="6"/>
      <c r="BK305" s="1103"/>
      <c r="BL305" s="6"/>
      <c r="BM305" s="6"/>
      <c r="BN305" s="6"/>
      <c r="BO305" s="6"/>
      <c r="BP305" s="1103"/>
      <c r="BQ305" s="1108"/>
      <c r="BR305" s="1108"/>
      <c r="BS305" s="1108"/>
      <c r="BT305" s="1108"/>
      <c r="BU305" s="1108"/>
      <c r="BV305" s="1135">
        <f>(BV55-BQ55)/(BV12-BQ12)</f>
        <v>-0.84250000000000025</v>
      </c>
      <c r="BW305" s="1135">
        <f>(BW55-BR55)/(BW12-BR12)</f>
        <v>3.6400000000000028</v>
      </c>
      <c r="BX305" s="1135">
        <f>(BX55-BS55)/(BX12-BS12)</f>
        <v>12.189999999999959</v>
      </c>
      <c r="BY305" s="1135">
        <f>(BY55-BT55)/(BY12-BT12)</f>
        <v>1.3527253493922151</v>
      </c>
      <c r="BZ305" s="1108"/>
      <c r="CA305" s="1135">
        <f>(CA55-BV55)/(CA12-BV12)</f>
        <v>-0.76333333333333186</v>
      </c>
      <c r="CB305" s="1135">
        <f>(CB55-BW55)/(CB12-BW12)</f>
        <v>0.5</v>
      </c>
      <c r="CC305" s="1135">
        <f>(CC55-BX55)/(CC12-BX12)</f>
        <v>0.70000000000000007</v>
      </c>
      <c r="CD305" s="1135">
        <f>(CD55-BY55)/(CD12-BY12)</f>
        <v>9.841534921952773</v>
      </c>
      <c r="CE305" s="1108"/>
      <c r="CF305" s="88">
        <f>(CF55-CA55)/(CF12-CA12)</f>
        <v>0.1759090909090909</v>
      </c>
      <c r="CG305" s="88">
        <f>(CG55-CB55)/(CG12-CB12)</f>
        <v>0.10000000000000002</v>
      </c>
      <c r="CH305" s="88">
        <f>(CH55-CC55)/(CH12-CC12)</f>
        <v>0.60750000000000026</v>
      </c>
      <c r="CI305" s="88">
        <f>(CI55-CD55)/(CI12-CD12)</f>
        <v>0.88177188223260583</v>
      </c>
      <c r="CJ305" s="11"/>
      <c r="CK305" s="939">
        <f>(CK55-CF55)/(CK12-CF12)</f>
        <v>1.8918918918918927E-2</v>
      </c>
      <c r="CL305" s="939">
        <f>(CL55-CG55)/(CL12-CG12)</f>
        <v>0.57500000000000007</v>
      </c>
      <c r="CM305" s="939">
        <f>(CM55-CH55)/(CM12-CH12)</f>
        <v>-11.949999999999967</v>
      </c>
      <c r="CN305" s="88">
        <f>(CN55-CI55)/(CN12-CI12)</f>
        <v>-2.4153809523809469</v>
      </c>
      <c r="CO305" s="11"/>
      <c r="CP305" s="1621">
        <f>(CP55-CK55)/(CP12-CK12)</f>
        <v>-39.940000000005867</v>
      </c>
      <c r="CQ305" s="1621">
        <f>(CQ55-CL55)/(CQ12-CL12)</f>
        <v>-0.92744680851064032</v>
      </c>
      <c r="CR305" s="1621">
        <f>(CR55-CM55)/(CR12-CM12)</f>
        <v>0.67990909090909002</v>
      </c>
      <c r="CS305" s="88">
        <f>(CS55-CN55)/(CS12-CN12)</f>
        <v>0.65755855855855894</v>
      </c>
      <c r="CT305" s="11"/>
      <c r="CU305" s="1621">
        <f>(CU55-CP55)/(CU12-CP12)</f>
        <v>0.32347058823529418</v>
      </c>
      <c r="CV305" s="1621">
        <f>(CV55-CQ55)/(CV12-CQ12)</f>
        <v>1.0118646288209596</v>
      </c>
      <c r="CW305" s="1621">
        <f>(CW55-CR55)/(CW12-CR12)</f>
        <v>0.11150537634408622</v>
      </c>
      <c r="CX305" s="1621">
        <f>(CX55-CS55)/(CX12-CS12)</f>
        <v>7.5903614457831434E-2</v>
      </c>
      <c r="CY305" s="1108"/>
      <c r="CZ305" s="1621">
        <f>(CZ55-CU55)/(CZ12-CU12)</f>
        <v>0.11386889460154245</v>
      </c>
      <c r="DA305" s="1621">
        <f>(DA55-CV55)/(DA12-CV12)</f>
        <v>0.10075924703407539</v>
      </c>
      <c r="DB305" s="1621">
        <f>(DB55-CW55)/(DB12-CW12)</f>
        <v>1.222074074074073</v>
      </c>
      <c r="DC305" s="1621">
        <f>(DC55-CX55)/(DC12-CX12)</f>
        <v>-0.50384975973651824</v>
      </c>
      <c r="DD305" s="1108"/>
      <c r="DE305" s="1108"/>
      <c r="DF305" s="1108"/>
      <c r="DG305" s="1108"/>
      <c r="DH305" s="1108"/>
      <c r="DI305" s="1108"/>
      <c r="DJ305" s="11"/>
      <c r="DK305" s="1108"/>
      <c r="DL305" s="1108"/>
      <c r="DM305" s="1108"/>
      <c r="DN305" s="1108"/>
      <c r="DO305" s="1108"/>
      <c r="DP305" s="1108"/>
      <c r="DQ305" s="1108"/>
      <c r="DR305" s="1108"/>
      <c r="DS305" s="11"/>
      <c r="DT305" s="11"/>
    </row>
    <row r="306" spans="1:124">
      <c r="A306" s="1111" t="s">
        <v>1147</v>
      </c>
      <c r="B306" s="6"/>
      <c r="C306" s="6"/>
      <c r="D306" s="6"/>
      <c r="E306" s="6"/>
      <c r="F306" s="6"/>
      <c r="G306" s="6"/>
      <c r="H306" s="6"/>
      <c r="I306" s="6"/>
      <c r="J306" s="6"/>
      <c r="K306" s="6"/>
      <c r="L306" s="1135">
        <f>(L59-K59)/(L15-K15)</f>
        <v>0.85441258602848025</v>
      </c>
      <c r="M306" s="88">
        <f>(M59-L59)/(M15-L15)</f>
        <v>-9.0577761555898237E-2</v>
      </c>
      <c r="N306" s="1135">
        <f>(N59-M59)/(N15-M15)</f>
        <v>0.89272282719112106</v>
      </c>
      <c r="O306" s="2750"/>
      <c r="P306" s="2750"/>
      <c r="Q306" s="1135">
        <f>(Q59-P59)/(Q15-P15)</f>
        <v>0.6087576271027052</v>
      </c>
      <c r="R306" s="1135">
        <f t="shared" ref="R306:AE306" si="548">(R59-Q59)/(R15-Q15)</f>
        <v>0.13845955212718958</v>
      </c>
      <c r="S306" s="2750"/>
      <c r="T306" s="1135">
        <f>(T59-R59)/(T15-R15)</f>
        <v>-9.0987574374731303E-2</v>
      </c>
      <c r="U306" s="1135">
        <f t="shared" si="548"/>
        <v>0.58205481319414365</v>
      </c>
      <c r="V306" s="1135">
        <f t="shared" si="548"/>
        <v>0.34972615768563203</v>
      </c>
      <c r="W306" s="1135">
        <f t="shared" si="548"/>
        <v>0.35137683997342811</v>
      </c>
      <c r="X306" s="1135">
        <f t="shared" si="548"/>
        <v>0.35179620961041935</v>
      </c>
      <c r="Y306" s="1135">
        <f t="shared" si="548"/>
        <v>0.3544650107487432</v>
      </c>
      <c r="Z306" s="1135">
        <f t="shared" si="548"/>
        <v>0.35735310016812477</v>
      </c>
      <c r="AA306" s="1135">
        <f t="shared" si="548"/>
        <v>0.36085125097273002</v>
      </c>
      <c r="AB306" s="1135">
        <f t="shared" si="548"/>
        <v>0.36482234479418346</v>
      </c>
      <c r="AC306" s="1135">
        <f t="shared" si="548"/>
        <v>0.36941821140396841</v>
      </c>
      <c r="AD306" s="1135">
        <f t="shared" si="548"/>
        <v>0.3755198464170395</v>
      </c>
      <c r="AE306" s="1135">
        <f t="shared" si="548"/>
        <v>0.38151997036577956</v>
      </c>
      <c r="AF306" s="1135"/>
      <c r="AG306" s="1135"/>
      <c r="AH306" s="1135"/>
      <c r="AI306" s="1135"/>
      <c r="AJ306" s="1135"/>
      <c r="AK306" s="1108"/>
      <c r="AL306" s="1111" t="s">
        <v>1147</v>
      </c>
      <c r="AM306" s="6"/>
      <c r="AN306" s="6"/>
      <c r="AO306" s="6"/>
      <c r="AP306" s="6"/>
      <c r="AQ306" s="1103"/>
      <c r="AR306" s="6"/>
      <c r="AS306" s="6"/>
      <c r="AT306" s="6"/>
      <c r="AU306" s="6"/>
      <c r="AV306" s="1103"/>
      <c r="AW306" s="6"/>
      <c r="AX306" s="6"/>
      <c r="AY306" s="6"/>
      <c r="AZ306" s="6"/>
      <c r="BA306" s="1103"/>
      <c r="BB306" s="6"/>
      <c r="BC306" s="6"/>
      <c r="BD306" s="6"/>
      <c r="BE306" s="6"/>
      <c r="BF306" s="1103"/>
      <c r="BG306" s="6"/>
      <c r="BH306" s="6"/>
      <c r="BI306" s="6"/>
      <c r="BJ306" s="6"/>
      <c r="BK306" s="1103"/>
      <c r="BL306" s="6"/>
      <c r="BM306" s="6"/>
      <c r="BN306" s="6"/>
      <c r="BO306" s="6"/>
      <c r="BP306" s="1103"/>
      <c r="BQ306" s="1108"/>
      <c r="BR306" s="1108"/>
      <c r="BS306" s="1108"/>
      <c r="BT306" s="1108"/>
      <c r="BU306" s="1108"/>
      <c r="BV306" s="1135">
        <f>(BV59-BQ59)/(BV15-BQ15)</f>
        <v>0.6677977698716866</v>
      </c>
      <c r="BW306" s="1135">
        <f>(BW59-BR59)/(BW15-BR15)</f>
        <v>0.73529870856454183</v>
      </c>
      <c r="BX306" s="1135">
        <f>(BX59-BS59)/(BX15-BS15)</f>
        <v>3.8274576261644802</v>
      </c>
      <c r="BY306" s="1135">
        <f>(BY59-BT59)/(BY15-BT15)</f>
        <v>0.790640670619704</v>
      </c>
      <c r="BZ306" s="1108"/>
      <c r="CA306" s="1135">
        <f>(CA59-BV59)/(CA15-BV15)</f>
        <v>0.56982087397484771</v>
      </c>
      <c r="CB306" s="1135">
        <f>(CB59-BW59)/(CB15-BW15)</f>
        <v>-0.69511283047185202</v>
      </c>
      <c r="CC306" s="1135">
        <f>(CC59-BX59)/(CC15-BX15)</f>
        <v>0.50237445236201861</v>
      </c>
      <c r="CD306" s="1135">
        <f>(CD59-BY59)/(CD15-BY15)</f>
        <v>-8.3040824864056404</v>
      </c>
      <c r="CE306" s="1108"/>
      <c r="CF306" s="88">
        <f>(CF59-CA59)/(CF15-CA15)</f>
        <v>2.7606234149537956</v>
      </c>
      <c r="CG306" s="88">
        <f>(CG59-CB59)/(CG15-CB15)</f>
        <v>-9.9096885937099213E-2</v>
      </c>
      <c r="CH306" s="88">
        <f>(CH59-CC59)/(CH15-CC15)</f>
        <v>-0.65742854454072208</v>
      </c>
      <c r="CI306" s="88">
        <f>(CI59-CD59)/(CI15-CD15)</f>
        <v>0.10660773566911692</v>
      </c>
      <c r="CJ306" s="11"/>
      <c r="CK306" s="939">
        <f>(CK59-CF59)/(CK15-CF15)</f>
        <v>-0.57408403679369169</v>
      </c>
      <c r="CL306" s="939">
        <f>(CL59-CG59)/(CL15-CG15)</f>
        <v>0.24939980671316678</v>
      </c>
      <c r="CM306" s="939">
        <f>(CM59-CH59)/(CM15-CH15)</f>
        <v>-0.48192630402105024</v>
      </c>
      <c r="CN306" s="88">
        <f>(CN59-CI59)/(CN15-CI15)</f>
        <v>-0.58002851682774714</v>
      </c>
      <c r="CO306" s="11"/>
      <c r="CP306" s="1621">
        <f>(CP59-CK59)/(CP15-CK15)</f>
        <v>0.73018223111010772</v>
      </c>
      <c r="CQ306" s="1621">
        <f>(CQ59-CL59)/(CQ15-CL15)</f>
        <v>0.3974614232281507</v>
      </c>
      <c r="CR306" s="1621">
        <f>(CR59-CM59)/(CR15-CM15)</f>
        <v>8.1172336615937729E-2</v>
      </c>
      <c r="CS306" s="88">
        <f>(CS59-CN59)/(CS15-CN15)</f>
        <v>-0.36378453174591691</v>
      </c>
      <c r="CT306" s="11"/>
      <c r="CU306" s="1621">
        <f>(CU59-CP59)/(CU15-CP15)</f>
        <v>0.34282912291508405</v>
      </c>
      <c r="CV306" s="1621">
        <f>(CV59-CQ59)/(CV15-CQ15)</f>
        <v>0.34682320931488658</v>
      </c>
      <c r="CW306" s="1621">
        <f>(CW59-CR59)/(CW15-CR15)</f>
        <v>3.0428399890133431E-2</v>
      </c>
      <c r="CX306" s="1621">
        <f>(CX59-CS59)/(CX15-CS15)</f>
        <v>-11.30306304956137</v>
      </c>
      <c r="CY306" s="1108"/>
      <c r="CZ306" s="1621">
        <f>(CZ59-CU59)/(CZ15-CU15)</f>
        <v>-0.11577014268692905</v>
      </c>
      <c r="DA306" s="1621">
        <f>(DA59-CV59)/(DA15-CV15)</f>
        <v>-0.21905378274702339</v>
      </c>
      <c r="DB306" s="1621">
        <f>(DB59-CW59)/(DB15-CW15)</f>
        <v>0.31313460229666812</v>
      </c>
      <c r="DC306" s="1621">
        <f>(DC59-CX59)/(DC15-CX15)</f>
        <v>0.63125136129152859</v>
      </c>
      <c r="DD306" s="1108"/>
      <c r="DE306" s="1108"/>
      <c r="DF306" s="1108"/>
      <c r="DG306" s="1108"/>
      <c r="DH306" s="1108"/>
      <c r="DI306" s="1108"/>
      <c r="DJ306" s="11"/>
      <c r="DK306" s="1108"/>
      <c r="DL306" s="1108"/>
      <c r="DM306" s="1108"/>
      <c r="DN306" s="1108"/>
      <c r="DO306" s="1108"/>
      <c r="DP306" s="1108"/>
      <c r="DQ306" s="1108"/>
      <c r="DR306" s="1108"/>
      <c r="DS306" s="11"/>
      <c r="DT306" s="11"/>
    </row>
    <row r="307" spans="1:124">
      <c r="A307" s="468" t="s">
        <v>703</v>
      </c>
      <c r="B307" s="6"/>
      <c r="C307" s="6"/>
      <c r="D307" s="6"/>
      <c r="E307" s="6"/>
      <c r="F307" s="6"/>
      <c r="G307" s="6"/>
      <c r="H307" s="6"/>
      <c r="I307" s="6"/>
      <c r="J307" s="6"/>
      <c r="K307" s="6"/>
      <c r="L307" s="1135">
        <f>(L75-K75)/(L27-K27)</f>
        <v>0.4978902953586517</v>
      </c>
      <c r="M307" s="88">
        <f>(M75-L75)/(M27-L27)</f>
        <v>0.21976866456361704</v>
      </c>
      <c r="N307" s="1135">
        <f>(N75-M75)/(N27-M27)</f>
        <v>0.90178571428571497</v>
      </c>
      <c r="O307" s="2750"/>
      <c r="P307" s="2750"/>
      <c r="Q307" s="1135">
        <f>(Q75-P75)/(Q27-P27)</f>
        <v>-0.2713178294573626</v>
      </c>
      <c r="R307" s="1135">
        <f t="shared" ref="R307:AE307" si="549">(R75-Q75)/(R27-Q27)</f>
        <v>0.49202733485193573</v>
      </c>
      <c r="S307" s="2750"/>
      <c r="T307" s="1135">
        <f>(T75-R75)/(T27-R27)</f>
        <v>-5.6618898361206475E-2</v>
      </c>
      <c r="U307" s="1135">
        <f t="shared" si="549"/>
        <v>8.4785364128649704E-2</v>
      </c>
      <c r="V307" s="1135">
        <f t="shared" si="549"/>
        <v>0.14748222205575309</v>
      </c>
      <c r="W307" s="1135">
        <f t="shared" si="549"/>
        <v>1.3638528080310846</v>
      </c>
      <c r="X307" s="1135">
        <f t="shared" si="549"/>
        <v>0.26315379350565737</v>
      </c>
      <c r="Y307" s="1135">
        <f t="shared" si="549"/>
        <v>0.10211601458396383</v>
      </c>
      <c r="Z307" s="1135">
        <f t="shared" si="549"/>
        <v>0.90379797203487466</v>
      </c>
      <c r="AA307" s="1135">
        <f t="shared" si="549"/>
        <v>-0.15059910113811317</v>
      </c>
      <c r="AB307" s="1135">
        <f t="shared" si="549"/>
        <v>8.383896368622458E-2</v>
      </c>
      <c r="AC307" s="1135">
        <f t="shared" si="549"/>
        <v>0.37874730004504109</v>
      </c>
      <c r="AD307" s="1135">
        <f t="shared" si="549"/>
        <v>4.0025016644439006E-2</v>
      </c>
      <c r="AE307" s="1135">
        <f t="shared" si="549"/>
        <v>-8.6611231291284941E-3</v>
      </c>
      <c r="AF307" s="1135"/>
      <c r="AG307" s="1135"/>
      <c r="AH307" s="1135"/>
      <c r="AI307" s="1135"/>
      <c r="AJ307" s="1135"/>
      <c r="AK307" s="1108"/>
      <c r="AL307" s="468" t="s">
        <v>703</v>
      </c>
      <c r="AM307" s="6"/>
      <c r="AN307" s="6"/>
      <c r="AO307" s="6"/>
      <c r="AP307" s="6"/>
      <c r="AQ307" s="1103"/>
      <c r="AR307" s="6"/>
      <c r="AS307" s="6"/>
      <c r="AT307" s="6"/>
      <c r="AU307" s="6"/>
      <c r="AV307" s="1103"/>
      <c r="AW307" s="6"/>
      <c r="AX307" s="6"/>
      <c r="AY307" s="6"/>
      <c r="AZ307" s="6"/>
      <c r="BA307" s="1103"/>
      <c r="BB307" s="6"/>
      <c r="BC307" s="6"/>
      <c r="BD307" s="6"/>
      <c r="BE307" s="6"/>
      <c r="BF307" s="1103"/>
      <c r="BG307" s="6"/>
      <c r="BH307" s="6"/>
      <c r="BI307" s="6"/>
      <c r="BJ307" s="6"/>
      <c r="BK307" s="1103"/>
      <c r="BL307" s="6"/>
      <c r="BM307" s="6"/>
      <c r="BN307" s="6"/>
      <c r="BO307" s="6"/>
      <c r="BP307" s="1103"/>
      <c r="BQ307" s="1108"/>
      <c r="BR307" s="1108"/>
      <c r="BS307" s="1108"/>
      <c r="BT307" s="1108"/>
      <c r="BU307" s="1108"/>
      <c r="BV307" s="1135">
        <f>(BV75-BQ75)/(BV27-BQ27)</f>
        <v>-1.4079999999999999</v>
      </c>
      <c r="BW307" s="1135">
        <f>(BW75-BR75)/(BW27-BR27)</f>
        <v>1.32318928788801</v>
      </c>
      <c r="BX307" s="1135">
        <f>(BX75-BS75)/(BX27-BS27)</f>
        <v>8.4172185430464097</v>
      </c>
      <c r="BY307" s="1135">
        <f>(BY75-BT75)/(BY27-BT27)</f>
        <v>-2.6953125000000098</v>
      </c>
      <c r="BZ307" s="1108"/>
      <c r="CA307" s="1135">
        <f>(CA75-BV75)/(CA27-BV27)</f>
        <v>0.44135802469135804</v>
      </c>
      <c r="CB307" s="1135">
        <f>(CB75-BW75)/(CB27-BW27)</f>
        <v>0.10852713178294573</v>
      </c>
      <c r="CC307" s="1135">
        <f>(CC75-BX75)/(CC27-BX27)</f>
        <v>-0.4375</v>
      </c>
      <c r="CD307" s="1135">
        <f>(CD75-BY75)/(CD27-BY27)</f>
        <v>-1.6666666666666667</v>
      </c>
      <c r="CE307" s="1108"/>
      <c r="CF307" s="88">
        <f>(CF75-CA75)/(CF27-CA27)</f>
        <v>0.31221719457013575</v>
      </c>
      <c r="CG307" s="88">
        <f>(CG75-CB75)/(CG27-CB27)</f>
        <v>9.9667774086378731E-3</v>
      </c>
      <c r="CH307" s="88">
        <f>(CH75-CC75)/(CH27-CC27)</f>
        <v>0.23039215686274508</v>
      </c>
      <c r="CI307" s="88">
        <f>(CI75-CD75)/(CI27-CD27)</f>
        <v>0.4</v>
      </c>
      <c r="CJ307" s="11"/>
      <c r="CK307" s="939">
        <f>(CK75-CF75)/(CK27-CF27)</f>
        <v>9.7457627118644072E-2</v>
      </c>
      <c r="CL307" s="939">
        <f>(CL75-CG75)/(CL27-CG27)</f>
        <v>0.30635838150289019</v>
      </c>
      <c r="CM307" s="939">
        <f>(CM75-CH75)/(CM27-CH27)</f>
        <v>-3.5555555555555554</v>
      </c>
      <c r="CN307" s="88">
        <f>(CN75-CI75)/(CN27-CI27)</f>
        <v>-2.847826086956522</v>
      </c>
      <c r="CO307" s="11"/>
      <c r="CP307" s="1621">
        <f>(CP75-CK75)/(CP27-CK27)</f>
        <v>1.8809523809523809</v>
      </c>
      <c r="CQ307" s="1621">
        <f>(CQ75-CL75)/(CQ27-CL27)</f>
        <v>1.64</v>
      </c>
      <c r="CR307" s="1621">
        <f>(CR75-CM75)/(CR27-CM27)</f>
        <v>1.6666666666666667</v>
      </c>
      <c r="CS307" s="88">
        <f>(CS75-CN75)/(CS27-CN27)</f>
        <v>0.45500000000000002</v>
      </c>
      <c r="CT307" s="11"/>
      <c r="CU307" s="1621">
        <f>(CU75-CP75)/(CU27-CP27)</f>
        <v>0.30981595092024539</v>
      </c>
      <c r="CV307" s="1621">
        <f>(CV75-CQ75)/(CV27-CQ27)</f>
        <v>0.53703703703703709</v>
      </c>
      <c r="CW307" s="1621">
        <f>(CW75-CR75)/(CW27-CR27)</f>
        <v>0.35294117647058826</v>
      </c>
      <c r="CX307" s="1621">
        <f>(CX75-CS75)/(CX27-CS27)</f>
        <v>-0.33333333333333331</v>
      </c>
      <c r="CY307" s="1108"/>
      <c r="CZ307" s="1621">
        <f>(CZ75-CU75)/(CZ27-CU27)</f>
        <v>0.21666666666666667</v>
      </c>
      <c r="DA307" s="1621">
        <f>(DA75-CV75)/(DA27-CV27)</f>
        <v>-3.3755274261603373E-2</v>
      </c>
      <c r="DB307" s="1621">
        <f>(DB75-CW75)/(DB27-CW27)</f>
        <v>1.4925373134328358E-2</v>
      </c>
      <c r="DC307" s="1621">
        <f>(DC75-CX75)/(DC27-CX27)</f>
        <v>0.17377408496009428</v>
      </c>
      <c r="DD307" s="1108"/>
      <c r="DE307" s="1108"/>
      <c r="DF307" s="1108"/>
      <c r="DG307" s="1108"/>
      <c r="DH307" s="1108"/>
      <c r="DI307" s="1108"/>
      <c r="DJ307" s="11"/>
      <c r="DK307" s="11"/>
      <c r="DL307" s="1108"/>
      <c r="DM307" s="1108"/>
      <c r="DN307" s="1108"/>
      <c r="DO307" s="1108"/>
      <c r="DP307" s="1108"/>
      <c r="DQ307" s="1108"/>
      <c r="DR307" s="1108"/>
      <c r="DS307" s="11"/>
      <c r="DT307" s="11"/>
    </row>
    <row r="308" spans="1:124">
      <c r="A308" s="468" t="s">
        <v>704</v>
      </c>
      <c r="B308" s="6"/>
      <c r="C308" s="6"/>
      <c r="D308" s="6"/>
      <c r="E308" s="6"/>
      <c r="F308" s="6"/>
      <c r="G308" s="6"/>
      <c r="H308" s="6"/>
      <c r="I308" s="6"/>
      <c r="J308" s="6"/>
      <c r="K308" s="6"/>
      <c r="L308" s="1135">
        <f>(L87-K87)/(L36-K36)</f>
        <v>0.6887417218543046</v>
      </c>
      <c r="M308" s="88">
        <f>(M87-L87)/(M36-L36)</f>
        <v>0.29292929292929293</v>
      </c>
      <c r="N308" s="88">
        <f>(N87-M87)/(N36-M36)</f>
        <v>0.92523364485981308</v>
      </c>
      <c r="O308" s="2761"/>
      <c r="P308" s="2761"/>
      <c r="Q308" s="88">
        <f>(Q87-P87)/(Q36-P36)</f>
        <v>-0.43939393939393939</v>
      </c>
      <c r="R308" s="88">
        <f t="shared" ref="R308:AE308" si="550">(R87-Q87)/(R36-Q36)</f>
        <v>-0.17073170731707318</v>
      </c>
      <c r="S308" s="2761"/>
      <c r="T308" s="88">
        <f>(T87-R87)/(T36-R36)</f>
        <v>0.18681132085173843</v>
      </c>
      <c r="U308" s="88">
        <f t="shared" si="550"/>
        <v>-0.19719299923556932</v>
      </c>
      <c r="V308" s="88">
        <f t="shared" si="550"/>
        <v>0.52011334662927511</v>
      </c>
      <c r="W308" s="88">
        <f t="shared" si="550"/>
        <v>0.51233564722678049</v>
      </c>
      <c r="X308" s="88">
        <f t="shared" si="550"/>
        <v>0.51141198836169532</v>
      </c>
      <c r="Y308" s="88">
        <f t="shared" si="550"/>
        <v>0.49369371818227625</v>
      </c>
      <c r="Z308" s="88">
        <f t="shared" si="550"/>
        <v>0.47019380865063543</v>
      </c>
      <c r="AA308" s="88">
        <f t="shared" si="550"/>
        <v>0.42843024419709208</v>
      </c>
      <c r="AB308" s="88">
        <f t="shared" si="550"/>
        <v>0.42058015830244272</v>
      </c>
      <c r="AC308" s="1135">
        <f t="shared" si="550"/>
        <v>0.41182854284674453</v>
      </c>
      <c r="AD308" s="1135">
        <f t="shared" si="550"/>
        <v>0.40148564616404886</v>
      </c>
      <c r="AE308" s="1135">
        <f t="shared" si="550"/>
        <v>0.39055801466664997</v>
      </c>
      <c r="AF308" s="1135"/>
      <c r="AG308" s="1135"/>
      <c r="AH308" s="1135"/>
      <c r="AI308" s="1135"/>
      <c r="AJ308" s="1135"/>
      <c r="AK308" s="1108"/>
      <c r="AL308" s="468" t="s">
        <v>704</v>
      </c>
      <c r="AM308" s="6"/>
      <c r="AN308" s="6"/>
      <c r="AO308" s="6"/>
      <c r="AP308" s="6"/>
      <c r="AQ308" s="1103"/>
      <c r="AR308" s="6"/>
      <c r="AS308" s="6"/>
      <c r="AT308" s="6"/>
      <c r="AU308" s="6"/>
      <c r="AV308" s="1103"/>
      <c r="AW308" s="6"/>
      <c r="AX308" s="6"/>
      <c r="AY308" s="6"/>
      <c r="AZ308" s="6"/>
      <c r="BA308" s="1103"/>
      <c r="BB308" s="6"/>
      <c r="BC308" s="6"/>
      <c r="BD308" s="6"/>
      <c r="BE308" s="6"/>
      <c r="BF308" s="1103"/>
      <c r="BG308" s="6"/>
      <c r="BH308" s="6"/>
      <c r="BI308" s="6"/>
      <c r="BJ308" s="6"/>
      <c r="BK308" s="1103"/>
      <c r="BL308" s="6"/>
      <c r="BM308" s="6"/>
      <c r="BN308" s="6"/>
      <c r="BO308" s="6"/>
      <c r="BP308" s="1103"/>
      <c r="BQ308" s="1108"/>
      <c r="BR308" s="1108"/>
      <c r="BS308" s="1108"/>
      <c r="BT308" s="1108"/>
      <c r="BU308" s="1108"/>
      <c r="BV308" s="1135">
        <f>(BV87-BQ87)/(BV36-BQ36)</f>
        <v>2.0839999999999996</v>
      </c>
      <c r="BW308" s="1135">
        <f>(BW87-BR87)/(BW36-BR36)</f>
        <v>1.0565610859728507</v>
      </c>
      <c r="BX308" s="1135">
        <f>(BX87-BS87)/(BX36-BS36)</f>
        <v>0.65</v>
      </c>
      <c r="BY308" s="1135">
        <f>(BY87-BT87)/(BY36-BT36)</f>
        <v>0.23970037453183551</v>
      </c>
      <c r="BZ308" s="1108"/>
      <c r="CA308" s="1135">
        <f>(CA87-BV87)/(CA36-BV36)</f>
        <v>0.94915254237288138</v>
      </c>
      <c r="CB308" s="1135">
        <f>(CB87-BW87)/(CB36-BW36)</f>
        <v>0.42424242424242425</v>
      </c>
      <c r="CC308" s="1135">
        <f>(CC87-BX87)/(CC36-BX36)</f>
        <v>1.5</v>
      </c>
      <c r="CD308" s="1135">
        <f>(CD87-BY87)/(CD36-BY36)</f>
        <v>0.23255813953488372</v>
      </c>
      <c r="CE308" s="1108"/>
      <c r="CF308" s="88">
        <f>(CF87-CA87)/(CF36-CA36)</f>
        <v>0.84615384615384615</v>
      </c>
      <c r="CG308" s="88">
        <f>(CG87-CB87)/(CG36-CB36)</f>
        <v>0.2361111111111111</v>
      </c>
      <c r="CH308" s="88">
        <f>(CH87-CC87)/(CH36-CC36)</f>
        <v>0.21249999999999999</v>
      </c>
      <c r="CI308" s="88">
        <f>(CI87-CD87)/(CI36-CD36)</f>
        <v>0.35897435897435898</v>
      </c>
      <c r="CJ308" s="11"/>
      <c r="CK308" s="939">
        <f>(CK87-CF87)/(CK36-CF36)</f>
        <v>0.47457627118644069</v>
      </c>
      <c r="CL308" s="939">
        <f>(CL87-CG87)/(CL36-CG36)</f>
        <v>-6</v>
      </c>
      <c r="CM308" s="939">
        <f>(CM87-CH87)/(CM36-CH36)</f>
        <v>0.39285714285714285</v>
      </c>
      <c r="CN308" s="88">
        <f>(CN87-CI87)/(CN36-CI36)</f>
        <v>2.1818181818181817</v>
      </c>
      <c r="CO308" s="11"/>
      <c r="CP308" s="1621">
        <f>(CP87-CK87)/(CP36-CK36)</f>
        <v>-1</v>
      </c>
      <c r="CQ308" s="1621">
        <f>(CQ87-CL87)/(CQ36-CL36)</f>
        <v>7.0707070707070704E-2</v>
      </c>
      <c r="CR308" s="1621">
        <f>(CR87-CM87)/(CR36-CM36)</f>
        <v>0.21428571428571427</v>
      </c>
      <c r="CS308" s="88">
        <f>(CS87-CN87)/(CS36-CN36)</f>
        <v>-0.20634920634920634</v>
      </c>
      <c r="CT308" s="11"/>
      <c r="CU308" s="1621">
        <f>(CU87-CP87)/(CU36-CP36)</f>
        <v>1.6428571428571428</v>
      </c>
      <c r="CV308" s="1621">
        <f>(CV87-CQ87)/(CV36-CQ36)</f>
        <v>-7.5949367088607597E-2</v>
      </c>
      <c r="CW308" s="1621">
        <f>(CW87-CR87)/(CW36-CR36)</f>
        <v>0.55555555555555558</v>
      </c>
      <c r="CX308" s="1621">
        <f>(CX87-CS87)/(CX36-CS36)</f>
        <v>0.14754098360655737</v>
      </c>
      <c r="CY308" s="1108"/>
      <c r="CZ308" s="1621">
        <f>(CZ87-CU87)/(CZ36-CU36)</f>
        <v>1.1111111111111112</v>
      </c>
      <c r="DA308" s="1621">
        <f>(DA87-CV87)/(DA36-CV36)</f>
        <v>0.77142857142857146</v>
      </c>
      <c r="DB308" s="1621">
        <f>(DB87-CW87)/(DB36-CW36)</f>
        <v>3.3057851239669422E-2</v>
      </c>
      <c r="DC308" s="1621">
        <f>(DC87-CX87)/(DC36-CX36)</f>
        <v>0.1905282361436316</v>
      </c>
      <c r="DD308" s="1108"/>
      <c r="DE308" s="1108"/>
      <c r="DF308" s="1108"/>
      <c r="DG308" s="1108"/>
      <c r="DH308" s="1108"/>
      <c r="DI308" s="1108"/>
      <c r="DJ308" s="11"/>
      <c r="DK308" s="11"/>
      <c r="DL308" s="1108"/>
      <c r="DM308" s="1108"/>
      <c r="DN308" s="1108"/>
      <c r="DO308" s="1108"/>
      <c r="DP308" s="1108"/>
      <c r="DQ308" s="1108"/>
      <c r="DR308" s="1108"/>
      <c r="DS308" s="11"/>
      <c r="DT308" s="11"/>
    </row>
    <row r="309" spans="1:124">
      <c r="A309" s="1107" t="s">
        <v>668</v>
      </c>
      <c r="B309" s="6"/>
      <c r="C309" s="6"/>
      <c r="D309" s="6"/>
      <c r="E309" s="6"/>
      <c r="F309" s="6"/>
      <c r="G309" s="6"/>
      <c r="H309" s="6"/>
      <c r="I309" s="6"/>
      <c r="J309" s="6"/>
      <c r="K309" s="6"/>
      <c r="L309" s="1135"/>
      <c r="M309" s="88"/>
      <c r="N309" s="88"/>
      <c r="O309" s="2761"/>
      <c r="P309" s="2761"/>
      <c r="Q309" s="88"/>
      <c r="R309" s="1135"/>
      <c r="S309" s="2750"/>
      <c r="T309" s="1135"/>
      <c r="U309" s="1135"/>
      <c r="V309" s="1135"/>
      <c r="W309" s="1135"/>
      <c r="X309" s="1135"/>
      <c r="Y309" s="1135"/>
      <c r="Z309" s="1135"/>
      <c r="AA309" s="1135"/>
      <c r="AB309" s="1135"/>
      <c r="AC309" s="1135"/>
      <c r="AD309" s="1135"/>
      <c r="AE309" s="1135"/>
      <c r="AF309" s="1135"/>
      <c r="AG309" s="1135"/>
      <c r="AH309" s="1135"/>
      <c r="AI309" s="1135"/>
      <c r="AJ309" s="1135"/>
      <c r="AK309" s="1108"/>
      <c r="AL309" s="1107" t="s">
        <v>668</v>
      </c>
      <c r="AM309" s="6"/>
      <c r="AN309" s="6"/>
      <c r="AO309" s="6"/>
      <c r="AP309" s="6"/>
      <c r="AQ309" s="1103"/>
      <c r="AR309" s="6"/>
      <c r="AS309" s="6"/>
      <c r="AT309" s="6"/>
      <c r="AU309" s="6"/>
      <c r="AV309" s="1103"/>
      <c r="AW309" s="6"/>
      <c r="AX309" s="6"/>
      <c r="AY309" s="6"/>
      <c r="AZ309" s="6"/>
      <c r="BA309" s="1103"/>
      <c r="BB309" s="6"/>
      <c r="BC309" s="6"/>
      <c r="BD309" s="6"/>
      <c r="BE309" s="6"/>
      <c r="BF309" s="1103"/>
      <c r="BG309" s="6"/>
      <c r="BH309" s="6"/>
      <c r="BI309" s="6"/>
      <c r="BJ309" s="6"/>
      <c r="BK309" s="1103"/>
      <c r="BL309" s="6"/>
      <c r="BM309" s="6"/>
      <c r="BN309" s="6"/>
      <c r="BO309" s="6"/>
      <c r="BP309" s="1103"/>
      <c r="BQ309" s="1108"/>
      <c r="BR309" s="1108"/>
      <c r="BS309" s="1108"/>
      <c r="BT309" s="1108"/>
      <c r="BU309" s="1108"/>
      <c r="BV309" s="1135">
        <f>(BV91-BQ91)/(BV39-BQ39)</f>
        <v>1.0303030303030267</v>
      </c>
      <c r="BW309" s="1135">
        <f>(BW91-BR91)/(BW39-BR39)</f>
        <v>-0.31343283582089626</v>
      </c>
      <c r="BX309" s="1135">
        <f>(BX91-BS91)/(BX39-BS39)</f>
        <v>2.9565217391304204</v>
      </c>
      <c r="BY309" s="1135">
        <f>(BY91-BT91)/(BY39-BT39)</f>
        <v>-2.9259259259259376</v>
      </c>
      <c r="BZ309" s="1108"/>
      <c r="CA309" s="1135">
        <f>(CA91-BV91)/(CA39-BV39)</f>
        <v>0.14285714285714285</v>
      </c>
      <c r="CB309" s="1135">
        <f>(CB91-BW91)/(CB39-BW39)</f>
        <v>-1.6666666666666667</v>
      </c>
      <c r="CC309" s="1135">
        <f>(CC91-BX91)/(CC39-BX39)</f>
        <v>-0.1</v>
      </c>
      <c r="CD309" s="1135">
        <f>(CD91-BY91)/(CD39-BY39)</f>
        <v>-0.21428571428571427</v>
      </c>
      <c r="CE309" s="1108"/>
      <c r="CF309" s="88">
        <f>(CF91-CA91)/(CF39-CA39)</f>
        <v>-0.4</v>
      </c>
      <c r="CG309" s="1087" t="str">
        <f>IF((CG39-CB39)=0,"NA",(CG91-CB91)/(CG39-CB39))</f>
        <v>NA</v>
      </c>
      <c r="CH309" s="88">
        <f>(CH91-CC91)/(CH39-CC39)</f>
        <v>0.2857142857142857</v>
      </c>
      <c r="CI309" s="88">
        <f>(CI91-CD91)/(CI39-CD39)</f>
        <v>0.6</v>
      </c>
      <c r="CJ309" s="11"/>
      <c r="CK309" s="1469">
        <f>IF(ISERROR((CK91-CF91)/(CK39-CF39)),"NA",(CK91-CF91)/(CK39-CF39))</f>
        <v>-5.5555555555555552E-2</v>
      </c>
      <c r="CL309" s="1469">
        <f>IF(ISERROR((CL91-CG91)/(CL39-CG39)),"NA",(CL91-CG91)/(CL39-CG39))</f>
        <v>0.13636363636363635</v>
      </c>
      <c r="CM309" s="1469">
        <f>IF(ISERROR((CM91-CH91)/(CM39-CH39)),"NA",(CM91-CH91)/(CM39-CH39))</f>
        <v>0</v>
      </c>
      <c r="CN309" s="1469">
        <f>IF(ISERROR((CN91-CI91)/(CN39-CI39)),"NA",(CN91-CI91)/(CN39-CI39))</f>
        <v>1</v>
      </c>
      <c r="CO309" s="11"/>
      <c r="CP309" s="1622">
        <f>IF(ISERROR((CP91-CK91)/(CP39-CK39)),"NA",(CP91-CK91)/(CP39-CK39))</f>
        <v>0</v>
      </c>
      <c r="CQ309" s="1622">
        <f>IF(ISERROR((CQ91-CL91)/(CQ39-CL39)),"NA",(CQ91-CL91)/(CQ39-CL39))</f>
        <v>-0.25</v>
      </c>
      <c r="CR309" s="1622">
        <f>IF(ISERROR((CR91-CM91)/(CR39-CM39)),"NA",(CR91-CM91)/(CR39-CM39))</f>
        <v>0.25</v>
      </c>
      <c r="CS309" s="1469">
        <f>IF(ISERROR((CS91-CN91)/(CS39-CN39)),"NA",(CS91-CN91)/(CS39-CN39))</f>
        <v>0.5</v>
      </c>
      <c r="CT309" s="11"/>
      <c r="CU309" s="1622" t="str">
        <f>IF(ISERROR((CU91-CP91)/(CU39-CP39)),"NA",(CU91-CP91)/(CU39-CP39))</f>
        <v>NA</v>
      </c>
      <c r="CV309" s="1622">
        <f>IF(ISERROR((CV91-CQ91)/(CV39-CQ39)),"NA",(CV91-CQ91)/(CV39-CQ39))</f>
        <v>-8.3333333333333329E-2</v>
      </c>
      <c r="CW309" s="1622">
        <f>IF(ISERROR((CW91-CR91)/(CW39-CR39)),"NA",(CW91-CR91)/(CW39-CR39))</f>
        <v>4.3478260869565216E-2</v>
      </c>
      <c r="CX309" s="1622">
        <f>IF(ISERROR((CX91-CS91)/(CX39-CS39)),"NA",(CX91-CS91)/(CX39-CS39))</f>
        <v>-8.3333333333333329E-2</v>
      </c>
      <c r="CY309" s="1108"/>
      <c r="CZ309" s="1622">
        <f>IF(ISERROR((CZ91-CU91)/(CZ39-CU39)),"NA",(CZ91-CU91)/(CZ39-CU39))</f>
        <v>6.25E-2</v>
      </c>
      <c r="DA309" s="1622">
        <f>IF(ISERROR((DA91-CV91)/(DA39-CV39)),"NA",(DA91-CV91)/(DA39-CV39))</f>
        <v>0.10526315789473684</v>
      </c>
      <c r="DB309" s="1622">
        <f>IF(ISERROR((DB91-CW91)/(DB39-CW39)),"NA",(DB91-CW91)/(DB39-CW39))</f>
        <v>1.5</v>
      </c>
      <c r="DC309" s="1622" t="str">
        <f>IF(ISERROR((DC91-CX91)/(DC39-CX39)),"NA",(DC91-CX91)/(DC39-CX39))</f>
        <v>NA</v>
      </c>
      <c r="DD309" s="1108"/>
      <c r="DE309" s="1108"/>
      <c r="DF309" s="1108"/>
      <c r="DG309" s="1108"/>
      <c r="DH309" s="1108"/>
      <c r="DI309" s="1108"/>
      <c r="DJ309" s="11"/>
      <c r="DK309" s="11"/>
      <c r="DL309" s="1108"/>
      <c r="DM309" s="1108"/>
      <c r="DN309" s="11"/>
      <c r="DO309" s="11"/>
      <c r="DP309" s="11"/>
      <c r="DQ309" s="11"/>
      <c r="DR309" s="11"/>
      <c r="DS309" s="11"/>
      <c r="DT309" s="11"/>
    </row>
    <row r="310" spans="1:124">
      <c r="A310" s="397" t="s">
        <v>1148</v>
      </c>
      <c r="B310" s="6"/>
      <c r="C310" s="6"/>
      <c r="D310" s="6"/>
      <c r="E310" s="6"/>
      <c r="F310" s="6"/>
      <c r="G310" s="6"/>
      <c r="H310" s="6"/>
      <c r="I310" s="6"/>
      <c r="J310" s="6"/>
      <c r="K310" s="6"/>
      <c r="L310" s="1135">
        <f>(L99-K99)/(L45-K45)</f>
        <v>0.56010230179028131</v>
      </c>
      <c r="M310" s="88">
        <f>(M99-L99)/(M45-L45)</f>
        <v>0.2525651144435675</v>
      </c>
      <c r="N310" s="1135">
        <f>(N99-M99)/(N45-M45)</f>
        <v>0.80769230769230771</v>
      </c>
      <c r="O310" s="2750"/>
      <c r="P310" s="2750"/>
      <c r="Q310" s="1135">
        <f>(Q99-P99)/(Q45-P45)</f>
        <v>-0.25888324873096447</v>
      </c>
      <c r="R310" s="1135">
        <f t="shared" ref="R310:AE310" si="551">(R99-Q99)/(R45-Q45)</f>
        <v>0.68313953488372092</v>
      </c>
      <c r="S310" s="2750"/>
      <c r="T310" s="1135">
        <f>(T99-R99)/(T45-R45)</f>
        <v>0.11963591377622057</v>
      </c>
      <c r="U310" s="1135">
        <f t="shared" si="551"/>
        <v>0.14278843495198656</v>
      </c>
      <c r="V310" s="1135">
        <f t="shared" si="551"/>
        <v>0.19094076422993525</v>
      </c>
      <c r="W310" s="1135">
        <f t="shared" si="551"/>
        <v>0.8286511935889207</v>
      </c>
      <c r="X310" s="1135">
        <f t="shared" si="551"/>
        <v>0.30798031107832591</v>
      </c>
      <c r="Y310" s="1135">
        <f t="shared" si="551"/>
        <v>0.15379265296608008</v>
      </c>
      <c r="Z310" s="1135">
        <f t="shared" si="551"/>
        <v>-0.78355676997865575</v>
      </c>
      <c r="AA310" s="1135">
        <f t="shared" si="551"/>
        <v>2.0079585744357146E-2</v>
      </c>
      <c r="AB310" s="1135">
        <f t="shared" si="551"/>
        <v>0.12128364080710441</v>
      </c>
      <c r="AC310" s="1135">
        <f t="shared" si="551"/>
        <v>0.3680780287244329</v>
      </c>
      <c r="AD310" s="1135">
        <f t="shared" si="551"/>
        <v>0.1339202557662923</v>
      </c>
      <c r="AE310" s="1135">
        <f t="shared" si="551"/>
        <v>3.9223261915752136E-2</v>
      </c>
      <c r="AF310" s="1135"/>
      <c r="AG310" s="1135"/>
      <c r="AH310" s="1135"/>
      <c r="AI310" s="1135"/>
      <c r="AJ310" s="1135"/>
      <c r="AK310" s="1108"/>
      <c r="AL310" s="397" t="s">
        <v>1148</v>
      </c>
      <c r="AM310" s="6"/>
      <c r="AN310" s="6"/>
      <c r="AO310" s="6"/>
      <c r="AP310" s="6"/>
      <c r="AQ310" s="1103"/>
      <c r="AR310" s="6"/>
      <c r="AS310" s="6"/>
      <c r="AT310" s="6"/>
      <c r="AU310" s="6"/>
      <c r="AV310" s="1103"/>
      <c r="AW310" s="6"/>
      <c r="AX310" s="6"/>
      <c r="AY310" s="6"/>
      <c r="AZ310" s="6"/>
      <c r="BA310" s="1103"/>
      <c r="BB310" s="6"/>
      <c r="BC310" s="6"/>
      <c r="BD310" s="6"/>
      <c r="BE310" s="6"/>
      <c r="BF310" s="1103"/>
      <c r="BG310" s="6"/>
      <c r="BH310" s="6"/>
      <c r="BI310" s="6"/>
      <c r="BJ310" s="6"/>
      <c r="BK310" s="1103"/>
      <c r="BL310" s="6"/>
      <c r="BM310" s="6"/>
      <c r="BN310" s="6"/>
      <c r="BO310" s="6"/>
      <c r="BP310" s="1103"/>
      <c r="BQ310" s="1108"/>
      <c r="BR310" s="1108"/>
      <c r="BS310" s="1108"/>
      <c r="BT310" s="1108"/>
      <c r="BU310" s="1108"/>
      <c r="BV310" s="1135">
        <f>(BV99-BQ99)/(BV45-BQ45)</f>
        <v>-3.01858108108109</v>
      </c>
      <c r="BW310" s="1135">
        <f>(BW99-BR99)/(BW45-BR45)</f>
        <v>1.319127849355797</v>
      </c>
      <c r="BX310" s="1135">
        <f>(BX99-BS99)/(BX45-BS45)</f>
        <v>2.4688427299703402</v>
      </c>
      <c r="BY310" s="1135">
        <f>(BY99-BT99)/(BY45-BT45)</f>
        <v>-52.062500000002927</v>
      </c>
      <c r="BZ310" s="1108"/>
      <c r="CA310" s="1135">
        <f>(CA99-BV99)/(CA45-BV45)</f>
        <v>0.5</v>
      </c>
      <c r="CB310" s="1135">
        <f>(CB99-BW99)/(CB45-BW45)</f>
        <v>0.1111111111111111</v>
      </c>
      <c r="CC310" s="1135">
        <f>(CC99-BX99)/(CC45-BX45)</f>
        <v>7.407407407407407E-2</v>
      </c>
      <c r="CD310" s="1135">
        <f>(CD99-BY99)/(CD45-BY45)</f>
        <v>1</v>
      </c>
      <c r="CE310" s="1108"/>
      <c r="CF310" s="88">
        <f>(CF99-CA99)/(CF45-CA45)</f>
        <v>0.38429752066115702</v>
      </c>
      <c r="CG310" s="88">
        <f>(CG99-CB99)/(CG45-CB45)</f>
        <v>8.5790884718498661E-2</v>
      </c>
      <c r="CH310" s="88">
        <f>(CH99-CC99)/(CH45-CC45)</f>
        <v>0.22486772486772486</v>
      </c>
      <c r="CI310" s="88">
        <f>(CI99-CD99)/(CI45-CD45)</f>
        <v>0.40145985401459855</v>
      </c>
      <c r="CJ310" s="11"/>
      <c r="CK310" s="939">
        <f>(CK99-CF99)/(CK45-CF45)</f>
        <v>-3.0769230769230771E-2</v>
      </c>
      <c r="CL310" s="939">
        <f>(CL99-CG99)/(CL45-CG45)</f>
        <v>0.24836601307189543</v>
      </c>
      <c r="CM310" s="939">
        <f>(CM99-CH99)/(CM45-CH45)</f>
        <v>-2.8333333333333335</v>
      </c>
      <c r="CN310" s="88">
        <f>(CN99-CI99)/(CN45-CI45)</f>
        <v>-1.603448275862069</v>
      </c>
      <c r="CO310" s="11"/>
      <c r="CP310" s="1621">
        <f>(CP99-CK99)/(CP45-CK45)</f>
        <v>1.6875</v>
      </c>
      <c r="CQ310" s="1621">
        <f>(CQ99-CL99)/(CQ45-CL45)</f>
        <v>-1.9459459459459461</v>
      </c>
      <c r="CR310" s="1621">
        <f>(CR99-CM99)/(CR45-CM45)</f>
        <v>-0.20547945205479451</v>
      </c>
      <c r="CS310" s="88">
        <f>(CS99-CN99)/(CS45-CN45)</f>
        <v>0.30960854092526691</v>
      </c>
      <c r="CT310" s="11"/>
      <c r="CU310" s="1621">
        <f>(CU99-CP99)/(CU45-CP45)</f>
        <v>0.25320512820512819</v>
      </c>
      <c r="CV310" s="1621">
        <f>(CV99-CQ99)/(CV45-CQ45)</f>
        <v>1.323943661971831</v>
      </c>
      <c r="CW310" s="1621">
        <f>(CW99-CR99)/(CW45-CR45)</f>
        <v>0.41964285714285715</v>
      </c>
      <c r="CX310" s="1621">
        <f>(CX99-CS99)/(CX45-CS45)</f>
        <v>-9.9337748344370855E-2</v>
      </c>
      <c r="CY310" s="1108"/>
      <c r="CZ310" s="1621">
        <f>(CZ99-CU99)/(CZ45-CU45)</f>
        <v>0.15048543689320387</v>
      </c>
      <c r="DA310" s="1621">
        <f>(DA99-CV99)/(DA45-CV45)</f>
        <v>7.2164948453608241E-2</v>
      </c>
      <c r="DB310" s="1621">
        <f>(DB99-CW99)/(DB45-CW45)</f>
        <v>8.1818181818181818E-2</v>
      </c>
      <c r="DC310" s="1621">
        <f>(DC99-CX99)/(DC45-CX45)</f>
        <v>0.19287416687324058</v>
      </c>
      <c r="DD310" s="1108"/>
      <c r="DE310" s="1108"/>
      <c r="DF310" s="1108"/>
      <c r="DG310" s="1108"/>
      <c r="DH310" s="1108"/>
      <c r="DI310" s="1108"/>
      <c r="DJ310" s="11"/>
      <c r="DK310" s="11"/>
      <c r="DL310" s="1108"/>
      <c r="DM310" s="1108"/>
      <c r="DN310" s="11"/>
      <c r="DO310" s="11"/>
      <c r="DP310" s="11"/>
      <c r="DQ310" s="11"/>
      <c r="DR310" s="11"/>
      <c r="DS310" s="11"/>
      <c r="DT310" s="11"/>
    </row>
    <row r="311" spans="1:124">
      <c r="A311" s="6"/>
      <c r="B311" s="6"/>
      <c r="C311" s="6"/>
      <c r="D311" s="6"/>
      <c r="E311" s="6"/>
      <c r="F311" s="6"/>
      <c r="G311" s="6"/>
      <c r="H311" s="6"/>
      <c r="I311" s="6"/>
      <c r="J311" s="6"/>
      <c r="K311" s="6"/>
      <c r="L311" s="1108"/>
      <c r="M311" s="11"/>
      <c r="N311" s="6"/>
      <c r="O311" s="2706"/>
      <c r="P311" s="2706"/>
      <c r="Q311" s="6"/>
      <c r="R311" s="6"/>
      <c r="S311" s="2706"/>
      <c r="T311" s="6"/>
      <c r="U311" s="6"/>
      <c r="V311" s="6"/>
      <c r="W311" s="6"/>
      <c r="X311" s="6"/>
      <c r="Y311" s="6"/>
      <c r="Z311" s="6"/>
      <c r="AA311" s="6"/>
      <c r="AB311" s="6"/>
      <c r="AC311" s="1108"/>
      <c r="AD311" s="1108"/>
      <c r="AE311" s="1108"/>
      <c r="AF311" s="6"/>
      <c r="AG311" s="6"/>
      <c r="AH311" s="6"/>
      <c r="AI311" s="6"/>
      <c r="AJ311" s="6"/>
      <c r="AK311" s="1108"/>
      <c r="AL311" s="6"/>
      <c r="AM311" s="6"/>
      <c r="AN311" s="6"/>
      <c r="AO311" s="6"/>
      <c r="AP311" s="6"/>
      <c r="AQ311" s="1103"/>
      <c r="AR311" s="6"/>
      <c r="AS311" s="6"/>
      <c r="AT311" s="6"/>
      <c r="AU311" s="6"/>
      <c r="AV311" s="1103"/>
      <c r="AW311" s="6"/>
      <c r="AX311" s="6"/>
      <c r="AY311" s="6"/>
      <c r="AZ311" s="6"/>
      <c r="BA311" s="1103"/>
      <c r="BB311" s="6"/>
      <c r="BC311" s="6"/>
      <c r="BD311" s="6"/>
      <c r="BE311" s="6"/>
      <c r="BF311" s="1103"/>
      <c r="BG311" s="6"/>
      <c r="BH311" s="6"/>
      <c r="BI311" s="6"/>
      <c r="BJ311" s="6"/>
      <c r="BK311" s="1103"/>
      <c r="BL311" s="6"/>
      <c r="BM311" s="6"/>
      <c r="BN311" s="6"/>
      <c r="BO311" s="6"/>
      <c r="BP311" s="1103"/>
      <c r="BQ311" s="1108"/>
      <c r="BR311" s="1108"/>
      <c r="BS311" s="1108"/>
      <c r="BT311" s="1108"/>
      <c r="BU311" s="1108"/>
      <c r="BV311" s="1108"/>
      <c r="BW311" s="1108"/>
      <c r="BX311" s="1108"/>
      <c r="BY311" s="1108"/>
      <c r="BZ311" s="1108"/>
      <c r="CA311" s="1108"/>
      <c r="CB311" s="1108"/>
      <c r="CC311" s="1108"/>
      <c r="CD311" s="1108"/>
      <c r="CE311" s="1108"/>
      <c r="CF311" s="11"/>
      <c r="CG311" s="11"/>
      <c r="CH311" s="11"/>
      <c r="CI311" s="11"/>
      <c r="CJ311" s="11"/>
      <c r="CK311" s="906"/>
      <c r="CL311" s="906"/>
      <c r="CM311" s="906"/>
      <c r="CN311" s="11"/>
      <c r="CO311" s="11"/>
      <c r="CP311" s="906"/>
      <c r="CQ311" s="906"/>
      <c r="CR311" s="906"/>
      <c r="CS311" s="11"/>
      <c r="CT311" s="11"/>
      <c r="CU311" s="906"/>
      <c r="CV311" s="906"/>
      <c r="CW311" s="906"/>
      <c r="CX311" s="906"/>
      <c r="CY311" s="1108"/>
      <c r="CZ311" s="906"/>
      <c r="DA311" s="906"/>
      <c r="DB311" s="906"/>
      <c r="DC311" s="906"/>
      <c r="DD311" s="1108"/>
      <c r="DE311" s="1108"/>
      <c r="DF311" s="1108"/>
      <c r="DG311" s="1108"/>
      <c r="DH311" s="1108"/>
      <c r="DI311" s="1108"/>
      <c r="DJ311" s="11"/>
      <c r="DK311" s="11"/>
      <c r="DL311" s="1108"/>
      <c r="DM311" s="1108"/>
      <c r="DN311" s="11"/>
      <c r="DO311" s="11"/>
      <c r="DP311" s="11"/>
      <c r="DQ311" s="11"/>
      <c r="DR311" s="11"/>
      <c r="DS311" s="11"/>
      <c r="DT311" s="11"/>
    </row>
    <row r="312" spans="1:124">
      <c r="A312" s="1111" t="s">
        <v>712</v>
      </c>
      <c r="B312" s="6"/>
      <c r="C312" s="6"/>
      <c r="D312" s="6"/>
      <c r="E312" s="6"/>
      <c r="F312" s="6"/>
      <c r="G312" s="6"/>
      <c r="H312" s="6"/>
      <c r="I312" s="6"/>
      <c r="J312" s="6"/>
      <c r="K312" s="6"/>
      <c r="L312" s="1135">
        <f>(L149-K149)/(L123-K123)</f>
        <v>0.88228980322003603</v>
      </c>
      <c r="M312" s="88">
        <f>(M149-L149)/(M123-L123)</f>
        <v>0.75577464788732507</v>
      </c>
      <c r="N312" s="1135">
        <f>(N149-M149)/(N123-M123)</f>
        <v>1.3323343848580476</v>
      </c>
      <c r="O312" s="2750"/>
      <c r="P312" s="2750"/>
      <c r="Q312" s="1135">
        <f>(Q149-P149)/(Q123-P123)</f>
        <v>-0.12654676258992725</v>
      </c>
      <c r="R312" s="1135">
        <f t="shared" ref="R312:AE312" si="552">(R149-Q149)/(R123-Q123)</f>
        <v>0.66737967914438479</v>
      </c>
      <c r="S312" s="2750"/>
      <c r="T312" s="1135">
        <f>(T149-R149)/(T123-R123)</f>
        <v>1.3927351920731503</v>
      </c>
      <c r="U312" s="1135">
        <f t="shared" si="552"/>
        <v>0.5743781470816689</v>
      </c>
      <c r="V312" s="1135">
        <f t="shared" si="552"/>
        <v>-9.8178150070985348E-2</v>
      </c>
      <c r="W312" s="1135">
        <f t="shared" si="552"/>
        <v>0.4397460186377421</v>
      </c>
      <c r="X312" s="1135">
        <f t="shared" si="552"/>
        <v>-0.96955245645975718</v>
      </c>
      <c r="Y312" s="1135">
        <f t="shared" si="552"/>
        <v>0.51481761892639</v>
      </c>
      <c r="Z312" s="1135">
        <f t="shared" si="552"/>
        <v>3.1528136285477086</v>
      </c>
      <c r="AA312" s="1135">
        <f t="shared" si="552"/>
        <v>0.5135781832720353</v>
      </c>
      <c r="AB312" s="1135">
        <f t="shared" si="552"/>
        <v>5.0498823667216888</v>
      </c>
      <c r="AC312" s="1135">
        <f t="shared" si="552"/>
        <v>0.24213530238238221</v>
      </c>
      <c r="AD312" s="1135">
        <f t="shared" si="552"/>
        <v>5.364376853829655</v>
      </c>
      <c r="AE312" s="1135">
        <f t="shared" si="552"/>
        <v>0.65405679183622489</v>
      </c>
      <c r="AF312" s="1135"/>
      <c r="AG312" s="1135"/>
      <c r="AH312" s="1135"/>
      <c r="AI312" s="1135"/>
      <c r="AJ312" s="1135"/>
      <c r="AK312" s="1108"/>
      <c r="AL312" s="1111" t="s">
        <v>712</v>
      </c>
      <c r="AM312" s="6"/>
      <c r="AN312" s="6"/>
      <c r="AO312" s="6"/>
      <c r="AP312" s="6"/>
      <c r="AQ312" s="1103"/>
      <c r="AR312" s="6"/>
      <c r="AS312" s="6"/>
      <c r="AT312" s="6"/>
      <c r="AU312" s="6"/>
      <c r="AV312" s="1103"/>
      <c r="AW312" s="6"/>
      <c r="AX312" s="6"/>
      <c r="AY312" s="6"/>
      <c r="AZ312" s="6"/>
      <c r="BA312" s="1103"/>
      <c r="BB312" s="6"/>
      <c r="BC312" s="6"/>
      <c r="BD312" s="6"/>
      <c r="BE312" s="6"/>
      <c r="BF312" s="1103"/>
      <c r="BG312" s="6"/>
      <c r="BH312" s="6"/>
      <c r="BI312" s="6"/>
      <c r="BJ312" s="6"/>
      <c r="BK312" s="1103"/>
      <c r="BL312" s="6"/>
      <c r="BM312" s="6"/>
      <c r="BN312" s="6"/>
      <c r="BO312" s="6"/>
      <c r="BP312" s="1103"/>
      <c r="BQ312" s="1108"/>
      <c r="BR312" s="1108"/>
      <c r="BS312" s="1108"/>
      <c r="BT312" s="1108"/>
      <c r="BU312" s="1108"/>
      <c r="BV312" s="1135">
        <f>(BV149-BQ149)/(BV123-BQ123)</f>
        <v>7.9277194656489494</v>
      </c>
      <c r="BW312" s="1135">
        <f>(BW149-BR149)/(BW123-BR123)</f>
        <v>27.405283867341286</v>
      </c>
      <c r="BX312" s="1135">
        <f>(BX149-BS149)/(BX123-BS123)</f>
        <v>0.2095774647887321</v>
      </c>
      <c r="BY312" s="1135">
        <f>(BY149-BT149)/(BY123-BT123)</f>
        <v>0.61308635559121294</v>
      </c>
      <c r="BZ312" s="1108"/>
      <c r="CA312" s="1135">
        <f>(CA149-BV149)/(CA123-BV123)</f>
        <v>-1.1482291109510127E-2</v>
      </c>
      <c r="CB312" s="1135">
        <f>(CB149-BW149)/(CB123-BW123)</f>
        <v>0.83829694460395499</v>
      </c>
      <c r="CC312" s="1135">
        <f>(CC149-BX149)/(CC123-BX123)</f>
        <v>1.2127211646136635</v>
      </c>
      <c r="CD312" s="1135">
        <f>(CD149-BY149)/(CD123-BY123)</f>
        <v>0.87676175283926083</v>
      </c>
      <c r="CE312" s="1108"/>
      <c r="CF312" s="88">
        <f>(CF149-CA149)/(CF123-CA123)</f>
        <v>1.7901249999999997</v>
      </c>
      <c r="CG312" s="88">
        <f>(CG149-CB149)/(CG123-CB123)</f>
        <v>-1.5626666666666627</v>
      </c>
      <c r="CH312" s="88">
        <f>(CH149-CC149)/(CH123-CC123)</f>
        <v>1.3482172188135613</v>
      </c>
      <c r="CI312" s="88">
        <f>(CI149-CD149)/(CI123-CD123)</f>
        <v>1.0449196351904915</v>
      </c>
      <c r="CJ312" s="11"/>
      <c r="CK312" s="939">
        <f>(CK149-CF149)/(CK123-CF123)</f>
        <v>-0.25532741709344742</v>
      </c>
      <c r="CL312" s="939">
        <f>(CL149-CG149)/(CL123-CG123)</f>
        <v>0.83008900158753907</v>
      </c>
      <c r="CM312" s="939">
        <f>(CM149-CH149)/(CM123-CH123)</f>
        <v>1.0727301132075557</v>
      </c>
      <c r="CN312" s="88">
        <f>(CN149-CI149)/(CN123-CI123)</f>
        <v>0.91417706307249191</v>
      </c>
      <c r="CO312" s="11"/>
      <c r="CP312" s="1621">
        <f>(CP149-CK149)/(CP123-CK123)</f>
        <v>5.4818301786972272E-2</v>
      </c>
      <c r="CQ312" s="1621">
        <f>(CQ149-CL149)/(CQ123-CL123)</f>
        <v>0.22349133356451281</v>
      </c>
      <c r="CR312" s="1621">
        <f>(CR149-CM149)/(CR123-CM123)</f>
        <v>0.12182712711448965</v>
      </c>
      <c r="CS312" s="88">
        <f>(CS149-CN149)/(CS123-CN123)</f>
        <v>-2.1344990681438407</v>
      </c>
      <c r="CT312" s="11"/>
      <c r="CU312" s="1621">
        <f>(CU149-CP149)/(CU123-CP123)</f>
        <v>0.5208904109589042</v>
      </c>
      <c r="CV312" s="1621">
        <f>(CV149-CQ149)/(CV123-CQ123)</f>
        <v>0.14722222222222411</v>
      </c>
      <c r="CW312" s="1621">
        <f>(CW149-CR149)/(CW123-CR123)</f>
        <v>0.60606060606060608</v>
      </c>
      <c r="CX312" s="1621">
        <f>(CX149-CS149)/(CX123-CS123)</f>
        <v>0.90902777777777766</v>
      </c>
      <c r="CY312" s="1108"/>
      <c r="CZ312" s="1621">
        <f>(CZ149-CU149)/(CZ123-CU123)</f>
        <v>0.69230769230769229</v>
      </c>
      <c r="DA312" s="1621">
        <f>(DA149-CV149)/(DA123-CV123)</f>
        <v>-0.14375000000000071</v>
      </c>
      <c r="DB312" s="1621">
        <f>(DB149-CW149)/(DB123-CW123)</f>
        <v>1.4166666666666667</v>
      </c>
      <c r="DC312" s="1621">
        <f>(DC149-CX149)/(DC123-CX123)</f>
        <v>1.4492723484787913</v>
      </c>
      <c r="DD312" s="1108"/>
      <c r="DE312" s="1108"/>
      <c r="DF312" s="1108"/>
      <c r="DG312" s="1108"/>
      <c r="DH312" s="1108"/>
      <c r="DI312" s="1108"/>
      <c r="DJ312" s="11"/>
      <c r="DK312" s="11"/>
      <c r="DL312" s="1108"/>
      <c r="DM312" s="1108"/>
      <c r="DN312" s="11"/>
      <c r="DO312" s="11"/>
      <c r="DP312" s="11"/>
      <c r="DQ312" s="11"/>
      <c r="DR312" s="11"/>
      <c r="DS312" s="11"/>
      <c r="DT312" s="11"/>
    </row>
    <row r="313" spans="1:124">
      <c r="A313" s="1111" t="s">
        <v>1205</v>
      </c>
      <c r="B313" s="6"/>
      <c r="C313" s="6"/>
      <c r="D313" s="6"/>
      <c r="E313" s="6"/>
      <c r="F313" s="6"/>
      <c r="G313" s="6"/>
      <c r="H313" s="6"/>
      <c r="I313" s="6"/>
      <c r="J313" s="6"/>
      <c r="K313" s="6"/>
      <c r="L313" s="1135">
        <f>(L153-K153)/(L128-K128)</f>
        <v>-0.34925373134328469</v>
      </c>
      <c r="M313" s="88"/>
      <c r="N313" s="1135">
        <f>(N153-M153)/(N128-M128)</f>
        <v>5.1382352941175178</v>
      </c>
      <c r="O313" s="2750"/>
      <c r="P313" s="2750"/>
      <c r="Q313" s="2750"/>
      <c r="R313" s="2750"/>
      <c r="S313" s="2750"/>
      <c r="T313" s="2750"/>
      <c r="U313" s="2750"/>
      <c r="V313" s="2750"/>
      <c r="W313" s="2750"/>
      <c r="X313" s="2750"/>
      <c r="Y313" s="2750"/>
      <c r="Z313" s="2750"/>
      <c r="AA313" s="2750"/>
      <c r="AB313" s="2750"/>
      <c r="AC313" s="2750"/>
      <c r="AD313" s="2750"/>
      <c r="AE313" s="2750"/>
      <c r="AF313" s="2750"/>
      <c r="AG313" s="2750"/>
      <c r="AH313" s="2750"/>
      <c r="AI313" s="2750"/>
      <c r="AJ313" s="1135"/>
      <c r="AK313" s="1108"/>
      <c r="AL313" s="1111" t="s">
        <v>1205</v>
      </c>
      <c r="AM313" s="6"/>
      <c r="AN313" s="6"/>
      <c r="AO313" s="6"/>
      <c r="AP313" s="6"/>
      <c r="AQ313" s="1103"/>
      <c r="AR313" s="6"/>
      <c r="AS313" s="6"/>
      <c r="AT313" s="6"/>
      <c r="AU313" s="6"/>
      <c r="AV313" s="1103"/>
      <c r="AW313" s="6"/>
      <c r="AX313" s="6"/>
      <c r="AY313" s="6"/>
      <c r="AZ313" s="6"/>
      <c r="BA313" s="1103"/>
      <c r="BB313" s="6"/>
      <c r="BC313" s="6"/>
      <c r="BD313" s="6"/>
      <c r="BE313" s="6"/>
      <c r="BF313" s="1103"/>
      <c r="BG313" s="6"/>
      <c r="BH313" s="6"/>
      <c r="BI313" s="6"/>
      <c r="BJ313" s="6"/>
      <c r="BK313" s="1103"/>
      <c r="BL313" s="6"/>
      <c r="BM313" s="6"/>
      <c r="BN313" s="6"/>
      <c r="BO313" s="6"/>
      <c r="BP313" s="1103"/>
      <c r="BQ313" s="1108"/>
      <c r="BR313" s="1108"/>
      <c r="BS313" s="1108"/>
      <c r="BT313" s="1108"/>
      <c r="BU313" s="1108"/>
      <c r="BV313" s="1135">
        <f>(BV153-BQ153)/(BV128-BQ128)</f>
        <v>0.15626105412097524</v>
      </c>
      <c r="BW313" s="1135">
        <f>(BW153-BR153)/(BW128-BR128)</f>
        <v>-0.70332899542421012</v>
      </c>
      <c r="BX313" s="1135"/>
      <c r="BY313" s="1135">
        <f>(BY153-BT153)/(BY128-BT128)</f>
        <v>0.31287837247684208</v>
      </c>
      <c r="BZ313" s="1108"/>
      <c r="CA313" s="1135">
        <f>(CA153-BV153)/(CA128-BV128)</f>
        <v>-0.35356180784196201</v>
      </c>
      <c r="CB313" s="1135">
        <f>(CB153-BW153)/(CB128-BW128)</f>
        <v>-0.16992679093894059</v>
      </c>
      <c r="CC313" s="1135">
        <f>(CC153-BX153)/(CC128-BX128)</f>
        <v>-0.11116883116882971</v>
      </c>
      <c r="CD313" s="1135">
        <f>(CD153-BY153)/(CD128-BY128)</f>
        <v>1.2054375146765739</v>
      </c>
      <c r="CE313" s="1108"/>
      <c r="CF313" s="1087" t="str">
        <f>IF((CF128-CA128)=0,"NA",(CF153-CA153)/(CF128-CA128))</f>
        <v>NA</v>
      </c>
      <c r="CG313" s="1087" t="str">
        <f>IF((CG128-CB128)=0,"NA",(CG153-CB153)/(CG128-CB128))</f>
        <v>NA</v>
      </c>
      <c r="CH313" s="1087">
        <f>IF((CH128-CC128)=0,"NA",(CH153-CC153)/(CH128-CC128))</f>
        <v>-0.22056694753763922</v>
      </c>
      <c r="CI313" s="1087">
        <f>IF((CI128-CD128)=0,"NA",(CI153-CD153)/(CI128-CD128))</f>
        <v>0.15808171044056571</v>
      </c>
      <c r="CJ313" s="11"/>
      <c r="CK313" s="1469">
        <f>IF((CK128-CF128)=0,"NA",(CK153-CF153)/(CK128-CF128))</f>
        <v>-0.70302994670698615</v>
      </c>
      <c r="CL313" s="1469">
        <f>IF((CL128-CG128)=0,"NA",(CL153-CG153)/(CL128-CG128))</f>
        <v>0.22789015694435188</v>
      </c>
      <c r="CM313" s="1469">
        <f>IF((CM128-CH128)=0,"NA",(CM153-CH153)/(CM128-CH128))</f>
        <v>-2.2504030057079505</v>
      </c>
      <c r="CN313" s="1087">
        <f>IF((CN128-CI128)=0,"NA",(CN153-CI153)/(CN128-CI128))</f>
        <v>-0.65440519134656128</v>
      </c>
      <c r="CO313" s="11"/>
      <c r="CP313" s="1622">
        <f>IF((CP128-CK128)=0,"NA",(CP153-CK153)/(CP128-CK128))</f>
        <v>0.93330144995004582</v>
      </c>
      <c r="CQ313" s="1622">
        <f>IF((CQ128-CL128)=0,"NA",(CQ153-CL153)/(CQ128-CL128))</f>
        <v>3.2452643832234069</v>
      </c>
      <c r="CR313" s="1622">
        <f>IF((CR128-CM128)=0,"NA",(CR153-CM153)/(CR128-CM128))</f>
        <v>1.3953306313317682</v>
      </c>
      <c r="CS313" s="1087">
        <f>IF((CS128-CN128)=0,"NA",(CS153-CN153)/(CS128-CN128))</f>
        <v>1.2185485075834213</v>
      </c>
      <c r="CT313" s="11"/>
      <c r="CU313" s="1622">
        <f>IF((CU128-CP128)=0,"NA",(CU153-CP153)/(CU128-CP128))</f>
        <v>0.21780442804428043</v>
      </c>
      <c r="CV313" s="1622">
        <f>IF((CV128-CQ128)=0,"NA",(CV153-CQ153)/(CV128-CQ128))</f>
        <v>0.24221698113207549</v>
      </c>
      <c r="CW313" s="1622">
        <f>IF((CW128-CR128)=0,"NA",(CW153-CR153)/(CW128-CR128))</f>
        <v>0.25471698113207547</v>
      </c>
      <c r="CX313" s="1622">
        <f>IF((CX128-CS128)=0,"NA",(CX153-CS153)/(CX128-CS128))</f>
        <v>0.27523076923076922</v>
      </c>
      <c r="CY313" s="1108"/>
      <c r="CZ313" s="1622" t="str">
        <f>IF((CZ128-CU128)=0,"NA",(CZ153-CU153)/(CZ128-CU128))</f>
        <v>NA</v>
      </c>
      <c r="DA313" s="1622" t="str">
        <f>IF((DA128-CV128)=0,"NA",(DA153-CV153)/(DA128-CV128))</f>
        <v>NA</v>
      </c>
      <c r="DB313" s="1622" t="str">
        <f>IF((DB128-CW128)=0,"NA",(DB153-CW153)/(DB128-CW128))</f>
        <v>NA</v>
      </c>
      <c r="DC313" s="1622" t="str">
        <f>IF((DC128-CX128)=0,"NA",(DC153-CX153)/(DC128-CX128))</f>
        <v>NA</v>
      </c>
      <c r="DD313" s="1108"/>
      <c r="DE313" s="1108"/>
      <c r="DF313" s="1108"/>
      <c r="DG313" s="1108"/>
      <c r="DH313" s="1108"/>
      <c r="DI313" s="1108"/>
      <c r="DJ313" s="11"/>
      <c r="DK313" s="11"/>
      <c r="DL313" s="1108"/>
      <c r="DM313" s="1108"/>
      <c r="DN313" s="11"/>
      <c r="DO313" s="11"/>
      <c r="DP313" s="11"/>
      <c r="DQ313" s="11"/>
      <c r="DR313" s="11"/>
      <c r="DS313" s="11"/>
      <c r="DT313" s="11"/>
    </row>
    <row r="314" spans="1:124">
      <c r="A314" s="468" t="s">
        <v>713</v>
      </c>
      <c r="B314" s="6"/>
      <c r="C314" s="6"/>
      <c r="D314" s="6"/>
      <c r="E314" s="6"/>
      <c r="F314" s="6"/>
      <c r="G314" s="6"/>
      <c r="H314" s="6"/>
      <c r="I314" s="6"/>
      <c r="J314" s="6"/>
      <c r="K314" s="6"/>
      <c r="L314" s="1135">
        <f>(L157-K157)/(L131-K131)</f>
        <v>1.2705882352941176</v>
      </c>
      <c r="M314" s="88">
        <f>(M157-L157)/(M131-L131)</f>
        <v>0.75641025641025639</v>
      </c>
      <c r="N314" s="1135">
        <f>(N157-M157)/(N131-M131)</f>
        <v>1.1166666666666667</v>
      </c>
      <c r="O314" s="2750"/>
      <c r="P314" s="2750"/>
      <c r="Q314" s="1135">
        <f>(Q157-P157)/(Q131-P131)</f>
        <v>-1.7794117647058822</v>
      </c>
      <c r="R314" s="1135">
        <f t="shared" ref="R314:AE314" si="553">(R157-Q157)/(R131-Q131)</f>
        <v>0.82457142857142829</v>
      </c>
      <c r="S314" s="2750"/>
      <c r="T314" s="1135">
        <f>(T157-R157)/(T131-R131)</f>
        <v>0.33505940853355409</v>
      </c>
      <c r="U314" s="1135">
        <f t="shared" si="553"/>
        <v>0.5743781470816689</v>
      </c>
      <c r="V314" s="1135">
        <f t="shared" si="553"/>
        <v>-9.8178150070985348E-2</v>
      </c>
      <c r="W314" s="1135">
        <f t="shared" si="553"/>
        <v>0.4397460186377421</v>
      </c>
      <c r="X314" s="1135">
        <f t="shared" si="553"/>
        <v>-0.96955245645975718</v>
      </c>
      <c r="Y314" s="1135">
        <f t="shared" si="553"/>
        <v>0.51481761892639</v>
      </c>
      <c r="Z314" s="1135">
        <f t="shared" si="553"/>
        <v>3.1528136285477086</v>
      </c>
      <c r="AA314" s="1135">
        <f t="shared" si="553"/>
        <v>0.5135781832720353</v>
      </c>
      <c r="AB314" s="1135">
        <f t="shared" si="553"/>
        <v>5.0498823667216888</v>
      </c>
      <c r="AC314" s="1135">
        <f t="shared" si="553"/>
        <v>0.24213530238238221</v>
      </c>
      <c r="AD314" s="1135">
        <f t="shared" si="553"/>
        <v>5.364376853829655</v>
      </c>
      <c r="AE314" s="1135">
        <f t="shared" si="553"/>
        <v>0.65405679183622489</v>
      </c>
      <c r="AF314" s="1135"/>
      <c r="AG314" s="1135"/>
      <c r="AH314" s="1135"/>
      <c r="AI314" s="1135"/>
      <c r="AJ314" s="1135"/>
      <c r="AK314" s="1108"/>
      <c r="AL314" s="468" t="s">
        <v>713</v>
      </c>
      <c r="AM314" s="6"/>
      <c r="AN314" s="6"/>
      <c r="AO314" s="6"/>
      <c r="AP314" s="6"/>
      <c r="AQ314" s="1103"/>
      <c r="AR314" s="6"/>
      <c r="AS314" s="6"/>
      <c r="AT314" s="6"/>
      <c r="AU314" s="6"/>
      <c r="AV314" s="1103"/>
      <c r="AW314" s="6"/>
      <c r="AX314" s="6"/>
      <c r="AY314" s="6"/>
      <c r="AZ314" s="6"/>
      <c r="BA314" s="1103"/>
      <c r="BB314" s="6"/>
      <c r="BC314" s="6"/>
      <c r="BD314" s="6"/>
      <c r="BE314" s="6"/>
      <c r="BF314" s="1103"/>
      <c r="BG314" s="6"/>
      <c r="BH314" s="6"/>
      <c r="BI314" s="6"/>
      <c r="BJ314" s="6"/>
      <c r="BK314" s="1103"/>
      <c r="BL314" s="6"/>
      <c r="BM314" s="6"/>
      <c r="BN314" s="6"/>
      <c r="BO314" s="6"/>
      <c r="BP314" s="1103"/>
      <c r="BQ314" s="1108"/>
      <c r="BR314" s="1108"/>
      <c r="BS314" s="1108"/>
      <c r="BT314" s="1108"/>
      <c r="BU314" s="1108"/>
      <c r="BV314" s="1135">
        <f>(BV157-BQ157)/(BV131-BQ131)</f>
        <v>2.2580645161290325</v>
      </c>
      <c r="BW314" s="1135">
        <f>(BW157-BR157)/(BW131-BR131)</f>
        <v>1.2500000000000044</v>
      </c>
      <c r="BX314" s="1135">
        <f>(BX157-BS157)/(BX131-BS131)</f>
        <v>0.52112676056338114</v>
      </c>
      <c r="BY314" s="1135">
        <f>(BY157-BT157)/(BY131-BT131)</f>
        <v>0.555223880597015</v>
      </c>
      <c r="BZ314" s="1108"/>
      <c r="CA314" s="1135">
        <f>(CA157-BV157)/(CA131-BV131)</f>
        <v>2</v>
      </c>
      <c r="CB314" s="1135">
        <f>(CB157-BW157)/(CB131-BW131)</f>
        <v>1.3846153846153846</v>
      </c>
      <c r="CC314" s="1135">
        <f>(CC157-BX157)/(CC131-BX131)</f>
        <v>5.8</v>
      </c>
      <c r="CD314" s="1135">
        <f>(CD157-BY157)/(CD131-BY131)</f>
        <v>0.89393939393939392</v>
      </c>
      <c r="CE314" s="1108"/>
      <c r="CF314" s="88">
        <f>(CF157-CA157)/(CF131-CA131)</f>
        <v>1.75</v>
      </c>
      <c r="CG314" s="88">
        <f>(CG157-CB157)/(CG131-CB131)</f>
        <v>-1.1666666666666667</v>
      </c>
      <c r="CH314" s="88">
        <f>(CH157-CC157)/(CH131-CC131)</f>
        <v>1.6</v>
      </c>
      <c r="CI314" s="88">
        <f>(CI157-CD157)/(CI131-CD131)</f>
        <v>0.91176470588235292</v>
      </c>
      <c r="CJ314" s="11"/>
      <c r="CK314" s="939">
        <f>(CK157-CF157)/(CK131-CF131)</f>
        <v>-8.3333333333333329E-2</v>
      </c>
      <c r="CL314" s="939">
        <f>(CL157-CG157)/(CL131-CG131)</f>
        <v>0.51515151515151514</v>
      </c>
      <c r="CM314" s="939">
        <f>(CM157-CH157)/(CM131-CH131)</f>
        <v>0.84615384615384615</v>
      </c>
      <c r="CN314" s="88">
        <f>(CN157-CI157)/(CN131-CI131)</f>
        <v>0.75757575757575757</v>
      </c>
      <c r="CO314" s="11"/>
      <c r="CP314" s="1621">
        <f>(CP157-CK157)/(CP131-CK131)</f>
        <v>-0.9</v>
      </c>
      <c r="CQ314" s="1621">
        <f>(CQ157-CL157)/(CQ131-CL131)</f>
        <v>-0.52500000000000002</v>
      </c>
      <c r="CR314" s="1621">
        <f>(CR157-CM157)/(CR131-CM131)</f>
        <v>-1.4285714285714286</v>
      </c>
      <c r="CS314" s="88">
        <f>(CS157-CN157)/(CS131-CN131)</f>
        <v>10.333333333333334</v>
      </c>
      <c r="CT314" s="11"/>
      <c r="CU314" s="1621">
        <f>(CU157-CP157)/(CU131-CP131)</f>
        <v>0.10606060606060606</v>
      </c>
      <c r="CV314" s="1621">
        <f>(CV157-CQ157)/(CV131-CQ131)</f>
        <v>0.24498381877022651</v>
      </c>
      <c r="CW314" s="1621">
        <f>(CW157-CR157)/(CW131-CR131)</f>
        <v>0.21403508771929824</v>
      </c>
      <c r="CX314" s="1621">
        <f>(CX157-CS157)/(CX131-CS131)</f>
        <v>9.4861660079051377E-2</v>
      </c>
      <c r="CY314" s="1108"/>
      <c r="CZ314" s="1621">
        <f>(CZ157-CU157)/(CZ131-CU131)</f>
        <v>0.69230769230769229</v>
      </c>
      <c r="DA314" s="1621">
        <f>(DA157-CV157)/(DA131-CV131)</f>
        <v>-0.14375000000000071</v>
      </c>
      <c r="DB314" s="1621">
        <f>(DB157-CW157)/(DB131-CW131)</f>
        <v>1.4166666666666667</v>
      </c>
      <c r="DC314" s="1621">
        <f>(DC157-CX157)/(DC131-CX131)</f>
        <v>1.4492723484787913</v>
      </c>
      <c r="DD314" s="1108"/>
      <c r="DE314" s="1108"/>
      <c r="DF314" s="1108"/>
      <c r="DG314" s="1108"/>
      <c r="DH314" s="1108"/>
      <c r="DI314" s="1108"/>
      <c r="DJ314" s="11"/>
      <c r="DK314" s="11"/>
      <c r="DL314" s="1108"/>
      <c r="DM314" s="1108"/>
      <c r="DN314" s="11"/>
      <c r="DO314" s="11"/>
      <c r="DP314" s="11"/>
      <c r="DQ314" s="11"/>
      <c r="DR314" s="11"/>
      <c r="DS314" s="11"/>
      <c r="DT314" s="11"/>
    </row>
    <row r="315" spans="1:124">
      <c r="A315" s="468" t="s">
        <v>1206</v>
      </c>
      <c r="B315" s="6"/>
      <c r="C315" s="6"/>
      <c r="D315" s="6"/>
      <c r="E315" s="6"/>
      <c r="F315" s="6"/>
      <c r="G315" s="6"/>
      <c r="H315" s="6"/>
      <c r="I315" s="6"/>
      <c r="J315" s="6"/>
      <c r="K315" s="6"/>
      <c r="L315" s="1135">
        <f>(L161-K161)/(L142-K142)</f>
        <v>1.4285714285713358</v>
      </c>
      <c r="M315" s="88">
        <f>(M161-L161)/(M142-L142)</f>
        <v>1.7010309278350435</v>
      </c>
      <c r="N315" s="1135">
        <f>(N161-M161)/(N142-M142)</f>
        <v>0.31518404907975461</v>
      </c>
      <c r="O315" s="2750"/>
      <c r="P315" s="2750"/>
      <c r="Q315" s="1135"/>
      <c r="R315" s="1135"/>
      <c r="S315" s="2750"/>
      <c r="T315" s="1135"/>
      <c r="U315" s="1135"/>
      <c r="V315" s="1135"/>
      <c r="W315" s="1135"/>
      <c r="X315" s="1135"/>
      <c r="Y315" s="1135"/>
      <c r="Z315" s="1135"/>
      <c r="AA315" s="1135"/>
      <c r="AB315" s="1135"/>
      <c r="AC315" s="1135"/>
      <c r="AD315" s="1135"/>
      <c r="AE315" s="1135"/>
      <c r="AF315" s="1135"/>
      <c r="AG315" s="1135"/>
      <c r="AH315" s="1135"/>
      <c r="AI315" s="1135"/>
      <c r="AJ315" s="1135"/>
      <c r="AK315" s="1108"/>
      <c r="AL315" s="468" t="s">
        <v>1206</v>
      </c>
      <c r="AM315" s="6"/>
      <c r="AN315" s="6"/>
      <c r="AO315" s="6"/>
      <c r="AP315" s="6"/>
      <c r="AQ315" s="1103"/>
      <c r="AR315" s="6"/>
      <c r="AS315" s="6"/>
      <c r="AT315" s="6"/>
      <c r="AU315" s="6"/>
      <c r="AV315" s="1103"/>
      <c r="AW315" s="6"/>
      <c r="AX315" s="6"/>
      <c r="AY315" s="6"/>
      <c r="AZ315" s="6"/>
      <c r="BA315" s="1103"/>
      <c r="BB315" s="6"/>
      <c r="BC315" s="6"/>
      <c r="BD315" s="6"/>
      <c r="BE315" s="6"/>
      <c r="BF315" s="1103"/>
      <c r="BG315" s="6"/>
      <c r="BH315" s="6"/>
      <c r="BI315" s="6"/>
      <c r="BJ315" s="6"/>
      <c r="BK315" s="1103"/>
      <c r="BL315" s="6"/>
      <c r="BM315" s="6"/>
      <c r="BN315" s="6"/>
      <c r="BO315" s="6"/>
      <c r="BP315" s="1103"/>
      <c r="BQ315" s="1108"/>
      <c r="BR315" s="1108"/>
      <c r="BS315" s="1108"/>
      <c r="BT315" s="1108"/>
      <c r="BU315" s="1108"/>
      <c r="BV315" s="1135">
        <f>(BV161-BQ161)/(BV142-BQ142)</f>
        <v>-0.32508833922261487</v>
      </c>
      <c r="BW315" s="1135">
        <f>(BW161-BR161)/(BW142-BR142)</f>
        <v>-0.16331456154464999</v>
      </c>
      <c r="BX315" s="1135">
        <f>(BX161-BS161)/(BX142-BS142)</f>
        <v>-0.21389108129439618</v>
      </c>
      <c r="BY315" s="1135">
        <f>(BY161-BT161)/(BY142-BT142)</f>
        <v>-4.2603550295858002E-2</v>
      </c>
      <c r="BZ315" s="1108"/>
      <c r="CA315" s="1135">
        <f>(CA161-BV161)/(CA142-BV142)</f>
        <v>1.0144927536231918</v>
      </c>
      <c r="CB315" s="1135">
        <f>(CB161-BW161)/(CB142-BW142)</f>
        <v>-6.6666666666664138</v>
      </c>
      <c r="CC315" s="1135">
        <f>(CC161-BX161)/(CC142-BX142)</f>
        <v>-0.66666666666669194</v>
      </c>
      <c r="CD315" s="1135">
        <f>(CD161-BY161)/(CD142-BY142)</f>
        <v>2.2580645161290156</v>
      </c>
      <c r="CE315" s="1108"/>
      <c r="CF315" s="88">
        <f>(CF161-CA161)/(CF142-CA142)</f>
        <v>0.40816326530612435</v>
      </c>
      <c r="CG315" s="88">
        <f>(CG161-CB161)/(CG142-CB142)</f>
        <v>1.1111111111111041</v>
      </c>
      <c r="CH315" s="88">
        <f>(CH161-CC161)/(CH142-CC142)</f>
        <v>0.5263157894736874</v>
      </c>
      <c r="CI315" s="88">
        <f>(CI161-CD161)/(CI142-CD142)</f>
        <v>2.3214285714285618</v>
      </c>
      <c r="CJ315" s="11"/>
      <c r="CK315" s="939">
        <f>(CK161-CF161)/(CK142-CF142)</f>
        <v>0.26334519572953735</v>
      </c>
      <c r="CL315" s="939">
        <f>(CL161-CG161)/(CL142-CG142)</f>
        <v>0.31940298507462689</v>
      </c>
      <c r="CM315" s="939">
        <f>(CM161-CH161)/(CM142-CH142)</f>
        <v>0.32258064516129031</v>
      </c>
      <c r="CN315" s="88">
        <f>(CN161-CI161)/(CN142-CI142)</f>
        <v>0.345821325648415</v>
      </c>
      <c r="CO315" s="11"/>
      <c r="CP315" s="1621"/>
      <c r="CQ315" s="1621"/>
      <c r="CR315" s="1621"/>
      <c r="CS315" s="88"/>
      <c r="CT315" s="11"/>
      <c r="CU315" s="1621"/>
      <c r="CV315" s="1621"/>
      <c r="CW315" s="1621"/>
      <c r="CX315" s="1621"/>
      <c r="CY315" s="1108"/>
      <c r="CZ315" s="1621"/>
      <c r="DA315" s="1621"/>
      <c r="DB315" s="1621"/>
      <c r="DC315" s="1621"/>
      <c r="DD315" s="1108"/>
      <c r="DE315" s="1108"/>
      <c r="DF315" s="1108"/>
      <c r="DG315" s="1108"/>
      <c r="DH315" s="1108"/>
      <c r="DI315" s="1108"/>
      <c r="DJ315" s="11"/>
      <c r="DK315" s="11"/>
      <c r="DL315" s="1108"/>
      <c r="DM315" s="1108"/>
      <c r="DN315" s="11"/>
      <c r="DO315" s="11"/>
      <c r="DP315" s="11"/>
      <c r="DQ315" s="11"/>
      <c r="DR315" s="11"/>
      <c r="DS315" s="11"/>
      <c r="DT315" s="11"/>
    </row>
    <row r="316" spans="1:124">
      <c r="A316" s="6" t="s">
        <v>1149</v>
      </c>
      <c r="B316" s="6"/>
      <c r="C316" s="6"/>
      <c r="D316" s="6"/>
      <c r="E316" s="6"/>
      <c r="F316" s="6"/>
      <c r="G316" s="6"/>
      <c r="H316" s="6"/>
      <c r="I316" s="6"/>
      <c r="J316" s="6"/>
      <c r="K316" s="6"/>
      <c r="L316" s="1135">
        <f>(L165-K165)/(L145-K145)</f>
        <v>1.2679425837320588</v>
      </c>
      <c r="M316" s="88">
        <f>(M165-L165)/(M145-L145)</f>
        <v>0.44368600682593923</v>
      </c>
      <c r="N316" s="1135">
        <f>(N165-M165)/(N145-M145)</f>
        <v>0.27652733118971062</v>
      </c>
      <c r="O316" s="2750"/>
      <c r="P316" s="2750"/>
      <c r="Q316" s="1135">
        <f>(Q165-P165)/(Q145-P145)</f>
        <v>-1.7794117647058822</v>
      </c>
      <c r="R316" s="1135">
        <f t="shared" ref="R316:AE316" si="554">(R165-Q165)/(R145-Q145)</f>
        <v>0.82457142857142829</v>
      </c>
      <c r="S316" s="2750"/>
      <c r="T316" s="1135">
        <f>(T165-R165)/(T145-R145)</f>
        <v>0.33505940853355409</v>
      </c>
      <c r="U316" s="1135">
        <f t="shared" si="554"/>
        <v>0.5743781470816689</v>
      </c>
      <c r="V316" s="1135">
        <f t="shared" si="554"/>
        <v>-9.8178150070985348E-2</v>
      </c>
      <c r="W316" s="1135">
        <f t="shared" si="554"/>
        <v>0.4397460186377421</v>
      </c>
      <c r="X316" s="1135">
        <f t="shared" si="554"/>
        <v>-0.96955245645975718</v>
      </c>
      <c r="Y316" s="1135">
        <f t="shared" si="554"/>
        <v>0.51481761892639</v>
      </c>
      <c r="Z316" s="1135">
        <f t="shared" si="554"/>
        <v>3.1528136285477086</v>
      </c>
      <c r="AA316" s="1135">
        <f t="shared" si="554"/>
        <v>0.5135781832720353</v>
      </c>
      <c r="AB316" s="1135">
        <f t="shared" si="554"/>
        <v>5.0498823667216888</v>
      </c>
      <c r="AC316" s="1135">
        <f t="shared" si="554"/>
        <v>0.24213530238238221</v>
      </c>
      <c r="AD316" s="1135">
        <f t="shared" si="554"/>
        <v>5.364376853829655</v>
      </c>
      <c r="AE316" s="1135">
        <f t="shared" si="554"/>
        <v>0.65405679183622489</v>
      </c>
      <c r="AF316" s="1135"/>
      <c r="AG316" s="1135"/>
      <c r="AH316" s="1135"/>
      <c r="AI316" s="1135"/>
      <c r="AJ316" s="1135"/>
      <c r="AK316" s="1108"/>
      <c r="AL316" s="6" t="s">
        <v>1149</v>
      </c>
      <c r="AM316" s="6"/>
      <c r="AN316" s="6"/>
      <c r="AO316" s="6"/>
      <c r="AP316" s="6"/>
      <c r="AQ316" s="1103"/>
      <c r="AR316" s="6"/>
      <c r="AS316" s="6"/>
      <c r="AT316" s="6"/>
      <c r="AU316" s="6"/>
      <c r="AV316" s="1103"/>
      <c r="AW316" s="6"/>
      <c r="AX316" s="6"/>
      <c r="AY316" s="6"/>
      <c r="AZ316" s="6"/>
      <c r="BA316" s="1103"/>
      <c r="BB316" s="6"/>
      <c r="BC316" s="6"/>
      <c r="BD316" s="6"/>
      <c r="BE316" s="6"/>
      <c r="BF316" s="1103"/>
      <c r="BG316" s="6"/>
      <c r="BH316" s="6"/>
      <c r="BI316" s="6"/>
      <c r="BJ316" s="6"/>
      <c r="BK316" s="1103"/>
      <c r="BL316" s="6"/>
      <c r="BM316" s="6"/>
      <c r="BN316" s="6"/>
      <c r="BO316" s="6"/>
      <c r="BP316" s="1103"/>
      <c r="BQ316" s="1108"/>
      <c r="BR316" s="1108"/>
      <c r="BS316" s="1108"/>
      <c r="BT316" s="1108"/>
      <c r="BU316" s="1108"/>
      <c r="BV316" s="1135">
        <f>(BV165-BQ165)/(BV145-BQ145)</f>
        <v>-0.73490276356192408</v>
      </c>
      <c r="BW316" s="1135">
        <f>(BW165-BR165)/(BW145-BR145)</f>
        <v>-0.32556053811659202</v>
      </c>
      <c r="BX316" s="1135">
        <f>(BX165-BS165)/(BX145-BS145)</f>
        <v>-0.10810810810810811</v>
      </c>
      <c r="BY316" s="1135">
        <f>(BY165-BT165)/(BY145-BT145)</f>
        <v>0.18033395176252329</v>
      </c>
      <c r="BZ316" s="1108"/>
      <c r="CA316" s="1135">
        <f>(CA165-BV165)/(CA145-BV145)</f>
        <v>1.1392405063291171</v>
      </c>
      <c r="CB316" s="1135">
        <f>(CB165-BW165)/(CB145-BW145)</f>
        <v>1.7741935483870837</v>
      </c>
      <c r="CC316" s="1135">
        <f>(CC165-BX165)/(CC145-BX145)</f>
        <v>8.5714285714285712</v>
      </c>
      <c r="CD316" s="1135">
        <f>(CD165-BY165)/(CD145-BY145)</f>
        <v>0.75250836120401399</v>
      </c>
      <c r="CE316" s="1108"/>
      <c r="CF316" s="88">
        <f>(CF165-CA165)/(CF145-CA145)</f>
        <v>2.3423423423423375</v>
      </c>
      <c r="CG316" s="88">
        <f>(CG165-CB165)/(CG145-CB145)</f>
        <v>-4.5833333333331598</v>
      </c>
      <c r="CH316" s="88">
        <f>(CH165-CC165)/(CH145-CC145)</f>
        <v>2.5714285714285716</v>
      </c>
      <c r="CI316" s="88">
        <f>(CI165-CD165)/(CI145-CD145)</f>
        <v>0.63380281690140894</v>
      </c>
      <c r="CJ316" s="11"/>
      <c r="CK316" s="939">
        <f>(CK165-CF165)/(CK145-CF145)</f>
        <v>0.24914675767918087</v>
      </c>
      <c r="CL316" s="939">
        <f>(CL165-CG165)/(CL145-CG145)</f>
        <v>0.33695652173913043</v>
      </c>
      <c r="CM316" s="939">
        <f>(CM165-CH165)/(CM145-CH145)</f>
        <v>0.25496688741721857</v>
      </c>
      <c r="CN316" s="88">
        <f>(CN165-CI165)/(CN145-CI145)</f>
        <v>0.24911032028469751</v>
      </c>
      <c r="CO316" s="11"/>
      <c r="CP316" s="1621">
        <f>(CP165-CK165)/(CP145-CK145)</f>
        <v>-0.9</v>
      </c>
      <c r="CQ316" s="1621">
        <f>(CQ165-CL165)/(CQ145-CL145)</f>
        <v>-0.52500000000000002</v>
      </c>
      <c r="CR316" s="1621">
        <f>(CR165-CM165)/(CR145-CM145)</f>
        <v>-1.4285714285714286</v>
      </c>
      <c r="CS316" s="88">
        <f>(CS165-CN165)/(CS145-CN145)</f>
        <v>10.333333333333334</v>
      </c>
      <c r="CT316" s="11"/>
      <c r="CU316" s="1621">
        <f>(CU165-CP165)/(CU145-CP145)</f>
        <v>0.10606060606060606</v>
      </c>
      <c r="CV316" s="1621">
        <f>(CV165-CQ165)/(CV145-CQ145)</f>
        <v>0.24498381877022651</v>
      </c>
      <c r="CW316" s="1621">
        <f>(CW165-CR165)/(CW145-CR145)</f>
        <v>0.21403508771929824</v>
      </c>
      <c r="CX316" s="1621">
        <f>(CX165-CS165)/(CX145-CS145)</f>
        <v>9.4861660079051377E-2</v>
      </c>
      <c r="CY316" s="1108"/>
      <c r="CZ316" s="1621">
        <f>(CZ165-CU165)/(CZ145-CU145)</f>
        <v>0.69230769230769229</v>
      </c>
      <c r="DA316" s="1621">
        <f>(DA165-CV165)/(DA145-CV145)</f>
        <v>-0.14375000000000071</v>
      </c>
      <c r="DB316" s="1621">
        <f>(DB165-CW165)/(DB145-CW145)</f>
        <v>1.4166666666666667</v>
      </c>
      <c r="DC316" s="1621">
        <f>(DC165-CX165)/(DC145-CX145)</f>
        <v>1.4492723484787913</v>
      </c>
      <c r="DD316" s="1108"/>
      <c r="DE316" s="1108"/>
      <c r="DF316" s="1108"/>
      <c r="DG316" s="1108"/>
      <c r="DH316" s="1108"/>
      <c r="DI316" s="1108"/>
      <c r="DJ316" s="11"/>
      <c r="DK316" s="11"/>
      <c r="DL316" s="1108"/>
      <c r="DM316" s="1108"/>
      <c r="DN316" s="11"/>
      <c r="DO316" s="11"/>
      <c r="DP316" s="11"/>
      <c r="DQ316" s="11"/>
      <c r="DR316" s="11"/>
      <c r="DS316" s="11"/>
      <c r="DT316" s="11"/>
    </row>
    <row r="317" spans="1:124">
      <c r="A317" s="6"/>
      <c r="B317" s="6"/>
      <c r="C317" s="6"/>
      <c r="D317" s="6"/>
      <c r="E317" s="6"/>
      <c r="F317" s="6"/>
      <c r="G317" s="6"/>
      <c r="H317" s="6"/>
      <c r="I317" s="6"/>
      <c r="J317" s="6"/>
      <c r="K317" s="6"/>
      <c r="L317" s="6"/>
      <c r="M317" s="11"/>
      <c r="N317" s="6"/>
      <c r="O317" s="2706"/>
      <c r="P317" s="2706"/>
      <c r="Q317" s="6"/>
      <c r="R317" s="6"/>
      <c r="S317" s="2706"/>
      <c r="T317" s="6"/>
      <c r="U317" s="6"/>
      <c r="V317" s="6"/>
      <c r="W317" s="6"/>
      <c r="X317" s="6"/>
      <c r="Y317" s="6"/>
      <c r="Z317" s="6"/>
      <c r="AA317" s="6"/>
      <c r="AB317" s="6"/>
      <c r="AC317" s="1108"/>
      <c r="AD317" s="1108"/>
      <c r="AE317" s="6"/>
      <c r="AF317" s="6"/>
      <c r="AG317" s="6"/>
      <c r="AH317" s="6"/>
      <c r="AI317" s="6"/>
      <c r="AJ317" s="6"/>
      <c r="AK317" s="1108"/>
      <c r="AL317" s="6"/>
      <c r="AM317" s="6"/>
      <c r="AN317" s="6"/>
      <c r="AO317" s="6"/>
      <c r="AP317" s="6"/>
      <c r="AQ317" s="1103"/>
      <c r="AR317" s="6"/>
      <c r="AS317" s="6"/>
      <c r="AT317" s="6"/>
      <c r="AU317" s="6"/>
      <c r="AV317" s="1103"/>
      <c r="AW317" s="6"/>
      <c r="AX317" s="6"/>
      <c r="AY317" s="6"/>
      <c r="AZ317" s="6"/>
      <c r="BA317" s="1103"/>
      <c r="BB317" s="6"/>
      <c r="BC317" s="6"/>
      <c r="BD317" s="6"/>
      <c r="BE317" s="6"/>
      <c r="BF317" s="1103"/>
      <c r="BG317" s="6"/>
      <c r="BH317" s="6"/>
      <c r="BI317" s="6"/>
      <c r="BJ317" s="6"/>
      <c r="BK317" s="1103"/>
      <c r="BL317" s="6"/>
      <c r="BM317" s="6"/>
      <c r="BN317" s="6"/>
      <c r="BO317" s="6"/>
      <c r="BP317" s="1103"/>
      <c r="BQ317" s="1108"/>
      <c r="BR317" s="1108"/>
      <c r="BS317" s="1108"/>
      <c r="BT317" s="1108"/>
      <c r="BU317" s="1108"/>
      <c r="BV317" s="1108"/>
      <c r="BW317" s="1108"/>
      <c r="BX317" s="1108"/>
      <c r="BY317" s="1108"/>
      <c r="BZ317" s="1108"/>
      <c r="CA317" s="1108"/>
      <c r="CB317" s="1108"/>
      <c r="CC317" s="1108"/>
      <c r="CD317" s="1108"/>
      <c r="CE317" s="1108"/>
      <c r="CF317" s="11"/>
      <c r="CG317" s="11"/>
      <c r="CH317" s="11"/>
      <c r="CI317" s="11"/>
      <c r="CJ317" s="11"/>
      <c r="CK317" s="906"/>
      <c r="CL317" s="906"/>
      <c r="CM317" s="906"/>
      <c r="CN317" s="11"/>
      <c r="CO317" s="11"/>
      <c r="CP317" s="906"/>
      <c r="CQ317" s="906"/>
      <c r="CR317" s="906"/>
      <c r="CS317" s="11"/>
      <c r="CT317" s="11"/>
      <c r="CU317" s="906"/>
      <c r="CV317" s="906"/>
      <c r="CW317" s="906"/>
      <c r="CX317" s="906"/>
      <c r="CY317" s="1108"/>
      <c r="CZ317" s="906"/>
      <c r="DA317" s="906"/>
      <c r="DB317" s="906"/>
      <c r="DC317" s="906"/>
      <c r="DD317" s="1108"/>
      <c r="DE317" s="1108"/>
      <c r="DF317" s="1108"/>
      <c r="DG317" s="1108"/>
      <c r="DH317" s="1108"/>
      <c r="DI317" s="1108"/>
      <c r="DJ317" s="11"/>
      <c r="DK317" s="11"/>
      <c r="DL317" s="1108"/>
      <c r="DM317" s="1108"/>
      <c r="DN317" s="11"/>
      <c r="DO317" s="11"/>
      <c r="DP317" s="11"/>
      <c r="DQ317" s="11"/>
      <c r="DR317" s="11"/>
      <c r="DS317" s="11"/>
      <c r="DT317" s="11"/>
    </row>
    <row r="318" spans="1:124">
      <c r="A318" s="36" t="s">
        <v>660</v>
      </c>
      <c r="B318" s="6"/>
      <c r="C318" s="6"/>
      <c r="D318" s="6"/>
      <c r="E318" s="6"/>
      <c r="F318" s="6"/>
      <c r="G318" s="6"/>
      <c r="H318" s="6"/>
      <c r="I318" s="6"/>
      <c r="J318" s="6"/>
      <c r="K318" s="6"/>
      <c r="L318" s="6"/>
      <c r="M318" s="11"/>
      <c r="N318" s="6"/>
      <c r="O318" s="2706"/>
      <c r="P318" s="2706"/>
      <c r="Q318" s="6"/>
      <c r="R318" s="6"/>
      <c r="S318" s="2706"/>
      <c r="T318" s="6"/>
      <c r="U318" s="6"/>
      <c r="V318" s="6"/>
      <c r="W318" s="6"/>
      <c r="X318" s="6"/>
      <c r="Y318" s="6"/>
      <c r="Z318" s="6"/>
      <c r="AA318" s="6"/>
      <c r="AB318" s="6"/>
      <c r="AC318" s="1108"/>
      <c r="AD318" s="1108"/>
      <c r="AE318" s="6"/>
      <c r="AF318" s="6"/>
      <c r="AG318" s="6"/>
      <c r="AH318" s="6"/>
      <c r="AI318" s="6"/>
      <c r="AJ318" s="6"/>
      <c r="AK318" s="1108"/>
      <c r="AL318" s="36" t="s">
        <v>660</v>
      </c>
      <c r="AM318" s="6"/>
      <c r="AN318" s="6"/>
      <c r="AO318" s="6"/>
      <c r="AP318" s="6"/>
      <c r="AQ318" s="1103"/>
      <c r="AR318" s="6"/>
      <c r="AS318" s="6"/>
      <c r="AT318" s="6"/>
      <c r="AU318" s="6"/>
      <c r="AV318" s="1103"/>
      <c r="AW318" s="6"/>
      <c r="AX318" s="6"/>
      <c r="AY318" s="6"/>
      <c r="AZ318" s="6"/>
      <c r="BA318" s="1103"/>
      <c r="BB318" s="6"/>
      <c r="BC318" s="6"/>
      <c r="BD318" s="6"/>
      <c r="BE318" s="6"/>
      <c r="BF318" s="1103"/>
      <c r="BG318" s="6"/>
      <c r="BH318" s="6"/>
      <c r="BI318" s="6"/>
      <c r="BJ318" s="6"/>
      <c r="BK318" s="1103"/>
      <c r="BL318" s="6"/>
      <c r="BM318" s="6"/>
      <c r="BN318" s="6"/>
      <c r="BO318" s="6"/>
      <c r="BP318" s="1103"/>
      <c r="BQ318" s="1108"/>
      <c r="BR318" s="1108"/>
      <c r="BS318" s="1108"/>
      <c r="BT318" s="1108"/>
      <c r="BU318" s="1108"/>
      <c r="BV318" s="1108"/>
      <c r="BW318" s="1108"/>
      <c r="BX318" s="1108"/>
      <c r="BY318" s="1108"/>
      <c r="BZ318" s="1108"/>
      <c r="CA318" s="1108"/>
      <c r="CB318" s="1108"/>
      <c r="CC318" s="1108"/>
      <c r="CD318" s="1108"/>
      <c r="CE318" s="1108"/>
      <c r="CF318" s="11"/>
      <c r="CG318" s="11"/>
      <c r="CH318" s="11"/>
      <c r="CI318" s="11"/>
      <c r="CJ318" s="11"/>
      <c r="CK318" s="906"/>
      <c r="CL318" s="906"/>
      <c r="CM318" s="906"/>
      <c r="CN318" s="11"/>
      <c r="CO318" s="11"/>
      <c r="CP318" s="906"/>
      <c r="CQ318" s="906"/>
      <c r="CR318" s="906"/>
      <c r="CS318" s="11"/>
      <c r="CT318" s="11"/>
      <c r="CU318" s="906"/>
      <c r="CV318" s="906"/>
      <c r="CW318" s="906"/>
      <c r="CX318" s="906"/>
      <c r="CY318" s="1108"/>
      <c r="CZ318" s="906"/>
      <c r="DA318" s="906"/>
      <c r="DB318" s="906"/>
      <c r="DC318" s="906"/>
      <c r="DD318" s="1108"/>
      <c r="DE318" s="1108"/>
      <c r="DF318" s="1108"/>
      <c r="DG318" s="1108"/>
      <c r="DH318" s="1108"/>
      <c r="DI318" s="1108"/>
      <c r="DJ318" s="11"/>
      <c r="DK318" s="11"/>
      <c r="DL318" s="1108"/>
      <c r="DM318" s="1108"/>
      <c r="DN318" s="11"/>
      <c r="DO318" s="11"/>
      <c r="DP318" s="11"/>
      <c r="DQ318" s="11"/>
      <c r="DR318" s="11"/>
      <c r="DS318" s="11"/>
      <c r="DT318" s="11"/>
    </row>
    <row r="319" spans="1:124">
      <c r="A319" s="1106" t="s">
        <v>1146</v>
      </c>
      <c r="B319" s="6"/>
      <c r="C319" s="6"/>
      <c r="D319" s="6"/>
      <c r="E319" s="6"/>
      <c r="F319" s="6"/>
      <c r="G319" s="6"/>
      <c r="H319" s="6"/>
      <c r="I319" s="6"/>
      <c r="J319" s="6"/>
      <c r="K319" s="6"/>
      <c r="L319" s="1110">
        <f>(L12-L55)/(K12-K55)-1</f>
        <v>9.1912337368214025E-3</v>
      </c>
      <c r="M319" s="39">
        <f>(M12-M55)/(L12-L55)-1</f>
        <v>9.018626582518241E-2</v>
      </c>
      <c r="N319" s="1110">
        <f>(N12-N55)/(M12-M55)-1</f>
        <v>2.6457687638137273E-4</v>
      </c>
      <c r="O319" s="2705"/>
      <c r="P319" s="2705"/>
      <c r="Q319" s="1110">
        <f>(Q12-Q55)/(P12-P55)-1</f>
        <v>5.0573841559295341E-2</v>
      </c>
      <c r="R319" s="1110">
        <f t="shared" ref="R319:AE319" si="555">(R12-R55)/(Q12-Q55)-1</f>
        <v>8.9222659591496001E-2</v>
      </c>
      <c r="S319" s="2705"/>
      <c r="T319" s="1110">
        <f>(T12-T55)/(R12-R55)-1</f>
        <v>-2.4372331773001576E-2</v>
      </c>
      <c r="U319" s="1110">
        <f t="shared" si="555"/>
        <v>5.1189369482459668E-2</v>
      </c>
      <c r="V319" s="1110">
        <f t="shared" si="555"/>
        <v>0.13540977073184313</v>
      </c>
      <c r="W319" s="1110">
        <f t="shared" si="555"/>
        <v>-2.7113502526166955E-2</v>
      </c>
      <c r="X319" s="1110">
        <f t="shared" si="555"/>
        <v>5.1542579712698933E-2</v>
      </c>
      <c r="Y319" s="1110">
        <f t="shared" si="555"/>
        <v>0.11083717893105138</v>
      </c>
      <c r="Z319" s="1110">
        <f t="shared" si="555"/>
        <v>-2.0532583276375971E-2</v>
      </c>
      <c r="AA319" s="1110">
        <f t="shared" si="555"/>
        <v>3.6563922547895533E-2</v>
      </c>
      <c r="AB319" s="1110">
        <f t="shared" si="555"/>
        <v>0.12209379497317285</v>
      </c>
      <c r="AC319" s="1110">
        <f t="shared" si="555"/>
        <v>-4.3270605514272198E-2</v>
      </c>
      <c r="AD319" s="1110">
        <f t="shared" si="555"/>
        <v>3.6697566403253834E-2</v>
      </c>
      <c r="AE319" s="1110">
        <f t="shared" si="555"/>
        <v>0.1233601977926162</v>
      </c>
      <c r="AF319" s="6"/>
      <c r="AG319" s="6"/>
      <c r="AH319" s="6"/>
      <c r="AI319" s="6"/>
      <c r="AJ319" s="6"/>
      <c r="AK319" s="1108"/>
      <c r="AL319" s="1106" t="s">
        <v>1146</v>
      </c>
      <c r="AM319" s="6"/>
      <c r="AN319" s="6"/>
      <c r="AO319" s="6"/>
      <c r="AP319" s="6"/>
      <c r="AQ319" s="1103"/>
      <c r="AR319" s="6"/>
      <c r="AS319" s="6"/>
      <c r="AT319" s="6"/>
      <c r="AU319" s="6"/>
      <c r="AV319" s="1103"/>
      <c r="AW319" s="6"/>
      <c r="AX319" s="6"/>
      <c r="AY319" s="6"/>
      <c r="AZ319" s="6"/>
      <c r="BA319" s="1103"/>
      <c r="BB319" s="6"/>
      <c r="BC319" s="6"/>
      <c r="BD319" s="6"/>
      <c r="BE319" s="6"/>
      <c r="BF319" s="1103"/>
      <c r="BG319" s="6"/>
      <c r="BH319" s="6"/>
      <c r="BI319" s="6"/>
      <c r="BJ319" s="6"/>
      <c r="BK319" s="1103"/>
      <c r="BL319" s="6"/>
      <c r="BM319" s="6"/>
      <c r="BN319" s="6"/>
      <c r="BO319" s="6"/>
      <c r="BP319" s="1103"/>
      <c r="BQ319" s="1108"/>
      <c r="BR319" s="1108"/>
      <c r="BS319" s="1108"/>
      <c r="BT319" s="1108"/>
      <c r="BU319" s="1108"/>
      <c r="BV319" s="1110"/>
      <c r="BW319" s="1110"/>
      <c r="BX319" s="1110"/>
      <c r="BY319" s="1110"/>
      <c r="BZ319" s="1108"/>
      <c r="CA319" s="1110">
        <f>(CA12-CA55)/(BV12-BV55)-1</f>
        <v>5.8453038674033175E-2</v>
      </c>
      <c r="CB319" s="1110">
        <f>(CB12-CB55)/(BW12-BW55)-1</f>
        <v>-5.8139534883720922E-2</v>
      </c>
      <c r="CC319" s="1110">
        <f>(CC12-CC55)/(BX12-BX55)-1</f>
        <v>-5.5555555555555469E-2</v>
      </c>
      <c r="CD319" s="39">
        <f>(CD12-CD55)/(BY12-BY55)-1</f>
        <v>4.9939670890474241E-2</v>
      </c>
      <c r="CE319" s="1108"/>
      <c r="CF319" s="39">
        <f>(CF12-CF55)/(CA12-CA55)-1</f>
        <v>0.14620967741935487</v>
      </c>
      <c r="CG319" s="39">
        <f>(CG12-CG55)/(CB12-CB55)-1</f>
        <v>0.14000000000000012</v>
      </c>
      <c r="CH319" s="39">
        <f>(CH12-CH55)/(CC12-CC55)-1</f>
        <v>6.9777777777777494E-2</v>
      </c>
      <c r="CI319" s="39">
        <f>(CI12-CI55)/(CD12-CD55)-1</f>
        <v>7.2938007544138816E-3</v>
      </c>
      <c r="CJ319" s="11"/>
      <c r="CK319" s="1174">
        <f>(CK12-CK55)/(CF12-CF55)-1</f>
        <v>-0.19836065573770489</v>
      </c>
      <c r="CL319" s="1174">
        <f>(CL12-CL55)/(CG12-CG55)-1</f>
        <v>-2.3611111111111138E-2</v>
      </c>
      <c r="CM319" s="1174">
        <f>(CM12-CM55)/(CH12-CH55)-1</f>
        <v>0.15602409638554238</v>
      </c>
      <c r="CN319" s="39">
        <f>(CN12-CN55)/(CI12-CI55)-1</f>
        <v>0.16679767441860482</v>
      </c>
      <c r="CO319" s="11"/>
      <c r="CP319" s="1609">
        <f>(CP12-CP55)/(CK12-CK55)-1</f>
        <v>4.5488888888888912E-2</v>
      </c>
      <c r="CQ319" s="1609">
        <f>(CQ12-CQ55)/(CL12-CL55)-1</f>
        <v>9.7935135135135187E-2</v>
      </c>
      <c r="CR319" s="1609">
        <f>(CR12-CR55)/(CM12-CM55)-1</f>
        <v>2.2237894736842234E-2</v>
      </c>
      <c r="CS319" s="39">
        <f>(CS12-CS55)/(CN12-CN55)-1</f>
        <v>3.9471443406022821E-2</v>
      </c>
      <c r="CT319" s="11"/>
      <c r="CU319" s="1609">
        <f>(CU12-CU55)/(CP12-CP55)-1</f>
        <v>0.35481808510638269</v>
      </c>
      <c r="CV319" s="1609">
        <f>(CV12-CV55)/(CQ12-CQ55)-1</f>
        <v>-5.6020618556695823E-4</v>
      </c>
      <c r="CW319" s="1609">
        <f>(CW12-CW55)/(CR12-CR55)-1</f>
        <v>4.5351262349066834E-2</v>
      </c>
      <c r="CX319" s="1609">
        <f>(CX12-CX55)/(CS12-CS55)-1</f>
        <v>-4.2563817980022178E-2</v>
      </c>
      <c r="CY319" s="1108"/>
      <c r="CZ319" s="1609">
        <f>(CZ12-CZ55)/(CU12-CU55)-1</f>
        <v>-0.20205451348182879</v>
      </c>
      <c r="DA319" s="1609">
        <f>(DA12-DA55)/(CV12-CV55)-1</f>
        <v>0.11257485370193687</v>
      </c>
      <c r="DB319" s="1609">
        <f>(DB12-DB55)/(CW12-CW55)-1</f>
        <v>-1.317802197802187E-2</v>
      </c>
      <c r="DC319" s="1609">
        <f>(DC12-DC55)/(CX12-CX55)-1</f>
        <v>7.6135798660873721E-2</v>
      </c>
      <c r="DD319" s="1108"/>
      <c r="DE319" s="1108"/>
      <c r="DF319" s="1108"/>
      <c r="DG319" s="1108"/>
      <c r="DH319" s="1108"/>
      <c r="DI319" s="1108"/>
      <c r="DJ319" s="11"/>
      <c r="DK319" s="11"/>
      <c r="DL319" s="1108"/>
      <c r="DM319" s="1108"/>
      <c r="DN319" s="11"/>
      <c r="DO319" s="11"/>
      <c r="DP319" s="11"/>
      <c r="DQ319" s="11"/>
      <c r="DR319" s="11"/>
      <c r="DS319" s="11"/>
      <c r="DT319" s="11"/>
    </row>
    <row r="320" spans="1:124">
      <c r="A320" s="1111" t="s">
        <v>1147</v>
      </c>
      <c r="B320" s="6"/>
      <c r="C320" s="6"/>
      <c r="D320" s="6"/>
      <c r="E320" s="6"/>
      <c r="F320" s="6"/>
      <c r="G320" s="6"/>
      <c r="H320" s="6"/>
      <c r="I320" s="6"/>
      <c r="J320" s="6"/>
      <c r="K320" s="6"/>
      <c r="L320" s="1110">
        <f>(L15-L59)/(K15-K59)-1</f>
        <v>3.4531499102995911E-2</v>
      </c>
      <c r="M320" s="39">
        <f>(M15-M59)/(L15-L59)-1</f>
        <v>0.22249325535430353</v>
      </c>
      <c r="N320" s="1110">
        <f>(N15-N59)/(M15-M59)-1</f>
        <v>-3.0784026130552533E-3</v>
      </c>
      <c r="O320" s="2705"/>
      <c r="P320" s="2705"/>
      <c r="Q320" s="1110">
        <f>(Q15-Q59)/(P15-P59)-1</f>
        <v>-2.730128357176087E-2</v>
      </c>
      <c r="R320" s="1110">
        <f t="shared" ref="R320:AE320" si="556">(R15-R59)/(Q15-Q59)-1</f>
        <v>-8.4980248516909329E-2</v>
      </c>
      <c r="S320" s="2705"/>
      <c r="T320" s="1110">
        <f>(T15-T59)/(R15-R59)-1</f>
        <v>7.4794889823298627E-2</v>
      </c>
      <c r="U320" s="1110">
        <f t="shared" si="556"/>
        <v>2.510729637569864E-2</v>
      </c>
      <c r="V320" s="1110">
        <f t="shared" si="556"/>
        <v>3.5039665835040479E-2</v>
      </c>
      <c r="W320" s="1110">
        <f t="shared" si="556"/>
        <v>3.4188823683062752E-2</v>
      </c>
      <c r="X320" s="1110">
        <f t="shared" si="556"/>
        <v>3.4941858014407412E-2</v>
      </c>
      <c r="Y320" s="1110">
        <f t="shared" si="556"/>
        <v>3.2850006980954527E-2</v>
      </c>
      <c r="Z320" s="1110">
        <f t="shared" si="556"/>
        <v>3.0755066330821368E-2</v>
      </c>
      <c r="AA320" s="1110">
        <f t="shared" si="556"/>
        <v>2.8346798202202761E-2</v>
      </c>
      <c r="AB320" s="1110">
        <f t="shared" si="556"/>
        <v>2.5912478986436893E-2</v>
      </c>
      <c r="AC320" s="1110">
        <f t="shared" si="556"/>
        <v>2.3449513702752389E-2</v>
      </c>
      <c r="AD320" s="1110">
        <f t="shared" si="556"/>
        <v>2.0628790167922073E-2</v>
      </c>
      <c r="AE320" s="1110">
        <f t="shared" si="556"/>
        <v>1.8420680191765904E-2</v>
      </c>
      <c r="AF320" s="6"/>
      <c r="AG320" s="6"/>
      <c r="AH320" s="6"/>
      <c r="AI320" s="6"/>
      <c r="AJ320" s="6"/>
      <c r="AK320" s="1108"/>
      <c r="AL320" s="1111" t="s">
        <v>1147</v>
      </c>
      <c r="AM320" s="6"/>
      <c r="AN320" s="6"/>
      <c r="AO320" s="6"/>
      <c r="AP320" s="6"/>
      <c r="AQ320" s="1103"/>
      <c r="AR320" s="6"/>
      <c r="AS320" s="6"/>
      <c r="AT320" s="6"/>
      <c r="AU320" s="6"/>
      <c r="AV320" s="1103"/>
      <c r="AW320" s="6"/>
      <c r="AX320" s="6"/>
      <c r="AY320" s="6"/>
      <c r="AZ320" s="6"/>
      <c r="BA320" s="1103"/>
      <c r="BB320" s="6"/>
      <c r="BC320" s="6"/>
      <c r="BD320" s="6"/>
      <c r="BE320" s="6"/>
      <c r="BF320" s="1103"/>
      <c r="BG320" s="6"/>
      <c r="BH320" s="6"/>
      <c r="BI320" s="6"/>
      <c r="BJ320" s="6"/>
      <c r="BK320" s="1103"/>
      <c r="BL320" s="6"/>
      <c r="BM320" s="6"/>
      <c r="BN320" s="6"/>
      <c r="BO320" s="6"/>
      <c r="BP320" s="1103"/>
      <c r="BQ320" s="1108"/>
      <c r="BR320" s="1108"/>
      <c r="BS320" s="1108"/>
      <c r="BT320" s="1108"/>
      <c r="BU320" s="1108"/>
      <c r="BV320" s="1110"/>
      <c r="BW320" s="1110"/>
      <c r="BX320" s="1110"/>
      <c r="BY320" s="1110"/>
      <c r="BZ320" s="1108"/>
      <c r="CA320" s="1110">
        <f>(CA15-CA59)/(BV15-BV59)-1</f>
        <v>0.28148845559539626</v>
      </c>
      <c r="CB320" s="1110">
        <f>(CB15-CB59)/(BW15-BW59)-1</f>
        <v>-0.16215942236292813</v>
      </c>
      <c r="CC320" s="1110">
        <f>(CC15-CC59)/(BX15-BX59)-1</f>
        <v>0.19686917631052081</v>
      </c>
      <c r="CD320" s="39">
        <f>(CD15-CD59)/(BY15-BY59)-1</f>
        <v>-0.17933900521676838</v>
      </c>
      <c r="CE320" s="1108"/>
      <c r="CF320" s="39">
        <f>(CF15-CF59)/(CA15-CA59)-1</f>
        <v>-2.4668362103187125E-2</v>
      </c>
      <c r="CG320" s="39">
        <f>(CG15-CG59)/(CB15-CB59)-1</f>
        <v>0.53587308657544908</v>
      </c>
      <c r="CH320" s="39">
        <f>(CH15-CH59)/(CC15-CC59)-1</f>
        <v>0.25624153092072621</v>
      </c>
      <c r="CI320" s="39">
        <f>(CI15-CI59)/(CD15-CD59)-1</f>
        <v>0.27342552849251911</v>
      </c>
      <c r="CJ320" s="11"/>
      <c r="CK320" s="1174">
        <f>(CK15-CK59)/(CF15-CF59)-1</f>
        <v>9.6101969762758754E-2</v>
      </c>
      <c r="CL320" s="1174">
        <f>(CL15-CL59)/(CG15-CG59)-1</f>
        <v>-0.16840829294808901</v>
      </c>
      <c r="CM320" s="1174">
        <f>(CM15-CM59)/(CH15-CH59)-1</f>
        <v>2.6567919822399366E-2</v>
      </c>
      <c r="CN320" s="39">
        <f>(CN15-CN59)/(CI15-CI59)-1</f>
        <v>1.6552668251508029E-2</v>
      </c>
      <c r="CO320" s="11"/>
      <c r="CP320" s="1609">
        <f>(CP15-CP59)/(CK15-CK59)-1</f>
        <v>-1.9530201514765255E-2</v>
      </c>
      <c r="CQ320" s="1609">
        <f>(CQ15-CQ59)/(CL15-CL59)-1</f>
        <v>-0.15480223731415677</v>
      </c>
      <c r="CR320" s="1609">
        <f>(CR15-CR59)/(CM15-CM59)-1</f>
        <v>-5.7258576718426824E-2</v>
      </c>
      <c r="CS320" s="39">
        <f>(CS15-CS59)/(CN15-CN59)-1</f>
        <v>0.10912038279278158</v>
      </c>
      <c r="CT320" s="11"/>
      <c r="CU320" s="1609">
        <f>(CU15-CU59)/(CP15-CP59)-1</f>
        <v>-0.32206968390607704</v>
      </c>
      <c r="CV320" s="1609">
        <f>(CV15-CV59)/(CQ15-CQ59)-1</f>
        <v>0.20545423641711835</v>
      </c>
      <c r="CW320" s="1609">
        <f>(CW15-CW59)/(CR15-CR59)-1</f>
        <v>-4.2892418958785261E-2</v>
      </c>
      <c r="CX320" s="1609">
        <f>(CX15-CX59)/(CS15-CS59)-1</f>
        <v>-6.4159541588687863E-2</v>
      </c>
      <c r="CY320" s="1108"/>
      <c r="CZ320" s="1609">
        <f>(CZ15-CZ59)/(CU15-CU59)-1</f>
        <v>0.28746075187941567</v>
      </c>
      <c r="DA320" s="1609">
        <f>(DA15-DA59)/(CV15-CV59)-1</f>
        <v>0.28587703554919219</v>
      </c>
      <c r="DB320" s="1609">
        <f>(DB15-DB59)/(CW15-CW59)-1</f>
        <v>-0.24190011857594118</v>
      </c>
      <c r="DC320" s="1609">
        <f>(DC15-DC59)/(CX15-CX59)-1</f>
        <v>9.7778854651095592E-2</v>
      </c>
      <c r="DD320" s="1108"/>
      <c r="DE320" s="1108"/>
      <c r="DF320" s="1108"/>
      <c r="DG320" s="1108"/>
      <c r="DH320" s="1108"/>
      <c r="DI320" s="1108"/>
      <c r="DJ320" s="11"/>
      <c r="DK320" s="11"/>
      <c r="DL320" s="1108"/>
      <c r="DM320" s="1108"/>
      <c r="DN320" s="11"/>
      <c r="DO320" s="11"/>
      <c r="DP320" s="11"/>
      <c r="DQ320" s="11"/>
      <c r="DR320" s="11"/>
      <c r="DS320" s="11"/>
      <c r="DT320" s="11"/>
    </row>
    <row r="321" spans="1:124">
      <c r="A321" s="468" t="s">
        <v>703</v>
      </c>
      <c r="B321" s="6"/>
      <c r="C321" s="6"/>
      <c r="D321" s="6"/>
      <c r="E321" s="6"/>
      <c r="F321" s="6"/>
      <c r="G321" s="6"/>
      <c r="H321" s="6"/>
      <c r="I321" s="6"/>
      <c r="J321" s="6"/>
      <c r="K321" s="6"/>
      <c r="L321" s="1110">
        <f>(L27-L75)/(K27-K75)-1</f>
        <v>1.9747759707932078E-2</v>
      </c>
      <c r="M321" s="39">
        <f>(M27-M75)/(L27-L75)-1</f>
        <v>0.1207485760781124</v>
      </c>
      <c r="N321" s="1110">
        <f>(N27-N75)/(M27-M75)-1</f>
        <v>-4.791636416436762E-3</v>
      </c>
      <c r="O321" s="2705"/>
      <c r="P321" s="2705"/>
      <c r="Q321" s="1110">
        <f>(Q27-Q75)/(P27-P75)-1</f>
        <v>2.3927633498686873E-2</v>
      </c>
      <c r="R321" s="1110">
        <f t="shared" ref="R321:AE321" si="557">(R27-R75)/(Q27-Q75)-1</f>
        <v>3.177543459675114E-2</v>
      </c>
      <c r="S321" s="2705"/>
      <c r="T321" s="1110">
        <f>(T27-T75)/(R27-R75)-1</f>
        <v>2.4189884047340238E-2</v>
      </c>
      <c r="U321" s="1110">
        <f t="shared" si="557"/>
        <v>0.11178548283357403</v>
      </c>
      <c r="V321" s="1110">
        <f t="shared" si="557"/>
        <v>9.6506224246543981E-2</v>
      </c>
      <c r="W321" s="1110">
        <f t="shared" si="557"/>
        <v>-3.4115623111955484E-3</v>
      </c>
      <c r="X321" s="1110">
        <f t="shared" si="557"/>
        <v>4.3722468291848227E-2</v>
      </c>
      <c r="Y321" s="1110">
        <f t="shared" si="557"/>
        <v>7.8882113540038601E-2</v>
      </c>
      <c r="Z321" s="1110">
        <f t="shared" si="557"/>
        <v>-9.1123338301035695E-4</v>
      </c>
      <c r="AA321" s="1110">
        <f t="shared" si="557"/>
        <v>3.309159450531296E-2</v>
      </c>
      <c r="AB321" s="1110">
        <f t="shared" si="557"/>
        <v>8.3793419689886184E-2</v>
      </c>
      <c r="AC321" s="1110">
        <f t="shared" si="557"/>
        <v>-1.8316166702016634E-2</v>
      </c>
      <c r="AD321" s="1110">
        <f t="shared" si="557"/>
        <v>3.0556533774003247E-2</v>
      </c>
      <c r="AE321" s="1110">
        <f t="shared" si="557"/>
        <v>8.2985586935484301E-2</v>
      </c>
      <c r="AF321" s="6"/>
      <c r="AG321" s="6"/>
      <c r="AH321" s="6"/>
      <c r="AI321" s="6"/>
      <c r="AJ321" s="6"/>
      <c r="AK321" s="1108"/>
      <c r="AL321" s="468" t="s">
        <v>703</v>
      </c>
      <c r="AM321" s="6"/>
      <c r="AN321" s="6"/>
      <c r="AO321" s="6"/>
      <c r="AP321" s="6"/>
      <c r="AQ321" s="1103"/>
      <c r="AR321" s="6"/>
      <c r="AS321" s="6"/>
      <c r="AT321" s="6"/>
      <c r="AU321" s="6"/>
      <c r="AV321" s="1103"/>
      <c r="AW321" s="6"/>
      <c r="AX321" s="6"/>
      <c r="AY321" s="6"/>
      <c r="AZ321" s="6"/>
      <c r="BA321" s="1103"/>
      <c r="BB321" s="6"/>
      <c r="BC321" s="6"/>
      <c r="BD321" s="6"/>
      <c r="BE321" s="6"/>
      <c r="BF321" s="1103"/>
      <c r="BG321" s="6"/>
      <c r="BH321" s="6"/>
      <c r="BI321" s="6"/>
      <c r="BJ321" s="6"/>
      <c r="BK321" s="1103"/>
      <c r="BL321" s="6"/>
      <c r="BM321" s="6"/>
      <c r="BN321" s="6"/>
      <c r="BO321" s="6"/>
      <c r="BP321" s="1103"/>
      <c r="BQ321" s="1108"/>
      <c r="BR321" s="1108"/>
      <c r="BS321" s="1108"/>
      <c r="BT321" s="1108"/>
      <c r="BU321" s="1108"/>
      <c r="BV321" s="1110"/>
      <c r="BW321" s="1110"/>
      <c r="BX321" s="1110"/>
      <c r="BY321" s="1110"/>
      <c r="BZ321" s="1108"/>
      <c r="CA321" s="1110">
        <f>(CA27-CA75)/(BV27-BV75)-1</f>
        <v>0.10486674391657003</v>
      </c>
      <c r="CB321" s="1110">
        <f>(CB27-CB75)/(BW27-BW75)-1</f>
        <v>-8.2378223495702008E-2</v>
      </c>
      <c r="CC321" s="1110">
        <f>(CC27-CC75)/(BX27-BX75)-1</f>
        <v>5.623471882640585E-2</v>
      </c>
      <c r="CD321" s="39">
        <f>(CD27-CD75)/(BY27-BY75)-1</f>
        <v>-9.5408467501491012E-3</v>
      </c>
      <c r="CE321" s="1108"/>
      <c r="CF321" s="39">
        <f>(CF27-CF75)/(CA27-CA75)-1</f>
        <v>7.9706345044572524E-2</v>
      </c>
      <c r="CG321" s="39">
        <f>(CG27-CG75)/(CB27-CB75)-1</f>
        <v>0.23263075722092119</v>
      </c>
      <c r="CH321" s="39">
        <f>(CH27-CH75)/(CC27-CC75)-1</f>
        <v>0.12114197530864201</v>
      </c>
      <c r="CI321" s="39">
        <f>(CI27-CI75)/(CD27-CD75)-1</f>
        <v>8.1276339554485322E-2</v>
      </c>
      <c r="CJ321" s="11"/>
      <c r="CK321" s="1174">
        <f>(CK27-CK75)/(CF27-CF75)-1</f>
        <v>-0.10344827586206895</v>
      </c>
      <c r="CL321" s="1174">
        <f>(CL27-CL75)/(CG27-CG75)-1</f>
        <v>-7.59974667511083E-2</v>
      </c>
      <c r="CM321" s="1174">
        <f>(CM27-CM75)/(CH27-CH75)-1</f>
        <v>8.4652443220922136E-2</v>
      </c>
      <c r="CN321" s="39">
        <f>(CN27-CN75)/(CI27-CI75)-1</f>
        <v>9.8552338530066841E-2</v>
      </c>
      <c r="CO321" s="11"/>
      <c r="CP321" s="1609">
        <f>(CP27-CP75)/(CK27-CK75)-1</f>
        <v>2.0043336944745471E-2</v>
      </c>
      <c r="CQ321" s="1609">
        <f>(CQ27-CQ75)/(CL27-CL75)-1</f>
        <v>2.1932830705962969E-2</v>
      </c>
      <c r="CR321" s="1609">
        <f>(CR27-CR75)/(CM27-CM75)-1</f>
        <v>-8.8832487309644659E-3</v>
      </c>
      <c r="CS321" s="39">
        <f>(CS27-CS75)/(CN27-CN75)-1</f>
        <v>5.5245818550430759E-2</v>
      </c>
      <c r="CT321" s="11"/>
      <c r="CU321" s="1609">
        <f>(CU27-CU75)/(CP27-CP75)-1</f>
        <v>0.11949017525225702</v>
      </c>
      <c r="CV321" s="1609">
        <f>(CV27-CV75)/(CQ27-CQ75)-1</f>
        <v>5.0301810865191143E-2</v>
      </c>
      <c r="CW321" s="1609">
        <f>(CW27-CW75)/(CR27-CR75)-1</f>
        <v>7.0422535211267512E-3</v>
      </c>
      <c r="CX321" s="1609">
        <f>(CX27-CX75)/(CS27-CS75)-1</f>
        <v>-4.2267050912584092E-2</v>
      </c>
      <c r="CY321" s="1108"/>
      <c r="CZ321" s="1609">
        <f>(CZ27-CZ75)/(CU27-CU75)-1</f>
        <v>-8.9184060721062663E-2</v>
      </c>
      <c r="DA321" s="1609">
        <f>(DA27-DA75)/(CV27-CV75)-1</f>
        <v>0.15644955300127705</v>
      </c>
      <c r="DB321" s="1609">
        <f>(DB27-DB75)/(CW27-CW75)-1</f>
        <v>-8.3916083916083961E-2</v>
      </c>
      <c r="DC321" s="1609">
        <f>(DC27-DC75)/(CX27-CX75)-1</f>
        <v>0.12545584272156063</v>
      </c>
      <c r="DD321" s="1108"/>
      <c r="DE321" s="1108"/>
      <c r="DF321" s="1108"/>
      <c r="DG321" s="1108"/>
      <c r="DH321" s="1108"/>
      <c r="DI321" s="1108"/>
      <c r="DJ321" s="11"/>
      <c r="DK321" s="11"/>
      <c r="DL321" s="1108"/>
      <c r="DM321" s="1108"/>
      <c r="DN321" s="11"/>
      <c r="DO321" s="11"/>
      <c r="DP321" s="11"/>
      <c r="DQ321" s="11"/>
      <c r="DR321" s="11"/>
      <c r="DS321" s="11"/>
      <c r="DT321" s="11"/>
    </row>
    <row r="322" spans="1:124">
      <c r="A322" s="468" t="s">
        <v>704</v>
      </c>
      <c r="B322" s="6"/>
      <c r="C322" s="6"/>
      <c r="D322" s="6"/>
      <c r="E322" s="6"/>
      <c r="F322" s="6"/>
      <c r="G322" s="6"/>
      <c r="H322" s="6"/>
      <c r="I322" s="6"/>
      <c r="J322" s="6"/>
      <c r="K322" s="6"/>
      <c r="L322" s="1110">
        <f>(L36-L87)/(K36-K87)-1</f>
        <v>5.1422319474835776E-2</v>
      </c>
      <c r="M322" s="39">
        <f>(M36-M87)/(L36-L87)-1</f>
        <v>0.21852237252861606</v>
      </c>
      <c r="N322" s="1110">
        <f>(N36-N87)/(M36-M87)-1</f>
        <v>6.8317677198974636E-3</v>
      </c>
      <c r="O322" s="2705"/>
      <c r="P322" s="2705"/>
      <c r="Q322" s="1110">
        <f>(Q36-Q87)/(P36-P87)-1</f>
        <v>8.0576759966072942E-2</v>
      </c>
      <c r="R322" s="1110">
        <f t="shared" ref="R322:AE322" si="558">(R36-R87)/(Q36-Q87)-1</f>
        <v>-7.5353218210361117E-2</v>
      </c>
      <c r="S322" s="2705"/>
      <c r="T322" s="1110">
        <f>(T36-T87)/(R36-R87)-1</f>
        <v>0.223949105824643</v>
      </c>
      <c r="U322" s="1110">
        <f t="shared" si="558"/>
        <v>-0.13420736243344111</v>
      </c>
      <c r="V322" s="1110">
        <f t="shared" si="558"/>
        <v>4.5292989493504576E-2</v>
      </c>
      <c r="W322" s="1110">
        <f t="shared" si="558"/>
        <v>4.3205577644964688E-2</v>
      </c>
      <c r="X322" s="1110">
        <f t="shared" si="558"/>
        <v>4.2523820888752173E-2</v>
      </c>
      <c r="Y322" s="1110">
        <f t="shared" si="558"/>
        <v>4.2155435528052898E-2</v>
      </c>
      <c r="Z322" s="1110">
        <f t="shared" si="558"/>
        <v>4.0863784743587983E-2</v>
      </c>
      <c r="AA322" s="1110">
        <f t="shared" si="558"/>
        <v>4.0657003694505089E-2</v>
      </c>
      <c r="AB322" s="1110">
        <f t="shared" si="558"/>
        <v>3.9371230481266117E-2</v>
      </c>
      <c r="AC322" s="1110">
        <f t="shared" si="558"/>
        <v>3.9130731862527579E-2</v>
      </c>
      <c r="AD322" s="1110">
        <f t="shared" si="558"/>
        <v>3.8945437091627122E-2</v>
      </c>
      <c r="AE322" s="1110">
        <f t="shared" si="558"/>
        <v>3.8742806564903143E-2</v>
      </c>
      <c r="AF322" s="6"/>
      <c r="AG322" s="6"/>
      <c r="AH322" s="6"/>
      <c r="AI322" s="6"/>
      <c r="AJ322" s="6"/>
      <c r="AK322" s="1108"/>
      <c r="AL322" s="468" t="s">
        <v>704</v>
      </c>
      <c r="AM322" s="6"/>
      <c r="AN322" s="6"/>
      <c r="AO322" s="6"/>
      <c r="AP322" s="6"/>
      <c r="AQ322" s="1103"/>
      <c r="AR322" s="6"/>
      <c r="AS322" s="6"/>
      <c r="AT322" s="6"/>
      <c r="AU322" s="6"/>
      <c r="AV322" s="1103"/>
      <c r="AW322" s="6"/>
      <c r="AX322" s="6"/>
      <c r="AY322" s="6"/>
      <c r="AZ322" s="6"/>
      <c r="BA322" s="1103"/>
      <c r="BB322" s="6"/>
      <c r="BC322" s="6"/>
      <c r="BD322" s="6"/>
      <c r="BE322" s="6"/>
      <c r="BF322" s="1103"/>
      <c r="BG322" s="6"/>
      <c r="BH322" s="6"/>
      <c r="BI322" s="6"/>
      <c r="BJ322" s="6"/>
      <c r="BK322" s="1103"/>
      <c r="BL322" s="6"/>
      <c r="BM322" s="6"/>
      <c r="BN322" s="6"/>
      <c r="BO322" s="6"/>
      <c r="BP322" s="1103"/>
      <c r="BQ322" s="1108"/>
      <c r="BR322" s="1108"/>
      <c r="BS322" s="1108"/>
      <c r="BT322" s="1108"/>
      <c r="BU322" s="1108"/>
      <c r="BV322" s="1110"/>
      <c r="BW322" s="1110"/>
      <c r="BX322" s="1110"/>
      <c r="BY322" s="1110"/>
      <c r="BZ322" s="1108"/>
      <c r="CA322" s="1110">
        <f>(CA36-CA87)/(BV36-BV87)-1</f>
        <v>1.2499999999999956E-2</v>
      </c>
      <c r="CB322" s="1110">
        <f>(CB36-CB87)/(BW36-BW87)-1</f>
        <v>8.0168776371307926E-2</v>
      </c>
      <c r="CC322" s="1110">
        <f>(CC36-CC87)/(BX36-BX87)-1</f>
        <v>-3.686635944700456E-2</v>
      </c>
      <c r="CD322" s="39">
        <f>(CD36-CD87)/(BY36-BY87)-1</f>
        <v>0.14999999999999991</v>
      </c>
      <c r="CE322" s="1108"/>
      <c r="CF322" s="39">
        <f>(CF36-CF87)/(CA36-CA87)-1</f>
        <v>1.6460905349794164E-2</v>
      </c>
      <c r="CG322" s="39">
        <f>(CG36-CG87)/(CB36-CB87)-1</f>
        <v>0.21484375</v>
      </c>
      <c r="CH322" s="39">
        <f>(CH36-CH87)/(CC36-CC87)-1</f>
        <v>0.60287081339712922</v>
      </c>
      <c r="CI322" s="39">
        <f>(CI36-CI87)/(CD36-CD87)-1</f>
        <v>9.8814229249011953E-2</v>
      </c>
      <c r="CJ322" s="11"/>
      <c r="CK322" s="1174">
        <f>(CK36-CK87)/(CF36-CF87)-1</f>
        <v>0.12550607287449389</v>
      </c>
      <c r="CL322" s="1174">
        <f>(CL36-CL87)/(CG36-CG87)-1</f>
        <v>-4.5016077170418001E-2</v>
      </c>
      <c r="CM322" s="1174">
        <f>(CM36-CM87)/(CH36-CH87)-1</f>
        <v>5.0746268656716387E-2</v>
      </c>
      <c r="CN322" s="39">
        <f>(CN36-CN87)/(CI36-CI87)-1</f>
        <v>-9.3525179856115082E-2</v>
      </c>
      <c r="CO322" s="11"/>
      <c r="CP322" s="1609">
        <f>(CP36-CP87)/(CK36-CK87)-1</f>
        <v>1.4388489208633004E-2</v>
      </c>
      <c r="CQ322" s="1609">
        <f>(CQ36-CQ87)/(CL36-CL87)-1</f>
        <v>0.30976430976430969</v>
      </c>
      <c r="CR322" s="1609">
        <f>(CR36-CR87)/(CM36-CM87)-1</f>
        <v>-0.21875</v>
      </c>
      <c r="CS322" s="39">
        <f>(CS36-CS87)/(CN36-CN87)-1</f>
        <v>0.30158730158730163</v>
      </c>
      <c r="CT322" s="11"/>
      <c r="CU322" s="1609">
        <f>(CU36-CU87)/(CP36-CP87)-1</f>
        <v>3.1914893617021267E-2</v>
      </c>
      <c r="CV322" s="1609">
        <f>(CV36-CV87)/(CQ36-CQ87)-1</f>
        <v>-0.21850899742930596</v>
      </c>
      <c r="CW322" s="1609">
        <f>(CW36-CW87)/(CR36-CR87)-1</f>
        <v>0.11636363636363645</v>
      </c>
      <c r="CX322" s="1609">
        <f>(CX36-CX87)/(CS36-CS87)-1</f>
        <v>-0.15853658536585369</v>
      </c>
      <c r="CY322" s="1108"/>
      <c r="CZ322" s="1609">
        <f>(CZ36-CZ87)/(CU36-CU87)-1</f>
        <v>-6.8728522336769515E-3</v>
      </c>
      <c r="DA322" s="1609">
        <f>(DA36-DA87)/(CV36-CV87)-1</f>
        <v>2.6315789473684292E-2</v>
      </c>
      <c r="DB322" s="1609">
        <f>(DB36-DB87)/(CW36-CW87)-1</f>
        <v>0.76221498371335494</v>
      </c>
      <c r="DC322" s="1609">
        <f>(DC36-DC87)/(CX36-CX87)-1</f>
        <v>8.6275531381991621E-2</v>
      </c>
      <c r="DD322" s="1108"/>
      <c r="DE322" s="1108"/>
      <c r="DF322" s="1108"/>
      <c r="DG322" s="1108"/>
      <c r="DH322" s="1108"/>
      <c r="DI322" s="1108"/>
      <c r="DJ322" s="11"/>
      <c r="DK322" s="11"/>
      <c r="DL322" s="1108"/>
      <c r="DM322" s="1108"/>
      <c r="DN322" s="11"/>
      <c r="DO322" s="11"/>
      <c r="DP322" s="11"/>
      <c r="DQ322" s="11"/>
      <c r="DR322" s="11"/>
      <c r="DS322" s="11"/>
      <c r="DT322" s="11"/>
    </row>
    <row r="323" spans="1:124">
      <c r="A323" s="1107" t="s">
        <v>668</v>
      </c>
      <c r="B323" s="6"/>
      <c r="C323" s="6"/>
      <c r="D323" s="6"/>
      <c r="E323" s="6"/>
      <c r="F323" s="6"/>
      <c r="G323" s="6"/>
      <c r="H323" s="6"/>
      <c r="I323" s="6"/>
      <c r="J323" s="6"/>
      <c r="K323" s="6"/>
      <c r="L323" s="1110">
        <f>(L39-L91)/(K39-K91)-1</f>
        <v>8.6330935251799357E-3</v>
      </c>
      <c r="M323" s="39">
        <f>(M39-M91)/(L39-L91)-1</f>
        <v>-7.132667617689048E-3</v>
      </c>
      <c r="N323" s="1110">
        <f>(N39-N91)/(M39-M91)-1</f>
        <v>-3.5919540229885083E-2</v>
      </c>
      <c r="O323" s="2705"/>
      <c r="P323" s="2705"/>
      <c r="Q323" s="1110">
        <f>(Q39-Q91)/(P39-P91)-1</f>
        <v>-1.6393442622950838E-2</v>
      </c>
      <c r="R323" s="1110">
        <f t="shared" ref="R323:AE323" si="559">(R39-R91)/(Q39-Q91)-1</f>
        <v>-2.7272727272727226E-2</v>
      </c>
      <c r="S323" s="2705"/>
      <c r="T323" s="1110">
        <f>(T39-T91)/(R39-R91)-1</f>
        <v>3.9171339563862873E-2</v>
      </c>
      <c r="U323" s="1110">
        <f t="shared" si="559"/>
        <v>1.9109305581370029E-2</v>
      </c>
      <c r="V323" s="1110">
        <f t="shared" si="559"/>
        <v>1.6803787122172231E-2</v>
      </c>
      <c r="W323" s="1110">
        <f t="shared" si="559"/>
        <v>1.6856608011980523E-2</v>
      </c>
      <c r="X323" s="1110">
        <f t="shared" si="559"/>
        <v>1.6908716565096515E-2</v>
      </c>
      <c r="Y323" s="1110">
        <f t="shared" si="559"/>
        <v>1.6960117083719028E-2</v>
      </c>
      <c r="Z323" s="1110">
        <f t="shared" si="559"/>
        <v>1.7010814027792698E-2</v>
      </c>
      <c r="AA323" s="1110">
        <f t="shared" si="559"/>
        <v>1.7060812008115489E-2</v>
      </c>
      <c r="AB323" s="1110">
        <f t="shared" si="559"/>
        <v>1.7110115779526147E-2</v>
      </c>
      <c r="AC323" s="1110">
        <f t="shared" si="559"/>
        <v>1.7158730234180242E-2</v>
      </c>
      <c r="AD323" s="1110">
        <f t="shared" si="559"/>
        <v>1.7206660394916362E-2</v>
      </c>
      <c r="AE323" s="1110">
        <f t="shared" si="559"/>
        <v>1.7253911408720901E-2</v>
      </c>
      <c r="AF323" s="6"/>
      <c r="AG323" s="6"/>
      <c r="AH323" s="6"/>
      <c r="AI323" s="6"/>
      <c r="AJ323" s="6"/>
      <c r="AK323" s="1108"/>
      <c r="AL323" s="1107" t="s">
        <v>668</v>
      </c>
      <c r="AM323" s="6"/>
      <c r="AN323" s="6"/>
      <c r="AO323" s="6"/>
      <c r="AP323" s="6"/>
      <c r="AQ323" s="1103"/>
      <c r="AR323" s="6"/>
      <c r="AS323" s="6"/>
      <c r="AT323" s="6"/>
      <c r="AU323" s="6"/>
      <c r="AV323" s="1103"/>
      <c r="AW323" s="6"/>
      <c r="AX323" s="6"/>
      <c r="AY323" s="6"/>
      <c r="AZ323" s="6"/>
      <c r="BA323" s="1103"/>
      <c r="BB323" s="6"/>
      <c r="BC323" s="6"/>
      <c r="BD323" s="6"/>
      <c r="BE323" s="6"/>
      <c r="BF323" s="1103"/>
      <c r="BG323" s="6"/>
      <c r="BH323" s="6"/>
      <c r="BI323" s="6"/>
      <c r="BJ323" s="6"/>
      <c r="BK323" s="1103"/>
      <c r="BL323" s="6"/>
      <c r="BM323" s="6"/>
      <c r="BN323" s="6"/>
      <c r="BO323" s="6"/>
      <c r="BP323" s="1103"/>
      <c r="BQ323" s="1108"/>
      <c r="BR323" s="1108"/>
      <c r="BS323" s="1108"/>
      <c r="BT323" s="1108"/>
      <c r="BU323" s="1108"/>
      <c r="BV323" s="1110"/>
      <c r="BW323" s="1110"/>
      <c r="BX323" s="1110"/>
      <c r="BY323" s="1110"/>
      <c r="BZ323" s="1108"/>
      <c r="CA323" s="1110">
        <f>(CA39-CA91)/(BV39-BV91)-1</f>
        <v>0.12162162162162171</v>
      </c>
      <c r="CB323" s="1110">
        <f>(CB39-CB91)/(BW39-BW91)-1</f>
        <v>9.7560975609756184E-2</v>
      </c>
      <c r="CC323" s="1110">
        <f>(CC39-CC91)/(BX39-BX91)-1</f>
        <v>-6.0439560439560447E-2</v>
      </c>
      <c r="CD323" s="39">
        <f>(CD39-CD91)/(BY39-BY91)-1</f>
        <v>-8.4577114427860645E-2</v>
      </c>
      <c r="CE323" s="1108"/>
      <c r="CF323" s="39">
        <f>(CF39-CF91)/(CA39-CA91)-1</f>
        <v>-4.216867469879515E-2</v>
      </c>
      <c r="CG323" s="39">
        <f>(CG39-CG91)/(CB39-CB91)-1</f>
        <v>-6.6666666666666652E-2</v>
      </c>
      <c r="CH323" s="39">
        <f>(CH39-CH91)/(CC39-CC91)-1</f>
        <v>5.8479532163742798E-2</v>
      </c>
      <c r="CI323" s="39">
        <f>(CI39-CI91)/(CD39-CD91)-1</f>
        <v>2.1739130434782705E-2</v>
      </c>
      <c r="CJ323" s="11"/>
      <c r="CK323" s="1174">
        <f>(CK39-CK91)/(CF39-CF91)-1</f>
        <v>-0.11949685534591192</v>
      </c>
      <c r="CL323" s="1174">
        <f>(CL39-CL91)/(CG39-CG91)-1</f>
        <v>0.11309523809523814</v>
      </c>
      <c r="CM323" s="1174">
        <f>(CM39-CM91)/(CH39-CH91)-1</f>
        <v>-0.13812154696132595</v>
      </c>
      <c r="CN323" s="39">
        <f>(CN39-CN91)/(CI39-CI91)-1</f>
        <v>0</v>
      </c>
      <c r="CO323" s="11"/>
      <c r="CP323" s="1609">
        <f>(CP39-CP91)/(CK39-CK91)-1</f>
        <v>-5.7142857142857162E-2</v>
      </c>
      <c r="CQ323" s="1609">
        <f>(CQ39-CQ91)/(CL39-CL91)-1</f>
        <v>-8.0213903743315496E-2</v>
      </c>
      <c r="CR323" s="1609">
        <f>(CR39-CR91)/(CM39-CM91)-1</f>
        <v>1.9230769230769162E-2</v>
      </c>
      <c r="CS323" s="39">
        <f>(CS39-CS91)/(CN39-CN91)-1</f>
        <v>4.7872340425531901E-2</v>
      </c>
      <c r="CT323" s="11"/>
      <c r="CU323" s="1609">
        <f>(CU39-CU91)/(CP39-CP91)-1</f>
        <v>-7.575757575757569E-3</v>
      </c>
      <c r="CV323" s="1609">
        <f>(CV39-CV91)/(CQ39-CQ91)-1</f>
        <v>-7.5581395348837233E-2</v>
      </c>
      <c r="CW323" s="1609">
        <f>(CW39-CW91)/(CR39-CR91)-1</f>
        <v>0.13836477987421381</v>
      </c>
      <c r="CX323" s="1609">
        <f>(CX39-CX91)/(CS39-CS91)-1</f>
        <v>-0.13197969543147203</v>
      </c>
      <c r="CY323" s="1108"/>
      <c r="CZ323" s="1609">
        <f>(CZ39-CZ91)/(CU39-CU91)-1</f>
        <v>0.11450381679389321</v>
      </c>
      <c r="DA323" s="1609">
        <f>(DA39-DA91)/(CV39-CV91)-1</f>
        <v>0.10691823899371067</v>
      </c>
      <c r="DB323" s="1609">
        <f>(DB39-DB91)/(CW39-CW91)-1</f>
        <v>-5.5248618784530246E-3</v>
      </c>
      <c r="DC323" s="1609">
        <f>(DC39-DC91)/(CX39-CX91)-1</f>
        <v>-3.4222222222222265E-2</v>
      </c>
      <c r="DD323" s="1108"/>
      <c r="DE323" s="1108"/>
      <c r="DF323" s="1108"/>
      <c r="DG323" s="1108"/>
      <c r="DH323" s="1108"/>
      <c r="DI323" s="1108"/>
      <c r="DJ323" s="11"/>
      <c r="DK323" s="11"/>
      <c r="DL323" s="1108"/>
      <c r="DM323" s="1108"/>
      <c r="DN323" s="11"/>
      <c r="DO323" s="11"/>
      <c r="DP323" s="11"/>
      <c r="DQ323" s="11"/>
      <c r="DR323" s="11"/>
      <c r="DS323" s="11"/>
      <c r="DT323" s="11"/>
    </row>
    <row r="324" spans="1:124">
      <c r="A324" s="397" t="s">
        <v>1148</v>
      </c>
      <c r="B324" s="6"/>
      <c r="C324" s="6"/>
      <c r="D324" s="6"/>
      <c r="E324" s="6"/>
      <c r="F324" s="6"/>
      <c r="G324" s="6"/>
      <c r="H324" s="6"/>
      <c r="I324" s="6"/>
      <c r="J324" s="6"/>
      <c r="K324" s="6"/>
      <c r="L324" s="1110">
        <f>(L45-L99)/(K45-K99)-1</f>
        <v>2.2527832351014965E-2</v>
      </c>
      <c r="M324" s="39">
        <f>(M45-M99)/(L45-L99)-1</f>
        <v>0.1213013961829128</v>
      </c>
      <c r="N324" s="1110">
        <f>(N45-N99)/(M45-M99)-1</f>
        <v>-5.7116746630111459E-3</v>
      </c>
      <c r="O324" s="2705"/>
      <c r="P324" s="2705"/>
      <c r="Q324" s="1110">
        <f>(Q45-Q99)/(P45-P99)-1</f>
        <v>2.8492647058823595E-2</v>
      </c>
      <c r="R324" s="1110">
        <f t="shared" ref="R324:AE324" si="560">(R45-R99)/(Q45-Q99)-1</f>
        <v>1.2176050044682807E-2</v>
      </c>
      <c r="S324" s="2705"/>
      <c r="T324" s="1110">
        <f>(T45-T99)/(R45-R99)-1</f>
        <v>5.1221608768151405E-2</v>
      </c>
      <c r="U324" s="1110">
        <f t="shared" si="560"/>
        <v>6.8058556783723301E-2</v>
      </c>
      <c r="V324" s="1110">
        <f t="shared" si="560"/>
        <v>8.4895591733878062E-2</v>
      </c>
      <c r="W324" s="1110">
        <f t="shared" si="560"/>
        <v>3.3692465269901106E-3</v>
      </c>
      <c r="X324" s="1110">
        <f t="shared" si="560"/>
        <v>4.1873039996130457E-2</v>
      </c>
      <c r="Y324" s="1110">
        <f t="shared" si="560"/>
        <v>7.0528393319480687E-2</v>
      </c>
      <c r="Z324" s="1110">
        <f t="shared" si="560"/>
        <v>5.1455447964821044E-3</v>
      </c>
      <c r="AA324" s="1110">
        <f t="shared" si="560"/>
        <v>3.3074967205895422E-2</v>
      </c>
      <c r="AB324" s="1110">
        <f t="shared" si="560"/>
        <v>7.4335532588635234E-2</v>
      </c>
      <c r="AC324" s="1110">
        <f t="shared" si="560"/>
        <v>-9.4055008152007513E-3</v>
      </c>
      <c r="AD324" s="1110">
        <f t="shared" si="560"/>
        <v>3.0859009047666808E-2</v>
      </c>
      <c r="AE324" s="1110">
        <f t="shared" si="560"/>
        <v>7.3636858020226681E-2</v>
      </c>
      <c r="AF324" s="6"/>
      <c r="AG324" s="6"/>
      <c r="AH324" s="6"/>
      <c r="AI324" s="6"/>
      <c r="AJ324" s="6"/>
      <c r="AK324" s="1108"/>
      <c r="AL324" s="397" t="s">
        <v>1148</v>
      </c>
      <c r="AM324" s="6"/>
      <c r="AN324" s="6"/>
      <c r="AO324" s="6"/>
      <c r="AP324" s="6"/>
      <c r="AQ324" s="1103"/>
      <c r="AR324" s="6"/>
      <c r="AS324" s="6"/>
      <c r="AT324" s="6"/>
      <c r="AU324" s="6"/>
      <c r="AV324" s="1103"/>
      <c r="AW324" s="6"/>
      <c r="AX324" s="6"/>
      <c r="AY324" s="6"/>
      <c r="AZ324" s="6"/>
      <c r="BA324" s="1103"/>
      <c r="BB324" s="6"/>
      <c r="BC324" s="6"/>
      <c r="BD324" s="6"/>
      <c r="BE324" s="6"/>
      <c r="BF324" s="1103"/>
      <c r="BG324" s="6"/>
      <c r="BH324" s="6"/>
      <c r="BI324" s="6"/>
      <c r="BJ324" s="6"/>
      <c r="BK324" s="1103"/>
      <c r="BL324" s="6"/>
      <c r="BM324" s="6"/>
      <c r="BN324" s="6"/>
      <c r="BO324" s="6"/>
      <c r="BP324" s="1103"/>
      <c r="BQ324" s="1108"/>
      <c r="BR324" s="1108"/>
      <c r="BS324" s="1108"/>
      <c r="BT324" s="1108"/>
      <c r="BU324" s="1108"/>
      <c r="BV324" s="1110"/>
      <c r="BW324" s="1110"/>
      <c r="BX324" s="1110"/>
      <c r="BY324" s="1110"/>
      <c r="BZ324" s="1108"/>
      <c r="CA324" s="1110">
        <f>(CA45-CA99)/(BV45-BV99)-1</f>
        <v>9.5553453169347158E-2</v>
      </c>
      <c r="CB324" s="1110">
        <f>(CB45-CB99)/(BW45-BW99)-1</f>
        <v>-4.4518642181413437E-2</v>
      </c>
      <c r="CC324" s="1110">
        <f>(CC45-CC99)/(BX45-BX99)-1</f>
        <v>3.0750307503075058E-2</v>
      </c>
      <c r="CD324" s="39">
        <f>(CD45-CD99)/(BY45-BY99)-1</f>
        <v>0</v>
      </c>
      <c r="CE324" s="1108"/>
      <c r="CF324" s="39">
        <f>(CF45-CF99)/(CA45-CA99)-1</f>
        <v>6.4335060449050019E-2</v>
      </c>
      <c r="CG324" s="39">
        <f>(CG45-CG99)/(CB45-CB99)-1</f>
        <v>0.19860221316249271</v>
      </c>
      <c r="CH324" s="39">
        <f>(CH45-CH99)/(CC45-CC99)-1</f>
        <v>0.17482100238663478</v>
      </c>
      <c r="CI324" s="39">
        <f>(CI45-CI99)/(CD45-CD99)-1</f>
        <v>7.8169685414680723E-2</v>
      </c>
      <c r="CJ324" s="11"/>
      <c r="CK324" s="1174">
        <f>(CK45-CK99)/(CF45-CF99)-1</f>
        <v>-8.1541582150101433E-2</v>
      </c>
      <c r="CL324" s="1174">
        <f>(CL45-CL99)/(CG45-CG99)-1</f>
        <v>-5.5879494655004858E-2</v>
      </c>
      <c r="CM324" s="1174">
        <f>(CM45-CM99)/(CH45-CH99)-1</f>
        <v>5.8405281868969094E-2</v>
      </c>
      <c r="CN324" s="39">
        <f>(CN45-CN99)/(CI45-CI99)-1</f>
        <v>6.6755083996463238E-2</v>
      </c>
      <c r="CO324" s="11"/>
      <c r="CP324" s="1609">
        <f>(CP45-CP99)/(CK45-CK99)-1</f>
        <v>1.4575971731448867E-2</v>
      </c>
      <c r="CQ324" s="1609">
        <f>(CQ45-CQ99)/(CL45-CL99)-1</f>
        <v>5.6098816263510098E-2</v>
      </c>
      <c r="CR324" s="1609">
        <f>(CR45-CR99)/(CM45-CM99)-1</f>
        <v>-4.2226487523992273E-2</v>
      </c>
      <c r="CS324" s="39">
        <f>(CS45-CS99)/(CN45-CN99)-1</f>
        <v>8.0397845006216384E-2</v>
      </c>
      <c r="CT324" s="11"/>
      <c r="CU324" s="1609">
        <f>(CU45-CU99)/(CP45-CP99)-1</f>
        <v>0.10143665650848943</v>
      </c>
      <c r="CV324" s="1609">
        <f>(CV45-CV99)/(CQ45-CQ99)-1</f>
        <v>-1.1208576998050668E-2</v>
      </c>
      <c r="CW324" s="1609">
        <f>(CW45-CW99)/(CR45-CR99)-1</f>
        <v>3.2565130260520991E-2</v>
      </c>
      <c r="CX324" s="1609">
        <f>(CX45-CX99)/(CS45-CS99)-1</f>
        <v>-6.3674721902569953E-2</v>
      </c>
      <c r="CY324" s="1108"/>
      <c r="CZ324" s="1609">
        <f>(CZ45-CZ99)/(CU45-CU99)-1</f>
        <v>-6.9169960474308345E-2</v>
      </c>
      <c r="DA324" s="1609">
        <f>(DA45-DA99)/(CV45-CV99)-1</f>
        <v>0.13307047806801386</v>
      </c>
      <c r="DB324" s="1609">
        <f>(DB45-DB99)/(CW45-CW99)-1</f>
        <v>4.9005337214944156E-2</v>
      </c>
      <c r="DC324" s="1609">
        <f>(DC45-DC99)/(CX45-CX99)-1</f>
        <v>0.10983981853675595</v>
      </c>
      <c r="DD324" s="1108"/>
      <c r="DE324" s="1108"/>
      <c r="DF324" s="1108"/>
      <c r="DG324" s="1108"/>
      <c r="DH324" s="1108"/>
      <c r="DI324" s="1108"/>
      <c r="DJ324" s="11"/>
      <c r="DK324" s="11"/>
      <c r="DL324" s="1108"/>
      <c r="DM324" s="1108"/>
      <c r="DN324" s="11"/>
      <c r="DO324" s="11"/>
      <c r="DP324" s="11"/>
      <c r="DQ324" s="11"/>
      <c r="DR324" s="11"/>
      <c r="DS324" s="11"/>
      <c r="DT324" s="11"/>
    </row>
    <row r="325" spans="1:124">
      <c r="A325" s="6"/>
      <c r="B325" s="6"/>
      <c r="C325" s="6"/>
      <c r="D325" s="6"/>
      <c r="E325" s="6"/>
      <c r="F325" s="6"/>
      <c r="G325" s="6"/>
      <c r="H325" s="6"/>
      <c r="I325" s="6"/>
      <c r="J325" s="6"/>
      <c r="K325" s="6"/>
      <c r="L325" s="1108"/>
      <c r="M325" s="11"/>
      <c r="N325" s="6"/>
      <c r="O325" s="2706"/>
      <c r="P325" s="2706"/>
      <c r="Q325" s="6"/>
      <c r="R325" s="6"/>
      <c r="S325" s="2706"/>
      <c r="T325" s="6"/>
      <c r="U325" s="6"/>
      <c r="V325" s="6"/>
      <c r="W325" s="6"/>
      <c r="X325" s="6"/>
      <c r="Y325" s="6"/>
      <c r="Z325" s="6"/>
      <c r="AA325" s="6"/>
      <c r="AB325" s="6"/>
      <c r="AC325" s="1108"/>
      <c r="AD325" s="1108"/>
      <c r="AE325" s="1108"/>
      <c r="AF325" s="6"/>
      <c r="AG325" s="6"/>
      <c r="AH325" s="6"/>
      <c r="AI325" s="6"/>
      <c r="AJ325" s="6"/>
      <c r="AK325" s="1108"/>
      <c r="AL325" s="6"/>
      <c r="AM325" s="6"/>
      <c r="AN325" s="6"/>
      <c r="AO325" s="6"/>
      <c r="AP325" s="6"/>
      <c r="AQ325" s="1103"/>
      <c r="AR325" s="6"/>
      <c r="AS325" s="6"/>
      <c r="AT325" s="6"/>
      <c r="AU325" s="6"/>
      <c r="AV325" s="1103"/>
      <c r="AW325" s="6"/>
      <c r="AX325" s="6"/>
      <c r="AY325" s="6"/>
      <c r="AZ325" s="6"/>
      <c r="BA325" s="1103"/>
      <c r="BB325" s="6"/>
      <c r="BC325" s="6"/>
      <c r="BD325" s="6"/>
      <c r="BE325" s="6"/>
      <c r="BF325" s="1103"/>
      <c r="BG325" s="6"/>
      <c r="BH325" s="6"/>
      <c r="BI325" s="6"/>
      <c r="BJ325" s="6"/>
      <c r="BK325" s="1103"/>
      <c r="BL325" s="6"/>
      <c r="BM325" s="6"/>
      <c r="BN325" s="6"/>
      <c r="BO325" s="6"/>
      <c r="BP325" s="1103"/>
      <c r="BQ325" s="1108"/>
      <c r="BR325" s="1108"/>
      <c r="BS325" s="1108"/>
      <c r="BT325" s="1108"/>
      <c r="BU325" s="1108"/>
      <c r="BV325" s="1108"/>
      <c r="BW325" s="1108"/>
      <c r="BX325" s="1108"/>
      <c r="BY325" s="1108"/>
      <c r="BZ325" s="1108"/>
      <c r="CA325" s="6"/>
      <c r="CB325" s="6"/>
      <c r="CC325" s="6"/>
      <c r="CD325" s="11"/>
      <c r="CE325" s="1108"/>
      <c r="CF325" s="11"/>
      <c r="CG325" s="11"/>
      <c r="CH325" s="11"/>
      <c r="CI325" s="11"/>
      <c r="CJ325" s="11"/>
      <c r="CK325" s="906"/>
      <c r="CL325" s="906"/>
      <c r="CM325" s="906"/>
      <c r="CN325" s="11"/>
      <c r="CO325" s="11"/>
      <c r="CP325" s="906"/>
      <c r="CQ325" s="906"/>
      <c r="CR325" s="906"/>
      <c r="CS325" s="11"/>
      <c r="CT325" s="11"/>
      <c r="CU325" s="906"/>
      <c r="CV325" s="906"/>
      <c r="CW325" s="906"/>
      <c r="CX325" s="906"/>
      <c r="CY325" s="1108"/>
      <c r="CZ325" s="906"/>
      <c r="DA325" s="906"/>
      <c r="DB325" s="906"/>
      <c r="DC325" s="906"/>
      <c r="DD325" s="1108"/>
      <c r="DE325" s="1108"/>
      <c r="DF325" s="1108"/>
      <c r="DG325" s="1108"/>
      <c r="DH325" s="1108"/>
      <c r="DI325" s="1108"/>
      <c r="DJ325" s="11"/>
      <c r="DK325" s="11"/>
      <c r="DL325" s="1108"/>
      <c r="DM325" s="1108"/>
      <c r="DN325" s="11"/>
      <c r="DO325" s="11"/>
      <c r="DP325" s="11"/>
      <c r="DQ325" s="11"/>
      <c r="DR325" s="11"/>
      <c r="DS325" s="11"/>
      <c r="DT325" s="11"/>
    </row>
    <row r="326" spans="1:124">
      <c r="A326" s="1111" t="s">
        <v>712</v>
      </c>
      <c r="B326" s="6"/>
      <c r="C326" s="6"/>
      <c r="D326" s="6"/>
      <c r="E326" s="6"/>
      <c r="F326" s="6"/>
      <c r="G326" s="6"/>
      <c r="H326" s="6"/>
      <c r="I326" s="6"/>
      <c r="J326" s="6"/>
      <c r="K326" s="6"/>
      <c r="L326" s="1110">
        <f>(L123-L149)/(K123-K149)-1</f>
        <v>1.4255383682135303E-2</v>
      </c>
      <c r="M326" s="39">
        <f>(M123-M149)/(L123-L149)-1</f>
        <v>-1.851930963773063E-2</v>
      </c>
      <c r="N326" s="1110">
        <f>(N123-N149)/(M123-M149)-1</f>
        <v>-2.292759363642316E-2</v>
      </c>
      <c r="O326" s="2705"/>
      <c r="P326" s="2705"/>
      <c r="Q326" s="1110">
        <f>(Q123-Q149)/(P123-P149)-1</f>
        <v>0.17439387020970942</v>
      </c>
      <c r="R326" s="1110">
        <f t="shared" ref="R326:AE326" si="561">(R123-R149)/(Q123-Q149)-1</f>
        <v>5.8985301090564324E-2</v>
      </c>
      <c r="S326" s="2705"/>
      <c r="T326" s="1110">
        <f>(T123-T149)/(R123-R149)-1</f>
        <v>2.7523059013163875E-2</v>
      </c>
      <c r="U326" s="1110">
        <f t="shared" si="561"/>
        <v>8.1549020205937461E-2</v>
      </c>
      <c r="V326" s="1110">
        <f t="shared" si="561"/>
        <v>9.3068465284511737E-2</v>
      </c>
      <c r="W326" s="1110">
        <f t="shared" si="561"/>
        <v>0.16913900333530796</v>
      </c>
      <c r="X326" s="1110">
        <f t="shared" si="561"/>
        <v>0.11064876839836613</v>
      </c>
      <c r="Y326" s="1110">
        <f t="shared" si="561"/>
        <v>6.1303490589785126E-2</v>
      </c>
      <c r="Z326" s="1110">
        <f t="shared" si="561"/>
        <v>5.2739656322377648E-2</v>
      </c>
      <c r="AA326" s="1110">
        <f t="shared" si="561"/>
        <v>5.0398086033157652E-2</v>
      </c>
      <c r="AB326" s="1110">
        <f t="shared" si="561"/>
        <v>4.4950368581128108E-2</v>
      </c>
      <c r="AC326" s="1110">
        <f t="shared" si="561"/>
        <v>3.9900809178884389E-2</v>
      </c>
      <c r="AD326" s="1110">
        <f t="shared" si="561"/>
        <v>3.7407632650220624E-2</v>
      </c>
      <c r="AE326" s="1110">
        <f t="shared" si="561"/>
        <v>3.8081016058991946E-2</v>
      </c>
      <c r="AF326" s="6"/>
      <c r="AG326" s="6"/>
      <c r="AH326" s="6"/>
      <c r="AI326" s="6"/>
      <c r="AJ326" s="6"/>
      <c r="AK326" s="1108"/>
      <c r="AL326" s="1111" t="s">
        <v>712</v>
      </c>
      <c r="AM326" s="6"/>
      <c r="AN326" s="6"/>
      <c r="AO326" s="6"/>
      <c r="AP326" s="6"/>
      <c r="AQ326" s="1103"/>
      <c r="AR326" s="6"/>
      <c r="AS326" s="6"/>
      <c r="AT326" s="6"/>
      <c r="AU326" s="6"/>
      <c r="AV326" s="1103"/>
      <c r="AW326" s="6"/>
      <c r="AX326" s="6"/>
      <c r="AY326" s="6"/>
      <c r="AZ326" s="6"/>
      <c r="BA326" s="1103"/>
      <c r="BB326" s="6"/>
      <c r="BC326" s="6"/>
      <c r="BD326" s="6"/>
      <c r="BE326" s="6"/>
      <c r="BF326" s="1103"/>
      <c r="BG326" s="6"/>
      <c r="BH326" s="6"/>
      <c r="BI326" s="6"/>
      <c r="BJ326" s="6"/>
      <c r="BK326" s="1103"/>
      <c r="BL326" s="6"/>
      <c r="BM326" s="6"/>
      <c r="BN326" s="6"/>
      <c r="BO326" s="6"/>
      <c r="BP326" s="1103"/>
      <c r="BQ326" s="1108"/>
      <c r="BR326" s="1108"/>
      <c r="BS326" s="1108"/>
      <c r="BT326" s="1108"/>
      <c r="BU326" s="1108"/>
      <c r="BV326" s="1108"/>
      <c r="BW326" s="1108"/>
      <c r="BX326" s="1108"/>
      <c r="BY326" s="1108"/>
      <c r="BZ326" s="1108"/>
      <c r="CA326" s="1110">
        <f>(CA123-CA149)/(BV123-BV149)-1</f>
        <v>2.9104550644267091E-2</v>
      </c>
      <c r="CB326" s="1110">
        <f>(CB123-CB149)/(BW123-BW149)-1</f>
        <v>1.4529329098688537E-2</v>
      </c>
      <c r="CC326" s="1110">
        <f>(CC123-CC149)/(BX123-BX149)-1</f>
        <v>-2.020438378543965E-2</v>
      </c>
      <c r="CD326" s="39">
        <f>(CD123-CD149)/(BY123-BY149)-1</f>
        <v>3.4120682977569539E-2</v>
      </c>
      <c r="CE326" s="1108"/>
      <c r="CF326" s="39">
        <f>(CF123-CF149)/(CA123-CA149)-1</f>
        <v>-5.1376008988728961E-2</v>
      </c>
      <c r="CG326" s="39">
        <f>(CG123-CG149)/(CB123-CB149)-1</f>
        <v>-6.7938687808606457E-2</v>
      </c>
      <c r="CH326" s="39">
        <f>(CH123-CH149)/(CC123-CC149)-1</f>
        <v>3.5093900665115418E-2</v>
      </c>
      <c r="CI326" s="39">
        <f>(CI123-CI149)/(CD123-CD149)-1</f>
        <v>1.1111146749684497E-2</v>
      </c>
      <c r="CJ326" s="11"/>
      <c r="CK326" s="1174">
        <f>(CK123-CK149)/(CF123-CF149)-1</f>
        <v>-8.9326086844765062E-2</v>
      </c>
      <c r="CL326" s="1174">
        <f>(CL123-CL149)/(CG123-CG149)-1</f>
        <v>-1.2679497013710073E-2</v>
      </c>
      <c r="CM326" s="1174">
        <f>(CM123-CM149)/(CH123-CH149)-1</f>
        <v>-1.1087621403290449E-2</v>
      </c>
      <c r="CN326" s="39">
        <f>(CN123-CN149)/(CI123-CI149)-1</f>
        <v>2.1584363174997012E-2</v>
      </c>
      <c r="CO326" s="11"/>
      <c r="CP326" s="1609">
        <f>(CP123-CP149)/(CK123-CK149)-1</f>
        <v>0.18558092052146202</v>
      </c>
      <c r="CQ326" s="1609">
        <f>(CQ123-CQ149)/(CL123-CL149)-1</f>
        <v>0.18607473407804709</v>
      </c>
      <c r="CR326" s="1609">
        <f>(CR123-CR149)/(CM123-CM149)-1</f>
        <v>0.11564528324854817</v>
      </c>
      <c r="CS326" s="39">
        <f>(CS123-CS149)/(CN123-CN149)-1</f>
        <v>0.21184696961996918</v>
      </c>
      <c r="CT326" s="11"/>
      <c r="CU326" s="1609">
        <f>(CU123-CU149)/(CP123-CP149)-1</f>
        <v>0.13877591508778897</v>
      </c>
      <c r="CV326" s="1609">
        <f>(CV123-CV149)/(CQ123-CQ149)-1</f>
        <v>3.1069729784434674E-2</v>
      </c>
      <c r="CW326" s="1609">
        <f>(CW123-CW149)/(CR123-CR149)-1</f>
        <v>4.9429657794676896E-2</v>
      </c>
      <c r="CX326" s="1609">
        <f>(CX123-CX149)/(CS123-CS149)-1</f>
        <v>2.239699093862213E-2</v>
      </c>
      <c r="CY326" s="1108"/>
      <c r="CZ326" s="1609">
        <f>(CZ123-CZ149)/(CU123-CU149)-1</f>
        <v>-4.181184668989546E-2</v>
      </c>
      <c r="DA326" s="1609">
        <f>(DA123-DA149)/(CV123-CV149)-1</f>
        <v>7.1849234393404071E-2</v>
      </c>
      <c r="DB326" s="1609">
        <f>(DB123-DB149)/(CW123-CW149)-1</f>
        <v>1.8115942028985588E-2</v>
      </c>
      <c r="DC326" s="1609">
        <f>(DC123-DC149)/(CX123-CX149)-1</f>
        <v>6.4999999999999947E-2</v>
      </c>
      <c r="DD326" s="1108"/>
      <c r="DE326" s="1108"/>
      <c r="DF326" s="1108"/>
      <c r="DG326" s="1108"/>
      <c r="DH326" s="1108"/>
      <c r="DI326" s="1108"/>
      <c r="DJ326" s="11"/>
      <c r="DK326" s="11"/>
      <c r="DL326" s="1108"/>
      <c r="DM326" s="1108"/>
      <c r="DN326" s="11"/>
      <c r="DO326" s="11"/>
      <c r="DP326" s="11"/>
      <c r="DQ326" s="11"/>
      <c r="DR326" s="11"/>
      <c r="DS326" s="11"/>
      <c r="DT326" s="11"/>
    </row>
    <row r="327" spans="1:124">
      <c r="A327" s="1111" t="s">
        <v>1205</v>
      </c>
      <c r="B327" s="6"/>
      <c r="C327" s="6"/>
      <c r="D327" s="6"/>
      <c r="E327" s="6"/>
      <c r="F327" s="6"/>
      <c r="G327" s="6"/>
      <c r="H327" s="6"/>
      <c r="I327" s="6"/>
      <c r="J327" s="6"/>
      <c r="K327" s="6"/>
      <c r="L327" s="1110">
        <f>(L128-L153)/(K128-K153)-1</f>
        <v>-3.9439815016796831E-2</v>
      </c>
      <c r="M327" s="39">
        <f>(M128-M153)/(L128-L153)-1</f>
        <v>-1.8849071172276632E-3</v>
      </c>
      <c r="N327" s="1110">
        <f>(N128-N153)/(M128-M153)-1</f>
        <v>1.600646174148479E-2</v>
      </c>
      <c r="O327" s="2705"/>
      <c r="P327" s="2705"/>
      <c r="Q327" s="1110">
        <f>(Q128-Q153)/(P128-P153)-1</f>
        <v>3.6289735636946041E-2</v>
      </c>
      <c r="R327" s="1110">
        <f>(R128-R153)/(Q128-Q153)-1</f>
        <v>-3.4035656401944947E-2</v>
      </c>
      <c r="S327" s="2705"/>
      <c r="T327" s="6"/>
      <c r="U327" s="6"/>
      <c r="V327" s="6"/>
      <c r="W327" s="6"/>
      <c r="X327" s="6"/>
      <c r="Y327" s="6"/>
      <c r="Z327" s="6"/>
      <c r="AA327" s="6"/>
      <c r="AB327" s="6"/>
      <c r="AC327" s="6"/>
      <c r="AD327" s="6"/>
      <c r="AE327" s="6"/>
      <c r="AF327" s="6"/>
      <c r="AG327" s="6"/>
      <c r="AH327" s="6"/>
      <c r="AI327" s="6"/>
      <c r="AJ327" s="6"/>
      <c r="AK327" s="1108"/>
      <c r="AL327" s="1111" t="s">
        <v>1205</v>
      </c>
      <c r="AM327" s="6"/>
      <c r="AN327" s="6"/>
      <c r="AO327" s="6"/>
      <c r="AP327" s="6"/>
      <c r="AQ327" s="1103"/>
      <c r="AR327" s="6"/>
      <c r="AS327" s="6"/>
      <c r="AT327" s="6"/>
      <c r="AU327" s="6"/>
      <c r="AV327" s="1103"/>
      <c r="AW327" s="6"/>
      <c r="AX327" s="6"/>
      <c r="AY327" s="6"/>
      <c r="AZ327" s="6"/>
      <c r="BA327" s="1103"/>
      <c r="BB327" s="6"/>
      <c r="BC327" s="6"/>
      <c r="BD327" s="6"/>
      <c r="BE327" s="6"/>
      <c r="BF327" s="1103"/>
      <c r="BG327" s="6"/>
      <c r="BH327" s="6"/>
      <c r="BI327" s="6"/>
      <c r="BJ327" s="6"/>
      <c r="BK327" s="1103"/>
      <c r="BL327" s="6"/>
      <c r="BM327" s="6"/>
      <c r="BN327" s="6"/>
      <c r="BO327" s="6"/>
      <c r="BP327" s="1103"/>
      <c r="BQ327" s="1108"/>
      <c r="BR327" s="1108"/>
      <c r="BS327" s="1108"/>
      <c r="BT327" s="1108"/>
      <c r="BU327" s="1108"/>
      <c r="BV327" s="1108"/>
      <c r="BW327" s="1108"/>
      <c r="BX327" s="1108"/>
      <c r="BY327" s="1108"/>
      <c r="BZ327" s="1108"/>
      <c r="CA327" s="1110">
        <f>(CA128-CA153)/(BV128-BV153)-1</f>
        <v>-3.7386080200666361E-2</v>
      </c>
      <c r="CB327" s="1110">
        <f>(CB128-CB153)/(BW128-BW153)-1</f>
        <v>-3.4638648786669335E-2</v>
      </c>
      <c r="CC327" s="1110">
        <f>(CC128-CC153)/(BX128-BX153)-1</f>
        <v>-8.1244302643573296E-2</v>
      </c>
      <c r="CD327" s="39">
        <f>(CD128-CD153)/(BY128-BY153)-1</f>
        <v>-3.093407253003666E-3</v>
      </c>
      <c r="CE327" s="1108"/>
      <c r="CF327" s="39">
        <f>(CF128-CF153)/(CA128-CA153)-1</f>
        <v>3.1327489178840651E-3</v>
      </c>
      <c r="CG327" s="39">
        <f>(CG128-CG153)/(CB128-CB153)-1</f>
        <v>1.0344904605480876E-2</v>
      </c>
      <c r="CH327" s="39">
        <f>(CH128-CH153)/(CC128-CC153)-1</f>
        <v>1.7996746779870509E-2</v>
      </c>
      <c r="CI327" s="39">
        <f>(CI128-CI153)/(CD128-CD153)-1</f>
        <v>-3.7640461989082108E-2</v>
      </c>
      <c r="CJ327" s="11"/>
      <c r="CK327" s="1174">
        <f>(CK128-CK153)/(CF128-CF153)-1</f>
        <v>3.819087798330778E-2</v>
      </c>
      <c r="CL327" s="1174">
        <f>(CL128-CL153)/(CG128-CG153)-1</f>
        <v>-5.7423262892489668E-2</v>
      </c>
      <c r="CM327" s="1174">
        <f>(CM128-CM153)/(CH128-CH153)-1</f>
        <v>3.8999737373978993E-2</v>
      </c>
      <c r="CN327" s="39">
        <f>(CN128-CN153)/(CI128-CI153)-1</f>
        <v>4.9602051910579315E-2</v>
      </c>
      <c r="CO327" s="11"/>
      <c r="CP327" s="1609">
        <f>(CP128-CP153)/(CK128-CK153)-1</f>
        <v>-6.7934225992949404E-3</v>
      </c>
      <c r="CQ327" s="1609">
        <f>(CQ128-CQ153)/(CL128-CL153)-1</f>
        <v>0.10170588715622664</v>
      </c>
      <c r="CR327" s="1609">
        <f>(CR128-CR153)/(CM128-CM153)-1</f>
        <v>2.9262367527273181E-2</v>
      </c>
      <c r="CS327" s="39">
        <f>(CS128-CS153)/(CN128-CN153)-1</f>
        <v>2.1137392242067454E-2</v>
      </c>
      <c r="CT327" s="11"/>
      <c r="CU327" s="1108"/>
      <c r="CV327" s="1108"/>
      <c r="CW327" s="1108"/>
      <c r="CX327" s="1108"/>
      <c r="CY327" s="1108"/>
      <c r="CZ327" s="1108"/>
      <c r="DA327" s="1108"/>
      <c r="DB327" s="1108"/>
      <c r="DC327" s="1108"/>
      <c r="DD327" s="1108"/>
      <c r="DE327" s="1108"/>
      <c r="DF327" s="1108"/>
      <c r="DG327" s="1108"/>
      <c r="DH327" s="1108"/>
      <c r="DI327" s="1108"/>
      <c r="DJ327" s="11"/>
      <c r="DK327" s="11"/>
      <c r="DL327" s="1108"/>
      <c r="DM327" s="1108"/>
      <c r="DN327" s="11"/>
      <c r="DO327" s="11"/>
      <c r="DP327" s="11"/>
      <c r="DQ327" s="11"/>
      <c r="DR327" s="11"/>
      <c r="DS327" s="11"/>
      <c r="DT327" s="11"/>
    </row>
    <row r="328" spans="1:124">
      <c r="A328" s="468" t="s">
        <v>713</v>
      </c>
      <c r="B328" s="6"/>
      <c r="C328" s="6"/>
      <c r="D328" s="6"/>
      <c r="E328" s="6"/>
      <c r="F328" s="6"/>
      <c r="G328" s="6"/>
      <c r="H328" s="6"/>
      <c r="I328" s="6"/>
      <c r="J328" s="6"/>
      <c r="K328" s="6"/>
      <c r="L328" s="1110">
        <f>(L131-L157)/(K131-K157)-1</f>
        <v>-1.2499999999999956E-2</v>
      </c>
      <c r="M328" s="39">
        <f>(M131-M157)/(L131-L157)-1</f>
        <v>-1.0456796917996725E-2</v>
      </c>
      <c r="N328" s="1110">
        <f>(N131-N157)/(M131-M157)-1</f>
        <v>-3.8932146829810943E-3</v>
      </c>
      <c r="O328" s="2705"/>
      <c r="P328" s="2705"/>
      <c r="Q328" s="1110">
        <f>(Q131-Q157)/(P131-P157)-1</f>
        <v>0.10552763819095468</v>
      </c>
      <c r="R328" s="1110">
        <f t="shared" ref="R328:AE328" si="562">(R131-R157)/(Q131-Q157)-1</f>
        <v>1.5505050505050466E-2</v>
      </c>
      <c r="S328" s="2705"/>
      <c r="T328" s="1110">
        <f>(T131-T157)/(R131-R157)-1</f>
        <v>-0.42933555478191665</v>
      </c>
      <c r="U328" s="1110">
        <f t="shared" si="562"/>
        <v>8.1549020205937461E-2</v>
      </c>
      <c r="V328" s="1110">
        <f t="shared" si="562"/>
        <v>9.3068465284511737E-2</v>
      </c>
      <c r="W328" s="1110">
        <f t="shared" si="562"/>
        <v>0.16913900333530796</v>
      </c>
      <c r="X328" s="1110">
        <f t="shared" si="562"/>
        <v>0.11064876839836613</v>
      </c>
      <c r="Y328" s="1110">
        <f t="shared" si="562"/>
        <v>6.1303490589785126E-2</v>
      </c>
      <c r="Z328" s="1110">
        <f t="shared" si="562"/>
        <v>5.2739656322377648E-2</v>
      </c>
      <c r="AA328" s="1110">
        <f t="shared" si="562"/>
        <v>5.0398086033157652E-2</v>
      </c>
      <c r="AB328" s="1110">
        <f t="shared" si="562"/>
        <v>4.4950368581128108E-2</v>
      </c>
      <c r="AC328" s="1110">
        <f t="shared" si="562"/>
        <v>3.9900809178884389E-2</v>
      </c>
      <c r="AD328" s="1110">
        <f t="shared" si="562"/>
        <v>3.7407632650220624E-2</v>
      </c>
      <c r="AE328" s="1110">
        <f t="shared" si="562"/>
        <v>3.8081016058991946E-2</v>
      </c>
      <c r="AF328" s="6"/>
      <c r="AG328" s="6"/>
      <c r="AH328" s="6"/>
      <c r="AI328" s="6"/>
      <c r="AJ328" s="6"/>
      <c r="AK328" s="1108"/>
      <c r="AL328" s="468" t="s">
        <v>713</v>
      </c>
      <c r="AM328" s="6"/>
      <c r="AN328" s="6"/>
      <c r="AO328" s="6"/>
      <c r="AP328" s="6"/>
      <c r="AQ328" s="1103"/>
      <c r="AR328" s="6"/>
      <c r="AS328" s="6"/>
      <c r="AT328" s="6"/>
      <c r="AU328" s="6"/>
      <c r="AV328" s="1103"/>
      <c r="AW328" s="6"/>
      <c r="AX328" s="6"/>
      <c r="AY328" s="6"/>
      <c r="AZ328" s="6"/>
      <c r="BA328" s="1103"/>
      <c r="BB328" s="6"/>
      <c r="BC328" s="6"/>
      <c r="BD328" s="6"/>
      <c r="BE328" s="6"/>
      <c r="BF328" s="1103"/>
      <c r="BG328" s="6"/>
      <c r="BH328" s="6"/>
      <c r="BI328" s="6"/>
      <c r="BJ328" s="6"/>
      <c r="BK328" s="1103"/>
      <c r="BL328" s="6"/>
      <c r="BM328" s="6"/>
      <c r="BN328" s="6"/>
      <c r="BO328" s="6"/>
      <c r="BP328" s="1103"/>
      <c r="BQ328" s="1108"/>
      <c r="BR328" s="1108"/>
      <c r="BS328" s="1108"/>
      <c r="BT328" s="1108"/>
      <c r="BU328" s="1108"/>
      <c r="BV328" s="1108"/>
      <c r="BW328" s="1108"/>
      <c r="BX328" s="1108"/>
      <c r="BY328" s="1108"/>
      <c r="BZ328" s="1108"/>
      <c r="CA328" s="1110">
        <f>(CA131-CA157)/(BV131-BV157)-1</f>
        <v>-2.2123893805309214E-3</v>
      </c>
      <c r="CB328" s="1110">
        <f>(CB131-CB157)/(BW131-BW157)-1</f>
        <v>-1.0845986984815648E-2</v>
      </c>
      <c r="CC328" s="1110">
        <f>(CC131-CC157)/(BX131-BX157)-1</f>
        <v>-5.084745762711862E-2</v>
      </c>
      <c r="CD328" s="39">
        <f>(CD131-CD157)/(BY131-BY157)-1</f>
        <v>1.538461538461533E-2</v>
      </c>
      <c r="CE328" s="1108"/>
      <c r="CF328" s="39">
        <f>(CF131-CF157)/(CA131-CA157)-1</f>
        <v>-2.6607538802660757E-2</v>
      </c>
      <c r="CG328" s="39">
        <f>(CG131-CG157)/(CB131-CB157)-1</f>
        <v>-2.8508771929824595E-2</v>
      </c>
      <c r="CH328" s="39">
        <f>(CH131-CH157)/(CC131-CC157)-1</f>
        <v>2.6785714285714191E-2</v>
      </c>
      <c r="CI328" s="39">
        <f>(CI131-CI157)/(CD131-CD157)-1</f>
        <v>-1.2987012987012991E-2</v>
      </c>
      <c r="CJ328" s="11"/>
      <c r="CK328" s="1174">
        <f>(CK131-CK157)/(CF131-CF157)-1</f>
        <v>-2.9612756264236872E-2</v>
      </c>
      <c r="CL328" s="1174">
        <f>(CL131-CL157)/(CG131-CG157)-1</f>
        <v>-3.6117381489842004E-2</v>
      </c>
      <c r="CM328" s="1174">
        <f>(CM131-CM157)/(CH131-CH157)-1</f>
        <v>1.304347826086949E-2</v>
      </c>
      <c r="CN328" s="39">
        <f>(CN131-CN157)/(CI131-CI157)-1</f>
        <v>3.5087719298245723E-2</v>
      </c>
      <c r="CO328" s="11"/>
      <c r="CP328" s="1609">
        <f>(CP131-CP157)/(CK131-CK157)-1</f>
        <v>8.9201877934272256E-2</v>
      </c>
      <c r="CQ328" s="1609">
        <f>(CQ131-CQ157)/(CL131-CL157)-1</f>
        <v>0.14285714285714279</v>
      </c>
      <c r="CR328" s="1609">
        <f>(CR131-CR157)/(CM131-CM157)-1</f>
        <v>7.296137339055786E-2</v>
      </c>
      <c r="CS328" s="39">
        <f>(CS131-CS157)/(CN131-CN157)-1</f>
        <v>0.11864406779661008</v>
      </c>
      <c r="CT328" s="11"/>
      <c r="CU328" s="1609">
        <f>(CU131-CU157)/(CP131-CP157)-1</f>
        <v>-0.38146551724137934</v>
      </c>
      <c r="CV328" s="1609">
        <f>(CV131-CV157)/(CQ131-CQ157)-1</f>
        <v>-0.47807377049180333</v>
      </c>
      <c r="CW328" s="1609">
        <f>(CW131-CW157)/(CR131-CR157)-1</f>
        <v>-0.44799999999999995</v>
      </c>
      <c r="CX328" s="1609">
        <f>(CX131-CX157)/(CS131-CS157)-1</f>
        <v>-0.43371212121212122</v>
      </c>
      <c r="CY328" s="1108"/>
      <c r="CZ328" s="1609">
        <f>(CZ131-CZ157)/(CU131-CU157)-1</f>
        <v>-4.181184668989546E-2</v>
      </c>
      <c r="DA328" s="1609">
        <f>(DA131-DA157)/(CV131-CV157)-1</f>
        <v>7.1849234393404071E-2</v>
      </c>
      <c r="DB328" s="1609">
        <f>(DB131-DB157)/(CW131-CW157)-1</f>
        <v>1.8115942028985588E-2</v>
      </c>
      <c r="DC328" s="1609">
        <f>(DC131-DC157)/(CX131-CX157)-1</f>
        <v>6.4999999999999947E-2</v>
      </c>
      <c r="DD328" s="1108"/>
      <c r="DE328" s="1108"/>
      <c r="DF328" s="1108"/>
      <c r="DG328" s="1108"/>
      <c r="DH328" s="1108"/>
      <c r="DI328" s="1108"/>
      <c r="DJ328" s="11"/>
      <c r="DK328" s="11"/>
      <c r="DL328" s="1108"/>
      <c r="DM328" s="1108"/>
      <c r="DN328" s="11"/>
      <c r="DO328" s="11"/>
      <c r="DP328" s="11"/>
      <c r="DQ328" s="11"/>
      <c r="DR328" s="11"/>
      <c r="DS328" s="11"/>
      <c r="DT328" s="11"/>
    </row>
    <row r="329" spans="1:124">
      <c r="A329" s="468" t="s">
        <v>1206</v>
      </c>
      <c r="B329" s="6"/>
      <c r="C329" s="6"/>
      <c r="D329" s="6"/>
      <c r="E329" s="6"/>
      <c r="F329" s="6"/>
      <c r="G329" s="6"/>
      <c r="H329" s="6"/>
      <c r="I329" s="6"/>
      <c r="J329" s="6"/>
      <c r="K329" s="6"/>
      <c r="L329" s="1110">
        <f>(L142-L161)/(K142-K161)-1</f>
        <v>6.6225165562894261E-4</v>
      </c>
      <c r="M329" s="39">
        <f>(M142-M161)/(L142-L161)-1</f>
        <v>-1.500110302228097E-2</v>
      </c>
      <c r="N329" s="1110"/>
      <c r="O329" s="2705"/>
      <c r="P329" s="2705"/>
      <c r="Q329" s="1110"/>
      <c r="R329" s="1110"/>
      <c r="S329" s="2705"/>
      <c r="T329" s="1110"/>
      <c r="U329" s="1110"/>
      <c r="V329" s="1110"/>
      <c r="W329" s="1110"/>
      <c r="X329" s="1110"/>
      <c r="Y329" s="1110"/>
      <c r="Z329" s="1110"/>
      <c r="AA329" s="1110"/>
      <c r="AB329" s="1110"/>
      <c r="AC329" s="1110"/>
      <c r="AD329" s="1110"/>
      <c r="AE329" s="1110"/>
      <c r="AF329" s="6"/>
      <c r="AG329" s="6"/>
      <c r="AH329" s="6"/>
      <c r="AI329" s="6"/>
      <c r="AJ329" s="6"/>
      <c r="AK329" s="1108"/>
      <c r="AL329" s="468" t="s">
        <v>1206</v>
      </c>
      <c r="AM329" s="6"/>
      <c r="AN329" s="6"/>
      <c r="AO329" s="6"/>
      <c r="AP329" s="6"/>
      <c r="AQ329" s="1103"/>
      <c r="AR329" s="6"/>
      <c r="AS329" s="6"/>
      <c r="AT329" s="6"/>
      <c r="AU329" s="6"/>
      <c r="AV329" s="1103"/>
      <c r="AW329" s="6"/>
      <c r="AX329" s="6"/>
      <c r="AY329" s="6"/>
      <c r="AZ329" s="6"/>
      <c r="BA329" s="1103"/>
      <c r="BB329" s="6"/>
      <c r="BC329" s="6"/>
      <c r="BD329" s="6"/>
      <c r="BE329" s="6"/>
      <c r="BF329" s="1103"/>
      <c r="BG329" s="6"/>
      <c r="BH329" s="6"/>
      <c r="BI329" s="6"/>
      <c r="BJ329" s="6"/>
      <c r="BK329" s="1103"/>
      <c r="BL329" s="6"/>
      <c r="BM329" s="6"/>
      <c r="BN329" s="6"/>
      <c r="BO329" s="6"/>
      <c r="BP329" s="1103"/>
      <c r="BQ329" s="1108"/>
      <c r="BR329" s="1108"/>
      <c r="BS329" s="1108"/>
      <c r="BT329" s="1108"/>
      <c r="BU329" s="1108"/>
      <c r="BV329" s="1108"/>
      <c r="BW329" s="1108"/>
      <c r="BX329" s="1108"/>
      <c r="BY329" s="1108"/>
      <c r="BZ329" s="1108"/>
      <c r="CA329" s="1110">
        <f>(CA142-CA161)/(BV142-BV161)-1</f>
        <v>-4.7619047619062993E-4</v>
      </c>
      <c r="CB329" s="1110">
        <f>(CB142-CB161)/(BW142-BW161)-1</f>
        <v>-1.9742489270386354E-2</v>
      </c>
      <c r="CC329" s="1110">
        <f>(CC142-CC161)/(BX142-BX161)-1</f>
        <v>-1.0917030567685337E-2</v>
      </c>
      <c r="CD329" s="39">
        <f>(CD142-CD161)/(BY142-BY161)-1</f>
        <v>3.3333333333333215E-2</v>
      </c>
      <c r="CE329" s="1108"/>
      <c r="CF329" s="39">
        <f>(CF142-CF161)/(CA142-CA161)-1</f>
        <v>-1.3816102906145655E-2</v>
      </c>
      <c r="CG329" s="39">
        <f>(CG142-CG161)/(CB142-CB161)-1</f>
        <v>-1.7513134851137035E-3</v>
      </c>
      <c r="CH329" s="39">
        <f>(CH142-CH161)/(CC142-CC161)-1</f>
        <v>1.986754966887383E-2</v>
      </c>
      <c r="CI329" s="39">
        <f>(CI142-CI161)/(CD142-CD161)-1</f>
        <v>-6.1207609594706169E-2</v>
      </c>
      <c r="CJ329" s="11"/>
      <c r="CK329" s="1174">
        <f>(CK142-CK161)/(CF142-CF161)-1</f>
        <v>-1</v>
      </c>
      <c r="CL329" s="1174">
        <f>(CL142-CL161)/(CG142-CG161)-1</f>
        <v>-1</v>
      </c>
      <c r="CM329" s="1174">
        <f>(CM142-CM161)/(CH142-CH161)-1</f>
        <v>-1</v>
      </c>
      <c r="CN329" s="39">
        <f>(CN142-CN161)/(CI142-CI161)-1</f>
        <v>-1</v>
      </c>
      <c r="CO329" s="11"/>
      <c r="CP329" s="1609"/>
      <c r="CQ329" s="1609"/>
      <c r="CR329" s="1609"/>
      <c r="CS329" s="39"/>
      <c r="CT329" s="11"/>
      <c r="CU329" s="1609"/>
      <c r="CV329" s="1609"/>
      <c r="CW329" s="1609"/>
      <c r="CX329" s="1609"/>
      <c r="CY329" s="1108"/>
      <c r="CZ329" s="1609"/>
      <c r="DA329" s="1609"/>
      <c r="DB329" s="1609"/>
      <c r="DC329" s="1609"/>
      <c r="DD329" s="1108"/>
      <c r="DE329" s="1108"/>
      <c r="DF329" s="1108"/>
      <c r="DG329" s="1108"/>
      <c r="DH329" s="1108"/>
      <c r="DI329" s="1108"/>
      <c r="DJ329" s="11"/>
      <c r="DK329" s="11"/>
      <c r="DL329" s="1108"/>
      <c r="DM329" s="1108"/>
      <c r="DN329" s="1108"/>
      <c r="DO329" s="1108"/>
      <c r="DP329" s="1108"/>
      <c r="DQ329" s="1108"/>
      <c r="DR329" s="1108"/>
      <c r="DS329" s="1108"/>
      <c r="DT329" s="1108"/>
    </row>
    <row r="330" spans="1:124">
      <c r="A330" s="6" t="s">
        <v>1149</v>
      </c>
      <c r="B330" s="6"/>
      <c r="C330" s="6"/>
      <c r="D330" s="6"/>
      <c r="E330" s="6"/>
      <c r="F330" s="6"/>
      <c r="G330" s="6"/>
      <c r="H330" s="6"/>
      <c r="I330" s="6"/>
      <c r="J330" s="6"/>
      <c r="K330" s="6"/>
      <c r="L330" s="1110">
        <f>(L145-L165)/(K145-K165)-1</f>
        <v>-8.1573197378004281E-3</v>
      </c>
      <c r="M330" s="39">
        <f>(M145-M165)/(L145-L165)-1</f>
        <v>-1.1969452195623398E-2</v>
      </c>
      <c r="N330" s="1110">
        <f>(N145-N165)/(M145-M165)-1</f>
        <v>-0.33444816053511706</v>
      </c>
      <c r="O330" s="2705"/>
      <c r="P330" s="2705"/>
      <c r="Q330" s="1110">
        <f>(Q145-Q165)/(P145-P165)-1</f>
        <v>0.10552763819095468</v>
      </c>
      <c r="R330" s="1110">
        <f t="shared" ref="R330:AE330" si="563">(R145-R165)/(Q145-Q165)-1</f>
        <v>1.5505050505050466E-2</v>
      </c>
      <c r="S330" s="2705"/>
      <c r="T330" s="1110">
        <f>(T145-T165)/(R145-R165)-1</f>
        <v>-0.42933555478191665</v>
      </c>
      <c r="U330" s="1110">
        <f t="shared" si="563"/>
        <v>8.1549020205937461E-2</v>
      </c>
      <c r="V330" s="1110">
        <f t="shared" si="563"/>
        <v>9.3068465284511737E-2</v>
      </c>
      <c r="W330" s="1110">
        <f t="shared" si="563"/>
        <v>0.16913900333530796</v>
      </c>
      <c r="X330" s="1110">
        <f t="shared" si="563"/>
        <v>0.11064876839836613</v>
      </c>
      <c r="Y330" s="1110">
        <f t="shared" si="563"/>
        <v>6.1303490589785126E-2</v>
      </c>
      <c r="Z330" s="1110">
        <f t="shared" si="563"/>
        <v>5.2739656322377648E-2</v>
      </c>
      <c r="AA330" s="1110">
        <f t="shared" si="563"/>
        <v>5.0398086033157652E-2</v>
      </c>
      <c r="AB330" s="1110">
        <f t="shared" si="563"/>
        <v>4.4950368581128108E-2</v>
      </c>
      <c r="AC330" s="1110">
        <f t="shared" si="563"/>
        <v>3.9900809178884389E-2</v>
      </c>
      <c r="AD330" s="1110">
        <f t="shared" si="563"/>
        <v>3.7407632650220624E-2</v>
      </c>
      <c r="AE330" s="1110">
        <f t="shared" si="563"/>
        <v>3.8081016058991946E-2</v>
      </c>
      <c r="AF330" s="6"/>
      <c r="AG330" s="6"/>
      <c r="AH330" s="6"/>
      <c r="AI330" s="6"/>
      <c r="AJ330" s="6"/>
      <c r="AK330" s="1108"/>
      <c r="AL330" s="6" t="s">
        <v>1149</v>
      </c>
      <c r="AM330" s="6"/>
      <c r="AN330" s="6"/>
      <c r="AO330" s="6"/>
      <c r="AP330" s="6"/>
      <c r="AQ330" s="1103"/>
      <c r="AR330" s="6"/>
      <c r="AS330" s="6"/>
      <c r="AT330" s="6"/>
      <c r="AU330" s="6"/>
      <c r="AV330" s="1103"/>
      <c r="AW330" s="6"/>
      <c r="AX330" s="6"/>
      <c r="AY330" s="6"/>
      <c r="AZ330" s="6"/>
      <c r="BA330" s="1103"/>
      <c r="BB330" s="6"/>
      <c r="BC330" s="6"/>
      <c r="BD330" s="6"/>
      <c r="BE330" s="6"/>
      <c r="BF330" s="1103"/>
      <c r="BG330" s="6"/>
      <c r="BH330" s="6"/>
      <c r="BI330" s="6"/>
      <c r="BJ330" s="6"/>
      <c r="BK330" s="1103"/>
      <c r="BL330" s="6"/>
      <c r="BM330" s="6"/>
      <c r="BN330" s="6"/>
      <c r="BO330" s="6"/>
      <c r="BP330" s="1103"/>
      <c r="BQ330" s="1108"/>
      <c r="BR330" s="1108"/>
      <c r="BS330" s="1108"/>
      <c r="BT330" s="1108"/>
      <c r="BU330" s="1108"/>
      <c r="BV330" s="1108"/>
      <c r="BW330" s="1108"/>
      <c r="BX330" s="1108"/>
      <c r="BY330" s="1108"/>
      <c r="BZ330" s="1108"/>
      <c r="CA330" s="1110">
        <f>(CA145-CA165)/(BV145-BV165)-1</f>
        <v>-1.6616314199395799E-3</v>
      </c>
      <c r="CB330" s="1110">
        <f>(CB145-CB165)/(BW145-BW165)-1</f>
        <v>-1.3832853025936509E-2</v>
      </c>
      <c r="CC330" s="1110">
        <f>(CC145-CC165)/(BX145-BX165)-1</f>
        <v>-3.7803138373751821E-2</v>
      </c>
      <c r="CD330" s="39">
        <f>(CD145-CD165)/(BY145-BY165)-1</f>
        <v>2.1480406386066742E-2</v>
      </c>
      <c r="CE330" s="1108"/>
      <c r="CF330" s="39">
        <f>(CF145-CF165)/(CA145-CA165)-1</f>
        <v>-2.2545014374337979E-2</v>
      </c>
      <c r="CG330" s="39">
        <f>(CG145-CG165)/(CB145-CB165)-1</f>
        <v>-1.9579193454120514E-2</v>
      </c>
      <c r="CH330" s="39">
        <f>(CH145-CH165)/(CC145-CC165)-1</f>
        <v>2.4462564862861358E-2</v>
      </c>
      <c r="CI330" s="39">
        <f>(CI145-CI165)/(CD145-CD165)-1</f>
        <v>-2.9553850525717462E-2</v>
      </c>
      <c r="CJ330" s="11"/>
      <c r="CK330" s="1174">
        <f>(CK145-CK165)/(CF145-CF165)-1</f>
        <v>-0.34055727554179571</v>
      </c>
      <c r="CL330" s="1174">
        <f>(CL145-CL165)/(CG145-CG165)-1</f>
        <v>-0.36363636363636365</v>
      </c>
      <c r="CM330" s="1174">
        <f>(CM145-CM165)/(CH145-CH165)-1</f>
        <v>-0.32561505065123009</v>
      </c>
      <c r="CN330" s="39">
        <f>(CN145-CN165)/(CI145-CI165)-1</f>
        <v>-0.30893118594436308</v>
      </c>
      <c r="CO330" s="11"/>
      <c r="CP330" s="1609">
        <f>(CP145-CP165)/(CK145-CK165)-1</f>
        <v>8.9201877934272256E-2</v>
      </c>
      <c r="CQ330" s="1609">
        <f>(CQ145-CQ165)/(CL145-CL165)-1</f>
        <v>0.14285714285714279</v>
      </c>
      <c r="CR330" s="1609">
        <f>(CR145-CR165)/(CM145-CM165)-1</f>
        <v>7.296137339055786E-2</v>
      </c>
      <c r="CS330" s="39">
        <f>(CS145-CS165)/(CN145-CN165)-1</f>
        <v>0.11864406779661008</v>
      </c>
      <c r="CT330" s="11"/>
      <c r="CU330" s="1609">
        <f>(CU145-CU165)/(CP145-CP165)-1</f>
        <v>-0.38146551724137934</v>
      </c>
      <c r="CV330" s="1609">
        <f>(CV145-CV165)/(CQ145-CQ165)-1</f>
        <v>-0.47807377049180333</v>
      </c>
      <c r="CW330" s="1609">
        <f>(CW145-CW165)/(CR145-CR165)-1</f>
        <v>-0.44799999999999995</v>
      </c>
      <c r="CX330" s="1609">
        <f>(CX145-CX165)/(CS145-CS165)-1</f>
        <v>-0.43371212121212122</v>
      </c>
      <c r="CY330" s="1108"/>
      <c r="CZ330" s="1609">
        <f>(CZ145-CZ165)/(CU145-CU165)-1</f>
        <v>-4.181184668989546E-2</v>
      </c>
      <c r="DA330" s="1609">
        <f>(DA145-DA165)/(CV145-CV165)-1</f>
        <v>7.1849234393404071E-2</v>
      </c>
      <c r="DB330" s="1609">
        <f>(DB145-DB165)/(CW145-CW165)-1</f>
        <v>1.8115942028985588E-2</v>
      </c>
      <c r="DC330" s="1609">
        <f>(DC145-DC165)/(CX145-CX165)-1</f>
        <v>6.4999999999999947E-2</v>
      </c>
      <c r="DD330" s="1108"/>
      <c r="DE330" s="1108"/>
      <c r="DF330" s="1108"/>
      <c r="DG330" s="1108"/>
      <c r="DH330" s="1108"/>
      <c r="DI330" s="1108"/>
      <c r="DJ330" s="11"/>
      <c r="DK330" s="11"/>
      <c r="DL330" s="1108"/>
      <c r="DM330" s="1108"/>
      <c r="DN330" s="1108"/>
      <c r="DO330" s="1108"/>
      <c r="DP330" s="1108"/>
      <c r="DQ330" s="1108"/>
      <c r="DR330" s="1108"/>
      <c r="DS330" s="1108"/>
      <c r="DT330" s="1108"/>
    </row>
    <row r="331" spans="1:124">
      <c r="A331" s="6"/>
      <c r="B331" s="6"/>
      <c r="C331" s="6"/>
      <c r="D331" s="6"/>
      <c r="E331" s="6"/>
      <c r="F331" s="6"/>
      <c r="G331" s="6"/>
      <c r="H331" s="6"/>
      <c r="I331" s="6"/>
      <c r="J331" s="6"/>
      <c r="K331" s="6"/>
      <c r="L331" s="6"/>
      <c r="M331" s="11"/>
      <c r="N331" s="6"/>
      <c r="O331" s="2706"/>
      <c r="P331" s="2706"/>
      <c r="Q331" s="6"/>
      <c r="R331" s="6"/>
      <c r="S331" s="2706"/>
      <c r="T331" s="6"/>
      <c r="U331" s="6"/>
      <c r="V331" s="6"/>
      <c r="W331" s="6"/>
      <c r="X331" s="6"/>
      <c r="Y331" s="6"/>
      <c r="Z331" s="6"/>
      <c r="AA331" s="6"/>
      <c r="AB331" s="6"/>
      <c r="AC331" s="1108"/>
      <c r="AD331" s="6"/>
      <c r="AE331" s="6"/>
      <c r="AF331" s="6"/>
      <c r="AG331" s="6"/>
      <c r="AH331" s="6"/>
      <c r="AI331" s="6"/>
      <c r="AJ331" s="6"/>
      <c r="AK331" s="1108"/>
      <c r="AL331" s="6"/>
      <c r="AM331" s="6"/>
      <c r="AN331" s="6"/>
      <c r="AO331" s="6"/>
      <c r="AP331" s="6"/>
      <c r="AQ331" s="1103"/>
      <c r="AR331" s="6"/>
      <c r="AS331" s="6"/>
      <c r="AT331" s="6"/>
      <c r="AU331" s="6"/>
      <c r="AV331" s="1103"/>
      <c r="AW331" s="6"/>
      <c r="AX331" s="6"/>
      <c r="AY331" s="6"/>
      <c r="AZ331" s="6"/>
      <c r="BA331" s="1103"/>
      <c r="BB331" s="6"/>
      <c r="BC331" s="6"/>
      <c r="BD331" s="6"/>
      <c r="BE331" s="6"/>
      <c r="BF331" s="1103"/>
      <c r="BG331" s="6"/>
      <c r="BH331" s="6"/>
      <c r="BI331" s="6"/>
      <c r="BJ331" s="6"/>
      <c r="BK331" s="1103"/>
      <c r="BL331" s="6"/>
      <c r="BM331" s="6"/>
      <c r="BN331" s="6"/>
      <c r="BO331" s="6"/>
      <c r="BP331" s="1103"/>
      <c r="BQ331" s="1108"/>
      <c r="BR331" s="1108"/>
      <c r="BS331" s="1108"/>
      <c r="BT331" s="1108"/>
      <c r="BU331" s="1108"/>
      <c r="BV331" s="1108"/>
      <c r="BW331" s="1108"/>
      <c r="BX331" s="1108"/>
      <c r="BY331" s="1108"/>
      <c r="BZ331" s="1108"/>
      <c r="CA331" s="1108"/>
      <c r="CB331" s="1108"/>
      <c r="CC331" s="1108"/>
      <c r="CD331" s="1108"/>
      <c r="CE331" s="1108"/>
      <c r="CF331" s="11"/>
      <c r="CG331" s="11"/>
      <c r="CH331" s="11"/>
      <c r="CI331" s="11"/>
      <c r="CJ331" s="11"/>
      <c r="CK331" s="906"/>
      <c r="CL331" s="906"/>
      <c r="CM331" s="906"/>
      <c r="CN331" s="11"/>
      <c r="CO331" s="11"/>
      <c r="CP331" s="906"/>
      <c r="CQ331" s="906"/>
      <c r="CR331" s="906"/>
      <c r="CS331" s="11"/>
      <c r="CT331" s="11"/>
      <c r="CU331" s="11"/>
      <c r="CV331" s="11"/>
      <c r="CW331" s="11"/>
      <c r="CX331" s="11"/>
      <c r="CY331" s="1108"/>
      <c r="CZ331" s="1108"/>
      <c r="DA331" s="1108"/>
      <c r="DB331" s="1108"/>
      <c r="DC331" s="1108"/>
      <c r="DD331" s="1108"/>
      <c r="DE331" s="1108"/>
      <c r="DF331" s="1108"/>
      <c r="DG331" s="1108"/>
      <c r="DH331" s="1108"/>
      <c r="DI331" s="1108"/>
      <c r="DJ331" s="11"/>
      <c r="DK331" s="11"/>
      <c r="DL331" s="1108"/>
      <c r="DM331" s="1108"/>
      <c r="DN331" s="1108"/>
      <c r="DO331" s="1108"/>
      <c r="DP331" s="1108"/>
      <c r="DQ331" s="1108"/>
      <c r="DR331" s="1108"/>
      <c r="DS331" s="1108"/>
      <c r="DT331" s="1108"/>
    </row>
    <row r="332" spans="1:124">
      <c r="A332" s="6"/>
      <c r="B332" s="6"/>
      <c r="C332" s="6"/>
      <c r="D332" s="6"/>
      <c r="E332" s="6"/>
      <c r="F332" s="6"/>
      <c r="G332" s="6"/>
      <c r="H332" s="6"/>
      <c r="I332" s="6"/>
      <c r="J332" s="6"/>
      <c r="K332" s="6"/>
      <c r="L332" s="6"/>
      <c r="M332" s="11"/>
      <c r="N332" s="1128"/>
      <c r="O332" s="2773"/>
      <c r="P332" s="2773"/>
      <c r="Q332" s="745"/>
      <c r="R332" s="745"/>
      <c r="S332" s="2762"/>
      <c r="T332" s="745"/>
      <c r="U332" s="745"/>
      <c r="V332" s="6"/>
      <c r="W332" s="6"/>
      <c r="X332" s="6"/>
      <c r="Y332" s="6"/>
      <c r="Z332" s="6"/>
      <c r="AA332" s="6"/>
      <c r="AB332" s="6"/>
      <c r="AC332" s="1108"/>
      <c r="AD332" s="6"/>
      <c r="AE332" s="6"/>
      <c r="AF332" s="6"/>
      <c r="AG332" s="6"/>
      <c r="AH332" s="6"/>
      <c r="AI332" s="6"/>
      <c r="AJ332" s="6"/>
      <c r="AK332" s="1108"/>
      <c r="AL332" s="6"/>
      <c r="AM332" s="6"/>
      <c r="AN332" s="6"/>
      <c r="AO332" s="6"/>
      <c r="AP332" s="6"/>
      <c r="AQ332" s="1103"/>
      <c r="AR332" s="6"/>
      <c r="AS332" s="6"/>
      <c r="AT332" s="6"/>
      <c r="AU332" s="6"/>
      <c r="AV332" s="1103"/>
      <c r="AW332" s="6"/>
      <c r="AX332" s="6"/>
      <c r="AY332" s="6"/>
      <c r="AZ332" s="6"/>
      <c r="BA332" s="1103"/>
      <c r="BB332" s="6"/>
      <c r="BC332" s="6"/>
      <c r="BD332" s="6"/>
      <c r="BE332" s="6"/>
      <c r="BF332" s="1103"/>
      <c r="BG332" s="6"/>
      <c r="BH332" s="6"/>
      <c r="BI332" s="6"/>
      <c r="BJ332" s="6"/>
      <c r="BK332" s="1103"/>
      <c r="BL332" s="6"/>
      <c r="BM332" s="6"/>
      <c r="BN332" s="6"/>
      <c r="BO332" s="6"/>
      <c r="BP332" s="1103"/>
      <c r="BQ332" s="1108"/>
      <c r="BR332" s="1108"/>
      <c r="BS332" s="1108"/>
      <c r="BT332" s="1108"/>
      <c r="BU332" s="1108"/>
      <c r="BV332" s="1108"/>
      <c r="BW332" s="1108"/>
      <c r="BX332" s="1108"/>
      <c r="BY332" s="1108"/>
      <c r="BZ332" s="1108"/>
      <c r="CA332" s="1108"/>
      <c r="CB332" s="1108"/>
      <c r="CC332" s="1108"/>
      <c r="CD332" s="1108"/>
      <c r="CE332" s="1108"/>
      <c r="CF332" s="1108"/>
      <c r="CG332" s="1108"/>
      <c r="CH332" s="1108"/>
      <c r="CI332" s="1108"/>
      <c r="CJ332" s="11"/>
      <c r="CK332" s="906"/>
      <c r="CL332" s="906"/>
      <c r="CM332" s="906"/>
      <c r="CN332" s="11"/>
      <c r="CO332" s="11"/>
      <c r="CP332" s="906"/>
      <c r="CQ332" s="906"/>
      <c r="CR332" s="906"/>
      <c r="CS332" s="11"/>
      <c r="CT332" s="11"/>
      <c r="CU332" s="11"/>
      <c r="CV332" s="11"/>
      <c r="CW332" s="11"/>
      <c r="CX332" s="11"/>
      <c r="CY332" s="1108"/>
      <c r="CZ332" s="1108"/>
      <c r="DA332" s="1108"/>
      <c r="DB332" s="1108"/>
      <c r="DC332" s="1108"/>
      <c r="DD332" s="1108"/>
      <c r="DE332" s="1108"/>
      <c r="DF332" s="1108"/>
      <c r="DG332" s="1108"/>
      <c r="DH332" s="1108"/>
      <c r="DI332" s="1108"/>
      <c r="DJ332" s="11"/>
      <c r="DK332" s="11"/>
      <c r="DL332" s="1108"/>
      <c r="DM332" s="1108"/>
      <c r="DN332" s="1108"/>
      <c r="DO332" s="1108"/>
      <c r="DP332" s="1108"/>
      <c r="DQ332" s="1108"/>
      <c r="DR332" s="1108"/>
      <c r="DS332" s="1108"/>
      <c r="DT332" s="1108"/>
    </row>
    <row r="333" spans="1:124">
      <c r="A333" s="6"/>
      <c r="B333" s="6"/>
      <c r="C333" s="6"/>
      <c r="D333" s="6"/>
      <c r="E333" s="6"/>
      <c r="F333" s="6"/>
      <c r="G333" s="6"/>
      <c r="H333" s="6"/>
      <c r="I333" s="6"/>
      <c r="J333" s="6"/>
      <c r="K333" s="6"/>
      <c r="L333" s="6"/>
      <c r="M333" s="11"/>
      <c r="N333" s="11"/>
      <c r="O333" s="2773"/>
      <c r="P333" s="2773"/>
      <c r="Q333" s="745"/>
      <c r="R333" s="745"/>
      <c r="S333" s="2762"/>
      <c r="T333" s="745"/>
      <c r="U333" s="745"/>
      <c r="V333" s="6"/>
      <c r="W333" s="6"/>
      <c r="X333" s="6"/>
      <c r="Y333" s="6"/>
      <c r="Z333" s="6"/>
      <c r="AA333" s="6"/>
      <c r="AB333" s="6"/>
      <c r="AC333" s="1108"/>
      <c r="AD333" s="6"/>
      <c r="AE333" s="6"/>
      <c r="AF333" s="6"/>
      <c r="AG333" s="6"/>
      <c r="AH333" s="6"/>
      <c r="AI333" s="6"/>
      <c r="AJ333" s="6"/>
      <c r="AK333" s="1108"/>
      <c r="AL333" s="6"/>
      <c r="AM333" s="6"/>
      <c r="AN333" s="6"/>
      <c r="AO333" s="6"/>
      <c r="AP333" s="6"/>
      <c r="AQ333" s="1103"/>
      <c r="AR333" s="6"/>
      <c r="AS333" s="6"/>
      <c r="AT333" s="6"/>
      <c r="AU333" s="6"/>
      <c r="AV333" s="1103"/>
      <c r="AW333" s="6"/>
      <c r="AX333" s="6"/>
      <c r="AY333" s="6"/>
      <c r="AZ333" s="6"/>
      <c r="BA333" s="1103"/>
      <c r="BB333" s="6"/>
      <c r="BC333" s="6"/>
      <c r="BD333" s="6"/>
      <c r="BE333" s="6"/>
      <c r="BF333" s="1103"/>
      <c r="BG333" s="6"/>
      <c r="BH333" s="6"/>
      <c r="BI333" s="6"/>
      <c r="BJ333" s="6"/>
      <c r="BK333" s="1103"/>
      <c r="BL333" s="6"/>
      <c r="BM333" s="6"/>
      <c r="BN333" s="6"/>
      <c r="BO333" s="6"/>
      <c r="BP333" s="1103"/>
      <c r="BQ333" s="1108"/>
      <c r="BR333" s="1108"/>
      <c r="BS333" s="1108"/>
      <c r="BT333" s="1108"/>
      <c r="BU333" s="1108"/>
      <c r="BV333" s="1108"/>
      <c r="BW333" s="1108"/>
      <c r="BX333" s="1108"/>
      <c r="BY333" s="1108"/>
      <c r="BZ333" s="1108"/>
      <c r="CA333" s="1108"/>
      <c r="CB333" s="1108"/>
      <c r="CC333" s="1108"/>
      <c r="CD333" s="1108"/>
      <c r="CE333" s="1108"/>
      <c r="CF333" s="1108"/>
      <c r="CG333" s="1108"/>
      <c r="CH333" s="1108"/>
      <c r="CI333" s="1108"/>
      <c r="CJ333" s="11"/>
      <c r="CK333" s="1328"/>
      <c r="CL333" s="1328"/>
      <c r="CM333" s="1328"/>
      <c r="CN333" s="14"/>
      <c r="CO333" s="11"/>
      <c r="CP333" s="1328"/>
      <c r="CQ333" s="1328"/>
      <c r="CR333" s="1328"/>
      <c r="CS333" s="14"/>
      <c r="CT333" s="11"/>
      <c r="CU333" s="11"/>
      <c r="CV333" s="11"/>
      <c r="CW333" s="11"/>
      <c r="CX333" s="11"/>
      <c r="CY333" s="1108"/>
      <c r="CZ333" s="1108"/>
      <c r="DA333" s="1108"/>
      <c r="DB333" s="1108"/>
      <c r="DC333" s="1108"/>
      <c r="DD333" s="1108"/>
      <c r="DE333" s="1108"/>
      <c r="DF333" s="1108"/>
      <c r="DG333" s="1108"/>
      <c r="DH333" s="1108"/>
      <c r="DI333" s="1108"/>
      <c r="DJ333" s="11"/>
      <c r="DK333" s="11"/>
      <c r="DL333" s="1108"/>
      <c r="DM333" s="1108"/>
      <c r="DN333" s="1108"/>
    </row>
    <row r="334" spans="1:124">
      <c r="A334" s="6"/>
      <c r="B334" s="6"/>
      <c r="C334" s="6"/>
      <c r="D334" s="6"/>
      <c r="E334" s="6"/>
      <c r="F334" s="6"/>
      <c r="G334" s="6"/>
      <c r="H334" s="6"/>
      <c r="I334" s="6"/>
      <c r="J334" s="6"/>
      <c r="K334" s="6"/>
      <c r="L334" s="6"/>
      <c r="M334" s="11"/>
      <c r="N334" s="11"/>
      <c r="O334" s="2773"/>
      <c r="P334" s="2773"/>
      <c r="Q334" s="745"/>
      <c r="R334" s="745"/>
      <c r="S334" s="2762"/>
      <c r="T334" s="745"/>
      <c r="U334" s="745"/>
      <c r="V334" s="6"/>
      <c r="W334" s="6"/>
      <c r="X334" s="6"/>
      <c r="Y334" s="6"/>
      <c r="Z334" s="6"/>
      <c r="AA334" s="6"/>
      <c r="AB334" s="6"/>
      <c r="AC334" s="1108"/>
      <c r="AD334" s="6"/>
      <c r="AE334" s="6"/>
      <c r="AF334" s="6"/>
      <c r="AG334" s="6"/>
      <c r="AH334" s="6"/>
      <c r="AI334" s="6"/>
      <c r="AJ334" s="6"/>
      <c r="AK334" s="1108"/>
      <c r="AL334" s="6"/>
      <c r="AM334" s="6"/>
      <c r="AN334" s="6"/>
      <c r="AO334" s="6"/>
      <c r="AP334" s="6"/>
      <c r="AQ334" s="1103"/>
      <c r="AR334" s="6"/>
      <c r="AS334" s="6"/>
      <c r="AT334" s="6"/>
      <c r="AU334" s="6"/>
      <c r="AV334" s="1103"/>
      <c r="AW334" s="6"/>
      <c r="AX334" s="6"/>
      <c r="AY334" s="6"/>
      <c r="AZ334" s="6"/>
      <c r="BA334" s="1103"/>
      <c r="BB334" s="6"/>
      <c r="BC334" s="6"/>
      <c r="BD334" s="6"/>
      <c r="BE334" s="6"/>
      <c r="BF334" s="1103"/>
      <c r="BG334" s="6"/>
      <c r="BH334" s="6"/>
      <c r="BI334" s="6"/>
      <c r="BJ334" s="6"/>
      <c r="BK334" s="1103"/>
      <c r="BL334" s="6"/>
      <c r="BM334" s="6"/>
      <c r="BN334" s="6"/>
      <c r="BO334" s="6"/>
      <c r="BP334" s="1103"/>
      <c r="BQ334" s="1108"/>
      <c r="BR334" s="1108"/>
      <c r="BS334" s="1108"/>
      <c r="BT334" s="1108"/>
      <c r="BU334" s="1108"/>
      <c r="BV334" s="1108"/>
      <c r="BW334" s="1108"/>
      <c r="BX334" s="1108"/>
      <c r="BY334" s="1108"/>
      <c r="BZ334" s="1108"/>
      <c r="CA334" s="1108"/>
      <c r="CB334" s="1108"/>
      <c r="CC334" s="1108"/>
      <c r="CD334" s="1108"/>
      <c r="CE334" s="1108"/>
      <c r="CF334" s="1108"/>
      <c r="CG334" s="1108"/>
      <c r="CH334" s="1108"/>
      <c r="CI334" s="1108"/>
      <c r="CJ334" s="11"/>
      <c r="CK334" s="1470"/>
      <c r="CL334" s="1470"/>
      <c r="CM334" s="1470"/>
      <c r="CN334" s="1108"/>
      <c r="CO334" s="11"/>
      <c r="CP334" s="1470"/>
      <c r="CQ334" s="1470"/>
      <c r="CR334" s="1470"/>
      <c r="CS334" s="1108"/>
      <c r="CT334" s="11"/>
      <c r="CU334" s="11"/>
      <c r="CV334" s="11"/>
      <c r="CW334" s="11"/>
      <c r="CX334" s="11"/>
      <c r="CY334" s="1108"/>
      <c r="CZ334" s="1108"/>
      <c r="DA334" s="1108"/>
      <c r="DB334" s="1108"/>
      <c r="DC334" s="1108"/>
      <c r="DD334" s="1108"/>
      <c r="DE334" s="1108"/>
      <c r="DF334" s="1108"/>
      <c r="DG334" s="1108"/>
      <c r="DH334" s="1108"/>
      <c r="DI334" s="1108"/>
      <c r="DJ334" s="11"/>
      <c r="DK334" s="11"/>
      <c r="DL334" s="1108"/>
      <c r="DM334" s="1108"/>
      <c r="DN334" s="1108"/>
    </row>
    <row r="335" spans="1:124">
      <c r="A335" s="6"/>
      <c r="B335" s="6"/>
      <c r="C335" s="6"/>
      <c r="D335" s="6"/>
      <c r="E335" s="6"/>
      <c r="F335" s="6"/>
      <c r="G335" s="6"/>
      <c r="H335" s="6"/>
      <c r="I335" s="6"/>
      <c r="J335" s="6"/>
      <c r="K335" s="6"/>
      <c r="L335" s="6"/>
      <c r="M335" s="11"/>
      <c r="N335" s="11"/>
      <c r="O335" s="2773"/>
      <c r="P335" s="2773"/>
      <c r="Q335" s="745"/>
      <c r="R335" s="745"/>
      <c r="S335" s="2762"/>
      <c r="T335" s="745"/>
      <c r="U335" s="745"/>
      <c r="V335" s="6"/>
      <c r="W335" s="6"/>
      <c r="X335" s="6"/>
      <c r="Y335" s="6"/>
      <c r="Z335" s="6"/>
      <c r="AA335" s="6"/>
      <c r="AB335" s="6"/>
      <c r="AC335" s="1108"/>
      <c r="AD335" s="6"/>
      <c r="AE335" s="6"/>
      <c r="AF335" s="6"/>
      <c r="AG335" s="6"/>
      <c r="AH335" s="6"/>
      <c r="AI335" s="6"/>
      <c r="AJ335" s="6"/>
      <c r="AK335" s="1108"/>
      <c r="AL335" s="6"/>
      <c r="AM335" s="6"/>
      <c r="AN335" s="6"/>
      <c r="AO335" s="6"/>
      <c r="AP335" s="6"/>
      <c r="AQ335" s="1103"/>
      <c r="AR335" s="6"/>
      <c r="AS335" s="6"/>
      <c r="AT335" s="6"/>
      <c r="AU335" s="6"/>
      <c r="AV335" s="1103"/>
      <c r="AW335" s="6"/>
      <c r="AX335" s="6"/>
      <c r="AY335" s="6"/>
      <c r="AZ335" s="6"/>
      <c r="BA335" s="1103"/>
      <c r="BB335" s="6"/>
      <c r="BC335" s="6"/>
      <c r="BD335" s="6"/>
      <c r="BE335" s="6"/>
      <c r="BF335" s="1103"/>
      <c r="BG335" s="6"/>
      <c r="BH335" s="6"/>
      <c r="BI335" s="6"/>
      <c r="BJ335" s="6"/>
      <c r="BK335" s="1103"/>
      <c r="BL335" s="6"/>
      <c r="BM335" s="6"/>
      <c r="BN335" s="6"/>
      <c r="BO335" s="6"/>
      <c r="BP335" s="1103"/>
      <c r="BQ335" s="1108"/>
      <c r="BR335" s="1108"/>
      <c r="BS335" s="1108"/>
      <c r="BT335" s="1108"/>
      <c r="BU335" s="1108"/>
      <c r="BV335" s="1108"/>
      <c r="BW335" s="1108"/>
      <c r="BX335" s="1108"/>
      <c r="BY335" s="1108"/>
      <c r="BZ335" s="1108"/>
      <c r="CA335" s="1108"/>
      <c r="CB335" s="1108"/>
      <c r="CC335" s="1108"/>
      <c r="CD335" s="1108"/>
      <c r="CE335" s="1108"/>
      <c r="CF335" s="1108"/>
      <c r="CG335" s="1108"/>
      <c r="CH335" s="1108"/>
      <c r="CI335" s="1108"/>
      <c r="CJ335" s="11"/>
      <c r="CK335" s="906"/>
      <c r="CL335" s="906"/>
      <c r="CM335" s="906"/>
      <c r="CN335" s="11"/>
      <c r="CO335" s="11"/>
      <c r="CP335" s="906"/>
      <c r="CQ335" s="906"/>
      <c r="CR335" s="906"/>
      <c r="CS335" s="11"/>
      <c r="CT335" s="11"/>
      <c r="CU335" s="11"/>
      <c r="CV335" s="11"/>
      <c r="CW335" s="11"/>
      <c r="CX335" s="11"/>
      <c r="CY335" s="1108"/>
      <c r="CZ335" s="1108"/>
      <c r="DA335" s="1108"/>
      <c r="DB335" s="1108"/>
      <c r="DC335" s="1108"/>
      <c r="DD335" s="1108"/>
      <c r="DE335" s="1108"/>
      <c r="DF335" s="1108"/>
      <c r="DG335" s="1108"/>
      <c r="DH335" s="1108"/>
      <c r="DI335" s="1108"/>
      <c r="DJ335" s="11"/>
      <c r="DK335" s="11"/>
      <c r="DL335" s="1108"/>
      <c r="DM335" s="1108"/>
      <c r="DN335" s="1108"/>
    </row>
    <row r="336" spans="1:124">
      <c r="A336" s="6"/>
      <c r="B336" s="6"/>
      <c r="C336" s="6"/>
      <c r="D336" s="6"/>
      <c r="E336" s="6"/>
      <c r="F336" s="6"/>
      <c r="G336" s="6"/>
      <c r="H336" s="6"/>
      <c r="I336" s="6"/>
      <c r="J336" s="6"/>
      <c r="K336" s="6"/>
      <c r="L336" s="6"/>
      <c r="M336" s="11"/>
      <c r="N336" s="11"/>
      <c r="O336" s="2773"/>
      <c r="P336" s="2773"/>
      <c r="Q336" s="745"/>
      <c r="R336" s="745"/>
      <c r="S336" s="2762"/>
      <c r="T336" s="745"/>
      <c r="U336" s="745"/>
      <c r="V336" s="6"/>
      <c r="W336" s="6"/>
      <c r="X336" s="6"/>
      <c r="Y336" s="6"/>
      <c r="Z336" s="6"/>
      <c r="AA336" s="6"/>
      <c r="AB336" s="6"/>
      <c r="AC336" s="1108"/>
      <c r="AD336" s="6"/>
      <c r="AE336" s="6"/>
      <c r="AF336" s="6"/>
      <c r="AG336" s="6"/>
      <c r="AH336" s="6"/>
      <c r="AI336" s="6"/>
      <c r="AJ336" s="6"/>
      <c r="AK336" s="1108"/>
      <c r="AL336" s="6"/>
      <c r="AM336" s="6"/>
      <c r="AN336" s="6"/>
      <c r="AO336" s="6"/>
      <c r="AP336" s="6"/>
      <c r="AQ336" s="1103"/>
      <c r="AR336" s="6"/>
      <c r="AS336" s="6"/>
      <c r="AT336" s="6"/>
      <c r="AU336" s="6"/>
      <c r="AV336" s="1103"/>
      <c r="AW336" s="6"/>
      <c r="AX336" s="6"/>
      <c r="AY336" s="6"/>
      <c r="AZ336" s="6"/>
      <c r="BA336" s="1103"/>
      <c r="BB336" s="6"/>
      <c r="BC336" s="6"/>
      <c r="BD336" s="6"/>
      <c r="BE336" s="6"/>
      <c r="BF336" s="1103"/>
      <c r="BG336" s="6"/>
      <c r="BH336" s="6"/>
      <c r="BI336" s="6"/>
      <c r="BJ336" s="6"/>
      <c r="BK336" s="1103"/>
      <c r="BL336" s="6"/>
      <c r="BM336" s="6"/>
      <c r="BN336" s="6"/>
      <c r="BO336" s="6"/>
      <c r="BP336" s="1103"/>
      <c r="BQ336" s="1108"/>
      <c r="BR336" s="1108"/>
      <c r="BS336" s="1108"/>
      <c r="BT336" s="1108"/>
      <c r="BU336" s="1108"/>
      <c r="BV336" s="1108"/>
      <c r="BW336" s="1108"/>
      <c r="BX336" s="1108"/>
      <c r="BY336" s="1108"/>
      <c r="BZ336" s="1108"/>
      <c r="CA336" s="1108"/>
      <c r="CB336" s="1108"/>
      <c r="CC336" s="1108"/>
      <c r="CD336" s="1108"/>
      <c r="CE336" s="1108"/>
      <c r="CF336" s="1108"/>
      <c r="CG336" s="1108"/>
      <c r="CH336" s="1108"/>
      <c r="CI336" s="1108"/>
      <c r="CJ336" s="11"/>
      <c r="CK336" s="1328"/>
      <c r="CL336" s="1328"/>
      <c r="CM336" s="1328"/>
      <c r="CN336" s="14"/>
      <c r="CO336" s="11"/>
      <c r="CP336" s="1328"/>
      <c r="CQ336" s="1328"/>
      <c r="CR336" s="1328"/>
      <c r="CS336" s="14"/>
      <c r="CT336" s="11"/>
      <c r="CU336" s="11"/>
      <c r="CV336" s="11"/>
      <c r="CW336" s="11"/>
      <c r="CX336" s="11"/>
      <c r="CY336" s="1108"/>
      <c r="CZ336" s="1108"/>
      <c r="DA336" s="1108"/>
      <c r="DB336" s="1108"/>
      <c r="DC336" s="1108"/>
      <c r="DD336" s="1108"/>
      <c r="DE336" s="1108"/>
      <c r="DF336" s="1108"/>
      <c r="DG336" s="1108"/>
      <c r="DH336" s="1108"/>
      <c r="DI336" s="1108"/>
      <c r="DJ336" s="11"/>
      <c r="DK336" s="11"/>
      <c r="DL336" s="1108"/>
      <c r="DM336" s="1108"/>
      <c r="DN336" s="1108"/>
    </row>
    <row r="337" spans="1:118">
      <c r="A337" s="6"/>
      <c r="B337" s="6"/>
      <c r="C337" s="6"/>
      <c r="D337" s="6"/>
      <c r="E337" s="6"/>
      <c r="F337" s="6"/>
      <c r="G337" s="6"/>
      <c r="H337" s="6"/>
      <c r="I337" s="6"/>
      <c r="J337" s="6"/>
      <c r="K337" s="6"/>
      <c r="L337" s="6"/>
      <c r="M337" s="11"/>
      <c r="N337" s="11"/>
      <c r="O337" s="2773"/>
      <c r="P337" s="2773"/>
      <c r="Q337" s="745"/>
      <c r="R337" s="745"/>
      <c r="S337" s="2762"/>
      <c r="T337" s="745"/>
      <c r="U337" s="745"/>
      <c r="V337" s="6"/>
      <c r="W337" s="6"/>
      <c r="X337" s="6"/>
      <c r="Y337" s="6"/>
      <c r="Z337" s="6"/>
      <c r="AA337" s="6"/>
      <c r="AB337" s="6"/>
      <c r="AC337" s="1108"/>
      <c r="AD337" s="6"/>
      <c r="AE337" s="6"/>
      <c r="AF337" s="6"/>
      <c r="AG337" s="6"/>
      <c r="AH337" s="6"/>
      <c r="AI337" s="6"/>
      <c r="AJ337" s="6"/>
      <c r="AK337" s="1108"/>
      <c r="AL337" s="6"/>
      <c r="AM337" s="6"/>
      <c r="AN337" s="6"/>
      <c r="AO337" s="6"/>
      <c r="AP337" s="6"/>
      <c r="AQ337" s="1103"/>
      <c r="AR337" s="6"/>
      <c r="AS337" s="6"/>
      <c r="AT337" s="6"/>
      <c r="AU337" s="6"/>
      <c r="AV337" s="1103"/>
      <c r="AW337" s="6"/>
      <c r="AX337" s="6"/>
      <c r="AY337" s="6"/>
      <c r="AZ337" s="6"/>
      <c r="BA337" s="1103"/>
      <c r="BB337" s="6"/>
      <c r="BC337" s="6"/>
      <c r="BD337" s="6"/>
      <c r="BE337" s="6"/>
      <c r="BF337" s="1103"/>
      <c r="BG337" s="6"/>
      <c r="BH337" s="6"/>
      <c r="BI337" s="6"/>
      <c r="BJ337" s="6"/>
      <c r="BK337" s="1103"/>
      <c r="BL337" s="6"/>
      <c r="BM337" s="6"/>
      <c r="BN337" s="6"/>
      <c r="BO337" s="6"/>
      <c r="BP337" s="1103"/>
      <c r="BQ337" s="1108"/>
      <c r="BR337" s="1108"/>
      <c r="BS337" s="1108"/>
      <c r="BT337" s="1108"/>
      <c r="BU337" s="1108"/>
      <c r="BV337" s="1108"/>
      <c r="BW337" s="1108"/>
      <c r="BX337" s="1108"/>
      <c r="BY337" s="1108"/>
      <c r="BZ337" s="1108"/>
      <c r="CA337" s="1108"/>
      <c r="CB337" s="1108"/>
      <c r="CC337" s="1108"/>
      <c r="CD337" s="1108"/>
      <c r="CE337" s="1108"/>
      <c r="CF337" s="1108"/>
      <c r="CG337" s="1108"/>
      <c r="CH337" s="1108"/>
      <c r="CI337" s="1108"/>
      <c r="CJ337" s="11"/>
      <c r="CK337" s="1470"/>
      <c r="CL337" s="1470"/>
      <c r="CM337" s="1470"/>
      <c r="CN337" s="1108"/>
      <c r="CO337" s="11"/>
      <c r="CP337" s="1470"/>
      <c r="CQ337" s="11"/>
      <c r="CR337" s="11"/>
      <c r="CS337" s="11"/>
      <c r="CT337" s="11"/>
      <c r="CU337" s="11"/>
      <c r="CV337" s="11"/>
      <c r="CW337" s="11"/>
      <c r="CX337" s="11"/>
      <c r="CY337" s="1108"/>
      <c r="CZ337" s="1108"/>
      <c r="DA337" s="1108"/>
      <c r="DB337" s="1108"/>
      <c r="DC337" s="1108"/>
      <c r="DD337" s="1108"/>
      <c r="DE337" s="1108"/>
      <c r="DF337" s="1108"/>
      <c r="DG337" s="1108"/>
      <c r="DH337" s="1108"/>
      <c r="DI337" s="1108"/>
      <c r="DJ337" s="11"/>
      <c r="DK337" s="11"/>
      <c r="DL337" s="1108"/>
      <c r="DM337" s="1108"/>
      <c r="DN337" s="1108"/>
    </row>
    <row r="338" spans="1:118">
      <c r="O338" s="2773"/>
      <c r="P338" s="2773"/>
      <c r="Q338" s="745"/>
      <c r="R338" s="745"/>
      <c r="S338" s="2762"/>
      <c r="T338" s="745"/>
      <c r="U338" s="745"/>
      <c r="V338" s="6"/>
      <c r="W338" s="6"/>
      <c r="X338" s="6"/>
      <c r="Y338" s="6"/>
      <c r="Z338" s="6"/>
      <c r="AA338" s="6"/>
      <c r="AB338" s="6"/>
      <c r="AC338" s="1108"/>
      <c r="AD338" s="6"/>
      <c r="AE338" s="6"/>
      <c r="AF338" s="6"/>
      <c r="AG338" s="6"/>
      <c r="AH338" s="6"/>
      <c r="AI338" s="6"/>
      <c r="AJ338" s="6"/>
      <c r="AK338" s="1108"/>
    </row>
    <row r="339" spans="1:118">
      <c r="O339" s="2773"/>
      <c r="P339" s="2773"/>
      <c r="Q339" s="745"/>
      <c r="R339" s="745"/>
      <c r="S339" s="2762"/>
      <c r="T339" s="745"/>
      <c r="U339" s="745"/>
      <c r="V339" s="6"/>
      <c r="W339" s="6"/>
      <c r="X339" s="6"/>
      <c r="Y339" s="6"/>
      <c r="Z339" s="6"/>
      <c r="AA339" s="6"/>
      <c r="AB339" s="6"/>
      <c r="AC339" s="1108"/>
      <c r="AD339" s="6"/>
      <c r="AE339" s="6"/>
      <c r="AF339" s="6"/>
      <c r="AG339" s="6"/>
      <c r="AH339" s="6"/>
      <c r="AI339" s="6"/>
      <c r="AJ339" s="6"/>
      <c r="AK339" s="1108"/>
    </row>
    <row r="340" spans="1:118">
      <c r="O340" s="2773"/>
      <c r="P340" s="2773"/>
      <c r="Q340" s="745"/>
      <c r="R340" s="745"/>
      <c r="S340" s="2762"/>
      <c r="T340" s="745"/>
      <c r="U340" s="745"/>
      <c r="V340" s="6"/>
      <c r="W340" s="6"/>
      <c r="X340" s="6"/>
      <c r="Y340" s="6"/>
      <c r="Z340" s="6"/>
      <c r="AA340" s="6"/>
      <c r="AB340" s="6"/>
      <c r="AC340" s="1108"/>
      <c r="AD340" s="6"/>
      <c r="AE340" s="6"/>
      <c r="AF340" s="6"/>
      <c r="AG340" s="6"/>
      <c r="AH340" s="6"/>
      <c r="AI340" s="6"/>
      <c r="AJ340" s="6"/>
      <c r="AK340" s="1108"/>
    </row>
    <row r="341" spans="1:118">
      <c r="O341" s="2773"/>
      <c r="P341" s="2773"/>
      <c r="Q341" s="745"/>
      <c r="R341" s="745"/>
      <c r="S341" s="2762"/>
      <c r="T341" s="745"/>
      <c r="U341" s="745"/>
      <c r="V341" s="6"/>
      <c r="W341" s="6"/>
      <c r="X341" s="6"/>
      <c r="Y341" s="6"/>
      <c r="Z341" s="6"/>
      <c r="AA341" s="6"/>
      <c r="AB341" s="6"/>
      <c r="AC341" s="1108"/>
      <c r="AD341" s="6"/>
      <c r="AE341" s="6"/>
      <c r="AF341" s="6"/>
      <c r="AG341" s="6"/>
      <c r="AH341" s="6"/>
      <c r="AI341" s="6"/>
      <c r="AJ341" s="6"/>
      <c r="AK341" s="1108"/>
    </row>
    <row r="342" spans="1:118">
      <c r="O342" s="2773"/>
      <c r="P342" s="2773"/>
      <c r="Q342" s="745"/>
      <c r="R342" s="745"/>
      <c r="S342" s="2762"/>
      <c r="T342" s="745"/>
      <c r="U342" s="745"/>
      <c r="V342" s="6"/>
      <c r="W342" s="6"/>
      <c r="X342" s="6"/>
      <c r="Y342" s="6"/>
      <c r="Z342" s="6"/>
      <c r="AA342" s="6"/>
      <c r="AB342" s="6"/>
      <c r="AC342" s="1108"/>
      <c r="AD342" s="6"/>
      <c r="AE342" s="6"/>
      <c r="AF342" s="6"/>
      <c r="AG342" s="6"/>
      <c r="AH342" s="6"/>
      <c r="AI342" s="6"/>
      <c r="AJ342" s="6"/>
      <c r="AK342" s="1108"/>
    </row>
    <row r="343" spans="1:118">
      <c r="O343" s="2773"/>
      <c r="P343" s="2773"/>
      <c r="Q343" s="745"/>
      <c r="R343" s="745"/>
      <c r="S343" s="2762"/>
      <c r="T343" s="745"/>
      <c r="U343" s="745"/>
      <c r="V343" s="6"/>
      <c r="W343" s="6"/>
      <c r="X343" s="6"/>
      <c r="Y343" s="6"/>
      <c r="Z343" s="6"/>
      <c r="AA343" s="6"/>
      <c r="AB343" s="6"/>
      <c r="AC343" s="1108"/>
      <c r="AD343" s="6"/>
      <c r="AE343" s="6"/>
      <c r="AF343" s="6"/>
      <c r="AG343" s="6"/>
      <c r="AH343" s="6"/>
      <c r="AI343" s="6"/>
      <c r="AJ343" s="6"/>
      <c r="AK343" s="1108"/>
    </row>
    <row r="344" spans="1:118">
      <c r="O344" s="2773"/>
      <c r="P344" s="2773"/>
      <c r="Q344" s="745"/>
      <c r="R344" s="745"/>
      <c r="S344" s="2762"/>
      <c r="T344" s="745"/>
      <c r="U344" s="745"/>
      <c r="V344" s="6"/>
      <c r="W344" s="6"/>
      <c r="X344" s="6"/>
      <c r="Y344" s="6"/>
      <c r="Z344" s="6"/>
      <c r="AA344" s="6"/>
      <c r="AB344" s="6"/>
      <c r="AC344" s="1108"/>
      <c r="AD344" s="6"/>
      <c r="AE344" s="6"/>
      <c r="AF344" s="6"/>
      <c r="AG344" s="6"/>
      <c r="AH344" s="6"/>
      <c r="AI344" s="6"/>
      <c r="AJ344" s="6"/>
      <c r="AK344" s="1108"/>
    </row>
    <row r="345" spans="1:118">
      <c r="O345" s="2773"/>
      <c r="P345" s="2773"/>
      <c r="Q345" s="745"/>
      <c r="R345" s="745"/>
      <c r="S345" s="2762"/>
      <c r="T345" s="745"/>
      <c r="U345" s="745"/>
      <c r="V345" s="6"/>
      <c r="W345" s="6"/>
      <c r="X345" s="6"/>
      <c r="Y345" s="6"/>
      <c r="Z345" s="6"/>
      <c r="AA345" s="6"/>
      <c r="AB345" s="6"/>
      <c r="AC345" s="1108"/>
      <c r="AD345" s="6"/>
      <c r="AE345" s="6"/>
      <c r="AF345" s="6"/>
      <c r="AG345" s="6"/>
      <c r="AH345" s="6"/>
      <c r="AI345" s="6"/>
      <c r="AJ345" s="6"/>
      <c r="AK345" s="1108"/>
    </row>
    <row r="346" spans="1:118">
      <c r="O346" s="2773"/>
      <c r="P346" s="2773"/>
      <c r="Q346" s="745"/>
      <c r="R346" s="745"/>
      <c r="S346" s="2762"/>
      <c r="T346" s="745"/>
      <c r="U346" s="745"/>
      <c r="V346" s="6"/>
      <c r="W346" s="6"/>
      <c r="X346" s="6"/>
      <c r="Y346" s="6"/>
      <c r="Z346" s="6"/>
      <c r="AA346" s="6"/>
      <c r="AB346" s="6"/>
      <c r="AC346" s="1108"/>
      <c r="AD346" s="6"/>
      <c r="AE346" s="6"/>
      <c r="AF346" s="6"/>
      <c r="AG346" s="6"/>
      <c r="AH346" s="6"/>
      <c r="AI346" s="6"/>
      <c r="AJ346" s="6"/>
      <c r="AK346" s="1108"/>
    </row>
    <row r="347" spans="1:118">
      <c r="O347" s="2773"/>
      <c r="P347" s="2773"/>
      <c r="Q347" s="745"/>
      <c r="R347" s="745"/>
      <c r="S347" s="2762"/>
      <c r="T347" s="745"/>
      <c r="U347" s="745"/>
      <c r="V347" s="6"/>
      <c r="W347" s="6"/>
      <c r="X347" s="6"/>
      <c r="Y347" s="6"/>
      <c r="Z347" s="6"/>
      <c r="AA347" s="6"/>
      <c r="AB347" s="6"/>
      <c r="AC347" s="1108"/>
      <c r="AD347" s="6"/>
      <c r="AE347" s="6"/>
      <c r="AF347" s="6"/>
      <c r="AG347" s="6"/>
      <c r="AH347" s="6"/>
      <c r="AI347" s="6"/>
      <c r="AJ347" s="6"/>
      <c r="AK347" s="1108"/>
    </row>
    <row r="348" spans="1:118">
      <c r="O348" s="2773"/>
      <c r="P348" s="2773"/>
      <c r="Q348" s="745"/>
      <c r="R348" s="745"/>
      <c r="S348" s="2762"/>
      <c r="T348" s="745"/>
      <c r="U348" s="745"/>
      <c r="V348" s="6"/>
      <c r="W348" s="6"/>
      <c r="X348" s="6"/>
      <c r="Y348" s="6"/>
      <c r="Z348" s="6"/>
      <c r="AA348" s="6"/>
      <c r="AB348" s="6"/>
      <c r="AC348" s="1108"/>
      <c r="AD348" s="6"/>
      <c r="AE348" s="6"/>
      <c r="AF348" s="6"/>
      <c r="AG348" s="6"/>
      <c r="AH348" s="6"/>
      <c r="AI348" s="6"/>
      <c r="AJ348" s="6"/>
      <c r="AK348" s="1108"/>
    </row>
    <row r="349" spans="1:118">
      <c r="O349" s="2773"/>
      <c r="P349" s="2773"/>
      <c r="Q349" s="745"/>
      <c r="R349" s="745"/>
      <c r="S349" s="2762"/>
      <c r="T349" s="745"/>
      <c r="U349" s="745"/>
      <c r="V349" s="6"/>
      <c r="W349" s="6"/>
      <c r="X349" s="6"/>
      <c r="Y349" s="6"/>
      <c r="Z349" s="6"/>
      <c r="AA349" s="6"/>
      <c r="AB349" s="6"/>
      <c r="AC349" s="1108"/>
      <c r="AD349" s="6"/>
      <c r="AE349" s="6"/>
      <c r="AF349" s="6"/>
      <c r="AG349" s="6"/>
      <c r="AH349" s="6"/>
      <c r="AI349" s="6"/>
      <c r="AJ349" s="6"/>
      <c r="AK349" s="1108"/>
    </row>
    <row r="350" spans="1:118">
      <c r="O350" s="2773"/>
      <c r="P350" s="2773"/>
      <c r="Q350" s="745"/>
      <c r="R350" s="745"/>
      <c r="S350" s="2762"/>
      <c r="T350" s="745"/>
      <c r="U350" s="745"/>
      <c r="V350" s="6"/>
      <c r="W350" s="6"/>
      <c r="X350" s="6"/>
      <c r="Y350" s="6"/>
      <c r="Z350" s="6"/>
      <c r="AA350" s="6"/>
      <c r="AB350" s="6"/>
      <c r="AC350" s="1108"/>
      <c r="AD350" s="6"/>
      <c r="AE350" s="6"/>
      <c r="AF350" s="6"/>
      <c r="AG350" s="6"/>
      <c r="AH350" s="6"/>
      <c r="AI350" s="6"/>
      <c r="AJ350" s="6"/>
      <c r="AK350" s="1108"/>
    </row>
    <row r="351" spans="1:118">
      <c r="O351" s="2773"/>
      <c r="P351" s="2773"/>
      <c r="Q351" s="745"/>
      <c r="R351" s="745"/>
      <c r="S351" s="2762"/>
      <c r="T351" s="745"/>
      <c r="U351" s="745"/>
      <c r="V351" s="6"/>
      <c r="W351" s="6"/>
      <c r="X351" s="6"/>
      <c r="Y351" s="6"/>
      <c r="Z351" s="6"/>
      <c r="AA351" s="6"/>
      <c r="AB351" s="6"/>
      <c r="AC351" s="1108"/>
      <c r="AD351" s="6"/>
      <c r="AE351" s="6"/>
      <c r="AF351" s="6"/>
      <c r="AG351" s="6"/>
      <c r="AH351" s="6"/>
      <c r="AI351" s="6"/>
      <c r="AJ351" s="6"/>
      <c r="AK351" s="1108"/>
    </row>
    <row r="352" spans="1:118">
      <c r="O352" s="2773"/>
      <c r="P352" s="2773"/>
      <c r="Q352" s="745"/>
      <c r="R352" s="745"/>
      <c r="S352" s="2762"/>
      <c r="T352" s="745"/>
      <c r="U352" s="745"/>
      <c r="V352" s="6"/>
      <c r="W352" s="6"/>
      <c r="X352" s="6"/>
      <c r="Y352" s="6"/>
      <c r="Z352" s="6"/>
      <c r="AA352" s="6"/>
      <c r="AB352" s="6"/>
      <c r="AC352" s="1108"/>
      <c r="AD352" s="6"/>
      <c r="AE352" s="6"/>
      <c r="AF352" s="6"/>
      <c r="AG352" s="6"/>
      <c r="AH352" s="6"/>
      <c r="AI352" s="6"/>
      <c r="AJ352" s="6"/>
      <c r="AK352" s="1108"/>
    </row>
    <row r="353" spans="15:37">
      <c r="O353" s="2773"/>
      <c r="P353" s="2773"/>
      <c r="Q353" s="745"/>
      <c r="R353" s="745"/>
      <c r="S353" s="2762"/>
      <c r="T353" s="745"/>
      <c r="U353" s="745"/>
      <c r="V353" s="6"/>
      <c r="W353" s="6"/>
      <c r="X353" s="6"/>
      <c r="Y353" s="6"/>
      <c r="Z353" s="6"/>
      <c r="AA353" s="6"/>
      <c r="AB353" s="6"/>
      <c r="AC353" s="1108"/>
      <c r="AD353" s="6"/>
      <c r="AE353" s="6"/>
      <c r="AF353" s="6"/>
      <c r="AG353" s="6"/>
      <c r="AH353" s="6"/>
      <c r="AI353" s="6"/>
      <c r="AJ353" s="6"/>
      <c r="AK353" s="1108"/>
    </row>
    <row r="354" spans="15:37">
      <c r="O354" s="2773"/>
      <c r="P354" s="2773"/>
      <c r="Q354" s="745"/>
      <c r="R354" s="745"/>
      <c r="S354" s="2762"/>
      <c r="T354" s="745"/>
      <c r="U354" s="745"/>
      <c r="V354" s="6"/>
      <c r="W354" s="6"/>
      <c r="X354" s="6"/>
      <c r="Y354" s="6"/>
      <c r="Z354" s="6"/>
      <c r="AA354" s="6"/>
      <c r="AB354" s="6"/>
      <c r="AC354" s="1108"/>
      <c r="AD354" s="6"/>
      <c r="AE354" s="6"/>
      <c r="AF354" s="6"/>
      <c r="AG354" s="6"/>
      <c r="AH354" s="6"/>
      <c r="AI354" s="6"/>
      <c r="AJ354" s="6"/>
      <c r="AK354" s="1108"/>
    </row>
    <row r="355" spans="15:37">
      <c r="O355" s="2773"/>
      <c r="P355" s="2773"/>
      <c r="Q355" s="745"/>
      <c r="R355" s="745"/>
      <c r="S355" s="2762"/>
      <c r="T355" s="745"/>
      <c r="U355" s="745"/>
      <c r="V355" s="6"/>
      <c r="W355" s="6"/>
      <c r="X355" s="6"/>
      <c r="Y355" s="6"/>
      <c r="Z355" s="6"/>
      <c r="AA355" s="6"/>
      <c r="AB355" s="6"/>
      <c r="AC355" s="1108"/>
      <c r="AD355" s="6"/>
      <c r="AE355" s="6"/>
      <c r="AF355" s="6"/>
      <c r="AG355" s="6"/>
      <c r="AH355" s="6"/>
      <c r="AI355" s="6"/>
      <c r="AJ355" s="6"/>
      <c r="AK355" s="1108"/>
    </row>
    <row r="356" spans="15:37">
      <c r="O356" s="2773"/>
      <c r="P356" s="2773"/>
      <c r="Q356" s="745"/>
      <c r="R356" s="745"/>
      <c r="S356" s="2762"/>
      <c r="T356" s="745"/>
      <c r="U356" s="745"/>
      <c r="V356" s="6"/>
      <c r="W356" s="6"/>
      <c r="X356" s="6"/>
      <c r="Y356" s="6"/>
      <c r="Z356" s="6"/>
      <c r="AA356" s="6"/>
      <c r="AB356" s="6"/>
      <c r="AC356" s="1108"/>
      <c r="AD356" s="6"/>
      <c r="AE356" s="6"/>
      <c r="AF356" s="6"/>
      <c r="AG356" s="6"/>
      <c r="AH356" s="6"/>
      <c r="AI356" s="6"/>
      <c r="AJ356" s="6"/>
      <c r="AK356" s="1108"/>
    </row>
    <row r="357" spans="15:37">
      <c r="O357" s="2773"/>
      <c r="P357" s="2773"/>
      <c r="Q357" s="745"/>
      <c r="R357" s="745"/>
      <c r="S357" s="2762"/>
      <c r="T357" s="745"/>
      <c r="U357" s="745"/>
      <c r="V357" s="6"/>
      <c r="W357" s="6"/>
      <c r="X357" s="6"/>
      <c r="Y357" s="6"/>
      <c r="Z357" s="6"/>
      <c r="AA357" s="6"/>
      <c r="AB357" s="6"/>
      <c r="AC357" s="1108"/>
      <c r="AD357" s="6"/>
      <c r="AE357" s="6"/>
      <c r="AF357" s="6"/>
      <c r="AG357" s="6"/>
      <c r="AH357" s="6"/>
      <c r="AI357" s="6"/>
      <c r="AJ357" s="6"/>
      <c r="AK357" s="1108"/>
    </row>
    <row r="358" spans="15:37">
      <c r="O358" s="2773"/>
      <c r="P358" s="2773"/>
      <c r="Q358" s="745"/>
      <c r="R358" s="745"/>
      <c r="S358" s="2762"/>
      <c r="T358" s="745"/>
      <c r="U358" s="745"/>
      <c r="V358" s="6"/>
      <c r="W358" s="6"/>
      <c r="X358" s="6"/>
      <c r="Y358" s="6"/>
      <c r="Z358" s="6"/>
      <c r="AA358" s="6"/>
      <c r="AB358" s="6"/>
      <c r="AC358" s="1108"/>
      <c r="AD358" s="6"/>
      <c r="AE358" s="6"/>
      <c r="AF358" s="6"/>
      <c r="AG358" s="6"/>
      <c r="AH358" s="6"/>
      <c r="AI358" s="6"/>
      <c r="AJ358" s="6"/>
      <c r="AK358" s="1108"/>
    </row>
    <row r="359" spans="15:37">
      <c r="O359" s="2773"/>
      <c r="P359" s="2773"/>
      <c r="Q359" s="745"/>
      <c r="R359" s="745"/>
      <c r="S359" s="2762"/>
      <c r="T359" s="745"/>
      <c r="U359" s="745"/>
      <c r="V359" s="6"/>
      <c r="W359" s="6"/>
      <c r="X359" s="6"/>
      <c r="Y359" s="6"/>
      <c r="Z359" s="6"/>
      <c r="AA359" s="6"/>
      <c r="AB359" s="6"/>
      <c r="AC359" s="1108"/>
      <c r="AD359" s="6"/>
      <c r="AE359" s="6"/>
      <c r="AF359" s="6"/>
      <c r="AG359" s="6"/>
      <c r="AH359" s="6"/>
      <c r="AI359" s="6"/>
      <c r="AJ359" s="6"/>
      <c r="AK359" s="1108"/>
    </row>
    <row r="360" spans="15:37">
      <c r="O360" s="2773"/>
      <c r="P360" s="2773"/>
      <c r="Q360" s="745"/>
      <c r="R360" s="745"/>
      <c r="S360" s="2762"/>
      <c r="T360" s="745"/>
      <c r="U360" s="745"/>
      <c r="V360" s="6"/>
      <c r="W360" s="6"/>
      <c r="X360" s="6"/>
      <c r="Y360" s="6"/>
      <c r="Z360" s="6"/>
      <c r="AA360" s="6"/>
      <c r="AB360" s="6"/>
      <c r="AC360" s="1108"/>
      <c r="AD360" s="6"/>
      <c r="AE360" s="6"/>
      <c r="AF360" s="6"/>
      <c r="AG360" s="6"/>
      <c r="AH360" s="6"/>
      <c r="AI360" s="6"/>
      <c r="AJ360" s="6"/>
      <c r="AK360" s="1108"/>
    </row>
    <row r="361" spans="15:37">
      <c r="O361" s="2773"/>
      <c r="P361" s="2773"/>
      <c r="Q361" s="745"/>
      <c r="R361" s="745"/>
      <c r="S361" s="2762"/>
      <c r="T361" s="745"/>
      <c r="U361" s="745"/>
      <c r="V361" s="6"/>
      <c r="W361" s="6"/>
      <c r="X361" s="6"/>
      <c r="Y361" s="6"/>
      <c r="Z361" s="6"/>
      <c r="AA361" s="6"/>
      <c r="AB361" s="6"/>
      <c r="AC361" s="1108"/>
      <c r="AD361" s="6"/>
      <c r="AE361" s="6"/>
      <c r="AF361" s="6"/>
      <c r="AG361" s="6"/>
      <c r="AH361" s="6"/>
      <c r="AI361" s="6"/>
      <c r="AJ361" s="6"/>
      <c r="AK361" s="1108"/>
    </row>
    <row r="362" spans="15:37">
      <c r="O362" s="2773"/>
      <c r="P362" s="2773"/>
      <c r="Q362" s="745"/>
      <c r="R362" s="745"/>
      <c r="S362" s="2762"/>
      <c r="T362" s="745"/>
      <c r="U362" s="745"/>
      <c r="V362" s="6"/>
      <c r="W362" s="6"/>
      <c r="X362" s="6"/>
      <c r="Y362" s="6"/>
      <c r="Z362" s="6"/>
      <c r="AA362" s="6"/>
      <c r="AB362" s="6"/>
      <c r="AC362" s="1108"/>
      <c r="AD362" s="6"/>
      <c r="AE362" s="6"/>
      <c r="AF362" s="6"/>
      <c r="AG362" s="6"/>
      <c r="AH362" s="6"/>
      <c r="AI362" s="6"/>
      <c r="AJ362" s="6"/>
      <c r="AK362" s="1108"/>
    </row>
    <row r="363" spans="15:37">
      <c r="O363" s="2773"/>
      <c r="P363" s="2773"/>
      <c r="Q363" s="745"/>
      <c r="R363" s="745"/>
      <c r="S363" s="2762"/>
      <c r="T363" s="745"/>
      <c r="U363" s="745"/>
      <c r="V363" s="6"/>
      <c r="W363" s="6"/>
      <c r="X363" s="6"/>
      <c r="Y363" s="6"/>
      <c r="Z363" s="6"/>
      <c r="AA363" s="6"/>
      <c r="AB363" s="6"/>
      <c r="AC363" s="1108"/>
      <c r="AD363" s="6"/>
      <c r="AE363" s="6"/>
      <c r="AF363" s="6"/>
      <c r="AG363" s="6"/>
      <c r="AH363" s="6"/>
      <c r="AI363" s="6"/>
      <c r="AJ363" s="6"/>
      <c r="AK363" s="1108"/>
    </row>
    <row r="364" spans="15:37">
      <c r="O364" s="2773"/>
      <c r="P364" s="2773"/>
      <c r="Q364" s="745"/>
      <c r="R364" s="745"/>
      <c r="S364" s="2762"/>
      <c r="T364" s="745"/>
      <c r="U364" s="745"/>
      <c r="V364" s="6"/>
      <c r="W364" s="6"/>
      <c r="X364" s="6"/>
      <c r="Y364" s="6"/>
      <c r="Z364" s="6"/>
      <c r="AA364" s="6"/>
      <c r="AB364" s="6"/>
      <c r="AC364" s="1108"/>
      <c r="AD364" s="6"/>
      <c r="AE364" s="6"/>
      <c r="AF364" s="6"/>
      <c r="AG364" s="6"/>
      <c r="AH364" s="6"/>
      <c r="AI364" s="6"/>
      <c r="AJ364" s="6"/>
      <c r="AK364" s="1108"/>
    </row>
    <row r="365" spans="15:37">
      <c r="O365" s="2773"/>
      <c r="P365" s="2773"/>
      <c r="Q365" s="745"/>
      <c r="R365" s="745"/>
      <c r="S365" s="2762"/>
      <c r="T365" s="745"/>
      <c r="U365" s="745"/>
      <c r="V365" s="6"/>
      <c r="W365" s="6"/>
      <c r="X365" s="6"/>
      <c r="Y365" s="6"/>
      <c r="Z365" s="6"/>
      <c r="AA365" s="6"/>
      <c r="AB365" s="6"/>
      <c r="AC365" s="1108"/>
      <c r="AD365" s="6"/>
      <c r="AE365" s="6"/>
      <c r="AF365" s="6"/>
      <c r="AG365" s="6"/>
      <c r="AH365" s="6"/>
      <c r="AI365" s="6"/>
      <c r="AJ365" s="6"/>
      <c r="AK365" s="1108"/>
    </row>
    <row r="366" spans="15:37">
      <c r="O366" s="2773"/>
      <c r="P366" s="2773"/>
      <c r="Q366" s="745"/>
      <c r="R366" s="745"/>
      <c r="S366" s="2762"/>
      <c r="T366" s="745"/>
      <c r="U366" s="745"/>
      <c r="V366" s="6"/>
      <c r="W366" s="6"/>
      <c r="X366" s="6"/>
      <c r="Y366" s="6"/>
      <c r="Z366" s="6"/>
      <c r="AA366" s="6"/>
      <c r="AB366" s="6"/>
      <c r="AC366" s="1108"/>
      <c r="AD366" s="6"/>
      <c r="AE366" s="6"/>
      <c r="AF366" s="6"/>
      <c r="AG366" s="6"/>
      <c r="AH366" s="6"/>
      <c r="AI366" s="6"/>
      <c r="AJ366" s="6"/>
      <c r="AK366" s="1108"/>
    </row>
    <row r="367" spans="15:37">
      <c r="O367" s="2773"/>
      <c r="P367" s="2773"/>
      <c r="Q367" s="745"/>
      <c r="R367" s="745"/>
      <c r="S367" s="2762"/>
      <c r="T367" s="745"/>
      <c r="U367" s="745"/>
      <c r="V367" s="6"/>
      <c r="W367" s="6"/>
      <c r="X367" s="6"/>
      <c r="Y367" s="6"/>
      <c r="Z367" s="6"/>
      <c r="AA367" s="6"/>
      <c r="AB367" s="6"/>
      <c r="AC367" s="1108"/>
      <c r="AD367" s="6"/>
      <c r="AE367" s="6"/>
      <c r="AF367" s="6"/>
      <c r="AG367" s="6"/>
      <c r="AH367" s="6"/>
      <c r="AI367" s="6"/>
      <c r="AJ367" s="6"/>
      <c r="AK367" s="1108"/>
    </row>
    <row r="368" spans="15:37">
      <c r="O368" s="2773"/>
      <c r="P368" s="2773"/>
      <c r="Q368" s="745"/>
      <c r="R368" s="745"/>
      <c r="S368" s="2762"/>
      <c r="T368" s="745"/>
      <c r="U368" s="745"/>
      <c r="V368" s="6"/>
      <c r="W368" s="6"/>
      <c r="X368" s="6"/>
      <c r="Y368" s="6"/>
      <c r="Z368" s="6"/>
      <c r="AA368" s="6"/>
      <c r="AB368" s="6"/>
      <c r="AC368" s="1108"/>
      <c r="AD368" s="6"/>
      <c r="AE368" s="6"/>
      <c r="AF368" s="6"/>
      <c r="AG368" s="6"/>
      <c r="AH368" s="6"/>
      <c r="AI368" s="6"/>
      <c r="AJ368" s="6"/>
      <c r="AK368" s="1108"/>
    </row>
    <row r="369" spans="15:37">
      <c r="O369" s="2773"/>
      <c r="P369" s="2773"/>
      <c r="Q369" s="745"/>
      <c r="R369" s="745"/>
      <c r="S369" s="2762"/>
      <c r="T369" s="745"/>
      <c r="U369" s="745"/>
      <c r="V369" s="6"/>
      <c r="W369" s="6"/>
      <c r="X369" s="6"/>
      <c r="Y369" s="6"/>
      <c r="Z369" s="6"/>
      <c r="AA369" s="6"/>
      <c r="AB369" s="6"/>
      <c r="AC369" s="1108"/>
      <c r="AD369" s="6"/>
      <c r="AE369" s="6"/>
      <c r="AF369" s="6"/>
      <c r="AG369" s="6"/>
      <c r="AH369" s="6"/>
      <c r="AI369" s="6"/>
      <c r="AJ369" s="6"/>
      <c r="AK369" s="1108"/>
    </row>
    <row r="370" spans="15:37">
      <c r="O370" s="2773"/>
      <c r="P370" s="2773"/>
      <c r="Q370" s="745"/>
      <c r="R370" s="745"/>
      <c r="S370" s="2762"/>
      <c r="T370" s="745"/>
      <c r="U370" s="745"/>
      <c r="V370" s="6"/>
      <c r="W370" s="6"/>
      <c r="X370" s="6"/>
      <c r="Y370" s="6"/>
      <c r="Z370" s="6"/>
      <c r="AA370" s="6"/>
      <c r="AB370" s="6"/>
      <c r="AC370" s="1108"/>
      <c r="AD370" s="6"/>
      <c r="AE370" s="6"/>
      <c r="AF370" s="6"/>
      <c r="AG370" s="6"/>
      <c r="AH370" s="6"/>
      <c r="AI370" s="6"/>
      <c r="AJ370" s="6"/>
      <c r="AK370" s="1108"/>
    </row>
    <row r="371" spans="15:37">
      <c r="O371" s="2773"/>
      <c r="P371" s="2773"/>
      <c r="Q371" s="745"/>
      <c r="R371" s="745"/>
      <c r="S371" s="2762"/>
      <c r="T371" s="745"/>
      <c r="U371" s="745"/>
      <c r="V371" s="6"/>
      <c r="W371" s="6"/>
      <c r="X371" s="6"/>
      <c r="Y371" s="6"/>
      <c r="Z371" s="6"/>
      <c r="AA371" s="6"/>
      <c r="AB371" s="6"/>
      <c r="AC371" s="1108"/>
      <c r="AD371" s="6"/>
      <c r="AE371" s="6"/>
      <c r="AF371" s="6"/>
      <c r="AG371" s="6"/>
      <c r="AH371" s="6"/>
      <c r="AI371" s="6"/>
      <c r="AJ371" s="6"/>
      <c r="AK371" s="1108"/>
    </row>
    <row r="372" spans="15:37">
      <c r="O372" s="2773"/>
      <c r="P372" s="2773"/>
      <c r="Q372" s="745"/>
      <c r="R372" s="745"/>
      <c r="S372" s="2762"/>
      <c r="T372" s="745"/>
      <c r="U372" s="745"/>
      <c r="V372" s="6"/>
      <c r="W372" s="6"/>
      <c r="X372" s="6"/>
      <c r="Y372" s="6"/>
      <c r="Z372" s="6"/>
      <c r="AA372" s="6"/>
      <c r="AB372" s="6"/>
      <c r="AC372" s="1108"/>
      <c r="AD372" s="6"/>
      <c r="AE372" s="6"/>
      <c r="AF372" s="6"/>
      <c r="AG372" s="6"/>
      <c r="AH372" s="6"/>
      <c r="AI372" s="6"/>
      <c r="AJ372" s="6"/>
      <c r="AK372" s="1108"/>
    </row>
    <row r="373" spans="15:37">
      <c r="O373" s="2773"/>
      <c r="P373" s="2773"/>
      <c r="Q373" s="745"/>
      <c r="R373" s="745"/>
      <c r="S373" s="2762"/>
      <c r="T373" s="745"/>
      <c r="U373" s="745"/>
      <c r="V373" s="6"/>
      <c r="W373" s="6"/>
      <c r="X373" s="6"/>
      <c r="Y373" s="6"/>
      <c r="Z373" s="6"/>
      <c r="AA373" s="6"/>
      <c r="AB373" s="6"/>
      <c r="AC373" s="1108"/>
      <c r="AD373" s="6"/>
      <c r="AE373" s="6"/>
      <c r="AF373" s="6"/>
      <c r="AG373" s="6"/>
      <c r="AH373" s="6"/>
      <c r="AI373" s="6"/>
      <c r="AJ373" s="6"/>
      <c r="AK373" s="1108"/>
    </row>
    <row r="374" spans="15:37">
      <c r="O374" s="2773"/>
      <c r="P374" s="2773"/>
      <c r="Q374" s="745"/>
      <c r="R374" s="745"/>
      <c r="S374" s="2762"/>
      <c r="T374" s="745"/>
      <c r="U374" s="745"/>
      <c r="V374" s="6"/>
      <c r="W374" s="6"/>
      <c r="X374" s="6"/>
      <c r="Y374" s="6"/>
      <c r="Z374" s="6"/>
      <c r="AA374" s="6"/>
      <c r="AB374" s="6"/>
      <c r="AC374" s="1108"/>
      <c r="AD374" s="6"/>
      <c r="AE374" s="6"/>
      <c r="AF374" s="6"/>
      <c r="AG374" s="6"/>
      <c r="AH374" s="6"/>
      <c r="AI374" s="6"/>
      <c r="AJ374" s="6"/>
      <c r="AK374" s="1108"/>
    </row>
    <row r="375" spans="15:37">
      <c r="O375" s="2773"/>
      <c r="P375" s="2773"/>
      <c r="Q375" s="745"/>
      <c r="R375" s="745"/>
      <c r="S375" s="2762"/>
      <c r="T375" s="745"/>
      <c r="U375" s="745"/>
      <c r="V375" s="6"/>
      <c r="W375" s="6"/>
      <c r="X375" s="6"/>
      <c r="Y375" s="6"/>
      <c r="Z375" s="6"/>
      <c r="AA375" s="6"/>
      <c r="AB375" s="6"/>
      <c r="AC375" s="1108"/>
      <c r="AD375" s="6"/>
      <c r="AE375" s="6"/>
      <c r="AF375" s="6"/>
      <c r="AG375" s="6"/>
      <c r="AH375" s="6"/>
      <c r="AI375" s="6"/>
      <c r="AJ375" s="6"/>
      <c r="AK375" s="1108"/>
    </row>
    <row r="376" spans="15:37">
      <c r="O376" s="2773"/>
      <c r="P376" s="2773"/>
      <c r="Q376" s="745"/>
      <c r="R376" s="745"/>
      <c r="S376" s="2762"/>
      <c r="T376" s="745"/>
      <c r="U376" s="745"/>
      <c r="V376" s="6"/>
      <c r="W376" s="6"/>
      <c r="X376" s="6"/>
      <c r="Y376" s="6"/>
      <c r="Z376" s="6"/>
      <c r="AA376" s="6"/>
      <c r="AB376" s="6"/>
      <c r="AC376" s="1108"/>
      <c r="AD376" s="6"/>
      <c r="AE376" s="6"/>
      <c r="AF376" s="6"/>
      <c r="AG376" s="6"/>
      <c r="AH376" s="6"/>
      <c r="AI376" s="6"/>
      <c r="AJ376" s="6"/>
      <c r="AK376" s="1108"/>
    </row>
    <row r="377" spans="15:37">
      <c r="O377" s="2773"/>
      <c r="P377" s="2773"/>
      <c r="Q377" s="745"/>
      <c r="R377" s="745"/>
      <c r="S377" s="2762"/>
      <c r="T377" s="745"/>
      <c r="U377" s="745"/>
      <c r="V377" s="6"/>
      <c r="W377" s="6"/>
      <c r="X377" s="6"/>
      <c r="Y377" s="6"/>
      <c r="Z377" s="6"/>
      <c r="AA377" s="6"/>
      <c r="AB377" s="6"/>
      <c r="AC377" s="1108"/>
      <c r="AD377" s="6"/>
      <c r="AE377" s="6"/>
      <c r="AF377" s="6"/>
      <c r="AG377" s="6"/>
      <c r="AH377" s="6"/>
      <c r="AI377" s="6"/>
      <c r="AJ377" s="6"/>
      <c r="AK377" s="1108"/>
    </row>
    <row r="378" spans="15:37">
      <c r="O378" s="2773"/>
      <c r="P378" s="2773"/>
      <c r="Q378" s="745"/>
      <c r="R378" s="745"/>
      <c r="S378" s="2762"/>
      <c r="T378" s="745"/>
      <c r="U378" s="745"/>
      <c r="V378" s="6"/>
      <c r="W378" s="6"/>
      <c r="X378" s="6"/>
      <c r="Y378" s="6"/>
      <c r="Z378" s="6"/>
      <c r="AA378" s="6"/>
      <c r="AB378" s="6"/>
      <c r="AC378" s="1108"/>
      <c r="AD378" s="6"/>
      <c r="AE378" s="6"/>
      <c r="AF378" s="6"/>
      <c r="AG378" s="6"/>
      <c r="AH378" s="6"/>
      <c r="AI378" s="6"/>
      <c r="AJ378" s="6"/>
      <c r="AK378" s="1108"/>
    </row>
    <row r="379" spans="15:37">
      <c r="O379" s="2773"/>
      <c r="P379" s="2773"/>
      <c r="Q379" s="745"/>
      <c r="R379" s="745"/>
      <c r="S379" s="2762"/>
      <c r="T379" s="745"/>
      <c r="U379" s="745"/>
      <c r="V379" s="6"/>
      <c r="W379" s="6"/>
      <c r="X379" s="6"/>
      <c r="Y379" s="6"/>
      <c r="Z379" s="6"/>
      <c r="AA379" s="6"/>
      <c r="AB379" s="6"/>
      <c r="AC379" s="1108"/>
      <c r="AD379" s="6"/>
      <c r="AE379" s="6"/>
      <c r="AF379" s="6"/>
      <c r="AG379" s="6"/>
      <c r="AH379" s="6"/>
      <c r="AI379" s="6"/>
      <c r="AJ379" s="6"/>
      <c r="AK379" s="1108"/>
    </row>
    <row r="380" spans="15:37">
      <c r="O380" s="2773"/>
      <c r="P380" s="2773"/>
      <c r="Q380" s="745"/>
      <c r="R380" s="745"/>
      <c r="S380" s="2762"/>
      <c r="T380" s="745"/>
      <c r="U380" s="745"/>
      <c r="V380" s="6"/>
      <c r="W380" s="6"/>
      <c r="X380" s="6"/>
      <c r="Y380" s="6"/>
      <c r="Z380" s="6"/>
      <c r="AA380" s="6"/>
      <c r="AB380" s="6"/>
      <c r="AC380" s="1108"/>
      <c r="AD380" s="6"/>
      <c r="AE380" s="6"/>
      <c r="AF380" s="6"/>
      <c r="AG380" s="6"/>
      <c r="AH380" s="6"/>
      <c r="AI380" s="6"/>
      <c r="AJ380" s="6"/>
      <c r="AK380" s="1108"/>
    </row>
    <row r="381" spans="15:37">
      <c r="O381" s="2773"/>
      <c r="P381" s="2773"/>
      <c r="Q381" s="745"/>
      <c r="R381" s="745"/>
      <c r="S381" s="2762"/>
      <c r="T381" s="745"/>
      <c r="U381" s="745"/>
      <c r="V381" s="6"/>
      <c r="W381" s="6"/>
      <c r="X381" s="6"/>
      <c r="Y381" s="6"/>
      <c r="Z381" s="6"/>
      <c r="AA381" s="6"/>
      <c r="AB381" s="6"/>
      <c r="AC381" s="1108"/>
    </row>
    <row r="382" spans="15:37">
      <c r="O382" s="2773"/>
      <c r="P382" s="2773"/>
      <c r="Q382" s="745"/>
      <c r="R382" s="745"/>
      <c r="S382" s="2762"/>
      <c r="T382" s="745"/>
      <c r="U382" s="745"/>
      <c r="V382" s="6"/>
      <c r="W382" s="6"/>
      <c r="X382" s="6"/>
      <c r="Y382" s="6"/>
      <c r="Z382" s="6"/>
      <c r="AA382" s="6"/>
      <c r="AB382" s="6"/>
      <c r="AC382" s="1108"/>
    </row>
    <row r="383" spans="15:37">
      <c r="O383" s="2773"/>
      <c r="P383" s="2773"/>
      <c r="Q383" s="745"/>
      <c r="R383" s="745"/>
      <c r="S383" s="2762"/>
      <c r="T383" s="745"/>
      <c r="U383" s="745"/>
      <c r="V383" s="6"/>
      <c r="W383" s="6"/>
      <c r="X383" s="6"/>
      <c r="Y383" s="6"/>
      <c r="Z383" s="6"/>
      <c r="AA383" s="6"/>
      <c r="AB383" s="6"/>
      <c r="AC383" s="1108"/>
    </row>
    <row r="384" spans="15:37">
      <c r="O384" s="2773"/>
      <c r="P384" s="2773"/>
      <c r="Q384" s="745"/>
      <c r="R384" s="745"/>
      <c r="S384" s="2762"/>
      <c r="T384" s="745"/>
      <c r="U384" s="745"/>
      <c r="V384" s="6"/>
      <c r="W384" s="6"/>
      <c r="X384" s="6"/>
      <c r="Y384" s="6"/>
      <c r="Z384" s="6"/>
      <c r="AA384" s="6"/>
      <c r="AB384" s="6"/>
      <c r="AC384" s="1108"/>
    </row>
  </sheetData>
  <phoneticPr fontId="3" type="noConversion"/>
  <pageMargins left="0" right="0" top="0" bottom="0" header="0" footer="0"/>
  <pageSetup paperSize="5" scale="66" orientation="landscape" r:id="rId1"/>
  <headerFooter alignWithMargins="0"/>
  <ignoredErrors>
    <ignoredError sqref="CO128 CO12 CO27:CO30 CO179:CO185 CO122:CO123 CO131 CO194:CO204 CO170:CO175 CO75:CO80 CO250 CO71 CO99 CJ8 CJ192:CJ207 Q145 CO33:CO39 CO85 CO190:CO192 CA292:CI295 CO145:CO151 L293:P294 CO231:CO234 CS126 CK292:CS295 CO289:CQ289 CO291:CS291 CO296:CO297 CU152:CX152 CT250 CO281 CT273 CT132:CX133 CU127:CX127 CT130:CX130 CT141:CX144 L36 CO83 CO87:CO91 CJ83 BK33 CT228:CT229 CO226:CO227 CT248 CJ231:CJ245 CO236:CO238 CO240:CO246 CJ226 CE231:CE250 CE226:CE227 BZ226:BZ229 BU226:BU229 BP226:BP227 BP231:BP237 BP240:BP245 BP248 CT8:CT15 CT49:CT59 CT75:CT91 CT121:CT123 CT146:CY148 CV145:CX145 CT158:CX158 CT157 CT156:CY156 CT153:CT154 CT149:CT151 CW150:CY151 CT246 CT236 CT238:CT244 CO273 CO290 CV291:CW291 CT281 CY281 CY273 CY154:CY155 CJ121:CJ149 CV234 BZ149:CE149 BZ145:CE145 CO154 CO156:CO157 CT33:CT45 CT290 CY290:CY291 CT292:CU292 CT293:CW295 CP300:CW300 CP296:CT296 CV296:CW296 CP297:CW297 CO187 Q297:R297 CT179:CT204 T235:U235 CK296:CN296 V227:V229 V237:V238 V232:V235 V243 V240:V241 CT226 Q235:R235 Q292:R295 S12:U14 S75 S108 S111:S114 S177 CY157:CY170 CY173:CY175 CY177:CY194 CY121:CY133 S188:S189 CT174 CT165:CT172 CW174 CY106:CY109 CY111:CY114 CY149 CT206:CT207 CY198:CY208 CY226:CY228 CY231:CY238 CY240:CY250 CY71:CY81 CY83:CY99 CP301:CT301 CP298:CT299 CT108:CT109 CY141:CY144 CT111:CT114 CT231:CT234 BZ231:BZ244 BU231:BU250 Q165 CY8:CY20 CY24:CY31 CY33:CY35 T293:AE297 CY293:CZ293 CY294:CY297 CX293:CX297 CZ294:CZ298 CW292:CZ292 S45 S87:S100 DC292:DC294 DA292:DB295 DD267:DD281 DD108:DD109 DD170:DD174 DD177:DD181 DD228:DD237 DD240:DD250 S19:U20 S18:T18 S25:U26 S24:T24 S29:U29 S27:S28 S31:U32 S30 S35:U35 S33:T34 S36 S123 DD111:DD114 DD187:DD198 DD55:DD60 DD75:DD99 DD290:DE296 CY45:DD48 DD33:DD39 CY49 DD24:DD27 DD121:DD124 S16:U17 S15 U15 DD12:DD18 CY55:CY66 DD202:DD207 CY218:CY224 CT218:CT224 BP218:BP224 BU218:BU224 BZ218:BZ224 CE218:CE224 CJ218:CJ224 CO218:CO224 T292 V292:AE292 DH292:DH293 DF294:DH294 DF292:DG293 DD209:DD216 DD218:DD224 DE125:DH125 DD225:DD227" formula="1"/>
    <ignoredError sqref="CU174:CV174" formula="1" formulaRange="1"/>
  </ignoredError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CL188"/>
  <sheetViews>
    <sheetView showGridLines="0" zoomScaleNormal="100" workbookViewId="0">
      <pane xSplit="6" ySplit="5" topLeftCell="L6" activePane="bottomRight" state="frozen"/>
      <selection pane="topRight" activeCell="G1" sqref="G1"/>
      <selection pane="bottomLeft" activeCell="A6" sqref="A6"/>
      <selection pane="bottomRight" activeCell="CG18" sqref="CG18"/>
    </sheetView>
  </sheetViews>
  <sheetFormatPr defaultRowHeight="12.75" outlineLevelRow="1" outlineLevelCol="1"/>
  <cols>
    <col min="1" max="1" width="3.140625" customWidth="1"/>
    <col min="2" max="2" width="29" customWidth="1"/>
    <col min="3" max="5" width="9.140625" hidden="1" customWidth="1" outlineLevel="1"/>
    <col min="6" max="6" width="9.140625" hidden="1" customWidth="1" outlineLevel="1" collapsed="1"/>
    <col min="7" max="7" width="9.140625" customWidth="1" collapsed="1"/>
    <col min="9" max="9" width="9.7109375" bestFit="1" customWidth="1"/>
    <col min="10" max="20" width="9.140625" customWidth="1"/>
    <col min="21" max="21" width="9.140625" style="1577" customWidth="1"/>
    <col min="22" max="23" width="9.140625" customWidth="1"/>
    <col min="24" max="28" width="9.140625" hidden="1" customWidth="1" outlineLevel="1"/>
    <col min="29" max="29" width="9.140625" customWidth="1" collapsed="1"/>
    <col min="30" max="43" width="9.140625" hidden="1" customWidth="1" outlineLevel="1"/>
    <col min="44" max="44" width="9.140625" hidden="1" customWidth="1" outlineLevel="1" collapsed="1"/>
    <col min="45" max="59" width="9.42578125" hidden="1" customWidth="1" outlineLevel="1"/>
    <col min="60" max="63" width="8.7109375" hidden="1" customWidth="1" outlineLevel="1"/>
    <col min="64" max="64" width="4.7109375" customWidth="1" collapsed="1"/>
    <col min="65" max="68" width="8.7109375" hidden="1" customWidth="1" outlineLevel="1"/>
    <col min="69" max="69" width="4.7109375" hidden="1" customWidth="1" outlineLevel="1"/>
    <col min="70" max="73" width="8.7109375" hidden="1" customWidth="1" outlineLevel="1"/>
    <col min="74" max="74" width="4.7109375" customWidth="1" collapsed="1"/>
    <col min="75" max="78" width="7.7109375" customWidth="1"/>
    <col min="80" max="83" width="7.5703125" customWidth="1"/>
    <col min="84" max="84" width="13.28515625" customWidth="1"/>
    <col min="85" max="85" width="10.28515625" customWidth="1"/>
    <col min="86" max="86" width="9.140625" customWidth="1"/>
    <col min="88" max="88" width="13.28515625" customWidth="1"/>
    <col min="89" max="90" width="10.28515625" customWidth="1"/>
  </cols>
  <sheetData>
    <row r="1" spans="1:90">
      <c r="A1" s="862"/>
      <c r="B1" s="862"/>
      <c r="C1" s="862"/>
      <c r="E1" s="862"/>
      <c r="F1" s="862"/>
      <c r="G1" s="862"/>
      <c r="H1" s="862"/>
      <c r="I1" s="862"/>
      <c r="J1" s="862"/>
      <c r="K1" s="862"/>
      <c r="L1" s="862"/>
      <c r="M1" s="862"/>
      <c r="N1" s="862"/>
      <c r="O1" s="862"/>
      <c r="P1" s="862"/>
      <c r="Q1" s="862"/>
      <c r="R1" s="862"/>
      <c r="S1" s="862"/>
      <c r="T1" s="862"/>
      <c r="U1" s="862"/>
      <c r="V1" s="862"/>
      <c r="W1" s="862"/>
      <c r="X1" s="862"/>
      <c r="Y1" s="862"/>
      <c r="Z1" s="862"/>
      <c r="AA1" s="862"/>
      <c r="AB1" s="862"/>
      <c r="AC1" s="862"/>
      <c r="AD1" s="862"/>
      <c r="AE1" s="862"/>
      <c r="AF1" s="862"/>
      <c r="AG1" s="862"/>
      <c r="AH1" s="862"/>
      <c r="AI1" s="862"/>
      <c r="AJ1" s="862"/>
      <c r="AK1" s="862"/>
      <c r="AL1" s="862"/>
      <c r="AM1" s="862"/>
      <c r="AN1" s="862"/>
      <c r="AO1" s="862"/>
      <c r="AP1" s="862"/>
      <c r="AQ1" s="862"/>
      <c r="AR1" s="862"/>
      <c r="AS1" s="862"/>
      <c r="AT1" s="862"/>
      <c r="AU1" s="862"/>
      <c r="AV1" s="862"/>
      <c r="AW1" s="862"/>
      <c r="AX1" s="862"/>
      <c r="AY1" s="862"/>
      <c r="AZ1" s="862"/>
      <c r="BA1" s="862"/>
      <c r="BB1" s="862"/>
      <c r="BC1" s="906"/>
      <c r="BD1" s="906"/>
      <c r="BE1" s="906"/>
      <c r="BF1" s="906"/>
      <c r="BG1" s="862"/>
      <c r="BH1" s="1404"/>
      <c r="BI1" s="1404"/>
      <c r="BJ1" s="1404"/>
      <c r="BK1" s="906"/>
      <c r="BL1" s="862"/>
      <c r="BM1" s="906"/>
      <c r="BN1" s="906"/>
      <c r="BO1" s="906"/>
      <c r="BP1" s="906"/>
      <c r="BQ1" s="906"/>
      <c r="BR1" s="906"/>
      <c r="BS1" s="906"/>
      <c r="BT1" s="906"/>
      <c r="BU1" s="906"/>
      <c r="BV1" s="906"/>
      <c r="BW1" s="906"/>
      <c r="BX1" s="906"/>
      <c r="BY1" s="906"/>
      <c r="BZ1" s="906"/>
      <c r="CA1" s="906"/>
      <c r="CB1" s="906"/>
      <c r="CC1" s="862"/>
      <c r="CD1" s="862"/>
      <c r="CE1" s="862"/>
      <c r="CF1" s="862"/>
      <c r="CG1" s="862"/>
      <c r="CH1" s="862"/>
      <c r="CI1" s="862"/>
      <c r="CJ1" s="862"/>
      <c r="CK1" s="862"/>
      <c r="CL1" s="862"/>
    </row>
    <row r="2" spans="1:90" ht="13.5" thickBot="1">
      <c r="A2" s="862"/>
      <c r="B2" s="862"/>
      <c r="C2" s="862"/>
      <c r="U2"/>
      <c r="AD2" s="862"/>
      <c r="AE2" s="862"/>
      <c r="AF2" s="862"/>
      <c r="AG2" s="862"/>
      <c r="AH2" s="862"/>
      <c r="AI2" s="862"/>
      <c r="AJ2" s="862"/>
      <c r="AK2" s="862"/>
      <c r="AL2" s="862"/>
      <c r="AM2" s="862"/>
      <c r="AN2" s="862"/>
      <c r="AO2" s="862"/>
      <c r="AP2" s="862"/>
      <c r="AQ2" s="862"/>
      <c r="AR2" s="862"/>
      <c r="AS2" s="862"/>
      <c r="AT2" s="862"/>
      <c r="AU2" s="862"/>
      <c r="AV2" s="862"/>
      <c r="AW2" s="862"/>
      <c r="AX2" s="862"/>
      <c r="AY2" s="862"/>
      <c r="AZ2" s="862"/>
      <c r="BA2" s="862"/>
      <c r="BB2" s="862"/>
      <c r="BC2" s="906"/>
      <c r="BD2" s="906"/>
      <c r="BE2" s="906"/>
      <c r="BF2" s="906"/>
      <c r="BG2" s="862"/>
      <c r="BH2" s="1404"/>
      <c r="BI2" s="1404"/>
      <c r="BJ2" s="1404"/>
      <c r="BK2" s="906"/>
      <c r="BL2" s="862"/>
      <c r="BM2" s="906"/>
      <c r="BN2" s="906"/>
      <c r="BO2" s="906"/>
      <c r="BP2" s="906"/>
      <c r="BQ2" s="906"/>
      <c r="BR2" s="906"/>
      <c r="BS2" s="906"/>
      <c r="BT2" s="906"/>
      <c r="BU2" s="906"/>
      <c r="BV2" s="906"/>
      <c r="BW2" s="906"/>
      <c r="BX2" s="906"/>
      <c r="BY2" s="906"/>
      <c r="BZ2" s="906"/>
      <c r="CA2" s="906"/>
      <c r="CB2" s="906"/>
      <c r="CC2" s="862"/>
      <c r="CD2" s="862"/>
      <c r="CE2" s="862"/>
      <c r="CF2" s="862"/>
      <c r="CG2" s="862"/>
      <c r="CH2" s="862"/>
      <c r="CI2" s="862"/>
      <c r="CJ2" s="862"/>
      <c r="CK2" s="862"/>
      <c r="CL2" s="862"/>
    </row>
    <row r="3" spans="1:90" ht="13.5" thickBot="1">
      <c r="A3" s="862"/>
      <c r="B3" s="2533">
        <f>B28</f>
        <v>1</v>
      </c>
      <c r="C3" s="862"/>
      <c r="U3"/>
      <c r="AD3" s="862"/>
      <c r="AE3" s="862"/>
      <c r="AF3" s="862"/>
      <c r="AG3" s="862"/>
      <c r="AH3" s="862"/>
      <c r="AI3" s="862"/>
      <c r="AJ3" s="862"/>
      <c r="AK3" s="862"/>
      <c r="AL3" s="862"/>
      <c r="AM3" s="862"/>
      <c r="AN3" s="862"/>
      <c r="AO3" s="862"/>
      <c r="AP3" s="862"/>
      <c r="AQ3" s="862"/>
      <c r="AR3" s="862"/>
      <c r="AS3" s="862"/>
      <c r="AT3" s="862"/>
      <c r="AU3" s="862"/>
      <c r="AV3" s="862"/>
      <c r="AW3" s="862"/>
      <c r="AX3" s="862"/>
      <c r="AY3" s="862"/>
      <c r="AZ3" s="862"/>
      <c r="BA3" s="862"/>
      <c r="BB3" s="862"/>
      <c r="BC3" s="906"/>
      <c r="BD3" s="906"/>
      <c r="BE3" s="906"/>
      <c r="BF3" s="906"/>
      <c r="BG3" s="862"/>
      <c r="BH3" s="1404"/>
      <c r="BI3" s="1404"/>
      <c r="BJ3" s="1404"/>
      <c r="BK3" s="906"/>
      <c r="BL3" s="862"/>
      <c r="BM3" s="906"/>
      <c r="BN3" s="906"/>
      <c r="BO3" s="906"/>
      <c r="BP3" s="906"/>
      <c r="BQ3" s="906"/>
      <c r="BR3" s="906"/>
      <c r="BS3" s="906"/>
      <c r="BT3" s="906"/>
      <c r="BU3" s="906"/>
      <c r="BV3" s="906"/>
      <c r="BW3" s="906"/>
      <c r="BX3" s="906"/>
      <c r="BY3" s="906"/>
      <c r="BZ3" s="906"/>
      <c r="CA3" s="906"/>
      <c r="CB3" s="906"/>
      <c r="CC3" s="862"/>
      <c r="CD3" s="862"/>
      <c r="CE3" s="862"/>
      <c r="CF3" s="862"/>
      <c r="CG3" s="862"/>
      <c r="CH3" s="862"/>
      <c r="CI3" s="862"/>
      <c r="CJ3" s="862"/>
      <c r="CK3" s="862"/>
      <c r="CL3" s="862"/>
    </row>
    <row r="4" spans="1:90">
      <c r="A4" s="862"/>
      <c r="B4" s="862" t="s">
        <v>1528</v>
      </c>
      <c r="C4" s="84"/>
      <c r="D4" s="84"/>
      <c r="E4" s="84"/>
      <c r="F4" s="84"/>
      <c r="G4" s="84"/>
      <c r="H4" s="84"/>
      <c r="I4" s="84"/>
      <c r="J4" s="84"/>
      <c r="K4" s="84"/>
      <c r="L4" s="84"/>
      <c r="M4" s="84"/>
      <c r="N4" s="84"/>
      <c r="O4" s="84"/>
      <c r="P4" s="84"/>
      <c r="Q4" s="84"/>
      <c r="R4" s="84"/>
      <c r="S4" s="84"/>
      <c r="T4" s="906"/>
      <c r="U4" s="1470"/>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69"/>
      <c r="BD4" s="69"/>
      <c r="BE4" s="69"/>
      <c r="BF4" s="69"/>
      <c r="BG4" s="84"/>
      <c r="BH4" s="938"/>
      <c r="BI4" s="938"/>
      <c r="BJ4" s="938"/>
      <c r="BK4" s="69"/>
      <c r="BL4" s="84"/>
      <c r="BM4" s="938"/>
      <c r="BN4" s="938"/>
      <c r="BO4" s="938"/>
      <c r="BP4" s="938"/>
      <c r="BQ4" s="938"/>
      <c r="BR4" s="938"/>
      <c r="BS4" s="938"/>
      <c r="BT4" s="938"/>
      <c r="BU4" s="938"/>
      <c r="BV4" s="938"/>
      <c r="BW4" s="938"/>
      <c r="BX4" s="938"/>
      <c r="BY4" s="938"/>
      <c r="BZ4" s="938"/>
      <c r="CA4" s="938"/>
      <c r="CB4" s="938"/>
      <c r="CC4" s="862"/>
      <c r="CD4" s="862"/>
      <c r="CE4" s="862"/>
      <c r="CF4" s="862"/>
      <c r="CG4" s="862"/>
      <c r="CH4" s="862"/>
      <c r="CI4" s="862"/>
      <c r="CJ4" s="862"/>
      <c r="CK4" s="862"/>
      <c r="CL4" s="862"/>
    </row>
    <row r="5" spans="1:90">
      <c r="A5" s="862"/>
      <c r="B5" s="862"/>
      <c r="C5" s="481" t="str">
        <f>+'Revenue and OCF'!U5</f>
        <v>2008</v>
      </c>
      <c r="D5" s="481" t="str">
        <f>+'Revenue and OCF'!Y5</f>
        <v>2009</v>
      </c>
      <c r="E5" s="481" t="str">
        <f>+'Revenue and OCF'!Z5</f>
        <v>2010</v>
      </c>
      <c r="F5" s="481" t="str">
        <f>+'Revenue and OCF'!AA5</f>
        <v>2011</v>
      </c>
      <c r="G5" s="481" t="str">
        <f>+'Revenue and OCF'!AB5</f>
        <v>2012</v>
      </c>
      <c r="H5" s="481" t="str">
        <f>+'Revenue and OCF'!AC5</f>
        <v>2013</v>
      </c>
      <c r="I5" s="481" t="str">
        <f>+'Revenue and OCF'!AD5</f>
        <v>2014</v>
      </c>
      <c r="J5" s="481" t="str">
        <f>+'Revenue and OCF'!AG5</f>
        <v>2015</v>
      </c>
      <c r="K5" s="481" t="str">
        <f>+'Revenue and OCF'!AH5</f>
        <v>2016</v>
      </c>
      <c r="L5" s="481" t="str">
        <f>+'Revenue and OCF'!AJ5</f>
        <v>2017E</v>
      </c>
      <c r="M5" s="481" t="str">
        <f>+'Revenue and OCF'!AK5</f>
        <v>2018E</v>
      </c>
      <c r="N5" s="481" t="str">
        <f>+'Revenue and OCF'!AL5</f>
        <v>2019E</v>
      </c>
      <c r="O5" s="481" t="str">
        <f>+'Revenue and OCF'!AM5</f>
        <v>2020E</v>
      </c>
      <c r="P5" s="1240" t="str">
        <f>+'Revenue and OCF'!AN5</f>
        <v>2021E</v>
      </c>
      <c r="Q5" s="1240" t="str">
        <f>+'Revenue and OCF'!AO5</f>
        <v>2022E</v>
      </c>
      <c r="R5" s="1240" t="str">
        <f>+'Revenue and OCF'!AP5</f>
        <v>2023E</v>
      </c>
      <c r="S5" s="1240" t="str">
        <f>+'Revenue and OCF'!AQ5</f>
        <v>2024E</v>
      </c>
      <c r="T5" s="1240" t="str">
        <f>+'Revenue and OCF'!AR5</f>
        <v>2025E</v>
      </c>
      <c r="U5" s="2274" t="str">
        <f>+'Revenue and OCF'!AS5</f>
        <v>2026E</v>
      </c>
      <c r="V5" s="2274" t="str">
        <f>+'Revenue and OCF'!AT5</f>
        <v>2027E</v>
      </c>
      <c r="W5" s="2274" t="str">
        <f>+'Revenue and OCF'!AU5</f>
        <v>2028E</v>
      </c>
      <c r="X5" s="724"/>
      <c r="Y5" s="724"/>
      <c r="Z5" s="724"/>
      <c r="AA5" s="724"/>
      <c r="AB5" s="724"/>
      <c r="AC5" s="724"/>
      <c r="AD5" s="481" t="s">
        <v>136</v>
      </c>
      <c r="AE5" s="481" t="s">
        <v>318</v>
      </c>
      <c r="AF5" s="481" t="s">
        <v>319</v>
      </c>
      <c r="AG5" s="481" t="s">
        <v>320</v>
      </c>
      <c r="AH5" s="724"/>
      <c r="AI5" s="481" t="s">
        <v>599</v>
      </c>
      <c r="AJ5" s="481" t="s">
        <v>342</v>
      </c>
      <c r="AK5" s="481" t="s">
        <v>343</v>
      </c>
      <c r="AL5" s="481" t="s">
        <v>1400</v>
      </c>
      <c r="AM5" s="724"/>
      <c r="AN5" s="481" t="s">
        <v>363</v>
      </c>
      <c r="AO5" s="481" t="s">
        <v>351</v>
      </c>
      <c r="AP5" s="481" t="s">
        <v>352</v>
      </c>
      <c r="AQ5" s="481" t="s">
        <v>1476</v>
      </c>
      <c r="AR5" s="724"/>
      <c r="AS5" s="481" t="s">
        <v>139</v>
      </c>
      <c r="AT5" s="481" t="s">
        <v>487</v>
      </c>
      <c r="AU5" s="481" t="s">
        <v>488</v>
      </c>
      <c r="AV5" s="481" t="s">
        <v>1262</v>
      </c>
      <c r="AW5" s="862"/>
      <c r="AX5" s="481" t="s">
        <v>313</v>
      </c>
      <c r="AY5" s="481" t="s">
        <v>775</v>
      </c>
      <c r="AZ5" s="481" t="s">
        <v>958</v>
      </c>
      <c r="BA5" s="481" t="s">
        <v>945</v>
      </c>
      <c r="BB5" s="724"/>
      <c r="BC5" s="532" t="s">
        <v>392</v>
      </c>
      <c r="BD5" s="532" t="s">
        <v>393</v>
      </c>
      <c r="BE5" s="532" t="s">
        <v>394</v>
      </c>
      <c r="BF5" s="532" t="s">
        <v>395</v>
      </c>
      <c r="BG5" s="724"/>
      <c r="BH5" s="532" t="s">
        <v>451</v>
      </c>
      <c r="BI5" s="532" t="s">
        <v>619</v>
      </c>
      <c r="BJ5" s="532" t="s">
        <v>477</v>
      </c>
      <c r="BK5" s="532" t="s">
        <v>1532</v>
      </c>
      <c r="BL5" s="724"/>
      <c r="BM5" s="532" t="s">
        <v>1534</v>
      </c>
      <c r="BN5" s="532" t="s">
        <v>1595</v>
      </c>
      <c r="BO5" s="532" t="s">
        <v>1605</v>
      </c>
      <c r="BP5" s="532" t="s">
        <v>1612</v>
      </c>
      <c r="BQ5" s="862"/>
      <c r="BR5" s="532" t="s">
        <v>1630</v>
      </c>
      <c r="BS5" s="532" t="s">
        <v>1632</v>
      </c>
      <c r="BT5" s="532" t="s">
        <v>1690</v>
      </c>
      <c r="BU5" s="532" t="s">
        <v>1767</v>
      </c>
      <c r="BV5" s="862"/>
      <c r="BW5" s="532" t="s">
        <v>1782</v>
      </c>
      <c r="BX5" s="532" t="s">
        <v>1789</v>
      </c>
      <c r="BY5" s="532" t="s">
        <v>1813</v>
      </c>
      <c r="BZ5" s="532" t="s">
        <v>1697</v>
      </c>
      <c r="CA5" s="862"/>
      <c r="CB5" s="532" t="s">
        <v>1799</v>
      </c>
      <c r="CC5" s="532" t="s">
        <v>1800</v>
      </c>
      <c r="CD5" s="532" t="s">
        <v>1801</v>
      </c>
      <c r="CE5" s="532" t="s">
        <v>1802</v>
      </c>
      <c r="CF5" s="862"/>
      <c r="CG5" s="862"/>
      <c r="CH5" s="862"/>
      <c r="CI5" s="862"/>
      <c r="CJ5" s="862"/>
      <c r="CK5" s="862"/>
      <c r="CL5" s="862"/>
    </row>
    <row r="7" spans="1:90">
      <c r="A7" s="862"/>
      <c r="B7" s="862" t="s">
        <v>452</v>
      </c>
      <c r="C7" s="877">
        <f>+'Revenue and OCF'!U36</f>
        <v>2.5606087223855045E-3</v>
      </c>
      <c r="D7" s="877">
        <f>+'Revenue and OCF'!Y36</f>
        <v>-2.3069244185498716E-2</v>
      </c>
      <c r="E7" s="877">
        <f>+'Revenue and OCF'!Z36</f>
        <v>9.2604432772677603E-2</v>
      </c>
      <c r="F7" s="877">
        <f>+'Revenue and OCF'!AA36</f>
        <v>1.2922099282895116E-2</v>
      </c>
      <c r="G7" s="877">
        <f>+'Revenue and OCF'!AB36</f>
        <v>4.7735739700736302E-2</v>
      </c>
      <c r="H7" s="877">
        <f>+'Revenue and OCF'!AC36</f>
        <v>0.10578813166914203</v>
      </c>
      <c r="I7" s="877">
        <f>+'Revenue and OCF'!AD36</f>
        <v>-1.7216613846542272E-2</v>
      </c>
      <c r="J7" s="877">
        <f>+'Revenue and OCF'!AG36</f>
        <v>2.5714281181475229E-2</v>
      </c>
      <c r="K7" s="877">
        <f>+'Revenue and OCF'!AH36</f>
        <v>4.5047798705385E-2</v>
      </c>
      <c r="L7" s="877">
        <f>+'Revenue and OCF'!AJ36</f>
        <v>2.7656796935859207E-2</v>
      </c>
      <c r="M7" s="877">
        <f>+'Revenue and OCF'!AK36</f>
        <v>6.9008104661967939E-2</v>
      </c>
      <c r="N7" s="877">
        <f>+'Revenue and OCF'!AL36</f>
        <v>8.119029480123352E-2</v>
      </c>
      <c r="O7" s="877">
        <f>+'Revenue and OCF'!AM36</f>
        <v>3.8549613221396717E-2</v>
      </c>
      <c r="P7" s="877">
        <f>+'Revenue and OCF'!AN36</f>
        <v>4.6316684682909726E-2</v>
      </c>
      <c r="Q7" s="877">
        <f>+'Revenue and OCF'!AO36</f>
        <v>7.1316843795890428E-2</v>
      </c>
      <c r="R7" s="877">
        <f>+'Revenue and OCF'!AP36</f>
        <v>-5.2693365918324853E-3</v>
      </c>
      <c r="S7" s="877">
        <f>+'Revenue and OCF'!AQ36</f>
        <v>3.2935020922567837E-2</v>
      </c>
      <c r="T7" s="877">
        <f>+'Revenue and OCF'!AR36</f>
        <v>5.7570060239898968E-2</v>
      </c>
      <c r="U7" s="1737">
        <f>+'Revenue and OCF'!AS36</f>
        <v>-9.2579727728949734E-3</v>
      </c>
      <c r="V7" s="1737">
        <f>+'Revenue and OCF'!AT36</f>
        <v>2.1734772203914954E-2</v>
      </c>
      <c r="W7" s="1737">
        <f>+'Revenue and OCF'!AU36</f>
        <v>6.857048411872757E-2</v>
      </c>
      <c r="X7" s="877"/>
      <c r="Y7" s="877"/>
      <c r="Z7" s="877"/>
      <c r="AA7" s="877"/>
      <c r="AB7" s="877"/>
      <c r="AC7" s="877"/>
      <c r="AD7" s="877"/>
      <c r="AE7" s="877"/>
      <c r="AF7" s="877"/>
      <c r="AG7" s="877"/>
      <c r="AH7" s="877"/>
      <c r="AI7" s="877"/>
      <c r="AJ7" s="877"/>
      <c r="AK7" s="877"/>
      <c r="AL7" s="877"/>
      <c r="AM7" s="877"/>
      <c r="AN7" s="877"/>
      <c r="AO7" s="902"/>
      <c r="AP7" s="902"/>
      <c r="AQ7" s="902"/>
      <c r="AR7" s="902"/>
      <c r="AS7" s="897"/>
      <c r="AT7" s="897"/>
      <c r="AU7" s="897"/>
      <c r="AV7" s="897"/>
      <c r="AW7" s="897"/>
      <c r="AX7" s="897"/>
      <c r="AY7" s="897"/>
      <c r="AZ7" s="897"/>
      <c r="BA7" s="897"/>
      <c r="BB7" s="897"/>
      <c r="BC7" s="870"/>
      <c r="BD7" s="870"/>
      <c r="BE7" s="870"/>
      <c r="BF7" s="870"/>
      <c r="BG7" s="897"/>
      <c r="BH7" s="1408"/>
      <c r="BI7" s="1408"/>
      <c r="BJ7" s="1408"/>
      <c r="BK7" s="870"/>
      <c r="BL7" s="897"/>
      <c r="BM7" s="870"/>
      <c r="BN7" s="870"/>
      <c r="BO7" s="870"/>
      <c r="BP7" s="870"/>
      <c r="BQ7" s="897"/>
      <c r="BR7" s="897"/>
      <c r="BU7" s="870"/>
      <c r="BV7" s="862"/>
      <c r="BW7" s="862"/>
      <c r="CA7" s="862"/>
      <c r="CB7" s="877"/>
      <c r="CC7" s="862"/>
      <c r="CD7" s="862"/>
      <c r="CE7" s="862"/>
      <c r="CF7" s="862"/>
      <c r="CG7" s="862"/>
      <c r="CH7" s="862"/>
      <c r="CI7" s="862"/>
      <c r="CJ7" s="862"/>
      <c r="CK7" s="862"/>
      <c r="CL7" s="862"/>
    </row>
    <row r="8" spans="1:90">
      <c r="A8" s="862"/>
      <c r="B8" s="862"/>
      <c r="C8" s="862"/>
      <c r="D8" s="862"/>
      <c r="E8" s="862"/>
      <c r="F8" s="862"/>
      <c r="G8" s="862"/>
      <c r="K8" s="862"/>
      <c r="L8" s="862"/>
      <c r="M8" s="862"/>
      <c r="N8" s="862"/>
      <c r="O8" s="862"/>
      <c r="P8" s="906"/>
      <c r="Q8" s="906"/>
      <c r="R8" s="906"/>
      <c r="S8" s="906"/>
      <c r="T8" s="906"/>
      <c r="U8" s="1470"/>
      <c r="V8" s="862"/>
      <c r="W8" s="862"/>
      <c r="X8" s="862"/>
      <c r="Y8" s="862"/>
      <c r="Z8" s="862"/>
      <c r="AA8" s="862"/>
      <c r="AB8" s="862"/>
      <c r="AC8" s="862"/>
      <c r="AD8" s="862"/>
      <c r="AE8" s="862"/>
      <c r="AF8" s="862"/>
      <c r="AG8" s="862"/>
      <c r="AH8" s="862"/>
      <c r="AI8" s="862"/>
      <c r="AJ8" s="862"/>
      <c r="AK8" s="862"/>
      <c r="AL8" s="862"/>
      <c r="AM8" s="862"/>
      <c r="AN8" s="862"/>
      <c r="AO8" s="862"/>
      <c r="AP8" s="862"/>
      <c r="AQ8" s="862"/>
      <c r="AR8" s="862"/>
      <c r="AS8" s="897"/>
      <c r="AT8" s="897"/>
      <c r="AU8" s="897"/>
      <c r="AV8" s="897"/>
      <c r="AW8" s="897"/>
      <c r="AX8" s="897"/>
      <c r="AY8" s="897"/>
      <c r="AZ8" s="897"/>
      <c r="BA8" s="897"/>
      <c r="BB8" s="897"/>
      <c r="BC8" s="870"/>
      <c r="BD8" s="870"/>
      <c r="BE8" s="870"/>
      <c r="BF8" s="870"/>
      <c r="BG8" s="897"/>
      <c r="BH8" s="1408"/>
      <c r="BI8" s="1408"/>
      <c r="BJ8" s="1408"/>
      <c r="BK8" s="870"/>
      <c r="BL8" s="897"/>
      <c r="BM8" s="870"/>
      <c r="BN8" s="870"/>
      <c r="BO8" s="870"/>
      <c r="BP8" s="870"/>
      <c r="BQ8" s="897"/>
      <c r="BR8" s="897"/>
      <c r="BU8" s="870"/>
      <c r="BV8" s="862"/>
      <c r="BW8" s="862"/>
      <c r="CF8" s="862"/>
      <c r="CG8" s="862"/>
      <c r="CH8" s="862"/>
      <c r="CI8" s="862"/>
      <c r="CJ8" s="862"/>
      <c r="CK8" s="862"/>
      <c r="CL8" s="862"/>
    </row>
    <row r="9" spans="1:90">
      <c r="A9" s="862"/>
      <c r="B9" s="36" t="s">
        <v>1572</v>
      </c>
      <c r="C9" s="514">
        <f>SUM('CBS Network'!P8:P11)/SUM('CBS Network'!O8:O11)-1</f>
        <v>-0.11614669284275014</v>
      </c>
      <c r="D9" s="514">
        <f>SUM('CBS Network'!Q8:Q11)/SUM('CBS Network'!P8:P11)-1</f>
        <v>-1.6219422747071777E-2</v>
      </c>
      <c r="E9" s="514">
        <f>SUM('CBS Network'!R8:R11)/SUM('CBS Network'!Q8:Q11)-1</f>
        <v>0.11521125505834773</v>
      </c>
      <c r="F9" s="514">
        <f>SUM('CBS Network'!S8:S11)/SUM('CBS Network'!R8:R11)-1</f>
        <v>-1.1690760175660397E-2</v>
      </c>
      <c r="G9" s="514">
        <f>SUM('CBS Network'!T8:T11)/SUM('CBS Network'!S8:S11)-1</f>
        <v>-5.8342073321545396E-2</v>
      </c>
      <c r="H9" s="514">
        <f>SUM('CBS Network'!U8:U11)/SUM('CBS Network'!T8:T11)-1</f>
        <v>0.11327241956198475</v>
      </c>
      <c r="I9" s="514">
        <f>SUM('CBS Network'!V8:V11)/SUM('CBS Network'!U8:U11)-1</f>
        <v>-8.6595725974387583E-2</v>
      </c>
      <c r="J9" s="514">
        <f>SUM('CBS Network'!W8:W11)/SUM('CBS Network'!V8:V11)-1</f>
        <v>1.4929861226695929E-2</v>
      </c>
      <c r="K9" s="514">
        <f>SUM('CBS Network'!X8:X11)/SUM('CBS Network'!W8:W11)-1</f>
        <v>9.2317637388733997E-2</v>
      </c>
      <c r="L9" s="514">
        <f>SUM('CBS Network'!Y8:Y11)/SUM('CBS Network'!X8:X11)-1</f>
        <v>-8.7585091172129981E-2</v>
      </c>
      <c r="M9" s="514">
        <f>SUM('CBS Network'!Z8:Z11)/SUM('CBS Network'!Y8:Y11)-1</f>
        <v>-2.5049049286909764E-2</v>
      </c>
      <c r="N9" s="514">
        <f>SUM('CBS Network'!AA8:AA11)/SUM('CBS Network'!Z8:Z11)-1</f>
        <v>0.10737238973961549</v>
      </c>
      <c r="O9" s="514">
        <f>SUM('CBS Network'!AB8:AB11)/SUM('CBS Network'!AA8:AA11)-1</f>
        <v>-0.11354360572320665</v>
      </c>
      <c r="P9" s="514">
        <f>SUM('CBS Network'!AC8:AC11)/SUM('CBS Network'!AB8:AB11)-1</f>
        <v>6.6411379541237991E-3</v>
      </c>
      <c r="Q9" s="514">
        <f>SUM('CBS Network'!AD8:AD11)/SUM('CBS Network'!AC8:AC11)-1</f>
        <v>0.11095547640357895</v>
      </c>
      <c r="R9" s="514">
        <f>SUM('CBS Network'!AE8:AE11)/SUM('CBS Network'!AD8:AD11)-1</f>
        <v>-0.10716258291817993</v>
      </c>
      <c r="S9" s="514">
        <f>SUM('CBS Network'!AF8:AF11)/SUM('CBS Network'!AE8:AE11)-1</f>
        <v>-1.4209872070971796E-2</v>
      </c>
      <c r="T9" s="514">
        <f>SUM('CBS Network'!AG8:AG11)/SUM('CBS Network'!AF8:AF11)-1</f>
        <v>0.16253300943810634</v>
      </c>
      <c r="U9" s="1551">
        <f>SUM('CBS Network'!AH8:AH11)/SUM('CBS Network'!AG8:AG11)-1</f>
        <v>-0.14588462518796952</v>
      </c>
      <c r="V9" s="1551">
        <f>SUM('CBS Network'!AI8:AI11)/SUM('CBS Network'!AH8:AH11)-1</f>
        <v>1.0287844409108571E-2</v>
      </c>
      <c r="W9" s="1551">
        <f>SUM('CBS Network'!AJ8:AJ11)/SUM('CBS Network'!AI8:AI11)-1</f>
        <v>0.16635210587853333</v>
      </c>
      <c r="X9" s="862"/>
      <c r="Y9" s="862"/>
      <c r="Z9" s="862"/>
      <c r="AA9" s="862"/>
      <c r="AB9" s="862"/>
      <c r="AC9" s="862"/>
      <c r="AD9" s="862"/>
      <c r="AE9" s="862"/>
      <c r="AF9" s="862"/>
      <c r="AG9" s="862"/>
      <c r="AH9" s="862"/>
      <c r="AI9" s="862"/>
      <c r="AJ9" s="862"/>
      <c r="AK9" s="862"/>
      <c r="AL9" s="862"/>
      <c r="AM9" s="862"/>
      <c r="AN9" s="862"/>
      <c r="AO9" s="862"/>
      <c r="AP9" s="862"/>
      <c r="AQ9" s="862"/>
      <c r="AR9" s="862"/>
      <c r="AS9" s="862"/>
      <c r="AT9" s="862"/>
      <c r="AU9" s="862"/>
      <c r="AV9" s="862"/>
      <c r="AW9" s="862"/>
      <c r="AX9" s="862"/>
      <c r="AY9" s="862"/>
      <c r="AZ9" s="862"/>
      <c r="BA9" s="862"/>
      <c r="BB9" s="862"/>
      <c r="BC9" s="514"/>
      <c r="BD9" s="514"/>
      <c r="BE9" s="514"/>
      <c r="BF9" s="514"/>
      <c r="BG9" s="514"/>
      <c r="BH9" s="514"/>
      <c r="BI9" s="514"/>
      <c r="BJ9" s="514"/>
      <c r="BK9" s="514"/>
      <c r="BL9" s="514"/>
      <c r="BM9" s="514"/>
      <c r="BN9" s="514"/>
      <c r="BO9" s="514"/>
      <c r="BP9" s="514"/>
      <c r="BQ9" s="862"/>
      <c r="BR9" s="1470"/>
      <c r="BS9" s="1577"/>
      <c r="BT9" s="1577"/>
      <c r="BU9" s="1551"/>
      <c r="BV9" s="1470"/>
      <c r="BW9" s="1470"/>
      <c r="BX9" s="862"/>
      <c r="BY9" s="862"/>
      <c r="BZ9" s="862"/>
      <c r="CA9" s="862"/>
      <c r="CB9" s="862"/>
      <c r="CC9" s="862"/>
      <c r="CD9" s="862"/>
      <c r="CE9" s="862"/>
      <c r="CF9" s="862"/>
      <c r="CG9" s="862"/>
      <c r="CH9" s="862"/>
      <c r="CI9" s="862"/>
      <c r="CJ9" s="862"/>
      <c r="CK9" s="862"/>
      <c r="CL9" s="862"/>
    </row>
    <row r="10" spans="1:90">
      <c r="A10" s="862"/>
      <c r="B10" s="36" t="s">
        <v>1573</v>
      </c>
      <c r="C10" s="514"/>
      <c r="D10" s="514"/>
      <c r="E10" s="514"/>
      <c r="F10" s="514"/>
      <c r="G10" s="514">
        <f>SUM('CBS Network'!T8,'CBS Network'!T9,'CBS Network'!T11)/SUM('CBS Network'!S8,'CBS Network'!S9,'CBS Network'!S11)-1</f>
        <v>-5.8342073321545396E-2</v>
      </c>
      <c r="H10" s="514">
        <f>SUM('CBS Network'!U8,'CBS Network'!U9,'CBS Network'!U11)/SUM('CBS Network'!T8,'CBS Network'!T9,'CBS Network'!T11)-1</f>
        <v>4.4618236940544342E-2</v>
      </c>
      <c r="I10" s="514">
        <f>SUM('CBS Network'!V8,'CBS Network'!V9,'CBS Network'!V11)/SUM('CBS Network'!U8,'CBS Network'!U9,'CBS Network'!U11)-1</f>
        <v>-2.6565160147947853E-2</v>
      </c>
      <c r="J10" s="514">
        <f>SUM('CBS Network'!W8,'CBS Network'!W9,'CBS Network'!W11)/SUM('CBS Network'!V8,'CBS Network'!V9,'CBS Network'!V11)-1</f>
        <v>1.4929861226695929E-2</v>
      </c>
      <c r="K10" s="514">
        <f>SUM('CBS Network'!X8,'CBS Network'!X9,'CBS Network'!X11)/SUM('CBS Network'!W8,'CBS Network'!W9,'CBS Network'!W11)-1</f>
        <v>1.9870137059112558E-3</v>
      </c>
      <c r="L10" s="514">
        <f>SUM('CBS Network'!Y8,'CBS Network'!Y9,'CBS Network'!Y11)/SUM('CBS Network'!X8,'CBS Network'!X9,'CBS Network'!X11)-1</f>
        <v>-5.3295263349215638E-3</v>
      </c>
      <c r="M10" s="514">
        <f>SUM('CBS Network'!Z8,'CBS Network'!Z9,'CBS Network'!Z11)/SUM('CBS Network'!Y8,'CBS Network'!Y9,'CBS Network'!Y11)-1</f>
        <v>-2.5049049286909764E-2</v>
      </c>
      <c r="N10" s="514">
        <f>SUM('CBS Network'!AA8,'CBS Network'!AA9,'CBS Network'!AA11)/SUM('CBS Network'!Z8,'CBS Network'!Z9,'CBS Network'!Z11)-1</f>
        <v>-7.7423499412965224E-4</v>
      </c>
      <c r="O10" s="514">
        <f>SUM('CBS Network'!AB8,'CBS Network'!AB9,'CBS Network'!AB11)/SUM('CBS Network'!AA8,'CBS Network'!AA9,'CBS Network'!AA11)-1</f>
        <v>-1.7602057404426108E-2</v>
      </c>
      <c r="P10" s="514">
        <f>SUM('CBS Network'!AC8,'CBS Network'!AC9,'CBS Network'!AC11)/SUM('CBS Network'!AB8,'CBS Network'!AB9,'CBS Network'!AB11)-1</f>
        <v>6.6411379541237991E-3</v>
      </c>
      <c r="Q10" s="514">
        <f>SUM('CBS Network'!AD8,'CBS Network'!AD9,'CBS Network'!AD11)/SUM('CBS Network'!AC8,'CBS Network'!AC9,'CBS Network'!AC11)-1</f>
        <v>-1.5556016251645266E-2</v>
      </c>
      <c r="R10" s="514">
        <f>SUM('CBS Network'!AE8,'CBS Network'!AE9,'CBS Network'!AE11)/SUM('CBS Network'!AD8,'CBS Network'!AD9,'CBS Network'!AD11)-1</f>
        <v>7.5764943662108841E-3</v>
      </c>
      <c r="S10" s="514">
        <f>SUM('CBS Network'!AF8,'CBS Network'!AF9,'CBS Network'!AF11)/SUM('CBS Network'!AE8,'CBS Network'!AE9,'CBS Network'!AE11)-1</f>
        <v>-1.4209872070971796E-2</v>
      </c>
      <c r="T10" s="1551">
        <f>SUM('CBS Network'!AG8,'CBS Network'!AG9,'CBS Network'!AG11)/SUM('CBS Network'!AF8,'CBS Network'!AF9,'CBS Network'!AF11)-1</f>
        <v>8.4360482662937386E-3</v>
      </c>
      <c r="U10" s="1551">
        <f>SUM('CBS Network'!AH8,'CBS Network'!AH9,'CBS Network'!AH11)/SUM('CBS Network'!AG8,'CBS Network'!AG9,'CBS Network'!AG11)-1</f>
        <v>-1.5369076904136025E-2</v>
      </c>
      <c r="V10" s="1551">
        <f>SUM('CBS Network'!AI8,'CBS Network'!AI9,'CBS Network'!AI11)/SUM('CBS Network'!AH8,'CBS Network'!AH9,'CBS Network'!AH11)-1</f>
        <v>1.0287844409108571E-2</v>
      </c>
      <c r="W10" s="1551">
        <f>SUM('CBS Network'!AJ8,'CBS Network'!AJ9,'CBS Network'!AJ11)/SUM('CBS Network'!AI8,'CBS Network'!AI9,'CBS Network'!AI11)-1</f>
        <v>-1.6603073910643862E-2</v>
      </c>
      <c r="X10" s="862"/>
      <c r="Y10" s="862"/>
      <c r="Z10" s="862"/>
      <c r="AA10" s="862"/>
      <c r="AB10" s="862"/>
      <c r="AC10" s="862"/>
      <c r="AD10" s="862"/>
      <c r="AE10" s="862"/>
      <c r="AF10" s="862"/>
      <c r="AG10" s="862"/>
      <c r="AH10" s="862"/>
      <c r="AI10" s="862"/>
      <c r="AJ10" s="862"/>
      <c r="AK10" s="862"/>
      <c r="AL10" s="862"/>
      <c r="AM10" s="862"/>
      <c r="AN10" s="862"/>
      <c r="AO10" s="862"/>
      <c r="AP10" s="862"/>
      <c r="AQ10" s="862"/>
      <c r="AR10" s="862"/>
      <c r="AS10" s="862"/>
      <c r="AT10" s="862"/>
      <c r="AU10" s="862"/>
      <c r="AV10" s="862"/>
      <c r="AW10" s="862"/>
      <c r="AX10" s="862"/>
      <c r="AY10" s="862"/>
      <c r="AZ10" s="862"/>
      <c r="BA10" s="862"/>
      <c r="BB10" s="862"/>
      <c r="BC10" s="514"/>
      <c r="BD10" s="514"/>
      <c r="BE10" s="514"/>
      <c r="BF10" s="514"/>
      <c r="BG10" s="514"/>
      <c r="BH10" s="514"/>
      <c r="BI10" s="514"/>
      <c r="BJ10" s="514"/>
      <c r="BK10" s="514"/>
      <c r="BL10" s="514"/>
      <c r="BM10" s="514"/>
      <c r="BN10" s="514"/>
      <c r="BO10" s="514"/>
      <c r="BP10" s="514"/>
      <c r="BQ10" s="862"/>
      <c r="BR10" s="1737"/>
      <c r="BS10" s="1577"/>
      <c r="BT10" s="1577"/>
      <c r="BU10" s="1577"/>
      <c r="BV10" s="1470"/>
      <c r="BW10" s="1470"/>
      <c r="BX10" s="862"/>
      <c r="BY10" s="862"/>
      <c r="BZ10" s="862"/>
      <c r="CA10" s="862"/>
      <c r="CB10" s="862"/>
      <c r="CC10" s="862"/>
      <c r="CD10" s="862"/>
      <c r="CE10" s="862"/>
      <c r="CF10" s="862"/>
      <c r="CG10" s="862"/>
      <c r="CH10" s="862"/>
      <c r="CI10" s="862"/>
      <c r="CJ10" s="862"/>
      <c r="CK10" s="862"/>
      <c r="CL10" s="862"/>
    </row>
    <row r="11" spans="1:90">
      <c r="A11" s="862"/>
      <c r="B11" s="862"/>
      <c r="C11" s="862"/>
      <c r="D11" s="862"/>
      <c r="E11" s="906"/>
      <c r="F11" s="906"/>
      <c r="I11" s="906"/>
      <c r="J11" s="906"/>
      <c r="K11" s="906"/>
      <c r="L11" s="906"/>
      <c r="M11" s="906"/>
      <c r="N11" s="906"/>
      <c r="O11" s="906"/>
      <c r="P11" s="906"/>
      <c r="Q11" s="906"/>
      <c r="R11" s="906"/>
      <c r="S11" s="906"/>
      <c r="T11" s="906"/>
      <c r="U11" s="906"/>
      <c r="V11" s="906"/>
      <c r="W11" s="906"/>
      <c r="X11" s="906"/>
      <c r="Y11" s="862"/>
      <c r="Z11" s="862"/>
      <c r="AA11" s="862"/>
      <c r="AB11" s="862"/>
      <c r="AC11" s="862"/>
      <c r="AD11" s="862"/>
      <c r="AE11" s="862"/>
      <c r="AF11" s="862"/>
      <c r="AG11" s="862"/>
      <c r="AH11" s="862"/>
      <c r="AI11" s="862"/>
      <c r="AJ11" s="862"/>
      <c r="AK11" s="862"/>
      <c r="AL11" s="862"/>
      <c r="AM11" s="862"/>
      <c r="AN11" s="862"/>
      <c r="AO11" s="862"/>
      <c r="AP11" s="862"/>
      <c r="AQ11" s="862"/>
      <c r="AR11" s="862"/>
      <c r="AS11" s="862"/>
      <c r="AT11" s="862"/>
      <c r="AU11" s="862"/>
      <c r="AV11" s="862"/>
      <c r="AW11" s="862"/>
      <c r="AX11" s="862"/>
      <c r="AY11" s="862"/>
      <c r="AZ11" s="862"/>
      <c r="BA11" s="862"/>
      <c r="BB11" s="862"/>
      <c r="BC11" s="906"/>
      <c r="BD11" s="906"/>
      <c r="BE11" s="906"/>
      <c r="BF11" s="906"/>
      <c r="BG11" s="862"/>
      <c r="BH11" s="1404"/>
      <c r="BI11" s="1404"/>
      <c r="BJ11" s="1404"/>
      <c r="BK11" s="906"/>
      <c r="BL11" s="862"/>
      <c r="BM11" s="906"/>
      <c r="BN11" s="906"/>
      <c r="BO11" s="906"/>
      <c r="BP11" s="906"/>
      <c r="BQ11" s="862"/>
      <c r="BR11" s="1470"/>
      <c r="BS11" s="1577"/>
      <c r="BT11" s="1577"/>
      <c r="BU11" s="1470"/>
      <c r="BV11" s="1470"/>
      <c r="BW11" s="1470"/>
      <c r="BX11" s="862"/>
      <c r="BY11" s="862"/>
      <c r="BZ11" s="862"/>
      <c r="CA11" s="862"/>
      <c r="CB11" s="862"/>
      <c r="CC11" s="862"/>
      <c r="CD11" s="862"/>
      <c r="CE11" s="862"/>
      <c r="CF11" s="862"/>
      <c r="CG11" s="862"/>
      <c r="CH11" s="862"/>
      <c r="CI11" s="862"/>
      <c r="CJ11" s="862"/>
      <c r="CK11" s="862"/>
      <c r="CL11" s="862"/>
    </row>
    <row r="12" spans="1:90">
      <c r="A12" s="862"/>
      <c r="B12" s="862" t="s">
        <v>1561</v>
      </c>
      <c r="C12" s="878">
        <f t="shared" ref="C12:T12" si="0">+CHOOSE($B$3,C13,C14,C15)</f>
        <v>-0.16700000000000001</v>
      </c>
      <c r="D12" s="878">
        <f t="shared" si="0"/>
        <v>4.2000000000000003E-2</v>
      </c>
      <c r="E12" s="878">
        <f t="shared" si="0"/>
        <v>0.04</v>
      </c>
      <c r="F12" s="878">
        <f t="shared" si="0"/>
        <v>3.9E-2</v>
      </c>
      <c r="G12" s="878">
        <f t="shared" si="0"/>
        <v>-2.6499999999999996E-2</v>
      </c>
      <c r="H12" s="1200">
        <f t="shared" si="0"/>
        <v>2.4999999999999911E-2</v>
      </c>
      <c r="I12" s="3268">
        <f t="shared" si="0"/>
        <v>-0.10279366891320296</v>
      </c>
      <c r="J12" s="2954">
        <f t="shared" si="0"/>
        <v>1.1219753457210935E-2</v>
      </c>
      <c r="K12" s="2954">
        <f t="shared" si="0"/>
        <v>8.4236510168684831E-3</v>
      </c>
      <c r="L12" s="2954">
        <f t="shared" si="0"/>
        <v>-2.2548075792186095E-2</v>
      </c>
      <c r="M12" s="2954">
        <f t="shared" si="0"/>
        <v>-2.4002458432646145E-2</v>
      </c>
      <c r="N12" s="2954">
        <f>+CHOOSE($B$3,N13,N14,N15)</f>
        <v>-0.02</v>
      </c>
      <c r="O12" s="2954">
        <f t="shared" si="0"/>
        <v>-1.4999999999999999E-2</v>
      </c>
      <c r="P12" s="2954">
        <f t="shared" si="0"/>
        <v>-0.01</v>
      </c>
      <c r="Q12" s="2954">
        <f t="shared" si="0"/>
        <v>-0.01</v>
      </c>
      <c r="R12" s="2954">
        <f t="shared" si="0"/>
        <v>-0.01</v>
      </c>
      <c r="S12" s="2954">
        <f t="shared" si="0"/>
        <v>-0.01</v>
      </c>
      <c r="T12" s="2954">
        <f t="shared" si="0"/>
        <v>-0.01</v>
      </c>
      <c r="U12" s="2954">
        <f>+CHOOSE($B$3,U13,U14,U15)</f>
        <v>-0.01</v>
      </c>
      <c r="V12" s="2954">
        <f>+CHOOSE($B$3,V13,V14,V15)</f>
        <v>-0.01</v>
      </c>
      <c r="W12" s="2954">
        <f>+CHOOSE($B$3,W13,W14,W15)</f>
        <v>-0.01</v>
      </c>
      <c r="X12" s="862"/>
      <c r="Y12" s="862"/>
      <c r="Z12" s="862"/>
      <c r="AA12" s="862"/>
      <c r="AB12" s="862"/>
      <c r="AC12" s="905"/>
      <c r="AD12" s="905"/>
      <c r="AE12" s="905"/>
      <c r="AF12" s="905"/>
      <c r="AG12" s="905"/>
      <c r="AH12" s="905"/>
      <c r="AI12" s="905"/>
      <c r="AJ12" s="905"/>
      <c r="AK12" s="905"/>
      <c r="AL12" s="905"/>
      <c r="AM12" s="905"/>
      <c r="AN12" s="905"/>
      <c r="AO12" s="905"/>
      <c r="AP12" s="905"/>
      <c r="AQ12" s="905"/>
      <c r="AR12" s="905"/>
      <c r="AS12" s="862"/>
      <c r="AT12" s="862"/>
      <c r="AU12" s="862"/>
      <c r="AV12" s="862"/>
      <c r="AW12" s="862"/>
      <c r="AX12" s="862"/>
      <c r="AY12" s="862"/>
      <c r="AZ12" s="862"/>
      <c r="BA12" s="862"/>
      <c r="BB12" s="862"/>
      <c r="BC12" s="906"/>
      <c r="BD12" s="906"/>
      <c r="BE12" s="906"/>
      <c r="BF12" s="906"/>
      <c r="BG12" s="862"/>
      <c r="BH12" s="1407">
        <f>+CHOOSE($B$3,BH13,BH14,BH15)</f>
        <v>-9.9999999999999978E-2</v>
      </c>
      <c r="BI12" s="1407">
        <f>+CHOOSE($B$3,BI13,BI14,BI15)</f>
        <v>-4.500000000000004E-2</v>
      </c>
      <c r="BJ12" s="1407">
        <f>+CHOOSE($B$3,BJ13,BJ14,BJ15)</f>
        <v>-0.2486976448429411</v>
      </c>
      <c r="BK12" s="1407">
        <f>+CHOOSE($B$3,BK13,BK14,BK15)</f>
        <v>-6.0000000000000053E-2</v>
      </c>
      <c r="BL12" s="862"/>
      <c r="BM12" s="1616">
        <f>+CHOOSE($B$3,BM13,BM14,BM15)</f>
        <v>1.0000000000000009E-2</v>
      </c>
      <c r="BN12" s="1616">
        <f>+CHOOSE($B$3,BN13,BN14,BN15)</f>
        <v>-2.0000000000000018E-2</v>
      </c>
      <c r="BO12" s="1616">
        <f>+CHOOSE($B$3,BO13,BO14,BO15)</f>
        <v>3.0000000000000027E-2</v>
      </c>
      <c r="BP12" s="1616">
        <f>+CHOOSE($B$3,BP13,BP14,BP15)</f>
        <v>3.0000000000000027E-2</v>
      </c>
      <c r="BQ12" s="862"/>
      <c r="BR12" s="1616">
        <f>+CHOOSE($B$3,BR13,BR14,BR15)</f>
        <v>7.0000000000000062E-2</v>
      </c>
      <c r="BS12" s="1616">
        <f>+CHOOSE($B$3,BS13,BS14,BS15)</f>
        <v>2.4999999999999911E-2</v>
      </c>
      <c r="BT12" s="2214">
        <f>+CHOOSE($B$3,BT13,BT14,BT15)</f>
        <v>-5.5000000000000049E-2</v>
      </c>
      <c r="BU12" s="2214">
        <f>+CHOOSE($B$3,BU13,BU14,BU15)</f>
        <v>-3.0000000000000027E-2</v>
      </c>
      <c r="BV12" s="1470"/>
      <c r="BW12" s="1616">
        <f>+CHOOSE($B$3,BW13,BW14,BW15)</f>
        <v>-2.0000000000000018E-2</v>
      </c>
      <c r="BX12" s="1616">
        <f>+CHOOSE($B$3,BX13,BX14,BX15)</f>
        <v>-3.0000000000000027E-2</v>
      </c>
      <c r="BY12" s="1616">
        <f>+CHOOSE($B$3,BY13,BY14,BY15)</f>
        <v>-1.0000000000000009E-2</v>
      </c>
      <c r="BZ12" s="2956">
        <f>+CHOOSE($B$3,BZ13,BZ14,BZ15)</f>
        <v>-2.5000000000000001E-2</v>
      </c>
      <c r="CA12" s="2867"/>
      <c r="CB12" s="2956">
        <f t="shared" ref="CB12:CE12" si="1">+CHOOSE($B$3,CB13,CB14,CB15)</f>
        <v>-2.9000000000000001E-2</v>
      </c>
      <c r="CC12" s="2956">
        <f t="shared" si="1"/>
        <v>-2.5000000000000001E-2</v>
      </c>
      <c r="CD12" s="2956">
        <f t="shared" si="1"/>
        <v>-0.02</v>
      </c>
      <c r="CE12" s="2956">
        <f t="shared" si="1"/>
        <v>-0.02</v>
      </c>
      <c r="CF12" s="2867"/>
      <c r="CG12" s="862"/>
      <c r="CH12" s="862"/>
      <c r="CI12" s="862"/>
      <c r="CJ12" s="862"/>
      <c r="CK12" s="862"/>
      <c r="CL12" s="862"/>
    </row>
    <row r="13" spans="1:90">
      <c r="A13" s="862"/>
      <c r="B13" s="904"/>
      <c r="C13" s="119">
        <v>-0.16700000000000001</v>
      </c>
      <c r="D13" s="119">
        <v>4.2000000000000003E-2</v>
      </c>
      <c r="E13" s="119">
        <v>0.04</v>
      </c>
      <c r="F13" s="119">
        <v>3.9E-2</v>
      </c>
      <c r="G13" s="119">
        <v>-2.6499999999999996E-2</v>
      </c>
      <c r="H13" s="131">
        <f>'CBS Network'!U8/'CBS Network'!T8-1</f>
        <v>2.4999999999999911E-2</v>
      </c>
      <c r="I13" s="3078">
        <f>'CBS Network'!V8/'CBS Network'!U8-1</f>
        <v>-0.10279366891320296</v>
      </c>
      <c r="J13" s="3078">
        <f>'CBS Network'!W8/'CBS Network'!V8-1</f>
        <v>1.1219753457210935E-2</v>
      </c>
      <c r="K13" s="3078">
        <f>'CBS Network'!X8/'CBS Network'!W8-1</f>
        <v>8.4236510168684831E-3</v>
      </c>
      <c r="L13" s="3078">
        <f>'CBS Network'!Y8/'CBS Network'!X8-1</f>
        <v>-2.2548075792186095E-2</v>
      </c>
      <c r="M13" s="3078">
        <f>'CBS Network'!Z8/'CBS Network'!Y8-1</f>
        <v>-2.4002458432646145E-2</v>
      </c>
      <c r="N13" s="2897">
        <v>-0.02</v>
      </c>
      <c r="O13" s="2897">
        <v>-1.4999999999999999E-2</v>
      </c>
      <c r="P13" s="2897">
        <v>-0.01</v>
      </c>
      <c r="Q13" s="2897">
        <f>P13</f>
        <v>-0.01</v>
      </c>
      <c r="R13" s="2897">
        <f t="shared" ref="R13:W13" si="2">Q13</f>
        <v>-0.01</v>
      </c>
      <c r="S13" s="2897">
        <f t="shared" si="2"/>
        <v>-0.01</v>
      </c>
      <c r="T13" s="2897">
        <f t="shared" si="2"/>
        <v>-0.01</v>
      </c>
      <c r="U13" s="2897">
        <f t="shared" si="2"/>
        <v>-0.01</v>
      </c>
      <c r="V13" s="2897">
        <f t="shared" si="2"/>
        <v>-0.01</v>
      </c>
      <c r="W13" s="2897">
        <f t="shared" si="2"/>
        <v>-0.01</v>
      </c>
      <c r="X13" s="862"/>
      <c r="Y13" s="862"/>
      <c r="Z13" s="862"/>
      <c r="AA13" s="862"/>
      <c r="AB13" s="862"/>
      <c r="AC13" s="514"/>
      <c r="AD13" s="514"/>
      <c r="AE13" s="514"/>
      <c r="AF13" s="514"/>
      <c r="AG13" s="514"/>
      <c r="AH13" s="514"/>
      <c r="AI13" s="514"/>
      <c r="AJ13" s="514"/>
      <c r="AK13" s="514"/>
      <c r="AL13" s="514"/>
      <c r="AM13" s="514"/>
      <c r="AN13" s="514"/>
      <c r="AO13" s="119"/>
      <c r="AP13" s="119"/>
      <c r="AQ13" s="119"/>
      <c r="AR13" s="119"/>
      <c r="AS13" s="88"/>
      <c r="AT13" s="88"/>
      <c r="AU13" s="88"/>
      <c r="AV13" s="88"/>
      <c r="AW13" s="88"/>
      <c r="AX13" s="88"/>
      <c r="AY13" s="88"/>
      <c r="AZ13" s="88"/>
      <c r="BA13" s="88"/>
      <c r="BB13" s="88"/>
      <c r="BC13" s="906"/>
      <c r="BD13" s="906"/>
      <c r="BE13" s="906"/>
      <c r="BF13" s="906"/>
      <c r="BG13" s="88"/>
      <c r="BH13" s="990">
        <f>'CBS Network'!BA8/'CBS Network'!AV8-1</f>
        <v>-9.9999999999999978E-2</v>
      </c>
      <c r="BI13" s="990">
        <f>'CBS Network'!BB8/'CBS Network'!AW8-1</f>
        <v>-4.500000000000004E-2</v>
      </c>
      <c r="BJ13" s="990">
        <f>'CBS Network'!BC8/'CBS Network'!AX8-1</f>
        <v>-0.2486976448429411</v>
      </c>
      <c r="BK13" s="990">
        <f>'CBS Network'!BD8/'CBS Network'!AY8-1</f>
        <v>-6.0000000000000053E-2</v>
      </c>
      <c r="BL13" s="88"/>
      <c r="BM13" s="990">
        <f>'CBS Network'!BF8/'CBS Network'!BA8-1</f>
        <v>1.0000000000000009E-2</v>
      </c>
      <c r="BN13" s="990">
        <f>'CBS Network'!BG8/'CBS Network'!BB8-1</f>
        <v>-2.0000000000000018E-2</v>
      </c>
      <c r="BO13" s="990">
        <f>'CBS Network'!BH8/'CBS Network'!BC8-1</f>
        <v>3.0000000000000027E-2</v>
      </c>
      <c r="BP13" s="990">
        <f>'CBS Network'!BI8/'CBS Network'!BD8-1</f>
        <v>3.0000000000000027E-2</v>
      </c>
      <c r="BQ13" s="862"/>
      <c r="BR13" s="990">
        <f>'CBS Network'!BK8/'CBS Network'!BF8-1</f>
        <v>7.0000000000000062E-2</v>
      </c>
      <c r="BS13" s="990">
        <f>'CBS Network'!BL8/'CBS Network'!BG8-1</f>
        <v>2.4999999999999911E-2</v>
      </c>
      <c r="BT13" s="990">
        <f>'CBS Network'!BM8/'CBS Network'!BH8-1</f>
        <v>-5.5000000000000049E-2</v>
      </c>
      <c r="BU13" s="990">
        <f>'CBS Network'!BN8/'CBS Network'!BI8-1</f>
        <v>-3.0000000000000027E-2</v>
      </c>
      <c r="BV13" s="1470"/>
      <c r="BW13" s="990">
        <f>'CBS Network'!BP8/'CBS Network'!BK8-1</f>
        <v>-2.0000000000000018E-2</v>
      </c>
      <c r="BX13" s="990">
        <f>'CBS Network'!BQ8/'CBS Network'!BL8-1</f>
        <v>-3.0000000000000027E-2</v>
      </c>
      <c r="BY13" s="990">
        <f>'CBS Network'!BR8/'CBS Network'!BM8-1</f>
        <v>-1.0000000000000009E-2</v>
      </c>
      <c r="BZ13" s="3350">
        <v>-2.5000000000000001E-2</v>
      </c>
      <c r="CA13" s="2867"/>
      <c r="CB13" s="3350">
        <v>-2.9000000000000001E-2</v>
      </c>
      <c r="CC13" s="3350">
        <v>-2.5000000000000001E-2</v>
      </c>
      <c r="CD13" s="3350">
        <v>-0.02</v>
      </c>
      <c r="CE13" s="3350">
        <v>-0.02</v>
      </c>
      <c r="CF13" s="2867"/>
      <c r="CG13" s="862"/>
      <c r="CH13" s="862"/>
      <c r="CI13" s="862"/>
      <c r="CJ13" s="862"/>
      <c r="CK13" s="862"/>
      <c r="CL13" s="862"/>
    </row>
    <row r="14" spans="1:90">
      <c r="A14" s="862"/>
      <c r="B14" s="862"/>
      <c r="C14" s="1201">
        <f>C13</f>
        <v>-0.16700000000000001</v>
      </c>
      <c r="D14" s="1201">
        <f>D13</f>
        <v>4.2000000000000003E-2</v>
      </c>
      <c r="E14" s="1201">
        <f>E13</f>
        <v>0.04</v>
      </c>
      <c r="F14" s="1201">
        <f>+F13</f>
        <v>3.9E-2</v>
      </c>
      <c r="G14" s="1201">
        <f>+G13</f>
        <v>-2.6499999999999996E-2</v>
      </c>
      <c r="H14" s="1201">
        <f t="shared" ref="H14:K15" si="3">H13</f>
        <v>2.4999999999999911E-2</v>
      </c>
      <c r="I14" s="2955">
        <f t="shared" si="3"/>
        <v>-0.10279366891320296</v>
      </c>
      <c r="J14" s="2955">
        <f t="shared" si="3"/>
        <v>1.1219753457210935E-2</v>
      </c>
      <c r="K14" s="2955">
        <f t="shared" si="3"/>
        <v>8.4236510168684831E-3</v>
      </c>
      <c r="L14" s="2955">
        <f t="shared" ref="L14:M14" si="4">L13</f>
        <v>-2.2548075792186095E-2</v>
      </c>
      <c r="M14" s="2955">
        <f t="shared" si="4"/>
        <v>-2.4002458432646145E-2</v>
      </c>
      <c r="N14" s="2866">
        <f>+N13+0.005</f>
        <v>-1.4999999999999999E-2</v>
      </c>
      <c r="O14" s="2866">
        <f>+O13+0.005</f>
        <v>-9.9999999999999985E-3</v>
      </c>
      <c r="P14" s="2866">
        <f t="shared" ref="P14:U14" si="5">+P13+0.005</f>
        <v>-5.0000000000000001E-3</v>
      </c>
      <c r="Q14" s="2866">
        <f t="shared" si="5"/>
        <v>-5.0000000000000001E-3</v>
      </c>
      <c r="R14" s="2866">
        <f t="shared" si="5"/>
        <v>-5.0000000000000001E-3</v>
      </c>
      <c r="S14" s="2866">
        <f t="shared" si="5"/>
        <v>-5.0000000000000001E-3</v>
      </c>
      <c r="T14" s="2866">
        <f t="shared" si="5"/>
        <v>-5.0000000000000001E-3</v>
      </c>
      <c r="U14" s="2866">
        <f t="shared" si="5"/>
        <v>-5.0000000000000001E-3</v>
      </c>
      <c r="V14" s="2866">
        <f>+V13+0.005</f>
        <v>-5.0000000000000001E-3</v>
      </c>
      <c r="W14" s="2866">
        <f>+W13+0.005</f>
        <v>-5.0000000000000001E-3</v>
      </c>
      <c r="X14" s="862"/>
      <c r="Y14" s="862"/>
      <c r="Z14" s="862"/>
      <c r="AA14" s="862"/>
      <c r="AB14" s="862"/>
      <c r="AC14" s="902"/>
      <c r="AD14" s="902"/>
      <c r="AE14" s="902"/>
      <c r="AF14" s="902"/>
      <c r="AG14" s="902"/>
      <c r="AH14" s="902"/>
      <c r="AI14" s="902"/>
      <c r="AJ14" s="902"/>
      <c r="AK14" s="902"/>
      <c r="AL14" s="902"/>
      <c r="AM14" s="902"/>
      <c r="AN14" s="902"/>
      <c r="AO14" s="902"/>
      <c r="AP14" s="902"/>
      <c r="AQ14" s="902"/>
      <c r="AR14" s="902"/>
      <c r="AS14" s="862"/>
      <c r="AT14" s="862"/>
      <c r="AU14" s="862"/>
      <c r="AV14" s="862"/>
      <c r="AW14" s="862"/>
      <c r="AX14" s="862"/>
      <c r="AY14" s="862"/>
      <c r="AZ14" s="862"/>
      <c r="BA14" s="862"/>
      <c r="BB14" s="862"/>
      <c r="BC14" s="906"/>
      <c r="BD14" s="906"/>
      <c r="BE14" s="906"/>
      <c r="BF14" s="906"/>
      <c r="BG14" s="862"/>
      <c r="BH14" s="1201">
        <f>+BH13</f>
        <v>-9.9999999999999978E-2</v>
      </c>
      <c r="BI14" s="1201">
        <f>BI13</f>
        <v>-4.500000000000004E-2</v>
      </c>
      <c r="BJ14" s="1201">
        <f>BJ13</f>
        <v>-0.2486976448429411</v>
      </c>
      <c r="BK14" s="1201">
        <f>BK13</f>
        <v>-6.0000000000000053E-2</v>
      </c>
      <c r="BL14" s="862"/>
      <c r="BM14" s="1201">
        <f>BM13</f>
        <v>1.0000000000000009E-2</v>
      </c>
      <c r="BN14" s="1201">
        <f>BN13</f>
        <v>-2.0000000000000018E-2</v>
      </c>
      <c r="BO14" s="1201">
        <f>BO13</f>
        <v>3.0000000000000027E-2</v>
      </c>
      <c r="BP14" s="1201">
        <f>BP13</f>
        <v>3.0000000000000027E-2</v>
      </c>
      <c r="BQ14" s="862"/>
      <c r="BR14" s="1201">
        <f>BR13</f>
        <v>7.0000000000000062E-2</v>
      </c>
      <c r="BS14" s="1201">
        <f>BS13</f>
        <v>2.4999999999999911E-2</v>
      </c>
      <c r="BT14" s="1201">
        <f>BT13</f>
        <v>-5.5000000000000049E-2</v>
      </c>
      <c r="BU14" s="1201">
        <f>BU13</f>
        <v>-3.0000000000000027E-2</v>
      </c>
      <c r="BV14" s="1470"/>
      <c r="BW14" s="1201">
        <f>BW13</f>
        <v>-2.0000000000000018E-2</v>
      </c>
      <c r="BX14" s="1201">
        <f>BX13</f>
        <v>-3.0000000000000027E-2</v>
      </c>
      <c r="BY14" s="1201">
        <f>BY13</f>
        <v>-1.0000000000000009E-2</v>
      </c>
      <c r="BZ14" s="2866">
        <f>+BZ13+0.002</f>
        <v>-2.3E-2</v>
      </c>
      <c r="CA14" s="2867"/>
      <c r="CB14" s="2866">
        <f t="shared" ref="CB14:CE14" si="6">+CB13+0.005</f>
        <v>-2.4E-2</v>
      </c>
      <c r="CC14" s="2866">
        <f t="shared" si="6"/>
        <v>-0.02</v>
      </c>
      <c r="CD14" s="2866">
        <f t="shared" si="6"/>
        <v>-1.4999999999999999E-2</v>
      </c>
      <c r="CE14" s="2866">
        <f t="shared" si="6"/>
        <v>-1.4999999999999999E-2</v>
      </c>
      <c r="CF14" s="2867"/>
      <c r="CG14" s="862"/>
      <c r="CH14" s="862"/>
      <c r="CI14" s="862"/>
      <c r="CJ14" s="862"/>
      <c r="CK14" s="862"/>
      <c r="CL14" s="862"/>
    </row>
    <row r="15" spans="1:90">
      <c r="A15" s="862"/>
      <c r="B15" s="862"/>
      <c r="C15" s="1201">
        <f>C13</f>
        <v>-0.16700000000000001</v>
      </c>
      <c r="D15" s="1201">
        <f>D13</f>
        <v>4.2000000000000003E-2</v>
      </c>
      <c r="E15" s="1201">
        <f>E13</f>
        <v>0.04</v>
      </c>
      <c r="F15" s="1201">
        <f>+F13</f>
        <v>3.9E-2</v>
      </c>
      <c r="G15" s="1201">
        <f>+G13</f>
        <v>-2.6499999999999996E-2</v>
      </c>
      <c r="H15" s="1201">
        <f t="shared" si="3"/>
        <v>2.4999999999999911E-2</v>
      </c>
      <c r="I15" s="2955">
        <f t="shared" si="3"/>
        <v>-0.10279366891320296</v>
      </c>
      <c r="J15" s="2955">
        <f t="shared" si="3"/>
        <v>1.1219753457210935E-2</v>
      </c>
      <c r="K15" s="2955">
        <f t="shared" si="3"/>
        <v>8.4236510168684831E-3</v>
      </c>
      <c r="L15" s="2955">
        <f t="shared" ref="L15:M15" si="7">L14</f>
        <v>-2.2548075792186095E-2</v>
      </c>
      <c r="M15" s="2955">
        <f t="shared" si="7"/>
        <v>-2.4002458432646145E-2</v>
      </c>
      <c r="N15" s="2866">
        <f>+N13-3%</f>
        <v>-0.05</v>
      </c>
      <c r="O15" s="2866">
        <f>+O13-3%</f>
        <v>-4.4999999999999998E-2</v>
      </c>
      <c r="P15" s="2866">
        <f>+P13-3%</f>
        <v>-0.04</v>
      </c>
      <c r="Q15" s="2866">
        <f>+Q13-2.8%</f>
        <v>-3.7999999999999999E-2</v>
      </c>
      <c r="R15" s="2866">
        <f>+R13-2.7%</f>
        <v>-3.7000000000000005E-2</v>
      </c>
      <c r="S15" s="2866">
        <f>+S13-2.6%</f>
        <v>-3.6000000000000004E-2</v>
      </c>
      <c r="T15" s="2866">
        <f>+T13-2.5%</f>
        <v>-3.5000000000000003E-2</v>
      </c>
      <c r="U15" s="2866">
        <f>+U13-2.5%</f>
        <v>-3.5000000000000003E-2</v>
      </c>
      <c r="V15" s="2866">
        <f>+V13-2.5%</f>
        <v>-3.5000000000000003E-2</v>
      </c>
      <c r="W15" s="2866">
        <f>+W13-2.5%</f>
        <v>-3.5000000000000003E-2</v>
      </c>
      <c r="X15" s="862"/>
      <c r="Y15" s="862"/>
      <c r="Z15" s="862"/>
      <c r="AA15" s="862"/>
      <c r="AB15" s="862"/>
      <c r="AC15" s="902"/>
      <c r="AD15" s="902"/>
      <c r="AE15" s="902"/>
      <c r="AF15" s="902"/>
      <c r="AG15" s="902"/>
      <c r="AH15" s="902"/>
      <c r="AI15" s="902"/>
      <c r="AJ15" s="902"/>
      <c r="AK15" s="902"/>
      <c r="AL15" s="902"/>
      <c r="AM15" s="902"/>
      <c r="AN15" s="902"/>
      <c r="AO15" s="902"/>
      <c r="AP15" s="902"/>
      <c r="AQ15" s="902"/>
      <c r="AR15" s="902"/>
      <c r="AS15" s="862"/>
      <c r="AT15" s="862"/>
      <c r="AU15" s="862"/>
      <c r="AV15" s="862"/>
      <c r="AW15" s="862"/>
      <c r="AX15" s="862"/>
      <c r="AY15" s="862"/>
      <c r="AZ15" s="862"/>
      <c r="BA15" s="862"/>
      <c r="BB15" s="862"/>
      <c r="BC15" s="906"/>
      <c r="BD15" s="906"/>
      <c r="BE15" s="906"/>
      <c r="BF15" s="906"/>
      <c r="BG15" s="862"/>
      <c r="BH15" s="1201">
        <f>+BH13</f>
        <v>-9.9999999999999978E-2</v>
      </c>
      <c r="BI15" s="1201">
        <f>BI13</f>
        <v>-4.500000000000004E-2</v>
      </c>
      <c r="BJ15" s="1201">
        <f>BJ13</f>
        <v>-0.2486976448429411</v>
      </c>
      <c r="BK15" s="1201">
        <f>BK13</f>
        <v>-6.0000000000000053E-2</v>
      </c>
      <c r="BL15" s="862"/>
      <c r="BM15" s="1201">
        <f>BM13</f>
        <v>1.0000000000000009E-2</v>
      </c>
      <c r="BN15" s="1201">
        <f>BN13</f>
        <v>-2.0000000000000018E-2</v>
      </c>
      <c r="BO15" s="1201">
        <f>BO13</f>
        <v>3.0000000000000027E-2</v>
      </c>
      <c r="BP15" s="1201">
        <f>BP13</f>
        <v>3.0000000000000027E-2</v>
      </c>
      <c r="BQ15" s="862"/>
      <c r="BR15" s="1201">
        <f>BR13</f>
        <v>7.0000000000000062E-2</v>
      </c>
      <c r="BS15" s="1201">
        <f>BS13</f>
        <v>2.4999999999999911E-2</v>
      </c>
      <c r="BT15" s="1201">
        <f>BT13</f>
        <v>-5.5000000000000049E-2</v>
      </c>
      <c r="BU15" s="1201">
        <f>BU13</f>
        <v>-3.0000000000000027E-2</v>
      </c>
      <c r="BV15" s="1470"/>
      <c r="BW15" s="1201">
        <f>BW13</f>
        <v>-2.0000000000000018E-2</v>
      </c>
      <c r="BX15" s="1201">
        <f>BX13</f>
        <v>-3.0000000000000027E-2</v>
      </c>
      <c r="BY15" s="1201">
        <f>BY13</f>
        <v>-1.0000000000000009E-2</v>
      </c>
      <c r="BZ15" s="2866">
        <f>+BZ13-0.008</f>
        <v>-3.3000000000000002E-2</v>
      </c>
      <c r="CA15" s="2867"/>
      <c r="CB15" s="2866">
        <f>+CB13-2%</f>
        <v>-4.9000000000000002E-2</v>
      </c>
      <c r="CC15" s="2866">
        <f>+CC13-2%</f>
        <v>-4.4999999999999998E-2</v>
      </c>
      <c r="CD15" s="2866">
        <f>+CD13-2%</f>
        <v>-0.04</v>
      </c>
      <c r="CE15" s="2866">
        <f>+CE13-2%</f>
        <v>-0.04</v>
      </c>
      <c r="CF15" s="2867"/>
      <c r="CG15" s="862"/>
      <c r="CH15" s="862"/>
      <c r="CI15" s="862"/>
      <c r="CJ15" s="862"/>
      <c r="CK15" s="862"/>
      <c r="CL15" s="862"/>
    </row>
    <row r="16" spans="1:90">
      <c r="A16" s="862"/>
      <c r="B16" s="862"/>
      <c r="C16" s="877"/>
      <c r="D16" s="877"/>
      <c r="E16" s="877"/>
      <c r="F16" s="877"/>
      <c r="G16" s="877"/>
      <c r="H16" s="132"/>
      <c r="I16" s="3078"/>
      <c r="J16" s="3078"/>
      <c r="K16" s="2866"/>
      <c r="L16" s="2866"/>
      <c r="M16" s="2866"/>
      <c r="N16" s="2866"/>
      <c r="O16" s="2866"/>
      <c r="P16" s="2866"/>
      <c r="Q16" s="2866"/>
      <c r="R16" s="2866"/>
      <c r="S16" s="2866"/>
      <c r="T16" s="2866"/>
      <c r="U16" s="2866"/>
      <c r="V16" s="2866"/>
      <c r="X16" s="862"/>
      <c r="Y16" s="862"/>
      <c r="Z16" s="862"/>
      <c r="AA16" s="862"/>
      <c r="AB16" s="862"/>
      <c r="AC16" s="902"/>
      <c r="AD16" s="902"/>
      <c r="AE16" s="902"/>
      <c r="AF16" s="902"/>
      <c r="AG16" s="902"/>
      <c r="AH16" s="902"/>
      <c r="AI16" s="902"/>
      <c r="AJ16" s="902"/>
      <c r="AK16" s="902"/>
      <c r="AL16" s="902"/>
      <c r="AM16" s="902"/>
      <c r="AN16" s="902"/>
      <c r="AO16" s="902"/>
      <c r="AP16" s="902"/>
      <c r="AQ16" s="902"/>
      <c r="AR16" s="902"/>
      <c r="AS16" s="862"/>
      <c r="AT16" s="862"/>
      <c r="AU16" s="862"/>
      <c r="AV16" s="862"/>
      <c r="AW16" s="862"/>
      <c r="AX16" s="862"/>
      <c r="AY16" s="862"/>
      <c r="AZ16" s="862"/>
      <c r="BA16" s="862"/>
      <c r="BB16" s="862"/>
      <c r="BC16" s="906"/>
      <c r="BD16" s="906"/>
      <c r="BE16" s="906"/>
      <c r="BF16" s="906"/>
      <c r="BG16" s="862"/>
      <c r="BH16" s="1414"/>
      <c r="BI16" s="1414"/>
      <c r="BJ16" s="1414"/>
      <c r="BK16" s="1414"/>
      <c r="BL16" s="862"/>
      <c r="BM16" s="877"/>
      <c r="BN16" s="877"/>
      <c r="BO16" s="877"/>
      <c r="BP16" s="877"/>
      <c r="BQ16" s="862"/>
      <c r="BR16" s="1470"/>
      <c r="BS16" s="1470"/>
      <c r="BT16" s="1470"/>
      <c r="BU16" s="1470"/>
      <c r="BV16" s="1470"/>
      <c r="BW16" s="1737"/>
      <c r="BX16" s="1737"/>
      <c r="BY16" s="1737"/>
      <c r="BZ16" s="2866"/>
      <c r="CA16" s="2866"/>
      <c r="CB16" s="2866"/>
      <c r="CC16" s="2866"/>
      <c r="CD16" s="2866"/>
      <c r="CE16" s="2866"/>
      <c r="CF16" s="2867"/>
      <c r="CG16" s="862"/>
      <c r="CH16" s="2866"/>
      <c r="CI16" s="862"/>
      <c r="CJ16" s="862"/>
      <c r="CK16" s="862"/>
      <c r="CL16" s="862"/>
    </row>
    <row r="17" spans="1:90">
      <c r="A17" s="862"/>
      <c r="B17" s="862"/>
      <c r="C17" s="862"/>
      <c r="D17" s="1090"/>
      <c r="E17" s="1090"/>
      <c r="F17" s="1090"/>
      <c r="G17" s="862"/>
      <c r="H17" s="1191"/>
      <c r="I17" s="862"/>
      <c r="J17" s="862"/>
      <c r="K17" s="1470"/>
      <c r="L17" s="1470"/>
      <c r="M17" s="1470"/>
      <c r="N17" s="1596"/>
      <c r="O17" s="1596"/>
      <c r="P17" s="1470"/>
      <c r="Q17" s="906"/>
      <c r="R17" s="906"/>
      <c r="S17" s="906"/>
      <c r="T17" s="1470"/>
      <c r="U17" s="1470"/>
      <c r="V17" s="862"/>
      <c r="X17" s="862"/>
      <c r="Y17" s="862"/>
      <c r="Z17" s="862"/>
      <c r="AA17" s="862"/>
      <c r="AB17" s="862"/>
      <c r="AC17" s="862"/>
      <c r="AD17" s="862"/>
      <c r="AE17" s="862"/>
      <c r="AF17" s="862"/>
      <c r="AG17" s="862"/>
      <c r="AH17" s="862"/>
      <c r="AI17" s="862"/>
      <c r="AJ17" s="862"/>
      <c r="AK17" s="862"/>
      <c r="AL17" s="862"/>
      <c r="AM17" s="862"/>
      <c r="AN17" s="862"/>
      <c r="AO17" s="862"/>
      <c r="AP17" s="862"/>
      <c r="AQ17" s="862"/>
      <c r="AR17" s="862"/>
      <c r="AS17" s="862"/>
      <c r="AT17" s="862"/>
      <c r="AU17" s="862"/>
      <c r="AV17" s="862"/>
      <c r="AW17" s="862"/>
      <c r="AX17" s="862"/>
      <c r="AY17" s="862"/>
      <c r="AZ17" s="862"/>
      <c r="BA17" s="862"/>
      <c r="BB17" s="862"/>
      <c r="BC17" s="906"/>
      <c r="BD17" s="906"/>
      <c r="BE17" s="906"/>
      <c r="BF17" s="906"/>
      <c r="BG17" s="862"/>
      <c r="BH17" s="1404"/>
      <c r="BI17" s="1404"/>
      <c r="BJ17" s="1404"/>
      <c r="BK17" s="906"/>
      <c r="BL17" s="862"/>
      <c r="BM17" s="906"/>
      <c r="BN17" s="906"/>
      <c r="BO17" s="906"/>
      <c r="BP17" s="906"/>
      <c r="BQ17" s="862"/>
      <c r="BR17" s="1470"/>
      <c r="BS17" s="1577"/>
      <c r="BT17" s="1577"/>
      <c r="BU17" s="1577"/>
      <c r="BV17" s="1577"/>
      <c r="BW17" s="1470"/>
      <c r="BX17" s="1470"/>
      <c r="BY17" s="1470"/>
      <c r="BZ17" s="2867"/>
      <c r="CA17" s="2867"/>
      <c r="CB17" s="2867"/>
      <c r="CC17" s="2867"/>
      <c r="CD17" s="2867"/>
      <c r="CE17" s="2867"/>
      <c r="CF17" s="2867"/>
      <c r="CG17" s="862"/>
      <c r="CH17" s="862"/>
      <c r="CI17" s="862"/>
      <c r="CJ17" s="862"/>
      <c r="CK17" s="862"/>
      <c r="CL17" s="862"/>
    </row>
    <row r="18" spans="1:90">
      <c r="A18" s="862"/>
      <c r="B18" s="862" t="s">
        <v>1562</v>
      </c>
      <c r="C18" s="878">
        <f t="shared" ref="C18:H18" si="8">+CHOOSE($B$3,C19,C20,C21)</f>
        <v>-3.8294898972127678E-2</v>
      </c>
      <c r="D18" s="878">
        <f t="shared" si="8"/>
        <v>-6.9276550681461657E-2</v>
      </c>
      <c r="E18" s="878">
        <f t="shared" si="8"/>
        <v>0.28823086658868213</v>
      </c>
      <c r="F18" s="878">
        <f t="shared" si="8"/>
        <v>-8.0975923813635275E-2</v>
      </c>
      <c r="G18" s="878">
        <f t="shared" si="8"/>
        <v>-0.11617240432124387</v>
      </c>
      <c r="H18" s="878">
        <f t="shared" si="8"/>
        <v>8.7575911792617811E-2</v>
      </c>
      <c r="I18" s="878">
        <f t="shared" ref="I18:T18" si="9">+CHOOSE($B$3,I19,I20,I21)</f>
        <v>6.2486854925486446E-2</v>
      </c>
      <c r="J18" s="878">
        <f t="shared" si="9"/>
        <v>-2.8734822950073902E-3</v>
      </c>
      <c r="K18" s="2081">
        <f t="shared" si="9"/>
        <v>-1.2394334921817074E-2</v>
      </c>
      <c r="L18" s="2081">
        <f t="shared" si="9"/>
        <v>2.5515949748399658E-2</v>
      </c>
      <c r="M18" s="2081">
        <f t="shared" si="9"/>
        <v>-1.986540146227711E-2</v>
      </c>
      <c r="N18" s="2081">
        <f t="shared" si="9"/>
        <v>3.1094792942616856E-2</v>
      </c>
      <c r="O18" s="2081">
        <f t="shared" si="9"/>
        <v>-2.1701544678934259E-2</v>
      </c>
      <c r="P18" s="2081">
        <f t="shared" si="9"/>
        <v>3.3038501454711655E-2</v>
      </c>
      <c r="Q18" s="878">
        <f t="shared" si="9"/>
        <v>-2.4002184452780906E-2</v>
      </c>
      <c r="R18" s="878">
        <f t="shared" si="9"/>
        <v>3.4679335957854107E-2</v>
      </c>
      <c r="S18" s="878">
        <f t="shared" si="9"/>
        <v>-2.0421148892803553E-2</v>
      </c>
      <c r="T18" s="2081">
        <f t="shared" si="9"/>
        <v>3.592610380229222E-2</v>
      </c>
      <c r="U18" s="2081">
        <f>+CHOOSE($B$3,U19,U20,U21)</f>
        <v>-2.3019999763722154E-2</v>
      </c>
      <c r="V18" s="2081">
        <f>+CHOOSE($B$3,V19,V20,V21)</f>
        <v>3.9583257434347763E-2</v>
      </c>
      <c r="W18" s="2081">
        <f>+CHOOSE($B$3,W19,W20,W21)</f>
        <v>-2.5683072820579245E-2</v>
      </c>
      <c r="X18" s="862"/>
      <c r="Y18" s="862"/>
      <c r="Z18" s="862"/>
      <c r="AA18" s="862"/>
      <c r="AB18" s="862"/>
      <c r="AC18" s="862"/>
      <c r="AD18" s="862"/>
      <c r="AE18" s="862"/>
      <c r="AF18" s="862"/>
      <c r="AG18" s="862"/>
      <c r="AH18" s="862"/>
      <c r="AI18" s="862"/>
      <c r="AJ18" s="862"/>
      <c r="AK18" s="862"/>
      <c r="AL18" s="862"/>
      <c r="AM18" s="862"/>
      <c r="AN18" s="862"/>
      <c r="AO18" s="862"/>
      <c r="AP18" s="862"/>
      <c r="AQ18" s="862"/>
      <c r="AR18" s="862"/>
      <c r="AS18" s="862"/>
      <c r="AT18" s="862"/>
      <c r="AU18" s="862"/>
      <c r="AV18" s="862"/>
      <c r="AW18" s="862"/>
      <c r="AX18" s="862"/>
      <c r="AY18" s="862"/>
      <c r="AZ18" s="862"/>
      <c r="BA18" s="862"/>
      <c r="BB18" s="862"/>
      <c r="BC18" s="906"/>
      <c r="BD18" s="906"/>
      <c r="BE18" s="906"/>
      <c r="BF18" s="906"/>
      <c r="BG18" s="862"/>
      <c r="BH18" s="1616">
        <f>+CHOOSE($B$3,BH19,BH20,BH21)</f>
        <v>4.2640996515713514E-2</v>
      </c>
      <c r="BI18" s="1616">
        <f>+CHOOSE($B$3,BI19,BI20,BI21)</f>
        <v>-0.19982229934238671</v>
      </c>
      <c r="BJ18" s="1616">
        <f>+CHOOSE($B$3,BJ19,BJ20,BJ21)</f>
        <v>0.26613679282259195</v>
      </c>
      <c r="BK18" s="1616">
        <f>+CHOOSE($B$3,BK19,BK20,BK21)</f>
        <v>0.13374879531123285</v>
      </c>
      <c r="BL18" s="862"/>
      <c r="BM18" s="1616">
        <f>+CHOOSE($B$3,BM19,BM20,BM21)</f>
        <v>-0.14315618223380688</v>
      </c>
      <c r="BN18" s="1616">
        <f>+CHOOSE($B$3,BN19,BN20,BN21)</f>
        <v>3.0229743007482712E-2</v>
      </c>
      <c r="BO18" s="1616">
        <f>+CHOOSE($B$3,BO19,BO20,BO21)</f>
        <v>-9.9222451964396274E-2</v>
      </c>
      <c r="BP18" s="1616">
        <f>+CHOOSE($B$3,BP19,BP20,BP21)</f>
        <v>0.12272999614653557</v>
      </c>
      <c r="BQ18" s="862"/>
      <c r="BR18" s="2956">
        <f>+CHOOSE($B$3,BR19,BR20,BR21)</f>
        <v>0.3621030168120476</v>
      </c>
      <c r="BS18" s="2956">
        <f>+CHOOSE($B$3,BS19,BS20,BS21)</f>
        <v>-0.15608807306398087</v>
      </c>
      <c r="BT18" s="2956">
        <f>+CHOOSE($B$3,BT19,BT20,BT21)</f>
        <v>7.7940286458126895E-3</v>
      </c>
      <c r="BU18" s="2956">
        <f>+CHOOSE($B$3,BU19,BU20,BU21)</f>
        <v>-0.14415220857377786</v>
      </c>
      <c r="BV18" s="2867"/>
      <c r="BW18" s="2956">
        <f>+CHOOSE($B$3,BW19,BW20,BW21)</f>
        <v>-8.9737090363098626E-2</v>
      </c>
      <c r="BX18" s="2956">
        <f>+CHOOSE($B$3,BX19,BX20,BX21)</f>
        <v>0.36083038604371431</v>
      </c>
      <c r="BY18" s="2956">
        <f>+CHOOSE($B$3,BY19,BY20,BY21)</f>
        <v>-5.1826764829485006E-2</v>
      </c>
      <c r="BZ18" s="2956">
        <f>+CHOOSE($B$3,BZ19,BZ20,BZ21)</f>
        <v>-1.6E-2</v>
      </c>
      <c r="CA18" s="2867"/>
      <c r="CB18" s="2956">
        <f t="shared" ref="CB18:CE18" si="10">+CHOOSE($B$3,CB19,CB20,CB21)</f>
        <v>5.0000000000000001E-3</v>
      </c>
      <c r="CC18" s="2956">
        <f t="shared" si="10"/>
        <v>5.0000000000000001E-3</v>
      </c>
      <c r="CD18" s="2956">
        <f t="shared" si="10"/>
        <v>5.0000000000000001E-3</v>
      </c>
      <c r="CE18" s="2956">
        <f t="shared" si="10"/>
        <v>5.0000000000000001E-3</v>
      </c>
      <c r="CF18" s="2867"/>
      <c r="CG18" s="862"/>
      <c r="CH18" s="862"/>
      <c r="CI18" s="862"/>
      <c r="CJ18" s="862"/>
      <c r="CK18" s="862"/>
      <c r="CL18" s="862"/>
    </row>
    <row r="19" spans="1:90">
      <c r="A19" s="862"/>
      <c r="B19" s="862"/>
      <c r="C19" s="514">
        <f>'CBS Network'!P172</f>
        <v>-3.8294898972127678E-2</v>
      </c>
      <c r="D19" s="514">
        <f>'CBS Network'!Q172</f>
        <v>-6.9276550681461657E-2</v>
      </c>
      <c r="E19" s="514">
        <f>'CBS Network'!R172</f>
        <v>0.28823086658868213</v>
      </c>
      <c r="F19" s="514">
        <f>'CBS Network'!S172</f>
        <v>-8.0975923813635275E-2</v>
      </c>
      <c r="G19" s="514">
        <f>'CBS Network'!T172</f>
        <v>-0.11617240432124387</v>
      </c>
      <c r="H19" s="514">
        <f>'CBS Network'!U172</f>
        <v>8.7575911792617811E-2</v>
      </c>
      <c r="I19" s="514">
        <f>'CBS Network'!V172</f>
        <v>6.2486854925486446E-2</v>
      </c>
      <c r="J19" s="514">
        <f>'CBS Network'!W172</f>
        <v>-2.8734822950073902E-3</v>
      </c>
      <c r="K19" s="1551">
        <f>'CBS Network'!X172</f>
        <v>-1.2394334921817074E-2</v>
      </c>
      <c r="L19" s="1551">
        <f>'CBS Network'!Y172</f>
        <v>2.5515949748399658E-2</v>
      </c>
      <c r="M19" s="1551">
        <f>'CBS Network'!Z172</f>
        <v>-1.986540146227711E-2</v>
      </c>
      <c r="N19" s="1551">
        <f>'CBS Network'!AA172</f>
        <v>3.1094792942616856E-2</v>
      </c>
      <c r="O19" s="1551">
        <f>'CBS Network'!AB172</f>
        <v>-2.1701544678934259E-2</v>
      </c>
      <c r="P19" s="1551">
        <f>'CBS Network'!AC172</f>
        <v>3.3038501454711655E-2</v>
      </c>
      <c r="Q19" s="514">
        <f>'CBS Network'!AD172</f>
        <v>-2.4002184452780906E-2</v>
      </c>
      <c r="R19" s="514">
        <f>'CBS Network'!AE172</f>
        <v>3.4679335957854107E-2</v>
      </c>
      <c r="S19" s="514">
        <f>'CBS Network'!AF172</f>
        <v>-2.0421148892803553E-2</v>
      </c>
      <c r="T19" s="1551">
        <f>'CBS Network'!AG172</f>
        <v>3.592610380229222E-2</v>
      </c>
      <c r="U19" s="1551">
        <f>'CBS Network'!AH172</f>
        <v>-2.3019999763722154E-2</v>
      </c>
      <c r="V19" s="1551">
        <f>'CBS Network'!AI172</f>
        <v>3.9583257434347763E-2</v>
      </c>
      <c r="W19" s="1551">
        <f>'CBS Network'!AJ172</f>
        <v>-2.5683072820579245E-2</v>
      </c>
      <c r="X19" s="862"/>
      <c r="Y19" s="1395"/>
      <c r="Z19" s="862"/>
      <c r="AA19" s="862"/>
      <c r="AB19" s="862"/>
      <c r="AC19" s="862"/>
      <c r="AD19" s="862"/>
      <c r="AE19" s="862"/>
      <c r="AF19" s="862"/>
      <c r="AG19" s="862"/>
      <c r="AH19" s="862"/>
      <c r="AI19" s="862"/>
      <c r="AJ19" s="862"/>
      <c r="AK19" s="862"/>
      <c r="AL19" s="862"/>
      <c r="AM19" s="862"/>
      <c r="AN19" s="862"/>
      <c r="AO19" s="862"/>
      <c r="AP19" s="862"/>
      <c r="AQ19" s="862"/>
      <c r="AR19" s="862"/>
      <c r="AS19" s="862"/>
      <c r="AT19" s="862"/>
      <c r="AU19" s="862"/>
      <c r="AV19" s="862"/>
      <c r="AW19" s="862"/>
      <c r="AX19" s="862"/>
      <c r="AY19" s="862"/>
      <c r="AZ19" s="862"/>
      <c r="BA19" s="862"/>
      <c r="BB19" s="862"/>
      <c r="BC19" s="906"/>
      <c r="BD19" s="906"/>
      <c r="BE19" s="906"/>
      <c r="BF19" s="906"/>
      <c r="BG19" s="862"/>
      <c r="BH19" s="1414">
        <f>'CBS Network'!BA9/'CBS Network'!AV9-1</f>
        <v>4.2640996515713514E-2</v>
      </c>
      <c r="BI19" s="1414">
        <f>'CBS Network'!BB9/'CBS Network'!AW9-1</f>
        <v>-0.19982229934238671</v>
      </c>
      <c r="BJ19" s="1414">
        <f>'CBS Network'!BC9/'CBS Network'!AX9-1</f>
        <v>0.26613679282259195</v>
      </c>
      <c r="BK19" s="1414">
        <f>'CBS Network'!BD9/'CBS Network'!AY9-1</f>
        <v>0.13374879531123285</v>
      </c>
      <c r="BL19" s="862"/>
      <c r="BM19" s="1414">
        <f>'CBS Network'!BF9/'CBS Network'!BA9-1</f>
        <v>-0.14315618223380688</v>
      </c>
      <c r="BN19" s="1414">
        <f>'CBS Network'!BG9/'CBS Network'!BB9-1</f>
        <v>3.0229743007482712E-2</v>
      </c>
      <c r="BO19" s="1414">
        <f>'CBS Network'!BH9/'CBS Network'!BC9-1</f>
        <v>-9.9222451964396274E-2</v>
      </c>
      <c r="BP19" s="1414">
        <f>'CBS Network'!BI9/'CBS Network'!BD9-1</f>
        <v>0.12272999614653557</v>
      </c>
      <c r="BQ19" s="862"/>
      <c r="BR19" s="2957">
        <f>'CBS Network'!BK9/'CBS Network'!BF9-1</f>
        <v>0.3621030168120476</v>
      </c>
      <c r="BS19" s="2957">
        <f>'CBS Network'!BL9/'CBS Network'!BG9-1</f>
        <v>-0.15608807306398087</v>
      </c>
      <c r="BT19" s="2957">
        <f>'CBS Network'!BM9/'CBS Network'!BH9-1</f>
        <v>7.7940286458126895E-3</v>
      </c>
      <c r="BU19" s="2957">
        <f>'CBS Network'!BN9/'CBS Network'!BI9-1</f>
        <v>-0.14415220857377786</v>
      </c>
      <c r="BV19" s="2867"/>
      <c r="BW19" s="2957">
        <f>'CBS Network'!BP9/'CBS Network'!BK9-1</f>
        <v>-8.9737090363098626E-2</v>
      </c>
      <c r="BX19" s="2957">
        <f>'CBS Network'!BQ9/'CBS Network'!BL9-1</f>
        <v>0.36083038604371431</v>
      </c>
      <c r="BY19" s="2957">
        <f>'CBS Network'!BR9/'CBS Network'!BM9-1</f>
        <v>-5.1826764829485006E-2</v>
      </c>
      <c r="BZ19" s="3350">
        <v>-1.6E-2</v>
      </c>
      <c r="CA19" s="2867"/>
      <c r="CB19" s="3350">
        <v>5.0000000000000001E-3</v>
      </c>
      <c r="CC19" s="3350">
        <v>5.0000000000000001E-3</v>
      </c>
      <c r="CD19" s="3350">
        <v>5.0000000000000001E-3</v>
      </c>
      <c r="CE19" s="3350">
        <v>5.0000000000000001E-3</v>
      </c>
      <c r="CF19" s="2867"/>
      <c r="CG19" s="862"/>
      <c r="CH19" s="862"/>
      <c r="CI19" s="862"/>
      <c r="CJ19" s="862"/>
      <c r="CK19" s="862"/>
      <c r="CL19" s="862"/>
    </row>
    <row r="20" spans="1:90">
      <c r="A20" s="862"/>
      <c r="B20" s="862"/>
      <c r="C20" s="1201">
        <f t="shared" ref="C20:H20" si="11">C19</f>
        <v>-3.8294898972127678E-2</v>
      </c>
      <c r="D20" s="1201">
        <f t="shared" si="11"/>
        <v>-6.9276550681461657E-2</v>
      </c>
      <c r="E20" s="1201">
        <f t="shared" si="11"/>
        <v>0.28823086658868213</v>
      </c>
      <c r="F20" s="1201">
        <f t="shared" si="11"/>
        <v>-8.0975923813635275E-2</v>
      </c>
      <c r="G20" s="1201">
        <f t="shared" si="11"/>
        <v>-0.11617240432124387</v>
      </c>
      <c r="H20" s="1201">
        <f t="shared" si="11"/>
        <v>8.7575911792617811E-2</v>
      </c>
      <c r="I20" s="1201">
        <f>I19</f>
        <v>6.2486854925486446E-2</v>
      </c>
      <c r="J20" s="1201">
        <f>J19</f>
        <v>-2.8734822950073902E-3</v>
      </c>
      <c r="K20" s="1201">
        <f>K19</f>
        <v>-1.2394334921817074E-2</v>
      </c>
      <c r="L20" s="1201">
        <f>L19</f>
        <v>2.5515949748399658E-2</v>
      </c>
      <c r="M20" s="1201">
        <f>M19</f>
        <v>-1.986540146227711E-2</v>
      </c>
      <c r="N20" s="1737">
        <f t="shared" ref="N20:T20" si="12">N19+0.5%</f>
        <v>3.6094792942616853E-2</v>
      </c>
      <c r="O20" s="1737">
        <f t="shared" si="12"/>
        <v>-1.6701544678934258E-2</v>
      </c>
      <c r="P20" s="1737">
        <f t="shared" si="12"/>
        <v>3.8038501454711653E-2</v>
      </c>
      <c r="Q20" s="1174">
        <f t="shared" si="12"/>
        <v>-1.9002184452780905E-2</v>
      </c>
      <c r="R20" s="1174">
        <f t="shared" si="12"/>
        <v>3.9679335957854105E-2</v>
      </c>
      <c r="S20" s="1174">
        <f t="shared" si="12"/>
        <v>-1.5421148892803552E-2</v>
      </c>
      <c r="T20" s="1737">
        <f t="shared" si="12"/>
        <v>4.0926103802292217E-2</v>
      </c>
      <c r="U20" s="1737">
        <f>U19+0.5%</f>
        <v>-1.8019999763722153E-2</v>
      </c>
      <c r="V20" s="1737">
        <f>V19+0.5%</f>
        <v>4.458325743434776E-2</v>
      </c>
      <c r="W20" s="1737">
        <f>W19+0.5%</f>
        <v>-2.0683072820579244E-2</v>
      </c>
      <c r="X20" s="862"/>
      <c r="Y20" s="862"/>
      <c r="Z20" s="862"/>
      <c r="AA20" s="862"/>
      <c r="AB20" s="862"/>
      <c r="AC20" s="862"/>
      <c r="AD20" s="862"/>
      <c r="AE20" s="862"/>
      <c r="AF20" s="862"/>
      <c r="AG20" s="862"/>
      <c r="AH20" s="862"/>
      <c r="AI20" s="862"/>
      <c r="AJ20" s="862"/>
      <c r="AK20" s="862"/>
      <c r="AL20" s="862"/>
      <c r="AM20" s="862"/>
      <c r="AN20" s="862"/>
      <c r="AO20" s="862"/>
      <c r="AP20" s="862"/>
      <c r="AQ20" s="862"/>
      <c r="AR20" s="862"/>
      <c r="AS20" s="862"/>
      <c r="AT20" s="862"/>
      <c r="AU20" s="862"/>
      <c r="AV20" s="862"/>
      <c r="AW20" s="862"/>
      <c r="AX20" s="862"/>
      <c r="AY20" s="862"/>
      <c r="AZ20" s="862"/>
      <c r="BA20" s="862"/>
      <c r="BB20" s="862"/>
      <c r="BC20" s="906"/>
      <c r="BD20" s="906"/>
      <c r="BE20" s="906"/>
      <c r="BF20" s="906"/>
      <c r="BG20" s="862"/>
      <c r="BH20" s="1201">
        <f>BH19</f>
        <v>4.2640996515713514E-2</v>
      </c>
      <c r="BI20" s="1201">
        <f>BI19</f>
        <v>-0.19982229934238671</v>
      </c>
      <c r="BJ20" s="1201">
        <f>BJ19</f>
        <v>0.26613679282259195</v>
      </c>
      <c r="BK20" s="1201">
        <f>BK19</f>
        <v>0.13374879531123285</v>
      </c>
      <c r="BL20" s="862"/>
      <c r="BM20" s="1201">
        <f>BM19</f>
        <v>-0.14315618223380688</v>
      </c>
      <c r="BN20" s="1201">
        <f>BN19</f>
        <v>3.0229743007482712E-2</v>
      </c>
      <c r="BO20" s="1201">
        <f>BO19</f>
        <v>-9.9222451964396274E-2</v>
      </c>
      <c r="BP20" s="1201">
        <f>BP19</f>
        <v>0.12272999614653557</v>
      </c>
      <c r="BQ20" s="862"/>
      <c r="BR20" s="2955">
        <f>BR19</f>
        <v>0.3621030168120476</v>
      </c>
      <c r="BS20" s="2955">
        <f>BS19</f>
        <v>-0.15608807306398087</v>
      </c>
      <c r="BT20" s="2955">
        <f>BT19</f>
        <v>7.7940286458126895E-3</v>
      </c>
      <c r="BU20" s="2955">
        <f>BU19</f>
        <v>-0.14415220857377786</v>
      </c>
      <c r="BV20" s="2867"/>
      <c r="BW20" s="2955">
        <f>BW19</f>
        <v>-8.9737090363098626E-2</v>
      </c>
      <c r="BX20" s="2955">
        <f>BX19</f>
        <v>0.36083038604371431</v>
      </c>
      <c r="BY20" s="2955">
        <f>BY19</f>
        <v>-5.1826764829485006E-2</v>
      </c>
      <c r="BZ20" s="2958">
        <f>BZ19+0.002</f>
        <v>-1.4E-2</v>
      </c>
      <c r="CA20" s="2867"/>
      <c r="CB20" s="2958">
        <f t="shared" ref="CB20:CE20" si="13">CB19+0.005</f>
        <v>0.01</v>
      </c>
      <c r="CC20" s="2958">
        <f t="shared" si="13"/>
        <v>0.01</v>
      </c>
      <c r="CD20" s="2958">
        <f t="shared" si="13"/>
        <v>0.01</v>
      </c>
      <c r="CE20" s="2958">
        <f t="shared" si="13"/>
        <v>0.01</v>
      </c>
      <c r="CF20" s="2867"/>
      <c r="CG20" s="862"/>
      <c r="CH20" s="862"/>
      <c r="CI20" s="862"/>
      <c r="CJ20" s="862"/>
      <c r="CK20" s="862"/>
      <c r="CL20" s="862"/>
    </row>
    <row r="21" spans="1:90">
      <c r="A21" s="862"/>
      <c r="B21" s="997"/>
      <c r="C21" s="1201">
        <f t="shared" ref="C21:H21" si="14">C19</f>
        <v>-3.8294898972127678E-2</v>
      </c>
      <c r="D21" s="1201">
        <f t="shared" si="14"/>
        <v>-6.9276550681461657E-2</v>
      </c>
      <c r="E21" s="1201">
        <f t="shared" si="14"/>
        <v>0.28823086658868213</v>
      </c>
      <c r="F21" s="1201">
        <f t="shared" si="14"/>
        <v>-8.0975923813635275E-2</v>
      </c>
      <c r="G21" s="1201">
        <f t="shared" si="14"/>
        <v>-0.11617240432124387</v>
      </c>
      <c r="H21" s="1201">
        <f t="shared" si="14"/>
        <v>8.7575911792617811E-2</v>
      </c>
      <c r="I21" s="1201">
        <f>I19</f>
        <v>6.2486854925486446E-2</v>
      </c>
      <c r="J21" s="1201">
        <f>J19</f>
        <v>-2.8734822950073902E-3</v>
      </c>
      <c r="K21" s="1201">
        <f>K19</f>
        <v>-1.2394334921817074E-2</v>
      </c>
      <c r="L21" s="1201">
        <f>L19</f>
        <v>2.5515949748399658E-2</v>
      </c>
      <c r="M21" s="1201">
        <f>M19</f>
        <v>-1.986540146227711E-2</v>
      </c>
      <c r="N21" s="1737">
        <f>+N19-3.5%</f>
        <v>-3.9052070573831477E-3</v>
      </c>
      <c r="O21" s="1737">
        <f>+O19-3.5%</f>
        <v>-5.6701544678934263E-2</v>
      </c>
      <c r="P21" s="1737">
        <f>+P19-3.3%</f>
        <v>3.850145471165356E-5</v>
      </c>
      <c r="Q21" s="877">
        <f>+Q19-3%</f>
        <v>-5.4002184452780905E-2</v>
      </c>
      <c r="R21" s="877">
        <f>+R19-2.7%</f>
        <v>7.679335957854104E-3</v>
      </c>
      <c r="S21" s="877">
        <f>+S19-2.6%</f>
        <v>-4.6421148892803556E-2</v>
      </c>
      <c r="T21" s="1737">
        <f>+T19-2.5%</f>
        <v>1.0926103802292218E-2</v>
      </c>
      <c r="U21" s="1737">
        <f>+U19-2.5%</f>
        <v>-4.8019999763722156E-2</v>
      </c>
      <c r="V21" s="1737">
        <f>+V19-2.5%</f>
        <v>1.4583257434347761E-2</v>
      </c>
      <c r="W21" s="1737">
        <f>+W19-2.5%</f>
        <v>-5.0683072820579246E-2</v>
      </c>
      <c r="X21" s="862"/>
      <c r="Y21" s="862"/>
      <c r="Z21" s="862"/>
      <c r="AA21" s="862"/>
      <c r="AB21" s="862"/>
      <c r="AC21" s="862"/>
      <c r="AD21" s="862"/>
      <c r="AE21" s="862"/>
      <c r="AF21" s="862"/>
      <c r="AG21" s="862"/>
      <c r="AH21" s="862"/>
      <c r="AI21" s="862"/>
      <c r="AJ21" s="862"/>
      <c r="AK21" s="862"/>
      <c r="AL21" s="862"/>
      <c r="AM21" s="862"/>
      <c r="AN21" s="862"/>
      <c r="AO21" s="862"/>
      <c r="AP21" s="862"/>
      <c r="AQ21" s="862"/>
      <c r="AR21" s="862"/>
      <c r="AS21" s="862"/>
      <c r="AT21" s="862"/>
      <c r="AU21" s="862"/>
      <c r="AV21" s="862"/>
      <c r="AW21" s="862"/>
      <c r="AX21" s="862"/>
      <c r="AY21" s="862"/>
      <c r="AZ21" s="862"/>
      <c r="BA21" s="862"/>
      <c r="BB21" s="862"/>
      <c r="BC21" s="906"/>
      <c r="BD21" s="906"/>
      <c r="BE21" s="906"/>
      <c r="BF21" s="906"/>
      <c r="BG21" s="862"/>
      <c r="BH21" s="1201">
        <f>BH19</f>
        <v>4.2640996515713514E-2</v>
      </c>
      <c r="BI21" s="1201">
        <f>BI19</f>
        <v>-0.19982229934238671</v>
      </c>
      <c r="BJ21" s="1201">
        <f>BJ19</f>
        <v>0.26613679282259195</v>
      </c>
      <c r="BK21" s="1201">
        <f>BK19</f>
        <v>0.13374879531123285</v>
      </c>
      <c r="BL21" s="862"/>
      <c r="BM21" s="1201">
        <f>BM19</f>
        <v>-0.14315618223380688</v>
      </c>
      <c r="BN21" s="1201">
        <f>BN19</f>
        <v>3.0229743007482712E-2</v>
      </c>
      <c r="BO21" s="1201">
        <f>BO19</f>
        <v>-9.9222451964396274E-2</v>
      </c>
      <c r="BP21" s="1201">
        <f>BP19</f>
        <v>0.12272999614653557</v>
      </c>
      <c r="BQ21" s="862"/>
      <c r="BR21" s="2955">
        <f>BR19</f>
        <v>0.3621030168120476</v>
      </c>
      <c r="BS21" s="2955">
        <f>BS19</f>
        <v>-0.15608807306398087</v>
      </c>
      <c r="BT21" s="2955">
        <f>BT19</f>
        <v>7.7940286458126895E-3</v>
      </c>
      <c r="BU21" s="2955">
        <f>BU19</f>
        <v>-0.14415220857377786</v>
      </c>
      <c r="BV21" s="2867"/>
      <c r="BW21" s="2955">
        <f>BW19</f>
        <v>-8.9737090363098626E-2</v>
      </c>
      <c r="BX21" s="2955">
        <f>BX19</f>
        <v>0.36083038604371431</v>
      </c>
      <c r="BY21" s="2955">
        <f>BY19</f>
        <v>-5.1826764829485006E-2</v>
      </c>
      <c r="BZ21" s="2866">
        <f>+BZ19-0.01</f>
        <v>-2.6000000000000002E-2</v>
      </c>
      <c r="CA21" s="2867"/>
      <c r="CB21" s="2866">
        <f>+CB19-3%</f>
        <v>-2.4999999999999998E-2</v>
      </c>
      <c r="CC21" s="2866">
        <f>+CC19-3%</f>
        <v>-2.4999999999999998E-2</v>
      </c>
      <c r="CD21" s="2866">
        <f>+CD19-3%</f>
        <v>-2.4999999999999998E-2</v>
      </c>
      <c r="CE21" s="2866">
        <f>+CE19-3%</f>
        <v>-2.4999999999999998E-2</v>
      </c>
      <c r="CF21" s="2867"/>
      <c r="CG21" s="862"/>
      <c r="CH21" s="862"/>
      <c r="CI21" s="862"/>
      <c r="CJ21" s="862"/>
      <c r="CK21" s="862"/>
      <c r="CL21" s="862"/>
    </row>
    <row r="22" spans="1:90">
      <c r="A22" s="862"/>
      <c r="B22" s="997"/>
      <c r="C22" s="862"/>
      <c r="D22" s="1090"/>
      <c r="E22" s="1090"/>
      <c r="F22" s="1090"/>
      <c r="G22" s="862"/>
      <c r="H22" s="1191"/>
      <c r="I22" s="1174"/>
      <c r="J22" s="1174"/>
      <c r="K22" s="1737"/>
      <c r="L22" s="1737"/>
      <c r="M22" s="1737"/>
      <c r="N22" s="1737"/>
      <c r="O22" s="1737"/>
      <c r="P22" s="1737"/>
      <c r="Q22" s="1174"/>
      <c r="R22" s="1174"/>
      <c r="S22" s="1174"/>
      <c r="T22" s="1737"/>
      <c r="U22" s="1737"/>
      <c r="V22" s="862"/>
      <c r="W22" s="862"/>
      <c r="X22" s="862"/>
      <c r="Y22" s="862"/>
      <c r="Z22" s="862"/>
      <c r="AA22" s="862"/>
      <c r="AB22" s="862"/>
      <c r="AC22" s="862"/>
      <c r="AD22" s="862"/>
      <c r="AE22" s="862"/>
      <c r="AF22" s="862"/>
      <c r="AG22" s="862"/>
      <c r="AH22" s="862"/>
      <c r="AI22" s="862"/>
      <c r="AJ22" s="862"/>
      <c r="AK22" s="862"/>
      <c r="AL22" s="862"/>
      <c r="AM22" s="862"/>
      <c r="AN22" s="862"/>
      <c r="AO22" s="862"/>
      <c r="AP22" s="862"/>
      <c r="AQ22" s="862"/>
      <c r="AR22" s="862"/>
      <c r="AS22" s="862"/>
      <c r="AT22" s="862"/>
      <c r="AU22" s="862"/>
      <c r="AV22" s="862"/>
      <c r="AW22" s="862"/>
      <c r="AX22" s="862"/>
      <c r="AY22" s="862"/>
      <c r="AZ22" s="862"/>
      <c r="BA22" s="862"/>
      <c r="BB22" s="862"/>
      <c r="BC22" s="906"/>
      <c r="BD22" s="906"/>
      <c r="BE22" s="906"/>
      <c r="BF22" s="906"/>
      <c r="BG22" s="862"/>
      <c r="BH22" s="1404"/>
      <c r="BI22" s="1404"/>
      <c r="BJ22" s="1404"/>
      <c r="BK22" s="906"/>
      <c r="BL22" s="862"/>
      <c r="BM22" s="990"/>
      <c r="BN22" s="990"/>
      <c r="BO22" s="990"/>
      <c r="BP22" s="990"/>
      <c r="BQ22" s="862"/>
      <c r="BR22" s="2867"/>
      <c r="BS22" s="2807"/>
      <c r="BT22" s="2807"/>
      <c r="BU22" s="2958"/>
      <c r="BV22" s="2867"/>
      <c r="BW22" s="1596"/>
      <c r="BX22" s="1596"/>
      <c r="BY22" s="1596"/>
      <c r="BZ22" s="2958"/>
      <c r="CA22" s="2867"/>
      <c r="CB22" s="2958"/>
      <c r="CC22" s="2958"/>
      <c r="CD22" s="2958"/>
      <c r="CE22" s="2958"/>
      <c r="CF22" s="2867"/>
      <c r="CG22" s="862"/>
      <c r="CH22" s="862"/>
      <c r="CI22" s="862"/>
      <c r="CJ22" s="862"/>
      <c r="CK22" s="862"/>
      <c r="CL22" s="862"/>
    </row>
    <row r="23" spans="1:90">
      <c r="A23" s="862"/>
      <c r="B23" s="862"/>
      <c r="C23" s="862"/>
      <c r="D23" s="1090"/>
      <c r="E23" s="1090"/>
      <c r="F23" s="1090"/>
      <c r="G23" s="862"/>
      <c r="H23" s="1191"/>
      <c r="I23" s="862"/>
      <c r="J23" s="862"/>
      <c r="K23" s="862"/>
      <c r="L23" s="862"/>
      <c r="M23" s="862"/>
      <c r="N23" s="862"/>
      <c r="O23" s="862"/>
      <c r="P23" s="862"/>
      <c r="Q23" s="862"/>
      <c r="R23" s="862"/>
      <c r="S23" s="862"/>
      <c r="T23" s="862"/>
      <c r="U23" s="862"/>
      <c r="V23" s="862"/>
      <c r="W23" s="862"/>
      <c r="X23" s="862"/>
      <c r="Y23" s="862"/>
      <c r="Z23" s="862"/>
      <c r="AA23" s="862"/>
      <c r="AB23" s="862"/>
      <c r="AC23" s="862"/>
      <c r="AD23" s="862"/>
      <c r="AE23" s="862"/>
      <c r="AF23" s="862"/>
      <c r="AG23" s="862"/>
      <c r="AH23" s="862"/>
      <c r="AI23" s="862"/>
      <c r="AJ23" s="862"/>
      <c r="AK23" s="862"/>
      <c r="AL23" s="862"/>
      <c r="AM23" s="862"/>
      <c r="AN23" s="862"/>
      <c r="AO23" s="862"/>
      <c r="AP23" s="862"/>
      <c r="AQ23" s="862"/>
      <c r="AR23" s="862"/>
      <c r="AS23" s="862"/>
      <c r="AT23" s="862"/>
      <c r="AU23" s="862"/>
      <c r="AV23" s="862"/>
      <c r="AW23" s="862"/>
      <c r="AX23" s="862"/>
      <c r="AY23" s="862"/>
      <c r="AZ23" s="862"/>
      <c r="BA23" s="862"/>
      <c r="BB23" s="862"/>
      <c r="BC23" s="906"/>
      <c r="BD23" s="906"/>
      <c r="BE23" s="906"/>
      <c r="BF23" s="906"/>
      <c r="BG23" s="862"/>
      <c r="BH23" s="1404"/>
      <c r="BI23" s="1404"/>
      <c r="BJ23" s="1404"/>
      <c r="BK23" s="906"/>
      <c r="BL23" s="862"/>
      <c r="BM23" s="906"/>
      <c r="BN23" s="906"/>
      <c r="BO23" s="906"/>
      <c r="BP23" s="906"/>
      <c r="BQ23" s="862"/>
      <c r="BR23" s="2867"/>
      <c r="BS23" s="2807"/>
      <c r="BT23" s="2807"/>
      <c r="BU23" s="2807"/>
      <c r="BV23" s="2867"/>
      <c r="BW23" s="1577"/>
      <c r="BX23" s="1577"/>
      <c r="BY23" s="1577"/>
      <c r="BZ23" s="2807"/>
      <c r="CA23" s="2867"/>
      <c r="CB23" s="2807"/>
      <c r="CC23" s="2807"/>
      <c r="CD23" s="2807"/>
      <c r="CE23" s="2807"/>
      <c r="CF23" s="2867"/>
      <c r="CG23" s="862"/>
      <c r="CH23" s="862"/>
      <c r="CI23" s="862"/>
      <c r="CJ23" s="862"/>
      <c r="CK23" s="862"/>
      <c r="CL23" s="862"/>
    </row>
    <row r="24" spans="1:90">
      <c r="A24" s="862"/>
      <c r="B24" s="862" t="s">
        <v>1563</v>
      </c>
      <c r="C24" s="878">
        <f t="shared" ref="C24:H24" si="15">+CHOOSE($B$3,C25,C26,C27)</f>
        <v>-0.123</v>
      </c>
      <c r="D24" s="878">
        <f t="shared" si="15"/>
        <v>-4.6143955424941652E-2</v>
      </c>
      <c r="E24" s="878">
        <f t="shared" si="15"/>
        <v>1.2000000000000011E-2</v>
      </c>
      <c r="F24" s="878">
        <f t="shared" si="15"/>
        <v>1.2000000000000011E-2</v>
      </c>
      <c r="G24" s="878">
        <f t="shared" si="15"/>
        <v>-2.8000000000000025E-2</v>
      </c>
      <c r="H24" s="2954">
        <f t="shared" si="15"/>
        <v>2.0000000000000018E-2</v>
      </c>
      <c r="I24" s="2954">
        <f t="shared" ref="I24:T24" si="16">+CHOOSE($B$3,I25,I26,I27)</f>
        <v>-7.1245098039214305E-3</v>
      </c>
      <c r="J24" s="2954">
        <f t="shared" si="16"/>
        <v>5.4670480768376217E-2</v>
      </c>
      <c r="K24" s="2954">
        <f t="shared" si="16"/>
        <v>1.416819040097006E-2</v>
      </c>
      <c r="L24" s="2954">
        <f t="shared" si="16"/>
        <v>-2.3657980679004598E-2</v>
      </c>
      <c r="M24" s="2954">
        <f t="shared" si="16"/>
        <v>-3.499999999999992E-2</v>
      </c>
      <c r="N24" s="2954">
        <f t="shared" si="16"/>
        <v>-0.02</v>
      </c>
      <c r="O24" s="2954">
        <f t="shared" si="16"/>
        <v>-1.4999999999999999E-2</v>
      </c>
      <c r="P24" s="2954">
        <f t="shared" si="16"/>
        <v>-0.01</v>
      </c>
      <c r="Q24" s="2954">
        <f t="shared" si="16"/>
        <v>-0.01</v>
      </c>
      <c r="R24" s="2954">
        <f t="shared" si="16"/>
        <v>-0.01</v>
      </c>
      <c r="S24" s="2954">
        <f t="shared" si="16"/>
        <v>-0.01</v>
      </c>
      <c r="T24" s="2954">
        <f t="shared" si="16"/>
        <v>-0.01</v>
      </c>
      <c r="U24" s="2954">
        <f>+CHOOSE($B$3,U25,U26,U27)</f>
        <v>-0.01</v>
      </c>
      <c r="V24" s="2954">
        <f>+CHOOSE($B$3,V25,V26,V27)</f>
        <v>-0.01</v>
      </c>
      <c r="W24" s="2954">
        <f>+CHOOSE($B$3,W25,W26,W27)</f>
        <v>-0.01</v>
      </c>
      <c r="X24" s="862"/>
      <c r="Y24" s="862"/>
      <c r="Z24" s="862"/>
      <c r="AA24" s="862"/>
      <c r="AB24" s="862"/>
      <c r="AC24" s="862"/>
      <c r="AD24" s="862"/>
      <c r="AE24" s="862"/>
      <c r="AF24" s="862"/>
      <c r="AG24" s="862"/>
      <c r="AH24" s="862"/>
      <c r="AI24" s="862"/>
      <c r="AJ24" s="862"/>
      <c r="AK24" s="862"/>
      <c r="AL24" s="862"/>
      <c r="AM24" s="862"/>
      <c r="AN24" s="862"/>
      <c r="AO24" s="862"/>
      <c r="AP24" s="862"/>
      <c r="AQ24" s="862"/>
      <c r="AR24" s="862"/>
      <c r="AS24" s="862"/>
      <c r="AT24" s="862"/>
      <c r="AU24" s="862"/>
      <c r="AV24" s="862"/>
      <c r="AW24" s="862"/>
      <c r="AX24" s="862"/>
      <c r="AY24" s="862"/>
      <c r="AZ24" s="862"/>
      <c r="BA24" s="862"/>
      <c r="BB24" s="862"/>
      <c r="BC24" s="906"/>
      <c r="BD24" s="906"/>
      <c r="BE24" s="906"/>
      <c r="BF24" s="906"/>
      <c r="BG24" s="862"/>
      <c r="BH24" s="1616">
        <f>+CHOOSE($B$3,BH25,BH26,BH27)</f>
        <v>1.0000000000000009E-2</v>
      </c>
      <c r="BI24" s="1616">
        <f>+CHOOSE($B$3,BI25,BI26,BI27)</f>
        <v>1.0000000000000009E-2</v>
      </c>
      <c r="BJ24" s="1616">
        <f>+CHOOSE($B$3,BJ25,BJ26,BJ27)</f>
        <v>0</v>
      </c>
      <c r="BK24" s="1616">
        <f>+CHOOSE($B$3,BK25,BK26,BK27)</f>
        <v>-5.0000000000000044E-2</v>
      </c>
      <c r="BL24" s="862"/>
      <c r="BM24" s="1616">
        <f>+CHOOSE($B$3,BM25,BM26,BM27)</f>
        <v>1.0000000000000009E-2</v>
      </c>
      <c r="BN24" s="1616">
        <f>+CHOOSE($B$3,BN25,BN26,BN27)</f>
        <v>0</v>
      </c>
      <c r="BO24" s="1616">
        <f>+CHOOSE($B$3,BO25,BO26,BO27)</f>
        <v>0.19999999999999996</v>
      </c>
      <c r="BP24" s="1616">
        <f>+CHOOSE($B$3,BP25,BP26,BP27)</f>
        <v>7.0000000000000062E-2</v>
      </c>
      <c r="BQ24" s="1470"/>
      <c r="BR24" s="2956">
        <f>+CHOOSE($B$3,BR25,BR26,BR27)</f>
        <v>6.0000000000000053E-2</v>
      </c>
      <c r="BS24" s="2956">
        <f>+CHOOSE($B$3,BS25,BS26,BS27)</f>
        <v>1.0000000000000009E-2</v>
      </c>
      <c r="BT24" s="2956">
        <f>+CHOOSE($B$3,BT25,BT26,BT27)</f>
        <v>-2.9999999999999916E-2</v>
      </c>
      <c r="BU24" s="2956">
        <f>+CHOOSE($B$3,BU25,BU26,BU27)</f>
        <v>-1.0000000000000009E-2</v>
      </c>
      <c r="BV24" s="2867"/>
      <c r="BW24" s="2956">
        <f>+CHOOSE($B$3,BW25,BW26,BW27)</f>
        <v>-2.0000000000000018E-2</v>
      </c>
      <c r="BX24" s="2956">
        <f>+CHOOSE($B$3,BX25,BX26,BX27)</f>
        <v>-2.0000000000000018E-2</v>
      </c>
      <c r="BY24" s="2956">
        <f>+CHOOSE($B$3,BY25,BY26,BY27)</f>
        <v>-2.0000000000000018E-2</v>
      </c>
      <c r="BZ24" s="2956">
        <f>+CHOOSE($B$3,BZ25,BZ26,BZ27)</f>
        <v>-3.5000000000000003E-2</v>
      </c>
      <c r="CA24" s="2867"/>
      <c r="CB24" s="2956">
        <f t="shared" ref="CB24:CE24" si="17">+CHOOSE($B$3,CB25,CB26,CB27)</f>
        <v>-3.5000000000000003E-2</v>
      </c>
      <c r="CC24" s="2956">
        <f t="shared" si="17"/>
        <v>-3.5000000000000003E-2</v>
      </c>
      <c r="CD24" s="2956">
        <f t="shared" si="17"/>
        <v>-3.5000000000000003E-2</v>
      </c>
      <c r="CE24" s="2956">
        <f t="shared" si="17"/>
        <v>-3.5000000000000003E-2</v>
      </c>
      <c r="CF24" s="2867"/>
      <c r="CG24" s="862"/>
      <c r="CH24" s="862"/>
      <c r="CI24" s="862"/>
      <c r="CJ24" s="862"/>
      <c r="CK24" s="862"/>
      <c r="CL24" s="862"/>
    </row>
    <row r="25" spans="1:90">
      <c r="A25" s="862"/>
      <c r="B25" s="862"/>
      <c r="C25" s="131">
        <f>'CBS Network'!P11/'CBS Network'!O11-1</f>
        <v>-0.123</v>
      </c>
      <c r="D25" s="131">
        <f>'CBS Network'!Q11/'CBS Network'!P11-1</f>
        <v>-4.6143955424941652E-2</v>
      </c>
      <c r="E25" s="131">
        <f>'CBS Network'!R11/'CBS Network'!Q11-1</f>
        <v>1.2000000000000011E-2</v>
      </c>
      <c r="F25" s="131">
        <f>'CBS Network'!S11/'CBS Network'!R11-1</f>
        <v>1.2000000000000011E-2</v>
      </c>
      <c r="G25" s="131">
        <f>'CBS Network'!T11/'CBS Network'!S11-1</f>
        <v>-2.8000000000000025E-2</v>
      </c>
      <c r="H25" s="3078">
        <f>'CBS Network'!U11/'CBS Network'!T11-1</f>
        <v>2.0000000000000018E-2</v>
      </c>
      <c r="I25" s="3078">
        <f>'CBS Network'!V11/'CBS Network'!U11-1</f>
        <v>-7.1245098039214305E-3</v>
      </c>
      <c r="J25" s="3078">
        <f>'CBS Network'!W11/'CBS Network'!V11-1</f>
        <v>5.4670480768376217E-2</v>
      </c>
      <c r="K25" s="3078">
        <f>'CBS Network'!X11/'CBS Network'!W11-1</f>
        <v>1.416819040097006E-2</v>
      </c>
      <c r="L25" s="3078">
        <f>'CBS Network'!Y11/'CBS Network'!X11-1</f>
        <v>-2.3657980679004598E-2</v>
      </c>
      <c r="M25" s="3078">
        <f>'CBS Network'!Z11/'CBS Network'!Y11-1</f>
        <v>-3.499999999999992E-2</v>
      </c>
      <c r="N25" s="2897">
        <v>-0.02</v>
      </c>
      <c r="O25" s="2897">
        <v>-1.4999999999999999E-2</v>
      </c>
      <c r="P25" s="2897">
        <v>-0.01</v>
      </c>
      <c r="Q25" s="2897">
        <f>P25</f>
        <v>-0.01</v>
      </c>
      <c r="R25" s="2897">
        <f t="shared" ref="R25:W25" si="18">Q25</f>
        <v>-0.01</v>
      </c>
      <c r="S25" s="2897">
        <f t="shared" si="18"/>
        <v>-0.01</v>
      </c>
      <c r="T25" s="2897">
        <f t="shared" si="18"/>
        <v>-0.01</v>
      </c>
      <c r="U25" s="2897">
        <f t="shared" si="18"/>
        <v>-0.01</v>
      </c>
      <c r="V25" s="2897">
        <f t="shared" si="18"/>
        <v>-0.01</v>
      </c>
      <c r="W25" s="2897">
        <f t="shared" si="18"/>
        <v>-0.01</v>
      </c>
      <c r="X25" s="862"/>
      <c r="Y25" s="862"/>
      <c r="Z25" s="862"/>
      <c r="AA25" s="862"/>
      <c r="AB25" s="862"/>
      <c r="AC25" s="862"/>
      <c r="AD25" s="862"/>
      <c r="AE25" s="862"/>
      <c r="AF25" s="862"/>
      <c r="AG25" s="862"/>
      <c r="AH25" s="862"/>
      <c r="AI25" s="862"/>
      <c r="AJ25" s="862"/>
      <c r="AK25" s="862"/>
      <c r="AL25" s="862"/>
      <c r="AM25" s="862"/>
      <c r="AN25" s="862"/>
      <c r="AO25" s="862"/>
      <c r="AP25" s="862"/>
      <c r="AQ25" s="862"/>
      <c r="AR25" s="862"/>
      <c r="AS25" s="862"/>
      <c r="AT25" s="862"/>
      <c r="AU25" s="862"/>
      <c r="AV25" s="862"/>
      <c r="AW25" s="862"/>
      <c r="AX25" s="862"/>
      <c r="AY25" s="862"/>
      <c r="AZ25" s="862"/>
      <c r="BA25" s="862"/>
      <c r="BB25" s="862"/>
      <c r="BC25" s="906"/>
      <c r="BD25" s="906"/>
      <c r="BE25" s="906"/>
      <c r="BF25" s="906"/>
      <c r="BG25" s="862"/>
      <c r="BH25" s="1414">
        <f>'CBS Network'!BA11/'CBS Network'!AV11-1</f>
        <v>1.0000000000000009E-2</v>
      </c>
      <c r="BI25" s="1414">
        <f>'CBS Network'!BB11/'CBS Network'!AW11-1</f>
        <v>1.0000000000000009E-2</v>
      </c>
      <c r="BJ25" s="1414">
        <f>'CBS Network'!BC11/'CBS Network'!AX11-1</f>
        <v>0</v>
      </c>
      <c r="BK25" s="1414">
        <f>'CBS Network'!BD11/'CBS Network'!AY11-1</f>
        <v>-5.0000000000000044E-2</v>
      </c>
      <c r="BL25" s="906"/>
      <c r="BM25" s="1414">
        <f>'CBS Network'!BF11/'CBS Network'!BA11-1</f>
        <v>1.0000000000000009E-2</v>
      </c>
      <c r="BN25" s="1414">
        <f>'CBS Network'!BG11/'CBS Network'!BB11-1</f>
        <v>0</v>
      </c>
      <c r="BO25" s="1414">
        <f>'CBS Network'!BH11/'CBS Network'!BC11-1</f>
        <v>0.19999999999999996</v>
      </c>
      <c r="BP25" s="1414">
        <f>'CBS Network'!BI11/'CBS Network'!BD11-1</f>
        <v>7.0000000000000062E-2</v>
      </c>
      <c r="BQ25" s="1470"/>
      <c r="BR25" s="2370">
        <f>'CBS Network'!BK11/'CBS Network'!BF11-1</f>
        <v>6.0000000000000053E-2</v>
      </c>
      <c r="BS25" s="2370">
        <f>'CBS Network'!BL11/'CBS Network'!BG11-1</f>
        <v>1.0000000000000009E-2</v>
      </c>
      <c r="BT25" s="2370">
        <f>'CBS Network'!BM11/'CBS Network'!BH11-1</f>
        <v>-2.9999999999999916E-2</v>
      </c>
      <c r="BU25" s="2370">
        <f>'CBS Network'!BN11/'CBS Network'!BI11-1</f>
        <v>-1.0000000000000009E-2</v>
      </c>
      <c r="BV25" s="1470"/>
      <c r="BW25" s="2370">
        <f>'CBS Network'!BP11/'CBS Network'!BK11-1</f>
        <v>-2.0000000000000018E-2</v>
      </c>
      <c r="BX25" s="2370">
        <f>'CBS Network'!BQ11/'CBS Network'!BL11-1</f>
        <v>-2.0000000000000018E-2</v>
      </c>
      <c r="BY25" s="2370">
        <f>'CBS Network'!BR11/'CBS Network'!BM11-1</f>
        <v>-2.0000000000000018E-2</v>
      </c>
      <c r="BZ25" s="3350">
        <v>-3.5000000000000003E-2</v>
      </c>
      <c r="CA25" s="2867"/>
      <c r="CB25" s="3350">
        <v>-3.5000000000000003E-2</v>
      </c>
      <c r="CC25" s="3350">
        <v>-3.5000000000000003E-2</v>
      </c>
      <c r="CD25" s="3350">
        <v>-3.5000000000000003E-2</v>
      </c>
      <c r="CE25" s="3350">
        <v>-3.5000000000000003E-2</v>
      </c>
      <c r="CF25" s="2867"/>
      <c r="CG25" s="862"/>
      <c r="CH25" s="862"/>
      <c r="CI25" s="862"/>
      <c r="CJ25" s="862"/>
      <c r="CK25" s="862"/>
      <c r="CL25" s="862"/>
    </row>
    <row r="26" spans="1:90">
      <c r="A26" s="862"/>
      <c r="B26" s="862"/>
      <c r="C26" s="1201">
        <f t="shared" ref="C26:H26" si="19">C25</f>
        <v>-0.123</v>
      </c>
      <c r="D26" s="1201">
        <f t="shared" si="19"/>
        <v>-4.6143955424941652E-2</v>
      </c>
      <c r="E26" s="1201">
        <f t="shared" si="19"/>
        <v>1.2000000000000011E-2</v>
      </c>
      <c r="F26" s="1201">
        <f t="shared" si="19"/>
        <v>1.2000000000000011E-2</v>
      </c>
      <c r="G26" s="1201">
        <f t="shared" si="19"/>
        <v>-2.8000000000000025E-2</v>
      </c>
      <c r="H26" s="2955">
        <f t="shared" si="19"/>
        <v>2.0000000000000018E-2</v>
      </c>
      <c r="I26" s="2955">
        <f>I25</f>
        <v>-7.1245098039214305E-3</v>
      </c>
      <c r="J26" s="2955">
        <f>J25</f>
        <v>5.4670480768376217E-2</v>
      </c>
      <c r="K26" s="2955">
        <f>K25</f>
        <v>1.416819040097006E-2</v>
      </c>
      <c r="L26" s="2955">
        <f>L25</f>
        <v>-2.3657980679004598E-2</v>
      </c>
      <c r="M26" s="2955">
        <f>M25</f>
        <v>-3.499999999999992E-2</v>
      </c>
      <c r="N26" s="2958">
        <f t="shared" ref="N26:U26" si="20">N25+0.005</f>
        <v>-1.4999999999999999E-2</v>
      </c>
      <c r="O26" s="2958">
        <f t="shared" si="20"/>
        <v>-9.9999999999999985E-3</v>
      </c>
      <c r="P26" s="2958">
        <f t="shared" si="20"/>
        <v>-5.0000000000000001E-3</v>
      </c>
      <c r="Q26" s="2958">
        <f t="shared" si="20"/>
        <v>-5.0000000000000001E-3</v>
      </c>
      <c r="R26" s="2958">
        <f t="shared" si="20"/>
        <v>-5.0000000000000001E-3</v>
      </c>
      <c r="S26" s="2958">
        <f t="shared" si="20"/>
        <v>-5.0000000000000001E-3</v>
      </c>
      <c r="T26" s="2958">
        <f t="shared" si="20"/>
        <v>-5.0000000000000001E-3</v>
      </c>
      <c r="U26" s="2958">
        <f t="shared" si="20"/>
        <v>-5.0000000000000001E-3</v>
      </c>
      <c r="V26" s="2958">
        <f>V25+0.005</f>
        <v>-5.0000000000000001E-3</v>
      </c>
      <c r="W26" s="2958">
        <f>W25+0.005</f>
        <v>-5.0000000000000001E-3</v>
      </c>
      <c r="X26" s="862"/>
      <c r="Y26" s="862"/>
      <c r="Z26" s="862"/>
      <c r="AA26" s="862"/>
      <c r="AB26" s="862"/>
      <c r="AC26" s="862"/>
      <c r="AD26" s="862"/>
      <c r="AE26" s="862"/>
      <c r="AF26" s="862"/>
      <c r="AG26" s="862"/>
      <c r="AH26" s="862"/>
      <c r="AI26" s="862"/>
      <c r="AJ26" s="862"/>
      <c r="AK26" s="862"/>
      <c r="AL26" s="862"/>
      <c r="AM26" s="862"/>
      <c r="AN26" s="862"/>
      <c r="AO26" s="862"/>
      <c r="AP26" s="862"/>
      <c r="AQ26" s="862"/>
      <c r="AR26" s="862"/>
      <c r="AS26" s="862"/>
      <c r="AT26" s="862"/>
      <c r="AU26" s="862"/>
      <c r="AV26" s="862"/>
      <c r="AW26" s="862"/>
      <c r="AX26" s="862"/>
      <c r="AY26" s="862"/>
      <c r="AZ26" s="862"/>
      <c r="BA26" s="862"/>
      <c r="BB26" s="862"/>
      <c r="BC26" s="906"/>
      <c r="BD26" s="906"/>
      <c r="BE26" s="906"/>
      <c r="BF26" s="906"/>
      <c r="BG26" s="862"/>
      <c r="BH26" s="1201">
        <f>BH25</f>
        <v>1.0000000000000009E-2</v>
      </c>
      <c r="BI26" s="1201">
        <f>BI25</f>
        <v>1.0000000000000009E-2</v>
      </c>
      <c r="BJ26" s="1201">
        <f>BJ25</f>
        <v>0</v>
      </c>
      <c r="BK26" s="1201">
        <f>BK25</f>
        <v>-5.0000000000000044E-2</v>
      </c>
      <c r="BL26" s="862"/>
      <c r="BM26" s="1201">
        <f>BM25</f>
        <v>1.0000000000000009E-2</v>
      </c>
      <c r="BN26" s="1201">
        <f>BN25</f>
        <v>0</v>
      </c>
      <c r="BO26" s="1201">
        <f>BO25</f>
        <v>0.19999999999999996</v>
      </c>
      <c r="BP26" s="1201">
        <f>BP25</f>
        <v>7.0000000000000062E-2</v>
      </c>
      <c r="BQ26" s="1470"/>
      <c r="BR26" s="2077">
        <f>BR25</f>
        <v>6.0000000000000053E-2</v>
      </c>
      <c r="BS26" s="2077">
        <f>BS25</f>
        <v>1.0000000000000009E-2</v>
      </c>
      <c r="BT26" s="2077">
        <f>BT25</f>
        <v>-2.9999999999999916E-2</v>
      </c>
      <c r="BU26" s="2077">
        <f>BU25</f>
        <v>-1.0000000000000009E-2</v>
      </c>
      <c r="BV26" s="1470"/>
      <c r="BW26" s="2077">
        <f>BW25</f>
        <v>-2.0000000000000018E-2</v>
      </c>
      <c r="BX26" s="2077">
        <f>BX25</f>
        <v>-2.0000000000000018E-2</v>
      </c>
      <c r="BY26" s="2077">
        <f>BY25</f>
        <v>-2.0000000000000018E-2</v>
      </c>
      <c r="BZ26" s="2958">
        <f>BZ25+0.002</f>
        <v>-3.3000000000000002E-2</v>
      </c>
      <c r="CA26" s="2867"/>
      <c r="CB26" s="2958">
        <f t="shared" ref="CB26:CE26" si="21">CB25+0.005</f>
        <v>-3.0000000000000002E-2</v>
      </c>
      <c r="CC26" s="2958">
        <f t="shared" si="21"/>
        <v>-3.0000000000000002E-2</v>
      </c>
      <c r="CD26" s="2958">
        <f t="shared" si="21"/>
        <v>-3.0000000000000002E-2</v>
      </c>
      <c r="CE26" s="2958">
        <f t="shared" si="21"/>
        <v>-3.0000000000000002E-2</v>
      </c>
      <c r="CF26" s="2867"/>
      <c r="CG26" s="862"/>
      <c r="CH26" s="862"/>
      <c r="CI26" s="862"/>
      <c r="CJ26" s="862"/>
      <c r="CK26" s="862"/>
      <c r="CL26" s="862"/>
    </row>
    <row r="27" spans="1:90" ht="13.5" thickBot="1">
      <c r="A27" s="862"/>
      <c r="B27" s="862"/>
      <c r="C27" s="1201">
        <f t="shared" ref="C27:H27" si="22">C25</f>
        <v>-0.123</v>
      </c>
      <c r="D27" s="1201">
        <f t="shared" si="22"/>
        <v>-4.6143955424941652E-2</v>
      </c>
      <c r="E27" s="1201">
        <f t="shared" si="22"/>
        <v>1.2000000000000011E-2</v>
      </c>
      <c r="F27" s="1201">
        <f t="shared" si="22"/>
        <v>1.2000000000000011E-2</v>
      </c>
      <c r="G27" s="1201">
        <f t="shared" si="22"/>
        <v>-2.8000000000000025E-2</v>
      </c>
      <c r="H27" s="2955">
        <f t="shared" si="22"/>
        <v>2.0000000000000018E-2</v>
      </c>
      <c r="I27" s="2955">
        <f>I25</f>
        <v>-7.1245098039214305E-3</v>
      </c>
      <c r="J27" s="2955">
        <f>J25</f>
        <v>5.4670480768376217E-2</v>
      </c>
      <c r="K27" s="2955">
        <f>K25</f>
        <v>1.416819040097006E-2</v>
      </c>
      <c r="L27" s="2955">
        <f>L25</f>
        <v>-2.3657980679004598E-2</v>
      </c>
      <c r="M27" s="2955">
        <f>M25</f>
        <v>-3.499999999999992E-2</v>
      </c>
      <c r="N27" s="2866">
        <f>+N25-3.5%</f>
        <v>-5.5000000000000007E-2</v>
      </c>
      <c r="O27" s="2866">
        <f>+O25-3.3%</f>
        <v>-4.8000000000000001E-2</v>
      </c>
      <c r="P27" s="2866">
        <f>+P25-3%</f>
        <v>-0.04</v>
      </c>
      <c r="Q27" s="2866">
        <f>+Q25-2.8%</f>
        <v>-3.7999999999999999E-2</v>
      </c>
      <c r="R27" s="2866">
        <f>+R25-2.7%</f>
        <v>-3.7000000000000005E-2</v>
      </c>
      <c r="S27" s="2866">
        <f>+S25-2.6%</f>
        <v>-3.6000000000000004E-2</v>
      </c>
      <c r="T27" s="2866">
        <f>+T25-2.5%</f>
        <v>-3.5000000000000003E-2</v>
      </c>
      <c r="U27" s="2866">
        <f>+U25-2.5%</f>
        <v>-3.5000000000000003E-2</v>
      </c>
      <c r="V27" s="2866">
        <f>+V25-2.5%</f>
        <v>-3.5000000000000003E-2</v>
      </c>
      <c r="W27" s="2866">
        <f>+W25-2.5%</f>
        <v>-3.5000000000000003E-2</v>
      </c>
      <c r="X27" s="862"/>
      <c r="Y27" s="862"/>
      <c r="Z27" s="862"/>
      <c r="AA27" s="862"/>
      <c r="AB27" s="862"/>
      <c r="AC27" s="862"/>
      <c r="AD27" s="862"/>
      <c r="AE27" s="862"/>
      <c r="AF27" s="862"/>
      <c r="AG27" s="862"/>
      <c r="AH27" s="862"/>
      <c r="AI27" s="862"/>
      <c r="AJ27" s="862"/>
      <c r="AK27" s="862"/>
      <c r="AL27" s="862"/>
      <c r="AM27" s="862"/>
      <c r="AN27" s="862"/>
      <c r="AO27" s="862"/>
      <c r="AP27" s="862"/>
      <c r="AQ27" s="862"/>
      <c r="AR27" s="862"/>
      <c r="AS27" s="862"/>
      <c r="AT27" s="862"/>
      <c r="AU27" s="862"/>
      <c r="AV27" s="862"/>
      <c r="AW27" s="862"/>
      <c r="AX27" s="862"/>
      <c r="AY27" s="862"/>
      <c r="AZ27" s="862"/>
      <c r="BA27" s="862"/>
      <c r="BB27" s="862"/>
      <c r="BC27" s="906"/>
      <c r="BD27" s="906"/>
      <c r="BE27" s="906"/>
      <c r="BF27" s="906"/>
      <c r="BG27" s="862"/>
      <c r="BH27" s="1201">
        <f>BH25</f>
        <v>1.0000000000000009E-2</v>
      </c>
      <c r="BI27" s="1201">
        <f>BI25</f>
        <v>1.0000000000000009E-2</v>
      </c>
      <c r="BJ27" s="1201">
        <f>BJ25</f>
        <v>0</v>
      </c>
      <c r="BK27" s="1201">
        <f>BK25</f>
        <v>-5.0000000000000044E-2</v>
      </c>
      <c r="BL27" s="862"/>
      <c r="BM27" s="1201">
        <f>BM25</f>
        <v>1.0000000000000009E-2</v>
      </c>
      <c r="BN27" s="1201">
        <f>BN25</f>
        <v>0</v>
      </c>
      <c r="BO27" s="1201">
        <f>BO25</f>
        <v>0.19999999999999996</v>
      </c>
      <c r="BP27" s="1201">
        <f>BP25</f>
        <v>7.0000000000000062E-2</v>
      </c>
      <c r="BQ27" s="1470"/>
      <c r="BR27" s="2077">
        <f>BR25</f>
        <v>6.0000000000000053E-2</v>
      </c>
      <c r="BS27" s="2077">
        <f>BS25</f>
        <v>1.0000000000000009E-2</v>
      </c>
      <c r="BT27" s="2077">
        <f>BT25</f>
        <v>-2.9999999999999916E-2</v>
      </c>
      <c r="BU27" s="2077">
        <f>BU25</f>
        <v>-1.0000000000000009E-2</v>
      </c>
      <c r="BV27" s="1470"/>
      <c r="BW27" s="2077">
        <f>BW25</f>
        <v>-2.0000000000000018E-2</v>
      </c>
      <c r="BX27" s="2077">
        <f>BX25</f>
        <v>-2.0000000000000018E-2</v>
      </c>
      <c r="BY27" s="2077">
        <f>BY25</f>
        <v>-2.0000000000000018E-2</v>
      </c>
      <c r="BZ27" s="2958">
        <f>BZ25-0.008</f>
        <v>-4.3000000000000003E-2</v>
      </c>
      <c r="CA27" s="2867"/>
      <c r="CB27" s="2958">
        <f>CB25-0.03</f>
        <v>-6.5000000000000002E-2</v>
      </c>
      <c r="CC27" s="2958">
        <f>CC25-0.03</f>
        <v>-6.5000000000000002E-2</v>
      </c>
      <c r="CD27" s="2958">
        <f>CD25-0.03</f>
        <v>-6.5000000000000002E-2</v>
      </c>
      <c r="CE27" s="2958">
        <f>CE25-0.03</f>
        <v>-6.5000000000000002E-2</v>
      </c>
      <c r="CF27" s="2867"/>
      <c r="CG27" s="862"/>
      <c r="CH27" s="862"/>
      <c r="CI27" s="862"/>
      <c r="CJ27" s="862"/>
      <c r="CK27" s="862"/>
      <c r="CL27" s="862"/>
    </row>
    <row r="28" spans="1:90" ht="13.5" thickBot="1">
      <c r="A28" s="862"/>
      <c r="B28" s="2533">
        <f>B81</f>
        <v>1</v>
      </c>
      <c r="C28" s="862"/>
      <c r="D28" s="1090"/>
      <c r="E28" s="1090"/>
      <c r="F28" s="1090"/>
      <c r="G28" s="862"/>
      <c r="H28" s="1191"/>
      <c r="I28" s="862"/>
      <c r="J28" s="862"/>
      <c r="K28" s="1470"/>
      <c r="L28" s="1470"/>
      <c r="M28" s="1470"/>
      <c r="N28" s="1470"/>
      <c r="O28" s="1470"/>
      <c r="P28" s="1470"/>
      <c r="Q28" s="1470"/>
      <c r="R28" s="1470"/>
      <c r="S28" s="1470"/>
      <c r="T28" s="1470"/>
      <c r="U28" s="1470"/>
      <c r="V28" s="1470"/>
      <c r="W28" s="1470"/>
      <c r="X28" s="862"/>
      <c r="Y28" s="862"/>
      <c r="Z28" s="862"/>
      <c r="AA28" s="862"/>
      <c r="AB28" s="862"/>
      <c r="AC28" s="862"/>
      <c r="AD28" s="862"/>
      <c r="AE28" s="862"/>
      <c r="AF28" s="862"/>
      <c r="AG28" s="862"/>
      <c r="AH28" s="862"/>
      <c r="AI28" s="862"/>
      <c r="AJ28" s="862"/>
      <c r="AK28" s="862"/>
      <c r="AL28" s="862"/>
      <c r="AM28" s="862"/>
      <c r="AN28" s="862"/>
      <c r="AO28" s="862"/>
      <c r="AP28" s="862"/>
      <c r="AQ28" s="862"/>
      <c r="AR28" s="862"/>
      <c r="AS28" s="862"/>
      <c r="AT28" s="862"/>
      <c r="AU28" s="862"/>
      <c r="AV28" s="862"/>
      <c r="AW28" s="862"/>
      <c r="AX28" s="862"/>
      <c r="AY28" s="862"/>
      <c r="AZ28" s="862"/>
      <c r="BA28" s="862"/>
      <c r="BB28" s="862"/>
      <c r="BC28" s="906"/>
      <c r="BD28" s="906"/>
      <c r="BE28" s="906"/>
      <c r="BF28" s="906"/>
      <c r="BG28" s="862"/>
      <c r="BH28" s="1404"/>
      <c r="BI28" s="1404"/>
      <c r="BJ28" s="1404"/>
      <c r="BK28" s="906"/>
      <c r="BL28" s="862"/>
      <c r="BM28" s="906"/>
      <c r="BN28" s="906"/>
      <c r="BO28" s="906"/>
      <c r="BP28" s="906"/>
      <c r="BQ28" s="1470"/>
      <c r="BR28" s="1470"/>
      <c r="BS28" s="1470"/>
      <c r="BT28" s="1470"/>
      <c r="BU28" s="1470"/>
      <c r="BV28" s="1470"/>
      <c r="BW28" s="1470"/>
      <c r="BX28" s="1470"/>
      <c r="BY28" s="1470"/>
      <c r="BZ28" s="2867"/>
      <c r="CA28" s="2867"/>
      <c r="CB28" s="2866"/>
      <c r="CC28" s="2867"/>
      <c r="CD28" s="2867"/>
      <c r="CE28" s="2867"/>
      <c r="CF28" s="2867"/>
      <c r="CG28" s="862"/>
      <c r="CH28" s="862"/>
      <c r="CI28" s="862"/>
      <c r="CJ28" s="862"/>
      <c r="CK28" s="862"/>
      <c r="CL28" s="862"/>
    </row>
    <row r="29" spans="1:90">
      <c r="A29" s="862"/>
      <c r="B29" s="259" t="s">
        <v>1564</v>
      </c>
      <c r="C29" s="862"/>
      <c r="D29" s="1090"/>
      <c r="E29" s="1090"/>
      <c r="F29" s="1090"/>
      <c r="G29" s="862"/>
      <c r="H29" s="1191"/>
      <c r="I29" s="862"/>
      <c r="J29" s="862"/>
      <c r="K29" s="1470"/>
      <c r="L29" s="1470"/>
      <c r="M29" s="1470"/>
      <c r="N29" s="1470"/>
      <c r="O29" s="1470"/>
      <c r="P29" s="1470"/>
      <c r="Q29" s="1470"/>
      <c r="R29" s="1470"/>
      <c r="S29" s="1470"/>
      <c r="T29" s="1470"/>
      <c r="U29" s="1470"/>
      <c r="V29" s="1470"/>
      <c r="W29" s="1470"/>
      <c r="X29" s="862"/>
      <c r="Y29" s="862"/>
      <c r="Z29" s="862"/>
      <c r="AA29" s="862"/>
      <c r="AB29" s="862"/>
      <c r="AC29" s="862"/>
      <c r="AD29" s="862"/>
      <c r="AE29" s="862"/>
      <c r="AF29" s="862"/>
      <c r="AG29" s="862"/>
      <c r="AH29" s="862"/>
      <c r="AI29" s="862"/>
      <c r="AJ29" s="862"/>
      <c r="AK29" s="862"/>
      <c r="AL29" s="862"/>
      <c r="AM29" s="862"/>
      <c r="AN29" s="862"/>
      <c r="AO29" s="862"/>
      <c r="AP29" s="862"/>
      <c r="AQ29" s="862"/>
      <c r="AR29" s="862"/>
      <c r="AS29" s="862"/>
      <c r="AT29" s="862"/>
      <c r="AU29" s="862"/>
      <c r="AV29" s="862"/>
      <c r="AW29" s="862"/>
      <c r="AX29" s="862"/>
      <c r="AY29" s="862"/>
      <c r="AZ29" s="862"/>
      <c r="BA29" s="862"/>
      <c r="BB29" s="862"/>
      <c r="BC29" s="906"/>
      <c r="BD29" s="906"/>
      <c r="BE29" s="906"/>
      <c r="BF29" s="906"/>
      <c r="BG29" s="862"/>
      <c r="BH29" s="1404"/>
      <c r="BI29" s="1404"/>
      <c r="BJ29" s="1404"/>
      <c r="BK29" s="906"/>
      <c r="BL29" s="862"/>
      <c r="BM29" s="906"/>
      <c r="BN29" s="906"/>
      <c r="BO29" s="906"/>
      <c r="BP29" s="906"/>
      <c r="BQ29" s="1470"/>
      <c r="BR29" s="1470"/>
      <c r="BS29" s="1470"/>
      <c r="BT29" s="1470"/>
      <c r="BU29" s="1470"/>
      <c r="BV29" s="1470"/>
      <c r="BW29" s="1470"/>
      <c r="BX29" s="1470"/>
      <c r="BY29" s="1470"/>
      <c r="BZ29" s="2867"/>
      <c r="CA29" s="2867"/>
      <c r="CB29" s="2866"/>
      <c r="CC29" s="2867"/>
      <c r="CD29" s="2867"/>
      <c r="CE29" s="2867"/>
      <c r="CF29" s="2867"/>
      <c r="CG29" s="862"/>
      <c r="CH29" s="862"/>
      <c r="CI29" s="862"/>
      <c r="CJ29" s="862"/>
      <c r="CK29" s="862"/>
      <c r="CL29" s="862"/>
    </row>
    <row r="30" spans="1:90" s="91" customFormat="1">
      <c r="A30" s="862"/>
      <c r="B30" s="865" t="s">
        <v>1580</v>
      </c>
      <c r="C30" s="862"/>
      <c r="D30" s="104">
        <f>'CBS Network'!Q24-'CBS Network'!Q22</f>
        <v>3562.7454579492996</v>
      </c>
      <c r="E30" s="104">
        <f>'CBS Network'!R24-'CBS Network'!R22</f>
        <v>3857.8269784851486</v>
      </c>
      <c r="F30" s="104">
        <f>'CBS Network'!S24-'CBS Network'!S22</f>
        <v>3494.7168385458699</v>
      </c>
      <c r="G30" s="104">
        <f>'CBS Network'!T24-'CBS Network'!T22</f>
        <v>3507.7770473830242</v>
      </c>
      <c r="H30" s="104">
        <f>'CBS Network'!U24-'CBS Network'!U22</f>
        <v>3574.1823783209452</v>
      </c>
      <c r="I30" s="104">
        <f>'CBS Network'!V24-'CBS Network'!V22</f>
        <v>3735.8635930217215</v>
      </c>
      <c r="J30" s="104">
        <f>'CBS Network'!W24-'CBS Network'!W22</f>
        <v>3889.6326358465217</v>
      </c>
      <c r="K30" s="1362">
        <f>'CBS Network'!X24-'CBS Network'!X22</f>
        <v>3860.9303290548542</v>
      </c>
      <c r="L30" s="1362">
        <f>'CBS Network'!Y24-'CBS Network'!Y22</f>
        <v>4025.9216666785287</v>
      </c>
      <c r="M30" s="1362">
        <f>'CBS Network'!Z24-'CBS Network'!Z22</f>
        <v>4183.4677500124553</v>
      </c>
      <c r="N30" s="1362">
        <f>'CBS Network'!AA24-'CBS Network'!AA22</f>
        <v>4379.9809324443731</v>
      </c>
      <c r="O30" s="1362">
        <f>'CBS Network'!AB24-'CBS Network'!AB22</f>
        <v>4523.8033145517093</v>
      </c>
      <c r="P30" s="1362">
        <f>'CBS Network'!AC24-'CBS Network'!AC22</f>
        <v>4721.4805700838169</v>
      </c>
      <c r="Q30" s="104">
        <f>'CBS Network'!AD24-'CBS Network'!AD22</f>
        <v>4843.911995652421</v>
      </c>
      <c r="R30" s="104">
        <f>'CBS Network'!AE24-'CBS Network'!AE22</f>
        <v>5111.3269010544846</v>
      </c>
      <c r="S30" s="104">
        <f>'CBS Network'!AF24-'CBS Network'!AF22</f>
        <v>5287.6081983506419</v>
      </c>
      <c r="T30" s="1362">
        <f>'CBS Network'!AG24-'CBS Network'!AG22</f>
        <v>5483.2352922204</v>
      </c>
      <c r="U30" s="1362">
        <f>'CBS Network'!AH24-'CBS Network'!AH22</f>
        <v>5662.7148810554672</v>
      </c>
      <c r="V30" s="1362">
        <f>'CBS Network'!AI24-'CBS Network'!AI22</f>
        <v>5866.0099671294774</v>
      </c>
      <c r="W30" s="1362">
        <f>'CBS Network'!AJ24-'CBS Network'!AJ22</f>
        <v>6057.0527785697168</v>
      </c>
      <c r="X30" s="862"/>
      <c r="Y30" s="862"/>
      <c r="Z30" s="862"/>
      <c r="AA30" s="862"/>
      <c r="AB30" s="862"/>
      <c r="AC30" s="862"/>
      <c r="AD30" s="862"/>
      <c r="AE30" s="862"/>
      <c r="AF30" s="862"/>
      <c r="AG30" s="862"/>
      <c r="AH30" s="862"/>
      <c r="AI30" s="862"/>
      <c r="AJ30" s="862"/>
      <c r="AK30" s="862"/>
      <c r="AL30" s="862"/>
      <c r="AM30" s="862"/>
      <c r="AN30" s="862"/>
      <c r="AO30" s="862"/>
      <c r="AP30" s="862"/>
      <c r="AQ30" s="862"/>
      <c r="AR30" s="862"/>
      <c r="AS30" s="862"/>
      <c r="AT30" s="862"/>
      <c r="AU30" s="862"/>
      <c r="AV30" s="862"/>
      <c r="AW30" s="862"/>
      <c r="AX30" s="862"/>
      <c r="AY30" s="862"/>
      <c r="AZ30" s="862"/>
      <c r="BA30" s="862"/>
      <c r="BB30" s="862"/>
      <c r="BC30" s="906"/>
      <c r="BD30" s="906"/>
      <c r="BE30" s="906"/>
      <c r="BF30" s="906"/>
      <c r="BG30" s="862"/>
      <c r="BH30" s="906"/>
      <c r="BI30" s="906"/>
      <c r="BJ30" s="906"/>
      <c r="BK30" s="906"/>
      <c r="BL30" s="862"/>
      <c r="BM30" s="906"/>
      <c r="BN30" s="906"/>
      <c r="BO30" s="906"/>
      <c r="BP30" s="906"/>
      <c r="BQ30" s="1470"/>
      <c r="BR30" s="1470"/>
      <c r="BS30" s="1470"/>
      <c r="BT30" s="1470"/>
      <c r="BU30" s="1470"/>
      <c r="BV30" s="1470"/>
      <c r="BW30" s="1470"/>
      <c r="BX30" s="1470"/>
      <c r="BY30" s="1470"/>
      <c r="BZ30" s="2867"/>
      <c r="CA30" s="2867"/>
      <c r="CB30" s="2866"/>
      <c r="CC30" s="2867"/>
      <c r="CD30" s="2867"/>
      <c r="CE30" s="2867"/>
      <c r="CF30" s="2867"/>
      <c r="CG30" s="862"/>
      <c r="CH30" s="862"/>
      <c r="CI30" s="862"/>
      <c r="CJ30" s="862"/>
      <c r="CK30" s="862"/>
      <c r="CL30" s="862"/>
    </row>
    <row r="31" spans="1:90" s="91" customFormat="1">
      <c r="A31" s="862"/>
      <c r="B31" s="2093" t="s">
        <v>1581</v>
      </c>
      <c r="C31" s="862"/>
      <c r="D31" s="1090"/>
      <c r="E31" s="2066">
        <f>E30/D30-1</f>
        <v>8.2824193874826202E-2</v>
      </c>
      <c r="F31" s="2066">
        <f t="shared" ref="F31:W31" si="23">F30/E30-1</f>
        <v>-9.4122971808824119E-2</v>
      </c>
      <c r="G31" s="2066">
        <f t="shared" si="23"/>
        <v>3.7371293413828166E-3</v>
      </c>
      <c r="H31" s="2066">
        <f t="shared" si="23"/>
        <v>1.8930887009327657E-2</v>
      </c>
      <c r="I31" s="2066">
        <f t="shared" si="23"/>
        <v>4.5235860285543161E-2</v>
      </c>
      <c r="J31" s="2066">
        <f t="shared" si="23"/>
        <v>4.1160240195072362E-2</v>
      </c>
      <c r="K31" s="1364">
        <f t="shared" si="23"/>
        <v>-7.3791819122324132E-3</v>
      </c>
      <c r="L31" s="1364">
        <f t="shared" si="23"/>
        <v>4.2733570295754086E-2</v>
      </c>
      <c r="M31" s="1364">
        <f t="shared" si="23"/>
        <v>3.9132923185737356E-2</v>
      </c>
      <c r="N31" s="1364">
        <f t="shared" si="23"/>
        <v>4.6973753396648776E-2</v>
      </c>
      <c r="O31" s="1364">
        <f t="shared" si="23"/>
        <v>3.2836303245519449E-2</v>
      </c>
      <c r="P31" s="1364">
        <f t="shared" si="23"/>
        <v>4.3697137516177875E-2</v>
      </c>
      <c r="Q31" s="2066">
        <f t="shared" si="23"/>
        <v>2.5930727396052955E-2</v>
      </c>
      <c r="R31" s="2066">
        <f t="shared" si="23"/>
        <v>5.5206392197479692E-2</v>
      </c>
      <c r="S31" s="2066">
        <f t="shared" si="23"/>
        <v>3.4488362945400697E-2</v>
      </c>
      <c r="T31" s="1364">
        <f t="shared" si="23"/>
        <v>3.6997274860641083E-2</v>
      </c>
      <c r="U31" s="1364">
        <f t="shared" si="23"/>
        <v>3.2732425159597289E-2</v>
      </c>
      <c r="V31" s="1364">
        <f t="shared" si="23"/>
        <v>3.5900639594999006E-2</v>
      </c>
      <c r="W31" s="1364">
        <f t="shared" si="23"/>
        <v>3.2567761137597628E-2</v>
      </c>
      <c r="X31" s="862"/>
      <c r="Y31" s="862"/>
      <c r="Z31" s="862"/>
      <c r="AA31" s="862"/>
      <c r="AB31" s="862"/>
      <c r="AC31" s="862"/>
      <c r="AD31" s="862"/>
      <c r="AE31" s="862"/>
      <c r="AF31" s="862"/>
      <c r="AG31" s="862"/>
      <c r="AH31" s="862"/>
      <c r="AI31" s="862"/>
      <c r="AJ31" s="862"/>
      <c r="AK31" s="862"/>
      <c r="AL31" s="862"/>
      <c r="AM31" s="862"/>
      <c r="AN31" s="862"/>
      <c r="AO31" s="862"/>
      <c r="AP31" s="862"/>
      <c r="AQ31" s="862"/>
      <c r="AR31" s="862"/>
      <c r="AS31" s="862"/>
      <c r="AT31" s="862"/>
      <c r="AU31" s="862"/>
      <c r="AV31" s="862"/>
      <c r="AW31" s="862"/>
      <c r="AX31" s="862"/>
      <c r="AY31" s="862"/>
      <c r="AZ31" s="862"/>
      <c r="BA31" s="862"/>
      <c r="BB31" s="862"/>
      <c r="BC31" s="906"/>
      <c r="BD31" s="906"/>
      <c r="BE31" s="906"/>
      <c r="BF31" s="906"/>
      <c r="BG31" s="862"/>
      <c r="BH31" s="906"/>
      <c r="BI31" s="906"/>
      <c r="BJ31" s="906"/>
      <c r="BK31" s="906"/>
      <c r="BL31" s="862"/>
      <c r="BM31" s="906"/>
      <c r="BN31" s="906"/>
      <c r="BO31" s="906"/>
      <c r="BP31" s="906"/>
      <c r="BQ31" s="1470"/>
      <c r="BR31" s="1470"/>
      <c r="BS31" s="1710"/>
      <c r="BT31" s="1710"/>
      <c r="BU31" s="1710"/>
      <c r="BV31" s="1710"/>
      <c r="BW31" s="1710"/>
      <c r="BX31" s="1710"/>
      <c r="BY31" s="1710"/>
      <c r="BZ31" s="3343"/>
      <c r="CA31" s="2867"/>
      <c r="CB31" s="2866"/>
      <c r="CC31" s="2867"/>
      <c r="CD31" s="2867"/>
      <c r="CE31" s="2867"/>
      <c r="CF31" s="2867"/>
      <c r="CG31" s="862"/>
      <c r="CH31" s="862"/>
      <c r="CI31" s="862"/>
      <c r="CJ31" s="862"/>
      <c r="CK31" s="862"/>
      <c r="CL31" s="862"/>
    </row>
    <row r="32" spans="1:90" s="91" customFormat="1">
      <c r="A32" s="862"/>
      <c r="B32" s="865"/>
      <c r="C32" s="862"/>
      <c r="D32" s="1090"/>
      <c r="E32" s="1090"/>
      <c r="F32" s="1090"/>
      <c r="G32" s="862"/>
      <c r="H32" s="1191"/>
      <c r="I32" s="862"/>
      <c r="J32" s="862"/>
      <c r="K32" s="862"/>
      <c r="L32" s="862"/>
      <c r="M32" s="862"/>
      <c r="N32" s="862"/>
      <c r="O32" s="862"/>
      <c r="P32" s="862"/>
      <c r="Q32" s="862"/>
      <c r="R32" s="862"/>
      <c r="S32" s="862"/>
      <c r="T32" s="862"/>
      <c r="U32" s="862"/>
      <c r="V32" s="862"/>
      <c r="W32" s="862"/>
      <c r="X32" s="862"/>
      <c r="Y32" s="862"/>
      <c r="Z32" s="862"/>
      <c r="AA32" s="862"/>
      <c r="AB32" s="862"/>
      <c r="AC32" s="862"/>
      <c r="AD32" s="862"/>
      <c r="AE32" s="862"/>
      <c r="AF32" s="862"/>
      <c r="AG32" s="862"/>
      <c r="AH32" s="862"/>
      <c r="AI32" s="862"/>
      <c r="AJ32" s="862"/>
      <c r="AK32" s="862"/>
      <c r="AL32" s="862"/>
      <c r="AM32" s="862"/>
      <c r="AN32" s="862"/>
      <c r="AO32" s="862"/>
      <c r="AP32" s="862"/>
      <c r="AQ32" s="862"/>
      <c r="AR32" s="862"/>
      <c r="AS32" s="862"/>
      <c r="AT32" s="862"/>
      <c r="AU32" s="862"/>
      <c r="AV32" s="862"/>
      <c r="AW32" s="862"/>
      <c r="AX32" s="862"/>
      <c r="AY32" s="862"/>
      <c r="AZ32" s="862"/>
      <c r="BA32" s="862"/>
      <c r="BB32" s="862"/>
      <c r="BC32" s="906"/>
      <c r="BD32" s="906"/>
      <c r="BE32" s="906"/>
      <c r="BF32" s="906"/>
      <c r="BG32" s="862"/>
      <c r="BH32" s="906"/>
      <c r="BI32" s="906"/>
      <c r="BJ32" s="906"/>
      <c r="BK32" s="906"/>
      <c r="BL32" s="862"/>
      <c r="BM32" s="906"/>
      <c r="BN32" s="906"/>
      <c r="BO32" s="906"/>
      <c r="BP32" s="906"/>
      <c r="BQ32" s="1470"/>
      <c r="BR32" s="1470"/>
      <c r="BS32" s="1710"/>
      <c r="BT32" s="1710"/>
      <c r="BU32" s="1470"/>
      <c r="BV32" s="1470"/>
      <c r="BW32" s="1470"/>
      <c r="BX32" s="1470"/>
      <c r="BY32" s="1470"/>
      <c r="BZ32" s="2867"/>
      <c r="CA32" s="2867"/>
      <c r="CB32" s="2866"/>
      <c r="CC32" s="2867"/>
      <c r="CD32" s="2867"/>
      <c r="CE32" s="2867"/>
      <c r="CF32" s="2867"/>
      <c r="CG32" s="862"/>
      <c r="CH32" s="862"/>
      <c r="CI32" s="862"/>
      <c r="CJ32" s="862"/>
      <c r="CK32" s="862"/>
      <c r="CL32" s="862"/>
    </row>
    <row r="33" spans="1:90">
      <c r="A33" s="938"/>
      <c r="B33" s="865" t="s">
        <v>854</v>
      </c>
      <c r="C33" s="1407">
        <f>+CHOOSE($B$28,C34,C35,C36)</f>
        <v>-1.7874667435838432E-2</v>
      </c>
      <c r="D33" s="1407">
        <f t="shared" ref="D33:W33" si="24">+CHOOSE($B$28,D34,D35,D36)</f>
        <v>7.8372103792348824E-2</v>
      </c>
      <c r="E33" s="1407">
        <f t="shared" si="24"/>
        <v>6.0000000000000053E-3</v>
      </c>
      <c r="F33" s="1407">
        <f t="shared" si="24"/>
        <v>-4.6182482037610773E-2</v>
      </c>
      <c r="G33" s="1407">
        <f t="shared" si="24"/>
        <v>-2.4645728643610032E-2</v>
      </c>
      <c r="H33" s="1407">
        <f t="shared" si="24"/>
        <v>4.4153310672078172E-2</v>
      </c>
      <c r="I33" s="1407">
        <f t="shared" si="24"/>
        <v>-6.1491375487860989E-2</v>
      </c>
      <c r="J33" s="1407">
        <f t="shared" si="24"/>
        <v>4.3171598021516155E-2</v>
      </c>
      <c r="K33" s="1407">
        <f t="shared" si="24"/>
        <v>2.7593578269136998E-2</v>
      </c>
      <c r="L33" s="1407">
        <f t="shared" si="24"/>
        <v>2.6099530979731389E-2</v>
      </c>
      <c r="M33" s="1407">
        <f t="shared" si="24"/>
        <v>5.0000000000000044E-2</v>
      </c>
      <c r="N33" s="1407">
        <f t="shared" si="24"/>
        <v>3.5000000000000003E-2</v>
      </c>
      <c r="O33" s="1407">
        <f t="shared" si="24"/>
        <v>3.3000000000000002E-2</v>
      </c>
      <c r="P33" s="1407">
        <f t="shared" si="24"/>
        <v>3.1E-2</v>
      </c>
      <c r="Q33" s="1407">
        <f t="shared" si="24"/>
        <v>2.8999999999999998E-2</v>
      </c>
      <c r="R33" s="1407">
        <f t="shared" si="24"/>
        <v>2.6999999999999996E-2</v>
      </c>
      <c r="S33" s="1407">
        <f t="shared" si="24"/>
        <v>2.4999999999999994E-2</v>
      </c>
      <c r="T33" s="1407">
        <f t="shared" si="24"/>
        <v>2.2999999999999993E-2</v>
      </c>
      <c r="U33" s="1407">
        <f t="shared" si="24"/>
        <v>2.0999999999999991E-2</v>
      </c>
      <c r="V33" s="1407">
        <f t="shared" si="24"/>
        <v>0.02</v>
      </c>
      <c r="W33" s="1407">
        <f t="shared" si="24"/>
        <v>0.02</v>
      </c>
      <c r="X33" s="862"/>
      <c r="Y33" s="862"/>
      <c r="Z33" s="862"/>
      <c r="AA33" s="862"/>
      <c r="AB33" s="862"/>
      <c r="AC33" s="862"/>
      <c r="AD33" s="862"/>
      <c r="AE33" s="862"/>
      <c r="AF33" s="862"/>
      <c r="AG33" s="862"/>
      <c r="AH33" s="862"/>
      <c r="AI33" s="862"/>
      <c r="AJ33" s="862"/>
      <c r="AK33" s="862"/>
      <c r="AL33" s="862"/>
      <c r="AM33" s="862"/>
      <c r="AN33" s="862"/>
      <c r="AO33" s="862"/>
      <c r="AP33" s="862"/>
      <c r="AQ33" s="862"/>
      <c r="AR33" s="862"/>
      <c r="BH33" s="1407">
        <f>+CHOOSE($B$3,BH34,BH35,BH36)</f>
        <v>0.02</v>
      </c>
      <c r="BI33" s="1407">
        <f>+CHOOSE($B$3,BI34,BI35,BI36)</f>
        <v>2.5000000000000001E-2</v>
      </c>
      <c r="BJ33" s="1407">
        <f>+CHOOSE($B$3,BJ34,BJ35,BJ36)</f>
        <v>0.03</v>
      </c>
      <c r="BK33" s="1407">
        <f>+CHOOSE($B$3,BK34,BK35,BK36)</f>
        <v>-0.02</v>
      </c>
      <c r="BM33" s="1616">
        <f>+CHOOSE($B$3,BM34,BM35,BM36)</f>
        <v>2.5000000000000001E-2</v>
      </c>
      <c r="BN33" s="1616">
        <f>+CHOOSE($B$3,BN34,BN35,BN36)</f>
        <v>0.14000000000000001</v>
      </c>
      <c r="BO33" s="1616">
        <f>+CHOOSE($B$3,BO34,BO35,BO36)</f>
        <v>0.06</v>
      </c>
      <c r="BP33" s="1616">
        <f>+CHOOSE($B$3,BP34,BP35,BP36)</f>
        <v>-5.5E-2</v>
      </c>
      <c r="BQ33" s="1470"/>
      <c r="BR33" s="2214">
        <f>+CHOOSE($B$3,BR34,BR35,BR36)</f>
        <v>3.5000000000000003E-2</v>
      </c>
      <c r="BS33" s="2214">
        <f>+CHOOSE($B$3,BS34,BS35,BS36)</f>
        <v>0.02</v>
      </c>
      <c r="BT33" s="2214">
        <f>+CHOOSE($B$3,BT34,BT35,BT36)</f>
        <v>2.5000000000000001E-2</v>
      </c>
      <c r="BU33" s="2214">
        <f>+CHOOSE($B$3,BU34,BU35,BU36)</f>
        <v>0.03</v>
      </c>
      <c r="BV33" s="1577"/>
      <c r="BW33" s="2214">
        <f>+CHOOSE($B$3,BW34,BW35,BW36)</f>
        <v>2.5000000000000001E-2</v>
      </c>
      <c r="BX33" s="2214">
        <f>+CHOOSE($B$3,BX34,BX35,BX36)</f>
        <v>2.5000000000000001E-2</v>
      </c>
      <c r="BY33" s="2214">
        <f>+CHOOSE($B$3,BY34,BY35,BY36)</f>
        <v>2.5000000000000001E-2</v>
      </c>
      <c r="BZ33" s="2956">
        <f>+CHOOSE($B$3,BZ34,BZ35,BZ36)</f>
        <v>0.03</v>
      </c>
      <c r="CA33" s="2807"/>
      <c r="CB33" s="2956">
        <f t="shared" ref="CB33:CE33" si="25">+CHOOSE($B$3,CB34,CB35,CB36)</f>
        <v>0.05</v>
      </c>
      <c r="CC33" s="2956">
        <f t="shared" si="25"/>
        <v>0.05</v>
      </c>
      <c r="CD33" s="2956">
        <f t="shared" si="25"/>
        <v>0.05</v>
      </c>
      <c r="CE33" s="2956">
        <f t="shared" si="25"/>
        <v>0.05</v>
      </c>
      <c r="CF33" s="2807"/>
    </row>
    <row r="34" spans="1:90">
      <c r="A34" s="862"/>
      <c r="B34" s="862"/>
      <c r="C34" s="2001">
        <f>'CBS Network'!P20/'CBS Network'!O20-1</f>
        <v>-1.7874667435838432E-2</v>
      </c>
      <c r="D34" s="2001">
        <f>'CBS Network'!Q20/'CBS Network'!P20-1</f>
        <v>7.8372103792348824E-2</v>
      </c>
      <c r="E34" s="2001">
        <f>'CBS Network'!R20/'CBS Network'!Q20-1</f>
        <v>6.0000000000000053E-3</v>
      </c>
      <c r="F34" s="2001">
        <f>'CBS Network'!S20/'CBS Network'!R20-1</f>
        <v>-4.6182482037610773E-2</v>
      </c>
      <c r="G34" s="2001">
        <f>'CBS Network'!T20/'CBS Network'!S20-1</f>
        <v>-2.4645728643610032E-2</v>
      </c>
      <c r="H34" s="3270">
        <f>'CBS Network'!U20/'CBS Network'!T20-1</f>
        <v>4.4153310672078172E-2</v>
      </c>
      <c r="I34" s="3270">
        <f>'CBS Network'!V20/'CBS Network'!U20-1</f>
        <v>-6.1491375487860989E-2</v>
      </c>
      <c r="J34" s="3270">
        <f>'CBS Network'!W20/'CBS Network'!V20-1</f>
        <v>4.3171598021516155E-2</v>
      </c>
      <c r="K34" s="3270">
        <f>'CBS Network'!X20/'CBS Network'!W20-1</f>
        <v>2.7593578269136998E-2</v>
      </c>
      <c r="L34" s="3270">
        <f>'CBS Network'!Y20/'CBS Network'!X20-1</f>
        <v>2.6099530979731389E-2</v>
      </c>
      <c r="M34" s="3270">
        <f>'CBS Network'!Z20/'CBS Network'!Y20-1</f>
        <v>5.0000000000000044E-2</v>
      </c>
      <c r="N34" s="2897">
        <v>3.5000000000000003E-2</v>
      </c>
      <c r="O34" s="2897">
        <f>MAX(N34-0.002, 2.5%)</f>
        <v>3.3000000000000002E-2</v>
      </c>
      <c r="P34" s="2897">
        <f t="shared" ref="P34:Q34" si="26">MAX(O34-0.002, 2.5%)</f>
        <v>3.1E-2</v>
      </c>
      <c r="Q34" s="2897">
        <f t="shared" si="26"/>
        <v>2.8999999999999998E-2</v>
      </c>
      <c r="R34" s="2897">
        <f>MAX(Q34-0.002, 2%)</f>
        <v>2.6999999999999996E-2</v>
      </c>
      <c r="S34" s="2897">
        <f t="shared" ref="S34:W34" si="27">MAX(R34-0.002, 2%)</f>
        <v>2.4999999999999994E-2</v>
      </c>
      <c r="T34" s="2897">
        <f t="shared" si="27"/>
        <v>2.2999999999999993E-2</v>
      </c>
      <c r="U34" s="2897">
        <f t="shared" si="27"/>
        <v>2.0999999999999991E-2</v>
      </c>
      <c r="V34" s="2897">
        <f t="shared" si="27"/>
        <v>0.02</v>
      </c>
      <c r="W34" s="2897">
        <f t="shared" si="27"/>
        <v>0.02</v>
      </c>
      <c r="X34" s="2867"/>
      <c r="Y34" s="862"/>
      <c r="Z34" s="862"/>
      <c r="AA34" s="862"/>
      <c r="AB34" s="862"/>
      <c r="AC34" s="862"/>
      <c r="AD34" s="862"/>
      <c r="AE34" s="862"/>
      <c r="AF34" s="862"/>
      <c r="AG34" s="862"/>
      <c r="AH34" s="862"/>
      <c r="AI34" s="862"/>
      <c r="AJ34" s="862"/>
      <c r="AK34" s="862"/>
      <c r="AL34" s="862"/>
      <c r="AM34" s="862"/>
      <c r="AN34" s="862"/>
      <c r="AO34" s="862"/>
      <c r="AP34" s="862"/>
      <c r="AQ34" s="862"/>
      <c r="AR34" s="862"/>
      <c r="BH34" s="130">
        <v>0.02</v>
      </c>
      <c r="BI34" s="130">
        <v>2.5000000000000001E-2</v>
      </c>
      <c r="BJ34" s="130">
        <v>0.03</v>
      </c>
      <c r="BK34" s="130">
        <v>-0.02</v>
      </c>
      <c r="BM34" s="1575">
        <v>2.5000000000000001E-2</v>
      </c>
      <c r="BN34" s="1575">
        <v>0.14000000000000001</v>
      </c>
      <c r="BO34" s="1575">
        <v>0.06</v>
      </c>
      <c r="BP34" s="1575">
        <v>-5.5E-2</v>
      </c>
      <c r="BQ34" s="1470"/>
      <c r="BR34" s="1602">
        <v>3.5000000000000003E-2</v>
      </c>
      <c r="BS34" s="1602">
        <v>0.02</v>
      </c>
      <c r="BT34" s="1602">
        <v>2.5000000000000001E-2</v>
      </c>
      <c r="BU34" s="1602">
        <v>0.03</v>
      </c>
      <c r="BV34" s="1577"/>
      <c r="BW34" s="1602">
        <v>2.5000000000000001E-2</v>
      </c>
      <c r="BX34" s="1602">
        <v>2.5000000000000001E-2</v>
      </c>
      <c r="BY34" s="1602">
        <v>2.5000000000000001E-2</v>
      </c>
      <c r="BZ34" s="2855">
        <v>0.03</v>
      </c>
      <c r="CA34" s="2807"/>
      <c r="CB34" s="2855">
        <v>0.05</v>
      </c>
      <c r="CC34" s="2855">
        <v>0.05</v>
      </c>
      <c r="CD34" s="2855">
        <v>0.05</v>
      </c>
      <c r="CE34" s="2855">
        <v>0.05</v>
      </c>
      <c r="CF34" s="2807"/>
    </row>
    <row r="35" spans="1:90">
      <c r="A35" s="862"/>
      <c r="B35" s="862"/>
      <c r="C35" s="1201">
        <f>C34</f>
        <v>-1.7874667435838432E-2</v>
      </c>
      <c r="D35" s="1201">
        <f t="shared" ref="D35:I36" si="28">D34</f>
        <v>7.8372103792348824E-2</v>
      </c>
      <c r="E35" s="1201">
        <f t="shared" si="28"/>
        <v>6.0000000000000053E-3</v>
      </c>
      <c r="F35" s="1201">
        <f t="shared" si="28"/>
        <v>-4.6182482037610773E-2</v>
      </c>
      <c r="G35" s="1201">
        <f t="shared" si="28"/>
        <v>-2.4645728643610032E-2</v>
      </c>
      <c r="H35" s="2955">
        <f t="shared" si="28"/>
        <v>4.4153310672078172E-2</v>
      </c>
      <c r="I35" s="2955">
        <f t="shared" si="28"/>
        <v>-6.1491375487860989E-2</v>
      </c>
      <c r="J35" s="2955">
        <f t="shared" ref="J35:L36" si="29">J34</f>
        <v>4.3171598021516155E-2</v>
      </c>
      <c r="K35" s="2955">
        <f t="shared" si="29"/>
        <v>2.7593578269136998E-2</v>
      </c>
      <c r="L35" s="2955">
        <f t="shared" si="29"/>
        <v>2.6099530979731389E-2</v>
      </c>
      <c r="M35" s="2955">
        <f t="shared" ref="M35" si="30">M34</f>
        <v>5.0000000000000044E-2</v>
      </c>
      <c r="N35" s="2866">
        <f t="shared" ref="N35:V35" si="31">+N34+0.5%</f>
        <v>0.04</v>
      </c>
      <c r="O35" s="2866">
        <f t="shared" si="31"/>
        <v>3.7999999999999999E-2</v>
      </c>
      <c r="P35" s="2866">
        <f t="shared" si="31"/>
        <v>3.5999999999999997E-2</v>
      </c>
      <c r="Q35" s="2866">
        <f t="shared" si="31"/>
        <v>3.3999999999999996E-2</v>
      </c>
      <c r="R35" s="2866">
        <f t="shared" si="31"/>
        <v>3.1999999999999994E-2</v>
      </c>
      <c r="S35" s="2866">
        <f t="shared" si="31"/>
        <v>2.9999999999999995E-2</v>
      </c>
      <c r="T35" s="2866">
        <f t="shared" si="31"/>
        <v>2.7999999999999994E-2</v>
      </c>
      <c r="U35" s="2866">
        <f>+U34+0.5%</f>
        <v>2.5999999999999992E-2</v>
      </c>
      <c r="V35" s="2866">
        <f t="shared" si="31"/>
        <v>2.5000000000000001E-2</v>
      </c>
      <c r="W35" s="2866">
        <f t="shared" ref="W35" si="32">+W34+0.5%</f>
        <v>2.5000000000000001E-2</v>
      </c>
      <c r="X35" s="2867"/>
      <c r="Y35" s="862"/>
      <c r="Z35" s="862"/>
      <c r="AA35" s="862"/>
      <c r="AB35" s="862"/>
      <c r="AC35" s="862"/>
      <c r="AD35" s="862"/>
      <c r="AE35" s="862"/>
      <c r="AF35" s="862"/>
      <c r="AG35" s="862"/>
      <c r="AH35" s="862"/>
      <c r="AI35" s="862"/>
      <c r="AJ35" s="862"/>
      <c r="AK35" s="862"/>
      <c r="AL35" s="862"/>
      <c r="AM35" s="862"/>
      <c r="AN35" s="862"/>
      <c r="AO35" s="862"/>
      <c r="AP35" s="862"/>
      <c r="AQ35" s="862"/>
      <c r="AR35" s="862"/>
      <c r="BH35" s="1201">
        <f>+BH34</f>
        <v>0.02</v>
      </c>
      <c r="BI35" s="1201">
        <f>+BI34</f>
        <v>2.5000000000000001E-2</v>
      </c>
      <c r="BJ35" s="1201">
        <f>+BJ34</f>
        <v>0.03</v>
      </c>
      <c r="BK35" s="1201">
        <f>+BK34</f>
        <v>-0.02</v>
      </c>
      <c r="BL35" s="862"/>
      <c r="BM35" s="1201">
        <f>BM34</f>
        <v>2.5000000000000001E-2</v>
      </c>
      <c r="BN35" s="1201">
        <f>BN34</f>
        <v>0.14000000000000001</v>
      </c>
      <c r="BO35" s="1201">
        <f>BO34</f>
        <v>0.06</v>
      </c>
      <c r="BP35" s="1201">
        <f>BP34</f>
        <v>-5.5E-2</v>
      </c>
      <c r="BQ35" s="1470"/>
      <c r="BR35" s="2077">
        <f>BR34</f>
        <v>3.5000000000000003E-2</v>
      </c>
      <c r="BS35" s="2077">
        <f>BS34</f>
        <v>0.02</v>
      </c>
      <c r="BT35" s="2077">
        <f>BT34</f>
        <v>2.5000000000000001E-2</v>
      </c>
      <c r="BU35" s="2077">
        <f>BU34</f>
        <v>0.03</v>
      </c>
      <c r="BV35" s="1577"/>
      <c r="BW35" s="2077">
        <f t="shared" ref="BW35:BY35" si="33">BW34</f>
        <v>2.5000000000000001E-2</v>
      </c>
      <c r="BX35" s="2077">
        <f t="shared" si="33"/>
        <v>2.5000000000000001E-2</v>
      </c>
      <c r="BY35" s="2077">
        <f t="shared" si="33"/>
        <v>2.5000000000000001E-2</v>
      </c>
      <c r="BZ35" s="3003">
        <f>+BZ34+0.002</f>
        <v>3.2000000000000001E-2</v>
      </c>
      <c r="CA35" s="2807"/>
      <c r="CB35" s="3003">
        <f>+CB34+0.005</f>
        <v>5.5E-2</v>
      </c>
      <c r="CC35" s="3003">
        <f t="shared" ref="CC35:CE35" si="34">+CC34+0.005</f>
        <v>5.5E-2</v>
      </c>
      <c r="CD35" s="3003">
        <f t="shared" si="34"/>
        <v>5.5E-2</v>
      </c>
      <c r="CE35" s="3003">
        <f t="shared" si="34"/>
        <v>5.5E-2</v>
      </c>
      <c r="CF35" s="2807"/>
    </row>
    <row r="36" spans="1:90">
      <c r="A36" s="862"/>
      <c r="B36" s="862"/>
      <c r="C36" s="1201">
        <f>C35</f>
        <v>-1.7874667435838432E-2</v>
      </c>
      <c r="D36" s="1201">
        <f t="shared" si="28"/>
        <v>7.8372103792348824E-2</v>
      </c>
      <c r="E36" s="1201">
        <f t="shared" si="28"/>
        <v>6.0000000000000053E-3</v>
      </c>
      <c r="F36" s="1201">
        <f t="shared" si="28"/>
        <v>-4.6182482037610773E-2</v>
      </c>
      <c r="G36" s="1201">
        <f t="shared" si="28"/>
        <v>-2.4645728643610032E-2</v>
      </c>
      <c r="H36" s="2955">
        <f t="shared" si="28"/>
        <v>4.4153310672078172E-2</v>
      </c>
      <c r="I36" s="2955">
        <f t="shared" si="28"/>
        <v>-6.1491375487860989E-2</v>
      </c>
      <c r="J36" s="2955">
        <f t="shared" si="29"/>
        <v>4.3171598021516155E-2</v>
      </c>
      <c r="K36" s="2955">
        <f t="shared" si="29"/>
        <v>2.7593578269136998E-2</v>
      </c>
      <c r="L36" s="2955">
        <f t="shared" si="29"/>
        <v>2.6099530979731389E-2</v>
      </c>
      <c r="M36" s="2955">
        <f t="shared" ref="M36" si="35">M35</f>
        <v>5.0000000000000044E-2</v>
      </c>
      <c r="N36" s="2866">
        <f t="shared" ref="N36:V36" si="36">+N34-0.75%</f>
        <v>2.7500000000000004E-2</v>
      </c>
      <c r="O36" s="2866">
        <f t="shared" si="36"/>
        <v>2.5500000000000002E-2</v>
      </c>
      <c r="P36" s="2866">
        <f t="shared" si="36"/>
        <v>2.35E-2</v>
      </c>
      <c r="Q36" s="2866">
        <f t="shared" si="36"/>
        <v>2.1499999999999998E-2</v>
      </c>
      <c r="R36" s="2866">
        <f t="shared" si="36"/>
        <v>1.9499999999999997E-2</v>
      </c>
      <c r="S36" s="2866">
        <f t="shared" si="36"/>
        <v>1.7499999999999995E-2</v>
      </c>
      <c r="T36" s="2866">
        <f t="shared" si="36"/>
        <v>1.5499999999999993E-2</v>
      </c>
      <c r="U36" s="2866">
        <f>+U34-0.75%</f>
        <v>1.3499999999999991E-2</v>
      </c>
      <c r="V36" s="2866">
        <f t="shared" si="36"/>
        <v>1.2500000000000001E-2</v>
      </c>
      <c r="W36" s="2866">
        <f t="shared" ref="W36" si="37">+W34-0.75%</f>
        <v>1.2500000000000001E-2</v>
      </c>
      <c r="X36" s="2867"/>
      <c r="Y36" s="862"/>
      <c r="Z36" s="862"/>
      <c r="AA36" s="862"/>
      <c r="AB36" s="862"/>
      <c r="AC36" s="862"/>
      <c r="AD36" s="862"/>
      <c r="AE36" s="862"/>
      <c r="AF36" s="862"/>
      <c r="AG36" s="862"/>
      <c r="AH36" s="862"/>
      <c r="AI36" s="862"/>
      <c r="AJ36" s="862"/>
      <c r="AK36" s="862"/>
      <c r="AL36" s="862"/>
      <c r="AM36" s="862"/>
      <c r="AN36" s="862"/>
      <c r="AO36" s="862"/>
      <c r="AP36" s="862"/>
      <c r="AQ36" s="862"/>
      <c r="AR36" s="862"/>
      <c r="BH36" s="1201">
        <f>+BH34</f>
        <v>0.02</v>
      </c>
      <c r="BI36" s="1201">
        <f>+BI34</f>
        <v>2.5000000000000001E-2</v>
      </c>
      <c r="BJ36" s="1201">
        <f>+BJ34</f>
        <v>0.03</v>
      </c>
      <c r="BK36" s="1201">
        <f>+BK34</f>
        <v>-0.02</v>
      </c>
      <c r="BL36" s="862"/>
      <c r="BM36" s="1201">
        <f>BM34</f>
        <v>2.5000000000000001E-2</v>
      </c>
      <c r="BN36" s="1201">
        <f>BN34</f>
        <v>0.14000000000000001</v>
      </c>
      <c r="BO36" s="1201">
        <f>BO34</f>
        <v>0.06</v>
      </c>
      <c r="BP36" s="1201">
        <f>BP34</f>
        <v>-5.5E-2</v>
      </c>
      <c r="BQ36" s="1470"/>
      <c r="BR36" s="2077">
        <f>BR34</f>
        <v>3.5000000000000003E-2</v>
      </c>
      <c r="BS36" s="2077">
        <f>BS34</f>
        <v>0.02</v>
      </c>
      <c r="BT36" s="2077">
        <f>BT34</f>
        <v>2.5000000000000001E-2</v>
      </c>
      <c r="BU36" s="2077">
        <f>BU34</f>
        <v>0.03</v>
      </c>
      <c r="BV36" s="1577"/>
      <c r="BW36" s="2077">
        <f t="shared" ref="BW36:BY36" si="38">BW34</f>
        <v>2.5000000000000001E-2</v>
      </c>
      <c r="BX36" s="2077">
        <f t="shared" si="38"/>
        <v>2.5000000000000001E-2</v>
      </c>
      <c r="BY36" s="2077">
        <f t="shared" si="38"/>
        <v>2.5000000000000001E-2</v>
      </c>
      <c r="BZ36" s="3003">
        <f>BZ34-0.005</f>
        <v>2.4999999999999998E-2</v>
      </c>
      <c r="CA36" s="2807"/>
      <c r="CB36" s="3003">
        <f t="shared" ref="CB36:CE36" si="39">CB34-0.0075</f>
        <v>4.2500000000000003E-2</v>
      </c>
      <c r="CC36" s="3003">
        <f t="shared" si="39"/>
        <v>4.2500000000000003E-2</v>
      </c>
      <c r="CD36" s="3003">
        <f t="shared" si="39"/>
        <v>4.2500000000000003E-2</v>
      </c>
      <c r="CE36" s="3003">
        <f t="shared" si="39"/>
        <v>4.2500000000000003E-2</v>
      </c>
      <c r="CF36" s="2807"/>
    </row>
    <row r="37" spans="1:90">
      <c r="A37" s="862"/>
      <c r="B37" s="862"/>
      <c r="C37" s="1201"/>
      <c r="D37" s="1201"/>
      <c r="E37" s="1201"/>
      <c r="F37" s="1201"/>
      <c r="G37" s="1201"/>
      <c r="H37" s="2955"/>
      <c r="I37" s="2866"/>
      <c r="J37" s="2866"/>
      <c r="K37" s="2866"/>
      <c r="L37" s="2866"/>
      <c r="M37" s="2866"/>
      <c r="N37" s="2866"/>
      <c r="O37" s="2866"/>
      <c r="P37" s="2866"/>
      <c r="Q37" s="2866"/>
      <c r="R37" s="2866"/>
      <c r="S37" s="2866"/>
      <c r="T37" s="2866"/>
      <c r="U37" s="2866"/>
      <c r="V37" s="2867"/>
      <c r="W37" s="862"/>
      <c r="X37" s="862"/>
      <c r="Y37" s="862"/>
      <c r="Z37" s="862"/>
      <c r="AA37" s="862"/>
      <c r="AB37" s="862"/>
      <c r="AC37" s="862"/>
      <c r="AD37" s="862"/>
      <c r="AE37" s="862"/>
      <c r="AF37" s="862"/>
      <c r="AG37" s="862"/>
      <c r="AH37" s="862"/>
      <c r="AI37" s="862"/>
      <c r="AJ37" s="862"/>
      <c r="AK37" s="862"/>
      <c r="AL37" s="862"/>
      <c r="AM37" s="862"/>
      <c r="AN37" s="862"/>
      <c r="AO37" s="862"/>
      <c r="AP37" s="862"/>
      <c r="AQ37" s="862"/>
      <c r="AR37" s="862"/>
      <c r="BH37" s="877"/>
      <c r="BI37" s="877"/>
      <c r="BJ37" s="877"/>
      <c r="BK37" s="877"/>
      <c r="BM37" s="1613"/>
      <c r="BN37" s="1613"/>
      <c r="BO37" s="1613"/>
      <c r="BP37" s="1613"/>
      <c r="BQ37" s="1470"/>
      <c r="BR37" s="1577"/>
      <c r="BS37" s="1577"/>
      <c r="BT37" s="1577"/>
      <c r="BU37" s="2023"/>
      <c r="BV37" s="1577"/>
      <c r="BW37" s="2023"/>
      <c r="BX37" s="2023"/>
      <c r="BY37" s="2023"/>
      <c r="BZ37" s="3003"/>
      <c r="CA37" s="2807"/>
      <c r="CB37" s="3003"/>
      <c r="CC37" s="3003"/>
      <c r="CD37" s="3003"/>
      <c r="CE37" s="3003"/>
      <c r="CF37" s="2807"/>
    </row>
    <row r="38" spans="1:90">
      <c r="A38" s="862"/>
      <c r="B38" s="862"/>
      <c r="C38" s="1201"/>
      <c r="D38" s="1201"/>
      <c r="E38" s="1201"/>
      <c r="F38" s="1201"/>
      <c r="G38" s="1201"/>
      <c r="H38" s="1201"/>
      <c r="I38" s="877"/>
      <c r="J38" s="877"/>
      <c r="K38" s="877"/>
      <c r="L38" s="877"/>
      <c r="M38" s="877"/>
      <c r="N38" s="877"/>
      <c r="O38" s="877"/>
      <c r="P38" s="877"/>
      <c r="Q38" s="877"/>
      <c r="R38" s="877"/>
      <c r="S38" s="877"/>
      <c r="T38" s="877"/>
      <c r="U38" s="877"/>
      <c r="V38" s="877"/>
      <c r="W38" s="877"/>
      <c r="X38" s="877"/>
      <c r="Y38" s="877"/>
      <c r="Z38" s="862"/>
      <c r="AA38" s="862"/>
      <c r="AB38" s="862"/>
      <c r="AC38" s="862"/>
      <c r="AD38" s="862"/>
      <c r="AE38" s="862"/>
      <c r="AF38" s="862"/>
      <c r="AG38" s="862"/>
      <c r="AH38" s="862"/>
      <c r="AI38" s="862"/>
      <c r="AJ38" s="862"/>
      <c r="AK38" s="862"/>
      <c r="AL38" s="862"/>
      <c r="AM38" s="862"/>
      <c r="AN38" s="862"/>
      <c r="AO38" s="862"/>
      <c r="AP38" s="862"/>
      <c r="AQ38" s="862"/>
      <c r="AR38" s="862"/>
      <c r="BH38" s="877"/>
      <c r="BI38" s="877"/>
      <c r="BJ38" s="877"/>
      <c r="BK38" s="877"/>
      <c r="BM38" s="1613"/>
      <c r="BN38" s="1613"/>
      <c r="BO38" s="1613"/>
      <c r="BP38" s="1613"/>
      <c r="BQ38" s="1470"/>
      <c r="BR38" s="1577"/>
      <c r="BS38" s="1577"/>
      <c r="BT38" s="1577"/>
      <c r="BU38" s="2023"/>
      <c r="BV38" s="1577"/>
      <c r="BW38" s="2023"/>
      <c r="BX38" s="2023"/>
      <c r="BY38" s="2023"/>
      <c r="BZ38" s="3003"/>
      <c r="CA38" s="2807"/>
      <c r="CB38" s="3003"/>
      <c r="CC38" s="3003"/>
      <c r="CD38" s="3003"/>
      <c r="CE38" s="3003"/>
      <c r="CF38" s="2807"/>
    </row>
    <row r="39" spans="1:90">
      <c r="A39" s="862"/>
      <c r="B39" s="865" t="s">
        <v>1565</v>
      </c>
      <c r="C39" s="1407">
        <f>+CHOOSE($B$28,C40,C41,C42)</f>
        <v>-5.2449999999999886E-2</v>
      </c>
      <c r="D39" s="1407">
        <f t="shared" ref="D39:W39" si="40">+CHOOSE($B$28,D40,D41,D42)</f>
        <v>-6.8762441431363786E-2</v>
      </c>
      <c r="E39" s="1407">
        <f t="shared" si="40"/>
        <v>-1.5000000000000013E-2</v>
      </c>
      <c r="F39" s="1407">
        <f t="shared" si="40"/>
        <v>1.4549999999999841E-2</v>
      </c>
      <c r="G39" s="1407">
        <f t="shared" si="40"/>
        <v>8.5500000000000576E-3</v>
      </c>
      <c r="H39" s="1407">
        <f t="shared" si="40"/>
        <v>-7.4813300504388947E-2</v>
      </c>
      <c r="I39" s="1407">
        <f t="shared" si="40"/>
        <v>-0.14236581629114298</v>
      </c>
      <c r="J39" s="1407">
        <f t="shared" si="40"/>
        <v>1.4999999999999902E-2</v>
      </c>
      <c r="K39" s="1407">
        <f t="shared" si="40"/>
        <v>1.5000000000000124E-2</v>
      </c>
      <c r="L39" s="1407">
        <f t="shared" si="40"/>
        <v>2.0000000000000018E-2</v>
      </c>
      <c r="M39" s="1407">
        <f t="shared" si="40"/>
        <v>5.0000000000000266E-2</v>
      </c>
      <c r="N39" s="1407">
        <f t="shared" si="40"/>
        <v>3.5000000000000003E-2</v>
      </c>
      <c r="O39" s="1407">
        <f t="shared" si="40"/>
        <v>3.3000000000000002E-2</v>
      </c>
      <c r="P39" s="1407">
        <f t="shared" si="40"/>
        <v>3.1E-2</v>
      </c>
      <c r="Q39" s="1407">
        <f t="shared" si="40"/>
        <v>2.8999999999999998E-2</v>
      </c>
      <c r="R39" s="1407">
        <f t="shared" si="40"/>
        <v>2.6999999999999996E-2</v>
      </c>
      <c r="S39" s="1407">
        <f t="shared" si="40"/>
        <v>2.4999999999999994E-2</v>
      </c>
      <c r="T39" s="1407">
        <f t="shared" si="40"/>
        <v>2.2999999999999993E-2</v>
      </c>
      <c r="U39" s="1407">
        <f t="shared" si="40"/>
        <v>2.0999999999999991E-2</v>
      </c>
      <c r="V39" s="1407">
        <f t="shared" si="40"/>
        <v>0.02</v>
      </c>
      <c r="W39" s="1407">
        <f t="shared" si="40"/>
        <v>0.02</v>
      </c>
      <c r="X39" s="862"/>
      <c r="Y39" s="862"/>
      <c r="Z39" s="862"/>
      <c r="AA39" s="862"/>
      <c r="AB39" s="862"/>
      <c r="AC39" s="862"/>
      <c r="AD39" s="862"/>
      <c r="AE39" s="862"/>
      <c r="AF39" s="862"/>
      <c r="AG39" s="862"/>
      <c r="AH39" s="862"/>
      <c r="AI39" s="862"/>
      <c r="AJ39" s="862"/>
      <c r="AK39" s="862"/>
      <c r="AL39" s="862"/>
      <c r="AM39" s="862"/>
      <c r="AN39" s="862"/>
      <c r="AO39" s="862"/>
      <c r="AP39" s="862"/>
      <c r="AQ39" s="862"/>
      <c r="AR39" s="862"/>
      <c r="BH39" s="1407">
        <f>+CHOOSE($B$3,BH40,BH41,BH42)</f>
        <v>-0.3049084848243474</v>
      </c>
      <c r="BI39" s="1407">
        <f>+CHOOSE($B$3,BI40,BI41,BI42)</f>
        <v>2.4999999999999911E-2</v>
      </c>
      <c r="BJ39" s="1407">
        <f>+CHOOSE($B$3,BJ40,BJ41,BJ42)</f>
        <v>-0.18905989896173858</v>
      </c>
      <c r="BK39" s="1407">
        <f>+CHOOSE($B$3,BK40,BK41,BK42)</f>
        <v>2.0000000000000018E-2</v>
      </c>
      <c r="BM39" s="1616">
        <f>+CHOOSE($B$3,BM40,BM41,BM42)</f>
        <v>1.4999999999999902E-2</v>
      </c>
      <c r="BN39" s="1616">
        <f>+CHOOSE($B$3,BN40,BN41,BN42)</f>
        <v>1.4999999999999902E-2</v>
      </c>
      <c r="BO39" s="1616">
        <f>+CHOOSE($B$3,BO40,BO41,BO42)</f>
        <v>1.4999999999999902E-2</v>
      </c>
      <c r="BP39" s="1616">
        <f>+CHOOSE($B$3,BP40,BP41,BP42)</f>
        <v>1.4999999999999902E-2</v>
      </c>
      <c r="BQ39" s="862"/>
      <c r="BR39" s="1616">
        <f>+CHOOSE($B$3,BR40,BR41,BR42)</f>
        <v>1.4999999999999902E-2</v>
      </c>
      <c r="BS39" s="1616">
        <f>+CHOOSE($B$3,BS40,BS41,BS42)</f>
        <v>1.4999999999999902E-2</v>
      </c>
      <c r="BT39" s="1616">
        <f>+CHOOSE($B$3,BT40,BT41,BT42)</f>
        <v>1.4999999999999902E-2</v>
      </c>
      <c r="BU39" s="1616">
        <f>+CHOOSE($B$3,BU40,BU41,BU42)</f>
        <v>1.4999999999999902E-2</v>
      </c>
      <c r="BV39" s="1577"/>
      <c r="BW39" s="1616">
        <f t="shared" ref="BW39:BX39" si="41">+CHOOSE($B$3,BW40,BW41,BW42)</f>
        <v>2.0000000000000018E-2</v>
      </c>
      <c r="BX39" s="1616">
        <f t="shared" si="41"/>
        <v>2.0000000000000018E-2</v>
      </c>
      <c r="BY39" s="2214">
        <f>+CHOOSE($B$3,BY40,BY41,BY42)</f>
        <v>2.0000000000000018E-2</v>
      </c>
      <c r="BZ39" s="2956">
        <f>+CHOOSE($B$3,BZ40,BZ41,BZ42)</f>
        <v>0.02</v>
      </c>
      <c r="CA39" s="2807"/>
      <c r="CB39" s="2956">
        <f t="shared" ref="CB39:CE39" si="42">+CHOOSE($B$3,CB40,CB41,CB42)</f>
        <v>0.05</v>
      </c>
      <c r="CC39" s="2956">
        <f t="shared" si="42"/>
        <v>0.05</v>
      </c>
      <c r="CD39" s="2956">
        <f t="shared" si="42"/>
        <v>0.05</v>
      </c>
      <c r="CE39" s="2956">
        <f t="shared" si="42"/>
        <v>0.05</v>
      </c>
      <c r="CF39" s="2807"/>
    </row>
    <row r="40" spans="1:90">
      <c r="A40" s="862"/>
      <c r="B40" s="862"/>
      <c r="C40" s="2001">
        <f>'CBS Network'!P23/'CBS Network'!O23-1</f>
        <v>-5.2449999999999886E-2</v>
      </c>
      <c r="D40" s="2001">
        <f>'CBS Network'!Q23/'CBS Network'!P23-1</f>
        <v>-6.8762441431363786E-2</v>
      </c>
      <c r="E40" s="2001">
        <f>'CBS Network'!R23/'CBS Network'!Q23-1</f>
        <v>-1.5000000000000013E-2</v>
      </c>
      <c r="F40" s="2001">
        <f>'CBS Network'!S23/'CBS Network'!R23-1</f>
        <v>1.4549999999999841E-2</v>
      </c>
      <c r="G40" s="2001">
        <f>'CBS Network'!T23/'CBS Network'!S23-1</f>
        <v>8.5500000000000576E-3</v>
      </c>
      <c r="H40" s="3270">
        <f>'CBS Network'!U23/'CBS Network'!T23-1</f>
        <v>-7.4813300504388947E-2</v>
      </c>
      <c r="I40" s="3270">
        <f>'CBS Network'!V23/'CBS Network'!U23-1</f>
        <v>-0.14236581629114298</v>
      </c>
      <c r="J40" s="3270">
        <f>'CBS Network'!W23/'CBS Network'!V23-1</f>
        <v>1.4999999999999902E-2</v>
      </c>
      <c r="K40" s="3270">
        <f>'CBS Network'!X23/'CBS Network'!W23-1</f>
        <v>1.5000000000000124E-2</v>
      </c>
      <c r="L40" s="3270">
        <f>'CBS Network'!Y23/'CBS Network'!X23-1</f>
        <v>2.0000000000000018E-2</v>
      </c>
      <c r="M40" s="3270">
        <f>'CBS Network'!Z23/'CBS Network'!Y23-1</f>
        <v>5.0000000000000266E-2</v>
      </c>
      <c r="N40" s="2897">
        <v>3.5000000000000003E-2</v>
      </c>
      <c r="O40" s="2897">
        <f>MAX(N40-0.002, 2.5%)</f>
        <v>3.3000000000000002E-2</v>
      </c>
      <c r="P40" s="2897">
        <f t="shared" ref="P40:Q40" si="43">MAX(O40-0.002, 2.5%)</f>
        <v>3.1E-2</v>
      </c>
      <c r="Q40" s="2897">
        <f t="shared" si="43"/>
        <v>2.8999999999999998E-2</v>
      </c>
      <c r="R40" s="2897">
        <f>MAX(Q40-0.002, 2%)</f>
        <v>2.6999999999999996E-2</v>
      </c>
      <c r="S40" s="2897">
        <f t="shared" ref="S40:W40" si="44">MAX(R40-0.002, 2%)</f>
        <v>2.4999999999999994E-2</v>
      </c>
      <c r="T40" s="2897">
        <f t="shared" si="44"/>
        <v>2.2999999999999993E-2</v>
      </c>
      <c r="U40" s="2897">
        <f t="shared" si="44"/>
        <v>2.0999999999999991E-2</v>
      </c>
      <c r="V40" s="2897">
        <f t="shared" si="44"/>
        <v>0.02</v>
      </c>
      <c r="W40" s="2897">
        <f t="shared" si="44"/>
        <v>0.02</v>
      </c>
      <c r="X40" s="2867"/>
      <c r="Y40" s="862"/>
      <c r="Z40" s="862"/>
      <c r="AA40" s="862"/>
      <c r="AB40" s="862"/>
      <c r="AC40" s="862"/>
      <c r="AD40" s="862"/>
      <c r="AE40" s="862"/>
      <c r="AF40" s="862"/>
      <c r="AG40" s="862"/>
      <c r="AH40" s="862"/>
      <c r="AI40" s="862"/>
      <c r="AJ40" s="862"/>
      <c r="AK40" s="862"/>
      <c r="AL40" s="862"/>
      <c r="AM40" s="862"/>
      <c r="AN40" s="862"/>
      <c r="AO40" s="862"/>
      <c r="AP40" s="862"/>
      <c r="AQ40" s="862"/>
      <c r="AR40" s="862"/>
      <c r="BH40" s="1414">
        <f>'CBS Network'!BA23/'CBS Network'!AV23-1</f>
        <v>-0.3049084848243474</v>
      </c>
      <c r="BI40" s="1414">
        <f>'CBS Network'!BB23/'CBS Network'!AW23-1</f>
        <v>2.4999999999999911E-2</v>
      </c>
      <c r="BJ40" s="1414">
        <f>'CBS Network'!BC23/'CBS Network'!AX23-1</f>
        <v>-0.18905989896173858</v>
      </c>
      <c r="BK40" s="1414">
        <f>'CBS Network'!BD23/'CBS Network'!AY23-1</f>
        <v>2.0000000000000018E-2</v>
      </c>
      <c r="BM40" s="1414">
        <f>'CBS Network'!BF23/'CBS Network'!BA23-1</f>
        <v>1.4999999999999902E-2</v>
      </c>
      <c r="BN40" s="1414">
        <f>'CBS Network'!BG23/'CBS Network'!BB23-1</f>
        <v>1.4999999999999902E-2</v>
      </c>
      <c r="BO40" s="1414">
        <f>'CBS Network'!BH23/'CBS Network'!BC23-1</f>
        <v>1.4999999999999902E-2</v>
      </c>
      <c r="BP40" s="1414">
        <f>'CBS Network'!BI23/'CBS Network'!BD23-1</f>
        <v>1.4999999999999902E-2</v>
      </c>
      <c r="BQ40" s="862"/>
      <c r="BR40" s="1414">
        <f>'CBS Network'!BK23/'CBS Network'!BF23-1</f>
        <v>1.4999999999999902E-2</v>
      </c>
      <c r="BS40" s="1414">
        <f>'CBS Network'!BL23/'CBS Network'!BG23-1</f>
        <v>1.4999999999999902E-2</v>
      </c>
      <c r="BT40" s="1414">
        <f>'CBS Network'!BM23/'CBS Network'!BH23-1</f>
        <v>1.4999999999999902E-2</v>
      </c>
      <c r="BU40" s="1414">
        <f>'CBS Network'!BN23/'CBS Network'!BI23-1</f>
        <v>1.4999999999999902E-2</v>
      </c>
      <c r="BV40" s="1577"/>
      <c r="BW40" s="1414">
        <f>'CBS Network'!BP23/'CBS Network'!BK23-1</f>
        <v>2.0000000000000018E-2</v>
      </c>
      <c r="BX40" s="1414">
        <f>'CBS Network'!BQ23/'CBS Network'!BL23-1</f>
        <v>2.0000000000000018E-2</v>
      </c>
      <c r="BY40" s="1414">
        <f>'CBS Network'!BR23/'CBS Network'!BM23-1</f>
        <v>2.0000000000000018E-2</v>
      </c>
      <c r="BZ40" s="2855">
        <v>0.02</v>
      </c>
      <c r="CA40" s="2807"/>
      <c r="CB40" s="2855">
        <v>0.05</v>
      </c>
      <c r="CC40" s="2855">
        <v>0.05</v>
      </c>
      <c r="CD40" s="2855">
        <v>0.05</v>
      </c>
      <c r="CE40" s="2855">
        <v>0.05</v>
      </c>
      <c r="CF40" s="2807"/>
    </row>
    <row r="41" spans="1:90">
      <c r="A41" s="862"/>
      <c r="B41" s="862"/>
      <c r="C41" s="1201">
        <f>C40</f>
        <v>-5.2449999999999886E-2</v>
      </c>
      <c r="D41" s="1201">
        <f t="shared" ref="D41:I41" si="45">D40</f>
        <v>-6.8762441431363786E-2</v>
      </c>
      <c r="E41" s="1201">
        <f t="shared" si="45"/>
        <v>-1.5000000000000013E-2</v>
      </c>
      <c r="F41" s="1201">
        <f t="shared" si="45"/>
        <v>1.4549999999999841E-2</v>
      </c>
      <c r="G41" s="1201">
        <f t="shared" si="45"/>
        <v>8.5500000000000576E-3</v>
      </c>
      <c r="H41" s="2955">
        <f t="shared" si="45"/>
        <v>-7.4813300504388947E-2</v>
      </c>
      <c r="I41" s="2955">
        <f t="shared" si="45"/>
        <v>-0.14236581629114298</v>
      </c>
      <c r="J41" s="2955">
        <f>J40</f>
        <v>1.4999999999999902E-2</v>
      </c>
      <c r="K41" s="2955">
        <f>K40</f>
        <v>1.5000000000000124E-2</v>
      </c>
      <c r="L41" s="2955">
        <f>L40</f>
        <v>2.0000000000000018E-2</v>
      </c>
      <c r="M41" s="2955">
        <f>M40</f>
        <v>5.0000000000000266E-2</v>
      </c>
      <c r="N41" s="2866">
        <f t="shared" ref="N41:T41" si="46">+N40+0.5%</f>
        <v>0.04</v>
      </c>
      <c r="O41" s="2866">
        <f t="shared" si="46"/>
        <v>3.7999999999999999E-2</v>
      </c>
      <c r="P41" s="2866">
        <f t="shared" si="46"/>
        <v>3.5999999999999997E-2</v>
      </c>
      <c r="Q41" s="2866">
        <f t="shared" si="46"/>
        <v>3.3999999999999996E-2</v>
      </c>
      <c r="R41" s="2866">
        <f t="shared" si="46"/>
        <v>3.1999999999999994E-2</v>
      </c>
      <c r="S41" s="2866">
        <f t="shared" si="46"/>
        <v>2.9999999999999995E-2</v>
      </c>
      <c r="T41" s="2866">
        <f t="shared" si="46"/>
        <v>2.7999999999999994E-2</v>
      </c>
      <c r="U41" s="2866">
        <f>+U40+0.5%</f>
        <v>2.5999999999999992E-2</v>
      </c>
      <c r="V41" s="2866">
        <f>+V40+0.5%</f>
        <v>2.5000000000000001E-2</v>
      </c>
      <c r="W41" s="2866">
        <f>+W40+0.5%</f>
        <v>2.5000000000000001E-2</v>
      </c>
      <c r="X41" s="2867"/>
      <c r="Y41" s="862"/>
      <c r="Z41" s="862"/>
      <c r="AA41" s="862"/>
      <c r="AB41" s="862"/>
      <c r="AC41" s="862"/>
      <c r="AD41" s="862"/>
      <c r="AE41" s="862"/>
      <c r="AF41" s="862"/>
      <c r="AG41" s="862"/>
      <c r="AH41" s="862"/>
      <c r="AI41" s="862"/>
      <c r="AJ41" s="862"/>
      <c r="AK41" s="862"/>
      <c r="AL41" s="862"/>
      <c r="AM41" s="862"/>
      <c r="AN41" s="862"/>
      <c r="AO41" s="862"/>
      <c r="AP41" s="862"/>
      <c r="AQ41" s="862"/>
      <c r="AR41" s="862"/>
      <c r="BH41" s="1201">
        <f>+BH40</f>
        <v>-0.3049084848243474</v>
      </c>
      <c r="BI41" s="1201">
        <f>+BI40</f>
        <v>2.4999999999999911E-2</v>
      </c>
      <c r="BJ41" s="1201">
        <f>+BJ40</f>
        <v>-0.18905989896173858</v>
      </c>
      <c r="BK41" s="1201">
        <f>+BK40</f>
        <v>2.0000000000000018E-2</v>
      </c>
      <c r="BM41" s="1201">
        <f>BM40</f>
        <v>1.4999999999999902E-2</v>
      </c>
      <c r="BN41" s="1201">
        <f>BN40</f>
        <v>1.4999999999999902E-2</v>
      </c>
      <c r="BO41" s="1201">
        <f>BO40</f>
        <v>1.4999999999999902E-2</v>
      </c>
      <c r="BP41" s="1201">
        <f>BP40</f>
        <v>1.4999999999999902E-2</v>
      </c>
      <c r="BQ41" s="862"/>
      <c r="BR41" s="1201">
        <f>BR40</f>
        <v>1.4999999999999902E-2</v>
      </c>
      <c r="BS41" s="1201">
        <f>BS40</f>
        <v>1.4999999999999902E-2</v>
      </c>
      <c r="BT41" s="1201">
        <f>BT40</f>
        <v>1.4999999999999902E-2</v>
      </c>
      <c r="BU41" s="1201">
        <f>BU40</f>
        <v>1.4999999999999902E-2</v>
      </c>
      <c r="BV41" s="1577"/>
      <c r="BW41" s="1201">
        <f t="shared" ref="BW41:BX41" si="47">BW40</f>
        <v>2.0000000000000018E-2</v>
      </c>
      <c r="BX41" s="1201">
        <f t="shared" si="47"/>
        <v>2.0000000000000018E-2</v>
      </c>
      <c r="BY41" s="1201">
        <f t="shared" ref="BY41" si="48">BY40</f>
        <v>2.0000000000000018E-2</v>
      </c>
      <c r="BZ41" s="3003">
        <f>+BZ40+0.2%</f>
        <v>2.1999999999999999E-2</v>
      </c>
      <c r="CA41" s="2807"/>
      <c r="CB41" s="3003">
        <f t="shared" ref="CB41:CE41" si="49">+CB40+0.5%</f>
        <v>5.5E-2</v>
      </c>
      <c r="CC41" s="3003">
        <f t="shared" si="49"/>
        <v>5.5E-2</v>
      </c>
      <c r="CD41" s="3003">
        <f t="shared" si="49"/>
        <v>5.5E-2</v>
      </c>
      <c r="CE41" s="3003">
        <f t="shared" si="49"/>
        <v>5.5E-2</v>
      </c>
      <c r="CF41" s="2807"/>
    </row>
    <row r="42" spans="1:90">
      <c r="A42" s="862"/>
      <c r="B42" s="862"/>
      <c r="C42" s="1201">
        <f>C40</f>
        <v>-5.2449999999999886E-2</v>
      </c>
      <c r="D42" s="1201">
        <f t="shared" ref="D42:I42" si="50">D40</f>
        <v>-6.8762441431363786E-2</v>
      </c>
      <c r="E42" s="1201">
        <f t="shared" si="50"/>
        <v>-1.5000000000000013E-2</v>
      </c>
      <c r="F42" s="1201">
        <f t="shared" si="50"/>
        <v>1.4549999999999841E-2</v>
      </c>
      <c r="G42" s="1201">
        <f t="shared" si="50"/>
        <v>8.5500000000000576E-3</v>
      </c>
      <c r="H42" s="1201">
        <f t="shared" si="50"/>
        <v>-7.4813300504388947E-2</v>
      </c>
      <c r="I42" s="1201">
        <f t="shared" si="50"/>
        <v>-0.14236581629114298</v>
      </c>
      <c r="J42" s="2955">
        <f>J40</f>
        <v>1.4999999999999902E-2</v>
      </c>
      <c r="K42" s="2955">
        <f>K40</f>
        <v>1.5000000000000124E-2</v>
      </c>
      <c r="L42" s="2955">
        <f>L40</f>
        <v>2.0000000000000018E-2</v>
      </c>
      <c r="M42" s="2955">
        <f>M40</f>
        <v>5.0000000000000266E-2</v>
      </c>
      <c r="N42" s="2866">
        <f t="shared" ref="N42:T42" si="51">+N40-0.75%</f>
        <v>2.7500000000000004E-2</v>
      </c>
      <c r="O42" s="2866">
        <f t="shared" si="51"/>
        <v>2.5500000000000002E-2</v>
      </c>
      <c r="P42" s="2866">
        <f t="shared" si="51"/>
        <v>2.35E-2</v>
      </c>
      <c r="Q42" s="2866">
        <f t="shared" si="51"/>
        <v>2.1499999999999998E-2</v>
      </c>
      <c r="R42" s="2866">
        <f t="shared" si="51"/>
        <v>1.9499999999999997E-2</v>
      </c>
      <c r="S42" s="2866">
        <f t="shared" si="51"/>
        <v>1.7499999999999995E-2</v>
      </c>
      <c r="T42" s="2866">
        <f t="shared" si="51"/>
        <v>1.5499999999999993E-2</v>
      </c>
      <c r="U42" s="2866">
        <f>+U40-0.75%</f>
        <v>1.3499999999999991E-2</v>
      </c>
      <c r="V42" s="2866">
        <f>+V40-0.75%</f>
        <v>1.2500000000000001E-2</v>
      </c>
      <c r="W42" s="2866">
        <f>+W40-0.75%</f>
        <v>1.2500000000000001E-2</v>
      </c>
      <c r="X42" s="2867"/>
      <c r="Y42" s="862"/>
      <c r="Z42" s="862"/>
      <c r="AA42" s="862"/>
      <c r="AB42" s="862"/>
      <c r="AC42" s="862"/>
      <c r="AD42" s="862"/>
      <c r="AE42" s="862"/>
      <c r="AF42" s="862"/>
      <c r="AG42" s="862"/>
      <c r="AH42" s="862"/>
      <c r="AI42" s="862"/>
      <c r="AJ42" s="862"/>
      <c r="AK42" s="862"/>
      <c r="AL42" s="862"/>
      <c r="AM42" s="862"/>
      <c r="AN42" s="862"/>
      <c r="AO42" s="862"/>
      <c r="AP42" s="862"/>
      <c r="AQ42" s="862"/>
      <c r="AR42" s="862"/>
      <c r="BH42" s="1201">
        <f>+BH40</f>
        <v>-0.3049084848243474</v>
      </c>
      <c r="BI42" s="1201">
        <f>+BI40</f>
        <v>2.4999999999999911E-2</v>
      </c>
      <c r="BJ42" s="1201">
        <f>+BJ40</f>
        <v>-0.18905989896173858</v>
      </c>
      <c r="BK42" s="1201">
        <f>+BK40</f>
        <v>2.0000000000000018E-2</v>
      </c>
      <c r="BM42" s="1201">
        <f>BM40</f>
        <v>1.4999999999999902E-2</v>
      </c>
      <c r="BN42" s="1201">
        <f>BN40</f>
        <v>1.4999999999999902E-2</v>
      </c>
      <c r="BO42" s="1201">
        <f>BO40</f>
        <v>1.4999999999999902E-2</v>
      </c>
      <c r="BP42" s="1201">
        <f>BP40</f>
        <v>1.4999999999999902E-2</v>
      </c>
      <c r="BQ42" s="862"/>
      <c r="BR42" s="1201">
        <f>BR40</f>
        <v>1.4999999999999902E-2</v>
      </c>
      <c r="BS42" s="1201">
        <f>BS40</f>
        <v>1.4999999999999902E-2</v>
      </c>
      <c r="BT42" s="1201">
        <f>BT40</f>
        <v>1.4999999999999902E-2</v>
      </c>
      <c r="BU42" s="1201">
        <f>BU40</f>
        <v>1.4999999999999902E-2</v>
      </c>
      <c r="BV42" s="1577"/>
      <c r="BW42" s="1201">
        <f t="shared" ref="BW42:BX42" si="52">BW40</f>
        <v>2.0000000000000018E-2</v>
      </c>
      <c r="BX42" s="1201">
        <f t="shared" si="52"/>
        <v>2.0000000000000018E-2</v>
      </c>
      <c r="BY42" s="1201">
        <f t="shared" ref="BY42" si="53">BY40</f>
        <v>2.0000000000000018E-2</v>
      </c>
      <c r="BZ42" s="3003">
        <f>BZ40-0.005</f>
        <v>1.4999999999999999E-2</v>
      </c>
      <c r="CA42" s="2807"/>
      <c r="CB42" s="3003">
        <f t="shared" ref="CB42:CE42" si="54">CB40-0.0075</f>
        <v>4.2500000000000003E-2</v>
      </c>
      <c r="CC42" s="3003">
        <f t="shared" si="54"/>
        <v>4.2500000000000003E-2</v>
      </c>
      <c r="CD42" s="3003">
        <f t="shared" si="54"/>
        <v>4.2500000000000003E-2</v>
      </c>
      <c r="CE42" s="3003">
        <f t="shared" si="54"/>
        <v>4.2500000000000003E-2</v>
      </c>
      <c r="CF42" s="2807"/>
    </row>
    <row r="43" spans="1:90" s="1577" customFormat="1" ht="13.5" thickBot="1">
      <c r="A43" s="1470"/>
      <c r="B43" s="1470"/>
      <c r="C43" s="2077"/>
      <c r="D43" s="2077"/>
      <c r="E43" s="2077"/>
      <c r="F43" s="2077"/>
      <c r="G43" s="2077"/>
      <c r="H43" s="2077"/>
      <c r="I43" s="2077"/>
      <c r="J43" s="2866"/>
      <c r="K43" s="2866"/>
      <c r="L43" s="2866"/>
      <c r="M43" s="2866"/>
      <c r="N43" s="2866"/>
      <c r="O43" s="2866"/>
      <c r="P43" s="2866"/>
      <c r="Q43" s="2866"/>
      <c r="R43" s="2866"/>
      <c r="S43" s="2866"/>
      <c r="T43" s="2866"/>
      <c r="U43" s="2866"/>
      <c r="V43" s="2866"/>
      <c r="W43" s="2866"/>
      <c r="X43" s="2866"/>
      <c r="Y43" s="862"/>
      <c r="Z43" s="862"/>
      <c r="AA43" s="862"/>
      <c r="AB43" s="862"/>
      <c r="AC43" s="1737"/>
      <c r="AD43" s="1737"/>
      <c r="AE43" s="1737"/>
      <c r="AF43" s="1737"/>
      <c r="AG43" s="1737"/>
      <c r="AH43" s="1737"/>
      <c r="AI43" s="1737"/>
      <c r="AJ43" s="1737"/>
      <c r="AK43" s="1737"/>
      <c r="AL43" s="1737"/>
      <c r="AM43" s="1737"/>
      <c r="AN43" s="1737"/>
      <c r="AO43" s="1737"/>
      <c r="AP43" s="1737"/>
      <c r="AQ43" s="1737"/>
      <c r="AR43" s="1737"/>
      <c r="AS43" s="1737"/>
      <c r="AT43" s="1737"/>
      <c r="AU43" s="1737"/>
      <c r="AV43" s="1737"/>
      <c r="BH43" s="2077"/>
      <c r="BI43" s="2077"/>
      <c r="BJ43" s="2077"/>
      <c r="BK43" s="2077"/>
      <c r="BM43" s="2077"/>
      <c r="BN43" s="2023"/>
      <c r="BO43" s="2023"/>
      <c r="BP43" s="2023"/>
      <c r="BQ43" s="862"/>
      <c r="BU43" s="2023"/>
      <c r="BW43" s="2023"/>
      <c r="BX43" s="2023"/>
      <c r="BY43" s="2023"/>
      <c r="BZ43" s="3003"/>
      <c r="CA43" s="3003"/>
      <c r="CB43" s="2866"/>
      <c r="CC43" s="3003"/>
      <c r="CD43" s="2807"/>
      <c r="CE43" s="2807"/>
      <c r="CF43" s="2807"/>
    </row>
    <row r="44" spans="1:90" ht="13.5" thickBot="1">
      <c r="A44" s="862"/>
      <c r="B44" s="3417">
        <f>B3</f>
        <v>1</v>
      </c>
      <c r="C44" s="862"/>
      <c r="D44" s="862"/>
      <c r="E44" s="862"/>
      <c r="F44" s="862"/>
      <c r="G44" s="862"/>
      <c r="H44" s="862"/>
      <c r="I44" s="862"/>
      <c r="J44" s="862"/>
      <c r="K44" s="1470"/>
      <c r="L44" s="1551">
        <f>'CBS Stations'!AC70</f>
        <v>5.3812998651627808E-3</v>
      </c>
      <c r="M44" s="1551">
        <f>'CBS Stations'!AD70</f>
        <v>0</v>
      </c>
      <c r="N44" s="1551">
        <f>'CBS Stations'!AE70</f>
        <v>-9.9991304802250491E-3</v>
      </c>
      <c r="O44" s="2951">
        <f>'CBS Stations'!AF70</f>
        <v>-1.0014869923208325E-2</v>
      </c>
      <c r="P44" s="2951">
        <f>'CBS Stations'!AG70</f>
        <v>-9.9949018032352566E-3</v>
      </c>
      <c r="Q44" s="2951">
        <f>'CBS Stations'!AH70</f>
        <v>-1.0048731995199178E-2</v>
      </c>
      <c r="R44" s="2951">
        <f>'CBS Stations'!AI70</f>
        <v>-1.0022288578282579E-2</v>
      </c>
      <c r="S44" s="2951">
        <f>'CBS Stations'!AJ70</f>
        <v>-1.0031003224906909E-2</v>
      </c>
      <c r="T44" s="2951">
        <f>'CBS Stations'!AK70</f>
        <v>-1.0018446792912528E-2</v>
      </c>
      <c r="U44" s="2951">
        <f>'CBS Stations'!AL70</f>
        <v>-9.9741081448923019E-3</v>
      </c>
      <c r="V44" s="2951">
        <f>'CBS Stations'!AM70</f>
        <v>-1.0050904639442249E-2</v>
      </c>
      <c r="W44" s="2951">
        <f>'CBS Stations'!AN70</f>
        <v>-1.0046822064289751E-2</v>
      </c>
      <c r="X44" s="2867"/>
      <c r="Y44" s="862"/>
      <c r="Z44" s="862"/>
      <c r="AA44" s="862"/>
      <c r="AB44" s="862"/>
      <c r="AC44" s="862"/>
      <c r="AD44" s="862"/>
      <c r="AE44" s="862"/>
      <c r="AF44" s="862"/>
      <c r="AG44" s="862"/>
      <c r="AH44" s="862"/>
      <c r="AI44" s="862"/>
      <c r="AJ44" s="862"/>
      <c r="AK44" s="862"/>
      <c r="AL44" s="862"/>
      <c r="AM44" s="862"/>
      <c r="AN44" s="862"/>
      <c r="AO44" s="902"/>
      <c r="AP44" s="902"/>
      <c r="AQ44" s="902"/>
      <c r="AR44" s="902"/>
      <c r="AS44" s="897"/>
      <c r="AT44" s="897"/>
      <c r="AU44" s="897"/>
      <c r="AV44" s="897"/>
      <c r="AW44" s="897"/>
      <c r="AX44" s="897"/>
      <c r="AY44" s="897"/>
      <c r="AZ44" s="897"/>
      <c r="BA44" s="897"/>
      <c r="BB44" s="897"/>
      <c r="BC44" s="870"/>
      <c r="BD44" s="870"/>
      <c r="BE44" s="870"/>
      <c r="BF44" s="870"/>
      <c r="BG44" s="897"/>
      <c r="BH44" s="1408"/>
      <c r="BI44" s="1408"/>
      <c r="BJ44" s="1408"/>
      <c r="BK44" s="870"/>
      <c r="BL44" s="897"/>
      <c r="BM44" s="870"/>
      <c r="BN44" s="870"/>
      <c r="BO44" s="870"/>
      <c r="BP44" s="870"/>
      <c r="BQ44" s="862"/>
      <c r="BR44" s="1606"/>
      <c r="BS44" s="1577"/>
      <c r="BT44" s="1577"/>
      <c r="BU44" s="1606"/>
      <c r="BV44" s="1470"/>
      <c r="BW44" s="1606"/>
      <c r="BX44" s="1606"/>
      <c r="BY44" s="1606"/>
      <c r="BZ44" s="3548" t="s">
        <v>1822</v>
      </c>
      <c r="CA44" s="3548"/>
      <c r="CB44" s="3549"/>
      <c r="CC44" s="3548"/>
      <c r="CD44" s="3550"/>
      <c r="CE44" s="2867"/>
      <c r="CF44" s="2867"/>
      <c r="CG44" s="862"/>
      <c r="CH44" s="862"/>
      <c r="CI44" s="862"/>
      <c r="CJ44" s="862"/>
      <c r="CK44" s="862"/>
      <c r="CL44" s="862"/>
    </row>
    <row r="45" spans="1:90">
      <c r="A45" s="862"/>
      <c r="B45" s="36" t="s">
        <v>1776</v>
      </c>
      <c r="C45" s="514">
        <f>Drivers!H126</f>
        <v>-0.15728288346343844</v>
      </c>
      <c r="D45" s="514">
        <f>Drivers!I126</f>
        <v>-0.19414724013321039</v>
      </c>
      <c r="E45" s="514">
        <f>Drivers!J126</f>
        <v>0.27156247252264154</v>
      </c>
      <c r="F45" s="514">
        <f>Drivers!K126</f>
        <v>-2.1650196424323087E-2</v>
      </c>
      <c r="G45" s="514">
        <f>Drivers!L126</f>
        <v>8.2888493475682168E-2</v>
      </c>
      <c r="H45" s="514">
        <f>Drivers!M126</f>
        <v>-4.861016020813369E-2</v>
      </c>
      <c r="I45" s="514">
        <f>Drivers!P126</f>
        <v>4.5624640184225518E-2</v>
      </c>
      <c r="J45" s="514">
        <f>Drivers!Q126</f>
        <v>9.5664143152099257E-2</v>
      </c>
      <c r="K45" s="1551">
        <f>Drivers!R126</f>
        <v>0.11746231155778886</v>
      </c>
      <c r="L45" s="1551">
        <f>Drivers!T126</f>
        <v>-4.3990353331704757E-2</v>
      </c>
      <c r="M45" s="1551">
        <f>Drivers!U126</f>
        <v>0.12926611592090254</v>
      </c>
      <c r="N45" s="1551">
        <f>Drivers!V126</f>
        <v>5.4760768617842404E-2</v>
      </c>
      <c r="O45" s="2951">
        <f>Drivers!W126</f>
        <v>0.20215849429035848</v>
      </c>
      <c r="P45" s="2951">
        <f>Drivers!X126</f>
        <v>3.6586143238018565E-2</v>
      </c>
      <c r="Q45" s="2951">
        <f>Drivers!Y126</f>
        <v>8.8163560474905811E-2</v>
      </c>
      <c r="R45" s="2951">
        <f>Drivers!Z126</f>
        <v>-1.6671904501740498E-2</v>
      </c>
      <c r="S45" s="2951">
        <f>Drivers!AA126</f>
        <v>7.5487994194540109E-2</v>
      </c>
      <c r="T45" s="2951">
        <f>Drivers!AB126</f>
        <v>-7.897981117631514E-3</v>
      </c>
      <c r="U45" s="2951">
        <f>Drivers!AC126</f>
        <v>3.9459774448991514E-2</v>
      </c>
      <c r="V45" s="2951">
        <f>Drivers!AD126</f>
        <v>-6.4266815755409379E-3</v>
      </c>
      <c r="W45" s="2951">
        <f>Drivers!AE126</f>
        <v>8.6179116816889501E-2</v>
      </c>
      <c r="X45" s="2867"/>
      <c r="Y45" s="862"/>
      <c r="Z45" s="862"/>
      <c r="AA45" s="862"/>
      <c r="AB45" s="862"/>
      <c r="AC45" s="862"/>
      <c r="AD45" s="862"/>
      <c r="AE45" s="862"/>
      <c r="AF45" s="862"/>
      <c r="AG45" s="862"/>
      <c r="AH45" s="862"/>
      <c r="AI45" s="862"/>
      <c r="AJ45" s="862"/>
      <c r="AK45" s="862"/>
      <c r="AL45" s="862"/>
      <c r="AM45" s="862"/>
      <c r="AN45" s="862"/>
      <c r="AO45" s="862"/>
      <c r="AP45" s="862"/>
      <c r="AQ45" s="862"/>
      <c r="AR45" s="862"/>
      <c r="AS45" s="862"/>
      <c r="AT45" s="862"/>
      <c r="AU45" s="862"/>
      <c r="AV45" s="862"/>
      <c r="AW45" s="862"/>
      <c r="AX45" s="862"/>
      <c r="AY45" s="862"/>
      <c r="AZ45" s="862"/>
      <c r="BA45" s="862"/>
      <c r="BB45" s="862"/>
      <c r="BC45" s="870"/>
      <c r="BD45" s="870"/>
      <c r="BE45" s="870"/>
      <c r="BF45" s="870"/>
      <c r="BG45" s="514"/>
      <c r="BH45" s="514">
        <f>Drivers!CK126</f>
        <v>-4.7474613127263421E-2</v>
      </c>
      <c r="BI45" s="514">
        <f>Drivers!CL126</f>
        <v>-4.4615027005214358E-2</v>
      </c>
      <c r="BJ45" s="514">
        <f>Drivers!CM126</f>
        <v>0.11775484048701546</v>
      </c>
      <c r="BK45" s="514">
        <f>Drivers!CN126</f>
        <v>0.15705551714991883</v>
      </c>
      <c r="BL45" s="514"/>
      <c r="BM45" s="514">
        <f>Drivers!CP126</f>
        <v>0.12524041472612568</v>
      </c>
      <c r="BN45" s="514">
        <f>Drivers!CQ126</f>
        <v>0.14805445359921277</v>
      </c>
      <c r="BO45" s="514">
        <f>Drivers!CR126</f>
        <v>8.9994051598916158E-2</v>
      </c>
      <c r="BP45" s="514">
        <f>Drivers!CS126</f>
        <v>3.7264172362059034E-2</v>
      </c>
      <c r="BQ45" s="862"/>
      <c r="BR45" s="1551">
        <f>Drivers!CU126</f>
        <v>0.19466666666666677</v>
      </c>
      <c r="BS45" s="1551">
        <f>Drivers!CV126</f>
        <v>2.3255813953488413E-2</v>
      </c>
      <c r="BT45" s="1551">
        <f>Drivers!CW126</f>
        <v>8.7765957446808596E-2</v>
      </c>
      <c r="BU45" s="1551">
        <f>Drivers!CX126</f>
        <v>0.15859030837004395</v>
      </c>
      <c r="BV45" s="1470"/>
      <c r="BW45" s="1551">
        <f>Drivers!CZ126</f>
        <v>-8.7053571428571397E-2</v>
      </c>
      <c r="BX45" s="1551">
        <f>Drivers!DA126</f>
        <v>4.0404040404040442E-2</v>
      </c>
      <c r="BY45" s="1551">
        <f>Drivers!DB126</f>
        <v>-2.933985330073352E-2</v>
      </c>
      <c r="BZ45" s="2951">
        <f>Drivers!DC126</f>
        <v>-8.224113797928323E-2</v>
      </c>
      <c r="CA45" s="2951"/>
      <c r="CB45" s="2951">
        <f>Drivers!DE126</f>
        <v>9.9311497508473234E-2</v>
      </c>
      <c r="CC45" s="2951">
        <f>Drivers!DF126</f>
        <v>7.7859529142189521E-2</v>
      </c>
      <c r="CD45" s="2951">
        <f>Drivers!DG126</f>
        <v>0.14032753606911563</v>
      </c>
      <c r="CE45" s="2951">
        <f>Drivers!DH126</f>
        <v>0.1894216841742451</v>
      </c>
      <c r="CF45" s="2867"/>
      <c r="CG45" s="862"/>
      <c r="CH45" s="862"/>
      <c r="CI45" s="862"/>
      <c r="CJ45" s="862"/>
      <c r="CK45" s="862"/>
      <c r="CL45" s="862"/>
    </row>
    <row r="46" spans="1:90">
      <c r="A46" s="862"/>
      <c r="B46" s="1470" t="s">
        <v>1777</v>
      </c>
      <c r="C46" s="1034">
        <f>+CHOOSE($B$3,C47,C48,C49)</f>
        <v>-0.15958516696631331</v>
      </c>
      <c r="D46" s="1034">
        <f t="shared" ref="D46:K46" si="55">+CHOOSE($B$3,D47,D48,D49)</f>
        <v>-0.215</v>
      </c>
      <c r="E46" s="1034">
        <f t="shared" si="55"/>
        <v>0.22300000000000006</v>
      </c>
      <c r="F46" s="1034">
        <f t="shared" si="55"/>
        <v>-7.0000000000000007E-2</v>
      </c>
      <c r="G46" s="2081">
        <f>+CHOOSE($B$3,G47,G48,G49)</f>
        <v>0.05</v>
      </c>
      <c r="H46" s="2081">
        <f t="shared" si="55"/>
        <v>-7.6950904829138023E-2</v>
      </c>
      <c r="I46" s="2081">
        <f t="shared" si="55"/>
        <v>-6.6031297709839842E-3</v>
      </c>
      <c r="J46" s="2081">
        <f t="shared" si="55"/>
        <v>-9.4953940583478169E-2</v>
      </c>
      <c r="K46" s="2081">
        <f t="shared" si="55"/>
        <v>0.14096355024221463</v>
      </c>
      <c r="L46" s="2081">
        <f>+CHOOSE($B$3,L47,L48,L49)</f>
        <v>-0.17098452216693316</v>
      </c>
      <c r="M46" s="2081">
        <f t="shared" ref="M46:T46" si="56">+CHOOSE($B$3,M47,M48,M49)</f>
        <v>0.11868389115990663</v>
      </c>
      <c r="N46" s="2081">
        <f t="shared" si="56"/>
        <v>-7.1050000000000002E-2</v>
      </c>
      <c r="O46" s="2954">
        <f t="shared" si="56"/>
        <v>0.11700000000000001</v>
      </c>
      <c r="P46" s="2954">
        <f t="shared" si="56"/>
        <v>-0.16120000000000001</v>
      </c>
      <c r="Q46" s="2954">
        <f t="shared" si="56"/>
        <v>0.17269999999999999</v>
      </c>
      <c r="R46" s="2954">
        <f t="shared" si="56"/>
        <v>-0.16250000000000001</v>
      </c>
      <c r="S46" s="2954">
        <f t="shared" si="56"/>
        <v>0.18360000000000001</v>
      </c>
      <c r="T46" s="2954">
        <f t="shared" si="56"/>
        <v>-0.1143</v>
      </c>
      <c r="U46" s="2954">
        <f>+CHOOSE($B$3,U47,U48,U49)</f>
        <v>5.3600000000000002E-2</v>
      </c>
      <c r="V46" s="2954">
        <f>+CHOOSE($B$3,V47,V48,V49)</f>
        <v>-0.12590000000000001</v>
      </c>
      <c r="W46" s="2954">
        <f>+CHOOSE($B$3,W47,W48,W49)</f>
        <v>0.27339999999999998</v>
      </c>
      <c r="X46" s="2867"/>
      <c r="Y46" s="862"/>
      <c r="Z46" s="862"/>
      <c r="AA46" s="862"/>
      <c r="AB46" s="862"/>
      <c r="AC46" s="1802"/>
      <c r="AD46" s="905"/>
      <c r="AE46" s="905"/>
      <c r="AF46" s="905"/>
      <c r="AG46" s="905"/>
      <c r="AH46" s="905"/>
      <c r="AI46" s="905"/>
      <c r="AJ46" s="905"/>
      <c r="AK46" s="905"/>
      <c r="AL46" s="905"/>
      <c r="AM46" s="905"/>
      <c r="AN46" s="905"/>
      <c r="AO46" s="905"/>
      <c r="AP46" s="905"/>
      <c r="AQ46" s="905"/>
      <c r="AR46" s="905"/>
      <c r="AS46" s="897"/>
      <c r="AT46" s="897"/>
      <c r="AU46" s="897"/>
      <c r="AV46" s="897"/>
      <c r="AW46" s="897"/>
      <c r="AX46" s="897"/>
      <c r="AY46" s="897"/>
      <c r="AZ46" s="897"/>
      <c r="BA46" s="897"/>
      <c r="BB46" s="897"/>
      <c r="BC46" s="870"/>
      <c r="BD46" s="870"/>
      <c r="BE46" s="870"/>
      <c r="BF46" s="870"/>
      <c r="BG46" s="897"/>
      <c r="BH46" s="1407">
        <f>+CHOOSE($B$3,BH47,BH48,BH49)</f>
        <v>-0.20551693461785325</v>
      </c>
      <c r="BI46" s="1407">
        <f>+CHOOSE($B$3,BI47,BI48,BI49)</f>
        <v>-0.17106668963788485</v>
      </c>
      <c r="BJ46" s="1407">
        <f>+CHOOSE($B$3,BJ47,BJ48,BJ49)</f>
        <v>6.4180485696571088E-2</v>
      </c>
      <c r="BK46" s="1407">
        <f>+CHOOSE($B$3,BK47,BK48,BK49)</f>
        <v>0.14484834492481058</v>
      </c>
      <c r="BL46" s="897"/>
      <c r="BM46" s="1407">
        <f>+CHOOSE($B$3,BM47,BM48,BM49)</f>
        <v>0.18613841204867354</v>
      </c>
      <c r="BN46" s="1407">
        <f>+CHOOSE($B$3,BN47,BN48,BN49)</f>
        <v>0.18930434524555162</v>
      </c>
      <c r="BO46" s="1407">
        <f>+CHOOSE($B$3,BO47,BO48,BO49)</f>
        <v>0.11439665041278424</v>
      </c>
      <c r="BP46" s="1407">
        <f>+CHOOSE($B$3,BP47,BP48,BP49)</f>
        <v>0.10840218435892868</v>
      </c>
      <c r="BQ46" s="862"/>
      <c r="BR46" s="1407">
        <f>+CHOOSE($B$3,BR47,BR48,BR49)</f>
        <v>0.25564517987434843</v>
      </c>
      <c r="BS46" s="1407">
        <f>+CHOOSE($B$3,BS47,BS48,BS49)</f>
        <v>-5.0230027508766151E-2</v>
      </c>
      <c r="BT46" s="1407">
        <f>+CHOOSE($B$3,BT47,BT48,BT49)</f>
        <v>9.8147298454308141E-2</v>
      </c>
      <c r="BU46" s="1407">
        <f>+CHOOSE($B$3,BU47,BU48,BU49)</f>
        <v>0.27661600275132425</v>
      </c>
      <c r="BV46" s="1470"/>
      <c r="BW46" s="2219">
        <f>+CHOOSE($B$3,BW47,BW48,BW49)</f>
        <v>-0.24061711315348344</v>
      </c>
      <c r="BX46" s="2219">
        <f>+CHOOSE($B$3,BX47,BX48,BX49)</f>
        <v>-4.2821508734891545E-3</v>
      </c>
      <c r="BY46" s="2219">
        <f>+CHOOSE($B$3,BY47,BY48,BY49)</f>
        <v>-0.14663871950234209</v>
      </c>
      <c r="BZ46" s="3269">
        <f>+CHOOSE($B$3,BZ47,BZ48,BZ49)</f>
        <v>0.02</v>
      </c>
      <c r="CA46" s="2867"/>
      <c r="CB46" s="3269">
        <f t="shared" ref="CB46:CE46" si="57">+CHOOSE($B$3,CB47,CB48,CB49)</f>
        <v>0</v>
      </c>
      <c r="CC46" s="3269">
        <f t="shared" si="57"/>
        <v>0</v>
      </c>
      <c r="CD46" s="3269">
        <f t="shared" si="57"/>
        <v>0</v>
      </c>
      <c r="CE46" s="3269">
        <f t="shared" si="57"/>
        <v>0</v>
      </c>
      <c r="CF46" s="2867"/>
      <c r="CG46" s="862"/>
      <c r="CH46" s="862"/>
      <c r="CI46" s="862"/>
      <c r="CJ46" s="862"/>
      <c r="CK46" s="862"/>
      <c r="CL46" s="862"/>
    </row>
    <row r="47" spans="1:90">
      <c r="A47" s="862"/>
      <c r="B47" s="862"/>
      <c r="C47" s="514">
        <f>'CBS Stations'!T61</f>
        <v>-0.15958516696631331</v>
      </c>
      <c r="D47" s="1035">
        <v>-0.215</v>
      </c>
      <c r="E47" s="1035">
        <v>0.22300000000000006</v>
      </c>
      <c r="F47" s="1035">
        <v>-7.0000000000000007E-2</v>
      </c>
      <c r="G47" s="1035">
        <v>0.05</v>
      </c>
      <c r="H47" s="514">
        <f>'CBS Stations'!Y61</f>
        <v>-7.6950904829138023E-2</v>
      </c>
      <c r="I47" s="1551">
        <f>'CBS Stations'!Z61</f>
        <v>-6.6031297709839842E-3</v>
      </c>
      <c r="J47" s="1551">
        <f>'CBS Stations'!AA61</f>
        <v>-9.4953940583478169E-2</v>
      </c>
      <c r="K47" s="1551">
        <f>'CBS Stations'!AB61</f>
        <v>0.14096355024221463</v>
      </c>
      <c r="L47" s="1551">
        <f>'CBS Stations'!AC61</f>
        <v>-0.17098452216693316</v>
      </c>
      <c r="M47" s="1551">
        <f>'CBS Stations'!AD61</f>
        <v>0.11868389115990663</v>
      </c>
      <c r="N47" s="3350">
        <v>-7.1050000000000002E-2</v>
      </c>
      <c r="O47" s="3350">
        <v>0.11700000000000001</v>
      </c>
      <c r="P47" s="3350">
        <v>-0.16120000000000001</v>
      </c>
      <c r="Q47" s="3350">
        <v>0.17269999999999999</v>
      </c>
      <c r="R47" s="3350">
        <v>-0.16250000000000001</v>
      </c>
      <c r="S47" s="3350">
        <v>0.18360000000000001</v>
      </c>
      <c r="T47" s="3350">
        <v>-0.1143</v>
      </c>
      <c r="U47" s="3350">
        <v>5.3600000000000002E-2</v>
      </c>
      <c r="V47" s="3350">
        <v>-0.12590000000000001</v>
      </c>
      <c r="W47" s="3350">
        <v>0.27339999999999998</v>
      </c>
      <c r="X47" s="862"/>
      <c r="Y47" s="862"/>
      <c r="Z47" s="862"/>
      <c r="AA47" s="862"/>
      <c r="AB47" s="862"/>
      <c r="AC47" s="1604"/>
      <c r="AD47" s="1604"/>
      <c r="AE47" s="1604"/>
      <c r="AF47" s="1604"/>
      <c r="AG47" s="1604"/>
      <c r="AH47" s="1604"/>
      <c r="AI47" s="1604"/>
      <c r="AJ47" s="1604"/>
      <c r="AK47" s="1604"/>
      <c r="AL47" s="1604"/>
      <c r="AM47" s="1604"/>
      <c r="AN47" s="1604"/>
      <c r="AO47" s="1604"/>
      <c r="AP47" s="1604"/>
      <c r="AQ47" s="1604"/>
      <c r="AR47" s="1604"/>
      <c r="AS47" s="1470"/>
      <c r="AT47" s="1470"/>
      <c r="AU47" s="1470"/>
      <c r="AV47" s="1470"/>
      <c r="AW47" s="1470"/>
      <c r="AX47" s="1470"/>
      <c r="AY47" s="1470"/>
      <c r="AZ47" s="862"/>
      <c r="BA47" s="862"/>
      <c r="BB47" s="862"/>
      <c r="BC47" s="870"/>
      <c r="BD47" s="870"/>
      <c r="BE47" s="870"/>
      <c r="BF47" s="870"/>
      <c r="BG47" s="862"/>
      <c r="BH47" s="514">
        <f>(Drivers!CK121-Drivers!CK265)/(Drivers!CF121-Drivers!CF265)-1</f>
        <v>-0.20551693461785325</v>
      </c>
      <c r="BI47" s="514">
        <f>(Drivers!CL121-Drivers!CL265)/(Drivers!CG121-Drivers!CG265)-1</f>
        <v>-0.17106668963788485</v>
      </c>
      <c r="BJ47" s="514">
        <f>(Drivers!CM121-Drivers!CM265)/(Drivers!CH121-Drivers!CH265)-1</f>
        <v>6.4180485696571088E-2</v>
      </c>
      <c r="BK47" s="514">
        <f>(Drivers!CN121-Drivers!CN265)/(Drivers!CI121-Drivers!CI265)-1</f>
        <v>0.14484834492481058</v>
      </c>
      <c r="BL47" s="514"/>
      <c r="BM47" s="514">
        <f>(Drivers!CP121-Drivers!CP265)/(Drivers!CK121-Drivers!CK265)-1</f>
        <v>0.18613841204867354</v>
      </c>
      <c r="BN47" s="514">
        <f>(Drivers!CQ121-Drivers!CQ265)/(Drivers!CL121-Drivers!CL265)-1</f>
        <v>0.18930434524555162</v>
      </c>
      <c r="BO47" s="514">
        <f>(Drivers!CR121-Drivers!CR265)/(Drivers!CM121-Drivers!CM265)-1</f>
        <v>0.11439665041278424</v>
      </c>
      <c r="BP47" s="514">
        <f>(Drivers!CS121-Drivers!CS265)/(Drivers!CN121-Drivers!CN265)-1</f>
        <v>0.10840218435892868</v>
      </c>
      <c r="BQ47" s="862"/>
      <c r="BR47" s="514">
        <f>(Drivers!CU121-Drivers!CU265)/(Drivers!CP121-Drivers!CP265)-1</f>
        <v>0.25564517987434843</v>
      </c>
      <c r="BS47" s="514">
        <f>(Drivers!CV121-Drivers!CV265)/(Drivers!CQ121-Drivers!CQ265)-1</f>
        <v>-5.0230027508766151E-2</v>
      </c>
      <c r="BT47" s="514">
        <f>(Drivers!CW121-Drivers!CW265)/(Drivers!CR121-Drivers!CR265)-1</f>
        <v>9.8147298454308141E-2</v>
      </c>
      <c r="BU47" s="514">
        <f>(Drivers!CX121-Drivers!CX265)/(Drivers!CS121-Drivers!CS265)-1</f>
        <v>0.27661600275132425</v>
      </c>
      <c r="BV47" s="1470"/>
      <c r="BW47" s="514">
        <f>(Drivers!CZ121-Drivers!CZ265)/(Drivers!CU121-Drivers!CU265)-1</f>
        <v>-0.24061711315348344</v>
      </c>
      <c r="BX47" s="514">
        <f>(Drivers!DA121-Drivers!DA265)/(Drivers!CV121-Drivers!CV265)-1</f>
        <v>-4.2821508734891545E-3</v>
      </c>
      <c r="BY47" s="514">
        <f>(Drivers!DB121-Drivers!DB265)/(Drivers!CW121-Drivers!CW265)-1</f>
        <v>-0.14663871950234209</v>
      </c>
      <c r="BZ47" s="2855">
        <v>0.02</v>
      </c>
      <c r="CA47" s="2867"/>
      <c r="CB47" s="2855">
        <v>0</v>
      </c>
      <c r="CC47" s="2855">
        <v>0</v>
      </c>
      <c r="CD47" s="2855">
        <v>0</v>
      </c>
      <c r="CE47" s="2855">
        <v>0</v>
      </c>
      <c r="CF47" s="2867"/>
      <c r="CG47" s="862"/>
      <c r="CH47" s="862"/>
      <c r="CI47" s="862"/>
      <c r="CJ47" s="862"/>
      <c r="CK47" s="862"/>
      <c r="CL47" s="862"/>
    </row>
    <row r="48" spans="1:90">
      <c r="A48" s="862"/>
      <c r="B48" s="862"/>
      <c r="C48" s="1201">
        <f>C47</f>
        <v>-0.15958516696631331</v>
      </c>
      <c r="D48" s="1201">
        <f t="shared" ref="D48:G49" si="58">D47</f>
        <v>-0.215</v>
      </c>
      <c r="E48" s="1201">
        <f t="shared" si="58"/>
        <v>0.22300000000000006</v>
      </c>
      <c r="F48" s="1201">
        <f t="shared" si="58"/>
        <v>-7.0000000000000007E-2</v>
      </c>
      <c r="G48" s="1201">
        <f t="shared" si="58"/>
        <v>0.05</v>
      </c>
      <c r="H48" s="1201">
        <f t="shared" ref="H48:K49" si="59">H47</f>
        <v>-7.6950904829138023E-2</v>
      </c>
      <c r="I48" s="2077">
        <f t="shared" si="59"/>
        <v>-6.6031297709839842E-3</v>
      </c>
      <c r="J48" s="2077">
        <f t="shared" si="59"/>
        <v>-9.4953940583478169E-2</v>
      </c>
      <c r="K48" s="2077">
        <f t="shared" si="59"/>
        <v>0.14096355024221463</v>
      </c>
      <c r="L48" s="2077">
        <f>L47</f>
        <v>-0.17098452216693316</v>
      </c>
      <c r="M48" s="2077">
        <f>M47</f>
        <v>0.11868389115990663</v>
      </c>
      <c r="N48" s="2866">
        <f>+N47+0.0135</f>
        <v>-5.7550000000000004E-2</v>
      </c>
      <c r="O48" s="2866">
        <f>+O47+0.0117</f>
        <v>0.12870000000000001</v>
      </c>
      <c r="P48" s="2866">
        <f>+P47+0.017</f>
        <v>-0.14419999999999999</v>
      </c>
      <c r="Q48" s="2866">
        <f>+Q47+0.006</f>
        <v>0.1787</v>
      </c>
      <c r="R48" s="2866">
        <f>+R47+0.0207</f>
        <v>-0.14180000000000001</v>
      </c>
      <c r="S48" s="2866">
        <f t="shared" ref="S48:W48" si="60">+S47+0.005</f>
        <v>0.18860000000000002</v>
      </c>
      <c r="T48" s="2866">
        <f>+T47+0.021</f>
        <v>-9.3299999999999994E-2</v>
      </c>
      <c r="U48" s="2866">
        <f>+U47+0.0074</f>
        <v>6.0999999999999999E-2</v>
      </c>
      <c r="V48" s="2866">
        <f>+V47+0.0257</f>
        <v>-0.10020000000000001</v>
      </c>
      <c r="W48" s="2866">
        <f t="shared" si="60"/>
        <v>0.27839999999999998</v>
      </c>
      <c r="X48" s="862"/>
      <c r="Y48" s="862"/>
      <c r="Z48" s="862"/>
      <c r="AA48" s="862"/>
      <c r="AB48" s="862"/>
      <c r="AC48" s="1604"/>
      <c r="AD48" s="1604"/>
      <c r="AE48" s="1604"/>
      <c r="AF48" s="1604"/>
      <c r="AG48" s="1604"/>
      <c r="AH48" s="1604"/>
      <c r="AI48" s="1604"/>
      <c r="AJ48" s="1604"/>
      <c r="AK48" s="1604"/>
      <c r="AL48" s="1604"/>
      <c r="AM48" s="1604"/>
      <c r="AN48" s="1604"/>
      <c r="AO48" s="1604"/>
      <c r="AP48" s="1604"/>
      <c r="AQ48" s="1604"/>
      <c r="AR48" s="1604"/>
      <c r="AS48" s="1470"/>
      <c r="AT48" s="1470"/>
      <c r="AU48" s="1470"/>
      <c r="AV48" s="1470"/>
      <c r="AW48" s="1470"/>
      <c r="AX48" s="1470"/>
      <c r="AY48" s="1470"/>
      <c r="AZ48" s="862"/>
      <c r="BA48" s="862"/>
      <c r="BB48" s="862"/>
      <c r="BC48" s="870"/>
      <c r="BD48" s="870"/>
      <c r="BE48" s="870"/>
      <c r="BF48" s="870"/>
      <c r="BG48" s="862"/>
      <c r="BH48" s="1201">
        <f t="shared" ref="BH48:BM48" si="61">BH47</f>
        <v>-0.20551693461785325</v>
      </c>
      <c r="BI48" s="1201">
        <f t="shared" si="61"/>
        <v>-0.17106668963788485</v>
      </c>
      <c r="BJ48" s="1201">
        <f t="shared" si="61"/>
        <v>6.4180485696571088E-2</v>
      </c>
      <c r="BK48" s="1201">
        <f t="shared" si="61"/>
        <v>0.14484834492481058</v>
      </c>
      <c r="BL48" s="897"/>
      <c r="BM48" s="1201">
        <f t="shared" si="61"/>
        <v>0.18613841204867354</v>
      </c>
      <c r="BN48" s="1201">
        <f>BN47</f>
        <v>0.18930434524555162</v>
      </c>
      <c r="BO48" s="1201">
        <f>BO47</f>
        <v>0.11439665041278424</v>
      </c>
      <c r="BP48" s="1201">
        <f>BP47</f>
        <v>0.10840218435892868</v>
      </c>
      <c r="BQ48" s="862"/>
      <c r="BR48" s="1201">
        <f>BR47</f>
        <v>0.25564517987434843</v>
      </c>
      <c r="BS48" s="1201">
        <f>BS47</f>
        <v>-5.0230027508766151E-2</v>
      </c>
      <c r="BT48" s="1201">
        <f>BT47</f>
        <v>9.8147298454308141E-2</v>
      </c>
      <c r="BU48" s="1201">
        <f>BU47</f>
        <v>0.27661600275132425</v>
      </c>
      <c r="BV48" s="1470"/>
      <c r="BW48" s="1201">
        <f t="shared" ref="BW48:BY48" si="62">BW47</f>
        <v>-0.24061711315348344</v>
      </c>
      <c r="BX48" s="1201">
        <f t="shared" si="62"/>
        <v>-4.2821508734891545E-3</v>
      </c>
      <c r="BY48" s="1201">
        <f t="shared" si="62"/>
        <v>-0.14663871950234209</v>
      </c>
      <c r="BZ48" s="2958">
        <f>BZ47+0.002</f>
        <v>2.1999999999999999E-2</v>
      </c>
      <c r="CA48" s="2867"/>
      <c r="CB48" s="2958">
        <f t="shared" ref="CB48" si="63">CB47+0.005</f>
        <v>5.0000000000000001E-3</v>
      </c>
      <c r="CC48" s="2958">
        <f t="shared" ref="CC48:CE48" si="64">CC47+0.005</f>
        <v>5.0000000000000001E-3</v>
      </c>
      <c r="CD48" s="2958">
        <f t="shared" si="64"/>
        <v>5.0000000000000001E-3</v>
      </c>
      <c r="CE48" s="2958">
        <f t="shared" si="64"/>
        <v>5.0000000000000001E-3</v>
      </c>
      <c r="CF48" s="2867"/>
      <c r="CG48" s="862"/>
      <c r="CH48" s="862"/>
      <c r="CI48" s="862"/>
      <c r="CJ48" s="862"/>
      <c r="CK48" s="862"/>
      <c r="CL48" s="862"/>
    </row>
    <row r="49" spans="1:90">
      <c r="A49" s="862"/>
      <c r="B49" s="862"/>
      <c r="C49" s="1201">
        <f>C48</f>
        <v>-0.15958516696631331</v>
      </c>
      <c r="D49" s="1201">
        <f t="shared" si="58"/>
        <v>-0.215</v>
      </c>
      <c r="E49" s="1201">
        <f t="shared" si="58"/>
        <v>0.22300000000000006</v>
      </c>
      <c r="F49" s="1201">
        <f t="shared" si="58"/>
        <v>-7.0000000000000007E-2</v>
      </c>
      <c r="G49" s="1201">
        <f t="shared" si="58"/>
        <v>0.05</v>
      </c>
      <c r="H49" s="1201">
        <f t="shared" si="59"/>
        <v>-7.6950904829138023E-2</v>
      </c>
      <c r="I49" s="2077">
        <f t="shared" si="59"/>
        <v>-6.6031297709839842E-3</v>
      </c>
      <c r="J49" s="2077">
        <f t="shared" si="59"/>
        <v>-9.4953940583478169E-2</v>
      </c>
      <c r="K49" s="2077">
        <f t="shared" si="59"/>
        <v>0.14096355024221463</v>
      </c>
      <c r="L49" s="2077">
        <f>L48</f>
        <v>-0.17098452216693316</v>
      </c>
      <c r="M49" s="2077">
        <f>M48</f>
        <v>0.11868389115990663</v>
      </c>
      <c r="N49" s="2866">
        <f>+N47-0.0238</f>
        <v>-9.4850000000000004E-2</v>
      </c>
      <c r="O49" s="2866">
        <f>+O47-0.0163</f>
        <v>0.10070000000000001</v>
      </c>
      <c r="P49" s="2866">
        <f>+P47-0.0315</f>
        <v>-0.19270000000000001</v>
      </c>
      <c r="Q49" s="2866">
        <f>+Q47-0.01</f>
        <v>0.16269999999999998</v>
      </c>
      <c r="R49" s="2866">
        <f>+R47-0.039</f>
        <v>-0.20150000000000001</v>
      </c>
      <c r="S49" s="2866">
        <f>+S47-0.01</f>
        <v>0.1736</v>
      </c>
      <c r="T49" s="2866">
        <f>+T47-0.0393</f>
        <v>-0.15360000000000001</v>
      </c>
      <c r="U49" s="2866">
        <f>+U47-0.008</f>
        <v>4.5600000000000002E-2</v>
      </c>
      <c r="V49" s="2866">
        <f>+V47-0.05</f>
        <v>-0.1759</v>
      </c>
      <c r="W49" s="2866">
        <f>+W47-0.01</f>
        <v>0.26339999999999997</v>
      </c>
      <c r="X49" s="862"/>
      <c r="Y49" s="862"/>
      <c r="Z49" s="862"/>
      <c r="AA49" s="862"/>
      <c r="AB49" s="862"/>
      <c r="AC49" s="1604"/>
      <c r="AD49" s="1604"/>
      <c r="AE49" s="1604"/>
      <c r="AF49" s="1604"/>
      <c r="AG49" s="1604"/>
      <c r="AH49" s="1604"/>
      <c r="AI49" s="1604"/>
      <c r="AJ49" s="1604"/>
      <c r="AK49" s="1604"/>
      <c r="AL49" s="1604"/>
      <c r="AM49" s="1604"/>
      <c r="AN49" s="1604"/>
      <c r="AO49" s="1604"/>
      <c r="AP49" s="1604"/>
      <c r="AQ49" s="1604"/>
      <c r="AR49" s="1604"/>
      <c r="AS49" s="1470"/>
      <c r="AT49" s="1470"/>
      <c r="AU49" s="1470"/>
      <c r="AV49" s="1470"/>
      <c r="AW49" s="1470"/>
      <c r="AX49" s="1470"/>
      <c r="AY49" s="1470"/>
      <c r="AZ49" s="862"/>
      <c r="BA49" s="862"/>
      <c r="BB49" s="862"/>
      <c r="BC49" s="870"/>
      <c r="BD49" s="870"/>
      <c r="BE49" s="870"/>
      <c r="BF49" s="870"/>
      <c r="BG49" s="862"/>
      <c r="BH49" s="1201">
        <f t="shared" ref="BH49:BM49" si="65">BH47</f>
        <v>-0.20551693461785325</v>
      </c>
      <c r="BI49" s="1201">
        <f t="shared" si="65"/>
        <v>-0.17106668963788485</v>
      </c>
      <c r="BJ49" s="1201">
        <f t="shared" si="65"/>
        <v>6.4180485696571088E-2</v>
      </c>
      <c r="BK49" s="1201">
        <f t="shared" si="65"/>
        <v>0.14484834492481058</v>
      </c>
      <c r="BL49" s="862"/>
      <c r="BM49" s="1201">
        <f t="shared" si="65"/>
        <v>0.18613841204867354</v>
      </c>
      <c r="BN49" s="1201">
        <f>BN47</f>
        <v>0.18930434524555162</v>
      </c>
      <c r="BO49" s="1201">
        <f>BO47</f>
        <v>0.11439665041278424</v>
      </c>
      <c r="BP49" s="1201">
        <f>BP47</f>
        <v>0.10840218435892868</v>
      </c>
      <c r="BQ49" s="862"/>
      <c r="BR49" s="1201">
        <f>BR47</f>
        <v>0.25564517987434843</v>
      </c>
      <c r="BS49" s="1201">
        <f>BS47</f>
        <v>-5.0230027508766151E-2</v>
      </c>
      <c r="BT49" s="1201">
        <f>BT47</f>
        <v>9.8147298454308141E-2</v>
      </c>
      <c r="BU49" s="1201">
        <f>BU47</f>
        <v>0.27661600275132425</v>
      </c>
      <c r="BV49" s="1470"/>
      <c r="BW49" s="1201">
        <f t="shared" ref="BW49:BX49" si="66">BW47</f>
        <v>-0.24061711315348344</v>
      </c>
      <c r="BX49" s="1201">
        <f t="shared" si="66"/>
        <v>-4.2821508734891545E-3</v>
      </c>
      <c r="BY49" s="1201">
        <f t="shared" ref="BY49" si="67">BY47</f>
        <v>-0.14663871950234209</v>
      </c>
      <c r="BZ49" s="2866">
        <f>+BZ47-0.01</f>
        <v>0.01</v>
      </c>
      <c r="CA49" s="2867"/>
      <c r="CB49" s="2866">
        <f>+CB47-3%</f>
        <v>-0.03</v>
      </c>
      <c r="CC49" s="2866">
        <f t="shared" ref="CC49:CE49" si="68">+CC47-3%</f>
        <v>-0.03</v>
      </c>
      <c r="CD49" s="2866">
        <f t="shared" si="68"/>
        <v>-0.03</v>
      </c>
      <c r="CE49" s="2866">
        <f t="shared" si="68"/>
        <v>-0.03</v>
      </c>
      <c r="CF49" s="2867"/>
      <c r="CG49" s="862"/>
      <c r="CH49" s="862"/>
      <c r="CI49" s="862"/>
      <c r="CJ49" s="862"/>
      <c r="CK49" s="862"/>
      <c r="CL49" s="862"/>
    </row>
    <row r="50" spans="1:90">
      <c r="B50" s="1470" t="s">
        <v>1778</v>
      </c>
      <c r="U50"/>
      <c r="BH50" s="514">
        <f>Drivers!CK297</f>
        <v>-0.13058535964210238</v>
      </c>
      <c r="BI50" s="514">
        <f>Drivers!CL297</f>
        <v>-0.11826443696697242</v>
      </c>
      <c r="BJ50" s="514">
        <f>Drivers!CM297</f>
        <v>-6.783004775187762E-2</v>
      </c>
      <c r="BK50" s="514">
        <f>Drivers!CN297</f>
        <v>-0.10887520791580252</v>
      </c>
      <c r="BL50" s="514"/>
      <c r="BM50" s="514">
        <f>Drivers!CP297</f>
        <v>-7.6755740119320737E-2</v>
      </c>
      <c r="BN50" s="514">
        <f>Drivers!CQ297</f>
        <v>-3.1341127096471744E-2</v>
      </c>
      <c r="BO50" s="514">
        <f>Drivers!CR297</f>
        <v>2.4328372109261309E-2</v>
      </c>
      <c r="BP50" s="514">
        <f>Drivers!CS297</f>
        <v>0.12642572200201241</v>
      </c>
      <c r="BQ50" s="514"/>
      <c r="BR50" s="514">
        <f>Drivers!CU297</f>
        <v>-2.1339794036928872E-2</v>
      </c>
      <c r="BS50" s="514">
        <f>Drivers!CV297</f>
        <v>-0.11136356964874194</v>
      </c>
      <c r="BT50" s="514">
        <f>Drivers!CW297</f>
        <v>-7.7570324446831651E-2</v>
      </c>
      <c r="BU50" s="514">
        <f>Drivers!CX297</f>
        <v>-7.1090367573758084E-2</v>
      </c>
      <c r="BV50" s="1470"/>
      <c r="BW50" s="514">
        <f>Drivers!CZ297</f>
        <v>-2.5693028348312996E-2</v>
      </c>
      <c r="BX50" s="514">
        <f>Drivers!DA297</f>
        <v>9.6190064830043998E-3</v>
      </c>
      <c r="BY50" s="514">
        <f>Drivers!DB297</f>
        <v>1.5921765767169527E-2</v>
      </c>
      <c r="BZ50" s="2951">
        <f>(Drivers!DC121-Drivers!DC265)/(Drivers!CX121-Drivers!CX265)-1</f>
        <v>-0.25781298132502684</v>
      </c>
      <c r="CA50" s="2867"/>
      <c r="CB50" s="2951">
        <f>(Drivers!DE121-Drivers!DE265)/(Drivers!CZ121-Drivers!CZ265)-1</f>
        <v>6.2529238920857155E-2</v>
      </c>
      <c r="CC50" s="2951">
        <f>(Drivers!DF121-Drivers!DF265)/(Drivers!DA121-Drivers!DA265)-1</f>
        <v>-8.2086978497609708E-3</v>
      </c>
      <c r="CD50" s="2951">
        <f>(Drivers!DG121-Drivers!DG265)/(Drivers!DB121-Drivers!DB265)-1</f>
        <v>0.12097345662080672</v>
      </c>
      <c r="CE50" s="2951">
        <f>(Drivers!DH121-Drivers!DH265)/(Drivers!DC121-Drivers!DC265)-1</f>
        <v>0.29528815408261289</v>
      </c>
      <c r="CF50" s="2807"/>
    </row>
    <row r="51" spans="1:90">
      <c r="A51" s="862"/>
      <c r="B51" s="36" t="s">
        <v>1611</v>
      </c>
      <c r="C51" s="862"/>
      <c r="D51" s="1090"/>
      <c r="E51" s="1090"/>
      <c r="F51" s="1090"/>
      <c r="G51" s="862"/>
      <c r="H51" s="1191"/>
      <c r="I51" s="514"/>
      <c r="W51" s="862"/>
      <c r="X51" s="862"/>
      <c r="Y51" s="862"/>
      <c r="Z51" s="862"/>
      <c r="AA51" s="862"/>
      <c r="AB51" s="862"/>
      <c r="AC51" s="862"/>
      <c r="AD51" s="862"/>
      <c r="AE51" s="862"/>
      <c r="AF51" s="862"/>
      <c r="AG51" s="862"/>
      <c r="AH51" s="862"/>
      <c r="AI51" s="862"/>
      <c r="AJ51" s="862"/>
      <c r="AK51" s="862"/>
      <c r="AL51" s="862"/>
      <c r="AM51" s="862"/>
      <c r="AN51" s="862"/>
      <c r="AO51" s="862"/>
      <c r="AP51" s="862"/>
      <c r="AQ51" s="862"/>
      <c r="AR51" s="862"/>
      <c r="AS51" s="862"/>
      <c r="AT51" s="862"/>
      <c r="AU51" s="862"/>
      <c r="AV51" s="862"/>
      <c r="AW51" s="862"/>
      <c r="AX51" s="862"/>
      <c r="AY51" s="862"/>
      <c r="AZ51" s="862"/>
      <c r="BA51" s="862"/>
      <c r="BB51" s="862"/>
      <c r="BC51" s="870"/>
      <c r="BD51" s="870"/>
      <c r="BE51" s="870"/>
      <c r="BF51" s="870"/>
      <c r="BG51" s="862"/>
      <c r="BH51" s="1404"/>
      <c r="BI51" s="1404"/>
      <c r="BJ51" s="1404"/>
      <c r="BK51" s="906"/>
      <c r="BL51" s="862"/>
      <c r="BM51" s="906"/>
      <c r="BN51" s="906"/>
      <c r="BO51" s="906"/>
      <c r="BP51" s="906"/>
      <c r="BQ51" s="862"/>
      <c r="BR51" s="1470"/>
      <c r="BS51" s="1577"/>
      <c r="BT51" s="1577"/>
      <c r="BU51" s="1470"/>
      <c r="BV51" s="1470"/>
      <c r="BW51" s="1470"/>
      <c r="BX51" s="1470"/>
      <c r="BY51" s="1470"/>
      <c r="BZ51" s="2807"/>
      <c r="CA51" s="2867"/>
      <c r="CB51" s="2807"/>
      <c r="CC51" s="2807"/>
      <c r="CD51" s="2807"/>
      <c r="CE51" s="2807"/>
      <c r="CF51" s="2867"/>
      <c r="CG51" s="862"/>
      <c r="CH51" s="862"/>
      <c r="CI51" s="862"/>
      <c r="CJ51" s="862"/>
      <c r="CK51" s="862"/>
      <c r="CL51" s="862"/>
    </row>
    <row r="52" spans="1:90">
      <c r="A52" s="862"/>
      <c r="B52" s="862"/>
      <c r="C52" s="862"/>
      <c r="D52" s="862"/>
      <c r="E52" s="862"/>
      <c r="F52" s="862"/>
      <c r="G52" s="862"/>
      <c r="H52" s="862"/>
      <c r="I52" s="1470"/>
      <c r="J52" s="1470"/>
      <c r="K52" s="1470"/>
      <c r="L52" s="1577"/>
      <c r="M52" s="1577"/>
      <c r="N52" s="1577"/>
      <c r="O52" s="1577"/>
      <c r="P52" s="1577"/>
      <c r="Q52" s="1577"/>
      <c r="R52" s="1577"/>
      <c r="S52" s="1577"/>
      <c r="T52" s="1577"/>
      <c r="V52" s="1577"/>
      <c r="W52" s="862"/>
      <c r="X52" s="862"/>
      <c r="Y52" s="862"/>
      <c r="Z52" s="862"/>
      <c r="AA52" s="862"/>
      <c r="AB52" s="862"/>
      <c r="AC52" s="1577"/>
      <c r="AD52" s="1577"/>
      <c r="AE52" s="1577"/>
      <c r="AF52" s="1577"/>
      <c r="AG52" s="1577"/>
      <c r="AH52" s="1577"/>
      <c r="AI52" s="1577"/>
      <c r="AJ52" s="1577"/>
      <c r="AK52" s="1577"/>
      <c r="AL52" s="1577"/>
      <c r="AM52" s="1577"/>
      <c r="AN52" s="1577"/>
      <c r="AO52" s="1577"/>
      <c r="AP52" s="1577"/>
      <c r="AQ52" s="1577"/>
      <c r="AR52" s="1577"/>
      <c r="AS52" s="1577"/>
      <c r="AT52" s="1577"/>
      <c r="AU52" s="1577"/>
      <c r="AV52" s="1577"/>
      <c r="AW52" s="1577"/>
      <c r="AX52" s="1577"/>
      <c r="AY52" s="1470"/>
      <c r="AZ52" s="862"/>
      <c r="BA52" s="862"/>
      <c r="BB52" s="862"/>
      <c r="BC52" s="870"/>
      <c r="BD52" s="870"/>
      <c r="BE52" s="870"/>
      <c r="BF52" s="870"/>
      <c r="BG52" s="862"/>
      <c r="BH52" s="1048"/>
      <c r="BI52" s="1048"/>
      <c r="BJ52" s="1048"/>
      <c r="BK52" s="1048"/>
      <c r="BL52" s="862"/>
      <c r="BM52" s="1048"/>
      <c r="BN52" s="1048"/>
      <c r="BO52" s="1048"/>
      <c r="BP52" s="1048"/>
      <c r="BQ52" s="862"/>
      <c r="BR52" s="1470"/>
      <c r="BS52" s="1470"/>
      <c r="BT52" s="1470"/>
      <c r="BU52" s="1577"/>
      <c r="BV52" s="1470"/>
      <c r="BW52" s="1577"/>
      <c r="BX52" s="1577"/>
      <c r="BY52" s="1577"/>
      <c r="BZ52" s="2807"/>
      <c r="CA52" s="2867"/>
      <c r="CB52" s="2866"/>
      <c r="CC52" s="2807"/>
      <c r="CD52" s="2867"/>
      <c r="CE52" s="2867"/>
      <c r="CF52" s="2867"/>
      <c r="CG52" s="862"/>
      <c r="CH52" s="862"/>
      <c r="CI52" s="862"/>
      <c r="CJ52" s="862"/>
      <c r="CK52" s="862"/>
      <c r="CL52" s="862"/>
    </row>
    <row r="53" spans="1:90">
      <c r="A53" s="862"/>
      <c r="B53" s="1470" t="s">
        <v>1566</v>
      </c>
      <c r="C53" s="878">
        <f>+CHOOSE($B$3,C54,C55,C56)</f>
        <v>-0.15334180922120111</v>
      </c>
      <c r="D53" s="878">
        <f t="shared" ref="D53:T53" si="69">+CHOOSE($B$3,D54,D55,D56)</f>
        <v>-0.15487298970112384</v>
      </c>
      <c r="E53" s="878">
        <f t="shared" si="69"/>
        <v>0.35256150076519854</v>
      </c>
      <c r="F53" s="878">
        <f t="shared" si="69"/>
        <v>-0.14306645913237237</v>
      </c>
      <c r="G53" s="878">
        <f t="shared" si="69"/>
        <v>0.10239821087127199</v>
      </c>
      <c r="H53" s="878">
        <f t="shared" si="69"/>
        <v>-9.2733966960577119E-2</v>
      </c>
      <c r="I53" s="2081">
        <f t="shared" si="69"/>
        <v>8.6301734374185868E-2</v>
      </c>
      <c r="J53" s="2081">
        <f t="shared" si="69"/>
        <v>-5.029109240854801E-2</v>
      </c>
      <c r="K53" s="2081">
        <f t="shared" si="69"/>
        <v>2.9001926271488232E-2</v>
      </c>
      <c r="L53" s="2081">
        <f>+CHOOSE($B$3,L54,L55,L56)</f>
        <v>2.731002419591011E-3</v>
      </c>
      <c r="M53" s="2081">
        <f t="shared" si="69"/>
        <v>0</v>
      </c>
      <c r="N53" s="2081">
        <f t="shared" si="69"/>
        <v>-0.01</v>
      </c>
      <c r="O53" s="2081">
        <f t="shared" si="69"/>
        <v>-0.01</v>
      </c>
      <c r="P53" s="2081">
        <f t="shared" si="69"/>
        <v>-0.01</v>
      </c>
      <c r="Q53" s="2081">
        <f t="shared" si="69"/>
        <v>-0.01</v>
      </c>
      <c r="R53" s="2081">
        <f t="shared" si="69"/>
        <v>-0.01</v>
      </c>
      <c r="S53" s="2081">
        <f t="shared" si="69"/>
        <v>-0.01</v>
      </c>
      <c r="T53" s="2081">
        <f t="shared" si="69"/>
        <v>-0.01</v>
      </c>
      <c r="U53" s="2081">
        <f>+CHOOSE($B$3,U54,U55,U56)</f>
        <v>-0.01</v>
      </c>
      <c r="V53" s="2081">
        <f>+CHOOSE($B$3,V54,V55,V56)</f>
        <v>-0.01</v>
      </c>
      <c r="W53" s="2081">
        <f>+CHOOSE($B$3,W54,W55,W56)</f>
        <v>-0.01</v>
      </c>
      <c r="X53" s="862"/>
      <c r="Y53" s="862"/>
      <c r="Z53" s="862"/>
      <c r="AA53" s="862"/>
      <c r="AB53" s="862"/>
      <c r="AC53" s="1802"/>
      <c r="AD53" s="1802"/>
      <c r="AE53" s="1802"/>
      <c r="AF53" s="1802"/>
      <c r="AG53" s="1802"/>
      <c r="AH53" s="1802"/>
      <c r="AI53" s="1802"/>
      <c r="AJ53" s="1802"/>
      <c r="AK53" s="1802"/>
      <c r="AL53" s="1802"/>
      <c r="AM53" s="1802"/>
      <c r="AN53" s="1802"/>
      <c r="AO53" s="1802"/>
      <c r="AP53" s="1802"/>
      <c r="AQ53" s="1802"/>
      <c r="AR53" s="1802"/>
      <c r="AS53" s="1470"/>
      <c r="AT53" s="1470"/>
      <c r="AU53" s="1470"/>
      <c r="AV53" s="1470"/>
      <c r="AW53" s="1470"/>
      <c r="AX53" s="1470"/>
      <c r="AY53" s="1470"/>
      <c r="AZ53" s="862"/>
      <c r="BA53" s="862"/>
      <c r="BB53" s="862"/>
      <c r="BC53" s="870"/>
      <c r="BD53" s="870"/>
      <c r="BE53" s="870"/>
      <c r="BF53" s="870"/>
      <c r="BG53" s="862"/>
      <c r="BH53" s="1407">
        <f>+CHOOSE($B$3,BH54,BH55,BH56)</f>
        <v>2.1254209253706691E-2</v>
      </c>
      <c r="BI53" s="1407">
        <f>+CHOOSE($B$3,BI54,BI55,BI56)</f>
        <v>8.4789750111262663E-3</v>
      </c>
      <c r="BJ53" s="1407">
        <f>+CHOOSE($B$3,BJ54,BJ55,BJ56)</f>
        <v>0.12606792391173083</v>
      </c>
      <c r="BK53" s="1407">
        <f>+CHOOSE($B$3,BK54,BK55,BK56)</f>
        <v>0.1571546360478584</v>
      </c>
      <c r="BL53" s="862"/>
      <c r="BM53" s="1616">
        <f>+CHOOSE($B$3,BM54,BM55,BM56)</f>
        <v>1.3968357142861709E-3</v>
      </c>
      <c r="BN53" s="1616">
        <f>+CHOOSE($B$3,BN54,BN55,BN56)</f>
        <v>1.3128472395088409E-2</v>
      </c>
      <c r="BO53" s="1616">
        <f>+CHOOSE($B$3,BO54,BO55,BO56)</f>
        <v>-4.4482288029186079E-2</v>
      </c>
      <c r="BP53" s="1616">
        <f>+CHOOSE($B$3,BP54,BP55,BP56)</f>
        <v>-0.11935619509501005</v>
      </c>
      <c r="BQ53" s="862"/>
      <c r="BR53" s="1616">
        <f>+CHOOSE($B$3,BR54,BR55,BR56)</f>
        <v>4.493808742841443E-2</v>
      </c>
      <c r="BS53" s="1616">
        <f>+CHOOSE($B$3,BS54,BS55,BS56)</f>
        <v>-9.7820194580048314E-3</v>
      </c>
      <c r="BT53" s="2214">
        <f>+CHOOSE($B$3,BT54,BT55,BT56)</f>
        <v>2.6598526254900667E-2</v>
      </c>
      <c r="BU53" s="2214">
        <f>+CHOOSE($B$3,BU54,BU55,BU56)</f>
        <v>4.1352282122468331E-2</v>
      </c>
      <c r="BV53" s="1470"/>
      <c r="BW53" s="2214">
        <f t="shared" ref="BW53:BX53" si="70">+CHOOSE($B$3,BW54,BW55,BW56)</f>
        <v>-1.0662091556175257E-2</v>
      </c>
      <c r="BX53" s="2214">
        <f t="shared" si="70"/>
        <v>1.049353820940313E-2</v>
      </c>
      <c r="BY53" s="2214">
        <f>+CHOOSE($B$3,BY54,BY55,BY56)</f>
        <v>-7.5979882212640071E-5</v>
      </c>
      <c r="BZ53" s="2956">
        <f>+CHOOSE($B$3,BZ54,BZ55,BZ56)</f>
        <v>0.01</v>
      </c>
      <c r="CA53" s="2867"/>
      <c r="CB53" s="2956">
        <f t="shared" ref="CB53:CE53" si="71">+CHOOSE($B$3,CB54,CB55,CB56)</f>
        <v>0</v>
      </c>
      <c r="CC53" s="2956">
        <f t="shared" si="71"/>
        <v>0</v>
      </c>
      <c r="CD53" s="2956">
        <f t="shared" si="71"/>
        <v>0</v>
      </c>
      <c r="CE53" s="2956">
        <f t="shared" si="71"/>
        <v>0</v>
      </c>
      <c r="CF53" s="2867"/>
      <c r="CG53" s="862"/>
      <c r="CH53" s="862"/>
      <c r="CI53" s="862"/>
      <c r="CJ53" s="862"/>
      <c r="CK53" s="862"/>
      <c r="CL53" s="862"/>
    </row>
    <row r="54" spans="1:90">
      <c r="A54" s="862"/>
      <c r="C54" s="131">
        <f>Drivers!H122/Drivers!G122-1</f>
        <v>-0.15334180922120111</v>
      </c>
      <c r="D54" s="131">
        <f>Drivers!I122/Drivers!H122-1</f>
        <v>-0.15487298970112384</v>
      </c>
      <c r="E54" s="131">
        <f>Drivers!J122/Drivers!I122-1</f>
        <v>0.35256150076519854</v>
      </c>
      <c r="F54" s="131">
        <f>Drivers!K122/Drivers!J122-1</f>
        <v>-0.14306645913237237</v>
      </c>
      <c r="G54" s="131">
        <f>Drivers!L122/Drivers!K122-1</f>
        <v>0.10239821087127199</v>
      </c>
      <c r="H54" s="131">
        <f>Drivers!M122/Drivers!L122-1</f>
        <v>-9.2733966960577119E-2</v>
      </c>
      <c r="I54" s="131">
        <f>Drivers!N122/Drivers!M122-1</f>
        <v>8.6301734374185868E-2</v>
      </c>
      <c r="J54" s="1923">
        <f>Drivers!Q122/Drivers!P122-1</f>
        <v>-5.029109240854801E-2</v>
      </c>
      <c r="K54" s="1923">
        <f>Drivers!R122/Drivers!Q122-1</f>
        <v>2.9001926271488232E-2</v>
      </c>
      <c r="L54" s="1923">
        <f>Drivers!T122/Drivers!R122-1</f>
        <v>2.731002419591011E-3</v>
      </c>
      <c r="M54" s="1923">
        <f>Drivers!U122/Drivers!T122-1</f>
        <v>0</v>
      </c>
      <c r="N54" s="1600">
        <v>-0.01</v>
      </c>
      <c r="O54" s="1600">
        <v>-0.01</v>
      </c>
      <c r="P54" s="1600">
        <v>-0.01</v>
      </c>
      <c r="Q54" s="1600">
        <v>-0.01</v>
      </c>
      <c r="R54" s="1600">
        <v>-0.01</v>
      </c>
      <c r="S54" s="1600">
        <v>-0.01</v>
      </c>
      <c r="T54" s="1600">
        <v>-0.01</v>
      </c>
      <c r="U54" s="1600">
        <v>-0.01</v>
      </c>
      <c r="V54" s="1600">
        <v>-0.01</v>
      </c>
      <c r="W54" s="1600">
        <v>-0.01</v>
      </c>
      <c r="X54" s="862"/>
      <c r="Y54" s="862"/>
      <c r="Z54" s="862"/>
      <c r="AA54" s="862"/>
      <c r="AB54" s="862"/>
      <c r="AC54" s="1482"/>
      <c r="AD54" s="130"/>
      <c r="AE54" s="130"/>
      <c r="AF54" s="130"/>
      <c r="AG54" s="130"/>
      <c r="AH54" s="130"/>
      <c r="AI54" s="130"/>
      <c r="AJ54" s="130"/>
      <c r="AK54" s="130"/>
      <c r="AL54" s="130"/>
      <c r="AM54" s="130"/>
      <c r="AN54" s="130"/>
      <c r="AO54" s="130"/>
      <c r="AP54" s="130"/>
      <c r="AQ54" s="130"/>
      <c r="AR54" s="130"/>
      <c r="AS54" s="862"/>
      <c r="AT54" s="862"/>
      <c r="AU54" s="862"/>
      <c r="AV54" s="862"/>
      <c r="AW54" s="862"/>
      <c r="AX54" s="862"/>
      <c r="AY54" s="862"/>
      <c r="AZ54" s="862"/>
      <c r="BA54" s="862"/>
      <c r="BB54" s="862"/>
      <c r="BC54" s="870"/>
      <c r="BD54" s="870"/>
      <c r="BE54" s="870"/>
      <c r="BF54" s="870"/>
      <c r="BG54" s="862"/>
      <c r="BH54" s="514">
        <f>Drivers!CK125</f>
        <v>2.1254209253706691E-2</v>
      </c>
      <c r="BI54" s="514">
        <f>Drivers!CL125</f>
        <v>8.4789750111262663E-3</v>
      </c>
      <c r="BJ54" s="514">
        <f>Drivers!CM125</f>
        <v>0.12606792391173083</v>
      </c>
      <c r="BK54" s="514">
        <f>Drivers!CN125</f>
        <v>0.1571546360478584</v>
      </c>
      <c r="BL54" s="862"/>
      <c r="BM54" s="514">
        <f>Drivers!CP125</f>
        <v>1.3968357142861709E-3</v>
      </c>
      <c r="BN54" s="514">
        <f>Drivers!CQ125</f>
        <v>1.3128472395088409E-2</v>
      </c>
      <c r="BO54" s="514">
        <f>Drivers!CR125</f>
        <v>-4.4482288029186079E-2</v>
      </c>
      <c r="BP54" s="514">
        <f>Drivers!CS125</f>
        <v>-0.11935619509501005</v>
      </c>
      <c r="BQ54" s="862"/>
      <c r="BR54" s="514">
        <f>Drivers!CU125</f>
        <v>4.493808742841443E-2</v>
      </c>
      <c r="BS54" s="514">
        <f>Drivers!CV125</f>
        <v>-9.7820194580048314E-3</v>
      </c>
      <c r="BT54" s="514">
        <f>Drivers!CW125</f>
        <v>2.6598526254900667E-2</v>
      </c>
      <c r="BU54" s="514">
        <f>Drivers!CX125</f>
        <v>4.1352282122468331E-2</v>
      </c>
      <c r="BV54" s="1470"/>
      <c r="BW54" s="514">
        <f>Drivers!CZ125</f>
        <v>-1.0662091556175257E-2</v>
      </c>
      <c r="BX54" s="514">
        <f>Drivers!DA125</f>
        <v>1.049353820940313E-2</v>
      </c>
      <c r="BY54" s="514">
        <f>Drivers!DB125</f>
        <v>-7.5979882212640071E-5</v>
      </c>
      <c r="BZ54" s="2855">
        <v>0.01</v>
      </c>
      <c r="CA54" s="2867"/>
      <c r="CB54" s="2855">
        <v>0</v>
      </c>
      <c r="CC54" s="2855">
        <v>0</v>
      </c>
      <c r="CD54" s="2855">
        <v>0</v>
      </c>
      <c r="CE54" s="2855">
        <v>0</v>
      </c>
      <c r="CF54" s="2867"/>
      <c r="CG54" s="862"/>
      <c r="CH54" s="862"/>
      <c r="CI54" s="862"/>
      <c r="CJ54" s="862"/>
      <c r="CK54" s="862"/>
      <c r="CL54" s="862"/>
    </row>
    <row r="55" spans="1:90">
      <c r="A55" s="862"/>
      <c r="B55" s="862"/>
      <c r="C55" s="1201">
        <f>C54</f>
        <v>-0.15334180922120111</v>
      </c>
      <c r="D55" s="1201">
        <f t="shared" ref="D55:I56" si="72">D54</f>
        <v>-0.15487298970112384</v>
      </c>
      <c r="E55" s="1201">
        <f t="shared" si="72"/>
        <v>0.35256150076519854</v>
      </c>
      <c r="F55" s="1201">
        <f t="shared" si="72"/>
        <v>-0.14306645913237237</v>
      </c>
      <c r="G55" s="1201">
        <f t="shared" si="72"/>
        <v>0.10239821087127199</v>
      </c>
      <c r="H55" s="1201">
        <f t="shared" si="72"/>
        <v>-9.2733966960577119E-2</v>
      </c>
      <c r="I55" s="1201">
        <f t="shared" si="72"/>
        <v>8.6301734374185868E-2</v>
      </c>
      <c r="J55" s="2077">
        <f t="shared" ref="J55:L56" si="73">J54</f>
        <v>-5.029109240854801E-2</v>
      </c>
      <c r="K55" s="2077">
        <f t="shared" si="73"/>
        <v>2.9001926271488232E-2</v>
      </c>
      <c r="L55" s="2077">
        <f t="shared" si="73"/>
        <v>2.731002419591011E-3</v>
      </c>
      <c r="M55" s="2077">
        <f t="shared" ref="M55" si="74">M54</f>
        <v>0</v>
      </c>
      <c r="N55" s="1737">
        <f>+N54+0.01</f>
        <v>0</v>
      </c>
      <c r="O55" s="1737">
        <f t="shared" ref="O55:W55" si="75">+O54+0.01</f>
        <v>0</v>
      </c>
      <c r="P55" s="1737">
        <f t="shared" si="75"/>
        <v>0</v>
      </c>
      <c r="Q55" s="1737">
        <f t="shared" si="75"/>
        <v>0</v>
      </c>
      <c r="R55" s="1737">
        <f t="shared" si="75"/>
        <v>0</v>
      </c>
      <c r="S55" s="1737">
        <f t="shared" si="75"/>
        <v>0</v>
      </c>
      <c r="T55" s="1737">
        <f t="shared" si="75"/>
        <v>0</v>
      </c>
      <c r="U55" s="1737">
        <f t="shared" si="75"/>
        <v>0</v>
      </c>
      <c r="V55" s="1737">
        <f t="shared" si="75"/>
        <v>0</v>
      </c>
      <c r="W55" s="1737">
        <f t="shared" si="75"/>
        <v>0</v>
      </c>
      <c r="X55" s="862"/>
      <c r="Y55" s="862"/>
      <c r="Z55" s="862"/>
      <c r="AA55" s="862"/>
      <c r="AB55" s="862"/>
      <c r="AC55" s="1604"/>
      <c r="AD55" s="902"/>
      <c r="AE55" s="902"/>
      <c r="AF55" s="902"/>
      <c r="AG55" s="902"/>
      <c r="AH55" s="902"/>
      <c r="AI55" s="902"/>
      <c r="AJ55" s="902"/>
      <c r="AK55" s="902"/>
      <c r="AL55" s="902"/>
      <c r="AM55" s="902"/>
      <c r="AN55" s="902"/>
      <c r="AO55" s="902"/>
      <c r="AP55" s="902"/>
      <c r="AQ55" s="902"/>
      <c r="AR55" s="902"/>
      <c r="AS55" s="862"/>
      <c r="AT55" s="862"/>
      <c r="AU55" s="862"/>
      <c r="AV55" s="862"/>
      <c r="AW55" s="862"/>
      <c r="AX55" s="862"/>
      <c r="AY55" s="862"/>
      <c r="AZ55" s="862"/>
      <c r="BA55" s="862"/>
      <c r="BB55" s="862"/>
      <c r="BC55" s="870"/>
      <c r="BD55" s="870"/>
      <c r="BE55" s="870"/>
      <c r="BF55" s="870"/>
      <c r="BG55" s="862"/>
      <c r="BH55" s="1201">
        <f>BH54</f>
        <v>2.1254209253706691E-2</v>
      </c>
      <c r="BI55" s="1201">
        <f>BI54</f>
        <v>8.4789750111262663E-3</v>
      </c>
      <c r="BJ55" s="1201">
        <f>BJ54</f>
        <v>0.12606792391173083</v>
      </c>
      <c r="BK55" s="1201">
        <f>BK54</f>
        <v>0.1571546360478584</v>
      </c>
      <c r="BL55" s="862"/>
      <c r="BM55" s="1201">
        <f>BM54</f>
        <v>1.3968357142861709E-3</v>
      </c>
      <c r="BN55" s="1201">
        <f>BN54</f>
        <v>1.3128472395088409E-2</v>
      </c>
      <c r="BO55" s="1201">
        <f>BO54</f>
        <v>-4.4482288029186079E-2</v>
      </c>
      <c r="BP55" s="1201">
        <f>BP54</f>
        <v>-0.11935619509501005</v>
      </c>
      <c r="BQ55" s="862"/>
      <c r="BR55" s="1201">
        <f>BR54</f>
        <v>4.493808742841443E-2</v>
      </c>
      <c r="BS55" s="1201">
        <f>BS54</f>
        <v>-9.7820194580048314E-3</v>
      </c>
      <c r="BT55" s="1201">
        <f>BT54</f>
        <v>2.6598526254900667E-2</v>
      </c>
      <c r="BU55" s="1201">
        <f>BU54</f>
        <v>4.1352282122468331E-2</v>
      </c>
      <c r="BV55" s="1470"/>
      <c r="BW55" s="1201">
        <f t="shared" ref="BW55:BX55" si="76">BW54</f>
        <v>-1.0662091556175257E-2</v>
      </c>
      <c r="BX55" s="1201">
        <f t="shared" si="76"/>
        <v>1.049353820940313E-2</v>
      </c>
      <c r="BY55" s="1201">
        <f t="shared" ref="BY55" si="77">BY54</f>
        <v>-7.5979882212640071E-5</v>
      </c>
      <c r="BZ55" s="2866">
        <f>BZ54+0.01</f>
        <v>0.02</v>
      </c>
      <c r="CA55" s="2867"/>
      <c r="CB55" s="2866">
        <f t="shared" ref="CB55:CE55" si="78">CB54+0.015</f>
        <v>1.4999999999999999E-2</v>
      </c>
      <c r="CC55" s="2866">
        <f t="shared" si="78"/>
        <v>1.4999999999999999E-2</v>
      </c>
      <c r="CD55" s="2866">
        <f t="shared" si="78"/>
        <v>1.4999999999999999E-2</v>
      </c>
      <c r="CE55" s="2866">
        <f t="shared" si="78"/>
        <v>1.4999999999999999E-2</v>
      </c>
      <c r="CF55" s="2867"/>
      <c r="CG55" s="862"/>
      <c r="CH55" s="862"/>
      <c r="CI55" s="862"/>
      <c r="CJ55" s="862"/>
      <c r="CK55" s="862"/>
      <c r="CL55" s="862"/>
    </row>
    <row r="56" spans="1:90">
      <c r="A56" s="862"/>
      <c r="B56" s="862"/>
      <c r="C56" s="1201">
        <f>C55</f>
        <v>-0.15334180922120111</v>
      </c>
      <c r="D56" s="1201">
        <f t="shared" si="72"/>
        <v>-0.15487298970112384</v>
      </c>
      <c r="E56" s="1201">
        <f t="shared" si="72"/>
        <v>0.35256150076519854</v>
      </c>
      <c r="F56" s="1201">
        <f t="shared" si="72"/>
        <v>-0.14306645913237237</v>
      </c>
      <c r="G56" s="1201">
        <f t="shared" si="72"/>
        <v>0.10239821087127199</v>
      </c>
      <c r="H56" s="1201">
        <f t="shared" si="72"/>
        <v>-9.2733966960577119E-2</v>
      </c>
      <c r="I56" s="1201">
        <f t="shared" si="72"/>
        <v>8.6301734374185868E-2</v>
      </c>
      <c r="J56" s="2077">
        <f t="shared" si="73"/>
        <v>-5.029109240854801E-2</v>
      </c>
      <c r="K56" s="2077">
        <f t="shared" si="73"/>
        <v>2.9001926271488232E-2</v>
      </c>
      <c r="L56" s="2077">
        <f t="shared" si="73"/>
        <v>2.731002419591011E-3</v>
      </c>
      <c r="M56" s="2077">
        <f t="shared" ref="M56" si="79">M55</f>
        <v>0</v>
      </c>
      <c r="N56" s="1737">
        <f>+N54-0.025</f>
        <v>-3.5000000000000003E-2</v>
      </c>
      <c r="O56" s="1737">
        <f t="shared" ref="O56:W56" si="80">+O54-0.025</f>
        <v>-3.5000000000000003E-2</v>
      </c>
      <c r="P56" s="1737">
        <f t="shared" si="80"/>
        <v>-3.5000000000000003E-2</v>
      </c>
      <c r="Q56" s="1737">
        <f t="shared" si="80"/>
        <v>-3.5000000000000003E-2</v>
      </c>
      <c r="R56" s="1737">
        <f t="shared" si="80"/>
        <v>-3.5000000000000003E-2</v>
      </c>
      <c r="S56" s="1737">
        <f t="shared" si="80"/>
        <v>-3.5000000000000003E-2</v>
      </c>
      <c r="T56" s="1737">
        <f t="shared" si="80"/>
        <v>-3.5000000000000003E-2</v>
      </c>
      <c r="U56" s="1737">
        <f t="shared" si="80"/>
        <v>-3.5000000000000003E-2</v>
      </c>
      <c r="V56" s="1737">
        <f t="shared" si="80"/>
        <v>-3.5000000000000003E-2</v>
      </c>
      <c r="W56" s="1737">
        <f t="shared" si="80"/>
        <v>-3.5000000000000003E-2</v>
      </c>
      <c r="X56" s="862"/>
      <c r="Y56" s="862"/>
      <c r="Z56" s="862"/>
      <c r="AA56" s="862"/>
      <c r="AB56" s="862"/>
      <c r="AC56" s="1604"/>
      <c r="AD56" s="902"/>
      <c r="AE56" s="902"/>
      <c r="AF56" s="902"/>
      <c r="AG56" s="902"/>
      <c r="AH56" s="902"/>
      <c r="AI56" s="902"/>
      <c r="AJ56" s="902"/>
      <c r="AK56" s="902"/>
      <c r="AL56" s="902"/>
      <c r="AM56" s="902"/>
      <c r="AN56" s="902"/>
      <c r="AO56" s="902"/>
      <c r="AP56" s="902"/>
      <c r="AQ56" s="902"/>
      <c r="AR56" s="902"/>
      <c r="AS56" s="862"/>
      <c r="AT56" s="862"/>
      <c r="AU56" s="862"/>
      <c r="AV56" s="862"/>
      <c r="AW56" s="862"/>
      <c r="AX56" s="862"/>
      <c r="AY56" s="862"/>
      <c r="AZ56" s="862"/>
      <c r="BA56" s="862"/>
      <c r="BB56" s="862"/>
      <c r="BC56" s="870"/>
      <c r="BD56" s="870"/>
      <c r="BE56" s="870"/>
      <c r="BF56" s="870"/>
      <c r="BG56" s="862"/>
      <c r="BH56" s="1201">
        <f>BH54</f>
        <v>2.1254209253706691E-2</v>
      </c>
      <c r="BI56" s="1201">
        <f>BI54</f>
        <v>8.4789750111262663E-3</v>
      </c>
      <c r="BJ56" s="1201">
        <f>BJ54</f>
        <v>0.12606792391173083</v>
      </c>
      <c r="BK56" s="1201">
        <f>BK54</f>
        <v>0.1571546360478584</v>
      </c>
      <c r="BL56" s="862"/>
      <c r="BM56" s="1201">
        <f>BM54</f>
        <v>1.3968357142861709E-3</v>
      </c>
      <c r="BN56" s="1201">
        <f>BN54</f>
        <v>1.3128472395088409E-2</v>
      </c>
      <c r="BO56" s="1201">
        <f>BO54</f>
        <v>-4.4482288029186079E-2</v>
      </c>
      <c r="BP56" s="1201">
        <f>BP54</f>
        <v>-0.11935619509501005</v>
      </c>
      <c r="BQ56" s="862"/>
      <c r="BR56" s="1201">
        <f>BR54</f>
        <v>4.493808742841443E-2</v>
      </c>
      <c r="BS56" s="1201">
        <f>BS54</f>
        <v>-9.7820194580048314E-3</v>
      </c>
      <c r="BT56" s="1201">
        <f>BT54</f>
        <v>2.6598526254900667E-2</v>
      </c>
      <c r="BU56" s="1201">
        <f>BU54</f>
        <v>4.1352282122468331E-2</v>
      </c>
      <c r="BV56" s="1470"/>
      <c r="BW56" s="1201">
        <f t="shared" ref="BW56:BX56" si="81">BW54</f>
        <v>-1.0662091556175257E-2</v>
      </c>
      <c r="BX56" s="1201">
        <f t="shared" si="81"/>
        <v>1.049353820940313E-2</v>
      </c>
      <c r="BY56" s="1201">
        <f t="shared" ref="BY56" si="82">BY54</f>
        <v>-7.5979882212640071E-5</v>
      </c>
      <c r="BZ56" s="2866">
        <f>BZ54-0.01</f>
        <v>0</v>
      </c>
      <c r="CA56" s="2867"/>
      <c r="CB56" s="2866">
        <f>CB54-0.03</f>
        <v>-0.03</v>
      </c>
      <c r="CC56" s="2866">
        <f t="shared" ref="CC56:CE56" si="83">CC54-0.03</f>
        <v>-0.03</v>
      </c>
      <c r="CD56" s="2866">
        <f t="shared" si="83"/>
        <v>-0.03</v>
      </c>
      <c r="CE56" s="2866">
        <f t="shared" si="83"/>
        <v>-0.03</v>
      </c>
      <c r="CF56" s="2867"/>
      <c r="CG56" s="862"/>
      <c r="CH56" s="862"/>
      <c r="CI56" s="862"/>
      <c r="CJ56" s="862"/>
      <c r="CK56" s="862"/>
      <c r="CL56" s="862"/>
    </row>
    <row r="57" spans="1:90">
      <c r="A57" s="862"/>
      <c r="B57" s="862"/>
      <c r="C57" s="1201"/>
      <c r="D57" s="1201"/>
      <c r="E57" s="1201"/>
      <c r="F57" s="1201"/>
      <c r="G57" s="1201"/>
      <c r="H57" s="1201"/>
      <c r="I57" s="2077"/>
      <c r="J57" s="1923"/>
      <c r="K57" s="1923"/>
      <c r="L57" s="1923"/>
      <c r="M57" s="1923"/>
      <c r="N57" s="1923"/>
      <c r="O57" s="1923"/>
      <c r="P57" s="1923"/>
      <c r="Q57" s="1923"/>
      <c r="R57" s="1923"/>
      <c r="S57" s="1923"/>
      <c r="T57" s="1923"/>
      <c r="U57" s="1923"/>
      <c r="V57" s="1923"/>
      <c r="W57" s="862"/>
      <c r="X57" s="862"/>
      <c r="Y57" s="862"/>
      <c r="Z57" s="862"/>
      <c r="AA57" s="862"/>
      <c r="AB57" s="862"/>
      <c r="AC57" s="1923"/>
      <c r="AD57" s="1923"/>
      <c r="AE57" s="1923"/>
      <c r="AF57" s="1923"/>
      <c r="AG57" s="1923"/>
      <c r="AH57" s="1923"/>
      <c r="AI57" s="1923"/>
      <c r="AJ57" s="1923"/>
      <c r="AK57" s="1923"/>
      <c r="AL57" s="1923"/>
      <c r="AM57" s="1923"/>
      <c r="AN57" s="1923"/>
      <c r="AO57" s="1923"/>
      <c r="AP57" s="1923"/>
      <c r="AQ57" s="1923"/>
      <c r="AR57" s="1923"/>
      <c r="AS57" s="1923"/>
      <c r="AT57" s="1923"/>
      <c r="AU57" s="1923"/>
      <c r="AV57" s="1923"/>
      <c r="AW57" s="1923"/>
      <c r="AX57" s="1923"/>
      <c r="AY57" s="1923"/>
      <c r="AZ57" s="1923"/>
      <c r="BA57" s="1923"/>
      <c r="BB57" s="1923"/>
      <c r="BC57" s="870"/>
      <c r="BD57" s="870"/>
      <c r="BE57" s="870"/>
      <c r="BF57" s="870"/>
      <c r="BG57" s="1923"/>
      <c r="BH57" s="1923"/>
      <c r="BI57" s="1923"/>
      <c r="BJ57" s="1923"/>
      <c r="BK57" s="1923"/>
      <c r="BL57" s="1923"/>
      <c r="BM57" s="1923"/>
      <c r="BN57" s="877"/>
      <c r="BO57" s="877"/>
      <c r="BP57" s="877"/>
      <c r="BQ57" s="862"/>
      <c r="BR57" s="1470"/>
      <c r="BS57" s="1470"/>
      <c r="BT57" s="1470"/>
      <c r="BU57" s="1737"/>
      <c r="BV57" s="1470"/>
      <c r="BW57" s="1737"/>
      <c r="BX57" s="1737"/>
      <c r="BY57" s="1737"/>
      <c r="BZ57" s="2866"/>
      <c r="CA57" s="2866"/>
      <c r="CB57" s="2866"/>
      <c r="CC57" s="2866"/>
      <c r="CD57" s="2867"/>
      <c r="CE57" s="2867"/>
      <c r="CF57" s="2867"/>
      <c r="CG57" s="862"/>
      <c r="CH57" s="862"/>
      <c r="CI57" s="862"/>
      <c r="CJ57" s="862"/>
      <c r="CK57" s="862"/>
      <c r="CL57" s="862"/>
    </row>
    <row r="58" spans="1:90">
      <c r="A58" s="862"/>
      <c r="B58" s="1470" t="s">
        <v>1570</v>
      </c>
      <c r="C58" s="2081">
        <f>+CHOOSE($B$28,C59,C60,C61)</f>
        <v>5.3584258521908401E-2</v>
      </c>
      <c r="D58" s="2081">
        <f t="shared" ref="D58:W58" si="84">+CHOOSE($B$28,D59,D60,D61)</f>
        <v>-9.9686125886200516E-2</v>
      </c>
      <c r="E58" s="2081">
        <f t="shared" si="84"/>
        <v>3.0000000000000027E-2</v>
      </c>
      <c r="F58" s="2081">
        <f t="shared" si="84"/>
        <v>-0.14299951351376083</v>
      </c>
      <c r="G58" s="2081">
        <f t="shared" si="84"/>
        <v>-9.9999999999999978E-2</v>
      </c>
      <c r="H58" s="2081">
        <f t="shared" si="84"/>
        <v>5.0000000000000044E-2</v>
      </c>
      <c r="I58" s="2081">
        <f t="shared" si="84"/>
        <v>0</v>
      </c>
      <c r="J58" s="2081">
        <f t="shared" si="84"/>
        <v>1.0000000000000009E-2</v>
      </c>
      <c r="K58" s="2081">
        <f t="shared" si="84"/>
        <v>7.0000000000000062E-2</v>
      </c>
      <c r="L58" s="2081">
        <f t="shared" si="84"/>
        <v>-0.12</v>
      </c>
      <c r="M58" s="2081">
        <f t="shared" si="84"/>
        <v>0.02</v>
      </c>
      <c r="N58" s="2081">
        <f t="shared" si="84"/>
        <v>0.02</v>
      </c>
      <c r="O58" s="2081">
        <f t="shared" si="84"/>
        <v>0.02</v>
      </c>
      <c r="P58" s="2081">
        <f t="shared" si="84"/>
        <v>0.02</v>
      </c>
      <c r="Q58" s="2081">
        <f t="shared" si="84"/>
        <v>0.02</v>
      </c>
      <c r="R58" s="2081">
        <f t="shared" si="84"/>
        <v>0.02</v>
      </c>
      <c r="S58" s="2081">
        <f t="shared" si="84"/>
        <v>0.02</v>
      </c>
      <c r="T58" s="2081">
        <f t="shared" si="84"/>
        <v>0.02</v>
      </c>
      <c r="U58" s="2081">
        <f t="shared" si="84"/>
        <v>0.02</v>
      </c>
      <c r="V58" s="2081">
        <f t="shared" si="84"/>
        <v>0.02</v>
      </c>
      <c r="W58" s="2081">
        <f t="shared" si="84"/>
        <v>0.02</v>
      </c>
      <c r="X58" s="862"/>
      <c r="Y58" s="862"/>
      <c r="Z58" s="862"/>
      <c r="AA58" s="862"/>
      <c r="AB58" s="862"/>
      <c r="AC58" s="1604"/>
      <c r="AD58" s="902"/>
      <c r="AE58" s="902"/>
      <c r="AF58" s="902"/>
      <c r="AG58" s="902"/>
      <c r="AH58" s="902"/>
      <c r="AI58" s="902"/>
      <c r="AJ58" s="902"/>
      <c r="AK58" s="902"/>
      <c r="AL58" s="902"/>
      <c r="AM58" s="902"/>
      <c r="AN58" s="902"/>
      <c r="AO58" s="902"/>
      <c r="AP58" s="902"/>
      <c r="AQ58" s="902"/>
      <c r="AR58" s="902"/>
      <c r="AS58" s="862"/>
      <c r="AT58" s="862"/>
      <c r="AU58" s="862"/>
      <c r="AV58" s="862"/>
      <c r="AW58" s="862"/>
      <c r="AX58" s="862"/>
      <c r="AY58" s="862"/>
      <c r="AZ58" s="862"/>
      <c r="BA58" s="862"/>
      <c r="BB58" s="862"/>
      <c r="BC58" s="870"/>
      <c r="BD58" s="870"/>
      <c r="BE58" s="870"/>
      <c r="BF58" s="870"/>
      <c r="BG58" s="862"/>
      <c r="BH58" s="1404"/>
      <c r="BI58" s="1404"/>
      <c r="BJ58" s="1404"/>
      <c r="BK58" s="906"/>
      <c r="BL58" s="862"/>
      <c r="BM58" s="906"/>
      <c r="BN58" s="906"/>
      <c r="BO58" s="906"/>
      <c r="BP58" s="906"/>
      <c r="BQ58" s="862"/>
      <c r="BR58" s="1470"/>
      <c r="BS58" s="1470"/>
      <c r="BT58" s="1470"/>
      <c r="BU58" s="1470"/>
      <c r="BV58" s="1470"/>
      <c r="BW58" s="1470"/>
      <c r="BX58" s="1470"/>
      <c r="BY58" s="1470"/>
      <c r="BZ58" s="1470"/>
      <c r="CA58" s="1470"/>
      <c r="CB58" s="877"/>
      <c r="CC58" s="1470"/>
      <c r="CD58" s="862"/>
      <c r="CE58" s="862"/>
      <c r="CF58" s="862"/>
      <c r="CG58" s="862"/>
      <c r="CH58" s="862"/>
      <c r="CI58" s="862"/>
      <c r="CJ58" s="862"/>
      <c r="CK58" s="862"/>
      <c r="CL58" s="862"/>
    </row>
    <row r="59" spans="1:90">
      <c r="A59" s="862"/>
      <c r="B59" s="1470"/>
      <c r="C59" s="2001">
        <f>'CBS Stations'!T73/'CBS Stations'!S73-1</f>
        <v>5.3584258521908401E-2</v>
      </c>
      <c r="D59" s="2001">
        <f>'CBS Stations'!U73/'CBS Stations'!T73-1</f>
        <v>-9.9686125886200516E-2</v>
      </c>
      <c r="E59" s="2001">
        <f>'CBS Stations'!V73/'CBS Stations'!U73-1</f>
        <v>3.0000000000000027E-2</v>
      </c>
      <c r="F59" s="2001">
        <f>'CBS Stations'!W73/'CBS Stations'!V73-1</f>
        <v>-0.14299951351376083</v>
      </c>
      <c r="G59" s="2001">
        <f>'CBS Stations'!X73/'CBS Stations'!W73-1</f>
        <v>-9.9999999999999978E-2</v>
      </c>
      <c r="H59" s="2001">
        <f>'CBS Stations'!Y73/'CBS Stations'!X73-1</f>
        <v>5.0000000000000044E-2</v>
      </c>
      <c r="I59" s="2001">
        <f>'CBS Stations'!Z73/'CBS Stations'!Y73-1</f>
        <v>0</v>
      </c>
      <c r="J59" s="2001">
        <f>'CBS Stations'!AA73/'CBS Stations'!Z73-1</f>
        <v>1.0000000000000009E-2</v>
      </c>
      <c r="K59" s="2001">
        <f>'CBS Stations'!AB73/'CBS Stations'!AA73-1</f>
        <v>7.0000000000000062E-2</v>
      </c>
      <c r="L59" s="2001">
        <f>'CBS Stations'!AC73/'CBS Stations'!AB73-1</f>
        <v>-0.12</v>
      </c>
      <c r="M59" s="1600">
        <v>0.02</v>
      </c>
      <c r="N59" s="1600">
        <v>0.02</v>
      </c>
      <c r="O59" s="1600">
        <v>0.02</v>
      </c>
      <c r="P59" s="1600">
        <v>0.02</v>
      </c>
      <c r="Q59" s="1600">
        <v>0.02</v>
      </c>
      <c r="R59" s="1600">
        <v>0.02</v>
      </c>
      <c r="S59" s="1600">
        <v>0.02</v>
      </c>
      <c r="T59" s="1600">
        <v>0.02</v>
      </c>
      <c r="U59" s="1600">
        <v>0.02</v>
      </c>
      <c r="V59" s="1600">
        <v>0.02</v>
      </c>
      <c r="W59" s="1600">
        <v>0.02</v>
      </c>
      <c r="X59" s="862"/>
      <c r="Y59" s="862"/>
      <c r="Z59" s="862"/>
      <c r="AA59" s="862"/>
      <c r="AB59" s="862"/>
      <c r="AC59" s="1604"/>
      <c r="AD59" s="902"/>
      <c r="AE59" s="902"/>
      <c r="AF59" s="902"/>
      <c r="AG59" s="902"/>
      <c r="AH59" s="902"/>
      <c r="AI59" s="902"/>
      <c r="AJ59" s="902"/>
      <c r="AK59" s="902"/>
      <c r="AL59" s="902"/>
      <c r="AM59" s="902"/>
      <c r="AN59" s="902"/>
      <c r="AO59" s="902"/>
      <c r="AP59" s="902"/>
      <c r="AQ59" s="902"/>
      <c r="AR59" s="902"/>
      <c r="AS59" s="862"/>
      <c r="AT59" s="862"/>
      <c r="AU59" s="862"/>
      <c r="AV59" s="862"/>
      <c r="AW59" s="862"/>
      <c r="AX59" s="862"/>
      <c r="AY59" s="862"/>
      <c r="AZ59" s="862"/>
      <c r="BA59" s="862"/>
      <c r="BB59" s="862"/>
      <c r="BC59" s="870"/>
      <c r="BD59" s="870"/>
      <c r="BE59" s="870"/>
      <c r="BF59" s="870"/>
      <c r="BG59" s="862"/>
      <c r="BH59" s="1404"/>
      <c r="BI59" s="1404"/>
      <c r="BJ59" s="1404"/>
      <c r="BK59" s="906"/>
      <c r="BL59" s="862"/>
      <c r="BM59" s="906"/>
      <c r="BN59" s="906"/>
      <c r="BO59" s="906"/>
      <c r="BP59" s="906"/>
      <c r="BQ59" s="862"/>
      <c r="BR59" s="862"/>
      <c r="BS59" s="862"/>
      <c r="BT59" s="862"/>
      <c r="BU59" s="862"/>
      <c r="BV59" s="1470"/>
      <c r="BW59" s="862"/>
      <c r="BX59" s="862"/>
      <c r="BY59" s="862"/>
      <c r="BZ59" s="862"/>
      <c r="CA59" s="862"/>
      <c r="CB59" s="877"/>
      <c r="CC59" s="862"/>
      <c r="CD59" s="862"/>
      <c r="CE59" s="862"/>
      <c r="CF59" s="862"/>
      <c r="CG59" s="862"/>
      <c r="CH59" s="862"/>
      <c r="CI59" s="862"/>
      <c r="CJ59" s="862"/>
      <c r="CK59" s="862"/>
      <c r="CL59" s="862"/>
    </row>
    <row r="60" spans="1:90">
      <c r="A60" s="862"/>
      <c r="B60" s="1470"/>
      <c r="C60" s="2077">
        <f>C59</f>
        <v>5.3584258521908401E-2</v>
      </c>
      <c r="D60" s="2077">
        <f t="shared" ref="D60:I61" si="85">D59</f>
        <v>-9.9686125886200516E-2</v>
      </c>
      <c r="E60" s="2077">
        <f t="shared" si="85"/>
        <v>3.0000000000000027E-2</v>
      </c>
      <c r="F60" s="2077">
        <f t="shared" si="85"/>
        <v>-0.14299951351376083</v>
      </c>
      <c r="G60" s="2077">
        <f t="shared" si="85"/>
        <v>-9.9999999999999978E-2</v>
      </c>
      <c r="H60" s="2077">
        <f t="shared" si="85"/>
        <v>5.0000000000000044E-2</v>
      </c>
      <c r="I60" s="2077">
        <f t="shared" si="85"/>
        <v>0</v>
      </c>
      <c r="J60" s="2077">
        <f>J59</f>
        <v>1.0000000000000009E-2</v>
      </c>
      <c r="K60" s="2077">
        <f t="shared" ref="K60:L61" si="86">K59</f>
        <v>7.0000000000000062E-2</v>
      </c>
      <c r="L60" s="2077">
        <f t="shared" si="86"/>
        <v>-0.12</v>
      </c>
      <c r="M60" s="1737">
        <f t="shared" ref="M60:T60" si="87">M59+0.015</f>
        <v>3.5000000000000003E-2</v>
      </c>
      <c r="N60" s="1737">
        <f t="shared" si="87"/>
        <v>3.5000000000000003E-2</v>
      </c>
      <c r="O60" s="1737">
        <f t="shared" si="87"/>
        <v>3.5000000000000003E-2</v>
      </c>
      <c r="P60" s="1737">
        <f t="shared" si="87"/>
        <v>3.5000000000000003E-2</v>
      </c>
      <c r="Q60" s="1737">
        <f t="shared" si="87"/>
        <v>3.5000000000000003E-2</v>
      </c>
      <c r="R60" s="1737">
        <f t="shared" si="87"/>
        <v>3.5000000000000003E-2</v>
      </c>
      <c r="S60" s="1737">
        <f t="shared" si="87"/>
        <v>3.5000000000000003E-2</v>
      </c>
      <c r="T60" s="1737">
        <f t="shared" si="87"/>
        <v>3.5000000000000003E-2</v>
      </c>
      <c r="U60" s="1737">
        <f>U59+0.015</f>
        <v>3.5000000000000003E-2</v>
      </c>
      <c r="V60" s="1737">
        <f>V59+0.015</f>
        <v>3.5000000000000003E-2</v>
      </c>
      <c r="W60" s="1737">
        <f>W59+0.015</f>
        <v>3.5000000000000003E-2</v>
      </c>
      <c r="X60" s="862"/>
      <c r="Y60" s="862"/>
      <c r="Z60" s="862"/>
      <c r="AA60" s="862"/>
      <c r="AB60" s="862"/>
      <c r="AC60" s="1604"/>
      <c r="AD60" s="902"/>
      <c r="AE60" s="902"/>
      <c r="AF60" s="902"/>
      <c r="AG60" s="902"/>
      <c r="AH60" s="902"/>
      <c r="AI60" s="902"/>
      <c r="AJ60" s="902"/>
      <c r="AK60" s="902"/>
      <c r="AL60" s="902"/>
      <c r="AM60" s="902"/>
      <c r="AN60" s="902"/>
      <c r="AO60" s="902"/>
      <c r="AP60" s="902"/>
      <c r="AQ60" s="902"/>
      <c r="AR60" s="902"/>
      <c r="AS60" s="862"/>
      <c r="AT60" s="862"/>
      <c r="AU60" s="862"/>
      <c r="AV60" s="862"/>
      <c r="AW60" s="862"/>
      <c r="AX60" s="862"/>
      <c r="AY60" s="862"/>
      <c r="AZ60" s="862"/>
      <c r="BA60" s="862"/>
      <c r="BB60" s="862"/>
      <c r="BC60" s="870"/>
      <c r="BD60" s="870"/>
      <c r="BE60" s="870"/>
      <c r="BF60" s="870"/>
      <c r="BG60" s="862"/>
      <c r="BH60" s="1404"/>
      <c r="BI60" s="1404"/>
      <c r="BJ60" s="1404"/>
      <c r="BK60" s="906"/>
      <c r="BL60" s="862"/>
      <c r="BM60" s="906"/>
      <c r="BN60" s="906"/>
      <c r="BO60" s="906"/>
      <c r="BP60" s="906"/>
      <c r="BQ60" s="862"/>
      <c r="BR60" s="862"/>
      <c r="BS60" s="862"/>
      <c r="BT60" s="862"/>
      <c r="BU60" s="862"/>
      <c r="BV60" s="862"/>
      <c r="BW60" s="862"/>
      <c r="BX60" s="862"/>
      <c r="BY60" s="862"/>
      <c r="BZ60" s="862"/>
      <c r="CA60" s="862"/>
      <c r="CB60" s="877"/>
      <c r="CC60" s="862"/>
      <c r="CD60" s="862"/>
      <c r="CE60" s="862"/>
      <c r="CF60" s="862"/>
      <c r="CG60" s="862"/>
      <c r="CH60" s="862"/>
      <c r="CI60" s="862"/>
      <c r="CJ60" s="862"/>
      <c r="CK60" s="862"/>
      <c r="CL60" s="862"/>
    </row>
    <row r="61" spans="1:90">
      <c r="A61" s="862"/>
      <c r="B61" s="1470"/>
      <c r="C61" s="2077">
        <f>C60</f>
        <v>5.3584258521908401E-2</v>
      </c>
      <c r="D61" s="2077">
        <f t="shared" si="85"/>
        <v>-9.9686125886200516E-2</v>
      </c>
      <c r="E61" s="2077">
        <f t="shared" si="85"/>
        <v>3.0000000000000027E-2</v>
      </c>
      <c r="F61" s="2077">
        <f t="shared" si="85"/>
        <v>-0.14299951351376083</v>
      </c>
      <c r="G61" s="2077">
        <f t="shared" si="85"/>
        <v>-9.9999999999999978E-2</v>
      </c>
      <c r="H61" s="2077">
        <f t="shared" si="85"/>
        <v>5.0000000000000044E-2</v>
      </c>
      <c r="I61" s="2077">
        <f t="shared" si="85"/>
        <v>0</v>
      </c>
      <c r="J61" s="2077">
        <f>J60</f>
        <v>1.0000000000000009E-2</v>
      </c>
      <c r="K61" s="2077">
        <f t="shared" si="86"/>
        <v>7.0000000000000062E-2</v>
      </c>
      <c r="L61" s="2077">
        <f t="shared" si="86"/>
        <v>-0.12</v>
      </c>
      <c r="M61" s="1737">
        <f t="shared" ref="M61:T61" si="88">M59-0.005</f>
        <v>1.4999999999999999E-2</v>
      </c>
      <c r="N61" s="1737">
        <f t="shared" si="88"/>
        <v>1.4999999999999999E-2</v>
      </c>
      <c r="O61" s="1737">
        <f t="shared" si="88"/>
        <v>1.4999999999999999E-2</v>
      </c>
      <c r="P61" s="1737">
        <f t="shared" si="88"/>
        <v>1.4999999999999999E-2</v>
      </c>
      <c r="Q61" s="1737">
        <f t="shared" si="88"/>
        <v>1.4999999999999999E-2</v>
      </c>
      <c r="R61" s="1737">
        <f t="shared" si="88"/>
        <v>1.4999999999999999E-2</v>
      </c>
      <c r="S61" s="1737">
        <f t="shared" si="88"/>
        <v>1.4999999999999999E-2</v>
      </c>
      <c r="T61" s="1737">
        <f t="shared" si="88"/>
        <v>1.4999999999999999E-2</v>
      </c>
      <c r="U61" s="1737">
        <f>U59-0.005</f>
        <v>1.4999999999999999E-2</v>
      </c>
      <c r="V61" s="1737">
        <f>V59-0.005</f>
        <v>1.4999999999999999E-2</v>
      </c>
      <c r="W61" s="1737">
        <f>W59-0.005</f>
        <v>1.4999999999999999E-2</v>
      </c>
      <c r="X61" s="862"/>
      <c r="Y61" s="862"/>
      <c r="Z61" s="862"/>
      <c r="AA61" s="862"/>
      <c r="AB61" s="862"/>
      <c r="AC61" s="1604"/>
      <c r="AD61" s="902"/>
      <c r="AE61" s="902"/>
      <c r="AF61" s="902"/>
      <c r="AG61" s="902"/>
      <c r="AH61" s="902"/>
      <c r="AI61" s="902"/>
      <c r="AJ61" s="902"/>
      <c r="AK61" s="902"/>
      <c r="AL61" s="902"/>
      <c r="AM61" s="902"/>
      <c r="AN61" s="902"/>
      <c r="AO61" s="902"/>
      <c r="AP61" s="902"/>
      <c r="AQ61" s="902"/>
      <c r="AR61" s="902"/>
      <c r="AS61" s="862"/>
      <c r="AT61" s="862"/>
      <c r="AU61" s="862"/>
      <c r="AV61" s="862"/>
      <c r="AW61" s="862"/>
      <c r="AX61" s="862"/>
      <c r="AY61" s="862"/>
      <c r="AZ61" s="862"/>
      <c r="BA61" s="862"/>
      <c r="BB61" s="862"/>
      <c r="BC61" s="870"/>
      <c r="BD61" s="870"/>
      <c r="BE61" s="870"/>
      <c r="BF61" s="870"/>
      <c r="BG61" s="862"/>
      <c r="BH61" s="1404"/>
      <c r="BI61" s="1404"/>
      <c r="BJ61" s="1404"/>
      <c r="BK61" s="906"/>
      <c r="BL61" s="862"/>
      <c r="BM61" s="906"/>
      <c r="BN61" s="906"/>
      <c r="BO61" s="906"/>
      <c r="BP61" s="906"/>
      <c r="BQ61" s="862"/>
      <c r="BR61" s="862"/>
      <c r="BS61" s="862"/>
      <c r="BT61" s="862"/>
      <c r="BU61" s="862"/>
      <c r="BV61" s="862"/>
      <c r="BW61" s="862"/>
      <c r="BX61" s="862"/>
      <c r="BY61" s="862"/>
      <c r="BZ61" s="862"/>
      <c r="CA61" s="862"/>
      <c r="CB61" s="877"/>
      <c r="CC61" s="862"/>
      <c r="CD61" s="862"/>
      <c r="CE61" s="862"/>
      <c r="CF61" s="862"/>
      <c r="CG61" s="862"/>
      <c r="CH61" s="862"/>
      <c r="CI61" s="862"/>
      <c r="CJ61" s="862"/>
      <c r="CK61" s="862"/>
      <c r="CL61" s="862"/>
    </row>
    <row r="62" spans="1:90">
      <c r="A62" s="862"/>
      <c r="B62" s="862"/>
      <c r="C62" s="1201"/>
      <c r="D62" s="1201"/>
      <c r="E62" s="1201"/>
      <c r="F62" s="1201"/>
      <c r="G62" s="1201"/>
      <c r="H62" s="1201"/>
      <c r="I62" s="1201"/>
      <c r="J62" s="1923"/>
      <c r="K62" s="1737"/>
      <c r="L62" s="1737"/>
      <c r="M62" s="1737"/>
      <c r="N62" s="1737"/>
      <c r="O62" s="1737"/>
      <c r="P62" s="1737"/>
      <c r="Q62" s="1737"/>
      <c r="R62" s="1737"/>
      <c r="S62" s="1737"/>
      <c r="T62" s="1737"/>
      <c r="U62" s="1737"/>
      <c r="V62" s="1737"/>
      <c r="W62" s="862"/>
      <c r="X62" s="862"/>
      <c r="Y62" s="862"/>
      <c r="Z62" s="862"/>
      <c r="AA62" s="862"/>
      <c r="AB62" s="862"/>
      <c r="AC62" s="1737"/>
      <c r="AD62" s="902"/>
      <c r="AE62" s="902"/>
      <c r="AF62" s="902"/>
      <c r="AG62" s="902"/>
      <c r="AH62" s="902"/>
      <c r="AI62" s="902"/>
      <c r="AJ62" s="902"/>
      <c r="AK62" s="902"/>
      <c r="AL62" s="902"/>
      <c r="AM62" s="902"/>
      <c r="AN62" s="902"/>
      <c r="AO62" s="902"/>
      <c r="AP62" s="902"/>
      <c r="AQ62" s="902"/>
      <c r="AR62" s="902"/>
      <c r="AS62" s="862"/>
      <c r="AT62" s="862"/>
      <c r="AU62" s="862"/>
      <c r="AV62" s="862"/>
      <c r="AW62" s="862"/>
      <c r="AX62" s="862"/>
      <c r="AY62" s="862"/>
      <c r="AZ62" s="862"/>
      <c r="BA62" s="862"/>
      <c r="BB62" s="862"/>
      <c r="BC62" s="870"/>
      <c r="BD62" s="870"/>
      <c r="BE62" s="870"/>
      <c r="BF62" s="870"/>
      <c r="BG62" s="862"/>
      <c r="BH62" s="1201"/>
      <c r="BI62" s="1201"/>
      <c r="BJ62" s="1201"/>
      <c r="BK62" s="1201"/>
      <c r="BL62" s="862"/>
      <c r="BM62" s="1201"/>
      <c r="BN62" s="877"/>
      <c r="BO62" s="877"/>
      <c r="BP62" s="877"/>
      <c r="BQ62" s="862"/>
      <c r="BR62" s="862"/>
      <c r="BS62" s="862"/>
      <c r="BT62" s="862"/>
      <c r="BU62" s="862"/>
      <c r="BV62" s="862"/>
      <c r="BW62" s="862"/>
      <c r="BX62" s="862"/>
      <c r="BY62" s="862"/>
      <c r="BZ62" s="862"/>
      <c r="CA62" s="862"/>
      <c r="CB62" s="877"/>
      <c r="CC62" s="862"/>
      <c r="CD62" s="862"/>
      <c r="CE62" s="862"/>
      <c r="CF62" s="862"/>
      <c r="CG62" s="862"/>
      <c r="CH62" s="862"/>
      <c r="CI62" s="862"/>
      <c r="CJ62" s="862"/>
      <c r="CK62" s="862"/>
      <c r="CL62" s="862"/>
    </row>
    <row r="63" spans="1:90">
      <c r="A63" s="862"/>
      <c r="B63" s="1470" t="s">
        <v>1571</v>
      </c>
      <c r="C63" s="2081">
        <f>+CHOOSE($B$28,C64,C65,C66)</f>
        <v>-0.15883192263170209</v>
      </c>
      <c r="D63" s="2081">
        <f t="shared" ref="D63:W63" si="89">+CHOOSE($B$28,D64,D65,D66)</f>
        <v>-5.0000000000000044E-2</v>
      </c>
      <c r="E63" s="2081">
        <f t="shared" si="89"/>
        <v>6.0000000000000053E-2</v>
      </c>
      <c r="F63" s="2081">
        <f t="shared" si="89"/>
        <v>-2.4999999999999911E-2</v>
      </c>
      <c r="G63" s="2081">
        <f t="shared" si="89"/>
        <v>-2.0000000000000018E-2</v>
      </c>
      <c r="H63" s="2081">
        <f t="shared" si="89"/>
        <v>2.0000000000000018E-2</v>
      </c>
      <c r="I63" s="2081">
        <f t="shared" si="89"/>
        <v>0</v>
      </c>
      <c r="J63" s="2081">
        <f t="shared" si="89"/>
        <v>1.0000000000000009E-2</v>
      </c>
      <c r="K63" s="2081">
        <f t="shared" si="89"/>
        <v>3.0000000000000027E-2</v>
      </c>
      <c r="L63" s="2081">
        <f t="shared" si="89"/>
        <v>-6.0000000000000053E-2</v>
      </c>
      <c r="M63" s="2081">
        <f t="shared" si="89"/>
        <v>0.03</v>
      </c>
      <c r="N63" s="2081">
        <f t="shared" si="89"/>
        <v>-0.01</v>
      </c>
      <c r="O63" s="2081">
        <f t="shared" si="89"/>
        <v>0.03</v>
      </c>
      <c r="P63" s="2081">
        <f t="shared" si="89"/>
        <v>-0.01</v>
      </c>
      <c r="Q63" s="2081">
        <f t="shared" si="89"/>
        <v>0.03</v>
      </c>
      <c r="R63" s="2081">
        <f t="shared" si="89"/>
        <v>-0.01</v>
      </c>
      <c r="S63" s="2081">
        <f t="shared" si="89"/>
        <v>0.03</v>
      </c>
      <c r="T63" s="2081">
        <f t="shared" si="89"/>
        <v>-0.01</v>
      </c>
      <c r="U63" s="2081">
        <f t="shared" si="89"/>
        <v>0.03</v>
      </c>
      <c r="V63" s="2081">
        <f t="shared" si="89"/>
        <v>-0.01</v>
      </c>
      <c r="W63" s="2081">
        <f t="shared" si="89"/>
        <v>0.03</v>
      </c>
      <c r="X63" s="862"/>
      <c r="Y63" s="862"/>
      <c r="Z63" s="862"/>
      <c r="AA63" s="862"/>
      <c r="AB63" s="862"/>
      <c r="AC63" s="902"/>
      <c r="AD63" s="902"/>
      <c r="AE63" s="902"/>
      <c r="AF63" s="902"/>
      <c r="AG63" s="902"/>
      <c r="AH63" s="902"/>
      <c r="AI63" s="902"/>
      <c r="AJ63" s="902"/>
      <c r="AK63" s="902"/>
      <c r="AL63" s="902"/>
      <c r="AM63" s="902"/>
      <c r="AN63" s="902"/>
      <c r="AO63" s="902"/>
      <c r="AP63" s="902"/>
      <c r="AQ63" s="902"/>
      <c r="AR63" s="902"/>
      <c r="AS63" s="862"/>
      <c r="AT63" s="862"/>
      <c r="AU63" s="862"/>
      <c r="AV63" s="862"/>
      <c r="AW63" s="862"/>
      <c r="AX63" s="862"/>
      <c r="AY63" s="862"/>
      <c r="AZ63" s="862"/>
      <c r="BA63" s="862"/>
      <c r="BB63" s="862"/>
      <c r="BC63" s="870"/>
      <c r="BD63" s="870"/>
      <c r="BE63" s="870"/>
      <c r="BF63" s="870"/>
      <c r="BG63" s="862"/>
      <c r="BH63" s="1404"/>
      <c r="BI63" s="1404"/>
      <c r="BJ63" s="1404"/>
      <c r="BK63" s="906"/>
      <c r="BL63" s="862"/>
      <c r="BM63" s="906"/>
      <c r="BN63" s="906"/>
      <c r="BO63" s="906"/>
      <c r="BP63" s="906"/>
      <c r="BQ63" s="862"/>
      <c r="BR63" s="862"/>
      <c r="BS63" s="862"/>
      <c r="BT63" s="862"/>
      <c r="BU63" s="862"/>
      <c r="BV63" s="862"/>
      <c r="BW63" s="862"/>
      <c r="BX63" s="862"/>
      <c r="BY63" s="862"/>
      <c r="BZ63" s="862"/>
      <c r="CA63" s="862"/>
      <c r="CB63" s="877"/>
      <c r="CC63" s="862"/>
      <c r="CD63" s="862"/>
      <c r="CE63" s="862"/>
      <c r="CF63" s="862"/>
      <c r="CG63" s="862"/>
      <c r="CH63" s="862"/>
      <c r="CI63" s="862"/>
      <c r="CJ63" s="862"/>
      <c r="CK63" s="862"/>
      <c r="CL63" s="862"/>
    </row>
    <row r="64" spans="1:90">
      <c r="A64" s="862"/>
      <c r="B64" s="1470"/>
      <c r="C64" s="2001">
        <f>'CBS Stations'!T75/'CBS Stations'!S75-1</f>
        <v>-0.15883192263170209</v>
      </c>
      <c r="D64" s="2001">
        <f>'CBS Stations'!U75/'CBS Stations'!T75-1</f>
        <v>-5.0000000000000044E-2</v>
      </c>
      <c r="E64" s="2001">
        <f>'CBS Stations'!V75/'CBS Stations'!U75-1</f>
        <v>6.0000000000000053E-2</v>
      </c>
      <c r="F64" s="2001">
        <f>'CBS Stations'!W75/'CBS Stations'!V75-1</f>
        <v>-2.4999999999999911E-2</v>
      </c>
      <c r="G64" s="2001">
        <f>'CBS Stations'!X75/'CBS Stations'!W75-1</f>
        <v>-2.0000000000000018E-2</v>
      </c>
      <c r="H64" s="2001">
        <f>'CBS Stations'!Y75/'CBS Stations'!X75-1</f>
        <v>2.0000000000000018E-2</v>
      </c>
      <c r="I64" s="2001">
        <f>'CBS Stations'!Z75/'CBS Stations'!Y75-1</f>
        <v>0</v>
      </c>
      <c r="J64" s="2001">
        <f>'CBS Stations'!AA75/'CBS Stations'!Z75-1</f>
        <v>1.0000000000000009E-2</v>
      </c>
      <c r="K64" s="2001">
        <f>'CBS Stations'!AB75/'CBS Stations'!AA75-1</f>
        <v>3.0000000000000027E-2</v>
      </c>
      <c r="L64" s="2001">
        <f>'CBS Stations'!AC75/'CBS Stations'!AB75-1</f>
        <v>-6.0000000000000053E-2</v>
      </c>
      <c r="M64" s="1600">
        <v>0.03</v>
      </c>
      <c r="N64" s="1600">
        <v>-0.01</v>
      </c>
      <c r="O64" s="1600">
        <f>M64</f>
        <v>0.03</v>
      </c>
      <c r="P64" s="1600">
        <f>N64</f>
        <v>-0.01</v>
      </c>
      <c r="Q64" s="1600">
        <f t="shared" ref="Q64:W64" si="90">O64</f>
        <v>0.03</v>
      </c>
      <c r="R64" s="1600">
        <f t="shared" si="90"/>
        <v>-0.01</v>
      </c>
      <c r="S64" s="1600">
        <f t="shared" si="90"/>
        <v>0.03</v>
      </c>
      <c r="T64" s="1600">
        <f t="shared" si="90"/>
        <v>-0.01</v>
      </c>
      <c r="U64" s="1600">
        <f t="shared" si="90"/>
        <v>0.03</v>
      </c>
      <c r="V64" s="1600">
        <f t="shared" si="90"/>
        <v>-0.01</v>
      </c>
      <c r="W64" s="1600">
        <f t="shared" si="90"/>
        <v>0.03</v>
      </c>
      <c r="X64" s="862"/>
      <c r="Y64" s="862"/>
      <c r="Z64" s="862"/>
      <c r="AA64" s="862"/>
      <c r="AB64" s="862"/>
      <c r="AC64" s="902"/>
      <c r="AD64" s="902"/>
      <c r="AE64" s="902"/>
      <c r="AF64" s="902"/>
      <c r="AG64" s="902"/>
      <c r="AH64" s="902"/>
      <c r="AI64" s="902"/>
      <c r="AJ64" s="902"/>
      <c r="AK64" s="902"/>
      <c r="AL64" s="902"/>
      <c r="AM64" s="902"/>
      <c r="AN64" s="902"/>
      <c r="AO64" s="902"/>
      <c r="AP64" s="902"/>
      <c r="AQ64" s="902"/>
      <c r="AR64" s="902"/>
      <c r="AS64" s="862"/>
      <c r="AT64" s="862"/>
      <c r="AU64" s="862"/>
      <c r="AV64" s="862"/>
      <c r="AW64" s="862"/>
      <c r="AX64" s="862"/>
      <c r="AY64" s="862"/>
      <c r="AZ64" s="862"/>
      <c r="BA64" s="862"/>
      <c r="BB64" s="862"/>
      <c r="BC64" s="906"/>
      <c r="BD64" s="906"/>
      <c r="BE64" s="906"/>
      <c r="BF64" s="906"/>
      <c r="BG64" s="862"/>
      <c r="BH64" s="1404"/>
      <c r="BI64" s="1404"/>
      <c r="BJ64" s="1404"/>
      <c r="BK64" s="906"/>
      <c r="BL64" s="862"/>
      <c r="BM64" s="906"/>
      <c r="BN64" s="906"/>
      <c r="BO64" s="906"/>
      <c r="BP64" s="906"/>
      <c r="BQ64" s="862"/>
      <c r="BR64" s="862"/>
      <c r="BS64" s="862"/>
      <c r="BT64" s="862"/>
      <c r="BU64" s="862"/>
      <c r="BV64" s="862"/>
      <c r="BW64" s="862"/>
      <c r="BX64" s="862"/>
      <c r="BY64" s="862"/>
      <c r="BZ64" s="862"/>
      <c r="CA64" s="862"/>
      <c r="CB64" s="877"/>
      <c r="CC64" s="862"/>
      <c r="CD64" s="862"/>
      <c r="CE64" s="862"/>
      <c r="CF64" s="862"/>
      <c r="CG64" s="862"/>
      <c r="CH64" s="862"/>
      <c r="CI64" s="862"/>
      <c r="CJ64" s="862"/>
      <c r="CK64" s="862"/>
      <c r="CL64" s="862"/>
    </row>
    <row r="65" spans="1:90">
      <c r="A65" s="862"/>
      <c r="B65" s="1470"/>
      <c r="C65" s="2077">
        <f t="shared" ref="C65:I66" si="91">C64</f>
        <v>-0.15883192263170209</v>
      </c>
      <c r="D65" s="2077">
        <f t="shared" si="91"/>
        <v>-5.0000000000000044E-2</v>
      </c>
      <c r="E65" s="2077">
        <f t="shared" si="91"/>
        <v>6.0000000000000053E-2</v>
      </c>
      <c r="F65" s="2077">
        <f t="shared" si="91"/>
        <v>-2.4999999999999911E-2</v>
      </c>
      <c r="G65" s="2077">
        <f t="shared" si="91"/>
        <v>-2.0000000000000018E-2</v>
      </c>
      <c r="H65" s="2077">
        <f t="shared" si="91"/>
        <v>2.0000000000000018E-2</v>
      </c>
      <c r="I65" s="2077">
        <f t="shared" si="91"/>
        <v>0</v>
      </c>
      <c r="J65" s="2077">
        <f>J64</f>
        <v>1.0000000000000009E-2</v>
      </c>
      <c r="K65" s="2077">
        <f t="shared" ref="K65:L66" si="92">K64</f>
        <v>3.0000000000000027E-2</v>
      </c>
      <c r="L65" s="2077">
        <f t="shared" si="92"/>
        <v>-6.0000000000000053E-2</v>
      </c>
      <c r="M65" s="1737">
        <f t="shared" ref="M65:U65" si="93">M64+0.015</f>
        <v>4.4999999999999998E-2</v>
      </c>
      <c r="N65" s="1737">
        <f t="shared" si="93"/>
        <v>4.9999999999999992E-3</v>
      </c>
      <c r="O65" s="1737">
        <f t="shared" si="93"/>
        <v>4.4999999999999998E-2</v>
      </c>
      <c r="P65" s="1737">
        <f t="shared" si="93"/>
        <v>4.9999999999999992E-3</v>
      </c>
      <c r="Q65" s="1737">
        <f t="shared" si="93"/>
        <v>4.4999999999999998E-2</v>
      </c>
      <c r="R65" s="1737">
        <f t="shared" si="93"/>
        <v>4.9999999999999992E-3</v>
      </c>
      <c r="S65" s="1737">
        <f t="shared" si="93"/>
        <v>4.4999999999999998E-2</v>
      </c>
      <c r="T65" s="1737">
        <f t="shared" si="93"/>
        <v>4.9999999999999992E-3</v>
      </c>
      <c r="U65" s="1737">
        <f t="shared" si="93"/>
        <v>4.4999999999999998E-2</v>
      </c>
      <c r="V65" s="1737">
        <f>V64+0.015</f>
        <v>4.9999999999999992E-3</v>
      </c>
      <c r="W65" s="1737">
        <f>W64+0.015</f>
        <v>4.4999999999999998E-2</v>
      </c>
      <c r="X65" s="862"/>
      <c r="Y65" s="862"/>
      <c r="Z65" s="862"/>
      <c r="AA65" s="862"/>
      <c r="AB65" s="862"/>
      <c r="AC65" s="902"/>
      <c r="AD65" s="902"/>
      <c r="AE65" s="902"/>
      <c r="AF65" s="902"/>
      <c r="AG65" s="902"/>
      <c r="AH65" s="902"/>
      <c r="AI65" s="902"/>
      <c r="AJ65" s="902"/>
      <c r="AK65" s="902"/>
      <c r="AL65" s="902"/>
      <c r="AM65" s="902"/>
      <c r="AN65" s="902"/>
      <c r="AO65" s="902"/>
      <c r="AP65" s="902"/>
      <c r="AQ65" s="902"/>
      <c r="AR65" s="902"/>
      <c r="AS65" s="862"/>
      <c r="AT65" s="862"/>
      <c r="AU65" s="862"/>
      <c r="AV65" s="862"/>
      <c r="AW65" s="862"/>
      <c r="AX65" s="862"/>
      <c r="AY65" s="862"/>
      <c r="AZ65" s="862"/>
      <c r="BA65" s="862"/>
      <c r="BB65" s="862"/>
      <c r="BC65" s="906"/>
      <c r="BD65" s="906"/>
      <c r="BE65" s="906"/>
      <c r="BF65" s="906"/>
      <c r="BG65" s="862"/>
      <c r="BH65" s="1404"/>
      <c r="BI65" s="1404"/>
      <c r="BJ65" s="1404"/>
      <c r="BK65" s="906"/>
      <c r="BL65" s="862"/>
      <c r="BM65" s="906"/>
      <c r="BN65" s="906"/>
      <c r="BO65" s="906"/>
      <c r="BP65" s="906"/>
      <c r="BQ65" s="862"/>
      <c r="BR65" s="862"/>
      <c r="BS65" s="862"/>
      <c r="BT65" s="862"/>
      <c r="BU65" s="862"/>
      <c r="BV65" s="862"/>
      <c r="BW65" s="862"/>
      <c r="BX65" s="862"/>
      <c r="BY65" s="862"/>
      <c r="BZ65" s="862"/>
      <c r="CA65" s="862"/>
      <c r="CB65" s="877"/>
      <c r="CC65" s="862"/>
      <c r="CD65" s="862"/>
      <c r="CE65" s="862"/>
      <c r="CF65" s="862"/>
      <c r="CG65" s="862"/>
      <c r="CH65" s="862"/>
      <c r="CI65" s="862"/>
      <c r="CJ65" s="862"/>
      <c r="CK65" s="862"/>
      <c r="CL65" s="862"/>
    </row>
    <row r="66" spans="1:90">
      <c r="A66" s="862"/>
      <c r="B66" s="1470"/>
      <c r="C66" s="2077">
        <f t="shared" si="91"/>
        <v>-0.15883192263170209</v>
      </c>
      <c r="D66" s="2077">
        <f t="shared" si="91"/>
        <v>-5.0000000000000044E-2</v>
      </c>
      <c r="E66" s="2077">
        <f t="shared" si="91"/>
        <v>6.0000000000000053E-2</v>
      </c>
      <c r="F66" s="2077">
        <f t="shared" si="91"/>
        <v>-2.4999999999999911E-2</v>
      </c>
      <c r="G66" s="2077">
        <f t="shared" si="91"/>
        <v>-2.0000000000000018E-2</v>
      </c>
      <c r="H66" s="2077">
        <f t="shared" si="91"/>
        <v>2.0000000000000018E-2</v>
      </c>
      <c r="I66" s="2077">
        <f t="shared" si="91"/>
        <v>0</v>
      </c>
      <c r="J66" s="2077">
        <f>J65</f>
        <v>1.0000000000000009E-2</v>
      </c>
      <c r="K66" s="2077">
        <f t="shared" si="92"/>
        <v>3.0000000000000027E-2</v>
      </c>
      <c r="L66" s="2077">
        <f t="shared" si="92"/>
        <v>-6.0000000000000053E-2</v>
      </c>
      <c r="M66" s="1737">
        <f t="shared" ref="M66:T66" si="94">M64-0.005</f>
        <v>2.4999999999999998E-2</v>
      </c>
      <c r="N66" s="1737">
        <f t="shared" si="94"/>
        <v>-1.4999999999999999E-2</v>
      </c>
      <c r="O66" s="1737">
        <f t="shared" si="94"/>
        <v>2.4999999999999998E-2</v>
      </c>
      <c r="P66" s="1737">
        <f t="shared" si="94"/>
        <v>-1.4999999999999999E-2</v>
      </c>
      <c r="Q66" s="1737">
        <f t="shared" si="94"/>
        <v>2.4999999999999998E-2</v>
      </c>
      <c r="R66" s="1737">
        <f t="shared" si="94"/>
        <v>-1.4999999999999999E-2</v>
      </c>
      <c r="S66" s="1737">
        <f t="shared" si="94"/>
        <v>2.4999999999999998E-2</v>
      </c>
      <c r="T66" s="1737">
        <f t="shared" si="94"/>
        <v>-1.4999999999999999E-2</v>
      </c>
      <c r="U66" s="1737">
        <f>U64-0.005</f>
        <v>2.4999999999999998E-2</v>
      </c>
      <c r="V66" s="1737">
        <f>V64-0.005</f>
        <v>-1.4999999999999999E-2</v>
      </c>
      <c r="W66" s="1737">
        <f>W64-0.005</f>
        <v>2.4999999999999998E-2</v>
      </c>
      <c r="X66" s="862"/>
      <c r="Y66" s="862"/>
      <c r="Z66" s="862"/>
      <c r="AA66" s="862"/>
      <c r="AB66" s="862"/>
      <c r="AC66" s="1604"/>
      <c r="AD66" s="1604"/>
      <c r="AE66" s="1604"/>
      <c r="AF66" s="1604"/>
      <c r="AG66" s="1604"/>
      <c r="AH66" s="1604"/>
      <c r="AI66" s="1604"/>
      <c r="AJ66" s="1604"/>
      <c r="AK66" s="1604"/>
      <c r="AL66" s="1604"/>
      <c r="AM66" s="1604"/>
      <c r="AN66" s="1604"/>
      <c r="AO66" s="1604"/>
      <c r="AP66" s="1604"/>
      <c r="AQ66" s="1604"/>
      <c r="AR66" s="1604"/>
      <c r="AS66" s="1470"/>
      <c r="AT66" s="1470"/>
      <c r="AU66" s="1470"/>
      <c r="AV66" s="1470"/>
      <c r="AW66" s="1470"/>
      <c r="AX66" s="1470"/>
      <c r="AY66" s="1470"/>
      <c r="AZ66" s="862"/>
      <c r="BA66" s="862"/>
      <c r="BB66" s="862"/>
      <c r="BC66" s="906"/>
      <c r="BD66" s="906"/>
      <c r="BE66" s="906"/>
      <c r="BF66" s="906"/>
      <c r="BG66" s="862"/>
      <c r="BH66" s="1404"/>
      <c r="BI66" s="1404"/>
      <c r="BJ66" s="1404"/>
      <c r="BK66" s="906"/>
      <c r="BL66" s="862"/>
      <c r="BM66" s="906"/>
      <c r="BN66" s="906"/>
      <c r="BO66" s="906"/>
      <c r="BP66" s="906"/>
      <c r="BQ66" s="862"/>
      <c r="BR66" s="862"/>
      <c r="BS66" s="862"/>
      <c r="BT66" s="862"/>
      <c r="BU66" s="862"/>
      <c r="BV66" s="862"/>
      <c r="BW66" s="862"/>
      <c r="BX66" s="862"/>
      <c r="BY66" s="862"/>
      <c r="BZ66" s="862"/>
      <c r="CA66" s="862"/>
      <c r="CB66" s="877"/>
      <c r="CC66" s="862"/>
      <c r="CD66" s="862"/>
      <c r="CE66" s="862"/>
      <c r="CF66" s="862"/>
      <c r="CG66" s="862"/>
      <c r="CH66" s="862"/>
      <c r="CI66" s="862"/>
      <c r="CJ66" s="862"/>
      <c r="CK66" s="862"/>
      <c r="CL66" s="862"/>
    </row>
    <row r="67" spans="1:90">
      <c r="A67" s="862"/>
      <c r="B67" s="1470"/>
      <c r="C67" s="2077"/>
      <c r="D67" s="2077"/>
      <c r="E67" s="2077"/>
      <c r="F67" s="2077"/>
      <c r="G67" s="2077"/>
      <c r="H67" s="2077"/>
      <c r="I67" s="2077"/>
      <c r="J67" s="1737"/>
      <c r="K67" s="1737"/>
      <c r="L67" s="1737"/>
      <c r="M67" s="1737"/>
      <c r="N67" s="1737"/>
      <c r="O67" s="1737"/>
      <c r="P67" s="1737"/>
      <c r="Q67" s="1737"/>
      <c r="R67" s="1737"/>
      <c r="S67" s="1737"/>
      <c r="T67" s="1737"/>
      <c r="U67" s="1737"/>
      <c r="V67" s="1737"/>
      <c r="W67" s="862"/>
      <c r="X67" s="862"/>
      <c r="Y67" s="862"/>
      <c r="Z67" s="862"/>
      <c r="AA67" s="862"/>
      <c r="AB67" s="862"/>
      <c r="AC67" s="1737"/>
      <c r="AD67" s="1737"/>
      <c r="AE67" s="1737"/>
      <c r="AF67" s="1737"/>
      <c r="AG67" s="1737"/>
      <c r="AH67" s="1737"/>
      <c r="AI67" s="1737"/>
      <c r="AJ67" s="1737"/>
      <c r="AK67" s="1737"/>
      <c r="AL67" s="1737"/>
      <c r="AM67" s="1737"/>
      <c r="AN67" s="1737"/>
      <c r="AO67" s="1737"/>
      <c r="AP67" s="1737"/>
      <c r="AQ67" s="1737"/>
      <c r="AR67" s="1737"/>
      <c r="AS67" s="1737"/>
      <c r="AT67" s="1737"/>
      <c r="AU67" s="1737"/>
      <c r="AV67" s="1737"/>
      <c r="AW67" s="1737"/>
      <c r="AX67" s="1737"/>
      <c r="AY67" s="1470"/>
      <c r="AZ67" s="862"/>
      <c r="BA67" s="862"/>
      <c r="BB67" s="862"/>
      <c r="BC67" s="906"/>
      <c r="BD67" s="906"/>
      <c r="BE67" s="906"/>
      <c r="BF67" s="906"/>
      <c r="BG67" s="862"/>
      <c r="BH67" s="1404"/>
      <c r="BI67" s="1404"/>
      <c r="BJ67" s="1404"/>
      <c r="BK67" s="906"/>
      <c r="BL67" s="862"/>
      <c r="BM67" s="906"/>
      <c r="BN67" s="906"/>
      <c r="BO67" s="906"/>
      <c r="BP67" s="906"/>
      <c r="BQ67" s="862"/>
      <c r="BR67" s="1470"/>
      <c r="BS67" s="1470"/>
      <c r="BT67" s="1470"/>
      <c r="BU67" s="1470"/>
      <c r="BV67" s="1470"/>
      <c r="BW67" s="1470"/>
      <c r="BX67" s="1470"/>
      <c r="BY67" s="1470"/>
      <c r="BZ67" s="1470"/>
      <c r="CA67" s="1470"/>
      <c r="CB67" s="877"/>
      <c r="CC67" s="1470"/>
      <c r="CD67" s="862"/>
      <c r="CE67" s="862"/>
      <c r="CF67" s="862"/>
      <c r="CG67" s="862"/>
      <c r="CH67" s="862"/>
      <c r="CI67" s="862"/>
      <c r="CJ67" s="862"/>
      <c r="CK67" s="862"/>
      <c r="CL67" s="862"/>
    </row>
    <row r="68" spans="1:90" ht="13.5" hidden="1" outlineLevel="1" thickBot="1">
      <c r="A68" s="862"/>
      <c r="B68" s="2533">
        <f>B81</f>
        <v>1</v>
      </c>
      <c r="C68" s="862"/>
      <c r="D68" s="862"/>
      <c r="E68" s="862"/>
      <c r="F68" s="862"/>
      <c r="G68" s="862"/>
      <c r="H68" s="862"/>
      <c r="I68" s="1470"/>
      <c r="J68" s="1470"/>
      <c r="K68" s="1470"/>
      <c r="L68" s="1470"/>
      <c r="M68" s="1470"/>
      <c r="N68" s="1470"/>
      <c r="O68" s="1470"/>
      <c r="P68" s="1470"/>
      <c r="Q68" s="1470"/>
      <c r="R68" s="1470"/>
      <c r="S68" s="1470"/>
      <c r="T68" s="1470"/>
      <c r="U68" s="1470"/>
      <c r="V68" s="1470"/>
      <c r="W68" s="862"/>
      <c r="X68" s="862"/>
      <c r="Y68" s="862"/>
      <c r="Z68" s="862"/>
      <c r="AA68" s="862"/>
      <c r="AB68" s="862"/>
      <c r="AC68" s="1470"/>
      <c r="AD68" s="1470"/>
      <c r="AE68" s="1470"/>
      <c r="AF68" s="1470"/>
      <c r="AG68" s="1470"/>
      <c r="AH68" s="1470"/>
      <c r="AI68" s="1470"/>
      <c r="AJ68" s="1470"/>
      <c r="AK68" s="1470"/>
      <c r="AL68" s="1470"/>
      <c r="AM68" s="1470"/>
      <c r="AN68" s="1470"/>
      <c r="AO68" s="1470"/>
      <c r="AP68" s="1470"/>
      <c r="AQ68" s="1470"/>
      <c r="AR68" s="1470"/>
      <c r="AS68" s="1470"/>
      <c r="AT68" s="1470"/>
      <c r="AU68" s="1470"/>
      <c r="AV68" s="1470"/>
      <c r="AW68" s="1470"/>
      <c r="AX68" s="1606"/>
      <c r="AY68" s="1606"/>
      <c r="AZ68" s="897"/>
      <c r="BA68" s="897"/>
      <c r="BB68" s="897"/>
      <c r="BC68" s="870"/>
      <c r="BD68" s="870"/>
      <c r="BE68" s="870"/>
      <c r="BF68" s="870"/>
      <c r="BG68" s="897"/>
      <c r="BH68" s="1408"/>
      <c r="BI68" s="1408"/>
      <c r="BJ68" s="1408"/>
      <c r="BK68" s="870"/>
      <c r="BL68" s="897"/>
      <c r="BM68" s="870"/>
      <c r="BN68" s="870"/>
      <c r="BO68" s="870"/>
      <c r="BP68" s="870"/>
      <c r="BQ68" s="862"/>
      <c r="BR68" s="1606"/>
      <c r="BS68" s="1577"/>
      <c r="BT68" s="1577"/>
      <c r="BU68" s="1606"/>
      <c r="BV68" s="1470"/>
      <c r="BW68" s="1606"/>
      <c r="BX68" s="1606"/>
      <c r="BY68" s="1606"/>
      <c r="BZ68" s="1606"/>
      <c r="CA68" s="1606"/>
      <c r="CB68" s="877"/>
      <c r="CC68" s="1606"/>
      <c r="CD68" s="862"/>
      <c r="CE68" s="862"/>
      <c r="CF68" s="862"/>
      <c r="CG68" s="862"/>
      <c r="CH68" s="862"/>
      <c r="CI68" s="862"/>
      <c r="CJ68" s="862"/>
      <c r="CK68" s="862"/>
      <c r="CL68" s="862"/>
    </row>
    <row r="69" spans="1:90" hidden="1" outlineLevel="1">
      <c r="A69" s="862"/>
      <c r="B69" s="36" t="s">
        <v>1823</v>
      </c>
      <c r="C69" s="878">
        <f>+CHOOSE($B$68,C70,C71,C72)</f>
        <v>-0.12236984661002437</v>
      </c>
      <c r="D69" s="878">
        <f t="shared" ref="D69:U69" si="95">+CHOOSE($B$68,D70,D71,D72)</f>
        <v>-0.2057696056136703</v>
      </c>
      <c r="E69" s="878">
        <f t="shared" si="95"/>
        <v>9.3219895287957932E-2</v>
      </c>
      <c r="F69" s="878">
        <f t="shared" si="95"/>
        <v>2.8794808553436191E-3</v>
      </c>
      <c r="G69" s="878">
        <f t="shared" si="95"/>
        <v>-1.9997015370840088E-2</v>
      </c>
      <c r="H69" s="878">
        <f t="shared" si="95"/>
        <v>-5.3296786965129073E-3</v>
      </c>
      <c r="I69" s="878">
        <f t="shared" si="95"/>
        <v>-2.6025719534599201E-3</v>
      </c>
      <c r="J69" s="878">
        <f t="shared" si="95"/>
        <v>-5.448963929393702E-2</v>
      </c>
      <c r="K69" s="2081">
        <f t="shared" si="95"/>
        <v>-9.7402597402597157E-3</v>
      </c>
      <c r="L69" s="2081">
        <f>+CHOOSE($B$68,L70,L71,L72)</f>
        <v>0</v>
      </c>
      <c r="M69" s="2081">
        <f t="shared" si="95"/>
        <v>0</v>
      </c>
      <c r="N69" s="2081">
        <f t="shared" si="95"/>
        <v>0</v>
      </c>
      <c r="O69" s="2081">
        <f t="shared" si="95"/>
        <v>0</v>
      </c>
      <c r="P69" s="2081">
        <f t="shared" si="95"/>
        <v>0</v>
      </c>
      <c r="Q69" s="2081">
        <f t="shared" si="95"/>
        <v>0</v>
      </c>
      <c r="R69" s="2081">
        <f t="shared" si="95"/>
        <v>0</v>
      </c>
      <c r="S69" s="2081">
        <f t="shared" si="95"/>
        <v>0</v>
      </c>
      <c r="T69" s="2081">
        <f t="shared" si="95"/>
        <v>0</v>
      </c>
      <c r="U69" s="2081">
        <f t="shared" si="95"/>
        <v>0</v>
      </c>
      <c r="V69" s="2081">
        <f>+CHOOSE($B$68,V70,V71,V72)</f>
        <v>0</v>
      </c>
      <c r="W69" s="862"/>
      <c r="X69" s="862"/>
      <c r="Y69" s="862"/>
      <c r="Z69" s="862"/>
      <c r="AA69" s="862"/>
      <c r="AB69" s="862"/>
      <c r="AC69" s="1802"/>
      <c r="AD69" s="1802"/>
      <c r="AE69" s="1802"/>
      <c r="AF69" s="1802"/>
      <c r="AG69" s="1802"/>
      <c r="AH69" s="1802"/>
      <c r="AI69" s="1802"/>
      <c r="AJ69" s="1802"/>
      <c r="AK69" s="1802"/>
      <c r="AL69" s="1802"/>
      <c r="AM69" s="1802"/>
      <c r="AN69" s="1802"/>
      <c r="AO69" s="1802"/>
      <c r="AP69" s="1802"/>
      <c r="AQ69" s="1802"/>
      <c r="AR69" s="1802"/>
      <c r="AS69" s="2428"/>
      <c r="AT69" s="2428"/>
      <c r="AU69" s="2428"/>
      <c r="AV69" s="2428"/>
      <c r="AW69" s="2428"/>
      <c r="AX69" s="2428"/>
      <c r="AY69" s="2428"/>
      <c r="AZ69" s="868"/>
      <c r="BA69" s="868"/>
      <c r="BB69" s="868"/>
      <c r="BC69" s="878">
        <f>+CHOOSE($B$68,BC70,BC71,BC72)</f>
        <v>0</v>
      </c>
      <c r="BD69" s="878">
        <f>+CHOOSE($B$68,BD70,BD71,BD72)</f>
        <v>0</v>
      </c>
      <c r="BE69" s="878">
        <f>+CHOOSE($B$68,BE70,BE71,BE72)</f>
        <v>9.7513777496001097E-3</v>
      </c>
      <c r="BF69" s="878">
        <f>+CHOOSE($B$68,BF70,BF71,BF72)</f>
        <v>-2.909379209279761E-2</v>
      </c>
      <c r="BG69" s="897"/>
      <c r="BH69" s="878">
        <f>+CHOOSE($B$68,BH70,BH71,BH72)</f>
        <v>1.6E-2</v>
      </c>
      <c r="BI69" s="878">
        <f>+CHOOSE($B$68,BI70,BI71,BI72)</f>
        <v>-0.05</v>
      </c>
      <c r="BJ69" s="878">
        <f>+CHOOSE($B$68,BJ70,BJ71,BJ72)</f>
        <v>8.0000000000000002E-3</v>
      </c>
      <c r="BK69" s="878">
        <f>+CHOOSE($B$68,BK70,BK71,BK72)</f>
        <v>1.9338962232908319E-2</v>
      </c>
      <c r="BL69" s="868"/>
      <c r="BM69" s="1405">
        <f>+CHOOSE($B$3,BM70,BM71,BM72)</f>
        <v>-7.4257164928710373E-2</v>
      </c>
      <c r="BN69" s="1405">
        <f>+CHOOSE($B$3,BN70,BN71,BN72)</f>
        <v>-3.0215719775928296E-2</v>
      </c>
      <c r="BO69" s="1405">
        <f>+CHOOSE($B$3,BO70,BO71,BO72)</f>
        <v>-5.0870899362421618E-2</v>
      </c>
      <c r="BP69" s="1405">
        <f>+CHOOSE($B$3,BP70,BP71,BP72)</f>
        <v>-6.4236965174775507E-2</v>
      </c>
      <c r="BQ69" s="862"/>
      <c r="BR69" s="1405">
        <f>+CHOOSE($B$3,BR70,BR71,BR72)</f>
        <v>0</v>
      </c>
      <c r="BS69" s="1405">
        <f>+CHOOSE($B$3,BS70,BS71,BS72)</f>
        <v>0</v>
      </c>
      <c r="BT69" s="1405">
        <f>+CHOOSE($B$3,BT70,BT71,BT72)</f>
        <v>0</v>
      </c>
      <c r="BU69" s="1405">
        <f>+CHOOSE($B$3,BU70,BU71,BU72)</f>
        <v>0</v>
      </c>
      <c r="BV69" s="1470"/>
      <c r="BW69" s="2219">
        <f>+CHOOSE($B$3,BW70,BW71,BW72)</f>
        <v>0</v>
      </c>
      <c r="BX69" s="2219">
        <f>+CHOOSE($B$3,BX70,BX71,BX72)</f>
        <v>0</v>
      </c>
      <c r="BY69" s="2219">
        <f>+CHOOSE($B$3,BY70,BY71,BY72)</f>
        <v>0</v>
      </c>
      <c r="BZ69" s="2219">
        <f>+CHOOSE($B$3,BZ70,BZ71,BZ72)</f>
        <v>0</v>
      </c>
      <c r="CA69" s="862"/>
      <c r="CB69" s="877"/>
      <c r="CC69" s="1606"/>
      <c r="CD69" s="862"/>
      <c r="CE69" s="862"/>
      <c r="CF69" s="862"/>
      <c r="CG69" s="862"/>
      <c r="CH69" s="862"/>
      <c r="CI69" s="862"/>
      <c r="CJ69" s="862"/>
      <c r="CK69" s="862"/>
      <c r="CL69" s="862"/>
    </row>
    <row r="70" spans="1:90" hidden="1" outlineLevel="1">
      <c r="A70" s="862"/>
      <c r="B70" s="862"/>
      <c r="C70" s="514">
        <f>Drivers!H129</f>
        <v>-0.12236984661002437</v>
      </c>
      <c r="D70" s="514">
        <f>Drivers!I129</f>
        <v>-0.2057696056136703</v>
      </c>
      <c r="E70" s="514">
        <f>Drivers!J129</f>
        <v>9.3219895287957932E-2</v>
      </c>
      <c r="F70" s="514">
        <f>Drivers!K129</f>
        <v>2.8794808553436191E-3</v>
      </c>
      <c r="G70" s="514">
        <f>Drivers!L129</f>
        <v>-1.9997015370840088E-2</v>
      </c>
      <c r="H70" s="514">
        <f>Drivers!M129</f>
        <v>-5.3296786965129073E-3</v>
      </c>
      <c r="I70" s="1551">
        <f>Drivers!P129</f>
        <v>-2.6025719534599201E-3</v>
      </c>
      <c r="J70" s="1551">
        <f>Drivers!Q129</f>
        <v>-5.448963929393702E-2</v>
      </c>
      <c r="K70" s="1551">
        <f>Drivers!R129</f>
        <v>-9.7402597402597157E-3</v>
      </c>
      <c r="L70" s="1482">
        <v>0</v>
      </c>
      <c r="M70" s="1482">
        <v>0</v>
      </c>
      <c r="N70" s="1482">
        <v>0</v>
      </c>
      <c r="O70" s="1482">
        <v>0</v>
      </c>
      <c r="P70" s="1482">
        <v>0</v>
      </c>
      <c r="Q70" s="1482">
        <v>0</v>
      </c>
      <c r="R70" s="1482">
        <v>0</v>
      </c>
      <c r="S70" s="1482">
        <v>0</v>
      </c>
      <c r="T70" s="1482">
        <v>0</v>
      </c>
      <c r="U70" s="1482">
        <v>0</v>
      </c>
      <c r="V70" s="1482">
        <v>0</v>
      </c>
      <c r="W70" s="862"/>
      <c r="X70" s="862"/>
      <c r="Y70" s="862"/>
      <c r="Z70" s="862"/>
      <c r="AA70" s="862"/>
      <c r="AB70" s="862"/>
      <c r="AC70" s="1604"/>
      <c r="AD70" s="1604"/>
      <c r="AE70" s="1604"/>
      <c r="AF70" s="1604"/>
      <c r="AG70" s="1604"/>
      <c r="AH70" s="1604"/>
      <c r="AI70" s="1604"/>
      <c r="AJ70" s="1604"/>
      <c r="AK70" s="1604"/>
      <c r="AL70" s="1604"/>
      <c r="AM70" s="1604"/>
      <c r="AN70" s="1604"/>
      <c r="AO70" s="1604"/>
      <c r="AP70" s="1604"/>
      <c r="AQ70" s="1604"/>
      <c r="AR70" s="1604"/>
      <c r="AS70" s="1470"/>
      <c r="AT70" s="1470"/>
      <c r="AU70" s="1470"/>
      <c r="AV70" s="1470"/>
      <c r="AW70" s="1470"/>
      <c r="AX70" s="1470"/>
      <c r="AY70" s="1470"/>
      <c r="AZ70" s="862"/>
      <c r="BA70" s="862"/>
      <c r="BB70" s="862"/>
      <c r="BC70" s="514">
        <f>Drivers!CF129</f>
        <v>0</v>
      </c>
      <c r="BD70" s="514">
        <f>Drivers!CG129</f>
        <v>0</v>
      </c>
      <c r="BE70" s="514">
        <f>Drivers!CH129</f>
        <v>9.7513777496001097E-3</v>
      </c>
      <c r="BF70" s="514">
        <f>Drivers!CI129</f>
        <v>-2.909379209279761E-2</v>
      </c>
      <c r="BG70" s="897"/>
      <c r="BH70" s="514">
        <f>Drivers!CK129</f>
        <v>1.6E-2</v>
      </c>
      <c r="BI70" s="514">
        <f>Drivers!CL129</f>
        <v>-0.05</v>
      </c>
      <c r="BJ70" s="514">
        <f>Drivers!CM129</f>
        <v>8.0000000000000002E-3</v>
      </c>
      <c r="BK70" s="514">
        <f>Drivers!CN129</f>
        <v>1.9338962232908319E-2</v>
      </c>
      <c r="BL70" s="868"/>
      <c r="BM70" s="514">
        <f>Drivers!CP129</f>
        <v>-7.4257164928710373E-2</v>
      </c>
      <c r="BN70" s="514">
        <f>Drivers!CQ129</f>
        <v>-3.0215719775928296E-2</v>
      </c>
      <c r="BO70" s="514">
        <f>Drivers!CR129</f>
        <v>-5.0870899362421618E-2</v>
      </c>
      <c r="BP70" s="514">
        <f>Drivers!CS129</f>
        <v>-6.4236965174775507E-2</v>
      </c>
      <c r="BQ70" s="862"/>
      <c r="BR70" s="514">
        <f>Drivers!CU129</f>
        <v>0</v>
      </c>
      <c r="BS70" s="514">
        <f>Drivers!CV129</f>
        <v>0</v>
      </c>
      <c r="BT70" s="514">
        <f>Drivers!CW129</f>
        <v>0</v>
      </c>
      <c r="BU70" s="514">
        <f>Drivers!CX129</f>
        <v>0</v>
      </c>
      <c r="BV70" s="1470"/>
      <c r="BW70" s="1602">
        <v>0</v>
      </c>
      <c r="BX70" s="1602">
        <v>0</v>
      </c>
      <c r="BY70" s="1602">
        <v>0</v>
      </c>
      <c r="BZ70" s="1602">
        <v>0</v>
      </c>
      <c r="CA70" s="862"/>
      <c r="CB70" s="877"/>
      <c r="CC70" s="1606"/>
      <c r="CD70" s="862"/>
      <c r="CE70" s="862"/>
      <c r="CF70" s="862"/>
      <c r="CG70" s="862"/>
      <c r="CH70" s="862"/>
      <c r="CI70" s="862"/>
      <c r="CJ70" s="862"/>
      <c r="CK70" s="862"/>
      <c r="CL70" s="862"/>
    </row>
    <row r="71" spans="1:90" hidden="1" outlineLevel="1">
      <c r="A71" s="862"/>
      <c r="B71" s="862"/>
      <c r="C71" s="1201">
        <f t="shared" ref="C71:I71" si="96">C70</f>
        <v>-0.12236984661002437</v>
      </c>
      <c r="D71" s="1201">
        <f t="shared" si="96"/>
        <v>-0.2057696056136703</v>
      </c>
      <c r="E71" s="1201">
        <f t="shared" si="96"/>
        <v>9.3219895287957932E-2</v>
      </c>
      <c r="F71" s="1201">
        <f t="shared" si="96"/>
        <v>2.8794808553436191E-3</v>
      </c>
      <c r="G71" s="1201">
        <f t="shared" si="96"/>
        <v>-1.9997015370840088E-2</v>
      </c>
      <c r="H71" s="1201">
        <f t="shared" si="96"/>
        <v>-5.3296786965129073E-3</v>
      </c>
      <c r="I71" s="2077">
        <f t="shared" si="96"/>
        <v>-2.6025719534599201E-3</v>
      </c>
      <c r="J71" s="2077">
        <f>J70</f>
        <v>-5.448963929393702E-2</v>
      </c>
      <c r="K71" s="2077">
        <f>K70</f>
        <v>-9.7402597402597157E-3</v>
      </c>
      <c r="L71" s="2077">
        <f t="shared" ref="L71:V71" si="97">L70</f>
        <v>0</v>
      </c>
      <c r="M71" s="2077">
        <f t="shared" si="97"/>
        <v>0</v>
      </c>
      <c r="N71" s="2077">
        <f t="shared" si="97"/>
        <v>0</v>
      </c>
      <c r="O71" s="2077">
        <f t="shared" si="97"/>
        <v>0</v>
      </c>
      <c r="P71" s="2077">
        <f t="shared" si="97"/>
        <v>0</v>
      </c>
      <c r="Q71" s="2077">
        <f t="shared" si="97"/>
        <v>0</v>
      </c>
      <c r="R71" s="2077">
        <f t="shared" si="97"/>
        <v>0</v>
      </c>
      <c r="S71" s="2077">
        <f t="shared" si="97"/>
        <v>0</v>
      </c>
      <c r="T71" s="2077">
        <f t="shared" si="97"/>
        <v>0</v>
      </c>
      <c r="U71" s="2077">
        <f t="shared" si="97"/>
        <v>0</v>
      </c>
      <c r="V71" s="2077">
        <f t="shared" si="97"/>
        <v>0</v>
      </c>
      <c r="W71" s="862"/>
      <c r="X71" s="862"/>
      <c r="Y71" s="862"/>
      <c r="Z71" s="862"/>
      <c r="AA71" s="862"/>
      <c r="AB71" s="862"/>
      <c r="AC71" s="1604"/>
      <c r="AD71" s="1604"/>
      <c r="AE71" s="1604"/>
      <c r="AF71" s="1604"/>
      <c r="AG71" s="1604"/>
      <c r="AH71" s="1604"/>
      <c r="AI71" s="1604"/>
      <c r="AJ71" s="1604"/>
      <c r="AK71" s="1604"/>
      <c r="AL71" s="1604"/>
      <c r="AM71" s="1604"/>
      <c r="AN71" s="1604"/>
      <c r="AO71" s="1604"/>
      <c r="AP71" s="1604"/>
      <c r="AQ71" s="1604"/>
      <c r="AR71" s="1604"/>
      <c r="AS71" s="1470"/>
      <c r="AT71" s="1470"/>
      <c r="AU71" s="1470"/>
      <c r="AV71" s="1470"/>
      <c r="AW71" s="1470"/>
      <c r="AX71" s="1470"/>
      <c r="AY71" s="1470"/>
      <c r="AZ71" s="862"/>
      <c r="BA71" s="862"/>
      <c r="BB71" s="862"/>
      <c r="BC71" s="1201">
        <f>+BC70</f>
        <v>0</v>
      </c>
      <c r="BD71" s="1201">
        <f>+BD70</f>
        <v>0</v>
      </c>
      <c r="BE71" s="1201">
        <f>+BE70</f>
        <v>9.7513777496001097E-3</v>
      </c>
      <c r="BF71" s="1201">
        <f>+BF70</f>
        <v>-2.909379209279761E-2</v>
      </c>
      <c r="BG71" s="897"/>
      <c r="BH71" s="1201">
        <f>+BH70</f>
        <v>1.6E-2</v>
      </c>
      <c r="BI71" s="1201">
        <f>+BI70</f>
        <v>-0.05</v>
      </c>
      <c r="BJ71" s="1201">
        <f>+BJ70</f>
        <v>8.0000000000000002E-3</v>
      </c>
      <c r="BK71" s="1201">
        <f>+BK70</f>
        <v>1.9338962232908319E-2</v>
      </c>
      <c r="BL71" s="868"/>
      <c r="BM71" s="1201">
        <f>+BM70</f>
        <v>-7.4257164928710373E-2</v>
      </c>
      <c r="BN71" s="1201">
        <f>+BN70</f>
        <v>-3.0215719775928296E-2</v>
      </c>
      <c r="BO71" s="1201">
        <f>+BO70</f>
        <v>-5.0870899362421618E-2</v>
      </c>
      <c r="BP71" s="1201">
        <f>+BP70</f>
        <v>-6.4236965174775507E-2</v>
      </c>
      <c r="BQ71" s="862"/>
      <c r="BR71" s="1201">
        <f>+BR70</f>
        <v>0</v>
      </c>
      <c r="BS71" s="1201">
        <f>+BS70</f>
        <v>0</v>
      </c>
      <c r="BT71" s="1201">
        <f>+BT70</f>
        <v>0</v>
      </c>
      <c r="BU71" s="1201">
        <f>+BU70</f>
        <v>0</v>
      </c>
      <c r="BV71" s="1201"/>
      <c r="BW71" s="1201">
        <f t="shared" ref="BW71:BZ71" si="98">+BW70</f>
        <v>0</v>
      </c>
      <c r="BX71" s="1201">
        <f t="shared" si="98"/>
        <v>0</v>
      </c>
      <c r="BY71" s="1201">
        <f t="shared" si="98"/>
        <v>0</v>
      </c>
      <c r="BZ71" s="1201">
        <f t="shared" si="98"/>
        <v>0</v>
      </c>
      <c r="CA71" s="862"/>
      <c r="CB71" s="877"/>
      <c r="CC71" s="1606"/>
      <c r="CD71" s="862"/>
      <c r="CE71" s="862"/>
      <c r="CF71" s="862"/>
      <c r="CG71" s="862"/>
      <c r="CH71" s="862"/>
      <c r="CI71" s="862"/>
      <c r="CJ71" s="862"/>
      <c r="CK71" s="862"/>
      <c r="CL71" s="862"/>
    </row>
    <row r="72" spans="1:90" hidden="1" outlineLevel="1">
      <c r="A72" s="862"/>
      <c r="B72" s="862"/>
      <c r="C72" s="1201">
        <f t="shared" ref="C72:I72" si="99">C70</f>
        <v>-0.12236984661002437</v>
      </c>
      <c r="D72" s="1201">
        <f t="shared" si="99"/>
        <v>-0.2057696056136703</v>
      </c>
      <c r="E72" s="1201">
        <f t="shared" si="99"/>
        <v>9.3219895287957932E-2</v>
      </c>
      <c r="F72" s="1201">
        <f t="shared" si="99"/>
        <v>2.8794808553436191E-3</v>
      </c>
      <c r="G72" s="1201">
        <f t="shared" si="99"/>
        <v>-1.9997015370840088E-2</v>
      </c>
      <c r="H72" s="1201">
        <f t="shared" si="99"/>
        <v>-5.3296786965129073E-3</v>
      </c>
      <c r="I72" s="2077">
        <f t="shared" si="99"/>
        <v>-2.6025719534599201E-3</v>
      </c>
      <c r="J72" s="2077">
        <f>J70</f>
        <v>-5.448963929393702E-2</v>
      </c>
      <c r="K72" s="2077">
        <f>K70</f>
        <v>-9.7402597402597157E-3</v>
      </c>
      <c r="L72" s="2077">
        <f t="shared" ref="L72:V72" si="100">L70</f>
        <v>0</v>
      </c>
      <c r="M72" s="2077">
        <f t="shared" si="100"/>
        <v>0</v>
      </c>
      <c r="N72" s="2077">
        <f t="shared" si="100"/>
        <v>0</v>
      </c>
      <c r="O72" s="2077">
        <f t="shared" si="100"/>
        <v>0</v>
      </c>
      <c r="P72" s="2077">
        <f t="shared" si="100"/>
        <v>0</v>
      </c>
      <c r="Q72" s="2077">
        <f t="shared" si="100"/>
        <v>0</v>
      </c>
      <c r="R72" s="2077">
        <f t="shared" si="100"/>
        <v>0</v>
      </c>
      <c r="S72" s="2077">
        <f t="shared" si="100"/>
        <v>0</v>
      </c>
      <c r="T72" s="2077">
        <f t="shared" si="100"/>
        <v>0</v>
      </c>
      <c r="U72" s="2077">
        <f t="shared" si="100"/>
        <v>0</v>
      </c>
      <c r="V72" s="2077">
        <f t="shared" si="100"/>
        <v>0</v>
      </c>
      <c r="W72" s="862"/>
      <c r="X72" s="862"/>
      <c r="Y72" s="862"/>
      <c r="Z72" s="862"/>
      <c r="AA72" s="862"/>
      <c r="AB72" s="862"/>
      <c r="AC72" s="1604"/>
      <c r="AD72" s="1604"/>
      <c r="AE72" s="1604"/>
      <c r="AF72" s="1604"/>
      <c r="AG72" s="1604"/>
      <c r="AH72" s="1604"/>
      <c r="AI72" s="1604"/>
      <c r="AJ72" s="1604"/>
      <c r="AK72" s="1604"/>
      <c r="AL72" s="1604"/>
      <c r="AM72" s="1604"/>
      <c r="AN72" s="1604"/>
      <c r="AO72" s="1604"/>
      <c r="AP72" s="1604"/>
      <c r="AQ72" s="1604"/>
      <c r="AR72" s="1604"/>
      <c r="AS72" s="1470"/>
      <c r="AT72" s="1470"/>
      <c r="AU72" s="1470"/>
      <c r="AV72" s="1470"/>
      <c r="AW72" s="1470"/>
      <c r="AX72" s="1470"/>
      <c r="AY72" s="1470"/>
      <c r="AZ72" s="862"/>
      <c r="BA72" s="862"/>
      <c r="BB72" s="862"/>
      <c r="BC72" s="1201">
        <f>+BC70</f>
        <v>0</v>
      </c>
      <c r="BD72" s="1201">
        <f>+BD70</f>
        <v>0</v>
      </c>
      <c r="BE72" s="1201">
        <f>+BE70</f>
        <v>9.7513777496001097E-3</v>
      </c>
      <c r="BF72" s="1201">
        <f>+BF70</f>
        <v>-2.909379209279761E-2</v>
      </c>
      <c r="BG72" s="897"/>
      <c r="BH72" s="1201">
        <f>+BH70</f>
        <v>1.6E-2</v>
      </c>
      <c r="BI72" s="1201">
        <f>+BI70</f>
        <v>-0.05</v>
      </c>
      <c r="BJ72" s="1201">
        <f>+BJ70</f>
        <v>8.0000000000000002E-3</v>
      </c>
      <c r="BK72" s="1201">
        <f>+BK70</f>
        <v>1.9338962232908319E-2</v>
      </c>
      <c r="BL72" s="868"/>
      <c r="BM72" s="1201">
        <f>+BM70</f>
        <v>-7.4257164928710373E-2</v>
      </c>
      <c r="BN72" s="1201">
        <f>+BN70</f>
        <v>-3.0215719775928296E-2</v>
      </c>
      <c r="BO72" s="1201">
        <f>+BO70</f>
        <v>-5.0870899362421618E-2</v>
      </c>
      <c r="BP72" s="1201">
        <f>+BP70</f>
        <v>-6.4236965174775507E-2</v>
      </c>
      <c r="BQ72" s="862"/>
      <c r="BR72" s="1201">
        <f>+BR70</f>
        <v>0</v>
      </c>
      <c r="BS72" s="1201">
        <f>+BS70</f>
        <v>0</v>
      </c>
      <c r="BT72" s="1201">
        <f>+BT70</f>
        <v>0</v>
      </c>
      <c r="BU72" s="1201">
        <f>+BU70</f>
        <v>0</v>
      </c>
      <c r="BV72" s="1201"/>
      <c r="BW72" s="1201">
        <f t="shared" ref="BW72:BZ72" si="101">+BW70</f>
        <v>0</v>
      </c>
      <c r="BX72" s="1201">
        <f t="shared" si="101"/>
        <v>0</v>
      </c>
      <c r="BY72" s="1201">
        <f t="shared" si="101"/>
        <v>0</v>
      </c>
      <c r="BZ72" s="1201">
        <f t="shared" si="101"/>
        <v>0</v>
      </c>
      <c r="CA72" s="862"/>
      <c r="CB72" s="877"/>
      <c r="CC72" s="1606"/>
      <c r="CD72" s="862"/>
      <c r="CE72" s="862"/>
      <c r="CF72" s="862"/>
      <c r="CG72" s="862"/>
      <c r="CH72" s="862"/>
      <c r="CI72" s="862"/>
      <c r="CJ72" s="862"/>
      <c r="CK72" s="862"/>
      <c r="CL72" s="862"/>
    </row>
    <row r="73" spans="1:90" hidden="1" outlineLevel="1">
      <c r="A73" s="862"/>
      <c r="B73" s="514" t="s">
        <v>1610</v>
      </c>
      <c r="C73" s="902"/>
      <c r="D73" s="902"/>
      <c r="E73" s="1551">
        <v>187.99301517606261</v>
      </c>
      <c r="F73" s="1551">
        <v>-0.51401347535224995</v>
      </c>
      <c r="G73" s="1551">
        <v>-0.15699715841715201</v>
      </c>
      <c r="H73" s="1551">
        <v>-0.19111648717916763</v>
      </c>
      <c r="I73" s="1551">
        <v>-0.35524939730948357</v>
      </c>
      <c r="J73" s="1551">
        <v>-0.47243822918482892</v>
      </c>
      <c r="K73" s="2951">
        <v>0.17859826198067474</v>
      </c>
      <c r="L73" s="2951">
        <v>-2.1177436262506566E-2</v>
      </c>
      <c r="M73" s="2951">
        <v>-7.3847225531460725E-2</v>
      </c>
      <c r="N73" s="2951">
        <v>-1.7890192712623598E-2</v>
      </c>
      <c r="O73" s="2951">
        <v>-3.0868982159451774E-2</v>
      </c>
      <c r="P73" s="2951"/>
      <c r="Q73" s="2946"/>
      <c r="R73" s="2946"/>
      <c r="S73" s="2946"/>
      <c r="T73" s="2946"/>
      <c r="U73" s="2946"/>
      <c r="V73" s="2946"/>
      <c r="W73" s="862"/>
      <c r="X73" s="862"/>
      <c r="Y73" s="862"/>
      <c r="Z73" s="862"/>
      <c r="AA73" s="862"/>
      <c r="AB73" s="862"/>
      <c r="AC73" s="1604"/>
      <c r="AD73" s="1604"/>
      <c r="AE73" s="1604"/>
      <c r="AF73" s="1604"/>
      <c r="AG73" s="1604"/>
      <c r="AH73" s="1604"/>
      <c r="AI73" s="1604"/>
      <c r="AJ73" s="1604"/>
      <c r="AK73" s="1604"/>
      <c r="AL73" s="1604"/>
      <c r="AM73" s="1604"/>
      <c r="AN73" s="1604"/>
      <c r="AO73" s="1604"/>
      <c r="AP73" s="1604"/>
      <c r="AQ73" s="1604"/>
      <c r="AR73" s="1604"/>
      <c r="AS73" s="1470"/>
      <c r="AT73" s="1470"/>
      <c r="AU73" s="1470"/>
      <c r="AV73" s="1470"/>
      <c r="AW73" s="1470"/>
      <c r="AX73" s="1470"/>
      <c r="AY73" s="1470"/>
      <c r="AZ73" s="862"/>
      <c r="BA73" s="862"/>
      <c r="BB73" s="862"/>
      <c r="BC73" s="906"/>
      <c r="BD73" s="906"/>
      <c r="BE73" s="906"/>
      <c r="BF73" s="906"/>
      <c r="BG73" s="868"/>
      <c r="BH73" s="1404"/>
      <c r="BI73" s="1404"/>
      <c r="BJ73" s="1404"/>
      <c r="BK73" s="906"/>
      <c r="BL73" s="862"/>
      <c r="BM73" s="906"/>
      <c r="BN73" s="906"/>
      <c r="BO73" s="906"/>
      <c r="BP73" s="906"/>
      <c r="BQ73" s="862"/>
      <c r="BR73" s="1470"/>
      <c r="BS73" s="1577"/>
      <c r="BT73" s="1577"/>
      <c r="BU73" s="1470"/>
      <c r="BV73" s="1470"/>
      <c r="BW73" s="1470"/>
      <c r="BX73" s="1470"/>
      <c r="BY73" s="1470"/>
      <c r="BZ73" s="1470"/>
      <c r="CA73" s="1470"/>
      <c r="CB73" s="877"/>
      <c r="CC73" s="1606"/>
      <c r="CD73" s="862"/>
      <c r="CE73" s="862"/>
      <c r="CF73" s="862"/>
      <c r="CG73" s="862"/>
      <c r="CH73" s="862"/>
      <c r="CI73" s="862"/>
      <c r="CJ73" s="862"/>
      <c r="CK73" s="862"/>
      <c r="CL73" s="862"/>
    </row>
    <row r="74" spans="1:90" hidden="1" outlineLevel="1">
      <c r="A74" s="862"/>
      <c r="B74" s="862"/>
      <c r="C74" s="877"/>
      <c r="D74" s="877"/>
      <c r="E74" s="877"/>
      <c r="F74" s="877"/>
      <c r="G74" s="877"/>
      <c r="H74" s="877"/>
      <c r="I74" s="877"/>
      <c r="J74" s="877"/>
      <c r="K74" s="2866"/>
      <c r="L74" s="2866"/>
      <c r="M74" s="2866"/>
      <c r="N74" s="2866"/>
      <c r="O74" s="2866"/>
      <c r="P74" s="2866"/>
      <c r="Q74" s="2866"/>
      <c r="R74" s="2866"/>
      <c r="S74" s="2866"/>
      <c r="T74" s="2866"/>
      <c r="U74" s="2866"/>
      <c r="V74" s="2866"/>
      <c r="W74" s="862"/>
      <c r="X74" s="862"/>
      <c r="Y74" s="862"/>
      <c r="Z74" s="862"/>
      <c r="AA74" s="862"/>
      <c r="AB74" s="862"/>
      <c r="AC74" s="1604"/>
      <c r="AD74" s="1604"/>
      <c r="AE74" s="1604"/>
      <c r="AF74" s="1604"/>
      <c r="AG74" s="1604"/>
      <c r="AH74" s="1604"/>
      <c r="AI74" s="1604"/>
      <c r="AJ74" s="1604"/>
      <c r="AK74" s="1604"/>
      <c r="AL74" s="1604"/>
      <c r="AM74" s="1604"/>
      <c r="AN74" s="1604"/>
      <c r="AO74" s="1604"/>
      <c r="AP74" s="1604"/>
      <c r="AQ74" s="1604"/>
      <c r="AR74" s="1604"/>
      <c r="AS74" s="1470"/>
      <c r="AT74" s="1470"/>
      <c r="AU74" s="1470"/>
      <c r="AV74" s="1470"/>
      <c r="AW74" s="1470"/>
      <c r="AX74" s="1470"/>
      <c r="AY74" s="1470"/>
      <c r="AZ74" s="862"/>
      <c r="BA74" s="862"/>
      <c r="BB74" s="862"/>
      <c r="BC74" s="906"/>
      <c r="BD74" s="906"/>
      <c r="BE74" s="906"/>
      <c r="BF74" s="906"/>
      <c r="BG74" s="862"/>
      <c r="BH74" s="1404"/>
      <c r="BI74" s="1404"/>
      <c r="BJ74" s="1404"/>
      <c r="BK74" s="906"/>
      <c r="BL74" s="862"/>
      <c r="BM74" s="906"/>
      <c r="BN74" s="906"/>
      <c r="BO74" s="906"/>
      <c r="BP74" s="906"/>
      <c r="BQ74" s="862"/>
      <c r="BR74" s="1470"/>
      <c r="BS74" s="1577"/>
      <c r="BT74" s="1577"/>
      <c r="BU74" s="1470"/>
      <c r="BV74" s="1470"/>
      <c r="BW74" s="1470"/>
      <c r="BX74" s="1470"/>
      <c r="BY74" s="1470"/>
      <c r="BZ74" s="1470"/>
      <c r="CA74" s="1470"/>
      <c r="CB74" s="877"/>
      <c r="CC74" s="1606"/>
      <c r="CD74" s="862"/>
      <c r="CE74" s="862"/>
      <c r="CF74" s="862"/>
      <c r="CG74" s="862"/>
      <c r="CH74" s="862"/>
      <c r="CI74" s="862"/>
      <c r="CJ74" s="862"/>
      <c r="CK74" s="862"/>
      <c r="CL74" s="862"/>
    </row>
    <row r="75" spans="1:90" hidden="1" outlineLevel="1">
      <c r="A75" s="862"/>
      <c r="B75" s="1092" t="s">
        <v>1568</v>
      </c>
      <c r="C75" s="104">
        <f>+Drivers!H128-Drivers!H153</f>
        <v>985.8</v>
      </c>
      <c r="D75" s="104">
        <f>+Drivers!I128-Drivers!I153</f>
        <v>895.47634217027792</v>
      </c>
      <c r="E75" s="104">
        <f>+Drivers!J128-Drivers!J153</f>
        <v>893.68538948593732</v>
      </c>
      <c r="F75" s="104">
        <f>+Drivers!K128-Drivers!K153</f>
        <v>916.84</v>
      </c>
      <c r="G75" s="104">
        <f>+Drivers!L128-Drivers!L153</f>
        <v>880.68000000000006</v>
      </c>
      <c r="H75" s="104">
        <f>+Drivers!M128-Drivers!M153</f>
        <v>879.02</v>
      </c>
      <c r="I75" s="104">
        <f>+Drivers!N128-Drivers!N153</f>
        <v>893.08999999999992</v>
      </c>
      <c r="J75" s="104">
        <f>+Drivers!Q128-Drivers!Q153</f>
        <v>925.5</v>
      </c>
      <c r="K75" s="2952">
        <f>+Drivers!R128-Drivers!R153</f>
        <v>894</v>
      </c>
      <c r="L75" s="2952">
        <f>+Drivers!T128-Drivers!T153</f>
        <v>0</v>
      </c>
      <c r="M75" s="2953">
        <f t="shared" ref="M75:V75" si="102">+L75*(1+M76)</f>
        <v>0</v>
      </c>
      <c r="N75" s="2953">
        <f t="shared" si="102"/>
        <v>0</v>
      </c>
      <c r="O75" s="2953">
        <f t="shared" si="102"/>
        <v>0</v>
      </c>
      <c r="P75" s="2953">
        <f t="shared" si="102"/>
        <v>0</v>
      </c>
      <c r="Q75" s="2953">
        <f t="shared" si="102"/>
        <v>0</v>
      </c>
      <c r="R75" s="2953">
        <f t="shared" si="102"/>
        <v>0</v>
      </c>
      <c r="S75" s="2953">
        <f t="shared" si="102"/>
        <v>0</v>
      </c>
      <c r="T75" s="2953">
        <f t="shared" si="102"/>
        <v>0</v>
      </c>
      <c r="U75" s="2953">
        <f t="shared" si="102"/>
        <v>0</v>
      </c>
      <c r="V75" s="2953">
        <f t="shared" si="102"/>
        <v>0</v>
      </c>
      <c r="W75" s="862"/>
      <c r="X75" s="862"/>
      <c r="Y75" s="862"/>
      <c r="Z75" s="862"/>
      <c r="AA75" s="862"/>
      <c r="AB75" s="862"/>
      <c r="AC75" s="1604"/>
      <c r="AD75" s="1604"/>
      <c r="AE75" s="1604"/>
      <c r="AF75" s="1604"/>
      <c r="AG75" s="1604"/>
      <c r="AH75" s="1604"/>
      <c r="AI75" s="1604"/>
      <c r="AJ75" s="1604"/>
      <c r="AK75" s="1604"/>
      <c r="AL75" s="1604"/>
      <c r="AM75" s="1604"/>
      <c r="AN75" s="1604"/>
      <c r="AO75" s="1604"/>
      <c r="AP75" s="1604"/>
      <c r="AQ75" s="1604"/>
      <c r="AR75" s="1604"/>
      <c r="AS75" s="1470"/>
      <c r="AT75" s="1470"/>
      <c r="AU75" s="1470"/>
      <c r="AV75" s="1470"/>
      <c r="AW75" s="1470"/>
      <c r="AX75" s="1470"/>
      <c r="AY75" s="1470"/>
      <c r="AZ75" s="862"/>
      <c r="BA75" s="862"/>
      <c r="BB75" s="862"/>
      <c r="BC75" s="1560">
        <f>+Drivers!CF128-Drivers!CF153</f>
        <v>205.57383999999999</v>
      </c>
      <c r="BD75" s="1560">
        <f>+Drivers!CG128-Drivers!CG153</f>
        <v>232.05428999999998</v>
      </c>
      <c r="BE75" s="1560">
        <f>+Drivers!CH128-Drivers!CH153</f>
        <v>221.6189097707246</v>
      </c>
      <c r="BF75" s="1560">
        <f>+Drivers!CI128-Drivers!CI153</f>
        <v>219.7729602292755</v>
      </c>
      <c r="BG75" s="862"/>
      <c r="BH75" s="1560">
        <f>+Drivers!CK128-Drivers!CK153</f>
        <v>213.42488544000003</v>
      </c>
      <c r="BI75" s="1560">
        <f>+Drivers!CL128-Drivers!CL153</f>
        <v>218.72897549999993</v>
      </c>
      <c r="BJ75" s="1560">
        <f>+Drivers!CM128-Drivers!CM153</f>
        <v>230.26198904889043</v>
      </c>
      <c r="BK75" s="1560">
        <f>+Drivers!CN128-Drivers!CN153</f>
        <v>230.6741500111097</v>
      </c>
      <c r="BL75" s="862"/>
      <c r="BM75" s="1560">
        <f>+Drivers!CP128-Drivers!CP153</f>
        <v>211.97499999999999</v>
      </c>
      <c r="BN75" s="1560">
        <f>+Drivers!CQ128-Drivers!CQ153</f>
        <v>240.97499999999999</v>
      </c>
      <c r="BO75" s="1560">
        <f>+Drivers!CR128-Drivers!CR153</f>
        <v>237</v>
      </c>
      <c r="BP75" s="1560">
        <f>+Drivers!CS128-Drivers!CS153</f>
        <v>235.55</v>
      </c>
      <c r="BQ75" s="862"/>
      <c r="BR75" s="1560">
        <v>0</v>
      </c>
      <c r="BS75" s="1560">
        <v>0</v>
      </c>
      <c r="BT75" s="1560">
        <v>0</v>
      </c>
      <c r="BU75" s="1560">
        <v>0</v>
      </c>
      <c r="BV75" s="1560"/>
      <c r="BW75" s="1560">
        <v>0</v>
      </c>
      <c r="BX75" s="1560">
        <v>0</v>
      </c>
      <c r="BY75" s="1560">
        <v>0</v>
      </c>
      <c r="BZ75" s="1560">
        <v>0</v>
      </c>
      <c r="CA75" s="862"/>
      <c r="CB75" s="877"/>
      <c r="CC75" s="1606"/>
      <c r="CD75" s="862"/>
      <c r="CE75" s="862"/>
      <c r="CF75" s="862"/>
      <c r="CG75" s="862"/>
      <c r="CH75" s="862"/>
      <c r="CI75" s="862"/>
      <c r="CJ75" s="862"/>
      <c r="CK75" s="862"/>
      <c r="CL75" s="862"/>
    </row>
    <row r="76" spans="1:90" hidden="1" outlineLevel="1">
      <c r="A76" s="862"/>
      <c r="B76" s="6" t="s">
        <v>1165</v>
      </c>
      <c r="C76" s="1091"/>
      <c r="D76" s="878">
        <f>+CHOOSE($B$68,D77,D78,D79)</f>
        <v>-9.1624728981255843E-2</v>
      </c>
      <c r="E76" s="878">
        <f t="shared" ref="E76:U76" si="103">+CHOOSE($B$68,E77,E78,E79)</f>
        <v>-2.0000000000000018E-3</v>
      </c>
      <c r="F76" s="878">
        <f t="shared" si="103"/>
        <v>2.5909129528660646E-2</v>
      </c>
      <c r="G76" s="878">
        <f t="shared" si="103"/>
        <v>-3.9439815016796831E-2</v>
      </c>
      <c r="H76" s="878">
        <f t="shared" si="103"/>
        <v>-1.8849071172276632E-3</v>
      </c>
      <c r="I76" s="878">
        <f t="shared" si="103"/>
        <v>1.600646174148479E-2</v>
      </c>
      <c r="J76" s="878">
        <f t="shared" si="103"/>
        <v>3.6289735636946041E-2</v>
      </c>
      <c r="K76" s="2954">
        <f t="shared" si="103"/>
        <v>-3.4035656401944947E-2</v>
      </c>
      <c r="L76" s="2954">
        <f t="shared" si="103"/>
        <v>0</v>
      </c>
      <c r="M76" s="2954">
        <f t="shared" si="103"/>
        <v>0</v>
      </c>
      <c r="N76" s="2954">
        <f t="shared" si="103"/>
        <v>0</v>
      </c>
      <c r="O76" s="2954">
        <f t="shared" si="103"/>
        <v>0</v>
      </c>
      <c r="P76" s="2954">
        <f t="shared" si="103"/>
        <v>0</v>
      </c>
      <c r="Q76" s="2954">
        <f t="shared" si="103"/>
        <v>0</v>
      </c>
      <c r="R76" s="2954">
        <f t="shared" si="103"/>
        <v>0</v>
      </c>
      <c r="S76" s="2954">
        <f t="shared" si="103"/>
        <v>0</v>
      </c>
      <c r="T76" s="2954">
        <f t="shared" si="103"/>
        <v>0</v>
      </c>
      <c r="U76" s="2954">
        <f t="shared" si="103"/>
        <v>0</v>
      </c>
      <c r="V76" s="2954">
        <f>+CHOOSE($B$68,V77,V78,V79)</f>
        <v>0</v>
      </c>
      <c r="W76" s="862"/>
      <c r="X76" s="862"/>
      <c r="Y76" s="862"/>
      <c r="Z76" s="862"/>
      <c r="AA76" s="862"/>
      <c r="AB76" s="862"/>
      <c r="AC76" s="1604"/>
      <c r="AD76" s="1604"/>
      <c r="AE76" s="1604"/>
      <c r="AF76" s="1604"/>
      <c r="AG76" s="1604"/>
      <c r="AH76" s="1604"/>
      <c r="AI76" s="1604"/>
      <c r="AJ76" s="1604"/>
      <c r="AK76" s="1604"/>
      <c r="AL76" s="1604"/>
      <c r="AM76" s="1604"/>
      <c r="AN76" s="1604"/>
      <c r="AO76" s="1604"/>
      <c r="AP76" s="1604"/>
      <c r="AQ76" s="1604"/>
      <c r="AR76" s="1604"/>
      <c r="AS76" s="1470"/>
      <c r="AT76" s="1470"/>
      <c r="AU76" s="1470"/>
      <c r="AV76" s="1470"/>
      <c r="AW76" s="1470"/>
      <c r="AX76" s="1470"/>
      <c r="AY76" s="1470"/>
      <c r="AZ76" s="862"/>
      <c r="BA76" s="862"/>
      <c r="BB76" s="862"/>
      <c r="BC76" s="906"/>
      <c r="BD76" s="906"/>
      <c r="BE76" s="906"/>
      <c r="BF76" s="906"/>
      <c r="BG76" s="862"/>
      <c r="BH76" s="1405">
        <f>+CHOOSE($B$68,BH77,BH78,BH79)</f>
        <v>3.819087798330778E-2</v>
      </c>
      <c r="BI76" s="1405">
        <f t="shared" ref="BI76:BU76" si="104">+CHOOSE($B$68,BI77,BI78,BI79)</f>
        <v>-5.7423262892489668E-2</v>
      </c>
      <c r="BJ76" s="1405">
        <f t="shared" si="104"/>
        <v>3.8999737373978993E-2</v>
      </c>
      <c r="BK76" s="1405">
        <f t="shared" si="104"/>
        <v>4.9602051910579315E-2</v>
      </c>
      <c r="BL76" s="862"/>
      <c r="BM76" s="1405">
        <f t="shared" si="104"/>
        <v>-6.7934225992949404E-3</v>
      </c>
      <c r="BN76" s="1405">
        <f t="shared" si="104"/>
        <v>0.10170588715622664</v>
      </c>
      <c r="BO76" s="1405">
        <f t="shared" si="104"/>
        <v>2.9262367527273181E-2</v>
      </c>
      <c r="BP76" s="1405">
        <f t="shared" si="104"/>
        <v>2.1137392242067454E-2</v>
      </c>
      <c r="BQ76" s="862"/>
      <c r="BR76" s="1405">
        <f>+CHOOSE($B$68,BR77,BR78,BR79)</f>
        <v>0</v>
      </c>
      <c r="BS76" s="1405">
        <f>+CHOOSE($B$68,BS77,BS78,BS79)</f>
        <v>0</v>
      </c>
      <c r="BT76" s="1405">
        <f>+CHOOSE($B$68,BT77,BT78,BT79)</f>
        <v>0</v>
      </c>
      <c r="BU76" s="1405">
        <f t="shared" si="104"/>
        <v>0</v>
      </c>
      <c r="BV76" s="1560"/>
      <c r="BW76" s="1405">
        <f>+CHOOSE($B$68,BW77,BW78,BW79)</f>
        <v>0</v>
      </c>
      <c r="BX76" s="1405">
        <f>+CHOOSE($B$68,BX77,BX78,BX79)</f>
        <v>0</v>
      </c>
      <c r="BY76" s="1405">
        <f>+CHOOSE($B$68,BY77,BY78,BY79)</f>
        <v>0</v>
      </c>
      <c r="BZ76" s="1405">
        <f>+CHOOSE($B$68,BZ77,BZ78,BZ79)</f>
        <v>0</v>
      </c>
      <c r="CA76" s="862"/>
      <c r="CB76" s="877"/>
      <c r="CC76" s="1606"/>
      <c r="CD76" s="862"/>
      <c r="CE76" s="862"/>
      <c r="CF76" s="862"/>
      <c r="CG76" s="862"/>
      <c r="CH76" s="862"/>
      <c r="CI76" s="862"/>
      <c r="CJ76" s="862"/>
      <c r="CK76" s="862"/>
      <c r="CL76" s="862"/>
    </row>
    <row r="77" spans="1:90" hidden="1" outlineLevel="1">
      <c r="A77" s="862"/>
      <c r="B77" s="862"/>
      <c r="C77" s="1406"/>
      <c r="D77" s="1174">
        <f t="shared" ref="D77:K77" si="105">D75/C75-1</f>
        <v>-9.1624728981255843E-2</v>
      </c>
      <c r="E77" s="1174">
        <f t="shared" si="105"/>
        <v>-2.0000000000000018E-3</v>
      </c>
      <c r="F77" s="1174">
        <f t="shared" si="105"/>
        <v>2.5909129528660646E-2</v>
      </c>
      <c r="G77" s="1174">
        <f t="shared" si="105"/>
        <v>-3.9439815016796831E-2</v>
      </c>
      <c r="H77" s="1174">
        <f t="shared" si="105"/>
        <v>-1.8849071172276632E-3</v>
      </c>
      <c r="I77" s="1174">
        <f t="shared" si="105"/>
        <v>1.600646174148479E-2</v>
      </c>
      <c r="J77" s="1174">
        <f t="shared" si="105"/>
        <v>3.6289735636946041E-2</v>
      </c>
      <c r="K77" s="2866">
        <f t="shared" si="105"/>
        <v>-3.4035656401944947E-2</v>
      </c>
      <c r="L77" s="2897">
        <v>0</v>
      </c>
      <c r="M77" s="2897">
        <v>0</v>
      </c>
      <c r="N77" s="2897">
        <v>0</v>
      </c>
      <c r="O77" s="2897">
        <v>0</v>
      </c>
      <c r="P77" s="2897">
        <v>0</v>
      </c>
      <c r="Q77" s="2897">
        <v>0</v>
      </c>
      <c r="R77" s="2897">
        <v>0</v>
      </c>
      <c r="S77" s="2897">
        <v>0</v>
      </c>
      <c r="T77" s="2897">
        <v>0</v>
      </c>
      <c r="U77" s="2897">
        <v>0</v>
      </c>
      <c r="V77" s="2897">
        <v>0</v>
      </c>
      <c r="W77" s="862"/>
      <c r="X77" s="862"/>
      <c r="Y77" s="862"/>
      <c r="Z77" s="862"/>
      <c r="AA77" s="862"/>
      <c r="AB77" s="862"/>
      <c r="AC77" s="1604"/>
      <c r="AD77" s="1604"/>
      <c r="AE77" s="1604"/>
      <c r="AF77" s="1604"/>
      <c r="AG77" s="1604"/>
      <c r="AH77" s="1604"/>
      <c r="AI77" s="1604"/>
      <c r="AJ77" s="1604"/>
      <c r="AK77" s="1604"/>
      <c r="AL77" s="1604"/>
      <c r="AM77" s="1604"/>
      <c r="AN77" s="1604"/>
      <c r="AO77" s="1604"/>
      <c r="AP77" s="1604"/>
      <c r="AQ77" s="1604"/>
      <c r="AR77" s="1604"/>
      <c r="AS77" s="1470"/>
      <c r="AT77" s="1470"/>
      <c r="AU77" s="1470"/>
      <c r="AV77" s="1470"/>
      <c r="AW77" s="1470"/>
      <c r="AX77" s="1470"/>
      <c r="AY77" s="1470"/>
      <c r="AZ77" s="862"/>
      <c r="BA77" s="862"/>
      <c r="BB77" s="862"/>
      <c r="BC77" s="1560"/>
      <c r="BD77" s="1560"/>
      <c r="BE77" s="1560"/>
      <c r="BF77" s="1560"/>
      <c r="BG77" s="862"/>
      <c r="BH77" s="1174">
        <f>+BH75/BC75-1</f>
        <v>3.819087798330778E-2</v>
      </c>
      <c r="BI77" s="1174">
        <f>+BI75/BD75-1</f>
        <v>-5.7423262892489668E-2</v>
      </c>
      <c r="BJ77" s="1174">
        <f>+BJ75/BE75-1</f>
        <v>3.8999737373978993E-2</v>
      </c>
      <c r="BK77" s="1174">
        <f>+BK75/BF75-1</f>
        <v>4.9602051910579315E-2</v>
      </c>
      <c r="BL77" s="862"/>
      <c r="BM77" s="1174">
        <f>+BM75/BH75-1</f>
        <v>-6.7934225992949404E-3</v>
      </c>
      <c r="BN77" s="1174">
        <f>+BN75/BI75-1</f>
        <v>0.10170588715622664</v>
      </c>
      <c r="BO77" s="1174">
        <f>+BO75/BJ75-1</f>
        <v>2.9262367527273181E-2</v>
      </c>
      <c r="BP77" s="1174">
        <f>+BP75/BK75-1</f>
        <v>2.1137392242067454E-2</v>
      </c>
      <c r="BQ77" s="862"/>
      <c r="BR77" s="1174">
        <v>0</v>
      </c>
      <c r="BS77" s="1174">
        <v>0</v>
      </c>
      <c r="BT77" s="1174">
        <v>0</v>
      </c>
      <c r="BU77" s="1174">
        <v>0</v>
      </c>
      <c r="BV77" s="1560"/>
      <c r="BW77" s="1174">
        <v>0</v>
      </c>
      <c r="BX77" s="1174">
        <v>0</v>
      </c>
      <c r="BY77" s="1174">
        <v>0</v>
      </c>
      <c r="BZ77" s="1174">
        <v>0</v>
      </c>
      <c r="CA77" s="862"/>
      <c r="CB77" s="877"/>
      <c r="CC77" s="1606"/>
      <c r="CD77" s="862"/>
      <c r="CE77" s="862"/>
      <c r="CF77" s="862"/>
      <c r="CG77" s="862"/>
      <c r="CH77" s="862"/>
      <c r="CI77" s="862"/>
      <c r="CJ77" s="862"/>
      <c r="CK77" s="862"/>
      <c r="CL77" s="862"/>
    </row>
    <row r="78" spans="1:90" hidden="1" outlineLevel="1">
      <c r="A78" s="862"/>
      <c r="B78" s="862"/>
      <c r="C78" s="1092"/>
      <c r="D78" s="1201">
        <f>D77</f>
        <v>-9.1624728981255843E-2</v>
      </c>
      <c r="E78" s="1201">
        <f t="shared" ref="E78:J78" si="106">E77</f>
        <v>-2.0000000000000018E-3</v>
      </c>
      <c r="F78" s="1201">
        <f t="shared" si="106"/>
        <v>2.5909129528660646E-2</v>
      </c>
      <c r="G78" s="1201">
        <f t="shared" si="106"/>
        <v>-3.9439815016796831E-2</v>
      </c>
      <c r="H78" s="1201">
        <f t="shared" si="106"/>
        <v>-1.8849071172276632E-3</v>
      </c>
      <c r="I78" s="1201">
        <f t="shared" si="106"/>
        <v>1.600646174148479E-2</v>
      </c>
      <c r="J78" s="1201">
        <f t="shared" si="106"/>
        <v>3.6289735636946041E-2</v>
      </c>
      <c r="K78" s="2955">
        <f>K77</f>
        <v>-3.4035656401944947E-2</v>
      </c>
      <c r="L78" s="2955">
        <f>L77</f>
        <v>0</v>
      </c>
      <c r="M78" s="2955">
        <f t="shared" ref="M78:W78" si="107">M77</f>
        <v>0</v>
      </c>
      <c r="N78" s="2955">
        <f t="shared" si="107"/>
        <v>0</v>
      </c>
      <c r="O78" s="2955">
        <f t="shared" si="107"/>
        <v>0</v>
      </c>
      <c r="P78" s="2955">
        <f t="shared" si="107"/>
        <v>0</v>
      </c>
      <c r="Q78" s="2955">
        <f t="shared" si="107"/>
        <v>0</v>
      </c>
      <c r="R78" s="2955">
        <f t="shared" si="107"/>
        <v>0</v>
      </c>
      <c r="S78" s="2955">
        <f t="shared" si="107"/>
        <v>0</v>
      </c>
      <c r="T78" s="2955">
        <f t="shared" si="107"/>
        <v>0</v>
      </c>
      <c r="U78" s="2955">
        <f t="shared" si="107"/>
        <v>0</v>
      </c>
      <c r="V78" s="2955">
        <f t="shared" si="107"/>
        <v>0</v>
      </c>
      <c r="W78" s="2955">
        <f t="shared" si="107"/>
        <v>0</v>
      </c>
      <c r="X78" s="862"/>
      <c r="Y78" s="862"/>
      <c r="Z78" s="862"/>
      <c r="AA78" s="862"/>
      <c r="AB78" s="862"/>
      <c r="AC78" s="1604"/>
      <c r="AD78" s="1604"/>
      <c r="AE78" s="1604"/>
      <c r="AF78" s="1604"/>
      <c r="AG78" s="1604"/>
      <c r="AH78" s="1604"/>
      <c r="AI78" s="1604"/>
      <c r="AJ78" s="1604"/>
      <c r="AK78" s="1604"/>
      <c r="AL78" s="1604"/>
      <c r="AM78" s="1604"/>
      <c r="AN78" s="1604"/>
      <c r="AO78" s="1604"/>
      <c r="AP78" s="1604"/>
      <c r="AQ78" s="1604"/>
      <c r="AR78" s="1604"/>
      <c r="AS78" s="1470"/>
      <c r="AT78" s="1470"/>
      <c r="AU78" s="1470"/>
      <c r="AV78" s="1470"/>
      <c r="AW78" s="1470"/>
      <c r="AX78" s="1470"/>
      <c r="AY78" s="1470"/>
      <c r="AZ78" s="862"/>
      <c r="BA78" s="862"/>
      <c r="BB78" s="862"/>
      <c r="BC78" s="906"/>
      <c r="BD78" s="906"/>
      <c r="BE78" s="906"/>
      <c r="BF78" s="906"/>
      <c r="BG78" s="862"/>
      <c r="BH78" s="1201">
        <f>BH77</f>
        <v>3.819087798330778E-2</v>
      </c>
      <c r="BI78" s="1201">
        <f>BI77</f>
        <v>-5.7423262892489668E-2</v>
      </c>
      <c r="BJ78" s="1201">
        <f>BJ77</f>
        <v>3.8999737373978993E-2</v>
      </c>
      <c r="BK78" s="1201">
        <f>BK77</f>
        <v>4.9602051910579315E-2</v>
      </c>
      <c r="BL78" s="862"/>
      <c r="BM78" s="1201">
        <f>BM77</f>
        <v>-6.7934225992949404E-3</v>
      </c>
      <c r="BN78" s="1201">
        <f>BN77</f>
        <v>0.10170588715622664</v>
      </c>
      <c r="BO78" s="1201">
        <f>BO77</f>
        <v>2.9262367527273181E-2</v>
      </c>
      <c r="BP78" s="1201">
        <f>BP77</f>
        <v>2.1137392242067454E-2</v>
      </c>
      <c r="BQ78" s="862"/>
      <c r="BR78" s="1201">
        <f>BR77</f>
        <v>0</v>
      </c>
      <c r="BS78" s="1201">
        <f t="shared" ref="BS78:BZ78" si="108">BS77</f>
        <v>0</v>
      </c>
      <c r="BT78" s="1201">
        <f t="shared" si="108"/>
        <v>0</v>
      </c>
      <c r="BU78" s="1201">
        <f t="shared" si="108"/>
        <v>0</v>
      </c>
      <c r="BV78" s="1560"/>
      <c r="BW78" s="1201">
        <f t="shared" si="108"/>
        <v>0</v>
      </c>
      <c r="BX78" s="1201">
        <f t="shared" si="108"/>
        <v>0</v>
      </c>
      <c r="BY78" s="1201">
        <f t="shared" si="108"/>
        <v>0</v>
      </c>
      <c r="BZ78" s="1201">
        <f t="shared" si="108"/>
        <v>0</v>
      </c>
      <c r="CA78" s="862"/>
      <c r="CB78" s="877"/>
      <c r="CC78" s="1606"/>
      <c r="CD78" s="862"/>
      <c r="CE78" s="862"/>
      <c r="CF78" s="862"/>
      <c r="CG78" s="862"/>
      <c r="CH78" s="862"/>
      <c r="CI78" s="862"/>
      <c r="CJ78" s="862"/>
      <c r="CK78" s="862"/>
      <c r="CL78" s="862"/>
    </row>
    <row r="79" spans="1:90" hidden="1" outlineLevel="1">
      <c r="A79" s="862"/>
      <c r="B79" s="862"/>
      <c r="C79" s="1092"/>
      <c r="D79" s="1201">
        <f t="shared" ref="D79:J79" si="109">D77</f>
        <v>-9.1624728981255843E-2</v>
      </c>
      <c r="E79" s="1201">
        <f t="shared" si="109"/>
        <v>-2.0000000000000018E-3</v>
      </c>
      <c r="F79" s="1201">
        <f t="shared" si="109"/>
        <v>2.5909129528660646E-2</v>
      </c>
      <c r="G79" s="1201">
        <f t="shared" si="109"/>
        <v>-3.9439815016796831E-2</v>
      </c>
      <c r="H79" s="1201">
        <f t="shared" si="109"/>
        <v>-1.8849071172276632E-3</v>
      </c>
      <c r="I79" s="1201">
        <f t="shared" si="109"/>
        <v>1.600646174148479E-2</v>
      </c>
      <c r="J79" s="1201">
        <f t="shared" si="109"/>
        <v>3.6289735636946041E-2</v>
      </c>
      <c r="K79" s="2955">
        <f>K77</f>
        <v>-3.4035656401944947E-2</v>
      </c>
      <c r="L79" s="2955">
        <f>L77</f>
        <v>0</v>
      </c>
      <c r="M79" s="2955">
        <f t="shared" ref="M79:W79" si="110">M77</f>
        <v>0</v>
      </c>
      <c r="N79" s="2955">
        <f t="shared" si="110"/>
        <v>0</v>
      </c>
      <c r="O79" s="2955">
        <f t="shared" si="110"/>
        <v>0</v>
      </c>
      <c r="P79" s="2955">
        <f t="shared" si="110"/>
        <v>0</v>
      </c>
      <c r="Q79" s="2955">
        <f t="shared" si="110"/>
        <v>0</v>
      </c>
      <c r="R79" s="2955">
        <f t="shared" si="110"/>
        <v>0</v>
      </c>
      <c r="S79" s="2955">
        <f t="shared" si="110"/>
        <v>0</v>
      </c>
      <c r="T79" s="2955">
        <f t="shared" si="110"/>
        <v>0</v>
      </c>
      <c r="U79" s="2955">
        <f t="shared" si="110"/>
        <v>0</v>
      </c>
      <c r="V79" s="2955">
        <f t="shared" si="110"/>
        <v>0</v>
      </c>
      <c r="W79" s="2955">
        <f t="shared" si="110"/>
        <v>0</v>
      </c>
      <c r="X79" s="862"/>
      <c r="Y79" s="862"/>
      <c r="Z79" s="862"/>
      <c r="AA79" s="862"/>
      <c r="AB79" s="862"/>
      <c r="AC79" s="1604"/>
      <c r="AD79" s="1604"/>
      <c r="AE79" s="1604"/>
      <c r="AF79" s="1604"/>
      <c r="AG79" s="1604"/>
      <c r="AH79" s="1604"/>
      <c r="AI79" s="1604"/>
      <c r="AJ79" s="1604"/>
      <c r="AK79" s="1604"/>
      <c r="AL79" s="1604"/>
      <c r="AM79" s="1604"/>
      <c r="AN79" s="1604"/>
      <c r="AO79" s="1604"/>
      <c r="AP79" s="1604"/>
      <c r="AQ79" s="1604"/>
      <c r="AR79" s="1604"/>
      <c r="AS79" s="1470"/>
      <c r="AT79" s="1470"/>
      <c r="AU79" s="1470"/>
      <c r="AV79" s="1470"/>
      <c r="AW79" s="1470"/>
      <c r="AX79" s="1470"/>
      <c r="AY79" s="1470"/>
      <c r="AZ79" s="862"/>
      <c r="BA79" s="862"/>
      <c r="BB79" s="862"/>
      <c r="BC79" s="906"/>
      <c r="BD79" s="906"/>
      <c r="BE79" s="906"/>
      <c r="BF79" s="906"/>
      <c r="BG79" s="862"/>
      <c r="BH79" s="1201">
        <f>BH77</f>
        <v>3.819087798330778E-2</v>
      </c>
      <c r="BI79" s="1201">
        <f>BI77</f>
        <v>-5.7423262892489668E-2</v>
      </c>
      <c r="BJ79" s="1201">
        <f>BJ77</f>
        <v>3.8999737373978993E-2</v>
      </c>
      <c r="BK79" s="1201">
        <f>BK77</f>
        <v>4.9602051910579315E-2</v>
      </c>
      <c r="BL79" s="1201"/>
      <c r="BM79" s="1201">
        <f>BM77</f>
        <v>-6.7934225992949404E-3</v>
      </c>
      <c r="BN79" s="1201">
        <f>BN77</f>
        <v>0.10170588715622664</v>
      </c>
      <c r="BO79" s="1201">
        <f>BO77</f>
        <v>2.9262367527273181E-2</v>
      </c>
      <c r="BP79" s="2077">
        <f>BP77</f>
        <v>2.1137392242067454E-2</v>
      </c>
      <c r="BQ79" s="862"/>
      <c r="BR79" s="2077">
        <f>BR77</f>
        <v>0</v>
      </c>
      <c r="BS79" s="2077">
        <f t="shared" ref="BS79:BZ79" si="111">BS77</f>
        <v>0</v>
      </c>
      <c r="BT79" s="2077">
        <f t="shared" si="111"/>
        <v>0</v>
      </c>
      <c r="BU79" s="2077">
        <f t="shared" si="111"/>
        <v>0</v>
      </c>
      <c r="BV79" s="1560"/>
      <c r="BW79" s="2077">
        <f t="shared" si="111"/>
        <v>0</v>
      </c>
      <c r="BX79" s="2077">
        <f t="shared" si="111"/>
        <v>0</v>
      </c>
      <c r="BY79" s="2077">
        <f t="shared" si="111"/>
        <v>0</v>
      </c>
      <c r="BZ79" s="2077">
        <f t="shared" si="111"/>
        <v>0</v>
      </c>
      <c r="CA79" s="862"/>
      <c r="CB79" s="877"/>
      <c r="CC79" s="862"/>
      <c r="CD79" s="862"/>
      <c r="CE79" s="862"/>
      <c r="CF79" s="862"/>
      <c r="CG79" s="862"/>
      <c r="CH79" s="862"/>
      <c r="CI79" s="862"/>
      <c r="CJ79" s="862"/>
      <c r="CK79" s="862"/>
      <c r="CL79" s="862"/>
    </row>
    <row r="80" spans="1:90" ht="13.5" collapsed="1" thickBot="1">
      <c r="A80" s="862"/>
      <c r="B80" s="2867"/>
      <c r="C80" s="1092"/>
      <c r="D80" s="1201"/>
      <c r="E80" s="1201"/>
      <c r="F80" s="1201"/>
      <c r="G80" s="1201"/>
      <c r="H80" s="1201"/>
      <c r="I80" s="1201"/>
      <c r="J80" s="1201"/>
      <c r="K80" s="2955"/>
      <c r="L80" s="2955"/>
      <c r="M80" s="2955"/>
      <c r="N80" s="2955"/>
      <c r="O80" s="2955"/>
      <c r="P80" s="2955"/>
      <c r="Q80" s="2955"/>
      <c r="R80" s="2955"/>
      <c r="S80" s="2955"/>
      <c r="T80" s="2955"/>
      <c r="U80" s="2955"/>
      <c r="V80" s="2946"/>
      <c r="W80" s="862"/>
      <c r="X80" s="862"/>
      <c r="Y80" s="862"/>
      <c r="Z80" s="862"/>
      <c r="AA80" s="862"/>
      <c r="AB80" s="862"/>
      <c r="AC80" s="1604"/>
      <c r="AD80" s="902"/>
      <c r="AE80" s="902"/>
      <c r="AF80" s="902"/>
      <c r="AG80" s="902"/>
      <c r="AH80" s="902"/>
      <c r="AI80" s="902"/>
      <c r="AJ80" s="902"/>
      <c r="AK80" s="902"/>
      <c r="AL80" s="902"/>
      <c r="AM80" s="902"/>
      <c r="AN80" s="902"/>
      <c r="AO80" s="902"/>
      <c r="AP80" s="902"/>
      <c r="AQ80" s="902"/>
      <c r="AR80" s="902"/>
      <c r="AS80" s="862"/>
      <c r="AT80" s="862"/>
      <c r="AU80" s="862"/>
      <c r="AV80" s="862"/>
      <c r="AW80" s="862"/>
      <c r="AX80" s="862"/>
      <c r="AY80" s="862"/>
      <c r="AZ80" s="862"/>
      <c r="BG80" s="862"/>
      <c r="BH80" s="1201"/>
      <c r="BI80" s="1201"/>
      <c r="BJ80" s="1201"/>
      <c r="BK80" s="1201"/>
      <c r="BL80" s="1201"/>
      <c r="BM80" s="1201"/>
      <c r="BN80" s="1609"/>
      <c r="BO80" s="1609"/>
      <c r="BP80" s="2023"/>
      <c r="BQ80" s="2023"/>
      <c r="BR80" s="2023"/>
      <c r="BS80" s="2023"/>
      <c r="BT80" s="2023"/>
      <c r="BU80" s="2023"/>
      <c r="BV80" s="2023"/>
      <c r="BW80" s="2023"/>
      <c r="BX80" s="2023"/>
      <c r="BY80" s="2023"/>
      <c r="BZ80" s="2023"/>
      <c r="CA80" s="2023"/>
      <c r="CB80" s="2023"/>
      <c r="CC80" s="862"/>
      <c r="CD80" s="862"/>
      <c r="CE80" s="862"/>
      <c r="CF80" s="862"/>
      <c r="CG80" s="862"/>
      <c r="CH80" s="862"/>
      <c r="CI80" s="862"/>
      <c r="CJ80" s="862"/>
      <c r="CK80" s="862"/>
      <c r="CL80" s="862"/>
    </row>
    <row r="81" spans="1:90" ht="13.5" thickBot="1">
      <c r="A81" s="862"/>
      <c r="B81" s="2533">
        <f>Multiples!Z9</f>
        <v>1</v>
      </c>
      <c r="C81" s="862"/>
      <c r="D81" s="862"/>
      <c r="E81" s="862"/>
      <c r="F81" s="862"/>
      <c r="G81" s="862"/>
      <c r="H81" s="862"/>
      <c r="I81" s="862"/>
      <c r="J81" s="862"/>
      <c r="K81" s="2867"/>
      <c r="L81" s="2867"/>
      <c r="M81" s="2867"/>
      <c r="N81" s="2867"/>
      <c r="O81" s="2867"/>
      <c r="P81" s="2867"/>
      <c r="Q81" s="2867"/>
      <c r="R81" s="2867"/>
      <c r="S81" s="2867"/>
      <c r="T81" s="2867"/>
      <c r="U81" s="2867"/>
      <c r="V81" s="2867"/>
      <c r="W81" s="862"/>
      <c r="X81" s="862"/>
      <c r="Y81" s="862"/>
      <c r="Z81" s="862"/>
      <c r="AA81" s="862"/>
      <c r="AB81" s="862"/>
      <c r="AC81" s="862"/>
      <c r="AD81" s="862"/>
      <c r="AE81" s="862"/>
      <c r="AF81" s="862"/>
      <c r="AG81" s="862"/>
      <c r="AH81" s="862"/>
      <c r="AI81" s="862"/>
      <c r="AJ81" s="862"/>
      <c r="AK81" s="862"/>
      <c r="AL81" s="862"/>
      <c r="AM81" s="862"/>
      <c r="AN81" s="862"/>
      <c r="AO81" s="902"/>
      <c r="AP81" s="902"/>
      <c r="AQ81" s="902"/>
      <c r="AR81" s="902"/>
      <c r="AS81" s="897"/>
      <c r="AT81" s="897"/>
      <c r="AU81" s="897"/>
      <c r="AV81" s="897"/>
      <c r="AW81" s="897"/>
      <c r="AX81" s="897"/>
      <c r="AY81" s="897"/>
      <c r="AZ81" s="897"/>
      <c r="CC81" s="862"/>
      <c r="CD81" s="862"/>
      <c r="CE81" s="862"/>
      <c r="CF81" s="862"/>
      <c r="CG81" s="862"/>
      <c r="CH81" s="862"/>
      <c r="CI81" s="862"/>
      <c r="CJ81" s="862"/>
      <c r="CK81" s="862"/>
      <c r="CL81" s="862"/>
    </row>
    <row r="82" spans="1:90">
      <c r="A82" s="906"/>
      <c r="B82" s="36" t="s">
        <v>1398</v>
      </c>
      <c r="C82" s="1174"/>
      <c r="D82" s="1174"/>
      <c r="E82" s="1174"/>
      <c r="F82" s="1174"/>
      <c r="G82" s="1175">
        <f>Retrans!D23</f>
        <v>280.8</v>
      </c>
      <c r="H82" s="1175">
        <f>Retrans!E23</f>
        <v>391.06799999999998</v>
      </c>
      <c r="I82" s="1175">
        <f>Retrans!F23</f>
        <v>543.60599999999999</v>
      </c>
      <c r="J82" s="1175">
        <f>Retrans!G23</f>
        <v>762.15293488714883</v>
      </c>
      <c r="K82" s="2223">
        <f>Retrans!H23</f>
        <v>1032.3591258303029</v>
      </c>
      <c r="L82" s="2223">
        <f>Retrans!I23</f>
        <v>1304.2070001350303</v>
      </c>
      <c r="M82" s="3537">
        <f>Retrans!J23</f>
        <v>1591.0078399203114</v>
      </c>
      <c r="N82" s="3537">
        <f>Retrans!K23</f>
        <v>1851.1553187948134</v>
      </c>
      <c r="O82" s="3537">
        <f>Retrans!L23</f>
        <v>2264.6577605236066</v>
      </c>
      <c r="P82" s="3537">
        <f>Retrans!M23</f>
        <v>2560.2226208073807</v>
      </c>
      <c r="Q82" s="3537">
        <f>Retrans!N23</f>
        <v>2696.6174078157292</v>
      </c>
      <c r="R82" s="1175">
        <f>Retrans!O23</f>
        <v>2818.8440628370654</v>
      </c>
      <c r="S82" s="2223">
        <f>Retrans!P23</f>
        <v>2922.7415007523205</v>
      </c>
      <c r="T82" s="2223">
        <f>Retrans!Q23</f>
        <v>3017.5296160657999</v>
      </c>
      <c r="U82" s="2223">
        <f>Retrans!R23</f>
        <v>3120.6129367915855</v>
      </c>
      <c r="V82" s="2223">
        <f>Retrans!S23</f>
        <v>3227.9716672114932</v>
      </c>
      <c r="W82" s="2223">
        <f>Retrans!T23</f>
        <v>3323.3836692406139</v>
      </c>
      <c r="X82" s="862"/>
      <c r="Y82" s="862"/>
      <c r="Z82" s="862"/>
      <c r="AA82" s="862"/>
      <c r="AB82" s="862"/>
      <c r="AC82" s="1035"/>
      <c r="AD82" s="1035"/>
      <c r="AE82" s="1035"/>
      <c r="AF82" s="1035"/>
      <c r="AG82" s="1035"/>
      <c r="AH82" s="1035"/>
      <c r="AI82" s="1035"/>
      <c r="AJ82" s="1035"/>
      <c r="AK82" s="1035"/>
      <c r="AL82" s="1035"/>
      <c r="AM82" s="1035"/>
      <c r="AN82" s="1174"/>
      <c r="AO82" s="1174"/>
      <c r="AP82" s="1174"/>
      <c r="AQ82" s="1174"/>
      <c r="AR82" s="1035"/>
      <c r="AS82" s="1174"/>
      <c r="AT82" s="1174"/>
      <c r="AU82" s="1174"/>
      <c r="AV82" s="1174"/>
      <c r="AW82" s="906"/>
      <c r="AX82" s="906"/>
      <c r="AY82" s="906"/>
      <c r="AZ82" s="906"/>
      <c r="CB82" s="2807"/>
      <c r="CC82" s="2867"/>
      <c r="CD82" s="2867"/>
      <c r="CE82" s="2867"/>
      <c r="CF82" s="2867"/>
      <c r="CG82" s="906"/>
      <c r="CH82" s="906"/>
      <c r="CI82" s="906"/>
      <c r="CJ82" s="906"/>
      <c r="CK82" s="906"/>
      <c r="CL82" s="906"/>
    </row>
    <row r="83" spans="1:90">
      <c r="A83" s="906"/>
      <c r="B83" s="906"/>
      <c r="C83" s="1174"/>
      <c r="D83" s="1174"/>
      <c r="E83" s="1174"/>
      <c r="F83" s="1174"/>
      <c r="G83" s="2066">
        <f>Retrans!D24</f>
        <v>0.42257890199942127</v>
      </c>
      <c r="H83" s="2066">
        <f t="shared" ref="H83:W83" si="112">H82/G82-1</f>
        <v>0.39269230769230767</v>
      </c>
      <c r="I83" s="2066">
        <f t="shared" si="112"/>
        <v>0.3900549265089448</v>
      </c>
      <c r="J83" s="2066">
        <f t="shared" si="112"/>
        <v>0.40203186662242296</v>
      </c>
      <c r="K83" s="1364">
        <f t="shared" si="112"/>
        <v>0.35453014555820506</v>
      </c>
      <c r="L83" s="1364">
        <f t="shared" si="112"/>
        <v>0.26332684770533343</v>
      </c>
      <c r="M83" s="1364">
        <f t="shared" si="112"/>
        <v>0.21990438615617558</v>
      </c>
      <c r="N83" s="1364">
        <f t="shared" si="112"/>
        <v>0.16351112316802419</v>
      </c>
      <c r="O83" s="1364">
        <f t="shared" si="112"/>
        <v>0.22337533621868211</v>
      </c>
      <c r="P83" s="1364">
        <f t="shared" si="112"/>
        <v>0.13051193228218172</v>
      </c>
      <c r="Q83" s="2066">
        <f t="shared" si="112"/>
        <v>5.3274580850838582E-2</v>
      </c>
      <c r="R83" s="2066">
        <f t="shared" si="112"/>
        <v>4.5325916337661143E-2</v>
      </c>
      <c r="S83" s="1364">
        <f t="shared" si="112"/>
        <v>3.6858171505480986E-2</v>
      </c>
      <c r="T83" s="1364">
        <f t="shared" si="112"/>
        <v>3.2431234609383353E-2</v>
      </c>
      <c r="U83" s="1364">
        <f t="shared" si="112"/>
        <v>3.4161494282261229E-2</v>
      </c>
      <c r="V83" s="1364">
        <f t="shared" si="112"/>
        <v>3.4403090865311681E-2</v>
      </c>
      <c r="W83" s="1364">
        <f t="shared" si="112"/>
        <v>2.9557880881756038E-2</v>
      </c>
      <c r="X83" s="862"/>
      <c r="Y83" s="862"/>
      <c r="Z83" s="862"/>
      <c r="AA83" s="862"/>
      <c r="AB83" s="862"/>
      <c r="AC83" s="1035"/>
      <c r="AD83" s="1035"/>
      <c r="AE83" s="1035"/>
      <c r="AF83" s="1035"/>
      <c r="AG83" s="1035"/>
      <c r="AH83" s="1035"/>
      <c r="AI83" s="1035"/>
      <c r="AJ83" s="1035"/>
      <c r="AK83" s="1035"/>
      <c r="AL83" s="1035"/>
      <c r="AM83" s="1035"/>
      <c r="AN83" s="1174"/>
      <c r="AO83" s="1174"/>
      <c r="AP83" s="1174"/>
      <c r="AQ83" s="1174"/>
      <c r="AR83" s="1035"/>
      <c r="AS83" s="1174"/>
      <c r="AT83" s="1174"/>
      <c r="AU83" s="1174"/>
      <c r="AV83" s="1174"/>
      <c r="AW83" s="906"/>
      <c r="AX83" s="906"/>
      <c r="AY83" s="906"/>
      <c r="AZ83" s="906"/>
      <c r="BA83" s="906"/>
      <c r="CB83" s="2807"/>
      <c r="CC83" s="2807"/>
      <c r="CD83" s="2807"/>
      <c r="CE83" s="2807"/>
      <c r="CF83" s="2807"/>
      <c r="CJ83" s="906"/>
      <c r="CK83" s="906"/>
      <c r="CL83" s="906"/>
    </row>
    <row r="84" spans="1:90">
      <c r="A84" s="906"/>
      <c r="B84" s="906"/>
      <c r="C84" s="1174"/>
      <c r="D84" s="1174"/>
      <c r="E84" s="1174"/>
      <c r="F84" s="1174"/>
      <c r="G84" s="1175"/>
      <c r="H84" s="1316"/>
      <c r="I84" s="1316"/>
      <c r="J84" s="1316"/>
      <c r="K84" s="2229"/>
      <c r="L84" s="2229"/>
      <c r="M84" s="2229"/>
      <c r="N84" s="2229"/>
      <c r="O84" s="2229"/>
      <c r="P84" s="2229"/>
      <c r="Q84" s="2229"/>
      <c r="R84" s="2229"/>
      <c r="S84" s="2229"/>
      <c r="T84" s="2229"/>
      <c r="U84" s="2229"/>
      <c r="V84" s="2229"/>
      <c r="W84" s="2229"/>
      <c r="X84" s="862"/>
      <c r="Y84" s="862"/>
      <c r="Z84" s="862"/>
      <c r="AA84" s="862"/>
      <c r="AB84" s="862"/>
      <c r="AC84" s="1035"/>
      <c r="AD84" s="1035"/>
      <c r="AE84" s="1035"/>
      <c r="AF84" s="1035"/>
      <c r="AG84" s="1035"/>
      <c r="AH84" s="1035"/>
      <c r="AI84" s="1035"/>
      <c r="AJ84" s="1035"/>
      <c r="AK84" s="1035"/>
      <c r="AL84" s="1035"/>
      <c r="AM84" s="1035"/>
      <c r="AN84" s="1174"/>
      <c r="AO84" s="1174"/>
      <c r="AP84" s="1174"/>
      <c r="AQ84" s="1174"/>
      <c r="AR84" s="1035"/>
      <c r="AS84" s="1174"/>
      <c r="AT84" s="1174"/>
      <c r="AU84" s="1174"/>
      <c r="AV84" s="1174"/>
      <c r="AW84" s="906"/>
      <c r="AX84" s="906"/>
      <c r="AY84" s="906"/>
      <c r="AZ84" s="906"/>
      <c r="BA84" s="906"/>
      <c r="CB84" s="2807"/>
      <c r="CC84" s="2867"/>
      <c r="CD84" s="2867"/>
      <c r="CE84" s="2867"/>
      <c r="CF84" s="2867"/>
      <c r="CG84" s="906"/>
      <c r="CH84" s="906"/>
      <c r="CI84" s="906"/>
      <c r="CJ84" s="906"/>
      <c r="CK84" s="906"/>
      <c r="CL84" s="906"/>
    </row>
    <row r="85" spans="1:90">
      <c r="A85" s="906"/>
      <c r="B85" s="906" t="s">
        <v>1399</v>
      </c>
      <c r="C85" s="1174"/>
      <c r="D85" s="1174"/>
      <c r="E85" s="1174"/>
      <c r="F85" s="1174"/>
      <c r="G85" s="1314">
        <f>+CHOOSE($B$81,G86,G87,G88)</f>
        <v>0.64730659770361754</v>
      </c>
      <c r="H85" s="2224">
        <f t="shared" ref="H85:T85" si="113">+CHOOSE($B$81,H86,H87,H88)</f>
        <v>0.74798144595223315</v>
      </c>
      <c r="I85" s="2224">
        <f t="shared" si="113"/>
        <v>0.88084845920240173</v>
      </c>
      <c r="J85" s="2224">
        <f t="shared" si="113"/>
        <v>0.98971478447799177</v>
      </c>
      <c r="K85" s="2224">
        <f t="shared" si="113"/>
        <v>1.1604093499304449</v>
      </c>
      <c r="L85" s="2224">
        <f t="shared" si="113"/>
        <v>1.3540240443031821</v>
      </c>
      <c r="M85" s="2224">
        <f t="shared" si="113"/>
        <v>1.6229618844845295</v>
      </c>
      <c r="N85" s="2224">
        <f t="shared" si="113"/>
        <v>1.9881283084935488</v>
      </c>
      <c r="O85" s="2224">
        <f t="shared" si="113"/>
        <v>2.783379631890968</v>
      </c>
      <c r="P85" s="2224">
        <f t="shared" si="113"/>
        <v>3.3400555582691616</v>
      </c>
      <c r="Q85" s="2224">
        <f t="shared" si="113"/>
        <v>3.5738594473480032</v>
      </c>
      <c r="R85" s="2224">
        <f t="shared" si="113"/>
        <v>3.7882910141888835</v>
      </c>
      <c r="S85" s="2224">
        <f t="shared" si="113"/>
        <v>3.9777055648983279</v>
      </c>
      <c r="T85" s="2224">
        <f t="shared" si="113"/>
        <v>4.1567023153187526</v>
      </c>
      <c r="U85" s="2224">
        <f>+CHOOSE($B$81,U86,U87,U88)</f>
        <v>4.3437539195080959</v>
      </c>
      <c r="V85" s="2224">
        <f>+CHOOSE($B$81,V86,V87,V88)</f>
        <v>4.53922284588596</v>
      </c>
      <c r="W85" s="2224">
        <f>+CHOOSE($B$81,W86,W87,W88)</f>
        <v>4.7207917597213989</v>
      </c>
      <c r="X85" s="862"/>
      <c r="Y85" s="862"/>
      <c r="Z85" s="862"/>
      <c r="AA85" s="862"/>
      <c r="AB85" s="862"/>
      <c r="AC85" s="1035"/>
      <c r="AD85" s="1035"/>
      <c r="AE85" s="1035"/>
      <c r="AF85" s="1035"/>
      <c r="AG85" s="1035"/>
      <c r="AH85" s="1035"/>
      <c r="AI85" s="1035"/>
      <c r="AJ85" s="1035"/>
      <c r="AK85" s="1035"/>
      <c r="AL85" s="1035"/>
      <c r="AM85" s="1035"/>
      <c r="AN85" s="1174"/>
      <c r="AO85" s="1174"/>
      <c r="AP85" s="1174"/>
      <c r="AQ85" s="1174"/>
      <c r="AR85" s="1035"/>
      <c r="AS85" s="1174"/>
      <c r="AT85" s="1174"/>
      <c r="AU85" s="1174"/>
      <c r="AV85" s="1174"/>
      <c r="AW85" s="906"/>
      <c r="AX85" s="1099">
        <f>+CHOOSE($B$81,AX86,AX87,AX88)</f>
        <v>43</v>
      </c>
      <c r="AY85" s="1099">
        <f>+CHOOSE($B$81,AY86,AY87,AY88)</f>
        <v>43</v>
      </c>
      <c r="AZ85" s="1099">
        <f>+CHOOSE($B$81,AZ86,AZ87,AZ88)</f>
        <v>56</v>
      </c>
      <c r="BA85" s="1099">
        <f>+CHOOSE($B$81,BA86,BA87,BA88)</f>
        <v>66</v>
      </c>
      <c r="BB85" s="906"/>
      <c r="BC85" s="1099">
        <f>+CHOOSE($B$81,BC86,BC87,BC88)</f>
        <v>64.5</v>
      </c>
      <c r="BD85" s="1099">
        <f>+CHOOSE($B$81,BD86,BD87,BD88)</f>
        <v>64.5</v>
      </c>
      <c r="BE85" s="1099">
        <f>+CHOOSE($B$81,BE86,BE87,BE88)</f>
        <v>75.600000000000009</v>
      </c>
      <c r="BF85" s="1099">
        <f>+CHOOSE($B$81,BF86,BF87,BF88)</f>
        <v>83.820000000000007</v>
      </c>
      <c r="BG85" s="1470"/>
      <c r="BH85" s="2032">
        <f>+CHOOSE($B$81,BH86,BH87,BH88)</f>
        <v>83.850000000000009</v>
      </c>
      <c r="BI85" s="2032">
        <f>+CHOOSE($B$81,BI86,BI87,BI88)</f>
        <v>83.850000000000009</v>
      </c>
      <c r="BJ85" s="2032">
        <f>+CHOOSE($B$81,BJ86,BJ87,BJ88)</f>
        <v>92.232000000000014</v>
      </c>
      <c r="BK85" s="2032">
        <f>+CHOOSE($B$81,BK86,BK87,BK88)</f>
        <v>98.907600000000002</v>
      </c>
      <c r="BL85" s="1470"/>
      <c r="BM85" s="2052">
        <f>+CHOOSE($B$81,BM86,BM87,BM88)</f>
        <v>98.039215686274503</v>
      </c>
      <c r="BN85" s="2052">
        <f>+CHOOSE($B$81,BN86,BN87,BN88)</f>
        <v>99.90205680705192</v>
      </c>
      <c r="BO85" s="2052">
        <f>+CHOOSE($B$81,BO86,BO87,BO88)</f>
        <v>108.1081081081081</v>
      </c>
      <c r="BP85" s="2052">
        <f>+CHOOSE($B$81,BP86,BP87,BP88)</f>
        <v>114.28571428571428</v>
      </c>
      <c r="BQ85" s="862"/>
      <c r="BR85" s="2959">
        <f>+CHOOSE($B$81,BR86,BR87,BR88)</f>
        <v>121.2121212121212</v>
      </c>
      <c r="BS85" s="2959">
        <f>+CHOOSE($B$81,BS86,BS87,BS88)</f>
        <v>119.31818181818181</v>
      </c>
      <c r="BT85" s="2959">
        <f>+CHOOSE($B$81,BT86,BT87,BT88)</f>
        <v>120</v>
      </c>
      <c r="BU85" s="2959">
        <f>+CHOOSE($B$81,BU86,BU87,BU88)</f>
        <v>123.99999999999999</v>
      </c>
      <c r="BW85" s="2959">
        <f>+CHOOSE($B$81,BW86,BW87,BW88)</f>
        <v>135.75757575757575</v>
      </c>
      <c r="BX85" s="2959">
        <f>+CHOOSE($B$81,BX86,BX87,BX88)</f>
        <v>134.23295454545453</v>
      </c>
      <c r="BY85" s="2959">
        <f>+CHOOSE($B$81,BY86,BY87,BY88)</f>
        <v>134.4</v>
      </c>
      <c r="BZ85" s="2959">
        <f>+CHOOSE($B$81,BZ86,BZ87,BZ88)</f>
        <v>138.88</v>
      </c>
      <c r="CA85" s="2867"/>
      <c r="CB85" s="2959">
        <f t="shared" ref="CB85:CE85" si="114">+CHOOSE($B$81,CB86,CB87,CB88)</f>
        <v>155.44242424242424</v>
      </c>
      <c r="CC85" s="2959">
        <f t="shared" si="114"/>
        <v>155.71022727272725</v>
      </c>
      <c r="CD85" s="2959">
        <f t="shared" si="114"/>
        <v>156.57600000000002</v>
      </c>
      <c r="CE85" s="2959">
        <f t="shared" si="114"/>
        <v>161.79519999999999</v>
      </c>
      <c r="CF85" s="2867"/>
      <c r="CG85" s="906"/>
      <c r="CH85" s="906"/>
      <c r="CI85" s="906"/>
      <c r="CJ85" s="906"/>
      <c r="CK85" s="906"/>
      <c r="CL85" s="906"/>
    </row>
    <row r="86" spans="1:90">
      <c r="A86" s="906"/>
      <c r="B86" s="906"/>
      <c r="C86" s="1174"/>
      <c r="D86" s="1174"/>
      <c r="E86" s="1174"/>
      <c r="F86" s="1174"/>
      <c r="G86" s="1416">
        <f>SUM(AX86:BA86)/Retrans!D6/12</f>
        <v>0.64730659770361754</v>
      </c>
      <c r="H86" s="2225">
        <f>SUM(BC86:BF86)/Retrans!E6/12</f>
        <v>0.74798144595223315</v>
      </c>
      <c r="I86" s="2225">
        <f>SUM(BH86:BK86)/Retrans!$F$6/12</f>
        <v>0.88084845920240173</v>
      </c>
      <c r="J86" s="2225">
        <f>SUM(BM86:BP86)/Retrans!$G$6/12</f>
        <v>0.98971478447799177</v>
      </c>
      <c r="K86" s="2225">
        <f>SUM(BR86:BU86)/Retrans!$H$6/12</f>
        <v>1.1604093499304449</v>
      </c>
      <c r="L86" s="2225">
        <f>SUM(BW86:BZ86)/Retrans!$I$6/12</f>
        <v>1.3540240443031821</v>
      </c>
      <c r="M86" s="2225">
        <f>SUM(CB86:CE86)/Retrans!$J$6/12</f>
        <v>1.6229618844845295</v>
      </c>
      <c r="N86" s="2226">
        <f>M86*1.225</f>
        <v>1.9881283084935488</v>
      </c>
      <c r="O86" s="2226">
        <f>N86*1.4</f>
        <v>2.783379631890968</v>
      </c>
      <c r="P86" s="2226">
        <f>O86*1.2</f>
        <v>3.3400555582691616</v>
      </c>
      <c r="Q86" s="2226">
        <f>P86*1.07</f>
        <v>3.5738594473480032</v>
      </c>
      <c r="R86" s="2226">
        <f>Q86*1.06</f>
        <v>3.7882910141888835</v>
      </c>
      <c r="S86" s="2226">
        <f>R86*1.05</f>
        <v>3.9777055648983279</v>
      </c>
      <c r="T86" s="2226">
        <f>S86*1.045</f>
        <v>4.1567023153187526</v>
      </c>
      <c r="U86" s="2226">
        <f>T86*1.045</f>
        <v>4.3437539195080959</v>
      </c>
      <c r="V86" s="2226">
        <f>U86*1.045</f>
        <v>4.53922284588596</v>
      </c>
      <c r="W86" s="2226">
        <f>V86*1.04</f>
        <v>4.7207917597213989</v>
      </c>
      <c r="X86" s="862"/>
      <c r="Y86" s="862"/>
      <c r="Z86" s="862"/>
      <c r="AA86" s="862"/>
      <c r="AB86" s="862"/>
      <c r="AC86" s="1035"/>
      <c r="AD86" s="1035"/>
      <c r="AE86" s="1035"/>
      <c r="AF86" s="1035"/>
      <c r="AG86" s="1035"/>
      <c r="AH86" s="1035"/>
      <c r="AI86" s="1035"/>
      <c r="AJ86" s="1035"/>
      <c r="AK86" s="1035"/>
      <c r="AL86" s="1035"/>
      <c r="AM86" s="1035"/>
      <c r="AN86" s="1174"/>
      <c r="AO86" s="1174"/>
      <c r="AP86" s="1174"/>
      <c r="AQ86" s="1174"/>
      <c r="AR86" s="1035"/>
      <c r="AS86" s="1174"/>
      <c r="AT86" s="1174"/>
      <c r="AU86" s="1174"/>
      <c r="AV86" s="1174"/>
      <c r="AW86" s="906"/>
      <c r="AX86" s="2053">
        <v>43</v>
      </c>
      <c r="AY86" s="2053">
        <v>43</v>
      </c>
      <c r="AZ86" s="2053">
        <v>56</v>
      </c>
      <c r="BA86" s="2053">
        <v>66</v>
      </c>
      <c r="BB86" s="906"/>
      <c r="BC86" s="2053">
        <f>AX86*1.5</f>
        <v>64.5</v>
      </c>
      <c r="BD86" s="2053">
        <f>AY86*1.5</f>
        <v>64.5</v>
      </c>
      <c r="BE86" s="2053">
        <f>AZ86*1.35</f>
        <v>75.600000000000009</v>
      </c>
      <c r="BF86" s="2053">
        <f>BA86*1.27</f>
        <v>83.820000000000007</v>
      </c>
      <c r="BH86" s="2053">
        <f>BC86*1.3</f>
        <v>83.850000000000009</v>
      </c>
      <c r="BI86" s="2053">
        <f>BD86*1.3</f>
        <v>83.850000000000009</v>
      </c>
      <c r="BJ86" s="2053">
        <f>BE86*1.22</f>
        <v>92.232000000000014</v>
      </c>
      <c r="BK86" s="2053">
        <f>BF86*1.18</f>
        <v>98.907600000000002</v>
      </c>
      <c r="BM86" s="2053">
        <f>50/Drivers!CP284</f>
        <v>98.039215686274503</v>
      </c>
      <c r="BN86" s="2053">
        <f>51/Drivers!CQ284</f>
        <v>99.90205680705192</v>
      </c>
      <c r="BO86" s="2053">
        <f>56/Drivers!CR284</f>
        <v>108.1081081081081</v>
      </c>
      <c r="BP86" s="2053">
        <f>60/Drivers!CS284</f>
        <v>114.28571428571428</v>
      </c>
      <c r="BQ86" s="2053"/>
      <c r="BR86" s="2960">
        <f>64/Drivers!CU284</f>
        <v>121.2121212121212</v>
      </c>
      <c r="BS86" s="2960">
        <f>63/Drivers!CV284</f>
        <v>119.31818181818181</v>
      </c>
      <c r="BT86" s="2960">
        <f>BO86*1.11</f>
        <v>120</v>
      </c>
      <c r="BU86" s="2960">
        <f>BP86*1.085</f>
        <v>123.99999999999999</v>
      </c>
      <c r="BW86" s="2960">
        <f>BR86*1.12</f>
        <v>135.75757575757575</v>
      </c>
      <c r="BX86" s="2960">
        <f>BS86*1.125</f>
        <v>134.23295454545453</v>
      </c>
      <c r="BY86" s="2960">
        <f>BT86*1.12</f>
        <v>134.4</v>
      </c>
      <c r="BZ86" s="2960">
        <f>BU86*1.12</f>
        <v>138.88</v>
      </c>
      <c r="CA86" s="2867"/>
      <c r="CB86" s="2960">
        <f>BW86*1.145</f>
        <v>155.44242424242424</v>
      </c>
      <c r="CC86" s="2960">
        <f>BX86*1.16</f>
        <v>155.71022727272725</v>
      </c>
      <c r="CD86" s="2960">
        <f>BY86*1.165</f>
        <v>156.57600000000002</v>
      </c>
      <c r="CE86" s="2960">
        <f>BZ86*1.165</f>
        <v>161.79519999999999</v>
      </c>
      <c r="CF86" s="2867"/>
      <c r="CG86" s="906"/>
      <c r="CH86" s="906"/>
      <c r="CI86" s="906"/>
      <c r="CJ86" s="906"/>
      <c r="CK86" s="906"/>
      <c r="CL86" s="906"/>
    </row>
    <row r="87" spans="1:90">
      <c r="A87" s="906"/>
      <c r="B87" s="906"/>
      <c r="C87" s="1174"/>
      <c r="D87" s="1174"/>
      <c r="E87" s="1174"/>
      <c r="F87" s="1174"/>
      <c r="G87" s="1317">
        <f>G86</f>
        <v>0.64730659770361754</v>
      </c>
      <c r="H87" s="2227">
        <f>H86</f>
        <v>0.74798144595223315</v>
      </c>
      <c r="I87" s="2227">
        <f>I86</f>
        <v>0.88084845920240173</v>
      </c>
      <c r="J87" s="2227">
        <f>J86</f>
        <v>0.98971478447799177</v>
      </c>
      <c r="K87" s="2227">
        <f>K86</f>
        <v>1.1604093499304449</v>
      </c>
      <c r="L87" s="2225">
        <f>SUM(BW87:BZ87)/Retrans!$I$6/12</f>
        <v>1.3644082000110911</v>
      </c>
      <c r="M87" s="2225">
        <f>SUM(CB87:CE87)/Retrans!$J$6/12</f>
        <v>1.7041099787087564</v>
      </c>
      <c r="N87" s="2019">
        <f>+N86*1.065</f>
        <v>2.1173566485456292</v>
      </c>
      <c r="O87" s="2019">
        <f>+O86*1.11</f>
        <v>3.0895513913989747</v>
      </c>
      <c r="P87" s="2019">
        <f t="shared" ref="P87:V87" si="115">+P86*1.1</f>
        <v>3.6740611140960779</v>
      </c>
      <c r="Q87" s="2019">
        <f t="shared" si="115"/>
        <v>3.9312453920828037</v>
      </c>
      <c r="R87" s="2019">
        <f t="shared" si="115"/>
        <v>4.167120115607772</v>
      </c>
      <c r="S87" s="2019">
        <f t="shared" si="115"/>
        <v>4.3754761213881608</v>
      </c>
      <c r="T87" s="2019">
        <f t="shared" si="115"/>
        <v>4.5723725468506284</v>
      </c>
      <c r="U87" s="2019">
        <f t="shared" si="115"/>
        <v>4.7781293114589056</v>
      </c>
      <c r="V87" s="2019">
        <f t="shared" si="115"/>
        <v>4.9931451304745567</v>
      </c>
      <c r="W87" s="2019">
        <f t="shared" ref="W87" si="116">+W86*1.1</f>
        <v>5.1928709356935387</v>
      </c>
      <c r="X87" s="862"/>
      <c r="Y87" s="862"/>
      <c r="Z87" s="862"/>
      <c r="AA87" s="862"/>
      <c r="AB87" s="862"/>
      <c r="AC87" s="1035"/>
      <c r="AD87" s="1035"/>
      <c r="AE87" s="1035"/>
      <c r="AF87" s="1035"/>
      <c r="AG87" s="1035"/>
      <c r="AH87" s="1035"/>
      <c r="AI87" s="1035"/>
      <c r="AJ87" s="1035"/>
      <c r="AK87" s="1035"/>
      <c r="AL87" s="1035"/>
      <c r="AM87" s="1035"/>
      <c r="AN87" s="1174"/>
      <c r="AO87" s="1174"/>
      <c r="AP87" s="1174"/>
      <c r="AQ87" s="1174"/>
      <c r="AR87" s="1035"/>
      <c r="AS87" s="1174"/>
      <c r="AT87" s="1174"/>
      <c r="AU87" s="1174"/>
      <c r="AV87" s="1174"/>
      <c r="AW87" s="906"/>
      <c r="AX87" s="2078">
        <f>AX86</f>
        <v>43</v>
      </c>
      <c r="AY87" s="2078">
        <f>AY86</f>
        <v>43</v>
      </c>
      <c r="AZ87" s="2078">
        <f>AZ86</f>
        <v>56</v>
      </c>
      <c r="BA87" s="2078">
        <f>BA86</f>
        <v>66</v>
      </c>
      <c r="BB87" s="906"/>
      <c r="BC87" s="2078">
        <f>BC86</f>
        <v>64.5</v>
      </c>
      <c r="BD87" s="2078">
        <f>BD86</f>
        <v>64.5</v>
      </c>
      <c r="BE87" s="2078">
        <f>BE86</f>
        <v>75.600000000000009</v>
      </c>
      <c r="BF87" s="2078">
        <f>BF86</f>
        <v>83.820000000000007</v>
      </c>
      <c r="BG87" s="1870"/>
      <c r="BH87" s="2078">
        <f>+BH86</f>
        <v>83.850000000000009</v>
      </c>
      <c r="BI87" s="2078">
        <f>+BI86</f>
        <v>83.850000000000009</v>
      </c>
      <c r="BJ87" s="2078">
        <f>+BJ86</f>
        <v>92.232000000000014</v>
      </c>
      <c r="BK87" s="2078">
        <f>+BK86</f>
        <v>98.907600000000002</v>
      </c>
      <c r="BL87" s="1870"/>
      <c r="BM87" s="2078">
        <f>BM86</f>
        <v>98.039215686274503</v>
      </c>
      <c r="BN87" s="2078">
        <f>BN86</f>
        <v>99.90205680705192</v>
      </c>
      <c r="BO87" s="2078">
        <f>BO86</f>
        <v>108.1081081081081</v>
      </c>
      <c r="BP87" s="2256">
        <f>BP86</f>
        <v>114.28571428571428</v>
      </c>
      <c r="BQ87" s="862"/>
      <c r="BR87" s="2961">
        <f>BR86</f>
        <v>121.2121212121212</v>
      </c>
      <c r="BS87" s="2961">
        <f>BS86</f>
        <v>119.31818181818181</v>
      </c>
      <c r="BT87" s="2961">
        <f>BT86</f>
        <v>120</v>
      </c>
      <c r="BU87" s="2961">
        <f>BU86</f>
        <v>123.99999999999999</v>
      </c>
      <c r="BV87" s="2867"/>
      <c r="BW87" s="2961">
        <f t="shared" ref="BW87:BX87" si="117">BW86</f>
        <v>135.75757575757575</v>
      </c>
      <c r="BX87" s="2961">
        <f t="shared" si="117"/>
        <v>134.23295454545453</v>
      </c>
      <c r="BY87" s="2961">
        <f t="shared" ref="BY87" si="118">BY86</f>
        <v>134.4</v>
      </c>
      <c r="BZ87" s="2962">
        <f>+BZ86*1.03</f>
        <v>143.04640000000001</v>
      </c>
      <c r="CA87" s="2867"/>
      <c r="CB87" s="2962">
        <f>+CB86*1.05</f>
        <v>163.21454545454546</v>
      </c>
      <c r="CC87" s="2962">
        <f t="shared" ref="CC87:CE87" si="119">+CC86*1.05</f>
        <v>163.49573863636363</v>
      </c>
      <c r="CD87" s="2962">
        <f t="shared" si="119"/>
        <v>164.40480000000002</v>
      </c>
      <c r="CE87" s="2962">
        <f t="shared" si="119"/>
        <v>169.88496000000001</v>
      </c>
      <c r="CF87" s="2867"/>
      <c r="CG87" s="906"/>
      <c r="CH87" s="906"/>
      <c r="CI87" s="906"/>
      <c r="CJ87" s="906"/>
      <c r="CK87" s="906"/>
      <c r="CL87" s="906"/>
    </row>
    <row r="88" spans="1:90">
      <c r="A88" s="906"/>
      <c r="B88" s="906"/>
      <c r="C88" s="1174"/>
      <c r="D88" s="1174"/>
      <c r="E88" s="1174"/>
      <c r="F88" s="1174"/>
      <c r="G88" s="1317">
        <f>G86</f>
        <v>0.64730659770361754</v>
      </c>
      <c r="H88" s="2227">
        <f>H86</f>
        <v>0.74798144595223315</v>
      </c>
      <c r="I88" s="2227">
        <f>I86</f>
        <v>0.88084845920240173</v>
      </c>
      <c r="J88" s="2227">
        <f>J86</f>
        <v>0.98971478447799177</v>
      </c>
      <c r="K88" s="2227">
        <f>K86</f>
        <v>1.1604093499304449</v>
      </c>
      <c r="L88" s="2225">
        <f>SUM(BW88:BZ88)/Retrans!$I$6/12</f>
        <v>1.3505626590672126</v>
      </c>
      <c r="M88" s="2225">
        <f>SUM(CB88:CE88)/Retrans!$J$6/12</f>
        <v>1.5742730279499939</v>
      </c>
      <c r="N88" s="2079">
        <f>+N86*0.97</f>
        <v>1.9284844592387422</v>
      </c>
      <c r="O88" s="2079">
        <f t="shared" ref="O88:V88" si="120">+O86*0.97</f>
        <v>2.6998782429342389</v>
      </c>
      <c r="P88" s="2079">
        <f t="shared" si="120"/>
        <v>3.2398538915210868</v>
      </c>
      <c r="Q88" s="2079">
        <f t="shared" si="120"/>
        <v>3.4666436639275631</v>
      </c>
      <c r="R88" s="2079">
        <f t="shared" si="120"/>
        <v>3.6746422837632169</v>
      </c>
      <c r="S88" s="2079">
        <f t="shared" si="120"/>
        <v>3.858374397951378</v>
      </c>
      <c r="T88" s="2079">
        <f t="shared" si="120"/>
        <v>4.0320012458591901</v>
      </c>
      <c r="U88" s="2079">
        <f t="shared" si="120"/>
        <v>4.2134413019228525</v>
      </c>
      <c r="V88" s="2079">
        <f t="shared" si="120"/>
        <v>4.4030461605093807</v>
      </c>
      <c r="W88" s="2079">
        <f t="shared" ref="W88" si="121">+W86*0.97</f>
        <v>4.5791680069297565</v>
      </c>
      <c r="X88" s="862"/>
      <c r="Y88" s="862"/>
      <c r="Z88" s="862"/>
      <c r="AA88" s="862"/>
      <c r="AB88" s="862"/>
      <c r="AC88" s="1035"/>
      <c r="AD88" s="1035"/>
      <c r="AE88" s="1035"/>
      <c r="AF88" s="1035"/>
      <c r="AG88" s="1035"/>
      <c r="AH88" s="1035"/>
      <c r="AI88" s="1035"/>
      <c r="AJ88" s="1035"/>
      <c r="AK88" s="1035"/>
      <c r="AL88" s="1035"/>
      <c r="AM88" s="1035"/>
      <c r="AN88" s="1174"/>
      <c r="AO88" s="1174"/>
      <c r="AP88" s="1174"/>
      <c r="AQ88" s="1174"/>
      <c r="AR88" s="1035"/>
      <c r="AS88" s="1174"/>
      <c r="AT88" s="1174"/>
      <c r="AU88" s="1174"/>
      <c r="AV88" s="1174"/>
      <c r="AW88" s="906"/>
      <c r="AX88" s="2078">
        <f>AX86</f>
        <v>43</v>
      </c>
      <c r="AY88" s="2078">
        <f>AY86</f>
        <v>43</v>
      </c>
      <c r="AZ88" s="2078">
        <f>AZ86</f>
        <v>56</v>
      </c>
      <c r="BA88" s="2078">
        <f>BA86</f>
        <v>66</v>
      </c>
      <c r="BB88" s="906"/>
      <c r="BC88" s="2078">
        <f>BC86</f>
        <v>64.5</v>
      </c>
      <c r="BD88" s="2078">
        <f>BD86</f>
        <v>64.5</v>
      </c>
      <c r="BE88" s="2078">
        <f>BE86</f>
        <v>75.600000000000009</v>
      </c>
      <c r="BF88" s="2078">
        <f>BF86</f>
        <v>83.820000000000007</v>
      </c>
      <c r="BG88" s="1870"/>
      <c r="BH88" s="2078">
        <f>+BH86</f>
        <v>83.850000000000009</v>
      </c>
      <c r="BI88" s="2078">
        <f>+BI86</f>
        <v>83.850000000000009</v>
      </c>
      <c r="BJ88" s="2078">
        <f>+BJ86</f>
        <v>92.232000000000014</v>
      </c>
      <c r="BK88" s="2078">
        <f>+BK86</f>
        <v>98.907600000000002</v>
      </c>
      <c r="BL88" s="1870"/>
      <c r="BM88" s="2078">
        <f>BM86</f>
        <v>98.039215686274503</v>
      </c>
      <c r="BN88" s="2078">
        <f>BN86</f>
        <v>99.90205680705192</v>
      </c>
      <c r="BO88" s="2078">
        <f>BO86</f>
        <v>108.1081081081081</v>
      </c>
      <c r="BP88" s="2256">
        <f>BP86</f>
        <v>114.28571428571428</v>
      </c>
      <c r="BQ88" s="862"/>
      <c r="BR88" s="2961">
        <f>BR86</f>
        <v>121.2121212121212</v>
      </c>
      <c r="BS88" s="2961">
        <f>BS86</f>
        <v>119.31818181818181</v>
      </c>
      <c r="BT88" s="2961">
        <f>BT86</f>
        <v>120</v>
      </c>
      <c r="BU88" s="2961">
        <f>BU86</f>
        <v>123.99999999999999</v>
      </c>
      <c r="BV88" s="2867"/>
      <c r="BW88" s="2961">
        <f t="shared" ref="BW88:BX88" si="122">BW86</f>
        <v>135.75757575757575</v>
      </c>
      <c r="BX88" s="2961">
        <f t="shared" si="122"/>
        <v>134.23295454545453</v>
      </c>
      <c r="BY88" s="2961">
        <f t="shared" ref="BY88" si="123">BY86</f>
        <v>134.4</v>
      </c>
      <c r="BZ88" s="2962">
        <f>+BZ86*0.99</f>
        <v>137.49119999999999</v>
      </c>
      <c r="CA88" s="2867"/>
      <c r="CB88" s="2962">
        <f>+CB86*0.97</f>
        <v>150.77915151515151</v>
      </c>
      <c r="CC88" s="2962">
        <f t="shared" ref="CC88:CE88" si="124">+CC86*0.97</f>
        <v>151.03892045454543</v>
      </c>
      <c r="CD88" s="2962">
        <f t="shared" si="124"/>
        <v>151.87872000000002</v>
      </c>
      <c r="CE88" s="2962">
        <f t="shared" si="124"/>
        <v>156.94134399999999</v>
      </c>
      <c r="CF88" s="2867"/>
      <c r="CG88" s="906"/>
      <c r="CH88" s="906"/>
      <c r="CI88" s="906"/>
      <c r="CJ88" s="906"/>
      <c r="CK88" s="906"/>
      <c r="CL88" s="906"/>
    </row>
    <row r="89" spans="1:90">
      <c r="A89" s="906"/>
      <c r="B89" s="906"/>
      <c r="C89" s="1174"/>
      <c r="D89" s="1174"/>
      <c r="E89" s="1174"/>
      <c r="F89" s="1174"/>
      <c r="G89" s="1317"/>
      <c r="H89" s="1364">
        <f>H85/G85-1</f>
        <v>0.15552884615384621</v>
      </c>
      <c r="I89" s="1364">
        <f t="shared" ref="I89:W89" si="125">I85/H85-1</f>
        <v>0.17763410305053684</v>
      </c>
      <c r="J89" s="1364">
        <f t="shared" si="125"/>
        <v>0.12359257047933903</v>
      </c>
      <c r="K89" s="1364">
        <f t="shared" si="125"/>
        <v>0.17246844053409083</v>
      </c>
      <c r="L89" s="1364">
        <f>L85/K85-1</f>
        <v>0.16685033982563358</v>
      </c>
      <c r="M89" s="1364">
        <f t="shared" si="125"/>
        <v>0.19862117021692183</v>
      </c>
      <c r="N89" s="1364">
        <f t="shared" si="125"/>
        <v>0.22500000000000009</v>
      </c>
      <c r="O89" s="1364">
        <f t="shared" si="125"/>
        <v>0.39999999999999991</v>
      </c>
      <c r="P89" s="1364">
        <f t="shared" si="125"/>
        <v>0.19999999999999996</v>
      </c>
      <c r="Q89" s="1364">
        <f t="shared" si="125"/>
        <v>7.0000000000000062E-2</v>
      </c>
      <c r="R89" s="1364">
        <f t="shared" si="125"/>
        <v>6.0000000000000053E-2</v>
      </c>
      <c r="S89" s="1364">
        <f t="shared" si="125"/>
        <v>5.0000000000000044E-2</v>
      </c>
      <c r="T89" s="1364">
        <f t="shared" si="125"/>
        <v>4.4999999999999929E-2</v>
      </c>
      <c r="U89" s="1364">
        <f t="shared" si="125"/>
        <v>4.4999999999999929E-2</v>
      </c>
      <c r="V89" s="1364">
        <f t="shared" si="125"/>
        <v>4.4999999999999929E-2</v>
      </c>
      <c r="W89" s="1364">
        <f t="shared" si="125"/>
        <v>4.0000000000000036E-2</v>
      </c>
      <c r="X89" s="862"/>
      <c r="Y89" s="862"/>
      <c r="Z89" s="862"/>
      <c r="AA89" s="862"/>
      <c r="AB89" s="862"/>
      <c r="AC89" s="1035"/>
      <c r="AD89" s="1035"/>
      <c r="AE89" s="1035"/>
      <c r="AF89" s="1035"/>
      <c r="AG89" s="1035"/>
      <c r="AH89" s="1035"/>
      <c r="AI89" s="1035"/>
      <c r="AJ89" s="1035"/>
      <c r="AK89" s="1035"/>
      <c r="AL89" s="1035"/>
      <c r="AM89" s="1035"/>
      <c r="AN89" s="1174"/>
      <c r="AO89" s="1174"/>
      <c r="AP89" s="1174"/>
      <c r="AQ89" s="1174"/>
      <c r="AR89" s="1035"/>
      <c r="AS89" s="1174"/>
      <c r="AT89" s="1174"/>
      <c r="AU89" s="1174"/>
      <c r="AV89" s="1174"/>
      <c r="AW89" s="906"/>
      <c r="AX89" s="906"/>
      <c r="AY89" s="906"/>
      <c r="AZ89" s="906"/>
      <c r="BA89" s="906"/>
      <c r="BB89" s="906"/>
      <c r="BC89" s="2078"/>
      <c r="BD89" s="2078"/>
      <c r="BE89" s="2078"/>
      <c r="BF89" s="2078"/>
      <c r="BG89" s="1870"/>
      <c r="BH89" s="2078"/>
      <c r="BI89" s="2078"/>
      <c r="BJ89" s="2078"/>
      <c r="BK89" s="2078"/>
      <c r="BL89" s="1870"/>
      <c r="BM89" s="2078"/>
      <c r="BN89" s="2054"/>
      <c r="BO89" s="2054"/>
      <c r="BP89" s="2054"/>
      <c r="BQ89" s="2054"/>
      <c r="BR89" s="2054"/>
      <c r="BS89" s="2054"/>
      <c r="BT89" s="2054"/>
      <c r="BU89" s="2054"/>
      <c r="BV89" s="2054"/>
      <c r="BW89" s="2054"/>
      <c r="BX89" s="2054"/>
      <c r="BY89" s="2963"/>
      <c r="BZ89" s="2963"/>
      <c r="CA89" s="2963"/>
      <c r="CB89" s="2866"/>
      <c r="CC89" s="2963"/>
      <c r="CD89" s="2867"/>
      <c r="CE89" s="2867"/>
      <c r="CF89" s="2867"/>
      <c r="CG89" s="906"/>
      <c r="CH89" s="906"/>
      <c r="CI89" s="906"/>
      <c r="CJ89" s="906"/>
      <c r="CK89" s="906"/>
      <c r="CL89" s="906"/>
    </row>
    <row r="90" spans="1:90">
      <c r="A90" s="906"/>
      <c r="B90" s="906"/>
      <c r="C90" s="1174"/>
      <c r="D90" s="1174"/>
      <c r="E90" s="1174"/>
      <c r="F90" s="1174"/>
      <c r="G90" s="1175"/>
      <c r="H90" s="2228"/>
      <c r="I90" s="2228"/>
      <c r="J90" s="2228"/>
      <c r="K90" s="2228"/>
      <c r="L90" s="2228"/>
      <c r="M90" s="2228"/>
      <c r="N90" s="2228"/>
      <c r="O90" s="2228"/>
      <c r="P90" s="2228"/>
      <c r="Q90" s="2228"/>
      <c r="R90" s="2228"/>
      <c r="S90" s="2228"/>
      <c r="T90" s="2228"/>
      <c r="U90" s="2228"/>
      <c r="V90" s="2228"/>
      <c r="W90" s="1470"/>
      <c r="X90" s="862"/>
      <c r="Y90" s="862"/>
      <c r="Z90" s="862"/>
      <c r="AA90" s="862"/>
      <c r="AB90" s="862"/>
      <c r="AC90" s="1035"/>
      <c r="AD90" s="1035"/>
      <c r="AE90" s="1035"/>
      <c r="AF90" s="1035"/>
      <c r="AG90" s="1035"/>
      <c r="AH90" s="1035"/>
      <c r="AI90" s="1035"/>
      <c r="AJ90" s="1035"/>
      <c r="AK90" s="1035"/>
      <c r="AL90" s="1035"/>
      <c r="AM90" s="1035"/>
      <c r="AN90" s="1174"/>
      <c r="AO90" s="1174"/>
      <c r="AP90" s="1174"/>
      <c r="AQ90" s="1174"/>
      <c r="AR90" s="1035"/>
      <c r="AS90" s="1174"/>
      <c r="AT90" s="1174"/>
      <c r="AU90" s="1174"/>
      <c r="AV90" s="1174"/>
      <c r="AW90" s="906"/>
      <c r="AX90" s="906"/>
      <c r="AY90" s="906"/>
      <c r="AZ90" s="906"/>
      <c r="BA90" s="906"/>
      <c r="BB90" s="906"/>
      <c r="BC90" s="906"/>
      <c r="BD90" s="906"/>
      <c r="BE90" s="906"/>
      <c r="BF90" s="906"/>
      <c r="BG90" s="1470"/>
      <c r="BH90" s="1750"/>
      <c r="BI90" s="1750"/>
      <c r="BJ90" s="1750"/>
      <c r="BK90" s="1470"/>
      <c r="BL90" s="1470"/>
      <c r="BM90" s="1470"/>
      <c r="BN90" s="1470"/>
      <c r="BO90" s="1470"/>
      <c r="BP90" s="1470"/>
      <c r="BQ90" s="862"/>
      <c r="BR90" s="2867"/>
      <c r="BS90" s="2867"/>
      <c r="BT90" s="2867"/>
      <c r="BU90" s="2867"/>
      <c r="BV90" s="2867"/>
      <c r="BW90" s="2867"/>
      <c r="BX90" s="2867"/>
      <c r="BY90" s="2867"/>
      <c r="BZ90" s="2964"/>
      <c r="CA90" s="2867"/>
      <c r="CB90" s="2866"/>
      <c r="CC90" s="2867"/>
      <c r="CD90" s="2867"/>
      <c r="CE90" s="2867"/>
      <c r="CF90" s="2867"/>
      <c r="CG90" s="906"/>
      <c r="CH90" s="906"/>
      <c r="CI90" s="906"/>
      <c r="CJ90" s="906"/>
      <c r="CK90" s="906"/>
      <c r="CL90" s="906"/>
    </row>
    <row r="91" spans="1:90">
      <c r="A91" s="906"/>
      <c r="B91" s="906" t="s">
        <v>796</v>
      </c>
      <c r="C91" s="1174"/>
      <c r="D91" s="1174"/>
      <c r="E91" s="1174"/>
      <c r="F91" s="1174"/>
      <c r="G91" s="1314">
        <f>+CHOOSE($B$81,G92,G93,G94)</f>
        <v>0.25076275903288553</v>
      </c>
      <c r="H91" s="1314">
        <f t="shared" ref="H91:T91" si="126">+CHOOSE($B$81,H92,H93,H94)</f>
        <v>0.30709987617835616</v>
      </c>
      <c r="I91" s="1314">
        <f t="shared" si="126"/>
        <v>0.41421887822496029</v>
      </c>
      <c r="J91" s="1314">
        <f t="shared" si="126"/>
        <v>0.61898705857221092</v>
      </c>
      <c r="K91" s="2224">
        <f t="shared" si="126"/>
        <v>0.79660907529435754</v>
      </c>
      <c r="L91" s="2224">
        <f t="shared" si="126"/>
        <v>1.093937044951528</v>
      </c>
      <c r="M91" s="2224">
        <f t="shared" si="126"/>
        <v>1.4297887925870476</v>
      </c>
      <c r="N91" s="2224">
        <f t="shared" si="126"/>
        <v>1.7014486631785866</v>
      </c>
      <c r="O91" s="2224">
        <f t="shared" si="126"/>
        <v>1.9566659626553744</v>
      </c>
      <c r="P91" s="2224">
        <f t="shared" si="126"/>
        <v>2.1718992185474657</v>
      </c>
      <c r="Q91" s="2224">
        <f t="shared" si="126"/>
        <v>2.3239321638457886</v>
      </c>
      <c r="R91" s="2224">
        <f t="shared" si="126"/>
        <v>2.4633680936765359</v>
      </c>
      <c r="S91" s="2224">
        <f t="shared" si="126"/>
        <v>2.5865364983603629</v>
      </c>
      <c r="T91" s="2224">
        <f t="shared" si="126"/>
        <v>2.7029306407865792</v>
      </c>
      <c r="U91" s="2224">
        <f>+CHOOSE($B$81,U92,U93,U94)</f>
        <v>2.824562519621975</v>
      </c>
      <c r="V91" s="2224">
        <f>+CHOOSE($B$81,V92,V93,V94)</f>
        <v>2.9516678330049637</v>
      </c>
      <c r="W91" s="2224">
        <f>+CHOOSE($B$81,W92,W93,W94)</f>
        <v>3.0697345463251624</v>
      </c>
      <c r="X91" s="862"/>
      <c r="Y91" s="862"/>
      <c r="Z91" s="862"/>
      <c r="AA91" s="862"/>
      <c r="AB91" s="862"/>
      <c r="AC91" s="1035"/>
      <c r="AD91" s="1035"/>
      <c r="AE91" s="1035"/>
      <c r="AF91" s="1035"/>
      <c r="AG91" s="1035"/>
      <c r="AH91" s="1035"/>
      <c r="AI91" s="1035"/>
      <c r="AJ91" s="1035"/>
      <c r="AK91" s="1035"/>
      <c r="AL91" s="1035"/>
      <c r="AM91" s="1035"/>
      <c r="AN91" s="1174"/>
      <c r="AO91" s="1174"/>
      <c r="AP91" s="1174"/>
      <c r="AQ91" s="1174"/>
      <c r="AR91" s="1035"/>
      <c r="AS91" s="1174"/>
      <c r="AT91" s="1174"/>
      <c r="AU91" s="1174"/>
      <c r="AV91" s="1174"/>
      <c r="AW91" s="906"/>
      <c r="AX91" s="1099">
        <f>+CHOOSE($B$81,AX92,AX93,AX94)</f>
        <v>17.5</v>
      </c>
      <c r="AY91" s="1099">
        <f>+CHOOSE($B$81,AY92,AY93,AY94)</f>
        <v>17.5</v>
      </c>
      <c r="AZ91" s="1099">
        <f>+CHOOSE($B$81,AZ92,AZ93,AZ94)</f>
        <v>18</v>
      </c>
      <c r="BA91" s="1099">
        <f>+CHOOSE($B$81,BA92,BA93,BA94)</f>
        <v>19.8</v>
      </c>
      <c r="BB91" s="906"/>
      <c r="BC91" s="1099">
        <f>+CHOOSE($B$81,BC92,BC93,BC94)</f>
        <v>24.674999999999997</v>
      </c>
      <c r="BD91" s="1099">
        <f>+CHOOSE($B$81,BD92,BD93,BD94)</f>
        <v>24.674999999999997</v>
      </c>
      <c r="BE91" s="1099">
        <f>+CHOOSE($B$81,BE92,BE93,BE94)</f>
        <v>25.38</v>
      </c>
      <c r="BF91" s="1099">
        <f>+CHOOSE($B$81,BF92,BF93,BF94)</f>
        <v>27.917999999999999</v>
      </c>
      <c r="BG91" s="1470"/>
      <c r="BH91" s="2032">
        <f>+CHOOSE($B$81,BH92,BH93,BH94)</f>
        <v>44.414999999999999</v>
      </c>
      <c r="BI91" s="2032">
        <f>+CHOOSE($B$81,BI92,BI93,BI94)</f>
        <v>44.414999999999999</v>
      </c>
      <c r="BJ91" s="2032">
        <f>+CHOOSE($B$81,BJ92,BJ93,BJ94)</f>
        <v>45.683999999999997</v>
      </c>
      <c r="BK91" s="2032">
        <f>+CHOOSE($B$81,BK92,BK93,BK94)</f>
        <v>50.252400000000002</v>
      </c>
      <c r="BL91" s="1470"/>
      <c r="BM91" s="2052">
        <f>+CHOOSE($B$81,BM92,BM93,BM94)</f>
        <v>82.167749999999998</v>
      </c>
      <c r="BN91" s="2052">
        <f>+CHOOSE($B$81,BN92,BN93,BN94)</f>
        <v>82.167749999999998</v>
      </c>
      <c r="BO91" s="2052">
        <f>+CHOOSE($B$81,BO92,BO93,BO94)</f>
        <v>84.5154</v>
      </c>
      <c r="BP91" s="2052">
        <f>+CHOOSE($B$81,BP92,BP93,BP94)</f>
        <v>92.966940000000008</v>
      </c>
      <c r="BQ91" s="862"/>
      <c r="BR91" s="2959">
        <f>+CHOOSE($B$81,BR92,BR93,BR94)</f>
        <v>137.384478</v>
      </c>
      <c r="BS91" s="2959">
        <f>+CHOOSE($B$81,BS92,BS93,BS94)</f>
        <v>142.15020749999999</v>
      </c>
      <c r="BT91" s="2959">
        <f>+CHOOSE($B$81,BT92,BT93,BT94)</f>
        <v>133.956909</v>
      </c>
      <c r="BU91" s="2959">
        <f>+CHOOSE($B$81,BU92,BU93,BU94)</f>
        <v>134.33722830000002</v>
      </c>
      <c r="BV91" s="2867"/>
      <c r="BW91" s="2959">
        <f>+CHOOSE($B$81,BW92,BW93,BW94)</f>
        <v>195.36072771599999</v>
      </c>
      <c r="BX91" s="2959">
        <f>+CHOOSE($B$81,BX92,BX93,BX94)</f>
        <v>193.3242822</v>
      </c>
      <c r="BY91" s="2959">
        <f>+CHOOSE($B$81,BY92,BY93,BY94)</f>
        <v>188.20945714499999</v>
      </c>
      <c r="BZ91" s="2959">
        <f>+CHOOSE($B$81,BZ92,BZ93,BZ94)</f>
        <v>184.04200277100006</v>
      </c>
      <c r="CA91" s="2867"/>
      <c r="CB91" s="2959">
        <f t="shared" ref="CB91:CE91" si="127">+CHOOSE($B$81,CB92,CB93,CB94)</f>
        <v>245.17771328357995</v>
      </c>
      <c r="CC91" s="2959">
        <f t="shared" si="127"/>
        <v>243.588595572</v>
      </c>
      <c r="CD91" s="2959">
        <f t="shared" si="127"/>
        <v>237.1439160027</v>
      </c>
      <c r="CE91" s="2959">
        <f t="shared" si="127"/>
        <v>235.57376354688009</v>
      </c>
      <c r="CF91" s="2867"/>
      <c r="CG91" s="906"/>
      <c r="CH91" s="906"/>
      <c r="CI91" s="906"/>
      <c r="CJ91" s="906"/>
      <c r="CK91" s="906"/>
      <c r="CL91" s="906"/>
    </row>
    <row r="92" spans="1:90">
      <c r="A92" s="906"/>
      <c r="B92" s="906"/>
      <c r="C92" s="1174"/>
      <c r="D92" s="1174"/>
      <c r="E92" s="1174"/>
      <c r="F92" s="1174"/>
      <c r="G92" s="1416">
        <f>SUM(AX92:BA92)/Retrans!D15/12</f>
        <v>0.25076275903288553</v>
      </c>
      <c r="H92" s="1416">
        <f>SUM(BC92:BF92)/Retrans!$E$15/12</f>
        <v>0.30709987617835616</v>
      </c>
      <c r="I92" s="1416">
        <f>SUM(BH92:BK92)/Retrans!$F$15/12</f>
        <v>0.41421887822496029</v>
      </c>
      <c r="J92" s="1416">
        <f>SUM(BM92:BP92)/Retrans!$G$15/12</f>
        <v>0.61898705857221092</v>
      </c>
      <c r="K92" s="2225">
        <f>SUM(BR92:BU92)/Retrans!$H$15/12</f>
        <v>0.79660907529435754</v>
      </c>
      <c r="L92" s="2225">
        <f>SUM(BW92:BZ92)/Retrans!$I$15/12</f>
        <v>1.093937044951528</v>
      </c>
      <c r="M92" s="2225">
        <f>SUM(CB92:CE92)/Retrans!$J$15/12</f>
        <v>1.4297887925870476</v>
      </c>
      <c r="N92" s="1999">
        <f>M92*1.19</f>
        <v>1.7014486631785866</v>
      </c>
      <c r="O92" s="1999">
        <f>N92*1.15</f>
        <v>1.9566659626553744</v>
      </c>
      <c r="P92" s="1999">
        <f>O92*1.11</f>
        <v>2.1718992185474657</v>
      </c>
      <c r="Q92" s="1999">
        <f t="shared" ref="Q92:W92" si="128">Q86/P86*P92</f>
        <v>2.3239321638457886</v>
      </c>
      <c r="R92" s="1999">
        <f t="shared" si="128"/>
        <v>2.4633680936765359</v>
      </c>
      <c r="S92" s="1999">
        <f t="shared" si="128"/>
        <v>2.5865364983603629</v>
      </c>
      <c r="T92" s="1999">
        <f t="shared" si="128"/>
        <v>2.7029306407865792</v>
      </c>
      <c r="U92" s="1999">
        <f t="shared" si="128"/>
        <v>2.824562519621975</v>
      </c>
      <c r="V92" s="1999">
        <f t="shared" si="128"/>
        <v>2.9516678330049637</v>
      </c>
      <c r="W92" s="1999">
        <f t="shared" si="128"/>
        <v>3.0697345463251624</v>
      </c>
      <c r="X92" s="862"/>
      <c r="Y92" s="862"/>
      <c r="Z92" s="862"/>
      <c r="AA92" s="862"/>
      <c r="AB92" s="862"/>
      <c r="AC92" s="1035"/>
      <c r="AD92" s="1999"/>
      <c r="AE92" s="1035"/>
      <c r="AF92" s="1035"/>
      <c r="AG92" s="1035"/>
      <c r="AH92" s="1035"/>
      <c r="AI92" s="1035"/>
      <c r="AJ92" s="1035"/>
      <c r="AK92" s="1035"/>
      <c r="AL92" s="1035"/>
      <c r="AM92" s="1035"/>
      <c r="AN92" s="1174"/>
      <c r="AO92" s="1174"/>
      <c r="AP92" s="1174"/>
      <c r="AQ92" s="1174"/>
      <c r="AR92" s="1035"/>
      <c r="AS92" s="1174"/>
      <c r="AT92" s="1174"/>
      <c r="AU92" s="1174"/>
      <c r="AV92" s="1174"/>
      <c r="AW92" s="906"/>
      <c r="AX92" s="2053">
        <v>17.5</v>
      </c>
      <c r="AY92" s="2053">
        <v>17.5</v>
      </c>
      <c r="AZ92" s="2053">
        <v>18</v>
      </c>
      <c r="BA92" s="2053">
        <v>19.8</v>
      </c>
      <c r="BB92" s="906"/>
      <c r="BC92" s="2053">
        <f>AX92*1.41</f>
        <v>24.674999999999997</v>
      </c>
      <c r="BD92" s="2053">
        <f>AY92*1.41</f>
        <v>24.674999999999997</v>
      </c>
      <c r="BE92" s="2053">
        <f>AZ92*1.41</f>
        <v>25.38</v>
      </c>
      <c r="BF92" s="2053">
        <f>BA92*1.41</f>
        <v>27.917999999999999</v>
      </c>
      <c r="BG92" s="1470"/>
      <c r="BH92" s="2053">
        <f>BC92*1.8</f>
        <v>44.414999999999999</v>
      </c>
      <c r="BI92" s="2053">
        <f>BD92*1.8</f>
        <v>44.414999999999999</v>
      </c>
      <c r="BJ92" s="2053">
        <f>BE92*1.8</f>
        <v>45.683999999999997</v>
      </c>
      <c r="BK92" s="2053">
        <f>BF92*1.8</f>
        <v>50.252400000000002</v>
      </c>
      <c r="BL92" s="1470"/>
      <c r="BM92" s="2053">
        <f>BH92*1.85</f>
        <v>82.167749999999998</v>
      </c>
      <c r="BN92" s="2053">
        <f>BI92*1.85</f>
        <v>82.167749999999998</v>
      </c>
      <c r="BO92" s="2053">
        <f>BJ92*1.85</f>
        <v>84.5154</v>
      </c>
      <c r="BP92" s="2053">
        <f>BK92*1.85</f>
        <v>92.966940000000008</v>
      </c>
      <c r="BQ92" s="2476"/>
      <c r="BR92" s="2960">
        <f>BM92*1.672</f>
        <v>137.384478</v>
      </c>
      <c r="BS92" s="2960">
        <f>BN92*1.73</f>
        <v>142.15020749999999</v>
      </c>
      <c r="BT92" s="2960">
        <f>BO92*1.585</f>
        <v>133.956909</v>
      </c>
      <c r="BU92" s="2960">
        <f>BP92*1.445</f>
        <v>134.33722830000002</v>
      </c>
      <c r="BV92" s="2867"/>
      <c r="BW92" s="2960">
        <f>BR92*1.422</f>
        <v>195.36072771599999</v>
      </c>
      <c r="BX92" s="2960">
        <f>BS92*1.36</f>
        <v>193.3242822</v>
      </c>
      <c r="BY92" s="2960">
        <f>BT92*1.405</f>
        <v>188.20945714499999</v>
      </c>
      <c r="BZ92" s="2960">
        <f>BU92*1.37</f>
        <v>184.04200277100006</v>
      </c>
      <c r="CA92" s="2867"/>
      <c r="CB92" s="2960">
        <f>BW92*1.255</f>
        <v>245.17771328357995</v>
      </c>
      <c r="CC92" s="2960">
        <f>BX92*1.26</f>
        <v>243.588595572</v>
      </c>
      <c r="CD92" s="2960">
        <f>BY92*1.26</f>
        <v>237.1439160027</v>
      </c>
      <c r="CE92" s="2960">
        <f>BZ92*1.28</f>
        <v>235.57376354688009</v>
      </c>
      <c r="CF92" s="2867"/>
      <c r="CG92" s="906"/>
      <c r="CH92" s="906"/>
      <c r="CI92" s="906"/>
      <c r="CJ92" s="906"/>
      <c r="CK92" s="906"/>
      <c r="CL92" s="906"/>
    </row>
    <row r="93" spans="1:90">
      <c r="A93" s="906"/>
      <c r="B93" s="906"/>
      <c r="C93" s="1174"/>
      <c r="D93" s="1174"/>
      <c r="E93" s="1174"/>
      <c r="F93" s="1174"/>
      <c r="G93" s="1318">
        <f>G92</f>
        <v>0.25076275903288553</v>
      </c>
      <c r="H93" s="1318">
        <f>H92</f>
        <v>0.30709987617835616</v>
      </c>
      <c r="I93" s="1318">
        <f>I92</f>
        <v>0.41421887822496029</v>
      </c>
      <c r="J93" s="1318">
        <f>J92</f>
        <v>0.61898705857221092</v>
      </c>
      <c r="K93" s="1318">
        <f>K92</f>
        <v>0.79660907529435754</v>
      </c>
      <c r="L93" s="2225">
        <f>SUM(BW93:BZ93)/Retrans!$I$15/12</f>
        <v>1.1018745156592753</v>
      </c>
      <c r="M93" s="2225">
        <f>SUM(CB93:CE93)/Retrans!$J$15/12</f>
        <v>1.5012782322164002</v>
      </c>
      <c r="N93" s="2019">
        <f>+N92*1.065</f>
        <v>1.8120428262851946</v>
      </c>
      <c r="O93" s="2019">
        <f>+O92*1.11</f>
        <v>2.1718992185474657</v>
      </c>
      <c r="P93" s="2019">
        <f t="shared" ref="P93:U93" si="129">+P92*1.1</f>
        <v>2.3890891404022123</v>
      </c>
      <c r="Q93" s="1181">
        <f t="shared" si="129"/>
        <v>2.5563253802303678</v>
      </c>
      <c r="R93" s="1181">
        <f t="shared" si="129"/>
        <v>2.7097049030441895</v>
      </c>
      <c r="S93" s="1181">
        <f t="shared" si="129"/>
        <v>2.8451901481963993</v>
      </c>
      <c r="T93" s="1181">
        <f t="shared" si="129"/>
        <v>2.9732237048652372</v>
      </c>
      <c r="U93" s="2019">
        <f t="shared" si="129"/>
        <v>3.1070187715841726</v>
      </c>
      <c r="V93" s="2019">
        <f>+V92*1.1</f>
        <v>3.2468346163054602</v>
      </c>
      <c r="W93" s="2019">
        <f>+W92*1.1</f>
        <v>3.3767080009576791</v>
      </c>
      <c r="X93" s="862"/>
      <c r="Y93" s="862"/>
      <c r="Z93" s="862"/>
      <c r="AA93" s="862"/>
      <c r="AB93" s="862"/>
      <c r="AC93" s="1035"/>
      <c r="AD93" s="1035"/>
      <c r="AE93" s="1035"/>
      <c r="AF93" s="1035"/>
      <c r="AG93" s="1035"/>
      <c r="AH93" s="1035"/>
      <c r="AI93" s="1035"/>
      <c r="AJ93" s="1035"/>
      <c r="AK93" s="1035"/>
      <c r="AL93" s="1035"/>
      <c r="AM93" s="1035"/>
      <c r="AN93" s="1174"/>
      <c r="AO93" s="1174"/>
      <c r="AP93" s="1174"/>
      <c r="AQ93" s="1174"/>
      <c r="AR93" s="1035"/>
      <c r="AS93" s="1174"/>
      <c r="AT93" s="1174"/>
      <c r="AU93" s="1174"/>
      <c r="AV93" s="1174"/>
      <c r="AW93" s="906"/>
      <c r="AX93" s="2078">
        <f>+AX92</f>
        <v>17.5</v>
      </c>
      <c r="AY93" s="2078">
        <f>+AY92</f>
        <v>17.5</v>
      </c>
      <c r="AZ93" s="2078">
        <f>+AZ92</f>
        <v>18</v>
      </c>
      <c r="BA93" s="2078">
        <f>+BA92</f>
        <v>19.8</v>
      </c>
      <c r="BB93" s="906"/>
      <c r="BC93" s="2078">
        <f>+BC92</f>
        <v>24.674999999999997</v>
      </c>
      <c r="BD93" s="2078">
        <f>+BD92</f>
        <v>24.674999999999997</v>
      </c>
      <c r="BE93" s="2078">
        <f>+BE92</f>
        <v>25.38</v>
      </c>
      <c r="BF93" s="2078">
        <f>+BF92</f>
        <v>27.917999999999999</v>
      </c>
      <c r="BG93" s="1470"/>
      <c r="BH93" s="2078">
        <f>+BH92</f>
        <v>44.414999999999999</v>
      </c>
      <c r="BI93" s="2078">
        <f>+BI92</f>
        <v>44.414999999999999</v>
      </c>
      <c r="BJ93" s="2078">
        <f>+BJ92</f>
        <v>45.683999999999997</v>
      </c>
      <c r="BK93" s="2078">
        <f>+BK92</f>
        <v>50.252400000000002</v>
      </c>
      <c r="BL93" s="1470"/>
      <c r="BM93" s="2078">
        <f>BM92</f>
        <v>82.167749999999998</v>
      </c>
      <c r="BN93" s="2078">
        <f>BN92</f>
        <v>82.167749999999998</v>
      </c>
      <c r="BO93" s="2256">
        <f>BO92</f>
        <v>84.5154</v>
      </c>
      <c r="BP93" s="2256">
        <f>BP92</f>
        <v>92.966940000000008</v>
      </c>
      <c r="BQ93" s="862"/>
      <c r="BR93" s="2961">
        <f>BR92</f>
        <v>137.384478</v>
      </c>
      <c r="BS93" s="2961">
        <f>BS92</f>
        <v>142.15020749999999</v>
      </c>
      <c r="BT93" s="2961">
        <f>BT92</f>
        <v>133.956909</v>
      </c>
      <c r="BU93" s="2961">
        <f>BU92</f>
        <v>134.33722830000002</v>
      </c>
      <c r="BV93" s="2867"/>
      <c r="BW93" s="2961">
        <f t="shared" ref="BW93:BX93" si="130">BW92</f>
        <v>195.36072771599999</v>
      </c>
      <c r="BX93" s="2961">
        <f t="shared" si="130"/>
        <v>193.3242822</v>
      </c>
      <c r="BY93" s="2961">
        <f t="shared" ref="BY93" si="131">BY92</f>
        <v>188.20945714499999</v>
      </c>
      <c r="BZ93" s="2962">
        <f>+BZ92*1.03</f>
        <v>189.56326285413007</v>
      </c>
      <c r="CA93" s="2867"/>
      <c r="CB93" s="2962">
        <f>+CB92*1.05</f>
        <v>257.43659894775897</v>
      </c>
      <c r="CC93" s="2962">
        <f t="shared" ref="CC93:CE93" si="132">+CC92*1.05</f>
        <v>255.76802535060003</v>
      </c>
      <c r="CD93" s="2962">
        <f t="shared" si="132"/>
        <v>249.001111802835</v>
      </c>
      <c r="CE93" s="2962">
        <f t="shared" si="132"/>
        <v>247.3524517242241</v>
      </c>
      <c r="CF93" s="2867"/>
      <c r="CG93" s="906"/>
      <c r="CH93" s="906"/>
      <c r="CI93" s="906"/>
      <c r="CJ93" s="906"/>
      <c r="CK93" s="906"/>
      <c r="CL93" s="906"/>
    </row>
    <row r="94" spans="1:90">
      <c r="A94" s="906"/>
      <c r="B94" s="906"/>
      <c r="C94" s="1174"/>
      <c r="D94" s="1174"/>
      <c r="E94" s="1174"/>
      <c r="F94" s="1174"/>
      <c r="G94" s="1317">
        <f>G92</f>
        <v>0.25076275903288553</v>
      </c>
      <c r="H94" s="1317">
        <f>H92</f>
        <v>0.30709987617835616</v>
      </c>
      <c r="I94" s="1317">
        <f>I92</f>
        <v>0.41421887822496029</v>
      </c>
      <c r="J94" s="1317">
        <f>J92</f>
        <v>0.61898705857221092</v>
      </c>
      <c r="K94" s="1317">
        <f>K92</f>
        <v>0.79660907529435754</v>
      </c>
      <c r="L94" s="2225">
        <f>SUM(BW94:BZ94)/Retrans!$I$15/12</f>
        <v>1.091291221382279</v>
      </c>
      <c r="M94" s="2225">
        <f>SUM(CB94:CE94)/Retrans!$J$15/12</f>
        <v>1.3868951288094362</v>
      </c>
      <c r="N94" s="2079">
        <f t="shared" ref="N94:U94" si="133">+N92*0.97</f>
        <v>1.6504052032832288</v>
      </c>
      <c r="O94" s="2079">
        <f t="shared" si="133"/>
        <v>1.897965983775713</v>
      </c>
      <c r="P94" s="2079">
        <f t="shared" si="133"/>
        <v>2.1067422419910415</v>
      </c>
      <c r="Q94" s="2079">
        <f t="shared" si="133"/>
        <v>2.254214198930415</v>
      </c>
      <c r="R94" s="2079">
        <f t="shared" si="133"/>
        <v>2.3894670508662399</v>
      </c>
      <c r="S94" s="2079">
        <f t="shared" si="133"/>
        <v>2.5089404034095519</v>
      </c>
      <c r="T94" s="2079">
        <f t="shared" si="133"/>
        <v>2.6218427215629818</v>
      </c>
      <c r="U94" s="2079">
        <f t="shared" si="133"/>
        <v>2.7398256440333157</v>
      </c>
      <c r="V94" s="2079">
        <f>+V92*0.97</f>
        <v>2.8631177980148146</v>
      </c>
      <c r="W94" s="2079">
        <f>+W92*0.97</f>
        <v>2.9776425099354076</v>
      </c>
      <c r="X94" s="862"/>
      <c r="Y94" s="862"/>
      <c r="Z94" s="862"/>
      <c r="AA94" s="862"/>
      <c r="AB94" s="862"/>
      <c r="AC94" s="1035"/>
      <c r="AD94" s="1035"/>
      <c r="AE94" s="1035"/>
      <c r="AF94" s="1035"/>
      <c r="AG94" s="1035"/>
      <c r="AH94" s="1035"/>
      <c r="AI94" s="1035"/>
      <c r="AJ94" s="1035"/>
      <c r="AK94" s="1035"/>
      <c r="AL94" s="1035"/>
      <c r="AM94" s="1035"/>
      <c r="AN94" s="1174"/>
      <c r="AO94" s="1174"/>
      <c r="AP94" s="1174"/>
      <c r="AQ94" s="1174"/>
      <c r="AR94" s="1035"/>
      <c r="AS94" s="1174"/>
      <c r="AT94" s="1174"/>
      <c r="AU94" s="1174"/>
      <c r="AV94" s="1174"/>
      <c r="AW94" s="906"/>
      <c r="AX94" s="2078">
        <f>+AX92</f>
        <v>17.5</v>
      </c>
      <c r="AY94" s="2078">
        <f>+AY92</f>
        <v>17.5</v>
      </c>
      <c r="AZ94" s="2078">
        <f>+AZ92</f>
        <v>18</v>
      </c>
      <c r="BA94" s="2078">
        <f>+BA92</f>
        <v>19.8</v>
      </c>
      <c r="BB94" s="906"/>
      <c r="BC94" s="2078">
        <f>+BC92</f>
        <v>24.674999999999997</v>
      </c>
      <c r="BD94" s="2078">
        <f>+BD92</f>
        <v>24.674999999999997</v>
      </c>
      <c r="BE94" s="2078">
        <f>+BE92</f>
        <v>25.38</v>
      </c>
      <c r="BF94" s="2078">
        <f>+BF92</f>
        <v>27.917999999999999</v>
      </c>
      <c r="BG94" s="1470"/>
      <c r="BH94" s="2078">
        <f>+BH92</f>
        <v>44.414999999999999</v>
      </c>
      <c r="BI94" s="2078">
        <f>+BI92</f>
        <v>44.414999999999999</v>
      </c>
      <c r="BJ94" s="2078">
        <f>+BJ92</f>
        <v>45.683999999999997</v>
      </c>
      <c r="BK94" s="2078">
        <f>+BK92</f>
        <v>50.252400000000002</v>
      </c>
      <c r="BL94" s="1470"/>
      <c r="BM94" s="2078">
        <f>BM92</f>
        <v>82.167749999999998</v>
      </c>
      <c r="BN94" s="2078">
        <f>BN92</f>
        <v>82.167749999999998</v>
      </c>
      <c r="BO94" s="2078">
        <f>BO92</f>
        <v>84.5154</v>
      </c>
      <c r="BP94" s="2256">
        <f>BP92</f>
        <v>92.966940000000008</v>
      </c>
      <c r="BQ94" s="862"/>
      <c r="BR94" s="2961">
        <f>BR92</f>
        <v>137.384478</v>
      </c>
      <c r="BS94" s="2961">
        <f>BS92</f>
        <v>142.15020749999999</v>
      </c>
      <c r="BT94" s="2961">
        <f>BT92</f>
        <v>133.956909</v>
      </c>
      <c r="BU94" s="2961">
        <f>BU92</f>
        <v>134.33722830000002</v>
      </c>
      <c r="BV94" s="2867"/>
      <c r="BW94" s="2961">
        <f t="shared" ref="BW94:BX94" si="134">BW92</f>
        <v>195.36072771599999</v>
      </c>
      <c r="BX94" s="2961">
        <f t="shared" si="134"/>
        <v>193.3242822</v>
      </c>
      <c r="BY94" s="2961">
        <f t="shared" ref="BY94" si="135">BY92</f>
        <v>188.20945714499999</v>
      </c>
      <c r="BZ94" s="2962">
        <f>+BZ92*0.99</f>
        <v>182.20158274329006</v>
      </c>
      <c r="CA94" s="2867"/>
      <c r="CB94" s="2962">
        <f t="shared" ref="CB94" si="136">+CB92*0.97</f>
        <v>237.82238188507253</v>
      </c>
      <c r="CC94" s="2962">
        <f t="shared" ref="CC94:CE94" si="137">+CC92*0.97</f>
        <v>236.28093770484</v>
      </c>
      <c r="CD94" s="2962">
        <f t="shared" si="137"/>
        <v>230.02959852261898</v>
      </c>
      <c r="CE94" s="2962">
        <f t="shared" si="137"/>
        <v>228.50655064047368</v>
      </c>
      <c r="CF94" s="2867"/>
      <c r="CG94" s="906"/>
      <c r="CH94" s="906"/>
      <c r="CI94" s="906"/>
      <c r="CJ94" s="906"/>
      <c r="CK94" s="906"/>
      <c r="CL94" s="906"/>
    </row>
    <row r="95" spans="1:90">
      <c r="A95" s="862"/>
      <c r="G95" s="1364"/>
      <c r="H95" s="1364">
        <f>H91/G91-1</f>
        <v>0.22466301360993746</v>
      </c>
      <c r="I95" s="1364">
        <f t="shared" ref="I95:W95" si="138">I91/H91-1</f>
        <v>0.34880835309875535</v>
      </c>
      <c r="J95" s="1364">
        <f t="shared" si="138"/>
        <v>0.49434777387437667</v>
      </c>
      <c r="K95" s="1364">
        <f t="shared" si="138"/>
        <v>0.28695594562487159</v>
      </c>
      <c r="L95" s="1364">
        <f t="shared" si="138"/>
        <v>0.37324200649773398</v>
      </c>
      <c r="M95" s="1364">
        <f t="shared" si="138"/>
        <v>0.30701195209126597</v>
      </c>
      <c r="N95" s="1364">
        <f t="shared" si="138"/>
        <v>0.18999999999999995</v>
      </c>
      <c r="O95" s="1364">
        <f t="shared" si="138"/>
        <v>0.14999999999999991</v>
      </c>
      <c r="P95" s="1364">
        <f t="shared" si="138"/>
        <v>0.1100000000000001</v>
      </c>
      <c r="Q95" s="1364">
        <f t="shared" si="138"/>
        <v>7.0000000000000062E-2</v>
      </c>
      <c r="R95" s="1364">
        <f t="shared" si="138"/>
        <v>6.0000000000000053E-2</v>
      </c>
      <c r="S95" s="1364">
        <f t="shared" si="138"/>
        <v>5.0000000000000044E-2</v>
      </c>
      <c r="T95" s="1364">
        <f t="shared" si="138"/>
        <v>4.4999999999999929E-2</v>
      </c>
      <c r="U95" s="1364">
        <f t="shared" si="138"/>
        <v>4.4999999999999929E-2</v>
      </c>
      <c r="V95" s="1364">
        <f t="shared" si="138"/>
        <v>4.4999999999999929E-2</v>
      </c>
      <c r="W95" s="1364">
        <f t="shared" si="138"/>
        <v>4.0000000000000036E-2</v>
      </c>
      <c r="X95" s="862"/>
      <c r="Y95" s="862"/>
      <c r="Z95" s="862"/>
      <c r="AA95" s="862"/>
      <c r="AB95" s="862"/>
      <c r="AC95" s="1035"/>
      <c r="AD95" s="902"/>
      <c r="AE95" s="902"/>
      <c r="AF95" s="902"/>
      <c r="AG95" s="902"/>
      <c r="AH95" s="902"/>
      <c r="AI95" s="902"/>
      <c r="AJ95" s="902"/>
      <c r="AK95" s="902"/>
      <c r="AL95" s="902"/>
      <c r="AM95" s="902"/>
      <c r="AN95" s="902"/>
      <c r="AO95" s="902"/>
      <c r="AP95" s="902"/>
      <c r="AQ95" s="902"/>
      <c r="AR95" s="902"/>
      <c r="AS95" s="862"/>
      <c r="AT95" s="862"/>
      <c r="AU95" s="862"/>
      <c r="AV95" s="862"/>
      <c r="AW95" s="862"/>
      <c r="AX95" s="862"/>
      <c r="AY95" s="862"/>
      <c r="AZ95" s="862"/>
      <c r="BA95" s="862"/>
      <c r="BB95" s="862"/>
      <c r="BC95" s="906"/>
      <c r="BD95" s="906"/>
      <c r="BE95" s="906"/>
      <c r="BF95" s="906"/>
      <c r="BG95" s="862"/>
      <c r="BH95" s="1404"/>
      <c r="BI95" s="1404"/>
      <c r="BJ95" s="1404"/>
      <c r="BK95" s="906"/>
      <c r="BL95" s="862"/>
      <c r="BM95" s="906"/>
      <c r="BN95" s="906"/>
      <c r="BO95" s="906"/>
      <c r="BP95" s="1470"/>
      <c r="BQ95" s="862"/>
      <c r="BR95" s="2867"/>
      <c r="BS95" s="2867"/>
      <c r="BT95" s="2867"/>
      <c r="BU95" s="2867"/>
      <c r="BV95" s="2867"/>
      <c r="BW95" s="2867"/>
      <c r="BX95" s="2867"/>
      <c r="BY95" s="2867"/>
      <c r="BZ95" s="2867"/>
      <c r="CA95" s="2867"/>
      <c r="CB95" s="2866"/>
      <c r="CC95" s="2867"/>
      <c r="CD95" s="2867"/>
      <c r="CE95" s="2867"/>
      <c r="CF95" s="2867"/>
      <c r="CG95" s="862"/>
      <c r="CH95" s="862"/>
      <c r="CI95" s="862"/>
      <c r="CJ95" s="862"/>
      <c r="CK95" s="862"/>
      <c r="CL95" s="862"/>
    </row>
    <row r="96" spans="1:90">
      <c r="A96" s="862"/>
      <c r="G96" s="1364"/>
      <c r="H96" s="1364"/>
      <c r="I96" s="1364"/>
      <c r="J96" s="1364"/>
      <c r="K96" s="1364"/>
      <c r="L96" s="1364"/>
      <c r="M96" s="1364"/>
      <c r="N96" s="1364"/>
      <c r="O96" s="1364"/>
      <c r="P96" s="1364"/>
      <c r="Q96" s="1364"/>
      <c r="R96" s="1364"/>
      <c r="S96" s="1364"/>
      <c r="T96" s="1364"/>
      <c r="U96" s="1364"/>
      <c r="V96" s="1364"/>
      <c r="W96" s="1364"/>
      <c r="X96" s="862"/>
      <c r="Y96" s="862"/>
      <c r="Z96" s="862"/>
      <c r="AA96" s="862"/>
      <c r="AB96" s="862"/>
      <c r="AC96" s="1035"/>
      <c r="AD96" s="902"/>
      <c r="AE96" s="902"/>
      <c r="AF96" s="902"/>
      <c r="AG96" s="902"/>
      <c r="AH96" s="902"/>
      <c r="AI96" s="902"/>
      <c r="AJ96" s="902"/>
      <c r="AK96" s="902"/>
      <c r="AL96" s="902"/>
      <c r="AM96" s="902"/>
      <c r="AN96" s="902"/>
      <c r="AO96" s="902"/>
      <c r="AP96" s="902"/>
      <c r="AQ96" s="902"/>
      <c r="AR96" s="902"/>
      <c r="AS96" s="862"/>
      <c r="AT96" s="862"/>
      <c r="AU96" s="862"/>
      <c r="AV96" s="862"/>
      <c r="AW96" s="862"/>
      <c r="AX96" s="862"/>
      <c r="AY96" s="862"/>
      <c r="AZ96" s="862"/>
      <c r="BA96" s="862"/>
      <c r="BB96" s="862"/>
      <c r="BC96" s="906"/>
      <c r="BD96" s="906"/>
      <c r="BE96" s="906"/>
      <c r="BF96" s="906"/>
      <c r="BG96" s="862"/>
      <c r="BH96" s="1404"/>
      <c r="BI96" s="1404"/>
      <c r="BJ96" s="1404"/>
      <c r="BK96" s="906"/>
      <c r="BL96" s="862"/>
      <c r="BM96" s="906"/>
      <c r="BN96" s="906"/>
      <c r="BO96" s="906"/>
      <c r="BP96" s="1470"/>
      <c r="BQ96" s="862"/>
      <c r="BR96" s="2867"/>
      <c r="BS96" s="2867"/>
      <c r="BT96" s="2867"/>
      <c r="BU96" s="2867"/>
      <c r="BV96" s="2867"/>
      <c r="BW96" s="2867"/>
      <c r="BX96" s="2867"/>
      <c r="BY96" s="2867"/>
      <c r="BZ96" s="2867"/>
      <c r="CA96" s="2867"/>
      <c r="CB96" s="2866"/>
      <c r="CC96" s="2867"/>
      <c r="CD96" s="2867"/>
      <c r="CE96" s="2867"/>
      <c r="CF96" s="2867"/>
      <c r="CG96" s="862"/>
      <c r="CH96" s="862"/>
      <c r="CI96" s="862"/>
      <c r="CJ96" s="862"/>
      <c r="CK96" s="862"/>
      <c r="CL96" s="862"/>
    </row>
    <row r="97" spans="1:90">
      <c r="A97" s="862"/>
      <c r="B97" s="906" t="s">
        <v>1757</v>
      </c>
      <c r="G97" s="1364"/>
      <c r="H97" s="1364"/>
      <c r="I97" s="1364"/>
      <c r="J97" s="2554">
        <f>+CHOOSE($B$81,J98,J99,J100)</f>
        <v>0.06</v>
      </c>
      <c r="K97" s="2554">
        <f>+CHOOSE($B$81,K98,K99,K100)</f>
        <v>0.32</v>
      </c>
      <c r="L97" s="2555">
        <f>+CHOOSE($B$81,L98,L99,L100)</f>
        <v>2.6720000000000002</v>
      </c>
      <c r="M97" s="2555">
        <f>+CHOOSE($B$81,M98,M99,M100)</f>
        <v>5.5924999999999994</v>
      </c>
      <c r="N97" s="2555">
        <f t="shared" ref="N97:T97" si="139">+CHOOSE($B$81,N98,N99,N100)</f>
        <v>8.3777249999999999</v>
      </c>
      <c r="O97" s="2555">
        <f t="shared" si="139"/>
        <v>10.811173125000002</v>
      </c>
      <c r="P97" s="2555">
        <f t="shared" si="139"/>
        <v>12.74972569921875</v>
      </c>
      <c r="Q97" s="2555">
        <f t="shared" si="139"/>
        <v>14.281282613415527</v>
      </c>
      <c r="R97" s="2555">
        <f t="shared" si="139"/>
        <v>15.538173970985468</v>
      </c>
      <c r="S97" s="2555">
        <f t="shared" si="139"/>
        <v>16.620363930214797</v>
      </c>
      <c r="T97" s="2555">
        <f t="shared" si="139"/>
        <v>17.589012916838559</v>
      </c>
      <c r="U97" s="2555">
        <f>+CHOOSE($B$81,U98,U99,U100)</f>
        <v>18.50922945413113</v>
      </c>
      <c r="V97" s="2555">
        <f>+CHOOSE($B$81,V98,V99,V100)</f>
        <v>19.383435164559081</v>
      </c>
      <c r="W97" s="2555">
        <f>+CHOOSE($B$81,W98,W99,W100)</f>
        <v>20.31668807568672</v>
      </c>
      <c r="X97" s="862"/>
      <c r="Y97" s="862"/>
      <c r="Z97" s="862"/>
      <c r="AA97" s="862"/>
      <c r="AB97" s="862"/>
      <c r="AC97" s="1035"/>
      <c r="AD97" s="902"/>
      <c r="AE97" s="902"/>
      <c r="AF97" s="902"/>
      <c r="AG97" s="902"/>
      <c r="AH97" s="902"/>
      <c r="AI97" s="902"/>
      <c r="AJ97" s="902"/>
      <c r="AK97" s="902"/>
      <c r="AL97" s="902"/>
      <c r="AM97" s="902"/>
      <c r="AN97" s="902"/>
      <c r="AO97" s="902"/>
      <c r="AP97" s="902"/>
      <c r="AQ97" s="902"/>
      <c r="AR97" s="902"/>
      <c r="AS97" s="862"/>
      <c r="AT97" s="862"/>
      <c r="AU97" s="862"/>
      <c r="AV97" s="862"/>
      <c r="AW97" s="862"/>
      <c r="AX97" s="862"/>
      <c r="AY97" s="862"/>
      <c r="AZ97" s="862"/>
      <c r="BA97" s="862"/>
      <c r="BB97" s="862"/>
      <c r="BC97" s="906"/>
      <c r="BD97" s="906"/>
      <c r="BE97" s="906"/>
      <c r="BF97" s="906"/>
      <c r="BG97" s="862"/>
      <c r="BH97" s="1404"/>
      <c r="BI97" s="1404"/>
      <c r="BJ97" s="1404"/>
      <c r="BK97" s="906"/>
      <c r="BL97" s="862"/>
      <c r="BM97" s="906"/>
      <c r="BN97" s="906"/>
      <c r="BO97" s="906"/>
      <c r="BP97" s="1470"/>
      <c r="BQ97" s="862"/>
      <c r="BR97" s="1470"/>
      <c r="BS97" s="1470"/>
      <c r="BT97" s="1470"/>
      <c r="BU97" s="2867"/>
      <c r="BV97" s="2867"/>
      <c r="BW97" s="3163">
        <f>+CHOOSE($B$81,BW98,BW99,BW100)</f>
        <v>0.2</v>
      </c>
      <c r="BX97" s="3163">
        <f>+CHOOSE($B$81,BX98,BX99,BX100)</f>
        <v>0.8</v>
      </c>
      <c r="BY97" s="3163">
        <f>+CHOOSE($B$81,BY98,BY99,BY100)</f>
        <v>1.5</v>
      </c>
      <c r="BZ97" s="3163">
        <f>+CHOOSE($B$81,BZ98,BZ99,BZ100)</f>
        <v>2.6720000000000002</v>
      </c>
      <c r="CA97" s="2867"/>
      <c r="CB97" s="3163">
        <f t="shared" ref="CB97:CE97" si="140">+CHOOSE($B$81,CB98,CB99,CB100)</f>
        <v>3.3</v>
      </c>
      <c r="CC97" s="3163">
        <f t="shared" si="140"/>
        <v>4</v>
      </c>
      <c r="CD97" s="3163">
        <f t="shared" si="140"/>
        <v>4.7</v>
      </c>
      <c r="CE97" s="3163">
        <f t="shared" si="140"/>
        <v>5.5924999999999994</v>
      </c>
      <c r="CF97" s="2867"/>
      <c r="CG97" s="862"/>
      <c r="CH97" s="862"/>
      <c r="CI97" s="862"/>
      <c r="CJ97" s="862"/>
      <c r="CK97" s="862"/>
      <c r="CL97" s="862"/>
    </row>
    <row r="98" spans="1:90">
      <c r="A98" s="862"/>
      <c r="G98" s="1364"/>
      <c r="H98" s="1364"/>
      <c r="I98" s="1364"/>
      <c r="J98" s="2557">
        <f>SUM(Retrans!G74:G75, Retrans!G77*50%)</f>
        <v>0.06</v>
      </c>
      <c r="K98" s="2557">
        <f>SUM(Retrans!H74:H75)</f>
        <v>0.32</v>
      </c>
      <c r="L98" s="2557">
        <f>SUM(Retrans!I73:I76)</f>
        <v>2.6720000000000002</v>
      </c>
      <c r="M98" s="2557">
        <f>SUM(Retrans!J73:J76)</f>
        <v>5.5924999999999994</v>
      </c>
      <c r="N98" s="2557">
        <f>SUM(Retrans!K73:K76)</f>
        <v>8.3777249999999999</v>
      </c>
      <c r="O98" s="2557">
        <f>SUM(Retrans!L73:L76)</f>
        <v>10.811173125000002</v>
      </c>
      <c r="P98" s="2557">
        <f>SUM(Retrans!M73:M76)</f>
        <v>12.74972569921875</v>
      </c>
      <c r="Q98" s="2557">
        <f>SUM(Retrans!N73:N76)</f>
        <v>14.281282613415527</v>
      </c>
      <c r="R98" s="2557">
        <f>SUM(Retrans!O73:O76)</f>
        <v>15.538173970985468</v>
      </c>
      <c r="S98" s="2557">
        <f>SUM(Retrans!P73:P76)</f>
        <v>16.620363930214797</v>
      </c>
      <c r="T98" s="2557">
        <f>SUM(Retrans!Q73:Q76)</f>
        <v>17.589012916838559</v>
      </c>
      <c r="U98" s="2557">
        <f>SUM(Retrans!R73:R76)</f>
        <v>18.50922945413113</v>
      </c>
      <c r="V98" s="2557">
        <f>SUM(Retrans!S73:S76)</f>
        <v>19.383435164559081</v>
      </c>
      <c r="W98" s="2557">
        <f>SUM(Retrans!T73:T76)</f>
        <v>20.31668807568672</v>
      </c>
      <c r="X98" s="862"/>
      <c r="Y98" s="862"/>
      <c r="Z98" s="862"/>
      <c r="AA98" s="862"/>
      <c r="AB98" s="862"/>
      <c r="AC98" s="1035"/>
      <c r="AD98" s="902"/>
      <c r="AE98" s="902"/>
      <c r="AF98" s="902"/>
      <c r="AG98" s="902"/>
      <c r="AH98" s="902"/>
      <c r="AI98" s="902"/>
      <c r="AJ98" s="902"/>
      <c r="AK98" s="902"/>
      <c r="AL98" s="902"/>
      <c r="AM98" s="902"/>
      <c r="AN98" s="902"/>
      <c r="AO98" s="902"/>
      <c r="AP98" s="902"/>
      <c r="AQ98" s="902"/>
      <c r="AR98" s="902"/>
      <c r="AS98" s="862"/>
      <c r="AT98" s="862"/>
      <c r="AU98" s="862"/>
      <c r="AV98" s="862"/>
      <c r="AW98" s="862"/>
      <c r="AX98" s="862"/>
      <c r="AY98" s="862"/>
      <c r="AZ98" s="862"/>
      <c r="BA98" s="862"/>
      <c r="BB98" s="862"/>
      <c r="BC98" s="906"/>
      <c r="BD98" s="906"/>
      <c r="BE98" s="906"/>
      <c r="BF98" s="906"/>
      <c r="BG98" s="862"/>
      <c r="BH98" s="1404"/>
      <c r="BI98" s="1404"/>
      <c r="BJ98" s="1404"/>
      <c r="BK98" s="906"/>
      <c r="BL98" s="862"/>
      <c r="BM98" s="906"/>
      <c r="BN98" s="906"/>
      <c r="BO98" s="906"/>
      <c r="BP98" s="1470"/>
      <c r="BQ98" s="862"/>
      <c r="BR98" s="1470"/>
      <c r="BS98" s="1470"/>
      <c r="BT98" s="1470"/>
      <c r="BU98" s="2867"/>
      <c r="BV98" s="2867"/>
      <c r="BW98" s="3173">
        <v>0.2</v>
      </c>
      <c r="BX98" s="3173">
        <v>0.8</v>
      </c>
      <c r="BY98" s="3173">
        <v>1.5</v>
      </c>
      <c r="BZ98" s="3164">
        <f>L98</f>
        <v>2.6720000000000002</v>
      </c>
      <c r="CA98" s="2867"/>
      <c r="CB98" s="3173">
        <v>3.3</v>
      </c>
      <c r="CC98" s="3173">
        <v>4</v>
      </c>
      <c r="CD98" s="3173">
        <v>4.7</v>
      </c>
      <c r="CE98" s="3164">
        <f>M98</f>
        <v>5.5924999999999994</v>
      </c>
      <c r="CF98" s="2867"/>
      <c r="CG98" s="862"/>
      <c r="CH98" s="862"/>
      <c r="CI98" s="862"/>
      <c r="CJ98" s="862"/>
      <c r="CK98" s="862"/>
      <c r="CL98" s="862"/>
    </row>
    <row r="99" spans="1:90">
      <c r="A99" s="862"/>
      <c r="G99" s="1364"/>
      <c r="H99" s="1364"/>
      <c r="I99" s="1364"/>
      <c r="J99" s="2556">
        <f>J98</f>
        <v>0.06</v>
      </c>
      <c r="K99" s="2556">
        <f>K98</f>
        <v>0.32</v>
      </c>
      <c r="L99" s="2558">
        <f>Retrans!I78</f>
        <v>4.2530479553532636</v>
      </c>
      <c r="M99" s="2558">
        <f>Retrans!J78</f>
        <v>7.654165880043716</v>
      </c>
      <c r="N99" s="2558">
        <f>Retrans!K78</f>
        <v>10.809463041771444</v>
      </c>
      <c r="O99" s="2558">
        <f>Retrans!L78</f>
        <v>13.544826092831066</v>
      </c>
      <c r="P99" s="2558">
        <f>Retrans!M78</f>
        <v>15.728408120175407</v>
      </c>
      <c r="Q99" s="2558">
        <f>Retrans!N78</f>
        <v>17.460104738856312</v>
      </c>
      <c r="R99" s="2558">
        <f>Retrans!O78</f>
        <v>18.883004872566708</v>
      </c>
      <c r="S99" s="2558">
        <f>Retrans!P78</f>
        <v>20.105072428562888</v>
      </c>
      <c r="T99" s="2558">
        <f>Retrans!Q78</f>
        <v>21.193425889087688</v>
      </c>
      <c r="U99" s="2558">
        <f>Retrans!R78</f>
        <v>22.217620496957252</v>
      </c>
      <c r="V99" s="2558">
        <f>Retrans!S78</f>
        <v>23.183405372098871</v>
      </c>
      <c r="W99" s="2558">
        <f>Retrans!T78</f>
        <v>24.212992961644982</v>
      </c>
      <c r="X99" s="862"/>
      <c r="Y99" s="862"/>
      <c r="Z99" s="862"/>
      <c r="AA99" s="862"/>
      <c r="AB99" s="862"/>
      <c r="AC99" s="1035"/>
      <c r="AD99" s="902"/>
      <c r="AE99" s="902"/>
      <c r="AF99" s="902"/>
      <c r="AG99" s="902"/>
      <c r="AH99" s="902"/>
      <c r="AI99" s="902"/>
      <c r="AJ99" s="902"/>
      <c r="AK99" s="902"/>
      <c r="AL99" s="902"/>
      <c r="AM99" s="902"/>
      <c r="AN99" s="902"/>
      <c r="AO99" s="902"/>
      <c r="AP99" s="902"/>
      <c r="AQ99" s="902"/>
      <c r="AR99" s="902"/>
      <c r="AS99" s="862"/>
      <c r="AT99" s="862"/>
      <c r="AU99" s="862"/>
      <c r="AV99" s="862"/>
      <c r="AW99" s="862"/>
      <c r="AX99" s="862"/>
      <c r="AY99" s="862"/>
      <c r="AZ99" s="862"/>
      <c r="BA99" s="862"/>
      <c r="BB99" s="862"/>
      <c r="BC99" s="906"/>
      <c r="BD99" s="906"/>
      <c r="BE99" s="906"/>
      <c r="BF99" s="906"/>
      <c r="BG99" s="862"/>
      <c r="BH99" s="1404"/>
      <c r="BI99" s="1404"/>
      <c r="BJ99" s="1404"/>
      <c r="BK99" s="906"/>
      <c r="BL99" s="862"/>
      <c r="BM99" s="906"/>
      <c r="BN99" s="906"/>
      <c r="BO99" s="906"/>
      <c r="BP99" s="1470"/>
      <c r="BQ99" s="862"/>
      <c r="BR99" s="1470"/>
      <c r="BS99" s="1470"/>
      <c r="BT99" s="1470"/>
      <c r="BU99" s="2867"/>
      <c r="BV99" s="2867"/>
      <c r="BW99" s="3275">
        <f>BW98</f>
        <v>0.2</v>
      </c>
      <c r="BX99" s="3275">
        <f>BX98</f>
        <v>0.8</v>
      </c>
      <c r="BY99" s="3275">
        <f>BY98</f>
        <v>1.5</v>
      </c>
      <c r="BZ99" s="3164">
        <f>BZ98</f>
        <v>2.6720000000000002</v>
      </c>
      <c r="CA99" s="2867"/>
      <c r="CB99" s="3409">
        <f>CB98*$CE$99/$CE$98</f>
        <v>4.5165395447732255</v>
      </c>
      <c r="CC99" s="3409">
        <f t="shared" ref="CC99:CD99" si="141">CC98*$CE$99/$CE$98</f>
        <v>5.4745933876039103</v>
      </c>
      <c r="CD99" s="3409">
        <f t="shared" si="141"/>
        <v>6.4326472304345952</v>
      </c>
      <c r="CE99" s="3164">
        <f>M99</f>
        <v>7.654165880043716</v>
      </c>
      <c r="CF99" s="2867"/>
      <c r="CG99" s="862"/>
      <c r="CH99" s="862"/>
      <c r="CI99" s="862"/>
      <c r="CJ99" s="862"/>
      <c r="CK99" s="862"/>
      <c r="CL99" s="862"/>
    </row>
    <row r="100" spans="1:90">
      <c r="A100" s="862"/>
      <c r="G100" s="1364"/>
      <c r="H100" s="1364"/>
      <c r="I100" s="1364"/>
      <c r="J100" s="2556">
        <f>J98</f>
        <v>0.06</v>
      </c>
      <c r="K100" s="2556">
        <f>K98</f>
        <v>0.32</v>
      </c>
      <c r="L100" s="2558">
        <f>L98*0.8</f>
        <v>2.1376000000000004</v>
      </c>
      <c r="M100" s="2558">
        <f>M98*0.8</f>
        <v>4.4739999999999993</v>
      </c>
      <c r="N100" s="2558">
        <f>N98*0.8</f>
        <v>6.7021800000000002</v>
      </c>
      <c r="O100" s="2558">
        <f>O98*0.8</f>
        <v>8.6489385000000016</v>
      </c>
      <c r="P100" s="2558">
        <f t="shared" ref="P100:W100" si="142">P98*0.8</f>
        <v>10.199780559375</v>
      </c>
      <c r="Q100" s="2558">
        <f t="shared" si="142"/>
        <v>11.425026090732423</v>
      </c>
      <c r="R100" s="2558">
        <f t="shared" si="142"/>
        <v>12.430539176788375</v>
      </c>
      <c r="S100" s="2558">
        <f t="shared" si="142"/>
        <v>13.296291144171839</v>
      </c>
      <c r="T100" s="2558">
        <f t="shared" si="142"/>
        <v>14.071210333470848</v>
      </c>
      <c r="U100" s="2558">
        <f t="shared" si="142"/>
        <v>14.807383563304905</v>
      </c>
      <c r="V100" s="2558">
        <f t="shared" si="142"/>
        <v>15.506748131647266</v>
      </c>
      <c r="W100" s="2558">
        <f t="shared" si="142"/>
        <v>16.253350460549377</v>
      </c>
      <c r="X100" s="862"/>
      <c r="Y100" s="862"/>
      <c r="Z100" s="862"/>
      <c r="AA100" s="862"/>
      <c r="AB100" s="862"/>
      <c r="AC100" s="1035"/>
      <c r="AD100" s="902"/>
      <c r="AE100" s="902"/>
      <c r="AF100" s="902"/>
      <c r="AG100" s="902"/>
      <c r="AH100" s="902"/>
      <c r="AI100" s="902"/>
      <c r="AJ100" s="902"/>
      <c r="AK100" s="902"/>
      <c r="AL100" s="902"/>
      <c r="AM100" s="902"/>
      <c r="AN100" s="902"/>
      <c r="AO100" s="902"/>
      <c r="AP100" s="902"/>
      <c r="AQ100" s="902"/>
      <c r="AR100" s="902"/>
      <c r="AS100" s="862"/>
      <c r="AT100" s="862"/>
      <c r="AU100" s="862"/>
      <c r="AV100" s="862"/>
      <c r="AW100" s="862"/>
      <c r="AX100" s="862"/>
      <c r="AY100" s="862"/>
      <c r="AZ100" s="862"/>
      <c r="BA100" s="862"/>
      <c r="BB100" s="862"/>
      <c r="BC100" s="906"/>
      <c r="BD100" s="906"/>
      <c r="BE100" s="906"/>
      <c r="BF100" s="906"/>
      <c r="BG100" s="862"/>
      <c r="BH100" s="1404"/>
      <c r="BI100" s="1404"/>
      <c r="BJ100" s="1404"/>
      <c r="BK100" s="906"/>
      <c r="BL100" s="862"/>
      <c r="BM100" s="906"/>
      <c r="BN100" s="906"/>
      <c r="BO100" s="906"/>
      <c r="BP100" s="1470"/>
      <c r="BQ100" s="862"/>
      <c r="BR100" s="1470"/>
      <c r="BS100" s="1470"/>
      <c r="BT100" s="1470"/>
      <c r="BU100" s="2867"/>
      <c r="BV100" s="2867"/>
      <c r="BW100" s="3275">
        <f>BW98</f>
        <v>0.2</v>
      </c>
      <c r="BX100" s="3275">
        <f>BX98</f>
        <v>0.8</v>
      </c>
      <c r="BY100" s="3275">
        <f>BY98</f>
        <v>1.5</v>
      </c>
      <c r="BZ100" s="3164">
        <f>BZ99</f>
        <v>2.6720000000000002</v>
      </c>
      <c r="CA100" s="2867"/>
      <c r="CB100" s="3409">
        <f>CB98*$CE$100/$CE$98</f>
        <v>2.6399999999999997</v>
      </c>
      <c r="CC100" s="3409">
        <f t="shared" ref="CC100:CD100" si="143">CC98*$CE$100/$CE$98</f>
        <v>3.1999999999999997</v>
      </c>
      <c r="CD100" s="3409">
        <f t="shared" si="143"/>
        <v>3.7600000000000002</v>
      </c>
      <c r="CE100" s="3164">
        <f>M100</f>
        <v>4.4739999999999993</v>
      </c>
      <c r="CF100" s="2867"/>
      <c r="CG100" s="862"/>
      <c r="CH100" s="862"/>
      <c r="CI100" s="862"/>
      <c r="CJ100" s="862"/>
      <c r="CK100" s="862"/>
      <c r="CL100" s="862"/>
    </row>
    <row r="101" spans="1:90">
      <c r="A101" s="862"/>
      <c r="G101" s="1364"/>
      <c r="H101" s="1364"/>
      <c r="I101" s="1364"/>
      <c r="J101" s="1364"/>
      <c r="K101" s="2256"/>
      <c r="L101" s="2090"/>
      <c r="M101" s="2090"/>
      <c r="N101" s="2090"/>
      <c r="O101" s="2090"/>
      <c r="P101" s="2090"/>
      <c r="Q101" s="2090"/>
      <c r="R101" s="2090"/>
      <c r="S101" s="2090"/>
      <c r="T101" s="2090"/>
      <c r="U101" s="2090"/>
      <c r="V101" s="2090"/>
      <c r="W101" s="1470"/>
      <c r="X101" s="862"/>
      <c r="Y101" s="862"/>
      <c r="Z101" s="862"/>
      <c r="AA101" s="862"/>
      <c r="AB101" s="862"/>
      <c r="AC101" s="1035"/>
      <c r="AD101" s="902"/>
      <c r="AE101" s="902"/>
      <c r="AF101" s="902"/>
      <c r="AG101" s="902"/>
      <c r="AH101" s="902"/>
      <c r="AI101" s="902"/>
      <c r="AJ101" s="902"/>
      <c r="AK101" s="902"/>
      <c r="AL101" s="902"/>
      <c r="AM101" s="902"/>
      <c r="AN101" s="902"/>
      <c r="AO101" s="902"/>
      <c r="AP101" s="902"/>
      <c r="AQ101" s="902"/>
      <c r="AR101" s="902"/>
      <c r="AS101" s="862"/>
      <c r="AT101" s="862"/>
      <c r="AU101" s="862"/>
      <c r="AV101" s="862"/>
      <c r="AW101" s="862"/>
      <c r="AX101" s="862"/>
      <c r="AY101" s="862"/>
      <c r="AZ101" s="862"/>
      <c r="BA101" s="862"/>
      <c r="BB101" s="862"/>
      <c r="BC101" s="906"/>
      <c r="BD101" s="906"/>
      <c r="BE101" s="906"/>
      <c r="BF101" s="906"/>
      <c r="BG101" s="862"/>
      <c r="BH101" s="1404"/>
      <c r="BI101" s="1404"/>
      <c r="BJ101" s="1404"/>
      <c r="BK101" s="906"/>
      <c r="BL101" s="862"/>
      <c r="BM101" s="906"/>
      <c r="BN101" s="906"/>
      <c r="BO101" s="906"/>
      <c r="BP101" s="1470"/>
      <c r="BQ101" s="862"/>
      <c r="BR101" s="1470"/>
      <c r="BS101" s="1470"/>
      <c r="BT101" s="1470"/>
      <c r="BU101" s="2867"/>
      <c r="BV101" s="2867"/>
      <c r="BW101" s="3162"/>
      <c r="BX101" s="3162"/>
      <c r="BY101" s="3162"/>
      <c r="BZ101" s="3162"/>
      <c r="CA101" s="2867"/>
      <c r="CB101" s="2867"/>
      <c r="CC101" s="2867"/>
      <c r="CD101" s="2867"/>
      <c r="CE101" s="2867"/>
      <c r="CF101" s="2867"/>
      <c r="CG101" s="862"/>
      <c r="CH101" s="862"/>
      <c r="CI101" s="862"/>
      <c r="CJ101" s="862"/>
      <c r="CK101" s="862"/>
      <c r="CL101" s="862"/>
    </row>
    <row r="102" spans="1:90">
      <c r="A102" s="862"/>
      <c r="B102" s="906" t="s">
        <v>1736</v>
      </c>
      <c r="G102" s="1364"/>
      <c r="H102" s="1364"/>
      <c r="I102" s="1364"/>
      <c r="J102" s="1364"/>
      <c r="K102" s="2539">
        <f>'CBS Interactive'!U111</f>
        <v>1.17</v>
      </c>
      <c r="L102" s="2539">
        <f>'CBS Interactive'!V111</f>
        <v>2.1</v>
      </c>
      <c r="M102" s="2539">
        <f>'CBS Interactive'!W111</f>
        <v>2.9000000000000004</v>
      </c>
      <c r="N102" s="2539">
        <f>'CBS Interactive'!X111</f>
        <v>3.3500000000000005</v>
      </c>
      <c r="O102" s="2539">
        <f>'CBS Interactive'!Y111</f>
        <v>3.7500000000000004</v>
      </c>
      <c r="P102" s="2539">
        <f>'CBS Interactive'!Z111</f>
        <v>4.1300000000000008</v>
      </c>
      <c r="Q102" s="2539">
        <f>'CBS Interactive'!AA111</f>
        <v>4.4910000000000005</v>
      </c>
      <c r="R102" s="2539">
        <f>'CBS Interactive'!AB111</f>
        <v>4.8339500000000006</v>
      </c>
      <c r="S102" s="2539">
        <f>'CBS Interactive'!AC111</f>
        <v>5.1597525000000006</v>
      </c>
      <c r="T102" s="2539">
        <f>'CBS Interactive'!AD111</f>
        <v>5.4692648750000004</v>
      </c>
      <c r="U102" s="2539">
        <f>'CBS Interactive'!AE111</f>
        <v>5.7633016312500001</v>
      </c>
      <c r="V102" s="2539">
        <f>'CBS Interactive'!AF111</f>
        <v>6.0426365496874999</v>
      </c>
      <c r="W102" s="2539">
        <f>'CBS Interactive'!AG111</f>
        <v>6.3080047222031244</v>
      </c>
      <c r="X102" s="862"/>
      <c r="Y102" s="862"/>
      <c r="Z102" s="862"/>
      <c r="AA102" s="862"/>
      <c r="AB102" s="862"/>
      <c r="AC102" s="1035"/>
      <c r="AD102" s="902"/>
      <c r="AE102" s="902"/>
      <c r="AF102" s="902"/>
      <c r="AG102" s="902"/>
      <c r="AH102" s="902"/>
      <c r="AI102" s="902"/>
      <c r="AJ102" s="902"/>
      <c r="AK102" s="902"/>
      <c r="AL102" s="902"/>
      <c r="AM102" s="902"/>
      <c r="AN102" s="902"/>
      <c r="AO102" s="902"/>
      <c r="AP102" s="902"/>
      <c r="AQ102" s="902"/>
      <c r="AR102" s="902"/>
      <c r="AS102" s="862"/>
      <c r="AT102" s="862"/>
      <c r="AU102" s="862"/>
      <c r="AV102" s="862"/>
      <c r="AW102" s="862"/>
      <c r="AX102" s="862"/>
      <c r="AY102" s="862"/>
      <c r="AZ102" s="862"/>
      <c r="BA102" s="862"/>
      <c r="BB102" s="862"/>
      <c r="BC102" s="906"/>
      <c r="BD102" s="906"/>
      <c r="BE102" s="906"/>
      <c r="BF102" s="906"/>
      <c r="BG102" s="862"/>
      <c r="BH102" s="1404"/>
      <c r="BI102" s="1404"/>
      <c r="BJ102" s="1404"/>
      <c r="BK102" s="906"/>
      <c r="BL102" s="862"/>
      <c r="BM102" s="906"/>
      <c r="BN102" s="906"/>
      <c r="BO102" s="906"/>
      <c r="BP102" s="1470"/>
      <c r="BQ102" s="862"/>
      <c r="BR102" s="1470"/>
      <c r="BS102" s="1470"/>
      <c r="BT102" s="1470"/>
      <c r="BU102" s="2867"/>
      <c r="BV102" s="2867"/>
      <c r="BW102" s="3162"/>
      <c r="BX102" s="3162"/>
      <c r="BY102" s="3162"/>
      <c r="BZ102" s="3162"/>
      <c r="CA102" s="2867"/>
      <c r="CB102" s="2866"/>
      <c r="CC102" s="2867"/>
      <c r="CD102" s="2867"/>
      <c r="CE102" s="2867"/>
      <c r="CF102" s="2867"/>
      <c r="CG102" s="862"/>
      <c r="CH102" s="862"/>
      <c r="CI102" s="862"/>
      <c r="CJ102" s="862"/>
      <c r="CK102" s="862"/>
      <c r="CL102" s="862"/>
    </row>
    <row r="103" spans="1:90">
      <c r="A103" s="862"/>
      <c r="B103" s="906" t="s">
        <v>1735</v>
      </c>
      <c r="G103" s="1364"/>
      <c r="H103" s="1364"/>
      <c r="I103" s="1364"/>
      <c r="J103" s="1364"/>
      <c r="K103" s="2538"/>
      <c r="L103" s="2540">
        <f>+CHOOSE($B$81,L104,L105,L106)</f>
        <v>0.92999999999999994</v>
      </c>
      <c r="M103" s="2540">
        <f>+CHOOSE($B$81,M104,M105,M106)</f>
        <v>0.8</v>
      </c>
      <c r="N103" s="2540">
        <f t="shared" ref="N103:T103" si="144">+CHOOSE($B$81,N104,N105,N106)</f>
        <v>0.45</v>
      </c>
      <c r="O103" s="2540">
        <f t="shared" si="144"/>
        <v>0.4</v>
      </c>
      <c r="P103" s="2540">
        <f t="shared" si="144"/>
        <v>0.38</v>
      </c>
      <c r="Q103" s="2540">
        <f t="shared" si="144"/>
        <v>0.36099999999999999</v>
      </c>
      <c r="R103" s="2540">
        <f t="shared" si="144"/>
        <v>0.34294999999999998</v>
      </c>
      <c r="S103" s="2540">
        <f t="shared" si="144"/>
        <v>0.32580249999999994</v>
      </c>
      <c r="T103" s="2540">
        <f t="shared" si="144"/>
        <v>0.30951237499999995</v>
      </c>
      <c r="U103" s="2540">
        <f>+CHOOSE($B$81,U104,U105,U106)</f>
        <v>0.29403675624999992</v>
      </c>
      <c r="V103" s="2540">
        <f>+CHOOSE($B$81,V104,V105,V106)</f>
        <v>0.27933491843749991</v>
      </c>
      <c r="W103" s="2540">
        <f>+CHOOSE($B$81,W104,W105,W106)</f>
        <v>0.26536817251562489</v>
      </c>
      <c r="X103" s="862"/>
      <c r="Y103" s="862"/>
      <c r="Z103" s="862"/>
      <c r="AA103" s="862"/>
      <c r="AB103" s="862"/>
      <c r="AC103" s="1035"/>
      <c r="AD103" s="902"/>
      <c r="AE103" s="902"/>
      <c r="AF103" s="902"/>
      <c r="AG103" s="902"/>
      <c r="AH103" s="902"/>
      <c r="AI103" s="902"/>
      <c r="AJ103" s="902"/>
      <c r="AK103" s="902"/>
      <c r="AL103" s="902"/>
      <c r="AM103" s="902"/>
      <c r="AN103" s="902"/>
      <c r="AO103" s="902"/>
      <c r="AP103" s="902"/>
      <c r="AQ103" s="902"/>
      <c r="AR103" s="902"/>
      <c r="AS103" s="862"/>
      <c r="AT103" s="862"/>
      <c r="AU103" s="862"/>
      <c r="AV103" s="862"/>
      <c r="AW103" s="862"/>
      <c r="AX103" s="862"/>
      <c r="AY103" s="862"/>
      <c r="AZ103" s="862"/>
      <c r="BA103" s="862"/>
      <c r="BB103" s="862"/>
      <c r="BC103" s="906"/>
      <c r="BD103" s="906"/>
      <c r="BE103" s="906"/>
      <c r="BF103" s="906"/>
      <c r="BG103" s="862"/>
      <c r="BH103" s="1404"/>
      <c r="BI103" s="1404"/>
      <c r="BJ103" s="1404"/>
      <c r="BK103" s="906"/>
      <c r="BL103" s="862"/>
      <c r="BM103" s="906"/>
      <c r="BN103" s="906"/>
      <c r="BO103" s="906"/>
      <c r="BP103" s="1470"/>
      <c r="BQ103" s="862"/>
      <c r="BR103" s="1470"/>
      <c r="BS103" s="1470"/>
      <c r="BT103" s="1470"/>
      <c r="BU103" s="2867"/>
      <c r="BV103" s="2867"/>
      <c r="BW103" s="3163">
        <f>+CHOOSE($B$81,BW104,BW105,BW106)</f>
        <v>0.12</v>
      </c>
      <c r="BX103" s="3163">
        <f>+CHOOSE($B$81,BX104,BX105,BX106)</f>
        <v>0.23</v>
      </c>
      <c r="BY103" s="3163">
        <f>+CHOOSE($B$81,BY104,BY105,BY106)</f>
        <v>0.28000000000000003</v>
      </c>
      <c r="BZ103" s="3163">
        <f>+CHOOSE($B$81,BZ104,BZ105,BZ106)</f>
        <v>0.3</v>
      </c>
      <c r="CA103" s="2867"/>
      <c r="CB103" s="3163">
        <f t="shared" ref="CB103:CE103" si="145">+CHOOSE($B$81,CB104,CB105,CB106)</f>
        <v>0.2</v>
      </c>
      <c r="CC103" s="3163">
        <f t="shared" si="145"/>
        <v>0.17</v>
      </c>
      <c r="CD103" s="3163">
        <f t="shared" si="145"/>
        <v>0.18</v>
      </c>
      <c r="CE103" s="3163">
        <f t="shared" si="145"/>
        <v>0.25</v>
      </c>
      <c r="CF103" s="862"/>
      <c r="CG103" s="862"/>
      <c r="CH103" s="862"/>
      <c r="CI103" s="862"/>
      <c r="CJ103" s="862"/>
      <c r="CK103" s="862"/>
      <c r="CL103" s="862"/>
    </row>
    <row r="104" spans="1:90">
      <c r="A104" s="862"/>
      <c r="G104" s="1364"/>
      <c r="H104" s="1364"/>
      <c r="I104" s="1364"/>
      <c r="J104" s="1364"/>
      <c r="K104" s="2256"/>
      <c r="L104" s="2541">
        <f>SUM(BW104:BZ104)</f>
        <v>0.92999999999999994</v>
      </c>
      <c r="M104" s="2541">
        <f>SUM(CB104:CE104)</f>
        <v>0.8</v>
      </c>
      <c r="N104" s="2542">
        <v>0.45</v>
      </c>
      <c r="O104" s="2542">
        <v>0.4</v>
      </c>
      <c r="P104" s="2542">
        <f>O104*0.95</f>
        <v>0.38</v>
      </c>
      <c r="Q104" s="2542">
        <f t="shared" ref="Q104:W104" si="146">P104*0.95</f>
        <v>0.36099999999999999</v>
      </c>
      <c r="R104" s="2542">
        <f t="shared" si="146"/>
        <v>0.34294999999999998</v>
      </c>
      <c r="S104" s="2542">
        <f t="shared" si="146"/>
        <v>0.32580249999999994</v>
      </c>
      <c r="T104" s="2542">
        <f t="shared" si="146"/>
        <v>0.30951237499999995</v>
      </c>
      <c r="U104" s="2542">
        <f t="shared" si="146"/>
        <v>0.29403675624999992</v>
      </c>
      <c r="V104" s="2542">
        <f t="shared" si="146"/>
        <v>0.27933491843749991</v>
      </c>
      <c r="W104" s="2542">
        <f t="shared" si="146"/>
        <v>0.26536817251562489</v>
      </c>
      <c r="X104" s="862"/>
      <c r="Y104" s="862"/>
      <c r="Z104" s="862"/>
      <c r="AA104" s="862"/>
      <c r="AB104" s="862"/>
      <c r="AC104" s="1035"/>
      <c r="AD104" s="902"/>
      <c r="AE104" s="902"/>
      <c r="AF104" s="902"/>
      <c r="AG104" s="902"/>
      <c r="AH104" s="902"/>
      <c r="AI104" s="902"/>
      <c r="AJ104" s="902"/>
      <c r="AK104" s="902"/>
      <c r="AL104" s="902"/>
      <c r="AM104" s="902"/>
      <c r="AN104" s="902"/>
      <c r="AO104" s="902"/>
      <c r="AP104" s="902"/>
      <c r="AQ104" s="902"/>
      <c r="AR104" s="902"/>
      <c r="AS104" s="862"/>
      <c r="AT104" s="862"/>
      <c r="AU104" s="862"/>
      <c r="AV104" s="862"/>
      <c r="AW104" s="862"/>
      <c r="AX104" s="862"/>
      <c r="AY104" s="862"/>
      <c r="AZ104" s="862"/>
      <c r="BA104" s="862"/>
      <c r="BB104" s="862"/>
      <c r="BC104" s="906"/>
      <c r="BD104" s="906"/>
      <c r="BE104" s="906"/>
      <c r="BF104" s="906"/>
      <c r="BG104" s="862"/>
      <c r="BH104" s="1404"/>
      <c r="BI104" s="1404"/>
      <c r="BJ104" s="1404"/>
      <c r="BK104" s="906"/>
      <c r="BL104" s="862"/>
      <c r="BM104" s="906"/>
      <c r="BN104" s="906"/>
      <c r="BO104" s="906"/>
      <c r="BP104" s="1470"/>
      <c r="BQ104" s="862"/>
      <c r="BR104" s="1470"/>
      <c r="BS104" s="1470"/>
      <c r="BT104" s="1470"/>
      <c r="BU104" s="2867"/>
      <c r="BV104" s="2867"/>
      <c r="BW104" s="3164">
        <f>'CBS Interactive'!CV112</f>
        <v>0.12</v>
      </c>
      <c r="BX104" s="3164">
        <f>'CBS Interactive'!CW112</f>
        <v>0.23</v>
      </c>
      <c r="BY104" s="3164">
        <f>'CBS Interactive'!CX112</f>
        <v>0.28000000000000003</v>
      </c>
      <c r="BZ104" s="3173">
        <v>0.3</v>
      </c>
      <c r="CA104" s="2867"/>
      <c r="CB104" s="3173">
        <v>0.2</v>
      </c>
      <c r="CC104" s="3173">
        <v>0.17</v>
      </c>
      <c r="CD104" s="3173">
        <v>0.18</v>
      </c>
      <c r="CE104" s="3173">
        <v>0.25</v>
      </c>
      <c r="CF104" s="862"/>
      <c r="CG104" s="862"/>
      <c r="CH104" s="862"/>
      <c r="CI104" s="862"/>
      <c r="CJ104" s="862"/>
      <c r="CK104" s="862"/>
      <c r="CL104" s="862"/>
    </row>
    <row r="105" spans="1:90">
      <c r="A105" s="862"/>
      <c r="G105" s="1364"/>
      <c r="H105" s="1364"/>
      <c r="I105" s="1364"/>
      <c r="J105" s="1364"/>
      <c r="K105" s="2256"/>
      <c r="L105" s="2541">
        <f>SUM(BW105:BZ105)</f>
        <v>1.155</v>
      </c>
      <c r="M105" s="2541">
        <f>SUM(CB105:CE105)</f>
        <v>1.4000000000000001</v>
      </c>
      <c r="N105" s="2543">
        <f>N104*1.5</f>
        <v>0.67500000000000004</v>
      </c>
      <c r="O105" s="2543">
        <f>O104*1.5</f>
        <v>0.60000000000000009</v>
      </c>
      <c r="P105" s="2543">
        <f>P104*1.3</f>
        <v>0.49400000000000005</v>
      </c>
      <c r="Q105" s="2543">
        <f>Q104*1.25</f>
        <v>0.45124999999999998</v>
      </c>
      <c r="R105" s="2543">
        <f t="shared" ref="R105:W105" si="147">R104*1.2</f>
        <v>0.41153999999999996</v>
      </c>
      <c r="S105" s="2543">
        <f t="shared" si="147"/>
        <v>0.39096299999999989</v>
      </c>
      <c r="T105" s="2543">
        <f t="shared" si="147"/>
        <v>0.37141484999999991</v>
      </c>
      <c r="U105" s="2543">
        <f t="shared" si="147"/>
        <v>0.35284410749999989</v>
      </c>
      <c r="V105" s="2543">
        <f t="shared" si="147"/>
        <v>0.3352019021249999</v>
      </c>
      <c r="W105" s="2543">
        <f t="shared" si="147"/>
        <v>0.31844180701874986</v>
      </c>
      <c r="X105" s="862"/>
      <c r="Y105" s="862"/>
      <c r="Z105" s="862"/>
      <c r="AA105" s="862"/>
      <c r="AB105" s="862"/>
      <c r="AC105" s="1035"/>
      <c r="AD105" s="902"/>
      <c r="AE105" s="902"/>
      <c r="AF105" s="902"/>
      <c r="AG105" s="902"/>
      <c r="AH105" s="902"/>
      <c r="AI105" s="902"/>
      <c r="AJ105" s="902"/>
      <c r="AK105" s="902"/>
      <c r="AL105" s="902"/>
      <c r="AM105" s="902"/>
      <c r="AN105" s="902"/>
      <c r="AO105" s="902"/>
      <c r="AP105" s="902"/>
      <c r="AQ105" s="902"/>
      <c r="AR105" s="902"/>
      <c r="AS105" s="862"/>
      <c r="AT105" s="862"/>
      <c r="AU105" s="862"/>
      <c r="AV105" s="862"/>
      <c r="AW105" s="862"/>
      <c r="AX105" s="862"/>
      <c r="AY105" s="862"/>
      <c r="AZ105" s="862"/>
      <c r="BA105" s="862"/>
      <c r="BB105" s="862"/>
      <c r="BC105" s="906"/>
      <c r="BD105" s="906"/>
      <c r="BE105" s="906"/>
      <c r="BF105" s="906"/>
      <c r="BG105" s="862"/>
      <c r="BH105" s="1404"/>
      <c r="BI105" s="1404"/>
      <c r="BJ105" s="1404"/>
      <c r="BK105" s="906"/>
      <c r="BL105" s="862"/>
      <c r="BM105" s="906"/>
      <c r="BN105" s="906"/>
      <c r="BO105" s="906"/>
      <c r="BP105" s="1470"/>
      <c r="BQ105" s="862"/>
      <c r="BR105" s="1470"/>
      <c r="BS105" s="1470"/>
      <c r="BT105" s="1470"/>
      <c r="BU105" s="1470"/>
      <c r="BV105" s="1470"/>
      <c r="BW105" s="3165">
        <f t="shared" ref="BW105:BY106" si="148">BW104</f>
        <v>0.12</v>
      </c>
      <c r="BX105" s="3165">
        <f t="shared" si="148"/>
        <v>0.23</v>
      </c>
      <c r="BY105" s="3165">
        <f t="shared" si="148"/>
        <v>0.28000000000000003</v>
      </c>
      <c r="BZ105" s="3174">
        <f>BZ104*1.75</f>
        <v>0.52500000000000002</v>
      </c>
      <c r="CA105" s="1470"/>
      <c r="CB105" s="3174">
        <f t="shared" ref="CB105:CE105" si="149">CB104*1.75</f>
        <v>0.35000000000000003</v>
      </c>
      <c r="CC105" s="3174">
        <f t="shared" si="149"/>
        <v>0.29750000000000004</v>
      </c>
      <c r="CD105" s="3174">
        <f t="shared" si="149"/>
        <v>0.315</v>
      </c>
      <c r="CE105" s="3174">
        <f t="shared" si="149"/>
        <v>0.4375</v>
      </c>
      <c r="CF105" s="862"/>
      <c r="CG105" s="862"/>
      <c r="CH105" s="862"/>
      <c r="CI105" s="862"/>
      <c r="CJ105" s="862"/>
      <c r="CK105" s="862"/>
      <c r="CL105" s="862"/>
    </row>
    <row r="106" spans="1:90">
      <c r="A106" s="862"/>
      <c r="G106" s="1364"/>
      <c r="H106" s="1364"/>
      <c r="I106" s="1364"/>
      <c r="J106" s="1364"/>
      <c r="K106" s="2256"/>
      <c r="L106" s="2541">
        <f>SUM(BW106:BZ106)</f>
        <v>0.9</v>
      </c>
      <c r="M106" s="2541">
        <f t="shared" ref="M106" si="150">SUM(CB106:CE106)</f>
        <v>0.72000000000000008</v>
      </c>
      <c r="N106" s="2543">
        <f t="shared" ref="N106:V106" si="151">N104*0.9</f>
        <v>0.40500000000000003</v>
      </c>
      <c r="O106" s="2543">
        <f t="shared" si="151"/>
        <v>0.36000000000000004</v>
      </c>
      <c r="P106" s="2543">
        <f t="shared" si="151"/>
        <v>0.34200000000000003</v>
      </c>
      <c r="Q106" s="2543">
        <f t="shared" si="151"/>
        <v>0.32490000000000002</v>
      </c>
      <c r="R106" s="2543">
        <f t="shared" si="151"/>
        <v>0.30865500000000001</v>
      </c>
      <c r="S106" s="2543">
        <f t="shared" si="151"/>
        <v>0.29322224999999996</v>
      </c>
      <c r="T106" s="2543">
        <f t="shared" si="151"/>
        <v>0.27856113749999994</v>
      </c>
      <c r="U106" s="2543">
        <f t="shared" si="151"/>
        <v>0.26463308062499996</v>
      </c>
      <c r="V106" s="2543">
        <f t="shared" si="151"/>
        <v>0.25140142659374992</v>
      </c>
      <c r="W106" s="2543">
        <f t="shared" ref="W106" si="152">W104*0.9</f>
        <v>0.23883135526406241</v>
      </c>
      <c r="X106" s="862"/>
      <c r="Y106" s="862"/>
      <c r="Z106" s="862"/>
      <c r="AA106" s="862"/>
      <c r="AB106" s="862"/>
      <c r="AC106" s="1035"/>
      <c r="AD106" s="902"/>
      <c r="AE106" s="902"/>
      <c r="AF106" s="902"/>
      <c r="AG106" s="902"/>
      <c r="AH106" s="902"/>
      <c r="AI106" s="902"/>
      <c r="AJ106" s="902"/>
      <c r="AK106" s="902"/>
      <c r="AL106" s="902"/>
      <c r="AM106" s="902"/>
      <c r="AN106" s="902"/>
      <c r="AO106" s="902"/>
      <c r="AP106" s="902"/>
      <c r="AQ106" s="902"/>
      <c r="AR106" s="902"/>
      <c r="AS106" s="862"/>
      <c r="AT106" s="862"/>
      <c r="AU106" s="862"/>
      <c r="AV106" s="862"/>
      <c r="AW106" s="862"/>
      <c r="AX106" s="862"/>
      <c r="AY106" s="862"/>
      <c r="AZ106" s="862"/>
      <c r="BA106" s="862"/>
      <c r="BB106" s="862"/>
      <c r="BC106" s="906"/>
      <c r="BD106" s="906"/>
      <c r="BE106" s="906"/>
      <c r="BF106" s="906"/>
      <c r="BG106" s="862"/>
      <c r="BH106" s="1404"/>
      <c r="BI106" s="1404"/>
      <c r="BJ106" s="1404"/>
      <c r="BK106" s="906"/>
      <c r="BL106" s="862"/>
      <c r="BM106" s="906"/>
      <c r="BN106" s="906"/>
      <c r="BO106" s="906"/>
      <c r="BP106" s="1470"/>
      <c r="BQ106" s="862"/>
      <c r="BR106" s="1470"/>
      <c r="BS106" s="1470"/>
      <c r="BT106" s="1470"/>
      <c r="BU106" s="1470"/>
      <c r="BV106" s="1470"/>
      <c r="BW106" s="3165">
        <f t="shared" si="148"/>
        <v>0.12</v>
      </c>
      <c r="BX106" s="3165">
        <f t="shared" si="148"/>
        <v>0.23</v>
      </c>
      <c r="BY106" s="3165">
        <f t="shared" si="148"/>
        <v>0.28000000000000003</v>
      </c>
      <c r="BZ106" s="3174">
        <f>BZ104*0.9</f>
        <v>0.27</v>
      </c>
      <c r="CA106" s="1470"/>
      <c r="CB106" s="3174">
        <f t="shared" ref="CB106:CE106" si="153">CB104*0.9</f>
        <v>0.18000000000000002</v>
      </c>
      <c r="CC106" s="3174">
        <f t="shared" si="153"/>
        <v>0.15300000000000002</v>
      </c>
      <c r="CD106" s="3174">
        <f t="shared" si="153"/>
        <v>0.16200000000000001</v>
      </c>
      <c r="CE106" s="3174">
        <f t="shared" si="153"/>
        <v>0.22500000000000001</v>
      </c>
      <c r="CF106" s="862"/>
      <c r="CG106" s="862"/>
      <c r="CH106" s="862"/>
      <c r="CI106" s="862"/>
      <c r="CJ106" s="862"/>
      <c r="CK106" s="862"/>
      <c r="CL106" s="862"/>
    </row>
    <row r="107" spans="1:90">
      <c r="A107" s="862"/>
      <c r="G107" s="1364"/>
      <c r="H107" s="1364"/>
      <c r="I107" s="1364"/>
      <c r="J107" s="1364"/>
      <c r="K107" s="2256"/>
      <c r="L107" s="2090"/>
      <c r="M107" s="2090"/>
      <c r="N107" s="2090"/>
      <c r="O107" s="2090"/>
      <c r="P107" s="2090"/>
      <c r="Q107" s="2090"/>
      <c r="R107" s="2090"/>
      <c r="S107" s="2090"/>
      <c r="T107" s="2090"/>
      <c r="U107" s="2090"/>
      <c r="V107" s="2090"/>
      <c r="W107" s="1470"/>
      <c r="X107" s="862"/>
      <c r="Y107" s="862"/>
      <c r="Z107" s="862"/>
      <c r="AA107" s="862"/>
      <c r="AB107" s="862"/>
      <c r="AC107" s="1035"/>
      <c r="AD107" s="902"/>
      <c r="AE107" s="902"/>
      <c r="AF107" s="902"/>
      <c r="AG107" s="902"/>
      <c r="AH107" s="902"/>
      <c r="AI107" s="902"/>
      <c r="AJ107" s="902"/>
      <c r="AK107" s="902"/>
      <c r="AL107" s="902"/>
      <c r="AM107" s="902"/>
      <c r="AN107" s="902"/>
      <c r="AO107" s="902"/>
      <c r="AP107" s="902"/>
      <c r="AQ107" s="902"/>
      <c r="AR107" s="902"/>
      <c r="AS107" s="862"/>
      <c r="AT107" s="862"/>
      <c r="AU107" s="862"/>
      <c r="AV107" s="862"/>
      <c r="AW107" s="862"/>
      <c r="AX107" s="862"/>
      <c r="AY107" s="862"/>
      <c r="AZ107" s="862"/>
      <c r="BA107" s="862"/>
      <c r="BB107" s="862"/>
      <c r="BC107" s="906"/>
      <c r="BD107" s="906"/>
      <c r="BE107" s="906"/>
      <c r="BF107" s="906"/>
      <c r="BG107" s="862"/>
      <c r="BH107" s="1404"/>
      <c r="BI107" s="1404"/>
      <c r="BJ107" s="1404"/>
      <c r="BK107" s="906"/>
      <c r="BL107" s="862"/>
      <c r="BM107" s="906"/>
      <c r="BN107" s="906"/>
      <c r="BO107" s="906"/>
      <c r="BP107" s="1470"/>
      <c r="BQ107" s="862"/>
      <c r="BR107" s="1470"/>
      <c r="BS107" s="1470"/>
      <c r="BT107" s="1470"/>
      <c r="BU107" s="1470"/>
      <c r="BV107" s="1470"/>
      <c r="BW107" s="3161"/>
      <c r="BX107" s="3161"/>
      <c r="BY107" s="3161"/>
      <c r="BZ107" s="3161"/>
      <c r="CA107" s="1470"/>
      <c r="CB107" s="877"/>
      <c r="CC107" s="862"/>
      <c r="CD107" s="862"/>
      <c r="CE107" s="862"/>
      <c r="CF107" s="862"/>
      <c r="CG107" s="862"/>
      <c r="CH107" s="862"/>
      <c r="CI107" s="862"/>
      <c r="CJ107" s="862"/>
      <c r="CK107" s="862"/>
      <c r="CL107" s="862"/>
    </row>
    <row r="108" spans="1:90" ht="13.5" thickBot="1">
      <c r="A108" s="862"/>
      <c r="B108" s="36" t="s">
        <v>1258</v>
      </c>
      <c r="C108" s="862"/>
      <c r="D108" s="862"/>
      <c r="E108" s="862"/>
      <c r="F108" s="865"/>
      <c r="G108" s="865"/>
      <c r="H108" s="865"/>
      <c r="I108" s="865"/>
      <c r="J108" s="865"/>
      <c r="K108" s="1579"/>
      <c r="L108" s="1579"/>
      <c r="M108" s="1579"/>
      <c r="N108" s="1579"/>
      <c r="O108" s="1579"/>
      <c r="P108" s="1579"/>
      <c r="Q108" s="862"/>
      <c r="R108" s="862"/>
      <c r="S108" s="862"/>
      <c r="T108" s="862"/>
      <c r="U108" s="1470"/>
      <c r="V108" s="1604"/>
      <c r="W108" s="1470"/>
      <c r="X108" s="862"/>
      <c r="Y108" s="862"/>
      <c r="Z108" s="862"/>
      <c r="AA108" s="862"/>
      <c r="AB108" s="862"/>
      <c r="AC108" s="1035"/>
      <c r="AD108" s="862"/>
      <c r="AE108" s="862"/>
      <c r="AF108" s="862"/>
      <c r="AG108" s="862"/>
      <c r="AH108" s="862"/>
      <c r="AI108" s="862"/>
      <c r="AJ108" s="862"/>
      <c r="AK108" s="862"/>
      <c r="AL108" s="862"/>
      <c r="AM108" s="862"/>
      <c r="AN108" s="862"/>
      <c r="AO108" s="862"/>
      <c r="AP108" s="862"/>
      <c r="AQ108" s="862"/>
      <c r="AR108" s="862"/>
      <c r="AS108" s="862"/>
      <c r="AT108" s="862"/>
      <c r="AU108" s="862"/>
      <c r="AV108" s="862"/>
      <c r="AW108" s="862"/>
      <c r="BW108" s="2807"/>
      <c r="BX108" s="2807"/>
      <c r="BY108" s="2807"/>
      <c r="BZ108" s="2807"/>
      <c r="CB108" s="877"/>
    </row>
    <row r="109" spans="1:90" ht="12.75" customHeight="1" thickBot="1">
      <c r="A109" s="862"/>
      <c r="B109" s="2533">
        <f>B81</f>
        <v>1</v>
      </c>
      <c r="C109" s="877"/>
      <c r="D109" s="877"/>
      <c r="E109" s="877"/>
      <c r="F109" s="877"/>
      <c r="G109" s="877"/>
      <c r="H109" s="906"/>
      <c r="I109" s="906"/>
      <c r="J109" s="906"/>
      <c r="K109" s="1470"/>
      <c r="L109" s="1470"/>
      <c r="M109" s="1470"/>
      <c r="N109" s="1470"/>
      <c r="O109" s="1470"/>
      <c r="P109" s="1470"/>
      <c r="Q109" s="1470"/>
      <c r="R109" s="1470"/>
      <c r="S109" s="1470"/>
      <c r="T109" s="1470"/>
      <c r="U109" s="1470"/>
      <c r="V109" s="1470"/>
      <c r="W109" s="1470"/>
      <c r="X109" s="1470"/>
      <c r="Y109" s="862"/>
      <c r="Z109" s="862"/>
      <c r="AA109" s="862"/>
      <c r="AB109" s="862"/>
      <c r="AC109" s="1035"/>
      <c r="AD109" s="906"/>
      <c r="AE109" s="906"/>
      <c r="AF109" s="906"/>
      <c r="AG109" s="906"/>
      <c r="AH109" s="906"/>
      <c r="AI109" s="906"/>
      <c r="AJ109" s="906"/>
      <c r="AK109" s="906"/>
      <c r="AL109" s="906"/>
      <c r="AM109" s="906"/>
      <c r="AN109" s="906"/>
      <c r="AO109" s="906"/>
      <c r="AP109" s="906"/>
      <c r="AQ109" s="906"/>
      <c r="AR109" s="906"/>
      <c r="CB109" s="877"/>
    </row>
    <row r="110" spans="1:90" s="1577" customFormat="1">
      <c r="A110" s="1470"/>
      <c r="B110" s="1470"/>
      <c r="C110" s="1470"/>
      <c r="D110" s="1470"/>
      <c r="E110" s="1470"/>
      <c r="F110" s="1470"/>
      <c r="G110" s="2272">
        <f>+Showtime!X121</f>
        <v>22</v>
      </c>
      <c r="H110" s="2272">
        <f>+Showtime!Y121</f>
        <v>22.66</v>
      </c>
      <c r="I110" s="2272">
        <f>+Showtime!Z121</f>
        <v>23.113199999999999</v>
      </c>
      <c r="J110" s="2272">
        <f>+Showtime!AA121</f>
        <v>23.8</v>
      </c>
      <c r="K110" s="2272">
        <f>+Showtime!AB121</f>
        <v>24.514000000000003</v>
      </c>
      <c r="L110" s="2272">
        <f>+Showtime!AC121</f>
        <v>25.004280000000005</v>
      </c>
      <c r="M110" s="2272">
        <f>+Showtime!AD121</f>
        <v>25.316833500000005</v>
      </c>
      <c r="N110" s="2272">
        <f>+Showtime!AE121</f>
        <v>25.570001835000006</v>
      </c>
      <c r="O110" s="2272">
        <f>+Showtime!AF121</f>
        <v>25.825701853350008</v>
      </c>
      <c r="P110" s="2272">
        <f>+Showtime!AG121</f>
        <v>26.083958871883507</v>
      </c>
      <c r="Q110" s="2272">
        <f>+Showtime!AH121</f>
        <v>26.266546583986688</v>
      </c>
      <c r="R110" s="2272">
        <f>+Showtime!AI121</f>
        <v>26.371612770322635</v>
      </c>
      <c r="S110" s="2272">
        <f>+Showtime!AJ121</f>
        <v>26.411170189478121</v>
      </c>
      <c r="T110" s="2272">
        <f>+Showtime!AK121</f>
        <v>26.450786944762338</v>
      </c>
      <c r="U110" s="2272">
        <f>+Showtime!AL121</f>
        <v>26.490463125179485</v>
      </c>
      <c r="V110" s="2272">
        <f>+Showtime!AM121</f>
        <v>26.530198819867255</v>
      </c>
      <c r="W110" s="2272">
        <f>+Showtime!AN121</f>
        <v>26.569994118097057</v>
      </c>
      <c r="X110" s="1470"/>
      <c r="Y110" s="862"/>
      <c r="Z110" s="1470"/>
      <c r="AA110" s="1470"/>
      <c r="AB110" s="1470"/>
      <c r="AC110" s="1604"/>
      <c r="AD110" s="1470"/>
      <c r="AE110" s="1470"/>
      <c r="AF110" s="1470"/>
      <c r="AG110" s="1470"/>
      <c r="AH110" s="1470"/>
      <c r="AI110" s="1470"/>
      <c r="AJ110" s="1470"/>
      <c r="AK110" s="1470"/>
      <c r="AL110" s="1470"/>
      <c r="AM110" s="1470"/>
      <c r="AN110" s="1470"/>
      <c r="AO110" s="1470"/>
      <c r="AP110" s="1470"/>
      <c r="AQ110" s="1470"/>
      <c r="AR110" s="1470"/>
      <c r="CB110" s="877"/>
    </row>
    <row r="111" spans="1:90">
      <c r="A111" s="862"/>
      <c r="B111" s="6" t="s">
        <v>1259</v>
      </c>
      <c r="C111" s="1200"/>
      <c r="D111" s="1200"/>
      <c r="E111" s="1200"/>
      <c r="F111" s="1200"/>
      <c r="G111" s="1200"/>
      <c r="H111" s="878">
        <f t="shared" ref="H111:T111" si="154">+CHOOSE($B109,H112,H113,H114)</f>
        <v>3.0000000000000027E-2</v>
      </c>
      <c r="I111" s="878">
        <f t="shared" si="154"/>
        <v>2.0000000000000018E-2</v>
      </c>
      <c r="J111" s="878">
        <f>+CHOOSE($B109,J112,J113,J114)</f>
        <v>2.9714621947631636E-2</v>
      </c>
      <c r="K111" s="2081">
        <f t="shared" si="154"/>
        <v>3.0000000000000027E-2</v>
      </c>
      <c r="L111" s="2081">
        <f t="shared" si="154"/>
        <v>0.02</v>
      </c>
      <c r="M111" s="2081">
        <f t="shared" si="154"/>
        <v>1.2500000000000001E-2</v>
      </c>
      <c r="N111" s="2081">
        <f t="shared" si="154"/>
        <v>0.01</v>
      </c>
      <c r="O111" s="2081">
        <f t="shared" si="154"/>
        <v>0.01</v>
      </c>
      <c r="P111" s="2081">
        <f t="shared" si="154"/>
        <v>0.01</v>
      </c>
      <c r="Q111" s="878">
        <f t="shared" si="154"/>
        <v>7.0000000000000001E-3</v>
      </c>
      <c r="R111" s="878">
        <f t="shared" si="154"/>
        <v>4.0000000000000001E-3</v>
      </c>
      <c r="S111" s="878">
        <f t="shared" si="154"/>
        <v>1.5E-3</v>
      </c>
      <c r="T111" s="2081">
        <f t="shared" si="154"/>
        <v>1.5E-3</v>
      </c>
      <c r="U111" s="2081">
        <f>+CHOOSE($B109,U112,U113,U114)</f>
        <v>1.5E-3</v>
      </c>
      <c r="V111" s="2081">
        <f>+CHOOSE($B109,V112,V113,V114)</f>
        <v>1.5E-3</v>
      </c>
      <c r="W111" s="2081">
        <f>+CHOOSE($B109,W112,W113,W114)</f>
        <v>1.5E-3</v>
      </c>
      <c r="X111" s="862"/>
      <c r="Y111" s="862"/>
      <c r="Z111" s="862"/>
      <c r="AA111" s="862"/>
      <c r="AB111" s="862"/>
      <c r="AC111" s="1035"/>
      <c r="AD111" s="862"/>
      <c r="AE111" s="862"/>
      <c r="AF111" s="862"/>
      <c r="AG111" s="862"/>
      <c r="AH111" s="862"/>
      <c r="AI111" s="862"/>
      <c r="AJ111" s="862"/>
      <c r="AK111" s="862"/>
      <c r="AL111" s="862"/>
      <c r="AM111" s="862"/>
      <c r="AN111" s="862"/>
      <c r="AO111" s="862"/>
      <c r="AP111" s="862"/>
      <c r="AQ111" s="862"/>
      <c r="AR111" s="862"/>
      <c r="CB111" s="877"/>
    </row>
    <row r="112" spans="1:90">
      <c r="A112" s="906"/>
      <c r="B112" s="862"/>
      <c r="C112" s="1201"/>
      <c r="D112" s="1201"/>
      <c r="E112" s="1201"/>
      <c r="F112" s="1201"/>
      <c r="G112" s="1201"/>
      <c r="H112" s="877">
        <f>H110/G110-1</f>
        <v>3.0000000000000027E-2</v>
      </c>
      <c r="I112" s="877">
        <f>I110/H110-1</f>
        <v>2.0000000000000018E-2</v>
      </c>
      <c r="J112" s="877">
        <f>J110/I110-1</f>
        <v>2.9714621947631636E-2</v>
      </c>
      <c r="K112" s="877">
        <f>K110/J110-1</f>
        <v>3.0000000000000027E-2</v>
      </c>
      <c r="L112" s="1482">
        <v>0.02</v>
      </c>
      <c r="M112" s="1482">
        <v>1.2500000000000001E-2</v>
      </c>
      <c r="N112" s="1482">
        <v>0.01</v>
      </c>
      <c r="O112" s="1482">
        <v>0.01</v>
      </c>
      <c r="P112" s="1482">
        <v>0.01</v>
      </c>
      <c r="Q112" s="1482">
        <v>7.0000000000000001E-3</v>
      </c>
      <c r="R112" s="1482">
        <v>4.0000000000000001E-3</v>
      </c>
      <c r="S112" s="1482">
        <v>1.5E-3</v>
      </c>
      <c r="T112" s="1482">
        <v>1.5E-3</v>
      </c>
      <c r="U112" s="1482">
        <v>1.5E-3</v>
      </c>
      <c r="V112" s="1482">
        <v>1.5E-3</v>
      </c>
      <c r="W112" s="1482">
        <v>1.5E-3</v>
      </c>
      <c r="X112" s="862"/>
      <c r="Y112" s="862"/>
      <c r="Z112" s="862"/>
      <c r="AA112" s="862"/>
      <c r="AB112" s="862"/>
      <c r="AC112" s="1035"/>
      <c r="AD112" s="862"/>
      <c r="AE112" s="862"/>
      <c r="AF112" s="862"/>
      <c r="AG112" s="862"/>
      <c r="AH112" s="862"/>
      <c r="AI112" s="862"/>
      <c r="AJ112" s="862"/>
      <c r="AK112" s="862"/>
      <c r="AL112" s="862"/>
      <c r="AM112" s="862"/>
      <c r="AN112" s="862"/>
      <c r="AO112" s="862"/>
      <c r="AP112" s="862"/>
      <c r="AQ112" s="862"/>
      <c r="AR112" s="862"/>
      <c r="CB112" s="877"/>
    </row>
    <row r="113" spans="1:90">
      <c r="A113" s="862"/>
      <c r="B113" s="862"/>
      <c r="C113" s="1201"/>
      <c r="D113" s="1201"/>
      <c r="E113" s="1201"/>
      <c r="F113" s="1201"/>
      <c r="G113" s="1201"/>
      <c r="H113" s="1201">
        <f t="shared" ref="H113:J114" si="155">H112</f>
        <v>3.0000000000000027E-2</v>
      </c>
      <c r="I113" s="1201">
        <f t="shared" si="155"/>
        <v>2.0000000000000018E-2</v>
      </c>
      <c r="J113" s="1201">
        <f t="shared" si="155"/>
        <v>2.9714621947631636E-2</v>
      </c>
      <c r="K113" s="1201">
        <f>K112</f>
        <v>3.0000000000000027E-2</v>
      </c>
      <c r="L113" s="1737">
        <f>+L112+3%</f>
        <v>0.05</v>
      </c>
      <c r="M113" s="1737">
        <f>+M112+3.2%</f>
        <v>4.4499999999999998E-2</v>
      </c>
      <c r="N113" s="1737">
        <f>+N112+2.7%</f>
        <v>3.7000000000000005E-2</v>
      </c>
      <c r="O113" s="1737">
        <f>+O112+2.7%</f>
        <v>3.7000000000000005E-2</v>
      </c>
      <c r="P113" s="1737">
        <f>+P112+2.7%</f>
        <v>3.7000000000000005E-2</v>
      </c>
      <c r="Q113" s="1737">
        <f t="shared" ref="Q113:V113" si="156">+Q112+2.5%</f>
        <v>3.2000000000000001E-2</v>
      </c>
      <c r="R113" s="1737">
        <f t="shared" si="156"/>
        <v>2.9000000000000001E-2</v>
      </c>
      <c r="S113" s="877">
        <f t="shared" si="156"/>
        <v>2.6500000000000003E-2</v>
      </c>
      <c r="T113" s="1737">
        <f t="shared" si="156"/>
        <v>2.6500000000000003E-2</v>
      </c>
      <c r="U113" s="1737">
        <f t="shared" si="156"/>
        <v>2.6500000000000003E-2</v>
      </c>
      <c r="V113" s="1737">
        <f t="shared" si="156"/>
        <v>2.6500000000000003E-2</v>
      </c>
      <c r="W113" s="1737">
        <f t="shared" ref="W113" si="157">+W112+2.5%</f>
        <v>2.6500000000000003E-2</v>
      </c>
      <c r="X113" s="862"/>
      <c r="Y113" s="862"/>
      <c r="Z113" s="862"/>
      <c r="AA113" s="862"/>
      <c r="AB113" s="862"/>
      <c r="AC113" s="862"/>
      <c r="AD113" s="862"/>
      <c r="AE113" s="862"/>
      <c r="AF113" s="862"/>
      <c r="AG113" s="862"/>
      <c r="AH113" s="862"/>
      <c r="AI113" s="862"/>
      <c r="AJ113" s="862"/>
      <c r="AK113" s="862"/>
      <c r="AL113" s="862"/>
      <c r="AM113" s="862"/>
      <c r="AN113" s="862"/>
      <c r="AO113" s="862"/>
      <c r="AP113" s="862"/>
      <c r="AQ113" s="862"/>
      <c r="AR113" s="862"/>
      <c r="CB113" s="877"/>
    </row>
    <row r="114" spans="1:90">
      <c r="A114" s="862"/>
      <c r="B114" s="862"/>
      <c r="C114" s="1201"/>
      <c r="D114" s="1201"/>
      <c r="E114" s="1201"/>
      <c r="F114" s="1201"/>
      <c r="G114" s="1201"/>
      <c r="H114" s="1201">
        <f t="shared" si="155"/>
        <v>3.0000000000000027E-2</v>
      </c>
      <c r="I114" s="1201">
        <f t="shared" si="155"/>
        <v>2.0000000000000018E-2</v>
      </c>
      <c r="J114" s="1201">
        <f t="shared" si="155"/>
        <v>2.9714621947631636E-2</v>
      </c>
      <c r="K114" s="1201">
        <f>K113</f>
        <v>3.0000000000000027E-2</v>
      </c>
      <c r="L114" s="1737">
        <f>L112-2%</f>
        <v>0</v>
      </c>
      <c r="M114" s="1737">
        <f>M112-2%</f>
        <v>-7.4999999999999997E-3</v>
      </c>
      <c r="N114" s="1737">
        <f>N112-1.7%</f>
        <v>-7.000000000000001E-3</v>
      </c>
      <c r="O114" s="1737">
        <f>O112-1.7%</f>
        <v>-7.000000000000001E-3</v>
      </c>
      <c r="P114" s="1737">
        <f>P112-1.7%</f>
        <v>-7.000000000000001E-3</v>
      </c>
      <c r="Q114" s="1737">
        <f t="shared" ref="Q114:V114" si="158">Q112-1.5%</f>
        <v>-8.0000000000000002E-3</v>
      </c>
      <c r="R114" s="1737">
        <f t="shared" si="158"/>
        <v>-1.0999999999999999E-2</v>
      </c>
      <c r="S114" s="877">
        <f t="shared" si="158"/>
        <v>-1.35E-2</v>
      </c>
      <c r="T114" s="1737">
        <f t="shared" si="158"/>
        <v>-1.35E-2</v>
      </c>
      <c r="U114" s="1737">
        <f t="shared" si="158"/>
        <v>-1.35E-2</v>
      </c>
      <c r="V114" s="1737">
        <f t="shared" si="158"/>
        <v>-1.35E-2</v>
      </c>
      <c r="W114" s="1737">
        <f t="shared" ref="W114" si="159">W112-1.5%</f>
        <v>-1.35E-2</v>
      </c>
      <c r="X114" s="862"/>
      <c r="Y114" s="862"/>
      <c r="Z114" s="862"/>
      <c r="AA114" s="862"/>
      <c r="AB114" s="862"/>
      <c r="AC114" s="862"/>
      <c r="AD114" s="862"/>
      <c r="AE114" s="862"/>
      <c r="AF114" s="862"/>
      <c r="AG114" s="862"/>
      <c r="AH114" s="862"/>
      <c r="AI114" s="862"/>
      <c r="AJ114" s="862"/>
      <c r="AK114" s="862"/>
      <c r="AL114" s="862"/>
      <c r="AM114" s="862"/>
      <c r="AN114" s="862"/>
      <c r="AO114" s="862"/>
      <c r="AP114" s="862"/>
      <c r="AQ114" s="862"/>
      <c r="AR114" s="862"/>
      <c r="CB114" s="877"/>
    </row>
    <row r="115" spans="1:90">
      <c r="A115" s="862"/>
      <c r="B115" s="862"/>
      <c r="C115" s="862"/>
      <c r="D115" s="862"/>
      <c r="E115" s="862"/>
      <c r="F115" s="865"/>
      <c r="G115" s="865"/>
      <c r="H115" s="865"/>
      <c r="I115" s="865"/>
      <c r="J115" s="865"/>
      <c r="K115" s="1579"/>
      <c r="L115" s="1470"/>
      <c r="M115" s="1470"/>
      <c r="N115" s="2092"/>
      <c r="O115" s="1470"/>
      <c r="P115" s="1470"/>
      <c r="Q115" s="1470"/>
      <c r="R115" s="1470"/>
      <c r="S115" s="906"/>
      <c r="T115" s="1470"/>
      <c r="U115" s="1470"/>
      <c r="V115" s="862"/>
      <c r="W115" s="862"/>
      <c r="X115" s="862"/>
      <c r="Y115" s="862"/>
      <c r="Z115" s="862"/>
      <c r="AA115" s="862"/>
      <c r="AB115" s="862"/>
      <c r="AC115" s="862"/>
      <c r="AD115" s="862"/>
      <c r="AE115" s="862"/>
      <c r="AF115" s="862"/>
      <c r="AG115" s="862"/>
      <c r="AH115" s="862"/>
      <c r="AI115" s="862"/>
      <c r="AJ115" s="862"/>
      <c r="AK115" s="862"/>
      <c r="AL115" s="862"/>
      <c r="AM115" s="862"/>
      <c r="AN115" s="862"/>
      <c r="AO115" s="862"/>
      <c r="AP115" s="862"/>
      <c r="AQ115" s="862"/>
      <c r="AR115" s="862"/>
      <c r="CB115" s="877"/>
    </row>
    <row r="116" spans="1:90">
      <c r="A116" s="862"/>
      <c r="B116" s="862"/>
      <c r="C116" s="862"/>
      <c r="D116" s="862"/>
      <c r="E116" s="862"/>
      <c r="F116" s="862"/>
      <c r="G116" s="862"/>
      <c r="H116" s="1388"/>
      <c r="I116" s="1388"/>
      <c r="J116" s="1388"/>
      <c r="K116" s="2273"/>
      <c r="L116" s="2273"/>
      <c r="M116" s="2273"/>
      <c r="N116" s="2273"/>
      <c r="O116" s="2273"/>
      <c r="P116" s="2273"/>
      <c r="Q116" s="1388"/>
      <c r="R116" s="1388"/>
      <c r="S116" s="1388"/>
      <c r="T116" s="2273"/>
      <c r="U116" s="2273"/>
      <c r="V116" s="862"/>
      <c r="W116" s="862"/>
      <c r="X116" s="862"/>
      <c r="Y116" s="862"/>
      <c r="Z116" s="862"/>
      <c r="AA116" s="862"/>
      <c r="AB116" s="862"/>
      <c r="AC116" s="862"/>
      <c r="AD116" s="862"/>
      <c r="AE116" s="862"/>
      <c r="AF116" s="862"/>
      <c r="AG116" s="862"/>
      <c r="AH116" s="862"/>
      <c r="AI116" s="862"/>
      <c r="AJ116" s="862"/>
      <c r="AK116" s="862"/>
      <c r="AL116" s="862"/>
      <c r="AM116" s="862"/>
      <c r="AN116" s="862"/>
      <c r="AO116" s="862"/>
      <c r="AP116" s="862"/>
      <c r="AQ116" s="862"/>
      <c r="AR116" s="862"/>
      <c r="CB116" s="877"/>
    </row>
    <row r="117" spans="1:90">
      <c r="A117" s="862"/>
      <c r="B117" s="6" t="s">
        <v>1260</v>
      </c>
      <c r="C117" s="1200"/>
      <c r="D117" s="1200"/>
      <c r="E117" s="1200"/>
      <c r="F117" s="1200"/>
      <c r="G117" s="878">
        <f t="shared" ref="G117:T117" si="160">+CHOOSE($B109,G118,G119,G120)</f>
        <v>0.1</v>
      </c>
      <c r="H117" s="878">
        <f t="shared" si="160"/>
        <v>0.1</v>
      </c>
      <c r="I117" s="878">
        <f t="shared" si="160"/>
        <v>6.5000000000000002E-2</v>
      </c>
      <c r="J117" s="878">
        <f t="shared" si="160"/>
        <v>0.05</v>
      </c>
      <c r="K117" s="2081">
        <f t="shared" si="160"/>
        <v>0.05</v>
      </c>
      <c r="L117" s="2081">
        <f t="shared" si="160"/>
        <v>0.05</v>
      </c>
      <c r="M117" s="2081">
        <f t="shared" si="160"/>
        <v>5.5E-2</v>
      </c>
      <c r="N117" s="2081">
        <f t="shared" si="160"/>
        <v>5.5E-2</v>
      </c>
      <c r="O117" s="2081">
        <f t="shared" si="160"/>
        <v>0.05</v>
      </c>
      <c r="P117" s="2081">
        <f t="shared" si="160"/>
        <v>4.9000000000000002E-2</v>
      </c>
      <c r="Q117" s="878">
        <f t="shared" si="160"/>
        <v>4.8000000000000001E-2</v>
      </c>
      <c r="R117" s="878">
        <f t="shared" si="160"/>
        <v>4.7E-2</v>
      </c>
      <c r="S117" s="878">
        <f t="shared" si="160"/>
        <v>4.5999999999999999E-2</v>
      </c>
      <c r="T117" s="2081">
        <f t="shared" si="160"/>
        <v>4.4999999999999998E-2</v>
      </c>
      <c r="U117" s="2081">
        <f>+CHOOSE($B109,U118,U119,U120)</f>
        <v>4.3999999999999997E-2</v>
      </c>
      <c r="V117" s="2081">
        <f>+CHOOSE($B109,V118,V119,V120)</f>
        <v>4.2999999999999997E-2</v>
      </c>
      <c r="W117" s="2081">
        <f>+CHOOSE($B109,W118,W119,W120)</f>
        <v>4.1999999999999996E-2</v>
      </c>
      <c r="X117" s="862"/>
      <c r="Y117" s="862"/>
      <c r="Z117" s="862"/>
      <c r="AA117" s="862"/>
      <c r="AB117" s="862"/>
      <c r="AC117" s="862"/>
      <c r="AD117" s="862"/>
      <c r="AE117" s="862"/>
      <c r="AF117" s="862"/>
      <c r="AG117" s="862"/>
      <c r="AH117" s="862"/>
      <c r="AI117" s="862"/>
      <c r="AJ117" s="862"/>
      <c r="AK117" s="862"/>
      <c r="AL117" s="862"/>
      <c r="AM117" s="862"/>
      <c r="AN117" s="862"/>
      <c r="AO117" s="862"/>
      <c r="AP117" s="862"/>
      <c r="AQ117" s="862"/>
      <c r="AR117" s="862"/>
      <c r="CB117" s="877"/>
    </row>
    <row r="118" spans="1:90">
      <c r="A118" s="862"/>
      <c r="B118" s="862"/>
      <c r="C118" s="1201"/>
      <c r="D118" s="1201"/>
      <c r="E118" s="1201"/>
      <c r="F118" s="1201"/>
      <c r="G118" s="130">
        <v>0.1</v>
      </c>
      <c r="H118" s="130">
        <v>0.1</v>
      </c>
      <c r="I118" s="130">
        <v>6.5000000000000002E-2</v>
      </c>
      <c r="J118" s="130">
        <v>0.05</v>
      </c>
      <c r="K118" s="1482">
        <v>0.05</v>
      </c>
      <c r="L118" s="1482">
        <v>0.05</v>
      </c>
      <c r="M118" s="1482">
        <v>5.5E-2</v>
      </c>
      <c r="N118" s="1482">
        <v>5.5E-2</v>
      </c>
      <c r="O118" s="1482">
        <v>0.05</v>
      </c>
      <c r="P118" s="1482">
        <f t="shared" ref="P118:W118" si="161">MAX(O118-0.001, 2%)</f>
        <v>4.9000000000000002E-2</v>
      </c>
      <c r="Q118" s="1482">
        <f t="shared" si="161"/>
        <v>4.8000000000000001E-2</v>
      </c>
      <c r="R118" s="1482">
        <f t="shared" si="161"/>
        <v>4.7E-2</v>
      </c>
      <c r="S118" s="1482">
        <f t="shared" si="161"/>
        <v>4.5999999999999999E-2</v>
      </c>
      <c r="T118" s="1482">
        <f t="shared" si="161"/>
        <v>4.4999999999999998E-2</v>
      </c>
      <c r="U118" s="1482">
        <f t="shared" si="161"/>
        <v>4.3999999999999997E-2</v>
      </c>
      <c r="V118" s="1482">
        <f t="shared" si="161"/>
        <v>4.2999999999999997E-2</v>
      </c>
      <c r="W118" s="1482">
        <f t="shared" si="161"/>
        <v>4.1999999999999996E-2</v>
      </c>
      <c r="X118" s="862"/>
      <c r="Y118" s="862"/>
      <c r="Z118" s="862"/>
      <c r="AA118" s="862"/>
      <c r="AB118" s="862"/>
      <c r="AC118" s="862"/>
      <c r="AD118" s="862"/>
      <c r="AE118" s="862"/>
      <c r="AF118" s="862"/>
      <c r="AG118" s="862"/>
      <c r="AH118" s="862"/>
      <c r="AI118" s="862"/>
      <c r="AJ118" s="862"/>
      <c r="AK118" s="862"/>
      <c r="AL118" s="862"/>
      <c r="AM118" s="862"/>
      <c r="AN118" s="862"/>
      <c r="AO118" s="862"/>
      <c r="AP118" s="862"/>
      <c r="AQ118" s="862"/>
      <c r="AR118" s="862"/>
      <c r="CB118" s="877"/>
    </row>
    <row r="119" spans="1:90">
      <c r="A119" s="862"/>
      <c r="B119" s="862"/>
      <c r="C119" s="1201"/>
      <c r="D119" s="1201"/>
      <c r="E119" s="1201"/>
      <c r="F119" s="1201"/>
      <c r="G119" s="1201">
        <f>G118</f>
        <v>0.1</v>
      </c>
      <c r="H119" s="1201">
        <f>H118</f>
        <v>0.1</v>
      </c>
      <c r="I119" s="1201">
        <f>I118</f>
        <v>6.5000000000000002E-2</v>
      </c>
      <c r="J119" s="1201">
        <f>J118</f>
        <v>0.05</v>
      </c>
      <c r="K119" s="1201">
        <f>K118</f>
        <v>0.05</v>
      </c>
      <c r="L119" s="1737">
        <f>L118+0.015</f>
        <v>6.5000000000000002E-2</v>
      </c>
      <c r="M119" s="1737">
        <f t="shared" ref="M119:V119" si="162">M118+0.015</f>
        <v>7.0000000000000007E-2</v>
      </c>
      <c r="N119" s="1737">
        <f t="shared" si="162"/>
        <v>7.0000000000000007E-2</v>
      </c>
      <c r="O119" s="1737">
        <f t="shared" si="162"/>
        <v>6.5000000000000002E-2</v>
      </c>
      <c r="P119" s="1737">
        <f t="shared" si="162"/>
        <v>6.4000000000000001E-2</v>
      </c>
      <c r="Q119" s="1737">
        <f t="shared" si="162"/>
        <v>6.3E-2</v>
      </c>
      <c r="R119" s="1737">
        <f t="shared" si="162"/>
        <v>6.2E-2</v>
      </c>
      <c r="S119" s="1737">
        <f t="shared" si="162"/>
        <v>6.0999999999999999E-2</v>
      </c>
      <c r="T119" s="1737">
        <f t="shared" si="162"/>
        <v>0.06</v>
      </c>
      <c r="U119" s="1737">
        <f t="shared" si="162"/>
        <v>5.8999999999999997E-2</v>
      </c>
      <c r="V119" s="1737">
        <f t="shared" si="162"/>
        <v>5.7999999999999996E-2</v>
      </c>
      <c r="W119" s="1737">
        <f t="shared" ref="W119" si="163">W118+0.015</f>
        <v>5.6999999999999995E-2</v>
      </c>
      <c r="X119" s="862"/>
      <c r="Y119" s="862"/>
      <c r="Z119" s="862"/>
      <c r="AA119" s="862"/>
      <c r="AB119" s="862"/>
      <c r="AC119" s="862"/>
      <c r="AD119" s="862"/>
      <c r="AE119" s="862"/>
      <c r="AF119" s="862"/>
      <c r="AG119" s="862"/>
      <c r="AH119" s="862"/>
      <c r="AI119" s="862"/>
      <c r="AJ119" s="862"/>
      <c r="AK119" s="862"/>
      <c r="AL119" s="862"/>
      <c r="AM119" s="862"/>
      <c r="AN119" s="862"/>
      <c r="AO119" s="862"/>
      <c r="AP119" s="862"/>
      <c r="AQ119" s="862"/>
      <c r="AR119" s="862"/>
      <c r="CB119" s="877"/>
    </row>
    <row r="120" spans="1:90">
      <c r="A120" s="862"/>
      <c r="B120" s="862"/>
      <c r="C120" s="1201"/>
      <c r="D120" s="1201"/>
      <c r="E120" s="1201"/>
      <c r="F120" s="1201"/>
      <c r="G120" s="1201">
        <f>G118</f>
        <v>0.1</v>
      </c>
      <c r="H120" s="1201">
        <f>H118</f>
        <v>0.1</v>
      </c>
      <c r="I120" s="1201">
        <f>I118</f>
        <v>6.5000000000000002E-2</v>
      </c>
      <c r="J120" s="1201">
        <f>J118</f>
        <v>0.05</v>
      </c>
      <c r="K120" s="1201">
        <f>K118</f>
        <v>0.05</v>
      </c>
      <c r="L120" s="1737">
        <f t="shared" ref="L120:T120" si="164">L118-0.01</f>
        <v>0.04</v>
      </c>
      <c r="M120" s="1737">
        <f t="shared" si="164"/>
        <v>4.4999999999999998E-2</v>
      </c>
      <c r="N120" s="1737">
        <f t="shared" si="164"/>
        <v>4.4999999999999998E-2</v>
      </c>
      <c r="O120" s="1737">
        <f t="shared" si="164"/>
        <v>0.04</v>
      </c>
      <c r="P120" s="1737">
        <f t="shared" si="164"/>
        <v>3.9E-2</v>
      </c>
      <c r="Q120" s="877">
        <f t="shared" si="164"/>
        <v>3.7999999999999999E-2</v>
      </c>
      <c r="R120" s="877">
        <f t="shared" si="164"/>
        <v>3.6999999999999998E-2</v>
      </c>
      <c r="S120" s="877">
        <f t="shared" si="164"/>
        <v>3.5999999999999997E-2</v>
      </c>
      <c r="T120" s="1737">
        <f t="shared" si="164"/>
        <v>3.4999999999999996E-2</v>
      </c>
      <c r="U120" s="1737">
        <f>U118-0.01</f>
        <v>3.3999999999999996E-2</v>
      </c>
      <c r="V120" s="1737">
        <f>V118-0.01</f>
        <v>3.2999999999999995E-2</v>
      </c>
      <c r="W120" s="1737">
        <f>W118-0.01</f>
        <v>3.1999999999999994E-2</v>
      </c>
      <c r="X120" s="862"/>
      <c r="Y120" s="862"/>
      <c r="Z120" s="862"/>
      <c r="AA120" s="862"/>
      <c r="AB120" s="862"/>
      <c r="AC120" s="862"/>
      <c r="AD120" s="862"/>
      <c r="AE120" s="862"/>
      <c r="AF120" s="862"/>
      <c r="AG120" s="862"/>
      <c r="AH120" s="862"/>
      <c r="AI120" s="862"/>
      <c r="AJ120" s="862"/>
      <c r="AK120" s="862"/>
      <c r="AL120" s="862"/>
      <c r="AM120" s="862"/>
      <c r="AN120" s="862"/>
      <c r="AO120" s="862"/>
      <c r="AP120" s="862"/>
      <c r="AQ120" s="862"/>
      <c r="AR120" s="862"/>
      <c r="CB120" s="877"/>
    </row>
    <row r="121" spans="1:90">
      <c r="A121" s="862"/>
      <c r="B121" s="862"/>
      <c r="C121" s="1201"/>
      <c r="D121" s="1201"/>
      <c r="E121" s="1201"/>
      <c r="F121" s="1201"/>
      <c r="G121" s="1201"/>
      <c r="H121" s="1201"/>
      <c r="I121" s="877"/>
      <c r="J121" s="877"/>
      <c r="K121" s="1737"/>
      <c r="L121" s="1737"/>
      <c r="M121" s="1737"/>
      <c r="N121" s="1737"/>
      <c r="O121" s="1737"/>
      <c r="P121" s="1737"/>
      <c r="Q121" s="877"/>
      <c r="R121" s="877"/>
      <c r="S121" s="877"/>
      <c r="T121" s="1737"/>
      <c r="U121" s="1737"/>
      <c r="V121" s="877"/>
      <c r="W121" s="862"/>
      <c r="X121" s="862"/>
      <c r="Y121" s="862"/>
      <c r="Z121" s="862"/>
      <c r="AA121" s="862"/>
      <c r="AB121" s="862"/>
      <c r="AC121" s="862"/>
      <c r="AD121" s="862"/>
      <c r="AE121" s="862"/>
      <c r="AF121" s="862"/>
      <c r="AG121" s="862"/>
      <c r="AH121" s="862"/>
      <c r="AI121" s="862"/>
      <c r="AJ121" s="862"/>
      <c r="AK121" s="862"/>
      <c r="AL121" s="862"/>
      <c r="AM121" s="862"/>
      <c r="AN121" s="862"/>
      <c r="AO121" s="862"/>
      <c r="AP121" s="862"/>
      <c r="AQ121" s="862"/>
      <c r="AR121" s="862"/>
      <c r="BQ121" s="862"/>
      <c r="BR121" s="1577"/>
      <c r="BS121" s="1577"/>
      <c r="BT121" s="1577"/>
      <c r="BU121" s="1577"/>
      <c r="BV121" s="1577"/>
      <c r="BW121" s="1577"/>
      <c r="BX121" s="1577"/>
      <c r="BY121" s="1577"/>
      <c r="BZ121" s="1577"/>
      <c r="CA121" s="1577"/>
      <c r="CB121" s="877"/>
    </row>
    <row r="122" spans="1:90" ht="13.5" thickBot="1">
      <c r="A122" s="862"/>
      <c r="B122" s="862"/>
      <c r="C122" s="1201"/>
      <c r="D122" s="1201"/>
      <c r="E122" s="1201"/>
      <c r="F122" s="1201"/>
      <c r="G122" s="1201"/>
      <c r="H122" s="1201"/>
      <c r="I122" s="877"/>
      <c r="J122" s="877"/>
      <c r="K122" s="1737"/>
      <c r="L122" s="1737"/>
      <c r="M122" s="1737"/>
      <c r="N122" s="1737"/>
      <c r="O122" s="1737"/>
      <c r="P122" s="1737"/>
      <c r="Q122" s="877"/>
      <c r="R122" s="877"/>
      <c r="S122" s="877"/>
      <c r="T122" s="1737"/>
      <c r="U122" s="1737"/>
      <c r="V122" s="877"/>
      <c r="W122" s="862"/>
      <c r="X122" s="862"/>
      <c r="Y122" s="862"/>
      <c r="Z122" s="862"/>
      <c r="AA122" s="862"/>
      <c r="AB122" s="862"/>
      <c r="AC122" s="862"/>
      <c r="AD122" s="862"/>
      <c r="AE122" s="862"/>
      <c r="AF122" s="862"/>
      <c r="AG122" s="862"/>
      <c r="AH122" s="862"/>
      <c r="AI122" s="862"/>
      <c r="AJ122" s="862"/>
      <c r="AK122" s="862"/>
      <c r="AL122" s="862"/>
      <c r="AM122" s="862"/>
      <c r="AN122" s="862"/>
      <c r="AO122" s="862"/>
      <c r="AP122" s="862"/>
      <c r="AQ122" s="862"/>
      <c r="AR122" s="862"/>
      <c r="BQ122" s="862"/>
      <c r="BR122" s="1577"/>
      <c r="BS122" s="1577"/>
      <c r="BT122" s="1577"/>
      <c r="BU122" s="1577"/>
      <c r="BV122" s="1577"/>
      <c r="BW122" s="1577"/>
      <c r="BX122" s="1577"/>
      <c r="BY122" s="1577"/>
      <c r="BZ122" s="1577"/>
      <c r="CA122" s="1577"/>
      <c r="CB122" s="877"/>
    </row>
    <row r="123" spans="1:90" ht="13.5" thickBot="1">
      <c r="A123" s="862"/>
      <c r="B123" s="2533">
        <f>B81</f>
        <v>1</v>
      </c>
      <c r="C123" s="877"/>
      <c r="D123" s="877"/>
      <c r="E123" s="877"/>
      <c r="F123" s="877"/>
      <c r="G123" s="877"/>
      <c r="H123" s="1174"/>
      <c r="I123" s="1174"/>
      <c r="J123" s="1313" t="s">
        <v>572</v>
      </c>
      <c r="K123" s="1604"/>
      <c r="L123" s="1604"/>
      <c r="M123" s="1604"/>
      <c r="N123" s="1604"/>
      <c r="O123" s="1604"/>
      <c r="P123" s="1604"/>
      <c r="Q123" s="1604"/>
      <c r="R123" s="1604"/>
      <c r="S123" s="1604"/>
      <c r="T123" s="1604"/>
      <c r="U123" s="1604"/>
      <c r="V123" s="1604"/>
      <c r="W123" s="1604"/>
      <c r="X123" s="1604"/>
      <c r="Y123" s="862"/>
      <c r="Z123" s="862"/>
      <c r="AA123" s="862"/>
      <c r="AB123" s="862"/>
      <c r="AC123" s="902"/>
      <c r="AD123" s="902"/>
      <c r="AE123" s="902"/>
      <c r="AF123" s="902"/>
      <c r="AG123" s="902"/>
      <c r="AH123" s="902"/>
      <c r="AI123" s="902"/>
      <c r="AJ123" s="902"/>
      <c r="AK123" s="902"/>
      <c r="AL123" s="902"/>
      <c r="AM123" s="902"/>
      <c r="AN123" s="877"/>
      <c r="AO123" s="877"/>
      <c r="AP123" s="877"/>
      <c r="AQ123" s="877"/>
      <c r="AR123" s="902"/>
      <c r="AS123" s="877"/>
      <c r="AT123" s="877"/>
      <c r="AU123" s="877"/>
      <c r="AV123" s="877"/>
      <c r="AW123" s="862"/>
      <c r="AX123" s="862"/>
      <c r="AY123" s="862"/>
      <c r="AZ123" s="862"/>
      <c r="BA123" s="862"/>
      <c r="BB123" s="862"/>
      <c r="BC123" s="867"/>
      <c r="BD123" s="906"/>
      <c r="BE123" s="906"/>
      <c r="BF123" s="906"/>
      <c r="BG123" s="862"/>
      <c r="BH123" s="1404"/>
      <c r="BI123" s="1404"/>
      <c r="BJ123" s="1404"/>
      <c r="BK123" s="906"/>
      <c r="BL123" s="862"/>
      <c r="BM123" s="906"/>
      <c r="BN123" s="906"/>
      <c r="BO123" s="906"/>
      <c r="BP123" s="906"/>
      <c r="BQ123" s="862"/>
      <c r="BR123" s="1470"/>
      <c r="BS123" s="1470"/>
      <c r="BT123" s="1470"/>
      <c r="BU123" s="1470"/>
      <c r="BV123" s="1470"/>
      <c r="BW123" s="1470"/>
      <c r="BX123" s="1470"/>
      <c r="BY123" s="1470"/>
      <c r="BZ123" s="1470"/>
      <c r="CA123" s="1470"/>
      <c r="CB123" s="877"/>
      <c r="CC123" s="862"/>
      <c r="CD123" s="862"/>
      <c r="CE123" s="862"/>
      <c r="CF123" s="862"/>
      <c r="CG123" s="862"/>
      <c r="CH123" s="862"/>
      <c r="CI123" s="862"/>
      <c r="CJ123" s="862"/>
      <c r="CK123" s="862"/>
      <c r="CL123" s="862"/>
    </row>
    <row r="124" spans="1:90">
      <c r="A124" s="906"/>
      <c r="B124" s="906" t="s">
        <v>1395</v>
      </c>
      <c r="C124" s="1174"/>
      <c r="D124" s="1174"/>
      <c r="E124" s="1174"/>
      <c r="F124" s="2194"/>
      <c r="G124" s="2169">
        <f t="shared" ref="G124:T124" si="165">+CHOOSE($B$123,G125,G126,G127)</f>
        <v>274</v>
      </c>
      <c r="H124" s="2169">
        <f t="shared" si="165"/>
        <v>497.9</v>
      </c>
      <c r="I124" s="2000">
        <f t="shared" si="165"/>
        <v>35000</v>
      </c>
      <c r="J124" s="2000">
        <f t="shared" si="165"/>
        <v>12500</v>
      </c>
      <c r="K124" s="2000">
        <f t="shared" si="165"/>
        <v>12500</v>
      </c>
      <c r="L124" s="2000">
        <f t="shared" si="165"/>
        <v>15625</v>
      </c>
      <c r="M124" s="2000">
        <f t="shared" si="165"/>
        <v>17187.5</v>
      </c>
      <c r="N124" s="2000">
        <f t="shared" si="165"/>
        <v>18906.25</v>
      </c>
      <c r="O124" s="2000">
        <f t="shared" si="165"/>
        <v>20796.875</v>
      </c>
      <c r="P124" s="2000">
        <f t="shared" si="165"/>
        <v>21836.71875</v>
      </c>
      <c r="Q124" s="2000">
        <f t="shared" si="165"/>
        <v>22710.1875</v>
      </c>
      <c r="R124" s="2000">
        <f t="shared" si="165"/>
        <v>23391.493125000001</v>
      </c>
      <c r="S124" s="2000">
        <f t="shared" si="165"/>
        <v>24093.237918750001</v>
      </c>
      <c r="T124" s="2000">
        <f t="shared" si="165"/>
        <v>24816.035056312503</v>
      </c>
      <c r="U124" s="2000">
        <f>+CHOOSE($B$123,U125,U126,U127)</f>
        <v>25560.516108001877</v>
      </c>
      <c r="V124" s="2000">
        <f>+CHOOSE($B$123,V125,V126,V127)</f>
        <v>26327.331591241935</v>
      </c>
      <c r="W124" s="2000">
        <f>+CHOOSE($B$123,W125,W126,W127)</f>
        <v>27117.151538979193</v>
      </c>
      <c r="X124" s="862"/>
      <c r="Y124" s="862"/>
      <c r="Z124" s="862"/>
      <c r="AA124" s="862"/>
      <c r="AB124" s="862"/>
      <c r="AC124" s="1035"/>
      <c r="AD124" s="1035"/>
      <c r="AE124" s="1035"/>
      <c r="AF124" s="1035"/>
      <c r="AG124" s="1035"/>
      <c r="AH124" s="1035"/>
      <c r="AI124" s="1035"/>
      <c r="AJ124" s="1035"/>
      <c r="AK124" s="1035"/>
      <c r="AL124" s="1035"/>
      <c r="AM124" s="1035"/>
      <c r="AN124" s="1174"/>
      <c r="AO124" s="1174"/>
      <c r="AP124" s="1174"/>
      <c r="AQ124" s="1174"/>
      <c r="AR124" s="1035"/>
      <c r="AS124" s="1174"/>
      <c r="AT124" s="1174"/>
      <c r="AU124" s="1174"/>
      <c r="AV124" s="1174"/>
      <c r="AW124" s="906"/>
      <c r="AX124" s="2169">
        <f>+CHOOSE($B$123,AX125,AX126,AX127)</f>
        <v>82</v>
      </c>
      <c r="AY124" s="2169">
        <f>+CHOOSE($B$123,AY125,AY126,AY127)</f>
        <v>8</v>
      </c>
      <c r="AZ124" s="2169">
        <f>+CHOOSE($B$123,AZ125,AZ126,AZ127)</f>
        <v>110</v>
      </c>
      <c r="BA124" s="2169">
        <f>+CHOOSE($B$123,BA125,BA126,BA127)</f>
        <v>74</v>
      </c>
      <c r="BB124" s="1470"/>
      <c r="BC124" s="2169">
        <f>+CHOOSE($B$123,BC125,BC126,BC127)</f>
        <v>236</v>
      </c>
      <c r="BD124" s="2169">
        <f>+CHOOSE($B$123,BD125,BD126,BD127)</f>
        <v>77</v>
      </c>
      <c r="BE124" s="2169">
        <f>+CHOOSE($B$123,BE125,BE126,BE127)</f>
        <v>69.900000000000006</v>
      </c>
      <c r="BF124" s="2169">
        <f>+CHOOSE($B$123,BF125,BF126,BF127)</f>
        <v>115</v>
      </c>
      <c r="BG124" s="1470"/>
      <c r="BH124" s="2032">
        <f>+CHOOSE($B$123,BH125,BH126,BH127)</f>
        <v>200</v>
      </c>
      <c r="BI124" s="2032">
        <f>+CHOOSE($B$123,BI125,BI126,BI127)</f>
        <v>41</v>
      </c>
      <c r="BJ124" s="2032">
        <f>+CHOOSE($B$123,BJ125,BJ126,BJ127)</f>
        <v>63</v>
      </c>
      <c r="BK124" s="2169">
        <f>+CHOOSE($B$123,BK125,BK126,BK127)</f>
        <v>115</v>
      </c>
      <c r="BL124" s="1470"/>
      <c r="BM124" s="2052">
        <f>+CHOOSE($B$123,BM125,BM126,BM127)</f>
        <v>63</v>
      </c>
      <c r="BN124" s="2052">
        <f>+CHOOSE($B$123,BN125,BN126,BN127)</f>
        <v>63</v>
      </c>
      <c r="BO124" s="2052">
        <f>+CHOOSE($B$123,BO125,BO126,BO127)</f>
        <v>63</v>
      </c>
      <c r="BP124" s="2052">
        <f>+CHOOSE($B$123,BP125,BP126,BP127)</f>
        <v>63</v>
      </c>
      <c r="BQ124" s="862"/>
      <c r="BR124" s="2052">
        <f>+CHOOSE($B$123,BR125,BR126,BR127)</f>
        <v>63</v>
      </c>
      <c r="BS124" s="2052">
        <f>+CHOOSE($B$123,BS125,BS126,BS127)</f>
        <v>63</v>
      </c>
      <c r="BT124" s="2052">
        <f>+CHOOSE($B$123,BT125,BT126,BT127)</f>
        <v>63</v>
      </c>
      <c r="BU124" s="2052">
        <f>+CHOOSE($B$123,BU125,BU126,BU127)</f>
        <v>63</v>
      </c>
      <c r="BV124" s="1470"/>
      <c r="BW124" s="2052">
        <f>+CHOOSE($B$123,BW125,BW126,BW127)</f>
        <v>63</v>
      </c>
      <c r="BX124" s="2052">
        <f>+CHOOSE($B$123,BX125,BX126,BX127)</f>
        <v>63</v>
      </c>
      <c r="BY124" s="2052">
        <f>+CHOOSE($B$123,BY125,BY126,BY127)</f>
        <v>63</v>
      </c>
      <c r="BZ124" s="2052">
        <f>+CHOOSE($B$123,BZ125,BZ126,BZ127)</f>
        <v>63</v>
      </c>
      <c r="CA124" s="906"/>
      <c r="CB124" s="3277"/>
      <c r="CC124" s="3278"/>
      <c r="CD124" s="3278"/>
      <c r="CE124" s="3278"/>
      <c r="CF124" s="906"/>
      <c r="CG124" s="906"/>
      <c r="CH124" s="906"/>
      <c r="CI124" s="906"/>
      <c r="CJ124" s="906"/>
      <c r="CK124" s="906"/>
      <c r="CL124" s="906"/>
    </row>
    <row r="125" spans="1:90">
      <c r="A125" s="906"/>
      <c r="B125" s="906" t="s">
        <v>354</v>
      </c>
      <c r="C125" s="1174"/>
      <c r="D125" s="1174"/>
      <c r="E125" s="1174"/>
      <c r="F125" s="2155">
        <f>(190+10)</f>
        <v>200</v>
      </c>
      <c r="G125" s="2161">
        <f>SUM(AX125:BA125)</f>
        <v>274</v>
      </c>
      <c r="H125" s="2195">
        <f>SUM(BC125:BF125)</f>
        <v>497.9</v>
      </c>
      <c r="I125" s="1815">
        <v>35000</v>
      </c>
      <c r="J125" s="1815">
        <v>12500</v>
      </c>
      <c r="K125" s="1815">
        <f>+J125</f>
        <v>12500</v>
      </c>
      <c r="L125" s="1815">
        <f>(K125)*1.25</f>
        <v>15625</v>
      </c>
      <c r="M125" s="1815">
        <f>L125*1.1</f>
        <v>17187.5</v>
      </c>
      <c r="N125" s="1815">
        <f>M125*1.1</f>
        <v>18906.25</v>
      </c>
      <c r="O125" s="1815">
        <f>N125*1.1</f>
        <v>20796.875</v>
      </c>
      <c r="P125" s="1815">
        <f>O125*1.05</f>
        <v>21836.71875</v>
      </c>
      <c r="Q125" s="1815">
        <f>P125*1.04</f>
        <v>22710.1875</v>
      </c>
      <c r="R125" s="1815">
        <f t="shared" ref="R125:W125" si="166">Q125*1.03</f>
        <v>23391.493125000001</v>
      </c>
      <c r="S125" s="1815">
        <f t="shared" si="166"/>
        <v>24093.237918750001</v>
      </c>
      <c r="T125" s="1815">
        <f t="shared" si="166"/>
        <v>24816.035056312503</v>
      </c>
      <c r="U125" s="1815">
        <f t="shared" si="166"/>
        <v>25560.516108001877</v>
      </c>
      <c r="V125" s="1815">
        <f t="shared" si="166"/>
        <v>26327.331591241935</v>
      </c>
      <c r="W125" s="1815">
        <f t="shared" si="166"/>
        <v>27117.151538979193</v>
      </c>
      <c r="X125" s="862"/>
      <c r="Y125" s="862"/>
      <c r="Z125" s="862"/>
      <c r="AA125" s="862"/>
      <c r="AB125" s="862"/>
      <c r="AC125" s="1035"/>
      <c r="AD125" s="1035"/>
      <c r="AE125" s="1035"/>
      <c r="AF125" s="1035"/>
      <c r="AG125" s="1035"/>
      <c r="AH125" s="1035"/>
      <c r="AI125" s="1035"/>
      <c r="AJ125" s="1035"/>
      <c r="AK125" s="1035"/>
      <c r="AL125" s="1035"/>
      <c r="AM125" s="1035"/>
      <c r="AN125" s="1174"/>
      <c r="AO125" s="1174"/>
      <c r="AP125" s="1174"/>
      <c r="AQ125" s="1174"/>
      <c r="AR125" s="1035"/>
      <c r="AS125" s="1174"/>
      <c r="AT125" s="1174"/>
      <c r="AU125" s="1174"/>
      <c r="AV125" s="1174"/>
      <c r="AW125" s="906"/>
      <c r="AX125" s="2170">
        <f>65*0.8+30</f>
        <v>82</v>
      </c>
      <c r="AY125" s="2170">
        <f>10*0.8</f>
        <v>8</v>
      </c>
      <c r="AZ125" s="2170">
        <f>100*0.8+30</f>
        <v>110</v>
      </c>
      <c r="BA125" s="2170">
        <f>10+30*0.8+40</f>
        <v>74</v>
      </c>
      <c r="BB125" s="1649"/>
      <c r="BC125" s="2170">
        <f>20+80+100+36</f>
        <v>236</v>
      </c>
      <c r="BD125" s="2170">
        <f>5+180*0.4</f>
        <v>77</v>
      </c>
      <c r="BE125" s="2170">
        <f>+'Off-network Syndication'!AR108+5</f>
        <v>69.900000000000006</v>
      </c>
      <c r="BF125" s="2170">
        <f>45+70</f>
        <v>115</v>
      </c>
      <c r="BG125" s="1649"/>
      <c r="BH125" s="2170">
        <f>20+80+100</f>
        <v>200</v>
      </c>
      <c r="BI125" s="2091">
        <v>41</v>
      </c>
      <c r="BJ125" s="2091">
        <f>5+18+40</f>
        <v>63</v>
      </c>
      <c r="BK125" s="2170">
        <f>45+70</f>
        <v>115</v>
      </c>
      <c r="BL125" s="1649"/>
      <c r="BM125" s="2054">
        <f>5+18+40</f>
        <v>63</v>
      </c>
      <c r="BN125" s="2054">
        <f>5+18+40</f>
        <v>63</v>
      </c>
      <c r="BO125" s="2054">
        <f>5+18+40</f>
        <v>63</v>
      </c>
      <c r="BP125" s="2054">
        <f>5+18+40</f>
        <v>63</v>
      </c>
      <c r="BQ125" s="862"/>
      <c r="BR125" s="2054">
        <f>BM125</f>
        <v>63</v>
      </c>
      <c r="BS125" s="2054">
        <f>BN125</f>
        <v>63</v>
      </c>
      <c r="BT125" s="2054">
        <f>BO125</f>
        <v>63</v>
      </c>
      <c r="BU125" s="2054">
        <f>BP125</f>
        <v>63</v>
      </c>
      <c r="BV125" s="1470"/>
      <c r="BW125" s="2054">
        <f>BR125</f>
        <v>63</v>
      </c>
      <c r="BX125" s="2054">
        <f>BS125</f>
        <v>63</v>
      </c>
      <c r="BY125" s="2054">
        <f>BT125</f>
        <v>63</v>
      </c>
      <c r="BZ125" s="2054">
        <f>BU125</f>
        <v>63</v>
      </c>
      <c r="CA125" s="906"/>
      <c r="CB125" s="3276"/>
      <c r="CC125" s="3204"/>
      <c r="CD125" s="3204"/>
      <c r="CE125" s="3204"/>
      <c r="CF125" s="906"/>
      <c r="CG125" s="906"/>
      <c r="CH125" s="906"/>
      <c r="CI125" s="906"/>
      <c r="CJ125" s="906"/>
      <c r="CK125" s="906"/>
      <c r="CL125" s="906"/>
    </row>
    <row r="126" spans="1:90">
      <c r="A126" s="906"/>
      <c r="B126" s="906"/>
      <c r="C126" s="1174"/>
      <c r="D126" s="1174"/>
      <c r="E126" s="1174"/>
      <c r="F126" s="1737"/>
      <c r="G126" s="2196">
        <f>SUM(AX126:BA126)</f>
        <v>274</v>
      </c>
      <c r="H126" s="1927">
        <f>SUM(BC126:BF126)</f>
        <v>497.9</v>
      </c>
      <c r="I126" s="2087">
        <f t="shared" ref="I126:K127" si="167">I125</f>
        <v>35000</v>
      </c>
      <c r="J126" s="2087">
        <f t="shared" si="167"/>
        <v>12500</v>
      </c>
      <c r="K126" s="2087">
        <f t="shared" si="167"/>
        <v>12500</v>
      </c>
      <c r="L126" s="1815">
        <f t="shared" ref="L126:V126" si="168">L125*1.2</f>
        <v>18750</v>
      </c>
      <c r="M126" s="1815">
        <f t="shared" si="168"/>
        <v>20625</v>
      </c>
      <c r="N126" s="1815">
        <f t="shared" si="168"/>
        <v>22687.5</v>
      </c>
      <c r="O126" s="1815">
        <f t="shared" si="168"/>
        <v>24956.25</v>
      </c>
      <c r="P126" s="1815">
        <f t="shared" si="168"/>
        <v>26204.0625</v>
      </c>
      <c r="Q126" s="1815">
        <f t="shared" si="168"/>
        <v>27252.224999999999</v>
      </c>
      <c r="R126" s="1815">
        <f t="shared" si="168"/>
        <v>28069.79175</v>
      </c>
      <c r="S126" s="1815">
        <f t="shared" si="168"/>
        <v>28911.885502500001</v>
      </c>
      <c r="T126" s="1815">
        <f t="shared" si="168"/>
        <v>29779.242067575004</v>
      </c>
      <c r="U126" s="1815">
        <f t="shared" si="168"/>
        <v>30672.61932960225</v>
      </c>
      <c r="V126" s="1815">
        <f t="shared" si="168"/>
        <v>31592.79790949032</v>
      </c>
      <c r="W126" s="1815">
        <f t="shared" ref="W126" si="169">W125*1.2</f>
        <v>32540.581846775029</v>
      </c>
      <c r="X126" s="862"/>
      <c r="Y126" s="862"/>
      <c r="Z126" s="862"/>
      <c r="AA126" s="862"/>
      <c r="AB126" s="862"/>
      <c r="AC126" s="1035"/>
      <c r="AD126" s="1035"/>
      <c r="AE126" s="1035"/>
      <c r="AF126" s="1035"/>
      <c r="AG126" s="1035"/>
      <c r="AH126" s="1035"/>
      <c r="AI126" s="1035"/>
      <c r="AJ126" s="1035"/>
      <c r="AK126" s="1035"/>
      <c r="AL126" s="1035"/>
      <c r="AM126" s="1035"/>
      <c r="AN126" s="1174"/>
      <c r="AO126" s="1174"/>
      <c r="AP126" s="1174"/>
      <c r="AQ126" s="1174"/>
      <c r="AR126" s="1035"/>
      <c r="AS126" s="1174"/>
      <c r="AT126" s="1174"/>
      <c r="AU126" s="1174"/>
      <c r="AV126" s="1174"/>
      <c r="AW126" s="906"/>
      <c r="AX126" s="2090">
        <f t="shared" ref="AX126:BD127" si="170">AX125</f>
        <v>82</v>
      </c>
      <c r="AY126" s="2090">
        <f t="shared" si="170"/>
        <v>8</v>
      </c>
      <c r="AZ126" s="2090">
        <f t="shared" si="170"/>
        <v>110</v>
      </c>
      <c r="BA126" s="2090">
        <f t="shared" si="170"/>
        <v>74</v>
      </c>
      <c r="BB126" s="1470"/>
      <c r="BC126" s="2090">
        <f t="shared" si="170"/>
        <v>236</v>
      </c>
      <c r="BD126" s="2090">
        <f t="shared" si="170"/>
        <v>77</v>
      </c>
      <c r="BE126" s="2090">
        <f>BE125</f>
        <v>69.900000000000006</v>
      </c>
      <c r="BF126" s="2090">
        <f>BF125</f>
        <v>115</v>
      </c>
      <c r="BG126" s="1470"/>
      <c r="BH126" s="2256">
        <f t="shared" ref="BH126:BK127" si="171">BH125</f>
        <v>200</v>
      </c>
      <c r="BI126" s="2256">
        <f t="shared" si="171"/>
        <v>41</v>
      </c>
      <c r="BJ126" s="2256">
        <f t="shared" si="171"/>
        <v>63</v>
      </c>
      <c r="BK126" s="2256">
        <f t="shared" si="171"/>
        <v>115</v>
      </c>
      <c r="BL126" s="1470"/>
      <c r="BM126" s="2256">
        <f t="shared" ref="BM126:BO127" si="172">BM125</f>
        <v>63</v>
      </c>
      <c r="BN126" s="2256">
        <f t="shared" si="172"/>
        <v>63</v>
      </c>
      <c r="BO126" s="2256">
        <f t="shared" si="172"/>
        <v>63</v>
      </c>
      <c r="BP126" s="2256">
        <f>BP125</f>
        <v>63</v>
      </c>
      <c r="BQ126" s="862"/>
      <c r="BR126" s="2256">
        <f t="shared" ref="BR126:BT127" si="173">BR125</f>
        <v>63</v>
      </c>
      <c r="BS126" s="2256">
        <f t="shared" si="173"/>
        <v>63</v>
      </c>
      <c r="BT126" s="2256">
        <f t="shared" si="173"/>
        <v>63</v>
      </c>
      <c r="BU126" s="2256">
        <f t="shared" ref="BU126:BW126" si="174">BU125</f>
        <v>63</v>
      </c>
      <c r="BV126" s="1470"/>
      <c r="BW126" s="2256">
        <f t="shared" si="174"/>
        <v>63</v>
      </c>
      <c r="BX126" s="2256">
        <f t="shared" ref="BX126:BY126" si="175">BX125</f>
        <v>63</v>
      </c>
      <c r="BY126" s="2256">
        <f t="shared" si="175"/>
        <v>63</v>
      </c>
      <c r="BZ126" s="2090">
        <f>BZ125*1.1</f>
        <v>69.300000000000011</v>
      </c>
      <c r="CA126" s="906"/>
      <c r="CB126" s="3276"/>
      <c r="CC126" s="3204"/>
      <c r="CD126" s="3204"/>
      <c r="CE126" s="3204"/>
      <c r="CF126" s="906"/>
      <c r="CG126" s="906"/>
      <c r="CH126" s="906"/>
      <c r="CI126" s="906"/>
      <c r="CJ126" s="906"/>
      <c r="CK126" s="906"/>
      <c r="CL126" s="906"/>
    </row>
    <row r="127" spans="1:90">
      <c r="A127" s="906"/>
      <c r="B127" s="906"/>
      <c r="C127" s="1174"/>
      <c r="D127" s="1174"/>
      <c r="E127" s="1174"/>
      <c r="F127" s="1737"/>
      <c r="G127" s="2196">
        <f>SUM(AX127:BA127)</f>
        <v>274</v>
      </c>
      <c r="H127" s="1927">
        <f>SUM(BC127:BF127)</f>
        <v>497.9</v>
      </c>
      <c r="I127" s="2087">
        <f t="shared" si="167"/>
        <v>35000</v>
      </c>
      <c r="J127" s="2087">
        <f t="shared" si="167"/>
        <v>12500</v>
      </c>
      <c r="K127" s="2087">
        <f t="shared" si="167"/>
        <v>12500</v>
      </c>
      <c r="L127" s="1815">
        <f t="shared" ref="L127:T127" si="176">L125*0.8</f>
        <v>12500</v>
      </c>
      <c r="M127" s="1815">
        <f t="shared" si="176"/>
        <v>13750</v>
      </c>
      <c r="N127" s="1815">
        <f t="shared" si="176"/>
        <v>15125</v>
      </c>
      <c r="O127" s="1815">
        <f t="shared" si="176"/>
        <v>16637.5</v>
      </c>
      <c r="P127" s="1815">
        <f t="shared" si="176"/>
        <v>17469.375</v>
      </c>
      <c r="Q127" s="1815">
        <f t="shared" si="176"/>
        <v>18168.150000000001</v>
      </c>
      <c r="R127" s="1815">
        <f t="shared" si="176"/>
        <v>18713.194500000001</v>
      </c>
      <c r="S127" s="1815">
        <f t="shared" si="176"/>
        <v>19274.590335000001</v>
      </c>
      <c r="T127" s="1815">
        <f t="shared" si="176"/>
        <v>19852.828045050002</v>
      </c>
      <c r="U127" s="1815">
        <f>U125*0.8</f>
        <v>20448.412886401504</v>
      </c>
      <c r="V127" s="1815">
        <f>V125*0.8</f>
        <v>21061.865272993549</v>
      </c>
      <c r="W127" s="1815">
        <f>W125*0.8</f>
        <v>21693.721231183357</v>
      </c>
      <c r="X127" s="862"/>
      <c r="Y127" s="862"/>
      <c r="Z127" s="862"/>
      <c r="AA127" s="862"/>
      <c r="AB127" s="862"/>
      <c r="AC127" s="1035"/>
      <c r="AD127" s="1035"/>
      <c r="AE127" s="1035"/>
      <c r="AF127" s="1035"/>
      <c r="AG127" s="1035"/>
      <c r="AH127" s="1035"/>
      <c r="AI127" s="1035"/>
      <c r="AJ127" s="1035"/>
      <c r="AK127" s="1035"/>
      <c r="AL127" s="1035"/>
      <c r="AM127" s="1035"/>
      <c r="AN127" s="1174"/>
      <c r="AO127" s="1174"/>
      <c r="AP127" s="1174"/>
      <c r="AQ127" s="1174"/>
      <c r="AR127" s="1035"/>
      <c r="AS127" s="1174"/>
      <c r="AT127" s="1174"/>
      <c r="AU127" s="1174"/>
      <c r="AV127" s="1174"/>
      <c r="AW127" s="906"/>
      <c r="AX127" s="2090">
        <f t="shared" si="170"/>
        <v>82</v>
      </c>
      <c r="AY127" s="2090">
        <f t="shared" si="170"/>
        <v>8</v>
      </c>
      <c r="AZ127" s="2090">
        <f t="shared" si="170"/>
        <v>110</v>
      </c>
      <c r="BA127" s="2090">
        <f t="shared" si="170"/>
        <v>74</v>
      </c>
      <c r="BB127" s="1470"/>
      <c r="BC127" s="2090">
        <f t="shared" si="170"/>
        <v>236</v>
      </c>
      <c r="BD127" s="2090">
        <f t="shared" si="170"/>
        <v>77</v>
      </c>
      <c r="BE127" s="2090">
        <f>BE126</f>
        <v>69.900000000000006</v>
      </c>
      <c r="BF127" s="2090">
        <f>BF126</f>
        <v>115</v>
      </c>
      <c r="BG127" s="1470"/>
      <c r="BH127" s="2256">
        <f t="shared" si="171"/>
        <v>200</v>
      </c>
      <c r="BI127" s="2256">
        <f t="shared" si="171"/>
        <v>41</v>
      </c>
      <c r="BJ127" s="2256">
        <f t="shared" si="171"/>
        <v>63</v>
      </c>
      <c r="BK127" s="2256">
        <f t="shared" si="171"/>
        <v>115</v>
      </c>
      <c r="BL127" s="1470"/>
      <c r="BM127" s="2256">
        <f t="shared" si="172"/>
        <v>63</v>
      </c>
      <c r="BN127" s="2256">
        <f t="shared" si="172"/>
        <v>63</v>
      </c>
      <c r="BO127" s="2256">
        <f t="shared" si="172"/>
        <v>63</v>
      </c>
      <c r="BP127" s="2256">
        <f>BP126</f>
        <v>63</v>
      </c>
      <c r="BQ127" s="862"/>
      <c r="BR127" s="2256">
        <f t="shared" si="173"/>
        <v>63</v>
      </c>
      <c r="BS127" s="2256">
        <f t="shared" si="173"/>
        <v>63</v>
      </c>
      <c r="BT127" s="2256">
        <f t="shared" si="173"/>
        <v>63</v>
      </c>
      <c r="BU127" s="2256">
        <f t="shared" ref="BU127:BW127" si="177">BU126</f>
        <v>63</v>
      </c>
      <c r="BV127" s="1470"/>
      <c r="BW127" s="2256">
        <f t="shared" si="177"/>
        <v>63</v>
      </c>
      <c r="BX127" s="2256">
        <f t="shared" ref="BX127:BY127" si="178">BX126</f>
        <v>63</v>
      </c>
      <c r="BY127" s="2256">
        <f t="shared" si="178"/>
        <v>63</v>
      </c>
      <c r="BZ127" s="2090">
        <f>BZ125*0.9</f>
        <v>56.7</v>
      </c>
      <c r="CA127" s="906"/>
      <c r="CB127" s="3276"/>
      <c r="CC127" s="3204"/>
      <c r="CD127" s="3204"/>
      <c r="CE127" s="3204"/>
      <c r="CF127" s="906"/>
      <c r="CG127" s="906"/>
      <c r="CH127" s="906"/>
      <c r="CI127" s="906"/>
      <c r="CJ127" s="906"/>
      <c r="CK127" s="906"/>
      <c r="CL127" s="906"/>
    </row>
    <row r="128" spans="1:90">
      <c r="A128" s="906"/>
      <c r="B128" s="906"/>
      <c r="C128" s="1174"/>
      <c r="D128" s="1174"/>
      <c r="E128" s="1174"/>
      <c r="F128" s="1174"/>
      <c r="G128" s="1315"/>
      <c r="H128" s="1315"/>
      <c r="I128" s="2087"/>
      <c r="J128" s="1815"/>
      <c r="K128" s="1815"/>
      <c r="L128" s="1815"/>
      <c r="M128" s="1815"/>
      <c r="N128" s="1815"/>
      <c r="O128" s="1815"/>
      <c r="P128" s="1815"/>
      <c r="Q128" s="1815"/>
      <c r="R128" s="1815"/>
      <c r="S128" s="1815"/>
      <c r="T128" s="1815"/>
      <c r="U128" s="1815"/>
      <c r="V128" s="1035"/>
      <c r="W128" s="862"/>
      <c r="X128" s="862"/>
      <c r="Y128" s="862"/>
      <c r="Z128" s="862"/>
      <c r="AA128" s="862"/>
      <c r="AB128" s="862"/>
      <c r="AC128" s="1035"/>
      <c r="AD128" s="1035"/>
      <c r="AE128" s="1035"/>
      <c r="AF128" s="1035"/>
      <c r="AG128" s="1035"/>
      <c r="AH128" s="1035"/>
      <c r="AI128" s="1035"/>
      <c r="AJ128" s="1035"/>
      <c r="AK128" s="1035"/>
      <c r="AL128" s="1035"/>
      <c r="AM128" s="1035"/>
      <c r="AN128" s="1174"/>
      <c r="AO128" s="1174"/>
      <c r="AP128" s="1174"/>
      <c r="AQ128" s="1174"/>
      <c r="AR128" s="1035"/>
      <c r="AS128" s="1174"/>
      <c r="AT128" s="1174"/>
      <c r="AU128" s="1174"/>
      <c r="AV128" s="1174"/>
      <c r="AW128" s="906"/>
      <c r="AX128" s="2090"/>
      <c r="AY128" s="2090"/>
      <c r="AZ128" s="2090"/>
      <c r="BA128" s="2090"/>
      <c r="BB128" s="1470"/>
      <c r="BC128" s="2090"/>
      <c r="BD128" s="2090"/>
      <c r="BE128" s="2090"/>
      <c r="BF128" s="2090"/>
      <c r="BG128" s="1470"/>
      <c r="BH128" s="2091"/>
      <c r="BI128" s="2091"/>
      <c r="BJ128" s="2091"/>
      <c r="BK128" s="2091"/>
      <c r="BL128" s="1470"/>
      <c r="BM128" s="2054"/>
      <c r="BN128" s="2054"/>
      <c r="BO128" s="2054"/>
      <c r="BP128" s="2054"/>
      <c r="BQ128" s="862"/>
      <c r="BR128" s="1470"/>
      <c r="BS128" s="1470"/>
      <c r="BT128" s="1470"/>
      <c r="BU128" s="2054"/>
      <c r="BV128" s="1470"/>
      <c r="BW128" s="2054"/>
      <c r="BX128" s="2054"/>
      <c r="BY128" s="2054"/>
      <c r="BZ128" s="2054"/>
      <c r="CA128" s="2054"/>
      <c r="CB128" s="877"/>
      <c r="CC128" s="2054"/>
      <c r="CD128" s="906"/>
      <c r="CE128" s="906"/>
      <c r="CF128" s="906"/>
      <c r="CG128" s="906"/>
      <c r="CH128" s="906"/>
      <c r="CI128" s="906"/>
      <c r="CJ128" s="906"/>
      <c r="CK128" s="906"/>
      <c r="CL128" s="906"/>
    </row>
    <row r="129" spans="1:90">
      <c r="A129" s="906"/>
      <c r="B129" s="906"/>
      <c r="C129" s="1174"/>
      <c r="D129" s="1174"/>
      <c r="E129" s="1174"/>
      <c r="F129" s="1174"/>
      <c r="G129" s="1315"/>
      <c r="H129" s="1315"/>
      <c r="I129" s="2087"/>
      <c r="J129" s="1737"/>
      <c r="K129" s="1737"/>
      <c r="L129" s="1737"/>
      <c r="M129" s="1737"/>
      <c r="N129" s="1737"/>
      <c r="O129" s="1737"/>
      <c r="P129" s="1815"/>
      <c r="Q129" s="1815"/>
      <c r="R129" s="1815"/>
      <c r="S129" s="1815"/>
      <c r="T129" s="1815"/>
      <c r="U129" s="1815"/>
      <c r="V129" s="1035"/>
      <c r="W129" s="862"/>
      <c r="X129" s="862"/>
      <c r="Y129" s="862"/>
      <c r="Z129" s="862"/>
      <c r="AA129" s="862"/>
      <c r="AB129" s="862"/>
      <c r="AC129" s="1035"/>
      <c r="AD129" s="1035"/>
      <c r="AE129" s="1035"/>
      <c r="AF129" s="1035"/>
      <c r="AG129" s="1035"/>
      <c r="AH129" s="1035"/>
      <c r="AI129" s="1035"/>
      <c r="AJ129" s="1035"/>
      <c r="AK129" s="1035"/>
      <c r="AL129" s="1035"/>
      <c r="AM129" s="1035"/>
      <c r="AN129" s="1174"/>
      <c r="AO129" s="1174"/>
      <c r="AP129" s="1174"/>
      <c r="AQ129" s="1174"/>
      <c r="AR129" s="1035"/>
      <c r="AS129" s="1174"/>
      <c r="AT129" s="1174"/>
      <c r="AU129" s="1174"/>
      <c r="AV129" s="1174"/>
      <c r="AW129" s="906"/>
      <c r="AX129" s="906"/>
      <c r="AY129" s="906"/>
      <c r="AZ129" s="906"/>
      <c r="BA129" s="906"/>
      <c r="BB129" s="906"/>
      <c r="BC129" s="906"/>
      <c r="BD129" s="906"/>
      <c r="BE129" s="906"/>
      <c r="BF129" s="906"/>
      <c r="BG129" s="906"/>
      <c r="BH129" s="906"/>
      <c r="BI129" s="906"/>
      <c r="BJ129" s="906"/>
      <c r="BK129" s="906"/>
      <c r="BL129" s="906"/>
      <c r="BM129" s="906"/>
      <c r="BN129" s="906"/>
      <c r="BO129" s="1470"/>
      <c r="BP129" s="1470"/>
      <c r="BQ129" s="1470"/>
      <c r="BR129" s="1470"/>
      <c r="BS129" s="1470"/>
      <c r="BT129" s="1470"/>
      <c r="BU129" s="1470"/>
      <c r="BV129" s="1470"/>
      <c r="BW129" s="1470"/>
      <c r="BX129" s="1470"/>
      <c r="BY129" s="1470"/>
      <c r="BZ129" s="1470"/>
      <c r="CA129" s="1470"/>
      <c r="CB129" s="877"/>
      <c r="CC129" s="1470"/>
      <c r="CD129" s="906"/>
      <c r="CE129" s="906"/>
      <c r="CF129" s="906"/>
      <c r="CG129" s="906"/>
      <c r="CH129" s="906"/>
      <c r="CI129" s="906"/>
      <c r="CJ129" s="906"/>
      <c r="CK129" s="906"/>
      <c r="CL129" s="906"/>
    </row>
    <row r="130" spans="1:90">
      <c r="A130" s="906"/>
      <c r="B130" s="11" t="s">
        <v>1377</v>
      </c>
      <c r="C130" s="1174"/>
      <c r="D130" s="1174"/>
      <c r="E130" s="1174"/>
      <c r="F130" s="1174"/>
      <c r="G130" s="878">
        <f t="shared" ref="G130:M130" si="179">+CHOOSE($B123,G131,G132,G133)</f>
        <v>0.34857857008975524</v>
      </c>
      <c r="H130" s="878">
        <f t="shared" si="179"/>
        <v>-0.1186312676396829</v>
      </c>
      <c r="I130" s="878">
        <f t="shared" si="179"/>
        <v>-2.332952013238454E-2</v>
      </c>
      <c r="J130" s="878">
        <f t="shared" si="179"/>
        <v>-0.21086552502086409</v>
      </c>
      <c r="K130" s="878">
        <f t="shared" ref="K130" si="180">+CHOOSE($B123,K131,K132,K133)</f>
        <v>-0.20763792745431831</v>
      </c>
      <c r="L130" s="878">
        <f t="shared" si="179"/>
        <v>0.25</v>
      </c>
      <c r="M130" s="878">
        <f t="shared" si="179"/>
        <v>0.05</v>
      </c>
      <c r="N130" s="878">
        <f>+CHOOSE($B123,N131,N132,N133)</f>
        <v>0.05</v>
      </c>
      <c r="O130" s="878">
        <f>+CHOOSE($B123,O131,O132,O133)</f>
        <v>0.05</v>
      </c>
      <c r="P130" s="1815"/>
      <c r="Q130" s="1815"/>
      <c r="R130" s="1815"/>
      <c r="S130" s="1815"/>
      <c r="T130" s="1815"/>
      <c r="U130" s="1815"/>
      <c r="V130" s="1035"/>
      <c r="W130" s="862"/>
      <c r="X130" s="862"/>
      <c r="Y130" s="862"/>
      <c r="Z130" s="862"/>
      <c r="AA130" s="862"/>
      <c r="AB130" s="862"/>
      <c r="AC130" s="1035"/>
      <c r="AD130" s="1035"/>
      <c r="AE130" s="1035"/>
      <c r="AF130" s="1035"/>
      <c r="AG130" s="1035"/>
      <c r="AH130" s="1035"/>
      <c r="AI130" s="1035"/>
      <c r="AJ130" s="1035"/>
      <c r="AK130" s="1035"/>
      <c r="AL130" s="1035"/>
      <c r="AM130" s="1035"/>
      <c r="AN130" s="1174"/>
      <c r="AO130" s="1174"/>
      <c r="AP130" s="1174"/>
      <c r="AQ130" s="1174"/>
      <c r="AR130" s="1035"/>
      <c r="AS130" s="1174"/>
      <c r="AT130" s="1174"/>
      <c r="AU130" s="1174"/>
      <c r="AV130" s="1174"/>
      <c r="AW130" s="906"/>
      <c r="AX130" s="906"/>
      <c r="AY130" s="906"/>
      <c r="AZ130" s="906"/>
      <c r="BA130" s="906"/>
      <c r="BB130" s="906"/>
      <c r="BC130" s="906"/>
      <c r="BD130" s="906"/>
      <c r="BE130" s="906"/>
      <c r="BF130" s="906"/>
      <c r="BG130" s="906"/>
      <c r="BH130" s="906"/>
      <c r="BI130" s="906"/>
      <c r="BJ130" s="906"/>
      <c r="BK130" s="906"/>
      <c r="BL130" s="906"/>
      <c r="BM130" s="906"/>
      <c r="BN130" s="906"/>
      <c r="BO130" s="906"/>
      <c r="BP130" s="906"/>
      <c r="BQ130" s="906"/>
      <c r="BR130" s="906"/>
      <c r="BS130" s="906"/>
      <c r="BT130" s="906"/>
      <c r="BU130" s="906"/>
      <c r="BV130" s="1470"/>
      <c r="BW130" s="906"/>
      <c r="BX130" s="906"/>
      <c r="BY130" s="906"/>
      <c r="BZ130" s="906"/>
      <c r="CA130" s="906"/>
      <c r="CB130" s="877"/>
      <c r="CC130" s="906"/>
      <c r="CD130" s="906"/>
      <c r="CE130" s="906"/>
      <c r="CF130" s="906"/>
      <c r="CG130" s="906"/>
      <c r="CH130" s="906"/>
      <c r="CI130" s="906"/>
      <c r="CJ130" s="906"/>
      <c r="CK130" s="906"/>
      <c r="CL130" s="906"/>
    </row>
    <row r="131" spans="1:90">
      <c r="A131" s="906"/>
      <c r="B131" s="906"/>
      <c r="C131" s="1174"/>
      <c r="D131" s="1174"/>
      <c r="E131" s="1174"/>
      <c r="F131" s="1174"/>
      <c r="G131" s="514">
        <f>'TV Production and Syndication'!M32/'TV Production and Syndication'!L32-1</f>
        <v>0.34857857008975524</v>
      </c>
      <c r="H131" s="514">
        <f>'TV Production and Syndication'!N32/'TV Production and Syndication'!M32-1</f>
        <v>-0.1186312676396829</v>
      </c>
      <c r="I131" s="514">
        <f>'TV Production and Syndication'!O32/'TV Production and Syndication'!N32-1</f>
        <v>-2.332952013238454E-2</v>
      </c>
      <c r="J131" s="514">
        <f>'TV Production and Syndication'!P32/'TV Production and Syndication'!O32-1</f>
        <v>-0.21086552502086409</v>
      </c>
      <c r="K131" s="514">
        <f>'TV Production and Syndication'!Q32/'TV Production and Syndication'!P32-1</f>
        <v>-0.20763792745431831</v>
      </c>
      <c r="L131" s="130">
        <v>0.25</v>
      </c>
      <c r="M131" s="130">
        <v>0.05</v>
      </c>
      <c r="N131" s="130">
        <v>0.05</v>
      </c>
      <c r="O131" s="130">
        <v>0.05</v>
      </c>
      <c r="P131" s="1815"/>
      <c r="Q131" s="1815"/>
      <c r="R131" s="1815"/>
      <c r="S131" s="1815"/>
      <c r="T131" s="1815"/>
      <c r="U131" s="1815"/>
      <c r="V131" s="1035"/>
      <c r="W131" s="862"/>
      <c r="X131" s="862"/>
      <c r="Y131" s="862"/>
      <c r="Z131" s="862"/>
      <c r="AA131" s="862"/>
      <c r="AB131" s="862"/>
      <c r="AC131" s="1035"/>
      <c r="AD131" s="1035"/>
      <c r="AE131" s="1035"/>
      <c r="AF131" s="1035"/>
      <c r="AG131" s="1035"/>
      <c r="AH131" s="1035"/>
      <c r="AI131" s="1035"/>
      <c r="AJ131" s="1035"/>
      <c r="AK131" s="1035"/>
      <c r="AL131" s="1035"/>
      <c r="AM131" s="1035"/>
      <c r="AN131" s="1174"/>
      <c r="AO131" s="1174"/>
      <c r="AP131" s="1174"/>
      <c r="AQ131" s="1174"/>
      <c r="AR131" s="1035"/>
      <c r="AS131" s="1174"/>
      <c r="AT131" s="1174"/>
      <c r="AU131" s="1174"/>
      <c r="AV131" s="1174"/>
      <c r="AW131" s="906"/>
      <c r="AX131" s="906"/>
      <c r="AY131" s="906"/>
      <c r="AZ131" s="906"/>
      <c r="BA131" s="906"/>
      <c r="BB131" s="906"/>
      <c r="BC131" s="906"/>
      <c r="BD131" s="906"/>
      <c r="BE131" s="906"/>
      <c r="BF131" s="906"/>
      <c r="BG131" s="906"/>
      <c r="BH131" s="906"/>
      <c r="BI131" s="906"/>
      <c r="BJ131" s="906"/>
      <c r="BK131" s="906"/>
      <c r="BL131" s="906"/>
      <c r="BM131" s="906"/>
      <c r="BN131" s="906"/>
      <c r="BO131" s="906"/>
      <c r="BP131" s="906"/>
      <c r="BQ131" s="906"/>
      <c r="BR131" s="906"/>
      <c r="BS131" s="906"/>
      <c r="BT131" s="906"/>
      <c r="BU131" s="906"/>
      <c r="BV131" s="906"/>
      <c r="BW131" s="906"/>
      <c r="BX131" s="906"/>
      <c r="BY131" s="906"/>
      <c r="BZ131" s="906"/>
      <c r="CA131" s="906"/>
      <c r="CB131" s="877"/>
      <c r="CC131" s="906"/>
      <c r="CD131" s="906"/>
      <c r="CE131" s="906"/>
      <c r="CF131" s="906"/>
      <c r="CG131" s="906"/>
      <c r="CH131" s="906"/>
      <c r="CI131" s="906"/>
      <c r="CJ131" s="906"/>
      <c r="CK131" s="906"/>
      <c r="CL131" s="906"/>
    </row>
    <row r="132" spans="1:90">
      <c r="A132" s="906"/>
      <c r="B132" s="906"/>
      <c r="C132" s="1174"/>
      <c r="D132" s="1174"/>
      <c r="E132" s="1174"/>
      <c r="F132" s="1174"/>
      <c r="G132" s="1201">
        <f>G131</f>
        <v>0.34857857008975524</v>
      </c>
      <c r="H132" s="1201">
        <f>H131</f>
        <v>-0.1186312676396829</v>
      </c>
      <c r="I132" s="1201">
        <f>I131</f>
        <v>-2.332952013238454E-2</v>
      </c>
      <c r="J132" s="1201">
        <f>J131</f>
        <v>-0.21086552502086409</v>
      </c>
      <c r="K132" s="1201">
        <f>K131</f>
        <v>-0.20763792745431831</v>
      </c>
      <c r="L132" s="877">
        <f>L131+0.01</f>
        <v>0.26</v>
      </c>
      <c r="M132" s="877">
        <f>M131+0.01</f>
        <v>6.0000000000000005E-2</v>
      </c>
      <c r="N132" s="877">
        <f>N131+0.01</f>
        <v>6.0000000000000005E-2</v>
      </c>
      <c r="O132" s="877">
        <f>O131+0.01</f>
        <v>6.0000000000000005E-2</v>
      </c>
      <c r="P132" s="1815"/>
      <c r="Q132" s="1815"/>
      <c r="R132" s="1815"/>
      <c r="S132" s="1815"/>
      <c r="T132" s="1815"/>
      <c r="U132" s="1815"/>
      <c r="V132" s="1035"/>
      <c r="W132" s="862"/>
      <c r="X132" s="862"/>
      <c r="Y132" s="862"/>
      <c r="Z132" s="862"/>
      <c r="AA132" s="862"/>
      <c r="AB132" s="862"/>
      <c r="AC132" s="1035"/>
      <c r="AD132" s="1035"/>
      <c r="AE132" s="1035"/>
      <c r="AF132" s="1035"/>
      <c r="AG132" s="1035"/>
      <c r="AH132" s="1035"/>
      <c r="AI132" s="1035"/>
      <c r="AJ132" s="1035"/>
      <c r="AK132" s="1035"/>
      <c r="AL132" s="1035"/>
      <c r="AM132" s="1035"/>
      <c r="AN132" s="1174"/>
      <c r="AO132" s="1174"/>
      <c r="AP132" s="1174"/>
      <c r="AQ132" s="1174"/>
      <c r="AR132" s="1035"/>
      <c r="AS132" s="1174"/>
      <c r="AT132" s="1174"/>
      <c r="AU132" s="1174"/>
      <c r="AV132" s="1174"/>
      <c r="AW132" s="906"/>
      <c r="AX132" s="906"/>
      <c r="AY132" s="906"/>
      <c r="AZ132" s="906"/>
      <c r="BA132" s="906"/>
      <c r="BB132" s="906"/>
      <c r="BC132" s="906"/>
      <c r="BD132" s="906"/>
      <c r="BE132" s="906"/>
      <c r="BF132" s="906"/>
      <c r="BG132" s="906"/>
      <c r="BH132" s="906"/>
      <c r="BI132" s="906"/>
      <c r="BJ132" s="906"/>
      <c r="BK132" s="906"/>
      <c r="BL132" s="906"/>
      <c r="BM132" s="906"/>
      <c r="BN132" s="906"/>
      <c r="BO132" s="906"/>
      <c r="BP132" s="906"/>
      <c r="BQ132" s="906"/>
      <c r="BR132" s="906"/>
      <c r="BS132" s="906"/>
      <c r="BT132" s="906"/>
      <c r="BU132" s="906"/>
      <c r="BV132" s="906"/>
      <c r="BW132" s="906"/>
      <c r="BX132" s="906"/>
      <c r="BY132" s="906"/>
      <c r="BZ132" s="906"/>
      <c r="CA132" s="906"/>
      <c r="CB132" s="906"/>
      <c r="CC132" s="906"/>
      <c r="CD132" s="906"/>
      <c r="CE132" s="906"/>
      <c r="CF132" s="906"/>
      <c r="CG132" s="906"/>
      <c r="CH132" s="906"/>
      <c r="CI132" s="906"/>
      <c r="CJ132" s="906"/>
      <c r="CK132" s="906"/>
      <c r="CL132" s="906"/>
    </row>
    <row r="133" spans="1:90">
      <c r="A133" s="906"/>
      <c r="B133" s="906"/>
      <c r="C133" s="1174"/>
      <c r="D133" s="1174"/>
      <c r="E133" s="1174"/>
      <c r="F133" s="1174"/>
      <c r="G133" s="1201">
        <f>G131</f>
        <v>0.34857857008975524</v>
      </c>
      <c r="H133" s="1201">
        <f>H131</f>
        <v>-0.1186312676396829</v>
      </c>
      <c r="I133" s="1201">
        <f>I131</f>
        <v>-2.332952013238454E-2</v>
      </c>
      <c r="J133" s="1201">
        <f>J131</f>
        <v>-0.21086552502086409</v>
      </c>
      <c r="K133" s="1201">
        <f>K131</f>
        <v>-0.20763792745431831</v>
      </c>
      <c r="L133" s="877">
        <f>L131-0.01</f>
        <v>0.24</v>
      </c>
      <c r="M133" s="877">
        <f>M131-0.01</f>
        <v>0.04</v>
      </c>
      <c r="N133" s="877">
        <f>N131-0.01</f>
        <v>0.04</v>
      </c>
      <c r="O133" s="877">
        <f>O131-0.01</f>
        <v>0.04</v>
      </c>
      <c r="P133" s="1815"/>
      <c r="Q133" s="1815"/>
      <c r="R133" s="1815"/>
      <c r="S133" s="1815"/>
      <c r="T133" s="1815"/>
      <c r="U133" s="1815"/>
      <c r="V133" s="1035"/>
      <c r="W133" s="862"/>
      <c r="X133" s="862"/>
      <c r="Y133" s="862"/>
      <c r="Z133" s="862"/>
      <c r="AA133" s="862"/>
      <c r="AB133" s="862"/>
      <c r="AC133" s="1035"/>
      <c r="AD133" s="1035"/>
      <c r="AE133" s="1035"/>
      <c r="AF133" s="1035"/>
      <c r="AG133" s="1035"/>
      <c r="AH133" s="1035"/>
      <c r="AI133" s="1035"/>
      <c r="AJ133" s="1035"/>
      <c r="AK133" s="1035"/>
      <c r="AL133" s="1035"/>
      <c r="AM133" s="1035"/>
      <c r="AN133" s="1174"/>
      <c r="AO133" s="1174"/>
      <c r="AP133" s="1174"/>
      <c r="AQ133" s="1174"/>
      <c r="AR133" s="1035"/>
      <c r="AS133" s="1174"/>
      <c r="AT133" s="1174"/>
      <c r="AU133" s="1174"/>
      <c r="AV133" s="1174"/>
      <c r="AW133" s="906"/>
      <c r="AX133" s="2090"/>
      <c r="AY133" s="2090"/>
      <c r="AZ133" s="2090"/>
      <c r="BA133" s="2090"/>
      <c r="BB133" s="1470"/>
      <c r="BC133" s="2090"/>
      <c r="BD133" s="2090"/>
      <c r="BE133" s="2090"/>
      <c r="BF133" s="2090"/>
      <c r="BG133" s="1470"/>
      <c r="BH133" s="2091"/>
      <c r="BI133" s="2091"/>
      <c r="BJ133" s="2091"/>
      <c r="BK133" s="2091"/>
      <c r="BL133" s="1470"/>
      <c r="BM133" s="2054"/>
      <c r="BN133" s="2054"/>
      <c r="BO133" s="2054"/>
      <c r="BP133" s="2054"/>
      <c r="BQ133" s="2054"/>
      <c r="BR133" s="2054"/>
      <c r="BS133" s="2054"/>
      <c r="BT133" s="2054"/>
      <c r="BU133" s="2054"/>
      <c r="BV133" s="2054"/>
      <c r="BW133" s="2054"/>
      <c r="BX133" s="2054"/>
      <c r="BY133" s="2054"/>
      <c r="BZ133" s="2054"/>
      <c r="CA133" s="2054"/>
      <c r="CB133" s="2054"/>
      <c r="CC133" s="2054"/>
      <c r="CD133" s="2054"/>
      <c r="CE133" s="2054"/>
      <c r="CF133" s="2054"/>
      <c r="CG133" s="2054"/>
      <c r="CH133" s="2054"/>
      <c r="CI133" s="2054"/>
      <c r="CJ133" s="906"/>
      <c r="CK133" s="906"/>
      <c r="CL133" s="906"/>
    </row>
    <row r="134" spans="1:90">
      <c r="A134" s="906"/>
      <c r="B134" s="906"/>
      <c r="C134" s="1174"/>
      <c r="D134" s="1174"/>
      <c r="E134" s="1174"/>
      <c r="F134" s="1174"/>
      <c r="G134" s="1315"/>
      <c r="H134" s="1315"/>
      <c r="I134" s="2087"/>
      <c r="J134" s="2087"/>
      <c r="K134" s="2087"/>
      <c r="L134" s="2087"/>
      <c r="M134" s="2087"/>
      <c r="N134" s="2087"/>
      <c r="O134" s="2087"/>
      <c r="P134" s="2087"/>
      <c r="Q134" s="2087"/>
      <c r="R134" s="2087"/>
      <c r="S134" s="2087"/>
      <c r="T134" s="2087"/>
      <c r="U134" s="2087"/>
      <c r="V134" s="2087"/>
      <c r="W134" s="862"/>
      <c r="X134" s="862"/>
      <c r="Y134" s="862"/>
      <c r="Z134" s="862"/>
      <c r="AA134" s="862"/>
      <c r="AB134" s="862"/>
      <c r="AC134" s="1035"/>
      <c r="AD134" s="1035"/>
      <c r="AE134" s="1035"/>
      <c r="AF134" s="1035"/>
      <c r="AG134" s="1035"/>
      <c r="AH134" s="1035"/>
      <c r="AI134" s="1035"/>
      <c r="AJ134" s="1035"/>
      <c r="AK134" s="1035"/>
      <c r="AL134" s="1035"/>
      <c r="AM134" s="1035"/>
      <c r="AN134" s="1174"/>
      <c r="AO134" s="1174"/>
      <c r="AP134" s="1174"/>
      <c r="AQ134" s="1174"/>
      <c r="AR134" s="1035"/>
      <c r="AS134" s="1174"/>
      <c r="AT134" s="1174"/>
      <c r="AU134" s="1174"/>
      <c r="AV134" s="1174"/>
      <c r="AW134" s="906"/>
      <c r="AX134" s="2090"/>
      <c r="AY134" s="2090"/>
      <c r="AZ134" s="2090"/>
      <c r="BA134" s="2090"/>
      <c r="BB134" s="1470"/>
      <c r="BC134" s="2090"/>
      <c r="BD134" s="2090"/>
      <c r="BE134" s="2090"/>
      <c r="BF134" s="2090"/>
      <c r="BG134" s="1470"/>
      <c r="BH134" s="2091"/>
      <c r="BI134" s="2091"/>
      <c r="BJ134" s="2091"/>
      <c r="BK134" s="2091"/>
      <c r="BL134" s="1470"/>
      <c r="BM134" s="2054"/>
      <c r="BN134" s="2054"/>
      <c r="BO134" s="2054"/>
      <c r="BP134" s="2054"/>
      <c r="BQ134" s="2054"/>
      <c r="BR134" s="2054"/>
      <c r="BS134" s="2054"/>
      <c r="BT134" s="2054"/>
      <c r="BU134" s="2054"/>
      <c r="BV134" s="2054"/>
      <c r="BW134" s="2054"/>
      <c r="BX134" s="2054"/>
      <c r="BY134" s="2054"/>
      <c r="BZ134" s="2054"/>
      <c r="CA134" s="2054"/>
      <c r="CB134" s="2054"/>
      <c r="CC134" s="2054"/>
      <c r="CD134" s="2054"/>
      <c r="CE134" s="2054"/>
      <c r="CF134" s="2054"/>
      <c r="CG134" s="2054"/>
      <c r="CH134" s="2054"/>
      <c r="CI134" s="2054"/>
      <c r="CJ134" s="906"/>
      <c r="CK134" s="906"/>
      <c r="CL134" s="906"/>
    </row>
    <row r="135" spans="1:90">
      <c r="A135" s="862"/>
      <c r="B135" s="862"/>
      <c r="C135" s="862"/>
      <c r="D135" s="862"/>
      <c r="E135" s="862"/>
      <c r="F135" s="865"/>
      <c r="G135" s="865"/>
      <c r="H135" s="865"/>
      <c r="I135" s="865"/>
      <c r="J135" s="865"/>
      <c r="K135" s="865"/>
      <c r="L135" s="865"/>
      <c r="M135" s="865"/>
      <c r="N135" s="865"/>
      <c r="O135" s="865"/>
      <c r="P135" s="865"/>
      <c r="Q135" s="865"/>
      <c r="R135" s="865"/>
      <c r="S135" s="865"/>
      <c r="T135" s="865"/>
      <c r="U135" s="865"/>
      <c r="V135" s="865"/>
      <c r="W135" s="862"/>
      <c r="X135" s="862"/>
      <c r="Y135" s="862"/>
      <c r="Z135" s="862"/>
      <c r="AA135" s="862"/>
      <c r="AB135" s="862"/>
      <c r="AC135" s="862"/>
      <c r="AD135" s="862"/>
      <c r="AE135" s="862"/>
      <c r="AF135" s="862"/>
      <c r="AG135" s="862"/>
      <c r="AH135" s="862"/>
      <c r="AI135" s="862"/>
      <c r="AJ135" s="862"/>
      <c r="AK135" s="862"/>
      <c r="AL135" s="862"/>
      <c r="AM135" s="862"/>
      <c r="AN135" s="862"/>
      <c r="AO135" s="862"/>
      <c r="AP135" s="862"/>
      <c r="AQ135" s="862"/>
      <c r="AR135" s="862"/>
      <c r="AX135" s="1577"/>
      <c r="AY135" s="1577"/>
      <c r="AZ135" s="1577"/>
      <c r="BA135" s="1577"/>
      <c r="BB135" s="1577"/>
      <c r="BC135" s="1577"/>
      <c r="BD135" s="1577"/>
      <c r="BE135" s="1577"/>
      <c r="BF135" s="1577"/>
      <c r="BG135" s="1577"/>
      <c r="BH135" s="1577"/>
      <c r="BI135" s="1577"/>
      <c r="BJ135" s="1577"/>
      <c r="BK135" s="1577"/>
      <c r="BL135" s="1577"/>
      <c r="BM135" s="1577"/>
      <c r="BN135" s="1577"/>
      <c r="BO135" s="1577"/>
      <c r="BP135" s="1577"/>
      <c r="BQ135" s="1577"/>
      <c r="BR135" s="1577"/>
      <c r="BS135" s="1577"/>
      <c r="BT135" s="1577"/>
      <c r="BU135" s="1577"/>
      <c r="BV135" s="1577"/>
      <c r="BW135" s="1577"/>
      <c r="BX135" s="1577"/>
      <c r="BY135" s="1577"/>
      <c r="BZ135" s="1577"/>
      <c r="CA135" s="1577"/>
      <c r="CB135" s="1577"/>
      <c r="CC135" s="1577"/>
      <c r="CD135" s="1577"/>
      <c r="CE135" s="1577"/>
      <c r="CF135" s="1577"/>
    </row>
    <row r="136" spans="1:90">
      <c r="A136" s="862"/>
      <c r="B136" s="862" t="s">
        <v>855</v>
      </c>
      <c r="C136" s="877"/>
      <c r="D136" s="1034"/>
      <c r="E136" s="1034"/>
      <c r="F136" s="1034"/>
      <c r="G136" s="1034">
        <f>+CHOOSE($B$123,G137,G138,G139)</f>
        <v>0.39384387047592961</v>
      </c>
      <c r="H136" s="1034">
        <f t="shared" ref="H136:T136" si="181">+CHOOSE($B$123,H137,H138,H139)</f>
        <v>0.34053105498224345</v>
      </c>
      <c r="I136" s="1034">
        <f t="shared" si="181"/>
        <v>0.32987982606823257</v>
      </c>
      <c r="J136" s="1034">
        <f t="shared" si="181"/>
        <v>0.31619931519483979</v>
      </c>
      <c r="K136" s="1034">
        <f t="shared" si="181"/>
        <v>0.32905465606165096</v>
      </c>
      <c r="L136" s="1034">
        <f>+CHOOSE($B$123,L137,L138,L139)</f>
        <v>0.31058319053414546</v>
      </c>
      <c r="M136" s="1034">
        <f t="shared" si="181"/>
        <v>0.32137919132183984</v>
      </c>
      <c r="N136" s="1034">
        <f t="shared" si="181"/>
        <v>0.32237919132183984</v>
      </c>
      <c r="O136" s="1034">
        <f t="shared" si="181"/>
        <v>0.32337919132183984</v>
      </c>
      <c r="P136" s="1034">
        <f t="shared" si="181"/>
        <v>0.32437919132183984</v>
      </c>
      <c r="Q136" s="1034">
        <f t="shared" si="181"/>
        <v>0.32537919132183984</v>
      </c>
      <c r="R136" s="1034">
        <f t="shared" si="181"/>
        <v>0.32637919132183985</v>
      </c>
      <c r="S136" s="1034">
        <f t="shared" si="181"/>
        <v>0.32737919132183985</v>
      </c>
      <c r="T136" s="1034">
        <f t="shared" si="181"/>
        <v>0.32837919132183985</v>
      </c>
      <c r="U136" s="2081">
        <f>+CHOOSE($B$123,U137,U138,U139)</f>
        <v>0.32937919132183985</v>
      </c>
      <c r="V136" s="2081">
        <f>+CHOOSE($B$123,V137,V138,V139)</f>
        <v>0.33037919132183985</v>
      </c>
      <c r="W136" s="2081">
        <f>+CHOOSE($B$123,W137,W138,W139)</f>
        <v>0.33137919132183985</v>
      </c>
      <c r="X136" s="862"/>
      <c r="Y136" s="862"/>
      <c r="Z136" s="862"/>
      <c r="AA136" s="862"/>
      <c r="AB136" s="862"/>
      <c r="AC136" s="902"/>
      <c r="AD136" s="902"/>
      <c r="AE136" s="902"/>
      <c r="AF136" s="902"/>
      <c r="AG136" s="902"/>
      <c r="AH136" s="902"/>
      <c r="AI136" s="902"/>
      <c r="AJ136" s="902"/>
      <c r="AK136" s="902"/>
      <c r="AL136" s="902"/>
      <c r="AM136" s="902"/>
      <c r="AN136" s="902"/>
      <c r="AO136" s="902"/>
      <c r="AP136" s="902"/>
      <c r="AQ136" s="902"/>
      <c r="AR136" s="902"/>
      <c r="AS136" s="862"/>
      <c r="AT136" s="862"/>
      <c r="AU136" s="862"/>
      <c r="AV136" s="862"/>
      <c r="AW136" s="862"/>
      <c r="AX136" s="862"/>
      <c r="AY136" s="862"/>
      <c r="AZ136" s="862"/>
      <c r="BA136" s="862"/>
      <c r="BB136" s="862"/>
      <c r="BC136" s="1034">
        <f>+CHOOSE($B$123,BC137,BC138,BC139)</f>
        <v>0.39002032533084019</v>
      </c>
      <c r="BD136" s="1034">
        <f>+CHOOSE($B$123,BD137,BD138,BD139)</f>
        <v>0.39530220470998906</v>
      </c>
      <c r="BE136" s="1034">
        <f>+CHOOSE($B$123,BE137,BE138,BE139)</f>
        <v>0.31454644671444215</v>
      </c>
      <c r="BF136" s="1034">
        <f>+CHOOSE($B$123,BF137,BF138,BF139)</f>
        <v>0.23838116426948097</v>
      </c>
      <c r="BG136" s="862"/>
      <c r="BH136" s="1034">
        <f>+CHOOSE($B$123,BH137,BH138,BH139)</f>
        <v>0.35540533867021445</v>
      </c>
      <c r="BI136" s="1034">
        <f>+CHOOSE($B$123,BI137,BI138,BI139)</f>
        <v>0.41820442033131972</v>
      </c>
      <c r="BJ136" s="1034">
        <f>+CHOOSE($B$123,BJ137,BJ138,BJ139)</f>
        <v>0.30487758222384553</v>
      </c>
      <c r="BK136" s="1034">
        <f>+CHOOSE($B$123,BK137,BK138,BK139)</f>
        <v>0.23190287857430553</v>
      </c>
      <c r="BL136" s="862"/>
      <c r="BM136" s="1034">
        <f>+CHOOSE($B$123,BM137,BM138,BM139)</f>
        <v>0.33706333387082832</v>
      </c>
      <c r="BN136" s="1034">
        <f>+CHOOSE($B$123,BN137,BN138,BN139)</f>
        <v>0.42184982883499117</v>
      </c>
      <c r="BO136" s="1034">
        <f>+CHOOSE($B$123,BO137,BO138,BO139)</f>
        <v>0.31500680956045218</v>
      </c>
      <c r="BP136" s="1034">
        <f>+CHOOSE($B$123,BP137,BP138,BP139)</f>
        <v>0.19741297419539153</v>
      </c>
      <c r="BQ136" s="862"/>
      <c r="BR136" s="1034">
        <f>+CHOOSE($B$123,BR137,BR138,BR139)</f>
        <v>0.33428853654946006</v>
      </c>
      <c r="BS136" s="1034">
        <f>+CHOOSE($B$123,BS137,BS138,BS139)</f>
        <v>0.41030529948166128</v>
      </c>
      <c r="BT136" s="1034">
        <f>+CHOOSE($B$123,BT137,BT138,BT139)</f>
        <v>0.32389990275739816</v>
      </c>
      <c r="BU136" s="1034">
        <f>+CHOOSE($B$123,BU137,BU138,BU139)</f>
        <v>0.24574972774169426</v>
      </c>
      <c r="BV136" s="1577"/>
      <c r="BW136" s="2954">
        <f t="shared" ref="BW136:BX136" si="182">+CHOOSE($B$123,BW137,BW138,BW139)</f>
        <v>0.26839953323418869</v>
      </c>
      <c r="BX136" s="2954">
        <f t="shared" si="182"/>
        <v>0.3338460412989025</v>
      </c>
      <c r="BY136" s="2954">
        <f t="shared" ref="BY136" si="183">+CHOOSE($B$123,BY137,BY138,BY139)</f>
        <v>0.32726431060843986</v>
      </c>
      <c r="BZ136" s="2954">
        <f>+CHOOSE($B$123,BZ137,BZ138,BZ139)</f>
        <v>0.31</v>
      </c>
      <c r="CA136" s="2054"/>
      <c r="CB136" s="2081">
        <f t="shared" ref="CB136:CE136" si="184">+CHOOSE($B$123,CB137,CB138,CB139)</f>
        <v>0.28839953323418871</v>
      </c>
      <c r="CC136" s="2081">
        <f t="shared" si="184"/>
        <v>0.32484604129890249</v>
      </c>
      <c r="CD136" s="2081">
        <f t="shared" si="184"/>
        <v>0.32226431060843985</v>
      </c>
      <c r="CE136" s="2081">
        <f t="shared" si="184"/>
        <v>0.34299999999999997</v>
      </c>
      <c r="CF136" s="862"/>
      <c r="CG136" s="862"/>
      <c r="CH136" s="862"/>
      <c r="CI136" s="862"/>
      <c r="CJ136" s="862"/>
      <c r="CK136" s="862"/>
      <c r="CL136" s="862"/>
    </row>
    <row r="137" spans="1:90">
      <c r="A137" s="862"/>
      <c r="B137" s="862"/>
      <c r="C137" s="877"/>
      <c r="D137" s="1036"/>
      <c r="E137" s="1036"/>
      <c r="F137" s="1036"/>
      <c r="G137" s="1036">
        <f>+'Segment Detail'!AI141</f>
        <v>0.39384387047592961</v>
      </c>
      <c r="H137" s="1036">
        <f>+'Segment Detail'!AJ141</f>
        <v>0.34053105498224345</v>
      </c>
      <c r="I137" s="1036">
        <f>+'Segment Detail'!AK141</f>
        <v>0.32987982606823257</v>
      </c>
      <c r="J137" s="1036">
        <f>+'Segment Detail'!AL141</f>
        <v>0.31619931519483979</v>
      </c>
      <c r="K137" s="1036">
        <f>+'Segment Detail'!AM141</f>
        <v>0.32905465606165096</v>
      </c>
      <c r="L137" s="1036">
        <f>+'Segment Detail'!AN141</f>
        <v>0.31058319053414546</v>
      </c>
      <c r="M137" s="1036">
        <f>+'Segment Detail'!AO141</f>
        <v>0.32137919132183984</v>
      </c>
      <c r="N137" s="1482">
        <f>M137+0.001</f>
        <v>0.32237919132183984</v>
      </c>
      <c r="O137" s="1482">
        <f t="shared" ref="O137:W137" si="185">N137+0.001</f>
        <v>0.32337919132183984</v>
      </c>
      <c r="P137" s="1482">
        <f t="shared" si="185"/>
        <v>0.32437919132183984</v>
      </c>
      <c r="Q137" s="1482">
        <f t="shared" si="185"/>
        <v>0.32537919132183984</v>
      </c>
      <c r="R137" s="1482">
        <f t="shared" si="185"/>
        <v>0.32637919132183985</v>
      </c>
      <c r="S137" s="1482">
        <f t="shared" si="185"/>
        <v>0.32737919132183985</v>
      </c>
      <c r="T137" s="1482">
        <f t="shared" si="185"/>
        <v>0.32837919132183985</v>
      </c>
      <c r="U137" s="1482">
        <f t="shared" si="185"/>
        <v>0.32937919132183985</v>
      </c>
      <c r="V137" s="1482">
        <f t="shared" si="185"/>
        <v>0.33037919132183985</v>
      </c>
      <c r="W137" s="1482">
        <f t="shared" si="185"/>
        <v>0.33137919132183985</v>
      </c>
      <c r="X137" s="862"/>
      <c r="Y137" s="862"/>
      <c r="Z137" s="862"/>
      <c r="AA137" s="862"/>
      <c r="AB137" s="862"/>
      <c r="AC137" s="1604"/>
      <c r="AD137" s="902"/>
      <c r="AE137" s="902"/>
      <c r="AF137" s="902"/>
      <c r="AG137" s="902"/>
      <c r="AH137" s="902"/>
      <c r="AI137" s="902"/>
      <c r="AJ137" s="902"/>
      <c r="AK137" s="902"/>
      <c r="AL137" s="902"/>
      <c r="AM137" s="902"/>
      <c r="AN137" s="902"/>
      <c r="AO137" s="902"/>
      <c r="AP137" s="902"/>
      <c r="AQ137" s="902"/>
      <c r="AR137" s="902"/>
      <c r="AS137" s="862"/>
      <c r="AT137" s="862"/>
      <c r="AU137" s="862"/>
      <c r="AV137" s="862"/>
      <c r="AW137" s="862"/>
      <c r="AX137" s="862"/>
      <c r="AY137" s="862"/>
      <c r="AZ137" s="862"/>
      <c r="BA137" s="862"/>
      <c r="BB137" s="862"/>
      <c r="BC137" s="1036">
        <f>+Drivers!CF61</f>
        <v>0.39002032533084019</v>
      </c>
      <c r="BD137" s="1036">
        <f>+Drivers!CG61</f>
        <v>0.39530220470998906</v>
      </c>
      <c r="BE137" s="1036">
        <f>+Drivers!CH61</f>
        <v>0.31454644671444215</v>
      </c>
      <c r="BF137" s="1036">
        <f>+Drivers!CI61</f>
        <v>0.23838116426948097</v>
      </c>
      <c r="BG137" s="862"/>
      <c r="BH137" s="1036">
        <f>+Drivers!CK61</f>
        <v>0.35540533867021445</v>
      </c>
      <c r="BI137" s="1036">
        <f>+Drivers!CL61</f>
        <v>0.41820442033131972</v>
      </c>
      <c r="BJ137" s="1036">
        <f>+Drivers!CM61</f>
        <v>0.30487758222384553</v>
      </c>
      <c r="BK137" s="1036">
        <f>+Drivers!CN61</f>
        <v>0.23190287857430553</v>
      </c>
      <c r="BL137" s="862"/>
      <c r="BM137" s="1036">
        <f>+Drivers!CP61</f>
        <v>0.33706333387082832</v>
      </c>
      <c r="BN137" s="1036">
        <f>+Drivers!CQ61</f>
        <v>0.42184982883499117</v>
      </c>
      <c r="BO137" s="1036">
        <f>+Drivers!CR61</f>
        <v>0.31500680956045218</v>
      </c>
      <c r="BP137" s="1036">
        <f>+Drivers!CS61</f>
        <v>0.19741297419539153</v>
      </c>
      <c r="BQ137" s="862"/>
      <c r="BR137" s="1036">
        <f>+Drivers!CU61</f>
        <v>0.33428853654946006</v>
      </c>
      <c r="BS137" s="1036">
        <f>+Drivers!CV61</f>
        <v>0.41030529948166128</v>
      </c>
      <c r="BT137" s="1036">
        <f>+Drivers!CW61</f>
        <v>0.32389990275739816</v>
      </c>
      <c r="BU137" s="1036">
        <f>+Drivers!CX61</f>
        <v>0.24574972774169426</v>
      </c>
      <c r="BV137" s="1577"/>
      <c r="BW137" s="1036">
        <f>+Drivers!CZ61</f>
        <v>0.26839953323418869</v>
      </c>
      <c r="BX137" s="1036">
        <f>+Drivers!DA61</f>
        <v>0.3338460412989025</v>
      </c>
      <c r="BY137" s="1036">
        <f>+Drivers!DB61</f>
        <v>0.32726431060843986</v>
      </c>
      <c r="BZ137" s="1602">
        <v>0.31</v>
      </c>
      <c r="CA137" s="2054"/>
      <c r="CB137" s="1602">
        <f>BW137+0.02</f>
        <v>0.28839953323418871</v>
      </c>
      <c r="CC137" s="1602">
        <f>BX137-0.009</f>
        <v>0.32484604129890249</v>
      </c>
      <c r="CD137" s="1602">
        <f>BY137-0.005</f>
        <v>0.32226431060843985</v>
      </c>
      <c r="CE137" s="1602">
        <f>BZ137+0.033</f>
        <v>0.34299999999999997</v>
      </c>
      <c r="CF137" s="862"/>
      <c r="CG137" s="862"/>
      <c r="CH137" s="862"/>
      <c r="CI137" s="862"/>
      <c r="CJ137" s="862"/>
      <c r="CK137" s="862"/>
      <c r="CL137" s="862"/>
    </row>
    <row r="138" spans="1:90">
      <c r="A138" s="862"/>
      <c r="B138" s="862"/>
      <c r="C138" s="877"/>
      <c r="D138" s="877"/>
      <c r="E138" s="877"/>
      <c r="F138" s="877"/>
      <c r="G138" s="1201">
        <f t="shared" ref="G138:L138" si="186">+G137</f>
        <v>0.39384387047592961</v>
      </c>
      <c r="H138" s="1201">
        <f t="shared" si="186"/>
        <v>0.34053105498224345</v>
      </c>
      <c r="I138" s="1201">
        <f t="shared" si="186"/>
        <v>0.32987982606823257</v>
      </c>
      <c r="J138" s="1201">
        <f t="shared" si="186"/>
        <v>0.31619931519483979</v>
      </c>
      <c r="K138" s="1201">
        <f t="shared" si="186"/>
        <v>0.32905465606165096</v>
      </c>
      <c r="L138" s="1201">
        <f t="shared" si="186"/>
        <v>0.31058319053414546</v>
      </c>
      <c r="M138" s="877">
        <f t="shared" ref="M138:T138" si="187">M137+0.005</f>
        <v>0.32637919132183985</v>
      </c>
      <c r="N138" s="877">
        <f t="shared" si="187"/>
        <v>0.32737919132183985</v>
      </c>
      <c r="O138" s="877">
        <f t="shared" si="187"/>
        <v>0.32837919132183985</v>
      </c>
      <c r="P138" s="877">
        <f t="shared" si="187"/>
        <v>0.32937919132183985</v>
      </c>
      <c r="Q138" s="877">
        <f t="shared" si="187"/>
        <v>0.33037919132183985</v>
      </c>
      <c r="R138" s="877">
        <f t="shared" si="187"/>
        <v>0.33137919132183985</v>
      </c>
      <c r="S138" s="877">
        <f t="shared" si="187"/>
        <v>0.33237919132183985</v>
      </c>
      <c r="T138" s="877">
        <f t="shared" si="187"/>
        <v>0.33337919132183985</v>
      </c>
      <c r="U138" s="1737">
        <f>U137+0.005</f>
        <v>0.33437919132183985</v>
      </c>
      <c r="V138" s="1737">
        <f>V137+0.005</f>
        <v>0.33537919132183985</v>
      </c>
      <c r="W138" s="1737">
        <f>W137+0.005</f>
        <v>0.33637919132183985</v>
      </c>
      <c r="X138" s="862"/>
      <c r="Y138" s="862"/>
      <c r="Z138" s="862"/>
      <c r="AA138" s="862"/>
      <c r="AB138" s="862"/>
      <c r="AC138" s="902"/>
      <c r="AD138" s="902"/>
      <c r="AE138" s="902"/>
      <c r="AF138" s="902"/>
      <c r="AG138" s="902"/>
      <c r="AH138" s="902"/>
      <c r="AI138" s="902"/>
      <c r="AJ138" s="902"/>
      <c r="AK138" s="902"/>
      <c r="AL138" s="902"/>
      <c r="AM138" s="902"/>
      <c r="AN138" s="902"/>
      <c r="AO138" s="902"/>
      <c r="AP138" s="902"/>
      <c r="AQ138" s="902"/>
      <c r="AR138" s="902"/>
      <c r="AS138" s="862"/>
      <c r="AT138" s="862"/>
      <c r="AU138" s="862"/>
      <c r="AV138" s="862"/>
      <c r="AW138" s="862"/>
      <c r="AX138" s="862"/>
      <c r="AY138" s="862"/>
      <c r="AZ138" s="862"/>
      <c r="BA138" s="862"/>
      <c r="BB138" s="862"/>
      <c r="BC138" s="2086">
        <f>BC137</f>
        <v>0.39002032533084019</v>
      </c>
      <c r="BD138" s="2086">
        <f>BD137</f>
        <v>0.39530220470998906</v>
      </c>
      <c r="BE138" s="2086">
        <f>BE137</f>
        <v>0.31454644671444215</v>
      </c>
      <c r="BF138" s="2086">
        <f>BF137</f>
        <v>0.23838116426948097</v>
      </c>
      <c r="BG138" s="862"/>
      <c r="BH138" s="2086">
        <f>BH137</f>
        <v>0.35540533867021445</v>
      </c>
      <c r="BI138" s="2086">
        <f>BI137</f>
        <v>0.41820442033131972</v>
      </c>
      <c r="BJ138" s="2086">
        <f>BJ137</f>
        <v>0.30487758222384553</v>
      </c>
      <c r="BK138" s="2086">
        <f>BK137</f>
        <v>0.23190287857430553</v>
      </c>
      <c r="BL138" s="862"/>
      <c r="BM138" s="2086">
        <f>BM137</f>
        <v>0.33706333387082832</v>
      </c>
      <c r="BN138" s="2086">
        <f>BN137</f>
        <v>0.42184982883499117</v>
      </c>
      <c r="BO138" s="2086">
        <f>BO137</f>
        <v>0.31500680956045218</v>
      </c>
      <c r="BP138" s="2086">
        <f>BP137</f>
        <v>0.19741297419539153</v>
      </c>
      <c r="BQ138" s="862"/>
      <c r="BR138" s="2086">
        <f>BR137</f>
        <v>0.33428853654946006</v>
      </c>
      <c r="BS138" s="2086">
        <f>BS137</f>
        <v>0.41030529948166128</v>
      </c>
      <c r="BT138" s="2086">
        <f>BT137</f>
        <v>0.32389990275739816</v>
      </c>
      <c r="BU138" s="2086">
        <f>BU137</f>
        <v>0.24574972774169426</v>
      </c>
      <c r="BV138" s="1577"/>
      <c r="BW138" s="2086">
        <f t="shared" ref="BW138:BX138" si="188">BW137</f>
        <v>0.26839953323418869</v>
      </c>
      <c r="BX138" s="2086">
        <f t="shared" si="188"/>
        <v>0.3338460412989025</v>
      </c>
      <c r="BY138" s="2086">
        <f t="shared" ref="BY138" si="189">BY137</f>
        <v>0.32726431060843986</v>
      </c>
      <c r="BZ138" s="2023">
        <f>BZ137+0.005</f>
        <v>0.315</v>
      </c>
      <c r="CA138" s="862"/>
      <c r="CB138" s="2023">
        <f t="shared" ref="CB138:CE138" si="190">CB137+0.005</f>
        <v>0.29339953323418871</v>
      </c>
      <c r="CC138" s="2023">
        <f t="shared" si="190"/>
        <v>0.32984604129890249</v>
      </c>
      <c r="CD138" s="2023">
        <f t="shared" si="190"/>
        <v>0.32726431060843986</v>
      </c>
      <c r="CE138" s="2023">
        <f t="shared" si="190"/>
        <v>0.34799999999999998</v>
      </c>
      <c r="CF138" s="862"/>
      <c r="CG138" s="862"/>
      <c r="CH138" s="862"/>
      <c r="CI138" s="862"/>
      <c r="CJ138" s="862"/>
      <c r="CK138" s="862"/>
      <c r="CL138" s="862"/>
    </row>
    <row r="139" spans="1:90">
      <c r="A139" s="862"/>
      <c r="B139" s="862"/>
      <c r="C139" s="877"/>
      <c r="D139" s="877"/>
      <c r="E139" s="877"/>
      <c r="F139" s="877"/>
      <c r="G139" s="1201">
        <f t="shared" ref="G139:L139" si="191">+G137</f>
        <v>0.39384387047592961</v>
      </c>
      <c r="H139" s="1201">
        <f t="shared" si="191"/>
        <v>0.34053105498224345</v>
      </c>
      <c r="I139" s="1201">
        <f t="shared" si="191"/>
        <v>0.32987982606823257</v>
      </c>
      <c r="J139" s="1201">
        <f t="shared" si="191"/>
        <v>0.31619931519483979</v>
      </c>
      <c r="K139" s="1201">
        <f t="shared" si="191"/>
        <v>0.32905465606165096</v>
      </c>
      <c r="L139" s="1201">
        <f t="shared" si="191"/>
        <v>0.31058319053414546</v>
      </c>
      <c r="M139" s="877">
        <f t="shared" ref="M139:T139" si="192">M137-0.005</f>
        <v>0.31637919132183984</v>
      </c>
      <c r="N139" s="877">
        <f t="shared" si="192"/>
        <v>0.31737919132183984</v>
      </c>
      <c r="O139" s="877">
        <f t="shared" si="192"/>
        <v>0.31837919132183984</v>
      </c>
      <c r="P139" s="877">
        <f t="shared" si="192"/>
        <v>0.31937919132183984</v>
      </c>
      <c r="Q139" s="877">
        <f t="shared" si="192"/>
        <v>0.32037919132183984</v>
      </c>
      <c r="R139" s="877">
        <f t="shared" si="192"/>
        <v>0.32137919132183984</v>
      </c>
      <c r="S139" s="877">
        <f t="shared" si="192"/>
        <v>0.32237919132183984</v>
      </c>
      <c r="T139" s="877">
        <f t="shared" si="192"/>
        <v>0.32337919132183984</v>
      </c>
      <c r="U139" s="1737">
        <f>U137-0.005</f>
        <v>0.32437919132183984</v>
      </c>
      <c r="V139" s="1737">
        <f>V137-0.005</f>
        <v>0.32537919132183984</v>
      </c>
      <c r="W139" s="1737">
        <f>W137-0.005</f>
        <v>0.32637919132183985</v>
      </c>
      <c r="X139" s="862"/>
      <c r="Y139" s="862"/>
      <c r="Z139" s="862"/>
      <c r="AA139" s="862"/>
      <c r="AB139" s="862"/>
      <c r="AC139" s="902"/>
      <c r="AD139" s="902"/>
      <c r="AE139" s="902"/>
      <c r="AF139" s="902"/>
      <c r="AG139" s="902"/>
      <c r="AH139" s="902"/>
      <c r="AI139" s="902"/>
      <c r="AJ139" s="902"/>
      <c r="AK139" s="902"/>
      <c r="AL139" s="902"/>
      <c r="AM139" s="902"/>
      <c r="AN139" s="902"/>
      <c r="AO139" s="902"/>
      <c r="AP139" s="902"/>
      <c r="AQ139" s="902"/>
      <c r="AR139" s="902"/>
      <c r="AS139" s="862"/>
      <c r="AT139" s="862"/>
      <c r="AU139" s="862"/>
      <c r="AV139" s="862"/>
      <c r="AW139" s="862"/>
      <c r="AX139" s="862"/>
      <c r="AY139" s="862"/>
      <c r="AZ139" s="862"/>
      <c r="BA139" s="862"/>
      <c r="BB139" s="862"/>
      <c r="BC139" s="2086">
        <f>BC137</f>
        <v>0.39002032533084019</v>
      </c>
      <c r="BD139" s="2086">
        <f>BD137</f>
        <v>0.39530220470998906</v>
      </c>
      <c r="BE139" s="2086">
        <f>BE137</f>
        <v>0.31454644671444215</v>
      </c>
      <c r="BF139" s="2086">
        <f>BF137</f>
        <v>0.23838116426948097</v>
      </c>
      <c r="BG139" s="862"/>
      <c r="BH139" s="2086">
        <f>BH137</f>
        <v>0.35540533867021445</v>
      </c>
      <c r="BI139" s="2086">
        <f>BI137</f>
        <v>0.41820442033131972</v>
      </c>
      <c r="BJ139" s="2086">
        <f>BJ137</f>
        <v>0.30487758222384553</v>
      </c>
      <c r="BK139" s="2086">
        <f>BK137</f>
        <v>0.23190287857430553</v>
      </c>
      <c r="BL139" s="862"/>
      <c r="BM139" s="2086">
        <f>BM137</f>
        <v>0.33706333387082832</v>
      </c>
      <c r="BN139" s="2086">
        <f>BN137</f>
        <v>0.42184982883499117</v>
      </c>
      <c r="BO139" s="2086">
        <f>BO137</f>
        <v>0.31500680956045218</v>
      </c>
      <c r="BP139" s="2086">
        <f>BP137</f>
        <v>0.19741297419539153</v>
      </c>
      <c r="BQ139" s="862"/>
      <c r="BR139" s="2086">
        <f>BR137</f>
        <v>0.33428853654946006</v>
      </c>
      <c r="BS139" s="2086">
        <f>BS137</f>
        <v>0.41030529948166128</v>
      </c>
      <c r="BT139" s="2086">
        <f>BT137</f>
        <v>0.32389990275739816</v>
      </c>
      <c r="BU139" s="2086">
        <f>BU137</f>
        <v>0.24574972774169426</v>
      </c>
      <c r="BV139" s="1577"/>
      <c r="BW139" s="2086">
        <f t="shared" ref="BW139:BX139" si="193">BW137</f>
        <v>0.26839953323418869</v>
      </c>
      <c r="BX139" s="2086">
        <f t="shared" si="193"/>
        <v>0.3338460412989025</v>
      </c>
      <c r="BY139" s="2086">
        <f t="shared" ref="BY139" si="194">BY137</f>
        <v>0.32726431060843986</v>
      </c>
      <c r="BZ139" s="2023">
        <f>BZ137-0.005</f>
        <v>0.30499999999999999</v>
      </c>
      <c r="CA139" s="862"/>
      <c r="CB139" s="2023">
        <f t="shared" ref="CB139:CE139" si="195">CB137-0.005</f>
        <v>0.28339953323418871</v>
      </c>
      <c r="CC139" s="2023">
        <f t="shared" si="195"/>
        <v>0.31984604129890248</v>
      </c>
      <c r="CD139" s="2023">
        <f t="shared" si="195"/>
        <v>0.31726431060843985</v>
      </c>
      <c r="CE139" s="2023">
        <f t="shared" si="195"/>
        <v>0.33799999999999997</v>
      </c>
      <c r="CF139" s="862"/>
      <c r="CG139" s="862"/>
      <c r="CH139" s="862"/>
      <c r="CI139" s="862"/>
      <c r="CJ139" s="862"/>
      <c r="CK139" s="862"/>
      <c r="CL139" s="862"/>
    </row>
    <row r="140" spans="1:90">
      <c r="A140" s="862"/>
      <c r="B140" s="862"/>
      <c r="C140" s="877"/>
      <c r="D140" s="877"/>
      <c r="E140" s="877"/>
      <c r="F140" s="877"/>
      <c r="G140" s="877"/>
      <c r="H140" s="877"/>
      <c r="I140" s="877"/>
      <c r="J140" s="877"/>
      <c r="K140" s="902"/>
      <c r="L140" s="902"/>
      <c r="M140" s="902"/>
      <c r="N140" s="902"/>
      <c r="O140" s="902"/>
      <c r="P140" s="1035"/>
      <c r="Q140" s="1035"/>
      <c r="R140" s="1035"/>
      <c r="S140" s="1035"/>
      <c r="T140" s="1035"/>
      <c r="U140" s="1604"/>
      <c r="V140" s="1604"/>
      <c r="W140" s="862"/>
      <c r="X140" s="862"/>
      <c r="Y140" s="862"/>
      <c r="Z140" s="862"/>
      <c r="AA140" s="862"/>
      <c r="AB140" s="862"/>
      <c r="AC140" s="902"/>
      <c r="AD140" s="902"/>
      <c r="AE140" s="902"/>
      <c r="AF140" s="902"/>
      <c r="AG140" s="902"/>
      <c r="AH140" s="902"/>
      <c r="AI140" s="902"/>
      <c r="AJ140" s="902"/>
      <c r="AK140" s="902"/>
      <c r="AL140" s="902"/>
      <c r="AM140" s="902"/>
      <c r="AN140" s="902"/>
      <c r="AO140" s="902"/>
      <c r="AP140" s="902"/>
      <c r="AQ140" s="902"/>
      <c r="AR140" s="902"/>
      <c r="AS140" s="862"/>
      <c r="AT140" s="862"/>
      <c r="AU140" s="862"/>
      <c r="AV140" s="862"/>
      <c r="AW140" s="862"/>
      <c r="AX140" s="862"/>
      <c r="AY140" s="862"/>
      <c r="AZ140" s="862"/>
      <c r="BA140" s="862"/>
      <c r="BB140" s="862"/>
      <c r="BC140" s="906"/>
      <c r="BD140" s="906"/>
      <c r="BE140" s="906"/>
      <c r="BF140" s="906"/>
      <c r="BG140" s="862"/>
      <c r="BH140" s="1404"/>
      <c r="BI140" s="1404"/>
      <c r="BJ140" s="1404"/>
      <c r="BK140" s="906"/>
      <c r="BL140" s="862"/>
      <c r="BM140" s="906"/>
      <c r="BN140" s="906"/>
      <c r="BO140" s="906"/>
      <c r="BP140" s="906"/>
      <c r="BQ140" s="862"/>
      <c r="BR140" s="1470"/>
      <c r="BS140" s="1470"/>
      <c r="BT140" s="1470"/>
      <c r="BU140" s="1470"/>
      <c r="BV140" s="1577"/>
      <c r="BW140" s="1470"/>
      <c r="BX140" s="1470"/>
      <c r="BY140" s="1470"/>
      <c r="BZ140" s="1470"/>
      <c r="CA140" s="1470"/>
      <c r="CB140" s="877"/>
      <c r="CC140" s="1470"/>
      <c r="CD140" s="862"/>
      <c r="CE140" s="862"/>
      <c r="CF140" s="862"/>
      <c r="CG140" s="862"/>
      <c r="CH140" s="862"/>
      <c r="CI140" s="862"/>
      <c r="CJ140" s="862"/>
      <c r="CK140" s="862"/>
      <c r="CL140" s="862"/>
    </row>
    <row r="141" spans="1:90">
      <c r="A141" s="862"/>
      <c r="B141" s="862"/>
      <c r="C141" s="1201"/>
      <c r="D141" s="1201"/>
      <c r="E141" s="1201"/>
      <c r="F141" s="1201"/>
      <c r="G141" s="1201"/>
      <c r="H141" s="1201"/>
      <c r="I141" s="877"/>
      <c r="J141" s="877"/>
      <c r="K141" s="877"/>
      <c r="L141" s="877"/>
      <c r="M141" s="877"/>
      <c r="N141" s="877"/>
      <c r="O141" s="877"/>
      <c r="P141" s="877"/>
      <c r="Q141" s="877"/>
      <c r="R141" s="877"/>
      <c r="S141" s="877"/>
      <c r="T141" s="877"/>
      <c r="U141" s="1737"/>
      <c r="V141" s="862"/>
      <c r="W141" s="862"/>
      <c r="X141" s="862"/>
      <c r="Y141" s="862"/>
      <c r="Z141" s="862"/>
      <c r="AA141" s="862"/>
      <c r="AB141" s="862"/>
      <c r="AC141" s="862"/>
      <c r="AD141" s="862"/>
      <c r="AE141" s="862"/>
      <c r="AF141" s="862"/>
      <c r="AG141" s="862"/>
      <c r="AH141" s="862"/>
      <c r="AI141" s="862"/>
      <c r="AJ141" s="862"/>
      <c r="AK141" s="862"/>
      <c r="AL141" s="862"/>
      <c r="AM141" s="862"/>
      <c r="AN141" s="862"/>
      <c r="AO141" s="862"/>
      <c r="AP141" s="862"/>
      <c r="AQ141" s="862"/>
      <c r="AR141" s="862"/>
      <c r="BQ141" s="862"/>
      <c r="BR141" s="1577"/>
      <c r="BS141" s="1577"/>
      <c r="BT141" s="1577"/>
      <c r="BU141" s="1577"/>
      <c r="BV141" s="1577"/>
      <c r="BW141" s="1577"/>
      <c r="BX141" s="1577"/>
      <c r="BY141" s="1577"/>
      <c r="BZ141" s="1577"/>
      <c r="CA141" s="1577"/>
      <c r="CB141" s="877"/>
      <c r="CC141" s="1577"/>
    </row>
    <row r="142" spans="1:90" ht="13.5" thickBot="1">
      <c r="A142" s="862"/>
      <c r="B142" s="862"/>
      <c r="C142" s="862"/>
      <c r="D142" s="862"/>
      <c r="E142" s="862"/>
      <c r="F142" s="862"/>
      <c r="G142" s="862"/>
      <c r="H142" s="862"/>
      <c r="I142" s="862"/>
      <c r="J142" s="862"/>
      <c r="K142" s="862"/>
      <c r="L142" s="862"/>
      <c r="M142" s="862"/>
      <c r="N142" s="862"/>
      <c r="O142" s="862"/>
      <c r="P142" s="906"/>
      <c r="Q142" s="906"/>
      <c r="R142" s="906"/>
      <c r="S142" s="906"/>
      <c r="T142" s="906"/>
      <c r="U142" s="1470"/>
      <c r="V142" s="862"/>
      <c r="W142" s="862"/>
      <c r="X142" s="862"/>
      <c r="Y142" s="862"/>
      <c r="Z142" s="862"/>
      <c r="AA142" s="862"/>
      <c r="AB142" s="862"/>
      <c r="AC142" s="862"/>
      <c r="AD142" s="862"/>
      <c r="AE142" s="862"/>
      <c r="AF142" s="862"/>
      <c r="AG142" s="862"/>
      <c r="AH142" s="862"/>
      <c r="AI142" s="862"/>
      <c r="AJ142" s="862"/>
      <c r="AK142" s="862"/>
      <c r="AL142" s="862"/>
      <c r="AM142" s="862"/>
      <c r="AN142" s="862"/>
      <c r="AO142" s="862"/>
      <c r="AP142" s="862"/>
      <c r="AQ142" s="862"/>
      <c r="AR142" s="862"/>
      <c r="BQ142" s="2867"/>
      <c r="BR142" s="2807"/>
      <c r="BS142" s="2807"/>
      <c r="BT142" s="2807"/>
      <c r="BU142" s="2807"/>
      <c r="BV142" s="2807"/>
      <c r="BW142" s="2807"/>
      <c r="BX142" s="2807"/>
      <c r="BY142" s="2807"/>
      <c r="BZ142" s="2807"/>
      <c r="CA142" s="2807"/>
      <c r="CB142" s="1577"/>
      <c r="CC142" s="1577"/>
    </row>
    <row r="143" spans="1:90" ht="13.5" thickBot="1">
      <c r="A143" s="862"/>
      <c r="B143" s="2533">
        <f>B81</f>
        <v>1</v>
      </c>
      <c r="C143" s="902"/>
      <c r="D143" s="902"/>
      <c r="E143" s="902"/>
      <c r="F143" s="902"/>
      <c r="G143" s="902"/>
      <c r="H143" s="1668"/>
      <c r="I143" s="902"/>
      <c r="J143" s="902"/>
      <c r="K143" s="2946"/>
      <c r="L143" s="2946"/>
      <c r="M143" s="2946"/>
      <c r="N143" s="2946"/>
      <c r="O143" s="2946"/>
      <c r="P143" s="2946"/>
      <c r="Q143" s="2946"/>
      <c r="R143" s="2946"/>
      <c r="S143" s="2946"/>
      <c r="T143" s="2946"/>
      <c r="U143" s="2946"/>
      <c r="V143" s="2946"/>
      <c r="W143" s="902"/>
      <c r="X143" s="902"/>
      <c r="Y143" s="902"/>
      <c r="Z143" s="902"/>
      <c r="AA143" s="902"/>
      <c r="AB143" s="902"/>
      <c r="AC143" s="902"/>
      <c r="AD143" s="902"/>
      <c r="AE143" s="902"/>
      <c r="AF143" s="902"/>
      <c r="AG143" s="902"/>
      <c r="AH143" s="902"/>
      <c r="AI143" s="902"/>
      <c r="AJ143" s="902"/>
      <c r="AK143" s="902"/>
      <c r="AL143" s="902"/>
      <c r="AM143" s="902"/>
      <c r="AN143" s="902"/>
      <c r="AO143" s="902"/>
      <c r="AP143" s="902"/>
      <c r="AQ143" s="902"/>
      <c r="AR143" s="902"/>
      <c r="AS143" s="902"/>
      <c r="AT143" s="902"/>
      <c r="AU143" s="902"/>
      <c r="AV143" s="902"/>
      <c r="AW143" s="902"/>
      <c r="AX143" s="902"/>
      <c r="AY143" s="902"/>
      <c r="AZ143" s="902"/>
      <c r="BA143" s="902"/>
      <c r="BB143" s="902"/>
      <c r="BC143" s="902"/>
      <c r="BD143" s="902"/>
      <c r="BE143" s="902"/>
      <c r="BF143" s="902"/>
      <c r="BG143" s="902"/>
      <c r="BH143" s="902"/>
      <c r="BI143" s="902"/>
      <c r="BJ143" s="902"/>
      <c r="BK143" s="902"/>
      <c r="BL143" s="902"/>
      <c r="BM143" s="1470"/>
      <c r="BN143" s="1470"/>
      <c r="BO143" s="1470"/>
      <c r="BP143" s="1438"/>
      <c r="BQ143" s="2867"/>
      <c r="BR143" s="2867"/>
      <c r="BS143" s="2867"/>
      <c r="BT143" s="2867"/>
      <c r="BU143" s="2965"/>
      <c r="BV143" s="2867"/>
      <c r="BW143" s="2965"/>
      <c r="BX143" s="2965"/>
      <c r="BY143" s="2965"/>
      <c r="BZ143" s="2965"/>
      <c r="CA143" s="2965"/>
      <c r="CB143" s="877"/>
      <c r="CC143" s="1438"/>
      <c r="CD143" s="862"/>
      <c r="CE143" s="862"/>
      <c r="CF143" s="862"/>
      <c r="CG143" s="862"/>
      <c r="CH143" s="862"/>
      <c r="CI143" s="862"/>
      <c r="CJ143" s="862"/>
      <c r="CK143" s="862"/>
      <c r="CL143" s="862"/>
    </row>
    <row r="144" spans="1:90">
      <c r="A144" s="862"/>
      <c r="B144" s="862" t="s">
        <v>347</v>
      </c>
      <c r="C144" s="902"/>
      <c r="D144" s="902"/>
      <c r="E144" s="1035"/>
      <c r="F144" s="1035"/>
      <c r="G144" s="1099"/>
      <c r="H144" s="1099">
        <f>+CHOOSE($B$143,H145,H146,H147)</f>
        <v>2185</v>
      </c>
      <c r="I144" s="1099">
        <f t="shared" ref="I144:P144" si="196">+CHOOSE($B$143,I145,I146,I147)</f>
        <v>3595</v>
      </c>
      <c r="J144" s="1099">
        <f t="shared" si="196"/>
        <v>2813</v>
      </c>
      <c r="K144" s="2947">
        <f t="shared" si="196"/>
        <v>2997</v>
      </c>
      <c r="L144" s="2947">
        <f t="shared" si="196"/>
        <v>1111</v>
      </c>
      <c r="M144" s="2947">
        <f t="shared" si="196"/>
        <v>900</v>
      </c>
      <c r="N144" s="2947">
        <f t="shared" si="196"/>
        <v>1500</v>
      </c>
      <c r="O144" s="2947">
        <f t="shared" si="196"/>
        <v>1545</v>
      </c>
      <c r="P144" s="2947">
        <f t="shared" si="196"/>
        <v>1575.9</v>
      </c>
      <c r="Q144" s="2947">
        <f t="shared" ref="Q144:V144" si="197">+CHOOSE($B$143,Q145,Q146,Q147)</f>
        <v>1607.4180000000001</v>
      </c>
      <c r="R144" s="2947">
        <f t="shared" si="197"/>
        <v>1639.5663600000003</v>
      </c>
      <c r="S144" s="2947">
        <f t="shared" si="197"/>
        <v>1672.3576872000003</v>
      </c>
      <c r="T144" s="2947">
        <f t="shared" si="197"/>
        <v>1705.8048409440003</v>
      </c>
      <c r="U144" s="2947">
        <f t="shared" si="197"/>
        <v>1739.9209377628804</v>
      </c>
      <c r="V144" s="2947">
        <f t="shared" si="197"/>
        <v>1774.7193565181381</v>
      </c>
      <c r="W144" s="2947">
        <f t="shared" ref="W144" si="198">+CHOOSE($B$143,W145,W146,W147)</f>
        <v>1810.2137436485009</v>
      </c>
      <c r="X144" s="862"/>
      <c r="Y144" s="862"/>
      <c r="Z144" s="862"/>
      <c r="AA144" s="862"/>
      <c r="AB144" s="862"/>
      <c r="AC144" s="902"/>
      <c r="AD144" s="902"/>
      <c r="AE144" s="902"/>
      <c r="AF144" s="902"/>
      <c r="AG144" s="902"/>
      <c r="AH144" s="902"/>
      <c r="AI144" s="902"/>
      <c r="AJ144" s="902"/>
      <c r="AK144" s="902"/>
      <c r="AL144" s="902"/>
      <c r="AM144" s="902"/>
      <c r="AN144" s="902"/>
      <c r="AO144" s="902"/>
      <c r="AP144" s="902"/>
      <c r="AQ144" s="902"/>
      <c r="AR144" s="902"/>
      <c r="AS144" s="862"/>
      <c r="AT144" s="862"/>
      <c r="AU144" s="862"/>
      <c r="AV144" s="862"/>
      <c r="AW144" s="862"/>
      <c r="AX144" s="862"/>
      <c r="AY144" s="862"/>
      <c r="AZ144" s="862"/>
      <c r="BA144" s="862"/>
      <c r="BB144" s="862"/>
      <c r="BC144" s="1133">
        <f>+CHOOSE($B$143,BC145,BC146,BC147)</f>
        <v>1062</v>
      </c>
      <c r="BD144" s="1133">
        <f>+CHOOSE($B$143,BD145,BD146,BD147)</f>
        <v>517</v>
      </c>
      <c r="BE144" s="1133">
        <f>+CHOOSE($B$143,BE145,BE146,BE147)</f>
        <v>279</v>
      </c>
      <c r="BF144" s="1133">
        <f>+CHOOSE($B$143,BF145,BF146,BF147)</f>
        <v>327</v>
      </c>
      <c r="BG144" s="862"/>
      <c r="BH144" s="1411">
        <f>+CHOOSE($B$143,BH145,BH146,BH147)</f>
        <v>2032</v>
      </c>
      <c r="BI144" s="1411">
        <f>+CHOOSE($B$143,BI145,BI146,BI147)</f>
        <v>411</v>
      </c>
      <c r="BJ144" s="1411">
        <f>+CHOOSE($B$143,BJ145,BJ146,BJ147)</f>
        <v>400</v>
      </c>
      <c r="BK144" s="1133">
        <f>+CHOOSE($B$143,BK145,BK146,BK147)</f>
        <v>752</v>
      </c>
      <c r="BL144" s="862"/>
      <c r="BM144" s="3215">
        <f>+CHOOSE($B$143,BM145,BM146,BM147)</f>
        <v>1049</v>
      </c>
      <c r="BN144" s="3214">
        <f>+CHOOSE($B$143,BN145,BN146,BN147)</f>
        <v>783</v>
      </c>
      <c r="BO144" s="3214">
        <f>+CHOOSE($B$143,BO145,BO146,BO147)</f>
        <v>513</v>
      </c>
      <c r="BP144" s="3214">
        <f>+CHOOSE($B$143,BP145,BP146,BP147)</f>
        <v>468</v>
      </c>
      <c r="BQ144" s="3213"/>
      <c r="BR144" s="3212">
        <f>+CHOOSE($B$143,BR145,BR146,BR147)</f>
        <v>533</v>
      </c>
      <c r="BS144" s="3212">
        <f>+CHOOSE($B$143,BS145,BS146,BS147)</f>
        <v>500</v>
      </c>
      <c r="BT144" s="3212">
        <f>+CHOOSE($B$143,BT145,BT146,BT147)</f>
        <v>501</v>
      </c>
      <c r="BU144" s="3212">
        <f>+CHOOSE($B$143,BU145,BU146,BU147)</f>
        <v>1463</v>
      </c>
      <c r="BV144" s="3213"/>
      <c r="BW144" s="3212">
        <f t="shared" ref="BW144:BX144" si="199">+CHOOSE($B$143,BW145,BW146,BW147)</f>
        <v>531</v>
      </c>
      <c r="BX144" s="3212">
        <f t="shared" si="199"/>
        <v>314</v>
      </c>
      <c r="BY144" s="3212">
        <f t="shared" ref="BY144" si="200">+CHOOSE($B$143,BY145,BY146,BY147)</f>
        <v>266</v>
      </c>
      <c r="BZ144" s="3212">
        <f>+CHOOSE($B$143,BZ145,BZ146,BZ147)</f>
        <v>0</v>
      </c>
      <c r="CA144" s="2867"/>
      <c r="CB144" s="3212">
        <f t="shared" ref="CB144:CE144" si="201">+CHOOSE($B$143,CB145,CB146,CB147)</f>
        <v>225</v>
      </c>
      <c r="CC144" s="3212">
        <f t="shared" si="201"/>
        <v>225</v>
      </c>
      <c r="CD144" s="3212">
        <f t="shared" si="201"/>
        <v>225</v>
      </c>
      <c r="CE144" s="3212">
        <f t="shared" si="201"/>
        <v>225</v>
      </c>
      <c r="CF144" s="862"/>
      <c r="CG144" s="862"/>
      <c r="CH144" s="862"/>
      <c r="CI144" s="862"/>
      <c r="CJ144" s="862"/>
      <c r="CK144" s="862"/>
      <c r="CL144" s="862"/>
    </row>
    <row r="145" spans="1:90">
      <c r="A145" s="862"/>
      <c r="B145" s="862"/>
      <c r="C145" s="902"/>
      <c r="D145" s="902"/>
      <c r="E145" s="1035"/>
      <c r="F145" s="1035"/>
      <c r="G145" s="1180"/>
      <c r="H145" s="1415">
        <f>+SUM(BC145:BF145)</f>
        <v>2185</v>
      </c>
      <c r="I145" s="1415">
        <f>+SUM(BH145:BK145)</f>
        <v>3595</v>
      </c>
      <c r="J145" s="1415">
        <f>+SUM(BM145:BP145)</f>
        <v>2813</v>
      </c>
      <c r="K145" s="2948">
        <f>SUM(BR145:BU145)</f>
        <v>2997</v>
      </c>
      <c r="L145" s="2948">
        <f>SUM(BW145:BZ145)</f>
        <v>1111</v>
      </c>
      <c r="M145" s="2948">
        <f>SUM(CB145:CE145)</f>
        <v>900</v>
      </c>
      <c r="N145" s="2949">
        <v>1500</v>
      </c>
      <c r="O145" s="2949">
        <f>+N145*1.03</f>
        <v>1545</v>
      </c>
      <c r="P145" s="2949">
        <f t="shared" ref="P145:W145" si="202">+O145*1.02</f>
        <v>1575.9</v>
      </c>
      <c r="Q145" s="2949">
        <f t="shared" si="202"/>
        <v>1607.4180000000001</v>
      </c>
      <c r="R145" s="2949">
        <f t="shared" si="202"/>
        <v>1639.5663600000003</v>
      </c>
      <c r="S145" s="2949">
        <f t="shared" si="202"/>
        <v>1672.3576872000003</v>
      </c>
      <c r="T145" s="2949">
        <f t="shared" si="202"/>
        <v>1705.8048409440003</v>
      </c>
      <c r="U145" s="2949">
        <f t="shared" si="202"/>
        <v>1739.9209377628804</v>
      </c>
      <c r="V145" s="2949">
        <f t="shared" si="202"/>
        <v>1774.7193565181381</v>
      </c>
      <c r="W145" s="2949">
        <f t="shared" si="202"/>
        <v>1810.2137436485009</v>
      </c>
      <c r="X145" s="862"/>
      <c r="Y145" s="862"/>
      <c r="Z145" s="862"/>
      <c r="AA145" s="862"/>
      <c r="AB145" s="862"/>
      <c r="AC145" s="902"/>
      <c r="AD145" s="902"/>
      <c r="AE145" s="902"/>
      <c r="AF145" s="902"/>
      <c r="AG145" s="902"/>
      <c r="AH145" s="902"/>
      <c r="AI145" s="902"/>
      <c r="AJ145" s="902"/>
      <c r="AK145" s="902"/>
      <c r="AL145" s="902"/>
      <c r="AM145" s="902"/>
      <c r="AN145" s="902"/>
      <c r="AO145" s="902"/>
      <c r="AP145" s="902"/>
      <c r="AQ145" s="902"/>
      <c r="AR145" s="902"/>
      <c r="AS145" s="862"/>
      <c r="AT145" s="862"/>
      <c r="AU145" s="862"/>
      <c r="AV145" s="862"/>
      <c r="AW145" s="862"/>
      <c r="AX145" s="862"/>
      <c r="AY145" s="862"/>
      <c r="AZ145" s="862"/>
      <c r="BA145" s="862"/>
      <c r="BB145" s="862"/>
      <c r="BC145" s="1374">
        <f>+'GAAP Financial Statements'!CO163</f>
        <v>1062</v>
      </c>
      <c r="BD145" s="1374">
        <f>+'GAAP Financial Statements'!CP163</f>
        <v>517</v>
      </c>
      <c r="BE145" s="1374">
        <f>+'GAAP Financial Statements'!CQ163</f>
        <v>279</v>
      </c>
      <c r="BF145" s="1374">
        <f>+'GAAP Financial Statements'!CR163</f>
        <v>327</v>
      </c>
      <c r="BG145" s="862"/>
      <c r="BH145" s="1374">
        <f>+'GAAP Financial Statements'!CT163</f>
        <v>2032</v>
      </c>
      <c r="BI145" s="1374">
        <f>+'GAAP Financial Statements'!CU163</f>
        <v>411</v>
      </c>
      <c r="BJ145" s="1374">
        <f>+'GAAP Financial Statements'!CV163</f>
        <v>400</v>
      </c>
      <c r="BK145" s="1374">
        <f>+'GAAP Financial Statements'!CW163</f>
        <v>752</v>
      </c>
      <c r="BL145" s="862"/>
      <c r="BM145" s="3211">
        <f>+'GAAP Financial Statements'!CY163</f>
        <v>1049</v>
      </c>
      <c r="BN145" s="3211">
        <f>+'GAAP Financial Statements'!CZ163</f>
        <v>783</v>
      </c>
      <c r="BO145" s="3211">
        <f>+'GAAP Financial Statements'!DA163</f>
        <v>513</v>
      </c>
      <c r="BP145" s="3211">
        <f>+'GAAP Financial Statements'!DB163</f>
        <v>468</v>
      </c>
      <c r="BQ145" s="3213"/>
      <c r="BR145" s="3210">
        <f>+'GAAP Financial Statements'!DD163</f>
        <v>533</v>
      </c>
      <c r="BS145" s="3210">
        <f>+'GAAP Financial Statements'!DE163</f>
        <v>500</v>
      </c>
      <c r="BT145" s="3210">
        <f>+'GAAP Financial Statements'!DF163</f>
        <v>501</v>
      </c>
      <c r="BU145" s="3210">
        <f>+'GAAP Financial Statements'!DG163</f>
        <v>1463</v>
      </c>
      <c r="BV145" s="3213"/>
      <c r="BW145" s="3210">
        <f>+'GAAP Financial Statements'!DI163</f>
        <v>531</v>
      </c>
      <c r="BX145" s="3210">
        <f>+'GAAP Financial Statements'!DJ163</f>
        <v>314</v>
      </c>
      <c r="BY145" s="3210">
        <f>+'GAAP Financial Statements'!DK163</f>
        <v>266</v>
      </c>
      <c r="BZ145" s="3209">
        <v>0</v>
      </c>
      <c r="CA145" s="2867"/>
      <c r="CB145" s="3209">
        <v>225</v>
      </c>
      <c r="CC145" s="3209">
        <v>225</v>
      </c>
      <c r="CD145" s="3209">
        <v>225</v>
      </c>
      <c r="CE145" s="3209">
        <v>225</v>
      </c>
      <c r="CF145" s="862"/>
      <c r="CG145" s="862"/>
      <c r="CH145" s="862"/>
      <c r="CI145" s="862"/>
      <c r="CJ145" s="862"/>
      <c r="CK145" s="862"/>
      <c r="CL145" s="862"/>
    </row>
    <row r="146" spans="1:90">
      <c r="A146" s="862"/>
      <c r="B146" s="862"/>
      <c r="C146" s="902"/>
      <c r="D146" s="902"/>
      <c r="E146" s="1035"/>
      <c r="F146" s="1035"/>
      <c r="G146" s="1180"/>
      <c r="H146" s="2078">
        <f>H145</f>
        <v>2185</v>
      </c>
      <c r="I146" s="2078">
        <f>I145</f>
        <v>3595</v>
      </c>
      <c r="J146" s="2078">
        <f>J145</f>
        <v>2813</v>
      </c>
      <c r="K146" s="2948">
        <f>SUM(BR146:BU146)</f>
        <v>2997</v>
      </c>
      <c r="L146" s="2948">
        <f>SUM(BW146:BZ146)</f>
        <v>1111</v>
      </c>
      <c r="M146" s="2948">
        <f t="shared" ref="M146:M147" si="203">SUM(CB146:CE146)</f>
        <v>1080</v>
      </c>
      <c r="N146" s="2950">
        <f t="shared" ref="N146:T146" si="204">N145*1.25</f>
        <v>1875</v>
      </c>
      <c r="O146" s="2950">
        <f t="shared" si="204"/>
        <v>1931.25</v>
      </c>
      <c r="P146" s="2950">
        <f t="shared" si="204"/>
        <v>1969.875</v>
      </c>
      <c r="Q146" s="2950">
        <f t="shared" si="204"/>
        <v>2009.2725</v>
      </c>
      <c r="R146" s="2950">
        <f t="shared" si="204"/>
        <v>2049.4579500000004</v>
      </c>
      <c r="S146" s="2950">
        <f t="shared" si="204"/>
        <v>2090.4471090000006</v>
      </c>
      <c r="T146" s="2950">
        <f t="shared" si="204"/>
        <v>2132.2560511800002</v>
      </c>
      <c r="U146" s="2950">
        <f>U145*1.25</f>
        <v>2174.9011722036003</v>
      </c>
      <c r="V146" s="2950">
        <f>V145*1.25</f>
        <v>2218.3991956476725</v>
      </c>
      <c r="W146" s="2950">
        <f>W145*1.25</f>
        <v>2262.7671795606261</v>
      </c>
      <c r="X146" s="862"/>
      <c r="Y146" s="862"/>
      <c r="Z146" s="862"/>
      <c r="AA146" s="862"/>
      <c r="AB146" s="862"/>
      <c r="AC146" s="902"/>
      <c r="AD146" s="902"/>
      <c r="AE146" s="902"/>
      <c r="AF146" s="902"/>
      <c r="AG146" s="902"/>
      <c r="AH146" s="902"/>
      <c r="AI146" s="902"/>
      <c r="AJ146" s="902"/>
      <c r="AK146" s="902"/>
      <c r="AL146" s="902"/>
      <c r="AM146" s="902"/>
      <c r="AN146" s="902"/>
      <c r="AO146" s="902"/>
      <c r="AP146" s="902"/>
      <c r="AQ146" s="902"/>
      <c r="AR146" s="902"/>
      <c r="AS146" s="862"/>
      <c r="AT146" s="862"/>
      <c r="AU146" s="862"/>
      <c r="AV146" s="862"/>
      <c r="AW146" s="862"/>
      <c r="AX146" s="862"/>
      <c r="AY146" s="862"/>
      <c r="AZ146" s="862"/>
      <c r="BA146" s="862"/>
      <c r="BB146" s="862"/>
      <c r="BC146" s="2078">
        <f>+BC145</f>
        <v>1062</v>
      </c>
      <c r="BD146" s="2078">
        <f>+BD145</f>
        <v>517</v>
      </c>
      <c r="BE146" s="2078">
        <f>+BE145</f>
        <v>279</v>
      </c>
      <c r="BF146" s="2078">
        <f>+BF145</f>
        <v>327</v>
      </c>
      <c r="BG146" s="862"/>
      <c r="BH146" s="2078">
        <f>+BH145</f>
        <v>2032</v>
      </c>
      <c r="BI146" s="2078">
        <f>+BI145</f>
        <v>411</v>
      </c>
      <c r="BJ146" s="2078">
        <f>+BJ145</f>
        <v>400</v>
      </c>
      <c r="BK146" s="2078">
        <f>+BK145</f>
        <v>752</v>
      </c>
      <c r="BL146" s="862"/>
      <c r="BM146" s="3208">
        <f>+BM145</f>
        <v>1049</v>
      </c>
      <c r="BN146" s="3208">
        <f>+BN145</f>
        <v>783</v>
      </c>
      <c r="BO146" s="3208">
        <f>+BO145</f>
        <v>513</v>
      </c>
      <c r="BP146" s="3208">
        <f>+BP145</f>
        <v>468</v>
      </c>
      <c r="BQ146" s="3213"/>
      <c r="BR146" s="3207">
        <f>+BR145</f>
        <v>533</v>
      </c>
      <c r="BS146" s="3207">
        <f>+BS145</f>
        <v>500</v>
      </c>
      <c r="BT146" s="3207">
        <f>+BT145</f>
        <v>501</v>
      </c>
      <c r="BU146" s="3207">
        <f>+BU145</f>
        <v>1463</v>
      </c>
      <c r="BV146" s="3213"/>
      <c r="BW146" s="3207">
        <f t="shared" ref="BW146:BX146" si="205">+BW145</f>
        <v>531</v>
      </c>
      <c r="BX146" s="3207">
        <f t="shared" si="205"/>
        <v>314</v>
      </c>
      <c r="BY146" s="3207">
        <f t="shared" ref="BY146:BZ146" si="206">+BY145</f>
        <v>266</v>
      </c>
      <c r="BZ146" s="3207">
        <f t="shared" si="206"/>
        <v>0</v>
      </c>
      <c r="CA146" s="2867"/>
      <c r="CB146" s="3206">
        <f>CB145*1.2</f>
        <v>270</v>
      </c>
      <c r="CC146" s="3206">
        <f t="shared" ref="CC146:CE146" si="207">CC145*1.2</f>
        <v>270</v>
      </c>
      <c r="CD146" s="3206">
        <f t="shared" si="207"/>
        <v>270</v>
      </c>
      <c r="CE146" s="3206">
        <f t="shared" si="207"/>
        <v>270</v>
      </c>
      <c r="CF146" s="862"/>
      <c r="CG146" s="862"/>
      <c r="CH146" s="862"/>
      <c r="CI146" s="862"/>
      <c r="CJ146" s="862"/>
      <c r="CK146" s="862"/>
      <c r="CL146" s="862"/>
    </row>
    <row r="147" spans="1:90">
      <c r="A147" s="862"/>
      <c r="B147" s="862"/>
      <c r="C147" s="902"/>
      <c r="D147" s="902"/>
      <c r="E147" s="1035"/>
      <c r="F147" s="1035"/>
      <c r="G147" s="1180"/>
      <c r="H147" s="2078">
        <f>H145</f>
        <v>2185</v>
      </c>
      <c r="I147" s="2078">
        <f>I145</f>
        <v>3595</v>
      </c>
      <c r="J147" s="2078">
        <f>J145</f>
        <v>2813</v>
      </c>
      <c r="K147" s="2948">
        <f>SUM(BR147:BU147)</f>
        <v>2997</v>
      </c>
      <c r="L147" s="2948">
        <f>SUM(BW147:BZ147)</f>
        <v>1111</v>
      </c>
      <c r="M147" s="2948">
        <f t="shared" si="203"/>
        <v>630</v>
      </c>
      <c r="N147" s="2950">
        <f>N145*0.75</f>
        <v>1125</v>
      </c>
      <c r="O147" s="2950">
        <f t="shared" ref="O147:V147" si="208">O145*0.75</f>
        <v>1158.75</v>
      </c>
      <c r="P147" s="2950">
        <f t="shared" si="208"/>
        <v>1181.9250000000002</v>
      </c>
      <c r="Q147" s="2950">
        <f t="shared" si="208"/>
        <v>1205.5635000000002</v>
      </c>
      <c r="R147" s="2950">
        <f t="shared" si="208"/>
        <v>1229.6747700000001</v>
      </c>
      <c r="S147" s="2950">
        <f t="shared" si="208"/>
        <v>1254.2682654000002</v>
      </c>
      <c r="T147" s="2950">
        <f t="shared" si="208"/>
        <v>1279.3536307080003</v>
      </c>
      <c r="U147" s="2950">
        <f t="shared" si="208"/>
        <v>1304.9407033221603</v>
      </c>
      <c r="V147" s="2950">
        <f t="shared" si="208"/>
        <v>1331.0395173886036</v>
      </c>
      <c r="W147" s="2950">
        <f t="shared" ref="W147" si="209">W145*0.75</f>
        <v>1357.6603077363757</v>
      </c>
      <c r="X147" s="862"/>
      <c r="Y147" s="862"/>
      <c r="Z147" s="862"/>
      <c r="AA147" s="862"/>
      <c r="AB147" s="862"/>
      <c r="AC147" s="902"/>
      <c r="AD147" s="902"/>
      <c r="AE147" s="902"/>
      <c r="AF147" s="902"/>
      <c r="AG147" s="902"/>
      <c r="AH147" s="902"/>
      <c r="AI147" s="902"/>
      <c r="AJ147" s="902"/>
      <c r="AK147" s="902"/>
      <c r="AL147" s="902"/>
      <c r="AM147" s="902"/>
      <c r="AN147" s="902"/>
      <c r="AO147" s="902"/>
      <c r="AP147" s="902"/>
      <c r="AQ147" s="902"/>
      <c r="AR147" s="902"/>
      <c r="AS147" s="862"/>
      <c r="AT147" s="862"/>
      <c r="AU147" s="862"/>
      <c r="AV147" s="862"/>
      <c r="AW147" s="862"/>
      <c r="AX147" s="862"/>
      <c r="AY147" s="862"/>
      <c r="AZ147" s="862"/>
      <c r="BA147" s="862"/>
      <c r="BB147" s="862"/>
      <c r="BC147" s="2078">
        <f>+BC145</f>
        <v>1062</v>
      </c>
      <c r="BD147" s="2078">
        <f>+BD145</f>
        <v>517</v>
      </c>
      <c r="BE147" s="2078">
        <f>+BE145</f>
        <v>279</v>
      </c>
      <c r="BF147" s="2078">
        <f>+BF145</f>
        <v>327</v>
      </c>
      <c r="BG147" s="862"/>
      <c r="BH147" s="2078">
        <f>+BH145</f>
        <v>2032</v>
      </c>
      <c r="BI147" s="2078">
        <f>+BI145</f>
        <v>411</v>
      </c>
      <c r="BJ147" s="2078">
        <f>+BJ145</f>
        <v>400</v>
      </c>
      <c r="BK147" s="2078">
        <f>+BK145</f>
        <v>752</v>
      </c>
      <c r="BL147" s="862"/>
      <c r="BM147" s="3208">
        <f>+BM145</f>
        <v>1049</v>
      </c>
      <c r="BN147" s="3208">
        <f>+BN145</f>
        <v>783</v>
      </c>
      <c r="BO147" s="3208">
        <f>+BO145</f>
        <v>513</v>
      </c>
      <c r="BP147" s="3208">
        <f>+BP145</f>
        <v>468</v>
      </c>
      <c r="BQ147" s="3213"/>
      <c r="BR147" s="3207">
        <f>+BR145</f>
        <v>533</v>
      </c>
      <c r="BS147" s="3207">
        <f>+BS145</f>
        <v>500</v>
      </c>
      <c r="BT147" s="3207">
        <f>+BT145</f>
        <v>501</v>
      </c>
      <c r="BU147" s="3207">
        <f>+BU145</f>
        <v>1463</v>
      </c>
      <c r="BV147" s="3213"/>
      <c r="BW147" s="3207">
        <f t="shared" ref="BW147:BX147" si="210">+BW145</f>
        <v>531</v>
      </c>
      <c r="BX147" s="3207">
        <f t="shared" si="210"/>
        <v>314</v>
      </c>
      <c r="BY147" s="3207">
        <f t="shared" ref="BY147:BZ147" si="211">+BY145</f>
        <v>266</v>
      </c>
      <c r="BZ147" s="3207">
        <f t="shared" si="211"/>
        <v>0</v>
      </c>
      <c r="CA147" s="2867"/>
      <c r="CB147" s="3206">
        <f t="shared" ref="CB147:CE147" si="212">CB145*0.7</f>
        <v>157.5</v>
      </c>
      <c r="CC147" s="3206">
        <f t="shared" si="212"/>
        <v>157.5</v>
      </c>
      <c r="CD147" s="3206">
        <f t="shared" si="212"/>
        <v>157.5</v>
      </c>
      <c r="CE147" s="3206">
        <f t="shared" si="212"/>
        <v>157.5</v>
      </c>
      <c r="CF147" s="862"/>
      <c r="CG147" s="862"/>
      <c r="CH147" s="862"/>
      <c r="CI147" s="862"/>
      <c r="CJ147" s="862"/>
      <c r="CK147" s="862"/>
      <c r="CL147" s="862"/>
    </row>
    <row r="148" spans="1:90" ht="13.5" thickBot="1">
      <c r="A148" s="862"/>
      <c r="B148" s="862"/>
      <c r="C148" s="902"/>
      <c r="D148" s="902"/>
      <c r="E148" s="1035"/>
      <c r="F148" s="1035"/>
      <c r="G148" s="1180"/>
      <c r="H148" s="1180"/>
      <c r="I148" s="1180"/>
      <c r="J148" s="1179"/>
      <c r="K148" s="2949"/>
      <c r="L148" s="2949"/>
      <c r="M148" s="2949"/>
      <c r="N148" s="2949"/>
      <c r="O148" s="2949"/>
      <c r="P148" s="2949"/>
      <c r="Q148" s="2949"/>
      <c r="R148" s="2949"/>
      <c r="S148" s="2949"/>
      <c r="T148" s="2949"/>
      <c r="U148" s="2949"/>
      <c r="V148" s="2949"/>
      <c r="W148" s="862"/>
      <c r="X148" s="862"/>
      <c r="Y148" s="862"/>
      <c r="Z148" s="862"/>
      <c r="AA148" s="862"/>
      <c r="AB148" s="862"/>
      <c r="AC148" s="902"/>
      <c r="AD148" s="902"/>
      <c r="AE148" s="902"/>
      <c r="AF148" s="902"/>
      <c r="AG148" s="902"/>
      <c r="AH148" s="902"/>
      <c r="AI148" s="902"/>
      <c r="AJ148" s="902"/>
      <c r="AK148" s="902"/>
      <c r="AL148" s="902"/>
      <c r="AM148" s="902"/>
      <c r="AN148" s="902"/>
      <c r="AO148" s="902"/>
      <c r="AP148" s="902"/>
      <c r="AQ148" s="902"/>
      <c r="AR148" s="902"/>
      <c r="AS148" s="862"/>
      <c r="AT148" s="862"/>
      <c r="AU148" s="862"/>
      <c r="AV148" s="862"/>
      <c r="AW148" s="862"/>
      <c r="AX148" s="862"/>
      <c r="AY148" s="862"/>
      <c r="AZ148" s="862"/>
      <c r="BA148" s="862"/>
      <c r="BB148" s="862"/>
      <c r="BC148" s="906"/>
      <c r="BD148" s="906"/>
      <c r="BE148" s="906"/>
      <c r="BF148" s="906"/>
      <c r="BG148" s="862"/>
      <c r="BH148" s="1404"/>
      <c r="BI148" s="1404"/>
      <c r="BJ148" s="1404"/>
      <c r="BK148" s="906"/>
      <c r="BL148" s="862"/>
      <c r="BM148" s="906"/>
      <c r="BN148" s="906"/>
      <c r="BO148" s="906"/>
      <c r="BP148" s="906"/>
      <c r="BQ148" s="2867"/>
      <c r="BR148" s="2867"/>
      <c r="BS148" s="2867"/>
      <c r="BT148" s="2867"/>
      <c r="BU148" s="2867"/>
      <c r="BV148" s="2867"/>
      <c r="BW148" s="2958"/>
      <c r="BX148" s="2867"/>
      <c r="BY148" s="2867"/>
      <c r="BZ148" s="2867"/>
      <c r="CA148" s="2867"/>
      <c r="CB148" s="877"/>
      <c r="CC148" s="862"/>
      <c r="CD148" s="862"/>
      <c r="CE148" s="862"/>
      <c r="CF148" s="862"/>
      <c r="CG148" s="862"/>
      <c r="CH148" s="862"/>
      <c r="CI148" s="862"/>
      <c r="CJ148" s="862"/>
      <c r="CK148" s="862"/>
      <c r="CL148" s="862"/>
    </row>
    <row r="149" spans="1:90" ht="13.5" thickBot="1">
      <c r="A149" s="862"/>
      <c r="B149" s="2533">
        <f>B81</f>
        <v>1</v>
      </c>
      <c r="C149" s="902"/>
      <c r="D149" s="902"/>
      <c r="E149" s="902"/>
      <c r="F149" s="902"/>
      <c r="G149" s="902"/>
      <c r="H149" s="902"/>
      <c r="I149" s="902"/>
      <c r="J149" s="902"/>
      <c r="K149" s="2946"/>
      <c r="L149" s="2946"/>
      <c r="M149" s="2946"/>
      <c r="N149" s="2946"/>
      <c r="O149" s="2946"/>
      <c r="P149" s="2946"/>
      <c r="Q149" s="2946"/>
      <c r="R149" s="2946"/>
      <c r="S149" s="2946"/>
      <c r="T149" s="2946"/>
      <c r="U149" s="2946"/>
      <c r="V149" s="2946"/>
      <c r="W149" s="902"/>
      <c r="X149" s="902"/>
      <c r="Y149" s="902"/>
      <c r="Z149" s="902"/>
      <c r="AA149" s="902"/>
      <c r="AB149" s="902"/>
      <c r="AC149" s="902"/>
      <c r="AD149" s="902"/>
      <c r="AE149" s="902"/>
      <c r="AF149" s="902"/>
      <c r="AG149" s="902"/>
      <c r="AH149" s="902"/>
      <c r="AI149" s="902"/>
      <c r="AJ149" s="902"/>
      <c r="AK149" s="902"/>
      <c r="AL149" s="902"/>
      <c r="AM149" s="902"/>
      <c r="AN149" s="902"/>
      <c r="AO149" s="902"/>
      <c r="AP149" s="902"/>
      <c r="AQ149" s="902"/>
      <c r="AR149" s="902"/>
      <c r="AS149" s="902"/>
      <c r="AT149" s="902"/>
      <c r="AU149" s="902"/>
      <c r="AV149" s="902"/>
      <c r="AW149" s="902"/>
      <c r="AX149" s="902"/>
      <c r="AY149" s="902"/>
      <c r="AZ149" s="902"/>
      <c r="BA149" s="902"/>
      <c r="BB149" s="902"/>
      <c r="BC149" s="902"/>
      <c r="BD149" s="902"/>
      <c r="BE149" s="902"/>
      <c r="BF149" s="902"/>
      <c r="BG149" s="902"/>
      <c r="BH149" s="902"/>
      <c r="BI149" s="902"/>
      <c r="BJ149" s="902"/>
      <c r="BK149" s="902"/>
      <c r="BL149" s="902"/>
      <c r="BM149" s="1575"/>
      <c r="BN149" s="1575"/>
      <c r="BO149" s="1575"/>
      <c r="BP149" s="1575"/>
      <c r="BQ149" s="2867"/>
      <c r="BR149" s="2946"/>
      <c r="BS149" s="2867"/>
      <c r="BT149" s="2867"/>
      <c r="BU149" s="2855"/>
      <c r="BV149" s="2867"/>
      <c r="BW149" s="2958"/>
      <c r="BX149" s="2867"/>
      <c r="BY149" s="2867"/>
      <c r="BZ149" s="2867"/>
      <c r="CA149" s="2867"/>
      <c r="CB149" s="877"/>
      <c r="CC149" s="862"/>
      <c r="CD149" s="862"/>
      <c r="CE149" s="862"/>
      <c r="CF149" s="862"/>
      <c r="CG149" s="862"/>
      <c r="CH149" s="862"/>
      <c r="CI149" s="862"/>
      <c r="CJ149" s="862"/>
      <c r="CK149" s="862"/>
      <c r="CL149" s="862"/>
    </row>
    <row r="150" spans="1:90">
      <c r="A150" s="862"/>
      <c r="B150" s="862" t="s">
        <v>856</v>
      </c>
      <c r="C150" s="902"/>
      <c r="D150" s="902"/>
      <c r="E150" s="1035"/>
      <c r="F150" s="1035"/>
      <c r="G150" s="1099"/>
      <c r="H150" s="1099"/>
      <c r="I150" s="1099"/>
      <c r="J150" s="1099">
        <f>+CHOOSE($B$149,J151,J152,J153)</f>
        <v>0</v>
      </c>
      <c r="K150" s="2947">
        <f t="shared" ref="K150:S150" si="213">+CHOOSE($B$149,K151,K152,K153)</f>
        <v>0</v>
      </c>
      <c r="L150" s="2947">
        <f t="shared" si="213"/>
        <v>0</v>
      </c>
      <c r="M150" s="2947">
        <f t="shared" si="213"/>
        <v>0</v>
      </c>
      <c r="N150" s="2947">
        <f t="shared" si="213"/>
        <v>0</v>
      </c>
      <c r="O150" s="2947">
        <f t="shared" si="213"/>
        <v>0</v>
      </c>
      <c r="P150" s="2947">
        <f t="shared" si="213"/>
        <v>0</v>
      </c>
      <c r="Q150" s="2947">
        <f t="shared" si="213"/>
        <v>0</v>
      </c>
      <c r="R150" s="2947">
        <f t="shared" si="213"/>
        <v>0</v>
      </c>
      <c r="S150" s="2947">
        <f t="shared" si="213"/>
        <v>0</v>
      </c>
      <c r="T150" s="2947">
        <f>+CHOOSE($B$149,T151,T152,T153)</f>
        <v>0</v>
      </c>
      <c r="U150" s="2947">
        <f>+CHOOSE($B$149,U151,U152,U153)</f>
        <v>0</v>
      </c>
      <c r="V150" s="2947">
        <f>+CHOOSE($B$149,V151,V152,V153)</f>
        <v>0</v>
      </c>
      <c r="W150" s="2947">
        <f>+CHOOSE($B$149,W151,W152,W153)</f>
        <v>1</v>
      </c>
      <c r="X150" s="862"/>
      <c r="Y150" s="862"/>
      <c r="Z150" s="862"/>
      <c r="AA150" s="862"/>
      <c r="AB150" s="862"/>
      <c r="AC150" s="1216"/>
      <c r="AD150" s="1216"/>
      <c r="AE150" s="1216"/>
      <c r="AF150" s="1216"/>
      <c r="AG150" s="1216"/>
      <c r="AH150" s="1216"/>
      <c r="AI150" s="1216"/>
      <c r="AJ150" s="1216"/>
      <c r="AK150" s="1216"/>
      <c r="AL150" s="1216"/>
      <c r="AM150" s="1216"/>
      <c r="AN150" s="1216"/>
      <c r="AO150" s="1216"/>
      <c r="AP150" s="1216"/>
      <c r="AQ150" s="1216"/>
      <c r="AR150" s="1216"/>
      <c r="AS150" s="1216"/>
      <c r="AT150" s="1216"/>
      <c r="AU150" s="1216"/>
      <c r="AV150" s="1216"/>
      <c r="AW150" s="1216"/>
      <c r="AX150" s="1216"/>
      <c r="AY150" s="862"/>
      <c r="AZ150" s="862"/>
      <c r="BA150" s="862"/>
      <c r="BB150" s="1216"/>
      <c r="BC150" s="1216"/>
      <c r="BD150" s="1216"/>
      <c r="BE150" s="1216"/>
      <c r="BF150" s="1216"/>
      <c r="BG150" s="1216"/>
      <c r="BH150" s="1216"/>
      <c r="BI150" s="1216"/>
      <c r="BJ150" s="1216"/>
      <c r="BK150" s="1216"/>
      <c r="BL150" s="1216"/>
      <c r="BM150" s="1618"/>
      <c r="BN150" s="1618"/>
      <c r="BO150" s="1618"/>
      <c r="BP150" s="1618"/>
      <c r="BQ150" s="2867"/>
      <c r="BR150" s="2966"/>
      <c r="BS150" s="2867"/>
      <c r="BT150" s="2867"/>
      <c r="BU150" s="2967"/>
      <c r="BV150" s="2867"/>
      <c r="BW150" s="2867"/>
      <c r="BX150" s="2867"/>
      <c r="BY150" s="2867"/>
      <c r="BZ150" s="2867"/>
      <c r="CA150" s="2867"/>
      <c r="CB150" s="877"/>
      <c r="CC150" s="862"/>
      <c r="CD150" s="862"/>
      <c r="CE150" s="862"/>
      <c r="CF150" s="862"/>
      <c r="CG150" s="862"/>
      <c r="CH150" s="862"/>
      <c r="CI150" s="862"/>
      <c r="CJ150" s="862"/>
      <c r="CK150" s="862"/>
      <c r="CL150" s="862"/>
    </row>
    <row r="151" spans="1:90">
      <c r="A151" s="862"/>
      <c r="B151" s="862"/>
      <c r="C151" s="902"/>
      <c r="D151" s="902"/>
      <c r="E151" s="1035"/>
      <c r="F151" s="1035"/>
      <c r="G151" s="1180"/>
      <c r="H151" s="1180"/>
      <c r="I151" s="1180"/>
      <c r="J151" s="1179">
        <v>0</v>
      </c>
      <c r="K151" s="1179">
        <v>0</v>
      </c>
      <c r="L151" s="1179">
        <v>0</v>
      </c>
      <c r="M151" s="1179">
        <v>0</v>
      </c>
      <c r="N151" s="1179">
        <v>0</v>
      </c>
      <c r="O151" s="1179">
        <v>0</v>
      </c>
      <c r="P151" s="1179">
        <v>0</v>
      </c>
      <c r="Q151" s="1179">
        <v>0</v>
      </c>
      <c r="R151" s="1179">
        <v>0</v>
      </c>
      <c r="S151" s="1179">
        <v>0</v>
      </c>
      <c r="T151" s="1179">
        <v>0</v>
      </c>
      <c r="U151" s="2275">
        <v>0</v>
      </c>
      <c r="V151" s="2275">
        <v>0</v>
      </c>
      <c r="W151" s="2275">
        <v>1</v>
      </c>
      <c r="X151" s="862"/>
      <c r="Y151" s="862"/>
      <c r="Z151" s="862"/>
      <c r="AA151" s="862"/>
      <c r="AB151" s="862"/>
      <c r="AC151" s="1179"/>
      <c r="AD151" s="1179"/>
      <c r="AE151" s="1179"/>
      <c r="AF151" s="1179"/>
      <c r="AG151" s="1179"/>
      <c r="AH151" s="1179"/>
      <c r="AI151" s="1179"/>
      <c r="AJ151" s="1179"/>
      <c r="AK151" s="1179"/>
      <c r="AL151" s="1179"/>
      <c r="AM151" s="1179"/>
      <c r="AN151" s="1179"/>
      <c r="AO151" s="1179"/>
      <c r="AP151" s="1179"/>
      <c r="AQ151" s="1179"/>
      <c r="AR151" s="1179"/>
      <c r="AS151" s="1179"/>
      <c r="AT151" s="1179"/>
      <c r="AU151" s="1179"/>
      <c r="AV151" s="1179"/>
      <c r="AW151" s="1179"/>
      <c r="AX151" s="1179"/>
      <c r="AY151" s="862"/>
      <c r="AZ151" s="862"/>
      <c r="BA151" s="862"/>
      <c r="BB151" s="1179"/>
      <c r="BC151" s="1179"/>
      <c r="BD151" s="1179"/>
      <c r="BE151" s="1179"/>
      <c r="BF151" s="1179"/>
      <c r="BG151" s="1179"/>
      <c r="BH151" s="1179"/>
      <c r="BI151" s="1179"/>
      <c r="BJ151" s="1179"/>
      <c r="BK151" s="1179"/>
      <c r="BL151" s="1179"/>
      <c r="BM151" s="1617"/>
      <c r="BN151" s="1617"/>
      <c r="BO151" s="1617"/>
      <c r="BP151" s="1617"/>
      <c r="BQ151" s="862"/>
      <c r="BR151" s="2275"/>
      <c r="BS151" s="1470"/>
      <c r="BT151" s="1470"/>
      <c r="BU151" s="2344"/>
      <c r="BV151" s="1470"/>
      <c r="BW151" s="1470"/>
      <c r="BX151" s="862"/>
      <c r="BY151" s="862"/>
      <c r="BZ151" s="862"/>
      <c r="CA151" s="862"/>
      <c r="CB151" s="862"/>
      <c r="CC151" s="862"/>
      <c r="CD151" s="862"/>
      <c r="CE151" s="862"/>
      <c r="CF151" s="862"/>
      <c r="CG151" s="862"/>
      <c r="CH151" s="862"/>
      <c r="CI151" s="862"/>
      <c r="CJ151" s="862"/>
      <c r="CK151" s="862"/>
      <c r="CL151" s="862"/>
    </row>
    <row r="152" spans="1:90">
      <c r="A152" s="862"/>
      <c r="B152" s="862"/>
      <c r="C152" s="902"/>
      <c r="D152" s="902"/>
      <c r="E152" s="1035"/>
      <c r="F152" s="1035"/>
      <c r="G152" s="1180"/>
      <c r="H152" s="1180"/>
      <c r="I152" s="1180"/>
      <c r="J152" s="2251">
        <f>J151</f>
        <v>0</v>
      </c>
      <c r="K152" s="2251">
        <f>K151</f>
        <v>0</v>
      </c>
      <c r="L152" s="1179">
        <v>2500</v>
      </c>
      <c r="M152" s="1179">
        <f t="shared" ref="M152:W152" si="214">+L152</f>
        <v>2500</v>
      </c>
      <c r="N152" s="1179">
        <f t="shared" si="214"/>
        <v>2500</v>
      </c>
      <c r="O152" s="1179">
        <f t="shared" si="214"/>
        <v>2500</v>
      </c>
      <c r="P152" s="1179">
        <f t="shared" si="214"/>
        <v>2500</v>
      </c>
      <c r="Q152" s="1179">
        <f t="shared" si="214"/>
        <v>2500</v>
      </c>
      <c r="R152" s="1179">
        <f t="shared" si="214"/>
        <v>2500</v>
      </c>
      <c r="S152" s="1179">
        <f t="shared" si="214"/>
        <v>2500</v>
      </c>
      <c r="T152" s="1179">
        <f t="shared" si="214"/>
        <v>2500</v>
      </c>
      <c r="U152" s="2275">
        <f t="shared" si="214"/>
        <v>2500</v>
      </c>
      <c r="V152" s="2275">
        <f t="shared" si="214"/>
        <v>2500</v>
      </c>
      <c r="W152" s="2275">
        <f t="shared" si="214"/>
        <v>2500</v>
      </c>
      <c r="X152" s="862"/>
      <c r="Y152" s="862"/>
      <c r="Z152" s="862"/>
      <c r="AA152" s="862"/>
      <c r="AB152" s="862"/>
      <c r="AC152" s="1179"/>
      <c r="AD152" s="1179"/>
      <c r="AE152" s="1179"/>
      <c r="AF152" s="1179"/>
      <c r="AG152" s="1179"/>
      <c r="AH152" s="1179"/>
      <c r="AI152" s="1179"/>
      <c r="AJ152" s="1179"/>
      <c r="AK152" s="1179"/>
      <c r="AL152" s="1179"/>
      <c r="AM152" s="1179"/>
      <c r="AN152" s="1179"/>
      <c r="AO152" s="1179"/>
      <c r="AP152" s="1179"/>
      <c r="AQ152" s="1179"/>
      <c r="AR152" s="1179"/>
      <c r="AS152" s="1179"/>
      <c r="AT152" s="1179"/>
      <c r="AU152" s="1179"/>
      <c r="AV152" s="1179"/>
      <c r="AW152" s="1179"/>
      <c r="AX152" s="1179"/>
      <c r="AY152" s="862"/>
      <c r="AZ152" s="862"/>
      <c r="BA152" s="862"/>
      <c r="BB152" s="1179"/>
      <c r="BC152" s="1179"/>
      <c r="BD152" s="1179"/>
      <c r="BE152" s="1179"/>
      <c r="BF152" s="1179"/>
      <c r="BG152" s="1179"/>
      <c r="BH152" s="1179"/>
      <c r="BI152" s="1179"/>
      <c r="BJ152" s="1179"/>
      <c r="BK152" s="1179"/>
      <c r="BL152" s="1179"/>
      <c r="BM152" s="1617"/>
      <c r="BN152" s="1617"/>
      <c r="BO152" s="1617"/>
      <c r="BP152" s="1617"/>
      <c r="BQ152" s="862"/>
      <c r="BR152" s="2275"/>
      <c r="BS152" s="1470"/>
      <c r="BT152" s="1470"/>
      <c r="BU152" s="2344"/>
      <c r="BV152" s="1470"/>
      <c r="BW152" s="1470"/>
      <c r="BX152" s="862"/>
      <c r="BY152" s="862"/>
      <c r="BZ152" s="862"/>
      <c r="CA152" s="862"/>
      <c r="CB152" s="862"/>
      <c r="CC152" s="862"/>
      <c r="CD152" s="862"/>
      <c r="CE152" s="862"/>
      <c r="CF152" s="862"/>
      <c r="CG152" s="862"/>
      <c r="CH152" s="862"/>
      <c r="CI152" s="862"/>
      <c r="CJ152" s="862"/>
      <c r="CK152" s="862"/>
      <c r="CL152" s="862"/>
    </row>
    <row r="153" spans="1:90">
      <c r="A153" s="862"/>
      <c r="B153" s="862"/>
      <c r="C153" s="902"/>
      <c r="D153" s="902"/>
      <c r="E153" s="1035"/>
      <c r="F153" s="1035"/>
      <c r="G153" s="1180"/>
      <c r="H153" s="1180"/>
      <c r="I153" s="1180"/>
      <c r="J153" s="2251">
        <f>J151</f>
        <v>0</v>
      </c>
      <c r="K153" s="2251">
        <f>K151</f>
        <v>0</v>
      </c>
      <c r="L153" s="1179">
        <v>0</v>
      </c>
      <c r="M153" s="1179">
        <v>0</v>
      </c>
      <c r="N153" s="1179">
        <v>0</v>
      </c>
      <c r="O153" s="1179">
        <v>0</v>
      </c>
      <c r="P153" s="1179">
        <v>0</v>
      </c>
      <c r="Q153" s="1179">
        <v>0</v>
      </c>
      <c r="R153" s="1179">
        <v>0</v>
      </c>
      <c r="S153" s="1179">
        <v>0</v>
      </c>
      <c r="T153" s="1179">
        <v>0</v>
      </c>
      <c r="U153" s="2275">
        <v>0</v>
      </c>
      <c r="V153" s="2275">
        <v>0</v>
      </c>
      <c r="W153" s="2275">
        <v>1</v>
      </c>
      <c r="X153" s="862"/>
      <c r="Y153" s="862"/>
      <c r="Z153" s="862"/>
      <c r="AA153" s="862"/>
      <c r="AB153" s="862"/>
      <c r="AC153" s="1179"/>
      <c r="AD153" s="1179"/>
      <c r="AE153" s="1179"/>
      <c r="AF153" s="1179"/>
      <c r="AG153" s="1179"/>
      <c r="AH153" s="1179"/>
      <c r="AI153" s="1179"/>
      <c r="AJ153" s="1179"/>
      <c r="AK153" s="1179"/>
      <c r="AL153" s="1179"/>
      <c r="AM153" s="1179"/>
      <c r="AN153" s="1179"/>
      <c r="AO153" s="1179"/>
      <c r="AP153" s="1179"/>
      <c r="AQ153" s="1179"/>
      <c r="AR153" s="1179"/>
      <c r="AS153" s="1179"/>
      <c r="AT153" s="1179"/>
      <c r="AU153" s="1179"/>
      <c r="AV153" s="1179"/>
      <c r="AW153" s="1179"/>
      <c r="AX153" s="1179"/>
      <c r="AY153" s="862"/>
      <c r="AZ153" s="862"/>
      <c r="BA153" s="862"/>
      <c r="BB153" s="1179"/>
      <c r="BC153" s="1179"/>
      <c r="BD153" s="1179"/>
      <c r="BE153" s="1179"/>
      <c r="BF153" s="1179"/>
      <c r="BG153" s="1179"/>
      <c r="BH153" s="1179"/>
      <c r="BI153" s="1179"/>
      <c r="BJ153" s="1179"/>
      <c r="BK153" s="1179"/>
      <c r="BL153" s="1179"/>
      <c r="BM153" s="1617"/>
      <c r="BN153" s="1617"/>
      <c r="BO153" s="1617"/>
      <c r="BP153" s="1617"/>
      <c r="BQ153" s="862"/>
      <c r="BR153" s="2275"/>
      <c r="BS153" s="1470"/>
      <c r="BT153" s="1470"/>
      <c r="BU153" s="2344"/>
      <c r="BV153" s="1470"/>
      <c r="BW153" s="1470"/>
      <c r="BX153" s="862"/>
      <c r="BY153" s="862"/>
      <c r="BZ153" s="862"/>
      <c r="CA153" s="862"/>
      <c r="CB153" s="862"/>
      <c r="CC153" s="862"/>
      <c r="CD153" s="862"/>
      <c r="CE153" s="862"/>
      <c r="CF153" s="862"/>
      <c r="CG153" s="862"/>
      <c r="CH153" s="862"/>
      <c r="CI153" s="862"/>
      <c r="CJ153" s="862"/>
      <c r="CK153" s="862"/>
      <c r="CL153" s="862"/>
    </row>
    <row r="154" spans="1:90">
      <c r="A154" s="862"/>
      <c r="B154" s="862"/>
      <c r="C154" s="902"/>
      <c r="D154" s="902"/>
      <c r="E154" s="1035"/>
      <c r="F154" s="1035"/>
      <c r="G154" s="1180"/>
      <c r="H154" s="1180"/>
      <c r="I154" s="1180"/>
      <c r="J154" s="1179"/>
      <c r="K154" s="1179"/>
      <c r="L154" s="1179"/>
      <c r="M154" s="1179"/>
      <c r="N154" s="1179"/>
      <c r="O154" s="1179"/>
      <c r="P154" s="1179"/>
      <c r="Q154" s="1179"/>
      <c r="R154" s="1179"/>
      <c r="S154" s="1179"/>
      <c r="T154" s="1179"/>
      <c r="U154" s="2275"/>
      <c r="V154" s="1179"/>
      <c r="W154" s="862"/>
      <c r="X154" s="862"/>
      <c r="Y154" s="862"/>
      <c r="Z154" s="862"/>
      <c r="AA154" s="862"/>
      <c r="AB154" s="862"/>
      <c r="AC154" s="1179"/>
      <c r="AD154" s="1179"/>
      <c r="AE154" s="1179"/>
      <c r="AF154" s="1179"/>
      <c r="AG154" s="1179"/>
      <c r="AH154" s="1179"/>
      <c r="AI154" s="1179"/>
      <c r="AJ154" s="1179"/>
      <c r="AK154" s="1179"/>
      <c r="AL154" s="1179"/>
      <c r="AM154" s="1179"/>
      <c r="AN154" s="1179"/>
      <c r="AO154" s="1179"/>
      <c r="AP154" s="1179"/>
      <c r="AQ154" s="1179"/>
      <c r="AR154" s="1179"/>
      <c r="AS154" s="1179"/>
      <c r="AT154" s="1179"/>
      <c r="AU154" s="1179"/>
      <c r="AV154" s="1179"/>
      <c r="AW154" s="1179"/>
      <c r="AX154" s="1179"/>
      <c r="AY154" s="862"/>
      <c r="AZ154" s="862"/>
      <c r="BA154" s="862"/>
      <c r="BB154" s="1179"/>
      <c r="BC154" s="1179"/>
      <c r="BD154" s="1179"/>
      <c r="BE154" s="1179"/>
      <c r="BF154" s="1179"/>
      <c r="BG154" s="1179"/>
      <c r="BH154" s="1179"/>
      <c r="BI154" s="1179"/>
      <c r="BJ154" s="1179"/>
      <c r="BK154" s="1179"/>
      <c r="BL154" s="1179"/>
      <c r="BM154" s="1617"/>
      <c r="BN154" s="1617"/>
      <c r="BO154" s="1617"/>
      <c r="BP154" s="1617"/>
      <c r="BQ154" s="862"/>
      <c r="BR154" s="2275"/>
      <c r="BS154" s="1470"/>
      <c r="BT154" s="1470"/>
      <c r="BU154" s="2344"/>
      <c r="BV154" s="1470"/>
      <c r="BW154" s="1470"/>
      <c r="BX154" s="862"/>
      <c r="BY154" s="862"/>
      <c r="BZ154" s="862"/>
      <c r="CA154" s="862"/>
      <c r="CB154" s="862"/>
      <c r="CC154" s="862"/>
      <c r="CD154" s="862"/>
      <c r="CE154" s="862"/>
      <c r="CF154" s="862"/>
      <c r="CG154" s="862"/>
      <c r="CH154" s="862"/>
      <c r="CI154" s="862"/>
      <c r="CJ154" s="862"/>
      <c r="CK154" s="862"/>
      <c r="CL154" s="862"/>
    </row>
    <row r="155" spans="1:90">
      <c r="W155" s="862"/>
      <c r="X155" s="862"/>
      <c r="Y155" s="862"/>
      <c r="Z155" s="862"/>
      <c r="AA155" s="862"/>
      <c r="AB155" s="862"/>
      <c r="AY155" s="862"/>
      <c r="AZ155" s="862"/>
      <c r="BA155" s="862"/>
      <c r="BQ155" s="862"/>
      <c r="BR155" s="1577"/>
      <c r="BS155" s="1577"/>
      <c r="BT155" s="1577"/>
      <c r="BU155" s="1577"/>
      <c r="BV155" s="1577"/>
      <c r="BW155" s="1577"/>
    </row>
    <row r="156" spans="1:90">
      <c r="W156" s="862"/>
      <c r="X156" s="862"/>
      <c r="Y156" s="862"/>
      <c r="Z156" s="862"/>
      <c r="AA156" s="862"/>
      <c r="AB156" s="862"/>
      <c r="AY156" s="862"/>
      <c r="AZ156" s="862"/>
      <c r="BA156" s="862"/>
      <c r="BQ156" s="862"/>
      <c r="BR156" s="1577"/>
      <c r="BS156" s="1577"/>
      <c r="BT156" s="1577"/>
      <c r="BU156" s="1577"/>
      <c r="BV156" s="1577"/>
      <c r="BW156" s="1577"/>
      <c r="BX156" s="1577"/>
      <c r="BY156" s="1577"/>
      <c r="BZ156" s="1577"/>
      <c r="CB156" s="1577"/>
      <c r="CC156" s="1577"/>
      <c r="CD156" s="1577"/>
      <c r="CE156" s="1577"/>
    </row>
    <row r="157" spans="1:90" ht="13.5" thickBot="1">
      <c r="B157" s="2526" t="s">
        <v>249</v>
      </c>
      <c r="C157" s="2527"/>
      <c r="D157" s="2527"/>
      <c r="E157" s="2527"/>
      <c r="F157" s="2527"/>
      <c r="G157" s="2527"/>
      <c r="H157" s="2527"/>
      <c r="I157" s="2527"/>
      <c r="J157" s="2527"/>
      <c r="K157" s="2527"/>
      <c r="L157" s="2527"/>
      <c r="M157" s="2527"/>
      <c r="N157" s="2527"/>
      <c r="O157" s="2527"/>
      <c r="P157" s="2527"/>
      <c r="Q157" s="2527"/>
      <c r="R157" s="2527"/>
      <c r="S157" s="2527"/>
      <c r="W157" s="862"/>
      <c r="X157" s="862"/>
      <c r="Y157" s="862"/>
      <c r="Z157" s="862"/>
      <c r="AA157" s="862"/>
      <c r="AB157" s="862"/>
      <c r="AY157" s="862"/>
      <c r="AZ157" s="862"/>
      <c r="BA157" s="862"/>
      <c r="BQ157" s="862"/>
      <c r="BR157" s="1577"/>
      <c r="BS157" s="1577"/>
      <c r="BT157" s="1577"/>
      <c r="BU157" s="1577"/>
      <c r="BV157" s="1577"/>
      <c r="BW157" s="1577"/>
      <c r="BX157" s="1577"/>
      <c r="BY157" s="1577"/>
      <c r="BZ157" s="1577"/>
      <c r="CB157" s="1577"/>
      <c r="CC157" s="1577"/>
      <c r="CD157" s="1577"/>
      <c r="CE157" s="1577"/>
    </row>
    <row r="158" spans="1:90" ht="13.5" thickBot="1">
      <c r="B158" s="2533">
        <f>B81</f>
        <v>1</v>
      </c>
      <c r="C158" s="2527"/>
      <c r="D158" s="2527"/>
      <c r="E158" s="2527"/>
      <c r="F158" s="2527"/>
      <c r="G158" s="2527"/>
      <c r="H158" s="2527"/>
      <c r="I158" s="2527"/>
      <c r="J158" s="2527"/>
      <c r="K158" s="2527"/>
      <c r="L158" s="2527"/>
      <c r="M158" s="2527"/>
      <c r="N158" s="2527"/>
      <c r="O158" s="2527"/>
      <c r="P158" s="2527"/>
      <c r="Q158" s="2527"/>
      <c r="R158" s="2527"/>
      <c r="S158" s="2527"/>
      <c r="T158" s="1577"/>
      <c r="V158" s="1577"/>
      <c r="W158" s="862"/>
      <c r="X158" s="862"/>
      <c r="Y158" s="862"/>
      <c r="Z158" s="862"/>
      <c r="AA158" s="862"/>
      <c r="AB158" s="862"/>
      <c r="AY158" s="862"/>
      <c r="AZ158" s="862"/>
      <c r="BA158" s="862"/>
      <c r="BQ158" s="862"/>
      <c r="BR158" s="1577"/>
      <c r="BS158" s="1577"/>
      <c r="BT158" s="1577"/>
      <c r="BU158" s="1577"/>
      <c r="BV158" s="1577"/>
      <c r="BW158" s="1577"/>
      <c r="BX158" s="1577"/>
      <c r="BY158" s="1577"/>
      <c r="BZ158" s="1577"/>
      <c r="CB158" s="1577"/>
      <c r="CC158" s="1577"/>
      <c r="CD158" s="1577"/>
      <c r="CE158" s="1577"/>
    </row>
    <row r="159" spans="1:90">
      <c r="B159" s="1494" t="s">
        <v>1726</v>
      </c>
      <c r="C159" s="2527"/>
      <c r="D159" s="2527"/>
      <c r="E159" s="2527"/>
      <c r="F159" s="2527"/>
      <c r="G159" s="2527"/>
      <c r="H159" s="2527"/>
      <c r="I159" s="2527"/>
      <c r="J159" s="1782">
        <f>+CHOOSE($B$158,J160,J161,J162)</f>
        <v>0.37716262975778547</v>
      </c>
      <c r="K159" s="1782">
        <f ca="1">+CHOOSE($B$158,K160,K161,K162)</f>
        <v>0.37623318385650223</v>
      </c>
      <c r="L159" s="1782">
        <f>+CHOOSE($B$158,L160,L161,L162)</f>
        <v>0.37</v>
      </c>
      <c r="M159" s="1782">
        <f t="shared" ref="M159:V159" si="215">+CHOOSE($B$158,M160,M161,M162)</f>
        <v>0.245</v>
      </c>
      <c r="N159" s="1782">
        <f t="shared" si="215"/>
        <v>0.245</v>
      </c>
      <c r="O159" s="1782">
        <f t="shared" si="215"/>
        <v>0.245</v>
      </c>
      <c r="P159" s="1782">
        <f t="shared" si="215"/>
        <v>0.245</v>
      </c>
      <c r="Q159" s="1782">
        <f t="shared" si="215"/>
        <v>0.245</v>
      </c>
      <c r="R159" s="1782">
        <f t="shared" si="215"/>
        <v>0.245</v>
      </c>
      <c r="S159" s="1782">
        <f t="shared" si="215"/>
        <v>0.245</v>
      </c>
      <c r="T159" s="1782">
        <f t="shared" si="215"/>
        <v>0.245</v>
      </c>
      <c r="U159" s="1782">
        <f t="shared" si="215"/>
        <v>0.245</v>
      </c>
      <c r="V159" s="1782">
        <f t="shared" si="215"/>
        <v>0.245</v>
      </c>
      <c r="W159" s="1782">
        <f t="shared" ref="W159" si="216">+CHOOSE($B$158,W160,W161,W162)</f>
        <v>0.245</v>
      </c>
      <c r="X159" s="862"/>
      <c r="Y159" s="862"/>
      <c r="Z159" s="862"/>
      <c r="AA159" s="862"/>
      <c r="AB159" s="862"/>
      <c r="AY159" s="862"/>
      <c r="AZ159" s="862"/>
      <c r="BA159" s="862"/>
      <c r="BQ159" s="862"/>
      <c r="BR159" s="1577"/>
      <c r="BS159" s="1577"/>
      <c r="BT159" s="1577"/>
      <c r="BU159" s="1577"/>
      <c r="BV159" s="1577"/>
      <c r="BW159" s="1782">
        <f>+CHOOSE($B$158,BW160,BW161,BW162)</f>
        <v>0.377</v>
      </c>
      <c r="BX159" s="1782">
        <f>+CHOOSE($B$158,BX160,BX161,BX162)</f>
        <v>0.377</v>
      </c>
      <c r="BY159" s="1782">
        <f>+CHOOSE($B$158,BY160,BY161,BY162)</f>
        <v>0.377</v>
      </c>
      <c r="BZ159" s="1782">
        <f>+CHOOSE($B$158,BZ160,BZ161,BZ162)</f>
        <v>0.377</v>
      </c>
      <c r="CB159" s="2838">
        <f t="shared" ref="CB159:CE159" si="217">+CHOOSE($B$158,CB160,CB161,CB162)</f>
        <v>0.245</v>
      </c>
      <c r="CC159" s="2838">
        <f t="shared" si="217"/>
        <v>0.245</v>
      </c>
      <c r="CD159" s="2838">
        <f t="shared" si="217"/>
        <v>0.245</v>
      </c>
      <c r="CE159" s="2838">
        <f t="shared" si="217"/>
        <v>0.245</v>
      </c>
    </row>
    <row r="160" spans="1:90">
      <c r="B160" s="2527"/>
      <c r="C160" s="2527"/>
      <c r="D160" s="2527"/>
      <c r="E160" s="2527"/>
      <c r="F160" s="2527"/>
      <c r="G160" s="2527"/>
      <c r="H160" s="2527"/>
      <c r="I160" s="2527"/>
      <c r="J160" s="1552">
        <f>'GAAP Financial Statements'!Z664</f>
        <v>0.37716262975778547</v>
      </c>
      <c r="K160" s="1552">
        <f ca="1">'GAAP Financial Statements'!AA664</f>
        <v>0.37623318385650223</v>
      </c>
      <c r="L160" s="3468">
        <v>0.37</v>
      </c>
      <c r="M160" s="3468">
        <f>AVERAGE(CB160:CE160)</f>
        <v>0.245</v>
      </c>
      <c r="N160" s="3468">
        <f t="shared" ref="N160:W160" si="218">21%+3.5%</f>
        <v>0.245</v>
      </c>
      <c r="O160" s="3468">
        <f t="shared" si="218"/>
        <v>0.245</v>
      </c>
      <c r="P160" s="3468">
        <f t="shared" si="218"/>
        <v>0.245</v>
      </c>
      <c r="Q160" s="3468">
        <f t="shared" si="218"/>
        <v>0.245</v>
      </c>
      <c r="R160" s="3468">
        <f t="shared" si="218"/>
        <v>0.245</v>
      </c>
      <c r="S160" s="3468">
        <f t="shared" si="218"/>
        <v>0.245</v>
      </c>
      <c r="T160" s="3468">
        <f t="shared" si="218"/>
        <v>0.245</v>
      </c>
      <c r="U160" s="3468">
        <f t="shared" si="218"/>
        <v>0.245</v>
      </c>
      <c r="V160" s="3468">
        <f t="shared" si="218"/>
        <v>0.245</v>
      </c>
      <c r="W160" s="3468">
        <f t="shared" si="218"/>
        <v>0.245</v>
      </c>
      <c r="X160" s="862"/>
      <c r="Y160" s="862"/>
      <c r="Z160" s="862"/>
      <c r="AA160" s="862"/>
      <c r="AB160" s="862"/>
      <c r="AY160" s="862"/>
      <c r="AZ160" s="862"/>
      <c r="BA160" s="862"/>
      <c r="BQ160" s="862"/>
      <c r="BR160" s="1577"/>
      <c r="BS160" s="1577"/>
      <c r="BT160" s="1577"/>
      <c r="BU160" s="1577"/>
      <c r="BV160" s="1577"/>
      <c r="BW160" s="2530">
        <v>0.377</v>
      </c>
      <c r="BX160" s="2530">
        <v>0.377</v>
      </c>
      <c r="BY160" s="2530">
        <v>0.377</v>
      </c>
      <c r="BZ160" s="2530">
        <v>0.377</v>
      </c>
      <c r="CB160" s="3468">
        <f>21%+3.5%</f>
        <v>0.245</v>
      </c>
      <c r="CC160" s="3468">
        <f t="shared" ref="CC160:CE160" si="219">21%+3.5%</f>
        <v>0.245</v>
      </c>
      <c r="CD160" s="3468">
        <f t="shared" si="219"/>
        <v>0.245</v>
      </c>
      <c r="CE160" s="3468">
        <f t="shared" si="219"/>
        <v>0.245</v>
      </c>
    </row>
    <row r="161" spans="1:84">
      <c r="B161" s="2527"/>
      <c r="C161" s="2527"/>
      <c r="D161" s="2527"/>
      <c r="E161" s="2527"/>
      <c r="F161" s="2527"/>
      <c r="G161" s="2527"/>
      <c r="H161" s="2527"/>
      <c r="I161" s="2527"/>
      <c r="J161" s="2529">
        <f>J160</f>
        <v>0.37716262975778547</v>
      </c>
      <c r="K161" s="2529">
        <f ca="1">K160</f>
        <v>0.37623318385650223</v>
      </c>
      <c r="L161" s="3538">
        <f>L160</f>
        <v>0.37</v>
      </c>
      <c r="M161" s="3468">
        <f>M160</f>
        <v>0.245</v>
      </c>
      <c r="N161" s="3468">
        <f>N160</f>
        <v>0.245</v>
      </c>
      <c r="O161" s="3468">
        <f t="shared" ref="O161:W161" si="220">O160</f>
        <v>0.245</v>
      </c>
      <c r="P161" s="3468">
        <f t="shared" si="220"/>
        <v>0.245</v>
      </c>
      <c r="Q161" s="3468">
        <f t="shared" si="220"/>
        <v>0.245</v>
      </c>
      <c r="R161" s="3468">
        <f t="shared" si="220"/>
        <v>0.245</v>
      </c>
      <c r="S161" s="3468">
        <f t="shared" si="220"/>
        <v>0.245</v>
      </c>
      <c r="T161" s="3468">
        <f t="shared" si="220"/>
        <v>0.245</v>
      </c>
      <c r="U161" s="3468">
        <f t="shared" si="220"/>
        <v>0.245</v>
      </c>
      <c r="V161" s="3468">
        <f t="shared" si="220"/>
        <v>0.245</v>
      </c>
      <c r="W161" s="3468">
        <f t="shared" si="220"/>
        <v>0.245</v>
      </c>
      <c r="X161" s="862"/>
      <c r="Y161" s="862"/>
      <c r="Z161" s="862"/>
      <c r="AA161" s="862"/>
      <c r="AB161" s="862"/>
      <c r="AY161" s="862"/>
      <c r="AZ161" s="862"/>
      <c r="BA161" s="862"/>
      <c r="BQ161" s="862"/>
      <c r="BR161" s="1577"/>
      <c r="BS161" s="1577"/>
      <c r="BT161" s="1577"/>
      <c r="BU161" s="1577"/>
      <c r="BV161" s="1577"/>
      <c r="BW161" s="3416">
        <f>BW160</f>
        <v>0.377</v>
      </c>
      <c r="BX161" s="3416">
        <f t="shared" ref="BX161:BZ161" si="221">BX160</f>
        <v>0.377</v>
      </c>
      <c r="BY161" s="3416">
        <f t="shared" si="221"/>
        <v>0.377</v>
      </c>
      <c r="BZ161" s="3416">
        <f t="shared" si="221"/>
        <v>0.377</v>
      </c>
      <c r="CB161" s="3468">
        <f>CB160</f>
        <v>0.245</v>
      </c>
      <c r="CC161" s="3468">
        <f t="shared" ref="CC161:CE161" si="222">CC160</f>
        <v>0.245</v>
      </c>
      <c r="CD161" s="3468">
        <f t="shared" si="222"/>
        <v>0.245</v>
      </c>
      <c r="CE161" s="3468">
        <f t="shared" si="222"/>
        <v>0.245</v>
      </c>
    </row>
    <row r="162" spans="1:84">
      <c r="B162" s="2527"/>
      <c r="C162" s="2527"/>
      <c r="D162" s="2527"/>
      <c r="E162" s="2527"/>
      <c r="F162" s="2527"/>
      <c r="G162" s="2527"/>
      <c r="H162" s="2527"/>
      <c r="I162" s="2527"/>
      <c r="J162" s="2529">
        <f>J160</f>
        <v>0.37716262975778547</v>
      </c>
      <c r="K162" s="2529">
        <f ca="1">K160</f>
        <v>0.37623318385650223</v>
      </c>
      <c r="L162" s="3538">
        <f>L160</f>
        <v>0.37</v>
      </c>
      <c r="M162" s="3468">
        <f>M160</f>
        <v>0.245</v>
      </c>
      <c r="N162" s="3468">
        <f>N160</f>
        <v>0.245</v>
      </c>
      <c r="O162" s="3468">
        <f t="shared" ref="O162:W162" si="223">O160</f>
        <v>0.245</v>
      </c>
      <c r="P162" s="3468">
        <f t="shared" si="223"/>
        <v>0.245</v>
      </c>
      <c r="Q162" s="3468">
        <f t="shared" si="223"/>
        <v>0.245</v>
      </c>
      <c r="R162" s="3468">
        <f t="shared" si="223"/>
        <v>0.245</v>
      </c>
      <c r="S162" s="3468">
        <f t="shared" si="223"/>
        <v>0.245</v>
      </c>
      <c r="T162" s="3468">
        <f t="shared" si="223"/>
        <v>0.245</v>
      </c>
      <c r="U162" s="3468">
        <f t="shared" si="223"/>
        <v>0.245</v>
      </c>
      <c r="V162" s="3468">
        <f t="shared" si="223"/>
        <v>0.245</v>
      </c>
      <c r="W162" s="3468">
        <f t="shared" si="223"/>
        <v>0.245</v>
      </c>
      <c r="X162" s="862"/>
      <c r="Y162" s="862"/>
      <c r="Z162" s="862"/>
      <c r="AA162" s="862"/>
      <c r="AB162" s="862"/>
      <c r="AY162" s="862"/>
      <c r="AZ162" s="862"/>
      <c r="BA162" s="862"/>
      <c r="BQ162" s="862"/>
      <c r="BR162" s="1577"/>
      <c r="BS162" s="1577"/>
      <c r="BT162" s="1577"/>
      <c r="BU162" s="1577"/>
      <c r="BV162" s="1577"/>
      <c r="BW162" s="3416">
        <f>BW160</f>
        <v>0.377</v>
      </c>
      <c r="BX162" s="3416">
        <f t="shared" ref="BX162:BY162" si="224">BX160</f>
        <v>0.377</v>
      </c>
      <c r="BY162" s="3416">
        <f t="shared" si="224"/>
        <v>0.377</v>
      </c>
      <c r="BZ162" s="3416">
        <f t="shared" ref="BZ162" si="225">BZ160</f>
        <v>0.377</v>
      </c>
      <c r="CB162" s="3468">
        <f>CB160</f>
        <v>0.245</v>
      </c>
      <c r="CC162" s="3468">
        <f t="shared" ref="CC162:CE162" si="226">CC160</f>
        <v>0.245</v>
      </c>
      <c r="CD162" s="3468">
        <f t="shared" si="226"/>
        <v>0.245</v>
      </c>
      <c r="CE162" s="3468">
        <f t="shared" si="226"/>
        <v>0.245</v>
      </c>
    </row>
    <row r="163" spans="1:84">
      <c r="B163" s="2527"/>
      <c r="C163" s="2527"/>
      <c r="D163" s="2527"/>
      <c r="E163" s="2527"/>
      <c r="F163" s="2527"/>
      <c r="G163" s="2527"/>
      <c r="H163" s="2527"/>
      <c r="I163" s="2527"/>
      <c r="J163" s="2527"/>
      <c r="K163" s="2527"/>
      <c r="L163" s="2527"/>
      <c r="M163" s="2527"/>
      <c r="N163" s="2527"/>
      <c r="O163" s="2527"/>
      <c r="P163" s="2527"/>
      <c r="Q163" s="2527"/>
      <c r="R163" s="2527"/>
      <c r="S163" s="2527"/>
      <c r="T163" s="2527"/>
      <c r="U163" s="2527"/>
      <c r="V163" s="2527"/>
      <c r="W163" s="2527"/>
      <c r="X163" s="2527"/>
      <c r="Y163" s="2527"/>
      <c r="Z163" s="2527"/>
      <c r="AA163" s="2527"/>
      <c r="AB163" s="862"/>
      <c r="AY163" s="862"/>
      <c r="AZ163" s="862"/>
      <c r="BA163" s="862"/>
      <c r="BQ163" s="862"/>
      <c r="BR163" s="1577"/>
      <c r="BS163" s="1577"/>
      <c r="BT163" s="1577"/>
      <c r="BU163" s="1577"/>
      <c r="BV163" s="1577"/>
      <c r="BW163" s="1577"/>
      <c r="BX163" s="1577"/>
      <c r="BY163" s="1577"/>
      <c r="BZ163" s="1577"/>
      <c r="CB163" s="1577"/>
      <c r="CC163" s="1577"/>
      <c r="CD163" s="1577"/>
      <c r="CE163" s="1577"/>
      <c r="CF163" s="1577"/>
    </row>
    <row r="164" spans="1:84">
      <c r="B164" s="1494" t="s">
        <v>1727</v>
      </c>
      <c r="C164" s="2527"/>
      <c r="D164" s="2527"/>
      <c r="E164" s="2527"/>
      <c r="F164" s="2527"/>
      <c r="G164" s="2527"/>
      <c r="H164" s="2527"/>
      <c r="I164" s="2527"/>
      <c r="J164" s="2527"/>
      <c r="K164" s="2527"/>
      <c r="L164" s="2528">
        <f ca="1">+CHOOSE($B$158,L165,L166,L167)</f>
        <v>661.41033875920516</v>
      </c>
      <c r="M164" s="2528">
        <f ca="1">+CHOOSE($B$158,M165,M166,M167)</f>
        <v>645.86509437448024</v>
      </c>
      <c r="N164" s="2528">
        <f t="shared" ref="N164:U164" ca="1" si="227">+CHOOSE($B$158,N165,N166,N167)</f>
        <v>686.2837918140965</v>
      </c>
      <c r="O164" s="2528">
        <f t="shared" ca="1" si="227"/>
        <v>771.91492467076239</v>
      </c>
      <c r="P164" s="2528">
        <f t="shared" ca="1" si="227"/>
        <v>801.51605973746507</v>
      </c>
      <c r="Q164" s="2528">
        <f t="shared" ca="1" si="227"/>
        <v>865.29904417934642</v>
      </c>
      <c r="R164" s="2528">
        <f t="shared" ca="1" si="227"/>
        <v>826.70750638325421</v>
      </c>
      <c r="S164" s="2528">
        <f t="shared" ca="1" si="227"/>
        <v>856.02680584372638</v>
      </c>
      <c r="T164" s="2528">
        <f t="shared" ca="1" si="227"/>
        <v>860.33474433956826</v>
      </c>
      <c r="U164" s="2528">
        <f t="shared" ca="1" si="227"/>
        <v>851.73194681812129</v>
      </c>
      <c r="V164" s="2528">
        <f t="shared" ref="V164:W164" ca="1" si="228">+CHOOSE($B$158,V165,V166,V167)</f>
        <v>842.98184957497381</v>
      </c>
      <c r="W164" s="2528">
        <f t="shared" ca="1" si="228"/>
        <v>892.49667233108198</v>
      </c>
      <c r="X164" s="2527"/>
      <c r="Y164" s="2527"/>
      <c r="Z164" s="2527"/>
      <c r="AA164" s="2527"/>
      <c r="AB164" s="862"/>
      <c r="AY164" s="862"/>
      <c r="AZ164" s="862"/>
      <c r="BA164" s="862"/>
      <c r="BQ164" s="862"/>
      <c r="BR164" s="1577"/>
      <c r="BS164" s="1577"/>
      <c r="BT164" s="1577"/>
      <c r="BU164" s="1577"/>
      <c r="BV164" s="1577"/>
      <c r="BW164" s="2528">
        <f>+CHOOSE($B$158,BW165,BW166,BW167)</f>
        <v>138</v>
      </c>
      <c r="BX164" s="2528">
        <f>+CHOOSE($B$158,BX165,BX166,BX167)</f>
        <v>169</v>
      </c>
      <c r="BY164" s="2528">
        <f>+CHOOSE($B$158,BY165,BY166,BY167)</f>
        <v>172</v>
      </c>
      <c r="BZ164" s="2528">
        <f ca="1">+CHOOSE($B$158,BZ165,BZ166,BZ167)</f>
        <v>182.41033875920519</v>
      </c>
      <c r="CB164" s="1577"/>
      <c r="CC164" s="1577"/>
      <c r="CD164" s="1577"/>
      <c r="CE164" s="1577"/>
      <c r="CF164" s="1577"/>
    </row>
    <row r="165" spans="1:84">
      <c r="B165" s="2527"/>
      <c r="C165" s="2527"/>
      <c r="D165" s="2527"/>
      <c r="E165" s="2527"/>
      <c r="F165" s="2527"/>
      <c r="G165" s="2527"/>
      <c r="H165" s="2527"/>
      <c r="I165" s="2527"/>
      <c r="J165" s="2527"/>
      <c r="K165" s="2527"/>
      <c r="L165" s="2531">
        <f ca="1">SUM(BW165:BZ165)</f>
        <v>661.41033875920516</v>
      </c>
      <c r="M165" s="2532">
        <f ca="1">'GAAP Financial Statements'!AD34*M160</f>
        <v>645.86509437448024</v>
      </c>
      <c r="N165" s="2532">
        <f ca="1">'GAAP Financial Statements'!AE34*N160</f>
        <v>686.2837918140965</v>
      </c>
      <c r="O165" s="2532">
        <f ca="1">'GAAP Financial Statements'!AF34*O160</f>
        <v>771.91492467076239</v>
      </c>
      <c r="P165" s="2532">
        <f ca="1">'GAAP Financial Statements'!AG34*P160</f>
        <v>801.51605973746507</v>
      </c>
      <c r="Q165" s="2532">
        <f ca="1">'GAAP Financial Statements'!AH34*Q160</f>
        <v>865.29904417934642</v>
      </c>
      <c r="R165" s="2532">
        <f ca="1">'GAAP Financial Statements'!AI34*R160</f>
        <v>826.70750638325421</v>
      </c>
      <c r="S165" s="2532">
        <f ca="1">'GAAP Financial Statements'!AJ34*S160</f>
        <v>856.02680584372638</v>
      </c>
      <c r="T165" s="2532">
        <f ca="1">'GAAP Financial Statements'!AK34*T160</f>
        <v>860.33474433956826</v>
      </c>
      <c r="U165" s="2532">
        <f ca="1">'GAAP Financial Statements'!AL34*U160</f>
        <v>851.73194681812129</v>
      </c>
      <c r="V165" s="2532">
        <f ca="1">'GAAP Financial Statements'!AM34*V160</f>
        <v>842.98184957497381</v>
      </c>
      <c r="W165" s="2532">
        <f ca="1">'GAAP Financial Statements'!AN34*W160</f>
        <v>892.49667233108198</v>
      </c>
      <c r="X165" s="2527"/>
      <c r="Y165" s="2527"/>
      <c r="Z165" s="2527"/>
      <c r="AA165" s="2527"/>
      <c r="AB165" s="862"/>
      <c r="AY165" s="862"/>
      <c r="AZ165" s="862"/>
      <c r="BA165" s="862"/>
      <c r="BQ165" s="862"/>
      <c r="BR165" s="1577"/>
      <c r="BS165" s="1577"/>
      <c r="BT165" s="1577"/>
      <c r="BU165" s="1577"/>
      <c r="BV165" s="1577"/>
      <c r="BW165" s="3210">
        <f>-'GAAP Financial Statements'!DI39</f>
        <v>138</v>
      </c>
      <c r="BX165" s="3210">
        <f>-'GAAP Financial Statements'!DJ39</f>
        <v>169</v>
      </c>
      <c r="BY165" s="3210">
        <f>-'GAAP Financial Statements'!DK39</f>
        <v>172</v>
      </c>
      <c r="BZ165" s="3210">
        <f ca="1">-'GAAP Financial Statements'!DL39</f>
        <v>182.41033875920519</v>
      </c>
      <c r="CB165" s="1577"/>
      <c r="CC165" s="1577"/>
      <c r="CD165" s="1577"/>
      <c r="CE165" s="1577"/>
    </row>
    <row r="166" spans="1:84">
      <c r="B166" s="2527"/>
      <c r="C166" s="2527"/>
      <c r="D166" s="2527"/>
      <c r="E166" s="2527"/>
      <c r="F166" s="2527"/>
      <c r="G166" s="2527"/>
      <c r="H166" s="2527"/>
      <c r="I166" s="2527"/>
      <c r="J166" s="2527"/>
      <c r="K166" s="2527"/>
      <c r="L166" s="2531">
        <f ca="1">SUM(BW166:BZ166)</f>
        <v>661.41033875920516</v>
      </c>
      <c r="M166" s="2532">
        <f ca="1">('GAAP Financial Statements'!AD34-'GAAP Financial Statements'!AD31)*M161</f>
        <v>743.89760896149085</v>
      </c>
      <c r="N166" s="2532">
        <f ca="1">('GAAP Financial Statements'!AE34-'GAAP Financial Statements'!AE31)*N161</f>
        <v>789.5953496068023</v>
      </c>
      <c r="O166" s="2532">
        <f ca="1">('GAAP Financial Statements'!AF34-'GAAP Financial Statements'!AF31)*O161</f>
        <v>875.41128987405705</v>
      </c>
      <c r="P166" s="2532">
        <f ca="1">('GAAP Financial Statements'!AG34-'GAAP Financial Statements'!AG31)*P161</f>
        <v>901.09104357511478</v>
      </c>
      <c r="Q166" s="2532">
        <f ca="1">('GAAP Financial Statements'!AH34-'GAAP Financial Statements'!AH31)*Q161</f>
        <v>960.10043578050306</v>
      </c>
      <c r="R166" s="2532">
        <f ca="1">('GAAP Financial Statements'!AI34-'GAAP Financial Statements'!AI31)*R161</f>
        <v>915.98367833449254</v>
      </c>
      <c r="S166" s="2532">
        <f ca="1">('GAAP Financial Statements'!AJ34-'GAAP Financial Statements'!AJ31)*S161</f>
        <v>939.67397967514455</v>
      </c>
      <c r="T166" s="2532">
        <f ca="1">('GAAP Financial Statements'!AK34-'GAAP Financial Statements'!AK31)*T161</f>
        <v>938.33549699905973</v>
      </c>
      <c r="U166" s="2532">
        <f ca="1">('GAAP Financial Statements'!AL34-'GAAP Financial Statements'!AL31)*U161</f>
        <v>924.13462513188404</v>
      </c>
      <c r="V166" s="2532">
        <f ca="1">('GAAP Financial Statements'!AM34-'GAAP Financial Statements'!AM31)*V161</f>
        <v>910.8769920630242</v>
      </c>
      <c r="W166" s="2532">
        <f ca="1">('GAAP Financial Statements'!AN34-'GAAP Financial Statements'!AN31)*W161</f>
        <v>956.21619582394101</v>
      </c>
      <c r="X166" s="2527"/>
      <c r="Y166" s="2527"/>
      <c r="Z166" s="2527"/>
      <c r="AA166" s="2527"/>
      <c r="AB166" s="862"/>
      <c r="AY166" s="862"/>
      <c r="AZ166" s="862"/>
      <c r="BA166" s="862"/>
      <c r="BQ166" s="862"/>
      <c r="BR166" s="1577"/>
      <c r="BS166" s="1577"/>
      <c r="BT166" s="1577"/>
      <c r="BU166" s="1577"/>
      <c r="BV166" s="1577"/>
      <c r="BW166" s="3157">
        <f>BW165</f>
        <v>138</v>
      </c>
      <c r="BX166" s="3157">
        <f t="shared" ref="BX166:BY166" si="229">BX165</f>
        <v>169</v>
      </c>
      <c r="BY166" s="3157">
        <f t="shared" si="229"/>
        <v>172</v>
      </c>
      <c r="BZ166" s="3157">
        <f t="shared" ref="BZ166" ca="1" si="230">BZ165</f>
        <v>182.41033875920519</v>
      </c>
      <c r="CA166" s="1577"/>
      <c r="CB166" s="1577"/>
      <c r="CC166" s="1577"/>
      <c r="CD166" s="1577"/>
      <c r="CE166" s="1577"/>
    </row>
    <row r="167" spans="1:84">
      <c r="B167" s="2527"/>
      <c r="C167" s="2527"/>
      <c r="D167" s="2527"/>
      <c r="E167" s="2527"/>
      <c r="F167" s="2527"/>
      <c r="G167" s="2527"/>
      <c r="H167" s="2527"/>
      <c r="I167" s="2527"/>
      <c r="J167" s="2527"/>
      <c r="K167" s="2527"/>
      <c r="L167" s="2531">
        <f ca="1">SUM(BW167:BZ167)</f>
        <v>661.41033875920516</v>
      </c>
      <c r="M167" s="2532">
        <f ca="1">'GAAP Financial Statements'!AD34*M162</f>
        <v>645.86509437448024</v>
      </c>
      <c r="N167" s="2532">
        <f ca="1">'GAAP Financial Statements'!AE34*N162</f>
        <v>686.2837918140965</v>
      </c>
      <c r="O167" s="2532">
        <f ca="1">'GAAP Financial Statements'!AF34*O162</f>
        <v>771.91492467076239</v>
      </c>
      <c r="P167" s="2532">
        <f ca="1">'GAAP Financial Statements'!AG34*P162</f>
        <v>801.51605973746507</v>
      </c>
      <c r="Q167" s="2532">
        <f ca="1">'GAAP Financial Statements'!AH34*Q162</f>
        <v>865.29904417934642</v>
      </c>
      <c r="R167" s="2532">
        <f ca="1">'GAAP Financial Statements'!AI34*R162</f>
        <v>826.70750638325421</v>
      </c>
      <c r="S167" s="2532">
        <f ca="1">'GAAP Financial Statements'!AJ34*S162</f>
        <v>856.02680584372638</v>
      </c>
      <c r="T167" s="2532">
        <f ca="1">'GAAP Financial Statements'!AK34*T162</f>
        <v>860.33474433956826</v>
      </c>
      <c r="U167" s="2532">
        <f ca="1">'GAAP Financial Statements'!AL34*U162</f>
        <v>851.73194681812129</v>
      </c>
      <c r="V167" s="2532">
        <f ca="1">'GAAP Financial Statements'!AM34*V162</f>
        <v>842.98184957497381</v>
      </c>
      <c r="W167" s="2532">
        <f ca="1">'GAAP Financial Statements'!AN34*W162</f>
        <v>892.49667233108198</v>
      </c>
      <c r="X167" s="2527"/>
      <c r="Y167" s="2527"/>
      <c r="Z167" s="2527"/>
      <c r="AA167" s="2527"/>
      <c r="AB167" s="862"/>
      <c r="AY167" s="862"/>
      <c r="AZ167" s="862"/>
      <c r="BA167" s="862"/>
      <c r="BR167" s="1577"/>
      <c r="BS167" s="1577"/>
      <c r="BT167" s="1577"/>
      <c r="BU167" s="1577"/>
      <c r="BV167" s="1577"/>
      <c r="BW167" s="3157">
        <f>BW165</f>
        <v>138</v>
      </c>
      <c r="BX167" s="3157">
        <f t="shared" ref="BX167:BY167" si="231">BX165</f>
        <v>169</v>
      </c>
      <c r="BY167" s="3157">
        <f t="shared" si="231"/>
        <v>172</v>
      </c>
      <c r="BZ167" s="3157">
        <f t="shared" ref="BZ167" ca="1" si="232">BZ165</f>
        <v>182.41033875920519</v>
      </c>
      <c r="CA167" s="1577"/>
      <c r="CB167" s="1577"/>
      <c r="CC167" s="1577"/>
      <c r="CD167" s="1577"/>
      <c r="CE167" s="1577"/>
    </row>
    <row r="168" spans="1:84">
      <c r="I168" s="2527"/>
      <c r="J168" s="2527"/>
      <c r="K168" s="2527"/>
      <c r="L168" s="1577"/>
      <c r="M168" s="1577"/>
      <c r="N168" s="1577"/>
      <c r="O168" s="1577"/>
      <c r="P168" s="1577"/>
      <c r="Q168" s="1577"/>
      <c r="R168" s="1577"/>
      <c r="S168" s="1577"/>
      <c r="T168" s="1577"/>
      <c r="V168" s="1577"/>
      <c r="W168" s="862"/>
      <c r="X168" s="2527"/>
      <c r="Y168" s="2527"/>
      <c r="Z168" s="2527"/>
      <c r="AA168" s="2527"/>
      <c r="AB168" s="862"/>
      <c r="AY168" s="862"/>
      <c r="AZ168" s="862"/>
      <c r="BA168" s="862"/>
      <c r="BT168" s="1577"/>
      <c r="BU168" s="1577"/>
      <c r="BV168" s="1577"/>
      <c r="BW168" s="1577"/>
      <c r="BX168" s="1577"/>
      <c r="BY168" s="1577"/>
      <c r="BZ168" s="1577"/>
      <c r="CA168" s="1577"/>
      <c r="CB168" s="1577"/>
      <c r="CC168" s="1577"/>
      <c r="CD168" s="1577"/>
      <c r="CE168" s="1577"/>
    </row>
    <row r="169" spans="1:84">
      <c r="J169" s="1577"/>
      <c r="K169" s="1577"/>
      <c r="L169" s="1577"/>
      <c r="M169" s="1577"/>
      <c r="N169" s="1577"/>
      <c r="O169" s="1577"/>
      <c r="P169" s="1577"/>
      <c r="Q169" s="1577"/>
      <c r="R169" s="1577"/>
      <c r="S169" s="1577"/>
      <c r="T169" s="1577"/>
      <c r="V169" s="1577"/>
      <c r="W169" s="862"/>
      <c r="X169" s="862"/>
      <c r="Y169" s="862"/>
      <c r="Z169" s="862"/>
      <c r="AA169" s="862"/>
      <c r="AB169" s="862"/>
      <c r="AY169" s="862"/>
      <c r="AZ169" s="862"/>
      <c r="BA169" s="862"/>
      <c r="BT169" s="1577"/>
      <c r="BU169" s="1577"/>
      <c r="BV169" s="1577"/>
      <c r="BW169" s="1577"/>
      <c r="BX169" s="1577"/>
      <c r="BY169" s="1577"/>
      <c r="BZ169" s="1577"/>
      <c r="CA169" s="1577"/>
      <c r="CB169" s="1577"/>
      <c r="CC169" s="1577"/>
      <c r="CD169" s="1577"/>
      <c r="CE169" s="1577"/>
    </row>
    <row r="170" spans="1:84">
      <c r="J170" s="1577"/>
      <c r="K170" s="1577"/>
      <c r="L170" s="1577"/>
      <c r="M170" s="1577"/>
      <c r="N170" s="1577"/>
      <c r="O170" s="1577"/>
      <c r="P170" s="1577"/>
      <c r="Q170" s="1577"/>
      <c r="R170" s="1577"/>
      <c r="S170" s="1577"/>
      <c r="T170" s="1577"/>
      <c r="V170" s="1577"/>
      <c r="W170" s="862"/>
      <c r="X170" s="862"/>
      <c r="Y170" s="862"/>
      <c r="Z170" s="862"/>
      <c r="AA170" s="862"/>
      <c r="AB170" s="862"/>
      <c r="AY170" s="862"/>
      <c r="AZ170" s="862"/>
      <c r="BA170" s="862"/>
      <c r="BT170" s="1577"/>
      <c r="BU170" s="1577"/>
      <c r="BV170" s="1577"/>
      <c r="BW170" s="1577"/>
      <c r="BX170" s="1577"/>
      <c r="BY170" s="1577"/>
      <c r="BZ170" s="1577"/>
      <c r="CA170" s="1577"/>
      <c r="CB170" s="1577"/>
      <c r="CC170" s="1577"/>
      <c r="CD170" s="1577"/>
      <c r="CE170" s="1577"/>
    </row>
    <row r="171" spans="1:84">
      <c r="A171" s="862"/>
      <c r="B171" s="862"/>
      <c r="C171" s="862"/>
      <c r="D171" s="862"/>
      <c r="E171" s="862"/>
      <c r="F171" s="862"/>
      <c r="G171" s="862"/>
      <c r="H171" s="862"/>
      <c r="I171" s="862"/>
      <c r="J171" s="1470"/>
      <c r="K171" s="1470"/>
      <c r="L171" s="1470"/>
      <c r="M171" s="1470"/>
      <c r="N171" s="1470"/>
      <c r="O171" s="1470"/>
      <c r="P171" s="1470"/>
      <c r="Q171" s="1470"/>
      <c r="R171" s="1470"/>
      <c r="S171" s="1470"/>
      <c r="T171" s="1470"/>
      <c r="U171" s="1470"/>
      <c r="V171" s="1470"/>
      <c r="W171" s="862"/>
      <c r="X171" s="862"/>
      <c r="Y171" s="862"/>
      <c r="Z171" s="862"/>
      <c r="AA171" s="862"/>
      <c r="AB171" s="862"/>
      <c r="AC171" s="862"/>
      <c r="AD171" s="862"/>
      <c r="AE171" s="862"/>
      <c r="AF171" s="862"/>
      <c r="AG171" s="862"/>
      <c r="AH171" s="862"/>
      <c r="AI171" s="862"/>
      <c r="AJ171" s="862"/>
      <c r="AK171" s="862"/>
      <c r="AL171" s="862"/>
      <c r="AM171" s="862"/>
      <c r="AN171" s="862"/>
      <c r="AO171" s="862"/>
      <c r="AP171" s="862"/>
      <c r="AQ171" s="862"/>
      <c r="AR171" s="862"/>
      <c r="AY171" s="862"/>
      <c r="AZ171" s="862"/>
      <c r="BA171" s="862"/>
      <c r="BT171" s="1577"/>
      <c r="BU171" s="1577"/>
      <c r="BV171" s="1577"/>
      <c r="BW171" s="1577"/>
      <c r="BX171" s="1577"/>
      <c r="BY171" s="1577"/>
      <c r="BZ171" s="1577"/>
      <c r="CA171" s="1577"/>
      <c r="CB171" s="1470"/>
      <c r="CC171" s="1577"/>
      <c r="CD171" s="1577"/>
      <c r="CE171" s="1577"/>
    </row>
    <row r="172" spans="1:84">
      <c r="A172" s="862"/>
      <c r="B172" s="862"/>
      <c r="C172" s="862"/>
      <c r="D172" s="862"/>
      <c r="E172" s="862"/>
      <c r="F172" s="862"/>
      <c r="G172" s="862"/>
      <c r="H172" s="862"/>
      <c r="I172" s="862"/>
      <c r="J172" s="1470"/>
      <c r="K172" s="1470"/>
      <c r="L172" s="1470"/>
      <c r="M172" s="1470"/>
      <c r="N172" s="1470"/>
      <c r="O172" s="1470"/>
      <c r="P172" s="1470"/>
      <c r="Q172" s="1470"/>
      <c r="R172" s="1470"/>
      <c r="S172" s="1470"/>
      <c r="T172" s="1470"/>
      <c r="U172" s="1470"/>
      <c r="V172" s="1470"/>
      <c r="W172" s="862"/>
      <c r="X172" s="862"/>
      <c r="Y172" s="862"/>
      <c r="Z172" s="862"/>
      <c r="AA172" s="862"/>
      <c r="AB172" s="862"/>
      <c r="AC172" s="862"/>
      <c r="AD172" s="862"/>
      <c r="AE172" s="862"/>
      <c r="AF172" s="862"/>
      <c r="AG172" s="862"/>
      <c r="AH172" s="862"/>
      <c r="AI172" s="862"/>
      <c r="AJ172" s="862"/>
      <c r="AK172" s="862"/>
      <c r="AL172" s="862"/>
      <c r="AM172" s="862"/>
      <c r="AN172" s="862"/>
      <c r="AO172" s="862"/>
      <c r="AP172" s="862"/>
      <c r="AQ172" s="862"/>
      <c r="AR172" s="862"/>
      <c r="AY172" s="862"/>
      <c r="AZ172" s="862"/>
      <c r="BA172" s="862"/>
      <c r="BT172" s="1577"/>
      <c r="BU172" s="1577"/>
      <c r="BV172" s="1577"/>
      <c r="BW172" s="1577"/>
      <c r="BX172" s="1577"/>
      <c r="BY172" s="1577"/>
      <c r="BZ172" s="1577"/>
      <c r="CA172" s="1577"/>
      <c r="CB172" s="1470"/>
      <c r="CC172" s="1577"/>
      <c r="CD172" s="1577"/>
      <c r="CE172" s="1577"/>
    </row>
    <row r="173" spans="1:84">
      <c r="A173" s="862"/>
      <c r="B173" s="862"/>
      <c r="C173" s="862"/>
      <c r="D173" s="862"/>
      <c r="E173" s="862"/>
      <c r="F173" s="862"/>
      <c r="G173" s="862"/>
      <c r="H173" s="862"/>
      <c r="I173" s="862"/>
      <c r="J173" s="1470"/>
      <c r="K173" s="1470"/>
      <c r="L173" s="1470"/>
      <c r="M173" s="1470"/>
      <c r="N173" s="1470"/>
      <c r="O173" s="1470"/>
      <c r="P173" s="1470"/>
      <c r="Q173" s="1470"/>
      <c r="R173" s="1470"/>
      <c r="S173" s="1470"/>
      <c r="T173" s="1470"/>
      <c r="U173" s="1470"/>
      <c r="V173" s="1470"/>
      <c r="W173" s="862"/>
      <c r="X173" s="862"/>
      <c r="Y173" s="862"/>
      <c r="Z173" s="862"/>
      <c r="AA173" s="862"/>
      <c r="AB173" s="862"/>
      <c r="AC173" s="862"/>
      <c r="AD173" s="862"/>
      <c r="AE173" s="862"/>
      <c r="AF173" s="862"/>
      <c r="AG173" s="862"/>
      <c r="AH173" s="862"/>
      <c r="AI173" s="862"/>
      <c r="AJ173" s="862"/>
      <c r="AK173" s="862"/>
      <c r="AL173" s="862"/>
      <c r="AM173" s="862"/>
      <c r="AN173" s="862"/>
      <c r="AO173" s="862"/>
      <c r="AP173" s="862"/>
      <c r="AQ173" s="862"/>
      <c r="AR173" s="862"/>
      <c r="AY173" s="862"/>
      <c r="AZ173" s="862"/>
      <c r="BA173" s="862"/>
      <c r="BT173" s="1577"/>
      <c r="BU173" s="1577"/>
      <c r="BV173" s="1577"/>
      <c r="BW173" s="1577"/>
      <c r="BX173" s="1577"/>
      <c r="BY173" s="1577"/>
      <c r="BZ173" s="1577"/>
      <c r="CA173" s="1577"/>
      <c r="CB173" s="1470"/>
      <c r="CC173" s="1577"/>
      <c r="CD173" s="1577"/>
      <c r="CE173" s="1577"/>
    </row>
    <row r="174" spans="1:84">
      <c r="A174" s="862"/>
      <c r="B174" s="862"/>
      <c r="C174" s="862"/>
      <c r="D174" s="862"/>
      <c r="E174" s="862"/>
      <c r="F174" s="862"/>
      <c r="G174" s="862"/>
      <c r="H174" s="862"/>
      <c r="I174" s="862"/>
      <c r="J174" s="1470"/>
      <c r="K174" s="1470"/>
      <c r="L174" s="1470"/>
      <c r="M174" s="1470"/>
      <c r="N174" s="1470"/>
      <c r="O174" s="1470"/>
      <c r="P174" s="1470"/>
      <c r="Q174" s="1470"/>
      <c r="R174" s="1470"/>
      <c r="S174" s="1470"/>
      <c r="T174" s="1470"/>
      <c r="U174" s="1470"/>
      <c r="V174" s="1470"/>
      <c r="W174" s="862"/>
      <c r="X174" s="862"/>
      <c r="Y174" s="862"/>
      <c r="Z174" s="862"/>
      <c r="AA174" s="862"/>
      <c r="AB174" s="862"/>
      <c r="AC174" s="862"/>
      <c r="AD174" s="862"/>
      <c r="AE174" s="862"/>
      <c r="AF174" s="862"/>
      <c r="AG174" s="862"/>
      <c r="AH174" s="862"/>
      <c r="AI174" s="862"/>
      <c r="AJ174" s="862"/>
      <c r="AK174" s="862"/>
      <c r="AL174" s="862"/>
      <c r="AM174" s="862"/>
      <c r="AN174" s="862"/>
      <c r="AO174" s="862"/>
      <c r="AP174" s="862"/>
      <c r="AQ174" s="862"/>
      <c r="AR174" s="862"/>
      <c r="CB174" s="862"/>
    </row>
    <row r="175" spans="1:84">
      <c r="A175" s="862"/>
      <c r="B175" s="862"/>
      <c r="C175" s="862"/>
      <c r="D175" s="862"/>
      <c r="E175" s="862"/>
      <c r="F175" s="862"/>
      <c r="G175" s="862"/>
      <c r="H175" s="862"/>
      <c r="I175" s="862"/>
      <c r="J175" s="1470"/>
      <c r="K175" s="1470"/>
      <c r="L175" s="1470"/>
      <c r="M175" s="1470"/>
      <c r="N175" s="1470"/>
      <c r="O175" s="1470"/>
      <c r="P175" s="1470"/>
      <c r="Q175" s="1470"/>
      <c r="R175" s="1470"/>
      <c r="S175" s="1470"/>
      <c r="T175" s="1470"/>
      <c r="U175" s="1470"/>
      <c r="V175" s="1470"/>
      <c r="W175" s="862"/>
      <c r="X175" s="862"/>
      <c r="Y175" s="862"/>
      <c r="Z175" s="862"/>
      <c r="AA175" s="862"/>
      <c r="AB175" s="862"/>
      <c r="AC175" s="862"/>
      <c r="AD175" s="862"/>
      <c r="AE175" s="862"/>
      <c r="AF175" s="862"/>
      <c r="AG175" s="862"/>
      <c r="AH175" s="862"/>
      <c r="AI175" s="862"/>
      <c r="AJ175" s="862"/>
      <c r="AK175" s="862"/>
      <c r="AL175" s="862"/>
      <c r="AM175" s="862"/>
      <c r="AN175" s="862"/>
      <c r="AO175" s="862"/>
      <c r="AP175" s="862"/>
      <c r="AQ175" s="862"/>
      <c r="AR175" s="862"/>
      <c r="CB175" s="862"/>
    </row>
    <row r="176" spans="1:84">
      <c r="A176" s="862"/>
      <c r="B176" s="862"/>
      <c r="C176" s="862"/>
      <c r="D176" s="862"/>
      <c r="E176" s="862"/>
      <c r="F176" s="862"/>
      <c r="G176" s="862"/>
      <c r="H176" s="862"/>
      <c r="I176" s="862"/>
      <c r="J176" s="1470"/>
      <c r="K176" s="1470"/>
      <c r="L176" s="1470"/>
      <c r="M176" s="1470"/>
      <c r="N176" s="1470"/>
      <c r="O176" s="1470"/>
      <c r="P176" s="1470"/>
      <c r="Q176" s="1470"/>
      <c r="R176" s="1470"/>
      <c r="S176" s="1470"/>
      <c r="T176" s="1470"/>
      <c r="U176" s="1470"/>
      <c r="V176" s="1470"/>
      <c r="W176" s="862"/>
      <c r="X176" s="862"/>
      <c r="Y176" s="862"/>
      <c r="Z176" s="862"/>
      <c r="AA176" s="862"/>
      <c r="AB176" s="862"/>
      <c r="AC176" s="862"/>
      <c r="AD176" s="862"/>
      <c r="AE176" s="862"/>
      <c r="AF176" s="862"/>
      <c r="AG176" s="862"/>
      <c r="AH176" s="862"/>
      <c r="AI176" s="862"/>
      <c r="AJ176" s="862"/>
      <c r="AK176" s="862"/>
      <c r="AL176" s="862"/>
      <c r="AM176" s="862"/>
      <c r="AN176" s="862"/>
      <c r="AO176" s="862"/>
      <c r="AP176" s="862"/>
      <c r="AQ176" s="862"/>
      <c r="AR176" s="862"/>
      <c r="CB176" s="862"/>
    </row>
    <row r="177" spans="1:86">
      <c r="A177" s="862"/>
      <c r="B177" s="862"/>
      <c r="C177" s="862"/>
      <c r="D177" s="862"/>
      <c r="E177" s="862"/>
      <c r="F177" s="862"/>
      <c r="G177" s="862"/>
      <c r="H177" s="862"/>
      <c r="I177" s="862"/>
      <c r="J177" s="862"/>
      <c r="K177" s="862"/>
      <c r="L177" s="862"/>
      <c r="M177" s="862"/>
      <c r="N177" s="862"/>
      <c r="O177" s="862"/>
      <c r="P177" s="906"/>
      <c r="Q177" s="906"/>
      <c r="R177" s="906"/>
      <c r="S177" s="906"/>
      <c r="T177" s="906"/>
      <c r="U177" s="1470"/>
      <c r="V177" s="862"/>
      <c r="W177" s="862"/>
      <c r="X177" s="862"/>
      <c r="Y177" s="862"/>
      <c r="Z177" s="862"/>
      <c r="AA177" s="862"/>
      <c r="AB177" s="862"/>
      <c r="AC177" s="862"/>
      <c r="AD177" s="862"/>
      <c r="AE177" s="862"/>
      <c r="AF177" s="862"/>
      <c r="AG177" s="862"/>
      <c r="AH177" s="862"/>
      <c r="AI177" s="862"/>
      <c r="AJ177" s="862"/>
      <c r="AK177" s="862"/>
      <c r="AL177" s="862"/>
      <c r="AM177" s="862"/>
      <c r="AN177" s="862"/>
      <c r="AO177" s="862"/>
      <c r="AP177" s="862"/>
      <c r="AQ177" s="862"/>
      <c r="AR177" s="862"/>
      <c r="CB177" s="862"/>
      <c r="CH177" s="862"/>
    </row>
    <row r="178" spans="1:86">
      <c r="A178" s="862"/>
      <c r="B178" s="862"/>
      <c r="C178" s="862"/>
      <c r="D178" s="862"/>
      <c r="E178" s="862"/>
      <c r="F178" s="862"/>
      <c r="G178" s="862"/>
      <c r="H178" s="862"/>
      <c r="I178" s="862"/>
      <c r="J178" s="862"/>
      <c r="K178" s="862"/>
      <c r="L178" s="862"/>
      <c r="M178" s="862"/>
      <c r="N178" s="862"/>
      <c r="O178" s="862"/>
      <c r="P178" s="906"/>
      <c r="Q178" s="906"/>
      <c r="R178" s="906"/>
      <c r="S178" s="906"/>
      <c r="T178" s="906"/>
      <c r="U178" s="1470"/>
      <c r="V178" s="862"/>
      <c r="W178" s="862"/>
      <c r="X178" s="862"/>
      <c r="Y178" s="862"/>
      <c r="Z178" s="862"/>
      <c r="AA178" s="862"/>
      <c r="AB178" s="862"/>
      <c r="AC178" s="862"/>
      <c r="AD178" s="862"/>
      <c r="AE178" s="862"/>
      <c r="AF178" s="862"/>
      <c r="AG178" s="862"/>
      <c r="AH178" s="862"/>
      <c r="AI178" s="862"/>
      <c r="AJ178" s="862"/>
      <c r="AK178" s="862"/>
      <c r="AL178" s="862"/>
      <c r="AM178" s="862"/>
      <c r="AN178" s="862"/>
      <c r="AO178" s="862"/>
      <c r="AP178" s="862"/>
      <c r="AQ178" s="862"/>
      <c r="AR178" s="862"/>
      <c r="CB178" s="862"/>
      <c r="CH178" s="862"/>
    </row>
    <row r="179" spans="1:86">
      <c r="A179" s="862"/>
      <c r="B179" s="862"/>
      <c r="C179" s="862"/>
      <c r="D179" s="862"/>
      <c r="E179" s="862"/>
      <c r="F179" s="862"/>
      <c r="G179" s="862"/>
      <c r="H179" s="862"/>
      <c r="I179" s="862"/>
      <c r="J179" s="862"/>
      <c r="K179" s="862"/>
      <c r="L179" s="862"/>
      <c r="M179" s="862"/>
      <c r="N179" s="862"/>
      <c r="O179" s="862"/>
      <c r="P179" s="906"/>
      <c r="Q179" s="906"/>
      <c r="R179" s="906"/>
      <c r="S179" s="906"/>
      <c r="T179" s="906"/>
      <c r="U179" s="1470"/>
      <c r="V179" s="862"/>
      <c r="W179" s="862"/>
      <c r="X179" s="862"/>
      <c r="Y179" s="862"/>
      <c r="Z179" s="862"/>
      <c r="AA179" s="862"/>
      <c r="AB179" s="862"/>
      <c r="AC179" s="862"/>
      <c r="AD179" s="862"/>
      <c r="AE179" s="862"/>
      <c r="AF179" s="862"/>
      <c r="AG179" s="862"/>
      <c r="AH179" s="862"/>
      <c r="AI179" s="862"/>
      <c r="AJ179" s="862"/>
      <c r="AK179" s="862"/>
      <c r="AL179" s="862"/>
      <c r="AM179" s="862"/>
      <c r="AN179" s="862"/>
      <c r="AO179" s="862"/>
      <c r="AP179" s="862"/>
      <c r="AQ179" s="862"/>
      <c r="AR179" s="862"/>
      <c r="CB179" s="862"/>
      <c r="CH179" s="862"/>
    </row>
    <row r="180" spans="1:86">
      <c r="A180" s="862"/>
      <c r="B180" s="862"/>
      <c r="C180" s="862"/>
      <c r="D180" s="862"/>
      <c r="E180" s="862"/>
      <c r="F180" s="862"/>
      <c r="G180" s="862"/>
      <c r="H180" s="862"/>
      <c r="I180" s="862"/>
      <c r="J180" s="862"/>
      <c r="K180" s="862"/>
      <c r="L180" s="862"/>
      <c r="M180" s="862"/>
      <c r="N180" s="862"/>
      <c r="O180" s="862"/>
      <c r="P180" s="906"/>
      <c r="Q180" s="906"/>
      <c r="R180" s="906"/>
      <c r="S180" s="906"/>
      <c r="T180" s="906"/>
      <c r="U180" s="1470"/>
      <c r="V180" s="862"/>
      <c r="W180" s="862"/>
      <c r="X180" s="862"/>
      <c r="Y180" s="862"/>
      <c r="Z180" s="862"/>
      <c r="AA180" s="862"/>
      <c r="AB180" s="862"/>
      <c r="AC180" s="862"/>
      <c r="AD180" s="862"/>
      <c r="AE180" s="862"/>
      <c r="AF180" s="862"/>
      <c r="AG180" s="862"/>
      <c r="AH180" s="862"/>
      <c r="AI180" s="862"/>
      <c r="AJ180" s="862"/>
      <c r="AK180" s="862"/>
      <c r="AL180" s="862"/>
      <c r="AM180" s="862"/>
      <c r="AN180" s="862"/>
      <c r="AO180" s="862"/>
      <c r="AP180" s="862"/>
      <c r="AQ180" s="862"/>
      <c r="AR180" s="862"/>
      <c r="CB180" s="862"/>
      <c r="CH180" s="862"/>
    </row>
    <row r="181" spans="1:86">
      <c r="A181" s="862"/>
      <c r="B181" s="862"/>
      <c r="C181" s="862"/>
      <c r="D181" s="862"/>
      <c r="E181" s="862"/>
      <c r="F181" s="862"/>
      <c r="G181" s="862"/>
      <c r="H181" s="862"/>
      <c r="I181" s="862"/>
      <c r="J181" s="862"/>
      <c r="K181" s="862"/>
      <c r="L181" s="862"/>
      <c r="M181" s="862"/>
      <c r="N181" s="862"/>
      <c r="O181" s="862"/>
      <c r="P181" s="906"/>
      <c r="Q181" s="906"/>
      <c r="R181" s="906"/>
      <c r="S181" s="906"/>
      <c r="T181" s="906"/>
      <c r="U181" s="1470"/>
      <c r="V181" s="862"/>
      <c r="W181" s="862"/>
      <c r="X181" s="862"/>
      <c r="Y181" s="862"/>
      <c r="Z181" s="862"/>
      <c r="AA181" s="862"/>
      <c r="AB181" s="862"/>
      <c r="AC181" s="862"/>
      <c r="AD181" s="862"/>
      <c r="AE181" s="862"/>
      <c r="AF181" s="862"/>
      <c r="AG181" s="862"/>
      <c r="AH181" s="862"/>
      <c r="AI181" s="862"/>
      <c r="AJ181" s="862"/>
      <c r="AK181" s="862"/>
      <c r="AL181" s="862"/>
      <c r="AM181" s="862"/>
      <c r="AN181" s="862"/>
      <c r="AO181" s="862"/>
      <c r="AP181" s="862"/>
      <c r="AQ181" s="862"/>
      <c r="AR181" s="862"/>
      <c r="CB181" s="862"/>
      <c r="CH181" s="862"/>
    </row>
    <row r="182" spans="1:86">
      <c r="A182" s="862"/>
      <c r="B182" s="862"/>
      <c r="C182" s="862"/>
      <c r="D182" s="862"/>
      <c r="E182" s="862"/>
      <c r="F182" s="862"/>
      <c r="G182" s="862"/>
      <c r="H182" s="862"/>
      <c r="I182" s="862"/>
      <c r="J182" s="862"/>
      <c r="K182" s="862"/>
      <c r="L182" s="862"/>
      <c r="M182" s="862"/>
      <c r="N182" s="862"/>
      <c r="O182" s="862"/>
      <c r="P182" s="906"/>
      <c r="Q182" s="906"/>
      <c r="R182" s="906"/>
      <c r="S182" s="906"/>
      <c r="T182" s="906"/>
      <c r="U182" s="1470"/>
      <c r="V182" s="862"/>
      <c r="W182" s="862"/>
      <c r="X182" s="862"/>
      <c r="Y182" s="862"/>
      <c r="Z182" s="862"/>
      <c r="AA182" s="862"/>
      <c r="AB182" s="862"/>
      <c r="AC182" s="862"/>
      <c r="AD182" s="862"/>
      <c r="AE182" s="862"/>
      <c r="AF182" s="862"/>
      <c r="AG182" s="862"/>
      <c r="AH182" s="862"/>
      <c r="AI182" s="862"/>
      <c r="AJ182" s="862"/>
      <c r="AK182" s="862"/>
      <c r="AL182" s="862"/>
      <c r="AM182" s="862"/>
      <c r="AN182" s="862"/>
      <c r="AO182" s="862"/>
      <c r="AP182" s="862"/>
      <c r="AQ182" s="862"/>
      <c r="AR182" s="862"/>
      <c r="CB182" s="862"/>
      <c r="CH182" s="862"/>
    </row>
    <row r="183" spans="1:86">
      <c r="A183" s="862"/>
      <c r="B183" s="862"/>
      <c r="C183" s="862"/>
      <c r="D183" s="862"/>
      <c r="E183" s="862"/>
      <c r="F183" s="862"/>
      <c r="G183" s="862"/>
      <c r="H183" s="862"/>
      <c r="I183" s="862"/>
      <c r="J183" s="862"/>
      <c r="K183" s="862"/>
      <c r="L183" s="862"/>
      <c r="M183" s="862"/>
      <c r="N183" s="862"/>
      <c r="O183" s="862"/>
      <c r="P183" s="906"/>
      <c r="Q183" s="906"/>
      <c r="R183" s="906"/>
      <c r="S183" s="906"/>
      <c r="T183" s="906"/>
      <c r="U183" s="1470"/>
      <c r="V183" s="862"/>
      <c r="W183" s="862"/>
      <c r="X183" s="862"/>
      <c r="Y183" s="862"/>
      <c r="Z183" s="862"/>
      <c r="AA183" s="862"/>
      <c r="AB183" s="862"/>
      <c r="AC183" s="862"/>
      <c r="AD183" s="862"/>
      <c r="AE183" s="862"/>
      <c r="AF183" s="862"/>
      <c r="AG183" s="862"/>
      <c r="AH183" s="862"/>
      <c r="AI183" s="862"/>
      <c r="AJ183" s="862"/>
      <c r="AK183" s="862"/>
      <c r="AL183" s="862"/>
      <c r="AM183" s="862"/>
      <c r="AN183" s="862"/>
      <c r="AO183" s="862"/>
      <c r="AP183" s="862"/>
      <c r="AQ183" s="862"/>
      <c r="AR183" s="862"/>
      <c r="CB183" s="862"/>
      <c r="CH183" s="862"/>
    </row>
    <row r="184" spans="1:86">
      <c r="A184" s="862"/>
      <c r="B184" s="862"/>
      <c r="C184" s="862"/>
      <c r="D184" s="862"/>
      <c r="E184" s="862"/>
      <c r="F184" s="862"/>
      <c r="G184" s="862"/>
      <c r="H184" s="862"/>
      <c r="I184" s="862"/>
      <c r="J184" s="862"/>
      <c r="K184" s="862"/>
      <c r="L184" s="862"/>
      <c r="M184" s="862"/>
      <c r="N184" s="862"/>
      <c r="O184" s="862"/>
      <c r="P184" s="906"/>
      <c r="Q184" s="906"/>
      <c r="R184" s="906"/>
      <c r="S184" s="906"/>
      <c r="T184" s="906"/>
      <c r="U184" s="1470"/>
      <c r="V184" s="862"/>
      <c r="W184" s="862"/>
      <c r="X184" s="862"/>
      <c r="Y184" s="862"/>
      <c r="Z184" s="862"/>
      <c r="AA184" s="862"/>
      <c r="AB184" s="862"/>
      <c r="AC184" s="862"/>
      <c r="AD184" s="862"/>
      <c r="AE184" s="862"/>
      <c r="AF184" s="862"/>
      <c r="AG184" s="862"/>
      <c r="AH184" s="862"/>
      <c r="AI184" s="862"/>
      <c r="AJ184" s="862"/>
      <c r="AK184" s="862"/>
      <c r="AL184" s="862"/>
      <c r="AM184" s="862"/>
      <c r="AN184" s="862"/>
      <c r="AO184" s="862"/>
      <c r="AP184" s="862"/>
      <c r="AQ184" s="862"/>
      <c r="AR184" s="862"/>
      <c r="CB184" s="862"/>
      <c r="CH184" s="862"/>
    </row>
    <row r="185" spans="1:86">
      <c r="A185" s="862"/>
      <c r="B185" s="862"/>
      <c r="C185" s="862"/>
      <c r="D185" s="862"/>
      <c r="E185" s="862"/>
      <c r="F185" s="862"/>
      <c r="G185" s="862"/>
      <c r="H185" s="862"/>
      <c r="I185" s="862"/>
      <c r="J185" s="862"/>
      <c r="K185" s="862"/>
      <c r="L185" s="862"/>
      <c r="M185" s="862"/>
      <c r="N185" s="862"/>
      <c r="O185" s="862"/>
      <c r="P185" s="906"/>
      <c r="Q185" s="906"/>
      <c r="R185" s="906"/>
      <c r="S185" s="906"/>
      <c r="T185" s="906"/>
      <c r="U185" s="1470"/>
      <c r="V185" s="862"/>
      <c r="W185" s="862"/>
      <c r="X185" s="862"/>
      <c r="Y185" s="862"/>
      <c r="Z185" s="862"/>
      <c r="AA185" s="862"/>
      <c r="AB185" s="862"/>
      <c r="AC185" s="862"/>
      <c r="AD185" s="862"/>
      <c r="AE185" s="862"/>
      <c r="AF185" s="862"/>
      <c r="AG185" s="862"/>
      <c r="AH185" s="862"/>
      <c r="AI185" s="862"/>
      <c r="AJ185" s="862"/>
      <c r="AK185" s="862"/>
      <c r="AL185" s="862"/>
      <c r="AM185" s="862"/>
      <c r="AN185" s="862"/>
      <c r="AO185" s="862"/>
      <c r="AP185" s="862"/>
      <c r="AQ185" s="862"/>
      <c r="AR185" s="862"/>
      <c r="CB185" s="862"/>
      <c r="CH185" s="862"/>
    </row>
    <row r="186" spans="1:86">
      <c r="A186" s="862"/>
      <c r="B186" s="862"/>
      <c r="C186" s="862"/>
      <c r="D186" s="862"/>
      <c r="E186" s="862"/>
      <c r="F186" s="862"/>
      <c r="G186" s="862"/>
      <c r="H186" s="862"/>
      <c r="I186" s="862"/>
      <c r="J186" s="862"/>
      <c r="K186" s="862"/>
      <c r="L186" s="862"/>
      <c r="M186" s="862"/>
      <c r="N186" s="862"/>
      <c r="O186" s="862"/>
      <c r="P186" s="906"/>
      <c r="Q186" s="906"/>
      <c r="R186" s="906"/>
      <c r="S186" s="906"/>
      <c r="T186" s="906"/>
      <c r="U186" s="1470"/>
      <c r="V186" s="862"/>
      <c r="W186" s="862"/>
      <c r="X186" s="862"/>
      <c r="Y186" s="862"/>
      <c r="Z186" s="862"/>
      <c r="AA186" s="862"/>
      <c r="AB186" s="862"/>
      <c r="AC186" s="862"/>
      <c r="AD186" s="862"/>
      <c r="AE186" s="862"/>
      <c r="AF186" s="862"/>
      <c r="AG186" s="862"/>
      <c r="AH186" s="862"/>
      <c r="AI186" s="862"/>
      <c r="AJ186" s="862"/>
      <c r="AK186" s="862"/>
      <c r="AL186" s="862"/>
      <c r="AM186" s="862"/>
      <c r="AN186" s="862"/>
      <c r="AO186" s="862"/>
      <c r="AP186" s="862"/>
      <c r="AQ186" s="862"/>
      <c r="AR186" s="862"/>
      <c r="CB186" s="862"/>
      <c r="CH186" s="862"/>
    </row>
    <row r="187" spans="1:86">
      <c r="A187" s="862"/>
      <c r="B187" s="862"/>
      <c r="C187" s="862"/>
      <c r="D187" s="862"/>
      <c r="E187" s="862"/>
      <c r="F187" s="862"/>
      <c r="G187" s="862"/>
      <c r="H187" s="862"/>
      <c r="I187" s="862"/>
      <c r="J187" s="862"/>
      <c r="K187" s="862"/>
      <c r="L187" s="862"/>
      <c r="M187" s="862"/>
      <c r="N187" s="862"/>
      <c r="O187" s="862"/>
      <c r="P187" s="906"/>
      <c r="Q187" s="906"/>
      <c r="R187" s="906"/>
      <c r="S187" s="906"/>
      <c r="T187" s="906"/>
      <c r="U187" s="1470"/>
      <c r="V187" s="862"/>
      <c r="W187" s="862"/>
      <c r="X187" s="862"/>
      <c r="Y187" s="862"/>
      <c r="Z187" s="862"/>
      <c r="AA187" s="862"/>
      <c r="AB187" s="862"/>
      <c r="AC187" s="862"/>
      <c r="AD187" s="862"/>
      <c r="AE187" s="862"/>
      <c r="AF187" s="862"/>
      <c r="AG187" s="862"/>
      <c r="AH187" s="862"/>
      <c r="AI187" s="862"/>
      <c r="AJ187" s="862"/>
      <c r="AK187" s="862"/>
      <c r="AL187" s="862"/>
      <c r="AM187" s="862"/>
      <c r="AN187" s="862"/>
      <c r="AO187" s="862"/>
      <c r="AP187" s="862"/>
      <c r="AQ187" s="862"/>
      <c r="AR187" s="862"/>
      <c r="CB187" s="862"/>
      <c r="CH187" s="862"/>
    </row>
    <row r="188" spans="1:86">
      <c r="A188" s="862"/>
      <c r="B188" s="862"/>
      <c r="C188" s="862"/>
      <c r="D188" s="862"/>
      <c r="E188" s="862"/>
      <c r="F188" s="862"/>
      <c r="G188" s="862"/>
      <c r="H188" s="862"/>
      <c r="I188" s="862"/>
      <c r="J188" s="862"/>
      <c r="K188" s="862"/>
      <c r="L188" s="862"/>
      <c r="M188" s="862"/>
      <c r="N188" s="862"/>
      <c r="O188" s="862"/>
      <c r="P188" s="906"/>
      <c r="Q188" s="906"/>
      <c r="R188" s="906"/>
      <c r="S188" s="906"/>
      <c r="T188" s="906"/>
      <c r="U188" s="1470"/>
      <c r="V188" s="862"/>
      <c r="W188" s="862"/>
      <c r="X188" s="862"/>
      <c r="Y188" s="862"/>
      <c r="Z188" s="862"/>
      <c r="AA188" s="862"/>
      <c r="AB188" s="862"/>
      <c r="AC188" s="862"/>
      <c r="AD188" s="862"/>
      <c r="AE188" s="862"/>
      <c r="AF188" s="862"/>
      <c r="AG188" s="862"/>
      <c r="AH188" s="862"/>
      <c r="AI188" s="862"/>
      <c r="AJ188" s="862"/>
      <c r="AK188" s="862"/>
      <c r="AL188" s="862"/>
      <c r="AM188" s="862"/>
      <c r="AN188" s="862"/>
      <c r="AO188" s="862"/>
      <c r="AP188" s="862"/>
      <c r="AQ188" s="862"/>
      <c r="AR188" s="862"/>
      <c r="CB188" s="862"/>
      <c r="CH188" s="862"/>
    </row>
  </sheetData>
  <phoneticPr fontId="3" type="noConversion"/>
  <pageMargins left="0.75" right="0.75" top="1" bottom="1" header="0.5" footer="0.5"/>
  <pageSetup scale="15" orientation="portrait" r:id="rId1"/>
  <headerFooter alignWithMargins="0"/>
  <colBreaks count="1" manualBreakCount="1">
    <brk id="87" max="175" man="1"/>
  </colBreaks>
  <ignoredErrors>
    <ignoredError sqref="BL90 BG90:BG91 N166:U166 M166 V166:W166 R49" formula="1"/>
    <ignoredError sqref="J98 K98:W98" formulaRange="1"/>
  </ignoredError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FM275"/>
  <sheetViews>
    <sheetView showGridLines="0" zoomScaleNormal="100" workbookViewId="0">
      <pane xSplit="1" ySplit="5" topLeftCell="AI6" activePane="bottomRight" state="frozen"/>
      <selection activeCell="S18" sqref="S18"/>
      <selection pane="topRight" activeCell="S18" sqref="S18"/>
      <selection pane="bottomLeft" activeCell="S18" sqref="S18"/>
      <selection pane="bottomRight" activeCell="EW48" sqref="EW48"/>
    </sheetView>
  </sheetViews>
  <sheetFormatPr defaultRowHeight="12.75" outlineLevelRow="1" outlineLevelCol="1"/>
  <cols>
    <col min="1" max="1" width="23" customWidth="1"/>
    <col min="2" max="9" width="8.28515625" hidden="1" customWidth="1" outlineLevel="1"/>
    <col min="10" max="10" width="8.7109375" hidden="1" customWidth="1" outlineLevel="1"/>
    <col min="11" max="11" width="9.42578125" hidden="1" customWidth="1" outlineLevel="1"/>
    <col min="12" max="12" width="8.28515625" hidden="1" customWidth="1" outlineLevel="1"/>
    <col min="13" max="13" width="9.42578125" hidden="1" customWidth="1" outlineLevel="1" collapsed="1"/>
    <col min="14" max="14" width="9.28515625" hidden="1" customWidth="1" outlineLevel="1" collapsed="1"/>
    <col min="15" max="15" width="8.28515625" hidden="1" customWidth="1" outlineLevel="1"/>
    <col min="16" max="16" width="9.28515625" hidden="1" customWidth="1" outlineLevel="1"/>
    <col min="17" max="17" width="7.5703125" hidden="1" customWidth="1" outlineLevel="1"/>
    <col min="18" max="18" width="9.28515625" hidden="1" customWidth="1" outlineLevel="1"/>
    <col min="19" max="19" width="8.28515625" hidden="1" customWidth="1" outlineLevel="1"/>
    <col min="20" max="24" width="9.140625" hidden="1" customWidth="1" outlineLevel="1"/>
    <col min="25" max="27" width="8.28515625" hidden="1" customWidth="1" outlineLevel="1"/>
    <col min="28" max="29" width="9.140625" hidden="1" customWidth="1" outlineLevel="1"/>
    <col min="30" max="31" width="9.28515625" hidden="1" customWidth="1" outlineLevel="1"/>
    <col min="32" max="32" width="9.28515625" hidden="1" customWidth="1" outlineLevel="1" collapsed="1"/>
    <col min="33" max="33" width="9.85546875" hidden="1" customWidth="1" outlineLevel="1"/>
    <col min="34" max="34" width="9.28515625" hidden="1" customWidth="1" outlineLevel="1" collapsed="1"/>
    <col min="35" max="35" width="9.28515625" customWidth="1" collapsed="1"/>
    <col min="36" max="49" width="9.28515625" customWidth="1"/>
    <col min="50" max="51" width="9.28515625" style="1101" customWidth="1"/>
    <col min="52" max="56" width="9.28515625" style="1101" hidden="1" customWidth="1" outlineLevel="1"/>
    <col min="57" max="57" width="7.7109375" style="1101" customWidth="1" collapsed="1"/>
    <col min="58" max="61" width="9.140625" hidden="1" customWidth="1" outlineLevel="1"/>
    <col min="62" max="62" width="1.7109375" hidden="1" customWidth="1" outlineLevel="1"/>
    <col min="63" max="66" width="9.140625" hidden="1" customWidth="1" outlineLevel="1"/>
    <col min="67" max="67" width="1.7109375" hidden="1" customWidth="1" outlineLevel="1"/>
    <col min="68" max="71" width="9.140625" hidden="1" customWidth="1" outlineLevel="1"/>
    <col min="72" max="72" width="4.5703125" hidden="1" customWidth="1" outlineLevel="1"/>
    <col min="73" max="76" width="9.140625" hidden="1" customWidth="1" outlineLevel="1"/>
    <col min="77" max="77" width="1.85546875" hidden="1" customWidth="1" outlineLevel="1"/>
    <col min="78" max="78" width="7.5703125" hidden="1" customWidth="1" outlineLevel="1"/>
    <col min="79" max="81" width="9.140625" hidden="1" customWidth="1" outlineLevel="1"/>
    <col min="82" max="82" width="1.85546875" hidden="1" customWidth="1" outlineLevel="1"/>
    <col min="83" max="86" width="9.140625" hidden="1" customWidth="1" outlineLevel="1"/>
    <col min="87" max="87" width="4.28515625" hidden="1" customWidth="1" outlineLevel="1"/>
    <col min="88" max="91" width="9.140625" hidden="1" customWidth="1" outlineLevel="1"/>
    <col min="92" max="92" width="5.42578125" hidden="1" customWidth="1" outlineLevel="1"/>
    <col min="93" max="96" width="9.140625" hidden="1" customWidth="1" outlineLevel="1"/>
    <col min="97" max="97" width="7.85546875" hidden="1" customWidth="1" outlineLevel="1"/>
    <col min="98" max="101" width="9.7109375" hidden="1" customWidth="1" outlineLevel="1"/>
    <col min="102" max="102" width="8" hidden="1" customWidth="1" outlineLevel="1"/>
    <col min="103" max="106" width="9.7109375" hidden="1" customWidth="1" outlineLevel="1"/>
    <col min="107" max="107" width="7.5703125" hidden="1" customWidth="1" outlineLevel="1"/>
    <col min="108" max="111" width="9.7109375" hidden="1" customWidth="1" outlineLevel="1"/>
    <col min="112" max="112" width="7.5703125" hidden="1" customWidth="1" outlineLevel="1"/>
    <col min="113" max="116" width="9.28515625" hidden="1" customWidth="1" outlineLevel="1"/>
    <col min="117" max="117" width="9.140625" hidden="1" customWidth="1" outlineLevel="1"/>
    <col min="118" max="121" width="8.7109375" hidden="1" customWidth="1" outlineLevel="1"/>
    <col min="122" max="127" width="9.140625" hidden="1" customWidth="1" outlineLevel="1"/>
    <col min="128" max="128" width="9.140625" hidden="1" customWidth="1" outlineLevel="1" collapsed="1"/>
    <col min="129" max="132" width="9.140625" hidden="1" customWidth="1" outlineLevel="1"/>
    <col min="133" max="133" width="9.140625" hidden="1" customWidth="1" outlineLevel="1" collapsed="1"/>
    <col min="134" max="137" width="9.140625" hidden="1" customWidth="1" outlineLevel="1"/>
    <col min="138" max="138" width="9.140625" hidden="1" customWidth="1" outlineLevel="1" collapsed="1"/>
    <col min="139" max="142" width="9.140625" hidden="1" customWidth="1" outlineLevel="1"/>
    <col min="143" max="146" width="8.7109375" hidden="1" customWidth="1" outlineLevel="1"/>
    <col min="147" max="147" width="4.7109375" hidden="1" customWidth="1" outlineLevel="1"/>
    <col min="148" max="151" width="8.7109375" hidden="1" customWidth="1" outlineLevel="1"/>
    <col min="152" max="152" width="4.7109375" hidden="1" customWidth="1" outlineLevel="1"/>
    <col min="153" max="153" width="8.7109375" customWidth="1" collapsed="1"/>
    <col min="154" max="156" width="8.7109375" customWidth="1"/>
    <col min="157" max="157" width="4.7109375" customWidth="1"/>
    <col min="158" max="161" width="8.7109375" customWidth="1"/>
    <col min="162" max="162" width="4.7109375" customWidth="1"/>
    <col min="163" max="166" width="8.7109375" customWidth="1"/>
    <col min="167" max="167" width="7.42578125" customWidth="1"/>
    <col min="168" max="168" width="9.140625" hidden="1" customWidth="1" outlineLevel="1"/>
    <col min="169" max="169" width="9.140625" customWidth="1" collapsed="1"/>
  </cols>
  <sheetData>
    <row r="1" spans="1:168" ht="12" customHeight="1">
      <c r="A1" s="338" t="s">
        <v>638</v>
      </c>
      <c r="B1" s="6"/>
      <c r="C1" s="6"/>
      <c r="D1" s="6"/>
      <c r="E1" s="6"/>
      <c r="F1" s="11"/>
      <c r="G1" s="11"/>
      <c r="H1" s="11"/>
      <c r="I1" s="11"/>
      <c r="J1" s="11"/>
      <c r="K1" s="11"/>
      <c r="L1" s="11"/>
      <c r="M1" s="11"/>
      <c r="N1" s="11"/>
      <c r="O1" s="11"/>
      <c r="P1" s="11"/>
      <c r="Q1" s="11"/>
      <c r="R1" s="11"/>
      <c r="S1" s="11"/>
      <c r="T1" s="11"/>
      <c r="U1" s="11"/>
      <c r="V1" s="11"/>
      <c r="W1" s="11"/>
      <c r="X1" s="6"/>
      <c r="Y1" s="11"/>
      <c r="Z1" s="11"/>
      <c r="AA1" s="11"/>
      <c r="AB1" s="11"/>
      <c r="AC1" s="6"/>
      <c r="AD1" s="6"/>
      <c r="AE1" s="6"/>
      <c r="AF1" s="6"/>
      <c r="AG1" s="6"/>
      <c r="AH1" s="6"/>
      <c r="AI1" s="6"/>
      <c r="AJ1" s="6"/>
      <c r="AK1" s="6"/>
      <c r="AL1" s="6"/>
      <c r="AM1" s="6"/>
      <c r="AN1" s="6"/>
      <c r="AO1" s="11"/>
      <c r="AP1" s="11"/>
      <c r="AQ1" s="11"/>
      <c r="AR1" s="11"/>
      <c r="AS1" s="11"/>
      <c r="AT1" s="11"/>
      <c r="AU1" s="11"/>
      <c r="AV1" s="11"/>
      <c r="AW1" s="11"/>
      <c r="AX1" s="69"/>
      <c r="AY1" s="69"/>
      <c r="AZ1" s="69"/>
      <c r="BA1" s="69"/>
      <c r="BB1" s="69"/>
      <c r="BC1" s="69"/>
      <c r="BD1" s="69"/>
      <c r="BE1" s="84"/>
      <c r="BF1" s="6"/>
      <c r="BG1" s="6"/>
      <c r="BH1" s="6"/>
      <c r="BI1" s="6"/>
      <c r="BJ1" s="6"/>
      <c r="BK1" s="6"/>
      <c r="BL1" s="6"/>
      <c r="BM1" s="6"/>
      <c r="BN1" s="6"/>
      <c r="BO1" s="6"/>
      <c r="BP1" s="6"/>
      <c r="BQ1" s="6"/>
      <c r="BR1" s="6"/>
      <c r="BS1" s="6"/>
      <c r="BT1" s="6"/>
      <c r="BU1" s="6"/>
      <c r="BV1" s="6"/>
      <c r="BW1" s="6"/>
      <c r="BX1" s="6"/>
      <c r="BY1" s="4"/>
      <c r="BZ1" s="6"/>
      <c r="CA1" s="6"/>
      <c r="CB1" s="6"/>
      <c r="CC1" s="6"/>
      <c r="CD1" s="339"/>
      <c r="CE1" s="6"/>
      <c r="CF1" s="6"/>
      <c r="CG1" s="6"/>
      <c r="CH1" s="6"/>
      <c r="CI1" s="254"/>
      <c r="CJ1" s="6"/>
      <c r="CK1" s="6"/>
      <c r="CL1" s="6"/>
      <c r="CM1" s="6"/>
      <c r="CN1" s="48"/>
      <c r="CO1" s="6"/>
      <c r="CP1" s="6"/>
      <c r="CQ1" s="6"/>
      <c r="CR1" s="6"/>
      <c r="CS1" s="48"/>
      <c r="CT1" s="6"/>
      <c r="CU1" s="6"/>
      <c r="CV1" s="6"/>
      <c r="CW1" s="6"/>
      <c r="CX1" s="48"/>
      <c r="CY1" s="91"/>
      <c r="CZ1" s="91"/>
      <c r="DA1" s="91"/>
      <c r="DB1" s="91"/>
      <c r="DC1" s="245"/>
      <c r="DD1" s="1018"/>
      <c r="DE1" s="91"/>
      <c r="DF1" s="91"/>
      <c r="DG1" s="91"/>
      <c r="DH1" s="91"/>
      <c r="DI1" s="91"/>
      <c r="DJ1" s="91"/>
      <c r="DK1" s="91"/>
      <c r="DL1" s="91"/>
      <c r="DM1" s="91"/>
      <c r="DN1" s="6"/>
      <c r="DO1" s="6"/>
      <c r="DP1" s="6"/>
      <c r="DQ1" s="6"/>
      <c r="DR1" s="6"/>
      <c r="DX1" s="862"/>
      <c r="DY1" s="862"/>
      <c r="DZ1" s="862"/>
      <c r="EA1" s="862"/>
      <c r="EB1" s="862"/>
      <c r="EH1" s="1048"/>
      <c r="EI1" s="1048"/>
      <c r="EJ1" s="1048"/>
      <c r="EK1" s="1048"/>
      <c r="EM1" s="1048"/>
      <c r="FL1" s="1048"/>
    </row>
    <row r="2" spans="1:168" ht="14.25" customHeight="1">
      <c r="A2" s="340"/>
      <c r="B2" s="20"/>
      <c r="C2" s="20"/>
      <c r="D2" s="20"/>
      <c r="E2" s="20"/>
      <c r="F2" s="19"/>
      <c r="G2" s="19"/>
      <c r="H2" s="19"/>
      <c r="I2" s="19"/>
      <c r="J2" s="19"/>
      <c r="K2" s="19"/>
      <c r="L2" s="19"/>
      <c r="M2" s="19"/>
      <c r="N2" s="19"/>
      <c r="O2" s="19"/>
      <c r="P2" s="19"/>
      <c r="Q2" s="19"/>
      <c r="R2" s="19"/>
      <c r="S2" s="19"/>
      <c r="T2" s="19"/>
      <c r="U2" s="19"/>
      <c r="V2" s="19"/>
      <c r="W2" s="19"/>
      <c r="X2" s="20"/>
      <c r="Y2" s="19"/>
      <c r="Z2" s="19"/>
      <c r="AA2" s="19"/>
      <c r="AB2" s="19"/>
      <c r="AC2" s="20"/>
      <c r="AD2" s="20"/>
      <c r="AE2" s="20"/>
      <c r="AF2" s="20"/>
      <c r="AG2" s="20"/>
      <c r="AH2" s="20"/>
      <c r="AI2" s="20"/>
      <c r="AJ2" s="1466"/>
      <c r="AK2" s="20"/>
      <c r="AL2" s="20"/>
      <c r="AM2" s="20"/>
      <c r="AN2" s="20"/>
      <c r="AO2" s="20"/>
      <c r="AP2" s="20"/>
      <c r="AQ2" s="19"/>
      <c r="AR2" s="19"/>
      <c r="AS2" s="19"/>
      <c r="AT2" s="19"/>
      <c r="AU2" s="19"/>
      <c r="AV2" s="19"/>
      <c r="AW2" s="19"/>
      <c r="AX2" s="19"/>
      <c r="AY2" s="19"/>
      <c r="AZ2" s="69"/>
      <c r="BA2" s="69"/>
      <c r="BB2" s="69"/>
      <c r="BC2" s="69"/>
      <c r="BD2" s="69"/>
      <c r="BE2" s="84"/>
      <c r="BF2" s="84"/>
      <c r="BG2" s="84"/>
      <c r="BH2" s="84"/>
      <c r="BI2" s="84"/>
      <c r="BJ2" s="84"/>
      <c r="BK2" s="84"/>
      <c r="BL2" s="84"/>
      <c r="BM2" s="84"/>
      <c r="BN2" s="84"/>
      <c r="BO2" s="84"/>
      <c r="BP2" s="84"/>
      <c r="BQ2" s="84"/>
      <c r="BR2" s="84"/>
      <c r="BS2" s="84"/>
      <c r="BT2" s="84"/>
      <c r="BU2" s="84"/>
      <c r="BV2" s="84"/>
      <c r="BW2" s="84"/>
      <c r="BX2" s="84"/>
      <c r="BY2" s="79"/>
      <c r="BZ2" s="84"/>
      <c r="CA2" s="84"/>
      <c r="CB2" s="84"/>
      <c r="CC2" s="84"/>
      <c r="CD2" s="440"/>
      <c r="CE2" s="84"/>
      <c r="CF2" s="84"/>
      <c r="CG2" s="84"/>
      <c r="CH2" s="84"/>
      <c r="CI2" s="565"/>
      <c r="CJ2" s="84"/>
      <c r="CK2" s="84"/>
      <c r="CL2" s="84"/>
      <c r="CM2" s="84"/>
      <c r="CN2" s="87"/>
      <c r="CO2" s="84"/>
      <c r="CP2" s="84"/>
      <c r="CQ2" s="84"/>
      <c r="CR2" s="84"/>
      <c r="CS2" s="87"/>
      <c r="CT2" s="84"/>
      <c r="CU2" s="84"/>
      <c r="CV2" s="84"/>
      <c r="CW2" s="84"/>
      <c r="CX2" s="87"/>
      <c r="CY2" s="1224"/>
      <c r="CZ2" s="1224"/>
      <c r="DA2" s="1224"/>
      <c r="DB2" s="1224"/>
      <c r="DC2" s="84"/>
      <c r="DD2" s="1224"/>
      <c r="DE2" s="1224"/>
      <c r="DF2" s="1224"/>
      <c r="DG2" s="1224"/>
      <c r="DH2" s="1224"/>
      <c r="DI2" s="1224"/>
      <c r="DJ2" s="1224"/>
      <c r="DK2" s="1224"/>
      <c r="DL2" s="1224"/>
      <c r="DM2" s="1224"/>
      <c r="DN2" s="84"/>
      <c r="DO2" s="84"/>
      <c r="DP2" s="84"/>
      <c r="DQ2" s="84"/>
      <c r="DR2" s="84"/>
      <c r="DS2" s="84"/>
      <c r="DT2" s="84"/>
      <c r="DU2" s="84"/>
      <c r="DV2" s="84"/>
      <c r="DW2" s="84"/>
      <c r="DX2" s="84"/>
      <c r="DY2" s="84"/>
      <c r="DZ2" s="84"/>
      <c r="EA2" s="84"/>
      <c r="EB2" s="862"/>
      <c r="EH2" s="1048"/>
      <c r="EI2" s="1048"/>
      <c r="EJ2" s="1048"/>
      <c r="EK2" s="1048"/>
      <c r="EM2" s="1048"/>
      <c r="FL2" s="1048"/>
    </row>
    <row r="3" spans="1:168" ht="12.75" customHeight="1">
      <c r="A3" s="107"/>
      <c r="B3" s="6"/>
      <c r="C3" s="6"/>
      <c r="D3" s="6"/>
      <c r="E3" s="6"/>
      <c r="F3" s="11"/>
      <c r="G3" s="11"/>
      <c r="H3" s="11"/>
      <c r="I3" s="11"/>
      <c r="J3" s="11"/>
      <c r="K3" s="39"/>
      <c r="L3" s="11"/>
      <c r="M3" s="341" t="s">
        <v>632</v>
      </c>
      <c r="N3" s="341" t="s">
        <v>633</v>
      </c>
      <c r="O3" s="11"/>
      <c r="P3" s="39"/>
      <c r="Q3" s="39"/>
      <c r="R3" s="39"/>
      <c r="S3" s="11"/>
      <c r="T3" s="39"/>
      <c r="U3" s="39"/>
      <c r="V3" s="39"/>
      <c r="W3" s="39"/>
      <c r="X3" s="38"/>
      <c r="Y3" s="11"/>
      <c r="Z3" s="11"/>
      <c r="AA3" s="11"/>
      <c r="AB3" s="11"/>
      <c r="AC3" s="6"/>
      <c r="AD3" s="6"/>
      <c r="AE3" s="6"/>
      <c r="AF3" s="6"/>
      <c r="AG3" s="6"/>
      <c r="AH3" s="6"/>
      <c r="AI3" s="6"/>
      <c r="AJ3" s="6"/>
      <c r="AK3" s="6"/>
      <c r="AL3" s="6"/>
      <c r="AM3" s="6"/>
      <c r="AN3" s="6"/>
      <c r="AO3" s="11"/>
      <c r="AP3" s="11"/>
      <c r="AQ3" s="11"/>
      <c r="AR3" s="11"/>
      <c r="AS3" s="11"/>
      <c r="AT3" s="11"/>
      <c r="AU3" s="11"/>
      <c r="AV3" s="11"/>
      <c r="AW3" s="11"/>
      <c r="AX3" s="69"/>
      <c r="AY3" s="69"/>
      <c r="AZ3" s="69"/>
      <c r="BA3" s="69"/>
      <c r="BB3" s="69"/>
      <c r="BC3" s="69"/>
      <c r="BD3" s="69"/>
      <c r="BE3" s="84"/>
      <c r="BF3" s="342"/>
      <c r="BG3" s="342"/>
      <c r="BH3" s="342"/>
      <c r="BI3" s="342"/>
      <c r="BJ3" s="6"/>
      <c r="BK3" s="6"/>
      <c r="BL3" s="6"/>
      <c r="BM3" s="6"/>
      <c r="BN3" s="6"/>
      <c r="BO3" s="6"/>
      <c r="BP3" s="6"/>
      <c r="BQ3" s="6"/>
      <c r="BR3" s="6"/>
      <c r="BS3" s="6"/>
      <c r="BT3" s="6"/>
      <c r="BU3" s="6"/>
      <c r="BV3" s="6"/>
      <c r="BW3" s="6"/>
      <c r="BX3" s="6"/>
      <c r="BY3" s="4"/>
      <c r="BZ3" s="6"/>
      <c r="CA3" s="6"/>
      <c r="CB3" s="6"/>
      <c r="CC3" s="6"/>
      <c r="CD3" s="339"/>
      <c r="CE3" s="6"/>
      <c r="CF3" s="6"/>
      <c r="CG3" s="6"/>
      <c r="CH3" s="6"/>
      <c r="CI3" s="254"/>
      <c r="CJ3" s="6"/>
      <c r="CK3" s="6"/>
      <c r="CL3" s="6"/>
      <c r="CM3" s="6"/>
      <c r="CN3" s="48"/>
      <c r="CO3" s="6"/>
      <c r="CP3" s="6"/>
      <c r="CQ3" s="6"/>
      <c r="CR3" s="6"/>
      <c r="CS3" s="48"/>
      <c r="CT3" s="6"/>
      <c r="CU3" s="6"/>
      <c r="CV3" s="6"/>
      <c r="CW3" s="6"/>
      <c r="CX3" s="48"/>
      <c r="CY3" s="91"/>
      <c r="CZ3" s="91"/>
      <c r="DA3" s="304"/>
      <c r="DB3" s="91"/>
      <c r="DC3" s="6"/>
      <c r="DD3" s="91"/>
      <c r="DE3" s="91"/>
      <c r="DF3" s="91"/>
      <c r="DG3" s="91"/>
      <c r="DH3" s="91"/>
      <c r="DI3" s="91"/>
      <c r="DJ3" s="91"/>
      <c r="DK3" s="91"/>
      <c r="DL3" s="91"/>
      <c r="DM3" s="91"/>
      <c r="DN3" s="6"/>
      <c r="DO3" s="6"/>
      <c r="DP3" s="6"/>
      <c r="DQ3" s="6"/>
      <c r="DR3" s="6"/>
      <c r="DS3" s="6"/>
      <c r="DT3" s="6"/>
      <c r="DU3" s="6"/>
      <c r="DV3" s="6"/>
      <c r="DX3" s="862"/>
      <c r="DY3" s="862"/>
      <c r="DZ3" s="862"/>
      <c r="EA3" s="862"/>
      <c r="EB3" s="862"/>
      <c r="EH3" s="1048"/>
      <c r="EI3" s="1048"/>
      <c r="EJ3" s="1048"/>
      <c r="EK3" s="1048"/>
      <c r="EM3" s="1048"/>
      <c r="FL3" s="1048"/>
    </row>
    <row r="4" spans="1:168" ht="12.75" customHeight="1">
      <c r="A4" s="91"/>
      <c r="B4" s="103" t="s">
        <v>629</v>
      </c>
      <c r="C4" s="103" t="s">
        <v>634</v>
      </c>
      <c r="D4" s="103" t="s">
        <v>635</v>
      </c>
      <c r="E4" s="103" t="s">
        <v>636</v>
      </c>
      <c r="F4" s="103" t="s">
        <v>636</v>
      </c>
      <c r="G4" s="11" t="s">
        <v>632</v>
      </c>
      <c r="H4" s="103" t="s">
        <v>637</v>
      </c>
      <c r="I4" s="103" t="s">
        <v>638</v>
      </c>
      <c r="J4" s="103" t="s">
        <v>635</v>
      </c>
      <c r="K4" s="103" t="s">
        <v>636</v>
      </c>
      <c r="L4" s="103" t="s">
        <v>636</v>
      </c>
      <c r="M4" s="341" t="s">
        <v>636</v>
      </c>
      <c r="N4" s="341" t="s">
        <v>636</v>
      </c>
      <c r="O4" s="103" t="s">
        <v>636</v>
      </c>
      <c r="P4" s="103" t="s">
        <v>639</v>
      </c>
      <c r="Q4" s="103"/>
      <c r="R4" s="103" t="s">
        <v>636</v>
      </c>
      <c r="S4" s="103" t="s">
        <v>636</v>
      </c>
      <c r="T4" s="11"/>
      <c r="U4" s="11"/>
      <c r="V4" s="11"/>
      <c r="W4" s="11"/>
      <c r="X4" s="11"/>
      <c r="Y4" s="103" t="s">
        <v>636</v>
      </c>
      <c r="Z4" s="103" t="s">
        <v>636</v>
      </c>
      <c r="AA4" s="103" t="s">
        <v>636</v>
      </c>
      <c r="AB4" s="11"/>
      <c r="AC4" s="11"/>
      <c r="AD4" s="11"/>
      <c r="AE4" s="11"/>
      <c r="AF4" s="11"/>
      <c r="AG4" s="11"/>
      <c r="AH4" s="11"/>
      <c r="AI4" s="11"/>
      <c r="AJ4" s="11"/>
      <c r="AK4" s="11"/>
      <c r="AL4" s="11"/>
      <c r="AM4" s="11"/>
      <c r="AN4" s="11"/>
      <c r="AO4" s="11"/>
      <c r="AP4" s="11"/>
      <c r="AQ4" s="11"/>
      <c r="AR4" s="11"/>
      <c r="AS4" s="11"/>
      <c r="AT4" s="11"/>
      <c r="AU4" s="11"/>
      <c r="AV4" s="11"/>
      <c r="AW4" s="11"/>
      <c r="AX4" s="69"/>
      <c r="AY4" s="69"/>
      <c r="AZ4" s="69"/>
      <c r="BA4" s="69"/>
      <c r="BB4" s="69"/>
      <c r="BC4" s="69"/>
      <c r="BD4" s="69"/>
      <c r="BE4" s="69"/>
      <c r="BF4" s="92" t="s">
        <v>640</v>
      </c>
      <c r="BG4" s="92"/>
      <c r="BH4" s="92"/>
      <c r="BI4" s="92"/>
      <c r="BJ4" s="11"/>
      <c r="BK4" s="93" t="s">
        <v>641</v>
      </c>
      <c r="BL4" s="93"/>
      <c r="BM4" s="93"/>
      <c r="BN4" s="93"/>
      <c r="BO4" s="343"/>
      <c r="BP4" s="92" t="s">
        <v>1050</v>
      </c>
      <c r="BQ4" s="92"/>
      <c r="BR4" s="92"/>
      <c r="BS4" s="92"/>
      <c r="BT4" s="11"/>
      <c r="BU4" s="92">
        <v>2001</v>
      </c>
      <c r="BV4" s="92"/>
      <c r="BW4" s="92"/>
      <c r="BX4" s="92"/>
      <c r="BY4" s="95"/>
      <c r="BZ4" s="92">
        <v>2002</v>
      </c>
      <c r="CA4" s="92"/>
      <c r="CB4" s="92"/>
      <c r="CC4" s="92"/>
      <c r="CD4" s="339"/>
      <c r="CE4" s="92">
        <v>2003</v>
      </c>
      <c r="CF4" s="92"/>
      <c r="CG4" s="92"/>
      <c r="CH4" s="92"/>
      <c r="CI4" s="254"/>
      <c r="CJ4" s="92" t="s">
        <v>1286</v>
      </c>
      <c r="CK4" s="92"/>
      <c r="CL4" s="92"/>
      <c r="CM4" s="92"/>
      <c r="CN4" s="48"/>
      <c r="CO4" s="92" t="s">
        <v>642</v>
      </c>
      <c r="CP4" s="92"/>
      <c r="CQ4" s="92"/>
      <c r="CR4" s="92"/>
      <c r="CS4" s="49"/>
      <c r="CT4" s="92">
        <v>2005</v>
      </c>
      <c r="CU4" s="92"/>
      <c r="CV4" s="92"/>
      <c r="CW4" s="92"/>
      <c r="CX4" s="48"/>
      <c r="CY4" s="92">
        <v>2006</v>
      </c>
      <c r="CZ4" s="92"/>
      <c r="DA4" s="92"/>
      <c r="DB4" s="92"/>
      <c r="DC4" s="6"/>
      <c r="DD4" s="92">
        <v>2007</v>
      </c>
      <c r="DE4" s="92"/>
      <c r="DF4" s="92"/>
      <c r="DG4" s="92"/>
      <c r="DH4" s="91"/>
      <c r="DI4" s="92">
        <v>2008</v>
      </c>
      <c r="DJ4" s="92"/>
      <c r="DK4" s="92"/>
      <c r="DL4" s="92"/>
      <c r="DM4" s="91"/>
      <c r="DN4" s="92">
        <f>'GAAP Financial Statements'!BU3</f>
        <v>2009</v>
      </c>
      <c r="DO4" s="92"/>
      <c r="DP4" s="92"/>
      <c r="DQ4" s="92"/>
      <c r="DR4" s="6"/>
      <c r="DS4" s="92">
        <f>'GAAP Financial Statements'!BZ3</f>
        <v>2010</v>
      </c>
      <c r="DT4" s="92"/>
      <c r="DU4" s="92"/>
      <c r="DV4" s="92"/>
      <c r="DX4" s="1144">
        <f>'GAAP Financial Statements'!CE3</f>
        <v>2011</v>
      </c>
      <c r="DY4" s="1144"/>
      <c r="DZ4" s="1144"/>
      <c r="EA4" s="1144"/>
      <c r="EB4" s="862"/>
      <c r="EC4" s="1144">
        <f>'GAAP Financial Statements'!CJ3</f>
        <v>2012</v>
      </c>
      <c r="ED4" s="1144"/>
      <c r="EE4" s="1144"/>
      <c r="EF4" s="1144"/>
      <c r="EH4" s="1144" t="str">
        <f>'GAAP Financial Statements'!CO3</f>
        <v>2013A</v>
      </c>
      <c r="EI4" s="1144"/>
      <c r="EJ4" s="1144"/>
      <c r="EK4" s="1144"/>
      <c r="EM4" s="1144" t="str">
        <f>'GAAP Financial Statements'!CT3</f>
        <v>2014A</v>
      </c>
      <c r="EN4" s="1144"/>
      <c r="EO4" s="1144"/>
      <c r="EP4" s="1144"/>
      <c r="ER4" s="1144" t="str">
        <f>'GAAP Financial Statements'!CY3</f>
        <v>2015A</v>
      </c>
      <c r="ES4" s="1144"/>
      <c r="ET4" s="1144"/>
      <c r="EU4" s="1144"/>
      <c r="EW4" s="1144">
        <f>'GAAP Financial Statements'!DD3</f>
        <v>2016</v>
      </c>
      <c r="EX4" s="1144"/>
      <c r="EY4" s="1144"/>
      <c r="EZ4" s="1144"/>
      <c r="FB4" s="3593" t="str">
        <f>'GAAP Financial Statements'!DI3</f>
        <v>2017E</v>
      </c>
      <c r="FC4" s="3593"/>
      <c r="FD4" s="3593"/>
      <c r="FE4" s="3593"/>
      <c r="FF4" s="1502"/>
      <c r="FG4" s="3593" t="str">
        <f>'GAAP Financial Statements'!DN3</f>
        <v>2018E</v>
      </c>
      <c r="FH4" s="3593"/>
      <c r="FI4" s="3593"/>
      <c r="FJ4" s="3593"/>
      <c r="FL4" s="1144"/>
    </row>
    <row r="5" spans="1:168" s="875" customFormat="1" ht="12.75" customHeight="1">
      <c r="A5" s="2362" t="s">
        <v>643</v>
      </c>
      <c r="B5" s="138" t="s">
        <v>644</v>
      </c>
      <c r="C5" s="138" t="s">
        <v>644</v>
      </c>
      <c r="D5" s="137">
        <v>1998</v>
      </c>
      <c r="E5" s="137">
        <v>1998</v>
      </c>
      <c r="F5" s="137">
        <v>1998</v>
      </c>
      <c r="G5" s="138">
        <v>1999</v>
      </c>
      <c r="H5" s="138" t="s">
        <v>645</v>
      </c>
      <c r="I5" s="138" t="s">
        <v>645</v>
      </c>
      <c r="J5" s="138">
        <v>1999</v>
      </c>
      <c r="K5" s="138">
        <v>1999</v>
      </c>
      <c r="L5" s="137">
        <v>1999</v>
      </c>
      <c r="M5" s="3326">
        <f>+N5</f>
        <v>2000</v>
      </c>
      <c r="N5" s="138">
        <v>2000</v>
      </c>
      <c r="O5" s="137">
        <v>2000</v>
      </c>
      <c r="P5" s="138">
        <f>+R5</f>
        <v>2001</v>
      </c>
      <c r="Q5" s="138" t="s">
        <v>646</v>
      </c>
      <c r="R5" s="138">
        <v>2001</v>
      </c>
      <c r="S5" s="137">
        <v>2001</v>
      </c>
      <c r="T5" s="138">
        <v>2002</v>
      </c>
      <c r="U5" s="138">
        <v>2003</v>
      </c>
      <c r="V5" s="138" t="s">
        <v>647</v>
      </c>
      <c r="W5" s="138" t="s">
        <v>650</v>
      </c>
      <c r="X5" s="138">
        <v>2004</v>
      </c>
      <c r="Y5" s="137">
        <v>2002</v>
      </c>
      <c r="Z5" s="137">
        <v>2003</v>
      </c>
      <c r="AA5" s="137">
        <v>2004</v>
      </c>
      <c r="AB5" s="138">
        <v>2005</v>
      </c>
      <c r="AC5" s="138">
        <v>2006</v>
      </c>
      <c r="AD5" s="138">
        <v>2007</v>
      </c>
      <c r="AE5" s="138">
        <v>2008</v>
      </c>
      <c r="AF5" s="138">
        <v>2009</v>
      </c>
      <c r="AG5" s="138">
        <v>2010</v>
      </c>
      <c r="AH5" s="138">
        <v>2011</v>
      </c>
      <c r="AI5" s="138">
        <v>2012</v>
      </c>
      <c r="AJ5" s="138">
        <v>2013</v>
      </c>
      <c r="AK5" s="138">
        <v>2014</v>
      </c>
      <c r="AL5" s="138">
        <v>2015</v>
      </c>
      <c r="AM5" s="138">
        <v>2016</v>
      </c>
      <c r="AN5" s="138" t="s">
        <v>469</v>
      </c>
      <c r="AO5" s="138" t="s">
        <v>618</v>
      </c>
      <c r="AP5" s="138" t="s">
        <v>385</v>
      </c>
      <c r="AQ5" s="138" t="s">
        <v>1080</v>
      </c>
      <c r="AR5" s="138" t="s">
        <v>345</v>
      </c>
      <c r="AS5" s="138" t="s">
        <v>346</v>
      </c>
      <c r="AT5" s="138" t="s">
        <v>1122</v>
      </c>
      <c r="AU5" s="138" t="s">
        <v>1123</v>
      </c>
      <c r="AV5" s="138" t="s">
        <v>1519</v>
      </c>
      <c r="AW5" s="138" t="s">
        <v>1609</v>
      </c>
      <c r="AX5" s="138" t="s">
        <v>1698</v>
      </c>
      <c r="AY5" s="138" t="s">
        <v>1803</v>
      </c>
      <c r="AZ5" s="164"/>
      <c r="BA5" s="164"/>
      <c r="BB5" s="164"/>
      <c r="BC5" s="164"/>
      <c r="BD5" s="164"/>
      <c r="BE5" s="143"/>
      <c r="BF5" s="3327" t="s">
        <v>670</v>
      </c>
      <c r="BG5" s="3327" t="s">
        <v>671</v>
      </c>
      <c r="BH5" s="3327" t="s">
        <v>672</v>
      </c>
      <c r="BI5" s="3327" t="s">
        <v>673</v>
      </c>
      <c r="BJ5" s="3328"/>
      <c r="BK5" s="3329" t="s">
        <v>670</v>
      </c>
      <c r="BL5" s="3329" t="s">
        <v>671</v>
      </c>
      <c r="BM5" s="3329" t="s">
        <v>672</v>
      </c>
      <c r="BN5" s="3329" t="s">
        <v>673</v>
      </c>
      <c r="BO5" s="3329"/>
      <c r="BP5" s="3330" t="str">
        <f>+BK5</f>
        <v>1Q</v>
      </c>
      <c r="BQ5" s="3330" t="str">
        <f>+BL5</f>
        <v>2Q</v>
      </c>
      <c r="BR5" s="3330" t="str">
        <f>+BM5</f>
        <v>3Q</v>
      </c>
      <c r="BS5" s="3330" t="str">
        <f>+BN5</f>
        <v>4Q</v>
      </c>
      <c r="BT5" s="137"/>
      <c r="BU5" s="3330" t="s">
        <v>670</v>
      </c>
      <c r="BV5" s="3330" t="s">
        <v>671</v>
      </c>
      <c r="BW5" s="3330" t="s">
        <v>672</v>
      </c>
      <c r="BX5" s="3330" t="s">
        <v>673</v>
      </c>
      <c r="BY5" s="3331"/>
      <c r="BZ5" s="3330" t="s">
        <v>670</v>
      </c>
      <c r="CA5" s="3330" t="s">
        <v>671</v>
      </c>
      <c r="CB5" s="3330" t="s">
        <v>672</v>
      </c>
      <c r="CC5" s="3330" t="s">
        <v>673</v>
      </c>
      <c r="CD5" s="3332"/>
      <c r="CE5" s="3330" t="s">
        <v>670</v>
      </c>
      <c r="CF5" s="3330" t="s">
        <v>671</v>
      </c>
      <c r="CG5" s="3330" t="s">
        <v>672</v>
      </c>
      <c r="CH5" s="3330" t="s">
        <v>673</v>
      </c>
      <c r="CI5" s="3333"/>
      <c r="CJ5" s="138" t="s">
        <v>670</v>
      </c>
      <c r="CK5" s="138" t="s">
        <v>671</v>
      </c>
      <c r="CL5" s="138" t="s">
        <v>672</v>
      </c>
      <c r="CM5" s="138" t="s">
        <v>673</v>
      </c>
      <c r="CN5" s="3334"/>
      <c r="CO5" s="138" t="s">
        <v>670</v>
      </c>
      <c r="CP5" s="138" t="s">
        <v>671</v>
      </c>
      <c r="CQ5" s="138" t="s">
        <v>672</v>
      </c>
      <c r="CR5" s="138" t="s">
        <v>673</v>
      </c>
      <c r="CS5" s="3335"/>
      <c r="CT5" s="138" t="s">
        <v>670</v>
      </c>
      <c r="CU5" s="138" t="s">
        <v>671</v>
      </c>
      <c r="CV5" s="138" t="s">
        <v>672</v>
      </c>
      <c r="CW5" s="138" t="s">
        <v>673</v>
      </c>
      <c r="CX5" s="3312"/>
      <c r="CY5" s="138" t="s">
        <v>670</v>
      </c>
      <c r="CZ5" s="138" t="s">
        <v>671</v>
      </c>
      <c r="DA5" s="138" t="s">
        <v>672</v>
      </c>
      <c r="DB5" s="138" t="s">
        <v>673</v>
      </c>
      <c r="DC5" s="259"/>
      <c r="DD5" s="138" t="str">
        <f>+'Revenue and OCF'!CT5</f>
        <v>1Q</v>
      </c>
      <c r="DE5" s="138" t="str">
        <f>+'Revenue and OCF'!CU5</f>
        <v>2Q</v>
      </c>
      <c r="DF5" s="138" t="str">
        <f>+'Revenue and OCF'!CV5</f>
        <v>3Q</v>
      </c>
      <c r="DG5" s="138" t="str">
        <f>+'Revenue and OCF'!CW5</f>
        <v>4Q</v>
      </c>
      <c r="DH5" s="3336"/>
      <c r="DI5" s="138" t="str">
        <f>+'Revenue and OCF'!CY5</f>
        <v>1Q</v>
      </c>
      <c r="DJ5" s="138" t="str">
        <f>+'Revenue and OCF'!CZ5</f>
        <v>2Q</v>
      </c>
      <c r="DK5" s="138" t="str">
        <f>+'Revenue and OCF'!DA5</f>
        <v>3Q</v>
      </c>
      <c r="DL5" s="138" t="str">
        <f>+'Revenue and OCF'!DB5</f>
        <v>4Q</v>
      </c>
      <c r="DM5" s="3336"/>
      <c r="DN5" s="138" t="str">
        <f>'GAAP Financial Statements'!BU4</f>
        <v>1Q</v>
      </c>
      <c r="DO5" s="138" t="str">
        <f>'GAAP Financial Statements'!BV4</f>
        <v>2Q</v>
      </c>
      <c r="DP5" s="138" t="str">
        <f>'GAAP Financial Statements'!BW4</f>
        <v>3Q</v>
      </c>
      <c r="DQ5" s="138" t="str">
        <f>'GAAP Financial Statements'!BX4</f>
        <v>4Q</v>
      </c>
      <c r="DR5" s="316"/>
      <c r="DS5" s="138" t="str">
        <f>'GAAP Financial Statements'!BZ4</f>
        <v>1Q</v>
      </c>
      <c r="DT5" s="138" t="str">
        <f>'GAAP Financial Statements'!CA4</f>
        <v>2Q</v>
      </c>
      <c r="DU5" s="138" t="str">
        <f>'GAAP Financial Statements'!CB4</f>
        <v>3Q</v>
      </c>
      <c r="DV5" s="138" t="str">
        <f>'GAAP Financial Statements'!CC4</f>
        <v>4Q</v>
      </c>
      <c r="DX5" s="138" t="str">
        <f>'GAAP Financial Statements'!CE4</f>
        <v>1Q</v>
      </c>
      <c r="DY5" s="138" t="str">
        <f>'GAAP Financial Statements'!CF4</f>
        <v>2Q</v>
      </c>
      <c r="DZ5" s="138" t="str">
        <f>'GAAP Financial Statements'!CG4</f>
        <v>3Q</v>
      </c>
      <c r="EA5" s="138" t="str">
        <f>'GAAP Financial Statements'!CH4</f>
        <v>4Q</v>
      </c>
      <c r="EB5" s="36"/>
      <c r="EC5" s="138" t="str">
        <f>'GAAP Financial Statements'!CJ4</f>
        <v>1Q</v>
      </c>
      <c r="ED5" s="138" t="str">
        <f>'GAAP Financial Statements'!CK4</f>
        <v>2Q</v>
      </c>
      <c r="EE5" s="138" t="str">
        <f>'GAAP Financial Statements'!CL4</f>
        <v>3Q</v>
      </c>
      <c r="EF5" s="138" t="str">
        <f>'GAAP Financial Statements'!CM4</f>
        <v>4Q</v>
      </c>
      <c r="EH5" s="138" t="str">
        <f>'GAAP Financial Statements'!CO4</f>
        <v>1Q</v>
      </c>
      <c r="EI5" s="138" t="str">
        <f>'GAAP Financial Statements'!CP4</f>
        <v>2Q</v>
      </c>
      <c r="EJ5" s="138" t="str">
        <f>'GAAP Financial Statements'!CQ4</f>
        <v>3Q</v>
      </c>
      <c r="EK5" s="138" t="str">
        <f>'GAAP Financial Statements'!CR4</f>
        <v>4Q</v>
      </c>
      <c r="EM5" s="138" t="str">
        <f>'GAAP Financial Statements'!CT4</f>
        <v>1Q</v>
      </c>
      <c r="EN5" s="138" t="str">
        <f>'GAAP Financial Statements'!CU4</f>
        <v>2Q</v>
      </c>
      <c r="EO5" s="138" t="str">
        <f>'GAAP Financial Statements'!CV4</f>
        <v>3Q</v>
      </c>
      <c r="EP5" s="138" t="str">
        <f>'GAAP Financial Statements'!CW4</f>
        <v>4Q</v>
      </c>
      <c r="ER5" s="138" t="str">
        <f>'GAAP Financial Statements'!CY4</f>
        <v>1Q</v>
      </c>
      <c r="ES5" s="138" t="str">
        <f>'GAAP Financial Statements'!CZ4</f>
        <v>2Q</v>
      </c>
      <c r="ET5" s="138" t="str">
        <f>'GAAP Financial Statements'!DA4</f>
        <v>3Q</v>
      </c>
      <c r="EU5" s="138" t="str">
        <f>'GAAP Financial Statements'!DB4</f>
        <v>4Q</v>
      </c>
      <c r="EW5" s="138" t="str">
        <f>'GAAP Financial Statements'!DD4</f>
        <v>1Q</v>
      </c>
      <c r="EX5" s="138" t="str">
        <f>'GAAP Financial Statements'!DE4</f>
        <v>2Q</v>
      </c>
      <c r="EY5" s="138" t="str">
        <f>'GAAP Financial Statements'!DF4</f>
        <v>3Q</v>
      </c>
      <c r="EZ5" s="138" t="str">
        <f>'GAAP Financial Statements'!DG4</f>
        <v>4Q</v>
      </c>
      <c r="FB5" s="138" t="str">
        <f>'GAAP Financial Statements'!DI4</f>
        <v>1Q</v>
      </c>
      <c r="FC5" s="138" t="str">
        <f>'GAAP Financial Statements'!DJ4</f>
        <v>2Q</v>
      </c>
      <c r="FD5" s="138" t="str">
        <f>'GAAP Financial Statements'!DK4</f>
        <v>3Q</v>
      </c>
      <c r="FE5" s="138" t="str">
        <f>'GAAP Financial Statements'!DL4</f>
        <v>4QE</v>
      </c>
      <c r="FF5" s="164"/>
      <c r="FG5" s="138" t="str">
        <f>'GAAP Financial Statements'!DN4</f>
        <v>1QE</v>
      </c>
      <c r="FH5" s="138" t="str">
        <f>'GAAP Financial Statements'!DO4</f>
        <v>2QE</v>
      </c>
      <c r="FI5" s="138" t="str">
        <f>'GAAP Financial Statements'!DP4</f>
        <v>3QE</v>
      </c>
      <c r="FJ5" s="138" t="str">
        <f>'GAAP Financial Statements'!DQ4</f>
        <v>4QE</v>
      </c>
      <c r="FL5" s="138" t="s">
        <v>1068</v>
      </c>
    </row>
    <row r="6" spans="1:168" ht="12.75" customHeight="1">
      <c r="A6" s="349" t="s">
        <v>1051</v>
      </c>
      <c r="B6" s="111"/>
      <c r="C6" s="111"/>
      <c r="D6" s="111"/>
      <c r="E6" s="111"/>
      <c r="F6" s="111"/>
      <c r="G6" s="77"/>
      <c r="H6" s="77"/>
      <c r="I6" s="77"/>
      <c r="J6" s="77"/>
      <c r="K6" s="14"/>
      <c r="L6" s="111"/>
      <c r="M6" s="14"/>
      <c r="N6" s="14"/>
      <c r="O6" s="111"/>
      <c r="P6" s="14"/>
      <c r="Q6" s="14"/>
      <c r="R6" s="14"/>
      <c r="S6" s="111"/>
      <c r="T6" s="14"/>
      <c r="U6" s="14"/>
      <c r="V6" s="14"/>
      <c r="W6" s="14"/>
      <c r="X6" s="274"/>
      <c r="Y6" s="111"/>
      <c r="Z6" s="111"/>
      <c r="AA6" s="111"/>
      <c r="AB6" s="274"/>
      <c r="AC6" s="274"/>
      <c r="AD6" s="274"/>
      <c r="AE6" s="274"/>
      <c r="AF6" s="274"/>
      <c r="AG6" s="274"/>
      <c r="AH6" s="274"/>
      <c r="AI6" s="274"/>
      <c r="AJ6" s="274"/>
      <c r="AK6" s="274"/>
      <c r="AL6" s="274"/>
      <c r="AM6" s="274"/>
      <c r="AN6" s="274"/>
      <c r="AO6" s="274"/>
      <c r="AP6" s="274"/>
      <c r="AQ6" s="274"/>
      <c r="AR6" s="274"/>
      <c r="AS6" s="274"/>
      <c r="AT6" s="274"/>
      <c r="AU6" s="274"/>
      <c r="AV6" s="274"/>
      <c r="AW6" s="274"/>
      <c r="AX6" s="274"/>
      <c r="AY6" s="274"/>
      <c r="AZ6" s="274"/>
      <c r="BA6" s="274"/>
      <c r="BB6" s="274"/>
      <c r="BC6" s="274"/>
      <c r="BD6" s="274"/>
      <c r="BE6" s="354"/>
      <c r="BF6" s="14"/>
      <c r="BG6" s="14"/>
      <c r="BH6" s="14"/>
      <c r="BI6" s="14"/>
      <c r="BJ6" s="14"/>
      <c r="BK6" s="14"/>
      <c r="BL6" s="14"/>
      <c r="BM6" s="14"/>
      <c r="BN6" s="14"/>
      <c r="BO6" s="14"/>
      <c r="BP6" s="14"/>
      <c r="BQ6" s="14"/>
      <c r="BR6" s="14"/>
      <c r="BS6" s="14"/>
      <c r="BT6" s="13"/>
      <c r="BU6" s="14"/>
      <c r="BV6" s="14"/>
      <c r="BW6" s="14"/>
      <c r="BX6" s="14"/>
      <c r="BY6" s="4"/>
      <c r="BZ6" s="14"/>
      <c r="CA6" s="14"/>
      <c r="CB6" s="14"/>
      <c r="CC6" s="14"/>
      <c r="CD6" s="339"/>
      <c r="CE6" s="14"/>
      <c r="CF6" s="14"/>
      <c r="CG6" s="14"/>
      <c r="CH6" s="14"/>
      <c r="CI6" s="53"/>
      <c r="CJ6" s="274"/>
      <c r="CK6" s="274"/>
      <c r="CL6" s="274"/>
      <c r="CM6" s="274"/>
      <c r="CN6" s="87"/>
      <c r="CO6" s="274"/>
      <c r="CP6" s="274"/>
      <c r="CQ6" s="274"/>
      <c r="CR6" s="274"/>
      <c r="CS6" s="350"/>
      <c r="CT6" s="274"/>
      <c r="CU6" s="274"/>
      <c r="CV6" s="274"/>
      <c r="CW6" s="274"/>
      <c r="CX6" s="87" t="s">
        <v>337</v>
      </c>
      <c r="CY6" s="87" t="s">
        <v>337</v>
      </c>
      <c r="CZ6" s="87" t="s">
        <v>337</v>
      </c>
      <c r="DA6" s="139"/>
      <c r="DB6" s="139"/>
      <c r="DC6" s="354"/>
      <c r="DD6" s="351"/>
      <c r="DE6" s="352"/>
      <c r="DF6" s="352"/>
      <c r="DG6" s="352"/>
      <c r="DH6" s="352"/>
      <c r="DI6" s="352"/>
      <c r="DJ6" s="352"/>
      <c r="DK6" s="352"/>
      <c r="DL6" s="352"/>
      <c r="DM6" s="352"/>
      <c r="DN6" s="14"/>
      <c r="DO6" s="14"/>
      <c r="DP6" s="14"/>
      <c r="DQ6" s="14"/>
      <c r="DR6" s="14"/>
      <c r="DX6" s="862"/>
      <c r="DY6" s="862"/>
      <c r="DZ6" s="862"/>
      <c r="EA6" s="862"/>
      <c r="EB6" s="862"/>
      <c r="EH6" s="1048"/>
      <c r="EI6" s="1048"/>
      <c r="EJ6" s="1048"/>
      <c r="EK6" s="1048"/>
      <c r="EM6" s="1048"/>
      <c r="FL6" s="1048"/>
    </row>
    <row r="7" spans="1:168" ht="12.75" hidden="1" customHeight="1" outlineLevel="1">
      <c r="A7" s="353" t="s">
        <v>688</v>
      </c>
      <c r="B7" s="111"/>
      <c r="C7" s="111"/>
      <c r="D7" s="111"/>
      <c r="E7" s="111"/>
      <c r="F7" s="354">
        <v>421.2</v>
      </c>
      <c r="G7" s="77"/>
      <c r="H7" s="77"/>
      <c r="I7" s="77"/>
      <c r="J7" s="77"/>
      <c r="K7" s="14"/>
      <c r="L7" s="354">
        <v>390.8</v>
      </c>
      <c r="M7" s="14"/>
      <c r="N7" s="14"/>
      <c r="O7" s="354">
        <v>403.57732341354404</v>
      </c>
      <c r="P7" s="14"/>
      <c r="Q7" s="14"/>
      <c r="R7" s="14"/>
      <c r="S7" s="354">
        <v>388.98580591803835</v>
      </c>
      <c r="T7" s="14"/>
      <c r="U7" s="14"/>
      <c r="V7" s="14"/>
      <c r="W7" s="354"/>
      <c r="X7" s="354"/>
      <c r="Y7" s="354">
        <v>377.31623174049719</v>
      </c>
      <c r="Z7" s="354">
        <v>373.86395150983651</v>
      </c>
      <c r="AA7" s="354">
        <v>407.42827258495367</v>
      </c>
      <c r="AB7" s="354">
        <v>409.44504253424918</v>
      </c>
      <c r="AC7" s="355">
        <f>SUM(CY7:DB7)</f>
        <v>3.6000000000001364E-2</v>
      </c>
      <c r="AD7" s="354">
        <v>0</v>
      </c>
      <c r="AE7" s="354">
        <v>0</v>
      </c>
      <c r="AF7" s="354">
        <v>0</v>
      </c>
      <c r="AG7" s="354">
        <v>0</v>
      </c>
      <c r="AH7" s="354">
        <v>0</v>
      </c>
      <c r="AI7" s="354">
        <v>0</v>
      </c>
      <c r="AJ7" s="354">
        <v>0</v>
      </c>
      <c r="AK7" s="354">
        <v>0</v>
      </c>
      <c r="AL7" s="354">
        <v>0</v>
      </c>
      <c r="AM7" s="354">
        <v>0</v>
      </c>
      <c r="AN7" s="354">
        <v>0</v>
      </c>
      <c r="AO7" s="354">
        <v>0</v>
      </c>
      <c r="AP7" s="354">
        <v>0</v>
      </c>
      <c r="AQ7" s="354">
        <v>0</v>
      </c>
      <c r="AR7" s="354">
        <v>0</v>
      </c>
      <c r="AS7" s="354">
        <v>0</v>
      </c>
      <c r="AT7" s="354">
        <v>0</v>
      </c>
      <c r="AU7" s="354">
        <v>0</v>
      </c>
      <c r="AV7" s="354">
        <v>0</v>
      </c>
      <c r="AW7" s="354">
        <v>0</v>
      </c>
      <c r="AX7" s="354">
        <v>0</v>
      </c>
      <c r="AY7" s="354">
        <v>0</v>
      </c>
      <c r="AZ7" s="354"/>
      <c r="BA7" s="354"/>
      <c r="BB7" s="354"/>
      <c r="BC7" s="354"/>
      <c r="BD7" s="354"/>
      <c r="BE7" s="354"/>
      <c r="BF7" s="354"/>
      <c r="BG7" s="354"/>
      <c r="BH7" s="354"/>
      <c r="BI7" s="354"/>
      <c r="BJ7" s="354"/>
      <c r="BK7" s="354"/>
      <c r="BL7" s="354"/>
      <c r="BM7" s="354"/>
      <c r="BN7" s="14"/>
      <c r="BO7" s="14"/>
      <c r="BP7" s="14"/>
      <c r="BQ7" s="14"/>
      <c r="BR7" s="14"/>
      <c r="BS7" s="14"/>
      <c r="BT7" s="13"/>
      <c r="BU7" s="14"/>
      <c r="BV7" s="14"/>
      <c r="BW7" s="14"/>
      <c r="BX7" s="14"/>
      <c r="BY7" s="4"/>
      <c r="BZ7" s="14"/>
      <c r="CA7" s="14"/>
      <c r="CB7" s="14"/>
      <c r="CC7" s="14"/>
      <c r="CD7" s="339"/>
      <c r="CE7" s="354"/>
      <c r="CF7" s="354"/>
      <c r="CG7" s="354"/>
      <c r="CH7" s="354"/>
      <c r="CI7" s="53"/>
      <c r="CJ7" s="354"/>
      <c r="CK7" s="354"/>
      <c r="CL7" s="355"/>
      <c r="CM7" s="354"/>
      <c r="CN7" s="87">
        <f>+X7-SUM(CJ7:CM7)</f>
        <v>0</v>
      </c>
      <c r="CO7" s="354">
        <v>10</v>
      </c>
      <c r="CP7" s="354">
        <v>150</v>
      </c>
      <c r="CQ7" s="355">
        <f>CQ11-CQ9</f>
        <v>220.7</v>
      </c>
      <c r="CR7" s="354">
        <v>26.728272584953714</v>
      </c>
      <c r="CS7" s="350">
        <f>+AA7-SUM(CO7:CR7)</f>
        <v>0</v>
      </c>
      <c r="CT7" s="354">
        <v>10</v>
      </c>
      <c r="CU7" s="354">
        <v>145</v>
      </c>
      <c r="CV7" s="355">
        <f>CV11-CV9</f>
        <v>228.58000000000004</v>
      </c>
      <c r="CW7" s="355">
        <f>CW11-CW9</f>
        <v>25.865042534249312</v>
      </c>
      <c r="CX7" s="87">
        <f>AB7-SUM(CT7:CW7)</f>
        <v>0</v>
      </c>
      <c r="CY7" s="355">
        <f>CY11-CY9</f>
        <v>1.436000000000007</v>
      </c>
      <c r="CZ7" s="355">
        <f>CZ11-CZ9</f>
        <v>-1.4000000000000057</v>
      </c>
      <c r="DA7" s="355">
        <f>DA11-DA9</f>
        <v>0</v>
      </c>
      <c r="DB7" s="356">
        <v>0</v>
      </c>
      <c r="DC7" s="871">
        <f>AC7-SUM(CY7:DB7)</f>
        <v>0</v>
      </c>
      <c r="DD7" s="356">
        <v>0</v>
      </c>
      <c r="DE7" s="356">
        <v>0</v>
      </c>
      <c r="DF7" s="356">
        <v>0</v>
      </c>
      <c r="DG7" s="356">
        <v>0</v>
      </c>
      <c r="DH7" s="357">
        <f>AD7-SUM(DD7:DG7)</f>
        <v>0</v>
      </c>
      <c r="DI7" s="356">
        <v>0</v>
      </c>
      <c r="DJ7" s="356">
        <v>0</v>
      </c>
      <c r="DK7" s="356">
        <v>0</v>
      </c>
      <c r="DL7" s="356">
        <v>0</v>
      </c>
      <c r="DM7" s="357">
        <f>AE7-SUM(DI7:DL7)</f>
        <v>0</v>
      </c>
      <c r="DN7" s="356">
        <v>0</v>
      </c>
      <c r="DO7" s="356">
        <v>0</v>
      </c>
      <c r="DP7" s="356">
        <v>0</v>
      </c>
      <c r="DQ7" s="356">
        <v>0</v>
      </c>
      <c r="DR7" s="538">
        <f>AF7-SUM(DN7:DQ7)</f>
        <v>0</v>
      </c>
      <c r="DS7" s="356">
        <v>0</v>
      </c>
      <c r="DT7" s="356">
        <v>0</v>
      </c>
      <c r="DU7" s="356">
        <v>0</v>
      </c>
      <c r="DV7" s="356">
        <v>0</v>
      </c>
      <c r="DW7" s="538">
        <f>AG7-SUM(DS7:DV7)</f>
        <v>0</v>
      </c>
      <c r="DX7" s="862"/>
      <c r="DY7" s="862"/>
      <c r="DZ7" s="862"/>
      <c r="EA7" s="862"/>
      <c r="EB7" s="862"/>
      <c r="EH7" s="1048"/>
      <c r="EI7" s="1048"/>
      <c r="EJ7" s="1048"/>
      <c r="EK7" s="1048"/>
      <c r="EM7" s="1048"/>
      <c r="FL7" s="1048"/>
    </row>
    <row r="8" spans="1:168" ht="12.75" hidden="1" customHeight="1" outlineLevel="1">
      <c r="A8" s="358" t="s">
        <v>676</v>
      </c>
      <c r="B8" s="111"/>
      <c r="C8" s="111"/>
      <c r="D8" s="111"/>
      <c r="E8" s="111"/>
      <c r="F8" s="111"/>
      <c r="G8" s="77"/>
      <c r="H8" s="77"/>
      <c r="I8" s="77"/>
      <c r="J8" s="77"/>
      <c r="K8" s="14"/>
      <c r="L8" s="39">
        <f>L7/F7-1</f>
        <v>-7.2174738841405461E-2</v>
      </c>
      <c r="M8" s="14"/>
      <c r="N8" s="14"/>
      <c r="O8" s="39">
        <f>O7/L7-1</f>
        <v>3.269530044407376E-2</v>
      </c>
      <c r="P8" s="14"/>
      <c r="Q8" s="14"/>
      <c r="R8" s="14"/>
      <c r="S8" s="39">
        <f>S7/O7-1</f>
        <v>-3.6155444443923379E-2</v>
      </c>
      <c r="T8" s="14"/>
      <c r="U8" s="14"/>
      <c r="V8" s="14"/>
      <c r="W8" s="354"/>
      <c r="X8" s="359"/>
      <c r="Y8" s="359">
        <f>Y7/S7-1</f>
        <v>-3.0000000000000027E-2</v>
      </c>
      <c r="Z8" s="359">
        <f>Z7/Y7-1</f>
        <v>-9.1495672336593392E-3</v>
      </c>
      <c r="AA8" s="359">
        <f>AA7/Z7-1</f>
        <v>8.9776831758100251E-2</v>
      </c>
      <c r="AB8" s="359">
        <f>AB7/AA7-1</f>
        <v>4.9500000000000099E-3</v>
      </c>
      <c r="AC8" s="360" t="s">
        <v>737</v>
      </c>
      <c r="AD8" s="360" t="s">
        <v>737</v>
      </c>
      <c r="AE8" s="360" t="s">
        <v>737</v>
      </c>
      <c r="AF8" s="360" t="s">
        <v>737</v>
      </c>
      <c r="AG8" s="360" t="s">
        <v>737</v>
      </c>
      <c r="AH8" s="360" t="s">
        <v>737</v>
      </c>
      <c r="AI8" s="360" t="s">
        <v>737</v>
      </c>
      <c r="AJ8" s="360" t="s">
        <v>737</v>
      </c>
      <c r="AK8" s="360" t="s">
        <v>737</v>
      </c>
      <c r="AL8" s="360" t="s">
        <v>737</v>
      </c>
      <c r="AM8" s="360" t="s">
        <v>737</v>
      </c>
      <c r="AN8" s="360" t="s">
        <v>737</v>
      </c>
      <c r="AO8" s="360" t="s">
        <v>737</v>
      </c>
      <c r="AP8" s="360" t="s">
        <v>737</v>
      </c>
      <c r="AQ8" s="360" t="s">
        <v>737</v>
      </c>
      <c r="AR8" s="360" t="s">
        <v>737</v>
      </c>
      <c r="AS8" s="360" t="s">
        <v>737</v>
      </c>
      <c r="AT8" s="360" t="s">
        <v>737</v>
      </c>
      <c r="AU8" s="360" t="s">
        <v>737</v>
      </c>
      <c r="AV8" s="360" t="s">
        <v>737</v>
      </c>
      <c r="AW8" s="360" t="s">
        <v>737</v>
      </c>
      <c r="AX8" s="360" t="s">
        <v>737</v>
      </c>
      <c r="AY8" s="360" t="s">
        <v>737</v>
      </c>
      <c r="AZ8" s="360"/>
      <c r="BA8" s="360"/>
      <c r="BB8" s="360"/>
      <c r="BC8" s="360"/>
      <c r="BD8" s="360"/>
      <c r="BE8" s="354"/>
      <c r="BF8" s="354"/>
      <c r="BG8" s="354"/>
      <c r="BH8" s="354"/>
      <c r="BI8" s="354"/>
      <c r="BJ8" s="354"/>
      <c r="BK8" s="354"/>
      <c r="BL8" s="354"/>
      <c r="BM8" s="354"/>
      <c r="BN8" s="14"/>
      <c r="BO8" s="14"/>
      <c r="BP8" s="14"/>
      <c r="BQ8" s="14"/>
      <c r="BR8" s="14"/>
      <c r="BS8" s="14"/>
      <c r="BT8" s="13"/>
      <c r="BU8" s="14"/>
      <c r="BV8" s="14"/>
      <c r="BW8" s="14"/>
      <c r="BX8" s="14"/>
      <c r="BY8" s="4"/>
      <c r="BZ8" s="14"/>
      <c r="CA8" s="14"/>
      <c r="CB8" s="14"/>
      <c r="CC8" s="14"/>
      <c r="CD8" s="339"/>
      <c r="CE8" s="14"/>
      <c r="CF8" s="14"/>
      <c r="CG8" s="14"/>
      <c r="CH8" s="14"/>
      <c r="CI8" s="53"/>
      <c r="CJ8" s="359"/>
      <c r="CK8" s="359"/>
      <c r="CL8" s="359"/>
      <c r="CM8" s="359"/>
      <c r="CN8" s="87"/>
      <c r="CO8" s="359"/>
      <c r="CP8" s="359"/>
      <c r="CQ8" s="359"/>
      <c r="CR8" s="359"/>
      <c r="CS8" s="350"/>
      <c r="CT8" s="359">
        <f>+CT7/CO7-1</f>
        <v>0</v>
      </c>
      <c r="CU8" s="359">
        <f>+CU7/CP7-1</f>
        <v>-3.3333333333333326E-2</v>
      </c>
      <c r="CV8" s="359">
        <f>+CV7/CQ7-1</f>
        <v>3.5704576347983963E-2</v>
      </c>
      <c r="CW8" s="359">
        <f>+CW7/CR7-1</f>
        <v>-3.2296514784511121E-2</v>
      </c>
      <c r="CX8" s="87"/>
      <c r="CY8" s="359">
        <f>+CY7/CT7-1</f>
        <v>-0.85639999999999927</v>
      </c>
      <c r="CZ8" s="359">
        <f>+CZ7/CU7-1</f>
        <v>-1.0096551724137932</v>
      </c>
      <c r="DA8" s="359">
        <f>+DA7/CV7-1</f>
        <v>-1</v>
      </c>
      <c r="DB8" s="359">
        <f>+DB7/CW7-1</f>
        <v>-1</v>
      </c>
      <c r="DC8" s="354"/>
      <c r="DD8" s="361" t="s">
        <v>737</v>
      </c>
      <c r="DE8" s="361" t="s">
        <v>737</v>
      </c>
      <c r="DF8" s="361" t="s">
        <v>737</v>
      </c>
      <c r="DG8" s="361" t="s">
        <v>737</v>
      </c>
      <c r="DH8" s="351"/>
      <c r="DI8" s="361" t="s">
        <v>737</v>
      </c>
      <c r="DJ8" s="361" t="s">
        <v>737</v>
      </c>
      <c r="DK8" s="361" t="s">
        <v>737</v>
      </c>
      <c r="DL8" s="361" t="s">
        <v>737</v>
      </c>
      <c r="DM8" s="351"/>
      <c r="DN8" s="361" t="s">
        <v>737</v>
      </c>
      <c r="DO8" s="361" t="s">
        <v>737</v>
      </c>
      <c r="DP8" s="361" t="s">
        <v>737</v>
      </c>
      <c r="DQ8" s="361" t="s">
        <v>737</v>
      </c>
      <c r="DR8" s="14"/>
      <c r="DS8" s="361" t="s">
        <v>737</v>
      </c>
      <c r="DT8" s="361" t="s">
        <v>737</v>
      </c>
      <c r="DU8" s="361" t="s">
        <v>737</v>
      </c>
      <c r="DV8" s="361" t="s">
        <v>737</v>
      </c>
      <c r="DX8" s="862"/>
      <c r="DY8" s="862"/>
      <c r="DZ8" s="862"/>
      <c r="EA8" s="862"/>
      <c r="EB8" s="862"/>
      <c r="EH8" s="1048"/>
      <c r="EI8" s="1048"/>
      <c r="EJ8" s="1048"/>
      <c r="EK8" s="1048"/>
      <c r="EM8" s="1048"/>
      <c r="FL8" s="1048"/>
    </row>
    <row r="9" spans="1:168" s="875" customFormat="1" ht="12.75" customHeight="1" collapsed="1">
      <c r="A9" s="425" t="s">
        <v>689</v>
      </c>
      <c r="B9" s="2775"/>
      <c r="C9" s="3305"/>
      <c r="D9" s="3305"/>
      <c r="E9" s="3305"/>
      <c r="F9" s="3306">
        <v>564.6</v>
      </c>
      <c r="G9" s="2782"/>
      <c r="H9" s="2782"/>
      <c r="I9" s="2782"/>
      <c r="J9" s="2782"/>
      <c r="K9" s="319"/>
      <c r="L9" s="3306">
        <v>610.70000000000005</v>
      </c>
      <c r="M9" s="319"/>
      <c r="N9" s="319"/>
      <c r="O9" s="2782">
        <v>596</v>
      </c>
      <c r="P9" s="319"/>
      <c r="Q9" s="319"/>
      <c r="R9" s="319"/>
      <c r="S9" s="2782">
        <v>648.70000000000005</v>
      </c>
      <c r="T9" s="319"/>
      <c r="U9" s="319"/>
      <c r="V9" s="319"/>
      <c r="W9" s="2780"/>
      <c r="X9" s="3307"/>
      <c r="Y9" s="3307">
        <f>Y11-Y7</f>
        <v>673.18376825950281</v>
      </c>
      <c r="Z9" s="3307">
        <f>Z11-Z7</f>
        <v>695.43604849016344</v>
      </c>
      <c r="AA9" s="3307">
        <f>AA11-AA7</f>
        <v>753.37172741504628</v>
      </c>
      <c r="AB9" s="3307">
        <f>AB11-AB7</f>
        <v>777.65495746575073</v>
      </c>
      <c r="AC9" s="2780">
        <f>SUM(CY9:DB9)</f>
        <v>806.96400000000006</v>
      </c>
      <c r="AD9" s="3306">
        <v>886.1</v>
      </c>
      <c r="AE9" s="2780">
        <f>SUM(DI9:DL9)</f>
        <v>857.7</v>
      </c>
      <c r="AF9" s="2780">
        <f>SUM(DN9:DQ9)</f>
        <v>793.5</v>
      </c>
      <c r="AG9" s="2780">
        <f>SUM(DS9:DV9)</f>
        <v>790.8</v>
      </c>
      <c r="AH9" s="2780">
        <f>'Publishing (new)'!O6</f>
        <v>787</v>
      </c>
      <c r="AI9" s="2780">
        <f>'Publishing (new)'!P6</f>
        <v>790</v>
      </c>
      <c r="AJ9" s="3308">
        <f>Drivers!M39</f>
        <v>809</v>
      </c>
      <c r="AK9" s="3308">
        <f>Drivers!N39</f>
        <v>778</v>
      </c>
      <c r="AL9" s="3308">
        <f>Drivers!Q39</f>
        <v>780</v>
      </c>
      <c r="AM9" s="3308">
        <f>Drivers!R39</f>
        <v>767</v>
      </c>
      <c r="AN9" s="3308">
        <f>Drivers!T39</f>
        <v>804</v>
      </c>
      <c r="AO9" s="3308">
        <f>Drivers!U39</f>
        <v>816.06</v>
      </c>
      <c r="AP9" s="2780">
        <f>'Publishing (new)'!W6</f>
        <v>832.38119999999992</v>
      </c>
      <c r="AQ9" s="2780">
        <f>'Publishing (new)'!X6</f>
        <v>849.02882399999999</v>
      </c>
      <c r="AR9" s="2780">
        <f>'Publishing (new)'!Y6</f>
        <v>866.00940047999995</v>
      </c>
      <c r="AS9" s="2780">
        <f>'Publishing (new)'!Z6</f>
        <v>883.32958848959993</v>
      </c>
      <c r="AT9" s="2780">
        <f>'Publishing (new)'!AA6</f>
        <v>900.99618025939196</v>
      </c>
      <c r="AU9" s="2780">
        <f>'Publishing (new)'!AB6</f>
        <v>919.0161038645798</v>
      </c>
      <c r="AV9" s="2780">
        <f>'Publishing (new)'!AC6</f>
        <v>937.39642594187137</v>
      </c>
      <c r="AW9" s="2780">
        <f>'Publishing (new)'!AD6</f>
        <v>956.14435446070877</v>
      </c>
      <c r="AX9" s="2780">
        <f>'Publishing (new)'!AE6</f>
        <v>975.26724154992291</v>
      </c>
      <c r="AY9" s="2780">
        <f>'Publishing (new)'!AF6</f>
        <v>994.77258638092144</v>
      </c>
      <c r="AZ9" s="2780"/>
      <c r="BA9" s="2780"/>
      <c r="BB9" s="2780"/>
      <c r="BC9" s="2780"/>
      <c r="BD9" s="2780"/>
      <c r="BE9" s="2780"/>
      <c r="BF9" s="2780"/>
      <c r="BG9" s="2780"/>
      <c r="BH9" s="2780"/>
      <c r="BI9" s="2780"/>
      <c r="BJ9" s="2780"/>
      <c r="BK9" s="2780"/>
      <c r="BL9" s="2780"/>
      <c r="BM9" s="2780"/>
      <c r="BN9" s="319"/>
      <c r="BO9" s="319"/>
      <c r="BP9" s="319"/>
      <c r="BQ9" s="319"/>
      <c r="BR9" s="319"/>
      <c r="BS9" s="319"/>
      <c r="BT9" s="318"/>
      <c r="BU9" s="319"/>
      <c r="BV9" s="319"/>
      <c r="BW9" s="319"/>
      <c r="BX9" s="319"/>
      <c r="BY9" s="3309"/>
      <c r="BZ9" s="319"/>
      <c r="CA9" s="319"/>
      <c r="CB9" s="319"/>
      <c r="CC9" s="319"/>
      <c r="CD9" s="3310"/>
      <c r="CE9" s="319"/>
      <c r="CF9" s="319"/>
      <c r="CG9" s="319"/>
      <c r="CH9" s="319"/>
      <c r="CI9" s="2776"/>
      <c r="CJ9" s="3306"/>
      <c r="CK9" s="3306"/>
      <c r="CL9" s="3306"/>
      <c r="CM9" s="3307"/>
      <c r="CN9" s="3312">
        <f>+X9-SUM(CJ9:CM9)</f>
        <v>0</v>
      </c>
      <c r="CO9" s="2780">
        <f>CO11-CO7</f>
        <v>148.80000000000001</v>
      </c>
      <c r="CP9" s="2780">
        <f>CP11-CP7</f>
        <v>182.60000000000002</v>
      </c>
      <c r="CQ9" s="3306">
        <v>208</v>
      </c>
      <c r="CR9" s="2780">
        <f>CR11-CR7</f>
        <v>213.97172741504627</v>
      </c>
      <c r="CS9" s="3313">
        <f>+AA9-SUM(CO9:CR9)</f>
        <v>0</v>
      </c>
      <c r="CT9" s="3306">
        <f>158-0.4</f>
        <v>157.6</v>
      </c>
      <c r="CU9" s="3306">
        <f>173.7+0.4</f>
        <v>174.1</v>
      </c>
      <c r="CV9" s="2780">
        <f>CQ9*(1+CV10)</f>
        <v>195.51999999999998</v>
      </c>
      <c r="CW9" s="3307">
        <f>AB9-SUM(CT9:CV9)</f>
        <v>250.4349574657507</v>
      </c>
      <c r="CX9" s="3312">
        <f>AB9-SUM(CT9:CW9)</f>
        <v>0</v>
      </c>
      <c r="CY9" s="2780">
        <f>CT9*(1+CY10)</f>
        <v>179.66400000000002</v>
      </c>
      <c r="CZ9" s="3306">
        <v>177.4</v>
      </c>
      <c r="DA9" s="3306">
        <v>197.4</v>
      </c>
      <c r="DB9" s="3306">
        <v>252.5</v>
      </c>
      <c r="DC9" s="3314">
        <f>AC9-SUM(CY9:DB9)</f>
        <v>0</v>
      </c>
      <c r="DD9" s="3306">
        <v>229.3</v>
      </c>
      <c r="DE9" s="3306">
        <v>200.3</v>
      </c>
      <c r="DF9" s="3306">
        <v>214.2</v>
      </c>
      <c r="DG9" s="3307">
        <f>AD9-SUM(DD9:DF9)</f>
        <v>242.30000000000007</v>
      </c>
      <c r="DH9" s="3315">
        <f>AD9-SUM(DD9:DG9)</f>
        <v>0</v>
      </c>
      <c r="DI9" s="3306">
        <v>201.6</v>
      </c>
      <c r="DJ9" s="3306">
        <v>186</v>
      </c>
      <c r="DK9" s="3306">
        <v>225</v>
      </c>
      <c r="DL9" s="3306">
        <v>245.1</v>
      </c>
      <c r="DM9" s="3315">
        <f>AE9-SUM(DI9:DL9)</f>
        <v>0</v>
      </c>
      <c r="DN9" s="2782">
        <v>161.69999999999999</v>
      </c>
      <c r="DO9" s="2782">
        <v>181.4</v>
      </c>
      <c r="DP9" s="2782">
        <v>230.4</v>
      </c>
      <c r="DQ9" s="2782">
        <v>220</v>
      </c>
      <c r="DR9" s="3316">
        <f>AF9-SUM(DN9:DQ9)</f>
        <v>0</v>
      </c>
      <c r="DS9" s="319">
        <f>Drivers!BQ39</f>
        <v>151.69999999999999</v>
      </c>
      <c r="DT9" s="319">
        <f>Drivers!BR39</f>
        <v>189.7</v>
      </c>
      <c r="DU9" s="319">
        <f>Drivers!BS39</f>
        <v>217.7</v>
      </c>
      <c r="DV9" s="319">
        <f>Drivers!BT39</f>
        <v>231.7</v>
      </c>
      <c r="DW9" s="3316">
        <f>AG9-SUM(DS9:DV9)</f>
        <v>0</v>
      </c>
      <c r="DX9" s="36"/>
      <c r="DY9" s="36"/>
      <c r="DZ9" s="36"/>
      <c r="EA9" s="36"/>
      <c r="EB9" s="36"/>
      <c r="EH9" s="2774"/>
      <c r="EI9" s="2774"/>
      <c r="EJ9" s="2774"/>
      <c r="EK9" s="2774"/>
      <c r="EM9" s="2774"/>
      <c r="FL9" s="2774"/>
    </row>
    <row r="10" spans="1:168" ht="12.75" customHeight="1">
      <c r="A10" s="363" t="s">
        <v>676</v>
      </c>
      <c r="B10" s="364"/>
      <c r="C10" s="364"/>
      <c r="D10" s="364"/>
      <c r="E10" s="364"/>
      <c r="F10" s="364"/>
      <c r="G10" s="365"/>
      <c r="H10" s="365"/>
      <c r="I10" s="365"/>
      <c r="J10" s="365"/>
      <c r="K10" s="317"/>
      <c r="L10" s="366">
        <f>L9/F9-1</f>
        <v>8.1650726177824984E-2</v>
      </c>
      <c r="M10" s="317"/>
      <c r="N10" s="317"/>
      <c r="O10" s="366">
        <f>O9/L9-1</f>
        <v>-2.4070738496806965E-2</v>
      </c>
      <c r="P10" s="317"/>
      <c r="Q10" s="317"/>
      <c r="R10" s="317"/>
      <c r="S10" s="366">
        <f>+S9/O9-1</f>
        <v>8.8422818791946467E-2</v>
      </c>
      <c r="T10" s="317"/>
      <c r="U10" s="317"/>
      <c r="V10" s="317"/>
      <c r="W10" s="317"/>
      <c r="X10" s="367"/>
      <c r="Y10" s="366">
        <f>Y9/S9-1</f>
        <v>3.774282142670371E-2</v>
      </c>
      <c r="Z10" s="366">
        <f t="shared" ref="Z10:AQ10" si="0">Z9/Y9-1</f>
        <v>3.3055283385981404E-2</v>
      </c>
      <c r="AA10" s="366">
        <f t="shared" si="0"/>
        <v>8.3308420739282907E-2</v>
      </c>
      <c r="AB10" s="366">
        <f t="shared" si="0"/>
        <v>3.2232733413058323E-2</v>
      </c>
      <c r="AC10" s="366">
        <f t="shared" si="0"/>
        <v>3.7689006226826693E-2</v>
      </c>
      <c r="AD10" s="366">
        <f t="shared" si="0"/>
        <v>9.8066332574935133E-2</v>
      </c>
      <c r="AE10" s="366">
        <f t="shared" si="0"/>
        <v>-3.2050558627694348E-2</v>
      </c>
      <c r="AF10" s="366">
        <f t="shared" si="0"/>
        <v>-7.4851346624693949E-2</v>
      </c>
      <c r="AG10" s="366">
        <f t="shared" si="0"/>
        <v>-3.4026465028356156E-3</v>
      </c>
      <c r="AH10" s="366">
        <f t="shared" si="0"/>
        <v>-4.8052604957005141E-3</v>
      </c>
      <c r="AI10" s="366">
        <f t="shared" si="0"/>
        <v>3.8119440914865521E-3</v>
      </c>
      <c r="AJ10" s="366">
        <f t="shared" si="0"/>
        <v>2.4050632911392311E-2</v>
      </c>
      <c r="AK10" s="366">
        <f t="shared" si="0"/>
        <v>-3.8318912237330083E-2</v>
      </c>
      <c r="AL10" s="366">
        <f t="shared" si="0"/>
        <v>2.5706940874035134E-3</v>
      </c>
      <c r="AM10" s="366">
        <f t="shared" si="0"/>
        <v>-1.6666666666666718E-2</v>
      </c>
      <c r="AN10" s="366">
        <f t="shared" si="0"/>
        <v>4.8239895697522739E-2</v>
      </c>
      <c r="AO10" s="366">
        <f t="shared" si="0"/>
        <v>1.4999999999999902E-2</v>
      </c>
      <c r="AP10" s="366">
        <f t="shared" si="0"/>
        <v>2.0000000000000018E-2</v>
      </c>
      <c r="AQ10" s="366">
        <f t="shared" si="0"/>
        <v>2.0000000000000018E-2</v>
      </c>
      <c r="AR10" s="366">
        <f t="shared" ref="AR10:AY10" si="1">AR9/AQ9-1</f>
        <v>2.0000000000000018E-2</v>
      </c>
      <c r="AS10" s="366">
        <f t="shared" si="1"/>
        <v>2.0000000000000018E-2</v>
      </c>
      <c r="AT10" s="366">
        <f t="shared" si="1"/>
        <v>2.0000000000000018E-2</v>
      </c>
      <c r="AU10" s="366">
        <f t="shared" si="1"/>
        <v>2.0000000000000018E-2</v>
      </c>
      <c r="AV10" s="366">
        <f t="shared" si="1"/>
        <v>2.0000000000000018E-2</v>
      </c>
      <c r="AW10" s="366">
        <f t="shared" si="1"/>
        <v>2.0000000000000018E-2</v>
      </c>
      <c r="AX10" s="366">
        <f t="shared" si="1"/>
        <v>2.0000000000000018E-2</v>
      </c>
      <c r="AY10" s="366">
        <f t="shared" si="1"/>
        <v>2.0000000000000018E-2</v>
      </c>
      <c r="AZ10" s="359"/>
      <c r="BA10" s="359"/>
      <c r="BB10" s="359"/>
      <c r="BC10" s="359"/>
      <c r="BD10" s="359"/>
      <c r="BE10" s="354"/>
      <c r="BF10" s="354"/>
      <c r="BG10" s="354"/>
      <c r="BH10" s="354"/>
      <c r="BI10" s="354"/>
      <c r="BJ10" s="354"/>
      <c r="BK10" s="354"/>
      <c r="BL10" s="354"/>
      <c r="BM10" s="354"/>
      <c r="BN10" s="14"/>
      <c r="BO10" s="14"/>
      <c r="BP10" s="14"/>
      <c r="BQ10" s="14"/>
      <c r="BR10" s="14"/>
      <c r="BS10" s="14"/>
      <c r="BT10" s="13"/>
      <c r="BU10" s="14"/>
      <c r="BV10" s="14"/>
      <c r="BW10" s="14"/>
      <c r="BX10" s="14"/>
      <c r="BY10" s="4"/>
      <c r="BZ10" s="14"/>
      <c r="CA10" s="14"/>
      <c r="CB10" s="14"/>
      <c r="CC10" s="14"/>
      <c r="CD10" s="339"/>
      <c r="CE10" s="14"/>
      <c r="CF10" s="14"/>
      <c r="CG10" s="14"/>
      <c r="CH10" s="14"/>
      <c r="CI10" s="53"/>
      <c r="CJ10" s="367"/>
      <c r="CK10" s="367"/>
      <c r="CL10" s="367"/>
      <c r="CM10" s="366"/>
      <c r="CN10" s="350"/>
      <c r="CO10" s="367"/>
      <c r="CP10" s="367"/>
      <c r="CQ10" s="367"/>
      <c r="CR10" s="366"/>
      <c r="CS10" s="350"/>
      <c r="CT10" s="366">
        <f>+CT9/CO9-1</f>
        <v>5.9139784946236507E-2</v>
      </c>
      <c r="CU10" s="366">
        <f>+CU9/CP9-1</f>
        <v>-4.6549835706462317E-2</v>
      </c>
      <c r="CV10" s="367">
        <v>-0.06</v>
      </c>
      <c r="CW10" s="366">
        <f>+CW9/CR9-1</f>
        <v>0.17041143935794745</v>
      </c>
      <c r="CX10" s="87"/>
      <c r="CY10" s="367">
        <v>0.14000000000000001</v>
      </c>
      <c r="CZ10" s="366">
        <f>CZ9/CU9-1</f>
        <v>1.895462377943713E-2</v>
      </c>
      <c r="DA10" s="366">
        <f>DA9/CV9-1</f>
        <v>9.6153846153848033E-3</v>
      </c>
      <c r="DB10" s="366">
        <f>+DB9/CW9-1</f>
        <v>8.2458238064935241E-3</v>
      </c>
      <c r="DC10" s="354"/>
      <c r="DD10" s="366">
        <f>+DD9/CY9-1</f>
        <v>0.27627126191112295</v>
      </c>
      <c r="DE10" s="366">
        <f>+DE9/CZ9-1</f>
        <v>0.12908680947012408</v>
      </c>
      <c r="DF10" s="366">
        <v>4.4999999999999998E-2</v>
      </c>
      <c r="DG10" s="366">
        <f>DG9/DB9-1</f>
        <v>-4.0396039603960099E-2</v>
      </c>
      <c r="DH10" s="351"/>
      <c r="DI10" s="366">
        <f>+DI9/DD9-1</f>
        <v>-0.12080244221543834</v>
      </c>
      <c r="DJ10" s="366">
        <f>+DJ9/DE9-1</f>
        <v>-7.1392910634048956E-2</v>
      </c>
      <c r="DK10" s="366">
        <f>+DK9/DF9-1</f>
        <v>5.0420168067226934E-2</v>
      </c>
      <c r="DL10" s="366">
        <f>DL9/DG9-1</f>
        <v>1.1555922410234842E-2</v>
      </c>
      <c r="DM10" s="351"/>
      <c r="DN10" s="366">
        <f>DN9/DI9-1</f>
        <v>-0.19791666666666674</v>
      </c>
      <c r="DO10" s="366">
        <f>DO9/DJ9-1</f>
        <v>-2.4731182795698858E-2</v>
      </c>
      <c r="DP10" s="366">
        <f>DP9/DK9-1</f>
        <v>2.4000000000000021E-2</v>
      </c>
      <c r="DQ10" s="366">
        <f>DQ9/DL9-1</f>
        <v>-0.10240718074255406</v>
      </c>
      <c r="DR10" s="14"/>
      <c r="DS10" s="366">
        <f>DS9/DN9-1</f>
        <v>-6.1842918985776096E-2</v>
      </c>
      <c r="DT10" s="366">
        <f>DT9/DO9-1</f>
        <v>4.57552370452039E-2</v>
      </c>
      <c r="DU10" s="366">
        <f>DU9/DP9-1</f>
        <v>-5.5121527777777901E-2</v>
      </c>
      <c r="DV10" s="366">
        <f>DV9/DQ9-1</f>
        <v>5.3181818181818219E-2</v>
      </c>
      <c r="DX10" s="862"/>
      <c r="DY10" s="862"/>
      <c r="DZ10" s="862"/>
      <c r="EA10" s="862"/>
      <c r="EB10" s="862"/>
      <c r="EH10" s="1048"/>
      <c r="EI10" s="1048"/>
      <c r="EJ10" s="1048"/>
      <c r="EK10" s="1048"/>
      <c r="EM10" s="1048"/>
      <c r="FL10" s="1048"/>
    </row>
    <row r="11" spans="1:168" ht="12.75" customHeight="1">
      <c r="A11" s="368" t="s">
        <v>675</v>
      </c>
      <c r="B11" s="111"/>
      <c r="C11" s="111"/>
      <c r="D11" s="111"/>
      <c r="E11" s="111"/>
      <c r="F11" s="111">
        <f>F7+F9</f>
        <v>985.8</v>
      </c>
      <c r="G11" s="77"/>
      <c r="H11" s="77"/>
      <c r="I11" s="77"/>
      <c r="J11" s="77"/>
      <c r="K11" s="14"/>
      <c r="L11" s="111">
        <f>L7+L9</f>
        <v>1001.5</v>
      </c>
      <c r="M11" s="14"/>
      <c r="N11" s="14"/>
      <c r="O11" s="111">
        <f>O7+O9</f>
        <v>999.57732341354404</v>
      </c>
      <c r="P11" s="14"/>
      <c r="Q11" s="14"/>
      <c r="R11" s="14"/>
      <c r="S11" s="111">
        <f>S7+S9</f>
        <v>1037.6858059180383</v>
      </c>
      <c r="T11" s="14"/>
      <c r="U11" s="14"/>
      <c r="V11" s="14"/>
      <c r="W11" s="354"/>
      <c r="X11" s="356"/>
      <c r="Y11" s="356">
        <v>1050.5</v>
      </c>
      <c r="Z11" s="356">
        <v>1069.3</v>
      </c>
      <c r="AA11" s="356">
        <v>1160.8</v>
      </c>
      <c r="AB11" s="356">
        <v>1187.0999999999999</v>
      </c>
      <c r="AC11" s="354">
        <f>AC9+AC7</f>
        <v>807</v>
      </c>
      <c r="AD11" s="354">
        <f t="shared" ref="AD11:AN11" si="2">AD7+AD9</f>
        <v>886.1</v>
      </c>
      <c r="AE11" s="354">
        <f t="shared" si="2"/>
        <v>857.7</v>
      </c>
      <c r="AF11" s="354">
        <f t="shared" si="2"/>
        <v>793.5</v>
      </c>
      <c r="AG11" s="354">
        <f t="shared" si="2"/>
        <v>790.8</v>
      </c>
      <c r="AH11" s="354">
        <f t="shared" si="2"/>
        <v>787</v>
      </c>
      <c r="AI11" s="354">
        <f t="shared" si="2"/>
        <v>790</v>
      </c>
      <c r="AJ11" s="354">
        <f>AJ7+AJ9</f>
        <v>809</v>
      </c>
      <c r="AK11" s="354">
        <f t="shared" si="2"/>
        <v>778</v>
      </c>
      <c r="AL11" s="354">
        <f>AL7+AL9</f>
        <v>780</v>
      </c>
      <c r="AM11" s="354">
        <f t="shared" si="2"/>
        <v>767</v>
      </c>
      <c r="AN11" s="354">
        <f t="shared" si="2"/>
        <v>804</v>
      </c>
      <c r="AO11" s="354">
        <f t="shared" ref="AO11" si="3">AO7+AO9</f>
        <v>816.06</v>
      </c>
      <c r="AP11" s="354">
        <f t="shared" ref="AP11:AU11" si="4">AP7+AP9</f>
        <v>832.38119999999992</v>
      </c>
      <c r="AQ11" s="354">
        <f t="shared" si="4"/>
        <v>849.02882399999999</v>
      </c>
      <c r="AR11" s="354">
        <f t="shared" si="4"/>
        <v>866.00940047999995</v>
      </c>
      <c r="AS11" s="354">
        <f t="shared" si="4"/>
        <v>883.32958848959993</v>
      </c>
      <c r="AT11" s="354">
        <f t="shared" si="4"/>
        <v>900.99618025939196</v>
      </c>
      <c r="AU11" s="354">
        <f t="shared" si="4"/>
        <v>919.0161038645798</v>
      </c>
      <c r="AV11" s="354">
        <f>AV7+AV9</f>
        <v>937.39642594187137</v>
      </c>
      <c r="AW11" s="354">
        <f>AW7+AW9</f>
        <v>956.14435446070877</v>
      </c>
      <c r="AX11" s="354">
        <f>AX7+AX9</f>
        <v>975.26724154992291</v>
      </c>
      <c r="AY11" s="354">
        <f>AY7+AY9</f>
        <v>994.77258638092144</v>
      </c>
      <c r="AZ11" s="354"/>
      <c r="BA11" s="354"/>
      <c r="BB11" s="354"/>
      <c r="BC11" s="354"/>
      <c r="BD11" s="354"/>
      <c r="BE11" s="354"/>
      <c r="BF11" s="354"/>
      <c r="BG11" s="354"/>
      <c r="BH11" s="354"/>
      <c r="BI11" s="354"/>
      <c r="BJ11" s="354"/>
      <c r="BK11" s="354"/>
      <c r="BL11" s="354"/>
      <c r="BM11" s="354"/>
      <c r="BN11" s="14"/>
      <c r="BO11" s="14"/>
      <c r="BP11" s="14"/>
      <c r="BQ11" s="14"/>
      <c r="BR11" s="14"/>
      <c r="BS11" s="14"/>
      <c r="BT11" s="13"/>
      <c r="BU11" s="14"/>
      <c r="BV11" s="14"/>
      <c r="BW11" s="14"/>
      <c r="BX11" s="14"/>
      <c r="BY11" s="4"/>
      <c r="BZ11" s="14"/>
      <c r="CA11" s="14"/>
      <c r="CB11" s="14"/>
      <c r="CC11" s="14"/>
      <c r="CD11" s="339"/>
      <c r="CE11" s="14"/>
      <c r="CF11" s="14"/>
      <c r="CG11" s="14"/>
      <c r="CH11" s="14"/>
      <c r="CI11" s="53"/>
      <c r="CJ11" s="354">
        <f>CJ7+CJ9</f>
        <v>0</v>
      </c>
      <c r="CK11" s="354">
        <f>CK7+CK9</f>
        <v>0</v>
      </c>
      <c r="CL11" s="354">
        <f>CL7+CL9</f>
        <v>0</v>
      </c>
      <c r="CM11" s="354">
        <f>CM7+CM9</f>
        <v>0</v>
      </c>
      <c r="CN11" s="87">
        <f>+X11-SUM(CJ11:CM11)</f>
        <v>0</v>
      </c>
      <c r="CO11" s="356">
        <v>158.80000000000001</v>
      </c>
      <c r="CP11" s="356">
        <v>332.6</v>
      </c>
      <c r="CQ11" s="356">
        <v>428.7</v>
      </c>
      <c r="CR11" s="356">
        <v>240.7</v>
      </c>
      <c r="CS11" s="350">
        <f>+AA11-SUM(CO11:CR11)</f>
        <v>0</v>
      </c>
      <c r="CT11" s="354">
        <f>CT7+CT9</f>
        <v>167.6</v>
      </c>
      <c r="CU11" s="354">
        <f>CU7+CU9</f>
        <v>319.10000000000002</v>
      </c>
      <c r="CV11" s="356">
        <v>424.1</v>
      </c>
      <c r="CW11" s="356">
        <v>276.3</v>
      </c>
      <c r="CX11" s="87">
        <f>AB11-SUM(CT11:CW11)</f>
        <v>0</v>
      </c>
      <c r="CY11" s="356">
        <f>357.1-CZ11</f>
        <v>181.10000000000002</v>
      </c>
      <c r="CZ11" s="356">
        <v>176</v>
      </c>
      <c r="DA11" s="356">
        <v>197.4</v>
      </c>
      <c r="DB11" s="356">
        <v>252.5</v>
      </c>
      <c r="DC11" s="871">
        <f>AC11-SUM(CY11:DB11)</f>
        <v>0</v>
      </c>
      <c r="DD11" s="356">
        <v>229.3</v>
      </c>
      <c r="DE11" s="356">
        <v>200.3</v>
      </c>
      <c r="DF11" s="356">
        <v>214.2</v>
      </c>
      <c r="DG11" s="356">
        <v>242.3</v>
      </c>
      <c r="DH11" s="357">
        <f>AD11-SUM(DD11:DG11)</f>
        <v>0</v>
      </c>
      <c r="DI11" s="356">
        <v>201.6</v>
      </c>
      <c r="DJ11" s="356">
        <v>186</v>
      </c>
      <c r="DK11" s="356">
        <v>225</v>
      </c>
      <c r="DL11" s="356">
        <v>245.1</v>
      </c>
      <c r="DM11" s="357">
        <f>AE11-SUM(DI11:DL11)</f>
        <v>0</v>
      </c>
      <c r="DN11" s="354">
        <f>DN7+DN9</f>
        <v>161.69999999999999</v>
      </c>
      <c r="DO11" s="354">
        <f>DO7+DO9</f>
        <v>181.4</v>
      </c>
      <c r="DP11" s="354">
        <f>DP7+DP9</f>
        <v>230.4</v>
      </c>
      <c r="DQ11" s="354">
        <f>DQ7+DQ9</f>
        <v>220</v>
      </c>
      <c r="DR11" s="538">
        <f>AF11-SUM(DN11:DQ11)</f>
        <v>0</v>
      </c>
      <c r="DS11" s="354">
        <f>DS7+DS9</f>
        <v>151.69999999999999</v>
      </c>
      <c r="DT11" s="354">
        <f>DT7+DT9</f>
        <v>189.7</v>
      </c>
      <c r="DU11" s="354">
        <f>DU7+DU9</f>
        <v>217.7</v>
      </c>
      <c r="DV11" s="354">
        <f>DV7+DV9</f>
        <v>231.7</v>
      </c>
      <c r="DW11" s="538">
        <f>AG11-SUM(DS11:DV11)</f>
        <v>0</v>
      </c>
      <c r="DX11" s="862"/>
      <c r="DY11" s="862"/>
      <c r="DZ11" s="862"/>
      <c r="EA11" s="862"/>
      <c r="EB11" s="862"/>
      <c r="EH11" s="1048"/>
      <c r="EI11" s="1048"/>
      <c r="EJ11" s="1048"/>
      <c r="EK11" s="1048"/>
      <c r="EM11" s="1048"/>
      <c r="FL11" s="1048"/>
    </row>
    <row r="12" spans="1:168" ht="12.75" customHeight="1">
      <c r="A12" s="358" t="s">
        <v>676</v>
      </c>
      <c r="B12" s="111"/>
      <c r="C12" s="111"/>
      <c r="D12" s="111"/>
      <c r="E12" s="111"/>
      <c r="F12" s="111"/>
      <c r="G12" s="77"/>
      <c r="H12" s="77"/>
      <c r="I12" s="77"/>
      <c r="J12" s="77"/>
      <c r="K12" s="14"/>
      <c r="L12" s="39">
        <f>L11/F11-1</f>
        <v>1.5926151349158202E-2</v>
      </c>
      <c r="M12" s="14"/>
      <c r="N12" s="14"/>
      <c r="O12" s="39">
        <f>O11/L11-1</f>
        <v>-1.9197968911193186E-3</v>
      </c>
      <c r="P12" s="14"/>
      <c r="Q12" s="14"/>
      <c r="R12" s="14"/>
      <c r="S12" s="39">
        <f>S11/O11-1</f>
        <v>3.8124596878963191E-2</v>
      </c>
      <c r="T12" s="14"/>
      <c r="U12" s="14"/>
      <c r="V12" s="14"/>
      <c r="W12" s="354"/>
      <c r="X12" s="354"/>
      <c r="Y12" s="359">
        <f>Y11/S11-1</f>
        <v>1.2348818889957647E-2</v>
      </c>
      <c r="Z12" s="359">
        <f t="shared" ref="Z12:AQ12" si="5">Z11/Y11-1</f>
        <v>1.7896239885768717E-2</v>
      </c>
      <c r="AA12" s="359">
        <f t="shared" si="5"/>
        <v>8.5569999064808666E-2</v>
      </c>
      <c r="AB12" s="359">
        <f t="shared" si="5"/>
        <v>2.2656788421778096E-2</v>
      </c>
      <c r="AC12" s="359">
        <f t="shared" si="5"/>
        <v>-0.32019206469547634</v>
      </c>
      <c r="AD12" s="359">
        <f t="shared" si="5"/>
        <v>9.8017348203221832E-2</v>
      </c>
      <c r="AE12" s="359">
        <f t="shared" si="5"/>
        <v>-3.2050558627694348E-2</v>
      </c>
      <c r="AF12" s="359">
        <f t="shared" si="5"/>
        <v>-7.4851346624693949E-2</v>
      </c>
      <c r="AG12" s="359">
        <f t="shared" si="5"/>
        <v>-3.4026465028356156E-3</v>
      </c>
      <c r="AH12" s="359">
        <f t="shared" si="5"/>
        <v>-4.8052604957005141E-3</v>
      </c>
      <c r="AI12" s="359">
        <f t="shared" si="5"/>
        <v>3.8119440914865521E-3</v>
      </c>
      <c r="AJ12" s="359">
        <f t="shared" si="5"/>
        <v>2.4050632911392311E-2</v>
      </c>
      <c r="AK12" s="359">
        <f t="shared" si="5"/>
        <v>-3.8318912237330083E-2</v>
      </c>
      <c r="AL12" s="359">
        <f t="shared" si="5"/>
        <v>2.5706940874035134E-3</v>
      </c>
      <c r="AM12" s="359">
        <f t="shared" si="5"/>
        <v>-1.6666666666666718E-2</v>
      </c>
      <c r="AN12" s="359">
        <f t="shared" si="5"/>
        <v>4.8239895697522739E-2</v>
      </c>
      <c r="AO12" s="359">
        <f t="shared" si="5"/>
        <v>1.4999999999999902E-2</v>
      </c>
      <c r="AP12" s="359">
        <f t="shared" si="5"/>
        <v>2.0000000000000018E-2</v>
      </c>
      <c r="AQ12" s="359">
        <f t="shared" si="5"/>
        <v>2.0000000000000018E-2</v>
      </c>
      <c r="AR12" s="359">
        <f t="shared" ref="AR12:AY12" si="6">AR11/AQ11-1</f>
        <v>2.0000000000000018E-2</v>
      </c>
      <c r="AS12" s="359">
        <f t="shared" si="6"/>
        <v>2.0000000000000018E-2</v>
      </c>
      <c r="AT12" s="359">
        <f t="shared" si="6"/>
        <v>2.0000000000000018E-2</v>
      </c>
      <c r="AU12" s="359">
        <f t="shared" si="6"/>
        <v>2.0000000000000018E-2</v>
      </c>
      <c r="AV12" s="359">
        <f t="shared" si="6"/>
        <v>2.0000000000000018E-2</v>
      </c>
      <c r="AW12" s="359">
        <f t="shared" si="6"/>
        <v>2.0000000000000018E-2</v>
      </c>
      <c r="AX12" s="359">
        <f t="shared" si="6"/>
        <v>2.0000000000000018E-2</v>
      </c>
      <c r="AY12" s="359">
        <f t="shared" si="6"/>
        <v>2.0000000000000018E-2</v>
      </c>
      <c r="AZ12" s="359"/>
      <c r="BA12" s="359"/>
      <c r="BB12" s="359"/>
      <c r="BC12" s="359"/>
      <c r="BD12" s="359"/>
      <c r="BE12" s="354"/>
      <c r="BF12" s="354"/>
      <c r="BG12" s="354"/>
      <c r="BH12" s="354"/>
      <c r="BI12" s="354"/>
      <c r="BJ12" s="354"/>
      <c r="BK12" s="354"/>
      <c r="BL12" s="354"/>
      <c r="BM12" s="354"/>
      <c r="BN12" s="14"/>
      <c r="BO12" s="14"/>
      <c r="BP12" s="14"/>
      <c r="BQ12" s="14"/>
      <c r="BR12" s="14"/>
      <c r="BS12" s="14"/>
      <c r="BT12" s="13"/>
      <c r="BU12" s="14"/>
      <c r="BV12" s="14"/>
      <c r="BW12" s="14"/>
      <c r="BX12" s="14"/>
      <c r="BY12" s="4"/>
      <c r="BZ12" s="14"/>
      <c r="CA12" s="14"/>
      <c r="CB12" s="14"/>
      <c r="CC12" s="14"/>
      <c r="CD12" s="339"/>
      <c r="CE12" s="14"/>
      <c r="CF12" s="14"/>
      <c r="CG12" s="14"/>
      <c r="CH12" s="14"/>
      <c r="CI12" s="53"/>
      <c r="CJ12" s="14"/>
      <c r="CK12" s="14"/>
      <c r="CL12" s="14"/>
      <c r="CM12" s="14"/>
      <c r="CN12" s="48"/>
      <c r="CO12" s="14"/>
      <c r="CP12" s="14"/>
      <c r="CQ12" s="14" t="s">
        <v>337</v>
      </c>
      <c r="CR12" s="14"/>
      <c r="CS12" s="49"/>
      <c r="CT12" s="39">
        <f>CT11/CO11-1</f>
        <v>5.5415617128463435E-2</v>
      </c>
      <c r="CU12" s="39">
        <f>CU11/CP11-1</f>
        <v>-4.0589296452194779E-2</v>
      </c>
      <c r="CV12" s="39">
        <f>CV11/CQ11-1</f>
        <v>-1.073011429904358E-2</v>
      </c>
      <c r="CW12" s="39">
        <f>CW11/CR11-1</f>
        <v>0.14790195263813888</v>
      </c>
      <c r="CX12" s="87"/>
      <c r="CY12" s="39">
        <f>CY11/CT11-1</f>
        <v>8.0548926014319955E-2</v>
      </c>
      <c r="CZ12" s="39">
        <f>CZ11/CU11-1</f>
        <v>-0.44844876214352869</v>
      </c>
      <c r="DA12" s="39">
        <f>DA11/CV11-1</f>
        <v>-0.53454373968403679</v>
      </c>
      <c r="DB12" s="39">
        <f>DB11/CW11-1</f>
        <v>-8.6138255519363049E-2</v>
      </c>
      <c r="DC12" s="354"/>
      <c r="DD12" s="39">
        <f>DD11/CY11-1</f>
        <v>0.26615129762562106</v>
      </c>
      <c r="DE12" s="39">
        <f>DE11/CZ11-1</f>
        <v>0.13806818181818192</v>
      </c>
      <c r="DF12" s="39">
        <f>DF11/DA11-1</f>
        <v>8.5106382978723305E-2</v>
      </c>
      <c r="DG12" s="39">
        <f>DG11/DB11-1</f>
        <v>-4.0396039603960321E-2</v>
      </c>
      <c r="DH12" s="351"/>
      <c r="DI12" s="39">
        <f>DI11/DD11-1</f>
        <v>-0.12080244221543834</v>
      </c>
      <c r="DJ12" s="39">
        <f>DJ11/DE11-1</f>
        <v>-7.1392910634048956E-2</v>
      </c>
      <c r="DK12" s="39">
        <f>DK11/DF11-1</f>
        <v>5.0420168067226934E-2</v>
      </c>
      <c r="DL12" s="39">
        <f>DL11/DG11-1</f>
        <v>1.1555922410235064E-2</v>
      </c>
      <c r="DM12" s="351"/>
      <c r="DN12" s="39">
        <f>DN11/DI11-1</f>
        <v>-0.19791666666666674</v>
      </c>
      <c r="DO12" s="39">
        <f>DO11/DJ11-1</f>
        <v>-2.4731182795698858E-2</v>
      </c>
      <c r="DP12" s="39">
        <f>DP11/DK11-1</f>
        <v>2.4000000000000021E-2</v>
      </c>
      <c r="DQ12" s="39">
        <f>DQ11/DL11-1</f>
        <v>-0.10240718074255406</v>
      </c>
      <c r="DR12" s="14"/>
      <c r="DS12" s="39">
        <f>DS11/DN11-1</f>
        <v>-6.1842918985776096E-2</v>
      </c>
      <c r="DT12" s="39">
        <f>DT11/DO11-1</f>
        <v>4.57552370452039E-2</v>
      </c>
      <c r="DU12" s="39">
        <f>DU11/DP11-1</f>
        <v>-5.5121527777777901E-2</v>
      </c>
      <c r="DV12" s="39">
        <f>DV11/DQ11-1</f>
        <v>5.3181818181818219E-2</v>
      </c>
      <c r="DX12" s="862"/>
      <c r="DY12" s="862"/>
      <c r="DZ12" s="862"/>
      <c r="EA12" s="862"/>
      <c r="EB12" s="862"/>
      <c r="EH12" s="1048"/>
      <c r="EI12" s="1048"/>
      <c r="EJ12" s="1048"/>
      <c r="EK12" s="1048"/>
      <c r="EM12" s="1048"/>
      <c r="FL12" s="1048"/>
    </row>
    <row r="13" spans="1:168" ht="12.75" customHeight="1">
      <c r="A13" s="369"/>
      <c r="B13" s="111"/>
      <c r="C13" s="111"/>
      <c r="D13" s="111"/>
      <c r="E13" s="111"/>
      <c r="F13" s="111"/>
      <c r="G13" s="77"/>
      <c r="H13" s="77"/>
      <c r="I13" s="77"/>
      <c r="J13" s="77"/>
      <c r="K13" s="14"/>
      <c r="L13" s="111"/>
      <c r="M13" s="14"/>
      <c r="N13" s="14"/>
      <c r="O13" s="111"/>
      <c r="P13" s="14"/>
      <c r="Q13" s="14"/>
      <c r="R13" s="14"/>
      <c r="S13" s="111"/>
      <c r="T13" s="14"/>
      <c r="U13" s="14"/>
      <c r="V13" s="14"/>
      <c r="W13" s="354"/>
      <c r="X13" s="354"/>
      <c r="Y13" s="370"/>
      <c r="Z13" s="370"/>
      <c r="AA13" s="370"/>
      <c r="AB13" s="354"/>
      <c r="AC13" s="354"/>
      <c r="AD13" s="354"/>
      <c r="AE13" s="354"/>
      <c r="AF13" s="354"/>
      <c r="AG13" s="354"/>
      <c r="AH13" s="354"/>
      <c r="AI13" s="354"/>
      <c r="AJ13" s="354"/>
      <c r="AK13" s="354"/>
      <c r="AL13" s="354"/>
      <c r="AM13" s="354"/>
      <c r="AN13" s="354"/>
      <c r="AO13" s="354"/>
      <c r="AP13" s="354"/>
      <c r="AQ13" s="354"/>
      <c r="AR13" s="354"/>
      <c r="AS13" s="354"/>
      <c r="AT13" s="354"/>
      <c r="AU13" s="354"/>
      <c r="AV13" s="354"/>
      <c r="AW13" s="354"/>
      <c r="AX13" s="354"/>
      <c r="AY13" s="354"/>
      <c r="AZ13" s="354"/>
      <c r="BA13" s="354"/>
      <c r="BB13" s="354"/>
      <c r="BC13" s="354"/>
      <c r="BD13" s="354"/>
      <c r="BE13" s="354"/>
      <c r="BF13" s="354"/>
      <c r="BG13" s="354"/>
      <c r="BH13" s="354"/>
      <c r="BI13" s="354"/>
      <c r="BJ13" s="354"/>
      <c r="BK13" s="354"/>
      <c r="BL13" s="354"/>
      <c r="BM13" s="354"/>
      <c r="BN13" s="14"/>
      <c r="BO13" s="14"/>
      <c r="BP13" s="14"/>
      <c r="BQ13" s="14"/>
      <c r="BR13" s="14"/>
      <c r="BS13" s="14"/>
      <c r="BT13" s="13"/>
      <c r="BU13" s="14"/>
      <c r="BV13" s="14"/>
      <c r="BW13" s="14"/>
      <c r="BX13" s="14"/>
      <c r="BY13" s="4"/>
      <c r="BZ13" s="14"/>
      <c r="CA13" s="14"/>
      <c r="CB13" s="14"/>
      <c r="CC13" s="14"/>
      <c r="CD13" s="339"/>
      <c r="CE13" s="14"/>
      <c r="CF13" s="14"/>
      <c r="CG13" s="14"/>
      <c r="CH13" s="14"/>
      <c r="CI13" s="53"/>
      <c r="CJ13" s="58"/>
      <c r="CK13" s="58"/>
      <c r="CL13" s="58"/>
      <c r="CM13" s="58"/>
      <c r="CN13" s="48"/>
      <c r="CO13" s="58"/>
      <c r="CP13" s="58"/>
      <c r="CQ13" s="58"/>
      <c r="CR13" s="58"/>
      <c r="CS13" s="49"/>
      <c r="CT13" s="58"/>
      <c r="CU13" s="58"/>
      <c r="CV13" s="58"/>
      <c r="CW13" s="58"/>
      <c r="CX13" s="87"/>
      <c r="CY13" s="87"/>
      <c r="CZ13" s="87"/>
      <c r="DA13" s="87"/>
      <c r="DB13" s="139"/>
      <c r="DC13" s="354"/>
      <c r="DD13" s="354"/>
      <c r="DE13" s="14"/>
      <c r="DF13" s="14"/>
      <c r="DG13" s="14"/>
      <c r="DH13" s="351"/>
      <c r="DI13" s="354"/>
      <c r="DJ13" s="14"/>
      <c r="DK13" s="14"/>
      <c r="DL13" s="14"/>
      <c r="DM13" s="351"/>
      <c r="DN13" s="14"/>
      <c r="DO13" s="14"/>
      <c r="DP13" s="14"/>
      <c r="DQ13" s="14"/>
      <c r="DR13" s="14"/>
      <c r="DX13" s="862"/>
      <c r="DY13" s="862"/>
      <c r="DZ13" s="862"/>
      <c r="EA13" s="862"/>
      <c r="EB13" s="862"/>
      <c r="EH13" s="1048"/>
      <c r="EI13" s="1048"/>
      <c r="EJ13" s="1048"/>
      <c r="EK13" s="1048"/>
      <c r="EM13" s="1048"/>
      <c r="FL13" s="1048"/>
    </row>
    <row r="14" spans="1:168" ht="12.75" hidden="1" customHeight="1" outlineLevel="1">
      <c r="A14" s="358" t="s">
        <v>688</v>
      </c>
      <c r="B14" s="111"/>
      <c r="C14" s="111"/>
      <c r="D14" s="111"/>
      <c r="E14" s="111"/>
      <c r="F14" s="354">
        <v>101.1</v>
      </c>
      <c r="G14" s="77"/>
      <c r="H14" s="77"/>
      <c r="I14" s="77"/>
      <c r="J14" s="77"/>
      <c r="K14" s="14"/>
      <c r="L14" s="354">
        <v>95.5</v>
      </c>
      <c r="M14" s="14"/>
      <c r="N14" s="14"/>
      <c r="O14" s="354">
        <v>113.91512158784434</v>
      </c>
      <c r="P14" s="14"/>
      <c r="Q14" s="14"/>
      <c r="R14" s="14"/>
      <c r="S14" s="354">
        <v>71.812430261511452</v>
      </c>
      <c r="T14" s="14"/>
      <c r="U14" s="14"/>
      <c r="V14" s="14"/>
      <c r="W14" s="354"/>
      <c r="X14" s="354"/>
      <c r="Y14" s="354">
        <v>47.798857353666051</v>
      </c>
      <c r="Z14" s="354">
        <v>39.339753460524776</v>
      </c>
      <c r="AA14" s="354">
        <v>101</v>
      </c>
      <c r="AB14" s="354">
        <v>101.48697408835778</v>
      </c>
      <c r="AC14" s="355">
        <v>0</v>
      </c>
      <c r="AD14" s="354">
        <v>0</v>
      </c>
      <c r="AE14" s="354">
        <v>0</v>
      </c>
      <c r="AF14" s="354">
        <v>0</v>
      </c>
      <c r="AG14" s="354">
        <v>0</v>
      </c>
      <c r="AH14" s="354">
        <v>0</v>
      </c>
      <c r="AI14" s="354">
        <v>0</v>
      </c>
      <c r="AJ14" s="354">
        <v>0</v>
      </c>
      <c r="AK14" s="354">
        <v>0</v>
      </c>
      <c r="AL14" s="354">
        <v>0</v>
      </c>
      <c r="AM14" s="354">
        <v>0</v>
      </c>
      <c r="AN14" s="354">
        <v>0</v>
      </c>
      <c r="AO14" s="354">
        <v>0</v>
      </c>
      <c r="AP14" s="354">
        <v>0</v>
      </c>
      <c r="AQ14" s="354">
        <v>0</v>
      </c>
      <c r="AR14" s="354">
        <v>0</v>
      </c>
      <c r="AS14" s="354">
        <v>0</v>
      </c>
      <c r="AT14" s="354">
        <v>0</v>
      </c>
      <c r="AU14" s="354">
        <v>0</v>
      </c>
      <c r="AV14" s="354">
        <v>0</v>
      </c>
      <c r="AW14" s="354">
        <v>0</v>
      </c>
      <c r="AX14" s="354">
        <v>0</v>
      </c>
      <c r="AY14" s="354">
        <v>0</v>
      </c>
      <c r="AZ14" s="354"/>
      <c r="BA14" s="354"/>
      <c r="BB14" s="354"/>
      <c r="BC14" s="354"/>
      <c r="BD14" s="354"/>
      <c r="BE14" s="354"/>
      <c r="BF14" s="354"/>
      <c r="BG14" s="354"/>
      <c r="BH14" s="354"/>
      <c r="BI14" s="354"/>
      <c r="BJ14" s="354"/>
      <c r="BK14" s="354"/>
      <c r="BL14" s="354"/>
      <c r="BM14" s="354"/>
      <c r="BN14" s="14"/>
      <c r="BO14" s="14"/>
      <c r="BP14" s="14"/>
      <c r="BQ14" s="14"/>
      <c r="BR14" s="14"/>
      <c r="BS14" s="14"/>
      <c r="BT14" s="13"/>
      <c r="BU14" s="14"/>
      <c r="BV14" s="14"/>
      <c r="BW14" s="14"/>
      <c r="BX14" s="14"/>
      <c r="BY14" s="4"/>
      <c r="BZ14" s="14"/>
      <c r="CA14" s="14"/>
      <c r="CB14" s="14"/>
      <c r="CC14" s="14"/>
      <c r="CD14" s="339"/>
      <c r="CE14" s="14"/>
      <c r="CF14" s="14"/>
      <c r="CG14" s="14"/>
      <c r="CH14" s="14"/>
      <c r="CI14" s="53"/>
      <c r="CJ14" s="241"/>
      <c r="CK14" s="167"/>
      <c r="CL14" s="167"/>
      <c r="CM14" s="14"/>
      <c r="CN14" s="87">
        <f>+X14-SUM(CJ14:CM14)</f>
        <v>0</v>
      </c>
      <c r="CO14" s="241">
        <f>CO19-CO16</f>
        <v>-5</v>
      </c>
      <c r="CP14" s="167">
        <f>CP19-CP16</f>
        <v>29.200000000000003</v>
      </c>
      <c r="CQ14" s="167">
        <f>CQ19-CQ16</f>
        <v>80.7</v>
      </c>
      <c r="CR14" s="167">
        <f>CR19-CR16</f>
        <v>-3.8999999999999879</v>
      </c>
      <c r="CS14" s="350">
        <f>+AA14-SUM(CO14:CR14)</f>
        <v>0</v>
      </c>
      <c r="CT14" s="241">
        <f>CT19-CT16</f>
        <v>-6.9</v>
      </c>
      <c r="CU14" s="241">
        <f>CU19-CU16</f>
        <v>22.9</v>
      </c>
      <c r="CV14" s="241">
        <f>CV19-CV16</f>
        <v>87.927199999999999</v>
      </c>
      <c r="CW14" s="241">
        <f>CW19-CW16</f>
        <v>-2.44022591164223</v>
      </c>
      <c r="CX14" s="87">
        <f>AB14-SUM(CT14:CW14)</f>
        <v>0</v>
      </c>
      <c r="CY14" s="241">
        <v>0</v>
      </c>
      <c r="CZ14" s="241">
        <v>0</v>
      </c>
      <c r="DA14" s="241">
        <f>DA19-DA16</f>
        <v>0</v>
      </c>
      <c r="DB14" s="356">
        <v>0</v>
      </c>
      <c r="DC14" s="871">
        <f>AC14-SUM(CY14:DB14)</f>
        <v>0</v>
      </c>
      <c r="DD14" s="241">
        <f>DD19-DD16</f>
        <v>0</v>
      </c>
      <c r="DE14" s="356">
        <v>0</v>
      </c>
      <c r="DF14" s="356">
        <v>0</v>
      </c>
      <c r="DG14" s="356">
        <v>0</v>
      </c>
      <c r="DH14" s="357">
        <f>AD14-SUM(DD14:DG14)</f>
        <v>0</v>
      </c>
      <c r="DI14" s="356">
        <v>0</v>
      </c>
      <c r="DJ14" s="356">
        <v>0</v>
      </c>
      <c r="DK14" s="356">
        <v>0</v>
      </c>
      <c r="DL14" s="356">
        <v>0</v>
      </c>
      <c r="DM14" s="357">
        <f>AE14-SUM(DI14:DL14)</f>
        <v>0</v>
      </c>
      <c r="DN14" s="356">
        <v>0</v>
      </c>
      <c r="DO14" s="356">
        <v>0</v>
      </c>
      <c r="DP14" s="356">
        <v>0</v>
      </c>
      <c r="DQ14" s="356">
        <v>0</v>
      </c>
      <c r="DR14" s="538">
        <f>AF14-SUM(DN14:DQ14)</f>
        <v>0</v>
      </c>
      <c r="DS14" s="356">
        <v>0</v>
      </c>
      <c r="DT14" s="356">
        <v>0</v>
      </c>
      <c r="DU14" s="356">
        <v>0</v>
      </c>
      <c r="DV14" s="356">
        <v>0</v>
      </c>
      <c r="DW14" s="538">
        <f>AG14-SUM(DS14:DV14)</f>
        <v>0</v>
      </c>
      <c r="DX14" s="862"/>
      <c r="DY14" s="862"/>
      <c r="DZ14" s="862"/>
      <c r="EA14" s="862"/>
      <c r="EB14" s="862"/>
      <c r="EH14" s="1048"/>
      <c r="EI14" s="1048"/>
      <c r="EJ14" s="1048"/>
      <c r="EK14" s="1048"/>
      <c r="EM14" s="1048"/>
      <c r="FL14" s="1048"/>
    </row>
    <row r="15" spans="1:168" ht="12.75" hidden="1" customHeight="1" outlineLevel="1">
      <c r="A15" s="358" t="s">
        <v>676</v>
      </c>
      <c r="B15" s="111"/>
      <c r="C15" s="111"/>
      <c r="D15" s="111"/>
      <c r="E15" s="111"/>
      <c r="F15" s="111"/>
      <c r="G15" s="77"/>
      <c r="H15" s="77"/>
      <c r="I15" s="77"/>
      <c r="J15" s="77"/>
      <c r="K15" s="14"/>
      <c r="L15" s="39">
        <f>L14/F14-1</f>
        <v>-5.5390702274975223E-2</v>
      </c>
      <c r="M15" s="14"/>
      <c r="N15" s="14"/>
      <c r="O15" s="39">
        <f>O14/L14-1</f>
        <v>0.19282849830203497</v>
      </c>
      <c r="P15" s="14"/>
      <c r="Q15" s="14"/>
      <c r="R15" s="14"/>
      <c r="S15" s="39">
        <f>S14/O14-1</f>
        <v>-0.36959703627991025</v>
      </c>
      <c r="T15" s="14"/>
      <c r="U15" s="14"/>
      <c r="V15" s="14"/>
      <c r="W15" s="354"/>
      <c r="X15" s="359"/>
      <c r="Y15" s="359">
        <f>Y14/S14-1</f>
        <v>-0.33439298489687375</v>
      </c>
      <c r="Z15" s="359">
        <f>Z14/Y14-1</f>
        <v>-0.17697293118435775</v>
      </c>
      <c r="AA15" s="359">
        <f>AA14/Z14-1</f>
        <v>1.5673775536328107</v>
      </c>
      <c r="AB15" s="359">
        <f>AB14/AA14-1</f>
        <v>4.8215256273047569E-3</v>
      </c>
      <c r="AC15" s="360" t="s">
        <v>737</v>
      </c>
      <c r="AD15" s="360" t="s">
        <v>737</v>
      </c>
      <c r="AE15" s="360" t="s">
        <v>737</v>
      </c>
      <c r="AF15" s="360" t="s">
        <v>737</v>
      </c>
      <c r="AG15" s="360" t="s">
        <v>737</v>
      </c>
      <c r="AH15" s="360" t="s">
        <v>737</v>
      </c>
      <c r="AI15" s="360" t="s">
        <v>737</v>
      </c>
      <c r="AJ15" s="360" t="s">
        <v>737</v>
      </c>
      <c r="AK15" s="360" t="s">
        <v>737</v>
      </c>
      <c r="AL15" s="360" t="s">
        <v>737</v>
      </c>
      <c r="AM15" s="360" t="s">
        <v>737</v>
      </c>
      <c r="AN15" s="360" t="s">
        <v>737</v>
      </c>
      <c r="AO15" s="360" t="s">
        <v>737</v>
      </c>
      <c r="AP15" s="360" t="s">
        <v>737</v>
      </c>
      <c r="AQ15" s="360" t="s">
        <v>737</v>
      </c>
      <c r="AR15" s="360" t="s">
        <v>737</v>
      </c>
      <c r="AS15" s="360" t="s">
        <v>737</v>
      </c>
      <c r="AT15" s="360" t="s">
        <v>737</v>
      </c>
      <c r="AU15" s="360" t="s">
        <v>737</v>
      </c>
      <c r="AV15" s="360" t="s">
        <v>737</v>
      </c>
      <c r="AW15" s="360" t="s">
        <v>737</v>
      </c>
      <c r="AX15" s="360" t="s">
        <v>737</v>
      </c>
      <c r="AY15" s="360" t="s">
        <v>737</v>
      </c>
      <c r="AZ15" s="360"/>
      <c r="BA15" s="360"/>
      <c r="BB15" s="360"/>
      <c r="BC15" s="360"/>
      <c r="BD15" s="360"/>
      <c r="BE15" s="354"/>
      <c r="BF15" s="354"/>
      <c r="BG15" s="354"/>
      <c r="BH15" s="354"/>
      <c r="BI15" s="354"/>
      <c r="BJ15" s="354"/>
      <c r="BK15" s="354"/>
      <c r="BL15" s="354"/>
      <c r="BM15" s="354"/>
      <c r="BN15" s="14"/>
      <c r="BO15" s="14"/>
      <c r="BP15" s="14"/>
      <c r="BQ15" s="14"/>
      <c r="BR15" s="14"/>
      <c r="BS15" s="14"/>
      <c r="BT15" s="13"/>
      <c r="BU15" s="14"/>
      <c r="BV15" s="14"/>
      <c r="BW15" s="14"/>
      <c r="BX15" s="14"/>
      <c r="BY15" s="4"/>
      <c r="BZ15" s="14"/>
      <c r="CA15" s="14"/>
      <c r="CB15" s="14"/>
      <c r="CC15" s="14"/>
      <c r="CD15" s="339"/>
      <c r="CE15" s="14"/>
      <c r="CF15" s="14"/>
      <c r="CG15" s="14"/>
      <c r="CH15" s="14"/>
      <c r="CI15" s="53"/>
      <c r="CJ15" s="39"/>
      <c r="CK15" s="39"/>
      <c r="CL15" s="39"/>
      <c r="CM15" s="39"/>
      <c r="CN15" s="48"/>
      <c r="CO15" s="39"/>
      <c r="CP15" s="39"/>
      <c r="CQ15" s="39"/>
      <c r="CR15" s="39"/>
      <c r="CS15" s="49"/>
      <c r="CT15" s="39">
        <f>+CT14/CO14-1</f>
        <v>0.38000000000000012</v>
      </c>
      <c r="CU15" s="39">
        <f>+CU14/CP14-1</f>
        <v>-0.21575342465753433</v>
      </c>
      <c r="CV15" s="39">
        <f>+CV14/CQ14-1</f>
        <v>8.9556381660470752E-2</v>
      </c>
      <c r="CW15" s="371" t="s">
        <v>860</v>
      </c>
      <c r="CX15" s="87"/>
      <c r="CY15" s="39">
        <f>+CY14/CT14-1</f>
        <v>-1</v>
      </c>
      <c r="CZ15" s="359">
        <f>+CZ14/CU14-1</f>
        <v>-1</v>
      </c>
      <c r="DA15" s="359">
        <f>+DA14/CV14-1</f>
        <v>-1</v>
      </c>
      <c r="DB15" s="359">
        <f>+DB14/CW14-1</f>
        <v>-1</v>
      </c>
      <c r="DC15" s="354"/>
      <c r="DD15" s="361" t="s">
        <v>737</v>
      </c>
      <c r="DE15" s="361" t="s">
        <v>737</v>
      </c>
      <c r="DF15" s="361" t="s">
        <v>737</v>
      </c>
      <c r="DG15" s="361" t="s">
        <v>737</v>
      </c>
      <c r="DH15" s="351"/>
      <c r="DI15" s="361" t="s">
        <v>737</v>
      </c>
      <c r="DJ15" s="361" t="s">
        <v>737</v>
      </c>
      <c r="DK15" s="361" t="s">
        <v>737</v>
      </c>
      <c r="DL15" s="361" t="s">
        <v>737</v>
      </c>
      <c r="DM15" s="351"/>
      <c r="DN15" s="361" t="s">
        <v>737</v>
      </c>
      <c r="DO15" s="361" t="s">
        <v>737</v>
      </c>
      <c r="DP15" s="361" t="s">
        <v>737</v>
      </c>
      <c r="DQ15" s="361" t="s">
        <v>737</v>
      </c>
      <c r="DR15" s="14"/>
      <c r="DS15" s="361" t="s">
        <v>737</v>
      </c>
      <c r="DT15" s="361" t="s">
        <v>737</v>
      </c>
      <c r="DU15" s="361" t="s">
        <v>737</v>
      </c>
      <c r="DV15" s="361" t="s">
        <v>737</v>
      </c>
      <c r="DX15" s="862"/>
      <c r="DY15" s="862"/>
      <c r="DZ15" s="862"/>
      <c r="EA15" s="862"/>
      <c r="EB15" s="862"/>
      <c r="EH15" s="1048"/>
      <c r="EI15" s="1048"/>
      <c r="EJ15" s="1048"/>
      <c r="EK15" s="1048"/>
      <c r="EM15" s="1048"/>
      <c r="FL15" s="1048"/>
    </row>
    <row r="16" spans="1:168" s="875" customFormat="1" ht="12.75" customHeight="1" collapsed="1">
      <c r="A16" s="425" t="s">
        <v>689</v>
      </c>
      <c r="B16" s="3305"/>
      <c r="C16" s="3305"/>
      <c r="D16" s="3305"/>
      <c r="E16" s="3305"/>
      <c r="F16" s="2782">
        <v>71.22</v>
      </c>
      <c r="G16" s="2782"/>
      <c r="H16" s="2782"/>
      <c r="I16" s="2782"/>
      <c r="J16" s="2782"/>
      <c r="K16" s="319"/>
      <c r="L16" s="2782">
        <v>74</v>
      </c>
      <c r="M16" s="319"/>
      <c r="N16" s="319"/>
      <c r="O16" s="2782">
        <v>71.3</v>
      </c>
      <c r="P16" s="319"/>
      <c r="Q16" s="319"/>
      <c r="R16" s="319"/>
      <c r="S16" s="2782">
        <v>65.099999999999994</v>
      </c>
      <c r="T16" s="319"/>
      <c r="U16" s="319"/>
      <c r="V16" s="319"/>
      <c r="W16" s="2780"/>
      <c r="X16" s="3306"/>
      <c r="Y16" s="3307">
        <f>Y19-Y14</f>
        <v>113.10114264633393</v>
      </c>
      <c r="Z16" s="3307">
        <f>Z19-Z14</f>
        <v>108.76024653947522</v>
      </c>
      <c r="AA16" s="3307">
        <f>AA19-AA14</f>
        <v>79.199999999999989</v>
      </c>
      <c r="AB16" s="3307">
        <f>AB19-AB14</f>
        <v>83.313025911642228</v>
      </c>
      <c r="AC16" s="3306">
        <v>78</v>
      </c>
      <c r="AD16" s="3306">
        <v>97.2</v>
      </c>
      <c r="AE16" s="2780">
        <f>SUM(DI16:DL16)</f>
        <v>88.2</v>
      </c>
      <c r="AF16" s="2780">
        <f>SUM(DN16:DQ16)</f>
        <v>52.4</v>
      </c>
      <c r="AG16" s="2780">
        <f>SUM(DS16:DV16)</f>
        <v>71.800000000000011</v>
      </c>
      <c r="AH16" s="2780">
        <f>'Publishing (new)'!O16</f>
        <v>92</v>
      </c>
      <c r="AI16" s="2780">
        <f>'Publishing (new)'!P16</f>
        <v>89</v>
      </c>
      <c r="AJ16" s="3308">
        <f>Drivers!M91</f>
        <v>113</v>
      </c>
      <c r="AK16" s="3308">
        <f>Drivers!N91</f>
        <v>107</v>
      </c>
      <c r="AL16" s="3308">
        <f>Drivers!Q91</f>
        <v>120</v>
      </c>
      <c r="AM16" s="3308">
        <f>Drivers!R91</f>
        <v>125</v>
      </c>
      <c r="AN16" s="3308">
        <f>Drivers!T91</f>
        <v>136.852</v>
      </c>
      <c r="AO16" s="3308">
        <f>Drivers!U91</f>
        <v>136.163265</v>
      </c>
      <c r="AP16" s="2780">
        <f>'Publishing (new)'!W16</f>
        <v>141.05962499999998</v>
      </c>
      <c r="AQ16" s="2780">
        <f>'Publishing (new)'!X16</f>
        <v>146.05391220000001</v>
      </c>
      <c r="AR16" s="2780">
        <f>'Publishing (new)'!Y16</f>
        <v>151.14808514399999</v>
      </c>
      <c r="AS16" s="2780">
        <f>'Publishing (new)'!Z16</f>
        <v>156.34414154688</v>
      </c>
      <c r="AT16" s="2780">
        <f>'Publishing (new)'!AA16</f>
        <v>161.64411907781761</v>
      </c>
      <c r="AU16" s="2780">
        <f>'Publishing (new)'!AB16</f>
        <v>167.05009615937396</v>
      </c>
      <c r="AV16" s="2780">
        <f>'Publishing (new)'!AC16</f>
        <v>172.56419278256143</v>
      </c>
      <c r="AW16" s="2780">
        <f>'Publishing (new)'!AD16</f>
        <v>178.18857133821265</v>
      </c>
      <c r="AX16" s="2780">
        <f>'Publishing (new)'!AE16</f>
        <v>183.92543746497691</v>
      </c>
      <c r="AY16" s="2780">
        <f>'Publishing (new)'!AF16</f>
        <v>189.77704091427645</v>
      </c>
      <c r="AZ16" s="2780"/>
      <c r="BA16" s="2780"/>
      <c r="BB16" s="2780"/>
      <c r="BC16" s="2780"/>
      <c r="BD16" s="2780"/>
      <c r="BE16" s="2780"/>
      <c r="BF16" s="2780"/>
      <c r="BG16" s="2780"/>
      <c r="BH16" s="2780"/>
      <c r="BI16" s="2780"/>
      <c r="BJ16" s="2780"/>
      <c r="BK16" s="2780"/>
      <c r="BL16" s="2780"/>
      <c r="BM16" s="2780"/>
      <c r="BN16" s="319"/>
      <c r="BO16" s="319"/>
      <c r="BP16" s="319"/>
      <c r="BQ16" s="319"/>
      <c r="BR16" s="319"/>
      <c r="BS16" s="319"/>
      <c r="BT16" s="318"/>
      <c r="BU16" s="319"/>
      <c r="BV16" s="319"/>
      <c r="BW16" s="319"/>
      <c r="BX16" s="319"/>
      <c r="BY16" s="3309"/>
      <c r="BZ16" s="319"/>
      <c r="CA16" s="319"/>
      <c r="CB16" s="319"/>
      <c r="CC16" s="319"/>
      <c r="CD16" s="3310"/>
      <c r="CE16" s="319"/>
      <c r="CF16" s="319"/>
      <c r="CG16" s="319"/>
      <c r="CH16" s="319"/>
      <c r="CI16" s="2776"/>
      <c r="CJ16" s="2782"/>
      <c r="CK16" s="2782"/>
      <c r="CL16" s="2782"/>
      <c r="CM16" s="3311"/>
      <c r="CN16" s="3312">
        <f>+X16-SUM(CJ16:CM16)</f>
        <v>0</v>
      </c>
      <c r="CO16" s="2782">
        <v>5</v>
      </c>
      <c r="CP16" s="2782">
        <v>15</v>
      </c>
      <c r="CQ16" s="2782">
        <v>30</v>
      </c>
      <c r="CR16" s="3311">
        <f>AA16-SUM(CO16:CQ16)</f>
        <v>29.199999999999989</v>
      </c>
      <c r="CS16" s="3313">
        <f>+AA16-SUM(CO16:CR16)</f>
        <v>0</v>
      </c>
      <c r="CT16" s="2782">
        <v>3</v>
      </c>
      <c r="CU16" s="2782">
        <v>10</v>
      </c>
      <c r="CV16" s="319">
        <f>CV9*CV17</f>
        <v>27.372800000000002</v>
      </c>
      <c r="CW16" s="3311">
        <f>AB16-SUM(CT16:CV16)</f>
        <v>42.94022591164223</v>
      </c>
      <c r="CX16" s="3312">
        <f>AB16-SUM(CT16:CW16)</f>
        <v>0</v>
      </c>
      <c r="CY16" s="3306">
        <f>16.4-CZ16</f>
        <v>5.7999999999999989</v>
      </c>
      <c r="CZ16" s="3306">
        <v>10.6</v>
      </c>
      <c r="DA16" s="3306">
        <v>23.2</v>
      </c>
      <c r="DB16" s="2780">
        <f>AC16-SUM(CY16:DA16)</f>
        <v>38.400000000000006</v>
      </c>
      <c r="DC16" s="3314">
        <f>AC16-SUM(CY16:DB16)</f>
        <v>0</v>
      </c>
      <c r="DD16" s="2782">
        <v>23.8</v>
      </c>
      <c r="DE16" s="2782">
        <v>20.100000000000001</v>
      </c>
      <c r="DF16" s="3306">
        <v>23.8</v>
      </c>
      <c r="DG16" s="3306">
        <v>29.5</v>
      </c>
      <c r="DH16" s="3315">
        <f>AD16-SUM(DD16:DG16)</f>
        <v>0</v>
      </c>
      <c r="DI16" s="2782">
        <v>17.100000000000001</v>
      </c>
      <c r="DJ16" s="2782">
        <v>17</v>
      </c>
      <c r="DK16" s="2782">
        <v>25.8</v>
      </c>
      <c r="DL16" s="3306">
        <v>28.3</v>
      </c>
      <c r="DM16" s="3315">
        <f>AE16-SUM(DI16:DL16)</f>
        <v>0</v>
      </c>
      <c r="DN16" s="2782">
        <v>0.1</v>
      </c>
      <c r="DO16" s="2782">
        <v>10.3</v>
      </c>
      <c r="DP16" s="2782">
        <v>28.4</v>
      </c>
      <c r="DQ16" s="2782">
        <v>13.6</v>
      </c>
      <c r="DR16" s="3316">
        <f>AF16-SUM(DN16:DQ16)</f>
        <v>0</v>
      </c>
      <c r="DS16" s="319">
        <f>Drivers!BQ91</f>
        <v>3.6</v>
      </c>
      <c r="DT16" s="319">
        <f>Drivers!BR91</f>
        <v>16.899999999999999</v>
      </c>
      <c r="DU16" s="319">
        <f>Drivers!BS91</f>
        <v>31.2</v>
      </c>
      <c r="DV16" s="319">
        <f>Drivers!BT91</f>
        <v>20.100000000000001</v>
      </c>
      <c r="DW16" s="3316">
        <f>AG16-SUM(DS16:DV16)</f>
        <v>0</v>
      </c>
      <c r="DX16" s="36"/>
      <c r="DY16" s="36"/>
      <c r="DZ16" s="36"/>
      <c r="EA16" s="36"/>
      <c r="EB16" s="36"/>
      <c r="EH16" s="2774"/>
      <c r="EI16" s="2774"/>
      <c r="EJ16" s="2774"/>
      <c r="EK16" s="2774"/>
      <c r="EM16" s="2774"/>
      <c r="FL16" s="2774"/>
    </row>
    <row r="17" spans="1:168" ht="12.75" customHeight="1">
      <c r="A17" s="372" t="s">
        <v>690</v>
      </c>
      <c r="B17" s="111"/>
      <c r="C17" s="111"/>
      <c r="D17" s="111"/>
      <c r="E17" s="111"/>
      <c r="F17" s="39">
        <f>F16/F9</f>
        <v>0.12614240170031879</v>
      </c>
      <c r="G17" s="77"/>
      <c r="H17" s="77"/>
      <c r="I17" s="77"/>
      <c r="J17" s="77"/>
      <c r="K17" s="14"/>
      <c r="L17" s="39">
        <f>L16/L9</f>
        <v>0.12117242508596691</v>
      </c>
      <c r="M17" s="14"/>
      <c r="N17" s="14"/>
      <c r="O17" s="39">
        <f>O16/O9</f>
        <v>0.11963087248322148</v>
      </c>
      <c r="P17" s="14"/>
      <c r="Q17" s="14"/>
      <c r="R17" s="14"/>
      <c r="S17" s="39">
        <f>S16/S9</f>
        <v>0.10035455526437488</v>
      </c>
      <c r="T17" s="14"/>
      <c r="U17" s="14"/>
      <c r="V17" s="14"/>
      <c r="W17" s="14"/>
      <c r="X17" s="39"/>
      <c r="Y17" s="39">
        <f t="shared" ref="Y17:AD17" si="7">Y16/Y9</f>
        <v>0.16800931332428537</v>
      </c>
      <c r="Z17" s="39">
        <f t="shared" si="7"/>
        <v>0.15639144213993614</v>
      </c>
      <c r="AA17" s="39">
        <f t="shared" si="7"/>
        <v>0.10512738548305949</v>
      </c>
      <c r="AB17" s="39">
        <f t="shared" si="7"/>
        <v>0.10713366527379398</v>
      </c>
      <c r="AC17" s="39">
        <f t="shared" si="7"/>
        <v>9.6658587000163568E-2</v>
      </c>
      <c r="AD17" s="39">
        <f t="shared" si="7"/>
        <v>0.10969416544408081</v>
      </c>
      <c r="AE17" s="39">
        <f t="shared" ref="AE17:AQ17" si="8">AE16/AE9</f>
        <v>0.10283315844700944</v>
      </c>
      <c r="AF17" s="39">
        <f t="shared" si="8"/>
        <v>6.6036546943919347E-2</v>
      </c>
      <c r="AG17" s="39">
        <f t="shared" si="8"/>
        <v>9.0794132524026322E-2</v>
      </c>
      <c r="AH17" s="39">
        <f t="shared" si="8"/>
        <v>0.11689961880559085</v>
      </c>
      <c r="AI17" s="39">
        <f t="shared" si="8"/>
        <v>0.11265822784810127</v>
      </c>
      <c r="AJ17" s="39">
        <f t="shared" si="8"/>
        <v>0.13967861557478367</v>
      </c>
      <c r="AK17" s="39">
        <f t="shared" si="8"/>
        <v>0.13753213367609254</v>
      </c>
      <c r="AL17" s="39">
        <f>AL16/AL9</f>
        <v>0.15384615384615385</v>
      </c>
      <c r="AM17" s="39">
        <f t="shared" si="8"/>
        <v>0.16297262059973924</v>
      </c>
      <c r="AN17" s="39">
        <f t="shared" si="8"/>
        <v>0.17021393034825871</v>
      </c>
      <c r="AO17" s="39">
        <f t="shared" ref="AO17" si="9">AO16/AO9</f>
        <v>0.16685447761194031</v>
      </c>
      <c r="AP17" s="39">
        <f t="shared" si="8"/>
        <v>0.16946517412935322</v>
      </c>
      <c r="AQ17" s="39">
        <f t="shared" si="8"/>
        <v>0.17202468051897377</v>
      </c>
      <c r="AR17" s="39">
        <f t="shared" ref="AR17:AW17" si="10">AR16/AR9</f>
        <v>0.1745340005087978</v>
      </c>
      <c r="AS17" s="39">
        <f t="shared" si="10"/>
        <v>0.1769941181458802</v>
      </c>
      <c r="AT17" s="39">
        <f t="shared" si="10"/>
        <v>0.17940599818223552</v>
      </c>
      <c r="AU17" s="39">
        <f t="shared" si="10"/>
        <v>0.18177058645317207</v>
      </c>
      <c r="AV17" s="39">
        <f t="shared" si="10"/>
        <v>0.18408881024820792</v>
      </c>
      <c r="AW17" s="39">
        <f t="shared" si="10"/>
        <v>0.18636157867471362</v>
      </c>
      <c r="AX17" s="39">
        <f>AX16/AX9</f>
        <v>0.18858978301442514</v>
      </c>
      <c r="AY17" s="39">
        <f>AY16/AY9</f>
        <v>0.19077429707296581</v>
      </c>
      <c r="AZ17" s="359"/>
      <c r="BA17" s="359"/>
      <c r="BB17" s="359"/>
      <c r="BC17" s="359"/>
      <c r="BD17" s="359"/>
      <c r="BE17" s="354"/>
      <c r="BF17" s="14"/>
      <c r="BG17" s="14"/>
      <c r="BH17" s="14"/>
      <c r="BI17" s="14"/>
      <c r="BJ17" s="14"/>
      <c r="BK17" s="14"/>
      <c r="BL17" s="14"/>
      <c r="BM17" s="14"/>
      <c r="BN17" s="14"/>
      <c r="BO17" s="14"/>
      <c r="BP17" s="14"/>
      <c r="BQ17" s="14"/>
      <c r="BR17" s="14"/>
      <c r="BS17" s="14"/>
      <c r="BT17" s="13"/>
      <c r="BU17" s="14"/>
      <c r="BV17" s="14"/>
      <c r="BW17" s="14"/>
      <c r="BX17" s="14"/>
      <c r="BY17" s="4"/>
      <c r="BZ17" s="14"/>
      <c r="CA17" s="14"/>
      <c r="CB17" s="14"/>
      <c r="CC17" s="14"/>
      <c r="CD17" s="339"/>
      <c r="CE17" s="14"/>
      <c r="CF17" s="14"/>
      <c r="CG17" s="14"/>
      <c r="CH17" s="14"/>
      <c r="CI17" s="53"/>
      <c r="CJ17" s="242"/>
      <c r="CK17" s="242"/>
      <c r="CL17" s="242"/>
      <c r="CM17" s="242"/>
      <c r="CN17" s="49"/>
      <c r="CO17" s="242">
        <f>+CO16/CO9</f>
        <v>3.3602150537634407E-2</v>
      </c>
      <c r="CP17" s="242">
        <f>+CP16/CP9</f>
        <v>8.2146768893756841E-2</v>
      </c>
      <c r="CQ17" s="242">
        <f>+CQ16/CQ9</f>
        <v>0.14423076923076922</v>
      </c>
      <c r="CR17" s="242">
        <f>+CR16/CR9</f>
        <v>0.13646662740334858</v>
      </c>
      <c r="CS17" s="49"/>
      <c r="CT17" s="242">
        <f>+CT16/CT9</f>
        <v>1.9035532994923859E-2</v>
      </c>
      <c r="CU17" s="242">
        <f>+CU16/CU9</f>
        <v>5.7438253877082138E-2</v>
      </c>
      <c r="CV17" s="119">
        <v>0.14000000000000001</v>
      </c>
      <c r="CW17" s="242">
        <f>+CW16/CW9</f>
        <v>0.17146258791572541</v>
      </c>
      <c r="CX17" s="87"/>
      <c r="CY17" s="242">
        <f>+CY16/CY9</f>
        <v>3.2282482856888402E-2</v>
      </c>
      <c r="CZ17" s="242">
        <f>+CZ16/CZ9</f>
        <v>5.9751972942502812E-2</v>
      </c>
      <c r="DA17" s="242">
        <f>+DA16/DA9</f>
        <v>0.11752786220871327</v>
      </c>
      <c r="DB17" s="242">
        <f>DB16/DB9</f>
        <v>0.1520792079207921</v>
      </c>
      <c r="DC17" s="354"/>
      <c r="DD17" s="242">
        <f>DD16/DD9</f>
        <v>0.10379415612734409</v>
      </c>
      <c r="DE17" s="242">
        <f>DE16/DE9</f>
        <v>0.10034947578632052</v>
      </c>
      <c r="DF17" s="359">
        <v>0.11600000000000001</v>
      </c>
      <c r="DG17" s="242">
        <f>DG16/DG9</f>
        <v>0.1217498968221213</v>
      </c>
      <c r="DH17" s="351"/>
      <c r="DI17" s="242">
        <f>DI16/DI9</f>
        <v>8.4821428571428575E-2</v>
      </c>
      <c r="DJ17" s="242">
        <f>DJ16/DJ9</f>
        <v>9.1397849462365593E-2</v>
      </c>
      <c r="DK17" s="242">
        <f>DK16/DK9</f>
        <v>0.11466666666666667</v>
      </c>
      <c r="DL17" s="242">
        <f>DL16/DL9</f>
        <v>0.11546307629538964</v>
      </c>
      <c r="DM17" s="351"/>
      <c r="DN17" s="242">
        <f>DN16/DN9</f>
        <v>6.1842918985776133E-4</v>
      </c>
      <c r="DO17" s="242">
        <f>DO16/DO9</f>
        <v>5.6780595369349506E-2</v>
      </c>
      <c r="DP17" s="242">
        <f>DP16/DP9</f>
        <v>0.12326388888888888</v>
      </c>
      <c r="DQ17" s="242">
        <f>DQ16/DQ9</f>
        <v>6.1818181818181814E-2</v>
      </c>
      <c r="DR17" s="14"/>
      <c r="DS17" s="242">
        <f>DS16/DS9</f>
        <v>2.3731048121292026E-2</v>
      </c>
      <c r="DT17" s="242">
        <f>DT16/DT9</f>
        <v>8.9088033737480227E-2</v>
      </c>
      <c r="DU17" s="242">
        <f>DU16/DU9</f>
        <v>0.14331649058337162</v>
      </c>
      <c r="DV17" s="242">
        <f>DV16/DV9</f>
        <v>8.6750107898144163E-2</v>
      </c>
      <c r="DX17" s="862"/>
      <c r="DY17" s="862"/>
      <c r="DZ17" s="862"/>
      <c r="EA17" s="862"/>
      <c r="EB17" s="862"/>
      <c r="EH17" s="1048"/>
      <c r="EI17" s="1048"/>
      <c r="EJ17" s="1048"/>
      <c r="EK17" s="1048"/>
      <c r="EM17" s="1048"/>
      <c r="FL17" s="1048"/>
    </row>
    <row r="18" spans="1:168" ht="12.75" customHeight="1">
      <c r="A18" s="363" t="s">
        <v>676</v>
      </c>
      <c r="B18" s="364"/>
      <c r="C18" s="364"/>
      <c r="D18" s="364"/>
      <c r="E18" s="364"/>
      <c r="F18" s="364"/>
      <c r="G18" s="365"/>
      <c r="H18" s="365"/>
      <c r="I18" s="365"/>
      <c r="J18" s="365"/>
      <c r="K18" s="317"/>
      <c r="L18" s="366">
        <f>L16/F16-1</f>
        <v>3.9033979219320392E-2</v>
      </c>
      <c r="M18" s="317"/>
      <c r="N18" s="317"/>
      <c r="O18" s="366">
        <f>O16/L16-1</f>
        <v>-3.6486486486486558E-2</v>
      </c>
      <c r="P18" s="317"/>
      <c r="Q18" s="317"/>
      <c r="R18" s="317"/>
      <c r="S18" s="366">
        <f>S16/O16-1</f>
        <v>-8.6956521739130488E-2</v>
      </c>
      <c r="T18" s="317"/>
      <c r="U18" s="317"/>
      <c r="V18" s="317"/>
      <c r="W18" s="317"/>
      <c r="X18" s="317"/>
      <c r="Y18" s="366">
        <f>Y16/S16-1</f>
        <v>0.73734474111112047</v>
      </c>
      <c r="Z18" s="366">
        <f t="shared" ref="Z18:AQ18" si="11">Z16/Y16-1</f>
        <v>-3.8380656510541566E-2</v>
      </c>
      <c r="AA18" s="366">
        <f t="shared" si="11"/>
        <v>-0.27179275038463757</v>
      </c>
      <c r="AB18" s="366">
        <f t="shared" si="11"/>
        <v>5.1932145349018244E-2</v>
      </c>
      <c r="AC18" s="366">
        <f t="shared" si="11"/>
        <v>-6.3771851442257832E-2</v>
      </c>
      <c r="AD18" s="366">
        <f t="shared" si="11"/>
        <v>0.24615384615384617</v>
      </c>
      <c r="AE18" s="366">
        <f t="shared" si="11"/>
        <v>-9.259259259259256E-2</v>
      </c>
      <c r="AF18" s="366">
        <f t="shared" si="11"/>
        <v>-0.4058956916099774</v>
      </c>
      <c r="AG18" s="366">
        <f t="shared" si="11"/>
        <v>0.37022900763358813</v>
      </c>
      <c r="AH18" s="366">
        <f t="shared" si="11"/>
        <v>0.28133704735376019</v>
      </c>
      <c r="AI18" s="366">
        <f t="shared" si="11"/>
        <v>-3.2608695652173947E-2</v>
      </c>
      <c r="AJ18" s="366">
        <f t="shared" si="11"/>
        <v>0.2696629213483146</v>
      </c>
      <c r="AK18" s="366">
        <f t="shared" si="11"/>
        <v>-5.3097345132743334E-2</v>
      </c>
      <c r="AL18" s="366">
        <f t="shared" si="11"/>
        <v>0.12149532710280364</v>
      </c>
      <c r="AM18" s="366">
        <f t="shared" si="11"/>
        <v>4.1666666666666741E-2</v>
      </c>
      <c r="AN18" s="366">
        <f t="shared" si="11"/>
        <v>9.4816000000000011E-2</v>
      </c>
      <c r="AO18" s="366">
        <f t="shared" si="11"/>
        <v>-5.0326995586473799E-3</v>
      </c>
      <c r="AP18" s="366">
        <f t="shared" si="11"/>
        <v>3.595947849811032E-2</v>
      </c>
      <c r="AQ18" s="366">
        <f t="shared" si="11"/>
        <v>3.5405504587156189E-2</v>
      </c>
      <c r="AR18" s="366">
        <f t="shared" ref="AR18:AY18" si="12">AR16/AQ16-1</f>
        <v>3.4878716134794319E-2</v>
      </c>
      <c r="AS18" s="366">
        <f t="shared" si="12"/>
        <v>3.4377255907209747E-2</v>
      </c>
      <c r="AT18" s="366">
        <f t="shared" si="12"/>
        <v>3.3899431590459717E-2</v>
      </c>
      <c r="AU18" s="366">
        <f t="shared" si="12"/>
        <v>3.3443697874055323E-2</v>
      </c>
      <c r="AV18" s="366">
        <f t="shared" si="12"/>
        <v>3.3008640820695767E-2</v>
      </c>
      <c r="AW18" s="366">
        <f t="shared" si="12"/>
        <v>3.2592964188915996E-2</v>
      </c>
      <c r="AX18" s="366">
        <f t="shared" si="12"/>
        <v>3.2195477429780572E-2</v>
      </c>
      <c r="AY18" s="366">
        <f t="shared" si="12"/>
        <v>3.1815085123360509E-2</v>
      </c>
      <c r="AZ18" s="359"/>
      <c r="BA18" s="359"/>
      <c r="BB18" s="359"/>
      <c r="BC18" s="359"/>
      <c r="BD18" s="359"/>
      <c r="BE18" s="354"/>
      <c r="BF18" s="14"/>
      <c r="BG18" s="14"/>
      <c r="BH18" s="14"/>
      <c r="BI18" s="14"/>
      <c r="BJ18" s="14"/>
      <c r="BK18" s="14"/>
      <c r="BL18" s="14"/>
      <c r="BM18" s="14"/>
      <c r="BN18" s="14"/>
      <c r="BO18" s="14"/>
      <c r="BP18" s="14"/>
      <c r="BQ18" s="14"/>
      <c r="BR18" s="14"/>
      <c r="BS18" s="14"/>
      <c r="BT18" s="13"/>
      <c r="BU18" s="14"/>
      <c r="BV18" s="14"/>
      <c r="BW18" s="14"/>
      <c r="BX18" s="14"/>
      <c r="BY18" s="4"/>
      <c r="BZ18" s="14"/>
      <c r="CA18" s="14"/>
      <c r="CB18" s="14"/>
      <c r="CC18" s="14"/>
      <c r="CD18" s="339"/>
      <c r="CE18" s="14"/>
      <c r="CF18" s="14"/>
      <c r="CG18" s="14"/>
      <c r="CH18" s="14"/>
      <c r="CI18" s="53"/>
      <c r="CJ18" s="317"/>
      <c r="CK18" s="317"/>
      <c r="CL18" s="317"/>
      <c r="CM18" s="317"/>
      <c r="CN18" s="48"/>
      <c r="CO18" s="317"/>
      <c r="CP18" s="317"/>
      <c r="CQ18" s="317"/>
      <c r="CR18" s="317"/>
      <c r="CS18" s="49"/>
      <c r="CT18" s="366">
        <f>CT16/CO16-1</f>
        <v>-0.4</v>
      </c>
      <c r="CU18" s="366">
        <f>CU16/CP16-1</f>
        <v>-0.33333333333333337</v>
      </c>
      <c r="CV18" s="366">
        <f>CV16/CQ16-1</f>
        <v>-8.7573333333333281E-2</v>
      </c>
      <c r="CW18" s="366">
        <f>CW16/CR16-1</f>
        <v>0.4705556819055563</v>
      </c>
      <c r="CX18" s="87" t="s">
        <v>337</v>
      </c>
      <c r="CY18" s="366">
        <f>CY16/CT16-1</f>
        <v>0.9333333333333329</v>
      </c>
      <c r="CZ18" s="366">
        <f>CZ16/CU16-1</f>
        <v>6.0000000000000053E-2</v>
      </c>
      <c r="DA18" s="366">
        <f>DA16/CV16-1</f>
        <v>-0.15244330137947171</v>
      </c>
      <c r="DB18" s="366">
        <f>DB16/CW16-1</f>
        <v>-0.10573362890508797</v>
      </c>
      <c r="DC18" s="354"/>
      <c r="DD18" s="366">
        <f>DD16/CY16-1</f>
        <v>3.1034482758620703</v>
      </c>
      <c r="DE18" s="366">
        <f>DE16/CZ16-1</f>
        <v>0.89622641509433976</v>
      </c>
      <c r="DF18" s="366">
        <f>DF16/DA16-1</f>
        <v>2.5862068965517349E-2</v>
      </c>
      <c r="DG18" s="366">
        <f>DG16/DB16-1</f>
        <v>-0.23177083333333348</v>
      </c>
      <c r="DH18" s="351"/>
      <c r="DI18" s="366">
        <f>DI16/DD16-1</f>
        <v>-0.28151260504201681</v>
      </c>
      <c r="DJ18" s="366">
        <f>DJ16/DE16-1</f>
        <v>-0.15422885572139311</v>
      </c>
      <c r="DK18" s="366">
        <f>DK16/DF16-1</f>
        <v>8.4033613445378075E-2</v>
      </c>
      <c r="DL18" s="366">
        <f>DL16/DG16-1</f>
        <v>-4.067796610169494E-2</v>
      </c>
      <c r="DM18" s="351"/>
      <c r="DN18" s="366">
        <f>DN16/DI16-1</f>
        <v>-0.99415204678362579</v>
      </c>
      <c r="DO18" s="366">
        <f>DO16/DJ16-1</f>
        <v>-0.39411764705882346</v>
      </c>
      <c r="DP18" s="366">
        <f>DP16/DK16-1</f>
        <v>0.10077519379844957</v>
      </c>
      <c r="DQ18" s="366">
        <f>DQ16/DL16-1</f>
        <v>-0.51943462897526504</v>
      </c>
      <c r="DR18" s="14"/>
      <c r="DS18" s="366">
        <f>DS16/DN16-1</f>
        <v>35</v>
      </c>
      <c r="DT18" s="366">
        <f>DT16/DO16-1</f>
        <v>0.64077669902912593</v>
      </c>
      <c r="DU18" s="366">
        <f>DU16/DP16-1</f>
        <v>9.8591549295774739E-2</v>
      </c>
      <c r="DV18" s="366">
        <f>DV16/DQ16-1</f>
        <v>0.47794117647058831</v>
      </c>
      <c r="DX18" s="862"/>
      <c r="DY18" s="862"/>
      <c r="DZ18" s="862"/>
      <c r="EA18" s="862"/>
      <c r="EB18" s="862"/>
      <c r="EH18" s="1048"/>
      <c r="EI18" s="1048"/>
      <c r="EJ18" s="1048"/>
      <c r="EK18" s="1048"/>
      <c r="EM18" s="1048"/>
      <c r="FL18" s="1048"/>
    </row>
    <row r="19" spans="1:168" s="875" customFormat="1" ht="12.75" customHeight="1">
      <c r="A19" s="368" t="s">
        <v>679</v>
      </c>
      <c r="B19" s="3305"/>
      <c r="C19" s="3305"/>
      <c r="D19" s="3305"/>
      <c r="E19" s="3305"/>
      <c r="F19" s="3305">
        <f>F14+F16</f>
        <v>172.32</v>
      </c>
      <c r="G19" s="2782"/>
      <c r="H19" s="2782"/>
      <c r="I19" s="2782"/>
      <c r="J19" s="2782"/>
      <c r="K19" s="319"/>
      <c r="L19" s="3305">
        <f>L14+L16</f>
        <v>169.5</v>
      </c>
      <c r="M19" s="319"/>
      <c r="N19" s="319"/>
      <c r="O19" s="3305">
        <f>O14+O16</f>
        <v>185.21512158784435</v>
      </c>
      <c r="P19" s="319"/>
      <c r="Q19" s="319"/>
      <c r="R19" s="319"/>
      <c r="S19" s="3305">
        <f>S14+S16</f>
        <v>136.91243026151145</v>
      </c>
      <c r="T19" s="319"/>
      <c r="U19" s="319"/>
      <c r="V19" s="319"/>
      <c r="W19" s="319"/>
      <c r="X19" s="319"/>
      <c r="Y19" s="3305">
        <f>Y25+Y22</f>
        <v>160.89999999999998</v>
      </c>
      <c r="Z19" s="3305">
        <f>Z25+Z22</f>
        <v>148.1</v>
      </c>
      <c r="AA19" s="3305">
        <f>AA25+AA22</f>
        <v>180.2</v>
      </c>
      <c r="AB19" s="2782">
        <v>184.8</v>
      </c>
      <c r="AC19" s="319">
        <f>AC16+AC14</f>
        <v>78</v>
      </c>
      <c r="AD19" s="319">
        <f t="shared" ref="AD19:AI19" si="13">AD14+AD16</f>
        <v>97.2</v>
      </c>
      <c r="AE19" s="319">
        <f t="shared" si="13"/>
        <v>88.2</v>
      </c>
      <c r="AF19" s="319">
        <f t="shared" si="13"/>
        <v>52.4</v>
      </c>
      <c r="AG19" s="319">
        <f t="shared" si="13"/>
        <v>71.800000000000011</v>
      </c>
      <c r="AH19" s="319">
        <f t="shared" si="13"/>
        <v>92</v>
      </c>
      <c r="AI19" s="319">
        <f t="shared" si="13"/>
        <v>89</v>
      </c>
      <c r="AJ19" s="319">
        <f>AJ16</f>
        <v>113</v>
      </c>
      <c r="AK19" s="319">
        <f t="shared" ref="AK19:AX19" si="14">AK16</f>
        <v>107</v>
      </c>
      <c r="AL19" s="319">
        <f t="shared" si="14"/>
        <v>120</v>
      </c>
      <c r="AM19" s="319">
        <f t="shared" si="14"/>
        <v>125</v>
      </c>
      <c r="AN19" s="319">
        <f t="shared" si="14"/>
        <v>136.852</v>
      </c>
      <c r="AO19" s="319">
        <f t="shared" si="14"/>
        <v>136.163265</v>
      </c>
      <c r="AP19" s="319">
        <f t="shared" si="14"/>
        <v>141.05962499999998</v>
      </c>
      <c r="AQ19" s="319">
        <f t="shared" si="14"/>
        <v>146.05391220000001</v>
      </c>
      <c r="AR19" s="319">
        <f t="shared" si="14"/>
        <v>151.14808514399999</v>
      </c>
      <c r="AS19" s="319">
        <f t="shared" si="14"/>
        <v>156.34414154688</v>
      </c>
      <c r="AT19" s="319">
        <f t="shared" si="14"/>
        <v>161.64411907781761</v>
      </c>
      <c r="AU19" s="319">
        <f t="shared" si="14"/>
        <v>167.05009615937396</v>
      </c>
      <c r="AV19" s="319">
        <f t="shared" si="14"/>
        <v>172.56419278256143</v>
      </c>
      <c r="AW19" s="319">
        <f t="shared" si="14"/>
        <v>178.18857133821265</v>
      </c>
      <c r="AX19" s="319">
        <f t="shared" si="14"/>
        <v>183.92543746497691</v>
      </c>
      <c r="AY19" s="319">
        <f t="shared" ref="AY19" si="15">AY16</f>
        <v>189.77704091427645</v>
      </c>
      <c r="AZ19" s="2780"/>
      <c r="BA19" s="2780"/>
      <c r="BB19" s="2780"/>
      <c r="BC19" s="2780"/>
      <c r="BD19" s="2780"/>
      <c r="BE19" s="2780"/>
      <c r="BF19" s="319"/>
      <c r="BG19" s="319"/>
      <c r="BH19" s="319"/>
      <c r="BI19" s="319"/>
      <c r="BJ19" s="319"/>
      <c r="BK19" s="319"/>
      <c r="BL19" s="319"/>
      <c r="BM19" s="319"/>
      <c r="BN19" s="319"/>
      <c r="BO19" s="319"/>
      <c r="BP19" s="319"/>
      <c r="BQ19" s="319"/>
      <c r="BR19" s="319"/>
      <c r="BS19" s="319"/>
      <c r="BT19" s="318"/>
      <c r="BU19" s="319"/>
      <c r="BV19" s="319"/>
      <c r="BW19" s="319"/>
      <c r="BX19" s="319"/>
      <c r="BY19" s="3309"/>
      <c r="BZ19" s="319"/>
      <c r="CA19" s="319"/>
      <c r="CB19" s="319"/>
      <c r="CC19" s="319"/>
      <c r="CD19" s="3310"/>
      <c r="CE19" s="319"/>
      <c r="CF19" s="319"/>
      <c r="CG19" s="319"/>
      <c r="CH19" s="319"/>
      <c r="CI19" s="2776"/>
      <c r="CJ19" s="3317">
        <f>CJ14+CJ16</f>
        <v>0</v>
      </c>
      <c r="CK19" s="3317">
        <f>CK14+CK16</f>
        <v>0</v>
      </c>
      <c r="CL19" s="3317">
        <f>CL14+CL16</f>
        <v>0</v>
      </c>
      <c r="CM19" s="3317">
        <f>CM14+CM16</f>
        <v>0</v>
      </c>
      <c r="CN19" s="3312">
        <f>+X19-SUM(CJ19:CM19)</f>
        <v>0</v>
      </c>
      <c r="CO19" s="3318">
        <v>0</v>
      </c>
      <c r="CP19" s="2782">
        <v>44.2</v>
      </c>
      <c r="CQ19" s="2782">
        <v>110.7</v>
      </c>
      <c r="CR19" s="319">
        <v>25.3</v>
      </c>
      <c r="CS19" s="3313">
        <f>+AA19-SUM(CO19:CR19)</f>
        <v>0</v>
      </c>
      <c r="CT19" s="3318">
        <v>-3.9</v>
      </c>
      <c r="CU19" s="3318">
        <v>32.9</v>
      </c>
      <c r="CV19" s="2782">
        <v>115.3</v>
      </c>
      <c r="CW19" s="2782">
        <v>40.5</v>
      </c>
      <c r="CX19" s="3312">
        <f>AB19-SUM(CT19:CW19)</f>
        <v>0</v>
      </c>
      <c r="CY19" s="3306">
        <f>16.4-CZ19</f>
        <v>5.7999999999999989</v>
      </c>
      <c r="CZ19" s="3306">
        <v>10.6</v>
      </c>
      <c r="DA19" s="3306">
        <v>23.2</v>
      </c>
      <c r="DB19" s="2780">
        <f>DB16+DB14</f>
        <v>38.400000000000006</v>
      </c>
      <c r="DC19" s="3314">
        <f>AC19-SUM(CY19:DB19)</f>
        <v>0</v>
      </c>
      <c r="DD19" s="3306">
        <v>23.8</v>
      </c>
      <c r="DE19" s="3306">
        <v>20.100000000000001</v>
      </c>
      <c r="DF19" s="3306">
        <v>23.8</v>
      </c>
      <c r="DG19" s="3306">
        <v>29.5</v>
      </c>
      <c r="DH19" s="3315">
        <f>AD19-SUM(DD19:DG19)</f>
        <v>0</v>
      </c>
      <c r="DI19" s="3306">
        <v>17.100000000000001</v>
      </c>
      <c r="DJ19" s="3306">
        <v>17</v>
      </c>
      <c r="DK19" s="3306">
        <v>25.8</v>
      </c>
      <c r="DL19" s="3306">
        <v>28.3</v>
      </c>
      <c r="DM19" s="3315">
        <f>AE19-SUM(DI19:DL19)</f>
        <v>0</v>
      </c>
      <c r="DN19" s="3306">
        <v>0.1</v>
      </c>
      <c r="DO19" s="3306">
        <v>10.3</v>
      </c>
      <c r="DP19" s="2780">
        <f>DP16+DP14</f>
        <v>28.4</v>
      </c>
      <c r="DQ19" s="2780">
        <f>DQ16+DQ14</f>
        <v>13.6</v>
      </c>
      <c r="DR19" s="3316">
        <f>AF19-SUM(DN19:DQ19)</f>
        <v>0</v>
      </c>
      <c r="DS19" s="2780">
        <f>DS16+DS14</f>
        <v>3.6</v>
      </c>
      <c r="DT19" s="2780">
        <f>DT16+DT14</f>
        <v>16.899999999999999</v>
      </c>
      <c r="DU19" s="2780">
        <f>DU16+DU14</f>
        <v>31.2</v>
      </c>
      <c r="DV19" s="2780">
        <f>DV16+DV14</f>
        <v>20.100000000000001</v>
      </c>
      <c r="DW19" s="3316">
        <f>AG19-SUM(DS19:DV19)</f>
        <v>0</v>
      </c>
      <c r="DX19" s="36"/>
      <c r="DY19" s="36"/>
      <c r="DZ19" s="36"/>
      <c r="EA19" s="36"/>
      <c r="EB19" s="36"/>
      <c r="EH19" s="2774"/>
      <c r="EI19" s="2774"/>
      <c r="EJ19" s="2774"/>
      <c r="EK19" s="2774"/>
      <c r="EM19" s="2774"/>
      <c r="FL19" s="2774"/>
    </row>
    <row r="20" spans="1:168" ht="12.75" customHeight="1">
      <c r="A20" s="358" t="s">
        <v>676</v>
      </c>
      <c r="B20" s="111"/>
      <c r="C20" s="111"/>
      <c r="D20" s="111"/>
      <c r="E20" s="111"/>
      <c r="F20" s="111"/>
      <c r="G20" s="77"/>
      <c r="H20" s="77"/>
      <c r="I20" s="77"/>
      <c r="J20" s="77"/>
      <c r="K20" s="14"/>
      <c r="L20" s="39">
        <f>L19/F19-1</f>
        <v>-1.6364902506963763E-2</v>
      </c>
      <c r="M20" s="14"/>
      <c r="N20" s="14"/>
      <c r="O20" s="39">
        <f>O19/L19-1</f>
        <v>9.2714581639199656E-2</v>
      </c>
      <c r="P20" s="14"/>
      <c r="Q20" s="14"/>
      <c r="R20" s="14"/>
      <c r="S20" s="39">
        <f>S19/O19-1</f>
        <v>-0.26079237436033953</v>
      </c>
      <c r="T20" s="14"/>
      <c r="U20" s="14"/>
      <c r="V20" s="14"/>
      <c r="W20" s="14"/>
      <c r="X20" s="14"/>
      <c r="Y20" s="359">
        <f>Y19/S19-1</f>
        <v>0.17520373930015509</v>
      </c>
      <c r="Z20" s="359">
        <f t="shared" ref="Z20:AQ20" si="16">Z19/Y19-1</f>
        <v>-7.9552517091361019E-2</v>
      </c>
      <c r="AA20" s="359">
        <f t="shared" si="16"/>
        <v>0.21674544226873738</v>
      </c>
      <c r="AB20" s="359">
        <f t="shared" si="16"/>
        <v>2.5527192008879096E-2</v>
      </c>
      <c r="AC20" s="39">
        <f t="shared" si="16"/>
        <v>-0.57792207792207795</v>
      </c>
      <c r="AD20" s="39">
        <f t="shared" si="16"/>
        <v>0.24615384615384617</v>
      </c>
      <c r="AE20" s="39">
        <f t="shared" si="16"/>
        <v>-9.259259259259256E-2</v>
      </c>
      <c r="AF20" s="39">
        <f t="shared" si="16"/>
        <v>-0.4058956916099774</v>
      </c>
      <c r="AG20" s="39">
        <f t="shared" si="16"/>
        <v>0.37022900763358813</v>
      </c>
      <c r="AH20" s="39">
        <f t="shared" si="16"/>
        <v>0.28133704735376019</v>
      </c>
      <c r="AI20" s="39">
        <f t="shared" si="16"/>
        <v>-3.2608695652173947E-2</v>
      </c>
      <c r="AJ20" s="39">
        <f t="shared" si="16"/>
        <v>0.2696629213483146</v>
      </c>
      <c r="AK20" s="39">
        <f t="shared" si="16"/>
        <v>-5.3097345132743334E-2</v>
      </c>
      <c r="AL20" s="39">
        <f t="shared" si="16"/>
        <v>0.12149532710280364</v>
      </c>
      <c r="AM20" s="39">
        <f t="shared" si="16"/>
        <v>4.1666666666666741E-2</v>
      </c>
      <c r="AN20" s="39">
        <f t="shared" si="16"/>
        <v>9.4816000000000011E-2</v>
      </c>
      <c r="AO20" s="39">
        <f t="shared" si="16"/>
        <v>-5.0326995586473799E-3</v>
      </c>
      <c r="AP20" s="39">
        <f t="shared" si="16"/>
        <v>3.595947849811032E-2</v>
      </c>
      <c r="AQ20" s="39">
        <f t="shared" si="16"/>
        <v>3.5405504587156189E-2</v>
      </c>
      <c r="AR20" s="39">
        <f t="shared" ref="AR20:AY20" si="17">AR19/AQ19-1</f>
        <v>3.4878716134794319E-2</v>
      </c>
      <c r="AS20" s="39">
        <f t="shared" si="17"/>
        <v>3.4377255907209747E-2</v>
      </c>
      <c r="AT20" s="39">
        <f t="shared" si="17"/>
        <v>3.3899431590459717E-2</v>
      </c>
      <c r="AU20" s="39">
        <f t="shared" si="17"/>
        <v>3.3443697874055323E-2</v>
      </c>
      <c r="AV20" s="39">
        <f t="shared" si="17"/>
        <v>3.3008640820695767E-2</v>
      </c>
      <c r="AW20" s="39">
        <f t="shared" si="17"/>
        <v>3.2592964188915996E-2</v>
      </c>
      <c r="AX20" s="39">
        <f t="shared" si="17"/>
        <v>3.2195477429780572E-2</v>
      </c>
      <c r="AY20" s="39">
        <f t="shared" si="17"/>
        <v>3.1815085123360509E-2</v>
      </c>
      <c r="AZ20" s="359"/>
      <c r="BA20" s="359"/>
      <c r="BB20" s="359"/>
      <c r="BC20" s="359"/>
      <c r="BD20" s="359"/>
      <c r="BE20" s="354"/>
      <c r="BF20" s="14"/>
      <c r="BG20" s="14"/>
      <c r="BH20" s="14"/>
      <c r="BI20" s="14"/>
      <c r="BJ20" s="14"/>
      <c r="BK20" s="14"/>
      <c r="BL20" s="14"/>
      <c r="BM20" s="14"/>
      <c r="BN20" s="14"/>
      <c r="BO20" s="14"/>
      <c r="BP20" s="14"/>
      <c r="BQ20" s="14"/>
      <c r="BR20" s="14"/>
      <c r="BS20" s="14"/>
      <c r="BT20" s="13"/>
      <c r="BU20" s="14"/>
      <c r="BV20" s="14"/>
      <c r="BW20" s="14"/>
      <c r="BX20" s="14"/>
      <c r="BY20" s="4"/>
      <c r="BZ20" s="14"/>
      <c r="CA20" s="14"/>
      <c r="CB20" s="14"/>
      <c r="CC20" s="14"/>
      <c r="CD20" s="339"/>
      <c r="CE20" s="14"/>
      <c r="CF20" s="14"/>
      <c r="CG20" s="14"/>
      <c r="CH20" s="14"/>
      <c r="CI20" s="53"/>
      <c r="CJ20" s="14"/>
      <c r="CK20" s="14"/>
      <c r="CL20" s="14"/>
      <c r="CM20" s="14"/>
      <c r="CN20" s="48"/>
      <c r="CO20" s="14"/>
      <c r="CP20" s="14"/>
      <c r="CQ20" s="14"/>
      <c r="CR20" s="14"/>
      <c r="CS20" s="49"/>
      <c r="CT20" s="39"/>
      <c r="CU20" s="39">
        <f>CU19/CP19-1</f>
        <v>-0.25565610859728516</v>
      </c>
      <c r="CV20" s="39">
        <f>CV19/CQ19-1</f>
        <v>4.1553748870821972E-2</v>
      </c>
      <c r="CW20" s="39">
        <f>CW19/CR19-1</f>
        <v>0.60079051383399196</v>
      </c>
      <c r="CX20" s="373"/>
      <c r="CY20" s="39">
        <f>CY19/CT19-1</f>
        <v>-2.4871794871794872</v>
      </c>
      <c r="CZ20" s="39">
        <f>CZ19/CU19-1</f>
        <v>-0.67781155015197569</v>
      </c>
      <c r="DA20" s="39">
        <f>DA19/CV19-1</f>
        <v>-0.7987857762359063</v>
      </c>
      <c r="DB20" s="39">
        <f>DB19/CW19-1</f>
        <v>-5.1851851851851705E-2</v>
      </c>
      <c r="DC20" s="354"/>
      <c r="DD20" s="39">
        <f>DD19/CY19-1</f>
        <v>3.1034482758620703</v>
      </c>
      <c r="DE20" s="39">
        <f>DE19/CZ19-1</f>
        <v>0.89622641509433976</v>
      </c>
      <c r="DF20" s="39">
        <f>DF19/DA19-1</f>
        <v>2.5862068965517349E-2</v>
      </c>
      <c r="DG20" s="39">
        <f>DG19/DB19-1</f>
        <v>-0.23177083333333348</v>
      </c>
      <c r="DH20" s="351"/>
      <c r="DI20" s="39">
        <f>DI19/DD19-1</f>
        <v>-0.28151260504201681</v>
      </c>
      <c r="DJ20" s="39">
        <f>DJ19/DE19-1</f>
        <v>-0.15422885572139311</v>
      </c>
      <c r="DK20" s="39">
        <f>DK19/DF19-1</f>
        <v>8.4033613445378075E-2</v>
      </c>
      <c r="DL20" s="39">
        <f>DL19/DG19-1</f>
        <v>-4.067796610169494E-2</v>
      </c>
      <c r="DM20" s="351"/>
      <c r="DN20" s="39">
        <f>DN19/DI19-1</f>
        <v>-0.99415204678362579</v>
      </c>
      <c r="DO20" s="39">
        <f>DO19/DJ19-1</f>
        <v>-0.39411764705882346</v>
      </c>
      <c r="DP20" s="39">
        <f>DP19/DK19-1</f>
        <v>0.10077519379844957</v>
      </c>
      <c r="DQ20" s="39">
        <f>DQ19/DL19-1</f>
        <v>-0.51943462897526504</v>
      </c>
      <c r="DR20" s="14"/>
      <c r="DS20" s="39">
        <f>DS19/DN19-1</f>
        <v>35</v>
      </c>
      <c r="DT20" s="39">
        <f>DT19/DO19-1</f>
        <v>0.64077669902912593</v>
      </c>
      <c r="DU20" s="39">
        <f>DU19/DP19-1</f>
        <v>9.8591549295774739E-2</v>
      </c>
      <c r="DV20" s="39">
        <f>DV19/DQ19-1</f>
        <v>0.47794117647058831</v>
      </c>
      <c r="DX20" s="862"/>
      <c r="DY20" s="862"/>
      <c r="DZ20" s="862"/>
      <c r="EA20" s="862"/>
      <c r="EB20" s="862"/>
      <c r="EH20" s="1048"/>
      <c r="EI20" s="1048"/>
      <c r="EJ20" s="1048"/>
      <c r="EK20" s="1048"/>
      <c r="EM20" s="1048"/>
      <c r="FL20" s="1048"/>
    </row>
    <row r="21" spans="1:168" ht="12.75" customHeight="1">
      <c r="A21" s="369"/>
      <c r="B21" s="111"/>
      <c r="C21" s="111"/>
      <c r="D21" s="111"/>
      <c r="E21" s="111"/>
      <c r="F21" s="111"/>
      <c r="G21" s="77"/>
      <c r="H21" s="77"/>
      <c r="I21" s="77"/>
      <c r="J21" s="77"/>
      <c r="K21" s="14"/>
      <c r="L21" s="111"/>
      <c r="M21" s="14"/>
      <c r="N21" s="14"/>
      <c r="O21" s="111"/>
      <c r="P21" s="14"/>
      <c r="Q21" s="14"/>
      <c r="R21" s="14"/>
      <c r="S21" s="111"/>
      <c r="T21" s="14"/>
      <c r="U21" s="14"/>
      <c r="V21" s="14"/>
      <c r="W21" s="14"/>
      <c r="X21" s="14"/>
      <c r="Y21" s="111"/>
      <c r="Z21" s="111"/>
      <c r="AA21" s="111"/>
      <c r="AB21" s="14"/>
      <c r="AC21" s="14"/>
      <c r="AD21" s="14"/>
      <c r="AE21" s="14"/>
      <c r="AF21" s="14"/>
      <c r="AG21" s="14"/>
      <c r="AH21" s="14"/>
      <c r="AI21" s="14"/>
      <c r="AJ21" s="14"/>
      <c r="AK21" s="14"/>
      <c r="AL21" s="14"/>
      <c r="AM21" s="14"/>
      <c r="AN21" s="14"/>
      <c r="AO21" s="14"/>
      <c r="AP21" s="14"/>
      <c r="AQ21" s="14"/>
      <c r="AR21" s="14"/>
      <c r="AS21" s="14"/>
      <c r="AT21" s="14"/>
      <c r="AU21" s="14"/>
      <c r="AV21" s="14"/>
      <c r="AW21" s="14"/>
      <c r="AX21" s="354"/>
      <c r="AY21" s="354"/>
      <c r="AZ21" s="354"/>
      <c r="BA21" s="354"/>
      <c r="BB21" s="354"/>
      <c r="BC21" s="354"/>
      <c r="BD21" s="354"/>
      <c r="BE21" s="354"/>
      <c r="BF21" s="14"/>
      <c r="BG21" s="14"/>
      <c r="BH21" s="14"/>
      <c r="BI21" s="14"/>
      <c r="BJ21" s="14"/>
      <c r="BK21" s="14"/>
      <c r="BL21" s="14"/>
      <c r="BM21" s="14"/>
      <c r="BN21" s="14"/>
      <c r="BO21" s="14"/>
      <c r="BP21" s="14"/>
      <c r="BQ21" s="14"/>
      <c r="BR21" s="14"/>
      <c r="BS21" s="14"/>
      <c r="BT21" s="13"/>
      <c r="BU21" s="14"/>
      <c r="BV21" s="14"/>
      <c r="BW21" s="14"/>
      <c r="BX21" s="14"/>
      <c r="BY21" s="4"/>
      <c r="BZ21" s="14"/>
      <c r="CA21" s="14"/>
      <c r="CB21" s="14"/>
      <c r="CC21" s="14"/>
      <c r="CD21" s="339"/>
      <c r="CE21" s="14"/>
      <c r="CF21" s="14"/>
      <c r="CG21" s="14"/>
      <c r="CH21" s="14"/>
      <c r="CI21" s="53"/>
      <c r="CJ21" s="14"/>
      <c r="CK21" s="14"/>
      <c r="CL21" s="14"/>
      <c r="CM21" s="14"/>
      <c r="CN21" s="48"/>
      <c r="CO21" s="14"/>
      <c r="CP21" s="14"/>
      <c r="CQ21" s="14" t="s">
        <v>337</v>
      </c>
      <c r="CR21" s="14"/>
      <c r="CS21" s="49"/>
      <c r="CT21" s="374"/>
      <c r="CU21" s="374"/>
      <c r="CV21" s="374"/>
      <c r="CW21" s="374"/>
      <c r="CX21" s="87"/>
      <c r="CY21" s="87"/>
      <c r="CZ21" s="87"/>
      <c r="DA21" s="374"/>
      <c r="DB21" s="374"/>
      <c r="DC21" s="354"/>
      <c r="DD21" s="354"/>
      <c r="DE21" s="14"/>
      <c r="DF21" s="14"/>
      <c r="DG21" s="14"/>
      <c r="DH21" s="351"/>
      <c r="DI21" s="354"/>
      <c r="DJ21" s="14"/>
      <c r="DK21" s="14"/>
      <c r="DL21" s="14"/>
      <c r="DM21" s="351"/>
      <c r="DN21" s="14"/>
      <c r="DO21" s="14"/>
      <c r="DP21" s="14"/>
      <c r="DQ21" s="14"/>
      <c r="DR21" s="14"/>
      <c r="DX21" s="862"/>
      <c r="DY21" s="862"/>
      <c r="DZ21" s="862"/>
      <c r="EA21" s="862"/>
      <c r="EB21" s="862"/>
      <c r="EH21" s="1048"/>
      <c r="EI21" s="1048"/>
      <c r="EJ21" s="1048"/>
      <c r="EK21" s="1048"/>
      <c r="EM21" s="1048"/>
      <c r="FL21" s="1048"/>
    </row>
    <row r="22" spans="1:168" ht="12.75" customHeight="1">
      <c r="A22" s="369" t="s">
        <v>681</v>
      </c>
      <c r="B22" s="111"/>
      <c r="C22" s="111"/>
      <c r="D22" s="111"/>
      <c r="E22" s="111"/>
      <c r="F22" s="111">
        <f>F23*F11</f>
        <v>55.460047596382672</v>
      </c>
      <c r="G22" s="77"/>
      <c r="H22" s="77"/>
      <c r="I22" s="77"/>
      <c r="J22" s="77"/>
      <c r="K22" s="14"/>
      <c r="L22" s="111">
        <f>L23*L11</f>
        <v>56.343312708234173</v>
      </c>
      <c r="M22" s="14"/>
      <c r="N22" s="14"/>
      <c r="O22" s="111">
        <f>O23*O11</f>
        <v>56.235144991661542</v>
      </c>
      <c r="P22" s="14"/>
      <c r="Q22" s="14"/>
      <c r="R22" s="14"/>
      <c r="S22" s="111">
        <f>S23*S11</f>
        <v>58.379087224898676</v>
      </c>
      <c r="T22" s="14"/>
      <c r="U22" s="14"/>
      <c r="V22" s="14"/>
      <c r="W22" s="14"/>
      <c r="X22" s="14"/>
      <c r="Y22" s="113">
        <f>67.1-Y27</f>
        <v>59.099999999999994</v>
      </c>
      <c r="Z22" s="113">
        <f>70.6-Z27</f>
        <v>62.599999999999994</v>
      </c>
      <c r="AA22" s="113">
        <f>69-AA27</f>
        <v>61</v>
      </c>
      <c r="AB22" s="113">
        <f>67.2-AB27</f>
        <v>57.2</v>
      </c>
      <c r="AC22" s="355">
        <f>SUM(CY22:DB22)</f>
        <v>6.5</v>
      </c>
      <c r="AD22" s="355">
        <f>SUM(DD22:DG22)</f>
        <v>6.1</v>
      </c>
      <c r="AE22" s="167">
        <f>SUM(DI22:DL22)</f>
        <v>6.5</v>
      </c>
      <c r="AF22" s="167">
        <f>SUM(DN22:DQ22)</f>
        <v>4.7</v>
      </c>
      <c r="AG22" s="167">
        <f>SUM(DS22:DV22)</f>
        <v>4.1000000000000005</v>
      </c>
      <c r="AH22" s="3029">
        <f>'Publishing (new)'!O20-AH27</f>
        <v>4.6829999999999989</v>
      </c>
      <c r="AI22" s="3029">
        <f>'Publishing (new)'!P20-AI27</f>
        <v>4.7949999999999982</v>
      </c>
      <c r="AJ22" s="3029">
        <f>'Publishing (new)'!Q20-AJ27</f>
        <v>4.9359999999999982</v>
      </c>
      <c r="AK22" s="3029">
        <f>'Publishing (new)'!R20-AK27</f>
        <v>4.6061999999999976</v>
      </c>
      <c r="AL22" s="3029">
        <f>'Publishing (new)'!S20-AL27</f>
        <v>4.4769599999999974</v>
      </c>
      <c r="AM22" s="3029">
        <f>'Publishing (new)'!T20-AM27</f>
        <v>4.1990679999999969</v>
      </c>
      <c r="AN22" s="3029">
        <f>'Publishing (new)'!U20-AN27</f>
        <v>4.194854399999997</v>
      </c>
      <c r="AO22" s="3029">
        <f>'Publishing (new)'!V20-AO27</f>
        <v>3.9850135199999963</v>
      </c>
      <c r="AP22" s="3029">
        <f>'Publishing (new)'!W20-AP27</f>
        <v>3.7592528159999996</v>
      </c>
      <c r="AQ22" s="3029">
        <f>'Publishing (new)'!X20-AQ27</f>
        <v>3.9230215727999997</v>
      </c>
      <c r="AR22" s="3029">
        <f>'Publishing (new)'!Y20-AR27</f>
        <v>4.0723489646399997</v>
      </c>
      <c r="AS22" s="3029">
        <f>'Publishing (new)'!Z20-AS27</f>
        <v>4.2104895122399997</v>
      </c>
      <c r="AT22" s="3029">
        <f>'Publishing (new)'!AA20-AT27</f>
        <v>4.3400541571305595</v>
      </c>
      <c r="AU22" s="3029">
        <f>'Publishing (new)'!AB20-AU27</f>
        <v>4.4631391239897784</v>
      </c>
      <c r="AV22" s="3029">
        <f>'Publishing (new)'!AC20-AV27</f>
        <v>4.5814290134428601</v>
      </c>
      <c r="AW22" s="3029">
        <f>'Publishing (new)'!AD20-AW27</f>
        <v>4.6962792792903469</v>
      </c>
      <c r="AX22" s="3029">
        <f>'Publishing (new)'!AE20-AX27</f>
        <v>4.8087822133390574</v>
      </c>
      <c r="AY22" s="3029">
        <f>'Publishing (new)'!AF20-AY27</f>
        <v>4.9198197363761613</v>
      </c>
      <c r="AZ22" s="2879"/>
      <c r="BA22" s="354"/>
      <c r="BB22" s="354"/>
      <c r="BC22" s="354"/>
      <c r="BD22" s="354"/>
      <c r="BE22" s="354"/>
      <c r="BF22" s="14"/>
      <c r="BG22" s="14"/>
      <c r="BH22" s="14"/>
      <c r="BI22" s="14"/>
      <c r="BJ22" s="14"/>
      <c r="BK22" s="14"/>
      <c r="BL22" s="14"/>
      <c r="BM22" s="14"/>
      <c r="BN22" s="14"/>
      <c r="BO22" s="14"/>
      <c r="BP22" s="14"/>
      <c r="BQ22" s="14"/>
      <c r="BR22" s="14"/>
      <c r="BS22" s="14"/>
      <c r="BT22" s="13"/>
      <c r="BU22" s="14"/>
      <c r="BV22" s="14"/>
      <c r="BW22" s="14"/>
      <c r="BX22" s="14"/>
      <c r="BY22" s="4"/>
      <c r="BZ22" s="14"/>
      <c r="CA22" s="14"/>
      <c r="CB22" s="14"/>
      <c r="CC22" s="14"/>
      <c r="CD22" s="339"/>
      <c r="CE22" s="14"/>
      <c r="CF22" s="14"/>
      <c r="CG22" s="14"/>
      <c r="CH22" s="14"/>
      <c r="CI22" s="53"/>
      <c r="CJ22" s="14">
        <f>CJ196</f>
        <v>0</v>
      </c>
      <c r="CK22" s="14">
        <f>CK196</f>
        <v>0</v>
      </c>
      <c r="CL22" s="14">
        <f>CL196</f>
        <v>0</v>
      </c>
      <c r="CM22" s="14">
        <f>CM196</f>
        <v>0</v>
      </c>
      <c r="CN22" s="87">
        <f>+X22-SUM(CJ22:CM22)</f>
        <v>0</v>
      </c>
      <c r="CO22" s="14">
        <f>CO196</f>
        <v>15.399999999999999</v>
      </c>
      <c r="CP22" s="14">
        <f>CP196</f>
        <v>15.5</v>
      </c>
      <c r="CQ22" s="14">
        <f>CQ196</f>
        <v>15.899999999999999</v>
      </c>
      <c r="CR22" s="14">
        <f>CR196</f>
        <v>14.200000000000003</v>
      </c>
      <c r="CS22" s="350">
        <f>+AA22-SUM(CO22:CR22)</f>
        <v>0</v>
      </c>
      <c r="CT22" s="14">
        <f>CT196</f>
        <v>12.799999999999997</v>
      </c>
      <c r="CU22" s="14">
        <f>CU196</f>
        <v>15</v>
      </c>
      <c r="CV22" s="14">
        <f>CV196</f>
        <v>14.600000000000001</v>
      </c>
      <c r="CW22" s="167">
        <f>AB22-SUM(CT22:CV22)</f>
        <v>14.800000000000004</v>
      </c>
      <c r="CX22" s="87">
        <f>AB22-SUM(CT22:CW22)</f>
        <v>0</v>
      </c>
      <c r="CY22" s="14">
        <f>CY196</f>
        <v>1.35</v>
      </c>
      <c r="CZ22" s="14">
        <f>CZ196</f>
        <v>1.65</v>
      </c>
      <c r="DA22" s="14">
        <f>DA196</f>
        <v>1.65</v>
      </c>
      <c r="DB22" s="14">
        <f>DB196</f>
        <v>1.85</v>
      </c>
      <c r="DC22" s="871">
        <f>AC22-SUM(CY22:DB22)</f>
        <v>0</v>
      </c>
      <c r="DD22" s="14">
        <f>DD196</f>
        <v>1.65</v>
      </c>
      <c r="DE22" s="14">
        <f>DE196</f>
        <v>1.25</v>
      </c>
      <c r="DF22" s="14">
        <f>DF196</f>
        <v>1.4500000000000002</v>
      </c>
      <c r="DG22" s="14">
        <f>DG196</f>
        <v>1.75</v>
      </c>
      <c r="DH22" s="357">
        <f>AD22-SUM(DD22:DG22)</f>
        <v>0</v>
      </c>
      <c r="DI22" s="14">
        <f>DI196</f>
        <v>1.75</v>
      </c>
      <c r="DJ22" s="14">
        <f>DJ196</f>
        <v>1.65</v>
      </c>
      <c r="DK22" s="14">
        <f>DK196</f>
        <v>1.65</v>
      </c>
      <c r="DL22" s="14">
        <f>DL196</f>
        <v>1.4500000000000002</v>
      </c>
      <c r="DM22" s="357">
        <f>AE22-SUM(DI22:DL22)</f>
        <v>0</v>
      </c>
      <c r="DN22" s="14">
        <f>DN196</f>
        <v>1.4500000000000002</v>
      </c>
      <c r="DO22" s="14">
        <f>DO196</f>
        <v>1.25</v>
      </c>
      <c r="DP22" s="14">
        <f>DP196</f>
        <v>1.05</v>
      </c>
      <c r="DQ22" s="14">
        <f>DQ196</f>
        <v>0.95</v>
      </c>
      <c r="DR22" s="538">
        <f>AF22-SUM(DN22:DQ22)</f>
        <v>0</v>
      </c>
      <c r="DS22" s="14">
        <f>DS196</f>
        <v>0.85000000000000009</v>
      </c>
      <c r="DT22" s="14">
        <f>DT196</f>
        <v>0.85000000000000009</v>
      </c>
      <c r="DU22" s="14">
        <f>DU196</f>
        <v>0.95</v>
      </c>
      <c r="DV22" s="14">
        <f>DV196</f>
        <v>1.4500000000000002</v>
      </c>
      <c r="DW22" s="538">
        <f>AG22-SUM(DS22:DV22)</f>
        <v>0</v>
      </c>
      <c r="DX22" s="862"/>
      <c r="DY22" s="862"/>
      <c r="DZ22" s="862"/>
      <c r="EA22" s="862"/>
      <c r="EB22" s="862"/>
      <c r="EH22" s="1048"/>
      <c r="EI22" s="1048"/>
      <c r="EJ22" s="1048"/>
      <c r="EK22" s="1048"/>
      <c r="EM22" s="1048"/>
      <c r="FL22" s="1048"/>
    </row>
    <row r="23" spans="1:168" ht="12.75" customHeight="1">
      <c r="A23" s="375" t="s">
        <v>682</v>
      </c>
      <c r="B23" s="111"/>
      <c r="C23" s="111"/>
      <c r="D23" s="111"/>
      <c r="E23" s="111"/>
      <c r="F23" s="119">
        <f>L23</f>
        <v>5.6258924321751544E-2</v>
      </c>
      <c r="G23" s="77"/>
      <c r="H23" s="77"/>
      <c r="I23" s="77"/>
      <c r="J23" s="77"/>
      <c r="K23" s="14"/>
      <c r="L23" s="119">
        <f>O23</f>
        <v>5.6258924321751544E-2</v>
      </c>
      <c r="M23" s="14"/>
      <c r="N23" s="14"/>
      <c r="O23" s="119">
        <f>S23</f>
        <v>5.6258924321751544E-2</v>
      </c>
      <c r="P23" s="14"/>
      <c r="Q23" s="14"/>
      <c r="R23" s="14"/>
      <c r="S23" s="119">
        <f>Y23</f>
        <v>5.6258924321751544E-2</v>
      </c>
      <c r="T23" s="14"/>
      <c r="U23" s="14"/>
      <c r="V23" s="14"/>
      <c r="W23" s="14"/>
      <c r="X23" s="39"/>
      <c r="Y23" s="39">
        <f t="shared" ref="Y23:AY23" si="18">Y22/Y11</f>
        <v>5.6258924321751544E-2</v>
      </c>
      <c r="Z23" s="39">
        <f t="shared" si="18"/>
        <v>5.8542972037781721E-2</v>
      </c>
      <c r="AA23" s="39">
        <f t="shared" si="18"/>
        <v>5.2549965541006202E-2</v>
      </c>
      <c r="AB23" s="39">
        <f t="shared" si="18"/>
        <v>4.8184651672142198E-2</v>
      </c>
      <c r="AC23" s="39">
        <f t="shared" si="18"/>
        <v>8.0545229244113996E-3</v>
      </c>
      <c r="AD23" s="39">
        <f t="shared" si="18"/>
        <v>6.884098860173795E-3</v>
      </c>
      <c r="AE23" s="39">
        <f t="shared" si="18"/>
        <v>7.5784073685437794E-3</v>
      </c>
      <c r="AF23" s="39">
        <f t="shared" si="18"/>
        <v>5.9231253938248274E-3</v>
      </c>
      <c r="AG23" s="39">
        <f t="shared" si="18"/>
        <v>5.1846231664137588E-3</v>
      </c>
      <c r="AH23" s="2802">
        <f t="shared" si="18"/>
        <v>5.9504447268106725E-3</v>
      </c>
      <c r="AI23" s="2802">
        <f t="shared" si="18"/>
        <v>6.0696202531645548E-3</v>
      </c>
      <c r="AJ23" s="2802">
        <f t="shared" si="18"/>
        <v>6.1013597033374514E-3</v>
      </c>
      <c r="AK23" s="2802">
        <f t="shared" si="18"/>
        <v>5.9205655526992258E-3</v>
      </c>
      <c r="AL23" s="2802">
        <f t="shared" si="18"/>
        <v>5.7396923076923042E-3</v>
      </c>
      <c r="AM23" s="2802">
        <f t="shared" si="18"/>
        <v>5.4746649282920428E-3</v>
      </c>
      <c r="AN23" s="2802">
        <f t="shared" si="18"/>
        <v>5.2174805970149219E-3</v>
      </c>
      <c r="AO23" s="2802">
        <f t="shared" si="18"/>
        <v>4.8832359385339273E-3</v>
      </c>
      <c r="AP23" s="2802">
        <f t="shared" si="18"/>
        <v>4.516263481203083E-3</v>
      </c>
      <c r="AQ23" s="2802">
        <f t="shared" si="18"/>
        <v>4.6205988087867321E-3</v>
      </c>
      <c r="AR23" s="2802">
        <f t="shared" si="18"/>
        <v>4.7024304382641035E-3</v>
      </c>
      <c r="AS23" s="2802">
        <f t="shared" si="18"/>
        <v>4.7666121084424338E-3</v>
      </c>
      <c r="AT23" s="2802">
        <f t="shared" si="18"/>
        <v>4.8169506732881834E-3</v>
      </c>
      <c r="AU23" s="2802">
        <f t="shared" si="18"/>
        <v>4.8564319006181829E-3</v>
      </c>
      <c r="AV23" s="2802">
        <f t="shared" si="18"/>
        <v>4.8873975691122997E-3</v>
      </c>
      <c r="AW23" s="2802">
        <f t="shared" si="18"/>
        <v>4.9116843679312162E-3</v>
      </c>
      <c r="AX23" s="2802">
        <f t="shared" si="18"/>
        <v>4.9307328375931114E-3</v>
      </c>
      <c r="AY23" s="2802">
        <f t="shared" si="18"/>
        <v>4.9456728137985181E-3</v>
      </c>
      <c r="AZ23" s="3089"/>
      <c r="BA23" s="359"/>
      <c r="BB23" s="359"/>
      <c r="BC23" s="359"/>
      <c r="BD23" s="359"/>
      <c r="BE23" s="354"/>
      <c r="BF23" s="14"/>
      <c r="BG23" s="14"/>
      <c r="BH23" s="14"/>
      <c r="BI23" s="14"/>
      <c r="BJ23" s="14"/>
      <c r="BK23" s="14"/>
      <c r="BL23" s="14"/>
      <c r="BM23" s="14"/>
      <c r="BN23" s="14"/>
      <c r="BO23" s="14"/>
      <c r="BP23" s="14"/>
      <c r="BQ23" s="14"/>
      <c r="BR23" s="14"/>
      <c r="BS23" s="14"/>
      <c r="BT23" s="13"/>
      <c r="BU23" s="14"/>
      <c r="BV23" s="14"/>
      <c r="BW23" s="14"/>
      <c r="BX23" s="14"/>
      <c r="BY23" s="4"/>
      <c r="BZ23" s="14"/>
      <c r="CA23" s="14"/>
      <c r="CB23" s="14"/>
      <c r="CC23" s="14"/>
      <c r="CD23" s="339"/>
      <c r="CE23" s="14"/>
      <c r="CF23" s="14"/>
      <c r="CG23" s="14"/>
      <c r="CH23" s="14"/>
      <c r="CI23" s="53"/>
      <c r="CJ23" s="39"/>
      <c r="CK23" s="39"/>
      <c r="CL23" s="39"/>
      <c r="CM23" s="39"/>
      <c r="CN23" s="48"/>
      <c r="CO23" s="39">
        <f>CO22/CO11</f>
        <v>9.6977329974811066E-2</v>
      </c>
      <c r="CP23" s="39">
        <f>CP22/CP11</f>
        <v>4.6602525556223691E-2</v>
      </c>
      <c r="CQ23" s="39">
        <f>CQ22/CQ11</f>
        <v>3.7088873337998596E-2</v>
      </c>
      <c r="CR23" s="39">
        <f>CR22/CR11</f>
        <v>5.8994599085999182E-2</v>
      </c>
      <c r="CS23" s="49"/>
      <c r="CT23" s="39">
        <f>CT22/CT11</f>
        <v>7.6372315035799512E-2</v>
      </c>
      <c r="CU23" s="39">
        <f>CU22/CU11</f>
        <v>4.700720777185835E-2</v>
      </c>
      <c r="CV23" s="39">
        <f>CV22/CV11</f>
        <v>3.4425842961565672E-2</v>
      </c>
      <c r="CW23" s="39">
        <f>CW22/CW11</f>
        <v>5.3564965617082891E-2</v>
      </c>
      <c r="CX23" s="87"/>
      <c r="CY23" s="39">
        <f>CY22/CY11</f>
        <v>7.4544450579790171E-3</v>
      </c>
      <c r="CZ23" s="39">
        <f>CZ22/CZ11</f>
        <v>9.3749999999999997E-3</v>
      </c>
      <c r="DA23" s="39">
        <f>DA22/DA11</f>
        <v>8.3586626139817623E-3</v>
      </c>
      <c r="DB23" s="39">
        <f>DB22/DB11</f>
        <v>7.3267326732673272E-3</v>
      </c>
      <c r="DC23" s="354" t="s">
        <v>337</v>
      </c>
      <c r="DD23" s="39">
        <f>DD22/DD11</f>
        <v>7.1958133449629303E-3</v>
      </c>
      <c r="DE23" s="39">
        <f>DE22/DE11</f>
        <v>6.2406390414378428E-3</v>
      </c>
      <c r="DF23" s="39">
        <f>DF22/DF11</f>
        <v>6.7693744164332411E-3</v>
      </c>
      <c r="DG23" s="39">
        <f>DG22/DG11</f>
        <v>7.222451506397028E-3</v>
      </c>
      <c r="DH23" s="351" t="s">
        <v>337</v>
      </c>
      <c r="DI23" s="39">
        <f>DI22/DI11</f>
        <v>8.6805555555555559E-3</v>
      </c>
      <c r="DJ23" s="39">
        <f>DJ22/DJ11</f>
        <v>8.870967741935484E-3</v>
      </c>
      <c r="DK23" s="39">
        <f>DK22/DK11</f>
        <v>7.3333333333333332E-3</v>
      </c>
      <c r="DL23" s="39">
        <f>DL22/DL11</f>
        <v>5.9159526723786219E-3</v>
      </c>
      <c r="DM23" s="351" t="s">
        <v>337</v>
      </c>
      <c r="DN23" s="39">
        <f>DN22/DN11</f>
        <v>8.9672232529375406E-3</v>
      </c>
      <c r="DO23" s="39">
        <f>DO22/DO11</f>
        <v>6.890848952590959E-3</v>
      </c>
      <c r="DP23" s="39">
        <f>DP22/DP11</f>
        <v>4.557291666666667E-3</v>
      </c>
      <c r="DQ23" s="39">
        <f>DQ22/DQ11</f>
        <v>4.3181818181818182E-3</v>
      </c>
      <c r="DR23" s="14"/>
      <c r="DS23" s="39">
        <f>DS22/DS11</f>
        <v>5.603164139749507E-3</v>
      </c>
      <c r="DT23" s="39">
        <f>DT22/DT11</f>
        <v>4.4807590933052194E-3</v>
      </c>
      <c r="DU23" s="39">
        <f>DU22/DU11</f>
        <v>4.363803399173174E-3</v>
      </c>
      <c r="DV23" s="39">
        <f>DV22/DV11</f>
        <v>6.2580923608113953E-3</v>
      </c>
      <c r="DX23" s="862"/>
      <c r="DY23" s="862"/>
      <c r="DZ23" s="862"/>
      <c r="EA23" s="862"/>
      <c r="EB23" s="862"/>
      <c r="EH23" s="1048"/>
      <c r="EI23" s="1048"/>
      <c r="EJ23" s="1048"/>
      <c r="EK23" s="1048"/>
      <c r="EM23" s="1048"/>
      <c r="FL23" s="1048"/>
    </row>
    <row r="24" spans="1:168" ht="12.75" customHeight="1">
      <c r="A24" s="376"/>
      <c r="B24" s="111"/>
      <c r="C24" s="111"/>
      <c r="D24" s="111"/>
      <c r="E24" s="111"/>
      <c r="F24" s="111"/>
      <c r="G24" s="77"/>
      <c r="H24" s="77"/>
      <c r="I24" s="77"/>
      <c r="J24" s="77"/>
      <c r="K24" s="14"/>
      <c r="L24" s="111"/>
      <c r="M24" s="14"/>
      <c r="N24" s="14"/>
      <c r="O24" s="111"/>
      <c r="P24" s="14"/>
      <c r="Q24" s="14"/>
      <c r="R24" s="14"/>
      <c r="S24" s="111"/>
      <c r="T24" s="14"/>
      <c r="U24" s="14"/>
      <c r="V24" s="14"/>
      <c r="W24" s="14"/>
      <c r="X24" s="14"/>
      <c r="Y24" s="111"/>
      <c r="Z24" s="111"/>
      <c r="AA24" s="111"/>
      <c r="AB24" s="14"/>
      <c r="AC24" s="14"/>
      <c r="AD24" s="14"/>
      <c r="AE24" s="14"/>
      <c r="AF24" s="14"/>
      <c r="AG24" s="14"/>
      <c r="AH24" s="2806"/>
      <c r="AI24" s="2806"/>
      <c r="AJ24" s="2806"/>
      <c r="AK24" s="2806"/>
      <c r="AL24" s="2806"/>
      <c r="AM24" s="2806"/>
      <c r="AN24" s="2806"/>
      <c r="AO24" s="2806"/>
      <c r="AP24" s="2806"/>
      <c r="AQ24" s="2806"/>
      <c r="AR24" s="2806"/>
      <c r="AS24" s="2806"/>
      <c r="AT24" s="2806"/>
      <c r="AU24" s="2806"/>
      <c r="AV24" s="2806"/>
      <c r="AW24" s="2806"/>
      <c r="AX24" s="2806"/>
      <c r="AY24" s="2879"/>
      <c r="AZ24" s="2879"/>
      <c r="BA24" s="354"/>
      <c r="BB24" s="354"/>
      <c r="BC24" s="354"/>
      <c r="BD24" s="354"/>
      <c r="BE24" s="354"/>
      <c r="BF24" s="14"/>
      <c r="BG24" s="14"/>
      <c r="BH24" s="14"/>
      <c r="BI24" s="14"/>
      <c r="BJ24" s="14"/>
      <c r="BK24" s="14"/>
      <c r="BL24" s="14"/>
      <c r="BM24" s="14"/>
      <c r="BN24" s="14"/>
      <c r="BO24" s="14"/>
      <c r="BP24" s="14"/>
      <c r="BQ24" s="14"/>
      <c r="BR24" s="14"/>
      <c r="BS24" s="14"/>
      <c r="BT24" s="13"/>
      <c r="BU24" s="14"/>
      <c r="BV24" s="14"/>
      <c r="BW24" s="14"/>
      <c r="BX24" s="14"/>
      <c r="BY24" s="4"/>
      <c r="BZ24" s="14"/>
      <c r="CA24" s="14"/>
      <c r="CB24" s="14"/>
      <c r="CC24" s="14"/>
      <c r="CD24" s="339"/>
      <c r="CE24" s="14"/>
      <c r="CF24" s="14"/>
      <c r="CG24" s="14"/>
      <c r="CH24" s="14"/>
      <c r="CI24" s="53"/>
      <c r="CJ24" s="14"/>
      <c r="CK24" s="14"/>
      <c r="CL24" s="14"/>
      <c r="CM24" s="14"/>
      <c r="CN24" s="48"/>
      <c r="CO24" s="14"/>
      <c r="CP24" s="14"/>
      <c r="CQ24" s="14"/>
      <c r="CR24" s="14"/>
      <c r="CS24" s="49"/>
      <c r="CT24" s="14"/>
      <c r="CU24" s="14"/>
      <c r="CV24" s="14"/>
      <c r="CW24" s="14"/>
      <c r="CX24" s="87"/>
      <c r="CY24" s="139"/>
      <c r="CZ24" s="139"/>
      <c r="DA24" s="139"/>
      <c r="DB24" s="139"/>
      <c r="DC24" s="354"/>
      <c r="DD24" s="354"/>
      <c r="DE24" s="14"/>
      <c r="DF24" s="14"/>
      <c r="DG24" s="14"/>
      <c r="DH24" s="351"/>
      <c r="DI24" s="354"/>
      <c r="DJ24" s="14"/>
      <c r="DK24" s="14"/>
      <c r="DL24" s="14"/>
      <c r="DM24" s="351"/>
      <c r="DN24" s="14"/>
      <c r="DO24" s="14"/>
      <c r="DP24" s="14"/>
      <c r="DQ24" s="14"/>
      <c r="DR24" s="14"/>
      <c r="DX24" s="862"/>
      <c r="DY24" s="862"/>
      <c r="DZ24" s="862"/>
      <c r="EA24" s="862"/>
      <c r="EB24" s="862"/>
      <c r="EH24" s="1048"/>
      <c r="EI24" s="1048"/>
      <c r="EJ24" s="1048"/>
      <c r="EK24" s="1048"/>
      <c r="EM24" s="1048"/>
      <c r="FL24" s="1048"/>
    </row>
    <row r="25" spans="1:168" ht="12.75" customHeight="1">
      <c r="A25" s="369" t="s">
        <v>683</v>
      </c>
      <c r="B25" s="111"/>
      <c r="C25" s="111"/>
      <c r="D25" s="111"/>
      <c r="E25" s="111"/>
      <c r="F25" s="111">
        <f>F19-F22</f>
        <v>116.85995240361731</v>
      </c>
      <c r="G25" s="111"/>
      <c r="H25" s="111"/>
      <c r="I25" s="111"/>
      <c r="J25" s="111"/>
      <c r="K25" s="111"/>
      <c r="L25" s="111">
        <f>L19-L22</f>
        <v>113.15668729176582</v>
      </c>
      <c r="M25" s="111"/>
      <c r="N25" s="111"/>
      <c r="O25" s="111">
        <f>O19-O22</f>
        <v>128.97997659618281</v>
      </c>
      <c r="P25" s="111"/>
      <c r="Q25" s="111"/>
      <c r="R25" s="111"/>
      <c r="S25" s="111">
        <f>S19-S22</f>
        <v>78.533343036612763</v>
      </c>
      <c r="T25" s="14"/>
      <c r="U25" s="14"/>
      <c r="V25" s="14"/>
      <c r="W25" s="14"/>
      <c r="X25" s="14"/>
      <c r="Y25" s="111">
        <f>Y29+Y27</f>
        <v>101.8</v>
      </c>
      <c r="Z25" s="111">
        <f>Z29+Z27</f>
        <v>85.5</v>
      </c>
      <c r="AA25" s="111">
        <f>AA29+AA27</f>
        <v>119.2</v>
      </c>
      <c r="AB25" s="14">
        <f t="shared" ref="AB25:AN25" si="19">AB19-AB22</f>
        <v>127.60000000000001</v>
      </c>
      <c r="AC25" s="14">
        <f t="shared" si="19"/>
        <v>71.5</v>
      </c>
      <c r="AD25" s="14">
        <f t="shared" si="19"/>
        <v>91.100000000000009</v>
      </c>
      <c r="AE25" s="14">
        <f t="shared" si="19"/>
        <v>81.7</v>
      </c>
      <c r="AF25" s="14">
        <f t="shared" si="19"/>
        <v>47.699999999999996</v>
      </c>
      <c r="AG25" s="14">
        <f t="shared" si="19"/>
        <v>67.700000000000017</v>
      </c>
      <c r="AH25" s="14">
        <f t="shared" si="19"/>
        <v>87.317000000000007</v>
      </c>
      <c r="AI25" s="14">
        <f t="shared" si="19"/>
        <v>84.204999999999998</v>
      </c>
      <c r="AJ25" s="14">
        <f t="shared" si="19"/>
        <v>108.06400000000001</v>
      </c>
      <c r="AK25" s="14">
        <f t="shared" si="19"/>
        <v>102.3938</v>
      </c>
      <c r="AL25" s="14">
        <f>AL19-AL22</f>
        <v>115.52304000000001</v>
      </c>
      <c r="AM25" s="14">
        <f t="shared" si="19"/>
        <v>120.800932</v>
      </c>
      <c r="AN25" s="14">
        <f t="shared" si="19"/>
        <v>132.65714560000001</v>
      </c>
      <c r="AO25" s="14">
        <f t="shared" ref="AO25" si="20">AO19-AO22</f>
        <v>132.17825148</v>
      </c>
      <c r="AP25" s="14">
        <f t="shared" ref="AP25:AU25" si="21">AP19-AP22</f>
        <v>137.300372184</v>
      </c>
      <c r="AQ25" s="14">
        <f t="shared" si="21"/>
        <v>142.13089062720002</v>
      </c>
      <c r="AR25" s="14">
        <f t="shared" si="21"/>
        <v>147.07573617935998</v>
      </c>
      <c r="AS25" s="14">
        <f t="shared" si="21"/>
        <v>152.13365203463999</v>
      </c>
      <c r="AT25" s="14">
        <f t="shared" si="21"/>
        <v>157.30406492068704</v>
      </c>
      <c r="AU25" s="14">
        <f t="shared" si="21"/>
        <v>162.58695703538419</v>
      </c>
      <c r="AV25" s="14">
        <f>AV19-AV22</f>
        <v>167.98276376911858</v>
      </c>
      <c r="AW25" s="14">
        <f>AW19-AW22</f>
        <v>173.49229205892232</v>
      </c>
      <c r="AX25" s="14">
        <f>AX19-AX22</f>
        <v>179.11665525163784</v>
      </c>
      <c r="AY25" s="14">
        <f>AY19-AY22</f>
        <v>184.8572211779003</v>
      </c>
      <c r="AZ25" s="354"/>
      <c r="BA25" s="354"/>
      <c r="BB25" s="354"/>
      <c r="BC25" s="354"/>
      <c r="BD25" s="354"/>
      <c r="BE25" s="354"/>
      <c r="BF25" s="14"/>
      <c r="BG25" s="14"/>
      <c r="BH25" s="14"/>
      <c r="BI25" s="14"/>
      <c r="BJ25" s="14"/>
      <c r="BK25" s="14"/>
      <c r="BL25" s="14"/>
      <c r="BM25" s="14"/>
      <c r="BN25" s="14"/>
      <c r="BO25" s="14"/>
      <c r="BP25" s="14"/>
      <c r="BQ25" s="14"/>
      <c r="BR25" s="14"/>
      <c r="BS25" s="14"/>
      <c r="BT25" s="13"/>
      <c r="BU25" s="14"/>
      <c r="BV25" s="14"/>
      <c r="BW25" s="14"/>
      <c r="BX25" s="14"/>
      <c r="BY25" s="4"/>
      <c r="BZ25" s="14"/>
      <c r="CA25" s="14"/>
      <c r="CB25" s="14"/>
      <c r="CC25" s="14"/>
      <c r="CD25" s="339"/>
      <c r="CE25" s="14"/>
      <c r="CF25" s="14"/>
      <c r="CG25" s="14"/>
      <c r="CH25" s="14"/>
      <c r="CI25" s="53"/>
      <c r="CJ25" s="14">
        <f>CJ19-CJ22</f>
        <v>0</v>
      </c>
      <c r="CK25" s="14">
        <f>CK19-CK22</f>
        <v>0</v>
      </c>
      <c r="CL25" s="14">
        <f>CL19-CL22</f>
        <v>0</v>
      </c>
      <c r="CM25" s="14">
        <f>CM19-CM22</f>
        <v>0</v>
      </c>
      <c r="CN25" s="87">
        <f>+X25-SUM(CJ25:CM25)</f>
        <v>0</v>
      </c>
      <c r="CO25" s="14">
        <f>CO19-CO22</f>
        <v>-15.399999999999999</v>
      </c>
      <c r="CP25" s="14">
        <f>CP19-CP22</f>
        <v>28.700000000000003</v>
      </c>
      <c r="CQ25" s="14">
        <f>CQ19-CQ22</f>
        <v>94.800000000000011</v>
      </c>
      <c r="CR25" s="14">
        <f>CR19-CR22</f>
        <v>11.099999999999998</v>
      </c>
      <c r="CS25" s="350">
        <f>+AA25-SUM(CO25:CR25)</f>
        <v>0</v>
      </c>
      <c r="CT25" s="14">
        <f>CT19-CT22</f>
        <v>-16.699999999999996</v>
      </c>
      <c r="CU25" s="14">
        <f>CU19-CU22</f>
        <v>17.899999999999999</v>
      </c>
      <c r="CV25" s="14">
        <f>CV19-CV22</f>
        <v>100.69999999999999</v>
      </c>
      <c r="CW25" s="14">
        <f>CW19-CW22</f>
        <v>25.699999999999996</v>
      </c>
      <c r="CX25" s="87">
        <f>AB25-SUM(CT25:CW25)</f>
        <v>0</v>
      </c>
      <c r="CY25" s="14">
        <f>CY19-CY22</f>
        <v>4.4499999999999993</v>
      </c>
      <c r="CZ25" s="14">
        <f>CZ19-CZ22</f>
        <v>8.9499999999999993</v>
      </c>
      <c r="DA25" s="14">
        <f>DA19-DA22</f>
        <v>21.55</v>
      </c>
      <c r="DB25" s="14">
        <f>DB19-DB22</f>
        <v>36.550000000000004</v>
      </c>
      <c r="DC25" s="871">
        <f>AC25-SUM(CY25:DB25)</f>
        <v>0</v>
      </c>
      <c r="DD25" s="14">
        <f>DD19-DD22</f>
        <v>22.150000000000002</v>
      </c>
      <c r="DE25" s="14">
        <f>DE19-DE22</f>
        <v>18.850000000000001</v>
      </c>
      <c r="DF25" s="14">
        <f>DF19-DF22</f>
        <v>22.35</v>
      </c>
      <c r="DG25" s="14">
        <f>DG19-DG22</f>
        <v>27.75</v>
      </c>
      <c r="DH25" s="357">
        <f>AD25-SUM(DD25:DG25)</f>
        <v>0</v>
      </c>
      <c r="DI25" s="14">
        <f>DI19-DI22</f>
        <v>15.350000000000001</v>
      </c>
      <c r="DJ25" s="14">
        <f>DJ19-DJ22</f>
        <v>15.35</v>
      </c>
      <c r="DK25" s="14">
        <f>DK19-DK22</f>
        <v>24.150000000000002</v>
      </c>
      <c r="DL25" s="14">
        <f>DL19-DL22</f>
        <v>26.85</v>
      </c>
      <c r="DM25" s="357">
        <f>AE25-SUM(DI25:DL25)</f>
        <v>0</v>
      </c>
      <c r="DN25" s="14">
        <f>DN19-DN22</f>
        <v>-1.35</v>
      </c>
      <c r="DO25" s="14">
        <f>DO19-DO22</f>
        <v>9.0500000000000007</v>
      </c>
      <c r="DP25" s="14">
        <f>DP19-DP22</f>
        <v>27.349999999999998</v>
      </c>
      <c r="DQ25" s="14">
        <f>DQ19-DQ22</f>
        <v>12.65</v>
      </c>
      <c r="DR25" s="538">
        <f>AF25-SUM(DN25:DQ25)</f>
        <v>0</v>
      </c>
      <c r="DS25" s="14">
        <f>DS19-DS22</f>
        <v>2.75</v>
      </c>
      <c r="DT25" s="14">
        <f>DT19-DT22</f>
        <v>16.049999999999997</v>
      </c>
      <c r="DU25" s="14">
        <f>DU19-DU22</f>
        <v>30.25</v>
      </c>
      <c r="DV25" s="14">
        <f>DV19-DV22</f>
        <v>18.650000000000002</v>
      </c>
      <c r="DW25" s="538">
        <f>AG25-SUM(DS25:DV25)</f>
        <v>0</v>
      </c>
      <c r="DX25" s="862"/>
      <c r="DY25" s="862"/>
      <c r="DZ25" s="862"/>
      <c r="EA25" s="862"/>
      <c r="EB25" s="862"/>
      <c r="EH25" s="1048"/>
      <c r="EI25" s="1048"/>
      <c r="EJ25" s="1048"/>
      <c r="EK25" s="1048"/>
      <c r="EM25" s="1048"/>
      <c r="FL25" s="1048"/>
    </row>
    <row r="26" spans="1:168" ht="12.75" customHeight="1">
      <c r="A26" s="376"/>
      <c r="B26" s="111"/>
      <c r="C26" s="111"/>
      <c r="D26" s="111"/>
      <c r="E26" s="111"/>
      <c r="F26" s="111"/>
      <c r="G26" s="111"/>
      <c r="H26" s="111"/>
      <c r="I26" s="111"/>
      <c r="J26" s="111"/>
      <c r="K26" s="111"/>
      <c r="L26" s="111"/>
      <c r="M26" s="111"/>
      <c r="N26" s="111"/>
      <c r="O26" s="111"/>
      <c r="P26" s="111"/>
      <c r="Q26" s="111"/>
      <c r="R26" s="111"/>
      <c r="S26" s="111"/>
      <c r="T26" s="14"/>
      <c r="U26" s="14"/>
      <c r="V26" s="14"/>
      <c r="W26" s="14"/>
      <c r="X26" s="14"/>
      <c r="Y26" s="111"/>
      <c r="Z26" s="111"/>
      <c r="AA26" s="111"/>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354"/>
      <c r="BA26" s="354"/>
      <c r="BB26" s="354"/>
      <c r="BC26" s="354"/>
      <c r="BD26" s="354"/>
      <c r="BE26" s="354"/>
      <c r="BF26" s="14"/>
      <c r="BG26" s="14"/>
      <c r="BH26" s="14"/>
      <c r="BI26" s="14"/>
      <c r="BJ26" s="14"/>
      <c r="BK26" s="14"/>
      <c r="BL26" s="14"/>
      <c r="BM26" s="14"/>
      <c r="BN26" s="14"/>
      <c r="BO26" s="14"/>
      <c r="BP26" s="14"/>
      <c r="BQ26" s="14"/>
      <c r="BR26" s="14"/>
      <c r="BS26" s="14"/>
      <c r="BT26" s="13"/>
      <c r="BU26" s="14"/>
      <c r="BV26" s="14"/>
      <c r="BW26" s="14"/>
      <c r="BX26" s="14"/>
      <c r="BY26" s="4"/>
      <c r="BZ26" s="14"/>
      <c r="CA26" s="14"/>
      <c r="CB26" s="14"/>
      <c r="CC26" s="14"/>
      <c r="CD26" s="339"/>
      <c r="CE26" s="14"/>
      <c r="CF26" s="14"/>
      <c r="CG26" s="14"/>
      <c r="CH26" s="14"/>
      <c r="CI26" s="53"/>
      <c r="CJ26" s="14"/>
      <c r="CK26" s="14"/>
      <c r="CL26" s="14"/>
      <c r="CM26" s="14"/>
      <c r="CN26" s="48"/>
      <c r="CO26" s="14"/>
      <c r="CP26" s="14"/>
      <c r="CQ26" s="14"/>
      <c r="CR26" s="14"/>
      <c r="CS26" s="49"/>
      <c r="CT26" s="14"/>
      <c r="CU26" s="14"/>
      <c r="CV26" s="14"/>
      <c r="CW26" s="14"/>
      <c r="CX26" s="87"/>
      <c r="CY26" s="139"/>
      <c r="CZ26" s="139"/>
      <c r="DA26" s="139"/>
      <c r="DB26" s="139"/>
      <c r="DC26" s="354"/>
      <c r="DD26" s="354"/>
      <c r="DE26" s="14"/>
      <c r="DF26" s="14"/>
      <c r="DG26" s="14"/>
      <c r="DH26" s="351"/>
      <c r="DI26" s="354"/>
      <c r="DJ26" s="14"/>
      <c r="DK26" s="14"/>
      <c r="DL26" s="14"/>
      <c r="DM26" s="351"/>
      <c r="DN26" s="14"/>
      <c r="DO26" s="14"/>
      <c r="DP26" s="14"/>
      <c r="DQ26" s="14"/>
      <c r="DR26" s="14"/>
      <c r="DX26" s="862"/>
      <c r="DY26" s="862"/>
      <c r="DZ26" s="862"/>
      <c r="EA26" s="862"/>
      <c r="EB26" s="862"/>
      <c r="EH26" s="1048"/>
      <c r="EI26" s="1048"/>
      <c r="EJ26" s="1048"/>
      <c r="EK26" s="1048"/>
      <c r="EM26" s="1048"/>
      <c r="FL26" s="1048"/>
    </row>
    <row r="27" spans="1:168" ht="12.75" customHeight="1">
      <c r="A27" s="369" t="s">
        <v>684</v>
      </c>
      <c r="B27" s="111"/>
      <c r="C27" s="111"/>
      <c r="D27" s="111"/>
      <c r="E27" s="111"/>
      <c r="F27" s="111">
        <f>L27</f>
        <v>8</v>
      </c>
      <c r="G27" s="111"/>
      <c r="H27" s="111"/>
      <c r="I27" s="111"/>
      <c r="J27" s="111"/>
      <c r="K27" s="111"/>
      <c r="L27" s="111">
        <f>O27</f>
        <v>8</v>
      </c>
      <c r="M27" s="111"/>
      <c r="N27" s="111"/>
      <c r="O27" s="111">
        <f>S27</f>
        <v>8</v>
      </c>
      <c r="P27" s="111"/>
      <c r="Q27" s="111"/>
      <c r="R27" s="111"/>
      <c r="S27" s="111">
        <f>Y27</f>
        <v>8</v>
      </c>
      <c r="T27" s="14"/>
      <c r="U27" s="14"/>
      <c r="V27" s="14"/>
      <c r="W27" s="14"/>
      <c r="X27" s="129"/>
      <c r="Y27" s="77">
        <v>8</v>
      </c>
      <c r="Z27" s="77">
        <v>8</v>
      </c>
      <c r="AA27" s="77">
        <v>8</v>
      </c>
      <c r="AB27" s="77">
        <v>10</v>
      </c>
      <c r="AC27" s="77">
        <v>3</v>
      </c>
      <c r="AD27" s="77">
        <v>3</v>
      </c>
      <c r="AE27" s="77">
        <v>3</v>
      </c>
      <c r="AF27" s="77">
        <v>3</v>
      </c>
      <c r="AG27" s="77">
        <v>3</v>
      </c>
      <c r="AH27" s="77">
        <f>AG27*0.8</f>
        <v>2.4000000000000004</v>
      </c>
      <c r="AI27" s="77">
        <f t="shared" ref="AI27:AX27" si="22">AH27*0.8</f>
        <v>1.9200000000000004</v>
      </c>
      <c r="AJ27" s="77">
        <f t="shared" si="22"/>
        <v>1.5360000000000005</v>
      </c>
      <c r="AK27" s="77">
        <f t="shared" si="22"/>
        <v>1.2288000000000006</v>
      </c>
      <c r="AL27" s="77">
        <f t="shared" si="22"/>
        <v>0.98304000000000047</v>
      </c>
      <c r="AM27" s="77">
        <f t="shared" si="22"/>
        <v>0.78643200000000046</v>
      </c>
      <c r="AN27" s="77">
        <f t="shared" si="22"/>
        <v>0.62914560000000042</v>
      </c>
      <c r="AO27" s="77">
        <f t="shared" si="22"/>
        <v>0.5033164800000004</v>
      </c>
      <c r="AP27" s="77">
        <f t="shared" si="22"/>
        <v>0.40265318400000033</v>
      </c>
      <c r="AQ27" s="77">
        <f t="shared" si="22"/>
        <v>0.32212254720000028</v>
      </c>
      <c r="AR27" s="77">
        <f t="shared" si="22"/>
        <v>0.25769803776000022</v>
      </c>
      <c r="AS27" s="77">
        <f t="shared" si="22"/>
        <v>0.20615843020800018</v>
      </c>
      <c r="AT27" s="77">
        <f t="shared" si="22"/>
        <v>0.16492674416640016</v>
      </c>
      <c r="AU27" s="77">
        <f t="shared" si="22"/>
        <v>0.13194139533312013</v>
      </c>
      <c r="AV27" s="77">
        <f t="shared" si="22"/>
        <v>0.10555311626649611</v>
      </c>
      <c r="AW27" s="77">
        <f t="shared" si="22"/>
        <v>8.4442493013196895E-2</v>
      </c>
      <c r="AX27" s="77">
        <f t="shared" si="22"/>
        <v>6.7553994410557525E-2</v>
      </c>
      <c r="AY27" s="77">
        <f t="shared" ref="AY27" si="23">AX27*0.8</f>
        <v>5.4043195528446025E-2</v>
      </c>
      <c r="AZ27" s="354"/>
      <c r="BA27" s="354"/>
      <c r="BB27" s="354"/>
      <c r="BC27" s="354"/>
      <c r="BD27" s="354"/>
      <c r="BE27" s="354"/>
      <c r="BF27" s="14"/>
      <c r="BG27" s="14"/>
      <c r="BH27" s="14"/>
      <c r="BI27" s="14"/>
      <c r="BJ27" s="14"/>
      <c r="BK27" s="14"/>
      <c r="BL27" s="14"/>
      <c r="BM27" s="14"/>
      <c r="BN27" s="14"/>
      <c r="BO27" s="14"/>
      <c r="BP27" s="14"/>
      <c r="BQ27" s="14"/>
      <c r="BR27" s="14"/>
      <c r="BS27" s="14"/>
      <c r="BT27" s="14"/>
      <c r="BU27" s="14"/>
      <c r="BV27" s="14"/>
      <c r="BW27" s="14"/>
      <c r="BX27" s="14"/>
      <c r="BY27" s="95"/>
      <c r="BZ27" s="14"/>
      <c r="CA27" s="14"/>
      <c r="CB27" s="14"/>
      <c r="CC27" s="14"/>
      <c r="CD27" s="377"/>
      <c r="CE27" s="14"/>
      <c r="CF27" s="14"/>
      <c r="CG27" s="14"/>
      <c r="CH27" s="14"/>
      <c r="CI27" s="53"/>
      <c r="CJ27" s="14">
        <f>CJ206</f>
        <v>0</v>
      </c>
      <c r="CK27" s="14">
        <f>CK206</f>
        <v>0</v>
      </c>
      <c r="CL27" s="14">
        <f>CL206</f>
        <v>0</v>
      </c>
      <c r="CM27" s="14">
        <f>CM206</f>
        <v>0</v>
      </c>
      <c r="CN27" s="350">
        <f>+X27-SUM(CJ27:CM27)</f>
        <v>0</v>
      </c>
      <c r="CO27" s="14">
        <f>$AA27/4</f>
        <v>2</v>
      </c>
      <c r="CP27" s="14">
        <f>$AA27/4</f>
        <v>2</v>
      </c>
      <c r="CQ27" s="14">
        <f>$AA27/4</f>
        <v>2</v>
      </c>
      <c r="CR27" s="167">
        <f>AA27-SUM(CO27:CQ27)</f>
        <v>2</v>
      </c>
      <c r="CS27" s="350">
        <f>+AA27-SUM(CO27:CR27)</f>
        <v>0</v>
      </c>
      <c r="CT27" s="14">
        <f>$AB27/4</f>
        <v>2.5</v>
      </c>
      <c r="CU27" s="14">
        <f>$AB27/4</f>
        <v>2.5</v>
      </c>
      <c r="CV27" s="14">
        <f>$AB27/4</f>
        <v>2.5</v>
      </c>
      <c r="CW27" s="167">
        <f>AB27-SUM(CT27:CV27)</f>
        <v>2.5</v>
      </c>
      <c r="CX27" s="350">
        <f>AB27-SUM(CT27:CW27)</f>
        <v>0</v>
      </c>
      <c r="CY27" s="14">
        <f>CY206</f>
        <v>0.75</v>
      </c>
      <c r="CZ27" s="14">
        <f>CZ206</f>
        <v>0.75</v>
      </c>
      <c r="DA27" s="14">
        <f>DA206</f>
        <v>0.75</v>
      </c>
      <c r="DB27" s="14">
        <f>DB206</f>
        <v>0.75</v>
      </c>
      <c r="DC27" s="871">
        <f>AC27-SUM(CY27:DB27)</f>
        <v>0</v>
      </c>
      <c r="DD27" s="14">
        <f>DD206</f>
        <v>0.75</v>
      </c>
      <c r="DE27" s="14">
        <f>DE206</f>
        <v>0.75</v>
      </c>
      <c r="DF27" s="14">
        <f>DF206</f>
        <v>0.75</v>
      </c>
      <c r="DG27" s="14">
        <f>DG206</f>
        <v>0.75</v>
      </c>
      <c r="DH27" s="357">
        <f>AD27-SUM(DD27:DG27)</f>
        <v>0</v>
      </c>
      <c r="DI27" s="14">
        <f>DI206</f>
        <v>0.75</v>
      </c>
      <c r="DJ27" s="14">
        <f>DJ206</f>
        <v>0.75</v>
      </c>
      <c r="DK27" s="14">
        <f>DK206</f>
        <v>0.75</v>
      </c>
      <c r="DL27" s="14">
        <f>DL206</f>
        <v>0.75</v>
      </c>
      <c r="DM27" s="357">
        <f>AE27-SUM(DI27:DL27)</f>
        <v>0</v>
      </c>
      <c r="DN27" s="14">
        <f>DN206</f>
        <v>0.75</v>
      </c>
      <c r="DO27" s="14">
        <f>DO206</f>
        <v>0.75</v>
      </c>
      <c r="DP27" s="14">
        <f>DP206</f>
        <v>0.75</v>
      </c>
      <c r="DQ27" s="14">
        <f>DQ206</f>
        <v>0.75</v>
      </c>
      <c r="DR27" s="538">
        <f>AF27-SUM(DN27:DQ27)</f>
        <v>0</v>
      </c>
      <c r="DS27" s="14">
        <f>DS206</f>
        <v>0.75</v>
      </c>
      <c r="DT27" s="14">
        <f>DT206</f>
        <v>0.75</v>
      </c>
      <c r="DU27" s="14">
        <f>DU206</f>
        <v>0.75</v>
      </c>
      <c r="DV27" s="14">
        <f>DV206</f>
        <v>0.75</v>
      </c>
      <c r="DW27" s="538">
        <f>AG27-SUM(DS27:DV27)</f>
        <v>0</v>
      </c>
      <c r="DX27" s="862"/>
      <c r="DY27" s="862"/>
      <c r="DZ27" s="862"/>
      <c r="EA27" s="862"/>
      <c r="EB27" s="862"/>
      <c r="EH27" s="1048"/>
      <c r="EI27" s="1048"/>
      <c r="EJ27" s="1048"/>
      <c r="EK27" s="1048"/>
      <c r="EM27" s="1048"/>
      <c r="FL27" s="1048"/>
    </row>
    <row r="28" spans="1:168" ht="12.75" customHeight="1">
      <c r="A28" s="376"/>
      <c r="B28" s="111"/>
      <c r="C28" s="111"/>
      <c r="D28" s="111"/>
      <c r="E28" s="111"/>
      <c r="F28" s="111"/>
      <c r="G28" s="111"/>
      <c r="H28" s="111"/>
      <c r="I28" s="111"/>
      <c r="J28" s="111"/>
      <c r="K28" s="111"/>
      <c r="L28" s="111"/>
      <c r="M28" s="111"/>
      <c r="N28" s="111"/>
      <c r="O28" s="111"/>
      <c r="P28" s="111"/>
      <c r="Q28" s="111"/>
      <c r="R28" s="111"/>
      <c r="S28" s="111"/>
      <c r="T28" s="14"/>
      <c r="U28" s="14"/>
      <c r="V28" s="14"/>
      <c r="W28" s="14"/>
      <c r="X28" s="14"/>
      <c r="Y28" s="111"/>
      <c r="Z28" s="111"/>
      <c r="AA28" s="111"/>
      <c r="AB28" s="14"/>
      <c r="AC28" s="14"/>
      <c r="AD28" s="14"/>
      <c r="AE28" s="14"/>
      <c r="AF28" s="14"/>
      <c r="AG28" s="14"/>
      <c r="AH28" s="14"/>
      <c r="AI28" s="14" t="s">
        <v>337</v>
      </c>
      <c r="AJ28" s="14"/>
      <c r="AK28" s="14" t="s">
        <v>337</v>
      </c>
      <c r="AL28" s="14" t="s">
        <v>337</v>
      </c>
      <c r="AM28" s="14"/>
      <c r="AN28" s="14"/>
      <c r="AO28" s="14"/>
      <c r="AP28" s="14"/>
      <c r="AQ28" s="14"/>
      <c r="AR28" s="14"/>
      <c r="AS28" s="14"/>
      <c r="AT28" s="14"/>
      <c r="AU28" s="14"/>
      <c r="AV28" s="14"/>
      <c r="AW28" s="14"/>
      <c r="AX28" s="14"/>
      <c r="AY28" s="354"/>
      <c r="AZ28" s="354"/>
      <c r="BA28" s="354"/>
      <c r="BB28" s="354"/>
      <c r="BC28" s="354"/>
      <c r="BD28" s="354"/>
      <c r="BE28" s="354"/>
      <c r="BF28" s="14"/>
      <c r="BG28" s="14"/>
      <c r="BH28" s="14"/>
      <c r="BI28" s="14"/>
      <c r="BJ28" s="14"/>
      <c r="BK28" s="14"/>
      <c r="BL28" s="14"/>
      <c r="BM28" s="14"/>
      <c r="BN28" s="14"/>
      <c r="BO28" s="14"/>
      <c r="BP28" s="14"/>
      <c r="BQ28" s="14"/>
      <c r="BR28" s="14"/>
      <c r="BS28" s="14"/>
      <c r="BT28" s="13"/>
      <c r="BU28" s="14"/>
      <c r="BV28" s="14"/>
      <c r="BW28" s="14"/>
      <c r="BX28" s="14"/>
      <c r="BY28" s="4"/>
      <c r="BZ28" s="14"/>
      <c r="CA28" s="14"/>
      <c r="CB28" s="14"/>
      <c r="CC28" s="14"/>
      <c r="CD28" s="339"/>
      <c r="CE28" s="14"/>
      <c r="CF28" s="14"/>
      <c r="CG28" s="14"/>
      <c r="CH28" s="14"/>
      <c r="CI28" s="53"/>
      <c r="CJ28" s="14"/>
      <c r="CK28" s="14"/>
      <c r="CL28" s="14"/>
      <c r="CM28" s="14"/>
      <c r="CN28" s="48"/>
      <c r="CO28" s="14"/>
      <c r="CP28" s="14"/>
      <c r="CQ28" s="14"/>
      <c r="CR28" s="14"/>
      <c r="CS28" s="49"/>
      <c r="CT28" s="14"/>
      <c r="CU28" s="14"/>
      <c r="CV28" s="14"/>
      <c r="CW28" s="14"/>
      <c r="CX28" s="87"/>
      <c r="CY28" s="139" t="s">
        <v>337</v>
      </c>
      <c r="CZ28" s="139" t="s">
        <v>337</v>
      </c>
      <c r="DA28" s="139" t="s">
        <v>337</v>
      </c>
      <c r="DB28" s="139"/>
      <c r="DC28" s="354"/>
      <c r="DD28" s="354"/>
      <c r="DE28" s="14"/>
      <c r="DF28" s="14"/>
      <c r="DG28" s="14"/>
      <c r="DH28" s="351"/>
      <c r="DI28" s="354"/>
      <c r="DJ28" s="14"/>
      <c r="DK28" s="14"/>
      <c r="DL28" s="14"/>
      <c r="DM28" s="351"/>
      <c r="DN28" s="14"/>
      <c r="DO28" s="14"/>
      <c r="DP28" s="14"/>
      <c r="DQ28" s="14"/>
      <c r="DR28" s="14"/>
      <c r="DX28" s="862"/>
      <c r="DY28" s="862"/>
      <c r="DZ28" s="862"/>
      <c r="EA28" s="862"/>
      <c r="EB28" s="862"/>
      <c r="EH28" s="1048"/>
      <c r="EI28" s="1048"/>
      <c r="EJ28" s="1048"/>
      <c r="EK28" s="1048"/>
      <c r="EM28" s="1048"/>
      <c r="FL28" s="1048"/>
    </row>
    <row r="29" spans="1:168" s="875" customFormat="1" ht="12.75" customHeight="1">
      <c r="A29" s="378" t="s">
        <v>685</v>
      </c>
      <c r="B29" s="3305"/>
      <c r="C29" s="3305"/>
      <c r="D29" s="3305"/>
      <c r="E29" s="3305"/>
      <c r="F29" s="3305">
        <f>F25-F27</f>
        <v>108.85995240361731</v>
      </c>
      <c r="G29" s="3305"/>
      <c r="H29" s="3305"/>
      <c r="I29" s="3305"/>
      <c r="J29" s="3305"/>
      <c r="K29" s="3305"/>
      <c r="L29" s="3305">
        <f>L25-L27</f>
        <v>105.15668729176582</v>
      </c>
      <c r="M29" s="3305"/>
      <c r="N29" s="3305"/>
      <c r="O29" s="3305">
        <f>O25-O27</f>
        <v>120.97997659618281</v>
      </c>
      <c r="P29" s="3305"/>
      <c r="Q29" s="3305"/>
      <c r="R29" s="3305"/>
      <c r="S29" s="3305">
        <f>S25-S27</f>
        <v>70.533343036612763</v>
      </c>
      <c r="T29" s="319"/>
      <c r="U29" s="319"/>
      <c r="V29" s="319"/>
      <c r="W29" s="319"/>
      <c r="X29" s="319"/>
      <c r="Y29" s="3319">
        <v>93.8</v>
      </c>
      <c r="Z29" s="3319">
        <v>77.5</v>
      </c>
      <c r="AA29" s="3319">
        <v>111.2</v>
      </c>
      <c r="AB29" s="319">
        <f t="shared" ref="AB29:AN29" si="24">AB25-AB27</f>
        <v>117.60000000000001</v>
      </c>
      <c r="AC29" s="319">
        <f t="shared" si="24"/>
        <v>68.5</v>
      </c>
      <c r="AD29" s="319">
        <f t="shared" si="24"/>
        <v>88.100000000000009</v>
      </c>
      <c r="AE29" s="319">
        <f t="shared" si="24"/>
        <v>78.7</v>
      </c>
      <c r="AF29" s="319">
        <f t="shared" si="24"/>
        <v>44.699999999999996</v>
      </c>
      <c r="AG29" s="319">
        <f t="shared" si="24"/>
        <v>64.700000000000017</v>
      </c>
      <c r="AH29" s="319">
        <f t="shared" si="24"/>
        <v>84.917000000000002</v>
      </c>
      <c r="AI29" s="319">
        <f t="shared" si="24"/>
        <v>82.284999999999997</v>
      </c>
      <c r="AJ29" s="319">
        <f t="shared" si="24"/>
        <v>106.52800000000001</v>
      </c>
      <c r="AK29" s="319">
        <f t="shared" si="24"/>
        <v>101.16499999999999</v>
      </c>
      <c r="AL29" s="319">
        <f>AL25-AL27</f>
        <v>114.54</v>
      </c>
      <c r="AM29" s="319">
        <f t="shared" si="24"/>
        <v>120.0145</v>
      </c>
      <c r="AN29" s="319">
        <f t="shared" si="24"/>
        <v>132.02800000000002</v>
      </c>
      <c r="AO29" s="319">
        <f t="shared" ref="AO29" si="25">AO25-AO27</f>
        <v>131.674935</v>
      </c>
      <c r="AP29" s="319">
        <f t="shared" ref="AP29:AU29" si="26">AP25-AP27</f>
        <v>136.897719</v>
      </c>
      <c r="AQ29" s="319">
        <f t="shared" si="26"/>
        <v>141.80876808000002</v>
      </c>
      <c r="AR29" s="319">
        <f t="shared" si="26"/>
        <v>146.81803814159997</v>
      </c>
      <c r="AS29" s="319">
        <f t="shared" si="26"/>
        <v>151.92749360443199</v>
      </c>
      <c r="AT29" s="319">
        <f t="shared" si="26"/>
        <v>157.13913817652065</v>
      </c>
      <c r="AU29" s="319">
        <f t="shared" si="26"/>
        <v>162.45501564005107</v>
      </c>
      <c r="AV29" s="319">
        <f>AV25-AV27</f>
        <v>167.87721065285209</v>
      </c>
      <c r="AW29" s="319">
        <f>AW25-AW27</f>
        <v>173.40784956590912</v>
      </c>
      <c r="AX29" s="319">
        <f>AX25-AX27</f>
        <v>179.04910125722728</v>
      </c>
      <c r="AY29" s="319">
        <f>AY25-AY27</f>
        <v>184.80317798237186</v>
      </c>
      <c r="AZ29" s="2780"/>
      <c r="BA29" s="2780"/>
      <c r="BB29" s="2780"/>
      <c r="BC29" s="2780"/>
      <c r="BD29" s="2780"/>
      <c r="BE29" s="2780"/>
      <c r="BF29" s="319"/>
      <c r="BG29" s="319"/>
      <c r="BH29" s="319"/>
      <c r="BI29" s="319"/>
      <c r="BJ29" s="319"/>
      <c r="BK29" s="319"/>
      <c r="BL29" s="319"/>
      <c r="BM29" s="319"/>
      <c r="BN29" s="319"/>
      <c r="BO29" s="319"/>
      <c r="BP29" s="319"/>
      <c r="BQ29" s="319"/>
      <c r="BR29" s="319"/>
      <c r="BS29" s="319"/>
      <c r="BT29" s="318"/>
      <c r="BU29" s="319"/>
      <c r="BV29" s="319"/>
      <c r="BW29" s="319"/>
      <c r="BX29" s="319"/>
      <c r="BY29" s="3309"/>
      <c r="BZ29" s="319"/>
      <c r="CA29" s="319"/>
      <c r="CB29" s="319"/>
      <c r="CC29" s="319"/>
      <c r="CD29" s="3310"/>
      <c r="CE29" s="319"/>
      <c r="CF29" s="319"/>
      <c r="CG29" s="319"/>
      <c r="CH29" s="319"/>
      <c r="CI29" s="2776"/>
      <c r="CJ29" s="319">
        <f>CJ25-CJ27</f>
        <v>0</v>
      </c>
      <c r="CK29" s="319">
        <f>CK25-CK27</f>
        <v>0</v>
      </c>
      <c r="CL29" s="319">
        <f>CL25-CL27</f>
        <v>0</v>
      </c>
      <c r="CM29" s="319">
        <f>CM25-CM27</f>
        <v>0</v>
      </c>
      <c r="CN29" s="3312">
        <f>+X29-SUM(CJ29:CM29)</f>
        <v>0</v>
      </c>
      <c r="CO29" s="319">
        <f>CO25-CO27</f>
        <v>-17.399999999999999</v>
      </c>
      <c r="CP29" s="319">
        <f>CP25-CP27</f>
        <v>26.700000000000003</v>
      </c>
      <c r="CQ29" s="319">
        <f>CQ25-CQ27</f>
        <v>92.800000000000011</v>
      </c>
      <c r="CR29" s="319">
        <f>CR25-CR27</f>
        <v>9.0999999999999979</v>
      </c>
      <c r="CS29" s="3313">
        <f>+AA29-SUM(CO29:CR29)</f>
        <v>0</v>
      </c>
      <c r="CT29" s="319">
        <f>CT25-CT27</f>
        <v>-19.199999999999996</v>
      </c>
      <c r="CU29" s="319">
        <f>CU25-CU27</f>
        <v>15.399999999999999</v>
      </c>
      <c r="CV29" s="319">
        <f>CV25-CV27</f>
        <v>98.199999999999989</v>
      </c>
      <c r="CW29" s="319">
        <f>CW25-CW27</f>
        <v>23.199999999999996</v>
      </c>
      <c r="CX29" s="3312">
        <f>AB29-SUM(CT29:CW29)</f>
        <v>0</v>
      </c>
      <c r="CY29" s="319">
        <f>CY25-CY27</f>
        <v>3.6999999999999993</v>
      </c>
      <c r="CZ29" s="319">
        <f>CZ25-CZ27</f>
        <v>8.1999999999999993</v>
      </c>
      <c r="DA29" s="319">
        <f>DA25-DA27</f>
        <v>20.8</v>
      </c>
      <c r="DB29" s="319">
        <f>DB25-DB27</f>
        <v>35.800000000000004</v>
      </c>
      <c r="DC29" s="3314">
        <f>AC29-SUM(CY29:DB29)</f>
        <v>0</v>
      </c>
      <c r="DD29" s="319">
        <f>DD25-DD27</f>
        <v>21.400000000000002</v>
      </c>
      <c r="DE29" s="319">
        <f>DE25-DE27</f>
        <v>18.100000000000001</v>
      </c>
      <c r="DF29" s="319">
        <f>DF25-DF27</f>
        <v>21.6</v>
      </c>
      <c r="DG29" s="319">
        <f>DG25-DG27</f>
        <v>27</v>
      </c>
      <c r="DH29" s="3315">
        <f>AD29-SUM(DD29:DG29)</f>
        <v>0</v>
      </c>
      <c r="DI29" s="319">
        <f>DI25-DI27</f>
        <v>14.600000000000001</v>
      </c>
      <c r="DJ29" s="319">
        <f>DJ25-DJ27</f>
        <v>14.6</v>
      </c>
      <c r="DK29" s="319">
        <f>DK25-DK27</f>
        <v>23.400000000000002</v>
      </c>
      <c r="DL29" s="319">
        <f>DL25-DL27</f>
        <v>26.1</v>
      </c>
      <c r="DM29" s="3315">
        <f>AE29-SUM(DI29:DL29)</f>
        <v>0</v>
      </c>
      <c r="DN29" s="319">
        <f>DN25-DN27</f>
        <v>-2.1</v>
      </c>
      <c r="DO29" s="319">
        <f>DO25-DO27</f>
        <v>8.3000000000000007</v>
      </c>
      <c r="DP29" s="319">
        <f>DP25-DP27</f>
        <v>26.599999999999998</v>
      </c>
      <c r="DQ29" s="319">
        <f>DQ25-DQ27</f>
        <v>11.9</v>
      </c>
      <c r="DR29" s="3316">
        <f>AF29-SUM(DN29:DQ29)</f>
        <v>0</v>
      </c>
      <c r="DS29" s="319">
        <f>DS25-DS27</f>
        <v>2</v>
      </c>
      <c r="DT29" s="319">
        <f>DT25-DT27</f>
        <v>15.299999999999997</v>
      </c>
      <c r="DU29" s="319">
        <f>DU25-DU27</f>
        <v>29.5</v>
      </c>
      <c r="DV29" s="319">
        <f>DV25-DV27</f>
        <v>17.900000000000002</v>
      </c>
      <c r="DW29" s="3316">
        <f>AG29-SUM(DS29:DV29)</f>
        <v>0</v>
      </c>
      <c r="DX29" s="36"/>
      <c r="DY29" s="36"/>
      <c r="DZ29" s="36"/>
      <c r="EA29" s="36"/>
      <c r="EB29" s="36"/>
      <c r="EH29" s="2774"/>
      <c r="EI29" s="2774"/>
      <c r="EJ29" s="2774"/>
      <c r="EK29" s="2774"/>
      <c r="EM29" s="2774"/>
      <c r="FL29" s="2774"/>
    </row>
    <row r="30" spans="1:168" ht="12.75" customHeight="1">
      <c r="A30" s="376"/>
      <c r="B30" s="111"/>
      <c r="C30" s="111"/>
      <c r="D30" s="111"/>
      <c r="E30" s="111"/>
      <c r="F30" s="111"/>
      <c r="G30" s="77"/>
      <c r="H30" s="77"/>
      <c r="I30" s="77"/>
      <c r="J30" s="77"/>
      <c r="K30" s="14"/>
      <c r="L30" s="111"/>
      <c r="M30" s="14"/>
      <c r="N30" s="14"/>
      <c r="O30" s="111"/>
      <c r="P30" s="14"/>
      <c r="Q30" s="14"/>
      <c r="R30" s="14"/>
      <c r="S30" s="111"/>
      <c r="T30" s="14"/>
      <c r="U30" s="14"/>
      <c r="V30" s="14"/>
      <c r="W30" s="14"/>
      <c r="X30" s="14"/>
      <c r="Y30" s="111"/>
      <c r="Z30" s="111"/>
      <c r="AA30" s="111"/>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354"/>
      <c r="BA30" s="354"/>
      <c r="BB30" s="354"/>
      <c r="BC30" s="354"/>
      <c r="BD30" s="354"/>
      <c r="BE30" s="354"/>
      <c r="BF30" s="14"/>
      <c r="BG30" s="14"/>
      <c r="BH30" s="14"/>
      <c r="BI30" s="14"/>
      <c r="BJ30" s="14"/>
      <c r="BK30" s="14"/>
      <c r="BL30" s="14"/>
      <c r="BM30" s="14"/>
      <c r="BN30" s="14"/>
      <c r="BO30" s="14"/>
      <c r="BP30" s="14"/>
      <c r="BQ30" s="14"/>
      <c r="BR30" s="14"/>
      <c r="BS30" s="14"/>
      <c r="BT30" s="13"/>
      <c r="BU30" s="14"/>
      <c r="BV30" s="14"/>
      <c r="BW30" s="14"/>
      <c r="BX30" s="14"/>
      <c r="BY30" s="4"/>
      <c r="BZ30" s="14"/>
      <c r="CA30" s="14"/>
      <c r="CB30" s="14"/>
      <c r="CC30" s="14"/>
      <c r="CD30" s="339"/>
      <c r="CE30" s="14"/>
      <c r="CF30" s="14"/>
      <c r="CG30" s="14"/>
      <c r="CH30" s="14"/>
      <c r="CI30" s="53"/>
      <c r="CJ30" s="14"/>
      <c r="CK30" s="14"/>
      <c r="CL30" s="14"/>
      <c r="CM30" s="14"/>
      <c r="CN30" s="48"/>
      <c r="CO30" s="14"/>
      <c r="CP30" s="14"/>
      <c r="CQ30" s="14"/>
      <c r="CR30" s="14"/>
      <c r="CS30" s="49"/>
      <c r="CT30" s="14"/>
      <c r="CU30" s="14"/>
      <c r="CV30" s="14"/>
      <c r="CW30" s="14"/>
      <c r="CX30" s="87"/>
      <c r="CY30" s="139"/>
      <c r="CZ30" s="139"/>
      <c r="DA30" s="139"/>
      <c r="DB30" s="139"/>
      <c r="DC30" s="354"/>
      <c r="DD30" s="354"/>
      <c r="DE30" s="14"/>
      <c r="DF30" s="14"/>
      <c r="DG30" s="14"/>
      <c r="DH30" s="351"/>
      <c r="DI30" s="354"/>
      <c r="DJ30" s="14"/>
      <c r="DK30" s="14"/>
      <c r="DL30" s="14"/>
      <c r="DM30" s="351"/>
      <c r="DN30" s="14"/>
      <c r="DO30" s="14"/>
      <c r="DP30" s="14"/>
      <c r="DQ30" s="14"/>
      <c r="DR30" s="14"/>
      <c r="DX30" s="862"/>
      <c r="DY30" s="862"/>
      <c r="DZ30" s="862"/>
      <c r="EA30" s="862"/>
      <c r="EB30" s="862"/>
      <c r="EH30" s="1048"/>
      <c r="EI30" s="1048"/>
      <c r="EJ30" s="1048"/>
      <c r="EK30" s="1048"/>
      <c r="EM30" s="1048"/>
      <c r="FL30" s="1048"/>
    </row>
    <row r="31" spans="1:168" ht="12.75" customHeight="1">
      <c r="A31" s="369" t="s">
        <v>686</v>
      </c>
      <c r="B31" s="111"/>
      <c r="C31" s="111"/>
      <c r="D31" s="111"/>
      <c r="E31" s="111"/>
      <c r="F31" s="111"/>
      <c r="G31" s="77"/>
      <c r="H31" s="77"/>
      <c r="I31" s="77"/>
      <c r="J31" s="77"/>
      <c r="K31" s="14"/>
      <c r="L31" s="111"/>
      <c r="M31" s="14"/>
      <c r="N31" s="14"/>
      <c r="O31" s="111"/>
      <c r="P31" s="14"/>
      <c r="Q31" s="14"/>
      <c r="R31" s="14"/>
      <c r="S31" s="111"/>
      <c r="T31" s="14"/>
      <c r="U31" s="14"/>
      <c r="V31" s="14"/>
      <c r="W31" s="14"/>
      <c r="X31" s="14"/>
      <c r="Y31" s="113">
        <v>46</v>
      </c>
      <c r="Z31" s="113">
        <v>46.2</v>
      </c>
      <c r="AA31" s="113">
        <v>48.8</v>
      </c>
      <c r="AB31" s="14">
        <v>45.038954678767411</v>
      </c>
      <c r="AC31" s="14">
        <f>+AC218</f>
        <v>5.8</v>
      </c>
      <c r="AD31" s="77">
        <v>12</v>
      </c>
      <c r="AE31" s="77">
        <v>9.5</v>
      </c>
      <c r="AF31" s="77">
        <v>5</v>
      </c>
      <c r="AG31" s="77">
        <v>6</v>
      </c>
      <c r="AH31" s="77">
        <v>7</v>
      </c>
      <c r="AI31" s="14">
        <v>3</v>
      </c>
      <c r="AJ31" s="14">
        <v>5</v>
      </c>
      <c r="AK31" s="14">
        <f t="shared" ref="AK31:AY31" si="27">AJ31*1.03</f>
        <v>5.15</v>
      </c>
      <c r="AL31" s="14">
        <f t="shared" si="27"/>
        <v>5.3045000000000009</v>
      </c>
      <c r="AM31" s="14">
        <f t="shared" si="27"/>
        <v>5.4636350000000009</v>
      </c>
      <c r="AN31" s="14">
        <f t="shared" si="27"/>
        <v>5.6275440500000009</v>
      </c>
      <c r="AO31" s="14">
        <f t="shared" si="27"/>
        <v>5.796370371500001</v>
      </c>
      <c r="AP31" s="14">
        <f t="shared" si="27"/>
        <v>5.9702614826450011</v>
      </c>
      <c r="AQ31" s="14">
        <f t="shared" si="27"/>
        <v>6.1493693271243517</v>
      </c>
      <c r="AR31" s="14">
        <f t="shared" si="27"/>
        <v>6.3338504069380823</v>
      </c>
      <c r="AS31" s="14">
        <f t="shared" si="27"/>
        <v>6.5238659191462247</v>
      </c>
      <c r="AT31" s="14">
        <f t="shared" si="27"/>
        <v>6.7195818967206113</v>
      </c>
      <c r="AU31" s="14">
        <f t="shared" si="27"/>
        <v>6.9211693536222301</v>
      </c>
      <c r="AV31" s="14">
        <f t="shared" si="27"/>
        <v>7.1288044342308972</v>
      </c>
      <c r="AW31" s="14">
        <f t="shared" si="27"/>
        <v>7.3426685672578245</v>
      </c>
      <c r="AX31" s="14">
        <f t="shared" si="27"/>
        <v>7.5629486242755597</v>
      </c>
      <c r="AY31" s="14">
        <f t="shared" si="27"/>
        <v>7.7898370830038264</v>
      </c>
      <c r="AZ31" s="354"/>
      <c r="BA31" s="354"/>
      <c r="BB31" s="354"/>
      <c r="BC31" s="354"/>
      <c r="BD31" s="354"/>
      <c r="BE31" s="354"/>
      <c r="BF31" s="14"/>
      <c r="BG31" s="14"/>
      <c r="BH31" s="14"/>
      <c r="BI31" s="14"/>
      <c r="BJ31" s="14"/>
      <c r="BK31" s="14"/>
      <c r="BL31" s="14"/>
      <c r="BM31" s="14"/>
      <c r="BN31" s="14"/>
      <c r="BO31" s="14"/>
      <c r="BP31" s="14"/>
      <c r="BQ31" s="14"/>
      <c r="BR31" s="14"/>
      <c r="BS31" s="14"/>
      <c r="BT31" s="13"/>
      <c r="BU31" s="14"/>
      <c r="BV31" s="14"/>
      <c r="BW31" s="14"/>
      <c r="BX31" s="14"/>
      <c r="BY31" s="4"/>
      <c r="BZ31" s="14"/>
      <c r="CA31" s="14"/>
      <c r="CB31" s="14"/>
      <c r="CC31" s="14"/>
      <c r="CD31" s="339"/>
      <c r="CE31" s="14"/>
      <c r="CF31" s="14"/>
      <c r="CG31" s="14"/>
      <c r="CH31" s="14"/>
      <c r="CI31" s="53"/>
      <c r="CJ31" s="14"/>
      <c r="CK31" s="14"/>
      <c r="CL31" s="14"/>
      <c r="CM31" s="14"/>
      <c r="CN31" s="48"/>
      <c r="CO31" s="14"/>
      <c r="CP31" s="14"/>
      <c r="CQ31" s="14"/>
      <c r="CR31" s="14"/>
      <c r="CS31" s="49"/>
      <c r="CT31" s="14"/>
      <c r="CU31" s="14"/>
      <c r="CV31" s="14"/>
      <c r="CW31" s="14"/>
      <c r="CX31" s="87"/>
      <c r="CY31" s="139"/>
      <c r="CZ31" s="139"/>
      <c r="DA31" s="139"/>
      <c r="DB31" s="139"/>
      <c r="DC31" s="354"/>
      <c r="DD31" s="351"/>
      <c r="DE31" s="352"/>
      <c r="DF31" s="352"/>
      <c r="DG31" s="352"/>
      <c r="DH31" s="351"/>
      <c r="DI31" s="351"/>
      <c r="DJ31" s="352"/>
      <c r="DK31" s="352"/>
      <c r="DL31" s="352"/>
      <c r="DM31" s="351"/>
      <c r="DN31" s="14"/>
      <c r="DO31" s="14"/>
      <c r="DP31" s="14"/>
      <c r="DQ31" s="14"/>
      <c r="DR31" s="14"/>
      <c r="DX31" s="862"/>
      <c r="DY31" s="862"/>
      <c r="DZ31" s="862"/>
      <c r="EA31" s="862"/>
      <c r="EB31" s="862"/>
      <c r="EH31" s="1048"/>
      <c r="EI31" s="1048"/>
      <c r="EJ31" s="1048"/>
      <c r="EK31" s="1048"/>
      <c r="EM31" s="1048"/>
      <c r="FL31" s="1048"/>
    </row>
    <row r="32" spans="1:168" ht="12.75" customHeight="1">
      <c r="A32" s="375" t="s">
        <v>682</v>
      </c>
      <c r="B32" s="111"/>
      <c r="C32" s="111"/>
      <c r="D32" s="111"/>
      <c r="E32" s="111"/>
      <c r="F32" s="111"/>
      <c r="G32" s="77"/>
      <c r="H32" s="77"/>
      <c r="I32" s="77"/>
      <c r="J32" s="77"/>
      <c r="K32" s="14"/>
      <c r="L32" s="111"/>
      <c r="M32" s="14"/>
      <c r="N32" s="14"/>
      <c r="O32" s="111"/>
      <c r="P32" s="14"/>
      <c r="Q32" s="14"/>
      <c r="R32" s="14"/>
      <c r="S32" s="111"/>
      <c r="T32" s="14"/>
      <c r="U32" s="14"/>
      <c r="V32" s="14"/>
      <c r="W32" s="14"/>
      <c r="X32" s="14"/>
      <c r="Y32" s="39">
        <f t="shared" ref="Y32:AS32" si="28">Y31/Y11</f>
        <v>4.3788672060923371E-2</v>
      </c>
      <c r="Z32" s="39">
        <f t="shared" si="28"/>
        <v>4.3205835593378851E-2</v>
      </c>
      <c r="AA32" s="39">
        <f t="shared" si="28"/>
        <v>4.203997243280496E-2</v>
      </c>
      <c r="AB32" s="39">
        <f t="shared" si="28"/>
        <v>3.7940320679612005E-2</v>
      </c>
      <c r="AC32" s="39">
        <f t="shared" si="28"/>
        <v>7.1871127633209419E-3</v>
      </c>
      <c r="AD32" s="39">
        <f t="shared" si="28"/>
        <v>1.354248956099763E-2</v>
      </c>
      <c r="AE32" s="39">
        <f t="shared" si="28"/>
        <v>1.1076133846333215E-2</v>
      </c>
      <c r="AF32" s="39">
        <f t="shared" si="28"/>
        <v>6.3011972274732196E-3</v>
      </c>
      <c r="AG32" s="39">
        <f t="shared" si="28"/>
        <v>7.5872534142640367E-3</v>
      </c>
      <c r="AH32" s="39">
        <f t="shared" si="28"/>
        <v>8.8945362134688691E-3</v>
      </c>
      <c r="AI32" s="39">
        <f t="shared" si="28"/>
        <v>3.7974683544303796E-3</v>
      </c>
      <c r="AJ32" s="39">
        <f t="shared" si="28"/>
        <v>6.180469715698393E-3</v>
      </c>
      <c r="AK32" s="39">
        <f t="shared" si="28"/>
        <v>6.6195372750642682E-3</v>
      </c>
      <c r="AL32" s="39">
        <f>AL31/AL11</f>
        <v>6.8006410256410271E-3</v>
      </c>
      <c r="AM32" s="39">
        <f t="shared" si="28"/>
        <v>7.1233833116036514E-3</v>
      </c>
      <c r="AN32" s="39">
        <f t="shared" si="28"/>
        <v>6.999432898009951E-3</v>
      </c>
      <c r="AO32" s="39">
        <f t="shared" si="28"/>
        <v>7.1028727930544343E-3</v>
      </c>
      <c r="AP32" s="39">
        <f t="shared" si="28"/>
        <v>7.1725088008294776E-3</v>
      </c>
      <c r="AQ32" s="39">
        <f t="shared" si="28"/>
        <v>7.2428275145630999E-3</v>
      </c>
      <c r="AR32" s="39">
        <f t="shared" si="28"/>
        <v>7.3138356274509743E-3</v>
      </c>
      <c r="AS32" s="39">
        <f t="shared" si="28"/>
        <v>7.3855398983083366E-3</v>
      </c>
      <c r="AT32" s="39">
        <f t="shared" ref="AT32:AY32" si="29">AT31/AT11</f>
        <v>7.4579471522133196E-3</v>
      </c>
      <c r="AU32" s="39">
        <f t="shared" si="29"/>
        <v>7.5310642811565881E-3</v>
      </c>
      <c r="AV32" s="39">
        <f t="shared" si="29"/>
        <v>7.6048982446973393E-3</v>
      </c>
      <c r="AW32" s="39">
        <f t="shared" si="29"/>
        <v>7.6794560706257451E-3</v>
      </c>
      <c r="AX32" s="39">
        <f t="shared" si="29"/>
        <v>7.7547448556318805E-3</v>
      </c>
      <c r="AY32" s="39">
        <f t="shared" si="29"/>
        <v>7.8307717659812127E-3</v>
      </c>
      <c r="AZ32" s="359"/>
      <c r="BA32" s="359"/>
      <c r="BB32" s="359"/>
      <c r="BC32" s="359"/>
      <c r="BD32" s="359"/>
      <c r="BE32" s="354"/>
      <c r="BF32" s="14"/>
      <c r="BG32" s="14"/>
      <c r="BH32" s="14"/>
      <c r="BI32" s="14"/>
      <c r="BJ32" s="14"/>
      <c r="BK32" s="14"/>
      <c r="BL32" s="14"/>
      <c r="BM32" s="14"/>
      <c r="BN32" s="14"/>
      <c r="BO32" s="14"/>
      <c r="BP32" s="14"/>
      <c r="BQ32" s="14"/>
      <c r="BR32" s="14"/>
      <c r="BS32" s="14"/>
      <c r="BT32" s="13"/>
      <c r="BU32" s="14"/>
      <c r="BV32" s="14"/>
      <c r="BW32" s="14"/>
      <c r="BX32" s="14"/>
      <c r="BY32" s="4"/>
      <c r="BZ32" s="14"/>
      <c r="CA32" s="14"/>
      <c r="CB32" s="14"/>
      <c r="CC32" s="14"/>
      <c r="CD32" s="339"/>
      <c r="CE32" s="14"/>
      <c r="CF32" s="14"/>
      <c r="CG32" s="14"/>
      <c r="CH32" s="14"/>
      <c r="CI32" s="53"/>
      <c r="CJ32" s="14"/>
      <c r="CK32" s="14"/>
      <c r="CL32" s="14"/>
      <c r="CM32" s="14"/>
      <c r="CN32" s="48"/>
      <c r="CO32" s="14"/>
      <c r="CP32" s="14"/>
      <c r="CQ32" s="14"/>
      <c r="CR32" s="14"/>
      <c r="CS32" s="49"/>
      <c r="CT32" s="14"/>
      <c r="CU32" s="14"/>
      <c r="CV32" s="14"/>
      <c r="CW32" s="14"/>
      <c r="CX32" s="87"/>
      <c r="CY32" s="139"/>
      <c r="CZ32" s="139"/>
      <c r="DA32" s="139"/>
      <c r="DB32" s="139"/>
      <c r="DC32" s="354"/>
      <c r="DD32" s="351"/>
      <c r="DE32" s="352"/>
      <c r="DF32" s="352"/>
      <c r="DG32" s="352"/>
      <c r="DH32" s="351"/>
      <c r="DI32" s="351"/>
      <c r="DJ32" s="352"/>
      <c r="DK32" s="352"/>
      <c r="DL32" s="352"/>
      <c r="DM32" s="351"/>
      <c r="DN32" s="14"/>
      <c r="DO32" s="14"/>
      <c r="DP32" s="14"/>
      <c r="DQ32" s="14"/>
      <c r="DR32" s="14"/>
      <c r="DX32" s="862"/>
      <c r="DY32" s="862"/>
      <c r="DZ32" s="862"/>
      <c r="EA32" s="862"/>
      <c r="EB32" s="862"/>
      <c r="EH32" s="1048"/>
      <c r="EI32" s="1048"/>
      <c r="EJ32" s="1048"/>
      <c r="EK32" s="1048"/>
      <c r="EM32" s="1048"/>
      <c r="FL32" s="1048"/>
    </row>
    <row r="33" spans="1:168" ht="12.75" customHeight="1">
      <c r="A33" s="375"/>
      <c r="B33" s="111"/>
      <c r="C33" s="111"/>
      <c r="D33" s="111"/>
      <c r="E33" s="111"/>
      <c r="F33" s="111"/>
      <c r="G33" s="77"/>
      <c r="H33" s="77"/>
      <c r="I33" s="77"/>
      <c r="J33" s="77"/>
      <c r="K33" s="14"/>
      <c r="L33" s="111"/>
      <c r="M33" s="14"/>
      <c r="N33" s="14"/>
      <c r="O33" s="111"/>
      <c r="P33" s="14"/>
      <c r="Q33" s="14"/>
      <c r="R33" s="14"/>
      <c r="S33" s="111"/>
      <c r="T33" s="14"/>
      <c r="U33" s="14"/>
      <c r="V33" s="14"/>
      <c r="W33" s="14"/>
      <c r="X33" s="14"/>
      <c r="Y33" s="111"/>
      <c r="Z33" s="111"/>
      <c r="AA33" s="111"/>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354"/>
      <c r="BA33" s="354"/>
      <c r="BB33" s="354"/>
      <c r="BC33" s="354"/>
      <c r="BD33" s="354"/>
      <c r="BE33" s="354"/>
      <c r="BF33" s="14"/>
      <c r="BG33" s="14"/>
      <c r="BH33" s="14"/>
      <c r="BI33" s="14"/>
      <c r="BJ33" s="14"/>
      <c r="BK33" s="14"/>
      <c r="BL33" s="14"/>
      <c r="BM33" s="14"/>
      <c r="BN33" s="14"/>
      <c r="BO33" s="14"/>
      <c r="BP33" s="14"/>
      <c r="BQ33" s="14"/>
      <c r="BR33" s="14"/>
      <c r="BS33" s="14"/>
      <c r="BT33" s="13"/>
      <c r="BU33" s="14"/>
      <c r="BV33" s="14"/>
      <c r="BW33" s="14"/>
      <c r="BX33" s="14"/>
      <c r="BY33" s="4"/>
      <c r="BZ33" s="14"/>
      <c r="CA33" s="14"/>
      <c r="CB33" s="14"/>
      <c r="CC33" s="14"/>
      <c r="CD33" s="339"/>
      <c r="CE33" s="14"/>
      <c r="CF33" s="14"/>
      <c r="CG33" s="14"/>
      <c r="CH33" s="14"/>
      <c r="CI33" s="53"/>
      <c r="CJ33" s="14"/>
      <c r="CK33" s="14"/>
      <c r="CL33" s="14"/>
      <c r="CM33" s="14"/>
      <c r="CN33" s="48"/>
      <c r="CO33" s="14"/>
      <c r="CP33" s="14"/>
      <c r="CQ33" s="14"/>
      <c r="CR33" s="14"/>
      <c r="CS33" s="49"/>
      <c r="CT33" s="14"/>
      <c r="CU33" s="14"/>
      <c r="CV33" s="14"/>
      <c r="CW33" s="14"/>
      <c r="CX33" s="87"/>
      <c r="CY33" s="139"/>
      <c r="CZ33" s="139"/>
      <c r="DA33" s="139"/>
      <c r="DB33" s="139"/>
      <c r="DC33" s="354"/>
      <c r="DD33" s="351"/>
      <c r="DE33" s="352"/>
      <c r="DF33" s="352"/>
      <c r="DG33" s="352"/>
      <c r="DH33" s="351"/>
      <c r="DI33" s="351"/>
      <c r="DJ33" s="352"/>
      <c r="DK33" s="352"/>
      <c r="DL33" s="352"/>
      <c r="DM33" s="351"/>
      <c r="DN33" s="14"/>
      <c r="DO33" s="14"/>
      <c r="DP33" s="14"/>
      <c r="DQ33" s="14"/>
      <c r="DR33" s="14"/>
      <c r="DX33" s="862"/>
      <c r="DY33" s="862"/>
      <c r="DZ33" s="862"/>
      <c r="EA33" s="862"/>
      <c r="EB33" s="862"/>
      <c r="EH33" s="1048"/>
      <c r="EI33" s="1048"/>
      <c r="EJ33" s="1048"/>
      <c r="EK33" s="1048"/>
      <c r="EM33" s="1048"/>
      <c r="FL33" s="1048"/>
    </row>
    <row r="34" spans="1:168" ht="12.75" customHeight="1">
      <c r="A34" s="369" t="s">
        <v>687</v>
      </c>
      <c r="B34" s="111"/>
      <c r="C34" s="111"/>
      <c r="D34" s="111"/>
      <c r="E34" s="111"/>
      <c r="F34" s="111"/>
      <c r="G34" s="77"/>
      <c r="H34" s="77"/>
      <c r="I34" s="77"/>
      <c r="J34" s="77"/>
      <c r="K34" s="14"/>
      <c r="L34" s="111"/>
      <c r="M34" s="14"/>
      <c r="N34" s="14"/>
      <c r="O34" s="111"/>
      <c r="P34" s="14"/>
      <c r="Q34" s="14"/>
      <c r="R34" s="14"/>
      <c r="S34" s="111"/>
      <c r="T34" s="14"/>
      <c r="U34" s="14"/>
      <c r="V34" s="14"/>
      <c r="W34" s="14"/>
      <c r="X34" s="14"/>
      <c r="Y34" s="111">
        <f t="shared" ref="Y34:AO34" si="30">Y22+Y27</f>
        <v>67.099999999999994</v>
      </c>
      <c r="Z34" s="111">
        <f t="shared" si="30"/>
        <v>70.599999999999994</v>
      </c>
      <c r="AA34" s="111">
        <f t="shared" si="30"/>
        <v>69</v>
      </c>
      <c r="AB34" s="111">
        <f t="shared" si="30"/>
        <v>67.2</v>
      </c>
      <c r="AC34" s="111">
        <f t="shared" si="30"/>
        <v>9.5</v>
      </c>
      <c r="AD34" s="111">
        <f t="shared" si="30"/>
        <v>9.1</v>
      </c>
      <c r="AE34" s="111">
        <f t="shared" si="30"/>
        <v>9.5</v>
      </c>
      <c r="AF34" s="111">
        <f t="shared" si="30"/>
        <v>7.7</v>
      </c>
      <c r="AG34" s="111">
        <f t="shared" si="30"/>
        <v>7.1000000000000005</v>
      </c>
      <c r="AH34" s="111">
        <f t="shared" si="30"/>
        <v>7.0829999999999993</v>
      </c>
      <c r="AI34" s="111">
        <f t="shared" si="30"/>
        <v>6.7149999999999981</v>
      </c>
      <c r="AJ34" s="111">
        <f t="shared" si="30"/>
        <v>6.4719999999999986</v>
      </c>
      <c r="AK34" s="111">
        <f t="shared" si="30"/>
        <v>5.8349999999999982</v>
      </c>
      <c r="AL34" s="111">
        <f>AL22+AL27</f>
        <v>5.4599999999999982</v>
      </c>
      <c r="AM34" s="111">
        <f t="shared" si="30"/>
        <v>4.9854999999999974</v>
      </c>
      <c r="AN34" s="111">
        <f t="shared" si="30"/>
        <v>4.8239999999999972</v>
      </c>
      <c r="AO34" s="111">
        <f t="shared" si="30"/>
        <v>4.4883299999999968</v>
      </c>
      <c r="AP34" s="111">
        <f t="shared" ref="AP34:AU34" si="31">AP22+AP27</f>
        <v>4.1619060000000001</v>
      </c>
      <c r="AQ34" s="111">
        <f t="shared" si="31"/>
        <v>4.24514412</v>
      </c>
      <c r="AR34" s="111">
        <f t="shared" si="31"/>
        <v>4.3300470023999997</v>
      </c>
      <c r="AS34" s="111">
        <f t="shared" si="31"/>
        <v>4.4166479424479999</v>
      </c>
      <c r="AT34" s="111">
        <f t="shared" si="31"/>
        <v>4.5049809012969595</v>
      </c>
      <c r="AU34" s="111">
        <f t="shared" si="31"/>
        <v>4.5950805193228987</v>
      </c>
      <c r="AV34" s="111">
        <f>AV22+AV27</f>
        <v>4.6869821297093566</v>
      </c>
      <c r="AW34" s="111">
        <f>AW22+AW27</f>
        <v>4.7807217723035436</v>
      </c>
      <c r="AX34" s="111">
        <f>AX22+AX27</f>
        <v>4.8763362077496151</v>
      </c>
      <c r="AY34" s="111">
        <f>AY22+AY27</f>
        <v>4.9738629319046073</v>
      </c>
      <c r="AZ34" s="370"/>
      <c r="BA34" s="370"/>
      <c r="BB34" s="370"/>
      <c r="BC34" s="370"/>
      <c r="BD34" s="370"/>
      <c r="BE34" s="354"/>
      <c r="BF34" s="14"/>
      <c r="BG34" s="14"/>
      <c r="BH34" s="14"/>
      <c r="BI34" s="14"/>
      <c r="BJ34" s="14"/>
      <c r="BK34" s="14"/>
      <c r="BL34" s="14"/>
      <c r="BM34" s="14"/>
      <c r="BN34" s="14"/>
      <c r="BO34" s="14"/>
      <c r="BP34" s="14"/>
      <c r="BQ34" s="14"/>
      <c r="BR34" s="14"/>
      <c r="BS34" s="14"/>
      <c r="BT34" s="13"/>
      <c r="BU34" s="14"/>
      <c r="BV34" s="14"/>
      <c r="BW34" s="14"/>
      <c r="BX34" s="14"/>
      <c r="BY34" s="4"/>
      <c r="BZ34" s="14"/>
      <c r="CA34" s="14"/>
      <c r="CB34" s="14"/>
      <c r="CC34" s="14"/>
      <c r="CD34" s="339"/>
      <c r="CE34" s="14"/>
      <c r="CF34" s="14"/>
      <c r="CG34" s="14"/>
      <c r="CH34" s="14"/>
      <c r="CI34" s="53"/>
      <c r="CJ34" s="14"/>
      <c r="CK34" s="14"/>
      <c r="CL34" s="14"/>
      <c r="CM34" s="14"/>
      <c r="CN34" s="48"/>
      <c r="CO34" s="14"/>
      <c r="CP34" s="14"/>
      <c r="CQ34" s="14"/>
      <c r="CR34" s="14"/>
      <c r="CS34" s="49"/>
      <c r="CT34" s="14"/>
      <c r="CU34" s="14"/>
      <c r="CV34" s="14"/>
      <c r="CW34" s="14"/>
      <c r="CX34" s="87"/>
      <c r="CY34" s="139"/>
      <c r="CZ34" s="139"/>
      <c r="DA34" s="139"/>
      <c r="DB34" s="139"/>
      <c r="DC34" s="354" t="s">
        <v>337</v>
      </c>
      <c r="DD34" s="351"/>
      <c r="DE34" s="352"/>
      <c r="DF34" s="352"/>
      <c r="DG34" s="352"/>
      <c r="DH34" s="351" t="s">
        <v>337</v>
      </c>
      <c r="DI34" s="351"/>
      <c r="DJ34" s="352"/>
      <c r="DK34" s="352"/>
      <c r="DL34" s="352"/>
      <c r="DM34" s="351" t="s">
        <v>337</v>
      </c>
      <c r="DN34" s="14"/>
      <c r="DO34" s="14"/>
      <c r="DP34" s="14"/>
      <c r="DQ34" s="14"/>
      <c r="DR34" s="14"/>
      <c r="DX34" s="862"/>
      <c r="DY34" s="862"/>
      <c r="DZ34" s="862"/>
      <c r="EA34" s="862"/>
      <c r="EB34" s="862"/>
      <c r="EH34" s="1048"/>
      <c r="EI34" s="1048"/>
      <c r="EJ34" s="1048"/>
      <c r="EK34" s="1048"/>
      <c r="EM34" s="1048"/>
      <c r="FL34" s="1048"/>
    </row>
    <row r="35" spans="1:168" ht="12.75" customHeight="1">
      <c r="A35" s="376"/>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69"/>
      <c r="AY35" s="69"/>
      <c r="AZ35" s="69"/>
      <c r="BA35" s="69"/>
      <c r="BB35" s="69"/>
      <c r="BC35" s="69"/>
      <c r="BD35" s="69"/>
      <c r="BE35" s="69"/>
      <c r="BF35" s="11"/>
      <c r="BG35" s="11"/>
      <c r="BH35" s="11"/>
      <c r="BI35" s="11"/>
      <c r="BJ35" s="11"/>
      <c r="BK35" s="11"/>
      <c r="BL35" s="11"/>
      <c r="BM35" s="11"/>
      <c r="BN35" s="11"/>
      <c r="BO35" s="11"/>
      <c r="BP35" s="11"/>
      <c r="BQ35" s="11"/>
      <c r="BR35" s="11"/>
      <c r="BS35" s="11"/>
      <c r="BT35" s="11"/>
      <c r="BU35" s="11"/>
      <c r="BV35" s="11"/>
      <c r="BW35" s="11"/>
      <c r="BX35" s="11"/>
      <c r="BY35" s="95"/>
      <c r="BZ35" s="11"/>
      <c r="CA35" s="11"/>
      <c r="CB35" s="11"/>
      <c r="CC35" s="11"/>
      <c r="CD35" s="377"/>
      <c r="CE35" s="11"/>
      <c r="CF35" s="11"/>
      <c r="CG35" s="11"/>
      <c r="CH35" s="11"/>
      <c r="CI35" s="53"/>
      <c r="CJ35" s="11"/>
      <c r="CK35" s="11"/>
      <c r="CL35" s="11"/>
      <c r="CM35" s="11"/>
      <c r="CN35" s="49"/>
      <c r="CO35" s="11"/>
      <c r="CP35" s="11"/>
      <c r="CQ35" s="11"/>
      <c r="CR35" s="11"/>
      <c r="CS35" s="49"/>
      <c r="CT35" s="11"/>
      <c r="CU35" s="11"/>
      <c r="CV35" s="11"/>
      <c r="CW35" s="11"/>
      <c r="CX35" s="49"/>
      <c r="CY35" s="352"/>
      <c r="CZ35" s="352"/>
      <c r="DA35" s="352"/>
      <c r="DB35" s="352"/>
      <c r="DC35" s="11"/>
      <c r="DD35" s="304"/>
      <c r="DE35" s="304"/>
      <c r="DF35" s="304"/>
      <c r="DG35" s="304"/>
      <c r="DH35" s="304"/>
      <c r="DI35" s="304"/>
      <c r="DJ35" s="304"/>
      <c r="DK35" s="304"/>
      <c r="DL35" s="304"/>
      <c r="DM35" s="304"/>
      <c r="DN35" s="11"/>
      <c r="DO35" s="11"/>
      <c r="DP35" s="11"/>
      <c r="DQ35" s="11"/>
      <c r="DR35" s="11"/>
      <c r="DX35" s="862"/>
      <c r="DY35" s="862"/>
      <c r="DZ35" s="862"/>
      <c r="EA35" s="862"/>
      <c r="EB35" s="862"/>
      <c r="EH35" s="1048"/>
      <c r="EI35" s="1048"/>
      <c r="EJ35" s="1048"/>
      <c r="EK35" s="1048"/>
      <c r="EM35" s="1048"/>
      <c r="FL35" s="1048"/>
    </row>
    <row r="36" spans="1:168" ht="12.75" customHeight="1">
      <c r="A36" s="379"/>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69"/>
      <c r="AY36" s="69"/>
      <c r="AZ36" s="69"/>
      <c r="BA36" s="69"/>
      <c r="BB36" s="69"/>
      <c r="BC36" s="69"/>
      <c r="BD36" s="69"/>
      <c r="BE36" s="69"/>
      <c r="BF36" s="11"/>
      <c r="BG36" s="11"/>
      <c r="BH36" s="11"/>
      <c r="BI36" s="11"/>
      <c r="BJ36" s="11"/>
      <c r="BK36" s="11"/>
      <c r="BL36" s="11"/>
      <c r="BM36" s="11"/>
      <c r="BN36" s="11"/>
      <c r="BO36" s="11"/>
      <c r="BP36" s="11"/>
      <c r="BQ36" s="11"/>
      <c r="BR36" s="11"/>
      <c r="BS36" s="11"/>
      <c r="BT36" s="11"/>
      <c r="BU36" s="11"/>
      <c r="BV36" s="11"/>
      <c r="BW36" s="11"/>
      <c r="BX36" s="11"/>
      <c r="BY36" s="95"/>
      <c r="BZ36" s="11"/>
      <c r="CA36" s="11"/>
      <c r="CB36" s="11"/>
      <c r="CC36" s="11"/>
      <c r="CD36" s="377"/>
      <c r="CE36" s="11"/>
      <c r="CF36" s="11"/>
      <c r="CG36" s="11"/>
      <c r="CH36" s="11"/>
      <c r="CI36" s="53"/>
      <c r="CJ36" s="11"/>
      <c r="CK36" s="11"/>
      <c r="CL36" s="11"/>
      <c r="CM36" s="11"/>
      <c r="CN36" s="49"/>
      <c r="CO36" s="11"/>
      <c r="CP36" s="11"/>
      <c r="CQ36" s="11"/>
      <c r="CR36" s="11"/>
      <c r="CS36" s="49"/>
      <c r="CT36" s="11"/>
      <c r="CU36" s="11"/>
      <c r="CV36" s="11"/>
      <c r="CW36" s="11"/>
      <c r="CX36" s="49"/>
      <c r="CY36" s="304"/>
      <c r="CZ36" s="304"/>
      <c r="DA36" s="304"/>
      <c r="DB36" s="304"/>
      <c r="DC36" s="11"/>
      <c r="DD36" s="304"/>
      <c r="DE36" s="304"/>
      <c r="DF36" s="304"/>
      <c r="DG36" s="304"/>
      <c r="DH36" s="304"/>
      <c r="DI36" s="304"/>
      <c r="DJ36" s="304"/>
      <c r="DK36" s="304"/>
      <c r="DL36" s="304"/>
      <c r="DM36" s="304"/>
      <c r="DN36" s="11"/>
      <c r="DO36" s="11"/>
      <c r="DP36" s="11"/>
      <c r="DQ36" s="11"/>
      <c r="DR36" s="11"/>
      <c r="DX36" s="862"/>
      <c r="DY36" s="862"/>
      <c r="DZ36" s="862"/>
      <c r="EA36" s="862"/>
      <c r="EB36" s="862"/>
      <c r="EH36" s="1048"/>
      <c r="EI36" s="1048"/>
      <c r="EJ36" s="1048"/>
      <c r="EK36" s="1048"/>
      <c r="EM36" s="1048"/>
      <c r="FL36" s="1048"/>
    </row>
    <row r="37" spans="1:168" ht="15">
      <c r="A37" s="380" t="s">
        <v>693</v>
      </c>
      <c r="B37" s="11"/>
      <c r="C37" s="11"/>
      <c r="D37" s="11"/>
      <c r="E37" s="39"/>
      <c r="F37" s="39"/>
      <c r="G37" s="11"/>
      <c r="H37" s="11"/>
      <c r="I37" s="11"/>
      <c r="J37" s="11"/>
      <c r="K37" s="39"/>
      <c r="L37" s="39"/>
      <c r="M37" s="11"/>
      <c r="N37" s="11"/>
      <c r="O37" s="39"/>
      <c r="P37" s="11"/>
      <c r="Q37" s="11"/>
      <c r="R37" s="11"/>
      <c r="S37" s="39"/>
      <c r="T37" s="39"/>
      <c r="U37" s="11"/>
      <c r="V37" s="11"/>
      <c r="W37" s="11"/>
      <c r="X37" s="11"/>
      <c r="Y37" s="39"/>
      <c r="Z37" s="39"/>
      <c r="AA37" s="39"/>
      <c r="AB37" s="39"/>
      <c r="AC37" s="39"/>
      <c r="AD37" s="39"/>
      <c r="AE37" s="39"/>
      <c r="AF37" s="39"/>
      <c r="AG37" s="39"/>
      <c r="AH37" s="39"/>
      <c r="AI37" s="39"/>
      <c r="AJ37" s="39"/>
      <c r="AK37" s="39"/>
      <c r="AL37" s="39"/>
      <c r="AM37" s="39"/>
      <c r="AN37" s="39"/>
      <c r="AO37" s="39"/>
      <c r="AP37" s="39"/>
      <c r="AQ37" s="39"/>
      <c r="AR37" s="39"/>
      <c r="AS37" s="39"/>
      <c r="AT37" s="39"/>
      <c r="AU37" s="39"/>
      <c r="AV37" s="39"/>
      <c r="AW37" s="39"/>
      <c r="AX37" s="359"/>
      <c r="AY37" s="359"/>
      <c r="AZ37" s="359"/>
      <c r="BA37" s="359"/>
      <c r="BB37" s="359"/>
      <c r="BC37" s="359"/>
      <c r="BD37" s="359"/>
      <c r="BE37" s="69"/>
      <c r="BF37" s="11"/>
      <c r="BG37" s="11"/>
      <c r="BH37" s="11"/>
      <c r="BI37" s="11"/>
      <c r="BJ37" s="11"/>
      <c r="BK37" s="11"/>
      <c r="BL37" s="11"/>
      <c r="BM37" s="11"/>
      <c r="BN37" s="11"/>
      <c r="BO37" s="11"/>
      <c r="BP37" s="11"/>
      <c r="BQ37" s="11"/>
      <c r="BR37" s="11"/>
      <c r="BS37" s="11"/>
      <c r="BT37" s="11"/>
      <c r="BU37" s="11"/>
      <c r="BV37" s="11"/>
      <c r="BW37" s="11"/>
      <c r="BX37" s="11"/>
      <c r="BY37" s="95"/>
      <c r="BZ37" s="11"/>
      <c r="CA37" s="11"/>
      <c r="CB37" s="11"/>
      <c r="CC37" s="11"/>
      <c r="CD37" s="377"/>
      <c r="CE37" s="11"/>
      <c r="CF37" s="11"/>
      <c r="CG37" s="11"/>
      <c r="CH37" s="11"/>
      <c r="CI37" s="53"/>
      <c r="CJ37" s="11"/>
      <c r="CK37" s="11"/>
      <c r="CL37" s="11"/>
      <c r="CM37" s="11"/>
      <c r="CN37" s="49"/>
      <c r="CO37" s="11"/>
      <c r="CP37" s="11"/>
      <c r="CQ37" s="11"/>
      <c r="CR37" s="11"/>
      <c r="CS37" s="49"/>
      <c r="CT37" s="11"/>
      <c r="CU37" s="11"/>
      <c r="CV37" s="11"/>
      <c r="CW37" s="11"/>
      <c r="CX37" s="49"/>
      <c r="CY37" s="304"/>
      <c r="CZ37" s="304"/>
      <c r="DA37" s="304"/>
      <c r="DB37" s="304"/>
      <c r="DC37" s="11"/>
      <c r="DD37" s="304"/>
      <c r="DE37" s="304"/>
      <c r="DF37" s="304"/>
      <c r="DG37" s="304"/>
      <c r="DH37" s="304"/>
      <c r="DI37" s="304"/>
      <c r="DJ37" s="304"/>
      <c r="DK37" s="304"/>
      <c r="DL37" s="304"/>
      <c r="DM37" s="304"/>
      <c r="DN37" s="11"/>
      <c r="DO37" s="11"/>
      <c r="DP37" s="11"/>
      <c r="DQ37" s="11"/>
      <c r="DR37" s="11"/>
      <c r="DX37" s="862"/>
      <c r="DY37" s="862"/>
      <c r="DZ37" s="862"/>
      <c r="EA37" s="862"/>
      <c r="EB37" s="862"/>
      <c r="EH37" s="1048"/>
      <c r="EI37" s="1048"/>
      <c r="EJ37" s="1048"/>
      <c r="EK37" s="1048"/>
      <c r="EM37" s="1048"/>
      <c r="FL37" s="1048"/>
    </row>
    <row r="38" spans="1:168" ht="15">
      <c r="A38" s="381" t="s">
        <v>1053</v>
      </c>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69"/>
      <c r="AZ38" s="69"/>
      <c r="BA38" s="69"/>
      <c r="BB38" s="69"/>
      <c r="BC38" s="69"/>
      <c r="BD38" s="69"/>
      <c r="BE38" s="69"/>
      <c r="BF38" s="19"/>
      <c r="BG38" s="19"/>
      <c r="BH38" s="19"/>
      <c r="BI38" s="19"/>
      <c r="BJ38" s="19"/>
      <c r="BK38" s="19"/>
      <c r="BL38" s="19"/>
      <c r="BM38" s="19"/>
      <c r="BN38" s="19"/>
      <c r="BO38" s="19"/>
      <c r="BP38" s="19"/>
      <c r="BQ38" s="19"/>
      <c r="BR38" s="19"/>
      <c r="BS38" s="19"/>
      <c r="BT38" s="19"/>
      <c r="BU38" s="19"/>
      <c r="BV38" s="19"/>
      <c r="BW38" s="19"/>
      <c r="BX38" s="19"/>
      <c r="BY38" s="348"/>
      <c r="BZ38" s="19"/>
      <c r="CA38" s="19"/>
      <c r="CB38" s="19"/>
      <c r="CC38" s="19"/>
      <c r="CD38" s="382"/>
      <c r="CE38" s="19"/>
      <c r="CF38" s="19"/>
      <c r="CG38" s="19"/>
      <c r="CH38" s="19"/>
      <c r="CI38" s="383"/>
      <c r="CJ38" s="19"/>
      <c r="CK38" s="19"/>
      <c r="CL38" s="19"/>
      <c r="CM38" s="19"/>
      <c r="CN38" s="49"/>
      <c r="CO38" s="19"/>
      <c r="CP38" s="19"/>
      <c r="CQ38" s="19"/>
      <c r="CR38" s="19"/>
      <c r="CS38" s="49"/>
      <c r="CT38" s="19"/>
      <c r="CU38" s="19"/>
      <c r="CV38" s="19"/>
      <c r="CW38" s="19"/>
      <c r="CX38" s="49"/>
      <c r="CY38" s="304"/>
      <c r="CZ38" s="304"/>
      <c r="DA38" s="304"/>
      <c r="DB38" s="304"/>
      <c r="DC38" s="11"/>
      <c r="DD38" s="304"/>
      <c r="DE38" s="304"/>
      <c r="DF38" s="304"/>
      <c r="DG38" s="304"/>
      <c r="DH38" s="304"/>
      <c r="DI38" s="304"/>
      <c r="DJ38" s="304"/>
      <c r="DK38" s="304"/>
      <c r="DL38" s="304"/>
      <c r="DM38" s="304"/>
      <c r="DN38" s="11"/>
      <c r="DO38" s="11"/>
      <c r="DP38" s="11"/>
      <c r="DQ38" s="11"/>
      <c r="DR38" s="11"/>
      <c r="DS38" s="11"/>
      <c r="DT38" s="11"/>
      <c r="DU38" s="11"/>
      <c r="DV38" s="11"/>
      <c r="DX38" s="862"/>
      <c r="DY38" s="862"/>
      <c r="DZ38" s="862"/>
      <c r="EA38" s="862"/>
      <c r="EB38" s="862"/>
      <c r="EH38" s="1048"/>
      <c r="EI38" s="1048"/>
      <c r="EJ38" s="1048"/>
      <c r="EK38" s="1048"/>
      <c r="EM38" s="1048"/>
      <c r="FL38" s="1048"/>
    </row>
    <row r="39" spans="1:168">
      <c r="A39" s="186" t="s">
        <v>643</v>
      </c>
      <c r="B39" s="103" t="str">
        <f>+B$4</f>
        <v>Viacom</v>
      </c>
      <c r="C39" s="103" t="str">
        <f>+C$4</f>
        <v>INF</v>
      </c>
      <c r="D39" s="103" t="str">
        <f>+D$4</f>
        <v>Adj.</v>
      </c>
      <c r="E39" s="103" t="str">
        <f>+E$4</f>
        <v>Pro Forma</v>
      </c>
      <c r="F39" s="103" t="s">
        <v>636</v>
      </c>
      <c r="G39" s="11" t="s">
        <v>632</v>
      </c>
      <c r="H39" s="103" t="str">
        <f>+$H$4</f>
        <v>PF VIA</v>
      </c>
      <c r="I39" s="103" t="str">
        <f>+I$4</f>
        <v>CBS</v>
      </c>
      <c r="J39" s="103" t="str">
        <f>+J$4</f>
        <v>Adj.</v>
      </c>
      <c r="K39" s="103" t="str">
        <f>+K$4</f>
        <v>Pro Forma</v>
      </c>
      <c r="L39" s="103" t="s">
        <v>636</v>
      </c>
      <c r="M39" s="103" t="str">
        <f>+$M$4</f>
        <v>Pro Forma</v>
      </c>
      <c r="N39" s="103" t="str">
        <f>+N$4</f>
        <v>Pro Forma</v>
      </c>
      <c r="O39" s="103" t="s">
        <v>636</v>
      </c>
      <c r="P39" s="103" t="str">
        <f>+P$4</f>
        <v>Actual</v>
      </c>
      <c r="Q39" s="103"/>
      <c r="R39" s="11" t="str">
        <f>+M39</f>
        <v>Pro Forma</v>
      </c>
      <c r="S39" s="103" t="s">
        <v>636</v>
      </c>
      <c r="T39" s="11"/>
      <c r="U39" s="11"/>
      <c r="V39" s="11"/>
      <c r="W39" s="11"/>
      <c r="X39" s="11"/>
      <c r="Y39" s="103" t="s">
        <v>636</v>
      </c>
      <c r="Z39" s="103" t="s">
        <v>636</v>
      </c>
      <c r="AA39" s="103" t="s">
        <v>636</v>
      </c>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69"/>
      <c r="AZ39" s="69"/>
      <c r="BA39" s="69"/>
      <c r="BB39" s="69"/>
      <c r="BC39" s="69"/>
      <c r="BD39" s="69"/>
      <c r="BE39" s="69"/>
      <c r="BF39" s="92" t="str">
        <f>+BF$4</f>
        <v xml:space="preserve">Pro Forma 1999 </v>
      </c>
      <c r="BG39" s="92"/>
      <c r="BH39" s="92"/>
      <c r="BI39" s="92"/>
      <c r="BJ39" s="11"/>
      <c r="BK39" s="92" t="str">
        <f>+$BK$4</f>
        <v xml:space="preserve"> Pro Forma 2000</v>
      </c>
      <c r="BL39" s="92"/>
      <c r="BM39" s="92"/>
      <c r="BN39" s="92"/>
      <c r="BO39" s="343"/>
      <c r="BP39" s="384" t="s">
        <v>1052</v>
      </c>
      <c r="BQ39" s="384"/>
      <c r="BR39" s="384"/>
      <c r="BS39" s="384"/>
      <c r="BT39" s="11"/>
      <c r="BU39" s="92">
        <f>+$BU$4</f>
        <v>2001</v>
      </c>
      <c r="BV39" s="92"/>
      <c r="BW39" s="92"/>
      <c r="BX39" s="92"/>
      <c r="BY39" s="95"/>
      <c r="BZ39" s="92">
        <f>+$BZ$4</f>
        <v>2002</v>
      </c>
      <c r="CA39" s="92"/>
      <c r="CB39" s="92"/>
      <c r="CC39" s="92"/>
      <c r="CD39" s="377"/>
      <c r="CE39" s="92">
        <f>+CE4</f>
        <v>2003</v>
      </c>
      <c r="CF39" s="92"/>
      <c r="CG39" s="92"/>
      <c r="CH39" s="92"/>
      <c r="CI39" s="53"/>
      <c r="CJ39" s="92" t="str">
        <f>+CJ4</f>
        <v>2004, Originally Reported</v>
      </c>
      <c r="CK39" s="92"/>
      <c r="CL39" s="92"/>
      <c r="CM39" s="92"/>
      <c r="CN39" s="49"/>
      <c r="CO39" s="92" t="str">
        <f>+CO4</f>
        <v>2004, Reclassified</v>
      </c>
      <c r="CP39" s="92"/>
      <c r="CQ39" s="92"/>
      <c r="CR39" s="92"/>
      <c r="CS39" s="49"/>
      <c r="CT39" s="92">
        <f>+CT4</f>
        <v>2005</v>
      </c>
      <c r="CU39" s="92"/>
      <c r="CV39" s="92"/>
      <c r="CW39" s="92"/>
      <c r="CX39" s="49"/>
      <c r="CY39" s="385">
        <f>+CY4</f>
        <v>2006</v>
      </c>
      <c r="CZ39" s="385"/>
      <c r="DA39" s="385"/>
      <c r="DB39" s="385"/>
      <c r="DC39" s="11"/>
      <c r="DD39" s="385">
        <f>+DD4</f>
        <v>2007</v>
      </c>
      <c r="DE39" s="385"/>
      <c r="DF39" s="385"/>
      <c r="DG39" s="385"/>
      <c r="DH39" s="304"/>
      <c r="DI39" s="385">
        <f>+DI4</f>
        <v>2008</v>
      </c>
      <c r="DJ39" s="385"/>
      <c r="DK39" s="385"/>
      <c r="DL39" s="385"/>
      <c r="DM39" s="304"/>
      <c r="DN39" s="385">
        <f>+DN4</f>
        <v>2009</v>
      </c>
      <c r="DO39" s="385"/>
      <c r="DP39" s="385"/>
      <c r="DQ39" s="385"/>
      <c r="DR39" s="11"/>
      <c r="DS39" s="385">
        <f>+DS4</f>
        <v>2010</v>
      </c>
      <c r="DT39" s="385"/>
      <c r="DU39" s="385"/>
      <c r="DV39" s="385"/>
      <c r="DX39" s="862"/>
      <c r="DY39" s="862"/>
      <c r="DZ39" s="862"/>
      <c r="EA39" s="862"/>
      <c r="EB39" s="862"/>
      <c r="EH39" s="1048"/>
      <c r="EI39" s="1048"/>
      <c r="EJ39" s="1048"/>
      <c r="EK39" s="1048"/>
      <c r="EM39" s="1048"/>
      <c r="FL39" s="1048"/>
    </row>
    <row r="40" spans="1:168">
      <c r="A40" s="386"/>
      <c r="B40" s="19">
        <v>1998</v>
      </c>
      <c r="C40" s="344" t="str">
        <f>+C$5</f>
        <v>1998A</v>
      </c>
      <c r="D40" s="344">
        <f>+D$5</f>
        <v>1998</v>
      </c>
      <c r="E40" s="344">
        <f>+E$5</f>
        <v>1998</v>
      </c>
      <c r="F40" s="19">
        <f>F5</f>
        <v>1998</v>
      </c>
      <c r="G40" s="344">
        <v>1999</v>
      </c>
      <c r="H40" s="344" t="str">
        <f>+$H$5</f>
        <v>1999A</v>
      </c>
      <c r="I40" s="344" t="str">
        <f>+$H$5</f>
        <v>1999A</v>
      </c>
      <c r="J40" s="344">
        <f>+$J$5</f>
        <v>1999</v>
      </c>
      <c r="K40" s="344">
        <f>+$K$5</f>
        <v>1999</v>
      </c>
      <c r="L40" s="19">
        <f>L5</f>
        <v>1999</v>
      </c>
      <c r="M40" s="344">
        <f t="shared" ref="M40:U40" si="32">+M$5</f>
        <v>2000</v>
      </c>
      <c r="N40" s="344">
        <f t="shared" si="32"/>
        <v>2000</v>
      </c>
      <c r="O40" s="19">
        <f>O5</f>
        <v>2000</v>
      </c>
      <c r="P40" s="344">
        <f t="shared" si="32"/>
        <v>2001</v>
      </c>
      <c r="Q40" s="344" t="str">
        <f t="shared" si="32"/>
        <v>Adj</v>
      </c>
      <c r="R40" s="344">
        <f t="shared" si="32"/>
        <v>2001</v>
      </c>
      <c r="S40" s="19">
        <f>S5</f>
        <v>2001</v>
      </c>
      <c r="T40" s="344">
        <f t="shared" si="32"/>
        <v>2002</v>
      </c>
      <c r="U40" s="344">
        <f t="shared" si="32"/>
        <v>2003</v>
      </c>
      <c r="V40" s="344"/>
      <c r="W40" s="344"/>
      <c r="X40" s="344">
        <f>+X$5</f>
        <v>2004</v>
      </c>
      <c r="Y40" s="19">
        <f>Y5</f>
        <v>2002</v>
      </c>
      <c r="Z40" s="19">
        <f>Z5</f>
        <v>2003</v>
      </c>
      <c r="AA40" s="19">
        <f>AA5</f>
        <v>2004</v>
      </c>
      <c r="AB40" s="344">
        <f t="shared" ref="AB40:AX40" si="33">+AB$5</f>
        <v>2005</v>
      </c>
      <c r="AC40" s="344">
        <f t="shared" si="33"/>
        <v>2006</v>
      </c>
      <c r="AD40" s="344">
        <f t="shared" si="33"/>
        <v>2007</v>
      </c>
      <c r="AE40" s="344">
        <f t="shared" si="33"/>
        <v>2008</v>
      </c>
      <c r="AF40" s="344">
        <f t="shared" si="33"/>
        <v>2009</v>
      </c>
      <c r="AG40" s="344">
        <f t="shared" si="33"/>
        <v>2010</v>
      </c>
      <c r="AH40" s="344">
        <f t="shared" si="33"/>
        <v>2011</v>
      </c>
      <c r="AI40" s="344">
        <f t="shared" si="33"/>
        <v>2012</v>
      </c>
      <c r="AJ40" s="344">
        <f t="shared" si="33"/>
        <v>2013</v>
      </c>
      <c r="AK40" s="344">
        <f t="shared" si="33"/>
        <v>2014</v>
      </c>
      <c r="AL40" s="344">
        <f t="shared" si="33"/>
        <v>2015</v>
      </c>
      <c r="AM40" s="344">
        <f t="shared" si="33"/>
        <v>2016</v>
      </c>
      <c r="AN40" s="344" t="str">
        <f t="shared" si="33"/>
        <v>2017E</v>
      </c>
      <c r="AO40" s="344" t="str">
        <f t="shared" si="33"/>
        <v>2018E</v>
      </c>
      <c r="AP40" s="344" t="str">
        <f t="shared" si="33"/>
        <v>2019E</v>
      </c>
      <c r="AQ40" s="344" t="str">
        <f t="shared" si="33"/>
        <v>2020E</v>
      </c>
      <c r="AR40" s="344" t="str">
        <f t="shared" si="33"/>
        <v>2021E</v>
      </c>
      <c r="AS40" s="344" t="str">
        <f t="shared" si="33"/>
        <v>2022E</v>
      </c>
      <c r="AT40" s="344" t="str">
        <f t="shared" si="33"/>
        <v>2023E</v>
      </c>
      <c r="AU40" s="344" t="str">
        <f t="shared" si="33"/>
        <v>2024E</v>
      </c>
      <c r="AV40" s="344" t="str">
        <f t="shared" si="33"/>
        <v>2025E</v>
      </c>
      <c r="AW40" s="344" t="str">
        <f t="shared" si="33"/>
        <v>2026E</v>
      </c>
      <c r="AX40" s="344" t="str">
        <f t="shared" si="33"/>
        <v>2027E</v>
      </c>
      <c r="AY40" s="274"/>
      <c r="AZ40" s="274"/>
      <c r="BA40" s="274"/>
      <c r="BB40" s="274"/>
      <c r="BC40" s="274"/>
      <c r="BD40" s="274"/>
      <c r="BE40" s="69"/>
      <c r="BF40" s="344" t="str">
        <f>+BF$5</f>
        <v>1Q</v>
      </c>
      <c r="BG40" s="344" t="str">
        <f>+BG$5</f>
        <v>2Q</v>
      </c>
      <c r="BH40" s="344" t="str">
        <f>+BH$5</f>
        <v>3Q</v>
      </c>
      <c r="BI40" s="344" t="str">
        <f>+BI$5</f>
        <v>4Q</v>
      </c>
      <c r="BJ40" s="19"/>
      <c r="BK40" s="345" t="str">
        <f>+BK$5</f>
        <v>1Q</v>
      </c>
      <c r="BL40" s="345" t="str">
        <f>+BL$5</f>
        <v>2Q</v>
      </c>
      <c r="BM40" s="345" t="str">
        <f>+BM$5</f>
        <v>3Q</v>
      </c>
      <c r="BN40" s="345" t="str">
        <f>+BN$5</f>
        <v>4Q</v>
      </c>
      <c r="BO40" s="345"/>
      <c r="BP40" s="387" t="str">
        <f>+BK40</f>
        <v>1Q</v>
      </c>
      <c r="BQ40" s="387" t="str">
        <f>+BL40</f>
        <v>2Q</v>
      </c>
      <c r="BR40" s="387" t="str">
        <f>+BM40</f>
        <v>3Q</v>
      </c>
      <c r="BS40" s="387" t="str">
        <f>+BN40</f>
        <v>4Q</v>
      </c>
      <c r="BT40" s="19"/>
      <c r="BU40" s="345" t="str">
        <f>+BU$5</f>
        <v>1Q</v>
      </c>
      <c r="BV40" s="345" t="str">
        <f>+BV$5</f>
        <v>2Q</v>
      </c>
      <c r="BW40" s="345" t="str">
        <f>+BW$5</f>
        <v>3Q</v>
      </c>
      <c r="BX40" s="345" t="str">
        <f>+BX$5</f>
        <v>4Q</v>
      </c>
      <c r="BY40" s="348"/>
      <c r="BZ40" s="345" t="str">
        <f>+BZ$5</f>
        <v>1Q</v>
      </c>
      <c r="CA40" s="345" t="str">
        <f>+CA$5</f>
        <v>2Q</v>
      </c>
      <c r="CB40" s="345" t="str">
        <f>+CB$5</f>
        <v>3Q</v>
      </c>
      <c r="CC40" s="345" t="str">
        <f>+CC$5</f>
        <v>4Q</v>
      </c>
      <c r="CD40" s="377"/>
      <c r="CE40" s="388" t="str">
        <f>+CE5</f>
        <v>1Q</v>
      </c>
      <c r="CF40" s="388" t="str">
        <f>+CF5</f>
        <v>2Q</v>
      </c>
      <c r="CG40" s="388" t="str">
        <f>+CG5</f>
        <v>3Q</v>
      </c>
      <c r="CH40" s="388" t="str">
        <f>+CH5</f>
        <v>4Q</v>
      </c>
      <c r="CI40" s="53"/>
      <c r="CJ40" s="388" t="str">
        <f>+CJ5</f>
        <v>1Q</v>
      </c>
      <c r="CK40" s="388" t="str">
        <f>+CK5</f>
        <v>2Q</v>
      </c>
      <c r="CL40" s="388" t="str">
        <f>+CL5</f>
        <v>3Q</v>
      </c>
      <c r="CM40" s="388" t="str">
        <f>+CM5</f>
        <v>4Q</v>
      </c>
      <c r="CN40" s="49"/>
      <c r="CO40" s="388" t="str">
        <f>+CO5</f>
        <v>1Q</v>
      </c>
      <c r="CP40" s="388" t="str">
        <f>+CP5</f>
        <v>2Q</v>
      </c>
      <c r="CQ40" s="388" t="str">
        <f>+CQ5</f>
        <v>3Q</v>
      </c>
      <c r="CR40" s="388" t="str">
        <f>+CR5</f>
        <v>4Q</v>
      </c>
      <c r="CS40" s="49"/>
      <c r="CT40" s="388" t="str">
        <f>+CT5</f>
        <v>1Q</v>
      </c>
      <c r="CU40" s="388" t="str">
        <f>+CU5</f>
        <v>2Q</v>
      </c>
      <c r="CV40" s="388" t="str">
        <f>+CV5</f>
        <v>3Q</v>
      </c>
      <c r="CW40" s="388" t="str">
        <f>+CW5</f>
        <v>4Q</v>
      </c>
      <c r="CX40" s="49"/>
      <c r="CY40" s="388" t="str">
        <f>+CY5</f>
        <v>1Q</v>
      </c>
      <c r="CZ40" s="388" t="str">
        <f>+CZ5</f>
        <v>2Q</v>
      </c>
      <c r="DA40" s="388" t="str">
        <f>+DA5</f>
        <v>3Q</v>
      </c>
      <c r="DB40" s="388" t="str">
        <f>+DB5</f>
        <v>4Q</v>
      </c>
      <c r="DC40" s="11"/>
      <c r="DD40" s="388" t="str">
        <f>+DD5</f>
        <v>1Q</v>
      </c>
      <c r="DE40" s="388" t="str">
        <f>+DE5</f>
        <v>2Q</v>
      </c>
      <c r="DF40" s="388" t="str">
        <f>+DF5</f>
        <v>3Q</v>
      </c>
      <c r="DG40" s="388" t="str">
        <f>+DG5</f>
        <v>4Q</v>
      </c>
      <c r="DH40" s="304"/>
      <c r="DI40" s="388" t="str">
        <f>+DI5</f>
        <v>1Q</v>
      </c>
      <c r="DJ40" s="388" t="str">
        <f>+DJ5</f>
        <v>2Q</v>
      </c>
      <c r="DK40" s="388" t="str">
        <f>+DK5</f>
        <v>3Q</v>
      </c>
      <c r="DL40" s="388" t="str">
        <f>+DL5</f>
        <v>4Q</v>
      </c>
      <c r="DM40" s="304"/>
      <c r="DN40" s="388" t="str">
        <f>+DN5</f>
        <v>1Q</v>
      </c>
      <c r="DO40" s="388" t="str">
        <f>+DO5</f>
        <v>2Q</v>
      </c>
      <c r="DP40" s="388" t="str">
        <f>+DP5</f>
        <v>3Q</v>
      </c>
      <c r="DQ40" s="388" t="str">
        <f>+DQ5</f>
        <v>4Q</v>
      </c>
      <c r="DR40" s="11"/>
      <c r="DS40" s="388" t="str">
        <f>+DS5</f>
        <v>1Q</v>
      </c>
      <c r="DT40" s="388" t="str">
        <f>+DT5</f>
        <v>2Q</v>
      </c>
      <c r="DU40" s="388" t="str">
        <f>+DU5</f>
        <v>3Q</v>
      </c>
      <c r="DV40" s="388" t="str">
        <f>+DV5</f>
        <v>4Q</v>
      </c>
      <c r="DX40" s="862"/>
      <c r="DY40" s="862"/>
      <c r="DZ40" s="862"/>
      <c r="EA40" s="862"/>
      <c r="EB40" s="862"/>
      <c r="EH40" s="1048"/>
      <c r="EI40" s="1048"/>
      <c r="EJ40" s="1048"/>
      <c r="EK40" s="1048"/>
      <c r="EM40" s="1048"/>
      <c r="FL40" s="1048"/>
    </row>
    <row r="41" spans="1:168">
      <c r="A41" s="389" t="s">
        <v>675</v>
      </c>
      <c r="B41" s="11"/>
      <c r="C41" s="11"/>
      <c r="D41" s="11"/>
      <c r="E41" s="11"/>
      <c r="F41" s="11"/>
      <c r="G41" s="11"/>
      <c r="H41" s="11"/>
      <c r="I41" s="11"/>
      <c r="J41" s="11"/>
      <c r="K41" s="11"/>
      <c r="L41" s="11"/>
      <c r="M41" s="11"/>
      <c r="N41" s="11"/>
      <c r="O41" s="11"/>
      <c r="P41" s="11" t="s">
        <v>337</v>
      </c>
      <c r="Q41" s="11"/>
      <c r="R41" s="11"/>
      <c r="S41" s="11"/>
      <c r="T41" s="11"/>
      <c r="U41" s="14"/>
      <c r="V41" s="11"/>
      <c r="W41" s="14"/>
      <c r="X41" s="14"/>
      <c r="Y41" s="11"/>
      <c r="Z41" s="11"/>
      <c r="AA41" s="11"/>
      <c r="AB41" s="39"/>
      <c r="AC41" s="11"/>
      <c r="AD41" s="11"/>
      <c r="AE41" s="11"/>
      <c r="AF41" s="1110"/>
      <c r="AG41" s="1110"/>
      <c r="AH41" s="1110"/>
      <c r="AI41" s="1108"/>
      <c r="AJ41" s="1108"/>
      <c r="AK41" s="1108"/>
      <c r="AL41" s="1108"/>
      <c r="AM41" s="1108"/>
      <c r="AN41" s="1108"/>
      <c r="AO41" s="1108"/>
      <c r="AP41" s="1108"/>
      <c r="AQ41" s="1108"/>
      <c r="AR41" s="1108"/>
      <c r="AS41" s="1108"/>
      <c r="AT41" s="1108"/>
      <c r="AU41" s="1108"/>
      <c r="AV41" s="1108"/>
      <c r="AW41" s="1108"/>
      <c r="AX41" s="1108"/>
      <c r="AY41" s="1109"/>
      <c r="AZ41" s="1109"/>
      <c r="BA41" s="1109"/>
      <c r="BB41" s="1109"/>
      <c r="BC41" s="1109"/>
      <c r="BD41" s="1109"/>
      <c r="BE41" s="1109"/>
      <c r="BF41" s="11"/>
      <c r="BG41" s="11"/>
      <c r="BH41" s="11"/>
      <c r="BI41" s="11"/>
      <c r="BJ41" s="11"/>
      <c r="BK41" s="11"/>
      <c r="BL41" s="11"/>
      <c r="BM41" s="11"/>
      <c r="BN41" s="11"/>
      <c r="BO41" s="11"/>
      <c r="BP41" s="11"/>
      <c r="BQ41" s="11"/>
      <c r="BR41" s="11"/>
      <c r="BS41" s="11"/>
      <c r="BT41" s="11"/>
      <c r="BU41" s="11"/>
      <c r="BV41" s="11"/>
      <c r="BW41" s="11"/>
      <c r="BX41" s="11"/>
      <c r="BY41" s="95"/>
      <c r="BZ41" s="11"/>
      <c r="CA41" s="11"/>
      <c r="CB41" s="11"/>
      <c r="CC41" s="11"/>
      <c r="CD41" s="377"/>
      <c r="CE41" s="11"/>
      <c r="CF41" s="11"/>
      <c r="CG41" s="11"/>
      <c r="CH41" s="11"/>
      <c r="CI41" s="53"/>
      <c r="CJ41" s="11"/>
      <c r="CK41" s="11"/>
      <c r="CL41" s="11"/>
      <c r="CM41" s="11"/>
      <c r="CN41" s="49"/>
      <c r="CO41" s="11"/>
      <c r="CP41" s="11"/>
      <c r="CQ41" s="11"/>
      <c r="CR41" s="11"/>
      <c r="CS41" s="49"/>
      <c r="CT41" s="11"/>
      <c r="CU41" s="11"/>
      <c r="CV41" s="11"/>
      <c r="CW41" s="11"/>
      <c r="CX41" s="49"/>
      <c r="CY41" s="304"/>
      <c r="CZ41" s="304"/>
      <c r="DA41" s="304"/>
      <c r="DB41" s="304"/>
      <c r="DC41" s="11"/>
      <c r="DD41" s="304"/>
      <c r="DE41" s="304"/>
      <c r="DF41" s="304"/>
      <c r="DG41" s="304"/>
      <c r="DH41" s="304"/>
      <c r="DI41" s="304"/>
      <c r="DJ41" s="304"/>
      <c r="DK41" s="304"/>
      <c r="DL41" s="304"/>
      <c r="DM41" s="304"/>
      <c r="DN41" s="11"/>
      <c r="DO41" s="11"/>
      <c r="DP41" s="11"/>
      <c r="DQ41" s="11"/>
      <c r="DR41" s="11"/>
      <c r="DX41" s="862"/>
      <c r="DY41" s="862"/>
      <c r="DZ41" s="862"/>
      <c r="EA41" s="862"/>
      <c r="EB41" s="862"/>
      <c r="EH41" s="1048"/>
      <c r="EI41" s="1048"/>
      <c r="EJ41" s="1048"/>
      <c r="EK41" s="1048"/>
      <c r="EM41" s="1048"/>
      <c r="FL41" s="1048"/>
    </row>
    <row r="42" spans="1:168">
      <c r="A42" s="390" t="s">
        <v>1054</v>
      </c>
      <c r="B42" s="14"/>
      <c r="C42" s="14">
        <v>1459</v>
      </c>
      <c r="D42" s="14">
        <v>192</v>
      </c>
      <c r="E42" s="14">
        <v>1651</v>
      </c>
      <c r="F42" s="14">
        <f>E42</f>
        <v>1651</v>
      </c>
      <c r="G42" s="14"/>
      <c r="H42" s="14"/>
      <c r="I42" s="14">
        <v>1835</v>
      </c>
      <c r="J42" s="14">
        <v>206</v>
      </c>
      <c r="K42" s="14">
        <v>2041</v>
      </c>
      <c r="L42" s="14">
        <f>K42</f>
        <v>2041</v>
      </c>
      <c r="M42" s="14">
        <v>2327.9362167712666</v>
      </c>
      <c r="N42" s="14">
        <v>2287.7456999999999</v>
      </c>
      <c r="O42" s="14">
        <f>N42</f>
        <v>2287.7456999999999</v>
      </c>
      <c r="P42" s="14">
        <v>2045.7903964372072</v>
      </c>
      <c r="Q42" s="39"/>
      <c r="R42" s="14">
        <f>SUM(BU42:BX42)</f>
        <v>2061.7669767277284</v>
      </c>
      <c r="S42" s="14">
        <f>R42</f>
        <v>2061.7669767277284</v>
      </c>
      <c r="T42" s="14">
        <f>SUM(BZ42:CC42)</f>
        <v>2121.6</v>
      </c>
      <c r="U42" s="14">
        <f>SUM(CE42:CH42)</f>
        <v>2097.6</v>
      </c>
      <c r="V42" s="14"/>
      <c r="W42" s="14"/>
      <c r="X42" s="14">
        <f>SUM(CO42:CR42)</f>
        <v>2096.1</v>
      </c>
      <c r="Y42" s="14">
        <f>T42</f>
        <v>2121.6</v>
      </c>
      <c r="Z42" s="14">
        <f>U42</f>
        <v>2097.6</v>
      </c>
      <c r="AA42" s="14">
        <f>X42</f>
        <v>2096.1</v>
      </c>
      <c r="AB42" s="129">
        <v>2114.8000000000002</v>
      </c>
      <c r="AC42" s="129">
        <v>1959.9</v>
      </c>
      <c r="AD42" s="129">
        <v>1753.6999999999998</v>
      </c>
      <c r="AE42" s="129">
        <v>1539.1000000000001</v>
      </c>
      <c r="AF42" s="1437">
        <v>1222.4000000000001</v>
      </c>
      <c r="AG42" s="1437">
        <v>1336.3519999999999</v>
      </c>
      <c r="AH42" s="1437">
        <v>1340.2</v>
      </c>
      <c r="AI42" s="1437">
        <v>1313.4</v>
      </c>
      <c r="AJ42" s="1437">
        <v>1306.4000000000001</v>
      </c>
      <c r="AK42" s="1437">
        <v>1303</v>
      </c>
      <c r="AL42" s="1437">
        <v>1232</v>
      </c>
      <c r="AM42" s="1922">
        <f>+Drivers!R128</f>
        <v>1220</v>
      </c>
      <c r="AN42" s="3011">
        <f>+Drivers!T128</f>
        <v>0</v>
      </c>
      <c r="AO42" s="3011">
        <f>+Drivers!U128</f>
        <v>0</v>
      </c>
      <c r="AP42" s="3011">
        <f>+Drivers!V128</f>
        <v>0</v>
      </c>
      <c r="AQ42" s="3011">
        <f>+Drivers!W128</f>
        <v>0</v>
      </c>
      <c r="AR42" s="3011">
        <f>+Drivers!X128</f>
        <v>0</v>
      </c>
      <c r="AS42" s="3011">
        <f>+Drivers!Y128</f>
        <v>0</v>
      </c>
      <c r="AT42" s="3011">
        <f>+Drivers!Z128</f>
        <v>0</v>
      </c>
      <c r="AU42" s="3011">
        <f>+Drivers!AA128</f>
        <v>0</v>
      </c>
      <c r="AV42" s="3011">
        <f>+Drivers!AB128</f>
        <v>0</v>
      </c>
      <c r="AW42" s="3011">
        <f>+Drivers!AC128</f>
        <v>0</v>
      </c>
      <c r="AX42" s="3011">
        <f>+Drivers!AD128</f>
        <v>0</v>
      </c>
      <c r="AY42" s="2153"/>
      <c r="AZ42" s="2153"/>
      <c r="BA42" s="2153"/>
      <c r="BB42" s="2153"/>
      <c r="BC42" s="2153"/>
      <c r="BD42" s="2153"/>
      <c r="BE42" s="1373"/>
      <c r="BF42" s="77">
        <v>365</v>
      </c>
      <c r="BG42" s="77">
        <v>462.8</v>
      </c>
      <c r="BH42" s="77">
        <v>476.79</v>
      </c>
      <c r="BI42" s="77">
        <v>530.91599999999994</v>
      </c>
      <c r="BJ42" s="14" t="s">
        <v>337</v>
      </c>
      <c r="BK42" s="77">
        <v>495.21599999999995</v>
      </c>
      <c r="BL42" s="77">
        <v>588.52969999999993</v>
      </c>
      <c r="BM42" s="77">
        <v>589</v>
      </c>
      <c r="BN42" s="77">
        <v>615</v>
      </c>
      <c r="BO42" s="14"/>
      <c r="BP42" s="14">
        <f t="shared" ref="BP42:BS45" si="34">+BK42</f>
        <v>495.21599999999995</v>
      </c>
      <c r="BQ42" s="14">
        <f t="shared" si="34"/>
        <v>588.52969999999993</v>
      </c>
      <c r="BR42" s="14">
        <f t="shared" si="34"/>
        <v>589</v>
      </c>
      <c r="BS42" s="14">
        <f t="shared" si="34"/>
        <v>615</v>
      </c>
      <c r="BT42" s="14"/>
      <c r="BU42" s="14">
        <v>456.87386110548692</v>
      </c>
      <c r="BV42" s="14">
        <v>549.32038834951447</v>
      </c>
      <c r="BW42" s="14">
        <v>490.2727272727272</v>
      </c>
      <c r="BX42" s="77">
        <v>565.29999999999995</v>
      </c>
      <c r="BY42" s="95"/>
      <c r="BZ42" s="77">
        <v>451.3</v>
      </c>
      <c r="CA42" s="77">
        <v>565.79999999999995</v>
      </c>
      <c r="CB42" s="77">
        <v>539.20000000000005</v>
      </c>
      <c r="CC42" s="77">
        <v>565.29999999999995</v>
      </c>
      <c r="CD42" s="377"/>
      <c r="CE42" s="77">
        <v>443.8</v>
      </c>
      <c r="CF42" s="77">
        <v>551</v>
      </c>
      <c r="CG42" s="77">
        <v>551.70000000000005</v>
      </c>
      <c r="CH42" s="77">
        <v>551.1</v>
      </c>
      <c r="CI42" s="53"/>
      <c r="CJ42" s="77">
        <v>455.1</v>
      </c>
      <c r="CK42" s="77">
        <v>561.29999999999995</v>
      </c>
      <c r="CL42" s="77">
        <v>529.29999999999995</v>
      </c>
      <c r="CM42" s="77">
        <v>550.4</v>
      </c>
      <c r="CN42" s="49">
        <f>+X42-SUM(CJ42:CM42)</f>
        <v>0</v>
      </c>
      <c r="CO42" s="14">
        <f t="shared" ref="CO42:CR43" si="35">CJ42</f>
        <v>455.1</v>
      </c>
      <c r="CP42" s="14">
        <f t="shared" si="35"/>
        <v>561.29999999999995</v>
      </c>
      <c r="CQ42" s="14">
        <f t="shared" si="35"/>
        <v>529.29999999999995</v>
      </c>
      <c r="CR42" s="14">
        <f t="shared" si="35"/>
        <v>550.4</v>
      </c>
      <c r="CS42" s="49">
        <f>+AA42-SUM(CO42:CR42)</f>
        <v>0</v>
      </c>
      <c r="CT42" s="129">
        <v>462.8</v>
      </c>
      <c r="CU42" s="129">
        <v>566.5</v>
      </c>
      <c r="CV42" s="129">
        <v>542</v>
      </c>
      <c r="CW42" s="129">
        <v>543.5</v>
      </c>
      <c r="CX42" s="49">
        <f>AB42-SUM(CT42:CW42)</f>
        <v>0</v>
      </c>
      <c r="CY42" s="129">
        <v>434.5</v>
      </c>
      <c r="CZ42" s="129">
        <v>519.1</v>
      </c>
      <c r="DA42" s="129">
        <v>508.1</v>
      </c>
      <c r="DB42" s="129">
        <v>498.2</v>
      </c>
      <c r="DC42" s="871">
        <f>AC42-SUM(CY42:DB42)</f>
        <v>0</v>
      </c>
      <c r="DD42" s="129">
        <v>397.5</v>
      </c>
      <c r="DE42" s="129">
        <v>463.4</v>
      </c>
      <c r="DF42" s="129">
        <v>445.7</v>
      </c>
      <c r="DG42" s="129">
        <v>447.1</v>
      </c>
      <c r="DH42" s="357">
        <f>AD42-SUM(DD42:DG42)</f>
        <v>0</v>
      </c>
      <c r="DI42" s="129">
        <v>363.5</v>
      </c>
      <c r="DJ42" s="129">
        <v>416.4</v>
      </c>
      <c r="DK42" s="129">
        <v>392.5</v>
      </c>
      <c r="DL42" s="129">
        <v>366.7</v>
      </c>
      <c r="DM42" s="357">
        <f>AE42-SUM(DI42:DL42)</f>
        <v>0</v>
      </c>
      <c r="DN42" s="129">
        <v>259.7</v>
      </c>
      <c r="DO42" s="129">
        <v>322</v>
      </c>
      <c r="DP42" s="129">
        <v>318.89999999999998</v>
      </c>
      <c r="DQ42" s="129">
        <v>321.8</v>
      </c>
      <c r="DR42" s="538">
        <f>AF42-SUM(DN42:DQ42)</f>
        <v>0</v>
      </c>
      <c r="DS42" s="14">
        <f>Drivers!BQ128</f>
        <v>282.7</v>
      </c>
      <c r="DT42" s="14">
        <f>Drivers!BR128</f>
        <v>340.3</v>
      </c>
      <c r="DU42" s="14">
        <f>Drivers!BS128</f>
        <v>346.5</v>
      </c>
      <c r="DV42" s="14">
        <f>Drivers!BT128</f>
        <v>366.85199999999998</v>
      </c>
      <c r="DW42" s="538">
        <f>AG42-SUM(DS42:DV42)</f>
        <v>0</v>
      </c>
      <c r="DX42" s="862"/>
      <c r="DY42" s="862"/>
      <c r="DZ42" s="862"/>
      <c r="EA42" s="862"/>
      <c r="EB42" s="862"/>
      <c r="EH42" s="1048"/>
      <c r="EI42" s="1048"/>
      <c r="EJ42" s="1048"/>
      <c r="EK42" s="1048"/>
      <c r="EM42" s="1048"/>
      <c r="FL42" s="1048"/>
    </row>
    <row r="43" spans="1:168">
      <c r="A43" s="390" t="s">
        <v>1055</v>
      </c>
      <c r="B43" s="14"/>
      <c r="C43" s="14">
        <v>434</v>
      </c>
      <c r="D43" s="14">
        <v>924</v>
      </c>
      <c r="E43" s="14">
        <v>1358</v>
      </c>
      <c r="F43" s="14">
        <f>E43</f>
        <v>1358</v>
      </c>
      <c r="G43" s="14"/>
      <c r="H43" s="14"/>
      <c r="I43" s="14">
        <v>614</v>
      </c>
      <c r="J43" s="14">
        <v>932</v>
      </c>
      <c r="K43" s="14">
        <v>1546</v>
      </c>
      <c r="L43" s="14">
        <f>K43</f>
        <v>1546</v>
      </c>
      <c r="M43" s="14">
        <v>1709.2637832287335</v>
      </c>
      <c r="N43" s="14">
        <v>1679.7543000000001</v>
      </c>
      <c r="O43" s="14">
        <f>N43</f>
        <v>1679.7543000000001</v>
      </c>
      <c r="P43" s="14">
        <v>1624.4307403337743</v>
      </c>
      <c r="Q43" s="39" t="s">
        <v>337</v>
      </c>
      <c r="R43" s="14">
        <f>SUM(BU43:BX43)</f>
        <v>1624.2243232722712</v>
      </c>
      <c r="S43" s="14">
        <f>R43</f>
        <v>1624.2243232722712</v>
      </c>
      <c r="T43" s="14">
        <f>SUM(BZ43:CC43)</f>
        <v>1633.5</v>
      </c>
      <c r="U43" s="14">
        <f>SUM(CE43:CH43)</f>
        <v>1748.3000000000002</v>
      </c>
      <c r="V43" s="14"/>
      <c r="W43" s="14"/>
      <c r="X43" s="14">
        <f>SUM(CO43:CR43)</f>
        <v>1880.2</v>
      </c>
      <c r="Y43" s="14">
        <f>T43</f>
        <v>1633.5</v>
      </c>
      <c r="Z43" s="14">
        <f>U43</f>
        <v>1748.3000000000002</v>
      </c>
      <c r="AA43" s="14">
        <f>X43</f>
        <v>1880.2</v>
      </c>
      <c r="AB43" s="129">
        <v>1949.3</v>
      </c>
      <c r="AC43" s="129">
        <v>2103.4</v>
      </c>
      <c r="AD43" s="129">
        <v>2187.3000000000002</v>
      </c>
      <c r="AE43" s="129">
        <v>2170.6</v>
      </c>
      <c r="AF43" s="1922">
        <v>1722.6000000000001</v>
      </c>
      <c r="AG43" s="1922">
        <v>1819.2</v>
      </c>
      <c r="AH43" s="1437">
        <v>1286</v>
      </c>
      <c r="AI43" s="1922">
        <v>1284.5999999999999</v>
      </c>
      <c r="AJ43" s="1922">
        <v>1304</v>
      </c>
      <c r="AK43" s="1922">
        <f>+Drivers!N142</f>
        <v>0</v>
      </c>
      <c r="AL43" s="1379">
        <v>0</v>
      </c>
      <c r="AM43" s="1379">
        <v>0</v>
      </c>
      <c r="AN43" s="3012">
        <v>0</v>
      </c>
      <c r="AO43" s="3012">
        <v>0</v>
      </c>
      <c r="AP43" s="3012">
        <v>0</v>
      </c>
      <c r="AQ43" s="3012">
        <v>0</v>
      </c>
      <c r="AR43" s="3012">
        <v>0</v>
      </c>
      <c r="AS43" s="3012">
        <v>0</v>
      </c>
      <c r="AT43" s="3012">
        <v>0</v>
      </c>
      <c r="AU43" s="3012">
        <v>0</v>
      </c>
      <c r="AV43" s="3012">
        <v>0</v>
      </c>
      <c r="AW43" s="3012">
        <v>0</v>
      </c>
      <c r="AX43" s="3012">
        <v>0</v>
      </c>
      <c r="AY43" s="2153"/>
      <c r="AZ43" s="2153"/>
      <c r="BA43" s="2153"/>
      <c r="BB43" s="2153"/>
      <c r="BC43" s="2153"/>
      <c r="BD43" s="2153"/>
      <c r="BE43" s="1373"/>
      <c r="BF43" s="356">
        <v>368.4</v>
      </c>
      <c r="BG43" s="356">
        <v>442.4</v>
      </c>
      <c r="BH43" s="356">
        <v>445.01</v>
      </c>
      <c r="BI43" s="356">
        <v>471.0840000000004</v>
      </c>
      <c r="BJ43" s="356"/>
      <c r="BK43" s="356">
        <v>373.584</v>
      </c>
      <c r="BL43" s="356">
        <v>442.17030000000011</v>
      </c>
      <c r="BM43" s="356">
        <v>424.5</v>
      </c>
      <c r="BN43" s="77">
        <v>439.5</v>
      </c>
      <c r="BO43" s="14"/>
      <c r="BP43" s="14">
        <f t="shared" si="34"/>
        <v>373.584</v>
      </c>
      <c r="BQ43" s="14">
        <f t="shared" si="34"/>
        <v>442.17030000000011</v>
      </c>
      <c r="BR43" s="14">
        <f t="shared" si="34"/>
        <v>424.5</v>
      </c>
      <c r="BS43" s="14">
        <f t="shared" si="34"/>
        <v>439.5</v>
      </c>
      <c r="BT43" s="14"/>
      <c r="BU43" s="14">
        <v>378.02613889451305</v>
      </c>
      <c r="BV43" s="14">
        <v>435.5796116504855</v>
      </c>
      <c r="BW43" s="14">
        <v>419.7272727272728</v>
      </c>
      <c r="BX43" s="14">
        <v>390.8913</v>
      </c>
      <c r="BY43" s="95"/>
      <c r="BZ43" s="77">
        <v>348.2</v>
      </c>
      <c r="CA43" s="77">
        <v>423.3</v>
      </c>
      <c r="CB43" s="77">
        <v>429</v>
      </c>
      <c r="CC43" s="77">
        <v>433</v>
      </c>
      <c r="CD43" s="377"/>
      <c r="CE43" s="77">
        <v>378.3</v>
      </c>
      <c r="CF43" s="77">
        <v>462.4</v>
      </c>
      <c r="CG43" s="77">
        <v>434.6</v>
      </c>
      <c r="CH43" s="77">
        <v>473</v>
      </c>
      <c r="CI43" s="53"/>
      <c r="CJ43" s="77">
        <v>403.3</v>
      </c>
      <c r="CK43" s="77">
        <v>484</v>
      </c>
      <c r="CL43" s="77">
        <v>478.7</v>
      </c>
      <c r="CM43" s="77">
        <v>514.20000000000005</v>
      </c>
      <c r="CN43" s="49">
        <f>+X43-SUM(CJ43:CM43)</f>
        <v>0</v>
      </c>
      <c r="CO43" s="14">
        <f t="shared" si="35"/>
        <v>403.3</v>
      </c>
      <c r="CP43" s="14">
        <f t="shared" si="35"/>
        <v>484</v>
      </c>
      <c r="CQ43" s="14">
        <f t="shared" si="35"/>
        <v>478.7</v>
      </c>
      <c r="CR43" s="14">
        <f t="shared" si="35"/>
        <v>514.20000000000005</v>
      </c>
      <c r="CS43" s="49">
        <f>+AA43-SUM(CO43:CR43)</f>
        <v>0</v>
      </c>
      <c r="CT43" s="129">
        <v>429.1</v>
      </c>
      <c r="CU43" s="129">
        <v>499.3</v>
      </c>
      <c r="CV43" s="129">
        <v>493.5</v>
      </c>
      <c r="CW43" s="129">
        <v>527.4</v>
      </c>
      <c r="CX43" s="49">
        <f>AB43-SUM(CT43:CW43)</f>
        <v>0</v>
      </c>
      <c r="CY43" s="129">
        <v>452.2</v>
      </c>
      <c r="CZ43" s="129">
        <v>534.4</v>
      </c>
      <c r="DA43" s="129">
        <v>536.20000000000005</v>
      </c>
      <c r="DB43" s="129">
        <v>580.6</v>
      </c>
      <c r="DC43" s="871">
        <f>AC43-SUM(CY43:DB43)</f>
        <v>0</v>
      </c>
      <c r="DD43" s="129">
        <v>462.3</v>
      </c>
      <c r="DE43" s="129">
        <v>554.20000000000005</v>
      </c>
      <c r="DF43" s="129">
        <v>552.20000000000005</v>
      </c>
      <c r="DG43" s="129">
        <v>618.6</v>
      </c>
      <c r="DH43" s="357">
        <f>AD43-SUM(DD43:DG43)</f>
        <v>0</v>
      </c>
      <c r="DI43" s="129">
        <v>496.9</v>
      </c>
      <c r="DJ43" s="129">
        <v>598.1</v>
      </c>
      <c r="DK43" s="129">
        <v>549.29999999999995</v>
      </c>
      <c r="DL43" s="129">
        <v>526.29999999999995</v>
      </c>
      <c r="DM43" s="357">
        <f>AE43-SUM(DI43:DL43)</f>
        <v>0</v>
      </c>
      <c r="DN43" s="129">
        <v>379.9</v>
      </c>
      <c r="DO43" s="129">
        <v>434.1</v>
      </c>
      <c r="DP43" s="129">
        <v>424.9</v>
      </c>
      <c r="DQ43" s="129">
        <v>483.7</v>
      </c>
      <c r="DR43" s="538">
        <f>AF43-SUM(DN43:DQ43)</f>
        <v>0</v>
      </c>
      <c r="DS43" s="14">
        <f>Drivers!BQ142</f>
        <v>392.2</v>
      </c>
      <c r="DT43" s="14">
        <f>Drivers!BR142</f>
        <v>456.3</v>
      </c>
      <c r="DU43" s="14">
        <f>Drivers!BS142</f>
        <v>459.7</v>
      </c>
      <c r="DV43" s="14">
        <f>Drivers!BT142</f>
        <v>511</v>
      </c>
      <c r="DW43" s="538">
        <f>AG43-SUM(DS43:DV43)</f>
        <v>0</v>
      </c>
      <c r="DX43" s="862"/>
      <c r="DY43" s="862"/>
      <c r="DZ43" s="862"/>
      <c r="EA43" s="862"/>
      <c r="EB43" s="862"/>
      <c r="EH43" s="1048"/>
      <c r="EI43" s="1048"/>
      <c r="EJ43" s="1048"/>
      <c r="EK43" s="1048"/>
      <c r="EM43" s="1048"/>
      <c r="FL43" s="1048"/>
    </row>
    <row r="44" spans="1:168">
      <c r="A44" s="390" t="s">
        <v>677</v>
      </c>
      <c r="B44" s="14"/>
      <c r="C44" s="14">
        <v>0</v>
      </c>
      <c r="D44" s="14">
        <v>0</v>
      </c>
      <c r="E44" s="14">
        <v>0</v>
      </c>
      <c r="F44" s="14"/>
      <c r="G44" s="14"/>
      <c r="H44" s="14"/>
      <c r="I44" s="14">
        <v>0</v>
      </c>
      <c r="J44" s="14">
        <v>0</v>
      </c>
      <c r="K44" s="14">
        <v>0</v>
      </c>
      <c r="L44" s="14"/>
      <c r="M44" s="14">
        <v>0</v>
      </c>
      <c r="N44" s="14">
        <v>0</v>
      </c>
      <c r="O44" s="14"/>
      <c r="P44" s="14">
        <v>0</v>
      </c>
      <c r="Q44" s="14"/>
      <c r="R44" s="14">
        <v>0</v>
      </c>
      <c r="S44" s="14"/>
      <c r="T44" s="14">
        <v>0</v>
      </c>
      <c r="U44" s="14">
        <v>0</v>
      </c>
      <c r="V44" s="14"/>
      <c r="W44" s="14"/>
      <c r="X44" s="14">
        <v>0</v>
      </c>
      <c r="Y44" s="14"/>
      <c r="Z44" s="14"/>
      <c r="AA44" s="14">
        <f>X44</f>
        <v>0</v>
      </c>
      <c r="AB44" s="14">
        <v>0</v>
      </c>
      <c r="AC44" s="14">
        <v>0</v>
      </c>
      <c r="AD44" s="14">
        <v>0</v>
      </c>
      <c r="AE44" s="14">
        <v>0</v>
      </c>
      <c r="AF44" s="1357">
        <v>0</v>
      </c>
      <c r="AG44" s="1357">
        <v>0</v>
      </c>
      <c r="AH44" s="1357">
        <v>0</v>
      </c>
      <c r="AI44" s="1357">
        <v>0</v>
      </c>
      <c r="AJ44" s="1357">
        <v>0</v>
      </c>
      <c r="AK44" s="1357">
        <v>0</v>
      </c>
      <c r="AL44" s="1357">
        <v>0</v>
      </c>
      <c r="AM44" s="1357">
        <v>0</v>
      </c>
      <c r="AN44" s="3013">
        <v>0</v>
      </c>
      <c r="AO44" s="3013">
        <v>0</v>
      </c>
      <c r="AP44" s="3013">
        <v>0</v>
      </c>
      <c r="AQ44" s="3013">
        <v>0</v>
      </c>
      <c r="AR44" s="3013">
        <v>0</v>
      </c>
      <c r="AS44" s="3013">
        <v>0</v>
      </c>
      <c r="AT44" s="3013">
        <v>0</v>
      </c>
      <c r="AU44" s="3013">
        <v>0</v>
      </c>
      <c r="AV44" s="3013">
        <v>0</v>
      </c>
      <c r="AW44" s="3013">
        <v>0</v>
      </c>
      <c r="AX44" s="3013">
        <v>0</v>
      </c>
      <c r="AY44" s="1373"/>
      <c r="AZ44" s="1373"/>
      <c r="BA44" s="1373"/>
      <c r="BB44" s="1373"/>
      <c r="BC44" s="1373"/>
      <c r="BD44" s="1373"/>
      <c r="BE44" s="1373"/>
      <c r="BF44" s="14">
        <v>0</v>
      </c>
      <c r="BG44" s="14">
        <v>0</v>
      </c>
      <c r="BH44" s="14">
        <v>0</v>
      </c>
      <c r="BI44" s="14">
        <v>0</v>
      </c>
      <c r="BJ44" s="14"/>
      <c r="BK44" s="14">
        <f>+BK45-BK43-BK42</f>
        <v>0</v>
      </c>
      <c r="BL44" s="14">
        <f>+BL45-BL43-BL42</f>
        <v>0</v>
      </c>
      <c r="BM44" s="14">
        <f>+BM45-SUM(BM42:BM43)</f>
        <v>0</v>
      </c>
      <c r="BN44" s="14">
        <f>+BN45-SUM(BN42:BN43)</f>
        <v>0</v>
      </c>
      <c r="BO44" s="14"/>
      <c r="BP44" s="14">
        <f t="shared" si="34"/>
        <v>0</v>
      </c>
      <c r="BQ44" s="14">
        <f t="shared" si="34"/>
        <v>0</v>
      </c>
      <c r="BR44" s="14">
        <f t="shared" si="34"/>
        <v>0</v>
      </c>
      <c r="BS44" s="14">
        <f t="shared" si="34"/>
        <v>0</v>
      </c>
      <c r="BT44" s="14"/>
      <c r="BU44" s="14"/>
      <c r="BV44" s="14"/>
      <c r="BW44" s="14"/>
      <c r="BX44" s="14"/>
      <c r="BY44" s="95"/>
      <c r="BZ44" s="14"/>
      <c r="CA44" s="14"/>
      <c r="CB44" s="14"/>
      <c r="CC44" s="14"/>
      <c r="CD44" s="377"/>
      <c r="CE44" s="14"/>
      <c r="CF44" s="14"/>
      <c r="CG44" s="14"/>
      <c r="CH44" s="14"/>
      <c r="CI44" s="53"/>
      <c r="CJ44" s="14"/>
      <c r="CK44" s="14"/>
      <c r="CL44" s="14"/>
      <c r="CM44" s="14"/>
      <c r="CN44" s="49"/>
      <c r="CO44" s="14"/>
      <c r="CP44" s="14"/>
      <c r="CQ44" s="14"/>
      <c r="CR44" s="14"/>
      <c r="CS44" s="49"/>
      <c r="CT44" s="14"/>
      <c r="CU44" s="14"/>
      <c r="CV44" s="14"/>
      <c r="CW44" s="861">
        <f>CW52/CW43</f>
        <v>0.27967387182404246</v>
      </c>
      <c r="CX44" s="49"/>
      <c r="CY44" s="352"/>
      <c r="CZ44" s="352"/>
      <c r="DA44" s="352"/>
      <c r="DB44" s="861"/>
      <c r="DC44" s="14"/>
      <c r="DD44" s="352"/>
      <c r="DE44" s="352"/>
      <c r="DF44" s="352"/>
      <c r="DG44" s="861"/>
      <c r="DH44" s="352"/>
      <c r="DI44" s="352"/>
      <c r="DJ44" s="352"/>
      <c r="DK44" s="352"/>
      <c r="DL44" s="874"/>
      <c r="DM44" s="352"/>
      <c r="DN44" s="14"/>
      <c r="DO44" s="14"/>
      <c r="DP44" s="14"/>
      <c r="DQ44" s="14"/>
      <c r="DR44" s="14"/>
      <c r="DX44" s="862"/>
      <c r="DY44" s="862"/>
      <c r="DZ44" s="862"/>
      <c r="EA44" s="862"/>
      <c r="EB44" s="862"/>
      <c r="EH44" s="1048"/>
      <c r="EI44" s="1048"/>
      <c r="EJ44" s="1048"/>
      <c r="EK44" s="1048"/>
      <c r="EM44" s="1048"/>
      <c r="FL44" s="1048"/>
    </row>
    <row r="45" spans="1:168">
      <c r="A45" s="362" t="s">
        <v>675</v>
      </c>
      <c r="B45" s="14"/>
      <c r="C45" s="14">
        <f>+SUM(C42:C44)</f>
        <v>1893</v>
      </c>
      <c r="D45" s="14"/>
      <c r="E45" s="14">
        <f>+SUM(E42:E44)</f>
        <v>3009</v>
      </c>
      <c r="F45" s="14">
        <f>+SUM(F42:F44)</f>
        <v>3009</v>
      </c>
      <c r="G45" s="14"/>
      <c r="H45" s="14"/>
      <c r="I45" s="14">
        <f>+SUM(I42:I44)</f>
        <v>2449</v>
      </c>
      <c r="J45" s="14">
        <f>+SUM(J42:J44)</f>
        <v>1138</v>
      </c>
      <c r="K45" s="14">
        <f>+SUM(K42:K44)</f>
        <v>3587</v>
      </c>
      <c r="L45" s="14">
        <f>+SUM(L42:L44)</f>
        <v>3587</v>
      </c>
      <c r="M45" s="14">
        <v>4037.2</v>
      </c>
      <c r="N45" s="14">
        <f>N42+N43</f>
        <v>3967.5</v>
      </c>
      <c r="O45" s="14">
        <f>+SUM(O42:O44)</f>
        <v>3967.5</v>
      </c>
      <c r="P45" s="14">
        <v>3670.2211367709815</v>
      </c>
      <c r="Q45" s="14" t="s">
        <v>337</v>
      </c>
      <c r="R45" s="14">
        <f>+SUM(BU45:BX45)</f>
        <v>3685.9913000000001</v>
      </c>
      <c r="S45" s="14">
        <f>+SUM(S42:S44)</f>
        <v>3685.9912999999997</v>
      </c>
      <c r="T45" s="14">
        <f>+SUM(T42:T44)</f>
        <v>3755.1</v>
      </c>
      <c r="U45" s="14">
        <f>SUM(U42:U44)</f>
        <v>3845.9</v>
      </c>
      <c r="V45" s="129"/>
      <c r="W45" s="14"/>
      <c r="X45" s="14">
        <f>SUM(X42:X44)</f>
        <v>3976.3</v>
      </c>
      <c r="Y45" s="14">
        <f>+SUM(Y42:Y44)</f>
        <v>3755.1</v>
      </c>
      <c r="Z45" s="14">
        <f>+SUM(Z42:Z44)</f>
        <v>3845.9</v>
      </c>
      <c r="AA45" s="14">
        <f>+SUM(AA42:AA44)</f>
        <v>3976.3</v>
      </c>
      <c r="AB45" s="14">
        <f t="shared" ref="AB45:AQ45" si="36">SUM(AB42:AB44)</f>
        <v>4064.1000000000004</v>
      </c>
      <c r="AC45" s="14">
        <f t="shared" si="36"/>
        <v>4063.3</v>
      </c>
      <c r="AD45" s="14">
        <f t="shared" si="36"/>
        <v>3941</v>
      </c>
      <c r="AE45" s="14">
        <f t="shared" si="36"/>
        <v>3709.7</v>
      </c>
      <c r="AF45" s="1357">
        <f t="shared" si="36"/>
        <v>2945</v>
      </c>
      <c r="AG45" s="1357">
        <f t="shared" si="36"/>
        <v>3155.5519999999997</v>
      </c>
      <c r="AH45" s="1357">
        <f t="shared" si="36"/>
        <v>2626.2</v>
      </c>
      <c r="AI45" s="1357">
        <f t="shared" si="36"/>
        <v>2598</v>
      </c>
      <c r="AJ45" s="1357">
        <f t="shared" si="36"/>
        <v>2610.4</v>
      </c>
      <c r="AK45" s="1357">
        <f t="shared" si="36"/>
        <v>1303</v>
      </c>
      <c r="AL45" s="1357">
        <f t="shared" si="36"/>
        <v>1232</v>
      </c>
      <c r="AM45" s="1357">
        <f t="shared" si="36"/>
        <v>1220</v>
      </c>
      <c r="AN45" s="3013">
        <f t="shared" si="36"/>
        <v>0</v>
      </c>
      <c r="AO45" s="3013">
        <f t="shared" si="36"/>
        <v>0</v>
      </c>
      <c r="AP45" s="3013">
        <f t="shared" si="36"/>
        <v>0</v>
      </c>
      <c r="AQ45" s="3013">
        <f t="shared" si="36"/>
        <v>0</v>
      </c>
      <c r="AR45" s="3013">
        <f t="shared" ref="AR45:AW45" si="37">SUM(AR42:AR44)</f>
        <v>0</v>
      </c>
      <c r="AS45" s="3013">
        <f t="shared" si="37"/>
        <v>0</v>
      </c>
      <c r="AT45" s="3013">
        <f t="shared" si="37"/>
        <v>0</v>
      </c>
      <c r="AU45" s="3013">
        <f t="shared" si="37"/>
        <v>0</v>
      </c>
      <c r="AV45" s="3013">
        <f t="shared" si="37"/>
        <v>0</v>
      </c>
      <c r="AW45" s="3013">
        <f t="shared" si="37"/>
        <v>0</v>
      </c>
      <c r="AX45" s="3013">
        <f>SUM(AX42:AX44)</f>
        <v>0</v>
      </c>
      <c r="AY45" s="1373"/>
      <c r="AZ45" s="1373"/>
      <c r="BA45" s="1373"/>
      <c r="BB45" s="1373"/>
      <c r="BC45" s="1373"/>
      <c r="BD45" s="1373"/>
      <c r="BE45" s="1373"/>
      <c r="BF45" s="77">
        <v>733.4</v>
      </c>
      <c r="BG45" s="77">
        <v>905.2</v>
      </c>
      <c r="BH45" s="77">
        <v>921.8</v>
      </c>
      <c r="BI45" s="77">
        <v>1002</v>
      </c>
      <c r="BJ45" s="14"/>
      <c r="BK45" s="77">
        <v>868.8</v>
      </c>
      <c r="BL45" s="77">
        <v>1030.7</v>
      </c>
      <c r="BM45" s="77">
        <v>1013.5</v>
      </c>
      <c r="BN45" s="77">
        <v>1054.5</v>
      </c>
      <c r="BO45" s="129"/>
      <c r="BP45" s="14">
        <f t="shared" si="34"/>
        <v>868.8</v>
      </c>
      <c r="BQ45" s="14">
        <f t="shared" si="34"/>
        <v>1030.7</v>
      </c>
      <c r="BR45" s="14">
        <f t="shared" si="34"/>
        <v>1013.5</v>
      </c>
      <c r="BS45" s="14">
        <f t="shared" si="34"/>
        <v>1054.5</v>
      </c>
      <c r="BT45" s="14"/>
      <c r="BU45" s="14">
        <f>+BU43+BU42</f>
        <v>834.9</v>
      </c>
      <c r="BV45" s="14">
        <f>+BV43+BV42</f>
        <v>984.9</v>
      </c>
      <c r="BW45" s="14">
        <f>+BW43+BW42</f>
        <v>910</v>
      </c>
      <c r="BX45" s="14">
        <f>+BX43+BX42</f>
        <v>956.19129999999996</v>
      </c>
      <c r="BY45" s="95"/>
      <c r="BZ45" s="14">
        <f>+BZ43+BZ42</f>
        <v>799.5</v>
      </c>
      <c r="CA45" s="14">
        <f>+CA43+CA42</f>
        <v>989.09999999999991</v>
      </c>
      <c r="CB45" s="14">
        <f>+CB43+CB42</f>
        <v>968.2</v>
      </c>
      <c r="CC45" s="14">
        <f>+CC43+CC42</f>
        <v>998.3</v>
      </c>
      <c r="CD45" s="261">
        <f>+T45-SUM(BZ45:CC45)</f>
        <v>0</v>
      </c>
      <c r="CE45" s="14">
        <f>+CE43+CE42</f>
        <v>822.1</v>
      </c>
      <c r="CF45" s="14">
        <f>SUM(CF42:CF43)</f>
        <v>1013.4</v>
      </c>
      <c r="CG45" s="14">
        <f>SUM(CG42:CG43)</f>
        <v>986.30000000000007</v>
      </c>
      <c r="CH45" s="14">
        <f>SUM(CH42:CH43)</f>
        <v>1024.0999999999999</v>
      </c>
      <c r="CI45" s="53"/>
      <c r="CJ45" s="14">
        <f>SUM(CJ42:CJ43)</f>
        <v>858.40000000000009</v>
      </c>
      <c r="CK45" s="14">
        <f>SUM(CK42:CK43)</f>
        <v>1045.3</v>
      </c>
      <c r="CL45" s="14">
        <f>SUM(CL42:CL43)</f>
        <v>1008</v>
      </c>
      <c r="CM45" s="14">
        <f>SUM(CM42:CM43)</f>
        <v>1064.5999999999999</v>
      </c>
      <c r="CN45" s="49">
        <f>+X45-SUM(CJ45:CM45)</f>
        <v>0</v>
      </c>
      <c r="CO45" s="14">
        <f>SUM(CO42:CO43)</f>
        <v>858.40000000000009</v>
      </c>
      <c r="CP45" s="14">
        <f>SUM(CP42:CP43)</f>
        <v>1045.3</v>
      </c>
      <c r="CQ45" s="14">
        <f>SUM(CQ42:CQ43)</f>
        <v>1008</v>
      </c>
      <c r="CR45" s="14">
        <f>SUM(CR42:CR43)</f>
        <v>1064.5999999999999</v>
      </c>
      <c r="CS45" s="49">
        <f>+AA45-SUM(CO45:CR45)</f>
        <v>0</v>
      </c>
      <c r="CT45" s="14">
        <f>SUM(CT42:CT43)</f>
        <v>891.90000000000009</v>
      </c>
      <c r="CU45" s="14">
        <f>SUM(CU42:CU43)</f>
        <v>1065.8</v>
      </c>
      <c r="CV45" s="14">
        <f>SUM(CV42:CV43)</f>
        <v>1035.5</v>
      </c>
      <c r="CW45" s="14">
        <f>SUM(CW42:CW43)</f>
        <v>1070.9000000000001</v>
      </c>
      <c r="CX45" s="49">
        <f>AB45-SUM(CT45:CW45)</f>
        <v>0</v>
      </c>
      <c r="CY45" s="14">
        <f>SUM(CY42:CY43)</f>
        <v>886.7</v>
      </c>
      <c r="CZ45" s="14">
        <f>SUM(CZ42:CZ43)</f>
        <v>1053.5</v>
      </c>
      <c r="DA45" s="14">
        <f>SUM(DA42:DA43)</f>
        <v>1044.3000000000002</v>
      </c>
      <c r="DB45" s="14">
        <f>SUM(DB42:DB43)</f>
        <v>1078.8</v>
      </c>
      <c r="DC45" s="871">
        <f>AC45-SUM(CY45:DB45)</f>
        <v>0</v>
      </c>
      <c r="DD45" s="14">
        <f>SUM(DD42:DD43)</f>
        <v>859.8</v>
      </c>
      <c r="DE45" s="14">
        <f>SUM(DE42:DE43)</f>
        <v>1017.6</v>
      </c>
      <c r="DF45" s="14">
        <f>SUM(DF42:DF43)</f>
        <v>997.90000000000009</v>
      </c>
      <c r="DG45" s="14">
        <f>SUM(DG42:DG43)</f>
        <v>1065.7</v>
      </c>
      <c r="DH45" s="357">
        <f>AD45-SUM(DD45:DG45)</f>
        <v>0</v>
      </c>
      <c r="DI45" s="14">
        <f>SUM(DI42:DI43)</f>
        <v>860.4</v>
      </c>
      <c r="DJ45" s="14">
        <f>SUM(DJ42:DJ43)</f>
        <v>1014.5</v>
      </c>
      <c r="DK45" s="14">
        <f>SUM(DK42:DK43)</f>
        <v>941.8</v>
      </c>
      <c r="DL45" s="14">
        <f>SUM(DL42:DL43)</f>
        <v>893</v>
      </c>
      <c r="DM45" s="357">
        <f>AE45-SUM(DI45:DL45)</f>
        <v>0</v>
      </c>
      <c r="DN45" s="14">
        <f>SUM(DN42:DN43)</f>
        <v>639.59999999999991</v>
      </c>
      <c r="DO45" s="14">
        <f>SUM(DO42:DO43)</f>
        <v>756.1</v>
      </c>
      <c r="DP45" s="14">
        <f>SUM(DP42:DP43)</f>
        <v>743.8</v>
      </c>
      <c r="DQ45" s="14">
        <f>SUM(DQ42:DQ43)</f>
        <v>805.5</v>
      </c>
      <c r="DR45" s="538">
        <f>AF45-SUM(DN45:DQ45)</f>
        <v>0</v>
      </c>
      <c r="DS45" s="14">
        <f>SUM(DS42:DS43)</f>
        <v>674.9</v>
      </c>
      <c r="DT45" s="14">
        <f>SUM(DT42:DT43)</f>
        <v>796.6</v>
      </c>
      <c r="DU45" s="14">
        <f>SUM(DU42:DU43)</f>
        <v>806.2</v>
      </c>
      <c r="DV45" s="14">
        <f>SUM(DV42:DV43)</f>
        <v>877.85199999999998</v>
      </c>
      <c r="DW45" s="538">
        <f>AG45-SUM(DS45:DV45)</f>
        <v>0</v>
      </c>
      <c r="DX45" s="862"/>
      <c r="DY45" s="862"/>
      <c r="DZ45" s="862"/>
      <c r="EA45" s="862"/>
      <c r="EB45" s="862"/>
      <c r="EH45" s="1048"/>
      <c r="EI45" s="1048"/>
      <c r="EJ45" s="1048"/>
      <c r="EK45" s="1048"/>
      <c r="EM45" s="1048"/>
      <c r="FL45" s="1048"/>
    </row>
    <row r="46" spans="1:168">
      <c r="A46" s="362" t="s">
        <v>1056</v>
      </c>
      <c r="B46" s="14"/>
      <c r="C46" s="14"/>
      <c r="D46" s="14"/>
      <c r="E46" s="14"/>
      <c r="F46" s="14"/>
      <c r="G46" s="14"/>
      <c r="H46" s="14"/>
      <c r="I46" s="14"/>
      <c r="J46" s="14"/>
      <c r="K46" s="39">
        <f>K42/E42-1</f>
        <v>0.23622047244094491</v>
      </c>
      <c r="L46" s="14"/>
      <c r="M46" s="14"/>
      <c r="N46" s="39">
        <f>N42/K42-1</f>
        <v>0.12089451249387562</v>
      </c>
      <c r="O46" s="14"/>
      <c r="P46" s="14"/>
      <c r="Q46" s="14"/>
      <c r="R46" s="39">
        <f>+R42/M42-1</f>
        <v>-0.11433699863680191</v>
      </c>
      <c r="S46" s="14"/>
      <c r="T46" s="39">
        <f>+T42/R42-1</f>
        <v>2.9020264631085313E-2</v>
      </c>
      <c r="U46" s="39">
        <f>+U42/T42-1</f>
        <v>-1.1312217194570096E-2</v>
      </c>
      <c r="V46" s="39"/>
      <c r="W46" s="39"/>
      <c r="X46" s="39">
        <f>+X42/U42-1</f>
        <v>-7.1510297482835217E-4</v>
      </c>
      <c r="Y46" s="39">
        <f>+Y42/S42-1</f>
        <v>2.9020264631085313E-2</v>
      </c>
      <c r="Z46" s="39">
        <f t="shared" ref="Z46:AB47" si="38">+Z42/Y42-1</f>
        <v>-1.1312217194570096E-2</v>
      </c>
      <c r="AA46" s="39">
        <f t="shared" si="38"/>
        <v>-7.1510297482835217E-4</v>
      </c>
      <c r="AB46" s="39">
        <f t="shared" si="38"/>
        <v>8.921330089213475E-3</v>
      </c>
      <c r="AC46" s="39">
        <f t="shared" ref="AC46:AM46" si="39">+AC42/AB42-1</f>
        <v>-7.3245696992623399E-2</v>
      </c>
      <c r="AD46" s="39">
        <f t="shared" si="39"/>
        <v>-0.1052094494617074</v>
      </c>
      <c r="AE46" s="39">
        <f t="shared" si="39"/>
        <v>-0.12236984661002437</v>
      </c>
      <c r="AF46" s="1110">
        <f t="shared" si="39"/>
        <v>-0.2057696056136703</v>
      </c>
      <c r="AG46" s="1110">
        <f t="shared" si="39"/>
        <v>9.3219895287957932E-2</v>
      </c>
      <c r="AH46" s="1110">
        <f t="shared" si="39"/>
        <v>2.8794808553436191E-3</v>
      </c>
      <c r="AI46" s="1110">
        <f t="shared" si="39"/>
        <v>-1.9997015370840088E-2</v>
      </c>
      <c r="AJ46" s="1110">
        <f t="shared" si="39"/>
        <v>-5.3296786965129073E-3</v>
      </c>
      <c r="AK46" s="1110">
        <f t="shared" si="39"/>
        <v>-2.6025719534599201E-3</v>
      </c>
      <c r="AL46" s="1110">
        <f t="shared" si="39"/>
        <v>-5.448963929393702E-2</v>
      </c>
      <c r="AM46" s="1110">
        <f t="shared" si="39"/>
        <v>-9.7402597402597157E-3</v>
      </c>
      <c r="AN46" s="3014"/>
      <c r="AO46" s="3014"/>
      <c r="AP46" s="3014"/>
      <c r="AQ46" s="3014"/>
      <c r="AR46" s="3014"/>
      <c r="AS46" s="3014"/>
      <c r="AT46" s="3014"/>
      <c r="AU46" s="3014"/>
      <c r="AV46" s="3014"/>
      <c r="AW46" s="3014"/>
      <c r="AX46" s="3014"/>
      <c r="AY46" s="1801"/>
      <c r="AZ46" s="1801"/>
      <c r="BA46" s="1801"/>
      <c r="BB46" s="1801"/>
      <c r="BC46" s="1801"/>
      <c r="BD46" s="1801"/>
      <c r="BE46" s="1373"/>
      <c r="BF46" s="129"/>
      <c r="BG46" s="129"/>
      <c r="BH46" s="129"/>
      <c r="BI46" s="129"/>
      <c r="BJ46" s="14"/>
      <c r="BK46" s="129"/>
      <c r="BL46" s="129"/>
      <c r="BM46" s="129"/>
      <c r="BN46" s="129"/>
      <c r="BO46" s="129"/>
      <c r="BP46" s="14"/>
      <c r="BQ46" s="14"/>
      <c r="BR46" s="14"/>
      <c r="BS46" s="14"/>
      <c r="BT46" s="14"/>
      <c r="BU46" s="39">
        <f t="shared" ref="BU46:BX47" si="40">BU42/BP42-1</f>
        <v>-7.742508096368661E-2</v>
      </c>
      <c r="BV46" s="39">
        <f t="shared" si="40"/>
        <v>-6.6622485917848251E-2</v>
      </c>
      <c r="BW46" s="39">
        <f t="shared" si="40"/>
        <v>-0.16761845963883326</v>
      </c>
      <c r="BX46" s="39">
        <f t="shared" si="40"/>
        <v>-8.081300813008141E-2</v>
      </c>
      <c r="BY46" s="95"/>
      <c r="BZ46" s="39">
        <f t="shared" ref="BZ46:CC47" si="41">BZ42/BU42-1</f>
        <v>-1.2199999999999989E-2</v>
      </c>
      <c r="CA46" s="39">
        <f t="shared" si="41"/>
        <v>3.0000000000000027E-2</v>
      </c>
      <c r="CB46" s="39">
        <f t="shared" si="41"/>
        <v>9.9796031893195192E-2</v>
      </c>
      <c r="CC46" s="39">
        <f t="shared" si="41"/>
        <v>0</v>
      </c>
      <c r="CD46" s="377"/>
      <c r="CE46" s="39">
        <f t="shared" ref="CE46:CH47" si="42">CE42/BZ42-1</f>
        <v>-1.6618657212497223E-2</v>
      </c>
      <c r="CF46" s="39">
        <f t="shared" si="42"/>
        <v>-2.615765288087657E-2</v>
      </c>
      <c r="CG46" s="39">
        <f t="shared" si="42"/>
        <v>2.3182492581602432E-2</v>
      </c>
      <c r="CH46" s="39">
        <f t="shared" si="42"/>
        <v>-2.5119405625331548E-2</v>
      </c>
      <c r="CI46" s="53"/>
      <c r="CJ46" s="39">
        <f t="shared" ref="CJ46:CM47" si="43">+CJ42/BZ42-1</f>
        <v>8.4201196543318702E-3</v>
      </c>
      <c r="CK46" s="39">
        <f t="shared" si="43"/>
        <v>-7.9533404029692445E-3</v>
      </c>
      <c r="CL46" s="39">
        <f t="shared" si="43"/>
        <v>-1.8360534124629235E-2</v>
      </c>
      <c r="CM46" s="39">
        <f t="shared" si="43"/>
        <v>-2.6357686184326878E-2</v>
      </c>
      <c r="CN46" s="49"/>
      <c r="CO46" s="39">
        <f t="shared" ref="CO46:CR47" si="44">+CO42/CE42-1</f>
        <v>2.5461919783686282E-2</v>
      </c>
      <c r="CP46" s="39">
        <f t="shared" si="44"/>
        <v>1.8693284936479149E-2</v>
      </c>
      <c r="CQ46" s="39">
        <f t="shared" si="44"/>
        <v>-4.0601776327714445E-2</v>
      </c>
      <c r="CR46" s="39">
        <f t="shared" si="44"/>
        <v>-1.2701868989295484E-3</v>
      </c>
      <c r="CS46" s="49"/>
      <c r="CT46" s="39">
        <f t="shared" ref="CT46:DG47" si="45">+CT42/CO42-1</f>
        <v>1.691935838277292E-2</v>
      </c>
      <c r="CU46" s="39">
        <f t="shared" si="45"/>
        <v>9.2642080883664768E-3</v>
      </c>
      <c r="CV46" s="39">
        <f t="shared" si="45"/>
        <v>2.3993954279236895E-2</v>
      </c>
      <c r="CW46" s="39">
        <f t="shared" si="45"/>
        <v>-1.2536337209302251E-2</v>
      </c>
      <c r="CX46" s="49"/>
      <c r="CY46" s="39">
        <f t="shared" si="45"/>
        <v>-6.114952463267076E-2</v>
      </c>
      <c r="CZ46" s="39">
        <f t="shared" si="45"/>
        <v>-8.367166813768756E-2</v>
      </c>
      <c r="DA46" s="39">
        <f t="shared" si="45"/>
        <v>-6.2546125461254598E-2</v>
      </c>
      <c r="DB46" s="39">
        <f t="shared" si="45"/>
        <v>-8.3348666053357889E-2</v>
      </c>
      <c r="DC46" s="14"/>
      <c r="DD46" s="39">
        <f t="shared" si="45"/>
        <v>-8.5155350978135758E-2</v>
      </c>
      <c r="DE46" s="39">
        <f t="shared" si="45"/>
        <v>-0.10730109805432486</v>
      </c>
      <c r="DF46" s="39">
        <f t="shared" si="45"/>
        <v>-0.1228104703798466</v>
      </c>
      <c r="DG46" s="39">
        <f t="shared" si="45"/>
        <v>-0.1025692492974708</v>
      </c>
      <c r="DH46" s="352"/>
      <c r="DI46" s="39">
        <f t="shared" ref="DI46:DL47" si="46">+DI42/DD42-1</f>
        <v>-8.5534591194968534E-2</v>
      </c>
      <c r="DJ46" s="39">
        <f t="shared" si="46"/>
        <v>-0.10142425550280532</v>
      </c>
      <c r="DK46" s="39">
        <f t="shared" si="46"/>
        <v>-0.11936280008974642</v>
      </c>
      <c r="DL46" s="39">
        <f t="shared" si="46"/>
        <v>-0.17982554238425419</v>
      </c>
      <c r="DM46" s="352"/>
      <c r="DN46" s="39">
        <f t="shared" ref="DN46:DQ47" si="47">+DN42/DI42-1</f>
        <v>-0.28555708390646495</v>
      </c>
      <c r="DO46" s="39">
        <f t="shared" si="47"/>
        <v>-0.22670509125840532</v>
      </c>
      <c r="DP46" s="39">
        <f t="shared" si="47"/>
        <v>-0.18751592356687907</v>
      </c>
      <c r="DQ46" s="39">
        <f t="shared" si="47"/>
        <v>-0.12244341423506944</v>
      </c>
      <c r="DR46" s="14"/>
      <c r="DS46" s="39">
        <f t="shared" ref="DS46:DV47" si="48">+DS42/DN42-1</f>
        <v>8.856372737774354E-2</v>
      </c>
      <c r="DT46" s="39">
        <f t="shared" si="48"/>
        <v>5.6832298136646031E-2</v>
      </c>
      <c r="DU46" s="39">
        <f t="shared" si="48"/>
        <v>8.6547507055503292E-2</v>
      </c>
      <c r="DV46" s="39">
        <f t="shared" si="48"/>
        <v>0.1399999999999999</v>
      </c>
      <c r="DX46" s="862"/>
      <c r="DY46" s="862"/>
      <c r="DZ46" s="862"/>
      <c r="EA46" s="862"/>
      <c r="EB46" s="862"/>
      <c r="EH46" s="1048"/>
      <c r="EI46" s="1048"/>
      <c r="EJ46" s="1048"/>
      <c r="EK46" s="1048"/>
      <c r="EM46" s="1048"/>
      <c r="FL46" s="1048"/>
    </row>
    <row r="47" spans="1:168">
      <c r="A47" s="362" t="s">
        <v>1057</v>
      </c>
      <c r="B47" s="14"/>
      <c r="C47" s="14"/>
      <c r="D47" s="14"/>
      <c r="E47" s="14"/>
      <c r="F47" s="14"/>
      <c r="G47" s="14"/>
      <c r="H47" s="14"/>
      <c r="I47" s="14"/>
      <c r="J47" s="14"/>
      <c r="K47" s="39">
        <f>K43/E43-1</f>
        <v>0.1384388807069219</v>
      </c>
      <c r="L47" s="14"/>
      <c r="M47" s="14"/>
      <c r="N47" s="39">
        <f>N43/K43-1</f>
        <v>8.65163648124192E-2</v>
      </c>
      <c r="O47" s="14"/>
      <c r="P47" s="14"/>
      <c r="Q47" s="14"/>
      <c r="R47" s="39">
        <f>+R43/M43-1</f>
        <v>-4.975209841270134E-2</v>
      </c>
      <c r="S47" s="14"/>
      <c r="T47" s="39">
        <f>+T43/R43-1</f>
        <v>5.7108347626768641E-3</v>
      </c>
      <c r="U47" s="39">
        <f>+U43/T43-1</f>
        <v>7.027854300581593E-2</v>
      </c>
      <c r="V47" s="39"/>
      <c r="W47" s="39"/>
      <c r="X47" s="39">
        <f>+X43/U43-1</f>
        <v>7.5444717725790644E-2</v>
      </c>
      <c r="Y47" s="39">
        <f>+Y43/S43-1</f>
        <v>5.7108347626768641E-3</v>
      </c>
      <c r="Z47" s="39">
        <f t="shared" si="38"/>
        <v>7.027854300581593E-2</v>
      </c>
      <c r="AA47" s="39">
        <f t="shared" si="38"/>
        <v>7.5444717725790644E-2</v>
      </c>
      <c r="AB47" s="39">
        <f t="shared" si="38"/>
        <v>3.6751409424529147E-2</v>
      </c>
      <c r="AC47" s="39">
        <f t="shared" ref="AC47:AJ47" si="49">+AC43/AB43-1</f>
        <v>7.9054019391576524E-2</v>
      </c>
      <c r="AD47" s="39">
        <f t="shared" si="49"/>
        <v>3.9887800703622744E-2</v>
      </c>
      <c r="AE47" s="39">
        <f t="shared" si="49"/>
        <v>-7.6349837699447587E-3</v>
      </c>
      <c r="AF47" s="1110">
        <f t="shared" si="49"/>
        <v>-0.20639454528701728</v>
      </c>
      <c r="AG47" s="1110">
        <f t="shared" si="49"/>
        <v>5.6078021595262983E-2</v>
      </c>
      <c r="AH47" s="1110">
        <f t="shared" si="49"/>
        <v>-0.29309586631486373</v>
      </c>
      <c r="AI47" s="1110">
        <f t="shared" si="49"/>
        <v>-1.0886469673406785E-3</v>
      </c>
      <c r="AJ47" s="1110">
        <f t="shared" si="49"/>
        <v>1.5101977269188938E-2</v>
      </c>
      <c r="AK47" s="2435" t="s">
        <v>737</v>
      </c>
      <c r="AL47" s="2435" t="s">
        <v>737</v>
      </c>
      <c r="AM47" s="2435" t="s">
        <v>737</v>
      </c>
      <c r="AN47" s="3015" t="s">
        <v>737</v>
      </c>
      <c r="AO47" s="3015" t="s">
        <v>737</v>
      </c>
      <c r="AP47" s="3015" t="s">
        <v>737</v>
      </c>
      <c r="AQ47" s="3015" t="s">
        <v>737</v>
      </c>
      <c r="AR47" s="3015" t="s">
        <v>737</v>
      </c>
      <c r="AS47" s="3015" t="s">
        <v>737</v>
      </c>
      <c r="AT47" s="3015" t="s">
        <v>737</v>
      </c>
      <c r="AU47" s="3015" t="s">
        <v>737</v>
      </c>
      <c r="AV47" s="3015" t="s">
        <v>737</v>
      </c>
      <c r="AW47" s="3015" t="s">
        <v>737</v>
      </c>
      <c r="AX47" s="3015" t="s">
        <v>737</v>
      </c>
      <c r="AY47" s="1801"/>
      <c r="AZ47" s="1801"/>
      <c r="BA47" s="1801"/>
      <c r="BB47" s="1801"/>
      <c r="BC47" s="1801"/>
      <c r="BD47" s="1801"/>
      <c r="BE47" s="1373"/>
      <c r="BF47" s="129"/>
      <c r="BG47" s="129"/>
      <c r="BH47" s="129"/>
      <c r="BI47" s="129"/>
      <c r="BJ47" s="14"/>
      <c r="BK47" s="129"/>
      <c r="BL47" s="129"/>
      <c r="BM47" s="129"/>
      <c r="BN47" s="129"/>
      <c r="BO47" s="129"/>
      <c r="BP47" s="14"/>
      <c r="BQ47" s="14"/>
      <c r="BR47" s="14"/>
      <c r="BS47" s="14"/>
      <c r="BT47" s="14"/>
      <c r="BU47" s="39">
        <f t="shared" si="40"/>
        <v>1.1890602634248459E-2</v>
      </c>
      <c r="BV47" s="39">
        <f t="shared" si="40"/>
        <v>-1.4905316683446634E-2</v>
      </c>
      <c r="BW47" s="39">
        <f t="shared" si="40"/>
        <v>-1.1243173787343186E-2</v>
      </c>
      <c r="BX47" s="39">
        <f t="shared" si="40"/>
        <v>-0.11060000000000003</v>
      </c>
      <c r="BY47" s="95"/>
      <c r="BZ47" s="39">
        <f t="shared" si="41"/>
        <v>-7.8899673397547665E-2</v>
      </c>
      <c r="CA47" s="39">
        <f t="shared" si="41"/>
        <v>-2.8191428896214732E-2</v>
      </c>
      <c r="CB47" s="39">
        <f t="shared" si="41"/>
        <v>2.2092267706302682E-2</v>
      </c>
      <c r="CC47" s="39">
        <f t="shared" si="41"/>
        <v>0.1077248329650724</v>
      </c>
      <c r="CD47" s="377"/>
      <c r="CE47" s="39">
        <f t="shared" si="42"/>
        <v>8.6444572085008664E-2</v>
      </c>
      <c r="CF47" s="39">
        <f t="shared" si="42"/>
        <v>9.2369477911646403E-2</v>
      </c>
      <c r="CG47" s="39">
        <f t="shared" si="42"/>
        <v>1.3053613053613189E-2</v>
      </c>
      <c r="CH47" s="39">
        <f t="shared" si="42"/>
        <v>9.2378752886836057E-2</v>
      </c>
      <c r="CI47" s="53"/>
      <c r="CJ47" s="39">
        <f t="shared" si="43"/>
        <v>0.15824238943136137</v>
      </c>
      <c r="CK47" s="39">
        <f t="shared" si="43"/>
        <v>0.14339711788329779</v>
      </c>
      <c r="CL47" s="39">
        <f t="shared" si="43"/>
        <v>0.1158508158508158</v>
      </c>
      <c r="CM47" s="39">
        <f t="shared" si="43"/>
        <v>0.18752886836027716</v>
      </c>
      <c r="CN47" s="49"/>
      <c r="CO47" s="39">
        <f t="shared" si="44"/>
        <v>6.6085117631509371E-2</v>
      </c>
      <c r="CP47" s="39">
        <f t="shared" si="44"/>
        <v>4.6712802768166251E-2</v>
      </c>
      <c r="CQ47" s="39">
        <f t="shared" si="44"/>
        <v>0.10147261849976985</v>
      </c>
      <c r="CR47" s="39">
        <f t="shared" si="44"/>
        <v>8.7103594080338409E-2</v>
      </c>
      <c r="CS47" s="49"/>
      <c r="CT47" s="39">
        <f t="shared" si="45"/>
        <v>6.3972229109843903E-2</v>
      </c>
      <c r="CU47" s="39">
        <f t="shared" si="45"/>
        <v>3.1611570247933818E-2</v>
      </c>
      <c r="CV47" s="39">
        <f t="shared" si="45"/>
        <v>3.091706705661168E-2</v>
      </c>
      <c r="CW47" s="39">
        <f t="shared" si="45"/>
        <v>2.5670945157526104E-2</v>
      </c>
      <c r="CX47" s="49"/>
      <c r="CY47" s="39">
        <f t="shared" si="45"/>
        <v>5.3833605220228398E-2</v>
      </c>
      <c r="CZ47" s="39">
        <f t="shared" si="45"/>
        <v>7.029841778489887E-2</v>
      </c>
      <c r="DA47" s="39">
        <f t="shared" si="45"/>
        <v>8.6524822695035475E-2</v>
      </c>
      <c r="DB47" s="39">
        <f t="shared" si="45"/>
        <v>0.10087220326128188</v>
      </c>
      <c r="DC47" s="14"/>
      <c r="DD47" s="39">
        <f t="shared" si="45"/>
        <v>2.2335249889429587E-2</v>
      </c>
      <c r="DE47" s="39">
        <f t="shared" si="45"/>
        <v>3.7050898203592864E-2</v>
      </c>
      <c r="DF47" s="39">
        <f t="shared" si="45"/>
        <v>2.9839612085042821E-2</v>
      </c>
      <c r="DG47" s="39">
        <f t="shared" si="45"/>
        <v>6.5449534963830436E-2</v>
      </c>
      <c r="DH47" s="352"/>
      <c r="DI47" s="39">
        <f t="shared" si="46"/>
        <v>7.4843175427211639E-2</v>
      </c>
      <c r="DJ47" s="39">
        <f t="shared" si="46"/>
        <v>7.9213280404186071E-2</v>
      </c>
      <c r="DK47" s="39">
        <f t="shared" si="46"/>
        <v>-5.2517203911628396E-3</v>
      </c>
      <c r="DL47" s="39">
        <f t="shared" si="46"/>
        <v>-0.14920788878111879</v>
      </c>
      <c r="DM47" s="352"/>
      <c r="DN47" s="39">
        <f t="shared" si="47"/>
        <v>-0.23545985107667544</v>
      </c>
      <c r="DO47" s="39">
        <f t="shared" si="47"/>
        <v>-0.27420163852198631</v>
      </c>
      <c r="DP47" s="39">
        <f t="shared" si="47"/>
        <v>-0.22647005279446564</v>
      </c>
      <c r="DQ47" s="39">
        <f t="shared" si="47"/>
        <v>-8.0942428272848144E-2</v>
      </c>
      <c r="DR47" s="14"/>
      <c r="DS47" s="39">
        <f t="shared" si="48"/>
        <v>3.2376941300342299E-2</v>
      </c>
      <c r="DT47" s="39">
        <f t="shared" si="48"/>
        <v>5.1140290255701437E-2</v>
      </c>
      <c r="DU47" s="39">
        <f t="shared" si="48"/>
        <v>8.1901623911508681E-2</v>
      </c>
      <c r="DV47" s="39">
        <f t="shared" si="48"/>
        <v>5.6439942112879837E-2</v>
      </c>
      <c r="DX47" s="862"/>
      <c r="DY47" s="862"/>
      <c r="DZ47" s="862"/>
      <c r="EA47" s="862"/>
      <c r="EB47" s="862"/>
      <c r="EH47" s="1048"/>
      <c r="EI47" s="1048"/>
      <c r="EJ47" s="1048"/>
      <c r="EK47" s="1048"/>
      <c r="EM47" s="1048"/>
      <c r="FL47" s="1048"/>
    </row>
    <row r="48" spans="1:168">
      <c r="A48" s="372" t="s">
        <v>676</v>
      </c>
      <c r="B48" s="242"/>
      <c r="C48" s="242"/>
      <c r="D48" s="242"/>
      <c r="E48" s="39"/>
      <c r="F48" s="39"/>
      <c r="G48" s="242"/>
      <c r="H48" s="242"/>
      <c r="I48" s="242"/>
      <c r="J48" s="242"/>
      <c r="K48" s="39">
        <f>K45/E45-1</f>
        <v>0.19209039548022599</v>
      </c>
      <c r="L48" s="39"/>
      <c r="M48" s="39"/>
      <c r="N48" s="39">
        <f>N45/K45-1</f>
        <v>0.10607750209088374</v>
      </c>
      <c r="O48" s="39"/>
      <c r="P48" s="39" t="s">
        <v>337</v>
      </c>
      <c r="Q48" s="39"/>
      <c r="R48" s="39">
        <f>+R45/M45-1</f>
        <v>-8.6993138809075554E-2</v>
      </c>
      <c r="S48" s="39"/>
      <c r="T48" s="39">
        <f>+T45/R45-1</f>
        <v>1.874901332512624E-2</v>
      </c>
      <c r="U48" s="39">
        <f>+U45/T45-1</f>
        <v>2.4180447924156523E-2</v>
      </c>
      <c r="V48" s="39"/>
      <c r="W48" s="39"/>
      <c r="X48" s="39">
        <f>+X45/U45-1</f>
        <v>3.3906237811695661E-2</v>
      </c>
      <c r="Y48" s="39">
        <f>+Y45/S45-1</f>
        <v>1.8749013325126462E-2</v>
      </c>
      <c r="Z48" s="39">
        <f t="shared" ref="Z48:AJ48" si="50">+Z45/Y45-1</f>
        <v>2.4180447924156523E-2</v>
      </c>
      <c r="AA48" s="39">
        <f t="shared" si="50"/>
        <v>3.3906237811695661E-2</v>
      </c>
      <c r="AB48" s="39">
        <f t="shared" si="50"/>
        <v>2.2080828911299477E-2</v>
      </c>
      <c r="AC48" s="39">
        <f t="shared" si="50"/>
        <v>-1.9684555006027615E-4</v>
      </c>
      <c r="AD48" s="39">
        <f t="shared" si="50"/>
        <v>-3.0098688258312301E-2</v>
      </c>
      <c r="AE48" s="39">
        <f t="shared" si="50"/>
        <v>-5.8690687642730333E-2</v>
      </c>
      <c r="AF48" s="1110">
        <f t="shared" si="50"/>
        <v>-0.20613526700272256</v>
      </c>
      <c r="AG48" s="1110">
        <f t="shared" si="50"/>
        <v>7.1494736842105056E-2</v>
      </c>
      <c r="AH48" s="1110">
        <f t="shared" si="50"/>
        <v>-0.16775258338319254</v>
      </c>
      <c r="AI48" s="1110">
        <f t="shared" si="50"/>
        <v>-1.0737948366461025E-2</v>
      </c>
      <c r="AJ48" s="1110">
        <f t="shared" si="50"/>
        <v>4.7729022324864978E-3</v>
      </c>
      <c r="AK48" s="1110">
        <f>+AK42/AJ42-1</f>
        <v>-2.6025719534599201E-3</v>
      </c>
      <c r="AL48" s="1110">
        <f>+AL42/AK42-1</f>
        <v>-5.448963929393702E-2</v>
      </c>
      <c r="AM48" s="1110">
        <f>+AM42/AL42-1</f>
        <v>-9.7402597402597157E-3</v>
      </c>
      <c r="AN48" s="3014"/>
      <c r="AO48" s="3014"/>
      <c r="AP48" s="3014"/>
      <c r="AQ48" s="3014"/>
      <c r="AR48" s="3014"/>
      <c r="AS48" s="3014"/>
      <c r="AT48" s="3014"/>
      <c r="AU48" s="3014"/>
      <c r="AV48" s="3014"/>
      <c r="AW48" s="3014"/>
      <c r="AX48" s="3014"/>
      <c r="AY48" s="1801"/>
      <c r="AZ48" s="1801"/>
      <c r="BA48" s="1801"/>
      <c r="BB48" s="1801"/>
      <c r="BC48" s="1801"/>
      <c r="BD48" s="1801"/>
      <c r="BE48" s="2436"/>
      <c r="BF48" s="242"/>
      <c r="BG48" s="242"/>
      <c r="BH48" s="242"/>
      <c r="BI48" s="242"/>
      <c r="BJ48" s="242"/>
      <c r="BK48" s="39">
        <f>+BK45/BF45-1</f>
        <v>0.18461958003817824</v>
      </c>
      <c r="BL48" s="39">
        <f>+BL45/BG45-1</f>
        <v>0.13864339372514367</v>
      </c>
      <c r="BM48" s="39">
        <f>+BM45/BH45-1</f>
        <v>9.9479279670210419E-2</v>
      </c>
      <c r="BN48" s="39">
        <f>+BN45/BI45-1</f>
        <v>5.2395209580838431E-2</v>
      </c>
      <c r="BO48" s="39"/>
      <c r="BP48" s="39"/>
      <c r="BQ48" s="39"/>
      <c r="BR48" s="39"/>
      <c r="BS48" s="39"/>
      <c r="BT48" s="242"/>
      <c r="BU48" s="242">
        <f>BU45/BP45-1</f>
        <v>-3.9019337016574562E-2</v>
      </c>
      <c r="BV48" s="242">
        <f>BV45/BQ45-1</f>
        <v>-4.4435820316290009E-2</v>
      </c>
      <c r="BW48" s="242">
        <f>BW45/BR45-1</f>
        <v>-0.10212136161815488</v>
      </c>
      <c r="BX48" s="242">
        <f>BX45/BS45-1</f>
        <v>-9.3227785680417341E-2</v>
      </c>
      <c r="BY48" s="95"/>
      <c r="BZ48" s="242">
        <f>BZ45/BU45-1</f>
        <v>-4.2400287459576025E-2</v>
      </c>
      <c r="CA48" s="242">
        <f>CA45/BV45-1</f>
        <v>4.2643923240937021E-3</v>
      </c>
      <c r="CB48" s="242">
        <f>CB45/BW45-1</f>
        <v>6.395604395604404E-2</v>
      </c>
      <c r="CC48" s="242">
        <f>CC45/BX45-1</f>
        <v>4.4037945126670808E-2</v>
      </c>
      <c r="CD48" s="377"/>
      <c r="CE48" s="242">
        <f>CE45/BZ45-1</f>
        <v>2.8267667292057652E-2</v>
      </c>
      <c r="CF48" s="242">
        <f>CF45/CA45-1</f>
        <v>2.4567788898999243E-2</v>
      </c>
      <c r="CG48" s="242">
        <f>CG45/CB45-1</f>
        <v>1.8694484610617623E-2</v>
      </c>
      <c r="CH48" s="242">
        <f>CH45/CC45-1</f>
        <v>2.5843934688971171E-2</v>
      </c>
      <c r="CI48" s="53"/>
      <c r="CJ48" s="242">
        <f>CJ45/BZ45-1</f>
        <v>7.367104440275174E-2</v>
      </c>
      <c r="CK48" s="242">
        <f>CK45/CA45-1</f>
        <v>5.6819330704681148E-2</v>
      </c>
      <c r="CL48" s="242">
        <f>CL45/CB45-1</f>
        <v>4.1107209254286348E-2</v>
      </c>
      <c r="CM48" s="242">
        <f>CM45/CC45-1</f>
        <v>6.6412901933286639E-2</v>
      </c>
      <c r="CN48" s="49"/>
      <c r="CO48" s="242">
        <f>CO45/CE45-1</f>
        <v>4.4155212261282273E-2</v>
      </c>
      <c r="CP48" s="242">
        <f>CP45/CF45-1</f>
        <v>3.1478192224195789E-2</v>
      </c>
      <c r="CQ48" s="242">
        <f>CQ45/CG45-1</f>
        <v>2.200141944641576E-2</v>
      </c>
      <c r="CR48" s="242">
        <f>CR45/CH45-1</f>
        <v>3.9546919246167267E-2</v>
      </c>
      <c r="CS48" s="49"/>
      <c r="CT48" s="242">
        <f>CT45/CO45-1</f>
        <v>3.9026095060577859E-2</v>
      </c>
      <c r="CU48" s="242">
        <f>CU45/CP45-1</f>
        <v>1.9611594757485973E-2</v>
      </c>
      <c r="CV48" s="242">
        <f>CV45/CQ45-1</f>
        <v>2.7281746031746046E-2</v>
      </c>
      <c r="CW48" s="242">
        <f>CW45/CR45-1</f>
        <v>5.9177155739247311E-3</v>
      </c>
      <c r="CX48" s="49"/>
      <c r="CY48" s="242">
        <f>CY45/CT45-1</f>
        <v>-5.8302500280300595E-3</v>
      </c>
      <c r="CZ48" s="242">
        <f>CZ45/CU45-1</f>
        <v>-1.1540626759241834E-2</v>
      </c>
      <c r="DA48" s="242">
        <f>DA45/CV45-1</f>
        <v>8.498309995171649E-3</v>
      </c>
      <c r="DB48" s="242">
        <f>DB45/CW45-1</f>
        <v>7.3769726398356106E-3</v>
      </c>
      <c r="DC48" s="242"/>
      <c r="DD48" s="242">
        <f>DD45/CY45-1</f>
        <v>-3.0337205368219378E-2</v>
      </c>
      <c r="DE48" s="242">
        <f>DE45/CZ45-1</f>
        <v>-3.4076886568580878E-2</v>
      </c>
      <c r="DF48" s="242">
        <f>DF45/DA45-1</f>
        <v>-4.4431676721248814E-2</v>
      </c>
      <c r="DG48" s="242">
        <f>DG45/DB45-1</f>
        <v>-1.2143121987393313E-2</v>
      </c>
      <c r="DH48" s="391"/>
      <c r="DI48" s="242">
        <f>DI45/DD45-1</f>
        <v>6.9783670621070826E-4</v>
      </c>
      <c r="DJ48" s="242">
        <f>DJ45/DE45-1</f>
        <v>-3.0463836477987449E-3</v>
      </c>
      <c r="DK48" s="242">
        <f>DK45/DF45-1</f>
        <v>-5.6218057921635589E-2</v>
      </c>
      <c r="DL48" s="242">
        <f>DL45/DG45-1</f>
        <v>-0.16205311063150984</v>
      </c>
      <c r="DM48" s="391"/>
      <c r="DN48" s="242">
        <f>DN45/DI45-1</f>
        <v>-0.25662482566248268</v>
      </c>
      <c r="DO48" s="242">
        <f>DO45/DJ45-1</f>
        <v>-0.2547067520946279</v>
      </c>
      <c r="DP48" s="242">
        <f>DP45/DK45-1</f>
        <v>-0.21023571883627101</v>
      </c>
      <c r="DQ48" s="242">
        <f>DQ45/DL45-1</f>
        <v>-9.7984322508398614E-2</v>
      </c>
      <c r="DR48" s="242"/>
      <c r="DS48" s="242">
        <f>DS45/DN45-1</f>
        <v>5.519074421513448E-2</v>
      </c>
      <c r="DT48" s="242">
        <f>DT45/DO45-1</f>
        <v>5.3564343340827936E-2</v>
      </c>
      <c r="DU48" s="242">
        <f>DU45/DP45-1</f>
        <v>8.3893519763377444E-2</v>
      </c>
      <c r="DV48" s="242">
        <f>DV45/DQ45-1</f>
        <v>8.9822470515207975E-2</v>
      </c>
      <c r="DX48" s="862"/>
      <c r="DY48" s="862"/>
      <c r="DZ48" s="862"/>
      <c r="EA48" s="862"/>
      <c r="EB48" s="862"/>
      <c r="EH48" s="1048"/>
      <c r="EI48" s="1048"/>
      <c r="EJ48" s="1048"/>
      <c r="EK48" s="1048"/>
      <c r="EM48" s="1048"/>
      <c r="FL48" s="1048"/>
    </row>
    <row r="49" spans="1:168" ht="5.0999999999999996" customHeight="1">
      <c r="A49" s="379"/>
      <c r="B49" s="11"/>
      <c r="C49" s="11"/>
      <c r="D49" s="11"/>
      <c r="E49" s="11"/>
      <c r="F49" s="11"/>
      <c r="G49" s="11"/>
      <c r="H49" s="11"/>
      <c r="I49" s="11"/>
      <c r="J49" s="11"/>
      <c r="K49" s="11"/>
      <c r="L49" s="11"/>
      <c r="M49" s="11"/>
      <c r="N49" s="11"/>
      <c r="O49" s="11"/>
      <c r="P49" s="11"/>
      <c r="Q49" s="11"/>
      <c r="R49" s="11"/>
      <c r="S49" s="11"/>
      <c r="T49" s="11"/>
      <c r="U49" s="392"/>
      <c r="V49" s="11"/>
      <c r="W49" s="392"/>
      <c r="X49" s="392"/>
      <c r="Y49" s="11"/>
      <c r="Z49" s="11"/>
      <c r="AA49" s="11"/>
      <c r="AB49" s="392"/>
      <c r="AC49" s="11"/>
      <c r="AD49" s="11"/>
      <c r="AE49" s="11"/>
      <c r="AF49" s="1108"/>
      <c r="AG49" s="1108"/>
      <c r="AH49" s="1108"/>
      <c r="AI49" s="1108"/>
      <c r="AJ49" s="1108"/>
      <c r="AK49" s="1108"/>
      <c r="AL49" s="1108"/>
      <c r="AM49" s="1108"/>
      <c r="AN49" s="3016"/>
      <c r="AO49" s="3016"/>
      <c r="AP49" s="3016"/>
      <c r="AQ49" s="3016"/>
      <c r="AR49" s="3016"/>
      <c r="AS49" s="3016"/>
      <c r="AT49" s="3016"/>
      <c r="AU49" s="3016"/>
      <c r="AV49" s="3016"/>
      <c r="AW49" s="3016"/>
      <c r="AX49" s="3016"/>
      <c r="AY49" s="1109"/>
      <c r="AZ49" s="1109"/>
      <c r="BA49" s="1109"/>
      <c r="BB49" s="1109"/>
      <c r="BC49" s="1109"/>
      <c r="BD49" s="1109"/>
      <c r="BE49" s="1109"/>
      <c r="BF49" s="11"/>
      <c r="BG49" s="11"/>
      <c r="BH49" s="11"/>
      <c r="BI49" s="11"/>
      <c r="BJ49" s="11"/>
      <c r="BK49" s="11"/>
      <c r="BL49" s="11"/>
      <c r="BM49" s="11"/>
      <c r="BN49" s="11"/>
      <c r="BO49" s="11"/>
      <c r="BP49" s="54"/>
      <c r="BQ49" s="54"/>
      <c r="BR49" s="54"/>
      <c r="BS49" s="54"/>
      <c r="BT49" s="11"/>
      <c r="BU49" s="11"/>
      <c r="BV49" s="11"/>
      <c r="BW49" s="11"/>
      <c r="BX49" s="11"/>
      <c r="BY49" s="95"/>
      <c r="BZ49" s="304"/>
      <c r="CA49" s="11"/>
      <c r="CB49" s="11"/>
      <c r="CC49" s="11"/>
      <c r="CD49" s="377"/>
      <c r="CE49" s="11"/>
      <c r="CF49" s="11"/>
      <c r="CG49" s="11"/>
      <c r="CH49" s="11"/>
      <c r="CI49" s="53"/>
      <c r="CJ49" s="11"/>
      <c r="CK49" s="11"/>
      <c r="CL49" s="11"/>
      <c r="CM49" s="11"/>
      <c r="CN49" s="49"/>
      <c r="CO49" s="11"/>
      <c r="CP49" s="11"/>
      <c r="CQ49" s="11"/>
      <c r="CR49" s="11"/>
      <c r="CS49" s="49"/>
      <c r="CT49" s="11"/>
      <c r="CU49" s="242"/>
      <c r="CV49" s="242"/>
      <c r="CW49" s="242"/>
      <c r="CX49" s="49"/>
      <c r="CY49" s="391"/>
      <c r="CZ49" s="391"/>
      <c r="DA49" s="391"/>
      <c r="DB49" s="391"/>
      <c r="DC49" s="11"/>
      <c r="DD49" s="304"/>
      <c r="DE49" s="304"/>
      <c r="DF49" s="304"/>
      <c r="DG49" s="304"/>
      <c r="DH49" s="304"/>
      <c r="DI49" s="304"/>
      <c r="DJ49" s="304"/>
      <c r="DK49" s="304"/>
      <c r="DL49" s="304"/>
      <c r="DM49" s="304"/>
      <c r="DN49" s="11"/>
      <c r="DO49" s="11"/>
      <c r="DP49" s="11"/>
      <c r="DQ49" s="11"/>
      <c r="DR49" s="11"/>
      <c r="DX49" s="862"/>
      <c r="DY49" s="862"/>
      <c r="DZ49" s="862"/>
      <c r="EA49" s="862"/>
      <c r="EB49" s="862"/>
      <c r="EH49" s="1048"/>
      <c r="EI49" s="1048"/>
      <c r="EJ49" s="1048"/>
      <c r="EK49" s="1048"/>
      <c r="EM49" s="1048"/>
      <c r="FL49" s="1048"/>
    </row>
    <row r="50" spans="1:168">
      <c r="A50" s="389" t="s">
        <v>678</v>
      </c>
      <c r="B50" s="11"/>
      <c r="C50" s="11"/>
      <c r="D50" s="11"/>
      <c r="E50" s="11"/>
      <c r="F50" s="11"/>
      <c r="G50" s="11"/>
      <c r="H50" s="11"/>
      <c r="I50" s="11"/>
      <c r="J50" s="11"/>
      <c r="K50" s="11"/>
      <c r="L50" s="11"/>
      <c r="M50" s="11"/>
      <c r="N50" s="88"/>
      <c r="O50" s="11"/>
      <c r="P50" s="88"/>
      <c r="Q50" s="88"/>
      <c r="R50" s="88"/>
      <c r="S50" s="11"/>
      <c r="T50" s="88"/>
      <c r="U50" s="88"/>
      <c r="V50" s="88"/>
      <c r="W50" s="88"/>
      <c r="X50" s="88"/>
      <c r="Y50" s="11"/>
      <c r="Z50" s="11"/>
      <c r="AA50" s="11"/>
      <c r="AB50" s="39"/>
      <c r="AC50" s="39"/>
      <c r="AD50" s="854"/>
      <c r="AE50" s="854"/>
      <c r="AF50" s="1716"/>
      <c r="AG50" s="1716"/>
      <c r="AH50" s="1716"/>
      <c r="AI50" s="1716"/>
      <c r="AJ50" s="1716"/>
      <c r="AK50" s="1716"/>
      <c r="AL50" s="1716"/>
      <c r="AM50" s="1108"/>
      <c r="AN50" s="3016"/>
      <c r="AO50" s="3016"/>
      <c r="AP50" s="3016"/>
      <c r="AQ50" s="3016"/>
      <c r="AR50" s="3016"/>
      <c r="AS50" s="3016"/>
      <c r="AT50" s="3016"/>
      <c r="AU50" s="3016"/>
      <c r="AV50" s="3016"/>
      <c r="AW50" s="3016"/>
      <c r="AX50" s="3016"/>
      <c r="AY50" s="1109"/>
      <c r="AZ50" s="1109"/>
      <c r="BA50" s="1109"/>
      <c r="BB50" s="1109"/>
      <c r="BC50" s="1109"/>
      <c r="BD50" s="1109"/>
      <c r="BE50" s="1109"/>
      <c r="BF50" s="11"/>
      <c r="BG50" s="11"/>
      <c r="BH50" s="11"/>
      <c r="BI50" s="11"/>
      <c r="BJ50" s="11"/>
      <c r="BK50" s="393"/>
      <c r="BL50" s="393"/>
      <c r="BM50" s="393"/>
      <c r="BN50" s="393"/>
      <c r="BO50" s="11"/>
      <c r="BP50" s="88"/>
      <c r="BQ50" s="88"/>
      <c r="BR50" s="88"/>
      <c r="BS50" s="88"/>
      <c r="BT50" s="88"/>
      <c r="BU50" s="393">
        <f>BU51+BU52-BU54</f>
        <v>0</v>
      </c>
      <c r="BV50" s="393">
        <f>BV51+BV52-BV54</f>
        <v>0</v>
      </c>
      <c r="BW50" s="393">
        <f>BW51+BW52-BW54</f>
        <v>0</v>
      </c>
      <c r="BX50" s="393">
        <f>BX51+BX52-BX54</f>
        <v>0</v>
      </c>
      <c r="BY50" s="95"/>
      <c r="BZ50" s="88"/>
      <c r="CA50" s="88"/>
      <c r="CB50" s="88"/>
      <c r="CC50" s="88"/>
      <c r="CD50" s="377"/>
      <c r="CE50" s="39"/>
      <c r="CF50" s="39"/>
      <c r="CG50" s="39"/>
      <c r="CH50" s="39"/>
      <c r="CI50" s="53"/>
      <c r="CJ50" s="11"/>
      <c r="CK50" s="11"/>
      <c r="CL50" s="11"/>
      <c r="CM50" s="11"/>
      <c r="CN50" s="11"/>
      <c r="CO50" s="11"/>
      <c r="CP50" s="11"/>
      <c r="CQ50" s="11"/>
      <c r="CR50" s="11"/>
      <c r="CS50" s="11"/>
      <c r="CT50" s="11"/>
      <c r="CU50" s="11"/>
      <c r="CV50" s="11"/>
      <c r="CW50" s="11"/>
      <c r="CX50" s="765"/>
      <c r="CY50" s="49"/>
      <c r="CZ50" s="49"/>
      <c r="DA50" s="304"/>
      <c r="DB50" s="304"/>
      <c r="DC50" s="11"/>
      <c r="DD50" s="304"/>
      <c r="DE50" s="304"/>
      <c r="DF50" s="304"/>
      <c r="DG50" s="304"/>
      <c r="DH50" s="304"/>
      <c r="DI50" s="304"/>
      <c r="DJ50" s="304"/>
      <c r="DK50" s="304"/>
      <c r="DL50" s="304"/>
      <c r="DM50" s="304"/>
      <c r="DN50" s="11"/>
      <c r="DO50" s="11"/>
      <c r="DP50" s="11"/>
      <c r="DQ50" s="11"/>
      <c r="DR50" s="11"/>
      <c r="DX50" s="862"/>
      <c r="DY50" s="862"/>
      <c r="DZ50" s="862"/>
      <c r="EA50" s="862"/>
      <c r="EB50" s="862"/>
      <c r="EH50" s="1048"/>
      <c r="EI50" s="1048"/>
      <c r="EJ50" s="1048"/>
      <c r="EK50" s="1048"/>
      <c r="EM50" s="1048"/>
      <c r="FL50" s="1048"/>
    </row>
    <row r="51" spans="1:168">
      <c r="A51" s="390" t="s">
        <v>1054</v>
      </c>
      <c r="B51" s="14"/>
      <c r="C51" s="14">
        <v>709</v>
      </c>
      <c r="D51" s="14">
        <v>34</v>
      </c>
      <c r="E51" s="14">
        <v>743</v>
      </c>
      <c r="F51" s="14">
        <f>E51</f>
        <v>743</v>
      </c>
      <c r="G51" s="14"/>
      <c r="H51" s="14"/>
      <c r="I51" s="14">
        <v>918</v>
      </c>
      <c r="J51" s="14">
        <v>47</v>
      </c>
      <c r="K51" s="14">
        <v>965</v>
      </c>
      <c r="L51" s="14">
        <f>K51</f>
        <v>965</v>
      </c>
      <c r="M51" s="39"/>
      <c r="N51" s="14">
        <v>1178.0820205</v>
      </c>
      <c r="O51" s="14">
        <f>N51</f>
        <v>1178.0820205</v>
      </c>
      <c r="P51" s="14">
        <v>1030.7756077839556</v>
      </c>
      <c r="Q51" s="14">
        <v>0</v>
      </c>
      <c r="R51" s="14">
        <f>SUM(BU51:BX51)</f>
        <v>1042.7610649999999</v>
      </c>
      <c r="S51" s="14">
        <f>R51</f>
        <v>1042.7610649999999</v>
      </c>
      <c r="T51" s="14">
        <f>SUM(BZ51:CC51)</f>
        <v>1038.4000000000001</v>
      </c>
      <c r="U51" s="14">
        <v>1002.2</v>
      </c>
      <c r="V51" s="14"/>
      <c r="W51" s="14"/>
      <c r="X51" s="14">
        <f>SUM(CO51:CR51)</f>
        <v>948.2</v>
      </c>
      <c r="Y51" s="14">
        <f t="shared" ref="Y51:Z53" si="51">T51</f>
        <v>1038.4000000000001</v>
      </c>
      <c r="Z51" s="14">
        <f t="shared" si="51"/>
        <v>1002.2</v>
      </c>
      <c r="AA51" s="14">
        <f>X51</f>
        <v>948.2</v>
      </c>
      <c r="AB51" s="129">
        <v>925.00000000000023</v>
      </c>
      <c r="AC51" s="129">
        <v>820</v>
      </c>
      <c r="AD51" s="129">
        <v>685.29999999999973</v>
      </c>
      <c r="AE51" s="129">
        <v>553.30000000000018</v>
      </c>
      <c r="AF51" s="1437">
        <v>326.92365782972217</v>
      </c>
      <c r="AG51" s="1437">
        <v>442.66661051406254</v>
      </c>
      <c r="AH51" s="1922">
        <f>+Drivers!K153</f>
        <v>423.36</v>
      </c>
      <c r="AI51" s="1922">
        <f>+Drivers!L153</f>
        <v>432.72</v>
      </c>
      <c r="AJ51" s="1922">
        <f>+Drivers!M153</f>
        <v>427.38000000000005</v>
      </c>
      <c r="AK51" s="1922">
        <f>+Drivers!N153</f>
        <v>409.91</v>
      </c>
      <c r="AL51" s="1922">
        <f>+Drivers!Q153</f>
        <v>306.5</v>
      </c>
      <c r="AM51" s="1922">
        <f>+Drivers!R153</f>
        <v>326</v>
      </c>
      <c r="AN51" s="3011">
        <f>+Drivers!T153</f>
        <v>0</v>
      </c>
      <c r="AO51" s="3011">
        <f>+Drivers!U153</f>
        <v>0</v>
      </c>
      <c r="AP51" s="3011">
        <f>+Drivers!V153</f>
        <v>0</v>
      </c>
      <c r="AQ51" s="3011">
        <f>+Drivers!W153</f>
        <v>0</v>
      </c>
      <c r="AR51" s="3011">
        <f>+Drivers!X153</f>
        <v>0</v>
      </c>
      <c r="AS51" s="3011">
        <f>+Drivers!Y153</f>
        <v>0</v>
      </c>
      <c r="AT51" s="3011">
        <f>+Drivers!Z153</f>
        <v>0</v>
      </c>
      <c r="AU51" s="3011">
        <f>+Drivers!AA153</f>
        <v>0</v>
      </c>
      <c r="AV51" s="3011">
        <f>+Drivers!AB153</f>
        <v>0</v>
      </c>
      <c r="AW51" s="3011">
        <f>+Drivers!AC153</f>
        <v>0</v>
      </c>
      <c r="AX51" s="3011">
        <f>+Drivers!AD153</f>
        <v>0</v>
      </c>
      <c r="AY51" s="2153"/>
      <c r="AZ51" s="2153"/>
      <c r="BA51" s="2153"/>
      <c r="BB51" s="2153"/>
      <c r="BC51" s="2153"/>
      <c r="BD51" s="2153"/>
      <c r="BE51" s="1373"/>
      <c r="BF51" s="77">
        <v>153</v>
      </c>
      <c r="BG51" s="77">
        <v>234.1</v>
      </c>
      <c r="BH51" s="77">
        <v>247.29</v>
      </c>
      <c r="BI51" s="77">
        <v>283.17500000000001</v>
      </c>
      <c r="BJ51" s="77"/>
      <c r="BK51" s="77">
        <v>212.273</v>
      </c>
      <c r="BL51" s="77">
        <v>292.24065000000002</v>
      </c>
      <c r="BM51" s="77">
        <v>290.04292430000021</v>
      </c>
      <c r="BN51" s="14">
        <f>+N51-SUM(BK51:BM51)</f>
        <v>383.52544619999981</v>
      </c>
      <c r="BO51" s="14"/>
      <c r="BP51" s="77">
        <f>BP42*0.45</f>
        <v>222.84719999999999</v>
      </c>
      <c r="BQ51" s="77">
        <f>BQ42*0.52</f>
        <v>306.03544399999998</v>
      </c>
      <c r="BR51" s="77">
        <f>BR42*0.54</f>
        <v>318.06</v>
      </c>
      <c r="BS51" s="77">
        <f>BS42*0.54</f>
        <v>332.1</v>
      </c>
      <c r="BT51" s="14"/>
      <c r="BU51" s="14">
        <v>216.53131500000001</v>
      </c>
      <c r="BV51" s="14">
        <v>291.92435999999998</v>
      </c>
      <c r="BW51" s="14">
        <v>259.46038999999996</v>
      </c>
      <c r="BX51" s="14">
        <v>274.84500000000003</v>
      </c>
      <c r="BY51" s="95"/>
      <c r="BZ51" s="77">
        <v>197.5</v>
      </c>
      <c r="CA51" s="77">
        <v>287.10000000000002</v>
      </c>
      <c r="CB51" s="77">
        <v>266.39999999999998</v>
      </c>
      <c r="CC51" s="77">
        <v>287.39999999999998</v>
      </c>
      <c r="CD51" s="377"/>
      <c r="CE51" s="77">
        <v>197.5</v>
      </c>
      <c r="CF51" s="77">
        <v>273</v>
      </c>
      <c r="CG51" s="77">
        <v>272.8</v>
      </c>
      <c r="CH51" s="77">
        <v>259.10000000000002</v>
      </c>
      <c r="CI51" s="53"/>
      <c r="CJ51" s="77">
        <v>206.5</v>
      </c>
      <c r="CK51" s="77">
        <v>275</v>
      </c>
      <c r="CL51" s="77">
        <v>228.7</v>
      </c>
      <c r="CM51" s="77">
        <v>238</v>
      </c>
      <c r="CN51" s="49">
        <f>+X51-SUM(CJ51:CM51)</f>
        <v>0</v>
      </c>
      <c r="CO51" s="14">
        <f t="shared" ref="CO51:CQ52" si="52">CJ51</f>
        <v>206.5</v>
      </c>
      <c r="CP51" s="14">
        <f t="shared" si="52"/>
        <v>275</v>
      </c>
      <c r="CQ51" s="14">
        <f t="shared" si="52"/>
        <v>228.7</v>
      </c>
      <c r="CR51" s="14">
        <f>CM51</f>
        <v>238</v>
      </c>
      <c r="CS51" s="49">
        <f>+AA51-SUM(CO51:CR51)</f>
        <v>0</v>
      </c>
      <c r="CT51" s="129">
        <v>197.2</v>
      </c>
      <c r="CU51" s="129">
        <v>280.5</v>
      </c>
      <c r="CV51" s="129">
        <v>232.6</v>
      </c>
      <c r="CW51" s="129">
        <v>214.7</v>
      </c>
      <c r="CX51" s="49">
        <f>AB51-SUM(CT51:CW51)</f>
        <v>0</v>
      </c>
      <c r="CY51" s="129">
        <v>170.6</v>
      </c>
      <c r="CZ51" s="129">
        <v>227.9</v>
      </c>
      <c r="DA51" s="129">
        <v>210.2</v>
      </c>
      <c r="DB51" s="129">
        <v>211.3</v>
      </c>
      <c r="DC51" s="871">
        <f>AC51-SUM(CY51:DB51)</f>
        <v>0</v>
      </c>
      <c r="DD51" s="129">
        <v>161</v>
      </c>
      <c r="DE51" s="129">
        <v>187.3</v>
      </c>
      <c r="DF51" s="129">
        <v>169.6</v>
      </c>
      <c r="DG51" s="129">
        <v>167.4</v>
      </c>
      <c r="DH51" s="357">
        <f>AD51-SUM(DD51:DG51)</f>
        <v>0</v>
      </c>
      <c r="DI51" s="129">
        <v>132.30000000000001</v>
      </c>
      <c r="DJ51" s="129">
        <v>158.6</v>
      </c>
      <c r="DK51" s="129">
        <v>139.6</v>
      </c>
      <c r="DL51" s="129">
        <v>122.8</v>
      </c>
      <c r="DM51" s="357">
        <f>AE51-SUM(DI51:DL51)</f>
        <v>0</v>
      </c>
      <c r="DN51" s="129">
        <v>52.2</v>
      </c>
      <c r="DO51" s="129">
        <v>95.3</v>
      </c>
      <c r="DP51" s="129">
        <v>93.1</v>
      </c>
      <c r="DQ51" s="129">
        <v>86.323657829722094</v>
      </c>
      <c r="DR51" s="538">
        <f>AF51-SUM(DN51:DQ51)</f>
        <v>0</v>
      </c>
      <c r="DS51" s="129">
        <v>79.349999999999994</v>
      </c>
      <c r="DT51" s="14">
        <f>Drivers!BR153</f>
        <v>122.66800000000003</v>
      </c>
      <c r="DU51" s="14">
        <f>Drivers!BS153</f>
        <v>116.18400000000003</v>
      </c>
      <c r="DV51" s="14">
        <f>Drivers!BT153</f>
        <v>124.46461051406266</v>
      </c>
      <c r="DW51" s="538">
        <f>AG51-SUM(DS51:DV51)</f>
        <v>0</v>
      </c>
      <c r="DX51" s="862"/>
      <c r="DY51" s="862"/>
      <c r="DZ51" s="862"/>
      <c r="EA51" s="862"/>
      <c r="EB51" s="862"/>
      <c r="EH51" s="1048"/>
      <c r="EI51" s="1048"/>
      <c r="EJ51" s="1048"/>
      <c r="EK51" s="1048"/>
      <c r="EM51" s="1048"/>
      <c r="FL51" s="1048"/>
    </row>
    <row r="52" spans="1:168">
      <c r="A52" s="390" t="s">
        <v>1055</v>
      </c>
      <c r="B52" s="14"/>
      <c r="C52" s="14">
        <v>96</v>
      </c>
      <c r="D52" s="14">
        <v>425</v>
      </c>
      <c r="E52" s="14">
        <v>521</v>
      </c>
      <c r="F52" s="14">
        <f>E52</f>
        <v>521</v>
      </c>
      <c r="G52" s="14"/>
      <c r="H52" s="14"/>
      <c r="I52" s="14">
        <v>149</v>
      </c>
      <c r="J52" s="14">
        <v>391.5</v>
      </c>
      <c r="K52" s="14">
        <v>540.5</v>
      </c>
      <c r="L52" s="14">
        <f>K52</f>
        <v>540.5</v>
      </c>
      <c r="M52" s="39"/>
      <c r="N52" s="14">
        <v>559.11797949999982</v>
      </c>
      <c r="O52" s="14">
        <f>N52</f>
        <v>559.11797949999982</v>
      </c>
      <c r="P52" s="14">
        <v>486.88430173508425</v>
      </c>
      <c r="Q52" s="14">
        <v>0</v>
      </c>
      <c r="R52" s="14">
        <f>SUM(BU52:BX52)</f>
        <v>473.43893500000007</v>
      </c>
      <c r="S52" s="14">
        <f>R52</f>
        <v>473.43893500000007</v>
      </c>
      <c r="T52" s="14">
        <f>SUM(BZ52:CC52)</f>
        <v>423.6</v>
      </c>
      <c r="U52" s="14">
        <v>423.8</v>
      </c>
      <c r="V52" s="14"/>
      <c r="W52" s="14"/>
      <c r="X52" s="14">
        <f>SUM(CO52:CR52)</f>
        <v>453.9</v>
      </c>
      <c r="Y52" s="14">
        <f t="shared" si="51"/>
        <v>423.6</v>
      </c>
      <c r="Z52" s="14">
        <f t="shared" si="51"/>
        <v>423.8</v>
      </c>
      <c r="AA52" s="14">
        <f>X52</f>
        <v>453.9</v>
      </c>
      <c r="AB52" s="129">
        <v>469.9</v>
      </c>
      <c r="AC52" s="129">
        <v>568</v>
      </c>
      <c r="AD52" s="129">
        <v>620.9</v>
      </c>
      <c r="AE52" s="129">
        <v>474.70000000000005</v>
      </c>
      <c r="AF52" s="1922">
        <v>184.4</v>
      </c>
      <c r="AG52" s="1922">
        <v>288.59999999999991</v>
      </c>
      <c r="AH52" s="1437">
        <v>380</v>
      </c>
      <c r="AI52" s="1922">
        <v>378</v>
      </c>
      <c r="AJ52" s="1922">
        <v>411</v>
      </c>
      <c r="AK52" s="1922">
        <f>+Drivers!N161</f>
        <v>0</v>
      </c>
      <c r="AL52" s="1379">
        <v>0</v>
      </c>
      <c r="AM52" s="1379">
        <v>0</v>
      </c>
      <c r="AN52" s="3012">
        <v>0</v>
      </c>
      <c r="AO52" s="3012">
        <v>0</v>
      </c>
      <c r="AP52" s="3012">
        <v>0</v>
      </c>
      <c r="AQ52" s="3012">
        <v>0</v>
      </c>
      <c r="AR52" s="3012">
        <v>0</v>
      </c>
      <c r="AS52" s="3012">
        <v>0</v>
      </c>
      <c r="AT52" s="3012">
        <v>0</v>
      </c>
      <c r="AU52" s="3012">
        <v>0</v>
      </c>
      <c r="AV52" s="3012">
        <v>0</v>
      </c>
      <c r="AW52" s="3012">
        <v>0</v>
      </c>
      <c r="AX52" s="3012">
        <v>0</v>
      </c>
      <c r="AY52" s="2153"/>
      <c r="AZ52" s="2153"/>
      <c r="BA52" s="2153"/>
      <c r="BB52" s="2153"/>
      <c r="BC52" s="2153"/>
      <c r="BD52" s="2153"/>
      <c r="BE52" s="1372"/>
      <c r="BF52" s="77">
        <v>106.9</v>
      </c>
      <c r="BG52" s="77">
        <v>164.4</v>
      </c>
      <c r="BH52" s="77">
        <v>154.91</v>
      </c>
      <c r="BI52" s="77">
        <v>161.72499999999999</v>
      </c>
      <c r="BJ52" s="77"/>
      <c r="BK52" s="167">
        <f>+BK54-BK51</f>
        <v>123.82700000000003</v>
      </c>
      <c r="BL52" s="167">
        <f>+BL54-BL51</f>
        <v>168.55934999999999</v>
      </c>
      <c r="BM52" s="167">
        <f>+BM54-BM51</f>
        <v>167.05707569999981</v>
      </c>
      <c r="BN52" s="167">
        <f>+BN54-BN51</f>
        <v>99.674553800000183</v>
      </c>
      <c r="BO52" s="77"/>
      <c r="BP52" s="167">
        <f>BP54-BP51</f>
        <v>113.25280000000004</v>
      </c>
      <c r="BQ52" s="167">
        <f>BQ54-BQ51</f>
        <v>154.76455600000003</v>
      </c>
      <c r="BR52" s="14">
        <v>137.9</v>
      </c>
      <c r="BS52" s="14">
        <v>125.6</v>
      </c>
      <c r="BT52" s="14"/>
      <c r="BU52" s="14">
        <v>105.268685</v>
      </c>
      <c r="BV52" s="14">
        <v>144.37564000000003</v>
      </c>
      <c r="BW52" s="14">
        <v>113.63961000000006</v>
      </c>
      <c r="BX52" s="14">
        <v>110.15499999999997</v>
      </c>
      <c r="BY52" s="95"/>
      <c r="BZ52" s="77">
        <v>76.5</v>
      </c>
      <c r="CA52" s="77">
        <v>122.1</v>
      </c>
      <c r="CB52" s="77">
        <v>114.2</v>
      </c>
      <c r="CC52" s="77">
        <v>110.8</v>
      </c>
      <c r="CD52" s="377"/>
      <c r="CE52" s="77">
        <v>77.599999999999994</v>
      </c>
      <c r="CF52" s="77">
        <v>133</v>
      </c>
      <c r="CG52" s="77">
        <v>98.4</v>
      </c>
      <c r="CH52" s="77">
        <v>114.8</v>
      </c>
      <c r="CI52" s="53"/>
      <c r="CJ52" s="77">
        <v>68</v>
      </c>
      <c r="CK52" s="77">
        <v>134.1</v>
      </c>
      <c r="CL52" s="77">
        <v>114.4</v>
      </c>
      <c r="CM52" s="77">
        <v>137.4</v>
      </c>
      <c r="CN52" s="49">
        <f>+X52-SUM(CJ52:CM52)</f>
        <v>0</v>
      </c>
      <c r="CO52" s="14">
        <f t="shared" si="52"/>
        <v>68</v>
      </c>
      <c r="CP52" s="14">
        <f t="shared" si="52"/>
        <v>134.1</v>
      </c>
      <c r="CQ52" s="14">
        <f t="shared" si="52"/>
        <v>114.4</v>
      </c>
      <c r="CR52" s="14">
        <f>CM52</f>
        <v>137.4</v>
      </c>
      <c r="CS52" s="49">
        <f>+AA52-SUM(CO52:CR52)</f>
        <v>0</v>
      </c>
      <c r="CT52" s="129">
        <v>69.3</v>
      </c>
      <c r="CU52" s="129">
        <v>134.9</v>
      </c>
      <c r="CV52" s="129">
        <v>118.2</v>
      </c>
      <c r="CW52" s="129">
        <v>147.5</v>
      </c>
      <c r="CX52" s="49">
        <f>AB52-SUM(CT52:CW52)</f>
        <v>0</v>
      </c>
      <c r="CY52" s="129">
        <v>99.1</v>
      </c>
      <c r="CZ52" s="129">
        <v>160</v>
      </c>
      <c r="DA52" s="129">
        <v>142.1</v>
      </c>
      <c r="DB52" s="129">
        <v>166.8</v>
      </c>
      <c r="DC52" s="871">
        <f>AC52-SUM(CY52:DB52)</f>
        <v>0</v>
      </c>
      <c r="DD52" s="129">
        <v>100.2</v>
      </c>
      <c r="DE52" s="129">
        <v>168.3</v>
      </c>
      <c r="DF52" s="129">
        <v>153.5</v>
      </c>
      <c r="DG52" s="129">
        <v>198.9</v>
      </c>
      <c r="DH52" s="357">
        <f>AD52-SUM(DD52:DG52)</f>
        <v>0</v>
      </c>
      <c r="DI52" s="129">
        <v>101.5</v>
      </c>
      <c r="DJ52" s="129">
        <v>156.19999999999999</v>
      </c>
      <c r="DK52" s="129">
        <v>118.60000000000001</v>
      </c>
      <c r="DL52" s="129">
        <v>98.4</v>
      </c>
      <c r="DM52" s="357">
        <f>AE52-SUM(DI52:DL52)</f>
        <v>0</v>
      </c>
      <c r="DN52" s="129">
        <v>25.1</v>
      </c>
      <c r="DO52" s="129">
        <v>44.7</v>
      </c>
      <c r="DP52" s="129">
        <v>32.6</v>
      </c>
      <c r="DQ52" s="129">
        <v>82</v>
      </c>
      <c r="DR52" s="538">
        <f>AF52-SUM(DN52:DQ52)</f>
        <v>0</v>
      </c>
      <c r="DS52" s="129">
        <v>32.200000000000003</v>
      </c>
      <c r="DT52" s="14">
        <f>Drivers!BR161</f>
        <v>78.7</v>
      </c>
      <c r="DU52" s="14">
        <f>Drivers!BS161</f>
        <v>76.900000000000006</v>
      </c>
      <c r="DV52" s="14">
        <f>Drivers!BT161</f>
        <v>100.8</v>
      </c>
      <c r="DW52" s="538">
        <f>AG52-SUM(DS52:DV52)</f>
        <v>0</v>
      </c>
      <c r="DX52" s="862"/>
      <c r="DY52" s="862"/>
      <c r="DZ52" s="862"/>
      <c r="EA52" s="862"/>
      <c r="EB52" s="862"/>
      <c r="EH52" s="1048"/>
      <c r="EI52" s="1048"/>
      <c r="EJ52" s="1048"/>
      <c r="EK52" s="1048"/>
      <c r="EM52" s="1048"/>
      <c r="FL52" s="1048"/>
    </row>
    <row r="53" spans="1:168">
      <c r="A53" s="390" t="s">
        <v>677</v>
      </c>
      <c r="B53" s="14"/>
      <c r="C53" s="14">
        <v>-7</v>
      </c>
      <c r="D53" s="14">
        <v>7</v>
      </c>
      <c r="E53" s="14">
        <v>0</v>
      </c>
      <c r="F53" s="14">
        <f>E53</f>
        <v>0</v>
      </c>
      <c r="G53" s="14"/>
      <c r="H53" s="14"/>
      <c r="I53" s="14">
        <v>0</v>
      </c>
      <c r="J53" s="14">
        <v>0</v>
      </c>
      <c r="K53" s="14">
        <v>0</v>
      </c>
      <c r="L53" s="14">
        <f>K53</f>
        <v>0</v>
      </c>
      <c r="M53" s="14"/>
      <c r="N53" s="14">
        <v>0</v>
      </c>
      <c r="O53" s="14">
        <f>N53</f>
        <v>0</v>
      </c>
      <c r="P53" s="14">
        <v>0</v>
      </c>
      <c r="Q53" s="14">
        <v>0</v>
      </c>
      <c r="R53" s="14">
        <v>0</v>
      </c>
      <c r="S53" s="14">
        <f>R53</f>
        <v>0</v>
      </c>
      <c r="T53" s="14">
        <v>0</v>
      </c>
      <c r="U53" s="14">
        <v>0</v>
      </c>
      <c r="V53" s="14"/>
      <c r="W53" s="39"/>
      <c r="X53" s="14">
        <v>0</v>
      </c>
      <c r="Y53" s="14">
        <f t="shared" si="51"/>
        <v>0</v>
      </c>
      <c r="Z53" s="14">
        <f t="shared" si="51"/>
        <v>0</v>
      </c>
      <c r="AA53" s="14">
        <f>V53</f>
        <v>0</v>
      </c>
      <c r="AB53" s="14">
        <v>0</v>
      </c>
      <c r="AC53" s="14">
        <v>0</v>
      </c>
      <c r="AD53" s="14">
        <v>0</v>
      </c>
      <c r="AE53" s="14">
        <v>0</v>
      </c>
      <c r="AF53" s="1357">
        <v>0</v>
      </c>
      <c r="AG53" s="1357">
        <v>0</v>
      </c>
      <c r="AH53" s="1357">
        <v>0</v>
      </c>
      <c r="AI53" s="1357">
        <v>0</v>
      </c>
      <c r="AJ53" s="1357">
        <v>0</v>
      </c>
      <c r="AK53" s="1357">
        <v>0</v>
      </c>
      <c r="AL53" s="1357">
        <v>0</v>
      </c>
      <c r="AM53" s="1357">
        <v>0</v>
      </c>
      <c r="AN53" s="3013">
        <v>0</v>
      </c>
      <c r="AO53" s="3013">
        <v>0</v>
      </c>
      <c r="AP53" s="3013">
        <v>0</v>
      </c>
      <c r="AQ53" s="3013">
        <v>0</v>
      </c>
      <c r="AR53" s="3013">
        <v>0</v>
      </c>
      <c r="AS53" s="3013">
        <v>0</v>
      </c>
      <c r="AT53" s="3013">
        <v>0</v>
      </c>
      <c r="AU53" s="3013">
        <v>0</v>
      </c>
      <c r="AV53" s="3013">
        <v>0</v>
      </c>
      <c r="AW53" s="3013">
        <v>0</v>
      </c>
      <c r="AX53" s="3013">
        <v>0</v>
      </c>
      <c r="AY53" s="1373"/>
      <c r="AZ53" s="1373"/>
      <c r="BA53" s="1373"/>
      <c r="BB53" s="1373"/>
      <c r="BC53" s="1373"/>
      <c r="BD53" s="1373"/>
      <c r="BE53" s="1373"/>
      <c r="BF53" s="14">
        <v>0</v>
      </c>
      <c r="BG53" s="14">
        <v>0</v>
      </c>
      <c r="BH53" s="14">
        <v>0</v>
      </c>
      <c r="BI53" s="14">
        <v>0</v>
      </c>
      <c r="BJ53" s="14"/>
      <c r="BK53" s="14">
        <f>+BK54-SUM(BK51:BK52)</f>
        <v>0</v>
      </c>
      <c r="BL53" s="14">
        <f>+BL54-SUM(BL51:BL52)</f>
        <v>0</v>
      </c>
      <c r="BM53" s="14">
        <f>+BM54-SUM(BM51:BM52)</f>
        <v>0</v>
      </c>
      <c r="BN53" s="14">
        <f>+BN54-SUM(BN51:BN52)</f>
        <v>0</v>
      </c>
      <c r="BO53" s="14"/>
      <c r="BP53" s="14">
        <f>+BK53</f>
        <v>0</v>
      </c>
      <c r="BQ53" s="14">
        <f>+BL53</f>
        <v>0</v>
      </c>
      <c r="BR53" s="14">
        <f>+BM53</f>
        <v>0</v>
      </c>
      <c r="BS53" s="14">
        <f>+BN53</f>
        <v>0</v>
      </c>
      <c r="BT53" s="14"/>
      <c r="BU53" s="14"/>
      <c r="BV53" s="14"/>
      <c r="BW53" s="14"/>
      <c r="BX53" s="14"/>
      <c r="BY53" s="95"/>
      <c r="BZ53" s="14"/>
      <c r="CA53" s="14"/>
      <c r="CB53" s="14"/>
      <c r="CC53" s="14"/>
      <c r="CD53" s="377"/>
      <c r="CE53" s="14"/>
      <c r="CF53" s="14"/>
      <c r="CG53" s="14"/>
      <c r="CH53" s="14"/>
      <c r="CI53" s="53"/>
      <c r="CJ53" s="39"/>
      <c r="CK53" s="39"/>
      <c r="CL53" s="39"/>
      <c r="CM53" s="39"/>
      <c r="CN53" s="39"/>
      <c r="CO53" s="39"/>
      <c r="CP53" s="39"/>
      <c r="CQ53" s="39"/>
      <c r="CR53" s="39"/>
      <c r="CS53" s="39"/>
      <c r="CT53" s="14">
        <v>0</v>
      </c>
      <c r="CU53" s="14">
        <v>0</v>
      </c>
      <c r="CV53" s="14">
        <v>0</v>
      </c>
      <c r="CW53" s="14">
        <v>0</v>
      </c>
      <c r="CX53" s="49">
        <f>AB53-SUM(CT53:CW53)</f>
        <v>0</v>
      </c>
      <c r="CY53" s="14">
        <v>0</v>
      </c>
      <c r="CZ53" s="14">
        <v>0</v>
      </c>
      <c r="DA53" s="14">
        <v>0</v>
      </c>
      <c r="DB53" s="14">
        <v>0</v>
      </c>
      <c r="DC53" s="871">
        <f>AC53-SUM(CY53:DB53)</f>
        <v>0</v>
      </c>
      <c r="DD53" s="14">
        <v>0</v>
      </c>
      <c r="DE53" s="14">
        <v>0</v>
      </c>
      <c r="DF53" s="14">
        <v>0</v>
      </c>
      <c r="DG53" s="14">
        <v>0</v>
      </c>
      <c r="DH53" s="357">
        <f>AD53-SUM(DD53:DG53)</f>
        <v>0</v>
      </c>
      <c r="DI53" s="14">
        <v>0</v>
      </c>
      <c r="DJ53" s="14">
        <v>0</v>
      </c>
      <c r="DK53" s="14">
        <v>0</v>
      </c>
      <c r="DL53" s="14">
        <v>0</v>
      </c>
      <c r="DM53" s="357">
        <f>AE53-SUM(DI53:DL53)</f>
        <v>0</v>
      </c>
      <c r="DN53" s="14">
        <v>0</v>
      </c>
      <c r="DO53" s="14">
        <v>0</v>
      </c>
      <c r="DP53" s="14">
        <v>0</v>
      </c>
      <c r="DQ53" s="14">
        <v>0</v>
      </c>
      <c r="DR53" s="538">
        <f>AF53-SUM(DN53:DQ53)</f>
        <v>0</v>
      </c>
      <c r="DS53" s="14">
        <v>0</v>
      </c>
      <c r="DT53" s="14">
        <v>0</v>
      </c>
      <c r="DU53" s="14">
        <v>0</v>
      </c>
      <c r="DV53" s="14">
        <v>0</v>
      </c>
      <c r="DW53" s="538">
        <f>AG53-SUM(DS53:DV53)</f>
        <v>0</v>
      </c>
      <c r="DX53" s="862"/>
      <c r="DY53" s="862"/>
      <c r="DZ53" s="862"/>
      <c r="EA53" s="862"/>
      <c r="EB53" s="862"/>
      <c r="EH53" s="1048"/>
      <c r="EI53" s="1048"/>
      <c r="EJ53" s="1048"/>
      <c r="EK53" s="1048"/>
      <c r="EM53" s="1048"/>
      <c r="FL53" s="1048"/>
    </row>
    <row r="54" spans="1:168">
      <c r="A54" s="390" t="s">
        <v>679</v>
      </c>
      <c r="B54" s="14"/>
      <c r="C54" s="14">
        <v>798</v>
      </c>
      <c r="D54" s="14"/>
      <c r="E54" s="14">
        <v>1264</v>
      </c>
      <c r="F54" s="14">
        <f>+F52+F51</f>
        <v>1264</v>
      </c>
      <c r="G54" s="14"/>
      <c r="H54" s="14"/>
      <c r="I54" s="14">
        <v>1067</v>
      </c>
      <c r="J54" s="14"/>
      <c r="K54" s="14">
        <v>1505.5</v>
      </c>
      <c r="L54" s="14">
        <f>+L52+L51</f>
        <v>1505.5</v>
      </c>
      <c r="M54" s="14">
        <v>1794.1</v>
      </c>
      <c r="N54" s="14">
        <f>+N52+N51</f>
        <v>1737.1999999999998</v>
      </c>
      <c r="O54" s="14">
        <f>+O52+O51</f>
        <v>1737.1999999999998</v>
      </c>
      <c r="P54" s="14">
        <f>+P52+P51</f>
        <v>1517.65990951904</v>
      </c>
      <c r="Q54" s="14">
        <v>0</v>
      </c>
      <c r="R54" s="14">
        <f>+R52+R51</f>
        <v>1516.2</v>
      </c>
      <c r="S54" s="14">
        <f>+S52+S51</f>
        <v>1516.2</v>
      </c>
      <c r="T54" s="14">
        <f>+T51+T52</f>
        <v>1462</v>
      </c>
      <c r="U54" s="14">
        <f>+U52+U51</f>
        <v>1426</v>
      </c>
      <c r="V54" s="14"/>
      <c r="W54" s="14"/>
      <c r="X54" s="14">
        <f t="shared" ref="X54:AO54" si="53">+X52+X51</f>
        <v>1402.1</v>
      </c>
      <c r="Y54" s="14">
        <f t="shared" si="53"/>
        <v>1462</v>
      </c>
      <c r="Z54" s="14">
        <f t="shared" si="53"/>
        <v>1426</v>
      </c>
      <c r="AA54" s="14">
        <f t="shared" si="53"/>
        <v>1402.1</v>
      </c>
      <c r="AB54" s="14">
        <f t="shared" si="53"/>
        <v>1394.9</v>
      </c>
      <c r="AC54" s="14">
        <f t="shared" si="53"/>
        <v>1388</v>
      </c>
      <c r="AD54" s="14">
        <f t="shared" si="53"/>
        <v>1306.1999999999998</v>
      </c>
      <c r="AE54" s="14">
        <f t="shared" si="53"/>
        <v>1028.0000000000002</v>
      </c>
      <c r="AF54" s="1357">
        <f t="shared" si="53"/>
        <v>511.32365782972215</v>
      </c>
      <c r="AG54" s="1357">
        <f t="shared" si="53"/>
        <v>731.26661051406245</v>
      </c>
      <c r="AH54" s="1357">
        <f t="shared" si="53"/>
        <v>803.36</v>
      </c>
      <c r="AI54" s="1357">
        <f t="shared" si="53"/>
        <v>810.72</v>
      </c>
      <c r="AJ54" s="1357">
        <f t="shared" si="53"/>
        <v>838.38000000000011</v>
      </c>
      <c r="AK54" s="1357">
        <f t="shared" si="53"/>
        <v>409.91</v>
      </c>
      <c r="AL54" s="1357">
        <f t="shared" si="53"/>
        <v>306.5</v>
      </c>
      <c r="AM54" s="1357">
        <f t="shared" si="53"/>
        <v>326</v>
      </c>
      <c r="AN54" s="3013">
        <f t="shared" si="53"/>
        <v>0</v>
      </c>
      <c r="AO54" s="3013">
        <f t="shared" si="53"/>
        <v>0</v>
      </c>
      <c r="AP54" s="3013">
        <f t="shared" ref="AP54:AU54" si="54">+AP52+AP51</f>
        <v>0</v>
      </c>
      <c r="AQ54" s="3013">
        <f t="shared" si="54"/>
        <v>0</v>
      </c>
      <c r="AR54" s="3013">
        <f t="shared" si="54"/>
        <v>0</v>
      </c>
      <c r="AS54" s="3013">
        <f t="shared" si="54"/>
        <v>0</v>
      </c>
      <c r="AT54" s="3013">
        <f t="shared" si="54"/>
        <v>0</v>
      </c>
      <c r="AU54" s="3013">
        <f t="shared" si="54"/>
        <v>0</v>
      </c>
      <c r="AV54" s="3013">
        <f>+AV52+AV51</f>
        <v>0</v>
      </c>
      <c r="AW54" s="3013">
        <f>+AW52+AW51</f>
        <v>0</v>
      </c>
      <c r="AX54" s="3013">
        <f>+AX52+AX51</f>
        <v>0</v>
      </c>
      <c r="AY54" s="1373"/>
      <c r="AZ54" s="1373"/>
      <c r="BA54" s="1373"/>
      <c r="BB54" s="1373"/>
      <c r="BC54" s="1373"/>
      <c r="BD54" s="1373"/>
      <c r="BE54" s="1373"/>
      <c r="BF54" s="14">
        <f>BF51+BF52</f>
        <v>259.89999999999998</v>
      </c>
      <c r="BG54" s="14">
        <f>BG51+BG52</f>
        <v>398.5</v>
      </c>
      <c r="BH54" s="14">
        <f>BH51+BH52</f>
        <v>402.2</v>
      </c>
      <c r="BI54" s="14">
        <f>BI51+BI52</f>
        <v>444.9</v>
      </c>
      <c r="BJ54" s="14"/>
      <c r="BK54" s="77">
        <v>336.1</v>
      </c>
      <c r="BL54" s="77">
        <v>460.8</v>
      </c>
      <c r="BM54" s="77">
        <v>457.1</v>
      </c>
      <c r="BN54" s="77">
        <v>483.2</v>
      </c>
      <c r="BO54" s="129"/>
      <c r="BP54" s="14">
        <f>+BK54</f>
        <v>336.1</v>
      </c>
      <c r="BQ54" s="14">
        <f>+BL54</f>
        <v>460.8</v>
      </c>
      <c r="BR54" s="14">
        <f>SUM(BR51:BR53)</f>
        <v>455.96000000000004</v>
      </c>
      <c r="BS54" s="14">
        <f>SUM(BS51:BS53)</f>
        <v>457.70000000000005</v>
      </c>
      <c r="BT54" s="14"/>
      <c r="BU54" s="14">
        <f>BU51+BU52</f>
        <v>321.8</v>
      </c>
      <c r="BV54" s="14">
        <f>BV51+BV52</f>
        <v>436.3</v>
      </c>
      <c r="BW54" s="14">
        <f>BW51+BW52</f>
        <v>373.1</v>
      </c>
      <c r="BX54" s="14">
        <f>BX51+BX52</f>
        <v>385</v>
      </c>
      <c r="BY54" s="95"/>
      <c r="BZ54" s="14">
        <f>+BZ52+BZ51</f>
        <v>274</v>
      </c>
      <c r="CA54" s="14">
        <f>+CA52+CA51</f>
        <v>409.20000000000005</v>
      </c>
      <c r="CB54" s="14">
        <f>+CB52+CB51</f>
        <v>380.59999999999997</v>
      </c>
      <c r="CC54" s="14">
        <f>+CC52+CC51</f>
        <v>398.2</v>
      </c>
      <c r="CD54" s="261">
        <f>+T54-SUM(BZ54:CC54)</f>
        <v>0</v>
      </c>
      <c r="CE54" s="14">
        <f>+CE52+CE51</f>
        <v>275.10000000000002</v>
      </c>
      <c r="CF54" s="14">
        <f>CF51+CF52</f>
        <v>406</v>
      </c>
      <c r="CG54" s="14">
        <f>CG51+CG52</f>
        <v>371.20000000000005</v>
      </c>
      <c r="CH54" s="14">
        <f>CH51+CH52</f>
        <v>373.90000000000003</v>
      </c>
      <c r="CI54" s="53"/>
      <c r="CJ54" s="14">
        <f>CJ51+CJ52</f>
        <v>274.5</v>
      </c>
      <c r="CK54" s="14">
        <f>CK51+CK52</f>
        <v>409.1</v>
      </c>
      <c r="CL54" s="14">
        <f>CL51+CL52</f>
        <v>343.1</v>
      </c>
      <c r="CM54" s="14">
        <f>CM51+CM52</f>
        <v>375.4</v>
      </c>
      <c r="CN54" s="49">
        <f>+X54-SUM(CJ54:CM54)</f>
        <v>0</v>
      </c>
      <c r="CO54" s="14">
        <f>CO51+CO52</f>
        <v>274.5</v>
      </c>
      <c r="CP54" s="14">
        <f>CP51+CP52</f>
        <v>409.1</v>
      </c>
      <c r="CQ54" s="14">
        <f>CQ51+CQ52</f>
        <v>343.1</v>
      </c>
      <c r="CR54" s="14">
        <f>CR51+CR52</f>
        <v>375.4</v>
      </c>
      <c r="CS54" s="49">
        <f>+AA54-SUM(CO54:CR54)</f>
        <v>0</v>
      </c>
      <c r="CT54" s="14">
        <f>CT51+CT52</f>
        <v>266.5</v>
      </c>
      <c r="CU54" s="14">
        <f>CU51+CU52</f>
        <v>415.4</v>
      </c>
      <c r="CV54" s="14">
        <f>CV51+CV52</f>
        <v>350.8</v>
      </c>
      <c r="CW54" s="14">
        <f>CW51+CW52</f>
        <v>362.2</v>
      </c>
      <c r="CX54" s="49">
        <f>AB54-SUM(CT54:CW54)</f>
        <v>0</v>
      </c>
      <c r="CY54" s="14">
        <f>CY51+CY52</f>
        <v>269.7</v>
      </c>
      <c r="CZ54" s="14">
        <f>CZ51+CZ52</f>
        <v>387.9</v>
      </c>
      <c r="DA54" s="14">
        <f>DA51+DA52</f>
        <v>352.29999999999995</v>
      </c>
      <c r="DB54" s="14">
        <f>DB51+DB52</f>
        <v>378.1</v>
      </c>
      <c r="DC54" s="871">
        <f>AC54-SUM(CY54:DB54)</f>
        <v>0</v>
      </c>
      <c r="DD54" s="14">
        <f>DD51+DD52</f>
        <v>261.2</v>
      </c>
      <c r="DE54" s="14">
        <f>DE51+DE52</f>
        <v>355.6</v>
      </c>
      <c r="DF54" s="14">
        <f>DF51+DF52</f>
        <v>323.10000000000002</v>
      </c>
      <c r="DG54" s="14">
        <f>DG51+DG52</f>
        <v>366.3</v>
      </c>
      <c r="DH54" s="357">
        <f>AD54-SUM(DD54:DG54)</f>
        <v>0</v>
      </c>
      <c r="DI54" s="14">
        <f>DI51+DI52</f>
        <v>233.8</v>
      </c>
      <c r="DJ54" s="14">
        <f>DJ51+DJ52</f>
        <v>314.79999999999995</v>
      </c>
      <c r="DK54" s="14">
        <f>DK51+DK52</f>
        <v>258.2</v>
      </c>
      <c r="DL54" s="14">
        <f>DL51+DL52</f>
        <v>221.2</v>
      </c>
      <c r="DM54" s="357">
        <f>AE54-SUM(DI54:DL54)</f>
        <v>0</v>
      </c>
      <c r="DN54" s="14">
        <f>DN51+DN52</f>
        <v>77.300000000000011</v>
      </c>
      <c r="DO54" s="14">
        <f>DO51+DO52</f>
        <v>140</v>
      </c>
      <c r="DP54" s="14">
        <f>DP51+DP52</f>
        <v>125.69999999999999</v>
      </c>
      <c r="DQ54" s="14">
        <f>DQ51+DQ52</f>
        <v>168.32365782972209</v>
      </c>
      <c r="DR54" s="538">
        <f>AF54-SUM(DN54:DQ54)</f>
        <v>0</v>
      </c>
      <c r="DS54" s="14">
        <f>DS51+DS52</f>
        <v>111.55</v>
      </c>
      <c r="DT54" s="14">
        <f>DT51+DT52</f>
        <v>201.36800000000005</v>
      </c>
      <c r="DU54" s="14">
        <f>DU51+DU52</f>
        <v>193.08400000000003</v>
      </c>
      <c r="DV54" s="14">
        <f>DV51+DV52</f>
        <v>225.26461051406267</v>
      </c>
      <c r="DW54" s="538">
        <f>AG54-SUM(DS54:DV54)</f>
        <v>0</v>
      </c>
      <c r="DX54" s="862"/>
      <c r="DY54" s="862"/>
      <c r="DZ54" s="862"/>
      <c r="EA54" s="862"/>
      <c r="EB54" s="862"/>
      <c r="EH54" s="1048"/>
      <c r="EI54" s="1048"/>
      <c r="EJ54" s="1048"/>
      <c r="EK54" s="1048"/>
      <c r="EM54" s="1048"/>
      <c r="FL54" s="1048"/>
    </row>
    <row r="55" spans="1:168" ht="12" customHeight="1">
      <c r="A55" s="242" t="s">
        <v>680</v>
      </c>
      <c r="B55" s="242"/>
      <c r="C55" s="39">
        <f>+C54/C45</f>
        <v>0.42155309033280508</v>
      </c>
      <c r="D55" s="242"/>
      <c r="E55" s="39">
        <f>+E54/E45</f>
        <v>0.42007311399135927</v>
      </c>
      <c r="F55" s="39">
        <f>+F54/F45</f>
        <v>0.42007311399135927</v>
      </c>
      <c r="G55" s="242"/>
      <c r="H55" s="242"/>
      <c r="I55" s="39">
        <f>+I54/I45</f>
        <v>0.4356880359330339</v>
      </c>
      <c r="J55" s="39"/>
      <c r="K55" s="39">
        <f>+K54/K45</f>
        <v>0.41971006412043488</v>
      </c>
      <c r="L55" s="39">
        <f>+L54/L45</f>
        <v>0.41971006412043488</v>
      </c>
      <c r="M55" s="39">
        <f>+M54/M45</f>
        <v>0.44439215297731099</v>
      </c>
      <c r="N55" s="39">
        <f>+N54/N45</f>
        <v>0.43785759294265908</v>
      </c>
      <c r="O55" s="39">
        <f>+O54/O45</f>
        <v>0.43785759294265908</v>
      </c>
      <c r="P55" s="39"/>
      <c r="Q55" s="39"/>
      <c r="R55" s="39">
        <f>+R54/R45</f>
        <v>0.41134117706680423</v>
      </c>
      <c r="S55" s="39">
        <f>+S54/S45</f>
        <v>0.41134117706680429</v>
      </c>
      <c r="T55" s="39">
        <f>+T54/T45</f>
        <v>0.38933716811802616</v>
      </c>
      <c r="U55" s="39">
        <f>+U54/U45</f>
        <v>0.37078447177513713</v>
      </c>
      <c r="V55" s="39"/>
      <c r="W55" s="39"/>
      <c r="X55" s="39">
        <f t="shared" ref="X55:AM55" si="55">+X54/X45</f>
        <v>0.35261423936825687</v>
      </c>
      <c r="Y55" s="39">
        <f t="shared" si="55"/>
        <v>0.38933716811802616</v>
      </c>
      <c r="Z55" s="39">
        <f t="shared" si="55"/>
        <v>0.37078447177513713</v>
      </c>
      <c r="AA55" s="39">
        <f t="shared" si="55"/>
        <v>0.35261423936825687</v>
      </c>
      <c r="AB55" s="39">
        <f t="shared" si="55"/>
        <v>0.34322482222386258</v>
      </c>
      <c r="AC55" s="39">
        <f t="shared" si="55"/>
        <v>0.34159427066669945</v>
      </c>
      <c r="AD55" s="39">
        <f t="shared" si="55"/>
        <v>0.33143872113676726</v>
      </c>
      <c r="AE55" s="39">
        <f t="shared" si="55"/>
        <v>0.27711135671348097</v>
      </c>
      <c r="AF55" s="1110">
        <f t="shared" si="55"/>
        <v>0.17362433203046593</v>
      </c>
      <c r="AG55" s="1110">
        <f t="shared" si="55"/>
        <v>0.2317396799400113</v>
      </c>
      <c r="AH55" s="1110">
        <f t="shared" si="55"/>
        <v>0.30590206381844492</v>
      </c>
      <c r="AI55" s="1110">
        <f t="shared" si="55"/>
        <v>0.31205542725173213</v>
      </c>
      <c r="AJ55" s="1110">
        <f t="shared" si="55"/>
        <v>0.32116916947594243</v>
      </c>
      <c r="AK55" s="1110">
        <f t="shared" si="55"/>
        <v>0.31458940905602456</v>
      </c>
      <c r="AL55" s="1110">
        <f t="shared" si="55"/>
        <v>0.24878246753246752</v>
      </c>
      <c r="AM55" s="1110">
        <f t="shared" si="55"/>
        <v>0.26721311475409837</v>
      </c>
      <c r="AN55" s="3014"/>
      <c r="AO55" s="3014"/>
      <c r="AP55" s="3014"/>
      <c r="AQ55" s="3014"/>
      <c r="AR55" s="3014"/>
      <c r="AS55" s="3014"/>
      <c r="AT55" s="3014"/>
      <c r="AU55" s="3014"/>
      <c r="AV55" s="3014"/>
      <c r="AW55" s="3014"/>
      <c r="AX55" s="3014"/>
      <c r="AY55" s="1801"/>
      <c r="AZ55" s="1801"/>
      <c r="BA55" s="1801"/>
      <c r="BB55" s="1801"/>
      <c r="BC55" s="1801"/>
      <c r="BD55" s="1801"/>
      <c r="BE55" s="2436"/>
      <c r="BF55" s="53"/>
      <c r="BG55" s="53"/>
      <c r="BH55" s="53"/>
      <c r="BI55" s="53"/>
      <c r="BJ55" s="242"/>
      <c r="BK55" s="39">
        <f>+BK54/BK45</f>
        <v>0.38685543278084722</v>
      </c>
      <c r="BL55" s="39">
        <f>+BL54/BL45</f>
        <v>0.44707480353158047</v>
      </c>
      <c r="BM55" s="39">
        <f>+BM54/BM45</f>
        <v>0.45101134681795757</v>
      </c>
      <c r="BN55" s="39">
        <f>+BN54/BN45</f>
        <v>0.45822664770033189</v>
      </c>
      <c r="BO55" s="39"/>
      <c r="BP55" s="242">
        <f>+BP54/BP45</f>
        <v>0.38685543278084722</v>
      </c>
      <c r="BQ55" s="242">
        <f>+BQ54/BQ45</f>
        <v>0.44707480353158047</v>
      </c>
      <c r="BR55" s="242">
        <f>+BR54/BR45</f>
        <v>0.44988653182042432</v>
      </c>
      <c r="BS55" s="242">
        <f>+BS54/BS45</f>
        <v>0.4340445708866762</v>
      </c>
      <c r="BT55" s="242"/>
      <c r="BU55" s="242">
        <f>+BU54/BU45</f>
        <v>0.38543538148281231</v>
      </c>
      <c r="BV55" s="242">
        <f>+BV54/BV45</f>
        <v>0.44298913595288864</v>
      </c>
      <c r="BW55" s="242">
        <f>+BW54/BW45</f>
        <v>0.41000000000000003</v>
      </c>
      <c r="BX55" s="242">
        <f>+BX54/BX45</f>
        <v>0.40263909533583919</v>
      </c>
      <c r="BY55" s="95"/>
      <c r="BZ55" s="242">
        <f>+BZ54/BZ45</f>
        <v>0.34271419637273298</v>
      </c>
      <c r="CA55" s="242">
        <f>+CA54/CA45</f>
        <v>0.41370943281771316</v>
      </c>
      <c r="CB55" s="242">
        <f>+CB54/CB45</f>
        <v>0.39310059904978306</v>
      </c>
      <c r="CC55" s="242">
        <f>+CC54/CC45</f>
        <v>0.3988780927576881</v>
      </c>
      <c r="CD55" s="377"/>
      <c r="CE55" s="242">
        <f>+CE54/CE45</f>
        <v>0.33463082350079065</v>
      </c>
      <c r="CF55" s="242">
        <f>+CF54/CF45</f>
        <v>0.40063153739885538</v>
      </c>
      <c r="CG55" s="242">
        <f>+CG54/CG45</f>
        <v>0.37635607827233097</v>
      </c>
      <c r="CH55" s="242">
        <f>+CH54/CH45</f>
        <v>0.36510106434918471</v>
      </c>
      <c r="CI55" s="53"/>
      <c r="CJ55" s="242">
        <f>+CJ54/CJ45</f>
        <v>0.31978098788443615</v>
      </c>
      <c r="CK55" s="242">
        <f>+CK54/CK45</f>
        <v>0.39137089830670624</v>
      </c>
      <c r="CL55" s="242">
        <f>+CL54/CL45</f>
        <v>0.34037698412698414</v>
      </c>
      <c r="CM55" s="242">
        <f>+CM54/CM45</f>
        <v>0.3526207026113094</v>
      </c>
      <c r="CN55" s="49"/>
      <c r="CO55" s="242">
        <f>+CO54/CO45</f>
        <v>0.31978098788443615</v>
      </c>
      <c r="CP55" s="242">
        <f>+CP54/CP45</f>
        <v>0.39137089830670624</v>
      </c>
      <c r="CQ55" s="242">
        <f>+CQ54/CQ45</f>
        <v>0.34037698412698414</v>
      </c>
      <c r="CR55" s="242">
        <f>+CR54/CR45</f>
        <v>0.3526207026113094</v>
      </c>
      <c r="CS55" s="49"/>
      <c r="CT55" s="242">
        <f>+CT54/CT45</f>
        <v>0.29880031393653994</v>
      </c>
      <c r="CU55" s="242">
        <f>+CU54/CU45</f>
        <v>0.38975417526740475</v>
      </c>
      <c r="CV55" s="242">
        <f>+CV54/CV45</f>
        <v>0.33877353935296961</v>
      </c>
      <c r="CW55" s="242">
        <f>+CW54/CW45</f>
        <v>0.33822018862638897</v>
      </c>
      <c r="CX55" s="49"/>
      <c r="CY55" s="242">
        <f>+CY54/CY45</f>
        <v>0.30416149768805684</v>
      </c>
      <c r="CZ55" s="242">
        <f>+CZ54/CZ45</f>
        <v>0.36820123398196486</v>
      </c>
      <c r="DA55" s="242">
        <f>+DA54/DA45</f>
        <v>0.337355166139998</v>
      </c>
      <c r="DB55" s="242">
        <f>+DB54/DB45</f>
        <v>0.35048201705598819</v>
      </c>
      <c r="DC55" s="242"/>
      <c r="DD55" s="242">
        <f>+DD54/DD45</f>
        <v>0.30379157943707841</v>
      </c>
      <c r="DE55" s="242">
        <f>+DE54/DE45</f>
        <v>0.34944968553459121</v>
      </c>
      <c r="DF55" s="242">
        <f>+DF54/DF45</f>
        <v>0.32377993786952602</v>
      </c>
      <c r="DG55" s="242">
        <f>+DG54/DG45</f>
        <v>0.3437177442056864</v>
      </c>
      <c r="DH55" s="391"/>
      <c r="DI55" s="242">
        <f>+DI54/DI45</f>
        <v>0.27173407717340775</v>
      </c>
      <c r="DJ55" s="242">
        <f>+DJ54/DJ45</f>
        <v>0.3103006407097092</v>
      </c>
      <c r="DK55" s="242">
        <f>+DK54/DK45</f>
        <v>0.27415587173497558</v>
      </c>
      <c r="DL55" s="242">
        <f>+DL54/DL45</f>
        <v>0.2477043673012318</v>
      </c>
      <c r="DM55" s="391"/>
      <c r="DN55" s="242">
        <f>+DN54/DN45</f>
        <v>0.12085678549093187</v>
      </c>
      <c r="DO55" s="242">
        <f>+DO54/DO45</f>
        <v>0.18516069303002247</v>
      </c>
      <c r="DP55" s="242">
        <f>+DP54/DP45</f>
        <v>0.16899704221564937</v>
      </c>
      <c r="DQ55" s="242">
        <f>+DQ54/DQ45</f>
        <v>0.20896791785192068</v>
      </c>
      <c r="DR55" s="242"/>
      <c r="DS55" s="242">
        <f>+DS54/DS45</f>
        <v>0.16528374574010965</v>
      </c>
      <c r="DT55" s="242">
        <f>+DT54/DT45</f>
        <v>0.25278433341702239</v>
      </c>
      <c r="DU55" s="242">
        <f>+DU54/DU45</f>
        <v>0.23949888365169936</v>
      </c>
      <c r="DV55" s="242">
        <f>+DV54/DV45</f>
        <v>0.25660887087352158</v>
      </c>
      <c r="DX55" s="862"/>
      <c r="DY55" s="862"/>
      <c r="DZ55" s="862"/>
      <c r="EA55" s="862"/>
      <c r="EB55" s="862"/>
      <c r="EH55" s="1048"/>
      <c r="EI55" s="1048"/>
      <c r="EJ55" s="1048"/>
      <c r="EK55" s="1048"/>
      <c r="EM55" s="1048"/>
      <c r="FL55" s="1048"/>
    </row>
    <row r="56" spans="1:168">
      <c r="A56" s="242" t="s">
        <v>691</v>
      </c>
      <c r="B56" s="242"/>
      <c r="C56" s="242"/>
      <c r="D56" s="242"/>
      <c r="E56" s="14"/>
      <c r="F56" s="14"/>
      <c r="G56" s="242"/>
      <c r="H56" s="242"/>
      <c r="I56" s="14"/>
      <c r="J56" s="242"/>
      <c r="K56" s="14"/>
      <c r="L56" s="14"/>
      <c r="M56" s="14"/>
      <c r="N56" s="14"/>
      <c r="O56" s="14"/>
      <c r="P56" s="14"/>
      <c r="Q56" s="39"/>
      <c r="R56" s="39">
        <f>+R54/N54-1</f>
        <v>-0.12721620999309224</v>
      </c>
      <c r="S56" s="14"/>
      <c r="T56" s="39">
        <f>+T54/R54-1</f>
        <v>-3.574726289407737E-2</v>
      </c>
      <c r="U56" s="39">
        <f>+U54/T54-1</f>
        <v>-2.4623803009575895E-2</v>
      </c>
      <c r="V56" s="39"/>
      <c r="W56" s="39"/>
      <c r="X56" s="39">
        <f>+X54/U54-1</f>
        <v>-1.6760168302945355E-2</v>
      </c>
      <c r="Y56" s="39">
        <f>+Y54/S54-1</f>
        <v>-3.574726289407737E-2</v>
      </c>
      <c r="Z56" s="39">
        <f t="shared" ref="Z56:AM56" si="56">+Z54/Y54-1</f>
        <v>-2.4623803009575895E-2</v>
      </c>
      <c r="AA56" s="39">
        <f t="shared" si="56"/>
        <v>-1.6760168302945355E-2</v>
      </c>
      <c r="AB56" s="39">
        <f t="shared" si="56"/>
        <v>-5.1351544112401282E-3</v>
      </c>
      <c r="AC56" s="39">
        <f t="shared" si="56"/>
        <v>-4.9465911534877227E-3</v>
      </c>
      <c r="AD56" s="39">
        <f t="shared" si="56"/>
        <v>-5.8933717579250811E-2</v>
      </c>
      <c r="AE56" s="39">
        <f t="shared" si="56"/>
        <v>-0.21298422906139924</v>
      </c>
      <c r="AF56" s="1110">
        <f t="shared" si="56"/>
        <v>-0.50260344569093185</v>
      </c>
      <c r="AG56" s="1110">
        <f t="shared" si="56"/>
        <v>0.43014429181288594</v>
      </c>
      <c r="AH56" s="1110">
        <f t="shared" si="56"/>
        <v>9.858701115214008E-2</v>
      </c>
      <c r="AI56" s="1110">
        <f t="shared" si="56"/>
        <v>9.1615216092411078E-3</v>
      </c>
      <c r="AJ56" s="1110">
        <f t="shared" si="56"/>
        <v>3.4117821195974063E-2</v>
      </c>
      <c r="AK56" s="1110">
        <f t="shared" si="56"/>
        <v>-0.511068966339846</v>
      </c>
      <c r="AL56" s="1110">
        <f t="shared" si="56"/>
        <v>-0.2522748896099144</v>
      </c>
      <c r="AM56" s="1110">
        <f t="shared" si="56"/>
        <v>6.3621533442087985E-2</v>
      </c>
      <c r="AN56" s="3014"/>
      <c r="AO56" s="3014"/>
      <c r="AP56" s="3014"/>
      <c r="AQ56" s="3014"/>
      <c r="AR56" s="3014"/>
      <c r="AS56" s="3014"/>
      <c r="AT56" s="3014"/>
      <c r="AU56" s="3014"/>
      <c r="AV56" s="3014"/>
      <c r="AW56" s="3014"/>
      <c r="AX56" s="3014"/>
      <c r="AY56" s="1801"/>
      <c r="AZ56" s="1801"/>
      <c r="BA56" s="1801"/>
      <c r="BB56" s="1801"/>
      <c r="BC56" s="1801"/>
      <c r="BD56" s="1801"/>
      <c r="BE56" s="2436"/>
      <c r="BF56" s="242"/>
      <c r="BG56" s="242"/>
      <c r="BH56" s="242"/>
      <c r="BI56" s="242"/>
      <c r="BJ56" s="242"/>
      <c r="BK56" s="39">
        <f>+BK54/BF54-1</f>
        <v>0.29318968834167003</v>
      </c>
      <c r="BL56" s="39">
        <f>+BL54/BG54-1</f>
        <v>0.15633626097867004</v>
      </c>
      <c r="BM56" s="39">
        <f>+BM54/BH54-1</f>
        <v>0.1364992541024368</v>
      </c>
      <c r="BN56" s="39">
        <f>+BN54/BI54-1</f>
        <v>8.6086761069903428E-2</v>
      </c>
      <c r="BO56" s="39"/>
      <c r="BP56" s="39"/>
      <c r="BQ56" s="39"/>
      <c r="BR56" s="39"/>
      <c r="BS56" s="39"/>
      <c r="BT56" s="242"/>
      <c r="BU56" s="242">
        <f>BU54/BK54-1</f>
        <v>-4.2546861053258E-2</v>
      </c>
      <c r="BV56" s="242">
        <f>BV54/BL54-1</f>
        <v>-5.316840277777779E-2</v>
      </c>
      <c r="BW56" s="242">
        <f>BW54/BM54-1</f>
        <v>-0.18376722817764168</v>
      </c>
      <c r="BX56" s="242">
        <f>BX54/BN54-1</f>
        <v>-0.20322847682119205</v>
      </c>
      <c r="BY56" s="95"/>
      <c r="BZ56" s="242">
        <f>+BZ54/BU54-1</f>
        <v>-0.14853946550652586</v>
      </c>
      <c r="CA56" s="242">
        <f>+CA54/BV54-1</f>
        <v>-6.2113224845289805E-2</v>
      </c>
      <c r="CB56" s="242">
        <f>+CB54/BW54-1</f>
        <v>2.0101849370141922E-2</v>
      </c>
      <c r="CC56" s="242">
        <f>+CC54/BX54-1</f>
        <v>3.4285714285714253E-2</v>
      </c>
      <c r="CD56" s="377"/>
      <c r="CE56" s="242">
        <f>+CE54/BZ54-1</f>
        <v>4.0145985401460749E-3</v>
      </c>
      <c r="CF56" s="242">
        <f>+CF54/CA54-1</f>
        <v>-7.820136852395021E-3</v>
      </c>
      <c r="CG56" s="242">
        <f>+CG54/CB54-1</f>
        <v>-2.4697845507093863E-2</v>
      </c>
      <c r="CH56" s="242">
        <f>+CH54/CC54-1</f>
        <v>-6.1024610748367514E-2</v>
      </c>
      <c r="CI56" s="53"/>
      <c r="CJ56" s="242">
        <f>+CJ54/BZ54-1</f>
        <v>1.8248175182482562E-3</v>
      </c>
      <c r="CK56" s="242">
        <f>+CK54/CA54-1</f>
        <v>-2.4437927663745196E-4</v>
      </c>
      <c r="CL56" s="242">
        <f>+CL54/CB54-1</f>
        <v>-9.8528638991066564E-2</v>
      </c>
      <c r="CM56" s="242">
        <f>+CM54/CC54-1</f>
        <v>-5.7257659467604194E-2</v>
      </c>
      <c r="CN56" s="49"/>
      <c r="CO56" s="242">
        <f>+CO54/CE54-1</f>
        <v>-2.1810250817885235E-3</v>
      </c>
      <c r="CP56" s="242">
        <f>+CP54/CF54-1</f>
        <v>7.6354679802956849E-3</v>
      </c>
      <c r="CQ56" s="242">
        <f>+CQ54/CG54-1</f>
        <v>-7.5700431034482762E-2</v>
      </c>
      <c r="CR56" s="242">
        <f>+CR54/CH54-1</f>
        <v>4.0117678523667877E-3</v>
      </c>
      <c r="CS56" s="49"/>
      <c r="CT56" s="242">
        <f>+CT54/CO54-1</f>
        <v>-2.9143897996356971E-2</v>
      </c>
      <c r="CU56" s="242">
        <f>+CU54/CP54-1</f>
        <v>1.5399657785382326E-2</v>
      </c>
      <c r="CV56" s="242">
        <f>+CV54/CQ54-1</f>
        <v>2.2442436607402971E-2</v>
      </c>
      <c r="CW56" s="242">
        <f>+CW54/CR54-1</f>
        <v>-3.5162493340436862E-2</v>
      </c>
      <c r="CX56" s="49"/>
      <c r="CY56" s="242">
        <f>+CY54/CT54-1</f>
        <v>1.2007504690431547E-2</v>
      </c>
      <c r="CZ56" s="242">
        <f>+CZ54/CU54-1</f>
        <v>-6.6201251805488637E-2</v>
      </c>
      <c r="DA56" s="242">
        <f>+DA54/CV54-1</f>
        <v>4.2759407069554722E-3</v>
      </c>
      <c r="DB56" s="242">
        <f>+DB54/CW54-1</f>
        <v>4.3898398674765415E-2</v>
      </c>
      <c r="DC56" s="242"/>
      <c r="DD56" s="242">
        <f>+DD54/CY54-1</f>
        <v>-3.15164998146088E-2</v>
      </c>
      <c r="DE56" s="242">
        <f>+DE54/CZ54-1</f>
        <v>-8.326888373292074E-2</v>
      </c>
      <c r="DF56" s="242">
        <f>+DF54/DA54-1</f>
        <v>-8.2883905762134336E-2</v>
      </c>
      <c r="DG56" s="242">
        <f>+DG54/DB54-1</f>
        <v>-3.1208674953715931E-2</v>
      </c>
      <c r="DH56" s="391"/>
      <c r="DI56" s="242">
        <f>+DI54/DD54-1</f>
        <v>-0.10490045941807036</v>
      </c>
      <c r="DJ56" s="242">
        <f>+DJ54/DE54-1</f>
        <v>-0.11473565804274488</v>
      </c>
      <c r="DK56" s="242">
        <f>+DK54/DF54-1</f>
        <v>-0.20086660476632634</v>
      </c>
      <c r="DL56" s="242">
        <f>+DL54/DG54-1</f>
        <v>-0.3961233961233962</v>
      </c>
      <c r="DM56" s="391"/>
      <c r="DN56" s="242">
        <f>+DN54/DI54-1</f>
        <v>-0.66937553464499566</v>
      </c>
      <c r="DO56" s="242">
        <f>+DO54/DJ54-1</f>
        <v>-0.55527318932655656</v>
      </c>
      <c r="DP56" s="242">
        <f>+DP54/DK54-1</f>
        <v>-0.51316808675445391</v>
      </c>
      <c r="DQ56" s="242">
        <f>+DQ54/DL54-1</f>
        <v>-0.23904313820197964</v>
      </c>
      <c r="DR56" s="242"/>
      <c r="DS56" s="242">
        <f>+DS54/DN54-1</f>
        <v>0.44307891332470861</v>
      </c>
      <c r="DT56" s="242">
        <f>+DT54/DO54-1</f>
        <v>0.43834285714285759</v>
      </c>
      <c r="DU56" s="242">
        <f>+DU54/DP54-1</f>
        <v>0.5360700079554499</v>
      </c>
      <c r="DV56" s="242">
        <f>+DV54/DQ54-1</f>
        <v>0.33828252913766055</v>
      </c>
      <c r="DX56" s="862"/>
      <c r="DY56" s="862"/>
      <c r="DZ56" s="862"/>
      <c r="EA56" s="862"/>
      <c r="EB56" s="862"/>
      <c r="EH56" s="1048"/>
      <c r="EI56" s="1048"/>
      <c r="EJ56" s="1048"/>
      <c r="EK56" s="1048"/>
      <c r="EM56" s="1048"/>
      <c r="FL56" s="1048"/>
    </row>
    <row r="57" spans="1:168" ht="5.0999999999999996" customHeight="1">
      <c r="A57" s="379"/>
      <c r="B57" s="11"/>
      <c r="C57" s="11"/>
      <c r="D57" s="11"/>
      <c r="E57" s="11"/>
      <c r="F57" s="11"/>
      <c r="G57" s="11"/>
      <c r="H57" s="11"/>
      <c r="I57" s="11"/>
      <c r="J57" s="11"/>
      <c r="K57" s="11"/>
      <c r="L57" s="11"/>
      <c r="M57" s="11"/>
      <c r="N57" s="11"/>
      <c r="O57" s="11"/>
      <c r="P57" s="11"/>
      <c r="Q57" s="11"/>
      <c r="R57" s="11"/>
      <c r="S57" s="11"/>
      <c r="T57" s="49"/>
      <c r="U57" s="49"/>
      <c r="V57" s="49"/>
      <c r="W57" s="49"/>
      <c r="X57" s="11"/>
      <c r="Y57" s="11"/>
      <c r="Z57" s="11"/>
      <c r="AA57" s="11"/>
      <c r="AB57" s="11"/>
      <c r="AC57" s="11" t="s">
        <v>337</v>
      </c>
      <c r="AD57" s="49"/>
      <c r="AE57" s="11"/>
      <c r="AF57" s="1108"/>
      <c r="AG57" s="1108"/>
      <c r="AH57" s="1108"/>
      <c r="AI57" s="1108"/>
      <c r="AJ57" s="1108"/>
      <c r="AK57" s="1108"/>
      <c r="AL57" s="1108"/>
      <c r="AM57" s="1108"/>
      <c r="AN57" s="3016"/>
      <c r="AO57" s="3016"/>
      <c r="AP57" s="3016"/>
      <c r="AQ57" s="3016"/>
      <c r="AR57" s="3016"/>
      <c r="AS57" s="3016"/>
      <c r="AT57" s="3016"/>
      <c r="AU57" s="3016"/>
      <c r="AV57" s="3016"/>
      <c r="AW57" s="3016"/>
      <c r="AX57" s="3016"/>
      <c r="AY57" s="1109"/>
      <c r="AZ57" s="1109"/>
      <c r="BA57" s="1109"/>
      <c r="BB57" s="1109"/>
      <c r="BC57" s="1109"/>
      <c r="BD57" s="1109"/>
      <c r="BE57" s="1109"/>
      <c r="BF57" s="11"/>
      <c r="BG57" s="11"/>
      <c r="BH57" s="11"/>
      <c r="BI57" s="11"/>
      <c r="BJ57" s="11"/>
      <c r="BK57" s="11"/>
      <c r="BL57" s="11"/>
      <c r="BM57" s="11"/>
      <c r="BN57" s="11"/>
      <c r="BO57" s="11"/>
      <c r="BP57" s="11"/>
      <c r="BQ57" s="11"/>
      <c r="BR57" s="11"/>
      <c r="BS57" s="11"/>
      <c r="BT57" s="11"/>
      <c r="BU57" s="11"/>
      <c r="BV57" s="11"/>
      <c r="BW57" s="11"/>
      <c r="BX57" s="11"/>
      <c r="BY57" s="95"/>
      <c r="BZ57" s="11"/>
      <c r="CA57" s="11"/>
      <c r="CB57" s="11"/>
      <c r="CC57" s="11"/>
      <c r="CD57" s="377"/>
      <c r="CE57" s="11"/>
      <c r="CF57" s="11"/>
      <c r="CG57" s="11"/>
      <c r="CH57" s="11"/>
      <c r="CI57" s="53"/>
      <c r="CJ57" s="11"/>
      <c r="CK57" s="11"/>
      <c r="CL57" s="11"/>
      <c r="CM57" s="11"/>
      <c r="CN57" s="49"/>
      <c r="CO57" s="11"/>
      <c r="CP57" s="11"/>
      <c r="CQ57" s="11"/>
      <c r="CR57" s="11"/>
      <c r="CS57" s="49"/>
      <c r="CT57" s="11"/>
      <c r="CU57" s="242"/>
      <c r="CV57" s="242"/>
      <c r="CW57" s="242"/>
      <c r="CX57" s="49"/>
      <c r="CY57" s="391" t="s">
        <v>337</v>
      </c>
      <c r="CZ57" s="391" t="s">
        <v>337</v>
      </c>
      <c r="DA57" s="391"/>
      <c r="DB57" s="391"/>
      <c r="DC57" s="11"/>
      <c r="DD57" s="391" t="s">
        <v>337</v>
      </c>
      <c r="DE57" s="391" t="s">
        <v>337</v>
      </c>
      <c r="DF57" s="391"/>
      <c r="DG57" s="391"/>
      <c r="DH57" s="304"/>
      <c r="DI57" s="391" t="s">
        <v>337</v>
      </c>
      <c r="DJ57" s="391" t="s">
        <v>337</v>
      </c>
      <c r="DK57" s="391"/>
      <c r="DL57" s="391"/>
      <c r="DM57" s="304"/>
      <c r="DN57" s="11"/>
      <c r="DO57" s="11"/>
      <c r="DP57" s="11"/>
      <c r="DQ57" s="11"/>
      <c r="DR57" s="11"/>
      <c r="DX57" s="862"/>
      <c r="DY57" s="862"/>
      <c r="DZ57" s="862"/>
      <c r="EA57" s="862"/>
      <c r="EB57" s="862"/>
      <c r="EH57" s="1048"/>
      <c r="EI57" s="1048"/>
      <c r="EJ57" s="1048"/>
      <c r="EK57" s="1048"/>
      <c r="EM57" s="1048"/>
      <c r="FL57" s="1048"/>
    </row>
    <row r="58" spans="1:168">
      <c r="A58" s="379" t="s">
        <v>651</v>
      </c>
      <c r="B58" s="11"/>
      <c r="C58" s="49">
        <f>C61*C42</f>
        <v>18.266402535657686</v>
      </c>
      <c r="D58" s="11"/>
      <c r="E58" s="49">
        <f>E61*E42</f>
        <v>21.618278497839814</v>
      </c>
      <c r="F58" s="49">
        <f>F61*F42</f>
        <v>21.618278497839814</v>
      </c>
      <c r="G58" s="11"/>
      <c r="H58" s="11"/>
      <c r="I58" s="49">
        <f>I61*I42</f>
        <v>23.855</v>
      </c>
      <c r="J58" s="11"/>
      <c r="K58" s="49">
        <f t="shared" ref="K58:P58" si="57">K61*K42</f>
        <v>26.532999999999998</v>
      </c>
      <c r="L58" s="49">
        <f t="shared" si="57"/>
        <v>26.532999999999998</v>
      </c>
      <c r="M58" s="49">
        <f t="shared" si="57"/>
        <v>55.870469202510399</v>
      </c>
      <c r="N58" s="49">
        <f t="shared" si="57"/>
        <v>54.905896800000001</v>
      </c>
      <c r="O58" s="49">
        <f t="shared" si="57"/>
        <v>54.905896800000001</v>
      </c>
      <c r="P58" s="49">
        <f t="shared" si="57"/>
        <v>63.419502289553421</v>
      </c>
      <c r="Q58" s="11"/>
      <c r="R58" s="49">
        <f>R61*R42</f>
        <v>63.641322986724873</v>
      </c>
      <c r="S58" s="49">
        <f>S61*S42</f>
        <v>63.64132298672488</v>
      </c>
      <c r="T58" s="14">
        <f t="shared" ref="T58:U60" si="58">T192</f>
        <v>21.571249999999999</v>
      </c>
      <c r="U58" s="14">
        <f t="shared" si="58"/>
        <v>18.171250000000001</v>
      </c>
      <c r="V58" s="49"/>
      <c r="W58" s="49"/>
      <c r="X58" s="49">
        <f>X192</f>
        <v>20.671250000000001</v>
      </c>
      <c r="Y58" s="49">
        <f t="shared" ref="Y58:Z60" si="59">T58</f>
        <v>21.571249999999999</v>
      </c>
      <c r="Z58" s="49">
        <f t="shared" si="59"/>
        <v>18.171250000000001</v>
      </c>
      <c r="AA58" s="49">
        <f>X58</f>
        <v>20.671250000000001</v>
      </c>
      <c r="AB58" s="77">
        <f>32.1-AB67</f>
        <v>22.686675000000001</v>
      </c>
      <c r="AC58" s="64">
        <f>32.6-AC67</f>
        <v>23.6</v>
      </c>
      <c r="AD58" s="64">
        <f>30.9-AD67</f>
        <v>23.9</v>
      </c>
      <c r="AE58" s="49">
        <f>SUM(DI58:DL58)</f>
        <v>25.6</v>
      </c>
      <c r="AF58" s="1366">
        <f>AE58+2</f>
        <v>27.6</v>
      </c>
      <c r="AG58" s="1366">
        <f>AF58/AF42*AG42</f>
        <v>30.172869109947641</v>
      </c>
      <c r="AH58" s="1437">
        <v>39.9</v>
      </c>
      <c r="AI58" s="1437">
        <v>32.1</v>
      </c>
      <c r="AJ58" s="1437">
        <v>31.3</v>
      </c>
      <c r="AK58" s="1437">
        <v>30.8</v>
      </c>
      <c r="AL58" s="1437">
        <v>28.5</v>
      </c>
      <c r="AM58" s="1693">
        <f>AM194</f>
        <v>26</v>
      </c>
      <c r="AN58" s="3017">
        <f>AN194</f>
        <v>0</v>
      </c>
      <c r="AO58" s="3018"/>
      <c r="AP58" s="3018"/>
      <c r="AQ58" s="3018"/>
      <c r="AR58" s="3018"/>
      <c r="AS58" s="3018"/>
      <c r="AT58" s="3018"/>
      <c r="AU58" s="3018"/>
      <c r="AV58" s="3018"/>
      <c r="AW58" s="3018"/>
      <c r="AX58" s="3018"/>
      <c r="AY58" s="1798"/>
      <c r="AZ58" s="1798"/>
      <c r="BA58" s="1798"/>
      <c r="BB58" s="1798"/>
      <c r="BC58" s="1798"/>
      <c r="BD58" s="1798"/>
      <c r="BE58" s="1109"/>
      <c r="BF58" s="14">
        <f>+K58/4</f>
        <v>6.6332499999999994</v>
      </c>
      <c r="BG58" s="14">
        <f t="shared" ref="BG58:BH60" si="60">+BF58</f>
        <v>6.6332499999999994</v>
      </c>
      <c r="BH58" s="14">
        <f t="shared" si="60"/>
        <v>6.6332499999999994</v>
      </c>
      <c r="BI58" s="14">
        <f>+K58-SUM(BF58:BH58)</f>
        <v>6.6332500000000003</v>
      </c>
      <c r="BJ58" s="11"/>
      <c r="BK58" s="14">
        <f>BF58</f>
        <v>6.6332499999999994</v>
      </c>
      <c r="BL58" s="14">
        <f>BK58/BK60*BL60</f>
        <v>10.613199999999999</v>
      </c>
      <c r="BM58" s="14">
        <f>BL58/BL60*BM60</f>
        <v>10.613199999999999</v>
      </c>
      <c r="BN58" s="14">
        <f>BM58/BM60*BN60</f>
        <v>10.613199999999999</v>
      </c>
      <c r="BO58" s="11"/>
      <c r="BP58" s="14">
        <f>BK58</f>
        <v>6.6332499999999994</v>
      </c>
      <c r="BQ58" s="14">
        <f>BP58/BP60*BQ60</f>
        <v>10.613199999999999</v>
      </c>
      <c r="BR58" s="14">
        <f>BQ58/BQ60*BR60</f>
        <v>10.613199999999999</v>
      </c>
      <c r="BS58" s="14">
        <f>BR58/BR60*BS60</f>
        <v>22.669795199999996</v>
      </c>
      <c r="BT58" s="11"/>
      <c r="BU58" s="14">
        <f>+P58/4</f>
        <v>15.854875572388355</v>
      </c>
      <c r="BV58" s="14">
        <f t="shared" ref="BV58:BW60" si="61">+BU58</f>
        <v>15.854875572388355</v>
      </c>
      <c r="BW58" s="14">
        <f t="shared" si="61"/>
        <v>15.854875572388355</v>
      </c>
      <c r="BX58" s="14">
        <f>+P58-SUM(BU58:BW58)</f>
        <v>15.854875572388352</v>
      </c>
      <c r="BY58" s="95"/>
      <c r="BZ58" s="14">
        <f t="shared" ref="BZ58:CB60" si="62">+$T58/4</f>
        <v>5.3928124999999998</v>
      </c>
      <c r="CA58" s="14">
        <f t="shared" si="62"/>
        <v>5.3928124999999998</v>
      </c>
      <c r="CB58" s="14">
        <f t="shared" si="62"/>
        <v>5.3928124999999998</v>
      </c>
      <c r="CC58" s="14">
        <f>+T58-SUM(BZ58:CB58)</f>
        <v>5.392812499999998</v>
      </c>
      <c r="CD58" s="377"/>
      <c r="CE58" s="14">
        <f t="shared" ref="CE58:CH59" si="63">+CE192</f>
        <v>3.8237500000000004</v>
      </c>
      <c r="CF58" s="14">
        <f t="shared" si="63"/>
        <v>3.9237500000000001</v>
      </c>
      <c r="CG58" s="14">
        <f t="shared" si="63"/>
        <v>3.5237499999999997</v>
      </c>
      <c r="CH58" s="14">
        <f t="shared" si="63"/>
        <v>6.9</v>
      </c>
      <c r="CI58" s="53"/>
      <c r="CJ58" s="14">
        <f t="shared" ref="CJ58:CM59" si="64">+CJ192</f>
        <v>4.2237499999999999</v>
      </c>
      <c r="CK58" s="14">
        <f t="shared" si="64"/>
        <v>5.4237500000000001</v>
      </c>
      <c r="CL58" s="14">
        <f t="shared" si="64"/>
        <v>3.7237499999999999</v>
      </c>
      <c r="CM58" s="14">
        <f t="shared" si="64"/>
        <v>7.3</v>
      </c>
      <c r="CN58" s="49">
        <f>+X58-SUM(CJ58:CM58)</f>
        <v>0</v>
      </c>
      <c r="CO58" s="14">
        <f t="shared" ref="CO58:CR59" si="65">+CO192</f>
        <v>4.2237499999999999</v>
      </c>
      <c r="CP58" s="14">
        <f t="shared" si="65"/>
        <v>5.4237500000000001</v>
      </c>
      <c r="CQ58" s="14">
        <f t="shared" si="65"/>
        <v>3.7237499999999999</v>
      </c>
      <c r="CR58" s="14">
        <f t="shared" si="65"/>
        <v>7.3</v>
      </c>
      <c r="CS58" s="49">
        <f>+AA58-SUM(CO58:CR58)</f>
        <v>0</v>
      </c>
      <c r="CT58" s="14">
        <f t="shared" ref="CT58:CW59" si="66">+CT192</f>
        <v>4.5622249999999998</v>
      </c>
      <c r="CU58" s="14">
        <f t="shared" si="66"/>
        <v>5.0999999999999996</v>
      </c>
      <c r="CV58" s="14">
        <f t="shared" si="66"/>
        <v>4.2622249999999999</v>
      </c>
      <c r="CW58" s="14">
        <f t="shared" si="66"/>
        <v>8.7622250000000008</v>
      </c>
      <c r="CX58" s="49">
        <f>AB58-SUM(CT58:CW58)</f>
        <v>0</v>
      </c>
      <c r="CY58" s="14">
        <f t="shared" ref="CY58:DB59" si="67">CY192</f>
        <v>5.75</v>
      </c>
      <c r="CZ58" s="14">
        <f t="shared" si="67"/>
        <v>6.0500000000000007</v>
      </c>
      <c r="DA58" s="14">
        <f t="shared" si="67"/>
        <v>6.25</v>
      </c>
      <c r="DB58" s="14">
        <f t="shared" si="67"/>
        <v>5.55</v>
      </c>
      <c r="DC58" s="871">
        <f>AC58-SUM(CY58:DB58)</f>
        <v>0</v>
      </c>
      <c r="DD58" s="14">
        <f t="shared" ref="DD58:DG59" si="68">DD192</f>
        <v>5.85</v>
      </c>
      <c r="DE58" s="14">
        <f t="shared" si="68"/>
        <v>6.15</v>
      </c>
      <c r="DF58" s="14">
        <f t="shared" si="68"/>
        <v>5.85</v>
      </c>
      <c r="DG58" s="14">
        <f t="shared" si="68"/>
        <v>6.05</v>
      </c>
      <c r="DH58" s="357">
        <f>AD58-SUM(DD58:DG58)</f>
        <v>0</v>
      </c>
      <c r="DI58" s="14">
        <f t="shared" ref="DI58:DV59" si="69">DI192</f>
        <v>5.55</v>
      </c>
      <c r="DJ58" s="14">
        <f t="shared" si="69"/>
        <v>6.15</v>
      </c>
      <c r="DK58" s="14">
        <f t="shared" si="69"/>
        <v>7.0500000000000007</v>
      </c>
      <c r="DL58" s="14">
        <f t="shared" si="69"/>
        <v>6.85</v>
      </c>
      <c r="DM58" s="357">
        <f>AE58-SUM(DI58:DL58)</f>
        <v>0</v>
      </c>
      <c r="DN58" s="14">
        <f t="shared" si="69"/>
        <v>6.75</v>
      </c>
      <c r="DO58" s="14">
        <f t="shared" si="69"/>
        <v>7.5500000000000007</v>
      </c>
      <c r="DP58" s="14">
        <f t="shared" si="69"/>
        <v>8.5500000000000007</v>
      </c>
      <c r="DQ58" s="14">
        <f t="shared" si="69"/>
        <v>4.75</v>
      </c>
      <c r="DR58" s="538">
        <f>AF58-SUM(DN58:DQ58)</f>
        <v>0</v>
      </c>
      <c r="DS58" s="14">
        <f t="shared" si="69"/>
        <v>7.5</v>
      </c>
      <c r="DT58" s="14">
        <f t="shared" si="69"/>
        <v>7.5</v>
      </c>
      <c r="DU58" s="14">
        <f t="shared" si="69"/>
        <v>7.5</v>
      </c>
      <c r="DV58" s="14">
        <f t="shared" si="69"/>
        <v>7.6728691099476407</v>
      </c>
      <c r="DW58" s="538">
        <f>AG58-SUM(DS58:DV58)</f>
        <v>0</v>
      </c>
      <c r="DX58" s="862"/>
      <c r="DY58" s="862"/>
      <c r="DZ58" s="862"/>
      <c r="EA58" s="862"/>
      <c r="EB58" s="862"/>
      <c r="EH58" s="1048"/>
      <c r="EI58" s="1048"/>
      <c r="EJ58" s="1048"/>
      <c r="EK58" s="1048"/>
      <c r="EM58" s="1048"/>
      <c r="FL58" s="1048"/>
    </row>
    <row r="59" spans="1:168">
      <c r="A59" s="379" t="s">
        <v>652</v>
      </c>
      <c r="B59" s="11"/>
      <c r="C59" s="49">
        <f>C61*C43</f>
        <v>5.4335974643423137</v>
      </c>
      <c r="D59" s="11"/>
      <c r="E59" s="49">
        <f>E61*E43</f>
        <v>17.781721502160185</v>
      </c>
      <c r="F59" s="49">
        <f>F61*F43</f>
        <v>17.781721502160185</v>
      </c>
      <c r="G59" s="11"/>
      <c r="H59" s="11"/>
      <c r="I59" s="49">
        <f>I61*I43</f>
        <v>7.9819999999999993</v>
      </c>
      <c r="J59" s="11"/>
      <c r="K59" s="49">
        <f t="shared" ref="K59:P59" si="70">K61*K43</f>
        <v>20.097999999999999</v>
      </c>
      <c r="L59" s="49">
        <f t="shared" si="70"/>
        <v>20.097999999999999</v>
      </c>
      <c r="M59" s="49">
        <f t="shared" si="70"/>
        <v>41.022330797489602</v>
      </c>
      <c r="N59" s="49">
        <f t="shared" si="70"/>
        <v>40.314103200000005</v>
      </c>
      <c r="O59" s="49">
        <f t="shared" si="70"/>
        <v>40.314103200000005</v>
      </c>
      <c r="P59" s="49">
        <f t="shared" si="70"/>
        <v>50.357352950347007</v>
      </c>
      <c r="Q59" s="11"/>
      <c r="R59" s="49">
        <f>R61*R43</f>
        <v>50.135532253175541</v>
      </c>
      <c r="S59" s="49">
        <f>S61*S43</f>
        <v>50.135532253175548</v>
      </c>
      <c r="T59" s="14">
        <f t="shared" si="58"/>
        <v>153.30375000000001</v>
      </c>
      <c r="U59" s="14">
        <f t="shared" si="58"/>
        <v>163.60374999999999</v>
      </c>
      <c r="V59" s="49"/>
      <c r="W59" s="49"/>
      <c r="X59" s="49">
        <f>X193</f>
        <v>170.80375000000004</v>
      </c>
      <c r="Y59" s="49">
        <f t="shared" si="59"/>
        <v>153.30375000000001</v>
      </c>
      <c r="Z59" s="49">
        <f t="shared" si="59"/>
        <v>163.60374999999999</v>
      </c>
      <c r="AA59" s="49">
        <f>X59</f>
        <v>170.80375000000004</v>
      </c>
      <c r="AB59" s="77">
        <f>209.4-AB68</f>
        <v>156.05782500000001</v>
      </c>
      <c r="AC59" s="77">
        <f>216.2-AC68</f>
        <v>162.89999999999998</v>
      </c>
      <c r="AD59" s="77">
        <f>216-AD68</f>
        <v>165</v>
      </c>
      <c r="AE59" s="49">
        <f>SUM(DI59:DL59)</f>
        <v>193.89999999999998</v>
      </c>
      <c r="AF59" s="1357">
        <f>SUM(DN59:DQ59)</f>
        <v>215.60000000000002</v>
      </c>
      <c r="AG59" s="1693">
        <f>AG60-AG58</f>
        <v>173.2</v>
      </c>
      <c r="AH59" s="1693">
        <f>(380-197)-AH68</f>
        <v>112.19999999999999</v>
      </c>
      <c r="AI59" s="1693">
        <f>(378-209)-AI68</f>
        <v>109.19999999999999</v>
      </c>
      <c r="AJ59" s="1693">
        <f>AJ60-AJ58</f>
        <v>107.60000000000001</v>
      </c>
      <c r="AK59" s="1693">
        <f>AK60-AK58</f>
        <v>0</v>
      </c>
      <c r="AL59" s="1379">
        <v>0</v>
      </c>
      <c r="AM59" s="1379">
        <v>0</v>
      </c>
      <c r="AN59" s="3012">
        <v>0</v>
      </c>
      <c r="AO59" s="3012">
        <v>0</v>
      </c>
      <c r="AP59" s="3012">
        <v>0</v>
      </c>
      <c r="AQ59" s="3012">
        <v>0</v>
      </c>
      <c r="AR59" s="3012">
        <v>0</v>
      </c>
      <c r="AS59" s="3012">
        <v>0</v>
      </c>
      <c r="AT59" s="3012">
        <v>0</v>
      </c>
      <c r="AU59" s="3012">
        <v>0</v>
      </c>
      <c r="AV59" s="3012">
        <v>0</v>
      </c>
      <c r="AW59" s="3012">
        <v>0</v>
      </c>
      <c r="AX59" s="3012">
        <v>0</v>
      </c>
      <c r="AY59" s="2152"/>
      <c r="AZ59" s="2152"/>
      <c r="BA59" s="2152"/>
      <c r="BB59" s="2152"/>
      <c r="BC59" s="2152"/>
      <c r="BD59" s="2152"/>
      <c r="BE59" s="1109"/>
      <c r="BF59" s="14">
        <f>+K59/4</f>
        <v>5.0244999999999997</v>
      </c>
      <c r="BG59" s="14">
        <f t="shared" si="60"/>
        <v>5.0244999999999997</v>
      </c>
      <c r="BH59" s="14">
        <f t="shared" si="60"/>
        <v>5.0244999999999997</v>
      </c>
      <c r="BI59" s="14">
        <f>+K59-SUM(BF59:BH59)</f>
        <v>5.0244999999999997</v>
      </c>
      <c r="BJ59" s="11"/>
      <c r="BK59" s="167">
        <f>BK60-BK58</f>
        <v>5.8667500000000006</v>
      </c>
      <c r="BL59" s="167">
        <f>BL60-BL58</f>
        <v>9.3868000000000009</v>
      </c>
      <c r="BM59" s="167">
        <f>BM60-BM58</f>
        <v>9.3868000000000009</v>
      </c>
      <c r="BN59" s="167">
        <f>BN60-BN58</f>
        <v>9.3868000000000009</v>
      </c>
      <c r="BO59" s="11"/>
      <c r="BP59" s="167">
        <f>BP60-BP58</f>
        <v>5.8667500000000006</v>
      </c>
      <c r="BQ59" s="167">
        <f>BQ60-BQ58</f>
        <v>9.3868000000000009</v>
      </c>
      <c r="BR59" s="167">
        <f>BR60-BR58</f>
        <v>9.3868000000000009</v>
      </c>
      <c r="BS59" s="167">
        <f>BS60-BS58</f>
        <v>20.050204800000003</v>
      </c>
      <c r="BT59" s="11"/>
      <c r="BU59" s="14">
        <f>+P59/4</f>
        <v>12.589338237586752</v>
      </c>
      <c r="BV59" s="14">
        <f t="shared" si="61"/>
        <v>12.589338237586752</v>
      </c>
      <c r="BW59" s="14">
        <f t="shared" si="61"/>
        <v>12.589338237586752</v>
      </c>
      <c r="BX59" s="14">
        <f>+P59-SUM(BU59:BW59)</f>
        <v>12.589338237586752</v>
      </c>
      <c r="BY59" s="95"/>
      <c r="BZ59" s="14">
        <f t="shared" si="62"/>
        <v>38.325937500000002</v>
      </c>
      <c r="CA59" s="14">
        <f t="shared" si="62"/>
        <v>38.325937500000002</v>
      </c>
      <c r="CB59" s="14">
        <f t="shared" si="62"/>
        <v>38.325937500000002</v>
      </c>
      <c r="CC59" s="14">
        <f>+T59-SUM(BZ59:CB59)</f>
        <v>38.325937500000009</v>
      </c>
      <c r="CD59" s="377"/>
      <c r="CE59" s="14">
        <f t="shared" si="63"/>
        <v>39.895000000000003</v>
      </c>
      <c r="CF59" s="14">
        <f t="shared" si="63"/>
        <v>42.395000000000003</v>
      </c>
      <c r="CG59" s="14">
        <f t="shared" si="63"/>
        <v>41.594999999999999</v>
      </c>
      <c r="CH59" s="14">
        <f t="shared" si="63"/>
        <v>39.718749999999986</v>
      </c>
      <c r="CI59" s="53"/>
      <c r="CJ59" s="14">
        <f t="shared" si="64"/>
        <v>41.895000000000003</v>
      </c>
      <c r="CK59" s="14">
        <f t="shared" si="64"/>
        <v>44.195</v>
      </c>
      <c r="CL59" s="14">
        <f t="shared" si="64"/>
        <v>44.494999999999997</v>
      </c>
      <c r="CM59" s="14">
        <f t="shared" si="64"/>
        <v>40.21875</v>
      </c>
      <c r="CN59" s="49">
        <f>+X59-SUM(CJ59:CM59)</f>
        <v>0</v>
      </c>
      <c r="CO59" s="14">
        <f t="shared" si="65"/>
        <v>41.895000000000003</v>
      </c>
      <c r="CP59" s="14">
        <f t="shared" si="65"/>
        <v>44.195</v>
      </c>
      <c r="CQ59" s="14">
        <f t="shared" si="65"/>
        <v>44.494999999999997</v>
      </c>
      <c r="CR59" s="14">
        <f t="shared" si="65"/>
        <v>40.21875</v>
      </c>
      <c r="CS59" s="49">
        <f>+AA59-SUM(CO59:CR59)</f>
        <v>0</v>
      </c>
      <c r="CT59" s="14">
        <f t="shared" si="66"/>
        <v>40.248899999999992</v>
      </c>
      <c r="CU59" s="14">
        <f t="shared" si="66"/>
        <v>43.2</v>
      </c>
      <c r="CV59" s="14">
        <f t="shared" si="66"/>
        <v>39.748899999999992</v>
      </c>
      <c r="CW59" s="14">
        <f t="shared" si="66"/>
        <v>32.860025</v>
      </c>
      <c r="CX59" s="49">
        <f>AB59-SUM(CT59:CW59)</f>
        <v>0</v>
      </c>
      <c r="CY59" s="14">
        <f t="shared" si="67"/>
        <v>42.075000000000003</v>
      </c>
      <c r="CZ59" s="14">
        <f>CZ193</f>
        <v>40.775000000000006</v>
      </c>
      <c r="DA59" s="14">
        <f t="shared" si="67"/>
        <v>39.275000000000006</v>
      </c>
      <c r="DB59" s="14">
        <f t="shared" si="67"/>
        <v>40.775000000000006</v>
      </c>
      <c r="DC59" s="871">
        <f>AC59-SUM(CY59:DB59)</f>
        <v>0</v>
      </c>
      <c r="DD59" s="14">
        <f t="shared" si="68"/>
        <v>40.450000000000003</v>
      </c>
      <c r="DE59" s="14">
        <f t="shared" si="68"/>
        <v>40.25</v>
      </c>
      <c r="DF59" s="14">
        <f t="shared" si="68"/>
        <v>40.950000000000003</v>
      </c>
      <c r="DG59" s="14">
        <f t="shared" si="68"/>
        <v>43.35</v>
      </c>
      <c r="DH59" s="357">
        <f>AD59-SUM(DD59:DG59)</f>
        <v>0</v>
      </c>
      <c r="DI59" s="14">
        <f t="shared" si="69"/>
        <v>44.9</v>
      </c>
      <c r="DJ59" s="14">
        <f t="shared" si="69"/>
        <v>48.7</v>
      </c>
      <c r="DK59" s="14">
        <f t="shared" si="69"/>
        <v>49.6</v>
      </c>
      <c r="DL59" s="14">
        <f t="shared" si="69"/>
        <v>50.7</v>
      </c>
      <c r="DM59" s="357">
        <f>AE59-SUM(DI59:DL59)</f>
        <v>0</v>
      </c>
      <c r="DN59" s="14">
        <f t="shared" si="69"/>
        <v>50.8</v>
      </c>
      <c r="DO59" s="14">
        <f t="shared" si="69"/>
        <v>54.5</v>
      </c>
      <c r="DP59" s="14">
        <f t="shared" si="69"/>
        <v>55</v>
      </c>
      <c r="DQ59" s="14">
        <f t="shared" si="69"/>
        <v>55.3</v>
      </c>
      <c r="DR59" s="538">
        <f>AF59-SUM(DN59:DQ59)</f>
        <v>0</v>
      </c>
      <c r="DS59" s="14">
        <f t="shared" si="69"/>
        <v>43.975000000000001</v>
      </c>
      <c r="DT59" s="14">
        <f t="shared" si="69"/>
        <v>46.275000000000006</v>
      </c>
      <c r="DU59" s="14">
        <f t="shared" si="69"/>
        <v>42.475000000000001</v>
      </c>
      <c r="DV59" s="14">
        <f t="shared" si="69"/>
        <v>40.475000000000001</v>
      </c>
      <c r="DW59" s="538">
        <f>AG59-SUM(DS59:DV59)</f>
        <v>0</v>
      </c>
      <c r="DX59" s="862"/>
      <c r="DY59" s="862"/>
      <c r="DZ59" s="862"/>
      <c r="EA59" s="862"/>
      <c r="EB59" s="862"/>
      <c r="EH59" s="1048"/>
      <c r="EI59" s="1048"/>
      <c r="EJ59" s="1048"/>
      <c r="EK59" s="1048"/>
      <c r="EM59" s="1048"/>
      <c r="FL59" s="1048"/>
    </row>
    <row r="60" spans="1:168">
      <c r="A60" s="14" t="s">
        <v>692</v>
      </c>
      <c r="B60" s="14"/>
      <c r="C60" s="77">
        <v>23.7</v>
      </c>
      <c r="D60" s="14">
        <v>15.7</v>
      </c>
      <c r="E60" s="77">
        <v>39.4</v>
      </c>
      <c r="F60" s="14">
        <f>E60</f>
        <v>39.4</v>
      </c>
      <c r="G60" s="77"/>
      <c r="H60" s="77"/>
      <c r="I60" s="14">
        <v>31.837</v>
      </c>
      <c r="J60" s="14">
        <v>14.794</v>
      </c>
      <c r="K60" s="14">
        <v>46.631</v>
      </c>
      <c r="L60" s="14">
        <f>K60</f>
        <v>46.631</v>
      </c>
      <c r="M60" s="14">
        <v>72.5</v>
      </c>
      <c r="N60" s="14">
        <f>+N61*N45</f>
        <v>95.22</v>
      </c>
      <c r="O60" s="14">
        <f>N60</f>
        <v>95.22</v>
      </c>
      <c r="P60" s="14">
        <f>+P61*P45</f>
        <v>113.77685523990043</v>
      </c>
      <c r="Q60" s="14"/>
      <c r="R60" s="14">
        <f>+P60</f>
        <v>113.77685523990043</v>
      </c>
      <c r="S60" s="14">
        <f>R60</f>
        <v>113.77685523990043</v>
      </c>
      <c r="T60" s="14">
        <f t="shared" si="58"/>
        <v>174.875</v>
      </c>
      <c r="U60" s="14">
        <f t="shared" si="58"/>
        <v>181.77500000000001</v>
      </c>
      <c r="V60" s="14"/>
      <c r="W60" s="14"/>
      <c r="X60" s="49">
        <f>X194</f>
        <v>191.47500000000002</v>
      </c>
      <c r="Y60" s="49">
        <f t="shared" si="59"/>
        <v>174.875</v>
      </c>
      <c r="Z60" s="49">
        <f t="shared" si="59"/>
        <v>181.77500000000001</v>
      </c>
      <c r="AA60" s="49">
        <f>X60</f>
        <v>191.47500000000002</v>
      </c>
      <c r="AB60" s="14">
        <f>SUM(CT60:CW60)</f>
        <v>178.74449999999999</v>
      </c>
      <c r="AC60" s="14">
        <f>SUM(CY60:DB60)</f>
        <v>186.5</v>
      </c>
      <c r="AD60" s="14">
        <f>SUM(DD60:DG60)</f>
        <v>188.9</v>
      </c>
      <c r="AE60" s="14">
        <f>SUM(AE58:AE59)</f>
        <v>219.49999999999997</v>
      </c>
      <c r="AF60" s="1357">
        <f>SUM(DN60:DQ60)</f>
        <v>243.2</v>
      </c>
      <c r="AG60" s="1357">
        <f>+AG193+AG192</f>
        <v>203.37286910994763</v>
      </c>
      <c r="AH60" s="1693">
        <f>AH58+AH59</f>
        <v>152.1</v>
      </c>
      <c r="AI60" s="1693">
        <f>AI58+AI59</f>
        <v>141.29999999999998</v>
      </c>
      <c r="AJ60" s="1693">
        <f>+AJ194</f>
        <v>138.9</v>
      </c>
      <c r="AK60" s="1693">
        <f>+AK194</f>
        <v>30.8</v>
      </c>
      <c r="AL60" s="1693">
        <f>+AL194</f>
        <v>28.5</v>
      </c>
      <c r="AM60" s="1693">
        <f>+AM194</f>
        <v>26</v>
      </c>
      <c r="AN60" s="3017">
        <f>+AN194</f>
        <v>0</v>
      </c>
      <c r="AO60" s="3013">
        <f t="shared" ref="AO60:AU60" si="71">+SUM(AO58:AO59)</f>
        <v>0</v>
      </c>
      <c r="AP60" s="3013">
        <f t="shared" si="71"/>
        <v>0</v>
      </c>
      <c r="AQ60" s="3013">
        <f t="shared" si="71"/>
        <v>0</v>
      </c>
      <c r="AR60" s="3013">
        <f t="shared" si="71"/>
        <v>0</v>
      </c>
      <c r="AS60" s="3013">
        <f t="shared" si="71"/>
        <v>0</v>
      </c>
      <c r="AT60" s="3013">
        <f t="shared" si="71"/>
        <v>0</v>
      </c>
      <c r="AU60" s="3013">
        <f t="shared" si="71"/>
        <v>0</v>
      </c>
      <c r="AV60" s="3013">
        <f>+SUM(AV58:AV59)</f>
        <v>0</v>
      </c>
      <c r="AW60" s="3013">
        <f>+SUM(AW58:AW59)</f>
        <v>0</v>
      </c>
      <c r="AX60" s="3013">
        <f>+SUM(AX58:AX59)</f>
        <v>0</v>
      </c>
      <c r="AY60" s="1373"/>
      <c r="AZ60" s="1373"/>
      <c r="BA60" s="1373"/>
      <c r="BB60" s="1373"/>
      <c r="BC60" s="1373"/>
      <c r="BD60" s="1373"/>
      <c r="BE60" s="1373"/>
      <c r="BF60" s="14">
        <f>+K60/4</f>
        <v>11.65775</v>
      </c>
      <c r="BG60" s="14">
        <f t="shared" si="60"/>
        <v>11.65775</v>
      </c>
      <c r="BH60" s="14">
        <f t="shared" si="60"/>
        <v>11.65775</v>
      </c>
      <c r="BI60" s="14">
        <f>+K60-SUM(BF60:BH60)</f>
        <v>11.65775</v>
      </c>
      <c r="BJ60" s="14"/>
      <c r="BK60" s="14">
        <v>12.5</v>
      </c>
      <c r="BL60" s="14">
        <v>20</v>
      </c>
      <c r="BM60" s="14">
        <f>+BL60</f>
        <v>20</v>
      </c>
      <c r="BN60" s="14">
        <f>+BM60</f>
        <v>20</v>
      </c>
      <c r="BO60" s="14"/>
      <c r="BP60" s="14">
        <f>+BK60</f>
        <v>12.5</v>
      </c>
      <c r="BQ60" s="14">
        <f>+BL60</f>
        <v>20</v>
      </c>
      <c r="BR60" s="14">
        <f>+BM60</f>
        <v>20</v>
      </c>
      <c r="BS60" s="14">
        <f>+N60-SUM(BP60:BR60)</f>
        <v>42.72</v>
      </c>
      <c r="BT60" s="14"/>
      <c r="BU60" s="14">
        <f>+P60/4</f>
        <v>28.444213809975107</v>
      </c>
      <c r="BV60" s="14">
        <f t="shared" si="61"/>
        <v>28.444213809975107</v>
      </c>
      <c r="BW60" s="14">
        <f t="shared" si="61"/>
        <v>28.444213809975107</v>
      </c>
      <c r="BX60" s="14">
        <f>+P60-SUM(BU60:BW60)</f>
        <v>28.444213809975111</v>
      </c>
      <c r="BY60" s="95"/>
      <c r="BZ60" s="14">
        <f t="shared" si="62"/>
        <v>43.71875</v>
      </c>
      <c r="CA60" s="14">
        <f t="shared" si="62"/>
        <v>43.71875</v>
      </c>
      <c r="CB60" s="14">
        <f t="shared" si="62"/>
        <v>43.71875</v>
      </c>
      <c r="CC60" s="14">
        <f>+T60-SUM(BZ60:CB60)</f>
        <v>43.71875</v>
      </c>
      <c r="CD60" s="377"/>
      <c r="CE60" s="14">
        <f>CE58+CE59</f>
        <v>43.71875</v>
      </c>
      <c r="CF60" s="14">
        <f>CF58+CF59</f>
        <v>46.318750000000001</v>
      </c>
      <c r="CG60" s="14">
        <f>CG58+CG59</f>
        <v>45.118749999999999</v>
      </c>
      <c r="CH60" s="14">
        <f>CH58+CH59</f>
        <v>46.618749999999984</v>
      </c>
      <c r="CI60" s="53"/>
      <c r="CJ60" s="14">
        <f>CJ58+CJ59</f>
        <v>46.118750000000006</v>
      </c>
      <c r="CK60" s="14">
        <f>CK58+CK59</f>
        <v>49.618749999999999</v>
      </c>
      <c r="CL60" s="14">
        <f>CL58+CL59</f>
        <v>48.21875</v>
      </c>
      <c r="CM60" s="14">
        <f>CM58+CM59</f>
        <v>47.518749999999997</v>
      </c>
      <c r="CN60" s="49">
        <f>+X60-SUM(CJ60:CM60)</f>
        <v>0</v>
      </c>
      <c r="CO60" s="14">
        <f>CO58+CO59</f>
        <v>46.118750000000006</v>
      </c>
      <c r="CP60" s="14">
        <f>CP58+CP59</f>
        <v>49.618749999999999</v>
      </c>
      <c r="CQ60" s="14">
        <f>CQ58+CQ59</f>
        <v>48.21875</v>
      </c>
      <c r="CR60" s="14">
        <f>CR58+CR59</f>
        <v>47.518749999999997</v>
      </c>
      <c r="CS60" s="49">
        <f>+AA60-SUM(CO60:CR60)</f>
        <v>0</v>
      </c>
      <c r="CT60" s="14">
        <f>CT58+CT59</f>
        <v>44.81112499999999</v>
      </c>
      <c r="CU60" s="14">
        <f>CU58+CU59</f>
        <v>48.300000000000004</v>
      </c>
      <c r="CV60" s="14">
        <f>CV58+CV59</f>
        <v>44.011124999999993</v>
      </c>
      <c r="CW60" s="14">
        <f>CW58+CW59</f>
        <v>41.622250000000001</v>
      </c>
      <c r="CX60" s="49">
        <f>AB60-SUM(CT60:CW60)</f>
        <v>0</v>
      </c>
      <c r="CY60" s="14">
        <f>CY59+CY58</f>
        <v>47.825000000000003</v>
      </c>
      <c r="CZ60" s="14">
        <f>CZ59+CZ58</f>
        <v>46.825000000000003</v>
      </c>
      <c r="DA60" s="14">
        <f>DA59+DA58</f>
        <v>45.525000000000006</v>
      </c>
      <c r="DB60" s="14">
        <f>DB59+DB58</f>
        <v>46.325000000000003</v>
      </c>
      <c r="DC60" s="871">
        <f>AC60-SUM(CY60:DB60)</f>
        <v>0</v>
      </c>
      <c r="DD60" s="14">
        <f>DD59+DD58</f>
        <v>46.300000000000004</v>
      </c>
      <c r="DE60" s="14">
        <f>DE59+DE58</f>
        <v>46.4</v>
      </c>
      <c r="DF60" s="14">
        <f>DF59+DF58</f>
        <v>46.800000000000004</v>
      </c>
      <c r="DG60" s="14">
        <f>DG59+DG58</f>
        <v>49.4</v>
      </c>
      <c r="DH60" s="357">
        <f>AD60-SUM(DD60:DG60)</f>
        <v>0</v>
      </c>
      <c r="DI60" s="14">
        <f>DI59+DI58</f>
        <v>50.449999999999996</v>
      </c>
      <c r="DJ60" s="14">
        <f>DJ59+DJ58</f>
        <v>54.85</v>
      </c>
      <c r="DK60" s="14">
        <f>DK59+DK58</f>
        <v>56.650000000000006</v>
      </c>
      <c r="DL60" s="14">
        <f>DL59+DL58</f>
        <v>57.550000000000004</v>
      </c>
      <c r="DM60" s="357">
        <f>AE60-SUM(DI60:DL60)</f>
        <v>0</v>
      </c>
      <c r="DN60" s="14">
        <f>DN59+DN58</f>
        <v>57.55</v>
      </c>
      <c r="DO60" s="14">
        <f>DO59+DO58</f>
        <v>62.05</v>
      </c>
      <c r="DP60" s="14">
        <f>DP59+DP58</f>
        <v>63.55</v>
      </c>
      <c r="DQ60" s="14">
        <f>DQ59+DQ58</f>
        <v>60.05</v>
      </c>
      <c r="DR60" s="538">
        <f>AF60-SUM(DN60:DQ60)</f>
        <v>0</v>
      </c>
      <c r="DS60" s="14">
        <f>DS59+DS58</f>
        <v>51.475000000000001</v>
      </c>
      <c r="DT60" s="14">
        <f>DT59+DT58</f>
        <v>53.775000000000006</v>
      </c>
      <c r="DU60" s="14">
        <f>DU59+DU58</f>
        <v>49.975000000000001</v>
      </c>
      <c r="DV60" s="14">
        <f>DV59+DV58</f>
        <v>48.147869109947642</v>
      </c>
      <c r="DW60" s="538">
        <f>AG60-SUM(DS60:DV60)</f>
        <v>0</v>
      </c>
      <c r="DX60" s="862"/>
      <c r="DY60" s="862"/>
      <c r="DZ60" s="862"/>
      <c r="EA60" s="862"/>
      <c r="EB60" s="862"/>
      <c r="EH60" s="1048"/>
      <c r="EI60" s="1048"/>
      <c r="EJ60" s="1048"/>
      <c r="EK60" s="1048"/>
      <c r="EM60" s="1048"/>
      <c r="FL60" s="1048"/>
    </row>
    <row r="61" spans="1:168">
      <c r="A61" s="375" t="s">
        <v>682</v>
      </c>
      <c r="B61" s="242"/>
      <c r="C61" s="39">
        <f>C60/C45</f>
        <v>1.2519809825673535E-2</v>
      </c>
      <c r="D61" s="242"/>
      <c r="E61" s="39">
        <f>E60/E45</f>
        <v>1.3094051179793951E-2</v>
      </c>
      <c r="F61" s="39">
        <f>F60/F45</f>
        <v>1.3094051179793951E-2</v>
      </c>
      <c r="G61" s="39"/>
      <c r="H61" s="39"/>
      <c r="I61" s="119">
        <v>1.2999999999999999E-2</v>
      </c>
      <c r="J61" s="394"/>
      <c r="K61" s="119">
        <v>1.2999999999999999E-2</v>
      </c>
      <c r="L61" s="39">
        <f>L60/L45</f>
        <v>1.2999999999999999E-2</v>
      </c>
      <c r="M61" s="119">
        <v>2.4E-2</v>
      </c>
      <c r="N61" s="119">
        <v>2.4E-2</v>
      </c>
      <c r="O61" s="39">
        <f>O60/O45</f>
        <v>2.4E-2</v>
      </c>
      <c r="P61" s="119">
        <v>3.1E-2</v>
      </c>
      <c r="Q61" s="119"/>
      <c r="R61" s="119">
        <f>+R60/R45</f>
        <v>3.0867369448186278E-2</v>
      </c>
      <c r="S61" s="39">
        <f>S60/S45</f>
        <v>3.0867369448186282E-2</v>
      </c>
      <c r="T61" s="39">
        <f>T60/T45</f>
        <v>4.6569998135868554E-2</v>
      </c>
      <c r="U61" s="39">
        <f>U60/U45</f>
        <v>4.726461946488468E-2</v>
      </c>
      <c r="V61" s="39"/>
      <c r="W61" s="119"/>
      <c r="X61" s="39">
        <f t="shared" ref="X61:AJ61" si="72">X60/X45</f>
        <v>4.815406282222167E-2</v>
      </c>
      <c r="Y61" s="39">
        <f t="shared" si="72"/>
        <v>4.6569998135868554E-2</v>
      </c>
      <c r="Z61" s="39">
        <f t="shared" si="72"/>
        <v>4.726461946488468E-2</v>
      </c>
      <c r="AA61" s="39">
        <f t="shared" si="72"/>
        <v>4.815406282222167E-2</v>
      </c>
      <c r="AB61" s="39">
        <f t="shared" si="72"/>
        <v>4.3981324278438025E-2</v>
      </c>
      <c r="AC61" s="39">
        <f t="shared" si="72"/>
        <v>4.5898653803558682E-2</v>
      </c>
      <c r="AD61" s="39">
        <f t="shared" si="72"/>
        <v>4.7931996955087541E-2</v>
      </c>
      <c r="AE61" s="39">
        <f t="shared" si="72"/>
        <v>5.9169205057012689E-2</v>
      </c>
      <c r="AF61" s="1110">
        <f t="shared" si="72"/>
        <v>8.2580645161290323E-2</v>
      </c>
      <c r="AG61" s="1110">
        <f t="shared" si="72"/>
        <v>6.4449221280444002E-2</v>
      </c>
      <c r="AH61" s="1110">
        <f t="shared" si="72"/>
        <v>5.7916381082933517E-2</v>
      </c>
      <c r="AI61" s="1110">
        <f t="shared" si="72"/>
        <v>5.4387990762124708E-2</v>
      </c>
      <c r="AJ61" s="1110">
        <f t="shared" si="72"/>
        <v>5.3210235979160282E-2</v>
      </c>
      <c r="AK61" s="1110">
        <f>+AK58/AK42</f>
        <v>2.3637759017651572E-2</v>
      </c>
      <c r="AL61" s="1110">
        <f>+AL58/AL42</f>
        <v>2.3133116883116884E-2</v>
      </c>
      <c r="AM61" s="1110">
        <f>+AM58/AM42</f>
        <v>2.1311475409836064E-2</v>
      </c>
      <c r="AN61" s="3014"/>
      <c r="AO61" s="3019"/>
      <c r="AP61" s="3019"/>
      <c r="AQ61" s="3019"/>
      <c r="AR61" s="3019"/>
      <c r="AS61" s="3019"/>
      <c r="AT61" s="3019"/>
      <c r="AU61" s="3019"/>
      <c r="AV61" s="3019"/>
      <c r="AW61" s="3019"/>
      <c r="AX61" s="3019"/>
      <c r="AY61" s="2437"/>
      <c r="AZ61" s="2437"/>
      <c r="BA61" s="2437"/>
      <c r="BB61" s="2437"/>
      <c r="BC61" s="2437"/>
      <c r="BD61" s="2437"/>
      <c r="BE61" s="2436"/>
      <c r="BF61" s="242"/>
      <c r="BG61" s="242"/>
      <c r="BH61" s="242"/>
      <c r="BI61" s="242"/>
      <c r="BJ61" s="242"/>
      <c r="BK61" s="242"/>
      <c r="BL61" s="242"/>
      <c r="BM61" s="242"/>
      <c r="BN61" s="242"/>
      <c r="BO61" s="242"/>
      <c r="BP61" s="242"/>
      <c r="BQ61" s="242"/>
      <c r="BR61" s="242"/>
      <c r="BS61" s="242"/>
      <c r="BT61" s="242"/>
      <c r="BU61" s="242"/>
      <c r="BV61" s="242"/>
      <c r="BW61" s="242"/>
      <c r="BX61" s="242"/>
      <c r="BY61" s="95"/>
      <c r="BZ61" s="242"/>
      <c r="CA61" s="242"/>
      <c r="CB61" s="242"/>
      <c r="CC61" s="242"/>
      <c r="CD61" s="377"/>
      <c r="CE61" s="242"/>
      <c r="CF61" s="242"/>
      <c r="CG61" s="242"/>
      <c r="CH61" s="242"/>
      <c r="CI61" s="53"/>
      <c r="CJ61" s="39">
        <f>CJ60/CJ45</f>
        <v>5.3726409599254427E-2</v>
      </c>
      <c r="CK61" s="39">
        <f>CK60/CK45</f>
        <v>4.7468430115756244E-2</v>
      </c>
      <c r="CL61" s="39">
        <f>CL60/CL45</f>
        <v>4.7836061507936505E-2</v>
      </c>
      <c r="CM61" s="39">
        <f>CM60/CM45</f>
        <v>4.4635309036257752E-2</v>
      </c>
      <c r="CN61" s="49"/>
      <c r="CO61" s="39">
        <f>CO60/CO45</f>
        <v>5.3726409599254427E-2</v>
      </c>
      <c r="CP61" s="39">
        <f>CP60/CP45</f>
        <v>4.7468430115756244E-2</v>
      </c>
      <c r="CQ61" s="39">
        <f>CQ60/CQ45</f>
        <v>4.7836061507936505E-2</v>
      </c>
      <c r="CR61" s="39">
        <f>CR60/CR45</f>
        <v>4.4635309036257752E-2</v>
      </c>
      <c r="CS61" s="49"/>
      <c r="CT61" s="39">
        <f>CT60/CT45</f>
        <v>5.0242319766789979E-2</v>
      </c>
      <c r="CU61" s="39">
        <f>CU60/CU45</f>
        <v>4.5318070932632772E-2</v>
      </c>
      <c r="CV61" s="39">
        <f>CV60/CV45</f>
        <v>4.2502293577981645E-2</v>
      </c>
      <c r="CW61" s="39">
        <f>CW60/CW45</f>
        <v>3.886660752637968E-2</v>
      </c>
      <c r="CX61" s="49"/>
      <c r="CY61" s="39">
        <f>CY60/CY45</f>
        <v>5.3935942257809857E-2</v>
      </c>
      <c r="CZ61" s="39">
        <f>CZ60/CZ45</f>
        <v>4.4447081158044618E-2</v>
      </c>
      <c r="DA61" s="39">
        <f>DA60/DA45</f>
        <v>4.3593794886526857E-2</v>
      </c>
      <c r="DB61" s="39">
        <f>DB60/DB45</f>
        <v>4.2941230997404531E-2</v>
      </c>
      <c r="DC61" s="242"/>
      <c r="DD61" s="39">
        <f>DD60/DD45</f>
        <v>5.3849732495929295E-2</v>
      </c>
      <c r="DE61" s="39">
        <f>DE60/DE45</f>
        <v>4.5597484276729557E-2</v>
      </c>
      <c r="DF61" s="39">
        <f>DF60/DF45</f>
        <v>4.6898486822326883E-2</v>
      </c>
      <c r="DG61" s="39">
        <f>DG60/DG45</f>
        <v>4.6354508773576053E-2</v>
      </c>
      <c r="DH61" s="391"/>
      <c r="DI61" s="39">
        <f>DI60/DI45</f>
        <v>5.8635518363551832E-2</v>
      </c>
      <c r="DJ61" s="39">
        <f>DJ60/DJ45</f>
        <v>5.4066042385411531E-2</v>
      </c>
      <c r="DK61" s="39">
        <f>DK60/DK45</f>
        <v>6.0150775111488648E-2</v>
      </c>
      <c r="DL61" s="39">
        <f>DL60/DL45</f>
        <v>6.4445688689809641E-2</v>
      </c>
      <c r="DM61" s="391"/>
      <c r="DN61" s="242"/>
      <c r="DO61" s="242"/>
      <c r="DP61" s="242"/>
      <c r="DQ61" s="242"/>
      <c r="DR61" s="242"/>
      <c r="DX61" s="862"/>
      <c r="DY61" s="862"/>
      <c r="DZ61" s="862"/>
      <c r="EA61" s="862"/>
      <c r="EB61" s="862"/>
      <c r="EH61" s="1048"/>
      <c r="EI61" s="1048"/>
      <c r="EJ61" s="1048"/>
      <c r="EK61" s="1048"/>
      <c r="EM61" s="1048"/>
      <c r="FL61" s="1048"/>
    </row>
    <row r="62" spans="1:168" ht="5.0999999999999996" customHeight="1">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08"/>
      <c r="AG62" s="1108"/>
      <c r="AH62" s="1108"/>
      <c r="AI62" s="1108"/>
      <c r="AJ62" s="1108"/>
      <c r="AK62" s="1108"/>
      <c r="AL62" s="1108"/>
      <c r="AM62" s="1108"/>
      <c r="AN62" s="3016"/>
      <c r="AO62" s="3016"/>
      <c r="AP62" s="3016"/>
      <c r="AQ62" s="3016"/>
      <c r="AR62" s="3016"/>
      <c r="AS62" s="3016"/>
      <c r="AT62" s="3016"/>
      <c r="AU62" s="3016"/>
      <c r="AV62" s="3016"/>
      <c r="AW62" s="3016"/>
      <c r="AX62" s="3020"/>
      <c r="AY62" s="1109"/>
      <c r="AZ62" s="1109"/>
      <c r="BA62" s="1109"/>
      <c r="BB62" s="1109"/>
      <c r="BC62" s="1109"/>
      <c r="BD62" s="1109"/>
      <c r="BE62" s="1109"/>
      <c r="BF62" s="11"/>
      <c r="BG62" s="11"/>
      <c r="BH62" s="11"/>
      <c r="BI62" s="11"/>
      <c r="BJ62" s="11"/>
      <c r="BK62" s="11"/>
      <c r="BL62" s="11"/>
      <c r="BM62" s="11"/>
      <c r="BN62" s="11"/>
      <c r="BO62" s="11"/>
      <c r="BP62" s="11"/>
      <c r="BQ62" s="11"/>
      <c r="BR62" s="11"/>
      <c r="BS62" s="11"/>
      <c r="BT62" s="11"/>
      <c r="BU62" s="11"/>
      <c r="BV62" s="11"/>
      <c r="BW62" s="11"/>
      <c r="BX62" s="11"/>
      <c r="BY62" s="95"/>
      <c r="BZ62" s="11"/>
      <c r="CA62" s="11"/>
      <c r="CB62" s="11"/>
      <c r="CC62" s="11"/>
      <c r="CD62" s="377"/>
      <c r="CE62" s="11"/>
      <c r="CF62" s="11"/>
      <c r="CG62" s="11"/>
      <c r="CH62" s="11"/>
      <c r="CI62" s="53"/>
      <c r="CJ62" s="11"/>
      <c r="CK62" s="11"/>
      <c r="CL62" s="11"/>
      <c r="CM62" s="11"/>
      <c r="CN62" s="49"/>
      <c r="CO62" s="11"/>
      <c r="CP62" s="11"/>
      <c r="CQ62" s="11"/>
      <c r="CR62" s="11"/>
      <c r="CS62" s="49"/>
      <c r="CT62" s="11"/>
      <c r="CU62" s="242"/>
      <c r="CV62" s="242"/>
      <c r="CW62" s="242"/>
      <c r="CX62" s="49"/>
      <c r="CY62" s="391"/>
      <c r="CZ62" s="391"/>
      <c r="DA62" s="391"/>
      <c r="DB62" s="391"/>
      <c r="DC62" s="11"/>
      <c r="DD62" s="391"/>
      <c r="DE62" s="391"/>
      <c r="DF62" s="391"/>
      <c r="DG62" s="391"/>
      <c r="DH62" s="304"/>
      <c r="DI62" s="391"/>
      <c r="DJ62" s="391"/>
      <c r="DK62" s="391"/>
      <c r="DL62" s="391"/>
      <c r="DM62" s="357">
        <f>AE62-SUM(DI62:DL62)</f>
        <v>0</v>
      </c>
      <c r="DN62" s="11"/>
      <c r="DO62" s="11"/>
      <c r="DP62" s="11"/>
      <c r="DQ62" s="11"/>
      <c r="DR62" s="11"/>
      <c r="DX62" s="862"/>
      <c r="DY62" s="862"/>
      <c r="DZ62" s="862"/>
      <c r="EA62" s="862"/>
      <c r="EB62" s="862"/>
      <c r="EH62" s="1048"/>
      <c r="EI62" s="1048"/>
      <c r="EJ62" s="1048"/>
      <c r="EK62" s="1048"/>
      <c r="EM62" s="1048"/>
      <c r="FL62" s="1048"/>
    </row>
    <row r="63" spans="1:168">
      <c r="A63" s="379" t="s">
        <v>656</v>
      </c>
      <c r="B63" s="11"/>
      <c r="C63" s="14">
        <f>+C51-C58</f>
        <v>690.73359746434232</v>
      </c>
      <c r="D63" s="11"/>
      <c r="E63" s="14">
        <f>+E51-E58</f>
        <v>721.38172150216019</v>
      </c>
      <c r="F63" s="14">
        <f>+F51-F58</f>
        <v>721.38172150216019</v>
      </c>
      <c r="G63" s="11"/>
      <c r="H63" s="11"/>
      <c r="I63" s="14">
        <f>+I51-I58</f>
        <v>894.14499999999998</v>
      </c>
      <c r="J63" s="11"/>
      <c r="K63" s="14">
        <f>+K51-K58</f>
        <v>938.46699999999998</v>
      </c>
      <c r="L63" s="14">
        <f>+L51-L58</f>
        <v>938.46699999999998</v>
      </c>
      <c r="M63" s="14"/>
      <c r="N63" s="14">
        <f t="shared" ref="N63:P64" si="73">+N51-N58</f>
        <v>1123.1761237000001</v>
      </c>
      <c r="O63" s="14">
        <f t="shared" si="73"/>
        <v>1123.1761237000001</v>
      </c>
      <c r="P63" s="14">
        <f t="shared" si="73"/>
        <v>967.35610549440219</v>
      </c>
      <c r="Q63" s="11"/>
      <c r="R63" s="14">
        <f t="shared" ref="R63:U64" si="74">+R51-R58</f>
        <v>979.11974201327507</v>
      </c>
      <c r="S63" s="14">
        <f t="shared" si="74"/>
        <v>979.11974201327507</v>
      </c>
      <c r="T63" s="14">
        <f t="shared" si="74"/>
        <v>1016.8287500000001</v>
      </c>
      <c r="U63" s="14">
        <f t="shared" si="74"/>
        <v>984.02875000000006</v>
      </c>
      <c r="V63" s="11"/>
      <c r="W63" s="11"/>
      <c r="X63" s="14">
        <f t="shared" ref="X63:AE64" si="75">+X51-X58</f>
        <v>927.52875000000006</v>
      </c>
      <c r="Y63" s="14">
        <f t="shared" si="75"/>
        <v>1016.8287500000001</v>
      </c>
      <c r="Z63" s="14">
        <f t="shared" si="75"/>
        <v>984.02875000000006</v>
      </c>
      <c r="AA63" s="14">
        <f t="shared" si="75"/>
        <v>927.52875000000006</v>
      </c>
      <c r="AB63" s="14">
        <f t="shared" si="75"/>
        <v>902.31332500000019</v>
      </c>
      <c r="AC63" s="14">
        <f t="shared" si="75"/>
        <v>796.4</v>
      </c>
      <c r="AD63" s="14">
        <f t="shared" si="75"/>
        <v>661.39999999999975</v>
      </c>
      <c r="AE63" s="14">
        <f t="shared" si="75"/>
        <v>527.70000000000016</v>
      </c>
      <c r="AF63" s="1357">
        <f t="shared" ref="AF63:AU64" si="76">+AF51-AF58</f>
        <v>299.32365782972215</v>
      </c>
      <c r="AG63" s="1357">
        <f t="shared" si="76"/>
        <v>412.49374140411487</v>
      </c>
      <c r="AH63" s="1357">
        <f t="shared" si="76"/>
        <v>383.46000000000004</v>
      </c>
      <c r="AI63" s="1357">
        <f t="shared" si="76"/>
        <v>400.62</v>
      </c>
      <c r="AJ63" s="1357">
        <f t="shared" si="76"/>
        <v>396.08000000000004</v>
      </c>
      <c r="AK63" s="1357">
        <f t="shared" si="76"/>
        <v>379.11</v>
      </c>
      <c r="AL63" s="1357">
        <f t="shared" si="76"/>
        <v>278</v>
      </c>
      <c r="AM63" s="1357">
        <f>+AM51-AM58</f>
        <v>300</v>
      </c>
      <c r="AN63" s="3013">
        <f>+AN51-AN58</f>
        <v>0</v>
      </c>
      <c r="AO63" s="3013">
        <f t="shared" si="76"/>
        <v>0</v>
      </c>
      <c r="AP63" s="3013">
        <f t="shared" si="76"/>
        <v>0</v>
      </c>
      <c r="AQ63" s="3013">
        <f t="shared" si="76"/>
        <v>0</v>
      </c>
      <c r="AR63" s="3013">
        <f t="shared" si="76"/>
        <v>0</v>
      </c>
      <c r="AS63" s="3013">
        <f t="shared" si="76"/>
        <v>0</v>
      </c>
      <c r="AT63" s="3013">
        <f t="shared" si="76"/>
        <v>0</v>
      </c>
      <c r="AU63" s="3013">
        <f t="shared" si="76"/>
        <v>0</v>
      </c>
      <c r="AV63" s="3013">
        <f t="shared" ref="AV63:AX64" si="77">+AV51-AV58</f>
        <v>0</v>
      </c>
      <c r="AW63" s="3013">
        <f t="shared" si="77"/>
        <v>0</v>
      </c>
      <c r="AX63" s="3013">
        <f t="shared" si="77"/>
        <v>0</v>
      </c>
      <c r="AY63" s="1373"/>
      <c r="AZ63" s="1373"/>
      <c r="BA63" s="1373"/>
      <c r="BB63" s="1373"/>
      <c r="BC63" s="1373"/>
      <c r="BD63" s="1373"/>
      <c r="BE63" s="1109"/>
      <c r="BF63" s="14">
        <f t="shared" ref="BF63:BI64" si="78">+BF51-BF58</f>
        <v>146.36675</v>
      </c>
      <c r="BG63" s="14">
        <f t="shared" si="78"/>
        <v>227.46674999999999</v>
      </c>
      <c r="BH63" s="14">
        <f t="shared" si="78"/>
        <v>240.65674999999999</v>
      </c>
      <c r="BI63" s="14">
        <f t="shared" si="78"/>
        <v>276.54175000000004</v>
      </c>
      <c r="BJ63" s="11"/>
      <c r="BK63" s="14">
        <f t="shared" ref="BK63:BN64" si="79">+BK51-BK58</f>
        <v>205.63974999999999</v>
      </c>
      <c r="BL63" s="14">
        <f t="shared" si="79"/>
        <v>281.62745000000001</v>
      </c>
      <c r="BM63" s="14">
        <f t="shared" si="79"/>
        <v>279.4297243000002</v>
      </c>
      <c r="BN63" s="14">
        <f t="shared" si="79"/>
        <v>372.9122461999998</v>
      </c>
      <c r="BO63" s="11"/>
      <c r="BP63" s="14">
        <f t="shared" ref="BP63:BS64" si="80">+BP51-BP58</f>
        <v>216.21394999999998</v>
      </c>
      <c r="BQ63" s="14">
        <f t="shared" si="80"/>
        <v>295.42224399999998</v>
      </c>
      <c r="BR63" s="14">
        <f t="shared" si="80"/>
        <v>307.4468</v>
      </c>
      <c r="BS63" s="14">
        <f t="shared" si="80"/>
        <v>309.43020480000001</v>
      </c>
      <c r="BT63" s="11"/>
      <c r="BU63" s="14">
        <f t="shared" ref="BU63:BX64" si="81">+BU51-BU58</f>
        <v>200.67643942761165</v>
      </c>
      <c r="BV63" s="14">
        <f t="shared" si="81"/>
        <v>276.0694844276116</v>
      </c>
      <c r="BW63" s="14">
        <f t="shared" si="81"/>
        <v>243.60551442761161</v>
      </c>
      <c r="BX63" s="14">
        <f t="shared" si="81"/>
        <v>258.9901244276117</v>
      </c>
      <c r="BY63" s="95"/>
      <c r="BZ63" s="14">
        <f t="shared" ref="BZ63:CC64" si="82">+BZ51-BZ58</f>
        <v>192.10718750000001</v>
      </c>
      <c r="CA63" s="14">
        <f t="shared" si="82"/>
        <v>281.70718750000003</v>
      </c>
      <c r="CB63" s="14">
        <f t="shared" si="82"/>
        <v>261.00718749999999</v>
      </c>
      <c r="CC63" s="14">
        <f t="shared" si="82"/>
        <v>282.00718749999999</v>
      </c>
      <c r="CD63" s="377"/>
      <c r="CE63" s="14">
        <f t="shared" ref="CE63:CH64" si="83">+CE51-CE58</f>
        <v>193.67625000000001</v>
      </c>
      <c r="CF63" s="14">
        <f t="shared" si="83"/>
        <v>269.07625000000002</v>
      </c>
      <c r="CG63" s="14">
        <f t="shared" si="83"/>
        <v>269.27625</v>
      </c>
      <c r="CH63" s="14">
        <f t="shared" si="83"/>
        <v>252.20000000000002</v>
      </c>
      <c r="CI63" s="53"/>
      <c r="CJ63" s="14">
        <f t="shared" ref="CJ63:CM64" si="84">+CJ51-CJ58</f>
        <v>202.27625</v>
      </c>
      <c r="CK63" s="14">
        <f t="shared" si="84"/>
        <v>269.57625000000002</v>
      </c>
      <c r="CL63" s="14">
        <f t="shared" si="84"/>
        <v>224.97624999999999</v>
      </c>
      <c r="CM63" s="14">
        <f t="shared" si="84"/>
        <v>230.7</v>
      </c>
      <c r="CN63" s="49">
        <f>+X63-SUM(CJ63:CM63)</f>
        <v>0</v>
      </c>
      <c r="CO63" s="14">
        <f t="shared" ref="CO63:CR64" si="85">+CO51-CO58</f>
        <v>202.27625</v>
      </c>
      <c r="CP63" s="14">
        <f t="shared" si="85"/>
        <v>269.57625000000002</v>
      </c>
      <c r="CQ63" s="14">
        <f t="shared" si="85"/>
        <v>224.97624999999999</v>
      </c>
      <c r="CR63" s="14">
        <f t="shared" si="85"/>
        <v>230.7</v>
      </c>
      <c r="CS63" s="49">
        <f>+AA63-SUM(CO63:CR63)</f>
        <v>0</v>
      </c>
      <c r="CT63" s="14">
        <f t="shared" ref="CT63:CW64" si="86">+CT51-CT58</f>
        <v>192.63777499999998</v>
      </c>
      <c r="CU63" s="14">
        <f t="shared" si="86"/>
        <v>275.39999999999998</v>
      </c>
      <c r="CV63" s="14">
        <f t="shared" si="86"/>
        <v>228.33777499999999</v>
      </c>
      <c r="CW63" s="14">
        <f t="shared" si="86"/>
        <v>205.93777499999999</v>
      </c>
      <c r="CX63" s="49">
        <f>AB63-SUM(CT63:CW63)</f>
        <v>0</v>
      </c>
      <c r="CY63" s="14">
        <f t="shared" ref="CY63:DB64" si="87">+CY51-CY58</f>
        <v>164.85</v>
      </c>
      <c r="CZ63" s="14">
        <f>+CZ51-CZ58</f>
        <v>221.85</v>
      </c>
      <c r="DA63" s="14">
        <f t="shared" si="87"/>
        <v>203.95</v>
      </c>
      <c r="DB63" s="14">
        <f t="shared" si="87"/>
        <v>205.75</v>
      </c>
      <c r="DC63" s="871">
        <f>AC63-SUM(CY63:DB63)</f>
        <v>0</v>
      </c>
      <c r="DD63" s="14">
        <f t="shared" ref="DD63:DG64" si="88">+DD51-DD58</f>
        <v>155.15</v>
      </c>
      <c r="DE63" s="14">
        <f t="shared" si="88"/>
        <v>181.15</v>
      </c>
      <c r="DF63" s="14">
        <f t="shared" si="88"/>
        <v>163.75</v>
      </c>
      <c r="DG63" s="14">
        <f t="shared" si="88"/>
        <v>161.35</v>
      </c>
      <c r="DH63" s="357">
        <f>AD63-SUM(DD63:DG63)</f>
        <v>0</v>
      </c>
      <c r="DI63" s="14">
        <f t="shared" ref="DI63:DL64" si="89">+DI51-DI58</f>
        <v>126.75000000000001</v>
      </c>
      <c r="DJ63" s="14">
        <f t="shared" si="89"/>
        <v>152.44999999999999</v>
      </c>
      <c r="DK63" s="14">
        <f t="shared" si="89"/>
        <v>132.54999999999998</v>
      </c>
      <c r="DL63" s="14">
        <f t="shared" si="89"/>
        <v>115.95</v>
      </c>
      <c r="DM63" s="357">
        <f>AE63-SUM(DI63:DL63)</f>
        <v>0</v>
      </c>
      <c r="DN63" s="14">
        <f t="shared" ref="DN63:DQ64" si="90">+DN51-DN58</f>
        <v>45.45</v>
      </c>
      <c r="DO63" s="14">
        <f t="shared" si="90"/>
        <v>87.75</v>
      </c>
      <c r="DP63" s="14">
        <f>+DP51-DP58</f>
        <v>84.55</v>
      </c>
      <c r="DQ63" s="14">
        <f t="shared" si="90"/>
        <v>81.573657829722094</v>
      </c>
      <c r="DR63" s="538">
        <f>AF63-SUM(DN63:DQ63)</f>
        <v>0</v>
      </c>
      <c r="DS63" s="14">
        <f t="shared" ref="DS63:DV64" si="91">+DS51-DS58</f>
        <v>71.849999999999994</v>
      </c>
      <c r="DT63" s="14">
        <f t="shared" si="91"/>
        <v>115.16800000000003</v>
      </c>
      <c r="DU63" s="14">
        <f t="shared" si="91"/>
        <v>108.68400000000003</v>
      </c>
      <c r="DV63" s="14">
        <f t="shared" si="91"/>
        <v>116.79174140411502</v>
      </c>
      <c r="DW63" s="538">
        <f t="shared" ref="DW63:DW73" si="92">AG63-SUM(DS63:DV63)</f>
        <v>0</v>
      </c>
      <c r="DX63" s="862"/>
      <c r="DY63" s="862"/>
      <c r="DZ63" s="862"/>
      <c r="EA63" s="862"/>
      <c r="EB63" s="862"/>
      <c r="EH63" s="1048"/>
      <c r="EI63" s="1048"/>
      <c r="EJ63" s="1048"/>
      <c r="EK63" s="1048"/>
      <c r="EM63" s="1048"/>
      <c r="FL63" s="1048"/>
    </row>
    <row r="64" spans="1:168">
      <c r="A64" s="379" t="s">
        <v>657</v>
      </c>
      <c r="B64" s="11"/>
      <c r="C64" s="14">
        <f>+C52-C59</f>
        <v>90.566402535657687</v>
      </c>
      <c r="D64" s="11"/>
      <c r="E64" s="14">
        <f>+E52-E59</f>
        <v>503.21827849783983</v>
      </c>
      <c r="F64" s="14">
        <f>+F52-F59</f>
        <v>503.21827849783983</v>
      </c>
      <c r="G64" s="11"/>
      <c r="H64" s="11"/>
      <c r="I64" s="14">
        <f>+I52-I59</f>
        <v>141.018</v>
      </c>
      <c r="J64" s="11"/>
      <c r="K64" s="14">
        <f>+K52-K59</f>
        <v>520.40200000000004</v>
      </c>
      <c r="L64" s="14">
        <f>+L52-L59</f>
        <v>520.40200000000004</v>
      </c>
      <c r="M64" s="14"/>
      <c r="N64" s="14">
        <f t="shared" si="73"/>
        <v>518.80387629999984</v>
      </c>
      <c r="O64" s="14">
        <f t="shared" si="73"/>
        <v>518.80387629999984</v>
      </c>
      <c r="P64" s="14">
        <f t="shared" si="73"/>
        <v>436.52694878473721</v>
      </c>
      <c r="Q64" s="11"/>
      <c r="R64" s="14">
        <f t="shared" si="74"/>
        <v>423.30340274682453</v>
      </c>
      <c r="S64" s="14">
        <f t="shared" si="74"/>
        <v>423.30340274682453</v>
      </c>
      <c r="T64" s="14">
        <f t="shared" si="74"/>
        <v>270.29624999999999</v>
      </c>
      <c r="U64" s="14">
        <f t="shared" si="74"/>
        <v>260.19625000000002</v>
      </c>
      <c r="V64" s="11"/>
      <c r="W64" s="11"/>
      <c r="X64" s="14">
        <f t="shared" si="75"/>
        <v>283.09624999999994</v>
      </c>
      <c r="Y64" s="14">
        <f t="shared" si="75"/>
        <v>270.29624999999999</v>
      </c>
      <c r="Z64" s="14">
        <f t="shared" si="75"/>
        <v>260.19625000000002</v>
      </c>
      <c r="AA64" s="14">
        <f t="shared" si="75"/>
        <v>283.09624999999994</v>
      </c>
      <c r="AB64" s="14">
        <f t="shared" si="75"/>
        <v>313.842175</v>
      </c>
      <c r="AC64" s="14">
        <f t="shared" si="75"/>
        <v>405.1</v>
      </c>
      <c r="AD64" s="14">
        <f t="shared" si="75"/>
        <v>455.9</v>
      </c>
      <c r="AE64" s="14">
        <f t="shared" si="75"/>
        <v>280.80000000000007</v>
      </c>
      <c r="AF64" s="1357">
        <f t="shared" si="76"/>
        <v>-31.200000000000017</v>
      </c>
      <c r="AG64" s="1357">
        <f t="shared" si="76"/>
        <v>115.39999999999992</v>
      </c>
      <c r="AH64" s="1357">
        <f>+AH52-AH59</f>
        <v>267.8</v>
      </c>
      <c r="AI64" s="1357">
        <f>+AI52-AI59</f>
        <v>268.8</v>
      </c>
      <c r="AJ64" s="1357">
        <f>+AJ52-AJ59</f>
        <v>303.39999999999998</v>
      </c>
      <c r="AK64" s="1357">
        <f t="shared" si="76"/>
        <v>0</v>
      </c>
      <c r="AL64" s="1357">
        <f t="shared" si="76"/>
        <v>0</v>
      </c>
      <c r="AM64" s="1357">
        <f t="shared" ref="AM64:AU64" si="93">+AM52-AM59</f>
        <v>0</v>
      </c>
      <c r="AN64" s="3013">
        <f t="shared" si="93"/>
        <v>0</v>
      </c>
      <c r="AO64" s="3013">
        <f t="shared" si="93"/>
        <v>0</v>
      </c>
      <c r="AP64" s="3013">
        <f t="shared" si="93"/>
        <v>0</v>
      </c>
      <c r="AQ64" s="3013">
        <f t="shared" si="93"/>
        <v>0</v>
      </c>
      <c r="AR64" s="3013">
        <f t="shared" si="93"/>
        <v>0</v>
      </c>
      <c r="AS64" s="3013">
        <f t="shared" si="93"/>
        <v>0</v>
      </c>
      <c r="AT64" s="3013">
        <f t="shared" si="93"/>
        <v>0</v>
      </c>
      <c r="AU64" s="3013">
        <f t="shared" si="93"/>
        <v>0</v>
      </c>
      <c r="AV64" s="3013">
        <f t="shared" si="77"/>
        <v>0</v>
      </c>
      <c r="AW64" s="3013">
        <f t="shared" si="77"/>
        <v>0</v>
      </c>
      <c r="AX64" s="3013">
        <f t="shared" si="77"/>
        <v>0</v>
      </c>
      <c r="AY64" s="1373"/>
      <c r="AZ64" s="1373"/>
      <c r="BA64" s="1373"/>
      <c r="BB64" s="1373"/>
      <c r="BC64" s="1373"/>
      <c r="BD64" s="1373"/>
      <c r="BE64" s="1109"/>
      <c r="BF64" s="14">
        <f t="shared" si="78"/>
        <v>101.8755</v>
      </c>
      <c r="BG64" s="14">
        <f t="shared" si="78"/>
        <v>159.37550000000002</v>
      </c>
      <c r="BH64" s="14">
        <f t="shared" si="78"/>
        <v>149.88550000000001</v>
      </c>
      <c r="BI64" s="14">
        <f t="shared" si="78"/>
        <v>156.70050000000001</v>
      </c>
      <c r="BJ64" s="11"/>
      <c r="BK64" s="14">
        <f t="shared" si="79"/>
        <v>117.96025000000003</v>
      </c>
      <c r="BL64" s="14">
        <f t="shared" si="79"/>
        <v>159.17255</v>
      </c>
      <c r="BM64" s="14">
        <f t="shared" si="79"/>
        <v>157.67027569999982</v>
      </c>
      <c r="BN64" s="14">
        <f t="shared" si="79"/>
        <v>90.287753800000189</v>
      </c>
      <c r="BO64" s="11"/>
      <c r="BP64" s="14">
        <f t="shared" si="80"/>
        <v>107.38605000000004</v>
      </c>
      <c r="BQ64" s="14">
        <f t="shared" si="80"/>
        <v>145.37775600000003</v>
      </c>
      <c r="BR64" s="14">
        <f t="shared" si="80"/>
        <v>128.51320000000001</v>
      </c>
      <c r="BS64" s="14">
        <f t="shared" si="80"/>
        <v>105.54979519999999</v>
      </c>
      <c r="BT64" s="11"/>
      <c r="BU64" s="14">
        <f t="shared" si="81"/>
        <v>92.679346762413246</v>
      </c>
      <c r="BV64" s="14">
        <f t="shared" si="81"/>
        <v>131.78630176241327</v>
      </c>
      <c r="BW64" s="14">
        <f t="shared" si="81"/>
        <v>101.0502717624133</v>
      </c>
      <c r="BX64" s="14">
        <f t="shared" si="81"/>
        <v>97.565661762413214</v>
      </c>
      <c r="BY64" s="95"/>
      <c r="BZ64" s="14">
        <f t="shared" si="82"/>
        <v>38.174062499999998</v>
      </c>
      <c r="CA64" s="14">
        <f t="shared" si="82"/>
        <v>83.774062499999985</v>
      </c>
      <c r="CB64" s="14">
        <f t="shared" si="82"/>
        <v>75.874062500000008</v>
      </c>
      <c r="CC64" s="14">
        <f t="shared" si="82"/>
        <v>72.474062499999988</v>
      </c>
      <c r="CD64" s="377"/>
      <c r="CE64" s="14">
        <f t="shared" si="83"/>
        <v>37.704999999999991</v>
      </c>
      <c r="CF64" s="14">
        <f t="shared" si="83"/>
        <v>90.60499999999999</v>
      </c>
      <c r="CG64" s="14">
        <f t="shared" si="83"/>
        <v>56.805000000000007</v>
      </c>
      <c r="CH64" s="14">
        <f t="shared" si="83"/>
        <v>75.081250000000011</v>
      </c>
      <c r="CI64" s="53"/>
      <c r="CJ64" s="14">
        <f t="shared" si="84"/>
        <v>26.104999999999997</v>
      </c>
      <c r="CK64" s="14">
        <f t="shared" si="84"/>
        <v>89.905000000000001</v>
      </c>
      <c r="CL64" s="14">
        <f t="shared" si="84"/>
        <v>69.905000000000001</v>
      </c>
      <c r="CM64" s="14">
        <f t="shared" si="84"/>
        <v>97.181250000000006</v>
      </c>
      <c r="CN64" s="49">
        <f>+X64-SUM(CJ64:CM64)</f>
        <v>0</v>
      </c>
      <c r="CO64" s="14">
        <f t="shared" si="85"/>
        <v>26.104999999999997</v>
      </c>
      <c r="CP64" s="14">
        <f t="shared" si="85"/>
        <v>89.905000000000001</v>
      </c>
      <c r="CQ64" s="14">
        <f t="shared" si="85"/>
        <v>69.905000000000001</v>
      </c>
      <c r="CR64" s="14">
        <f t="shared" si="85"/>
        <v>97.181250000000006</v>
      </c>
      <c r="CS64" s="49">
        <f>+AA64-SUM(CO64:CR64)</f>
        <v>0</v>
      </c>
      <c r="CT64" s="14">
        <f t="shared" si="86"/>
        <v>29.051100000000005</v>
      </c>
      <c r="CU64" s="14">
        <f t="shared" si="86"/>
        <v>91.7</v>
      </c>
      <c r="CV64" s="14">
        <f t="shared" si="86"/>
        <v>78.451100000000011</v>
      </c>
      <c r="CW64" s="14">
        <f t="shared" si="86"/>
        <v>114.63997499999999</v>
      </c>
      <c r="CX64" s="49">
        <f>AB64-SUM(CT64:CW64)</f>
        <v>0</v>
      </c>
      <c r="CY64" s="14">
        <f t="shared" si="87"/>
        <v>57.024999999999991</v>
      </c>
      <c r="CZ64" s="14">
        <f>+CZ52-CZ59</f>
        <v>119.22499999999999</v>
      </c>
      <c r="DA64" s="14">
        <f t="shared" si="87"/>
        <v>102.82499999999999</v>
      </c>
      <c r="DB64" s="14">
        <f t="shared" si="87"/>
        <v>126.02500000000001</v>
      </c>
      <c r="DC64" s="871">
        <f>AC64-SUM(CY64:DB64)</f>
        <v>0</v>
      </c>
      <c r="DD64" s="14">
        <f t="shared" si="88"/>
        <v>59.75</v>
      </c>
      <c r="DE64" s="14">
        <f t="shared" si="88"/>
        <v>128.05000000000001</v>
      </c>
      <c r="DF64" s="14">
        <f t="shared" si="88"/>
        <v>112.55</v>
      </c>
      <c r="DG64" s="14">
        <f t="shared" si="88"/>
        <v>155.55000000000001</v>
      </c>
      <c r="DH64" s="357">
        <f>AD64-SUM(DD64:DG64)</f>
        <v>0</v>
      </c>
      <c r="DI64" s="14">
        <f t="shared" si="89"/>
        <v>56.6</v>
      </c>
      <c r="DJ64" s="14">
        <f t="shared" si="89"/>
        <v>107.49999999999999</v>
      </c>
      <c r="DK64" s="14">
        <f t="shared" si="89"/>
        <v>69</v>
      </c>
      <c r="DL64" s="14">
        <f t="shared" si="89"/>
        <v>47.7</v>
      </c>
      <c r="DM64" s="357">
        <f>AE64-SUM(DI64:DL64)</f>
        <v>0</v>
      </c>
      <c r="DN64" s="14">
        <f t="shared" si="90"/>
        <v>-25.699999999999996</v>
      </c>
      <c r="DO64" s="14">
        <f t="shared" si="90"/>
        <v>-9.7999999999999972</v>
      </c>
      <c r="DP64" s="14">
        <f t="shared" si="90"/>
        <v>-22.4</v>
      </c>
      <c r="DQ64" s="14">
        <f t="shared" si="90"/>
        <v>26.700000000000003</v>
      </c>
      <c r="DR64" s="538">
        <f>AF64-SUM(DN64:DQ64)</f>
        <v>-2.8421709430404007E-14</v>
      </c>
      <c r="DS64" s="14">
        <f t="shared" si="91"/>
        <v>-11.774999999999999</v>
      </c>
      <c r="DT64" s="14">
        <f t="shared" si="91"/>
        <v>32.424999999999997</v>
      </c>
      <c r="DU64" s="14">
        <f t="shared" si="91"/>
        <v>34.425000000000004</v>
      </c>
      <c r="DV64" s="14">
        <f t="shared" si="91"/>
        <v>60.324999999999996</v>
      </c>
      <c r="DW64" s="538">
        <f t="shared" si="92"/>
        <v>0</v>
      </c>
      <c r="DX64" s="862"/>
      <c r="DY64" s="862"/>
      <c r="DZ64" s="862"/>
      <c r="EA64" s="862"/>
      <c r="EB64" s="862"/>
      <c r="EH64" s="1048"/>
      <c r="EI64" s="1048"/>
      <c r="EJ64" s="1048"/>
      <c r="EK64" s="1048"/>
      <c r="EM64" s="1048"/>
      <c r="FL64" s="1048"/>
    </row>
    <row r="65" spans="1:168">
      <c r="A65" s="369" t="s">
        <v>683</v>
      </c>
      <c r="B65" s="14"/>
      <c r="C65" s="14">
        <f>+C54-C60</f>
        <v>774.3</v>
      </c>
      <c r="D65" s="14"/>
      <c r="E65" s="14">
        <f>+E54-E60</f>
        <v>1224.5999999999999</v>
      </c>
      <c r="F65" s="14">
        <f>+F54-F60</f>
        <v>1224.5999999999999</v>
      </c>
      <c r="G65" s="14"/>
      <c r="H65" s="14"/>
      <c r="I65" s="14">
        <f>+I54-I60</f>
        <v>1035.163</v>
      </c>
      <c r="J65" s="14"/>
      <c r="K65" s="14">
        <f t="shared" ref="K65:P65" si="94">+K54-K60</f>
        <v>1458.8689999999999</v>
      </c>
      <c r="L65" s="14">
        <f t="shared" si="94"/>
        <v>1458.8689999999999</v>
      </c>
      <c r="M65" s="14">
        <f t="shared" si="94"/>
        <v>1721.6</v>
      </c>
      <c r="N65" s="14">
        <f t="shared" si="94"/>
        <v>1641.9799999999998</v>
      </c>
      <c r="O65" s="14">
        <f t="shared" si="94"/>
        <v>1641.9799999999998</v>
      </c>
      <c r="P65" s="14">
        <f t="shared" si="94"/>
        <v>1403.8830542791395</v>
      </c>
      <c r="Q65" s="395">
        <f>+R65-P65</f>
        <v>-1.4599095190399112</v>
      </c>
      <c r="R65" s="395">
        <f>+R54-R60</f>
        <v>1402.4231447600996</v>
      </c>
      <c r="S65" s="14">
        <f>+S54-S60</f>
        <v>1402.4231447600996</v>
      </c>
      <c r="T65" s="395">
        <f>+T54-T60</f>
        <v>1287.125</v>
      </c>
      <c r="U65" s="395">
        <f>+U54-U60</f>
        <v>1244.2249999999999</v>
      </c>
      <c r="V65" s="395"/>
      <c r="W65" s="395"/>
      <c r="X65" s="396">
        <f t="shared" ref="X65:AO65" si="95">+X54-X60</f>
        <v>1210.625</v>
      </c>
      <c r="Y65" s="14">
        <f t="shared" si="95"/>
        <v>1287.125</v>
      </c>
      <c r="Z65" s="14">
        <f t="shared" si="95"/>
        <v>1244.2249999999999</v>
      </c>
      <c r="AA65" s="14">
        <f t="shared" si="95"/>
        <v>1210.625</v>
      </c>
      <c r="AB65" s="395">
        <f t="shared" si="95"/>
        <v>1216.1555000000001</v>
      </c>
      <c r="AC65" s="395">
        <f t="shared" si="95"/>
        <v>1201.5</v>
      </c>
      <c r="AD65" s="395">
        <f t="shared" si="95"/>
        <v>1117.2999999999997</v>
      </c>
      <c r="AE65" s="396">
        <f t="shared" si="95"/>
        <v>808.50000000000023</v>
      </c>
      <c r="AF65" s="2438">
        <f t="shared" si="95"/>
        <v>268.12365782972216</v>
      </c>
      <c r="AG65" s="2438">
        <f t="shared" si="95"/>
        <v>527.89374140411485</v>
      </c>
      <c r="AH65" s="2438">
        <f t="shared" si="95"/>
        <v>651.26</v>
      </c>
      <c r="AI65" s="2438">
        <f t="shared" si="95"/>
        <v>669.42000000000007</v>
      </c>
      <c r="AJ65" s="2438">
        <f t="shared" si="95"/>
        <v>699.48000000000013</v>
      </c>
      <c r="AK65" s="2438">
        <f t="shared" si="95"/>
        <v>379.11</v>
      </c>
      <c r="AL65" s="2438">
        <f t="shared" si="95"/>
        <v>278</v>
      </c>
      <c r="AM65" s="2438">
        <f t="shared" si="95"/>
        <v>300</v>
      </c>
      <c r="AN65" s="3021">
        <f t="shared" si="95"/>
        <v>0</v>
      </c>
      <c r="AO65" s="3021">
        <f t="shared" si="95"/>
        <v>0</v>
      </c>
      <c r="AP65" s="3021">
        <f t="shared" ref="AP65:AU65" si="96">+AP54-AP60</f>
        <v>0</v>
      </c>
      <c r="AQ65" s="3021">
        <f t="shared" si="96"/>
        <v>0</v>
      </c>
      <c r="AR65" s="3021">
        <f t="shared" si="96"/>
        <v>0</v>
      </c>
      <c r="AS65" s="3021">
        <f t="shared" si="96"/>
        <v>0</v>
      </c>
      <c r="AT65" s="3021">
        <f t="shared" si="96"/>
        <v>0</v>
      </c>
      <c r="AU65" s="3021">
        <f t="shared" si="96"/>
        <v>0</v>
      </c>
      <c r="AV65" s="3021">
        <f>+AV54-AV60</f>
        <v>0</v>
      </c>
      <c r="AW65" s="3021">
        <f>+AW54-AW60</f>
        <v>0</v>
      </c>
      <c r="AX65" s="3021">
        <f>+AX54-AX60</f>
        <v>0</v>
      </c>
      <c r="AY65" s="2439"/>
      <c r="AZ65" s="2439"/>
      <c r="BA65" s="2439"/>
      <c r="BB65" s="2439"/>
      <c r="BC65" s="2439"/>
      <c r="BD65" s="2439"/>
      <c r="BE65" s="1373"/>
      <c r="BF65" s="14">
        <f>+BF54-BF60</f>
        <v>248.24224999999998</v>
      </c>
      <c r="BG65" s="14">
        <f>+BG54-BG60</f>
        <v>386.84224999999998</v>
      </c>
      <c r="BH65" s="14">
        <f>+BH54-BH60</f>
        <v>390.54224999999997</v>
      </c>
      <c r="BI65" s="14">
        <f>+BI54-BI60</f>
        <v>433.24224999999996</v>
      </c>
      <c r="BJ65" s="14"/>
      <c r="BK65" s="14">
        <f>+BK54-BK60</f>
        <v>323.60000000000002</v>
      </c>
      <c r="BL65" s="14">
        <f>+BL54-BL60</f>
        <v>440.8</v>
      </c>
      <c r="BM65" s="14">
        <f>+BM54-BM60</f>
        <v>437.1</v>
      </c>
      <c r="BN65" s="14">
        <f>+BN54-BN60</f>
        <v>463.2</v>
      </c>
      <c r="BO65" s="14"/>
      <c r="BP65" s="14">
        <f>+BP54-BP60</f>
        <v>323.60000000000002</v>
      </c>
      <c r="BQ65" s="14">
        <f>+BQ54-BQ60</f>
        <v>440.8</v>
      </c>
      <c r="BR65" s="14">
        <f>+BR54-BR60</f>
        <v>435.96000000000004</v>
      </c>
      <c r="BS65" s="14">
        <f>+BS54-BS60</f>
        <v>414.98</v>
      </c>
      <c r="BT65" s="13"/>
      <c r="BU65" s="14">
        <f>+BU54-BU60</f>
        <v>293.3557861900249</v>
      </c>
      <c r="BV65" s="14">
        <f>+BV54-BV60</f>
        <v>407.8557861900249</v>
      </c>
      <c r="BW65" s="14">
        <f>+BW54-BW60</f>
        <v>344.65578619002491</v>
      </c>
      <c r="BX65" s="14">
        <f>+BX54-BX60</f>
        <v>356.55578619002489</v>
      </c>
      <c r="BY65" s="4"/>
      <c r="BZ65" s="14">
        <f>+BZ54-BZ60</f>
        <v>230.28125</v>
      </c>
      <c r="CA65" s="14">
        <f>+CA54-CA60</f>
        <v>365.48125000000005</v>
      </c>
      <c r="CB65" s="14">
        <f>+CB54-CB60</f>
        <v>336.88124999999997</v>
      </c>
      <c r="CC65" s="14">
        <f>+CC54-CC60</f>
        <v>354.48124999999999</v>
      </c>
      <c r="CD65" s="377"/>
      <c r="CE65" s="14">
        <f>+CE54-CE60</f>
        <v>231.38125000000002</v>
      </c>
      <c r="CF65" s="14">
        <f>+CF54-CF60</f>
        <v>359.68124999999998</v>
      </c>
      <c r="CG65" s="14">
        <f>+CG54-CG60</f>
        <v>326.08125000000007</v>
      </c>
      <c r="CH65" s="14">
        <f>+CH54-CH60</f>
        <v>327.28125000000006</v>
      </c>
      <c r="CI65" s="254"/>
      <c r="CJ65" s="14">
        <f>+CJ54-CJ60</f>
        <v>228.38124999999999</v>
      </c>
      <c r="CK65" s="14">
        <f>+CK54-CK60</f>
        <v>359.48125000000005</v>
      </c>
      <c r="CL65" s="14">
        <f>+CL54-CL60</f>
        <v>294.88125000000002</v>
      </c>
      <c r="CM65" s="14">
        <f>+CM54-CM60</f>
        <v>327.88124999999997</v>
      </c>
      <c r="CN65" s="49">
        <f>+X65-SUM(CJ65:CM65)</f>
        <v>0</v>
      </c>
      <c r="CO65" s="14">
        <f>+CO54-CO60</f>
        <v>228.38124999999999</v>
      </c>
      <c r="CP65" s="14">
        <f>+CP54-CP60</f>
        <v>359.48125000000005</v>
      </c>
      <c r="CQ65" s="14">
        <f>+CQ54-CQ60</f>
        <v>294.88125000000002</v>
      </c>
      <c r="CR65" s="14">
        <f>+CR54-CR60</f>
        <v>327.88124999999997</v>
      </c>
      <c r="CS65" s="49">
        <f>+AA65-SUM(CO65:CR65)</f>
        <v>0</v>
      </c>
      <c r="CT65" s="14">
        <f>+CT54-CT60</f>
        <v>221.688875</v>
      </c>
      <c r="CU65" s="14">
        <f>+CU54-CU60</f>
        <v>367.09999999999997</v>
      </c>
      <c r="CV65" s="14">
        <f>+CV54-CV60</f>
        <v>306.78887500000002</v>
      </c>
      <c r="CW65" s="14">
        <f>+CW54-CW60</f>
        <v>320.57774999999998</v>
      </c>
      <c r="CX65" s="49">
        <f>AB65-SUM(CT65:CW65)</f>
        <v>0</v>
      </c>
      <c r="CY65" s="14">
        <f>+CY54-CY60</f>
        <v>221.875</v>
      </c>
      <c r="CZ65" s="14">
        <f>+CZ54-CZ60</f>
        <v>341.07499999999999</v>
      </c>
      <c r="DA65" s="14">
        <f>+DA54-DA60</f>
        <v>306.77499999999998</v>
      </c>
      <c r="DB65" s="14">
        <f>+DB54-DB60</f>
        <v>331.77500000000003</v>
      </c>
      <c r="DC65" s="871">
        <f>AC65-SUM(CY65:DB65)</f>
        <v>0</v>
      </c>
      <c r="DD65" s="14">
        <f>+DD54-DD60</f>
        <v>214.89999999999998</v>
      </c>
      <c r="DE65" s="14">
        <f>+DE54-DE60</f>
        <v>309.20000000000005</v>
      </c>
      <c r="DF65" s="14">
        <f>+DF54-DF60</f>
        <v>276.3</v>
      </c>
      <c r="DG65" s="14">
        <f>+DG54-DG60</f>
        <v>316.90000000000003</v>
      </c>
      <c r="DH65" s="357">
        <f>AD65-SUM(DD65:DG65)</f>
        <v>0</v>
      </c>
      <c r="DI65" s="14">
        <f>+DI54-DI60</f>
        <v>183.35000000000002</v>
      </c>
      <c r="DJ65" s="14">
        <f>+DJ54-DJ60</f>
        <v>259.94999999999993</v>
      </c>
      <c r="DK65" s="14">
        <f>+DK54-DK60</f>
        <v>201.54999999999998</v>
      </c>
      <c r="DL65" s="14">
        <f>+DL54-DL60</f>
        <v>163.64999999999998</v>
      </c>
      <c r="DM65" s="357">
        <f>AE65-SUM(DI65:DL65)</f>
        <v>0</v>
      </c>
      <c r="DN65" s="14">
        <f>+DN54-DN60</f>
        <v>19.750000000000014</v>
      </c>
      <c r="DO65" s="14">
        <f>+DO54-DO60</f>
        <v>77.95</v>
      </c>
      <c r="DP65" s="14">
        <f>+DP54-DP60</f>
        <v>62.149999999999991</v>
      </c>
      <c r="DQ65" s="14">
        <f>+DQ54-DQ60</f>
        <v>108.2736578297221</v>
      </c>
      <c r="DR65" s="538">
        <f>AF65-SUM(DN65:DQ65)</f>
        <v>0</v>
      </c>
      <c r="DS65" s="14">
        <f>+DS54-DS60</f>
        <v>60.074999999999996</v>
      </c>
      <c r="DT65" s="14">
        <f>+DT54-DT60</f>
        <v>147.59300000000005</v>
      </c>
      <c r="DU65" s="14">
        <f>+DU54-DU60</f>
        <v>143.10900000000004</v>
      </c>
      <c r="DV65" s="14">
        <f>+DV54-DV60</f>
        <v>177.11674140411503</v>
      </c>
      <c r="DW65" s="538">
        <f t="shared" si="92"/>
        <v>0</v>
      </c>
      <c r="DX65" s="862"/>
      <c r="DY65" s="862"/>
      <c r="DZ65" s="862"/>
      <c r="EA65" s="862"/>
      <c r="EB65" s="862"/>
      <c r="EH65" s="1048"/>
      <c r="EI65" s="1048"/>
      <c r="EJ65" s="1048"/>
      <c r="EK65" s="1048"/>
      <c r="EM65" s="1048"/>
      <c r="FL65" s="1048"/>
    </row>
    <row r="66" spans="1:168" ht="4.5" customHeight="1">
      <c r="A66" s="376"/>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08"/>
      <c r="AG66" s="1108"/>
      <c r="AH66" s="1108"/>
      <c r="AI66" s="1108"/>
      <c r="AJ66" s="1108"/>
      <c r="AK66" s="1108"/>
      <c r="AL66" s="1108"/>
      <c r="AM66" s="1108"/>
      <c r="AN66" s="3016"/>
      <c r="AO66" s="3016"/>
      <c r="AP66" s="3016"/>
      <c r="AQ66" s="3016"/>
      <c r="AR66" s="3016"/>
      <c r="AS66" s="3016"/>
      <c r="AT66" s="3016"/>
      <c r="AU66" s="3016"/>
      <c r="AV66" s="3016"/>
      <c r="AW66" s="3016"/>
      <c r="AX66" s="3020"/>
      <c r="AY66" s="1109"/>
      <c r="AZ66" s="1109"/>
      <c r="BA66" s="1109"/>
      <c r="BB66" s="1109"/>
      <c r="BC66" s="1109"/>
      <c r="BD66" s="1109"/>
      <c r="BE66" s="1109"/>
      <c r="BF66" s="11"/>
      <c r="BG66" s="11"/>
      <c r="BH66" s="11"/>
      <c r="BI66" s="11"/>
      <c r="BJ66" s="11"/>
      <c r="BK66" s="11"/>
      <c r="BL66" s="11"/>
      <c r="BM66" s="11"/>
      <c r="BN66" s="11"/>
      <c r="BO66" s="11"/>
      <c r="BP66" s="11"/>
      <c r="BQ66" s="11"/>
      <c r="BR66" s="11"/>
      <c r="BS66" s="11"/>
      <c r="BT66" s="11"/>
      <c r="BU66" s="11"/>
      <c r="BV66" s="11"/>
      <c r="BW66" s="11"/>
      <c r="BX66" s="11"/>
      <c r="BY66" s="95"/>
      <c r="BZ66" s="11"/>
      <c r="CA66" s="11"/>
      <c r="CB66" s="11"/>
      <c r="CC66" s="11"/>
      <c r="CD66" s="377"/>
      <c r="CE66" s="11"/>
      <c r="CF66" s="11"/>
      <c r="CG66" s="11"/>
      <c r="CH66" s="11"/>
      <c r="CI66" s="53"/>
      <c r="CJ66" s="11"/>
      <c r="CK66" s="11"/>
      <c r="CL66" s="11"/>
      <c r="CM66" s="11"/>
      <c r="CN66" s="49"/>
      <c r="CO66" s="11"/>
      <c r="CP66" s="11"/>
      <c r="CQ66" s="11"/>
      <c r="CR66" s="11"/>
      <c r="CS66" s="49"/>
      <c r="CT66" s="11"/>
      <c r="CU66" s="14"/>
      <c r="CV66" s="14"/>
      <c r="CW66" s="14"/>
      <c r="CX66" s="49"/>
      <c r="CY66" s="352" t="s">
        <v>337</v>
      </c>
      <c r="CZ66" s="352" t="s">
        <v>337</v>
      </c>
      <c r="DA66" s="352"/>
      <c r="DB66" s="352"/>
      <c r="DC66" s="11"/>
      <c r="DD66" s="352" t="s">
        <v>337</v>
      </c>
      <c r="DE66" s="352" t="s">
        <v>337</v>
      </c>
      <c r="DF66" s="352"/>
      <c r="DG66" s="352"/>
      <c r="DH66" s="304"/>
      <c r="DI66" s="352" t="s">
        <v>337</v>
      </c>
      <c r="DJ66" s="352" t="s">
        <v>337</v>
      </c>
      <c r="DK66" s="352"/>
      <c r="DL66" s="352"/>
      <c r="DM66" s="304"/>
      <c r="DN66" s="11"/>
      <c r="DO66" s="11"/>
      <c r="DP66" s="11"/>
      <c r="DQ66" s="11"/>
      <c r="DR66" s="11"/>
      <c r="DW66" s="538"/>
      <c r="DX66" s="862"/>
      <c r="DY66" s="862"/>
      <c r="DZ66" s="862"/>
      <c r="EA66" s="862"/>
      <c r="EB66" s="862"/>
      <c r="EH66" s="1048"/>
      <c r="EI66" s="1048"/>
      <c r="EJ66" s="1048"/>
      <c r="EK66" s="1048"/>
      <c r="EM66" s="1048"/>
      <c r="FL66" s="1048"/>
    </row>
    <row r="67" spans="1:168">
      <c r="A67" s="379" t="s">
        <v>653</v>
      </c>
      <c r="B67" s="11"/>
      <c r="C67" s="11"/>
      <c r="D67" s="11"/>
      <c r="E67" s="49">
        <f>0.7*E69</f>
        <v>654.2125923765783</v>
      </c>
      <c r="F67" s="49">
        <f>0.7*F69</f>
        <v>654.2125923765783</v>
      </c>
      <c r="G67" s="11"/>
      <c r="H67" s="11"/>
      <c r="I67" s="49">
        <f>0.7*I69</f>
        <v>654.2125923765783</v>
      </c>
      <c r="J67" s="11"/>
      <c r="K67" s="49">
        <f>0.7*K69</f>
        <v>654.2125923765783</v>
      </c>
      <c r="L67" s="49">
        <f>0.7*L69</f>
        <v>654.2125923765783</v>
      </c>
      <c r="M67" s="11"/>
      <c r="N67" s="49">
        <f>0.7*N69</f>
        <v>864.43000000000006</v>
      </c>
      <c r="O67" s="49">
        <f>0.7*O69</f>
        <v>864.43000000000006</v>
      </c>
      <c r="P67" s="49">
        <f>0.7*P69</f>
        <v>782.36666666666667</v>
      </c>
      <c r="Q67" s="11"/>
      <c r="R67" s="49">
        <f>0.7*R69</f>
        <v>805</v>
      </c>
      <c r="S67" s="49">
        <f>0.7*S69</f>
        <v>805</v>
      </c>
      <c r="T67" s="14">
        <f>T69*0.15</f>
        <v>9.2287499999999998</v>
      </c>
      <c r="U67" s="14">
        <f>U69*0.15</f>
        <v>9.2287499999999998</v>
      </c>
      <c r="V67" s="11"/>
      <c r="W67" s="11"/>
      <c r="X67" s="14">
        <f>X69*0.15</f>
        <v>9.2287499999999998</v>
      </c>
      <c r="Y67" s="14">
        <f>Y69*0.15</f>
        <v>9.2287499999999998</v>
      </c>
      <c r="Z67" s="14">
        <f>Z69*0.15</f>
        <v>9.2287499999999998</v>
      </c>
      <c r="AA67" s="14">
        <f>AA69*0.15</f>
        <v>9.2287499999999998</v>
      </c>
      <c r="AB67" s="64">
        <f>AA67*1.02</f>
        <v>9.4133250000000004</v>
      </c>
      <c r="AC67" s="73">
        <v>9</v>
      </c>
      <c r="AD67" s="64">
        <v>7</v>
      </c>
      <c r="AE67" s="64">
        <v>7</v>
      </c>
      <c r="AF67" s="1379">
        <v>7</v>
      </c>
      <c r="AG67" s="1379">
        <v>7</v>
      </c>
      <c r="AH67" s="1379">
        <v>0</v>
      </c>
      <c r="AI67" s="1379">
        <v>0</v>
      </c>
      <c r="AJ67" s="1379">
        <v>0</v>
      </c>
      <c r="AK67" s="1379">
        <f>AJ67</f>
        <v>0</v>
      </c>
      <c r="AL67" s="1379">
        <v>0</v>
      </c>
      <c r="AM67" s="1379">
        <v>0</v>
      </c>
      <c r="AN67" s="3012">
        <v>0</v>
      </c>
      <c r="AO67" s="3012">
        <v>0</v>
      </c>
      <c r="AP67" s="3012">
        <v>0</v>
      </c>
      <c r="AQ67" s="3012">
        <v>0</v>
      </c>
      <c r="AR67" s="3012">
        <v>0</v>
      </c>
      <c r="AS67" s="3012">
        <v>0</v>
      </c>
      <c r="AT67" s="3012">
        <v>0</v>
      </c>
      <c r="AU67" s="3012">
        <v>0</v>
      </c>
      <c r="AV67" s="3012">
        <v>0</v>
      </c>
      <c r="AW67" s="3012">
        <v>0</v>
      </c>
      <c r="AX67" s="3012">
        <v>0</v>
      </c>
      <c r="AY67" s="1850"/>
      <c r="AZ67" s="1850"/>
      <c r="BA67" s="1850"/>
      <c r="BB67" s="1850"/>
      <c r="BC67" s="1850"/>
      <c r="BD67" s="1850"/>
      <c r="BE67" s="1109"/>
      <c r="BF67" s="14">
        <f>BF69*0.7</f>
        <v>161.06814809414462</v>
      </c>
      <c r="BG67" s="14">
        <f>BG69*0.7</f>
        <v>163.58814809414469</v>
      </c>
      <c r="BH67" s="14">
        <f>BH69*0.7</f>
        <v>164.77814809414451</v>
      </c>
      <c r="BI67" s="14">
        <f>BI69*0.7</f>
        <v>164.77814809414451</v>
      </c>
      <c r="BJ67" s="14"/>
      <c r="BK67" s="14">
        <f>BK69*0.7</f>
        <v>154</v>
      </c>
      <c r="BL67" s="14">
        <f>BL69*0.7</f>
        <v>154</v>
      </c>
      <c r="BM67" s="14">
        <f>BM69*0.7</f>
        <v>154</v>
      </c>
      <c r="BN67" s="14">
        <f>BN69*0.7</f>
        <v>216.10750000000002</v>
      </c>
      <c r="BO67" s="11"/>
      <c r="BP67" s="14">
        <f>BP69*0.7</f>
        <v>216.10750000000002</v>
      </c>
      <c r="BQ67" s="14">
        <f>BQ69*0.7</f>
        <v>216.10750000000002</v>
      </c>
      <c r="BR67" s="14">
        <f>BR69*0.7</f>
        <v>216.10750000000002</v>
      </c>
      <c r="BS67" s="14">
        <f>BS69*0.7</f>
        <v>216.10750000000002</v>
      </c>
      <c r="BT67" s="11"/>
      <c r="BU67" s="14">
        <f>BU69*0.7</f>
        <v>210</v>
      </c>
      <c r="BV67" s="14">
        <f>BV69*0.7</f>
        <v>210</v>
      </c>
      <c r="BW67" s="14">
        <f>BW69*0.7</f>
        <v>210</v>
      </c>
      <c r="BX67" s="14">
        <f>BX69*0.7</f>
        <v>175</v>
      </c>
      <c r="BY67" s="95"/>
      <c r="BZ67" s="14">
        <f>BZ69*0.2</f>
        <v>3.0762499999999999</v>
      </c>
      <c r="CA67" s="14">
        <f>CA69*0.2</f>
        <v>3.0762499999999999</v>
      </c>
      <c r="CB67" s="14">
        <f>CB69*0.2</f>
        <v>3.0762499999999999</v>
      </c>
      <c r="CC67" s="167">
        <f>Y67-SUM(BZ67:CB67)</f>
        <v>0</v>
      </c>
      <c r="CD67" s="377"/>
      <c r="CE67" s="14">
        <f>CE69*0.2</f>
        <v>3.0762499999999999</v>
      </c>
      <c r="CF67" s="14">
        <f>CF69*0.2</f>
        <v>3.0762499999999999</v>
      </c>
      <c r="CG67" s="14">
        <f>CG69*0.2</f>
        <v>3.0762499999999999</v>
      </c>
      <c r="CH67" s="167">
        <f>+U67-SUM(CE67:CG67)</f>
        <v>0</v>
      </c>
      <c r="CI67" s="53"/>
      <c r="CJ67" s="14">
        <f>CJ69*0.2</f>
        <v>3.0762499999999999</v>
      </c>
      <c r="CK67" s="14">
        <f t="shared" ref="CK67:CV67" si="97">CK69*0.2</f>
        <v>3.0762499999999999</v>
      </c>
      <c r="CL67" s="14">
        <f t="shared" si="97"/>
        <v>3.0762499999999999</v>
      </c>
      <c r="CM67" s="167">
        <f>+X67-SUM(CJ67:CL67)</f>
        <v>0</v>
      </c>
      <c r="CN67" s="49">
        <f>+X67-SUM(CJ67:CM67)</f>
        <v>0</v>
      </c>
      <c r="CO67" s="14">
        <f t="shared" si="97"/>
        <v>3.0762499999999999</v>
      </c>
      <c r="CP67" s="14">
        <f t="shared" si="97"/>
        <v>3.0762499999999999</v>
      </c>
      <c r="CQ67" s="14">
        <f t="shared" si="97"/>
        <v>3.0762499999999999</v>
      </c>
      <c r="CR67" s="167">
        <f>+X67-SUM(CO67:CQ67)</f>
        <v>0</v>
      </c>
      <c r="CS67" s="49">
        <f>+AA67-SUM(CO67:CR67)</f>
        <v>0</v>
      </c>
      <c r="CT67" s="14">
        <f t="shared" si="97"/>
        <v>3.1377750000000004</v>
      </c>
      <c r="CU67" s="14">
        <f t="shared" si="97"/>
        <v>2.5</v>
      </c>
      <c r="CV67" s="14">
        <f t="shared" si="97"/>
        <v>3.1377750000000004</v>
      </c>
      <c r="CW67" s="167">
        <f>AB67-SUM(CT67:CV67)</f>
        <v>0.63777499999999954</v>
      </c>
      <c r="CX67" s="49">
        <f>AB67-SUM(CT67:CW67)</f>
        <v>0</v>
      </c>
      <c r="CY67" s="14">
        <f t="shared" ref="CY67:DB68" si="98">CY202</f>
        <v>2.25</v>
      </c>
      <c r="CZ67" s="14">
        <f>CZ202</f>
        <v>2.25</v>
      </c>
      <c r="DA67" s="14">
        <f t="shared" si="98"/>
        <v>2.25</v>
      </c>
      <c r="DB67" s="14">
        <f t="shared" si="98"/>
        <v>2.25</v>
      </c>
      <c r="DC67" s="871">
        <f>AC67-SUM(CY67:DB67)</f>
        <v>0</v>
      </c>
      <c r="DD67" s="14">
        <f t="shared" ref="DD67:DG68" si="99">DD202</f>
        <v>1.75</v>
      </c>
      <c r="DE67" s="14">
        <f t="shared" si="99"/>
        <v>1.75</v>
      </c>
      <c r="DF67" s="14">
        <f t="shared" si="99"/>
        <v>1.75</v>
      </c>
      <c r="DG67" s="14">
        <f t="shared" si="99"/>
        <v>1.75</v>
      </c>
      <c r="DH67" s="357">
        <f>AD67-SUM(DD67:DG67)</f>
        <v>0</v>
      </c>
      <c r="DI67" s="14">
        <f t="shared" ref="DI67:DQ68" si="100">DI202</f>
        <v>1.75</v>
      </c>
      <c r="DJ67" s="14">
        <f t="shared" si="100"/>
        <v>1.75</v>
      </c>
      <c r="DK67" s="14">
        <f t="shared" si="100"/>
        <v>1.75</v>
      </c>
      <c r="DL67" s="14">
        <f t="shared" si="100"/>
        <v>1.75</v>
      </c>
      <c r="DM67" s="357">
        <f>AE67-SUM(DI67:DL67)</f>
        <v>0</v>
      </c>
      <c r="DN67" s="14">
        <f t="shared" si="100"/>
        <v>1.75</v>
      </c>
      <c r="DO67" s="14">
        <f t="shared" si="100"/>
        <v>1.75</v>
      </c>
      <c r="DP67" s="14">
        <f t="shared" si="100"/>
        <v>1.75</v>
      </c>
      <c r="DQ67" s="14">
        <f t="shared" si="100"/>
        <v>1.75</v>
      </c>
      <c r="DR67" s="538">
        <f>AF67-SUM(DN67:DQ67)</f>
        <v>0</v>
      </c>
      <c r="DS67" s="14">
        <f t="shared" ref="DS67:DV68" si="101">DS202</f>
        <v>1.75</v>
      </c>
      <c r="DT67" s="14">
        <f t="shared" si="101"/>
        <v>1.75</v>
      </c>
      <c r="DU67" s="14">
        <f t="shared" si="101"/>
        <v>1.75</v>
      </c>
      <c r="DV67" s="14">
        <f t="shared" si="101"/>
        <v>1.75</v>
      </c>
      <c r="DW67" s="538">
        <f t="shared" si="92"/>
        <v>0</v>
      </c>
      <c r="DX67" s="862"/>
      <c r="DY67" s="862"/>
      <c r="DZ67" s="862"/>
      <c r="EA67" s="862"/>
      <c r="EB67" s="862"/>
      <c r="EH67" s="1048"/>
      <c r="EI67" s="1048"/>
      <c r="EJ67" s="1048"/>
      <c r="EK67" s="1048"/>
      <c r="EM67" s="1048"/>
      <c r="FL67" s="1048"/>
    </row>
    <row r="68" spans="1:168">
      <c r="A68" s="379" t="s">
        <v>654</v>
      </c>
      <c r="B68" s="11"/>
      <c r="C68" s="11"/>
      <c r="D68" s="11"/>
      <c r="E68" s="167">
        <f>E69-E67</f>
        <v>280.37682530424797</v>
      </c>
      <c r="F68" s="167">
        <f>F69-F67</f>
        <v>280.37682530424797</v>
      </c>
      <c r="G68" s="11"/>
      <c r="H68" s="11"/>
      <c r="I68" s="167">
        <f>I69-I67</f>
        <v>280.37682530424797</v>
      </c>
      <c r="J68" s="11"/>
      <c r="K68" s="167">
        <f>K69-K67</f>
        <v>280.37682530424797</v>
      </c>
      <c r="L68" s="167">
        <f>L69-L67</f>
        <v>280.37682530424797</v>
      </c>
      <c r="M68" s="11"/>
      <c r="N68" s="167">
        <f>N69-N67</f>
        <v>370.47</v>
      </c>
      <c r="O68" s="167">
        <f>O69-O67</f>
        <v>370.47</v>
      </c>
      <c r="P68" s="167">
        <f>P69-P67</f>
        <v>335.30000000000007</v>
      </c>
      <c r="Q68" s="11"/>
      <c r="R68" s="167">
        <f>R69-R67</f>
        <v>345</v>
      </c>
      <c r="S68" s="167">
        <f>S69-S67</f>
        <v>345</v>
      </c>
      <c r="T68" s="167">
        <f>T69-T67</f>
        <v>52.296250000000001</v>
      </c>
      <c r="U68" s="167">
        <f>U69-U67</f>
        <v>52.296250000000001</v>
      </c>
      <c r="V68" s="11"/>
      <c r="W68" s="11"/>
      <c r="X68" s="167">
        <f>X69-X67</f>
        <v>52.296250000000001</v>
      </c>
      <c r="Y68" s="167">
        <f>Y69-Y67</f>
        <v>52.296250000000001</v>
      </c>
      <c r="Z68" s="167">
        <f>Z69-Z67</f>
        <v>52.296250000000001</v>
      </c>
      <c r="AA68" s="167">
        <f>AA69-AA67</f>
        <v>52.296250000000001</v>
      </c>
      <c r="AB68" s="64">
        <f>AA68*1.02</f>
        <v>53.342175000000005</v>
      </c>
      <c r="AC68" s="73">
        <v>53.3</v>
      </c>
      <c r="AD68" s="64">
        <v>51</v>
      </c>
      <c r="AE68" s="64">
        <v>50</v>
      </c>
      <c r="AF68" s="1379">
        <v>50</v>
      </c>
      <c r="AG68" s="1922">
        <f>+AG203</f>
        <v>75.699999999999989</v>
      </c>
      <c r="AH68" s="1922">
        <f>+AH203</f>
        <v>70.800000000000011</v>
      </c>
      <c r="AI68" s="1922">
        <f>+AI203</f>
        <v>59.800000000000004</v>
      </c>
      <c r="AJ68" s="1922">
        <f>+AJ203</f>
        <v>60.4</v>
      </c>
      <c r="AK68" s="1379">
        <v>0</v>
      </c>
      <c r="AL68" s="1379">
        <v>0</v>
      </c>
      <c r="AM68" s="1379">
        <v>0</v>
      </c>
      <c r="AN68" s="3012">
        <v>0</v>
      </c>
      <c r="AO68" s="3012">
        <v>0</v>
      </c>
      <c r="AP68" s="3012">
        <v>0</v>
      </c>
      <c r="AQ68" s="3012">
        <v>0</v>
      </c>
      <c r="AR68" s="3012">
        <v>0</v>
      </c>
      <c r="AS68" s="3012">
        <v>0</v>
      </c>
      <c r="AT68" s="3012">
        <v>0</v>
      </c>
      <c r="AU68" s="3012">
        <v>0</v>
      </c>
      <c r="AV68" s="3012">
        <v>0</v>
      </c>
      <c r="AW68" s="3012">
        <v>0</v>
      </c>
      <c r="AX68" s="3012">
        <v>0</v>
      </c>
      <c r="AY68" s="1850"/>
      <c r="AZ68" s="1850"/>
      <c r="BA68" s="1850"/>
      <c r="BB68" s="1850"/>
      <c r="BC68" s="1850"/>
      <c r="BD68" s="1850"/>
      <c r="BE68" s="1109"/>
      <c r="BF68" s="167">
        <f>BF69-BF67</f>
        <v>69.029206326061995</v>
      </c>
      <c r="BG68" s="167">
        <f>BG69-BG67</f>
        <v>70.109206326062008</v>
      </c>
      <c r="BH68" s="167">
        <f>BH69-BH67</f>
        <v>70.619206326061942</v>
      </c>
      <c r="BI68" s="167">
        <f>BI69-BI67</f>
        <v>70.619206326061942</v>
      </c>
      <c r="BJ68" s="167"/>
      <c r="BK68" s="167">
        <f>BK69-BK67</f>
        <v>66</v>
      </c>
      <c r="BL68" s="167">
        <f>BL69-BL67</f>
        <v>66</v>
      </c>
      <c r="BM68" s="167">
        <f>BM69-BM67</f>
        <v>66</v>
      </c>
      <c r="BN68" s="167">
        <f>BN69-BN67</f>
        <v>92.617500000000007</v>
      </c>
      <c r="BO68" s="11"/>
      <c r="BP68" s="167">
        <f>BP69-BP67</f>
        <v>92.617500000000007</v>
      </c>
      <c r="BQ68" s="167">
        <f>BQ69-BQ67</f>
        <v>92.617500000000007</v>
      </c>
      <c r="BR68" s="167">
        <f>BR69-BR67</f>
        <v>92.617500000000007</v>
      </c>
      <c r="BS68" s="167">
        <f>BS69-BS67</f>
        <v>92.617500000000007</v>
      </c>
      <c r="BT68" s="11"/>
      <c r="BU68" s="167">
        <f>BU69-BU67</f>
        <v>90</v>
      </c>
      <c r="BV68" s="167">
        <f>BV69-BV67</f>
        <v>90</v>
      </c>
      <c r="BW68" s="167">
        <f>BW69-BW67</f>
        <v>90</v>
      </c>
      <c r="BX68" s="167">
        <f>BX69-BX67</f>
        <v>75</v>
      </c>
      <c r="BY68" s="95"/>
      <c r="BZ68" s="167">
        <f>BZ69-BZ67</f>
        <v>12.305</v>
      </c>
      <c r="CA68" s="167">
        <f>CA69-CA67</f>
        <v>12.305</v>
      </c>
      <c r="CB68" s="167">
        <f>CB69-CB67</f>
        <v>12.305</v>
      </c>
      <c r="CC68" s="167">
        <f>CC69-CC67</f>
        <v>15.381250000000001</v>
      </c>
      <c r="CD68" s="377"/>
      <c r="CE68" s="167">
        <f>CE69-CE67</f>
        <v>12.305</v>
      </c>
      <c r="CF68" s="167">
        <f>CF69-CF67</f>
        <v>12.305</v>
      </c>
      <c r="CG68" s="167">
        <f>CG69-CG67</f>
        <v>12.305</v>
      </c>
      <c r="CH68" s="167">
        <f>CH69-CH67</f>
        <v>15.381250000000001</v>
      </c>
      <c r="CI68" s="53"/>
      <c r="CJ68" s="167">
        <f>CJ69-CJ67</f>
        <v>12.305</v>
      </c>
      <c r="CK68" s="167">
        <f>CK69-CK67</f>
        <v>12.305</v>
      </c>
      <c r="CL68" s="167">
        <f>CL69-CL67</f>
        <v>12.305</v>
      </c>
      <c r="CM68" s="167">
        <f>CM69-CM67</f>
        <v>15.381250000000001</v>
      </c>
      <c r="CN68" s="49">
        <f>+X68-SUM(CJ68:CM68)</f>
        <v>0</v>
      </c>
      <c r="CO68" s="167">
        <f>CO69-CO67</f>
        <v>12.305</v>
      </c>
      <c r="CP68" s="167">
        <f>CP69-CP67</f>
        <v>12.305</v>
      </c>
      <c r="CQ68" s="167">
        <f>CQ69-CQ67</f>
        <v>12.305</v>
      </c>
      <c r="CR68" s="167">
        <f>CR69-CR67</f>
        <v>15.381250000000001</v>
      </c>
      <c r="CS68" s="49">
        <f>+AA68-SUM(CO68:CR68)</f>
        <v>0</v>
      </c>
      <c r="CT68" s="167">
        <f>CT69-CT67</f>
        <v>12.551100000000002</v>
      </c>
      <c r="CU68" s="167">
        <f>CU69-CU67</f>
        <v>10</v>
      </c>
      <c r="CV68" s="167">
        <f>CV69-CV67</f>
        <v>12.551100000000002</v>
      </c>
      <c r="CW68" s="167">
        <f>CW69-CW67</f>
        <v>18.239975000000001</v>
      </c>
      <c r="CX68" s="49">
        <f>AB68-SUM(CT68:CW68)</f>
        <v>0</v>
      </c>
      <c r="CY68" s="14">
        <f t="shared" si="98"/>
        <v>12.524999999999999</v>
      </c>
      <c r="CZ68" s="14">
        <f>CZ203</f>
        <v>11.324999999999999</v>
      </c>
      <c r="DA68" s="14">
        <f t="shared" si="98"/>
        <v>14.324999999999999</v>
      </c>
      <c r="DB68" s="14">
        <f t="shared" si="98"/>
        <v>15.124999999999996</v>
      </c>
      <c r="DC68" s="871">
        <f>AC68-SUM(CY68:DB68)</f>
        <v>0</v>
      </c>
      <c r="DD68" s="14">
        <f t="shared" si="99"/>
        <v>12.75</v>
      </c>
      <c r="DE68" s="14">
        <f t="shared" si="99"/>
        <v>12.75</v>
      </c>
      <c r="DF68" s="14">
        <f t="shared" si="99"/>
        <v>12.75</v>
      </c>
      <c r="DG68" s="14">
        <f t="shared" si="99"/>
        <v>12.75</v>
      </c>
      <c r="DH68" s="357">
        <f>AD68-SUM(DD68:DG68)</f>
        <v>0</v>
      </c>
      <c r="DI68" s="14">
        <f t="shared" si="100"/>
        <v>12.5</v>
      </c>
      <c r="DJ68" s="14">
        <f t="shared" si="100"/>
        <v>12.5</v>
      </c>
      <c r="DK68" s="14">
        <f t="shared" si="100"/>
        <v>12.5</v>
      </c>
      <c r="DL68" s="14">
        <f t="shared" si="100"/>
        <v>12.5</v>
      </c>
      <c r="DM68" s="357">
        <f>AE68-SUM(DI68:DL68)</f>
        <v>0</v>
      </c>
      <c r="DN68" s="14">
        <f>DN203</f>
        <v>12.5</v>
      </c>
      <c r="DO68" s="14">
        <f>DO203</f>
        <v>12.5</v>
      </c>
      <c r="DP68" s="14">
        <f>DP203</f>
        <v>12.5</v>
      </c>
      <c r="DQ68" s="14">
        <f>DQ203</f>
        <v>12.5</v>
      </c>
      <c r="DR68" s="538">
        <f>AF68-SUM(DN68:DQ68)</f>
        <v>0</v>
      </c>
      <c r="DS68" s="14">
        <f t="shared" si="101"/>
        <v>18.924999999999997</v>
      </c>
      <c r="DT68" s="14">
        <f t="shared" si="101"/>
        <v>18.924999999999997</v>
      </c>
      <c r="DU68" s="14">
        <f t="shared" si="101"/>
        <v>18.924999999999997</v>
      </c>
      <c r="DV68" s="14">
        <f t="shared" si="101"/>
        <v>18.924999999999997</v>
      </c>
      <c r="DW68" s="538">
        <f t="shared" si="92"/>
        <v>0</v>
      </c>
      <c r="DX68" s="862"/>
      <c r="DY68" s="862"/>
      <c r="DZ68" s="862"/>
      <c r="EA68" s="862"/>
      <c r="EB68" s="862"/>
      <c r="EH68" s="1048"/>
      <c r="EI68" s="1048"/>
      <c r="EJ68" s="1048"/>
      <c r="EK68" s="1048"/>
      <c r="EM68" s="1048"/>
      <c r="FL68" s="1048"/>
    </row>
    <row r="69" spans="1:168">
      <c r="A69" s="369" t="s">
        <v>684</v>
      </c>
      <c r="B69" s="14"/>
      <c r="C69" s="14"/>
      <c r="D69" s="14"/>
      <c r="E69" s="77">
        <v>934.58941768082627</v>
      </c>
      <c r="F69" s="14">
        <f>E69</f>
        <v>934.58941768082627</v>
      </c>
      <c r="G69" s="77"/>
      <c r="H69" s="77"/>
      <c r="I69" s="77">
        <v>934.58941768082627</v>
      </c>
      <c r="J69" s="77"/>
      <c r="K69" s="77">
        <v>934.58941768082627</v>
      </c>
      <c r="L69" s="14">
        <f>K69</f>
        <v>934.58941768082627</v>
      </c>
      <c r="M69" s="77">
        <v>1234.9000000000001</v>
      </c>
      <c r="N69" s="77">
        <v>1234.9000000000001</v>
      </c>
      <c r="O69" s="14">
        <f>N69</f>
        <v>1234.9000000000001</v>
      </c>
      <c r="P69" s="14">
        <f>+R69-Q69</f>
        <v>1117.6666666666667</v>
      </c>
      <c r="Q69" s="77">
        <v>32.3333333333333</v>
      </c>
      <c r="R69" s="77">
        <v>1150</v>
      </c>
      <c r="S69" s="14">
        <f>R69</f>
        <v>1150</v>
      </c>
      <c r="T69" s="77">
        <f>+R69*0.0535</f>
        <v>61.524999999999999</v>
      </c>
      <c r="U69" s="77">
        <f>+T69</f>
        <v>61.524999999999999</v>
      </c>
      <c r="V69" s="77"/>
      <c r="W69" s="77"/>
      <c r="X69" s="77">
        <f>+U69</f>
        <v>61.524999999999999</v>
      </c>
      <c r="Y69" s="14">
        <f>X69</f>
        <v>61.524999999999999</v>
      </c>
      <c r="Z69" s="14">
        <f>Y69</f>
        <v>61.524999999999999</v>
      </c>
      <c r="AA69" s="14">
        <f>X69</f>
        <v>61.524999999999999</v>
      </c>
      <c r="AB69" s="49">
        <f t="shared" ref="AB69:AQ69" si="102">AB67+AB68</f>
        <v>62.755500000000005</v>
      </c>
      <c r="AC69" s="49">
        <f t="shared" si="102"/>
        <v>62.3</v>
      </c>
      <c r="AD69" s="49">
        <f t="shared" si="102"/>
        <v>58</v>
      </c>
      <c r="AE69" s="49">
        <f t="shared" si="102"/>
        <v>57</v>
      </c>
      <c r="AF69" s="1366">
        <f t="shared" si="102"/>
        <v>57</v>
      </c>
      <c r="AG69" s="1366">
        <f t="shared" si="102"/>
        <v>82.699999999999989</v>
      </c>
      <c r="AH69" s="1366">
        <f t="shared" si="102"/>
        <v>70.800000000000011</v>
      </c>
      <c r="AI69" s="1366">
        <f t="shared" si="102"/>
        <v>59.800000000000004</v>
      </c>
      <c r="AJ69" s="1366">
        <f>AJ67+AJ68</f>
        <v>60.4</v>
      </c>
      <c r="AK69" s="1366">
        <f t="shared" si="102"/>
        <v>0</v>
      </c>
      <c r="AL69" s="1366">
        <f t="shared" si="102"/>
        <v>0</v>
      </c>
      <c r="AM69" s="1366">
        <f t="shared" si="102"/>
        <v>0</v>
      </c>
      <c r="AN69" s="3018">
        <f t="shared" si="102"/>
        <v>0</v>
      </c>
      <c r="AO69" s="3018">
        <f t="shared" si="102"/>
        <v>0</v>
      </c>
      <c r="AP69" s="3018">
        <f t="shared" si="102"/>
        <v>0</v>
      </c>
      <c r="AQ69" s="3018">
        <f t="shared" si="102"/>
        <v>0</v>
      </c>
      <c r="AR69" s="3018">
        <f t="shared" ref="AR69:AW69" si="103">AR67+AR68</f>
        <v>0</v>
      </c>
      <c r="AS69" s="3018">
        <f t="shared" si="103"/>
        <v>0</v>
      </c>
      <c r="AT69" s="3018">
        <f t="shared" si="103"/>
        <v>0</v>
      </c>
      <c r="AU69" s="3018">
        <f t="shared" si="103"/>
        <v>0</v>
      </c>
      <c r="AV69" s="3018">
        <f t="shared" si="103"/>
        <v>0</v>
      </c>
      <c r="AW69" s="3018">
        <f t="shared" si="103"/>
        <v>0</v>
      </c>
      <c r="AX69" s="3018">
        <f>AX67+AX68</f>
        <v>0</v>
      </c>
      <c r="AY69" s="1798"/>
      <c r="AZ69" s="1798"/>
      <c r="BA69" s="1798"/>
      <c r="BB69" s="1798"/>
      <c r="BC69" s="1798"/>
      <c r="BD69" s="1798"/>
      <c r="BE69" s="1373"/>
      <c r="BF69" s="77">
        <v>230.09735442020661</v>
      </c>
      <c r="BG69" s="77">
        <v>233.69735442020669</v>
      </c>
      <c r="BH69" s="77">
        <v>235.39735442020645</v>
      </c>
      <c r="BI69" s="77">
        <v>235.39735442020645</v>
      </c>
      <c r="BJ69" s="14"/>
      <c r="BK69" s="77">
        <v>220</v>
      </c>
      <c r="BL69" s="77">
        <v>220</v>
      </c>
      <c r="BM69" s="77">
        <v>220</v>
      </c>
      <c r="BN69" s="77">
        <v>308.72500000000002</v>
      </c>
      <c r="BO69" s="14"/>
      <c r="BP69" s="77">
        <v>308.72500000000002</v>
      </c>
      <c r="BQ69" s="77">
        <v>308.72500000000002</v>
      </c>
      <c r="BR69" s="77">
        <v>308.72500000000002</v>
      </c>
      <c r="BS69" s="77">
        <v>308.72500000000002</v>
      </c>
      <c r="BT69" s="14"/>
      <c r="BU69" s="105">
        <v>300</v>
      </c>
      <c r="BV69" s="105">
        <v>300</v>
      </c>
      <c r="BW69" s="105">
        <v>300</v>
      </c>
      <c r="BX69" s="105">
        <f>+R69-SUM(BU69:BW69)</f>
        <v>250</v>
      </c>
      <c r="BY69" s="95"/>
      <c r="BZ69" s="14">
        <f>+$T69/4</f>
        <v>15.38125</v>
      </c>
      <c r="CA69" s="14">
        <f>+$T69/4</f>
        <v>15.38125</v>
      </c>
      <c r="CB69" s="14">
        <f>+$T69/4</f>
        <v>15.38125</v>
      </c>
      <c r="CC69" s="167">
        <f>+Y69-SUM(BZ69:CB69)</f>
        <v>15.381250000000001</v>
      </c>
      <c r="CD69" s="377"/>
      <c r="CE69" s="14">
        <f>+$U$69/4</f>
        <v>15.38125</v>
      </c>
      <c r="CF69" s="14">
        <f>+$U$69/4</f>
        <v>15.38125</v>
      </c>
      <c r="CG69" s="14">
        <f>+$U$69/4</f>
        <v>15.38125</v>
      </c>
      <c r="CH69" s="167">
        <f>+U69-SUM(CE69:CG69)</f>
        <v>15.381250000000001</v>
      </c>
      <c r="CI69" s="53"/>
      <c r="CJ69" s="14">
        <f>+$X$69/4</f>
        <v>15.38125</v>
      </c>
      <c r="CK69" s="14">
        <f>+$X$69/4</f>
        <v>15.38125</v>
      </c>
      <c r="CL69" s="14">
        <f>+$X$69/4</f>
        <v>15.38125</v>
      </c>
      <c r="CM69" s="167">
        <f>+X69-SUM(CJ69:CL69)</f>
        <v>15.381250000000001</v>
      </c>
      <c r="CN69" s="49">
        <f>+X69-SUM(CJ69:CM69)</f>
        <v>0</v>
      </c>
      <c r="CO69" s="14">
        <f>+$X$69/4</f>
        <v>15.38125</v>
      </c>
      <c r="CP69" s="14">
        <f>+$X$69/4</f>
        <v>15.38125</v>
      </c>
      <c r="CQ69" s="14">
        <f>+$X$69/4</f>
        <v>15.38125</v>
      </c>
      <c r="CR69" s="167">
        <f>+X69-SUM(CO69:CQ69)</f>
        <v>15.381250000000001</v>
      </c>
      <c r="CS69" s="49">
        <f>+AA69-SUM(CO69:CR69)</f>
        <v>0</v>
      </c>
      <c r="CT69" s="14">
        <f>+$AB$69/4</f>
        <v>15.688875000000001</v>
      </c>
      <c r="CU69" s="14">
        <v>12.5</v>
      </c>
      <c r="CV69" s="14">
        <f>+$AB$69/4</f>
        <v>15.688875000000001</v>
      </c>
      <c r="CW69" s="167">
        <f>AB69-SUM(CT69:CV69)</f>
        <v>18.877749999999999</v>
      </c>
      <c r="CX69" s="49">
        <f>AB69-SUM(CT69:CW69)</f>
        <v>0</v>
      </c>
      <c r="CY69" s="14">
        <f>CY68+CY67</f>
        <v>14.774999999999999</v>
      </c>
      <c r="CZ69" s="14">
        <f>CZ68+CZ67</f>
        <v>13.574999999999999</v>
      </c>
      <c r="DA69" s="14">
        <f>DA68+DA67</f>
        <v>16.574999999999999</v>
      </c>
      <c r="DB69" s="14">
        <f>DB68+DB67</f>
        <v>17.374999999999996</v>
      </c>
      <c r="DC69" s="871">
        <f>AC69-SUM(CY69:DB69)</f>
        <v>0</v>
      </c>
      <c r="DD69" s="14">
        <f>DD68+DD67</f>
        <v>14.5</v>
      </c>
      <c r="DE69" s="14">
        <f>DE68+DE67</f>
        <v>14.5</v>
      </c>
      <c r="DF69" s="14">
        <f>DF68+DF67</f>
        <v>14.5</v>
      </c>
      <c r="DG69" s="14">
        <f>DG68+DG67</f>
        <v>14.5</v>
      </c>
      <c r="DH69" s="357">
        <f>AD69-SUM(DD69:DG69)</f>
        <v>0</v>
      </c>
      <c r="DI69" s="14">
        <f>DI68+DI67</f>
        <v>14.25</v>
      </c>
      <c r="DJ69" s="14">
        <f>DJ68+DJ67</f>
        <v>14.25</v>
      </c>
      <c r="DK69" s="14">
        <f>DK68+DK67</f>
        <v>14.25</v>
      </c>
      <c r="DL69" s="14">
        <f>DL68+DL67</f>
        <v>14.25</v>
      </c>
      <c r="DM69" s="357">
        <f>AE69-SUM(DI69:DL69)</f>
        <v>0</v>
      </c>
      <c r="DN69" s="14">
        <f>DN68+DN67</f>
        <v>14.25</v>
      </c>
      <c r="DO69" s="14">
        <f>DO68+DO67</f>
        <v>14.25</v>
      </c>
      <c r="DP69" s="14">
        <f>DP68+DP67</f>
        <v>14.25</v>
      </c>
      <c r="DQ69" s="14">
        <f>DQ68+DQ67</f>
        <v>14.25</v>
      </c>
      <c r="DR69" s="538">
        <f>AF69-SUM(DN69:DQ69)</f>
        <v>0</v>
      </c>
      <c r="DS69" s="14">
        <f>DS68+DS67</f>
        <v>20.674999999999997</v>
      </c>
      <c r="DT69" s="14">
        <f>DT68+DT67</f>
        <v>20.674999999999997</v>
      </c>
      <c r="DU69" s="14">
        <f>DU68+DU67</f>
        <v>20.674999999999997</v>
      </c>
      <c r="DV69" s="14">
        <f>DV68+DV67</f>
        <v>20.674999999999997</v>
      </c>
      <c r="DW69" s="538">
        <f t="shared" si="92"/>
        <v>0</v>
      </c>
      <c r="DX69" s="862"/>
      <c r="DY69" s="862"/>
      <c r="DZ69" s="862"/>
      <c r="EA69" s="862"/>
      <c r="EB69" s="862"/>
      <c r="EH69" s="1048"/>
      <c r="EI69" s="1048"/>
      <c r="EJ69" s="1048"/>
      <c r="EK69" s="1048"/>
      <c r="EM69" s="1048"/>
      <c r="FL69" s="1048"/>
    </row>
    <row r="70" spans="1:168" ht="5.0999999999999996" customHeight="1">
      <c r="A70" s="376"/>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08"/>
      <c r="AG70" s="1108"/>
      <c r="AH70" s="1108"/>
      <c r="AI70" s="1108"/>
      <c r="AJ70" s="1108"/>
      <c r="AK70" s="1108"/>
      <c r="AL70" s="1108"/>
      <c r="AM70" s="1108"/>
      <c r="AN70" s="3016"/>
      <c r="AO70" s="3016"/>
      <c r="AP70" s="3016"/>
      <c r="AQ70" s="3016"/>
      <c r="AR70" s="3016"/>
      <c r="AS70" s="3016"/>
      <c r="AT70" s="3016"/>
      <c r="AU70" s="3016"/>
      <c r="AV70" s="3016"/>
      <c r="AW70" s="3016"/>
      <c r="AX70" s="3020"/>
      <c r="AY70" s="1109"/>
      <c r="AZ70" s="1109"/>
      <c r="BA70" s="1109"/>
      <c r="BB70" s="1109"/>
      <c r="BC70" s="1109"/>
      <c r="BD70" s="1109"/>
      <c r="BE70" s="1109"/>
      <c r="BF70" s="11"/>
      <c r="BG70" s="11"/>
      <c r="BH70" s="11"/>
      <c r="BI70" s="11"/>
      <c r="BJ70" s="11"/>
      <c r="BK70" s="11"/>
      <c r="BL70" s="11"/>
      <c r="BM70" s="11"/>
      <c r="BN70" s="11"/>
      <c r="BO70" s="11"/>
      <c r="BP70" s="11"/>
      <c r="BQ70" s="11"/>
      <c r="BR70" s="11"/>
      <c r="BS70" s="11"/>
      <c r="BT70" s="11"/>
      <c r="BU70" s="11"/>
      <c r="BV70" s="11"/>
      <c r="BW70" s="11"/>
      <c r="BX70" s="11"/>
      <c r="BY70" s="95"/>
      <c r="BZ70" s="11"/>
      <c r="CA70" s="11"/>
      <c r="CB70" s="11"/>
      <c r="CC70" s="11"/>
      <c r="CD70" s="377"/>
      <c r="CE70" s="11"/>
      <c r="CF70" s="11"/>
      <c r="CG70" s="11"/>
      <c r="CH70" s="11"/>
      <c r="CI70" s="53"/>
      <c r="CJ70" s="11"/>
      <c r="CK70" s="11"/>
      <c r="CL70" s="11"/>
      <c r="CM70" s="11"/>
      <c r="CN70" s="49"/>
      <c r="CO70" s="11"/>
      <c r="CP70" s="11"/>
      <c r="CQ70" s="11"/>
      <c r="CR70" s="11"/>
      <c r="CS70" s="49"/>
      <c r="CT70" s="11"/>
      <c r="CU70" s="14"/>
      <c r="CV70" s="14"/>
      <c r="CW70" s="14"/>
      <c r="CX70" s="49"/>
      <c r="CY70" s="352"/>
      <c r="CZ70" s="352"/>
      <c r="DA70" s="352"/>
      <c r="DB70" s="352"/>
      <c r="DC70" s="11"/>
      <c r="DD70" s="352"/>
      <c r="DE70" s="352"/>
      <c r="DF70" s="352"/>
      <c r="DG70" s="352"/>
      <c r="DH70" s="304"/>
      <c r="DI70" s="352"/>
      <c r="DJ70" s="352"/>
      <c r="DK70" s="352"/>
      <c r="DL70" s="352"/>
      <c r="DM70" s="304"/>
      <c r="DN70" s="11"/>
      <c r="DO70" s="11"/>
      <c r="DP70" s="11"/>
      <c r="DQ70" s="11"/>
      <c r="DR70" s="11"/>
      <c r="DW70" s="538"/>
      <c r="DX70" s="862"/>
      <c r="DY70" s="862"/>
      <c r="DZ70" s="862"/>
      <c r="EA70" s="862"/>
      <c r="EB70" s="862"/>
      <c r="EH70" s="1048"/>
      <c r="EI70" s="1048"/>
      <c r="EJ70" s="1048"/>
      <c r="EK70" s="1048"/>
      <c r="EM70" s="1048"/>
      <c r="FL70" s="1048"/>
    </row>
    <row r="71" spans="1:168">
      <c r="A71" s="379" t="s">
        <v>658</v>
      </c>
      <c r="B71" s="11"/>
      <c r="C71" s="11"/>
      <c r="D71" s="11"/>
      <c r="E71" s="14">
        <f>E63-E67</f>
        <v>67.16912912558189</v>
      </c>
      <c r="F71" s="14">
        <f>F63-F67</f>
        <v>67.16912912558189</v>
      </c>
      <c r="G71" s="11"/>
      <c r="H71" s="11"/>
      <c r="I71" s="14">
        <f>I63-I67</f>
        <v>239.93240762342168</v>
      </c>
      <c r="J71" s="11"/>
      <c r="K71" s="14">
        <f>K63-K67</f>
        <v>284.25440762342168</v>
      </c>
      <c r="L71" s="14">
        <f>L63-L67</f>
        <v>284.25440762342168</v>
      </c>
      <c r="M71" s="11"/>
      <c r="N71" s="14">
        <f t="shared" ref="N71:P72" si="104">N63-N67</f>
        <v>258.7461237</v>
      </c>
      <c r="O71" s="14">
        <f t="shared" si="104"/>
        <v>258.7461237</v>
      </c>
      <c r="P71" s="14">
        <f t="shared" si="104"/>
        <v>184.98943882773551</v>
      </c>
      <c r="Q71" s="11"/>
      <c r="R71" s="14">
        <f t="shared" ref="R71:U72" si="105">R63-R67</f>
        <v>174.11974201327507</v>
      </c>
      <c r="S71" s="14">
        <f t="shared" si="105"/>
        <v>174.11974201327507</v>
      </c>
      <c r="T71" s="14">
        <f t="shared" si="105"/>
        <v>1007.6000000000001</v>
      </c>
      <c r="U71" s="14">
        <f t="shared" si="105"/>
        <v>974.80000000000007</v>
      </c>
      <c r="V71" s="11"/>
      <c r="W71" s="11"/>
      <c r="X71" s="14">
        <f t="shared" ref="X71:AW71" si="106">X63-X67</f>
        <v>918.30000000000007</v>
      </c>
      <c r="Y71" s="14">
        <f t="shared" si="106"/>
        <v>1007.6000000000001</v>
      </c>
      <c r="Z71" s="14">
        <f t="shared" si="106"/>
        <v>974.80000000000007</v>
      </c>
      <c r="AA71" s="14">
        <f t="shared" si="106"/>
        <v>918.30000000000007</v>
      </c>
      <c r="AB71" s="14">
        <f t="shared" si="106"/>
        <v>892.9000000000002</v>
      </c>
      <c r="AC71" s="14">
        <f t="shared" si="106"/>
        <v>787.4</v>
      </c>
      <c r="AD71" s="14">
        <f t="shared" si="106"/>
        <v>654.39999999999975</v>
      </c>
      <c r="AE71" s="14">
        <f t="shared" si="106"/>
        <v>520.70000000000016</v>
      </c>
      <c r="AF71" s="1357">
        <f t="shared" si="106"/>
        <v>292.32365782972215</v>
      </c>
      <c r="AG71" s="1357">
        <f t="shared" si="106"/>
        <v>405.49374140411487</v>
      </c>
      <c r="AH71" s="1357">
        <f>AH63-AH67</f>
        <v>383.46000000000004</v>
      </c>
      <c r="AI71" s="1357">
        <f t="shared" si="106"/>
        <v>400.62</v>
      </c>
      <c r="AJ71" s="1357">
        <f t="shared" si="106"/>
        <v>396.08000000000004</v>
      </c>
      <c r="AK71" s="1357">
        <f t="shared" si="106"/>
        <v>379.11</v>
      </c>
      <c r="AL71" s="1357">
        <f t="shared" si="106"/>
        <v>278</v>
      </c>
      <c r="AM71" s="1357">
        <f t="shared" si="106"/>
        <v>300</v>
      </c>
      <c r="AN71" s="3013">
        <f t="shared" si="106"/>
        <v>0</v>
      </c>
      <c r="AO71" s="3013">
        <f t="shared" si="106"/>
        <v>0</v>
      </c>
      <c r="AP71" s="3013">
        <f t="shared" si="106"/>
        <v>0</v>
      </c>
      <c r="AQ71" s="3013">
        <f t="shared" si="106"/>
        <v>0</v>
      </c>
      <c r="AR71" s="3013">
        <f t="shared" si="106"/>
        <v>0</v>
      </c>
      <c r="AS71" s="3013">
        <f t="shared" si="106"/>
        <v>0</v>
      </c>
      <c r="AT71" s="3013">
        <f t="shared" si="106"/>
        <v>0</v>
      </c>
      <c r="AU71" s="3013">
        <f t="shared" si="106"/>
        <v>0</v>
      </c>
      <c r="AV71" s="3013">
        <f t="shared" si="106"/>
        <v>0</v>
      </c>
      <c r="AW71" s="3013">
        <f t="shared" si="106"/>
        <v>0</v>
      </c>
      <c r="AX71" s="3013">
        <f>AX63-AX67</f>
        <v>0</v>
      </c>
      <c r="AY71" s="1373"/>
      <c r="AZ71" s="1373"/>
      <c r="BA71" s="1373"/>
      <c r="BB71" s="1373"/>
      <c r="BC71" s="1373"/>
      <c r="BD71" s="1373"/>
      <c r="BE71" s="1109"/>
      <c r="BF71" s="14">
        <f t="shared" ref="BF71:BI72" si="107">BF63-BF67</f>
        <v>-14.701398094144622</v>
      </c>
      <c r="BG71" s="14">
        <f t="shared" si="107"/>
        <v>63.878601905855305</v>
      </c>
      <c r="BH71" s="14">
        <f t="shared" si="107"/>
        <v>75.878601905855476</v>
      </c>
      <c r="BI71" s="14">
        <f t="shared" si="107"/>
        <v>111.76360190585552</v>
      </c>
      <c r="BJ71" s="11"/>
      <c r="BK71" s="14">
        <f t="shared" ref="BK71:BN72" si="108">BK63-BK67</f>
        <v>51.639749999999992</v>
      </c>
      <c r="BL71" s="14">
        <f t="shared" si="108"/>
        <v>127.62745000000001</v>
      </c>
      <c r="BM71" s="14">
        <f t="shared" si="108"/>
        <v>125.4297243000002</v>
      </c>
      <c r="BN71" s="14">
        <f t="shared" si="108"/>
        <v>156.80474619999978</v>
      </c>
      <c r="BO71" s="11"/>
      <c r="BP71" s="14">
        <f t="shared" ref="BP71:BS72" si="109">BP63-BP67</f>
        <v>0.10644999999996685</v>
      </c>
      <c r="BQ71" s="14">
        <f t="shared" si="109"/>
        <v>79.314743999999962</v>
      </c>
      <c r="BR71" s="14">
        <f t="shared" si="109"/>
        <v>91.33929999999998</v>
      </c>
      <c r="BS71" s="14">
        <f t="shared" si="109"/>
        <v>93.322704799999997</v>
      </c>
      <c r="BT71" s="11"/>
      <c r="BU71" s="14">
        <f t="shared" ref="BU71:BX72" si="110">BU63-BU67</f>
        <v>-9.3235605723883452</v>
      </c>
      <c r="BV71" s="14">
        <f t="shared" si="110"/>
        <v>66.069484427611599</v>
      </c>
      <c r="BW71" s="14">
        <f t="shared" si="110"/>
        <v>33.60551442761161</v>
      </c>
      <c r="BX71" s="14">
        <f t="shared" si="110"/>
        <v>83.990124427611704</v>
      </c>
      <c r="BY71" s="95"/>
      <c r="BZ71" s="14">
        <f t="shared" ref="BZ71:CC72" si="111">BZ63-BZ67</f>
        <v>189.03093750000002</v>
      </c>
      <c r="CA71" s="14">
        <f t="shared" si="111"/>
        <v>278.63093750000002</v>
      </c>
      <c r="CB71" s="14">
        <f t="shared" si="111"/>
        <v>257.93093749999997</v>
      </c>
      <c r="CC71" s="14">
        <f t="shared" si="111"/>
        <v>282.00718749999999</v>
      </c>
      <c r="CD71" s="377"/>
      <c r="CE71" s="14">
        <f t="shared" ref="CE71:CH72" si="112">CE63-CE67</f>
        <v>190.60000000000002</v>
      </c>
      <c r="CF71" s="14">
        <f t="shared" si="112"/>
        <v>266</v>
      </c>
      <c r="CG71" s="14">
        <f t="shared" si="112"/>
        <v>266.2</v>
      </c>
      <c r="CH71" s="14">
        <f t="shared" si="112"/>
        <v>252.20000000000002</v>
      </c>
      <c r="CI71" s="53"/>
      <c r="CJ71" s="14">
        <f t="shared" ref="CJ71:CM72" si="113">CJ63-CJ67</f>
        <v>199.20000000000002</v>
      </c>
      <c r="CK71" s="14">
        <f t="shared" si="113"/>
        <v>266.5</v>
      </c>
      <c r="CL71" s="14">
        <f t="shared" si="113"/>
        <v>221.9</v>
      </c>
      <c r="CM71" s="14">
        <f t="shared" si="113"/>
        <v>230.7</v>
      </c>
      <c r="CN71" s="49">
        <f>+X71-SUM(CJ71:CM71)</f>
        <v>0</v>
      </c>
      <c r="CO71" s="14">
        <f t="shared" ref="CO71:CR72" si="114">CO63-CO67</f>
        <v>199.20000000000002</v>
      </c>
      <c r="CP71" s="14">
        <f t="shared" si="114"/>
        <v>266.5</v>
      </c>
      <c r="CQ71" s="14">
        <f t="shared" si="114"/>
        <v>221.9</v>
      </c>
      <c r="CR71" s="14">
        <f t="shared" si="114"/>
        <v>230.7</v>
      </c>
      <c r="CS71" s="49">
        <f>+AA71-SUM(CO71:CR71)</f>
        <v>0</v>
      </c>
      <c r="CT71" s="14">
        <f t="shared" ref="CT71:CW72" si="115">CT63-CT67</f>
        <v>189.49999999999997</v>
      </c>
      <c r="CU71" s="14">
        <f t="shared" si="115"/>
        <v>272.89999999999998</v>
      </c>
      <c r="CV71" s="14">
        <f t="shared" si="115"/>
        <v>225.2</v>
      </c>
      <c r="CW71" s="14">
        <f t="shared" si="115"/>
        <v>205.29999999999998</v>
      </c>
      <c r="CX71" s="49">
        <f>AB71-SUM(CT71:CW71)</f>
        <v>0</v>
      </c>
      <c r="CY71" s="14">
        <f t="shared" ref="CY71:DB72" si="116">CY63-CY67</f>
        <v>162.6</v>
      </c>
      <c r="CZ71" s="14">
        <f>CZ63-CZ67</f>
        <v>219.6</v>
      </c>
      <c r="DA71" s="14">
        <f t="shared" si="116"/>
        <v>201.7</v>
      </c>
      <c r="DB71" s="14">
        <f t="shared" si="116"/>
        <v>203.5</v>
      </c>
      <c r="DC71" s="871">
        <f>AC71-SUM(CY71:DB71)</f>
        <v>0</v>
      </c>
      <c r="DD71" s="14">
        <f t="shared" ref="DD71:DG72" si="117">DD63-DD67</f>
        <v>153.4</v>
      </c>
      <c r="DE71" s="14">
        <f t="shared" si="117"/>
        <v>179.4</v>
      </c>
      <c r="DF71" s="14">
        <f t="shared" si="117"/>
        <v>162</v>
      </c>
      <c r="DG71" s="14">
        <f t="shared" si="117"/>
        <v>159.6</v>
      </c>
      <c r="DH71" s="357">
        <f>AD71-SUM(DD71:DG71)</f>
        <v>0</v>
      </c>
      <c r="DI71" s="14">
        <f t="shared" ref="DI71:DV72" si="118">DI63-DI67</f>
        <v>125.00000000000001</v>
      </c>
      <c r="DJ71" s="14">
        <f t="shared" si="118"/>
        <v>150.69999999999999</v>
      </c>
      <c r="DK71" s="14">
        <f t="shared" si="118"/>
        <v>130.79999999999998</v>
      </c>
      <c r="DL71" s="14">
        <f t="shared" si="118"/>
        <v>114.2</v>
      </c>
      <c r="DM71" s="357">
        <f>AE71-SUM(DI71:DL71)</f>
        <v>0</v>
      </c>
      <c r="DN71" s="14">
        <f t="shared" si="118"/>
        <v>43.7</v>
      </c>
      <c r="DO71" s="14">
        <f t="shared" si="118"/>
        <v>86</v>
      </c>
      <c r="DP71" s="14">
        <f t="shared" si="118"/>
        <v>82.8</v>
      </c>
      <c r="DQ71" s="14">
        <f t="shared" si="118"/>
        <v>79.823657829722094</v>
      </c>
      <c r="DR71" s="538">
        <f>AF71-SUM(DN71:DQ71)</f>
        <v>0</v>
      </c>
      <c r="DS71" s="14">
        <f t="shared" si="118"/>
        <v>70.099999999999994</v>
      </c>
      <c r="DT71" s="14">
        <f t="shared" si="118"/>
        <v>113.41800000000003</v>
      </c>
      <c r="DU71" s="14">
        <f t="shared" si="118"/>
        <v>106.93400000000003</v>
      </c>
      <c r="DV71" s="14">
        <f t="shared" si="118"/>
        <v>115.04174140411502</v>
      </c>
      <c r="DW71" s="538">
        <f t="shared" si="92"/>
        <v>0</v>
      </c>
      <c r="DX71" s="862"/>
      <c r="DY71" s="862"/>
      <c r="DZ71" s="862"/>
      <c r="EA71" s="862"/>
      <c r="EB71" s="862"/>
      <c r="EH71" s="1048"/>
      <c r="EI71" s="1048"/>
      <c r="EJ71" s="1048"/>
      <c r="EK71" s="1048"/>
      <c r="EM71" s="1048"/>
      <c r="FL71" s="1048"/>
    </row>
    <row r="72" spans="1:168">
      <c r="A72" s="379" t="s">
        <v>659</v>
      </c>
      <c r="B72" s="11"/>
      <c r="C72" s="11"/>
      <c r="D72" s="11"/>
      <c r="E72" s="14">
        <f>E64-E68</f>
        <v>222.84145319359186</v>
      </c>
      <c r="F72" s="14">
        <f>F64-F68</f>
        <v>222.84145319359186</v>
      </c>
      <c r="G72" s="11"/>
      <c r="H72" s="11"/>
      <c r="I72" s="14">
        <f>I64-I68</f>
        <v>-139.35882530424797</v>
      </c>
      <c r="J72" s="11"/>
      <c r="K72" s="14">
        <f>K64-K68</f>
        <v>240.02517469575207</v>
      </c>
      <c r="L72" s="14">
        <f>L64-L68</f>
        <v>240.02517469575207</v>
      </c>
      <c r="M72" s="11"/>
      <c r="N72" s="14">
        <f t="shared" si="104"/>
        <v>148.33387629999982</v>
      </c>
      <c r="O72" s="14">
        <f t="shared" si="104"/>
        <v>148.33387629999982</v>
      </c>
      <c r="P72" s="14">
        <f t="shared" si="104"/>
        <v>101.22694878473715</v>
      </c>
      <c r="Q72" s="11"/>
      <c r="R72" s="14">
        <f t="shared" si="105"/>
        <v>78.303402746824531</v>
      </c>
      <c r="S72" s="14">
        <f t="shared" si="105"/>
        <v>78.303402746824531</v>
      </c>
      <c r="T72" s="14">
        <f t="shared" si="105"/>
        <v>218</v>
      </c>
      <c r="U72" s="14">
        <f t="shared" si="105"/>
        <v>207.90000000000003</v>
      </c>
      <c r="V72" s="11"/>
      <c r="W72" s="11"/>
      <c r="X72" s="14">
        <f t="shared" ref="X72:AL72" si="119">X64-X68</f>
        <v>230.79999999999995</v>
      </c>
      <c r="Y72" s="14">
        <f t="shared" si="119"/>
        <v>218</v>
      </c>
      <c r="Z72" s="14">
        <f t="shared" si="119"/>
        <v>207.90000000000003</v>
      </c>
      <c r="AA72" s="14">
        <f t="shared" si="119"/>
        <v>230.79999999999995</v>
      </c>
      <c r="AB72" s="14">
        <f t="shared" si="119"/>
        <v>260.5</v>
      </c>
      <c r="AC72" s="14">
        <f t="shared" si="119"/>
        <v>351.8</v>
      </c>
      <c r="AD72" s="14">
        <f t="shared" si="119"/>
        <v>404.9</v>
      </c>
      <c r="AE72" s="14">
        <f t="shared" si="119"/>
        <v>230.80000000000007</v>
      </c>
      <c r="AF72" s="1357">
        <f t="shared" si="119"/>
        <v>-81.200000000000017</v>
      </c>
      <c r="AG72" s="1357">
        <f t="shared" si="119"/>
        <v>39.699999999999932</v>
      </c>
      <c r="AH72" s="1357">
        <f>AH64-AH68</f>
        <v>197</v>
      </c>
      <c r="AI72" s="1357">
        <f t="shared" si="119"/>
        <v>209</v>
      </c>
      <c r="AJ72" s="1357">
        <f t="shared" si="119"/>
        <v>242.99999999999997</v>
      </c>
      <c r="AK72" s="1357">
        <f t="shared" si="119"/>
        <v>0</v>
      </c>
      <c r="AL72" s="1357">
        <f t="shared" si="119"/>
        <v>0</v>
      </c>
      <c r="AM72" s="1357">
        <f t="shared" ref="AM72:AW72" si="120">AM64-AM68</f>
        <v>0</v>
      </c>
      <c r="AN72" s="3013">
        <f t="shared" si="120"/>
        <v>0</v>
      </c>
      <c r="AO72" s="3013">
        <f t="shared" si="120"/>
        <v>0</v>
      </c>
      <c r="AP72" s="3013">
        <f t="shared" si="120"/>
        <v>0</v>
      </c>
      <c r="AQ72" s="3013">
        <f t="shared" si="120"/>
        <v>0</v>
      </c>
      <c r="AR72" s="3013">
        <f t="shared" si="120"/>
        <v>0</v>
      </c>
      <c r="AS72" s="3013">
        <f t="shared" si="120"/>
        <v>0</v>
      </c>
      <c r="AT72" s="3013">
        <f t="shared" si="120"/>
        <v>0</v>
      </c>
      <c r="AU72" s="3013">
        <f t="shared" si="120"/>
        <v>0</v>
      </c>
      <c r="AV72" s="3013">
        <f t="shared" si="120"/>
        <v>0</v>
      </c>
      <c r="AW72" s="3013">
        <f t="shared" si="120"/>
        <v>0</v>
      </c>
      <c r="AX72" s="3013">
        <f>AX64-AX68</f>
        <v>0</v>
      </c>
      <c r="AY72" s="1373"/>
      <c r="AZ72" s="1373"/>
      <c r="BA72" s="1373"/>
      <c r="BB72" s="1373"/>
      <c r="BC72" s="1373"/>
      <c r="BD72" s="1373"/>
      <c r="BE72" s="1109"/>
      <c r="BF72" s="14">
        <f t="shared" si="107"/>
        <v>32.846293673938007</v>
      </c>
      <c r="BG72" s="14">
        <f t="shared" si="107"/>
        <v>89.266293673938009</v>
      </c>
      <c r="BH72" s="14">
        <f t="shared" si="107"/>
        <v>79.266293673938065</v>
      </c>
      <c r="BI72" s="14">
        <f t="shared" si="107"/>
        <v>86.081293673938063</v>
      </c>
      <c r="BJ72" s="11"/>
      <c r="BK72" s="14">
        <f t="shared" si="108"/>
        <v>51.96025000000003</v>
      </c>
      <c r="BL72" s="14">
        <f t="shared" si="108"/>
        <v>93.172550000000001</v>
      </c>
      <c r="BM72" s="14">
        <f t="shared" si="108"/>
        <v>91.67027569999982</v>
      </c>
      <c r="BN72" s="14">
        <f t="shared" si="108"/>
        <v>-2.3297461999998177</v>
      </c>
      <c r="BO72" s="11"/>
      <c r="BP72" s="14">
        <f t="shared" si="109"/>
        <v>14.768550000000033</v>
      </c>
      <c r="BQ72" s="14">
        <f t="shared" si="109"/>
        <v>52.760256000000027</v>
      </c>
      <c r="BR72" s="14">
        <f t="shared" si="109"/>
        <v>35.895700000000005</v>
      </c>
      <c r="BS72" s="14">
        <f t="shared" si="109"/>
        <v>12.932295199999984</v>
      </c>
      <c r="BT72" s="11"/>
      <c r="BU72" s="14">
        <f t="shared" si="110"/>
        <v>2.6793467624132461</v>
      </c>
      <c r="BV72" s="14">
        <f t="shared" si="110"/>
        <v>41.786301762413274</v>
      </c>
      <c r="BW72" s="14">
        <f t="shared" si="110"/>
        <v>11.050271762413303</v>
      </c>
      <c r="BX72" s="14">
        <f t="shared" si="110"/>
        <v>22.565661762413214</v>
      </c>
      <c r="BY72" s="95"/>
      <c r="BZ72" s="14">
        <f t="shared" si="111"/>
        <v>25.869062499999998</v>
      </c>
      <c r="CA72" s="14">
        <f t="shared" si="111"/>
        <v>71.469062499999978</v>
      </c>
      <c r="CB72" s="14">
        <f t="shared" si="111"/>
        <v>63.569062500000008</v>
      </c>
      <c r="CC72" s="14">
        <f t="shared" si="111"/>
        <v>57.092812499999987</v>
      </c>
      <c r="CD72" s="377"/>
      <c r="CE72" s="14">
        <f t="shared" si="112"/>
        <v>25.399999999999991</v>
      </c>
      <c r="CF72" s="14">
        <f t="shared" si="112"/>
        <v>78.299999999999983</v>
      </c>
      <c r="CG72" s="14">
        <f t="shared" si="112"/>
        <v>44.500000000000007</v>
      </c>
      <c r="CH72" s="14">
        <f t="shared" si="112"/>
        <v>59.70000000000001</v>
      </c>
      <c r="CI72" s="53"/>
      <c r="CJ72" s="14">
        <f t="shared" si="113"/>
        <v>13.799999999999997</v>
      </c>
      <c r="CK72" s="14">
        <f t="shared" si="113"/>
        <v>77.599999999999994</v>
      </c>
      <c r="CL72" s="14">
        <f t="shared" si="113"/>
        <v>57.6</v>
      </c>
      <c r="CM72" s="14">
        <f t="shared" si="113"/>
        <v>81.800000000000011</v>
      </c>
      <c r="CN72" s="49">
        <f>+X72-SUM(CJ72:CM72)</f>
        <v>0</v>
      </c>
      <c r="CO72" s="14">
        <f t="shared" si="114"/>
        <v>13.799999999999997</v>
      </c>
      <c r="CP72" s="14">
        <f t="shared" si="114"/>
        <v>77.599999999999994</v>
      </c>
      <c r="CQ72" s="14">
        <f t="shared" si="114"/>
        <v>57.6</v>
      </c>
      <c r="CR72" s="14">
        <f t="shared" si="114"/>
        <v>81.800000000000011</v>
      </c>
      <c r="CS72" s="49">
        <f>+AA72-SUM(CO72:CR72)</f>
        <v>0</v>
      </c>
      <c r="CT72" s="14">
        <f t="shared" si="115"/>
        <v>16.500000000000004</v>
      </c>
      <c r="CU72" s="14">
        <f t="shared" si="115"/>
        <v>81.7</v>
      </c>
      <c r="CV72" s="14">
        <f t="shared" si="115"/>
        <v>65.900000000000006</v>
      </c>
      <c r="CW72" s="14">
        <f t="shared" si="115"/>
        <v>96.399999999999991</v>
      </c>
      <c r="CX72" s="49">
        <f>AB72-SUM(CT72:CW72)</f>
        <v>0</v>
      </c>
      <c r="CY72" s="14">
        <f t="shared" si="116"/>
        <v>44.499999999999993</v>
      </c>
      <c r="CZ72" s="14">
        <f>CZ64-CZ68</f>
        <v>107.89999999999999</v>
      </c>
      <c r="DA72" s="14">
        <f t="shared" si="116"/>
        <v>88.499999999999986</v>
      </c>
      <c r="DB72" s="14">
        <f t="shared" si="116"/>
        <v>110.9</v>
      </c>
      <c r="DC72" s="871">
        <f>AC72-SUM(CY72:DB72)</f>
        <v>0</v>
      </c>
      <c r="DD72" s="14">
        <f t="shared" si="117"/>
        <v>47</v>
      </c>
      <c r="DE72" s="14">
        <f t="shared" si="117"/>
        <v>115.30000000000001</v>
      </c>
      <c r="DF72" s="14">
        <f t="shared" si="117"/>
        <v>99.8</v>
      </c>
      <c r="DG72" s="14">
        <f t="shared" si="117"/>
        <v>142.80000000000001</v>
      </c>
      <c r="DH72" s="357">
        <f>AD72-SUM(DD72:DG72)</f>
        <v>0</v>
      </c>
      <c r="DI72" s="14">
        <f t="shared" si="118"/>
        <v>44.1</v>
      </c>
      <c r="DJ72" s="14">
        <f t="shared" si="118"/>
        <v>94.999999999999986</v>
      </c>
      <c r="DK72" s="14">
        <f t="shared" si="118"/>
        <v>56.5</v>
      </c>
      <c r="DL72" s="14">
        <f t="shared" si="118"/>
        <v>35.200000000000003</v>
      </c>
      <c r="DM72" s="357">
        <f>AE72-SUM(DI72:DL72)</f>
        <v>0</v>
      </c>
      <c r="DN72" s="14">
        <f t="shared" si="118"/>
        <v>-38.199999999999996</v>
      </c>
      <c r="DO72" s="14">
        <f t="shared" si="118"/>
        <v>-22.299999999999997</v>
      </c>
      <c r="DP72" s="14">
        <f t="shared" si="118"/>
        <v>-34.9</v>
      </c>
      <c r="DQ72" s="14">
        <f t="shared" si="118"/>
        <v>14.200000000000003</v>
      </c>
      <c r="DR72" s="538">
        <f>AF72-SUM(DN72:DQ72)</f>
        <v>0</v>
      </c>
      <c r="DS72" s="14">
        <f t="shared" si="118"/>
        <v>-30.699999999999996</v>
      </c>
      <c r="DT72" s="14">
        <f t="shared" si="118"/>
        <v>13.5</v>
      </c>
      <c r="DU72" s="14">
        <f t="shared" si="118"/>
        <v>15.500000000000007</v>
      </c>
      <c r="DV72" s="14">
        <f t="shared" si="118"/>
        <v>41.4</v>
      </c>
      <c r="DW72" s="538">
        <f t="shared" si="92"/>
        <v>-7.815970093361102E-14</v>
      </c>
      <c r="DX72" s="862"/>
      <c r="DY72" s="862"/>
      <c r="DZ72" s="862"/>
      <c r="EA72" s="862"/>
      <c r="EB72" s="862"/>
      <c r="EH72" s="1048"/>
      <c r="EI72" s="1048"/>
      <c r="EJ72" s="1048"/>
      <c r="EK72" s="1048"/>
      <c r="EM72" s="1048"/>
      <c r="FL72" s="1048"/>
    </row>
    <row r="73" spans="1:168">
      <c r="A73" s="378" t="s">
        <v>685</v>
      </c>
      <c r="B73" s="14"/>
      <c r="C73" s="14"/>
      <c r="D73" s="14"/>
      <c r="E73" s="14">
        <f>+E65-E69</f>
        <v>290.01058231917364</v>
      </c>
      <c r="F73" s="14">
        <f>+F65-F69</f>
        <v>290.01058231917364</v>
      </c>
      <c r="G73" s="14"/>
      <c r="H73" s="14"/>
      <c r="I73" s="14">
        <f>+I65-I69</f>
        <v>100.57358231917374</v>
      </c>
      <c r="J73" s="14"/>
      <c r="K73" s="14">
        <f t="shared" ref="K73:U73" si="121">+K65-K69</f>
        <v>524.27958231917364</v>
      </c>
      <c r="L73" s="14">
        <f t="shared" si="121"/>
        <v>524.27958231917364</v>
      </c>
      <c r="M73" s="14">
        <f t="shared" si="121"/>
        <v>486.69999999999982</v>
      </c>
      <c r="N73" s="14">
        <f t="shared" si="121"/>
        <v>407.0799999999997</v>
      </c>
      <c r="O73" s="14">
        <f t="shared" si="121"/>
        <v>407.0799999999997</v>
      </c>
      <c r="P73" s="14">
        <f t="shared" si="121"/>
        <v>286.21638761247277</v>
      </c>
      <c r="Q73" s="14">
        <f t="shared" si="121"/>
        <v>-33.793242852373211</v>
      </c>
      <c r="R73" s="14">
        <f t="shared" si="121"/>
        <v>252.4231447600996</v>
      </c>
      <c r="S73" s="14">
        <f t="shared" si="121"/>
        <v>252.4231447600996</v>
      </c>
      <c r="T73" s="14">
        <f t="shared" si="121"/>
        <v>1225.5999999999999</v>
      </c>
      <c r="U73" s="14">
        <f t="shared" si="121"/>
        <v>1182.6999999999998</v>
      </c>
      <c r="V73" s="14"/>
      <c r="W73" s="14"/>
      <c r="X73" s="14">
        <f t="shared" ref="X73:AO73" si="122">+X65-X69</f>
        <v>1149.0999999999999</v>
      </c>
      <c r="Y73" s="14">
        <f t="shared" si="122"/>
        <v>1225.5999999999999</v>
      </c>
      <c r="Z73" s="14">
        <f t="shared" si="122"/>
        <v>1182.6999999999998</v>
      </c>
      <c r="AA73" s="14">
        <f t="shared" si="122"/>
        <v>1149.0999999999999</v>
      </c>
      <c r="AB73" s="14">
        <f t="shared" si="122"/>
        <v>1153.4000000000001</v>
      </c>
      <c r="AC73" s="14">
        <f t="shared" si="122"/>
        <v>1139.2</v>
      </c>
      <c r="AD73" s="14">
        <f t="shared" si="122"/>
        <v>1059.2999999999997</v>
      </c>
      <c r="AE73" s="14">
        <f t="shared" si="122"/>
        <v>751.50000000000023</v>
      </c>
      <c r="AF73" s="1357">
        <f t="shared" si="122"/>
        <v>211.12365782972216</v>
      </c>
      <c r="AG73" s="1357">
        <f t="shared" si="122"/>
        <v>445.19374140411486</v>
      </c>
      <c r="AH73" s="1357">
        <f t="shared" si="122"/>
        <v>580.46</v>
      </c>
      <c r="AI73" s="1357">
        <f t="shared" si="122"/>
        <v>609.62000000000012</v>
      </c>
      <c r="AJ73" s="1357">
        <f t="shared" si="122"/>
        <v>639.08000000000015</v>
      </c>
      <c r="AK73" s="1357">
        <f t="shared" si="122"/>
        <v>379.11</v>
      </c>
      <c r="AL73" s="1357">
        <f t="shared" si="122"/>
        <v>278</v>
      </c>
      <c r="AM73" s="1357">
        <f t="shared" si="122"/>
        <v>300</v>
      </c>
      <c r="AN73" s="3013">
        <f t="shared" si="122"/>
        <v>0</v>
      </c>
      <c r="AO73" s="3013">
        <f t="shared" si="122"/>
        <v>0</v>
      </c>
      <c r="AP73" s="3013">
        <f t="shared" ref="AP73:AU73" si="123">+AP65-AP69</f>
        <v>0</v>
      </c>
      <c r="AQ73" s="3013">
        <f t="shared" si="123"/>
        <v>0</v>
      </c>
      <c r="AR73" s="3013">
        <f t="shared" si="123"/>
        <v>0</v>
      </c>
      <c r="AS73" s="3013">
        <f t="shared" si="123"/>
        <v>0</v>
      </c>
      <c r="AT73" s="3013">
        <f t="shared" si="123"/>
        <v>0</v>
      </c>
      <c r="AU73" s="3013">
        <f t="shared" si="123"/>
        <v>0</v>
      </c>
      <c r="AV73" s="3013">
        <f>+AV65-AV69</f>
        <v>0</v>
      </c>
      <c r="AW73" s="3013">
        <f>+AW65-AW69</f>
        <v>0</v>
      </c>
      <c r="AX73" s="3013">
        <f>+AX65-AX69</f>
        <v>0</v>
      </c>
      <c r="AY73" s="1373"/>
      <c r="AZ73" s="1373"/>
      <c r="BA73" s="1373"/>
      <c r="BB73" s="1373"/>
      <c r="BC73" s="1373"/>
      <c r="BD73" s="1373"/>
      <c r="BE73" s="1373"/>
      <c r="BF73" s="14">
        <f>+BF65-BF69</f>
        <v>18.144895579793371</v>
      </c>
      <c r="BG73" s="14">
        <f>+BG65-BG69</f>
        <v>153.14489557979329</v>
      </c>
      <c r="BH73" s="14">
        <f>+BH65-BH69</f>
        <v>155.14489557979351</v>
      </c>
      <c r="BI73" s="14">
        <f>+BI65-BI69</f>
        <v>197.8448955797935</v>
      </c>
      <c r="BJ73" s="14"/>
      <c r="BK73" s="14">
        <f>+BK65-BK69</f>
        <v>103.60000000000002</v>
      </c>
      <c r="BL73" s="14">
        <f>+BL65-BL69</f>
        <v>220.8</v>
      </c>
      <c r="BM73" s="14">
        <f>+BM65-BM69</f>
        <v>217.10000000000002</v>
      </c>
      <c r="BN73" s="14">
        <f>+BN65-BN69</f>
        <v>154.47499999999997</v>
      </c>
      <c r="BO73" s="14"/>
      <c r="BP73" s="14">
        <f>+BP65-BP69</f>
        <v>14.875</v>
      </c>
      <c r="BQ73" s="14">
        <f>+BQ65-BQ69</f>
        <v>132.07499999999999</v>
      </c>
      <c r="BR73" s="14">
        <f>+BR65-BR69</f>
        <v>127.23500000000001</v>
      </c>
      <c r="BS73" s="14">
        <f>+BS65-BS69</f>
        <v>106.255</v>
      </c>
      <c r="BT73" s="14"/>
      <c r="BU73" s="14">
        <f>+BU65-BU69</f>
        <v>-6.6442138099750991</v>
      </c>
      <c r="BV73" s="14">
        <f>+BV65-BV69</f>
        <v>107.8557861900249</v>
      </c>
      <c r="BW73" s="14">
        <f>+BW65-BW69</f>
        <v>44.655786190024912</v>
      </c>
      <c r="BX73" s="14">
        <f>+BX65-BX69</f>
        <v>106.55578619002489</v>
      </c>
      <c r="BY73" s="95"/>
      <c r="BZ73" s="14">
        <f>+BZ65-BZ69</f>
        <v>214.9</v>
      </c>
      <c r="CA73" s="14">
        <f>+CA65-CA69</f>
        <v>350.1</v>
      </c>
      <c r="CB73" s="14">
        <f>+CB65-CB69</f>
        <v>321.49999999999994</v>
      </c>
      <c r="CC73" s="14">
        <f>+CC65-CC69</f>
        <v>339.09999999999997</v>
      </c>
      <c r="CD73" s="377"/>
      <c r="CE73" s="14">
        <f>+CE65-CE69</f>
        <v>216.00000000000003</v>
      </c>
      <c r="CF73" s="14">
        <f>+CF65-CF69</f>
        <v>344.29999999999995</v>
      </c>
      <c r="CG73" s="14">
        <f>+CG65-CG69</f>
        <v>310.70000000000005</v>
      </c>
      <c r="CH73" s="14">
        <f>+CH65-CH69</f>
        <v>311.90000000000003</v>
      </c>
      <c r="CI73" s="53"/>
      <c r="CJ73" s="14">
        <f>+CJ65-CJ69</f>
        <v>213</v>
      </c>
      <c r="CK73" s="14">
        <f>+CK65-CK69</f>
        <v>344.1</v>
      </c>
      <c r="CL73" s="14">
        <f>+CL65-CL69</f>
        <v>279.5</v>
      </c>
      <c r="CM73" s="14">
        <f>+CM65-CM69</f>
        <v>312.49999999999994</v>
      </c>
      <c r="CN73" s="49">
        <f>+X73-SUM(CJ73:CM73)</f>
        <v>0</v>
      </c>
      <c r="CO73" s="14">
        <f>+CO65-CO69</f>
        <v>213</v>
      </c>
      <c r="CP73" s="14">
        <f>+CP65-CP69</f>
        <v>344.1</v>
      </c>
      <c r="CQ73" s="14">
        <f>+CQ65-CQ69</f>
        <v>279.5</v>
      </c>
      <c r="CR73" s="14">
        <f>+CR65-CR69</f>
        <v>312.49999999999994</v>
      </c>
      <c r="CS73" s="49">
        <f>+AA73-SUM(CO73:CR73)</f>
        <v>0</v>
      </c>
      <c r="CT73" s="14">
        <f>+CT65-CT69</f>
        <v>206</v>
      </c>
      <c r="CU73" s="14">
        <f>+CU65-CU69</f>
        <v>354.59999999999997</v>
      </c>
      <c r="CV73" s="14">
        <f>+CV65-CV69</f>
        <v>291.10000000000002</v>
      </c>
      <c r="CW73" s="14">
        <f>+CW65-CW69</f>
        <v>301.7</v>
      </c>
      <c r="CX73" s="49">
        <f>AB73-SUM(CT73:CW73)</f>
        <v>0</v>
      </c>
      <c r="CY73" s="14">
        <f>+CY65-CY69</f>
        <v>207.1</v>
      </c>
      <c r="CZ73" s="14">
        <f>+CZ65-CZ69</f>
        <v>327.5</v>
      </c>
      <c r="DA73" s="14">
        <f>+DA65-DA69</f>
        <v>290.2</v>
      </c>
      <c r="DB73" s="14">
        <f>+DB65-DB69</f>
        <v>314.40000000000003</v>
      </c>
      <c r="DC73" s="871">
        <f>AC73-SUM(CY73:DB73)</f>
        <v>0</v>
      </c>
      <c r="DD73" s="14">
        <f>+DD65-DD69</f>
        <v>200.39999999999998</v>
      </c>
      <c r="DE73" s="14">
        <f>+DE65-DE69</f>
        <v>294.70000000000005</v>
      </c>
      <c r="DF73" s="14">
        <f>+DF65-DF69</f>
        <v>261.8</v>
      </c>
      <c r="DG73" s="14">
        <f>+DG65-DG69</f>
        <v>302.40000000000003</v>
      </c>
      <c r="DH73" s="357">
        <f>AD73-SUM(DD73:DG73)</f>
        <v>0</v>
      </c>
      <c r="DI73" s="14">
        <f>+DI65-DI69</f>
        <v>169.10000000000002</v>
      </c>
      <c r="DJ73" s="14">
        <f>+DJ65-DJ69</f>
        <v>245.69999999999993</v>
      </c>
      <c r="DK73" s="14">
        <f>+DK65-DK69</f>
        <v>187.29999999999998</v>
      </c>
      <c r="DL73" s="14">
        <f>+DL65-DL69</f>
        <v>149.39999999999998</v>
      </c>
      <c r="DM73" s="357">
        <f>AE73-SUM(DI73:DL73)</f>
        <v>0</v>
      </c>
      <c r="DN73" s="14">
        <f>+DN65-DN69</f>
        <v>5.5000000000000142</v>
      </c>
      <c r="DO73" s="14">
        <f>+DO65-DO69</f>
        <v>63.7</v>
      </c>
      <c r="DP73" s="14">
        <f>+DP65-DP69</f>
        <v>47.899999999999991</v>
      </c>
      <c r="DQ73" s="14">
        <f>+DQ65-DQ69</f>
        <v>94.023657829722097</v>
      </c>
      <c r="DR73" s="538">
        <f>AF73-SUM(DN73:DQ73)</f>
        <v>0</v>
      </c>
      <c r="DS73" s="14">
        <f>+DS65-DS69</f>
        <v>39.4</v>
      </c>
      <c r="DT73" s="14">
        <f>+DT65-DT69</f>
        <v>126.91800000000005</v>
      </c>
      <c r="DU73" s="14">
        <f>+DU65-DU69</f>
        <v>122.43400000000004</v>
      </c>
      <c r="DV73" s="14">
        <f>+DV65-DV69</f>
        <v>156.44174140411502</v>
      </c>
      <c r="DW73" s="538">
        <f t="shared" si="92"/>
        <v>0</v>
      </c>
      <c r="DX73" s="862"/>
      <c r="DY73" s="862"/>
      <c r="DZ73" s="862"/>
      <c r="EA73" s="862"/>
      <c r="EB73" s="862"/>
      <c r="EH73" s="1048"/>
      <c r="EI73" s="1048"/>
      <c r="EJ73" s="1048"/>
      <c r="EK73" s="1048"/>
      <c r="EM73" s="1048"/>
      <c r="FL73" s="1048"/>
    </row>
    <row r="74" spans="1:168" ht="5.0999999999999996" customHeight="1">
      <c r="A74" s="376"/>
      <c r="B74" s="11"/>
      <c r="C74" s="11"/>
      <c r="D74" s="11"/>
      <c r="E74" s="11"/>
      <c r="F74" s="14"/>
      <c r="G74" s="11"/>
      <c r="H74" s="11"/>
      <c r="I74" s="11"/>
      <c r="J74" s="11"/>
      <c r="K74" s="11"/>
      <c r="L74" s="14"/>
      <c r="M74" s="11"/>
      <c r="N74" s="11"/>
      <c r="O74" s="14"/>
      <c r="P74" s="11"/>
      <c r="Q74" s="11"/>
      <c r="R74" s="11"/>
      <c r="S74" s="14"/>
      <c r="T74" s="11"/>
      <c r="U74" s="11"/>
      <c r="V74" s="11"/>
      <c r="W74" s="11"/>
      <c r="X74" s="11"/>
      <c r="Y74" s="14"/>
      <c r="Z74" s="14"/>
      <c r="AA74" s="14"/>
      <c r="AB74" s="11"/>
      <c r="AC74" s="11"/>
      <c r="AD74" s="11"/>
      <c r="AE74" s="11"/>
      <c r="AF74" s="1108"/>
      <c r="AG74" s="1108"/>
      <c r="AH74" s="1108"/>
      <c r="AI74" s="1108"/>
      <c r="AJ74" s="1108"/>
      <c r="AK74" s="1108"/>
      <c r="AL74" s="1108"/>
      <c r="AM74" s="1108"/>
      <c r="AN74" s="3016"/>
      <c r="AO74" s="3016"/>
      <c r="AP74" s="3016"/>
      <c r="AQ74" s="3016"/>
      <c r="AR74" s="3016"/>
      <c r="AS74" s="3016"/>
      <c r="AT74" s="3016"/>
      <c r="AU74" s="3016"/>
      <c r="AV74" s="3016"/>
      <c r="AW74" s="3016"/>
      <c r="AX74" s="3016"/>
      <c r="AY74" s="1109"/>
      <c r="AZ74" s="1109"/>
      <c r="BA74" s="1109"/>
      <c r="BB74" s="1109"/>
      <c r="BC74" s="1109"/>
      <c r="BD74" s="1109"/>
      <c r="BE74" s="1109"/>
      <c r="BF74" s="11"/>
      <c r="BG74" s="11"/>
      <c r="BH74" s="11"/>
      <c r="BI74" s="11"/>
      <c r="BJ74" s="11"/>
      <c r="BK74" s="11"/>
      <c r="BL74" s="11"/>
      <c r="BM74" s="11"/>
      <c r="BN74" s="11"/>
      <c r="BO74" s="11"/>
      <c r="BP74" s="11"/>
      <c r="BQ74" s="11"/>
      <c r="BR74" s="11"/>
      <c r="BS74" s="11"/>
      <c r="BT74" s="11"/>
      <c r="BU74" s="11"/>
      <c r="BV74" s="11"/>
      <c r="BW74" s="11"/>
      <c r="BX74" s="11"/>
      <c r="BY74" s="95"/>
      <c r="BZ74" s="11"/>
      <c r="CA74" s="11"/>
      <c r="CB74" s="11"/>
      <c r="CC74" s="11"/>
      <c r="CD74" s="377"/>
      <c r="CE74" s="11"/>
      <c r="CF74" s="11"/>
      <c r="CG74" s="11"/>
      <c r="CH74" s="11"/>
      <c r="CI74" s="53"/>
      <c r="CJ74" s="11"/>
      <c r="CK74" s="11"/>
      <c r="CL74" s="11"/>
      <c r="CM74" s="11"/>
      <c r="CN74" s="49"/>
      <c r="CO74" s="11"/>
      <c r="CP74" s="11"/>
      <c r="CQ74" s="11"/>
      <c r="CR74" s="11"/>
      <c r="CS74" s="49"/>
      <c r="CT74" s="11"/>
      <c r="CU74" s="14"/>
      <c r="CV74" s="14"/>
      <c r="CW74" s="14"/>
      <c r="CX74" s="49"/>
      <c r="CY74" s="352"/>
      <c r="CZ74" s="352"/>
      <c r="DA74" s="352"/>
      <c r="DB74" s="352"/>
      <c r="DC74" s="11"/>
      <c r="DD74" s="304"/>
      <c r="DE74" s="304"/>
      <c r="DF74" s="304"/>
      <c r="DG74" s="304"/>
      <c r="DH74" s="304"/>
      <c r="DI74" s="304"/>
      <c r="DJ74" s="304"/>
      <c r="DK74" s="304"/>
      <c r="DL74" s="304"/>
      <c r="DM74" s="304"/>
      <c r="DN74" s="11"/>
      <c r="DO74" s="11"/>
      <c r="DP74" s="11"/>
      <c r="DQ74" s="11"/>
      <c r="DR74" s="11"/>
      <c r="DX74" s="862"/>
      <c r="DY74" s="862"/>
      <c r="DZ74" s="862"/>
      <c r="EA74" s="862"/>
      <c r="EB74" s="862"/>
      <c r="EH74" s="1048"/>
      <c r="EI74" s="1048"/>
      <c r="EJ74" s="1048"/>
      <c r="EK74" s="1048"/>
      <c r="EM74" s="1048"/>
      <c r="FL74" s="1048"/>
    </row>
    <row r="75" spans="1:168">
      <c r="A75" s="379" t="s">
        <v>661</v>
      </c>
      <c r="B75" s="11"/>
      <c r="C75" s="11"/>
      <c r="D75" s="11"/>
      <c r="E75" s="11"/>
      <c r="F75" s="14"/>
      <c r="G75" s="11"/>
      <c r="H75" s="11"/>
      <c r="I75" s="11"/>
      <c r="J75" s="11"/>
      <c r="K75" s="11"/>
      <c r="L75" s="14"/>
      <c r="M75" s="11"/>
      <c r="N75" s="11"/>
      <c r="O75" s="14"/>
      <c r="P75" s="11"/>
      <c r="Q75" s="11"/>
      <c r="R75" s="11"/>
      <c r="S75" s="14"/>
      <c r="T75" s="11"/>
      <c r="U75" s="11"/>
      <c r="V75" s="11"/>
      <c r="W75" s="11"/>
      <c r="X75" s="11"/>
      <c r="Y75" s="14">
        <f>Y78*Y42</f>
        <v>46.046816329791483</v>
      </c>
      <c r="Z75" s="14">
        <f>Z78*Z42</f>
        <v>39.378746197249015</v>
      </c>
      <c r="AA75" s="77">
        <v>38.200000000000003</v>
      </c>
      <c r="AB75" s="77">
        <v>37.700000000000003</v>
      </c>
      <c r="AC75" s="77">
        <v>43.2</v>
      </c>
      <c r="AD75" s="77">
        <v>40.4</v>
      </c>
      <c r="AE75" s="77">
        <v>41.1</v>
      </c>
      <c r="AF75" s="1437">
        <f>25.2/0.66</f>
        <v>38.18181818181818</v>
      </c>
      <c r="AG75" s="1437">
        <f>60%*74</f>
        <v>44.4</v>
      </c>
      <c r="AH75" s="1437">
        <f>60%*69</f>
        <v>41.4</v>
      </c>
      <c r="AI75" s="1357">
        <f>AH75*1.02</f>
        <v>42.228000000000002</v>
      </c>
      <c r="AJ75" s="1437">
        <v>23.3</v>
      </c>
      <c r="AK75" s="1437">
        <v>26.7</v>
      </c>
      <c r="AL75" s="1437">
        <v>21.5</v>
      </c>
      <c r="AM75" s="1693">
        <f>AL75*0.9</f>
        <v>19.350000000000001</v>
      </c>
      <c r="AN75" s="3022">
        <v>0</v>
      </c>
      <c r="AO75" s="3022">
        <f>AN75*1.02</f>
        <v>0</v>
      </c>
      <c r="AP75" s="3022">
        <f>AO75*1.02</f>
        <v>0</v>
      </c>
      <c r="AQ75" s="3022">
        <f>AP75*1.02</f>
        <v>0</v>
      </c>
      <c r="AR75" s="3022">
        <f t="shared" ref="AR75:AX75" si="124">AQ75*1.02</f>
        <v>0</v>
      </c>
      <c r="AS75" s="3022">
        <f t="shared" si="124"/>
        <v>0</v>
      </c>
      <c r="AT75" s="3022">
        <f t="shared" si="124"/>
        <v>0</v>
      </c>
      <c r="AU75" s="3022">
        <f t="shared" si="124"/>
        <v>0</v>
      </c>
      <c r="AV75" s="3022">
        <f t="shared" si="124"/>
        <v>0</v>
      </c>
      <c r="AW75" s="3022">
        <f t="shared" si="124"/>
        <v>0</v>
      </c>
      <c r="AX75" s="3022">
        <f t="shared" si="124"/>
        <v>0</v>
      </c>
      <c r="AY75" s="1373"/>
      <c r="AZ75" s="1373"/>
      <c r="BA75" s="1373"/>
      <c r="BB75" s="1373"/>
      <c r="BC75" s="1373"/>
      <c r="BD75" s="1373"/>
      <c r="BE75" s="1109"/>
      <c r="BF75" s="11"/>
      <c r="BG75" s="11"/>
      <c r="BH75" s="11"/>
      <c r="BI75" s="11"/>
      <c r="BJ75" s="11"/>
      <c r="BK75" s="11"/>
      <c r="BL75" s="11"/>
      <c r="BM75" s="11"/>
      <c r="BN75" s="11"/>
      <c r="BO75" s="11"/>
      <c r="BP75" s="11"/>
      <c r="BQ75" s="11"/>
      <c r="BR75" s="11"/>
      <c r="BS75" s="11"/>
      <c r="BT75" s="11"/>
      <c r="BU75" s="11"/>
      <c r="BV75" s="11"/>
      <c r="BW75" s="11"/>
      <c r="BX75" s="11"/>
      <c r="BY75" s="95"/>
      <c r="BZ75" s="11"/>
      <c r="CA75" s="11"/>
      <c r="CB75" s="11"/>
      <c r="CC75" s="11"/>
      <c r="CD75" s="377"/>
      <c r="CE75" s="11"/>
      <c r="CF75" s="11"/>
      <c r="CG75" s="11"/>
      <c r="CH75" s="11"/>
      <c r="CI75" s="53"/>
      <c r="CJ75" s="11"/>
      <c r="CK75" s="11"/>
      <c r="CL75" s="11"/>
      <c r="CM75" s="11"/>
      <c r="CN75" s="49"/>
      <c r="CO75" s="11"/>
      <c r="CP75" s="11"/>
      <c r="CQ75" s="11"/>
      <c r="CR75" s="11"/>
      <c r="CS75" s="49"/>
      <c r="CT75" s="11"/>
      <c r="CU75" s="14"/>
      <c r="CV75" s="14"/>
      <c r="CW75" s="14"/>
      <c r="CX75" s="49"/>
      <c r="CY75" s="352"/>
      <c r="CZ75" s="352"/>
      <c r="DA75" s="352"/>
      <c r="DB75" s="352"/>
      <c r="DC75" s="11"/>
      <c r="DD75" s="304"/>
      <c r="DE75" s="304"/>
      <c r="DF75" s="304"/>
      <c r="DG75" s="304"/>
      <c r="DH75" s="304"/>
      <c r="DI75" s="304"/>
      <c r="DJ75" s="304"/>
      <c r="DK75" s="304"/>
      <c r="DL75" s="304"/>
      <c r="DM75" s="304"/>
      <c r="DN75" s="11"/>
      <c r="DO75" s="11"/>
      <c r="DP75" s="11"/>
      <c r="DQ75" s="11"/>
      <c r="DR75" s="11"/>
      <c r="DX75" s="862"/>
      <c r="DY75" s="862"/>
      <c r="DZ75" s="862"/>
      <c r="EA75" s="862"/>
      <c r="EB75" s="862"/>
      <c r="EH75" s="1048"/>
      <c r="EI75" s="1048"/>
      <c r="EJ75" s="1048"/>
      <c r="EK75" s="1048"/>
      <c r="EM75" s="1048"/>
      <c r="FL75" s="1048"/>
    </row>
    <row r="76" spans="1:168">
      <c r="A76" s="379" t="s">
        <v>663</v>
      </c>
      <c r="B76" s="11"/>
      <c r="C76" s="11"/>
      <c r="D76" s="11"/>
      <c r="E76" s="11"/>
      <c r="F76" s="14"/>
      <c r="G76" s="11"/>
      <c r="H76" s="11"/>
      <c r="I76" s="11"/>
      <c r="J76" s="11"/>
      <c r="K76" s="11"/>
      <c r="L76" s="14"/>
      <c r="M76" s="11"/>
      <c r="N76" s="11"/>
      <c r="O76" s="14"/>
      <c r="P76" s="11"/>
      <c r="Q76" s="11"/>
      <c r="R76" s="11"/>
      <c r="S76" s="14"/>
      <c r="T76" s="11"/>
      <c r="U76" s="11"/>
      <c r="V76" s="11"/>
      <c r="W76" s="11"/>
      <c r="X76" s="11"/>
      <c r="Y76" s="14">
        <f>Y78*Y43</f>
        <v>35.453183670208517</v>
      </c>
      <c r="Z76" s="14">
        <f>Z78*Z43</f>
        <v>32.821253802750988</v>
      </c>
      <c r="AA76" s="77">
        <v>56.5</v>
      </c>
      <c r="AB76" s="77">
        <v>68.400000000000006</v>
      </c>
      <c r="AC76" s="77">
        <v>115.7</v>
      </c>
      <c r="AD76" s="77">
        <v>186.4</v>
      </c>
      <c r="AE76" s="77">
        <v>195.7</v>
      </c>
      <c r="AF76" s="1437">
        <v>91</v>
      </c>
      <c r="AG76" s="1437">
        <v>78</v>
      </c>
      <c r="AH76" s="1437">
        <v>46</v>
      </c>
      <c r="AI76" s="1437">
        <v>54</v>
      </c>
      <c r="AJ76" s="1437">
        <v>58</v>
      </c>
      <c r="AK76" s="1437"/>
      <c r="AL76" s="1379">
        <v>0</v>
      </c>
      <c r="AM76" s="1379">
        <v>0</v>
      </c>
      <c r="AN76" s="3012">
        <v>0</v>
      </c>
      <c r="AO76" s="3012">
        <v>0</v>
      </c>
      <c r="AP76" s="3012">
        <v>0</v>
      </c>
      <c r="AQ76" s="3012">
        <v>0</v>
      </c>
      <c r="AR76" s="3012">
        <v>0</v>
      </c>
      <c r="AS76" s="3012">
        <v>0</v>
      </c>
      <c r="AT76" s="3012">
        <v>0</v>
      </c>
      <c r="AU76" s="3012">
        <v>0</v>
      </c>
      <c r="AV76" s="3012">
        <v>0</v>
      </c>
      <c r="AW76" s="3012">
        <v>0</v>
      </c>
      <c r="AX76" s="3012">
        <v>0</v>
      </c>
      <c r="AY76" s="1373"/>
      <c r="AZ76" s="1373"/>
      <c r="BA76" s="1373"/>
      <c r="BB76" s="1373"/>
      <c r="BC76" s="1373"/>
      <c r="BD76" s="1373"/>
      <c r="BE76" s="1109"/>
      <c r="BF76" s="11"/>
      <c r="BG76" s="11"/>
      <c r="BH76" s="11"/>
      <c r="BI76" s="11"/>
      <c r="BJ76" s="11"/>
      <c r="BK76" s="11"/>
      <c r="BL76" s="11"/>
      <c r="BM76" s="11"/>
      <c r="BN76" s="11"/>
      <c r="BO76" s="11"/>
      <c r="BP76" s="11"/>
      <c r="BQ76" s="11"/>
      <c r="BR76" s="11"/>
      <c r="BS76" s="11"/>
      <c r="BT76" s="11"/>
      <c r="BU76" s="11"/>
      <c r="BV76" s="11"/>
      <c r="BW76" s="11"/>
      <c r="BX76" s="11"/>
      <c r="BY76" s="95"/>
      <c r="BZ76" s="11"/>
      <c r="CA76" s="11"/>
      <c r="CB76" s="11"/>
      <c r="CC76" s="11"/>
      <c r="CD76" s="377"/>
      <c r="CE76" s="11"/>
      <c r="CF76" s="11"/>
      <c r="CG76" s="11"/>
      <c r="CH76" s="11"/>
      <c r="CI76" s="53"/>
      <c r="CJ76" s="11"/>
      <c r="CK76" s="11"/>
      <c r="CL76" s="11"/>
      <c r="CM76" s="11"/>
      <c r="CN76" s="49"/>
      <c r="CO76" s="11"/>
      <c r="CP76" s="11"/>
      <c r="CQ76" s="11"/>
      <c r="CR76" s="11"/>
      <c r="CS76" s="49"/>
      <c r="CT76" s="11"/>
      <c r="CU76" s="14"/>
      <c r="CV76" s="14"/>
      <c r="CW76" s="14"/>
      <c r="CX76" s="49"/>
      <c r="CY76" s="352"/>
      <c r="CZ76" s="352"/>
      <c r="DA76" s="352"/>
      <c r="DB76" s="352"/>
      <c r="DC76" s="11"/>
      <c r="DD76" s="304"/>
      <c r="DE76" s="304"/>
      <c r="DF76" s="304"/>
      <c r="DG76" s="304"/>
      <c r="DH76" s="304"/>
      <c r="DI76" s="304"/>
      <c r="DJ76" s="304"/>
      <c r="DK76" s="304"/>
      <c r="DL76" s="304"/>
      <c r="DM76" s="304"/>
      <c r="DN76" s="11"/>
      <c r="DO76" s="11"/>
      <c r="DP76" s="11"/>
      <c r="DQ76" s="11"/>
      <c r="DR76" s="11"/>
      <c r="DX76" s="862"/>
      <c r="DY76" s="862"/>
      <c r="DZ76" s="862"/>
      <c r="EA76" s="862"/>
      <c r="EB76" s="862"/>
      <c r="EH76" s="1048"/>
      <c r="EI76" s="1048"/>
      <c r="EJ76" s="1048"/>
      <c r="EK76" s="1048"/>
      <c r="EM76" s="1048"/>
      <c r="FL76" s="1048"/>
    </row>
    <row r="77" spans="1:168">
      <c r="A77" s="369" t="s">
        <v>686</v>
      </c>
      <c r="B77" s="14"/>
      <c r="C77" s="77"/>
      <c r="D77" s="14"/>
      <c r="E77" s="14">
        <f>+E78*E45</f>
        <v>60.18</v>
      </c>
      <c r="F77" s="14">
        <f>E77</f>
        <v>60.18</v>
      </c>
      <c r="G77" s="14"/>
      <c r="H77" s="14"/>
      <c r="I77" s="77">
        <v>44.1</v>
      </c>
      <c r="J77" s="14"/>
      <c r="K77" s="14">
        <f>+K78*K45</f>
        <v>71.739999999999995</v>
      </c>
      <c r="L77" s="14">
        <f>K77</f>
        <v>71.739999999999995</v>
      </c>
      <c r="M77" s="14">
        <f>+M216</f>
        <v>72</v>
      </c>
      <c r="N77" s="14">
        <f>+M77</f>
        <v>72</v>
      </c>
      <c r="O77" s="14">
        <f>N77</f>
        <v>72</v>
      </c>
      <c r="P77" s="14">
        <f>+P216</f>
        <v>99.3</v>
      </c>
      <c r="Q77" s="14"/>
      <c r="R77" s="14">
        <f>+R216</f>
        <v>99.3</v>
      </c>
      <c r="S77" s="14">
        <f>R77</f>
        <v>99.3</v>
      </c>
      <c r="T77" s="14">
        <f>+T216</f>
        <v>81.5</v>
      </c>
      <c r="U77" s="14">
        <f>+U216</f>
        <v>72.2</v>
      </c>
      <c r="V77" s="14"/>
      <c r="W77" s="14"/>
      <c r="X77" s="14">
        <f>+X216</f>
        <v>94.7</v>
      </c>
      <c r="Y77" s="77">
        <f>14.4+67.1</f>
        <v>81.5</v>
      </c>
      <c r="Z77" s="77">
        <f>14.1+58.1</f>
        <v>72.2</v>
      </c>
      <c r="AA77" s="77">
        <f>38.2+56.5</f>
        <v>94.7</v>
      </c>
      <c r="AB77" s="14">
        <f t="shared" ref="AB77:AM77" si="125">+AB75+AB76</f>
        <v>106.10000000000001</v>
      </c>
      <c r="AC77" s="14">
        <f t="shared" si="125"/>
        <v>158.9</v>
      </c>
      <c r="AD77" s="14">
        <f t="shared" si="125"/>
        <v>226.8</v>
      </c>
      <c r="AE77" s="14">
        <f t="shared" si="125"/>
        <v>236.79999999999998</v>
      </c>
      <c r="AF77" s="1357">
        <f>+AF75+AF76</f>
        <v>129.18181818181819</v>
      </c>
      <c r="AG77" s="1357">
        <f t="shared" si="125"/>
        <v>122.4</v>
      </c>
      <c r="AH77" s="1357">
        <f t="shared" si="125"/>
        <v>87.4</v>
      </c>
      <c r="AI77" s="1357">
        <f t="shared" si="125"/>
        <v>96.228000000000009</v>
      </c>
      <c r="AJ77" s="1357">
        <f>+AJ75+AJ76</f>
        <v>81.3</v>
      </c>
      <c r="AK77" s="1357">
        <f>+AK75+AK76</f>
        <v>26.7</v>
      </c>
      <c r="AL77" s="1357">
        <f>+AL75+AL76</f>
        <v>21.5</v>
      </c>
      <c r="AM77" s="1357">
        <f t="shared" si="125"/>
        <v>19.350000000000001</v>
      </c>
      <c r="AN77" s="3022">
        <v>0</v>
      </c>
      <c r="AO77" s="3022">
        <v>0</v>
      </c>
      <c r="AP77" s="3022">
        <v>0</v>
      </c>
      <c r="AQ77" s="3022">
        <v>0</v>
      </c>
      <c r="AR77" s="3022">
        <v>0</v>
      </c>
      <c r="AS77" s="3022">
        <v>0</v>
      </c>
      <c r="AT77" s="3022">
        <v>0</v>
      </c>
      <c r="AU77" s="3022">
        <v>0</v>
      </c>
      <c r="AV77" s="3022">
        <v>0</v>
      </c>
      <c r="AW77" s="3022">
        <v>0</v>
      </c>
      <c r="AX77" s="3022">
        <v>0</v>
      </c>
      <c r="AY77" s="1373"/>
      <c r="AZ77" s="1373"/>
      <c r="BA77" s="1373"/>
      <c r="BB77" s="1373"/>
      <c r="BC77" s="1373"/>
      <c r="BD77" s="1373"/>
      <c r="BE77" s="1373"/>
      <c r="BF77" s="14"/>
      <c r="BG77" s="14"/>
      <c r="BH77" s="14"/>
      <c r="BI77" s="14"/>
      <c r="BJ77" s="14"/>
      <c r="BK77" s="14"/>
      <c r="BL77" s="14"/>
      <c r="BM77" s="14"/>
      <c r="BN77" s="14"/>
      <c r="BO77" s="14"/>
      <c r="BP77" s="14"/>
      <c r="BQ77" s="14"/>
      <c r="BR77" s="14"/>
      <c r="BS77" s="14"/>
      <c r="BT77" s="14"/>
      <c r="BU77" s="14"/>
      <c r="BV77" s="14"/>
      <c r="BW77" s="14"/>
      <c r="BX77" s="14"/>
      <c r="BY77" s="95"/>
      <c r="BZ77" s="14"/>
      <c r="CA77" s="14"/>
      <c r="CB77" s="14"/>
      <c r="CC77" s="14"/>
      <c r="CD77" s="377"/>
      <c r="CE77" s="14"/>
      <c r="CF77" s="14"/>
      <c r="CG77" s="14"/>
      <c r="CH77" s="14"/>
      <c r="CI77" s="53"/>
      <c r="CJ77" s="14"/>
      <c r="CK77" s="14"/>
      <c r="CL77" s="14"/>
      <c r="CM77" s="14"/>
      <c r="CN77" s="49"/>
      <c r="CO77" s="14"/>
      <c r="CP77" s="14"/>
      <c r="CQ77" s="14"/>
      <c r="CR77" s="14"/>
      <c r="CS77" s="49"/>
      <c r="CT77" s="14"/>
      <c r="CU77" s="11"/>
      <c r="CV77" s="11"/>
      <c r="CW77" s="11"/>
      <c r="CX77" s="49"/>
      <c r="CY77" s="304"/>
      <c r="CZ77" s="304"/>
      <c r="DA77" s="304"/>
      <c r="DB77" s="304"/>
      <c r="DC77" s="14"/>
      <c r="DD77" s="352"/>
      <c r="DE77" s="352"/>
      <c r="DF77" s="352"/>
      <c r="DG77" s="352"/>
      <c r="DH77" s="352"/>
      <c r="DI77" s="352"/>
      <c r="DJ77" s="352"/>
      <c r="DK77" s="352"/>
      <c r="DL77" s="352"/>
      <c r="DM77" s="352"/>
      <c r="DN77" s="14"/>
      <c r="DO77" s="14"/>
      <c r="DP77" s="14"/>
      <c r="DQ77" s="14"/>
      <c r="DR77" s="14"/>
      <c r="DX77" s="862"/>
      <c r="DY77" s="862"/>
      <c r="DZ77" s="862"/>
      <c r="EA77" s="862"/>
      <c r="EB77" s="862"/>
      <c r="EH77" s="1048"/>
      <c r="EI77" s="1048"/>
      <c r="EJ77" s="1048"/>
      <c r="EK77" s="1048"/>
      <c r="EM77" s="1048"/>
      <c r="FL77" s="1048"/>
    </row>
    <row r="78" spans="1:168">
      <c r="A78" s="375" t="s">
        <v>682</v>
      </c>
      <c r="B78" s="242"/>
      <c r="C78" s="242"/>
      <c r="D78" s="242"/>
      <c r="E78" s="242">
        <v>0.02</v>
      </c>
      <c r="F78" s="242">
        <v>0.02</v>
      </c>
      <c r="G78" s="242">
        <v>0.02</v>
      </c>
      <c r="H78" s="242">
        <v>0.02</v>
      </c>
      <c r="I78" s="394">
        <v>1.800734993875051E-2</v>
      </c>
      <c r="J78" s="242"/>
      <c r="K78" s="119">
        <v>0.02</v>
      </c>
      <c r="L78" s="242">
        <v>0.02</v>
      </c>
      <c r="M78" s="39">
        <f>+M77/M45</f>
        <v>1.7834142474982662E-2</v>
      </c>
      <c r="N78" s="39">
        <f>+N77/N45</f>
        <v>1.8147448015122872E-2</v>
      </c>
      <c r="O78" s="242">
        <v>0.02</v>
      </c>
      <c r="P78" s="39">
        <f>+P77/P45</f>
        <v>2.7055590467053709E-2</v>
      </c>
      <c r="Q78" s="119"/>
      <c r="R78" s="39">
        <f>+R77/R45</f>
        <v>2.6939835696302376E-2</v>
      </c>
      <c r="S78" s="242">
        <v>0.02</v>
      </c>
      <c r="T78" s="39">
        <f>+T77/T45</f>
        <v>2.1703816143378338E-2</v>
      </c>
      <c r="U78" s="39">
        <f>+U77/U45</f>
        <v>1.8773239033776229E-2</v>
      </c>
      <c r="V78" s="39"/>
      <c r="W78" s="39"/>
      <c r="X78" s="39">
        <f t="shared" ref="X78:AM78" si="126">+X77/X45</f>
        <v>2.3816110454442572E-2</v>
      </c>
      <c r="Y78" s="39">
        <f t="shared" si="126"/>
        <v>2.1703816143378338E-2</v>
      </c>
      <c r="Z78" s="39">
        <f t="shared" si="126"/>
        <v>1.8773239033776229E-2</v>
      </c>
      <c r="AA78" s="39">
        <f t="shared" si="126"/>
        <v>2.3816110454442572E-2</v>
      </c>
      <c r="AB78" s="39">
        <f t="shared" si="126"/>
        <v>2.6106641076745159E-2</v>
      </c>
      <c r="AC78" s="39">
        <f t="shared" si="126"/>
        <v>3.9106145251396648E-2</v>
      </c>
      <c r="AD78" s="39">
        <f t="shared" si="126"/>
        <v>5.7548845470692722E-2</v>
      </c>
      <c r="AE78" s="39">
        <f t="shared" si="126"/>
        <v>6.3832654931665636E-2</v>
      </c>
      <c r="AF78" s="1110">
        <f t="shared" si="126"/>
        <v>4.3864793949683595E-2</v>
      </c>
      <c r="AG78" s="1110">
        <f t="shared" si="126"/>
        <v>3.8788776100029412E-2</v>
      </c>
      <c r="AH78" s="1110">
        <f t="shared" si="126"/>
        <v>3.3280024369811902E-2</v>
      </c>
      <c r="AI78" s="1110">
        <f t="shared" si="126"/>
        <v>3.7039260969976909E-2</v>
      </c>
      <c r="AJ78" s="1110">
        <f t="shared" si="126"/>
        <v>3.1144652160588412E-2</v>
      </c>
      <c r="AK78" s="1110">
        <f t="shared" si="126"/>
        <v>2.0491174213353797E-2</v>
      </c>
      <c r="AL78" s="1110">
        <f t="shared" si="126"/>
        <v>1.74512987012987E-2</v>
      </c>
      <c r="AM78" s="1110">
        <f t="shared" si="126"/>
        <v>1.5860655737704919E-2</v>
      </c>
      <c r="AN78" s="3014"/>
      <c r="AO78" s="3014"/>
      <c r="AP78" s="3014"/>
      <c r="AQ78" s="3014"/>
      <c r="AR78" s="3014"/>
      <c r="AS78" s="3014"/>
      <c r="AT78" s="3014"/>
      <c r="AU78" s="3014"/>
      <c r="AV78" s="3014"/>
      <c r="AW78" s="3014"/>
      <c r="AX78" s="3014"/>
      <c r="AY78" s="1801"/>
      <c r="AZ78" s="1801"/>
      <c r="BA78" s="1801"/>
      <c r="BB78" s="1801"/>
      <c r="BC78" s="1801"/>
      <c r="BD78" s="1801"/>
      <c r="BE78" s="2436"/>
      <c r="BF78" s="242"/>
      <c r="BG78" s="242"/>
      <c r="BH78" s="242"/>
      <c r="BI78" s="242"/>
      <c r="BJ78" s="242"/>
      <c r="BK78" s="242"/>
      <c r="BL78" s="242"/>
      <c r="BM78" s="242"/>
      <c r="BN78" s="242"/>
      <c r="BO78" s="242"/>
      <c r="BP78" s="242"/>
      <c r="BQ78" s="242"/>
      <c r="BR78" s="242"/>
      <c r="BS78" s="242"/>
      <c r="BT78" s="242"/>
      <c r="BU78" s="242"/>
      <c r="BV78" s="242"/>
      <c r="BW78" s="242"/>
      <c r="BX78" s="242"/>
      <c r="BY78" s="95"/>
      <c r="BZ78" s="242"/>
      <c r="CA78" s="242"/>
      <c r="CB78" s="242"/>
      <c r="CC78" s="242"/>
      <c r="CD78" s="377"/>
      <c r="CE78" s="242"/>
      <c r="CF78" s="242"/>
      <c r="CG78" s="242"/>
      <c r="CH78" s="242"/>
      <c r="CI78" s="53"/>
      <c r="CJ78" s="242"/>
      <c r="CK78" s="242"/>
      <c r="CL78" s="242"/>
      <c r="CM78" s="242"/>
      <c r="CN78" s="49"/>
      <c r="CO78" s="242"/>
      <c r="CP78" s="242"/>
      <c r="CQ78" s="242"/>
      <c r="CR78" s="242"/>
      <c r="CS78" s="49"/>
      <c r="CT78" s="242"/>
      <c r="CU78" s="14"/>
      <c r="CV78" s="14"/>
      <c r="CW78" s="14"/>
      <c r="CX78" s="49"/>
      <c r="CY78" s="352"/>
      <c r="CZ78" s="352"/>
      <c r="DA78" s="352"/>
      <c r="DB78" s="352"/>
      <c r="DC78" s="242"/>
      <c r="DD78" s="391"/>
      <c r="DE78" s="391"/>
      <c r="DF78" s="391"/>
      <c r="DG78" s="391"/>
      <c r="DH78" s="391"/>
      <c r="DI78" s="391"/>
      <c r="DJ78" s="391"/>
      <c r="DK78" s="391"/>
      <c r="DL78" s="391"/>
      <c r="DM78" s="391"/>
      <c r="DN78" s="242"/>
      <c r="DO78" s="242"/>
      <c r="DP78" s="242"/>
      <c r="DQ78" s="242"/>
      <c r="DR78" s="242"/>
      <c r="DX78" s="862"/>
      <c r="DY78" s="862"/>
      <c r="DZ78" s="862"/>
      <c r="EA78" s="862"/>
      <c r="EB78" s="862"/>
      <c r="EH78" s="1048"/>
      <c r="EI78" s="1048"/>
      <c r="EJ78" s="1048"/>
      <c r="EK78" s="1048"/>
      <c r="EM78" s="1048"/>
      <c r="FL78" s="1048"/>
    </row>
    <row r="79" spans="1:168" ht="5.0999999999999996" customHeight="1">
      <c r="A79" s="397"/>
      <c r="B79" s="11"/>
      <c r="C79" s="11"/>
      <c r="D79" s="11"/>
      <c r="E79" s="11"/>
      <c r="F79" s="11"/>
      <c r="G79" s="11"/>
      <c r="H79" s="11"/>
      <c r="I79" s="88"/>
      <c r="J79" s="11"/>
      <c r="K79" s="88"/>
      <c r="L79" s="11"/>
      <c r="M79" s="88"/>
      <c r="N79" s="398"/>
      <c r="O79" s="11"/>
      <c r="P79" s="398"/>
      <c r="Q79" s="398"/>
      <c r="R79" s="398"/>
      <c r="S79" s="11"/>
      <c r="T79" s="39"/>
      <c r="U79" s="39"/>
      <c r="V79" s="39"/>
      <c r="W79" s="39"/>
      <c r="X79" s="39"/>
      <c r="Y79" s="11"/>
      <c r="Z79" s="11"/>
      <c r="AA79" s="11"/>
      <c r="AB79" s="39"/>
      <c r="AC79" s="39"/>
      <c r="AD79" s="39"/>
      <c r="AE79" s="39"/>
      <c r="AF79" s="1110"/>
      <c r="AG79" s="1110"/>
      <c r="AH79" s="1110"/>
      <c r="AI79" s="1110"/>
      <c r="AJ79" s="1110"/>
      <c r="AK79" s="1110"/>
      <c r="AL79" s="1110"/>
      <c r="AM79" s="1110"/>
      <c r="AN79" s="3014"/>
      <c r="AO79" s="3014"/>
      <c r="AP79" s="3014"/>
      <c r="AQ79" s="3014"/>
      <c r="AR79" s="3014"/>
      <c r="AS79" s="3014"/>
      <c r="AT79" s="3014"/>
      <c r="AU79" s="3014"/>
      <c r="AV79" s="3014"/>
      <c r="AW79" s="3014"/>
      <c r="AX79" s="3014"/>
      <c r="AY79" s="1801"/>
      <c r="AZ79" s="1801"/>
      <c r="BA79" s="1801"/>
      <c r="BB79" s="1801"/>
      <c r="BC79" s="1801"/>
      <c r="BD79" s="1801"/>
      <c r="BE79" s="1801"/>
      <c r="BF79" s="11"/>
      <c r="BG79" s="11"/>
      <c r="BH79" s="11"/>
      <c r="BI79" s="11"/>
      <c r="BJ79" s="11"/>
      <c r="BK79" s="11"/>
      <c r="BL79" s="11"/>
      <c r="BM79" s="11"/>
      <c r="BN79" s="11"/>
      <c r="BO79" s="11"/>
      <c r="BP79" s="11"/>
      <c r="BQ79" s="11"/>
      <c r="BR79" s="11"/>
      <c r="BS79" s="11"/>
      <c r="BT79" s="11"/>
      <c r="BU79" s="11"/>
      <c r="BV79" s="11"/>
      <c r="BW79" s="11"/>
      <c r="BX79" s="11"/>
      <c r="BY79" s="95"/>
      <c r="BZ79" s="11"/>
      <c r="CA79" s="11"/>
      <c r="CB79" s="11"/>
      <c r="CC79" s="11"/>
      <c r="CD79" s="377"/>
      <c r="CE79" s="11"/>
      <c r="CF79" s="11"/>
      <c r="CG79" s="11"/>
      <c r="CH79" s="11"/>
      <c r="CI79" s="53"/>
      <c r="CJ79" s="11"/>
      <c r="CK79" s="11"/>
      <c r="CL79" s="11"/>
      <c r="CM79" s="11"/>
      <c r="CN79" s="49"/>
      <c r="CO79" s="11"/>
      <c r="CP79" s="11"/>
      <c r="CQ79" s="11"/>
      <c r="CR79" s="11"/>
      <c r="CS79" s="49"/>
      <c r="CT79" s="11"/>
      <c r="CU79" s="242"/>
      <c r="CV79" s="242"/>
      <c r="CW79" s="242"/>
      <c r="CX79" s="49"/>
      <c r="CY79" s="391"/>
      <c r="CZ79" s="391"/>
      <c r="DA79" s="391"/>
      <c r="DB79" s="391"/>
      <c r="DC79" s="11"/>
      <c r="DD79" s="304"/>
      <c r="DE79" s="304"/>
      <c r="DF79" s="304"/>
      <c r="DG79" s="304"/>
      <c r="DH79" s="304"/>
      <c r="DI79" s="304"/>
      <c r="DJ79" s="304"/>
      <c r="DK79" s="304"/>
      <c r="DL79" s="304"/>
      <c r="DM79" s="304"/>
      <c r="DN79" s="11"/>
      <c r="DO79" s="11"/>
      <c r="DP79" s="11"/>
      <c r="DQ79" s="11"/>
      <c r="DR79" s="11"/>
      <c r="DX79" s="862"/>
      <c r="DY79" s="862"/>
      <c r="DZ79" s="862"/>
      <c r="EA79" s="862"/>
      <c r="EB79" s="862"/>
      <c r="EH79" s="1048"/>
      <c r="EI79" s="1048"/>
      <c r="EJ79" s="1048"/>
      <c r="EK79" s="1048"/>
      <c r="EM79" s="1048"/>
      <c r="FL79" s="1048"/>
    </row>
    <row r="80" spans="1:168">
      <c r="A80" s="369" t="s">
        <v>687</v>
      </c>
      <c r="B80" s="14"/>
      <c r="C80" s="14"/>
      <c r="D80" s="14"/>
      <c r="E80" s="111">
        <f>+E69+E60</f>
        <v>973.98941768082625</v>
      </c>
      <c r="F80" s="111">
        <f>+F69+F60</f>
        <v>973.98941768082625</v>
      </c>
      <c r="G80" s="14"/>
      <c r="H80" s="111"/>
      <c r="I80" s="111">
        <f>+I69+I60</f>
        <v>966.42641768082626</v>
      </c>
      <c r="J80" s="14"/>
      <c r="K80" s="111">
        <f t="shared" ref="K80:P80" si="127">+K69+K60</f>
        <v>981.22041768082624</v>
      </c>
      <c r="L80" s="111">
        <f t="shared" si="127"/>
        <v>981.22041768082624</v>
      </c>
      <c r="M80" s="111">
        <f t="shared" si="127"/>
        <v>1307.4000000000001</v>
      </c>
      <c r="N80" s="111">
        <f t="shared" si="127"/>
        <v>1330.1200000000001</v>
      </c>
      <c r="O80" s="111">
        <f t="shared" si="127"/>
        <v>1330.1200000000001</v>
      </c>
      <c r="P80" s="111">
        <f t="shared" si="127"/>
        <v>1231.4435219065672</v>
      </c>
      <c r="Q80" s="111"/>
      <c r="R80" s="111">
        <f>+R69+R60</f>
        <v>1263.7768552399004</v>
      </c>
      <c r="S80" s="111">
        <f>+S69+S60</f>
        <v>1263.7768552399004</v>
      </c>
      <c r="T80" s="111">
        <f>+T69+T60</f>
        <v>236.4</v>
      </c>
      <c r="U80" s="111">
        <f>+U69+U60</f>
        <v>243.3</v>
      </c>
      <c r="V80" s="111"/>
      <c r="W80" s="111"/>
      <c r="X80" s="111">
        <f t="shared" ref="X80:AO80" si="128">+X69+X60</f>
        <v>253.00000000000003</v>
      </c>
      <c r="Y80" s="111">
        <f t="shared" si="128"/>
        <v>236.4</v>
      </c>
      <c r="Z80" s="111">
        <f t="shared" si="128"/>
        <v>243.3</v>
      </c>
      <c r="AA80" s="111">
        <f t="shared" si="128"/>
        <v>253.00000000000003</v>
      </c>
      <c r="AB80" s="111">
        <f t="shared" si="128"/>
        <v>241.5</v>
      </c>
      <c r="AC80" s="111">
        <f t="shared" si="128"/>
        <v>248.8</v>
      </c>
      <c r="AD80" s="111">
        <f t="shared" si="128"/>
        <v>246.9</v>
      </c>
      <c r="AE80" s="111">
        <f t="shared" si="128"/>
        <v>276.5</v>
      </c>
      <c r="AF80" s="1525">
        <f t="shared" si="128"/>
        <v>300.2</v>
      </c>
      <c r="AG80" s="1525">
        <f t="shared" si="128"/>
        <v>286.07286910994765</v>
      </c>
      <c r="AH80" s="1525">
        <f t="shared" si="128"/>
        <v>222.9</v>
      </c>
      <c r="AI80" s="1525">
        <f t="shared" si="128"/>
        <v>201.1</v>
      </c>
      <c r="AJ80" s="1525">
        <f t="shared" si="128"/>
        <v>199.3</v>
      </c>
      <c r="AK80" s="1525">
        <f t="shared" si="128"/>
        <v>30.8</v>
      </c>
      <c r="AL80" s="1525">
        <f t="shared" si="128"/>
        <v>28.5</v>
      </c>
      <c r="AM80" s="1525">
        <f t="shared" si="128"/>
        <v>26</v>
      </c>
      <c r="AN80" s="3023">
        <f t="shared" si="128"/>
        <v>0</v>
      </c>
      <c r="AO80" s="3023">
        <f t="shared" si="128"/>
        <v>0</v>
      </c>
      <c r="AP80" s="3023">
        <f t="shared" ref="AP80:AU80" si="129">+AP69+AP60</f>
        <v>0</v>
      </c>
      <c r="AQ80" s="3023">
        <f t="shared" si="129"/>
        <v>0</v>
      </c>
      <c r="AR80" s="3023">
        <f t="shared" si="129"/>
        <v>0</v>
      </c>
      <c r="AS80" s="3023">
        <f t="shared" si="129"/>
        <v>0</v>
      </c>
      <c r="AT80" s="3023">
        <f t="shared" si="129"/>
        <v>0</v>
      </c>
      <c r="AU80" s="3023">
        <f t="shared" si="129"/>
        <v>0</v>
      </c>
      <c r="AV80" s="3023">
        <f>+AV69+AV60</f>
        <v>0</v>
      </c>
      <c r="AW80" s="3023">
        <f>+AW69+AW60</f>
        <v>0</v>
      </c>
      <c r="AX80" s="3023">
        <f>+AX69+AX60</f>
        <v>0</v>
      </c>
      <c r="AY80" s="1902"/>
      <c r="AZ80" s="1902"/>
      <c r="BA80" s="1902"/>
      <c r="BB80" s="1902"/>
      <c r="BC80" s="1902"/>
      <c r="BD80" s="1902"/>
      <c r="BE80" s="1373"/>
      <c r="BF80" s="14">
        <f>BF54-BF73</f>
        <v>241.75510442020661</v>
      </c>
      <c r="BG80" s="14">
        <f>BG54-BG73</f>
        <v>245.35510442020671</v>
      </c>
      <c r="BH80" s="14">
        <f>BH54-BH73</f>
        <v>247.05510442020648</v>
      </c>
      <c r="BI80" s="14"/>
      <c r="BJ80" s="14"/>
      <c r="BK80" s="14">
        <f>BK54-BK73</f>
        <v>232.5</v>
      </c>
      <c r="BL80" s="14">
        <f>BL54-BL73</f>
        <v>240</v>
      </c>
      <c r="BM80" s="14">
        <f>BM54-BM73</f>
        <v>240</v>
      </c>
      <c r="BN80" s="14">
        <f>BN54-BN73</f>
        <v>328.72500000000002</v>
      </c>
      <c r="BO80" s="14"/>
      <c r="BP80" s="14">
        <f>BP54-BP73</f>
        <v>321.22500000000002</v>
      </c>
      <c r="BQ80" s="14">
        <f>BQ54-BQ73</f>
        <v>328.72500000000002</v>
      </c>
      <c r="BR80" s="14">
        <f>BR54-BR73</f>
        <v>328.72500000000002</v>
      </c>
      <c r="BS80" s="14">
        <f>BS54-BS73</f>
        <v>351.44500000000005</v>
      </c>
      <c r="BT80" s="14"/>
      <c r="BU80" s="14">
        <f>BU54-BU73</f>
        <v>328.44421380997511</v>
      </c>
      <c r="BV80" s="14">
        <f>BV54-BV73</f>
        <v>328.44421380997511</v>
      </c>
      <c r="BW80" s="14">
        <f>BW54-BW73</f>
        <v>328.44421380997511</v>
      </c>
      <c r="BX80" s="14">
        <f>BX54-BX73</f>
        <v>278.44421380997511</v>
      </c>
      <c r="BY80" s="95"/>
      <c r="BZ80" s="14">
        <f>BZ54-BZ73</f>
        <v>59.099999999999994</v>
      </c>
      <c r="CA80" s="14">
        <f>CA54-CA73</f>
        <v>59.100000000000023</v>
      </c>
      <c r="CB80" s="14">
        <f>CB54-CB73</f>
        <v>59.100000000000023</v>
      </c>
      <c r="CC80" s="14">
        <f>CC54-CC73</f>
        <v>59.100000000000023</v>
      </c>
      <c r="CD80" s="377"/>
      <c r="CE80" s="14">
        <f>CE54-CE73</f>
        <v>59.099999999999994</v>
      </c>
      <c r="CF80" s="14">
        <f>CF54-CF73</f>
        <v>61.700000000000045</v>
      </c>
      <c r="CG80" s="14">
        <f>CG54-CG73</f>
        <v>60.5</v>
      </c>
      <c r="CH80" s="14">
        <f>CH54-CH73</f>
        <v>62</v>
      </c>
      <c r="CI80" s="14"/>
      <c r="CJ80" s="14">
        <f>CJ54-CJ73</f>
        <v>61.5</v>
      </c>
      <c r="CK80" s="14">
        <f>CK54-CK73</f>
        <v>65</v>
      </c>
      <c r="CL80" s="14">
        <f>CL54-CL73</f>
        <v>63.600000000000023</v>
      </c>
      <c r="CM80" s="14">
        <f>CM54-CM73</f>
        <v>62.900000000000034</v>
      </c>
      <c r="CN80" s="49">
        <f>+X80-SUM(CJ80:CM80)</f>
        <v>0</v>
      </c>
      <c r="CO80" s="14">
        <f>CO54-CO73</f>
        <v>61.5</v>
      </c>
      <c r="CP80" s="14">
        <f>CP54-CP73</f>
        <v>65</v>
      </c>
      <c r="CQ80" s="14">
        <f>CQ54-CQ73</f>
        <v>63.600000000000023</v>
      </c>
      <c r="CR80" s="14">
        <f>CR54-CR73</f>
        <v>62.900000000000034</v>
      </c>
      <c r="CS80" s="49">
        <f>+AA80-SUM(CO80:CR80)</f>
        <v>0</v>
      </c>
      <c r="CT80" s="14">
        <f>CT54-CT73</f>
        <v>60.5</v>
      </c>
      <c r="CU80" s="14">
        <f>CU54-CU73</f>
        <v>60.800000000000011</v>
      </c>
      <c r="CV80" s="14">
        <f>CV54-CV73</f>
        <v>59.699999999999989</v>
      </c>
      <c r="CW80" s="14">
        <f>CW54-CW73</f>
        <v>60.5</v>
      </c>
      <c r="CX80" s="49">
        <f>AB80-SUM(CT80:CW80)</f>
        <v>0</v>
      </c>
      <c r="CY80" s="14">
        <f>CY54-CY73</f>
        <v>62.599999999999994</v>
      </c>
      <c r="CZ80" s="14">
        <f>CZ54-CZ73</f>
        <v>60.399999999999977</v>
      </c>
      <c r="DA80" s="14">
        <f>DA54-DA73</f>
        <v>62.099999999999966</v>
      </c>
      <c r="DB80" s="14">
        <f>DB54-DB73</f>
        <v>63.699999999999989</v>
      </c>
      <c r="DC80" s="871">
        <f>AC80-SUM(CY80:DB80)</f>
        <v>0</v>
      </c>
      <c r="DD80" s="14">
        <f>DD54-DD73</f>
        <v>60.800000000000011</v>
      </c>
      <c r="DE80" s="14">
        <f>DE54-DE73</f>
        <v>60.899999999999977</v>
      </c>
      <c r="DF80" s="14">
        <f>DF54-DF73</f>
        <v>61.300000000000011</v>
      </c>
      <c r="DG80" s="14">
        <f>DG54-DG73</f>
        <v>63.899999999999977</v>
      </c>
      <c r="DH80" s="357">
        <f>AD80-SUM(DD80:DG80)</f>
        <v>0</v>
      </c>
      <c r="DI80" s="14">
        <f>DI54-DI73</f>
        <v>64.699999999999989</v>
      </c>
      <c r="DJ80" s="14">
        <f>DJ54-DJ73</f>
        <v>69.100000000000023</v>
      </c>
      <c r="DK80" s="14">
        <f>DK54-DK73</f>
        <v>70.900000000000006</v>
      </c>
      <c r="DL80" s="14">
        <f>DL54-DL73</f>
        <v>71.800000000000011</v>
      </c>
      <c r="DM80" s="357">
        <f>AE80-SUM(DI80:DL80)</f>
        <v>0</v>
      </c>
      <c r="DN80" s="14">
        <f>DN54-DN73</f>
        <v>71.8</v>
      </c>
      <c r="DO80" s="14">
        <f>DO54-DO73</f>
        <v>76.3</v>
      </c>
      <c r="DP80" s="14">
        <f>DP54-DP73</f>
        <v>77.8</v>
      </c>
      <c r="DQ80" s="14">
        <f>DQ54-DQ73</f>
        <v>74.3</v>
      </c>
      <c r="DR80" s="538">
        <f>AF80-SUM(DN80:DQ80)</f>
        <v>0</v>
      </c>
      <c r="DS80" s="14">
        <f>DS54-DS73</f>
        <v>72.150000000000006</v>
      </c>
      <c r="DT80" s="14">
        <f>DT54-DT73</f>
        <v>74.45</v>
      </c>
      <c r="DU80" s="14">
        <f>DU54-DU73</f>
        <v>70.649999999999991</v>
      </c>
      <c r="DV80" s="14">
        <f>DV54-DV73</f>
        <v>68.822869109947646</v>
      </c>
      <c r="DW80" s="538">
        <f>AG80-SUM(DS80:DV80)</f>
        <v>0</v>
      </c>
      <c r="DX80" s="862"/>
      <c r="DY80" s="862"/>
      <c r="DZ80" s="862"/>
      <c r="EA80" s="862"/>
      <c r="EB80" s="862"/>
      <c r="EH80" s="1048"/>
      <c r="EI80" s="1048"/>
      <c r="EJ80" s="1048"/>
      <c r="EK80" s="1048"/>
      <c r="EM80" s="1048"/>
      <c r="FL80" s="1048"/>
    </row>
    <row r="81" spans="1:168">
      <c r="A81" s="11"/>
      <c r="B81" s="11"/>
      <c r="C81" s="11"/>
      <c r="D81" s="11"/>
      <c r="E81" s="11"/>
      <c r="F81" s="11"/>
      <c r="G81" s="11"/>
      <c r="H81" s="11"/>
      <c r="I81" s="88"/>
      <c r="J81" s="11"/>
      <c r="K81" s="88"/>
      <c r="L81" s="11"/>
      <c r="M81" s="88"/>
      <c r="N81" s="398"/>
      <c r="O81" s="11"/>
      <c r="P81" s="398"/>
      <c r="Q81" s="398"/>
      <c r="R81" s="398"/>
      <c r="S81" s="11"/>
      <c r="T81" s="398"/>
      <c r="U81" s="398"/>
      <c r="V81" s="398"/>
      <c r="W81" s="398"/>
      <c r="X81" s="398"/>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69"/>
      <c r="AY81" s="69"/>
      <c r="AZ81" s="69"/>
      <c r="BA81" s="69"/>
      <c r="BB81" s="69"/>
      <c r="BC81" s="69"/>
      <c r="BD81" s="69"/>
      <c r="BE81" s="69"/>
      <c r="BF81" s="11"/>
      <c r="BG81" s="11"/>
      <c r="BH81" s="11"/>
      <c r="BI81" s="11"/>
      <c r="BJ81" s="11"/>
      <c r="BK81" s="11"/>
      <c r="BL81" s="11"/>
      <c r="BM81" s="11"/>
      <c r="BN81" s="11"/>
      <c r="BO81" s="11"/>
      <c r="BP81" s="11"/>
      <c r="BQ81" s="11"/>
      <c r="BR81" s="11"/>
      <c r="BS81" s="11"/>
      <c r="BT81" s="11"/>
      <c r="BU81" s="11"/>
      <c r="BV81" s="11"/>
      <c r="BW81" s="11"/>
      <c r="BX81" s="11"/>
      <c r="BY81" s="95"/>
      <c r="BZ81" s="11"/>
      <c r="CA81" s="11"/>
      <c r="CB81" s="11"/>
      <c r="CC81" s="11"/>
      <c r="CD81" s="377"/>
      <c r="CE81" s="39"/>
      <c r="CF81" s="39"/>
      <c r="CG81" s="39"/>
      <c r="CH81" s="39"/>
      <c r="CI81" s="53"/>
      <c r="CJ81" s="11"/>
      <c r="CK81" s="11"/>
      <c r="CL81" s="11"/>
      <c r="CM81" s="11"/>
      <c r="CN81" s="49"/>
      <c r="CO81" s="11"/>
      <c r="CP81" s="11"/>
      <c r="CQ81" s="11"/>
      <c r="CR81" s="11"/>
      <c r="CS81" s="49"/>
      <c r="CT81" s="11"/>
      <c r="CU81" s="14"/>
      <c r="CV81" s="14"/>
      <c r="CW81" s="14"/>
      <c r="CX81" s="49"/>
      <c r="CY81" s="352"/>
      <c r="CZ81" s="352"/>
      <c r="DA81" s="352"/>
      <c r="DB81" s="352"/>
      <c r="DC81" s="11"/>
      <c r="DD81" s="304"/>
      <c r="DE81" s="304"/>
      <c r="DF81" s="304"/>
      <c r="DG81" s="304"/>
      <c r="DH81" s="304"/>
      <c r="DI81" s="304"/>
      <c r="DJ81" s="304"/>
      <c r="DK81" s="304"/>
      <c r="DL81" s="304"/>
      <c r="DM81" s="304"/>
      <c r="DN81" s="11"/>
      <c r="DO81" s="11"/>
      <c r="DP81" s="11"/>
      <c r="DQ81" s="11"/>
      <c r="DR81" s="11"/>
      <c r="DX81" s="862"/>
      <c r="DY81" s="862"/>
      <c r="DZ81" s="862"/>
      <c r="EA81" s="862"/>
      <c r="EB81" s="862"/>
      <c r="EH81" s="1048"/>
      <c r="EI81" s="1048"/>
      <c r="EJ81" s="1048"/>
      <c r="EK81" s="1048"/>
      <c r="EM81" s="1048"/>
      <c r="FL81" s="1048"/>
    </row>
    <row r="82" spans="1:168" ht="15">
      <c r="A82" s="380" t="s">
        <v>880</v>
      </c>
      <c r="B82" s="11"/>
      <c r="C82" s="11"/>
      <c r="D82" s="11"/>
      <c r="E82" s="11"/>
      <c r="F82" s="11"/>
      <c r="G82" s="11"/>
      <c r="H82" s="11"/>
      <c r="I82" s="11"/>
      <c r="J82" s="11"/>
      <c r="K82" s="11"/>
      <c r="L82" s="11"/>
      <c r="M82" s="11"/>
      <c r="N82" s="11"/>
      <c r="O82" s="11"/>
      <c r="P82" s="11"/>
      <c r="Q82" s="11"/>
      <c r="R82" s="14"/>
      <c r="S82" s="11"/>
      <c r="T82" s="14"/>
      <c r="U82" s="14"/>
      <c r="V82" s="14"/>
      <c r="W82" s="14"/>
      <c r="X82" s="14"/>
      <c r="Y82" s="11"/>
      <c r="Z82" s="304"/>
      <c r="AA82" s="54"/>
      <c r="AB82" s="11"/>
      <c r="AC82" s="11"/>
      <c r="AD82" s="11"/>
      <c r="AE82" s="14"/>
      <c r="AF82" s="304"/>
      <c r="AG82" s="304"/>
      <c r="AH82" s="11"/>
      <c r="AI82" s="11"/>
      <c r="AJ82" s="11"/>
      <c r="AK82" s="11"/>
      <c r="AL82" s="11"/>
      <c r="AM82" s="11"/>
      <c r="AN82" s="11"/>
      <c r="AO82" s="11"/>
      <c r="AP82" s="11"/>
      <c r="AQ82" s="11"/>
      <c r="AR82" s="11"/>
      <c r="AS82" s="11"/>
      <c r="AT82" s="11"/>
      <c r="AU82" s="11"/>
      <c r="AV82" s="11"/>
      <c r="AW82" s="11"/>
      <c r="AX82" s="69"/>
      <c r="AY82" s="69"/>
      <c r="AZ82" s="69"/>
      <c r="BA82" s="69"/>
      <c r="BB82" s="69"/>
      <c r="BC82" s="69"/>
      <c r="BD82" s="69"/>
      <c r="BE82" s="69"/>
      <c r="BF82" s="11"/>
      <c r="BG82" s="11"/>
      <c r="BH82" s="11"/>
      <c r="BI82" s="11"/>
      <c r="BJ82" s="11"/>
      <c r="BK82" s="11"/>
      <c r="BL82" s="11"/>
      <c r="BM82" s="11"/>
      <c r="BN82" s="11"/>
      <c r="BO82" s="11"/>
      <c r="BP82" s="11"/>
      <c r="BQ82" s="11"/>
      <c r="BR82" s="11"/>
      <c r="BS82" s="11"/>
      <c r="BT82" s="88"/>
      <c r="BU82" s="11"/>
      <c r="BV82" s="11"/>
      <c r="BW82" s="11"/>
      <c r="BX82" s="14"/>
      <c r="BY82" s="95"/>
      <c r="BZ82" s="14"/>
      <c r="CA82" s="14"/>
      <c r="CB82" s="14"/>
      <c r="CC82" s="14"/>
      <c r="CD82" s="118"/>
      <c r="CE82" s="14"/>
      <c r="CF82" s="14"/>
      <c r="CG82" s="14"/>
      <c r="CH82" s="14"/>
      <c r="CI82" s="53"/>
      <c r="CJ82" s="11"/>
      <c r="CK82" s="11"/>
      <c r="CL82" s="11"/>
      <c r="CM82" s="11"/>
      <c r="CN82" s="49"/>
      <c r="CO82" s="11"/>
      <c r="CP82" s="11"/>
      <c r="CQ82" s="11"/>
      <c r="CR82" s="11"/>
      <c r="CS82" s="49"/>
      <c r="CT82" s="11"/>
      <c r="CU82" s="11"/>
      <c r="CV82" s="11"/>
      <c r="CW82" s="11"/>
      <c r="CX82" s="49"/>
      <c r="CY82" s="352"/>
      <c r="CZ82" s="352"/>
      <c r="DA82" s="352"/>
      <c r="DB82" s="352"/>
      <c r="DC82" s="11"/>
      <c r="DD82" s="304"/>
      <c r="DE82" s="304"/>
      <c r="DF82" s="304"/>
      <c r="DG82" s="352"/>
      <c r="DH82" s="304"/>
      <c r="DI82" s="304"/>
      <c r="DJ82" s="304"/>
      <c r="DK82" s="304"/>
      <c r="DL82" s="304"/>
      <c r="DM82" s="304"/>
      <c r="DN82" s="11"/>
      <c r="DO82" s="11"/>
      <c r="DP82" s="11"/>
      <c r="DQ82" s="11"/>
      <c r="DR82" s="11"/>
      <c r="DX82" s="862"/>
      <c r="DY82" s="862"/>
      <c r="DZ82" s="862"/>
      <c r="EA82" s="862"/>
      <c r="EB82" s="862"/>
      <c r="EH82" s="1048"/>
      <c r="EI82" s="1048"/>
      <c r="EJ82" s="1048"/>
      <c r="EK82" s="1048"/>
      <c r="EM82" s="1048"/>
      <c r="FL82" s="1048"/>
    </row>
    <row r="83" spans="1:168" ht="15">
      <c r="A83" s="399" t="s">
        <v>1058</v>
      </c>
      <c r="B83" s="69"/>
      <c r="C83" s="69"/>
      <c r="D83" s="69"/>
      <c r="E83" s="69"/>
      <c r="F83" s="69"/>
      <c r="G83" s="69"/>
      <c r="H83" s="69"/>
      <c r="I83" s="69"/>
      <c r="J83" s="69"/>
      <c r="K83" s="69"/>
      <c r="L83" s="69"/>
      <c r="M83" s="69"/>
      <c r="N83" s="69"/>
      <c r="O83" s="69"/>
      <c r="P83" s="69"/>
      <c r="Q83" s="69"/>
      <c r="R83" s="354"/>
      <c r="S83" s="69"/>
      <c r="T83" s="354"/>
      <c r="U83" s="359"/>
      <c r="V83" s="354"/>
      <c r="W83" s="354"/>
      <c r="X83" s="359"/>
      <c r="Y83" s="354"/>
      <c r="Z83" s="354"/>
      <c r="AA83" s="354"/>
      <c r="AB83" s="69"/>
      <c r="AC83" s="354"/>
      <c r="AD83" s="354"/>
      <c r="AE83" s="69"/>
      <c r="AF83" s="304"/>
      <c r="AG83" s="304"/>
      <c r="AH83" s="69"/>
      <c r="AI83" s="69"/>
      <c r="AJ83" s="69"/>
      <c r="AK83" s="19"/>
      <c r="AL83" s="19"/>
      <c r="AM83" s="19"/>
      <c r="AN83" s="19"/>
      <c r="AO83" s="19"/>
      <c r="AP83" s="19"/>
      <c r="AQ83" s="19"/>
      <c r="AR83" s="19"/>
      <c r="AS83" s="19"/>
      <c r="AT83" s="19"/>
      <c r="AU83" s="19"/>
      <c r="AV83" s="19"/>
      <c r="AW83" s="19"/>
      <c r="AX83" s="19"/>
      <c r="AY83" s="19"/>
      <c r="AZ83" s="69"/>
      <c r="BA83" s="69"/>
      <c r="BB83" s="69"/>
      <c r="BC83" s="69"/>
      <c r="BD83" s="69"/>
      <c r="BE83" s="69"/>
      <c r="BF83" s="19"/>
      <c r="BG83" s="19"/>
      <c r="BH83" s="19"/>
      <c r="BI83" s="19"/>
      <c r="BJ83" s="19"/>
      <c r="BK83" s="19"/>
      <c r="BL83" s="19"/>
      <c r="BM83" s="19"/>
      <c r="BN83" s="19"/>
      <c r="BO83" s="19"/>
      <c r="BP83" s="19"/>
      <c r="BQ83" s="19"/>
      <c r="BR83" s="19"/>
      <c r="BS83" s="19"/>
      <c r="BT83" s="19"/>
      <c r="BU83" s="19"/>
      <c r="BV83" s="19"/>
      <c r="BW83" s="19"/>
      <c r="BX83" s="19"/>
      <c r="BY83" s="348"/>
      <c r="BZ83" s="19"/>
      <c r="CA83" s="19"/>
      <c r="CB83" s="19"/>
      <c r="CC83" s="19"/>
      <c r="CD83" s="382"/>
      <c r="CE83" s="19"/>
      <c r="CF83" s="19"/>
      <c r="CG83" s="19"/>
      <c r="CH83" s="19"/>
      <c r="CI83" s="383"/>
      <c r="CJ83" s="19"/>
      <c r="CK83" s="19"/>
      <c r="CL83" s="19"/>
      <c r="CM83" s="19"/>
      <c r="CN83" s="49"/>
      <c r="CO83" s="19"/>
      <c r="CP83" s="19"/>
      <c r="CQ83" s="19"/>
      <c r="CR83" s="19"/>
      <c r="CS83" s="49"/>
      <c r="CT83" s="400"/>
      <c r="CU83" s="400"/>
      <c r="CV83" s="400"/>
      <c r="CW83" s="400"/>
      <c r="CX83" s="49"/>
      <c r="CY83" s="873"/>
      <c r="CZ83" s="873"/>
      <c r="DA83" s="873"/>
      <c r="DB83" s="873"/>
      <c r="DC83" s="11"/>
      <c r="DD83" s="304"/>
      <c r="DE83" s="304"/>
      <c r="DF83" s="304"/>
      <c r="DG83" s="921"/>
      <c r="DH83" s="304"/>
      <c r="DI83" s="304"/>
      <c r="DJ83" s="14"/>
      <c r="DK83" s="304"/>
      <c r="DL83" s="304"/>
      <c r="DM83" s="304"/>
      <c r="DN83" s="11"/>
      <c r="DO83" s="14"/>
      <c r="DP83" s="11"/>
      <c r="DQ83" s="11"/>
      <c r="DR83" s="11"/>
      <c r="DS83" s="11"/>
      <c r="DT83" s="14"/>
      <c r="DU83" s="11"/>
      <c r="DV83" s="11"/>
      <c r="DX83" s="862"/>
      <c r="DY83" s="862"/>
      <c r="DZ83" s="862"/>
      <c r="EA83" s="862"/>
      <c r="EB83" s="862"/>
      <c r="EC83" s="862"/>
      <c r="ED83" s="862"/>
      <c r="EE83" s="862"/>
      <c r="EF83" s="862"/>
      <c r="EH83" s="938"/>
      <c r="EI83" s="938"/>
      <c r="EJ83" s="938"/>
      <c r="EK83" s="938"/>
      <c r="EL83" s="1101"/>
      <c r="EM83" s="1412"/>
      <c r="EN83" s="1101"/>
      <c r="EO83" s="1101"/>
      <c r="EP83" s="1101"/>
      <c r="ER83" s="1101"/>
      <c r="ES83" s="1101"/>
      <c r="ET83" s="1101"/>
      <c r="EU83" s="1101"/>
      <c r="FL83" s="906"/>
    </row>
    <row r="84" spans="1:168">
      <c r="A84" s="401" t="s">
        <v>337</v>
      </c>
      <c r="B84" s="402" t="str">
        <f>+B$4</f>
        <v>Viacom</v>
      </c>
      <c r="C84" s="402" t="str">
        <f>+C$4</f>
        <v>INF</v>
      </c>
      <c r="D84" s="402" t="str">
        <f>+D$4</f>
        <v>Adj.</v>
      </c>
      <c r="E84" s="402" t="str">
        <f>+E$4</f>
        <v>Pro Forma</v>
      </c>
      <c r="F84" s="402" t="s">
        <v>636</v>
      </c>
      <c r="G84" s="403" t="s">
        <v>632</v>
      </c>
      <c r="H84" s="402" t="str">
        <f>+$H$4</f>
        <v>PF VIA</v>
      </c>
      <c r="I84" s="402" t="str">
        <f>+I$4</f>
        <v>CBS</v>
      </c>
      <c r="J84" s="402" t="str">
        <f>+J$4</f>
        <v>Adj.</v>
      </c>
      <c r="K84" s="402" t="str">
        <f>+K$4</f>
        <v>Pro Forma</v>
      </c>
      <c r="L84" s="402" t="s">
        <v>636</v>
      </c>
      <c r="M84" s="402" t="str">
        <f>+$M$4</f>
        <v>Pro Forma</v>
      </c>
      <c r="N84" s="402" t="str">
        <f>+N$4</f>
        <v>Pro Forma</v>
      </c>
      <c r="O84" s="402" t="s">
        <v>636</v>
      </c>
      <c r="P84" s="402" t="str">
        <f>+P$4</f>
        <v>Actual</v>
      </c>
      <c r="Q84" s="402"/>
      <c r="R84" s="402" t="str">
        <f>+N84</f>
        <v>Pro Forma</v>
      </c>
      <c r="S84" s="402" t="s">
        <v>636</v>
      </c>
      <c r="T84" s="403"/>
      <c r="U84" s="403"/>
      <c r="V84" s="403"/>
      <c r="W84" s="403"/>
      <c r="X84" s="404"/>
      <c r="Y84" s="402" t="s">
        <v>636</v>
      </c>
      <c r="Z84" s="402" t="s">
        <v>636</v>
      </c>
      <c r="AA84" s="402" t="s">
        <v>636</v>
      </c>
      <c r="AB84" s="405"/>
      <c r="AC84" s="406"/>
      <c r="AD84" s="406"/>
      <c r="AE84" s="406"/>
      <c r="AF84" s="406"/>
      <c r="AG84" s="403"/>
      <c r="AH84" s="403"/>
      <c r="AI84" s="403"/>
      <c r="AJ84" s="403"/>
      <c r="AK84" s="1108"/>
      <c r="AL84" s="1108"/>
      <c r="AM84" s="1108"/>
      <c r="AN84" s="1108"/>
      <c r="AO84" s="1108"/>
      <c r="AP84" s="11"/>
      <c r="AQ84" s="11"/>
      <c r="AR84" s="11"/>
      <c r="AS84" s="11"/>
      <c r="AT84" s="11"/>
      <c r="AU84" s="11"/>
      <c r="AV84" s="11"/>
      <c r="AW84" s="11"/>
      <c r="AX84" s="11"/>
      <c r="AY84" s="11"/>
      <c r="AZ84" s="69"/>
      <c r="BA84" s="69"/>
      <c r="BB84" s="69"/>
      <c r="BC84" s="69"/>
      <c r="BD84" s="69"/>
      <c r="BE84" s="69"/>
      <c r="BF84" s="92" t="str">
        <f>+BF$4</f>
        <v xml:space="preserve">Pro Forma 1999 </v>
      </c>
      <c r="BG84" s="92"/>
      <c r="BH84" s="92"/>
      <c r="BI84" s="92"/>
      <c r="BJ84" s="11"/>
      <c r="BK84" s="92" t="str">
        <f>+$BK$4</f>
        <v xml:space="preserve"> Pro Forma 2000</v>
      </c>
      <c r="BL84" s="92"/>
      <c r="BM84" s="92"/>
      <c r="BN84" s="92"/>
      <c r="BO84" s="343"/>
      <c r="BP84" s="92" t="s">
        <v>1052</v>
      </c>
      <c r="BQ84" s="92"/>
      <c r="BR84" s="92"/>
      <c r="BS84" s="92"/>
      <c r="BT84" s="11"/>
      <c r="BU84" s="92">
        <f>+$BU$4</f>
        <v>2001</v>
      </c>
      <c r="BV84" s="92"/>
      <c r="BW84" s="92"/>
      <c r="BX84" s="92"/>
      <c r="BY84" s="95"/>
      <c r="BZ84" s="92">
        <f>+$BZ$4</f>
        <v>2002</v>
      </c>
      <c r="CA84" s="92"/>
      <c r="CB84" s="92"/>
      <c r="CC84" s="92"/>
      <c r="CD84" s="377"/>
      <c r="CE84" s="92">
        <f>+CE4</f>
        <v>2003</v>
      </c>
      <c r="CF84" s="92"/>
      <c r="CG84" s="92"/>
      <c r="CH84" s="92"/>
      <c r="CI84" s="53"/>
      <c r="CJ84" s="92" t="str">
        <f>+CJ4</f>
        <v>2004, Originally Reported</v>
      </c>
      <c r="CK84" s="92"/>
      <c r="CL84" s="92"/>
      <c r="CM84" s="92"/>
      <c r="CN84" s="49"/>
      <c r="CO84" s="92" t="str">
        <f>+CO4</f>
        <v>2004, Reclassified</v>
      </c>
      <c r="CP84" s="92"/>
      <c r="CQ84" s="92"/>
      <c r="CR84" s="92"/>
      <c r="CS84" s="49"/>
      <c r="CT84" s="92">
        <f>CT4</f>
        <v>2005</v>
      </c>
      <c r="CU84" s="92"/>
      <c r="CV84" s="92"/>
      <c r="CW84" s="92"/>
      <c r="CX84" s="49"/>
      <c r="CY84" s="92">
        <f>CY4</f>
        <v>2006</v>
      </c>
      <c r="CZ84" s="92"/>
      <c r="DA84" s="92"/>
      <c r="DB84" s="92"/>
      <c r="DC84" s="11"/>
      <c r="DD84" s="385">
        <f>DD4</f>
        <v>2007</v>
      </c>
      <c r="DE84" s="385"/>
      <c r="DF84" s="385"/>
      <c r="DG84" s="385"/>
      <c r="DH84" s="304"/>
      <c r="DI84" s="385">
        <f>DI4</f>
        <v>2008</v>
      </c>
      <c r="DJ84" s="385"/>
      <c r="DK84" s="385"/>
      <c r="DL84" s="385"/>
      <c r="DM84" s="304"/>
      <c r="DN84" s="385">
        <f>DN4</f>
        <v>2009</v>
      </c>
      <c r="DO84" s="385"/>
      <c r="DP84" s="385"/>
      <c r="DQ84" s="385"/>
      <c r="DR84" s="11"/>
      <c r="DS84" s="385">
        <f>DS4</f>
        <v>2010</v>
      </c>
      <c r="DT84" s="385"/>
      <c r="DU84" s="385"/>
      <c r="DV84" s="385"/>
      <c r="DX84" s="385">
        <f>DX4</f>
        <v>2011</v>
      </c>
      <c r="DY84" s="385"/>
      <c r="DZ84" s="385"/>
      <c r="EA84" s="385"/>
      <c r="EB84" s="862"/>
      <c r="EC84" s="385">
        <f>EC4</f>
        <v>2012</v>
      </c>
      <c r="ED84" s="385"/>
      <c r="EE84" s="385"/>
      <c r="EF84" s="385"/>
      <c r="EH84" s="92" t="str">
        <f>EH4</f>
        <v>2013A</v>
      </c>
      <c r="EI84" s="92"/>
      <c r="EJ84" s="92"/>
      <c r="EK84" s="92"/>
      <c r="EM84" s="92" t="str">
        <f>EM4</f>
        <v>2014A</v>
      </c>
      <c r="EN84" s="92"/>
      <c r="EO84" s="92"/>
      <c r="EP84" s="92"/>
      <c r="ER84" s="92" t="str">
        <f>ER4</f>
        <v>2015A</v>
      </c>
      <c r="ES84" s="92"/>
      <c r="ET84" s="92"/>
      <c r="EU84" s="92"/>
      <c r="EW84" s="92">
        <f>EW4</f>
        <v>2016</v>
      </c>
      <c r="EX84" s="92"/>
      <c r="EY84" s="92"/>
      <c r="EZ84" s="92"/>
      <c r="FB84" s="3594" t="str">
        <f>FB4</f>
        <v>2017E</v>
      </c>
      <c r="FC84" s="3594"/>
      <c r="FD84" s="3594"/>
      <c r="FE84" s="3594"/>
      <c r="FG84" s="3595" t="str">
        <f>FG4</f>
        <v>2018E</v>
      </c>
      <c r="FH84" s="3595"/>
      <c r="FI84" s="3595"/>
      <c r="FJ84" s="3595"/>
      <c r="FK84" s="1577"/>
      <c r="FL84" s="385"/>
    </row>
    <row r="85" spans="1:168">
      <c r="A85" s="186" t="s">
        <v>643</v>
      </c>
      <c r="B85" s="19">
        <v>1998</v>
      </c>
      <c r="C85" s="344" t="str">
        <f>+C$5</f>
        <v>1998A</v>
      </c>
      <c r="D85" s="344">
        <f>+D$5</f>
        <v>1998</v>
      </c>
      <c r="E85" s="344">
        <f>+E$5</f>
        <v>1998</v>
      </c>
      <c r="F85" s="19">
        <f>F5</f>
        <v>1998</v>
      </c>
      <c r="G85" s="344">
        <v>1999</v>
      </c>
      <c r="H85" s="344" t="str">
        <f>+$H$5</f>
        <v>1999A</v>
      </c>
      <c r="I85" s="344" t="str">
        <f>+$H$5</f>
        <v>1999A</v>
      </c>
      <c r="J85" s="344">
        <f>+$J$5</f>
        <v>1999</v>
      </c>
      <c r="K85" s="344">
        <f>+$K$5</f>
        <v>1999</v>
      </c>
      <c r="L85" s="19">
        <f>L5</f>
        <v>1999</v>
      </c>
      <c r="M85" s="344">
        <f t="shared" ref="M85:U85" si="130">+M$5</f>
        <v>2000</v>
      </c>
      <c r="N85" s="344">
        <f t="shared" si="130"/>
        <v>2000</v>
      </c>
      <c r="O85" s="19">
        <f>O5</f>
        <v>2000</v>
      </c>
      <c r="P85" s="344">
        <f t="shared" si="130"/>
        <v>2001</v>
      </c>
      <c r="Q85" s="344" t="str">
        <f t="shared" si="130"/>
        <v>Adj</v>
      </c>
      <c r="R85" s="344">
        <f t="shared" si="130"/>
        <v>2001</v>
      </c>
      <c r="S85" s="19">
        <f>S5</f>
        <v>2001</v>
      </c>
      <c r="T85" s="344">
        <f t="shared" si="130"/>
        <v>2002</v>
      </c>
      <c r="U85" s="344">
        <f t="shared" si="130"/>
        <v>2003</v>
      </c>
      <c r="V85" s="344"/>
      <c r="W85" s="344"/>
      <c r="X85" s="344">
        <f>+X$5</f>
        <v>2004</v>
      </c>
      <c r="Y85" s="19">
        <f>Y5</f>
        <v>2002</v>
      </c>
      <c r="Z85" s="19">
        <f>Z5</f>
        <v>2003</v>
      </c>
      <c r="AA85" s="19">
        <f>AA5</f>
        <v>2004</v>
      </c>
      <c r="AB85" s="344">
        <f t="shared" ref="AB85:AY85" si="131">+AB$5</f>
        <v>2005</v>
      </c>
      <c r="AC85" s="344">
        <f t="shared" si="131"/>
        <v>2006</v>
      </c>
      <c r="AD85" s="344">
        <f t="shared" si="131"/>
        <v>2007</v>
      </c>
      <c r="AE85" s="344">
        <f t="shared" si="131"/>
        <v>2008</v>
      </c>
      <c r="AF85" s="344">
        <f t="shared" si="131"/>
        <v>2009</v>
      </c>
      <c r="AG85" s="344">
        <f t="shared" si="131"/>
        <v>2010</v>
      </c>
      <c r="AH85" s="344">
        <f t="shared" si="131"/>
        <v>2011</v>
      </c>
      <c r="AI85" s="344">
        <f t="shared" si="131"/>
        <v>2012</v>
      </c>
      <c r="AJ85" s="344">
        <f t="shared" si="131"/>
        <v>2013</v>
      </c>
      <c r="AK85" s="1529">
        <f t="shared" si="131"/>
        <v>2014</v>
      </c>
      <c r="AL85" s="1529">
        <f t="shared" si="131"/>
        <v>2015</v>
      </c>
      <c r="AM85" s="1529">
        <f t="shared" si="131"/>
        <v>2016</v>
      </c>
      <c r="AN85" s="1529" t="str">
        <f t="shared" si="131"/>
        <v>2017E</v>
      </c>
      <c r="AO85" s="1529" t="str">
        <f t="shared" si="131"/>
        <v>2018E</v>
      </c>
      <c r="AP85" s="344" t="str">
        <f t="shared" si="131"/>
        <v>2019E</v>
      </c>
      <c r="AQ85" s="344" t="str">
        <f t="shared" si="131"/>
        <v>2020E</v>
      </c>
      <c r="AR85" s="344" t="str">
        <f t="shared" si="131"/>
        <v>2021E</v>
      </c>
      <c r="AS85" s="344" t="str">
        <f t="shared" si="131"/>
        <v>2022E</v>
      </c>
      <c r="AT85" s="344" t="str">
        <f t="shared" si="131"/>
        <v>2023E</v>
      </c>
      <c r="AU85" s="344" t="str">
        <f t="shared" si="131"/>
        <v>2024E</v>
      </c>
      <c r="AV85" s="344" t="str">
        <f t="shared" si="131"/>
        <v>2025E</v>
      </c>
      <c r="AW85" s="344" t="str">
        <f t="shared" si="131"/>
        <v>2026E</v>
      </c>
      <c r="AX85" s="344" t="str">
        <f t="shared" si="131"/>
        <v>2027E</v>
      </c>
      <c r="AY85" s="344" t="str">
        <f t="shared" si="131"/>
        <v>2028E</v>
      </c>
      <c r="AZ85" s="274"/>
      <c r="BA85" s="274"/>
      <c r="BB85" s="274"/>
      <c r="BC85" s="274"/>
      <c r="BD85" s="274"/>
      <c r="BE85" s="69"/>
      <c r="BF85" s="344" t="str">
        <f>+BF$5</f>
        <v>1Q</v>
      </c>
      <c r="BG85" s="344" t="str">
        <f>+BG$5</f>
        <v>2Q</v>
      </c>
      <c r="BH85" s="344" t="str">
        <f>+BH$5</f>
        <v>3Q</v>
      </c>
      <c r="BI85" s="344" t="str">
        <f>+BI$5</f>
        <v>4Q</v>
      </c>
      <c r="BJ85" s="19"/>
      <c r="BK85" s="344" t="str">
        <f>+BK$5</f>
        <v>1Q</v>
      </c>
      <c r="BL85" s="344" t="str">
        <f>+BL$5</f>
        <v>2Q</v>
      </c>
      <c r="BM85" s="344" t="str">
        <f>+BM$5</f>
        <v>3Q</v>
      </c>
      <c r="BN85" s="344" t="str">
        <f>+BN$5</f>
        <v>4Q</v>
      </c>
      <c r="BO85" s="344"/>
      <c r="BP85" s="347" t="str">
        <f>+BK85</f>
        <v>1Q</v>
      </c>
      <c r="BQ85" s="347" t="str">
        <f>+BL85</f>
        <v>2Q</v>
      </c>
      <c r="BR85" s="347" t="str">
        <f>+BM85</f>
        <v>3Q</v>
      </c>
      <c r="BS85" s="347" t="str">
        <f>+BN85</f>
        <v>4Q</v>
      </c>
      <c r="BT85" s="19"/>
      <c r="BU85" s="345" t="str">
        <f>+BU$5</f>
        <v>1Q</v>
      </c>
      <c r="BV85" s="345" t="str">
        <f>+BV$5</f>
        <v>2Q</v>
      </c>
      <c r="BW85" s="345" t="str">
        <f>+BW$5</f>
        <v>3Q</v>
      </c>
      <c r="BX85" s="345" t="str">
        <f>+BX$5</f>
        <v>4Q</v>
      </c>
      <c r="BY85" s="348"/>
      <c r="BZ85" s="345" t="str">
        <f>+BZ$5</f>
        <v>1Q</v>
      </c>
      <c r="CA85" s="345" t="str">
        <f>+CA$5</f>
        <v>2Q</v>
      </c>
      <c r="CB85" s="345" t="str">
        <f>+CB$5</f>
        <v>3Q</v>
      </c>
      <c r="CC85" s="345" t="str">
        <f>+CC$5</f>
        <v>4Q</v>
      </c>
      <c r="CD85" s="377"/>
      <c r="CE85" s="388" t="str">
        <f>+CE5</f>
        <v>1Q</v>
      </c>
      <c r="CF85" s="388" t="str">
        <f>+CF5</f>
        <v>2Q</v>
      </c>
      <c r="CG85" s="388" t="str">
        <f>+CG5</f>
        <v>3Q</v>
      </c>
      <c r="CH85" s="388" t="str">
        <f>+CH5</f>
        <v>4Q</v>
      </c>
      <c r="CI85" s="53"/>
      <c r="CJ85" s="388" t="str">
        <f>+CJ5</f>
        <v>1Q</v>
      </c>
      <c r="CK85" s="388" t="str">
        <f>+CK5</f>
        <v>2Q</v>
      </c>
      <c r="CL85" s="388" t="str">
        <f>+CL5</f>
        <v>3Q</v>
      </c>
      <c r="CM85" s="388" t="str">
        <f>+CM5</f>
        <v>4Q</v>
      </c>
      <c r="CN85" s="49"/>
      <c r="CO85" s="388" t="str">
        <f>+CO5</f>
        <v>1Q</v>
      </c>
      <c r="CP85" s="388" t="str">
        <f>+CP5</f>
        <v>2Q</v>
      </c>
      <c r="CQ85" s="388" t="str">
        <f>+CQ5</f>
        <v>3Q</v>
      </c>
      <c r="CR85" s="388" t="str">
        <f>+CR5</f>
        <v>4Q</v>
      </c>
      <c r="CS85" s="49"/>
      <c r="CT85" s="388" t="str">
        <f>+CT5</f>
        <v>1Q</v>
      </c>
      <c r="CU85" s="388" t="str">
        <f>+CU5</f>
        <v>2Q</v>
      </c>
      <c r="CV85" s="388" t="str">
        <f>+CV5</f>
        <v>3Q</v>
      </c>
      <c r="CW85" s="388" t="str">
        <f>+CW5</f>
        <v>4Q</v>
      </c>
      <c r="CX85" s="49"/>
      <c r="CY85" s="388" t="str">
        <f>+CY5</f>
        <v>1Q</v>
      </c>
      <c r="CZ85" s="388" t="str">
        <f>+CZ5</f>
        <v>2Q</v>
      </c>
      <c r="DA85" s="388" t="str">
        <f>+DA5</f>
        <v>3Q</v>
      </c>
      <c r="DB85" s="388" t="str">
        <f>+DB5</f>
        <v>4Q</v>
      </c>
      <c r="DC85" s="11"/>
      <c r="DD85" s="388" t="str">
        <f>+DD5</f>
        <v>1Q</v>
      </c>
      <c r="DE85" s="388" t="str">
        <f>+DE5</f>
        <v>2Q</v>
      </c>
      <c r="DF85" s="388" t="str">
        <f>+DF5</f>
        <v>3Q</v>
      </c>
      <c r="DG85" s="388" t="str">
        <f>+DG5</f>
        <v>4Q</v>
      </c>
      <c r="DH85" s="304"/>
      <c r="DI85" s="388" t="str">
        <f>+DI5</f>
        <v>1Q</v>
      </c>
      <c r="DJ85" s="388" t="str">
        <f>+DJ5</f>
        <v>2Q</v>
      </c>
      <c r="DK85" s="388" t="str">
        <f>+DK5</f>
        <v>3Q</v>
      </c>
      <c r="DL85" s="388" t="str">
        <f>+DL5</f>
        <v>4Q</v>
      </c>
      <c r="DM85" s="304"/>
      <c r="DN85" s="388" t="str">
        <f>+DN5</f>
        <v>1Q</v>
      </c>
      <c r="DO85" s="388" t="str">
        <f>+DO5</f>
        <v>2Q</v>
      </c>
      <c r="DP85" s="388" t="str">
        <f>+DP5</f>
        <v>3Q</v>
      </c>
      <c r="DQ85" s="388" t="str">
        <f>+DQ5</f>
        <v>4Q</v>
      </c>
      <c r="DR85" s="11"/>
      <c r="DS85" s="388" t="str">
        <f>+DS5</f>
        <v>1Q</v>
      </c>
      <c r="DT85" s="388" t="str">
        <f>+DT5</f>
        <v>2Q</v>
      </c>
      <c r="DU85" s="388" t="str">
        <f>+DU5</f>
        <v>3Q</v>
      </c>
      <c r="DV85" s="388" t="str">
        <f>+DV5</f>
        <v>4Q</v>
      </c>
      <c r="DX85" s="388" t="str">
        <f>+DX5</f>
        <v>1Q</v>
      </c>
      <c r="DY85" s="388" t="str">
        <f>+DY5</f>
        <v>2Q</v>
      </c>
      <c r="DZ85" s="388" t="str">
        <f>+DZ5</f>
        <v>3Q</v>
      </c>
      <c r="EA85" s="388" t="str">
        <f>+EA5</f>
        <v>4Q</v>
      </c>
      <c r="EB85" s="862"/>
      <c r="EC85" s="388" t="str">
        <f>+EC5</f>
        <v>1Q</v>
      </c>
      <c r="ED85" s="388" t="str">
        <f>+ED5</f>
        <v>2Q</v>
      </c>
      <c r="EE85" s="388" t="str">
        <f>+EE5</f>
        <v>3Q</v>
      </c>
      <c r="EF85" s="388" t="str">
        <f>+EF5</f>
        <v>4Q</v>
      </c>
      <c r="EH85" s="388" t="str">
        <f>+EH5</f>
        <v>1Q</v>
      </c>
      <c r="EI85" s="388" t="str">
        <f>+EI5</f>
        <v>2Q</v>
      </c>
      <c r="EJ85" s="388" t="str">
        <f>+EJ5</f>
        <v>3Q</v>
      </c>
      <c r="EK85" s="388" t="str">
        <f>+EK5</f>
        <v>4Q</v>
      </c>
      <c r="EM85" s="1418" t="str">
        <f>+EM5</f>
        <v>1Q</v>
      </c>
      <c r="EN85" s="1418" t="str">
        <f>+EN5</f>
        <v>2Q</v>
      </c>
      <c r="EO85" s="1418" t="str">
        <f>+EO5</f>
        <v>3Q</v>
      </c>
      <c r="EP85" s="1418" t="str">
        <f>+EP5</f>
        <v>4Q</v>
      </c>
      <c r="ER85" s="1418" t="str">
        <f>+ER5</f>
        <v>1Q</v>
      </c>
      <c r="ES85" s="1418" t="str">
        <f>+ES5</f>
        <v>2Q</v>
      </c>
      <c r="ET85" s="1418" t="str">
        <f>+ET5</f>
        <v>3Q</v>
      </c>
      <c r="EU85" s="1418" t="str">
        <f>+EU5</f>
        <v>4Q</v>
      </c>
      <c r="EW85" s="1418" t="str">
        <f>+EW5</f>
        <v>1Q</v>
      </c>
      <c r="EX85" s="1418" t="str">
        <f>+EX5</f>
        <v>2Q</v>
      </c>
      <c r="EY85" s="1418" t="str">
        <f>+EY5</f>
        <v>3Q</v>
      </c>
      <c r="EZ85" s="1418" t="str">
        <f>+EZ5</f>
        <v>4Q</v>
      </c>
      <c r="FA85" s="1577"/>
      <c r="FB85" s="1418" t="str">
        <f>+FB5</f>
        <v>1Q</v>
      </c>
      <c r="FC85" s="1418" t="str">
        <f>+FC5</f>
        <v>2Q</v>
      </c>
      <c r="FD85" s="1418" t="str">
        <f>+FD5</f>
        <v>3Q</v>
      </c>
      <c r="FE85" s="1418" t="str">
        <f>+FE5</f>
        <v>4QE</v>
      </c>
      <c r="FF85" s="1577"/>
      <c r="FG85" s="3338" t="str">
        <f>+FG5</f>
        <v>1QE</v>
      </c>
      <c r="FH85" s="3338" t="str">
        <f>+FH5</f>
        <v>2QE</v>
      </c>
      <c r="FI85" s="3338" t="str">
        <f>+FI5</f>
        <v>3QE</v>
      </c>
      <c r="FJ85" s="3338" t="str">
        <f>+FJ5</f>
        <v>4QE</v>
      </c>
      <c r="FK85" s="1577"/>
      <c r="FL85" s="388"/>
    </row>
    <row r="86" spans="1:168">
      <c r="A86" s="390" t="s">
        <v>694</v>
      </c>
      <c r="B86" s="14"/>
      <c r="C86" s="14">
        <f>+'CBS Network'!F14</f>
        <v>3250</v>
      </c>
      <c r="D86" s="14"/>
      <c r="E86" s="14">
        <f>+SUM(B86:D86)</f>
        <v>3250</v>
      </c>
      <c r="F86" s="14">
        <f>E86</f>
        <v>3250</v>
      </c>
      <c r="G86" s="14"/>
      <c r="H86" s="14"/>
      <c r="I86" s="14">
        <f>+'CBS Network'!G14</f>
        <v>3100</v>
      </c>
      <c r="J86" s="14"/>
      <c r="K86" s="14">
        <f>+SUM(H86:J86)</f>
        <v>3100</v>
      </c>
      <c r="L86" s="14">
        <f>K86</f>
        <v>3100</v>
      </c>
      <c r="M86" s="14">
        <f>+N86</f>
        <v>3430</v>
      </c>
      <c r="N86" s="14">
        <f>+'CBS Network'!H14</f>
        <v>3430</v>
      </c>
      <c r="O86" s="14">
        <f>N86</f>
        <v>3430</v>
      </c>
      <c r="P86" s="14">
        <f>+R86</f>
        <v>3480</v>
      </c>
      <c r="Q86" s="14"/>
      <c r="R86" s="14">
        <f>+'CBS Network'!I14</f>
        <v>3480</v>
      </c>
      <c r="S86" s="14">
        <f>R86</f>
        <v>3480</v>
      </c>
      <c r="T86" s="14">
        <f>+'CBS Network'!J14</f>
        <v>3549.6</v>
      </c>
      <c r="U86" s="14">
        <f>+'CBS Network'!K14</f>
        <v>3776.4337261343653</v>
      </c>
      <c r="V86" s="14">
        <f>+U86+180</f>
        <v>3956.4337261343653</v>
      </c>
      <c r="W86" s="53">
        <f>+X86-180</f>
        <v>4061.6940847562983</v>
      </c>
      <c r="X86" s="14">
        <f>+'CBS Network'!L14</f>
        <v>4241.6940847562983</v>
      </c>
      <c r="Y86" s="37">
        <f>T86</f>
        <v>3549.6</v>
      </c>
      <c r="Z86" s="37">
        <f>U86</f>
        <v>3776.4337261343653</v>
      </c>
      <c r="AA86" s="37">
        <f>X86</f>
        <v>4241.6940847562983</v>
      </c>
      <c r="AB86" s="37">
        <f>+'CBS Network'!M14</f>
        <v>4353.346865010566</v>
      </c>
      <c r="AC86" s="37">
        <f>+'CBS Network'!N14</f>
        <v>4291.7732929501017</v>
      </c>
      <c r="AD86" s="37">
        <f>+'CBS Network'!O14</f>
        <v>4395.7259545005963</v>
      </c>
      <c r="AE86" s="37">
        <f>+'CBS Network'!P14</f>
        <v>3885.1769222423109</v>
      </c>
      <c r="AF86" s="37">
        <f>+'CBS Network'!Q14</f>
        <v>3847.1615952932957</v>
      </c>
      <c r="AG86" s="37">
        <f>+'CBS Network'!R14</f>
        <v>4316.4534645476988</v>
      </c>
      <c r="AH86" s="37">
        <f>+'CBS Network'!S14</f>
        <v>4333.7175553410325</v>
      </c>
      <c r="AI86" s="37">
        <f>+'CBS Network'!T14</f>
        <v>4143.7087486422452</v>
      </c>
      <c r="AJ86" s="37">
        <f>+'CBS Network'!U14</f>
        <v>4663.1081007825578</v>
      </c>
      <c r="AK86" s="1626">
        <f>+'CBS Network'!V14</f>
        <v>4398.0079172208298</v>
      </c>
      <c r="AL86" s="1626">
        <f>+'CBS Network'!W14</f>
        <v>4652.8639556721682</v>
      </c>
      <c r="AM86" s="1626">
        <f>+'CBS Network'!X14</f>
        <v>5280.4842986046215</v>
      </c>
      <c r="AN86" s="1626">
        <f>+'CBS Network'!Y14</f>
        <v>5163.3452220290146</v>
      </c>
      <c r="AO86" s="1626">
        <f>+'CBS Network'!Z14</f>
        <v>5413.8800485240799</v>
      </c>
      <c r="AP86" s="37">
        <f>+'CBS Network'!AA14</f>
        <v>6153.6828550188684</v>
      </c>
      <c r="AQ86" s="37">
        <f>+'CBS Network'!AB14</f>
        <v>6066.944292690474</v>
      </c>
      <c r="AR86" s="37">
        <f>+'CBS Network'!AC14</f>
        <v>6427.9463816385451</v>
      </c>
      <c r="AS86" s="37">
        <f>+'CBS Network'!AD14</f>
        <v>7079.2454993733272</v>
      </c>
      <c r="AT86" s="37">
        <f>+'CBS Network'!AE14</f>
        <v>6809.4403223688369</v>
      </c>
      <c r="AU86" s="37">
        <f>+'CBS Network'!AF14</f>
        <v>6933.2272659042565</v>
      </c>
      <c r="AV86" s="37">
        <f>+'CBS Network'!AG14</f>
        <v>7730.0912153743911</v>
      </c>
      <c r="AW86" s="37">
        <f>+'CBS Network'!AH14</f>
        <v>7241.8693698266852</v>
      </c>
      <c r="AX86" s="37">
        <f>+'CBS Network'!AI14</f>
        <v>7451.0189870752247</v>
      </c>
      <c r="AY86" s="37">
        <f>+'CBS Network'!AJ14</f>
        <v>8256.5009208489428</v>
      </c>
      <c r="AZ86" s="1218"/>
      <c r="BA86" s="1218"/>
      <c r="BB86" s="1218"/>
      <c r="BC86" s="1218"/>
      <c r="BD86" s="1218"/>
      <c r="BE86" s="354"/>
      <c r="BF86" s="14">
        <v>906</v>
      </c>
      <c r="BG86" s="14">
        <v>669.8</v>
      </c>
      <c r="BH86" s="14">
        <v>600</v>
      </c>
      <c r="BI86" s="14">
        <f>+K86-SUM(BF86:BH86)</f>
        <v>924.19999999999982</v>
      </c>
      <c r="BJ86" s="14"/>
      <c r="BK86" s="14">
        <v>1040</v>
      </c>
      <c r="BL86" s="14">
        <f>+BG86*(1+BL87)</f>
        <v>736.78</v>
      </c>
      <c r="BM86" s="14">
        <f>+BH86*(1+BM87)</f>
        <v>624</v>
      </c>
      <c r="BN86" s="14">
        <f>+N86-SUM(BK86:BM86)</f>
        <v>1029.2200000000003</v>
      </c>
      <c r="BO86" s="14"/>
      <c r="BP86" s="14">
        <f>+BK86</f>
        <v>1040</v>
      </c>
      <c r="BQ86" s="14">
        <f>+BL86</f>
        <v>736.78</v>
      </c>
      <c r="BR86" s="14">
        <f>+BM86</f>
        <v>624</v>
      </c>
      <c r="BS86" s="14">
        <f>+N86-SUM(BP86:BR86)</f>
        <v>1029.2200000000003</v>
      </c>
      <c r="BT86" s="14"/>
      <c r="BU86" s="14">
        <f>+(BK86*0.95)+180</f>
        <v>1168</v>
      </c>
      <c r="BV86" s="14">
        <f>+BL86*(1+BV87)</f>
        <v>692.57319999999993</v>
      </c>
      <c r="BW86" s="14">
        <f>+BM86*(1+BW87)</f>
        <v>574.08000000000004</v>
      </c>
      <c r="BX86" s="14">
        <f>+R86-BW86-BV86-BU86</f>
        <v>1045.3468000000003</v>
      </c>
      <c r="BY86" s="95"/>
      <c r="BZ86" s="14">
        <f>+BU86*(1+BZ87)</f>
        <v>986.95999999999992</v>
      </c>
      <c r="CA86" s="14">
        <f>+BV86*(1+CA87)</f>
        <v>751.44192199999986</v>
      </c>
      <c r="CB86" s="14">
        <f>+BW86*(1+CB87)</f>
        <v>677.4144</v>
      </c>
      <c r="CC86" s="14">
        <f>+T86-SUM(BZ86:CB86)</f>
        <v>1133.7836780000002</v>
      </c>
      <c r="CD86" s="407"/>
      <c r="CE86" s="14">
        <f>+BZ86*(1+CE87)</f>
        <v>1016.5687999999999</v>
      </c>
      <c r="CF86" s="77">
        <f>+CA86*(1.05)+30</f>
        <v>819.01401809999993</v>
      </c>
      <c r="CG86" s="14">
        <f>+CB86*(1+CG87)</f>
        <v>724.83340800000008</v>
      </c>
      <c r="CH86" s="14">
        <f>+U86-CG86-CF86-CE86</f>
        <v>1216.0175000343652</v>
      </c>
      <c r="CI86" s="53"/>
      <c r="CJ86" s="77">
        <f>+BZ86*1.085+180</f>
        <v>1250.8516</v>
      </c>
      <c r="CK86" s="14">
        <f>+CA86*(1+CK87)</f>
        <v>828.08899804399994</v>
      </c>
      <c r="CL86" s="14">
        <f>+CB86*(1+CL87)</f>
        <v>705.1883904</v>
      </c>
      <c r="CM86" s="167">
        <f>+X86-SUM(CJ86:CL86)</f>
        <v>1457.5650963122985</v>
      </c>
      <c r="CN86" s="49">
        <f>+X86-SUM(CJ86:CM86)</f>
        <v>0</v>
      </c>
      <c r="CO86" s="77">
        <f>+CE86*1.085+180</f>
        <v>1282.9771479999999</v>
      </c>
      <c r="CP86" s="14">
        <f>+CF86*(1+CP87)</f>
        <v>902.55344794619998</v>
      </c>
      <c r="CQ86" s="14">
        <f>+CG86*(1+CQ87)</f>
        <v>754.55157772799998</v>
      </c>
      <c r="CR86" s="167">
        <f>+AA86-SUM(CO86:CQ86)</f>
        <v>1301.6119110820982</v>
      </c>
      <c r="CS86" s="49">
        <f>+AA86-SUM(CO86:CR86)</f>
        <v>0</v>
      </c>
      <c r="CT86" s="14">
        <f>(CO86-180)*1.12</f>
        <v>1235.33440576</v>
      </c>
      <c r="CU86" s="14">
        <f>CP86*(1+CU87)</f>
        <v>983.78325826135801</v>
      </c>
      <c r="CV86" s="14">
        <f>CQ86*(1+CV87)</f>
        <v>837.55225127808001</v>
      </c>
      <c r="CW86" s="167">
        <f>AB86-SUM(CT86:CV86)</f>
        <v>1296.6769497111281</v>
      </c>
      <c r="CX86" s="49">
        <f>AB86-SUM(CT86:CW86)</f>
        <v>0</v>
      </c>
      <c r="CY86" s="14">
        <f>CT86*(1+CY87)</f>
        <v>1252.62908744064</v>
      </c>
      <c r="CZ86" s="14">
        <f>CU86*(1+CZ87)</f>
        <v>969.02650938743761</v>
      </c>
      <c r="DA86" s="14">
        <f>CV86*(1+DA87)</f>
        <v>850.11553504725111</v>
      </c>
      <c r="DB86" s="354">
        <f>AC86-SUM(CY86:DA86)</f>
        <v>1220.0021610747726</v>
      </c>
      <c r="DC86" s="871">
        <f>AC86-SUM(CY86:DB86)</f>
        <v>0</v>
      </c>
      <c r="DD86" s="14">
        <f>(((CY86*25%)*1)+190)+((CY86*50%)*0.95)+((CY86*25%)*1)</f>
        <v>1411.3133602546241</v>
      </c>
      <c r="DE86" s="14">
        <f>(((CZ86*25%)*1))+((CZ86*50%))+((CZ86*25%)*1-70)</f>
        <v>899.02650938743761</v>
      </c>
      <c r="DF86" s="14">
        <f>(((DA86*25%)*1))+((DA86*50%)*1.04)+((DA86*25%)*1)</f>
        <v>867.11784574819603</v>
      </c>
      <c r="DG86" s="354">
        <f>AD86-SUM(DD86:DF86)</f>
        <v>1218.2682391103385</v>
      </c>
      <c r="DH86" s="871">
        <f>AD86-SUM(DD86:DG86)</f>
        <v>0</v>
      </c>
      <c r="DI86" s="14">
        <f>(((DD86*25%)*1))+((DD86*50%)*0.96)+((DD86*25%)*1)-180-10</f>
        <v>1193.0870930495316</v>
      </c>
      <c r="DJ86" s="14">
        <f>DE86*(1+DJ87)</f>
        <v>943.97783485680952</v>
      </c>
      <c r="DK86" s="14">
        <f>DF86*0.87</f>
        <v>754.39252580093057</v>
      </c>
      <c r="DL86" s="355">
        <f>AE86-SUM(DI86:DK86)</f>
        <v>993.7194685350396</v>
      </c>
      <c r="DM86" s="357">
        <f>AE86-SUM(DI86:DL86)</f>
        <v>0</v>
      </c>
      <c r="DN86" s="14">
        <f>DI86*(1+DN87)</f>
        <v>1090.4816030472718</v>
      </c>
      <c r="DO86" s="14">
        <f>DJ86*(1+DO87)</f>
        <v>910.93861063682118</v>
      </c>
      <c r="DP86" s="14">
        <f>DK86*(1+DP87)</f>
        <v>754.39252580093057</v>
      </c>
      <c r="DQ86" s="355">
        <f>AF86-SUM(DN86:DP86)</f>
        <v>1091.3488558082722</v>
      </c>
      <c r="DR86" s="538">
        <f>AF86-SUM(DN86:DQ86)</f>
        <v>0</v>
      </c>
      <c r="DS86" s="14">
        <f>Drivers!BQ8</f>
        <v>1363.1020038090899</v>
      </c>
      <c r="DT86" s="14">
        <f>Drivers!BR8</f>
        <v>963.11054116866228</v>
      </c>
      <c r="DU86" s="14">
        <f>Drivers!BS8</f>
        <v>807.20000260699578</v>
      </c>
      <c r="DV86" s="14">
        <f>Drivers!BT8</f>
        <v>1183.0409169629506</v>
      </c>
      <c r="DW86" s="538">
        <f>AG86-SUM(DS86:DV86)</f>
        <v>0</v>
      </c>
      <c r="DX86" s="14">
        <f>Drivers!BV8</f>
        <v>1254.0538435043627</v>
      </c>
      <c r="DY86" s="14">
        <f>Drivers!BW8</f>
        <v>992.00385740372212</v>
      </c>
      <c r="DZ86" s="14">
        <f>Drivers!BX8</f>
        <v>815.27200263306577</v>
      </c>
      <c r="EA86" s="14">
        <f>Drivers!BY8</f>
        <v>1272.3878517998819</v>
      </c>
      <c r="EB86" s="2300">
        <f>AH86-SUM(DX86:EA86)</f>
        <v>0</v>
      </c>
      <c r="EC86" s="14">
        <f>Drivers!CA8</f>
        <v>1291.6754588094936</v>
      </c>
      <c r="ED86" s="14">
        <f>Drivers!CB8</f>
        <v>892.80347166334991</v>
      </c>
      <c r="EE86" s="14">
        <f>Drivers!CC8</f>
        <v>692.98120223810588</v>
      </c>
      <c r="EF86" s="14">
        <f>Drivers!CD8</f>
        <v>1266.2486159312957</v>
      </c>
      <c r="EG86" s="2300">
        <f>AI86-SUM(EC86:EF86)</f>
        <v>0</v>
      </c>
      <c r="EH86" s="14">
        <f>Drivers!CF8</f>
        <v>1504.8019095130601</v>
      </c>
      <c r="EI86" s="14">
        <f>Drivers!CG8</f>
        <v>1017.795957696219</v>
      </c>
      <c r="EJ86" s="14">
        <f>Drivers!CH8</f>
        <v>803.85819459620279</v>
      </c>
      <c r="EK86" s="129">
        <f>Drivers!CI8</f>
        <v>1336.6520389770758</v>
      </c>
      <c r="EL86" s="1120">
        <f>+AJ86-SUM(EH86:EK86)</f>
        <v>0</v>
      </c>
      <c r="EM86" s="129">
        <f>Drivers!CK8</f>
        <v>1226.413556253144</v>
      </c>
      <c r="EN86" s="129">
        <f>Drivers!CL8</f>
        <v>966.90615981140809</v>
      </c>
      <c r="EO86" s="129">
        <f>Drivers!CM8</f>
        <v>811.89677654216484</v>
      </c>
      <c r="EP86" s="129">
        <f>Drivers!CN8</f>
        <v>1392.7914246141131</v>
      </c>
      <c r="EQ86" s="1120">
        <f>+$AK86-SUM(EM86:EP86)</f>
        <v>0</v>
      </c>
      <c r="ER86" s="129">
        <f>Drivers!CP8</f>
        <v>1227.6399698093969</v>
      </c>
      <c r="ES86" s="129">
        <f>Drivers!CQ8</f>
        <v>1012.3507493225442</v>
      </c>
      <c r="ET86" s="129">
        <f>Drivers!CR8</f>
        <v>865.48196379394778</v>
      </c>
      <c r="EU86" s="129">
        <f>Drivers!CS8</f>
        <v>1547.3912727462796</v>
      </c>
      <c r="EV86" s="1120">
        <f>+$AL86-SUM(ER86:EU86)</f>
        <v>0</v>
      </c>
      <c r="EW86" s="129">
        <f>Drivers!CU8</f>
        <v>1832.8664749254294</v>
      </c>
      <c r="EX86" s="129">
        <f>Drivers!CV8</f>
        <v>1058.7164136415167</v>
      </c>
      <c r="EY86" s="129">
        <f>Drivers!CW8</f>
        <v>905.72687511036634</v>
      </c>
      <c r="EZ86" s="129">
        <f>Drivers!CX8</f>
        <v>1483.174534927309</v>
      </c>
      <c r="FA86" s="1741">
        <f>AM86-SUM(EW86:EZ86)</f>
        <v>0</v>
      </c>
      <c r="FB86" s="129">
        <f>Drivers!CZ8</f>
        <v>1476.3739455524335</v>
      </c>
      <c r="FC86" s="129">
        <f>Drivers!DA8</f>
        <v>1181.5804534446147</v>
      </c>
      <c r="FD86" s="129">
        <f>Drivers!DB8</f>
        <v>954.63612636632615</v>
      </c>
      <c r="FE86" s="129">
        <f>Drivers!DC8</f>
        <v>1550.7546966656403</v>
      </c>
      <c r="FF86" s="1741">
        <f>AN86-SUM(FB86:FE86)</f>
        <v>0</v>
      </c>
      <c r="FG86" s="129">
        <f>Drivers!DE8</f>
        <v>1573.8467440851937</v>
      </c>
      <c r="FH86" s="129">
        <f>Drivers!DF8</f>
        <v>1180.0179601444288</v>
      </c>
      <c r="FI86" s="129">
        <f>Drivers!DG8</f>
        <v>1034.4625257831915</v>
      </c>
      <c r="FJ86" s="129">
        <f>Drivers!DH8</f>
        <v>1625.5528185112667</v>
      </c>
      <c r="FK86" s="1741">
        <f>AO86-SUM(FG86:FJ86)</f>
        <v>0</v>
      </c>
      <c r="FL86" s="14"/>
    </row>
    <row r="87" spans="1:168">
      <c r="A87" s="372" t="s">
        <v>676</v>
      </c>
      <c r="B87" s="242"/>
      <c r="C87" s="242"/>
      <c r="D87" s="242"/>
      <c r="E87" s="242"/>
      <c r="F87" s="242"/>
      <c r="G87" s="242"/>
      <c r="H87" s="242"/>
      <c r="I87" s="242"/>
      <c r="J87" s="242"/>
      <c r="K87" s="242"/>
      <c r="L87" s="242"/>
      <c r="M87" s="242"/>
      <c r="N87" s="39">
        <f>+N86/K86-1</f>
        <v>0.1064516129032258</v>
      </c>
      <c r="O87" s="242"/>
      <c r="P87" s="39"/>
      <c r="Q87" s="39"/>
      <c r="R87" s="39">
        <f>+R86/N86-1</f>
        <v>1.4577259475218707E-2</v>
      </c>
      <c r="S87" s="242"/>
      <c r="T87" s="39">
        <f>+T86/R86-1</f>
        <v>2.0000000000000018E-2</v>
      </c>
      <c r="U87" s="39">
        <f>+U86/T86-1</f>
        <v>6.3904024716690655E-2</v>
      </c>
      <c r="V87" s="39"/>
      <c r="W87" s="39">
        <f>+AB86/W86-1</f>
        <v>7.1805698353515135E-2</v>
      </c>
      <c r="X87" s="39">
        <f>+X86/U86-1</f>
        <v>0.12320098599960949</v>
      </c>
      <c r="Y87" s="39">
        <f>Y86/S86-1</f>
        <v>2.0000000000000018E-2</v>
      </c>
      <c r="Z87" s="39">
        <f>Z86/Y86-1</f>
        <v>6.3904024716690655E-2</v>
      </c>
      <c r="AA87" s="39">
        <f>AA86/Z86-1</f>
        <v>0.12320098599960949</v>
      </c>
      <c r="AB87" s="39">
        <f>+AB86/AA86-1</f>
        <v>2.6322685706053894E-2</v>
      </c>
      <c r="AC87" s="39">
        <f t="shared" ref="AC87:AQ87" si="132">+AC86/AB86-1</f>
        <v>-1.414396186882183E-2</v>
      </c>
      <c r="AD87" s="39">
        <f t="shared" si="132"/>
        <v>2.422137761126697E-2</v>
      </c>
      <c r="AE87" s="39">
        <f t="shared" si="132"/>
        <v>-0.11614669284275014</v>
      </c>
      <c r="AF87" s="39">
        <f t="shared" si="132"/>
        <v>-9.7847093478241609E-3</v>
      </c>
      <c r="AG87" s="39">
        <f t="shared" si="132"/>
        <v>0.12198392441548211</v>
      </c>
      <c r="AH87" s="39">
        <f t="shared" si="132"/>
        <v>3.9996008146800932E-3</v>
      </c>
      <c r="AI87" s="39">
        <f t="shared" si="132"/>
        <v>-4.3844298635616785E-2</v>
      </c>
      <c r="AJ87" s="39">
        <f t="shared" si="132"/>
        <v>0.12534649118630803</v>
      </c>
      <c r="AK87" s="1110">
        <f t="shared" si="132"/>
        <v>-5.6850533556629168E-2</v>
      </c>
      <c r="AL87" s="1110">
        <f t="shared" si="132"/>
        <v>5.7948062679338275E-2</v>
      </c>
      <c r="AM87" s="1110">
        <f t="shared" si="132"/>
        <v>0.13488903800149576</v>
      </c>
      <c r="AN87" s="1110">
        <f t="shared" si="132"/>
        <v>-2.2183396437058023E-2</v>
      </c>
      <c r="AO87" s="1110">
        <f t="shared" si="132"/>
        <v>4.8521804319063833E-2</v>
      </c>
      <c r="AP87" s="39">
        <f t="shared" si="132"/>
        <v>0.13664927923485704</v>
      </c>
      <c r="AQ87" s="39">
        <f t="shared" si="132"/>
        <v>-1.4095390414481823E-2</v>
      </c>
      <c r="AR87" s="39">
        <f t="shared" ref="AR87:AY87" si="133">+AR86/AQ86-1</f>
        <v>5.9503115824387942E-2</v>
      </c>
      <c r="AS87" s="39">
        <f t="shared" si="133"/>
        <v>0.10132304768366152</v>
      </c>
      <c r="AT87" s="39">
        <f t="shared" si="133"/>
        <v>-3.8112137377969701E-2</v>
      </c>
      <c r="AU87" s="39">
        <f t="shared" si="133"/>
        <v>1.8178725075067126E-2</v>
      </c>
      <c r="AV87" s="39">
        <f t="shared" si="133"/>
        <v>0.11493405868705575</v>
      </c>
      <c r="AW87" s="39">
        <f t="shared" si="133"/>
        <v>-6.3158613778926731E-2</v>
      </c>
      <c r="AX87" s="39">
        <f t="shared" si="133"/>
        <v>2.888061169950995E-2</v>
      </c>
      <c r="AY87" s="39">
        <f t="shared" si="133"/>
        <v>0.10810359430984318</v>
      </c>
      <c r="AZ87" s="359"/>
      <c r="BA87" s="359"/>
      <c r="BB87" s="359"/>
      <c r="BC87" s="359"/>
      <c r="BD87" s="359"/>
      <c r="BE87" s="421"/>
      <c r="BF87" s="242"/>
      <c r="BG87" s="242"/>
      <c r="BH87" s="242"/>
      <c r="BI87" s="242"/>
      <c r="BJ87" s="242"/>
      <c r="BK87" s="242">
        <f>+BK86/BF86-1</f>
        <v>0.14790286975717448</v>
      </c>
      <c r="BL87" s="39">
        <v>0.1</v>
      </c>
      <c r="BM87" s="39">
        <v>0.04</v>
      </c>
      <c r="BN87" s="39">
        <f>+BN86/BI86-1</f>
        <v>0.11363341268123839</v>
      </c>
      <c r="BO87" s="39"/>
      <c r="BP87" s="39"/>
      <c r="BQ87" s="39"/>
      <c r="BR87" s="39"/>
      <c r="BS87" s="39"/>
      <c r="BT87" s="242"/>
      <c r="BU87" s="394">
        <f>+BU86/BK86-1</f>
        <v>0.12307692307692308</v>
      </c>
      <c r="BV87" s="119">
        <v>-0.06</v>
      </c>
      <c r="BW87" s="119">
        <v>-0.08</v>
      </c>
      <c r="BX87" s="39">
        <f>+BX86/BS86-1</f>
        <v>1.5668953187850887E-2</v>
      </c>
      <c r="BY87" s="95"/>
      <c r="BZ87" s="119">
        <v>-0.155</v>
      </c>
      <c r="CA87" s="119">
        <v>8.5000000000000006E-2</v>
      </c>
      <c r="CB87" s="119">
        <v>0.18</v>
      </c>
      <c r="CC87" s="39">
        <f>+CC86/BX86-1</f>
        <v>8.4600515350503835E-2</v>
      </c>
      <c r="CD87" s="408"/>
      <c r="CE87" s="394">
        <v>0.03</v>
      </c>
      <c r="CF87" s="242">
        <f>+CF86/CA86-1</f>
        <v>8.9923245059516432E-2</v>
      </c>
      <c r="CG87" s="394">
        <v>7.0000000000000007E-2</v>
      </c>
      <c r="CH87" s="242">
        <f>+CH86/CC86-1</f>
        <v>7.2530433829693042E-2</v>
      </c>
      <c r="CI87" s="53"/>
      <c r="CJ87" s="242">
        <f>+CJ86/BZ86-1</f>
        <v>0.26737821188295374</v>
      </c>
      <c r="CK87" s="394">
        <v>0.10199999999999999</v>
      </c>
      <c r="CL87" s="394">
        <v>4.1000000000000002E-2</v>
      </c>
      <c r="CM87" s="242">
        <f>+CM86/CC86-1</f>
        <v>0.28557600942311168</v>
      </c>
      <c r="CN87" s="49"/>
      <c r="CO87" s="242">
        <f>+CO86/CE86-1</f>
        <v>0.26206622512908129</v>
      </c>
      <c r="CP87" s="394">
        <v>0.10199999999999999</v>
      </c>
      <c r="CQ87" s="394">
        <v>4.1000000000000002E-2</v>
      </c>
      <c r="CR87" s="242">
        <f>+CR86/CH86-1</f>
        <v>7.0389127660838824E-2</v>
      </c>
      <c r="CS87" s="49"/>
      <c r="CT87" s="242">
        <f>+CT86/CO86-1</f>
        <v>-3.7134521307935264E-2</v>
      </c>
      <c r="CU87" s="394">
        <v>0.09</v>
      </c>
      <c r="CV87" s="394">
        <v>0.11</v>
      </c>
      <c r="CW87" s="242">
        <f>+CW86/CR86-1</f>
        <v>-3.7914230262900972E-3</v>
      </c>
      <c r="CX87" s="49"/>
      <c r="CY87" s="394">
        <v>1.4E-2</v>
      </c>
      <c r="CZ87" s="394">
        <v>-1.4999999999999999E-2</v>
      </c>
      <c r="DA87" s="394">
        <v>1.4999999999999999E-2</v>
      </c>
      <c r="DB87" s="242">
        <f>DB86/CW86-1</f>
        <v>-5.9131758803483758E-2</v>
      </c>
      <c r="DC87" s="242"/>
      <c r="DD87" s="242">
        <f>(DD86-190)/CY86-1</f>
        <v>-2.4999999999999911E-2</v>
      </c>
      <c r="DE87" s="242">
        <f>DE86/CZ86-1</f>
        <v>-7.2237445850939608E-2</v>
      </c>
      <c r="DF87" s="242">
        <f>DF86/DA86-1</f>
        <v>1.9999999999999796E-2</v>
      </c>
      <c r="DG87" s="242">
        <f>DG86/DB86-1</f>
        <v>-1.4212449942765382E-3</v>
      </c>
      <c r="DH87" s="242"/>
      <c r="DI87" s="242">
        <f>(DI86)/(DD86-200)-1</f>
        <v>-1.5046698734719754E-2</v>
      </c>
      <c r="DJ87" s="394">
        <v>0.05</v>
      </c>
      <c r="DK87" s="242">
        <f>DK86/DF86-1</f>
        <v>-0.13</v>
      </c>
      <c r="DL87" s="242">
        <f>DL86/DG86-1</f>
        <v>-0.18431800433316681</v>
      </c>
      <c r="DM87" s="242"/>
      <c r="DN87" s="394">
        <v>-8.5999999999999993E-2</v>
      </c>
      <c r="DO87" s="394">
        <v>-3.5000000000000003E-2</v>
      </c>
      <c r="DP87" s="394">
        <v>0</v>
      </c>
      <c r="DQ87" s="242">
        <f>DQ86/DL86-1</f>
        <v>9.8246427049637708E-2</v>
      </c>
      <c r="DR87" s="242"/>
      <c r="DS87" s="242">
        <f>DS86/DN86-1</f>
        <v>0.25</v>
      </c>
      <c r="DT87" s="242">
        <f>DT86/DO86-1</f>
        <v>5.7272718405654732E-2</v>
      </c>
      <c r="DU87" s="242">
        <f>DU86/DP86-1</f>
        <v>7.0000000000000062E-2</v>
      </c>
      <c r="DV87" s="242">
        <f>DV86/DQ86-1</f>
        <v>8.4017187232738433E-2</v>
      </c>
      <c r="DW87" s="1089"/>
      <c r="DX87" s="242">
        <f>DX86/DS86-1</f>
        <v>-7.999999999999996E-2</v>
      </c>
      <c r="DY87" s="242">
        <f>DY86/DT86-1</f>
        <v>3.0000000000000027E-2</v>
      </c>
      <c r="DZ87" s="242">
        <f>DZ86/DU86-1</f>
        <v>1.0000000000000009E-2</v>
      </c>
      <c r="EA87" s="242">
        <f>EA86/DV86-1</f>
        <v>7.5523114674933334E-2</v>
      </c>
      <c r="EB87" s="2300"/>
      <c r="EC87" s="242">
        <f>EC86/DX86-1</f>
        <v>3.0000000000000027E-2</v>
      </c>
      <c r="ED87" s="242">
        <f>ED86/DY86-1</f>
        <v>-9.9999999999999978E-2</v>
      </c>
      <c r="EE87" s="242">
        <f>EE86/DZ86-1</f>
        <v>-0.15000000000000002</v>
      </c>
      <c r="EF87" s="242">
        <f>EF86/EA86-1</f>
        <v>-4.8249720868537294E-3</v>
      </c>
      <c r="EG87" s="2300"/>
      <c r="EH87" s="242">
        <f>EH86/EC86-1</f>
        <v>0.16500000000000004</v>
      </c>
      <c r="EI87" s="242">
        <f>EI86/ED86-1</f>
        <v>0.14000000000000012</v>
      </c>
      <c r="EJ87" s="242">
        <f>EJ86/EE86-1</f>
        <v>0.15999999999999992</v>
      </c>
      <c r="EK87" s="242">
        <f>EK86/EF86-1</f>
        <v>5.5600000000000094E-2</v>
      </c>
      <c r="EM87" s="990">
        <f>EM86/EH86-1</f>
        <v>-0.18500000000000005</v>
      </c>
      <c r="EN87" s="990">
        <f>EN86/EI86-1</f>
        <v>-5.0000000000000044E-2</v>
      </c>
      <c r="EO87" s="990">
        <f>EO86/EJ86-1</f>
        <v>1.0000000000000009E-2</v>
      </c>
      <c r="EP87" s="990">
        <f>EP86/EK86-1</f>
        <v>4.2000000000000037E-2</v>
      </c>
      <c r="ER87" s="990">
        <f>ER86/EM86-1</f>
        <v>9.9999999999988987E-4</v>
      </c>
      <c r="ES87" s="990">
        <f>ES86/EN86-1</f>
        <v>4.6999999999999931E-2</v>
      </c>
      <c r="ET87" s="990">
        <f>ET86/EO86-1</f>
        <v>6.6000000000000059E-2</v>
      </c>
      <c r="EU87" s="990">
        <f>EU86/EP86-1</f>
        <v>0.11099999999999999</v>
      </c>
      <c r="EW87" s="990">
        <f>EW86/ER86-1</f>
        <v>0.49299999999999988</v>
      </c>
      <c r="EX87" s="990">
        <f>EX86/ES86-1</f>
        <v>4.5800000000000063E-2</v>
      </c>
      <c r="EY87" s="990">
        <f>EY86/ET86-1</f>
        <v>4.6499999999999986E-2</v>
      </c>
      <c r="EZ87" s="990">
        <f>EZ86/EU86-1</f>
        <v>-4.1499999999999981E-2</v>
      </c>
      <c r="FA87" s="1577"/>
      <c r="FB87" s="990">
        <f>FB86/EW86-1</f>
        <v>-0.1944999999999999</v>
      </c>
      <c r="FC87" s="990">
        <f>FC86/EX86-1</f>
        <v>0.11604999999999999</v>
      </c>
      <c r="FD87" s="990">
        <f>FD86/EY86-1</f>
        <v>5.4000000000000048E-2</v>
      </c>
      <c r="FE87" s="990">
        <f>FE86/EZ86-1</f>
        <v>4.5564537515231374E-2</v>
      </c>
      <c r="FF87" s="990"/>
      <c r="FG87" s="990">
        <f>FG86/FB86-1</f>
        <v>6.6021754736593996E-2</v>
      </c>
      <c r="FH87" s="990">
        <f>FH86/FC86-1</f>
        <v>-1.3223757177354134E-3</v>
      </c>
      <c r="FI87" s="990">
        <f>FI86/FD86-1</f>
        <v>8.3619713534948792E-2</v>
      </c>
      <c r="FJ87" s="990">
        <f>FJ86/FE86-1</f>
        <v>4.8233367924955362E-2</v>
      </c>
      <c r="FK87" s="1577"/>
      <c r="FL87" s="242"/>
    </row>
    <row r="88" spans="1:168">
      <c r="A88" s="390" t="s">
        <v>1059</v>
      </c>
      <c r="B88" s="14"/>
      <c r="C88" s="14"/>
      <c r="D88" s="14">
        <v>96.400999999999996</v>
      </c>
      <c r="E88" s="14">
        <f>+SUM(B88:D88)</f>
        <v>96.400999999999996</v>
      </c>
      <c r="F88" s="14">
        <f>E88</f>
        <v>96.400999999999996</v>
      </c>
      <c r="G88" s="14"/>
      <c r="H88" s="14"/>
      <c r="I88" s="14"/>
      <c r="J88" s="14">
        <v>134.12700000000001</v>
      </c>
      <c r="K88" s="14">
        <f>+SUM(I88:J88)</f>
        <v>134.12700000000001</v>
      </c>
      <c r="L88" s="14">
        <f>K88</f>
        <v>134.12700000000001</v>
      </c>
      <c r="M88" s="14">
        <f>+N88</f>
        <v>181.07145000000003</v>
      </c>
      <c r="N88" s="14">
        <f>+K88*(1+N89)</f>
        <v>181.07145000000003</v>
      </c>
      <c r="O88" s="14">
        <f>N88</f>
        <v>181.07145000000003</v>
      </c>
      <c r="P88" s="14">
        <f>+R88</f>
        <v>208.2321675</v>
      </c>
      <c r="Q88" s="14"/>
      <c r="R88" s="14">
        <f>+N88*(1+R89)</f>
        <v>208.2321675</v>
      </c>
      <c r="S88" s="14">
        <f>R88</f>
        <v>208.2321675</v>
      </c>
      <c r="T88" s="14">
        <f>+R88*(1+T89)</f>
        <v>224.89074090000003</v>
      </c>
      <c r="U88" s="14">
        <f>+T88*(1+U89)</f>
        <v>213.64620385500001</v>
      </c>
      <c r="V88" s="14"/>
      <c r="W88" s="14"/>
      <c r="X88" s="14">
        <f>+U88*(1+X89)</f>
        <v>228.60143812485003</v>
      </c>
      <c r="Y88" s="14">
        <f>T88</f>
        <v>224.89074090000003</v>
      </c>
      <c r="Z88" s="14">
        <f>U88</f>
        <v>213.64620385500001</v>
      </c>
      <c r="AA88" s="14">
        <f>X88</f>
        <v>228.60143812485003</v>
      </c>
      <c r="AB88" s="14">
        <v>285.60000000000002</v>
      </c>
      <c r="AC88" s="14">
        <f>SUM(CY88:DB88)</f>
        <v>170.76844676828472</v>
      </c>
      <c r="AD88" s="77">
        <v>0</v>
      </c>
      <c r="AE88" s="77">
        <v>0</v>
      </c>
      <c r="AF88" s="77">
        <v>0</v>
      </c>
      <c r="AG88" s="77">
        <v>0</v>
      </c>
      <c r="AH88" s="77">
        <v>0</v>
      </c>
      <c r="AI88" s="77">
        <v>0</v>
      </c>
      <c r="AJ88" s="1028">
        <f>SUM(EH88:EK88)</f>
        <v>0</v>
      </c>
      <c r="AK88" s="1478">
        <f>SUM(EM88:EP88)</f>
        <v>0</v>
      </c>
      <c r="AL88" s="1478">
        <f>SUM(ER88:EU88)</f>
        <v>0</v>
      </c>
      <c r="AM88" s="1478">
        <f>SUM(EW88:EZ88)</f>
        <v>0</v>
      </c>
      <c r="AN88" s="1437">
        <v>0</v>
      </c>
      <c r="AO88" s="1437">
        <v>0</v>
      </c>
      <c r="AP88" s="77">
        <v>0</v>
      </c>
      <c r="AQ88" s="77">
        <v>0</v>
      </c>
      <c r="AR88" s="77">
        <v>0</v>
      </c>
      <c r="AS88" s="77">
        <v>0</v>
      </c>
      <c r="AT88" s="77">
        <v>0</v>
      </c>
      <c r="AU88" s="77">
        <v>0</v>
      </c>
      <c r="AV88" s="77">
        <v>0</v>
      </c>
      <c r="AW88" s="77">
        <v>0</v>
      </c>
      <c r="AX88" s="77">
        <v>0</v>
      </c>
      <c r="AY88" s="77">
        <v>0</v>
      </c>
      <c r="AZ88" s="356"/>
      <c r="BA88" s="356"/>
      <c r="BB88" s="356"/>
      <c r="BC88" s="356"/>
      <c r="BD88" s="356"/>
      <c r="BE88" s="354"/>
      <c r="BF88" s="14">
        <v>30.454000000000001</v>
      </c>
      <c r="BG88" s="14">
        <v>32.917999999999999</v>
      </c>
      <c r="BH88" s="14">
        <v>31.614999999999998</v>
      </c>
      <c r="BI88" s="14">
        <f>+K88-SUM(BF88:BH88)</f>
        <v>39.140000000000015</v>
      </c>
      <c r="BJ88" s="14"/>
      <c r="BK88" s="14">
        <v>36.534999999999997</v>
      </c>
      <c r="BL88" s="14">
        <f>+BG88*(1+BL89)</f>
        <v>41.147500000000001</v>
      </c>
      <c r="BM88" s="14">
        <f>+BH88*(1+BM89)</f>
        <v>41.099499999999999</v>
      </c>
      <c r="BN88" s="14">
        <f>+N88-SUM(BK88:BM88)</f>
        <v>62.289450000000016</v>
      </c>
      <c r="BO88" s="14"/>
      <c r="BP88" s="14">
        <f>+BK88</f>
        <v>36.534999999999997</v>
      </c>
      <c r="BQ88" s="14">
        <f>+BL88</f>
        <v>41.147500000000001</v>
      </c>
      <c r="BR88" s="14">
        <f>+BM88</f>
        <v>41.099499999999999</v>
      </c>
      <c r="BS88" s="14">
        <f>+N88-SUM(BP88:BR88)</f>
        <v>62.289450000000016</v>
      </c>
      <c r="BT88" s="14"/>
      <c r="BU88" s="14">
        <f>+BK88*(1+BU89)</f>
        <v>40.188499999999998</v>
      </c>
      <c r="BV88" s="14">
        <f>+BL88*(1+BV89)</f>
        <v>43.204875000000001</v>
      </c>
      <c r="BW88" s="14">
        <f>+BM88*(1+BW89)</f>
        <v>43.154474999999998</v>
      </c>
      <c r="BX88" s="14">
        <f>+P88-SUM(BU88:BW88)</f>
        <v>81.68431750000002</v>
      </c>
      <c r="BY88" s="95"/>
      <c r="BZ88" s="14">
        <f>+BU88*(1+BZ89)</f>
        <v>42.197924999999998</v>
      </c>
      <c r="CA88" s="14">
        <f>+BV88*(1+CA89)</f>
        <v>46.661265000000007</v>
      </c>
      <c r="CB88" s="14">
        <f>+BW88*(1+CB89)</f>
        <v>46.606833000000002</v>
      </c>
      <c r="CC88" s="14">
        <f>+T88-SUM(BZ88:CB88)</f>
        <v>89.424717900000019</v>
      </c>
      <c r="CD88" s="377"/>
      <c r="CE88" s="14">
        <f>+BZ88*(1+CE89)</f>
        <v>43.463862749999997</v>
      </c>
      <c r="CF88" s="14">
        <f>+CA88*(1+CF89)</f>
        <v>48.994328250000009</v>
      </c>
      <c r="CG88" s="14">
        <f>+CB88*(1+CG89)</f>
        <v>47.072901330000001</v>
      </c>
      <c r="CH88" s="14">
        <f>+U88-CG88-CF88-CE88</f>
        <v>74.115111525000003</v>
      </c>
      <c r="CI88" s="53"/>
      <c r="CJ88" s="14">
        <f>+BZ88*(1+CJ89)</f>
        <v>50.637509999999999</v>
      </c>
      <c r="CK88" s="14">
        <f>+CA88*(1+CK89)</f>
        <v>49.927553550000013</v>
      </c>
      <c r="CL88" s="14">
        <f>+CB88*(1+CL89)</f>
        <v>48.005037990000005</v>
      </c>
      <c r="CM88" s="167">
        <f>+X88-SUM(CJ88:CL88)</f>
        <v>80.03133658485001</v>
      </c>
      <c r="CN88" s="49">
        <f>+X88-SUM(CJ88:CM88)</f>
        <v>0</v>
      </c>
      <c r="CO88" s="14">
        <f>+CE88*(1+CO89)</f>
        <v>52.156635299999998</v>
      </c>
      <c r="CP88" s="14">
        <f>+CF88*(1+CP89)</f>
        <v>52.423931227500013</v>
      </c>
      <c r="CQ88" s="14">
        <f>+CG88*(1+CQ89)</f>
        <v>48.485088369900005</v>
      </c>
      <c r="CR88" s="167">
        <f>+AA88-SUM(CO88:CQ88)</f>
        <v>75.535783227450025</v>
      </c>
      <c r="CS88" s="49">
        <f>+AA88-SUM(CO88:CR88)</f>
        <v>0</v>
      </c>
      <c r="CT88" s="14">
        <f>CO88*(1+CT89)</f>
        <v>62.587962359999992</v>
      </c>
      <c r="CU88" s="14">
        <f>CP88*(1+CU89)</f>
        <v>60.287520911625009</v>
      </c>
      <c r="CV88" s="14">
        <f>CQ88*(1+CV89)</f>
        <v>58.182106043880005</v>
      </c>
      <c r="CW88" s="167">
        <f>AB88-SUM(CT88:CV88)</f>
        <v>104.54241068449502</v>
      </c>
      <c r="CX88" s="49">
        <f>AB88-SUM(CT88:CW88)</f>
        <v>0</v>
      </c>
      <c r="CY88" s="14">
        <f>CT88*(1+CY89)</f>
        <v>60.710323489199993</v>
      </c>
      <c r="CZ88" s="14">
        <f>CU88*(1+CZ89)</f>
        <v>69.330649048368755</v>
      </c>
      <c r="DA88" s="14">
        <f>CV88*(1+DA89)</f>
        <v>40.727474230715998</v>
      </c>
      <c r="DB88" s="356">
        <v>0</v>
      </c>
      <c r="DC88" s="871">
        <f>AC88-SUM(CY88:DB88)</f>
        <v>0</v>
      </c>
      <c r="DD88" s="356">
        <v>0</v>
      </c>
      <c r="DE88" s="356">
        <v>0</v>
      </c>
      <c r="DF88" s="356">
        <v>0</v>
      </c>
      <c r="DG88" s="356">
        <v>0</v>
      </c>
      <c r="DH88" s="871">
        <f>AD88-SUM(DD88:DG88)</f>
        <v>0</v>
      </c>
      <c r="DI88" s="356">
        <v>0</v>
      </c>
      <c r="DJ88" s="356">
        <v>0</v>
      </c>
      <c r="DK88" s="356">
        <v>0</v>
      </c>
      <c r="DL88" s="356">
        <v>0</v>
      </c>
      <c r="DM88" s="357">
        <f>AE88-SUM(DI88:DL88)</f>
        <v>0</v>
      </c>
      <c r="DN88" s="356">
        <v>0</v>
      </c>
      <c r="DO88" s="356">
        <v>0</v>
      </c>
      <c r="DP88" s="356">
        <v>0</v>
      </c>
      <c r="DQ88" s="356">
        <v>0</v>
      </c>
      <c r="DR88" s="538">
        <f>AF88-SUM(DN88:DQ88)</f>
        <v>0</v>
      </c>
      <c r="DS88" s="356">
        <v>0</v>
      </c>
      <c r="DT88" s="356">
        <v>0</v>
      </c>
      <c r="DU88" s="356">
        <v>0</v>
      </c>
      <c r="DV88" s="356">
        <v>0</v>
      </c>
      <c r="DW88" s="538">
        <f>AG88-SUM(DS88:DV88)</f>
        <v>0</v>
      </c>
      <c r="DX88" s="356">
        <v>0</v>
      </c>
      <c r="DY88" s="356">
        <v>0</v>
      </c>
      <c r="DZ88" s="356">
        <v>0</v>
      </c>
      <c r="EA88" s="356">
        <v>0</v>
      </c>
      <c r="EB88" s="2300">
        <f>AH88-SUM(DX88:EA88)</f>
        <v>0</v>
      </c>
      <c r="EC88" s="356">
        <v>0</v>
      </c>
      <c r="ED88" s="356">
        <v>0</v>
      </c>
      <c r="EE88" s="356">
        <v>0</v>
      </c>
      <c r="EF88" s="356">
        <v>0</v>
      </c>
      <c r="EG88" s="2300">
        <f>AI88-SUM(EC88:EF88)</f>
        <v>0</v>
      </c>
      <c r="EH88" s="356">
        <v>0</v>
      </c>
      <c r="EI88" s="356">
        <v>0</v>
      </c>
      <c r="EJ88" s="356">
        <v>0</v>
      </c>
      <c r="EK88" s="129">
        <f>Drivers!CI10</f>
        <v>0</v>
      </c>
      <c r="EL88" s="1120">
        <f>+AJ88-SUM(EH88:EK88)</f>
        <v>0</v>
      </c>
      <c r="EM88" s="129">
        <f>Drivers!CK10</f>
        <v>0</v>
      </c>
      <c r="EN88" s="129">
        <f>Drivers!CL10</f>
        <v>0</v>
      </c>
      <c r="EO88" s="129">
        <f>Drivers!CM10</f>
        <v>0</v>
      </c>
      <c r="EP88" s="129">
        <f>Drivers!CN10</f>
        <v>0</v>
      </c>
      <c r="EQ88" s="1120">
        <f>+$AK88-SUM(EM88:EP88)</f>
        <v>0</v>
      </c>
      <c r="ER88" s="129">
        <f>Drivers!CP10</f>
        <v>0</v>
      </c>
      <c r="ES88" s="129">
        <f>Drivers!CQ10</f>
        <v>0</v>
      </c>
      <c r="ET88" s="129">
        <f>Drivers!CR10</f>
        <v>0</v>
      </c>
      <c r="EU88" s="129">
        <f>Drivers!CS10</f>
        <v>0</v>
      </c>
      <c r="EV88" s="1120">
        <f>+$AL88-SUM(ER88:EU88)</f>
        <v>0</v>
      </c>
      <c r="EW88" s="129">
        <f>Drivers!CU10</f>
        <v>0</v>
      </c>
      <c r="EX88" s="129">
        <f>Drivers!CV10</f>
        <v>0</v>
      </c>
      <c r="EY88" s="129">
        <f>Drivers!CW10</f>
        <v>0</v>
      </c>
      <c r="EZ88" s="129">
        <f>Drivers!CX10</f>
        <v>0</v>
      </c>
      <c r="FA88" s="1741"/>
      <c r="FB88" s="129">
        <f>Drivers!CZ10</f>
        <v>0</v>
      </c>
      <c r="FC88" s="129">
        <f>Drivers!DA10</f>
        <v>0</v>
      </c>
      <c r="FD88" s="129">
        <f>Drivers!DB10</f>
        <v>0</v>
      </c>
      <c r="FE88" s="129">
        <f>Drivers!DC10</f>
        <v>0</v>
      </c>
      <c r="FF88" s="129"/>
      <c r="FG88" s="1741">
        <v>0</v>
      </c>
      <c r="FH88" s="1741">
        <v>0</v>
      </c>
      <c r="FI88" s="1741">
        <v>0</v>
      </c>
      <c r="FJ88" s="1741">
        <v>0</v>
      </c>
      <c r="FK88" s="1741"/>
      <c r="FL88" s="356"/>
    </row>
    <row r="89" spans="1:168">
      <c r="A89" s="372" t="str">
        <f>+A87</f>
        <v>% Change</v>
      </c>
      <c r="B89" s="242"/>
      <c r="C89" s="242"/>
      <c r="D89" s="242"/>
      <c r="E89" s="242"/>
      <c r="F89" s="242"/>
      <c r="G89" s="242"/>
      <c r="H89" s="242"/>
      <c r="I89" s="242"/>
      <c r="J89" s="242"/>
      <c r="K89" s="242"/>
      <c r="L89" s="242"/>
      <c r="M89" s="242"/>
      <c r="N89" s="409">
        <v>0.35</v>
      </c>
      <c r="O89" s="242"/>
      <c r="P89" s="410"/>
      <c r="Q89" s="410"/>
      <c r="R89" s="409">
        <v>0.15</v>
      </c>
      <c r="S89" s="242"/>
      <c r="T89" s="409">
        <v>0.08</v>
      </c>
      <c r="U89" s="409">
        <v>-0.05</v>
      </c>
      <c r="V89" s="409"/>
      <c r="W89" s="409"/>
      <c r="X89" s="409">
        <v>7.0000000000000007E-2</v>
      </c>
      <c r="Y89" s="410">
        <f>Y88/S88-1</f>
        <v>8.0000000000000071E-2</v>
      </c>
      <c r="Z89" s="410">
        <f>Z88/Y88-1</f>
        <v>-5.0000000000000044E-2</v>
      </c>
      <c r="AA89" s="410">
        <f>AA88/Z88-1</f>
        <v>7.0000000000000062E-2</v>
      </c>
      <c r="AB89" s="410">
        <f>AB88/AA88-1</f>
        <v>0.24933597243609817</v>
      </c>
      <c r="AC89" s="410">
        <f>AC88/AB88-1</f>
        <v>-0.40207126481693034</v>
      </c>
      <c r="AD89" s="411" t="s">
        <v>1113</v>
      </c>
      <c r="AE89" s="411" t="s">
        <v>1113</v>
      </c>
      <c r="AF89" s="411" t="s">
        <v>1113</v>
      </c>
      <c r="AG89" s="411" t="s">
        <v>1113</v>
      </c>
      <c r="AH89" s="411" t="s">
        <v>1113</v>
      </c>
      <c r="AI89" s="411" t="s">
        <v>1113</v>
      </c>
      <c r="AJ89" s="411" t="s">
        <v>1113</v>
      </c>
      <c r="AK89" s="2287" t="s">
        <v>1113</v>
      </c>
      <c r="AL89" s="2287" t="s">
        <v>1113</v>
      </c>
      <c r="AM89" s="2287" t="s">
        <v>1113</v>
      </c>
      <c r="AN89" s="2287" t="s">
        <v>1113</v>
      </c>
      <c r="AO89" s="2287" t="s">
        <v>1113</v>
      </c>
      <c r="AP89" s="411" t="s">
        <v>1113</v>
      </c>
      <c r="AQ89" s="411" t="s">
        <v>1113</v>
      </c>
      <c r="AR89" s="411" t="s">
        <v>1113</v>
      </c>
      <c r="AS89" s="411" t="s">
        <v>1113</v>
      </c>
      <c r="AT89" s="411" t="s">
        <v>1113</v>
      </c>
      <c r="AU89" s="411" t="s">
        <v>1113</v>
      </c>
      <c r="AV89" s="411" t="s">
        <v>1113</v>
      </c>
      <c r="AW89" s="411" t="s">
        <v>1113</v>
      </c>
      <c r="AX89" s="411" t="s">
        <v>1113</v>
      </c>
      <c r="AY89" s="411" t="s">
        <v>1113</v>
      </c>
      <c r="AZ89" s="1227"/>
      <c r="BA89" s="1227"/>
      <c r="BB89" s="1227"/>
      <c r="BC89" s="1227"/>
      <c r="BD89" s="1227"/>
      <c r="BE89" s="421"/>
      <c r="BF89" s="242"/>
      <c r="BG89" s="242"/>
      <c r="BH89" s="242"/>
      <c r="BI89" s="242"/>
      <c r="BJ89" s="242"/>
      <c r="BK89" s="39">
        <v>0.08</v>
      </c>
      <c r="BL89" s="39">
        <v>0.25</v>
      </c>
      <c r="BM89" s="39">
        <v>0.3</v>
      </c>
      <c r="BN89" s="39">
        <f>+BN88/BI88-1</f>
        <v>0.59145247828308611</v>
      </c>
      <c r="BO89" s="39"/>
      <c r="BP89" s="39"/>
      <c r="BQ89" s="39"/>
      <c r="BR89" s="39"/>
      <c r="BS89" s="39"/>
      <c r="BT89" s="242"/>
      <c r="BU89" s="119">
        <v>0.1</v>
      </c>
      <c r="BV89" s="119">
        <v>0.05</v>
      </c>
      <c r="BW89" s="119">
        <v>0.05</v>
      </c>
      <c r="BX89" s="39">
        <f>+BX88/BN88-1</f>
        <v>0.31136681251801068</v>
      </c>
      <c r="BY89" s="95"/>
      <c r="BZ89" s="119">
        <v>0.05</v>
      </c>
      <c r="CA89" s="119">
        <v>0.08</v>
      </c>
      <c r="CB89" s="119">
        <v>0.08</v>
      </c>
      <c r="CC89" s="39">
        <f>+CC88/BX88-1</f>
        <v>9.4759932345642728E-2</v>
      </c>
      <c r="CD89" s="377"/>
      <c r="CE89" s="394">
        <v>0.03</v>
      </c>
      <c r="CF89" s="394">
        <v>0.05</v>
      </c>
      <c r="CG89" s="394">
        <v>0.01</v>
      </c>
      <c r="CH89" s="242">
        <f>+CH88/CC88-1</f>
        <v>-0.1712010586616568</v>
      </c>
      <c r="CI89" s="53"/>
      <c r="CJ89" s="394">
        <v>0.2</v>
      </c>
      <c r="CK89" s="394">
        <v>7.0000000000000007E-2</v>
      </c>
      <c r="CL89" s="394">
        <v>0.03</v>
      </c>
      <c r="CM89" s="242">
        <f>+CM88/CC88-1</f>
        <v>-0.10504233656799722</v>
      </c>
      <c r="CN89" s="49"/>
      <c r="CO89" s="893">
        <v>0.2</v>
      </c>
      <c r="CP89" s="893">
        <v>7.0000000000000007E-2</v>
      </c>
      <c r="CQ89" s="893">
        <v>0.03</v>
      </c>
      <c r="CR89" s="895">
        <f>+CR88/CH88-1</f>
        <v>1.9168448555471951E-2</v>
      </c>
      <c r="CS89" s="49"/>
      <c r="CT89" s="367">
        <v>0.2</v>
      </c>
      <c r="CU89" s="367">
        <v>0.15</v>
      </c>
      <c r="CV89" s="367">
        <v>0.2</v>
      </c>
      <c r="CW89" s="895">
        <f>+CW88/CR88-1</f>
        <v>0.38401173877685912</v>
      </c>
      <c r="CX89" s="49"/>
      <c r="CY89" s="893">
        <v>-0.03</v>
      </c>
      <c r="CZ89" s="893">
        <v>0.15</v>
      </c>
      <c r="DA89" s="894">
        <v>-0.3</v>
      </c>
      <c r="DB89" s="895">
        <f>DB88/CW88-1</f>
        <v>-1</v>
      </c>
      <c r="DC89" s="242" t="s">
        <v>337</v>
      </c>
      <c r="DD89" s="892" t="s">
        <v>737</v>
      </c>
      <c r="DE89" s="892" t="s">
        <v>737</v>
      </c>
      <c r="DF89" s="892" t="s">
        <v>737</v>
      </c>
      <c r="DG89" s="892" t="s">
        <v>737</v>
      </c>
      <c r="DH89" s="242" t="s">
        <v>337</v>
      </c>
      <c r="DI89" s="892" t="s">
        <v>737</v>
      </c>
      <c r="DJ89" s="892" t="s">
        <v>737</v>
      </c>
      <c r="DK89" s="892" t="s">
        <v>737</v>
      </c>
      <c r="DL89" s="892" t="s">
        <v>737</v>
      </c>
      <c r="DM89" s="242" t="s">
        <v>337</v>
      </c>
      <c r="DN89" s="892" t="s">
        <v>737</v>
      </c>
      <c r="DO89" s="892" t="s">
        <v>737</v>
      </c>
      <c r="DP89" s="892" t="s">
        <v>737</v>
      </c>
      <c r="DQ89" s="892" t="s">
        <v>737</v>
      </c>
      <c r="DR89" s="242"/>
      <c r="DS89" s="892" t="s">
        <v>737</v>
      </c>
      <c r="DT89" s="892" t="s">
        <v>737</v>
      </c>
      <c r="DU89" s="892" t="s">
        <v>737</v>
      </c>
      <c r="DV89" s="892" t="s">
        <v>737</v>
      </c>
      <c r="DX89" s="892" t="s">
        <v>737</v>
      </c>
      <c r="DY89" s="892" t="s">
        <v>737</v>
      </c>
      <c r="DZ89" s="892" t="s">
        <v>737</v>
      </c>
      <c r="EA89" s="892" t="s">
        <v>737</v>
      </c>
      <c r="EB89" s="2300"/>
      <c r="EC89" s="892" t="s">
        <v>737</v>
      </c>
      <c r="ED89" s="892" t="s">
        <v>737</v>
      </c>
      <c r="EE89" s="892" t="s">
        <v>737</v>
      </c>
      <c r="EF89" s="892" t="s">
        <v>737</v>
      </c>
      <c r="EG89" s="2300"/>
      <c r="EH89" s="892" t="s">
        <v>737</v>
      </c>
      <c r="EI89" s="892" t="s">
        <v>737</v>
      </c>
      <c r="EJ89" s="892" t="s">
        <v>737</v>
      </c>
      <c r="EK89" s="892" t="s">
        <v>737</v>
      </c>
      <c r="EM89" s="1419" t="s">
        <v>737</v>
      </c>
      <c r="EN89" s="1419" t="s">
        <v>737</v>
      </c>
      <c r="EO89" s="1419" t="s">
        <v>737</v>
      </c>
      <c r="EP89" s="1419" t="s">
        <v>737</v>
      </c>
      <c r="ER89" s="1419" t="s">
        <v>737</v>
      </c>
      <c r="ES89" s="1419" t="s">
        <v>737</v>
      </c>
      <c r="ET89" s="1419" t="s">
        <v>737</v>
      </c>
      <c r="EU89" s="1419" t="s">
        <v>737</v>
      </c>
      <c r="EW89" s="1419" t="s">
        <v>737</v>
      </c>
      <c r="EX89" s="1419" t="s">
        <v>737</v>
      </c>
      <c r="EY89" s="1419" t="s">
        <v>737</v>
      </c>
      <c r="EZ89" s="1419" t="s">
        <v>737</v>
      </c>
      <c r="FA89" s="1577"/>
      <c r="FB89" s="1419" t="s">
        <v>737</v>
      </c>
      <c r="FC89" s="1419" t="s">
        <v>737</v>
      </c>
      <c r="FD89" s="1419" t="s">
        <v>737</v>
      </c>
      <c r="FE89" s="1419" t="s">
        <v>737</v>
      </c>
      <c r="FF89" s="969"/>
      <c r="FG89" s="1419" t="s">
        <v>737</v>
      </c>
      <c r="FH89" s="1419" t="s">
        <v>737</v>
      </c>
      <c r="FI89" s="1419" t="s">
        <v>737</v>
      </c>
      <c r="FJ89" s="1419" t="s">
        <v>737</v>
      </c>
      <c r="FK89" s="1577"/>
      <c r="FL89" s="892"/>
    </row>
    <row r="90" spans="1:168">
      <c r="A90" s="412" t="s">
        <v>1060</v>
      </c>
      <c r="B90" s="242"/>
      <c r="C90" s="14"/>
      <c r="D90" s="242"/>
      <c r="E90" s="14">
        <f>E86+E88</f>
        <v>3346.4009999999998</v>
      </c>
      <c r="F90" s="14">
        <f>F86+F88</f>
        <v>3346.4009999999998</v>
      </c>
      <c r="G90" s="242"/>
      <c r="H90" s="242"/>
      <c r="I90" s="242"/>
      <c r="J90" s="242"/>
      <c r="K90" s="14">
        <f t="shared" ref="K90:P90" si="134">K86+K88</f>
        <v>3234.127</v>
      </c>
      <c r="L90" s="14">
        <f t="shared" si="134"/>
        <v>3234.127</v>
      </c>
      <c r="M90" s="14">
        <f t="shared" si="134"/>
        <v>3611.0714499999999</v>
      </c>
      <c r="N90" s="14">
        <f t="shared" si="134"/>
        <v>3611.0714499999999</v>
      </c>
      <c r="O90" s="14">
        <f t="shared" si="134"/>
        <v>3611.0714499999999</v>
      </c>
      <c r="P90" s="14">
        <f t="shared" si="134"/>
        <v>3688.2321674999998</v>
      </c>
      <c r="Q90" s="39"/>
      <c r="R90" s="14">
        <f>R86+R88</f>
        <v>3688.2321674999998</v>
      </c>
      <c r="S90" s="14">
        <f>S86+S88</f>
        <v>3688.2321674999998</v>
      </c>
      <c r="T90" s="14">
        <f>T86+T88</f>
        <v>3774.4907408999998</v>
      </c>
      <c r="U90" s="14">
        <f>U86+U88</f>
        <v>3990.0799299893652</v>
      </c>
      <c r="V90" s="14"/>
      <c r="W90" s="39"/>
      <c r="X90" s="14">
        <f t="shared" ref="X90:AK90" si="135">X86+X88</f>
        <v>4470.2955228811479</v>
      </c>
      <c r="Y90" s="14">
        <f t="shared" si="135"/>
        <v>3774.4907408999998</v>
      </c>
      <c r="Z90" s="14">
        <f t="shared" si="135"/>
        <v>3990.0799299893652</v>
      </c>
      <c r="AA90" s="14">
        <f t="shared" si="135"/>
        <v>4470.2955228811479</v>
      </c>
      <c r="AB90" s="14">
        <f t="shared" si="135"/>
        <v>4638.9468650105664</v>
      </c>
      <c r="AC90" s="14">
        <f t="shared" si="135"/>
        <v>4462.5417397183865</v>
      </c>
      <c r="AD90" s="14">
        <f t="shared" si="135"/>
        <v>4395.7259545005963</v>
      </c>
      <c r="AE90" s="14">
        <f t="shared" si="135"/>
        <v>3885.1769222423109</v>
      </c>
      <c r="AF90" s="14">
        <f t="shared" si="135"/>
        <v>3847.1615952932957</v>
      </c>
      <c r="AG90" s="14">
        <f t="shared" si="135"/>
        <v>4316.4534645476988</v>
      </c>
      <c r="AH90" s="14">
        <f t="shared" si="135"/>
        <v>4333.7175553410325</v>
      </c>
      <c r="AI90" s="1357">
        <f t="shared" si="135"/>
        <v>4143.7087486422452</v>
      </c>
      <c r="AJ90" s="1357">
        <f>AJ86+AJ88</f>
        <v>4663.1081007825578</v>
      </c>
      <c r="AK90" s="1357">
        <f t="shared" si="135"/>
        <v>4398.0079172208298</v>
      </c>
      <c r="AL90" s="1357">
        <f t="shared" ref="AL90:AX90" si="136">AL86+AL88</f>
        <v>4652.8639556721682</v>
      </c>
      <c r="AM90" s="1357">
        <f t="shared" si="136"/>
        <v>5280.4842986046215</v>
      </c>
      <c r="AN90" s="1357">
        <f t="shared" si="136"/>
        <v>5163.3452220290146</v>
      </c>
      <c r="AO90" s="1357">
        <f t="shared" si="136"/>
        <v>5413.8800485240799</v>
      </c>
      <c r="AP90" s="14">
        <f t="shared" si="136"/>
        <v>6153.6828550188684</v>
      </c>
      <c r="AQ90" s="14">
        <f t="shared" si="136"/>
        <v>6066.944292690474</v>
      </c>
      <c r="AR90" s="14">
        <f t="shared" si="136"/>
        <v>6427.9463816385451</v>
      </c>
      <c r="AS90" s="14">
        <f t="shared" si="136"/>
        <v>7079.2454993733272</v>
      </c>
      <c r="AT90" s="14">
        <f t="shared" si="136"/>
        <v>6809.4403223688369</v>
      </c>
      <c r="AU90" s="14">
        <f t="shared" si="136"/>
        <v>6933.2272659042565</v>
      </c>
      <c r="AV90" s="14">
        <f t="shared" si="136"/>
        <v>7730.0912153743911</v>
      </c>
      <c r="AW90" s="14">
        <f t="shared" si="136"/>
        <v>7241.8693698266852</v>
      </c>
      <c r="AX90" s="14">
        <f t="shared" si="136"/>
        <v>7451.0189870752247</v>
      </c>
      <c r="AY90" s="14">
        <f t="shared" ref="AY90" si="137">AY86+AY88</f>
        <v>8256.5009208489428</v>
      </c>
      <c r="AZ90" s="354"/>
      <c r="BA90" s="354"/>
      <c r="BB90" s="354"/>
      <c r="BC90" s="354"/>
      <c r="BD90" s="354"/>
      <c r="BE90" s="421"/>
      <c r="BF90" s="14">
        <f>BF86+BF88</f>
        <v>936.45399999999995</v>
      </c>
      <c r="BG90" s="14">
        <f>BG86+BG88</f>
        <v>702.71799999999996</v>
      </c>
      <c r="BH90" s="14">
        <f>BH86+BH88</f>
        <v>631.61500000000001</v>
      </c>
      <c r="BI90" s="14">
        <f>BI86+BI88</f>
        <v>963.3399999999998</v>
      </c>
      <c r="BJ90" s="242"/>
      <c r="BK90" s="14">
        <f>BK86+BK88</f>
        <v>1076.5350000000001</v>
      </c>
      <c r="BL90" s="14">
        <f>BL86+BL88</f>
        <v>777.92750000000001</v>
      </c>
      <c r="BM90" s="14">
        <f>BM86+BM88</f>
        <v>665.09950000000003</v>
      </c>
      <c r="BN90" s="14">
        <f>BN86+BN88</f>
        <v>1091.5094500000002</v>
      </c>
      <c r="BO90" s="39"/>
      <c r="BP90" s="14">
        <f>BP86+BP88</f>
        <v>1076.5350000000001</v>
      </c>
      <c r="BQ90" s="14">
        <f>BQ86+BQ88</f>
        <v>777.92750000000001</v>
      </c>
      <c r="BR90" s="14">
        <f>BR86+BR88</f>
        <v>665.09950000000003</v>
      </c>
      <c r="BS90" s="14">
        <f>BS86+BS88</f>
        <v>1091.5094500000002</v>
      </c>
      <c r="BT90" s="242"/>
      <c r="BU90" s="14">
        <f>BU86+BU88</f>
        <v>1208.1885</v>
      </c>
      <c r="BV90" s="14">
        <f>BV86+BV88</f>
        <v>735.77807499999994</v>
      </c>
      <c r="BW90" s="14">
        <f>BW86+BW88</f>
        <v>617.23447500000009</v>
      </c>
      <c r="BX90" s="14">
        <f>BX86+BX88</f>
        <v>1127.0311175000002</v>
      </c>
      <c r="BY90" s="95"/>
      <c r="BZ90" s="14">
        <f>BZ86+BZ88</f>
        <v>1029.157925</v>
      </c>
      <c r="CA90" s="14">
        <f>CA86+CA88</f>
        <v>798.10318699999982</v>
      </c>
      <c r="CB90" s="14">
        <f>CB86+CB88</f>
        <v>724.02123300000005</v>
      </c>
      <c r="CC90" s="14">
        <f>CC86+CC88</f>
        <v>1223.2083959000001</v>
      </c>
      <c r="CD90" s="377"/>
      <c r="CE90" s="14">
        <f>CE86+CE88</f>
        <v>1060.0326627499999</v>
      </c>
      <c r="CF90" s="14">
        <f>CF86+CF88</f>
        <v>868.0083463499999</v>
      </c>
      <c r="CG90" s="14">
        <f>CG86+CG88</f>
        <v>771.90630933000011</v>
      </c>
      <c r="CH90" s="14">
        <f>CH86+CH88</f>
        <v>1290.1326115593652</v>
      </c>
      <c r="CI90" s="53"/>
      <c r="CJ90" s="14">
        <f>+CJ88+CJ86</f>
        <v>1301.48911</v>
      </c>
      <c r="CK90" s="14">
        <f>+CK88+CK86</f>
        <v>878.01655159399991</v>
      </c>
      <c r="CL90" s="14">
        <f>+CL88+CL86</f>
        <v>753.19342839000001</v>
      </c>
      <c r="CM90" s="14">
        <f>+CM88+CM86</f>
        <v>1537.5964328971486</v>
      </c>
      <c r="CN90" s="49">
        <f>+X90-SUM(CJ90:CM90)</f>
        <v>0</v>
      </c>
      <c r="CO90" s="14">
        <f>+CO88+CO86</f>
        <v>1335.1337833</v>
      </c>
      <c r="CP90" s="14">
        <f>+CP88+CP86</f>
        <v>954.9773791737</v>
      </c>
      <c r="CQ90" s="14">
        <f>+CQ88+CQ86</f>
        <v>803.03666609790002</v>
      </c>
      <c r="CR90" s="14">
        <f>+CR88+CR86</f>
        <v>1377.1476943095483</v>
      </c>
      <c r="CS90" s="49">
        <f>+AA90-SUM(CO90:CR90)</f>
        <v>0</v>
      </c>
      <c r="CT90" s="14">
        <f>+CT88+CT86</f>
        <v>1297.9223681199999</v>
      </c>
      <c r="CU90" s="14">
        <f>+CU88+CU86</f>
        <v>1044.0707791729831</v>
      </c>
      <c r="CV90" s="14">
        <f>+CV88+CV86</f>
        <v>895.73435732196003</v>
      </c>
      <c r="CW90" s="14">
        <f>+CW88+CW86</f>
        <v>1401.2193603956232</v>
      </c>
      <c r="CX90" s="49">
        <f>AB90-SUM(CT90:CW90)</f>
        <v>0</v>
      </c>
      <c r="CY90" s="14">
        <f>+CY88+CY86</f>
        <v>1313.3394109298399</v>
      </c>
      <c r="CZ90" s="14">
        <f>+CZ88+CZ86</f>
        <v>1038.3571584358065</v>
      </c>
      <c r="DA90" s="14">
        <f>+DA88+DA86</f>
        <v>890.8430092779671</v>
      </c>
      <c r="DB90" s="14">
        <f>+DB88+DB86</f>
        <v>1220.0021610747726</v>
      </c>
      <c r="DC90" s="871">
        <f>AC90-SUM(CY90:DB90)</f>
        <v>0</v>
      </c>
      <c r="DD90" s="14">
        <f>+DD88+DD86</f>
        <v>1411.3133602546241</v>
      </c>
      <c r="DE90" s="14">
        <f>+DE88+DE86</f>
        <v>899.02650938743761</v>
      </c>
      <c r="DF90" s="14">
        <f>+DF88+DF86</f>
        <v>867.11784574819603</v>
      </c>
      <c r="DG90" s="14">
        <f>+DG88+DG86</f>
        <v>1218.2682391103385</v>
      </c>
      <c r="DH90" s="871">
        <f>AD90-SUM(DD90:DG90)</f>
        <v>0</v>
      </c>
      <c r="DI90" s="14">
        <f>+DI88+DI86</f>
        <v>1193.0870930495316</v>
      </c>
      <c r="DJ90" s="14">
        <f>+DJ88+DJ86</f>
        <v>943.97783485680952</v>
      </c>
      <c r="DK90" s="14">
        <f>+DK88+DK86</f>
        <v>754.39252580093057</v>
      </c>
      <c r="DL90" s="14">
        <f>+DL88+DL86</f>
        <v>993.7194685350396</v>
      </c>
      <c r="DM90" s="357">
        <f>AE90-SUM(DI90:DL90)</f>
        <v>0</v>
      </c>
      <c r="DN90" s="14">
        <f>+DN88+DN86</f>
        <v>1090.4816030472718</v>
      </c>
      <c r="DO90" s="14">
        <f>+DO88+DO86</f>
        <v>910.93861063682118</v>
      </c>
      <c r="DP90" s="14">
        <f>+DP88+DP86</f>
        <v>754.39252580093057</v>
      </c>
      <c r="DQ90" s="14">
        <f>+DQ88+DQ86</f>
        <v>1091.3488558082722</v>
      </c>
      <c r="DR90" s="538">
        <f>AF90-SUM(DN90:DQ90)</f>
        <v>0</v>
      </c>
      <c r="DS90" s="14">
        <f>+DS88+DS86</f>
        <v>1363.1020038090899</v>
      </c>
      <c r="DT90" s="14">
        <f>+DT88+DT86</f>
        <v>963.11054116866228</v>
      </c>
      <c r="DU90" s="14">
        <f>+DU88+DU86</f>
        <v>807.20000260699578</v>
      </c>
      <c r="DV90" s="14">
        <f>+DV88+DV86</f>
        <v>1183.0409169629506</v>
      </c>
      <c r="DW90" s="538">
        <f>AG90-SUM(DS90:DV90)</f>
        <v>0</v>
      </c>
      <c r="DX90" s="14">
        <f>+DX88+DX86</f>
        <v>1254.0538435043627</v>
      </c>
      <c r="DY90" s="14">
        <f>+DY88+DY86</f>
        <v>992.00385740372212</v>
      </c>
      <c r="DZ90" s="14">
        <f>+DZ88+DZ86</f>
        <v>815.27200263306577</v>
      </c>
      <c r="EA90" s="14">
        <f>+EA88+EA86</f>
        <v>1272.3878517998819</v>
      </c>
      <c r="EB90" s="2300">
        <f>AH90-SUM(DX90:EA90)</f>
        <v>0</v>
      </c>
      <c r="EC90" s="14">
        <f>+EC88+EC86</f>
        <v>1291.6754588094936</v>
      </c>
      <c r="ED90" s="14">
        <f>+ED88+ED86</f>
        <v>892.80347166334991</v>
      </c>
      <c r="EE90" s="14">
        <f>+EE88+EE86</f>
        <v>692.98120223810588</v>
      </c>
      <c r="EF90" s="14">
        <f>+EF88+EF86</f>
        <v>1266.2486159312957</v>
      </c>
      <c r="EG90" s="2300">
        <f>AI90-SUM(EC90:EF90)</f>
        <v>0</v>
      </c>
      <c r="EH90" s="14">
        <f>+EH88+EH86</f>
        <v>1504.8019095130601</v>
      </c>
      <c r="EI90" s="14">
        <f>+EI88+EI86</f>
        <v>1017.795957696219</v>
      </c>
      <c r="EJ90" s="14">
        <f>+EJ88+EJ86</f>
        <v>803.85819459620279</v>
      </c>
      <c r="EK90" s="14">
        <f>+EK88+EK86</f>
        <v>1336.6520389770758</v>
      </c>
      <c r="EL90" s="1120">
        <f>+AJ90-SUM(EH90:EK90)</f>
        <v>0</v>
      </c>
      <c r="EM90" s="1328">
        <f>+EM88+EM86</f>
        <v>1226.413556253144</v>
      </c>
      <c r="EN90" s="1328">
        <f>+EN88+EN86</f>
        <v>966.90615981140809</v>
      </c>
      <c r="EO90" s="1328">
        <f>+EO88+EO86</f>
        <v>811.89677654216484</v>
      </c>
      <c r="EP90" s="1328">
        <f>+EP88+EP86</f>
        <v>1392.7914246141131</v>
      </c>
      <c r="EQ90" s="1120">
        <f>+$AK90-SUM(EM90:EP90)</f>
        <v>0</v>
      </c>
      <c r="ER90" s="1328">
        <f>+ER88+ER86</f>
        <v>1227.6399698093969</v>
      </c>
      <c r="ES90" s="1328">
        <f>+ES88+ES86</f>
        <v>1012.3507493225442</v>
      </c>
      <c r="ET90" s="1328">
        <f>+ET88+ET86</f>
        <v>865.48196379394778</v>
      </c>
      <c r="EU90" s="1328">
        <f>+EU88+EU86</f>
        <v>1547.3912727462796</v>
      </c>
      <c r="EV90" s="1120">
        <f>+$AL90-SUM(ER90:EU90)</f>
        <v>0</v>
      </c>
      <c r="EW90" s="1328">
        <f>+EW88+EW86</f>
        <v>1832.8664749254294</v>
      </c>
      <c r="EX90" s="1328">
        <f>+EX88+EX86</f>
        <v>1058.7164136415167</v>
      </c>
      <c r="EY90" s="1328">
        <f>+EY88+EY86</f>
        <v>905.72687511036634</v>
      </c>
      <c r="EZ90" s="1328">
        <f>+EZ88+EZ86</f>
        <v>1483.174534927309</v>
      </c>
      <c r="FA90" s="1741"/>
      <c r="FB90" s="1328">
        <f>+FB88+FB86</f>
        <v>1476.3739455524335</v>
      </c>
      <c r="FC90" s="1328">
        <f>+FC88+FC86</f>
        <v>1181.5804534446147</v>
      </c>
      <c r="FD90" s="1328">
        <f>+FD88+FD86</f>
        <v>954.63612636632615</v>
      </c>
      <c r="FE90" s="1328">
        <f>+FE88+FE86</f>
        <v>1550.7546966656403</v>
      </c>
      <c r="FF90" s="1741">
        <f>AN90-SUM(FB90:FE90)</f>
        <v>0</v>
      </c>
      <c r="FG90" s="3337">
        <f>+FG88+FG86</f>
        <v>1573.8467440851937</v>
      </c>
      <c r="FH90" s="3337">
        <f>+FH88+FH86</f>
        <v>1180.0179601444288</v>
      </c>
      <c r="FI90" s="3337">
        <f>+FI88+FI86</f>
        <v>1034.4625257831915</v>
      </c>
      <c r="FJ90" s="3337">
        <f>+FJ88+FJ86</f>
        <v>1625.5528185112667</v>
      </c>
      <c r="FK90" s="1741">
        <f>AO90-SUM(FG90:FJ90)</f>
        <v>0</v>
      </c>
      <c r="FL90" s="14"/>
    </row>
    <row r="91" spans="1:168">
      <c r="A91" s="413" t="str">
        <f>+A89</f>
        <v>% Change</v>
      </c>
      <c r="B91" s="39"/>
      <c r="C91" s="39"/>
      <c r="D91" s="39"/>
      <c r="E91" s="39"/>
      <c r="F91" s="39"/>
      <c r="G91" s="39"/>
      <c r="H91" s="39"/>
      <c r="I91" s="39"/>
      <c r="J91" s="39"/>
      <c r="K91" s="39">
        <f>K90/E90-1</f>
        <v>-3.3550671303289703E-2</v>
      </c>
      <c r="L91" s="39"/>
      <c r="M91" s="39">
        <f>M90/K90-1</f>
        <v>0.11655214838502004</v>
      </c>
      <c r="N91" s="39">
        <f>N90/K90-1</f>
        <v>0.11655214838502004</v>
      </c>
      <c r="O91" s="39"/>
      <c r="P91" s="39">
        <f>P90/N90-1</f>
        <v>2.1367817992080873E-2</v>
      </c>
      <c r="Q91" s="39"/>
      <c r="R91" s="39">
        <f>R90/N90-1</f>
        <v>2.1367817992080873E-2</v>
      </c>
      <c r="S91" s="39"/>
      <c r="T91" s="39">
        <f>T90/R90-1</f>
        <v>2.338751181666221E-2</v>
      </c>
      <c r="U91" s="39">
        <f>U90/T90-1</f>
        <v>5.71174242801189E-2</v>
      </c>
      <c r="V91" s="39"/>
      <c r="W91" s="39"/>
      <c r="X91" s="39">
        <f>X90/U90-1</f>
        <v>0.12035237421749168</v>
      </c>
      <c r="Y91" s="39">
        <f>Y90/S90-1</f>
        <v>2.338751181666221E-2</v>
      </c>
      <c r="Z91" s="39">
        <f>Z90/Y90-1</f>
        <v>5.71174242801189E-2</v>
      </c>
      <c r="AA91" s="39">
        <f>AA90/Z90-1</f>
        <v>0.12035237421749168</v>
      </c>
      <c r="AB91" s="39">
        <f>AB90/AA90-1</f>
        <v>3.7727112506584559E-2</v>
      </c>
      <c r="AC91" s="39">
        <f t="shared" ref="AC91:AQ91" si="138">AC90/AB90-1</f>
        <v>-3.8026976903469678E-2</v>
      </c>
      <c r="AD91" s="39">
        <f t="shared" si="138"/>
        <v>-1.4972584933627187E-2</v>
      </c>
      <c r="AE91" s="39">
        <f t="shared" si="138"/>
        <v>-0.11614669284275014</v>
      </c>
      <c r="AF91" s="39">
        <f t="shared" si="138"/>
        <v>-9.7847093478241609E-3</v>
      </c>
      <c r="AG91" s="39">
        <f t="shared" si="138"/>
        <v>0.12198392441548211</v>
      </c>
      <c r="AH91" s="39">
        <f t="shared" si="138"/>
        <v>3.9996008146800932E-3</v>
      </c>
      <c r="AI91" s="1110">
        <f t="shared" si="138"/>
        <v>-4.3844298635616785E-2</v>
      </c>
      <c r="AJ91" s="1110">
        <f t="shared" si="138"/>
        <v>0.12534649118630803</v>
      </c>
      <c r="AK91" s="1110">
        <f t="shared" si="138"/>
        <v>-5.6850533556629168E-2</v>
      </c>
      <c r="AL91" s="1110">
        <f t="shared" si="138"/>
        <v>5.7948062679338275E-2</v>
      </c>
      <c r="AM91" s="1110">
        <f t="shared" si="138"/>
        <v>0.13488903800149576</v>
      </c>
      <c r="AN91" s="1110">
        <f t="shared" si="138"/>
        <v>-2.2183396437058023E-2</v>
      </c>
      <c r="AO91" s="1110">
        <f t="shared" si="138"/>
        <v>4.8521804319063833E-2</v>
      </c>
      <c r="AP91" s="39">
        <f t="shared" si="138"/>
        <v>0.13664927923485704</v>
      </c>
      <c r="AQ91" s="39">
        <f t="shared" si="138"/>
        <v>-1.4095390414481823E-2</v>
      </c>
      <c r="AR91" s="39">
        <f t="shared" ref="AR91:AY91" si="139">AR90/AQ90-1</f>
        <v>5.9503115824387942E-2</v>
      </c>
      <c r="AS91" s="39">
        <f t="shared" si="139"/>
        <v>0.10132304768366152</v>
      </c>
      <c r="AT91" s="39">
        <f t="shared" si="139"/>
        <v>-3.8112137377969701E-2</v>
      </c>
      <c r="AU91" s="39">
        <f t="shared" si="139"/>
        <v>1.8178725075067126E-2</v>
      </c>
      <c r="AV91" s="39">
        <f t="shared" si="139"/>
        <v>0.11493405868705575</v>
      </c>
      <c r="AW91" s="39">
        <f t="shared" si="139"/>
        <v>-6.3158613778926731E-2</v>
      </c>
      <c r="AX91" s="39">
        <f t="shared" si="139"/>
        <v>2.888061169950995E-2</v>
      </c>
      <c r="AY91" s="39">
        <f t="shared" si="139"/>
        <v>0.10810359430984318</v>
      </c>
      <c r="AZ91" s="359"/>
      <c r="BA91" s="359"/>
      <c r="BB91" s="359"/>
      <c r="BC91" s="359"/>
      <c r="BD91" s="359"/>
      <c r="BE91" s="359"/>
      <c r="BF91" s="39"/>
      <c r="BG91" s="39"/>
      <c r="BH91" s="39"/>
      <c r="BI91" s="39"/>
      <c r="BJ91" s="39"/>
      <c r="BK91" s="39">
        <f>BK90/BF90-1</f>
        <v>0.14958663212501633</v>
      </c>
      <c r="BL91" s="39">
        <f>BL90/BG90-1</f>
        <v>0.10702657395996695</v>
      </c>
      <c r="BM91" s="39">
        <f>BM90/BH90-1</f>
        <v>5.301409877852814E-2</v>
      </c>
      <c r="BN91" s="39">
        <f>BN90/BI90-1</f>
        <v>0.13304695123217192</v>
      </c>
      <c r="BO91" s="39"/>
      <c r="BP91" s="39">
        <f>BP90/BF90-1</f>
        <v>0.14958663212501633</v>
      </c>
      <c r="BQ91" s="39">
        <f>BQ90/BG90-1</f>
        <v>0.10702657395996695</v>
      </c>
      <c r="BR91" s="39">
        <f>BR90/BH90-1</f>
        <v>5.301409877852814E-2</v>
      </c>
      <c r="BS91" s="39">
        <f>BS90/BI90-1</f>
        <v>0.13304695123217192</v>
      </c>
      <c r="BT91" s="39"/>
      <c r="BU91" s="39">
        <f>BU90/BP90-1</f>
        <v>0.12229374799704607</v>
      </c>
      <c r="BV91" s="39">
        <f>BV90/BQ90-1</f>
        <v>-5.418168788222566E-2</v>
      </c>
      <c r="BW91" s="39">
        <f>BW90/BR90-1</f>
        <v>-7.1966713251175096E-2</v>
      </c>
      <c r="BX91" s="39">
        <f>BX90/BS90-1</f>
        <v>3.2543618839030675E-2</v>
      </c>
      <c r="BY91" s="39"/>
      <c r="BZ91" s="39">
        <f>BZ90/BU90-1</f>
        <v>-0.1481809957634922</v>
      </c>
      <c r="CA91" s="39">
        <f>CA90/BV90-1</f>
        <v>8.470640009217445E-2</v>
      </c>
      <c r="CB91" s="39">
        <f>CB90/BW90-1</f>
        <v>0.17300841467094008</v>
      </c>
      <c r="CC91" s="39">
        <f>CC90/BX90-1</f>
        <v>8.5336843771751436E-2</v>
      </c>
      <c r="CD91" s="118"/>
      <c r="CE91" s="39">
        <f>CE90/BZ90-1</f>
        <v>2.9999999999999805E-2</v>
      </c>
      <c r="CF91" s="39">
        <v>0.08</v>
      </c>
      <c r="CG91" s="39">
        <f>CG90/CB90-1</f>
        <v>6.6137668548182038E-2</v>
      </c>
      <c r="CH91" s="39">
        <f>CH90/CC90-1</f>
        <v>5.4712030986448612E-2</v>
      </c>
      <c r="CI91" s="53"/>
      <c r="CJ91" s="39">
        <f>+CJ90/BZ90-1</f>
        <v>0.26461554479114557</v>
      </c>
      <c r="CK91" s="39">
        <f>+CK90/CA90-1</f>
        <v>0.10012911349770137</v>
      </c>
      <c r="CL91" s="39">
        <f>+CL90/CB90-1</f>
        <v>4.0291905900500025E-2</v>
      </c>
      <c r="CM91" s="39">
        <f>+CM90/CC90-1</f>
        <v>0.25701919480844571</v>
      </c>
      <c r="CN91" s="49"/>
      <c r="CO91" s="39">
        <f>+CO90/CE90-1</f>
        <v>0.25952136214021593</v>
      </c>
      <c r="CP91" s="39">
        <f>+CP90/CF90-1</f>
        <v>0.10019377485182868</v>
      </c>
      <c r="CQ91" s="39">
        <f>+CQ90/CG90-1</f>
        <v>4.0329190721242414E-2</v>
      </c>
      <c r="CR91" s="39">
        <f>+CR90/CH90-1</f>
        <v>6.7446619030123722E-2</v>
      </c>
      <c r="CS91" s="49"/>
      <c r="CT91" s="39">
        <f>+CT90/CO90-1</f>
        <v>-2.7870926228850346E-2</v>
      </c>
      <c r="CU91" s="39">
        <f>+CU90/CP90-1</f>
        <v>9.329372814712289E-2</v>
      </c>
      <c r="CV91" s="39">
        <f>+CV90/CQ90-1</f>
        <v>0.11543394609177038</v>
      </c>
      <c r="CW91" s="39">
        <f>+CW90/CR90-1</f>
        <v>1.7479364185511992E-2</v>
      </c>
      <c r="CX91" s="49"/>
      <c r="CY91" s="39">
        <f>+CY90/CT90-1</f>
        <v>1.1878247257708585E-2</v>
      </c>
      <c r="CZ91" s="39">
        <f>+CZ90/CU90-1</f>
        <v>-5.4724457873462917E-3</v>
      </c>
      <c r="DA91" s="39">
        <f>+DA90/CV90-1</f>
        <v>-5.4607127704880964E-3</v>
      </c>
      <c r="DB91" s="39">
        <f>+DB90/CW90-1</f>
        <v>-0.12932821544064688</v>
      </c>
      <c r="DC91" s="39"/>
      <c r="DD91" s="39">
        <f>+(DD90-190)/CY90-1</f>
        <v>-7.0070272702820735E-2</v>
      </c>
      <c r="DE91" s="39">
        <f>+DE90/CZ90-1</f>
        <v>-0.13418374199707761</v>
      </c>
      <c r="DF91" s="39">
        <f>+DF90/DA90-1</f>
        <v>-2.6632260996244939E-2</v>
      </c>
      <c r="DG91" s="39">
        <f>+DG90/DB90-1</f>
        <v>-1.4212449942765382E-3</v>
      </c>
      <c r="DH91" s="39"/>
      <c r="DI91" s="39">
        <f>+DI90/DD90-1</f>
        <v>-0.15462637380951372</v>
      </c>
      <c r="DJ91" s="39">
        <f>+DJ90/DE90-1</f>
        <v>5.0000000000000044E-2</v>
      </c>
      <c r="DK91" s="39">
        <f>+DK90/DF90-1</f>
        <v>-0.13</v>
      </c>
      <c r="DL91" s="39">
        <f>+DL90/DG90-1</f>
        <v>-0.18431800433316681</v>
      </c>
      <c r="DM91" s="39"/>
      <c r="DN91" s="39">
        <f>+DN90/DI90-1</f>
        <v>-8.6000000000000076E-2</v>
      </c>
      <c r="DO91" s="39">
        <f>+DO90/DJ90-1</f>
        <v>-3.5000000000000031E-2</v>
      </c>
      <c r="DP91" s="39">
        <f>+DP90/DK90-1</f>
        <v>0</v>
      </c>
      <c r="DQ91" s="39">
        <f>+DQ90/DL90-1</f>
        <v>9.8246427049637708E-2</v>
      </c>
      <c r="DR91" s="39"/>
      <c r="DS91" s="39">
        <f>+DS90/DN90-1</f>
        <v>0.25</v>
      </c>
      <c r="DT91" s="39">
        <f>+DT90/DO90-1</f>
        <v>5.7272718405654732E-2</v>
      </c>
      <c r="DU91" s="39">
        <f>+DU90/DP90-1</f>
        <v>7.0000000000000062E-2</v>
      </c>
      <c r="DV91" s="39">
        <f>+DV90/DQ90-1</f>
        <v>8.4017187232738433E-2</v>
      </c>
      <c r="DX91" s="39">
        <f>+DX90/DS90-1</f>
        <v>-7.999999999999996E-2</v>
      </c>
      <c r="DY91" s="39">
        <f>+DY90/DT90-1</f>
        <v>3.0000000000000027E-2</v>
      </c>
      <c r="DZ91" s="39">
        <f>+DZ90/DU90-1</f>
        <v>1.0000000000000009E-2</v>
      </c>
      <c r="EA91" s="39">
        <f>+EA90/DV90-1</f>
        <v>7.5523114674933334E-2</v>
      </c>
      <c r="EB91" s="2300"/>
      <c r="EC91" s="39">
        <f>+EC90/DX90-1</f>
        <v>3.0000000000000027E-2</v>
      </c>
      <c r="ED91" s="39">
        <f>+ED90/DY90-1</f>
        <v>-9.9999999999999978E-2</v>
      </c>
      <c r="EE91" s="39">
        <f>+EE90/DZ90-1</f>
        <v>-0.15000000000000002</v>
      </c>
      <c r="EF91" s="39">
        <f>+EF90/EA90-1</f>
        <v>-4.8249720868537294E-3</v>
      </c>
      <c r="EG91" s="2300"/>
      <c r="EH91" s="39">
        <f>+EH90/EC90-1</f>
        <v>0.16500000000000004</v>
      </c>
      <c r="EI91" s="39">
        <f>+EI90/ED90-1</f>
        <v>0.14000000000000012</v>
      </c>
      <c r="EJ91" s="39">
        <f>+EJ90/EE90-1</f>
        <v>0.15999999999999992</v>
      </c>
      <c r="EK91" s="39">
        <f>+EK90/EF90-1</f>
        <v>5.5600000000000094E-2</v>
      </c>
      <c r="EM91" s="1174">
        <f>+EM90/EH90-1</f>
        <v>-0.18500000000000005</v>
      </c>
      <c r="EN91" s="1174">
        <f>+EN90/EI90-1</f>
        <v>-5.0000000000000044E-2</v>
      </c>
      <c r="EO91" s="1174">
        <f>+EO90/EJ90-1</f>
        <v>1.0000000000000009E-2</v>
      </c>
      <c r="EP91" s="1174">
        <f>+EP90/EK90-1</f>
        <v>4.2000000000000037E-2</v>
      </c>
      <c r="ER91" s="1609">
        <f>+ER90/EM90-1</f>
        <v>9.9999999999988987E-4</v>
      </c>
      <c r="ES91" s="1609">
        <f>+ES90/EN90-1</f>
        <v>4.6999999999999931E-2</v>
      </c>
      <c r="ET91" s="1609">
        <f>+ET90/EO90-1</f>
        <v>6.6000000000000059E-2</v>
      </c>
      <c r="EU91" s="1174">
        <f>+EU90/EP90-1</f>
        <v>0.11099999999999999</v>
      </c>
      <c r="EW91" s="1609">
        <f>+EW90/ER90-1</f>
        <v>0.49299999999999988</v>
      </c>
      <c r="EX91" s="1609">
        <f>+EX90/ES90-1</f>
        <v>4.5800000000000063E-2</v>
      </c>
      <c r="EY91" s="1609">
        <f>+EY90/ET90-1</f>
        <v>4.6499999999999986E-2</v>
      </c>
      <c r="EZ91" s="2866">
        <f>+EZ90/EU90-1</f>
        <v>-4.1499999999999981E-2</v>
      </c>
      <c r="FA91" s="2807"/>
      <c r="FB91" s="3003">
        <f>+FB90/EW90-1</f>
        <v>-0.1944999999999999</v>
      </c>
      <c r="FC91" s="3003">
        <f>+FC90/EX90-1</f>
        <v>0.11604999999999999</v>
      </c>
      <c r="FD91" s="3003">
        <f>+FD90/EY90-1</f>
        <v>5.4000000000000048E-2</v>
      </c>
      <c r="FE91" s="2866">
        <f>+FE90/EZ90-1</f>
        <v>4.5564537515231374E-2</v>
      </c>
      <c r="FF91" s="2866"/>
      <c r="FG91" s="3003">
        <f>+FG90/FB90-1</f>
        <v>6.6021754736593996E-2</v>
      </c>
      <c r="FH91" s="3003">
        <f>+FH90/FC90-1</f>
        <v>-1.3223757177354134E-3</v>
      </c>
      <c r="FI91" s="3003">
        <f>+FI90/FD90-1</f>
        <v>8.3619713534948792E-2</v>
      </c>
      <c r="FJ91" s="2866">
        <f>+FJ90/FE90-1</f>
        <v>4.8233367924955362E-2</v>
      </c>
      <c r="FK91" s="2807"/>
      <c r="FL91" s="39"/>
    </row>
    <row r="92" spans="1:168" ht="7.5" customHeight="1">
      <c r="A92" s="372"/>
      <c r="B92" s="242"/>
      <c r="C92" s="242"/>
      <c r="D92" s="242"/>
      <c r="E92" s="242"/>
      <c r="F92" s="242"/>
      <c r="G92" s="242"/>
      <c r="H92" s="242"/>
      <c r="I92" s="242"/>
      <c r="J92" s="242"/>
      <c r="K92" s="242"/>
      <c r="L92" s="242"/>
      <c r="M92" s="242"/>
      <c r="N92" s="119"/>
      <c r="O92" s="242"/>
      <c r="P92" s="39"/>
      <c r="Q92" s="39"/>
      <c r="R92" s="119"/>
      <c r="S92" s="242"/>
      <c r="T92" s="119"/>
      <c r="U92" s="119"/>
      <c r="V92" s="119"/>
      <c r="W92" s="119"/>
      <c r="X92" s="119"/>
      <c r="Y92" s="242"/>
      <c r="Z92" s="242"/>
      <c r="AA92" s="242"/>
      <c r="AB92" s="119"/>
      <c r="AC92" s="119"/>
      <c r="AD92" s="119"/>
      <c r="AE92" s="119"/>
      <c r="AF92" s="119"/>
      <c r="AG92" s="119"/>
      <c r="AH92" s="119"/>
      <c r="AI92" s="1482"/>
      <c r="AJ92" s="1482"/>
      <c r="AK92" s="1482"/>
      <c r="AL92" s="1482"/>
      <c r="AM92" s="1482"/>
      <c r="AN92" s="1482"/>
      <c r="AO92" s="1482"/>
      <c r="AP92" s="119"/>
      <c r="AQ92" s="119"/>
      <c r="AR92" s="119"/>
      <c r="AS92" s="119"/>
      <c r="AT92" s="119"/>
      <c r="AU92" s="119"/>
      <c r="AV92" s="119"/>
      <c r="AW92" s="119"/>
      <c r="AX92" s="119"/>
      <c r="AY92" s="119"/>
      <c r="AZ92" s="471"/>
      <c r="BA92" s="471"/>
      <c r="BB92" s="471"/>
      <c r="BC92" s="471"/>
      <c r="BD92" s="471"/>
      <c r="BE92" s="421"/>
      <c r="BF92" s="242"/>
      <c r="BG92" s="242"/>
      <c r="BH92" s="242"/>
      <c r="BI92" s="242"/>
      <c r="BJ92" s="242"/>
      <c r="BK92" s="39"/>
      <c r="BL92" s="39"/>
      <c r="BM92" s="39"/>
      <c r="BN92" s="39"/>
      <c r="BO92" s="39"/>
      <c r="BP92" s="39"/>
      <c r="BQ92" s="39"/>
      <c r="BR92" s="39"/>
      <c r="BS92" s="39"/>
      <c r="BT92" s="242"/>
      <c r="BU92" s="119"/>
      <c r="BV92" s="119"/>
      <c r="BW92" s="119"/>
      <c r="BX92" s="39"/>
      <c r="BY92" s="95"/>
      <c r="BZ92" s="119"/>
      <c r="CA92" s="119"/>
      <c r="CB92" s="119"/>
      <c r="CC92" s="39"/>
      <c r="CD92" s="377"/>
      <c r="CE92" s="394"/>
      <c r="CF92" s="394"/>
      <c r="CG92" s="394"/>
      <c r="CH92" s="242"/>
      <c r="CI92" s="53"/>
      <c r="CJ92" s="242"/>
      <c r="CK92" s="242"/>
      <c r="CL92" s="242"/>
      <c r="CM92" s="242"/>
      <c r="CN92" s="49"/>
      <c r="CO92" s="242"/>
      <c r="CP92" s="242"/>
      <c r="CQ92" s="242"/>
      <c r="CR92" s="242"/>
      <c r="CS92" s="49"/>
      <c r="CT92" s="391"/>
      <c r="CU92" s="391"/>
      <c r="CV92" s="391"/>
      <c r="CW92" s="391"/>
      <c r="CX92" s="49"/>
      <c r="CY92" s="391"/>
      <c r="CZ92" s="391"/>
      <c r="DA92" s="391"/>
      <c r="DB92" s="391"/>
      <c r="DC92" s="242"/>
      <c r="DD92" s="391"/>
      <c r="DE92" s="391"/>
      <c r="DF92" s="391"/>
      <c r="DG92" s="391"/>
      <c r="DH92" s="242"/>
      <c r="DI92" s="391"/>
      <c r="DJ92" s="391"/>
      <c r="DK92" s="391"/>
      <c r="DL92" s="391"/>
      <c r="DM92" s="242"/>
      <c r="DN92" s="242"/>
      <c r="DO92" s="242"/>
      <c r="DP92" s="242"/>
      <c r="DQ92" s="242"/>
      <c r="DR92" s="242"/>
      <c r="EB92" s="2300"/>
      <c r="EG92" s="2300"/>
      <c r="EI92" s="1048"/>
      <c r="EJ92" s="1048"/>
      <c r="EK92" s="1048"/>
      <c r="EM92" s="1048"/>
      <c r="EN92" s="1048"/>
      <c r="EO92" s="1048"/>
      <c r="EP92" s="1048"/>
      <c r="ER92" s="1048"/>
      <c r="ES92" s="1048"/>
      <c r="ET92" s="1048"/>
      <c r="EU92" s="1048"/>
      <c r="EW92" s="1048"/>
      <c r="EX92" s="1048"/>
      <c r="EY92" s="1048"/>
      <c r="EZ92" s="2807"/>
      <c r="FA92" s="2807"/>
      <c r="FB92" s="2807"/>
      <c r="FC92" s="2807"/>
      <c r="FD92" s="2807"/>
      <c r="FE92" s="2807"/>
      <c r="FF92" s="2807"/>
      <c r="FG92" s="2807"/>
      <c r="FH92" s="2807"/>
      <c r="FI92" s="2807"/>
      <c r="FJ92" s="2807"/>
      <c r="FK92" s="2807"/>
      <c r="FL92" s="2807"/>
    </row>
    <row r="93" spans="1:168">
      <c r="A93" s="390" t="s">
        <v>695</v>
      </c>
      <c r="B93" s="14"/>
      <c r="C93" s="14">
        <f>'CBS Stations'!J9</f>
        <v>980</v>
      </c>
      <c r="D93" s="14">
        <v>66</v>
      </c>
      <c r="E93" s="14">
        <f>+SUM(B93:D93)</f>
        <v>1046</v>
      </c>
      <c r="F93" s="14">
        <f>E93</f>
        <v>1046</v>
      </c>
      <c r="G93" s="14"/>
      <c r="H93" s="14"/>
      <c r="I93" s="14">
        <f>'CBS Stations'!K9</f>
        <v>1000</v>
      </c>
      <c r="J93" s="14">
        <v>28.7</v>
      </c>
      <c r="K93" s="14">
        <f>+SUM(H93:J93)</f>
        <v>1028.7</v>
      </c>
      <c r="L93" s="14">
        <f>K93</f>
        <v>1028.7</v>
      </c>
      <c r="M93" s="14">
        <f>+N93</f>
        <v>1136.9999999999998</v>
      </c>
      <c r="N93" s="14">
        <f>+'CBS Stations'!L9</f>
        <v>1136.9999999999998</v>
      </c>
      <c r="O93" s="14">
        <f>N93</f>
        <v>1136.9999999999998</v>
      </c>
      <c r="P93" s="14">
        <f>+R93</f>
        <v>1068.78</v>
      </c>
      <c r="Q93" s="14"/>
      <c r="R93" s="14">
        <f>+'CBS Stations'!M9</f>
        <v>1068.78</v>
      </c>
      <c r="S93" s="14">
        <f>R93</f>
        <v>1068.78</v>
      </c>
      <c r="T93" s="14">
        <f>+'CBS Stations'!N9</f>
        <v>1177.79556</v>
      </c>
      <c r="U93" s="14">
        <f>+'CBS Stations'!O9</f>
        <v>1177.79556</v>
      </c>
      <c r="V93" s="14"/>
      <c r="W93" s="14"/>
      <c r="X93" s="14">
        <f>+'CBS Stations'!P9</f>
        <v>1307.3530716</v>
      </c>
      <c r="Y93" s="14">
        <f>T93</f>
        <v>1177.79556</v>
      </c>
      <c r="Z93" s="14">
        <f>U93</f>
        <v>1177.79556</v>
      </c>
      <c r="AA93" s="14">
        <f>X93</f>
        <v>1307.3530716</v>
      </c>
      <c r="AB93" s="14">
        <f>+'CBS Stations'!Q9</f>
        <v>1258.4763578048669</v>
      </c>
      <c r="AC93" s="14">
        <f>+'CBS Stations'!R9</f>
        <v>1346.5697028512075</v>
      </c>
      <c r="AD93" s="14">
        <f>+'CBS Stations'!S9</f>
        <v>1202.1836768626324</v>
      </c>
      <c r="AE93" s="14">
        <f>+'CBS Stations'!T9</f>
        <v>1011.2385321100917</v>
      </c>
      <c r="AF93" s="14">
        <f>+'CBS Stations'!U9</f>
        <v>799.19724770642199</v>
      </c>
      <c r="AG93" s="14">
        <f>+'CBS Stations'!V9</f>
        <v>988.84323394495402</v>
      </c>
      <c r="AH93" s="14">
        <f>+'CBS Stations'!W9</f>
        <v>956.9202075688072</v>
      </c>
      <c r="AI93" s="14">
        <f>+'CBS Stations'!X9</f>
        <v>1028.5924179472477</v>
      </c>
      <c r="AJ93" s="129">
        <f>Drivers!M121</f>
        <v>997.65419478804642</v>
      </c>
      <c r="AK93" s="129">
        <f>Drivers!N121</f>
        <v>1027.228592017568</v>
      </c>
      <c r="AL93" s="129">
        <f>Drivers!Q121</f>
        <v>1187.6411012413303</v>
      </c>
      <c r="AM93" s="129">
        <f>Drivers!R121</f>
        <v>1362.9139142723111</v>
      </c>
      <c r="AN93" s="129">
        <f>Drivers!T121</f>
        <v>1283.5187435883277</v>
      </c>
      <c r="AO93" s="129">
        <f>Drivers!U121</f>
        <v>1503.3669477122703</v>
      </c>
      <c r="AP93" s="14">
        <f>+'CBS Stations'!AE9</f>
        <v>1612.7121217472156</v>
      </c>
      <c r="AQ93" s="14">
        <f>+'CBS Stations'!AF9</f>
        <v>2026.3676831558873</v>
      </c>
      <c r="AR93" s="14">
        <f>+'CBS Stations'!AG9</f>
        <v>2119.5546527960191</v>
      </c>
      <c r="AS93" s="14">
        <f>+'CBS Stations'!AH9</f>
        <v>2346.1617403662967</v>
      </c>
      <c r="AT93" s="14">
        <f>+'CBS Stations'!AI9</f>
        <v>2304.3727753885655</v>
      </c>
      <c r="AU93" s="14">
        <f>+'CBS Stations'!AJ9</f>
        <v>2512.2446989435098</v>
      </c>
      <c r="AV93" s="14">
        <f>+'CBS Stations'!AK9</f>
        <v>2493.2287246897322</v>
      </c>
      <c r="AW93" s="14">
        <f>+'CBS Stations'!AL9</f>
        <v>2610.8448135841249</v>
      </c>
      <c r="AX93" s="14">
        <f>+'CBS Stations'!AM9</f>
        <v>2595.4414363712031</v>
      </c>
      <c r="AY93" s="14">
        <f>+'CBS Stations'!AN9</f>
        <v>2855.7719836427395</v>
      </c>
      <c r="AZ93" s="354"/>
      <c r="BA93" s="354"/>
      <c r="BB93" s="354"/>
      <c r="BC93" s="354"/>
      <c r="BD93" s="354"/>
      <c r="BE93" s="354"/>
      <c r="BF93" s="14">
        <f>$K93*0.225</f>
        <v>231.45750000000001</v>
      </c>
      <c r="BG93" s="14">
        <f>$K93*0.26</f>
        <v>267.46200000000005</v>
      </c>
      <c r="BH93" s="14">
        <f>+BF93</f>
        <v>231.45750000000001</v>
      </c>
      <c r="BI93" s="14">
        <f>+K93-SUM(BF93:BH93)</f>
        <v>298.32299999999998</v>
      </c>
      <c r="BJ93" s="14"/>
      <c r="BK93" s="14">
        <f>BF93*(1+BK94)</f>
        <v>277.74900000000002</v>
      </c>
      <c r="BL93" s="14">
        <f>BG93*(1+BL94)</f>
        <v>312.93054000000001</v>
      </c>
      <c r="BM93" s="14">
        <f>BH93*(1+BM94)</f>
        <v>254.60325000000003</v>
      </c>
      <c r="BN93" s="14">
        <f>+N93-SUM(BK93:BM93)</f>
        <v>291.71720999999968</v>
      </c>
      <c r="BO93" s="14"/>
      <c r="BP93" s="14">
        <f>+BK93</f>
        <v>277.74900000000002</v>
      </c>
      <c r="BQ93" s="14">
        <f>+BL93</f>
        <v>312.93054000000001</v>
      </c>
      <c r="BR93" s="14">
        <f>+BM93</f>
        <v>254.60325000000003</v>
      </c>
      <c r="BS93" s="14">
        <f>+N93-SUM(BP93:BR93)</f>
        <v>291.71720999999968</v>
      </c>
      <c r="BT93" s="14"/>
      <c r="BU93" s="14">
        <f>+BK93*(1+BU94)</f>
        <v>255.52908000000002</v>
      </c>
      <c r="BV93" s="14">
        <f>+BL93*(1+BV94)</f>
        <v>284.76679140000005</v>
      </c>
      <c r="BW93" s="14">
        <f>+BM93*(1+BW94)</f>
        <v>221.50482750000003</v>
      </c>
      <c r="BX93" s="14">
        <f>+R93-BW93-BV93-BU93</f>
        <v>306.97930109999993</v>
      </c>
      <c r="BY93" s="95"/>
      <c r="BZ93" s="14">
        <f>+BU93*(1+BZ94)</f>
        <v>235.08675360000004</v>
      </c>
      <c r="CA93" s="14">
        <f>+BV93*(1+CA94)</f>
        <v>300.42896492700004</v>
      </c>
      <c r="CB93" s="14">
        <f>+BW93*(1+CB94)</f>
        <v>281.31113092500004</v>
      </c>
      <c r="CC93" s="14">
        <f>+T93-SUM(BZ93:CB93)</f>
        <v>360.96871054799988</v>
      </c>
      <c r="CD93" s="261"/>
      <c r="CE93" s="14">
        <f>+BZ93*(1+CE94)</f>
        <v>246.84109128000006</v>
      </c>
      <c r="CF93" s="14">
        <f>+CA93*(1+CF94)</f>
        <v>315.45041317335006</v>
      </c>
      <c r="CG93" s="14">
        <f>+CB93*(1+CG94)</f>
        <v>284.12424223425006</v>
      </c>
      <c r="CH93" s="14">
        <f>+U93-CG93-CF93-CE93</f>
        <v>331.3798133123999</v>
      </c>
      <c r="CI93" s="53"/>
      <c r="CJ93" s="14">
        <f>+BZ93*(1+CJ94)</f>
        <v>277.40236924800001</v>
      </c>
      <c r="CK93" s="14">
        <f>+CA93*(1+CK94)</f>
        <v>324.46328212116003</v>
      </c>
      <c r="CL93" s="14">
        <f>+CB93*(1+CL94)</f>
        <v>289.75046485275004</v>
      </c>
      <c r="CM93" s="167">
        <f>+X93-SUM(CJ93:CL93)</f>
        <v>415.73695537808987</v>
      </c>
      <c r="CN93" s="49">
        <f>+X93-SUM(CJ93:CM93)</f>
        <v>0</v>
      </c>
      <c r="CO93" s="14">
        <f>+CE93*(1+CO94)</f>
        <v>291.27248771040007</v>
      </c>
      <c r="CP93" s="14">
        <f>+CF93*(1+CP94)</f>
        <v>340.68644622721808</v>
      </c>
      <c r="CQ93" s="14">
        <f>+CG93*(1+CQ94)</f>
        <v>292.64796950127754</v>
      </c>
      <c r="CR93" s="167">
        <f>+AA93-SUM(CO93:CQ93)</f>
        <v>382.74616816110426</v>
      </c>
      <c r="CS93" s="49">
        <f>+AA93-SUM(CO93:CR93)</f>
        <v>0</v>
      </c>
      <c r="CT93" s="14">
        <f>(CO93-30-12/2)*1.06</f>
        <v>270.58883697302412</v>
      </c>
      <c r="CU93" s="14">
        <f>(CP93-10/2)*0.97</f>
        <v>325.61585284040154</v>
      </c>
      <c r="CV93" s="14">
        <f>(CQ93*1.04-18/2)</f>
        <v>295.35388828132864</v>
      </c>
      <c r="CW93" s="167">
        <f>AB93-SUM(CT93:CV93)</f>
        <v>366.91777971011265</v>
      </c>
      <c r="CX93" s="49">
        <f>AB93-SUM(CT93:CW93)</f>
        <v>0</v>
      </c>
      <c r="CY93" s="116">
        <f>CT93*(1+CY94)</f>
        <v>278.70650208221485</v>
      </c>
      <c r="CZ93" s="116">
        <f>CU93*(1+CZ94)</f>
        <v>341.89664548242166</v>
      </c>
      <c r="DA93" s="116">
        <f>(CV93*(1+0.026))+((120/2)*0.25)</f>
        <v>318.0330893766432</v>
      </c>
      <c r="DB93" s="354">
        <f>AC93-SUM(CY93:DA93)</f>
        <v>407.93346590992769</v>
      </c>
      <c r="DC93" s="871">
        <f>AC93-SUM(CY93:DB93)</f>
        <v>0</v>
      </c>
      <c r="DD93" s="116">
        <f>CY93*(1+DD94)</f>
        <v>301.00302224879204</v>
      </c>
      <c r="DE93" s="116">
        <f>+(CZ93-30/4-50*2.5/12)*(1+DE94)</f>
        <v>314.2605794512823</v>
      </c>
      <c r="DF93" s="116">
        <f>((DA93-50/4-30/4)*0.97)</f>
        <v>289.09209669534391</v>
      </c>
      <c r="DG93" s="116">
        <f>AD93-SUM(DD93:DF93)</f>
        <v>297.82797846721417</v>
      </c>
      <c r="DH93" s="871">
        <f>AD93-SUM(DD93:DG93)</f>
        <v>0</v>
      </c>
      <c r="DI93" s="116">
        <f>DD93*(1+DI94)</f>
        <v>249.83250846649739</v>
      </c>
      <c r="DJ93" s="116">
        <f>(DE93*(1+DJ94))-5</f>
        <v>271.54930991712843</v>
      </c>
      <c r="DK93" s="1112">
        <v>227.8</v>
      </c>
      <c r="DL93" s="355">
        <f>AE93-SUM(DI93:DK93)</f>
        <v>262.05671372646589</v>
      </c>
      <c r="DM93" s="357">
        <f>AE93-SUM(DI93:DL93)</f>
        <v>0</v>
      </c>
      <c r="DN93" s="116">
        <f>DI93*(1+DN94)</f>
        <v>167.38778067255322</v>
      </c>
      <c r="DO93" s="14">
        <f>DJ93*(1+DO94)</f>
        <v>195.51550314033247</v>
      </c>
      <c r="DP93" s="14">
        <f>DK93*(1+DP94)</f>
        <v>193.63</v>
      </c>
      <c r="DQ93" s="355">
        <f>AF93-SUM(DN93:DP93)</f>
        <v>242.66396389353633</v>
      </c>
      <c r="DR93" s="538">
        <f>AF93-SUM(DN93:DQ93)</f>
        <v>0</v>
      </c>
      <c r="DS93" s="14">
        <f>Drivers!BQ121</f>
        <v>220.95187048777026</v>
      </c>
      <c r="DT93" s="14">
        <f>Drivers!BR121</f>
        <v>260.03561917664217</v>
      </c>
      <c r="DU93" s="14">
        <f>Drivers!BS121</f>
        <v>245.9101</v>
      </c>
      <c r="DV93" s="14">
        <f>Drivers!BT121</f>
        <v>261.94564428054161</v>
      </c>
      <c r="DW93" s="538">
        <f>AG93-SUM(DS93:DV93)</f>
        <v>0</v>
      </c>
      <c r="DX93" s="14">
        <f>Drivers!BV121</f>
        <v>223.60329293362352</v>
      </c>
      <c r="DY93" s="14">
        <f>Drivers!BW121</f>
        <v>260.68570822458378</v>
      </c>
      <c r="DZ93" s="14">
        <f>Drivers!BX121</f>
        <v>229.92594350000002</v>
      </c>
      <c r="EA93" s="14">
        <f>Drivers!BY121</f>
        <v>242.70526291059991</v>
      </c>
      <c r="EB93" s="2300">
        <f>AH93-SUM(DX93:EA93)</f>
        <v>0</v>
      </c>
      <c r="EC93" s="14">
        <f>Drivers!CA121</f>
        <v>229.19337525696409</v>
      </c>
      <c r="ED93" s="14">
        <f>Drivers!CB121</f>
        <v>276.32685071805884</v>
      </c>
      <c r="EE93" s="14">
        <f>Drivers!CC121</f>
        <v>246.59557440375002</v>
      </c>
      <c r="EF93" s="14">
        <f>Drivers!CD121</f>
        <v>276.47661756847469</v>
      </c>
      <c r="EG93" s="2300">
        <f>AI93-SUM(EC93:EF93)</f>
        <v>0</v>
      </c>
      <c r="EH93" s="14">
        <f>Drivers!CF121</f>
        <v>249.82077903009088</v>
      </c>
      <c r="EI93" s="14">
        <f>Drivers!CG121</f>
        <v>273.56358221087822</v>
      </c>
      <c r="EJ93" s="14">
        <f>Drivers!CH121</f>
        <v>231.79983993952501</v>
      </c>
      <c r="EK93" s="14">
        <f>Drivers!CI121</f>
        <v>242.46999360755231</v>
      </c>
      <c r="EL93" s="1120">
        <f>+AJ93-SUM(EH93:EK93)</f>
        <v>0</v>
      </c>
      <c r="EM93" s="1633">
        <f>Drivers!CK121</f>
        <v>231.08422060283408</v>
      </c>
      <c r="EN93" s="1633">
        <f>Drivers!CL121</f>
        <v>257.14976727822551</v>
      </c>
      <c r="EO93" s="1633">
        <f>Drivers!CM121</f>
        <v>258.45682153257042</v>
      </c>
      <c r="EP93" s="1633">
        <f>Drivers!CN121</f>
        <v>280.53778260393801</v>
      </c>
      <c r="EQ93" s="1120">
        <f>+$AK93-SUM(EM93:EP93)</f>
        <v>0</v>
      </c>
      <c r="ER93" s="1633">
        <f>Drivers!CP121</f>
        <v>272.67938031134418</v>
      </c>
      <c r="ES93" s="1633">
        <f>Drivers!CQ121</f>
        <v>306.00822306108836</v>
      </c>
      <c r="ET93" s="1633">
        <f>Drivers!CR121</f>
        <v>293.34849243946741</v>
      </c>
      <c r="EU93" s="1633">
        <f>Drivers!CS121</f>
        <v>315.60500542943026</v>
      </c>
      <c r="EV93" s="1120">
        <f>+$AL93-SUM(ER93:EU93)</f>
        <v>0</v>
      </c>
      <c r="EW93" s="1633">
        <f>Drivers!CU121</f>
        <v>341.08128735804581</v>
      </c>
      <c r="EX93" s="1633">
        <f>Drivers!CV121</f>
        <v>315.80048619904318</v>
      </c>
      <c r="EY93" s="1633">
        <f>Drivers!CW121</f>
        <v>324.15008414561146</v>
      </c>
      <c r="EZ93" s="3004">
        <f>Drivers!CX121</f>
        <v>381.8820565696106</v>
      </c>
      <c r="FA93" s="2835">
        <f>AM93-SUM(EW93:EZ93)</f>
        <v>0</v>
      </c>
      <c r="FB93" s="3004">
        <f>Drivers!CZ121</f>
        <v>303.22126446130272</v>
      </c>
      <c r="FC93" s="3004">
        <f>Drivers!DA121</f>
        <v>330.95890953659728</v>
      </c>
      <c r="FD93" s="3004">
        <f>Drivers!DB121</f>
        <v>312.15653103222382</v>
      </c>
      <c r="FE93" s="3004">
        <f>Drivers!DC121</f>
        <v>337.18203855820371</v>
      </c>
      <c r="FF93" s="1741">
        <f>AN93-SUM(FB93:FE93)</f>
        <v>0</v>
      </c>
      <c r="FG93" s="3004">
        <f>Drivers!DE121</f>
        <v>343.83966694226825</v>
      </c>
      <c r="FH93" s="3004">
        <f>Drivers!DF121</f>
        <v>363.0370355431794</v>
      </c>
      <c r="FI93" s="3004">
        <f>Drivers!DG121</f>
        <v>367.86656285166276</v>
      </c>
      <c r="FJ93" s="3004">
        <f>Drivers!DH121</f>
        <v>428.62368237515989</v>
      </c>
      <c r="FK93" s="1741">
        <f>AO93-SUM(FG93:FJ93)</f>
        <v>0</v>
      </c>
      <c r="FL93" s="14"/>
    </row>
    <row r="94" spans="1:168">
      <c r="A94" s="372" t="str">
        <f>+A91</f>
        <v>% Change</v>
      </c>
      <c r="B94" s="242"/>
      <c r="C94" s="242"/>
      <c r="D94" s="242"/>
      <c r="E94" s="242"/>
      <c r="F94" s="242"/>
      <c r="G94" s="242"/>
      <c r="H94" s="242"/>
      <c r="I94" s="242"/>
      <c r="J94" s="242"/>
      <c r="K94" s="242"/>
      <c r="L94" s="242"/>
      <c r="M94" s="242"/>
      <c r="N94" s="39">
        <f>+N93/K93-1</f>
        <v>0.10527850685330975</v>
      </c>
      <c r="O94" s="242"/>
      <c r="P94" s="39"/>
      <c r="Q94" s="39"/>
      <c r="R94" s="39">
        <f>+R93/N93-1</f>
        <v>-5.9999999999999831E-2</v>
      </c>
      <c r="S94" s="242"/>
      <c r="T94" s="39">
        <f>+T93/R93-1</f>
        <v>0.10200000000000009</v>
      </c>
      <c r="U94" s="39">
        <f>+U93/T93-1</f>
        <v>0</v>
      </c>
      <c r="V94" s="39"/>
      <c r="W94" s="39"/>
      <c r="X94" s="39">
        <f>+X93/U93-1</f>
        <v>0.1100000000000001</v>
      </c>
      <c r="Y94" s="39">
        <f>Y93/S93-1</f>
        <v>0.10200000000000009</v>
      </c>
      <c r="Z94" s="39">
        <f>Z93/Y93-1</f>
        <v>0</v>
      </c>
      <c r="AA94" s="39">
        <f>AA93/Z93-1</f>
        <v>0.1100000000000001</v>
      </c>
      <c r="AB94" s="39">
        <f>AB93/AA93-1</f>
        <v>-3.7386009071991189E-2</v>
      </c>
      <c r="AC94" s="39">
        <f t="shared" ref="AC94:AQ94" si="140">+AC93/AB93-1</f>
        <v>6.999999999999984E-2</v>
      </c>
      <c r="AD94" s="39">
        <f t="shared" si="140"/>
        <v>-0.10722506653970765</v>
      </c>
      <c r="AE94" s="39">
        <f t="shared" si="140"/>
        <v>-0.15883192263170209</v>
      </c>
      <c r="AF94" s="39">
        <f t="shared" si="140"/>
        <v>-0.20968473576774782</v>
      </c>
      <c r="AG94" s="39">
        <f t="shared" si="140"/>
        <v>0.2372955947768689</v>
      </c>
      <c r="AH94" s="39">
        <f t="shared" si="140"/>
        <v>-3.2283202514104326E-2</v>
      </c>
      <c r="AI94" s="39">
        <f t="shared" si="140"/>
        <v>7.4898836717571138E-2</v>
      </c>
      <c r="AJ94" s="39">
        <f>+AJ93/AI93-1</f>
        <v>-3.0078214285250482E-2</v>
      </c>
      <c r="AK94" s="39">
        <f>+AK93/AJ93-1</f>
        <v>2.9643936129396753E-2</v>
      </c>
      <c r="AL94" s="39">
        <f>+AL93/AK93-1</f>
        <v>0.15616047924512877</v>
      </c>
      <c r="AM94" s="39">
        <f>+AM93/AL93-1</f>
        <v>0.14758062250269433</v>
      </c>
      <c r="AN94" s="39">
        <f t="shared" si="140"/>
        <v>-5.825398790970171E-2</v>
      </c>
      <c r="AO94" s="39">
        <f t="shared" si="140"/>
        <v>0.1712855423593691</v>
      </c>
      <c r="AP94" s="39">
        <f t="shared" si="140"/>
        <v>7.2733522711364573E-2</v>
      </c>
      <c r="AQ94" s="39">
        <f t="shared" si="140"/>
        <v>0.25649683897738451</v>
      </c>
      <c r="AR94" s="39">
        <f t="shared" ref="AR94:AY94" si="141">+AR93/AQ93-1</f>
        <v>4.598719690150288E-2</v>
      </c>
      <c r="AS94" s="39">
        <f t="shared" si="141"/>
        <v>0.10691259471481329</v>
      </c>
      <c r="AT94" s="39">
        <f t="shared" si="141"/>
        <v>-1.7811630058892192E-2</v>
      </c>
      <c r="AU94" s="39">
        <f t="shared" si="141"/>
        <v>9.0207593916697304E-2</v>
      </c>
      <c r="AV94" s="39">
        <f t="shared" si="141"/>
        <v>-7.5693161027564626E-3</v>
      </c>
      <c r="AW94" s="39">
        <f t="shared" si="141"/>
        <v>4.7174207376031729E-2</v>
      </c>
      <c r="AX94" s="39">
        <f t="shared" si="141"/>
        <v>-5.8997674364936747E-3</v>
      </c>
      <c r="AY94" s="39">
        <f t="shared" si="141"/>
        <v>0.10030299417409161</v>
      </c>
      <c r="AZ94" s="359"/>
      <c r="BA94" s="359"/>
      <c r="BB94" s="359"/>
      <c r="BC94" s="359"/>
      <c r="BD94" s="359"/>
      <c r="BE94" s="421"/>
      <c r="BF94" s="242"/>
      <c r="BG94" s="242"/>
      <c r="BH94" s="242"/>
      <c r="BI94" s="242"/>
      <c r="BJ94" s="242"/>
      <c r="BK94" s="39">
        <v>0.2</v>
      </c>
      <c r="BL94" s="39">
        <v>0.17</v>
      </c>
      <c r="BM94" s="39">
        <v>0.1</v>
      </c>
      <c r="BN94" s="39">
        <f>+BN93/BI93-1</f>
        <v>-2.2143079816173361E-2</v>
      </c>
      <c r="BO94" s="39"/>
      <c r="BP94" s="39"/>
      <c r="BQ94" s="39"/>
      <c r="BR94" s="39"/>
      <c r="BS94" s="39"/>
      <c r="BT94" s="242"/>
      <c r="BU94" s="119">
        <v>-0.08</v>
      </c>
      <c r="BV94" s="119">
        <v>-0.09</v>
      </c>
      <c r="BW94" s="119">
        <v>-0.13</v>
      </c>
      <c r="BX94" s="39">
        <f>+BX93/BS93-1</f>
        <v>5.2318103206870248E-2</v>
      </c>
      <c r="BY94" s="95"/>
      <c r="BZ94" s="39">
        <v>-0.08</v>
      </c>
      <c r="CA94" s="119">
        <v>5.5E-2</v>
      </c>
      <c r="CB94" s="119">
        <v>0.27</v>
      </c>
      <c r="CC94" s="39">
        <f>+CC93/BX93-1</f>
        <v>0.17587312647640907</v>
      </c>
      <c r="CD94" s="377"/>
      <c r="CE94" s="394">
        <v>0.05</v>
      </c>
      <c r="CF94" s="394">
        <v>0.05</v>
      </c>
      <c r="CG94" s="394">
        <v>0.01</v>
      </c>
      <c r="CH94" s="242">
        <f>+CH93/CC93-1</f>
        <v>-8.1970809022975932E-2</v>
      </c>
      <c r="CI94" s="53"/>
      <c r="CJ94" s="394">
        <v>0.18</v>
      </c>
      <c r="CK94" s="394">
        <v>0.08</v>
      </c>
      <c r="CL94" s="394">
        <v>0.03</v>
      </c>
      <c r="CM94" s="242">
        <f>+CM93/CC93-1</f>
        <v>0.1517257402918506</v>
      </c>
      <c r="CN94" s="49"/>
      <c r="CO94" s="394">
        <v>0.18</v>
      </c>
      <c r="CP94" s="394">
        <v>0.08</v>
      </c>
      <c r="CQ94" s="394">
        <v>0.03</v>
      </c>
      <c r="CR94" s="242">
        <f>+CR93/CH93-1</f>
        <v>0.15500749528239988</v>
      </c>
      <c r="CS94" s="49"/>
      <c r="CT94" s="242">
        <f>+CT93/CO93-1</f>
        <v>-7.1011343707617303E-2</v>
      </c>
      <c r="CU94" s="242">
        <f>+CU93/CP93-1</f>
        <v>-4.4235964047613874E-2</v>
      </c>
      <c r="CV94" s="242">
        <f>+CV93/CQ93-1</f>
        <v>9.2463268570168733E-3</v>
      </c>
      <c r="CW94" s="242">
        <f>+CW93/CR93-1</f>
        <v>-4.1354792726048029E-2</v>
      </c>
      <c r="CX94" s="49"/>
      <c r="CY94" s="394">
        <v>0.03</v>
      </c>
      <c r="CZ94" s="394">
        <v>0.05</v>
      </c>
      <c r="DA94" s="242">
        <f>DA93/CV93-1</f>
        <v>7.6786533020727799E-2</v>
      </c>
      <c r="DB94" s="39">
        <f>+DB93/CW93-1</f>
        <v>0.11178440639267984</v>
      </c>
      <c r="DC94" s="242"/>
      <c r="DD94" s="394">
        <v>0.08</v>
      </c>
      <c r="DE94" s="394">
        <f>+-0.03</f>
        <v>-0.03</v>
      </c>
      <c r="DF94" s="39">
        <f>+DF93/DA93-1</f>
        <v>-9.0999941980957733E-2</v>
      </c>
      <c r="DG94" s="39">
        <f>+DG93/DB93-1</f>
        <v>-0.26991040609309802</v>
      </c>
      <c r="DH94" s="242"/>
      <c r="DI94" s="242">
        <v>-0.17</v>
      </c>
      <c r="DJ94" s="394">
        <v>-0.12</v>
      </c>
      <c r="DK94" s="39">
        <f>DK93/DF93-1</f>
        <v>-0.21201581570711636</v>
      </c>
      <c r="DL94" s="39">
        <f>+(DL93-60)/(DG93-12)-1</f>
        <v>-0.29308280172564438</v>
      </c>
      <c r="DM94" s="242"/>
      <c r="DN94" s="394">
        <v>-0.33</v>
      </c>
      <c r="DO94" s="394">
        <v>-0.28000000000000003</v>
      </c>
      <c r="DP94" s="394">
        <v>-0.15</v>
      </c>
      <c r="DQ94" s="242">
        <f>DQ93/(DL93-40)-1</f>
        <v>9.2801743398107206E-2</v>
      </c>
      <c r="DR94" s="242"/>
      <c r="DS94" s="242">
        <f>DS93/DN93-1</f>
        <v>0.32000000000000006</v>
      </c>
      <c r="DT94" s="242">
        <f>DT93/DO93-1</f>
        <v>0.32999999999999985</v>
      </c>
      <c r="DU94" s="242">
        <f>DU93/DP93-1</f>
        <v>0.27</v>
      </c>
      <c r="DV94" s="242">
        <f>DV93/DQ93-1</f>
        <v>7.945835911369481E-2</v>
      </c>
      <c r="DX94" s="242">
        <f>DX93/DS93-1</f>
        <v>1.2000000000000011E-2</v>
      </c>
      <c r="DY94" s="242">
        <f>DY93/DT93-1</f>
        <v>2.4999999999999467E-3</v>
      </c>
      <c r="DZ94" s="242">
        <f>DZ93/DU93-1</f>
        <v>-6.4999999999999947E-2</v>
      </c>
      <c r="EA94" s="242">
        <f>EA93/DV93-1</f>
        <v>-7.3451808762795889E-2</v>
      </c>
      <c r="EB94" s="2300"/>
      <c r="EC94" s="242">
        <f>EC93/DX93-1</f>
        <v>2.4999999999999911E-2</v>
      </c>
      <c r="ED94" s="242">
        <f>ED93/DY93-1</f>
        <v>6.0000000000000053E-2</v>
      </c>
      <c r="EE94" s="242">
        <f>EE93/DZ93-1</f>
        <v>7.2500000000000009E-2</v>
      </c>
      <c r="EF94" s="242">
        <f>EF93/EA93-1</f>
        <v>0.13914553913202288</v>
      </c>
      <c r="EG94" s="2300"/>
      <c r="EH94" s="242">
        <f>EH93/EC93-1</f>
        <v>9.000000000000008E-2</v>
      </c>
      <c r="EI94" s="242">
        <f>EI93/ED93-1</f>
        <v>-1.000000000000012E-2</v>
      </c>
      <c r="EJ94" s="242">
        <f>EJ93/EE93-1</f>
        <v>-6.0000000000000053E-2</v>
      </c>
      <c r="EK94" s="242">
        <f>EK93/EF93-1</f>
        <v>-0.123</v>
      </c>
      <c r="EM94" s="990">
        <f>EM93/EH93-1</f>
        <v>-7.4999999999999956E-2</v>
      </c>
      <c r="EN94" s="990">
        <f>EN93/EI93-1</f>
        <v>-6.0000000000000053E-2</v>
      </c>
      <c r="EO94" s="990">
        <f>EO93/EJ93-1</f>
        <v>0.11500000000000021</v>
      </c>
      <c r="EP94" s="990">
        <f>EP93/EK93-1</f>
        <v>0.15700000000000003</v>
      </c>
      <c r="ER94" s="990">
        <f>ER93/EM93-1</f>
        <v>0.17999999999999994</v>
      </c>
      <c r="ES94" s="990">
        <f>ES93/EN93-1</f>
        <v>0.18999999999999995</v>
      </c>
      <c r="ET94" s="990">
        <f>ET93/EO93-1</f>
        <v>0.13500000000000001</v>
      </c>
      <c r="EU94" s="990">
        <f>EU93/EP93-1</f>
        <v>0.125</v>
      </c>
      <c r="EW94" s="990">
        <f>EW93/ER93-1</f>
        <v>0.25085104333375208</v>
      </c>
      <c r="EX94" s="990">
        <f>EX93/ES93-1</f>
        <v>3.2000000000000028E-2</v>
      </c>
      <c r="EY94" s="990">
        <f>EY93/ET93-1</f>
        <v>0.10499999999999998</v>
      </c>
      <c r="EZ94" s="2958">
        <f>EZ93/EU93-1</f>
        <v>0.20999999999999996</v>
      </c>
      <c r="FA94" s="2807"/>
      <c r="FB94" s="2958">
        <f>FB93/EW93-1</f>
        <v>-0.11099999999999999</v>
      </c>
      <c r="FC94" s="2958">
        <f>FC93/EX93-1</f>
        <v>4.8000000000000043E-2</v>
      </c>
      <c r="FD94" s="2958">
        <f>FD93/EY93-1</f>
        <v>-3.7000000000000033E-2</v>
      </c>
      <c r="FE94" s="2958">
        <f>FE93/EZ93-1</f>
        <v>-0.1170518940139279</v>
      </c>
      <c r="FF94" s="2807"/>
      <c r="FG94" s="2958">
        <f t="shared" ref="FG94:FJ94" si="142">FG93/FB93-1</f>
        <v>0.13395631257302298</v>
      </c>
      <c r="FH94" s="2958">
        <f t="shared" si="142"/>
        <v>9.6924799672253314E-2</v>
      </c>
      <c r="FI94" s="2958">
        <f t="shared" si="142"/>
        <v>0.17846825640719333</v>
      </c>
      <c r="FJ94" s="2958">
        <f t="shared" si="142"/>
        <v>0.2711936976476037</v>
      </c>
      <c r="FK94" s="2807"/>
      <c r="FL94" s="242"/>
    </row>
    <row r="95" spans="1:168">
      <c r="A95" s="362" t="s">
        <v>1209</v>
      </c>
      <c r="B95" s="352"/>
      <c r="C95" s="14"/>
      <c r="D95" s="77">
        <v>427</v>
      </c>
      <c r="E95" s="14">
        <f>+SUM(B95:D95)</f>
        <v>427</v>
      </c>
      <c r="F95" s="14">
        <f>E95</f>
        <v>427</v>
      </c>
      <c r="G95" s="352"/>
      <c r="H95" s="352"/>
      <c r="I95" s="14"/>
      <c r="J95" s="77">
        <v>437.1</v>
      </c>
      <c r="K95" s="14">
        <f>SUM(H95:J95)</f>
        <v>437.1</v>
      </c>
      <c r="L95" s="14">
        <f>K95</f>
        <v>437.1</v>
      </c>
      <c r="M95" s="14">
        <f>+N95</f>
        <v>425</v>
      </c>
      <c r="N95" s="14">
        <f>'CW Stations'!J45</f>
        <v>425</v>
      </c>
      <c r="O95" s="14">
        <f>N95</f>
        <v>425</v>
      </c>
      <c r="P95" s="14">
        <f>+R95</f>
        <v>408</v>
      </c>
      <c r="Q95" s="14"/>
      <c r="R95" s="14">
        <f>'CW Stations'!K45</f>
        <v>408</v>
      </c>
      <c r="S95" s="14">
        <f>R95</f>
        <v>408</v>
      </c>
      <c r="T95" s="14">
        <f>'CW Stations'!L45</f>
        <v>471.09330999999997</v>
      </c>
      <c r="U95" s="14">
        <f>'CW Stations'!M45</f>
        <v>497.56597724999995</v>
      </c>
      <c r="V95" s="14"/>
      <c r="W95" s="14"/>
      <c r="X95" s="14">
        <f>'CW Stations'!N45</f>
        <v>532.39559565749994</v>
      </c>
      <c r="Y95" s="14">
        <f>T95</f>
        <v>471.09330999999997</v>
      </c>
      <c r="Z95" s="14">
        <f>U95</f>
        <v>497.56597724999995</v>
      </c>
      <c r="AA95" s="14">
        <f>X95</f>
        <v>532.39559565749994</v>
      </c>
      <c r="AB95" s="14">
        <f>'CW Stations'!O45</f>
        <v>532.39559565749994</v>
      </c>
      <c r="AC95" s="14">
        <f>'CW Stations'!P45</f>
        <v>505.77581587462493</v>
      </c>
      <c r="AD95" s="14">
        <f>'CW Stations'!Q45</f>
        <v>472.51827508089366</v>
      </c>
      <c r="AE95" s="14">
        <f>Drivers!H122</f>
        <v>400.06146788990822</v>
      </c>
      <c r="AF95" s="167">
        <f>SUM(DN95:DQ95)</f>
        <v>338.10275229357796</v>
      </c>
      <c r="AG95" s="14">
        <f>'CW Stations'!T45</f>
        <v>457.304766055046</v>
      </c>
      <c r="AH95" s="14">
        <f>'CW Stations'!U45</f>
        <v>391.87979243119264</v>
      </c>
      <c r="AI95" s="14">
        <f>'CW Stations'!V45</f>
        <v>432.00758205275224</v>
      </c>
      <c r="AJ95" s="129">
        <f>Drivers!M122</f>
        <v>391.94580521195348</v>
      </c>
      <c r="AK95" s="129">
        <f>Drivers!N122</f>
        <v>425.77140798243187</v>
      </c>
      <c r="AL95" s="129">
        <f>Drivers!Q122</f>
        <v>404.3588987586698</v>
      </c>
      <c r="AM95" s="129">
        <f>Drivers!R122</f>
        <v>416.08608572768895</v>
      </c>
      <c r="AN95" s="129">
        <f>Drivers!T122</f>
        <v>417.22241783456946</v>
      </c>
      <c r="AO95" s="129">
        <f>Drivers!U122</f>
        <v>417.22241783456946</v>
      </c>
      <c r="AP95" s="14">
        <f>'CW Stations'!AC45</f>
        <v>413.05019365622371</v>
      </c>
      <c r="AQ95" s="14">
        <f>'CW Stations'!AD45</f>
        <v>408.91969171966144</v>
      </c>
      <c r="AR95" s="14">
        <f>'CW Stations'!AE45</f>
        <v>404.83049480246484</v>
      </c>
      <c r="AS95" s="14">
        <f>'CW Stations'!AF45</f>
        <v>400.78218985444016</v>
      </c>
      <c r="AT95" s="14">
        <f>'CW Stations'!AG45</f>
        <v>396.77436795589574</v>
      </c>
      <c r="AU95" s="14">
        <f>'CW Stations'!AH45</f>
        <v>392.80662427633683</v>
      </c>
      <c r="AV95" s="14">
        <f>'CW Stations'!AI45</f>
        <v>388.87855803357343</v>
      </c>
      <c r="AW95" s="14">
        <f>'CW Stations'!AJ45</f>
        <v>384.98977245323772</v>
      </c>
      <c r="AX95" s="14">
        <f>'CW Stations'!AK45</f>
        <v>381.13987472870537</v>
      </c>
      <c r="AY95" s="14">
        <f>'CW Stations'!AL45</f>
        <v>377.32847598141836</v>
      </c>
      <c r="AZ95" s="354"/>
      <c r="BA95" s="354"/>
      <c r="BB95" s="354"/>
      <c r="BC95" s="354"/>
      <c r="BD95" s="354"/>
      <c r="BE95" s="354"/>
      <c r="BF95" s="309">
        <v>96.3</v>
      </c>
      <c r="BG95" s="309">
        <v>109.1</v>
      </c>
      <c r="BH95" s="309">
        <v>98.6</v>
      </c>
      <c r="BI95" s="14">
        <f>+K95-SUM(BF95:BH95)</f>
        <v>133.10000000000002</v>
      </c>
      <c r="BJ95" s="14"/>
      <c r="BK95" s="14">
        <v>97.7</v>
      </c>
      <c r="BL95" s="14">
        <f>BG95*(1+BL96)</f>
        <v>114.55499999999999</v>
      </c>
      <c r="BM95" s="14">
        <f>BH95*(1+BM96)</f>
        <v>103.53</v>
      </c>
      <c r="BN95" s="14">
        <f>+N95-SUM(BK95:BM95)</f>
        <v>109.21500000000003</v>
      </c>
      <c r="BO95" s="14"/>
      <c r="BP95" s="14">
        <f>+BK95</f>
        <v>97.7</v>
      </c>
      <c r="BQ95" s="14">
        <f>+BL95</f>
        <v>114.55499999999999</v>
      </c>
      <c r="BR95" s="14">
        <f>+BM95</f>
        <v>103.53</v>
      </c>
      <c r="BS95" s="14">
        <f>+N95-SUM(BP95:BR95)</f>
        <v>109.21500000000003</v>
      </c>
      <c r="BT95" s="14"/>
      <c r="BU95" s="14">
        <f>+'CW Stations'!BJ45</f>
        <v>88.907000000000011</v>
      </c>
      <c r="BV95" s="14">
        <f>+'CW Stations'!BK45</f>
        <v>104.24504999999999</v>
      </c>
      <c r="BW95" s="14">
        <f>+'CW Stations'!BL45</f>
        <v>95.247600000000006</v>
      </c>
      <c r="BX95" s="14">
        <f>+P95-SUM(BU95:BW95)</f>
        <v>119.60034999999999</v>
      </c>
      <c r="BY95" s="95"/>
      <c r="BZ95" s="14">
        <f>+'CW Stations'!BO45</f>
        <v>81.794440000000009</v>
      </c>
      <c r="CA95" s="14">
        <f>+'CW Stations'!BP45</f>
        <v>100.07524799999999</v>
      </c>
      <c r="CB95" s="14">
        <f>+'CW Stations'!BQ45</f>
        <v>130.48721599999999</v>
      </c>
      <c r="CC95" s="14">
        <f>+T95-SUM(BZ95:CB95)</f>
        <v>158.73640599999999</v>
      </c>
      <c r="CD95" s="415"/>
      <c r="CE95" s="167">
        <f>CE97-CE93</f>
        <v>117.57228135999998</v>
      </c>
      <c r="CF95" s="167">
        <f>CF97-CF93</f>
        <v>117.09413678780999</v>
      </c>
      <c r="CG95" s="167">
        <f>CG97-CG93</f>
        <v>130.96849146615</v>
      </c>
      <c r="CH95" s="14">
        <f>+U95-CG95-CF95-CE95</f>
        <v>131.93106763603998</v>
      </c>
      <c r="CI95" s="53"/>
      <c r="CJ95" s="167">
        <f>CJ97-CJ93</f>
        <v>83.842191456000137</v>
      </c>
      <c r="CK95" s="167">
        <f>CK97-CK93</f>
        <v>108.08126784000001</v>
      </c>
      <c r="CL95" s="14">
        <f>+CB95*(1+CL96)</f>
        <v>134.40183248</v>
      </c>
      <c r="CM95" s="167">
        <f>+X95-SUM(CJ95:CL95)</f>
        <v>206.0703038814998</v>
      </c>
      <c r="CN95" s="49">
        <f>+X95-SUM(CJ95:CM95)</f>
        <v>0</v>
      </c>
      <c r="CO95" s="167">
        <f>CO97-CO93</f>
        <v>124.15875709919999</v>
      </c>
      <c r="CP95" s="167">
        <f>CP97-CP93</f>
        <v>126.46166773083479</v>
      </c>
      <c r="CQ95" s="14">
        <f>+CG95*(1+CQ96)</f>
        <v>134.89754621013449</v>
      </c>
      <c r="CR95" s="167">
        <f>+AA95-SUM(CO95:CQ95)</f>
        <v>146.87762461733064</v>
      </c>
      <c r="CS95" s="49">
        <f>+AA95-SUM(CO95:CR95)</f>
        <v>0</v>
      </c>
      <c r="CT95" s="14">
        <f>CO95*(1+CT96)</f>
        <v>127.88351981217599</v>
      </c>
      <c r="CU95" s="14">
        <f>CP95*(1+CU96)</f>
        <v>122.66781769890974</v>
      </c>
      <c r="CV95" s="14">
        <f>CQ95*(1+CV96)</f>
        <v>136.24652167223584</v>
      </c>
      <c r="CW95" s="167">
        <f>AB95-SUM(CT95:CV95)</f>
        <v>145.59773647417836</v>
      </c>
      <c r="CX95" s="49">
        <f>AB95-SUM(CT95:CW95)</f>
        <v>0</v>
      </c>
      <c r="CY95" s="14">
        <f>CT95*(1+CY96)</f>
        <v>129.80177260935861</v>
      </c>
      <c r="CZ95" s="14">
        <f>CU95*(1+CZ96)</f>
        <v>126.96119131837158</v>
      </c>
      <c r="DA95" s="14">
        <f>CV95*(1+DA96)</f>
        <v>136.24652167223584</v>
      </c>
      <c r="DB95" s="354">
        <f>AC95-SUM(CY95:DA95)</f>
        <v>112.76633027465886</v>
      </c>
      <c r="DC95" s="871">
        <f>AC95-SUM(CY95:DB95)</f>
        <v>0</v>
      </c>
      <c r="DD95" s="116">
        <f>CY95*(1+DD96)</f>
        <v>136.29186123982655</v>
      </c>
      <c r="DE95" s="116">
        <f>CZ95*(1+DE96)</f>
        <v>123.15235557882042</v>
      </c>
      <c r="DF95" s="116">
        <f>((DA95)*(1+DF96))</f>
        <v>132.15912602206876</v>
      </c>
      <c r="DG95" s="116">
        <f>AD95-SUM(DD95:DF95)</f>
        <v>80.914932240177905</v>
      </c>
      <c r="DH95" s="871">
        <f>AD95-SUM(DD95:DG95)</f>
        <v>0</v>
      </c>
      <c r="DI95" s="1118">
        <f>Drivers!BG122</f>
        <v>119.96749153350257</v>
      </c>
      <c r="DJ95" s="1118">
        <f>Drivers!BH122</f>
        <v>87.450690082871574</v>
      </c>
      <c r="DK95" s="1118">
        <f>Drivers!BI122</f>
        <v>85.599999999999966</v>
      </c>
      <c r="DL95" s="1118">
        <f>Drivers!BJ122</f>
        <v>107.04328627353408</v>
      </c>
      <c r="DM95" s="357">
        <f>AE95-SUM(DI95:DL95)</f>
        <v>0</v>
      </c>
      <c r="DN95" s="1118">
        <f>Drivers!BL122</f>
        <v>83.312219327446769</v>
      </c>
      <c r="DO95" s="1118">
        <f>Drivers!BM122</f>
        <v>61.98449685966753</v>
      </c>
      <c r="DP95" s="1118">
        <f>Drivers!BN122</f>
        <v>77.269999999999982</v>
      </c>
      <c r="DQ95" s="1118">
        <f>Drivers!BO122</f>
        <v>115.53603610646365</v>
      </c>
      <c r="DR95" s="538">
        <f>AF95-SUM(DN95:DQ95)</f>
        <v>0</v>
      </c>
      <c r="DS95" s="1118">
        <f>Drivers!BQ122</f>
        <v>101.84812951222975</v>
      </c>
      <c r="DT95" s="1118">
        <f>Drivers!BR122</f>
        <v>77.864380823357862</v>
      </c>
      <c r="DU95" s="1118">
        <f>Drivers!BS122</f>
        <v>84.889899999999955</v>
      </c>
      <c r="DV95" s="14">
        <f>Drivers!BT122</f>
        <v>192.70235571945841</v>
      </c>
      <c r="DW95" s="538">
        <f>AG95-SUM(DS95:DV95)</f>
        <v>0</v>
      </c>
      <c r="DX95" s="1118">
        <f>Drivers!BV122</f>
        <v>103.38870706637644</v>
      </c>
      <c r="DY95" s="1118">
        <f>Drivers!BW122</f>
        <v>78.103791775416255</v>
      </c>
      <c r="DZ95" s="1118">
        <f>Drivers!BX122</f>
        <v>79.574056499999983</v>
      </c>
      <c r="EA95" s="14">
        <f>Drivers!BY122</f>
        <v>130.81323708939999</v>
      </c>
      <c r="EB95" s="2300">
        <f>AH95-SUM(DX95:EA95)</f>
        <v>0</v>
      </c>
      <c r="EC95" s="1118">
        <f>Drivers!CA122</f>
        <v>104.67878474303592</v>
      </c>
      <c r="ED95" s="1118">
        <f>Drivers!CB122</f>
        <v>82.506859281941161</v>
      </c>
      <c r="EE95" s="1118">
        <f>Drivers!CC122</f>
        <v>85.229425596249968</v>
      </c>
      <c r="EF95" s="1118">
        <f>Drivers!CD122</f>
        <v>159.59251243152517</v>
      </c>
      <c r="EG95" s="2300">
        <f>AI95-SUM(EC95:EF95)</f>
        <v>0</v>
      </c>
      <c r="EH95" s="1118">
        <f>Drivers!CF122</f>
        <v>100.05138096990913</v>
      </c>
      <c r="EI95" s="1118">
        <f>Drivers!CG122</f>
        <v>79.270127789121773</v>
      </c>
      <c r="EJ95" s="1118">
        <f>Drivers!CH122</f>
        <v>76.815250289750367</v>
      </c>
      <c r="EK95" s="1118">
        <f>Drivers!CI122</f>
        <v>135.80904616317216</v>
      </c>
      <c r="EL95" s="1120">
        <f>+AJ95-SUM(EH95:EK95)</f>
        <v>0</v>
      </c>
      <c r="EM95" s="1118">
        <f>Drivers!CK122</f>
        <v>102.17789395716591</v>
      </c>
      <c r="EN95" s="1118">
        <f>Drivers!CL122</f>
        <v>79.942257221774526</v>
      </c>
      <c r="EO95" s="1118">
        <f>Drivers!CM122</f>
        <v>86.499189418539174</v>
      </c>
      <c r="EP95" s="1118">
        <f>Drivers!CN122</f>
        <v>157.15206738495226</v>
      </c>
      <c r="EQ95" s="1120">
        <f>+$AK95-SUM(EM95:EP95)</f>
        <v>0</v>
      </c>
      <c r="ER95" s="1615">
        <f>Drivers!CP122</f>
        <v>102.32061968865582</v>
      </c>
      <c r="ES95" s="1615">
        <f>Drivers!CQ122</f>
        <v>80.991776938911642</v>
      </c>
      <c r="ET95" s="1615">
        <f>Drivers!CR122</f>
        <v>82.651507560532593</v>
      </c>
      <c r="EU95" s="1118">
        <f>Drivers!CS122</f>
        <v>138.39499457056974</v>
      </c>
      <c r="EV95" s="1120">
        <f>+$AL95-SUM(ER95:EU95)</f>
        <v>0</v>
      </c>
      <c r="EW95" s="1615">
        <f>Drivers!CU122</f>
        <v>106.91871264195419</v>
      </c>
      <c r="EX95" s="1615">
        <f>Drivers!CV122</f>
        <v>80.199513800956822</v>
      </c>
      <c r="EY95" s="1615">
        <f>Drivers!CW122</f>
        <v>84.849915854388541</v>
      </c>
      <c r="EZ95" s="3005">
        <f>Drivers!CX122</f>
        <v>144.1179434303894</v>
      </c>
      <c r="FA95" s="2835">
        <f>AM95-SUM(EW95:EZ95)</f>
        <v>0</v>
      </c>
      <c r="FB95" s="3006">
        <f>Drivers!CZ122</f>
        <v>105.77873553869728</v>
      </c>
      <c r="FC95" s="3006">
        <f>Drivers!DA122</f>
        <v>81.041090463402725</v>
      </c>
      <c r="FD95" s="3006">
        <f>Drivers!DB122</f>
        <v>84.843468967776175</v>
      </c>
      <c r="FE95" s="3005">
        <f>Drivers!DC122</f>
        <v>145.55912286469331</v>
      </c>
      <c r="FF95" s="1741">
        <f>AN95-SUM(FB95:FE95)</f>
        <v>0</v>
      </c>
      <c r="FG95" s="3005">
        <f>Drivers!DE122</f>
        <v>105.77873553869728</v>
      </c>
      <c r="FH95" s="3005">
        <f>Drivers!DF122</f>
        <v>81.041090463402725</v>
      </c>
      <c r="FI95" s="3005">
        <f>Drivers!DG122</f>
        <v>84.843468967776175</v>
      </c>
      <c r="FJ95" s="3005">
        <f>Drivers!DH122</f>
        <v>145.55912286469331</v>
      </c>
      <c r="FK95" s="1741">
        <f>AO95-SUM(FG95:FJ95)</f>
        <v>0</v>
      </c>
      <c r="FL95" s="1118"/>
    </row>
    <row r="96" spans="1:168">
      <c r="A96" s="416" t="str">
        <f>+A94</f>
        <v>% Change</v>
      </c>
      <c r="B96" s="242"/>
      <c r="C96" s="242"/>
      <c r="D96" s="242"/>
      <c r="E96" s="242"/>
      <c r="F96" s="242"/>
      <c r="G96" s="391"/>
      <c r="H96" s="242"/>
      <c r="I96" s="242"/>
      <c r="J96" s="242"/>
      <c r="K96" s="242"/>
      <c r="L96" s="242"/>
      <c r="M96" s="242"/>
      <c r="N96" s="410">
        <f>+N95/K95-1</f>
        <v>-2.7682452528025703E-2</v>
      </c>
      <c r="O96" s="242"/>
      <c r="P96" s="410"/>
      <c r="Q96" s="410"/>
      <c r="R96" s="410">
        <f>+R95/N95-1</f>
        <v>-4.0000000000000036E-2</v>
      </c>
      <c r="S96" s="242"/>
      <c r="T96" s="410">
        <f>+T95/R95-1</f>
        <v>0.15464046568627454</v>
      </c>
      <c r="U96" s="410">
        <f>+U95/T95-1</f>
        <v>5.6194105685771545E-2</v>
      </c>
      <c r="V96" s="410"/>
      <c r="W96" s="410"/>
      <c r="X96" s="410">
        <f>+X95/U95-1</f>
        <v>7.0000000000000062E-2</v>
      </c>
      <c r="Y96" s="410">
        <f>Y95/S95-1</f>
        <v>0.15464046568627454</v>
      </c>
      <c r="Z96" s="410">
        <f>Z95/Y95-1</f>
        <v>5.6194105685771545E-2</v>
      </c>
      <c r="AA96" s="410">
        <f>AA95/Z95-1</f>
        <v>7.0000000000000062E-2</v>
      </c>
      <c r="AB96" s="410">
        <f>AB95/AA95-1</f>
        <v>0</v>
      </c>
      <c r="AC96" s="410">
        <f t="shared" ref="AC96:AQ96" si="143">+AC95/AB95-1</f>
        <v>-5.0000000000000044E-2</v>
      </c>
      <c r="AD96" s="410">
        <f t="shared" si="143"/>
        <v>-6.5755498285776759E-2</v>
      </c>
      <c r="AE96" s="410">
        <f t="shared" si="143"/>
        <v>-0.15334180922120111</v>
      </c>
      <c r="AF96" s="410">
        <f t="shared" si="143"/>
        <v>-0.15487298970112384</v>
      </c>
      <c r="AG96" s="410">
        <f t="shared" si="143"/>
        <v>0.35256150076519854</v>
      </c>
      <c r="AH96" s="410">
        <f t="shared" si="143"/>
        <v>-0.14306645913237237</v>
      </c>
      <c r="AI96" s="410">
        <f t="shared" si="143"/>
        <v>0.10239821087127199</v>
      </c>
      <c r="AJ96" s="410">
        <f>+AJ95/AI95-1</f>
        <v>-9.2733966960577119E-2</v>
      </c>
      <c r="AK96" s="410">
        <f>+AK95/AJ95-1</f>
        <v>8.6301734374185868E-2</v>
      </c>
      <c r="AL96" s="410">
        <f>+AL95/AK95-1</f>
        <v>-5.029109240854801E-2</v>
      </c>
      <c r="AM96" s="410">
        <f>+AM95/AL95-1</f>
        <v>2.9001926271488232E-2</v>
      </c>
      <c r="AN96" s="410">
        <f t="shared" si="143"/>
        <v>2.731002419591011E-3</v>
      </c>
      <c r="AO96" s="410">
        <f t="shared" si="143"/>
        <v>0</v>
      </c>
      <c r="AP96" s="410">
        <f t="shared" si="143"/>
        <v>-1.000000000000012E-2</v>
      </c>
      <c r="AQ96" s="410">
        <f t="shared" si="143"/>
        <v>-1.000000000000012E-2</v>
      </c>
      <c r="AR96" s="410">
        <f t="shared" ref="AR96:AY96" si="144">+AR95/AQ95-1</f>
        <v>-1.0000000000000009E-2</v>
      </c>
      <c r="AS96" s="410">
        <f t="shared" si="144"/>
        <v>-1.000000000000012E-2</v>
      </c>
      <c r="AT96" s="410">
        <f t="shared" si="144"/>
        <v>-1.0000000000000009E-2</v>
      </c>
      <c r="AU96" s="410">
        <f t="shared" si="144"/>
        <v>-9.9999999999998979E-3</v>
      </c>
      <c r="AV96" s="410">
        <f t="shared" si="144"/>
        <v>-1.000000000000012E-2</v>
      </c>
      <c r="AW96" s="410">
        <f t="shared" si="144"/>
        <v>-9.9999999999998979E-3</v>
      </c>
      <c r="AX96" s="410">
        <f t="shared" si="144"/>
        <v>-9.9999999999998979E-3</v>
      </c>
      <c r="AY96" s="410">
        <f t="shared" si="144"/>
        <v>-9.9999999999998979E-3</v>
      </c>
      <c r="AZ96" s="1569"/>
      <c r="BA96" s="1569"/>
      <c r="BB96" s="1569"/>
      <c r="BC96" s="1569"/>
      <c r="BD96" s="1569"/>
      <c r="BE96" s="421"/>
      <c r="BF96" s="242"/>
      <c r="BG96" s="242"/>
      <c r="BH96" s="242"/>
      <c r="BI96" s="242"/>
      <c r="BJ96" s="242"/>
      <c r="BK96" s="242">
        <f>+BK95/BF95-1</f>
        <v>1.4537902388369828E-2</v>
      </c>
      <c r="BL96" s="39">
        <v>0.05</v>
      </c>
      <c r="BM96" s="39">
        <v>0.05</v>
      </c>
      <c r="BN96" s="39">
        <f>+BN95/BI95-1</f>
        <v>-0.17945154019534171</v>
      </c>
      <c r="BO96" s="39"/>
      <c r="BP96" s="39"/>
      <c r="BQ96" s="39"/>
      <c r="BR96" s="39"/>
      <c r="BS96" s="39"/>
      <c r="BT96" s="242"/>
      <c r="BU96" s="39">
        <f>+BU95/BK95-1</f>
        <v>-8.9999999999999969E-2</v>
      </c>
      <c r="BV96" s="39">
        <f>+BV95/BL95-1</f>
        <v>-8.9999999999999969E-2</v>
      </c>
      <c r="BW96" s="39">
        <f>+BW95/BM95-1</f>
        <v>-7.999999999999996E-2</v>
      </c>
      <c r="BX96" s="39">
        <f>+BX95/BN95-1</f>
        <v>9.5090875795448948E-2</v>
      </c>
      <c r="BY96" s="95"/>
      <c r="BZ96" s="39">
        <f>+BZ95/BU95-1</f>
        <v>-7.999999999999996E-2</v>
      </c>
      <c r="CA96" s="39">
        <f>+CA95/BV95-1</f>
        <v>-4.0000000000000036E-2</v>
      </c>
      <c r="CB96" s="39">
        <f>+CB95/BW95-1</f>
        <v>0.36997904409139948</v>
      </c>
      <c r="CC96" s="39">
        <f>+CC95/BX95-1</f>
        <v>0.32722359090086273</v>
      </c>
      <c r="CD96" s="377"/>
      <c r="CE96" s="242">
        <f>+CE95/BZ95-1</f>
        <v>0.43741165487531863</v>
      </c>
      <c r="CF96" s="242">
        <f>+CF95/CA95-1</f>
        <v>0.17006092043668986</v>
      </c>
      <c r="CG96" s="242">
        <f>+CG95/CB95-1</f>
        <v>3.6882959181994135E-3</v>
      </c>
      <c r="CH96" s="242">
        <f>+CH95/CC95-1</f>
        <v>-0.16886698545990775</v>
      </c>
      <c r="CI96" s="53"/>
      <c r="CJ96" s="242">
        <f>+CJ95/BZ95-1</f>
        <v>2.5035338049874012E-2</v>
      </c>
      <c r="CK96" s="242">
        <f>+CK95/CA95-1</f>
        <v>8.0000000000000293E-2</v>
      </c>
      <c r="CL96" s="394">
        <v>0.03</v>
      </c>
      <c r="CM96" s="242">
        <f>+CM95/CC95-1</f>
        <v>0.29819182047941672</v>
      </c>
      <c r="CN96" s="49"/>
      <c r="CO96" s="242">
        <f>+CO95/CE95-1</f>
        <v>5.6020650981778441E-2</v>
      </c>
      <c r="CP96" s="242">
        <f>+CP95/CF95-1</f>
        <v>8.0000000000000071E-2</v>
      </c>
      <c r="CQ96" s="394">
        <v>0.03</v>
      </c>
      <c r="CR96" s="242">
        <f>+CR95/CH95-1</f>
        <v>0.11329065434779872</v>
      </c>
      <c r="CS96" s="49"/>
      <c r="CT96" s="893">
        <v>0.03</v>
      </c>
      <c r="CU96" s="893">
        <v>-0.03</v>
      </c>
      <c r="CV96" s="893">
        <v>0.01</v>
      </c>
      <c r="CW96" s="895">
        <f>+CW95/CR95-1</f>
        <v>-8.7139763220357436E-3</v>
      </c>
      <c r="CX96" s="49"/>
      <c r="CY96" s="893">
        <v>1.4999999999999999E-2</v>
      </c>
      <c r="CZ96" s="893">
        <v>3.5000000000000003E-2</v>
      </c>
      <c r="DA96" s="894">
        <v>0</v>
      </c>
      <c r="DB96" s="366">
        <f>+DB95/CW95-1</f>
        <v>-0.22549393276688834</v>
      </c>
      <c r="DC96" s="242"/>
      <c r="DD96" s="893">
        <v>0.05</v>
      </c>
      <c r="DE96" s="893">
        <f>+DE94</f>
        <v>-0.03</v>
      </c>
      <c r="DF96" s="893">
        <f>+-0.03</f>
        <v>-0.03</v>
      </c>
      <c r="DG96" s="366">
        <f>+DG95/DB95-1</f>
        <v>-0.28245486003581233</v>
      </c>
      <c r="DH96" s="242"/>
      <c r="DI96" s="893">
        <v>-0.19</v>
      </c>
      <c r="DJ96" s="893">
        <v>-0.16</v>
      </c>
      <c r="DK96" s="893">
        <v>-0.25</v>
      </c>
      <c r="DL96" s="366">
        <f>+DL95/DG95-1</f>
        <v>0.32291139978712446</v>
      </c>
      <c r="DM96" s="242"/>
      <c r="DN96" s="895">
        <f>DN95/DI95-1</f>
        <v>-0.3055433746051055</v>
      </c>
      <c r="DO96" s="895">
        <f>DO95/DJ95-1</f>
        <v>-0.29120631522828833</v>
      </c>
      <c r="DP96" s="895">
        <f>DP95/DK95-1</f>
        <v>-9.731308411214934E-2</v>
      </c>
      <c r="DQ96" s="895">
        <f>DQ95/DL95-1</f>
        <v>7.9339397439906145E-2</v>
      </c>
      <c r="DR96" s="242"/>
      <c r="DS96" s="895">
        <f>DS95/DN95-1</f>
        <v>0.22248729339366458</v>
      </c>
      <c r="DT96" s="895">
        <f>DT95/DO95-1</f>
        <v>0.25619122148627382</v>
      </c>
      <c r="DU96" s="895">
        <f>DU95/DP95-1</f>
        <v>9.8613951080626094E-2</v>
      </c>
      <c r="DV96" s="895">
        <f>DV95/DQ95-1</f>
        <v>0.66789827843745542</v>
      </c>
      <c r="DX96" s="895">
        <f>DX95/DS95-1</f>
        <v>1.5126223343765011E-2</v>
      </c>
      <c r="DY96" s="895">
        <f>DY95/DT95-1</f>
        <v>3.0747172137863821E-3</v>
      </c>
      <c r="DZ96" s="895">
        <f>DZ95/DU95-1</f>
        <v>-6.2620447191008233E-2</v>
      </c>
      <c r="EA96" s="895">
        <f>EA95/DV95-1</f>
        <v>-0.32116430750934033</v>
      </c>
      <c r="EB96" s="2300"/>
      <c r="EC96" s="895">
        <f>EC95/DX95-1</f>
        <v>1.2477936065408368E-2</v>
      </c>
      <c r="ED96" s="895">
        <f>ED95/DY95-1</f>
        <v>5.6374567821056765E-2</v>
      </c>
      <c r="EE96" s="895">
        <f>EE95/DZ95-1</f>
        <v>7.1070513996606133E-2</v>
      </c>
      <c r="EF96" s="895">
        <f>EF95/EA95-1</f>
        <v>0.22000277634332166</v>
      </c>
      <c r="EG96" s="2300"/>
      <c r="EH96" s="895">
        <f>EH95/EC95-1</f>
        <v>-4.4205746030450022E-2</v>
      </c>
      <c r="EI96" s="895">
        <f>EI95/ED95-1</f>
        <v>-3.9229847324073752E-2</v>
      </c>
      <c r="EJ96" s="895">
        <f>EJ95/EE95-1</f>
        <v>-9.8723829799808205E-2</v>
      </c>
      <c r="EK96" s="895">
        <f>EK95/EF95-1</f>
        <v>-0.1490262037108887</v>
      </c>
      <c r="EM96" s="1163">
        <f>EM95/EH95-1</f>
        <v>2.1254209253706691E-2</v>
      </c>
      <c r="EN96" s="1163">
        <f>EN95/EI95-1</f>
        <v>8.4789750111262663E-3</v>
      </c>
      <c r="EO96" s="1163">
        <f>EO95/EJ95-1</f>
        <v>0.12606792391173083</v>
      </c>
      <c r="EP96" s="1163">
        <f>EP95/EK95-1</f>
        <v>0.1571546360478584</v>
      </c>
      <c r="ER96" s="1163">
        <f>ER95/EM95-1</f>
        <v>1.3968357142861709E-3</v>
      </c>
      <c r="ES96" s="1163">
        <f>ES95/EN95-1</f>
        <v>1.3128472395088409E-2</v>
      </c>
      <c r="ET96" s="1163">
        <f>ET95/EO95-1</f>
        <v>-4.4482288029186079E-2</v>
      </c>
      <c r="EU96" s="1163">
        <f>EU95/EP95-1</f>
        <v>-0.11935619509501005</v>
      </c>
      <c r="EW96" s="1163">
        <f>EW95/ER95-1</f>
        <v>4.493808742841443E-2</v>
      </c>
      <c r="EX96" s="1163">
        <f>EX95/ES95-1</f>
        <v>-9.7820194580048314E-3</v>
      </c>
      <c r="EY96" s="1163">
        <f>EY95/ET95-1</f>
        <v>2.6598526254900667E-2</v>
      </c>
      <c r="EZ96" s="3007">
        <f>EZ95/EU95-1</f>
        <v>4.1352282122468331E-2</v>
      </c>
      <c r="FA96" s="2807"/>
      <c r="FB96" s="3007">
        <f>FB95/EW95-1</f>
        <v>-1.0662091556175257E-2</v>
      </c>
      <c r="FC96" s="3007">
        <f>FC95/EX95-1</f>
        <v>1.049353820940313E-2</v>
      </c>
      <c r="FD96" s="3007">
        <f>FD95/EY95-1</f>
        <v>-7.5979882212640071E-5</v>
      </c>
      <c r="FE96" s="3007">
        <f>FE95/EZ95-1</f>
        <v>1.0000000000000009E-2</v>
      </c>
      <c r="FF96" s="2807"/>
      <c r="FG96" s="3007">
        <f t="shared" ref="FG96:FJ96" si="145">FG95/FB95-1</f>
        <v>0</v>
      </c>
      <c r="FH96" s="3007">
        <f t="shared" si="145"/>
        <v>0</v>
      </c>
      <c r="FI96" s="3007">
        <f t="shared" si="145"/>
        <v>0</v>
      </c>
      <c r="FJ96" s="3007">
        <f t="shared" si="145"/>
        <v>0</v>
      </c>
      <c r="FK96" s="2807"/>
      <c r="FL96" s="895"/>
    </row>
    <row r="97" spans="1:168">
      <c r="A97" s="412" t="s">
        <v>1061</v>
      </c>
      <c r="B97" s="242"/>
      <c r="C97" s="14"/>
      <c r="D97" s="14">
        <f>D93+D95</f>
        <v>493</v>
      </c>
      <c r="E97" s="14">
        <f>E93+E95</f>
        <v>1473</v>
      </c>
      <c r="F97" s="14">
        <f>F93+F95</f>
        <v>1473</v>
      </c>
      <c r="G97" s="242"/>
      <c r="H97" s="242"/>
      <c r="I97" s="242"/>
      <c r="J97" s="14"/>
      <c r="K97" s="14">
        <f t="shared" ref="K97:P97" si="146">K93+K95</f>
        <v>1465.8000000000002</v>
      </c>
      <c r="L97" s="14">
        <f t="shared" si="146"/>
        <v>1465.8000000000002</v>
      </c>
      <c r="M97" s="14">
        <f t="shared" si="146"/>
        <v>1561.9999999999998</v>
      </c>
      <c r="N97" s="14">
        <f t="shared" si="146"/>
        <v>1561.9999999999998</v>
      </c>
      <c r="O97" s="14">
        <f t="shared" si="146"/>
        <v>1561.9999999999998</v>
      </c>
      <c r="P97" s="14">
        <f t="shared" si="146"/>
        <v>1476.78</v>
      </c>
      <c r="Q97" s="39"/>
      <c r="R97" s="14">
        <f>R93+R95</f>
        <v>1476.78</v>
      </c>
      <c r="S97" s="14">
        <f>S93+S95</f>
        <v>1476.78</v>
      </c>
      <c r="T97" s="14">
        <f>T93+T95</f>
        <v>1648.88887</v>
      </c>
      <c r="U97" s="14">
        <f>U93+U95</f>
        <v>1675.3615372499999</v>
      </c>
      <c r="V97" s="14"/>
      <c r="W97" s="14"/>
      <c r="X97" s="14">
        <f t="shared" ref="X97:AI97" si="147">X93+X95</f>
        <v>1839.7486672575001</v>
      </c>
      <c r="Y97" s="14">
        <f t="shared" si="147"/>
        <v>1648.88887</v>
      </c>
      <c r="Z97" s="14">
        <f t="shared" si="147"/>
        <v>1675.3615372499999</v>
      </c>
      <c r="AA97" s="14">
        <f t="shared" si="147"/>
        <v>1839.7486672575001</v>
      </c>
      <c r="AB97" s="14">
        <f t="shared" si="147"/>
        <v>1790.8719534623669</v>
      </c>
      <c r="AC97" s="14">
        <f t="shared" si="147"/>
        <v>1852.3455187258323</v>
      </c>
      <c r="AD97" s="14">
        <f t="shared" si="147"/>
        <v>1674.7019519435262</v>
      </c>
      <c r="AE97" s="14">
        <f t="shared" si="147"/>
        <v>1411.3</v>
      </c>
      <c r="AF97" s="14">
        <f t="shared" si="147"/>
        <v>1137.3</v>
      </c>
      <c r="AG97" s="14">
        <f t="shared" si="147"/>
        <v>1446.1480000000001</v>
      </c>
      <c r="AH97" s="14">
        <f t="shared" si="147"/>
        <v>1348.7999999999997</v>
      </c>
      <c r="AI97" s="14">
        <f t="shared" si="147"/>
        <v>1460.6</v>
      </c>
      <c r="AJ97" s="14">
        <f>AJ93+AJ95</f>
        <v>1389.6</v>
      </c>
      <c r="AK97" s="14">
        <f>AK93+AK95</f>
        <v>1452.9999999999998</v>
      </c>
      <c r="AL97" s="14">
        <f>AL93+AL95</f>
        <v>1592</v>
      </c>
      <c r="AM97" s="14">
        <f>AM93+AM95</f>
        <v>1779</v>
      </c>
      <c r="AN97" s="14">
        <f t="shared" ref="AN97:AS97" si="148">AN93+AN95</f>
        <v>1700.7411614228972</v>
      </c>
      <c r="AO97" s="14">
        <f t="shared" si="148"/>
        <v>1920.5893655468399</v>
      </c>
      <c r="AP97" s="14">
        <f t="shared" si="148"/>
        <v>2025.7623154034393</v>
      </c>
      <c r="AQ97" s="14">
        <f t="shared" si="148"/>
        <v>2435.2873748755487</v>
      </c>
      <c r="AR97" s="14">
        <f t="shared" si="148"/>
        <v>2524.3851475984839</v>
      </c>
      <c r="AS97" s="14">
        <f t="shared" si="148"/>
        <v>2746.943930220737</v>
      </c>
      <c r="AT97" s="14">
        <f t="shared" ref="AT97:AX97" si="149">AT93+AT95</f>
        <v>2701.1471433444613</v>
      </c>
      <c r="AU97" s="14">
        <f t="shared" si="149"/>
        <v>2905.0513232198464</v>
      </c>
      <c r="AV97" s="14">
        <f t="shared" si="149"/>
        <v>2882.1072827233056</v>
      </c>
      <c r="AW97" s="14">
        <f t="shared" si="149"/>
        <v>2995.8345860373629</v>
      </c>
      <c r="AX97" s="14">
        <f t="shared" si="149"/>
        <v>2976.5813110999084</v>
      </c>
      <c r="AY97" s="14">
        <f t="shared" ref="AY97" si="150">AY93+AY95</f>
        <v>3233.1004596241578</v>
      </c>
      <c r="AZ97" s="354"/>
      <c r="BA97" s="354"/>
      <c r="BB97" s="354"/>
      <c r="BC97" s="354"/>
      <c r="BD97" s="354"/>
      <c r="BE97" s="421"/>
      <c r="BF97" s="14">
        <f>BF93+BF95</f>
        <v>327.75749999999999</v>
      </c>
      <c r="BG97" s="14">
        <f>BG93+BG95</f>
        <v>376.56200000000001</v>
      </c>
      <c r="BH97" s="14">
        <f>BH93+BH95</f>
        <v>330.0575</v>
      </c>
      <c r="BI97" s="14">
        <f>BI93+BI95</f>
        <v>431.423</v>
      </c>
      <c r="BJ97" s="242"/>
      <c r="BK97" s="14">
        <f>BK93+BK95</f>
        <v>375.44900000000001</v>
      </c>
      <c r="BL97" s="14">
        <f>BL93+BL95</f>
        <v>427.48554000000001</v>
      </c>
      <c r="BM97" s="14">
        <f>BM93+BM95</f>
        <v>358.13325000000003</v>
      </c>
      <c r="BN97" s="14">
        <f>BN93+BN95</f>
        <v>400.93220999999971</v>
      </c>
      <c r="BO97" s="39"/>
      <c r="BP97" s="14">
        <f>BP93+BP95</f>
        <v>375.44900000000001</v>
      </c>
      <c r="BQ97" s="14">
        <f>BQ93+BQ95</f>
        <v>427.48554000000001</v>
      </c>
      <c r="BR97" s="14">
        <f>BR93+BR95</f>
        <v>358.13325000000003</v>
      </c>
      <c r="BS97" s="14">
        <f>BS93+BS95</f>
        <v>400.93220999999971</v>
      </c>
      <c r="BT97" s="242"/>
      <c r="BU97" s="14">
        <f>BU93+BU95</f>
        <v>344.43608000000006</v>
      </c>
      <c r="BV97" s="14">
        <f>BV93+BV95</f>
        <v>389.01184140000004</v>
      </c>
      <c r="BW97" s="14">
        <f>BW93+BW95</f>
        <v>316.75242750000007</v>
      </c>
      <c r="BX97" s="14">
        <f>BX93+BX95</f>
        <v>426.57965109999992</v>
      </c>
      <c r="BY97" s="95"/>
      <c r="BZ97" s="14">
        <f>BZ93+BZ95</f>
        <v>316.88119360000007</v>
      </c>
      <c r="CA97" s="14">
        <f>CA93+CA95</f>
        <v>400.50421292700003</v>
      </c>
      <c r="CB97" s="14">
        <f>CB93+CB95</f>
        <v>411.79834692500003</v>
      </c>
      <c r="CC97" s="14">
        <f>CC93+CC95</f>
        <v>519.70511654799986</v>
      </c>
      <c r="CD97" s="377"/>
      <c r="CE97" s="14">
        <f>BZ97*(1+CE98)</f>
        <v>364.41337264000003</v>
      </c>
      <c r="CF97" s="14">
        <f>CA97*(1+CF98)</f>
        <v>432.54454996116004</v>
      </c>
      <c r="CG97" s="14">
        <f>CB97*(1+CG98)</f>
        <v>415.09273370040006</v>
      </c>
      <c r="CH97" s="14">
        <f>CH93+CH95</f>
        <v>463.31088094843989</v>
      </c>
      <c r="CI97" s="53"/>
      <c r="CJ97" s="14">
        <f>+BZ97*(1+CJ98)</f>
        <v>361.24456070400015</v>
      </c>
      <c r="CK97" s="14">
        <f>CA97*(1+CK98)</f>
        <v>432.54454996116004</v>
      </c>
      <c r="CL97" s="14">
        <f>+CL95+CL93</f>
        <v>424.15229733275004</v>
      </c>
      <c r="CM97" s="14">
        <f>+CM95+CM93</f>
        <v>621.80725925958973</v>
      </c>
      <c r="CN97" s="49">
        <f>+X97-SUM(CJ97:CM97)</f>
        <v>0</v>
      </c>
      <c r="CO97" s="14">
        <f>+CE97*(1+CO98)</f>
        <v>415.43124480960006</v>
      </c>
      <c r="CP97" s="14">
        <f>CF97*(1+CP98)</f>
        <v>467.14811395805287</v>
      </c>
      <c r="CQ97" s="14">
        <f>+CQ95+CQ93</f>
        <v>427.54551571141201</v>
      </c>
      <c r="CR97" s="14">
        <f>+CR95+CR93</f>
        <v>529.6237927784349</v>
      </c>
      <c r="CS97" s="49">
        <f>+AA97-SUM(CO97:CR97)</f>
        <v>0</v>
      </c>
      <c r="CT97" s="14">
        <f>+CT95+CT93</f>
        <v>398.47235678520008</v>
      </c>
      <c r="CU97" s="14">
        <f>+CU95+CU93</f>
        <v>448.28367053931129</v>
      </c>
      <c r="CV97" s="14">
        <f>+CV95+CV93</f>
        <v>431.60040995356451</v>
      </c>
      <c r="CW97" s="14">
        <f>+CW95+CW93</f>
        <v>512.51551618429107</v>
      </c>
      <c r="CX97" s="49">
        <f>AB97-SUM(CT97:CW97)</f>
        <v>0</v>
      </c>
      <c r="CY97" s="14">
        <f>+CY95+CY93</f>
        <v>408.50827469157343</v>
      </c>
      <c r="CZ97" s="14">
        <f>+CZ95+CZ93</f>
        <v>468.85783680079322</v>
      </c>
      <c r="DA97" s="14">
        <f>+DA95+DA93</f>
        <v>454.27961104887902</v>
      </c>
      <c r="DB97" s="14">
        <f>+DB95+DB93</f>
        <v>520.6997961845866</v>
      </c>
      <c r="DC97" s="871">
        <f>AC97-SUM(CY97:DB97)</f>
        <v>0</v>
      </c>
      <c r="DD97" s="14">
        <f>+DD95+DD93</f>
        <v>437.29488348861855</v>
      </c>
      <c r="DE97" s="14">
        <f>+DE95+DE93</f>
        <v>437.41293503010274</v>
      </c>
      <c r="DF97" s="14">
        <f>+DF95+DF93</f>
        <v>421.2512227174127</v>
      </c>
      <c r="DG97" s="14">
        <f>+DG95+DG93</f>
        <v>378.74291070739207</v>
      </c>
      <c r="DH97" s="871">
        <f>AD97-SUM(DD97:DG97)</f>
        <v>0</v>
      </c>
      <c r="DI97" s="129">
        <f>Drivers!BG123</f>
        <v>369.79999999999995</v>
      </c>
      <c r="DJ97" s="129">
        <f>Drivers!BH123</f>
        <v>359</v>
      </c>
      <c r="DK97" s="129">
        <f>Drivers!BI123</f>
        <v>313.39999999999998</v>
      </c>
      <c r="DL97" s="129">
        <f>Drivers!BJ123</f>
        <v>369.09999999999997</v>
      </c>
      <c r="DM97" s="357">
        <f>AE97-SUM(DI97:DL97)</f>
        <v>0</v>
      </c>
      <c r="DN97" s="129">
        <f>Drivers!BL123</f>
        <v>250.7</v>
      </c>
      <c r="DO97" s="129">
        <f>Drivers!BM123</f>
        <v>257.5</v>
      </c>
      <c r="DP97" s="129">
        <f>Drivers!BN123</f>
        <v>270.89999999999998</v>
      </c>
      <c r="DQ97" s="129">
        <f>Drivers!BO123</f>
        <v>358.2</v>
      </c>
      <c r="DR97" s="538">
        <f>AF97-SUM(DN97:DQ97)</f>
        <v>0</v>
      </c>
      <c r="DS97" s="129">
        <f>Drivers!BQ123</f>
        <v>322.8</v>
      </c>
      <c r="DT97" s="129">
        <f>Drivers!BR123</f>
        <v>337.90000000000003</v>
      </c>
      <c r="DU97" s="129">
        <f>Drivers!BS123</f>
        <v>330.79999999999995</v>
      </c>
      <c r="DV97" s="129">
        <f>Drivers!BT123</f>
        <v>454.64800000000002</v>
      </c>
      <c r="DW97" s="538">
        <f>AG97-SUM(DS97:DV97)</f>
        <v>0</v>
      </c>
      <c r="DX97" s="129">
        <f>Drivers!BV123</f>
        <v>326.99199999999996</v>
      </c>
      <c r="DY97" s="129">
        <f>Drivers!BW123</f>
        <v>338.78950000000003</v>
      </c>
      <c r="DZ97" s="129">
        <f>Drivers!BX123</f>
        <v>309.5</v>
      </c>
      <c r="EA97" s="129">
        <f>Drivers!BY123</f>
        <v>373.5184999999999</v>
      </c>
      <c r="EB97" s="2300">
        <f>AH97-SUM(DX97:EA97)</f>
        <v>0</v>
      </c>
      <c r="EC97" s="129">
        <f>Drivers!CA123</f>
        <v>333.87216000000001</v>
      </c>
      <c r="ED97" s="129">
        <f>Drivers!CB123</f>
        <v>358.83371</v>
      </c>
      <c r="EE97" s="129">
        <f>Drivers!CC123</f>
        <v>331.82499999999999</v>
      </c>
      <c r="EF97" s="129">
        <f>Drivers!CD123</f>
        <v>436.06912999999986</v>
      </c>
      <c r="EG97" s="2300">
        <f>AI97-SUM(EC97:EF97)</f>
        <v>0</v>
      </c>
      <c r="EH97" s="129">
        <f>Drivers!CF123</f>
        <v>349.87216000000001</v>
      </c>
      <c r="EI97" s="129">
        <f>Drivers!CG123</f>
        <v>352.83371</v>
      </c>
      <c r="EJ97" s="129">
        <f>Drivers!CH123</f>
        <v>308.61509022927538</v>
      </c>
      <c r="EK97" s="129">
        <f>Drivers!CI123</f>
        <v>378.27903977072447</v>
      </c>
      <c r="EL97" s="1120">
        <f>+AJ97-SUM(EH97:EK97)</f>
        <v>0</v>
      </c>
      <c r="EM97" s="129">
        <f>Drivers!CK123</f>
        <v>333.26211455999999</v>
      </c>
      <c r="EN97" s="129">
        <f>Drivers!CL123</f>
        <v>337.09202450000004</v>
      </c>
      <c r="EO97" s="129">
        <f>Drivers!CM123</f>
        <v>344.95601095110959</v>
      </c>
      <c r="EP97" s="129">
        <f>Drivers!CN123</f>
        <v>437.68984998889027</v>
      </c>
      <c r="EQ97" s="1120">
        <f>+$AK97-SUM(EM97:EP97)</f>
        <v>0</v>
      </c>
      <c r="ER97" s="129">
        <f>Drivers!CP123</f>
        <v>375</v>
      </c>
      <c r="ES97" s="129">
        <f>Drivers!CQ123</f>
        <v>387</v>
      </c>
      <c r="ET97" s="129">
        <f>Drivers!CR123</f>
        <v>376</v>
      </c>
      <c r="EU97" s="129">
        <f>Drivers!CS123</f>
        <v>454</v>
      </c>
      <c r="EV97" s="1120">
        <f>+$AL97-SUM(ER97:EU97)</f>
        <v>0</v>
      </c>
      <c r="EW97" s="129">
        <f>Drivers!CU123</f>
        <v>448</v>
      </c>
      <c r="EX97" s="129">
        <f>Drivers!CV123</f>
        <v>396</v>
      </c>
      <c r="EY97" s="129">
        <f>Drivers!CW123</f>
        <v>409</v>
      </c>
      <c r="EZ97" s="3008">
        <f>Drivers!CX123</f>
        <v>526</v>
      </c>
      <c r="FA97" s="2835">
        <f>AM97-SUM(EW97:EZ97)</f>
        <v>0</v>
      </c>
      <c r="FB97" s="3008">
        <f>Drivers!CZ123</f>
        <v>409</v>
      </c>
      <c r="FC97" s="3008">
        <f>Drivers!DA123</f>
        <v>412</v>
      </c>
      <c r="FD97" s="3008">
        <f>Drivers!DB123</f>
        <v>397</v>
      </c>
      <c r="FE97" s="3008">
        <f>Drivers!DC123</f>
        <v>482.74116142289699</v>
      </c>
      <c r="FF97" s="1741">
        <f>AN97-SUM(FB97:FE97)</f>
        <v>0</v>
      </c>
      <c r="FG97" s="3008">
        <f>Drivers!DE123</f>
        <v>449.61840248096553</v>
      </c>
      <c r="FH97" s="3008">
        <f>Drivers!DF123</f>
        <v>444.07812600658212</v>
      </c>
      <c r="FI97" s="3008">
        <f>Drivers!DG123</f>
        <v>452.71003181943894</v>
      </c>
      <c r="FJ97" s="3008">
        <f>Drivers!DH123</f>
        <v>574.18280523985322</v>
      </c>
      <c r="FK97" s="1741">
        <f>AO97-SUM(FG97:FJ97)</f>
        <v>0</v>
      </c>
      <c r="FL97" s="129"/>
    </row>
    <row r="98" spans="1:168">
      <c r="A98" s="413" t="str">
        <f>+A96</f>
        <v>% Change</v>
      </c>
      <c r="B98" s="39"/>
      <c r="C98" s="39"/>
      <c r="D98" s="39"/>
      <c r="E98" s="39"/>
      <c r="F98" s="39"/>
      <c r="G98" s="39"/>
      <c r="H98" s="39"/>
      <c r="I98" s="39"/>
      <c r="J98" s="39"/>
      <c r="K98" s="39">
        <f>K97/E97-1</f>
        <v>-4.8879837067208332E-3</v>
      </c>
      <c r="L98" s="39"/>
      <c r="M98" s="39">
        <f>M97/K97-1</f>
        <v>6.5629690271523877E-2</v>
      </c>
      <c r="N98" s="39">
        <f>N97/K97-1</f>
        <v>6.5629690271523877E-2</v>
      </c>
      <c r="O98" s="39"/>
      <c r="P98" s="39">
        <f>P97/N97-1</f>
        <v>-5.4558258642765534E-2</v>
      </c>
      <c r="Q98" s="39"/>
      <c r="R98" s="39">
        <f>R97/N97-1</f>
        <v>-5.4558258642765534E-2</v>
      </c>
      <c r="S98" s="39"/>
      <c r="T98" s="39">
        <f>T97/R97-1</f>
        <v>0.11654333753165669</v>
      </c>
      <c r="U98" s="39">
        <f>U97/T97-1</f>
        <v>1.6054852289711929E-2</v>
      </c>
      <c r="V98" s="39"/>
      <c r="W98" s="39"/>
      <c r="X98" s="39">
        <f>X97/U97-1</f>
        <v>9.8120391540879703E-2</v>
      </c>
      <c r="Y98" s="39">
        <f>Y97/S97-1</f>
        <v>0.11654333753165669</v>
      </c>
      <c r="Z98" s="39">
        <f>Z97/Y97-1</f>
        <v>1.6054852289711929E-2</v>
      </c>
      <c r="AA98" s="39">
        <f>AA97/Z97-1</f>
        <v>9.8120391540879703E-2</v>
      </c>
      <c r="AB98" s="39">
        <f>AB97/AA97-1</f>
        <v>-2.6567060308293811E-2</v>
      </c>
      <c r="AC98" s="39">
        <f t="shared" ref="AC98:AQ98" si="151">AC97/AB97-1</f>
        <v>3.4326052817241326E-2</v>
      </c>
      <c r="AD98" s="39">
        <f t="shared" si="151"/>
        <v>-9.5901960507077222E-2</v>
      </c>
      <c r="AE98" s="39">
        <f t="shared" si="151"/>
        <v>-0.15728288346343822</v>
      </c>
      <c r="AF98" s="39">
        <f t="shared" si="151"/>
        <v>-0.1941472401332105</v>
      </c>
      <c r="AG98" s="39">
        <f t="shared" si="151"/>
        <v>0.27156247252264154</v>
      </c>
      <c r="AH98" s="39">
        <f t="shared" si="151"/>
        <v>-6.7315378508977175E-2</v>
      </c>
      <c r="AI98" s="39">
        <f t="shared" si="151"/>
        <v>8.2888493475682168E-2</v>
      </c>
      <c r="AJ98" s="39">
        <f>AJ97/AI97-1</f>
        <v>-4.861016020813369E-2</v>
      </c>
      <c r="AK98" s="39">
        <f>AK97/AJ97-1</f>
        <v>4.5624640184225518E-2</v>
      </c>
      <c r="AL98" s="39">
        <f>AL97/AK97-1</f>
        <v>9.5664143152099257E-2</v>
      </c>
      <c r="AM98" s="39">
        <f>AM97/AL97-1</f>
        <v>0.11746231155778886</v>
      </c>
      <c r="AN98" s="39">
        <f t="shared" si="151"/>
        <v>-4.3990353331704757E-2</v>
      </c>
      <c r="AO98" s="39">
        <f t="shared" si="151"/>
        <v>0.12926611592090254</v>
      </c>
      <c r="AP98" s="39">
        <f t="shared" si="151"/>
        <v>5.4760768617842404E-2</v>
      </c>
      <c r="AQ98" s="39">
        <f t="shared" si="151"/>
        <v>0.20215849429035848</v>
      </c>
      <c r="AR98" s="39">
        <f t="shared" ref="AR98:AY98" si="152">AR97/AQ97-1</f>
        <v>3.6586143238018565E-2</v>
      </c>
      <c r="AS98" s="39">
        <f t="shared" si="152"/>
        <v>8.8163560474905811E-2</v>
      </c>
      <c r="AT98" s="39">
        <f t="shared" si="152"/>
        <v>-1.6671904501740498E-2</v>
      </c>
      <c r="AU98" s="39">
        <f t="shared" si="152"/>
        <v>7.5487994194540109E-2</v>
      </c>
      <c r="AV98" s="39">
        <f t="shared" si="152"/>
        <v>-7.897981117631514E-3</v>
      </c>
      <c r="AW98" s="39">
        <f t="shared" si="152"/>
        <v>3.9459774448991514E-2</v>
      </c>
      <c r="AX98" s="39">
        <f t="shared" si="152"/>
        <v>-6.4266815755409379E-3</v>
      </c>
      <c r="AY98" s="39">
        <f t="shared" si="152"/>
        <v>8.6179116816889501E-2</v>
      </c>
      <c r="AZ98" s="359"/>
      <c r="BA98" s="359"/>
      <c r="BB98" s="359"/>
      <c r="BC98" s="359"/>
      <c r="BD98" s="359"/>
      <c r="BE98" s="359"/>
      <c r="BF98" s="39"/>
      <c r="BG98" s="39"/>
      <c r="BH98" s="39"/>
      <c r="BI98" s="39"/>
      <c r="BJ98" s="39"/>
      <c r="BK98" s="39">
        <f>BK97/BF97-1</f>
        <v>0.14550849332204452</v>
      </c>
      <c r="BL98" s="39">
        <f>BL97/BG97-1</f>
        <v>0.13523281690664479</v>
      </c>
      <c r="BM98" s="39">
        <f>BM97/BH97-1</f>
        <v>8.5063208683335612E-2</v>
      </c>
      <c r="BN98" s="39">
        <f>BN97/BI97-1</f>
        <v>-7.0674929245775675E-2</v>
      </c>
      <c r="BO98" s="39"/>
      <c r="BP98" s="39">
        <f>BP97/BF97-1</f>
        <v>0.14550849332204452</v>
      </c>
      <c r="BQ98" s="39">
        <f>BQ97/BG97-1</f>
        <v>0.13523281690664479</v>
      </c>
      <c r="BR98" s="39">
        <f>BR97/BH97-1</f>
        <v>8.5063208683335612E-2</v>
      </c>
      <c r="BS98" s="39">
        <f>BS97/BI97-1</f>
        <v>-7.0674929245775675E-2</v>
      </c>
      <c r="BT98" s="39"/>
      <c r="BU98" s="39">
        <f>BU97/BP97-1</f>
        <v>-8.2602217611446482E-2</v>
      </c>
      <c r="BV98" s="39">
        <f>BV97/BQ97-1</f>
        <v>-8.9999999999999969E-2</v>
      </c>
      <c r="BW98" s="39">
        <f>BW97/BR97-1</f>
        <v>-0.11554588271264943</v>
      </c>
      <c r="BX98" s="39">
        <f>BX97/BS97-1</f>
        <v>6.3969520183973838E-2</v>
      </c>
      <c r="BY98" s="39"/>
      <c r="BZ98" s="39">
        <f>BZ97/BU97-1</f>
        <v>-7.999999999999996E-2</v>
      </c>
      <c r="CA98" s="39">
        <f>CA97/BV97-1</f>
        <v>2.9542472243622608E-2</v>
      </c>
      <c r="CB98" s="39">
        <f>CB97/BW97-1</f>
        <v>0.30006374434178551</v>
      </c>
      <c r="CC98" s="39">
        <f>CC97/BX97-1</f>
        <v>0.21830733183793916</v>
      </c>
      <c r="CD98" s="118"/>
      <c r="CE98" s="119">
        <v>0.15</v>
      </c>
      <c r="CF98" s="119">
        <v>0.08</v>
      </c>
      <c r="CG98" s="119">
        <v>8.0000000000000002E-3</v>
      </c>
      <c r="CH98" s="39">
        <f>CH97/CC97-1</f>
        <v>-0.10851198844095167</v>
      </c>
      <c r="CI98" s="53"/>
      <c r="CJ98" s="119">
        <v>0.14000000000000001</v>
      </c>
      <c r="CK98" s="119">
        <v>0.08</v>
      </c>
      <c r="CL98" s="39">
        <f>+CL97/CB97-1</f>
        <v>3.0000000000000027E-2</v>
      </c>
      <c r="CM98" s="39">
        <f>+CM97/CC97-1</f>
        <v>0.19646168463719516</v>
      </c>
      <c r="CN98" s="49"/>
      <c r="CO98" s="119">
        <v>0.14000000000000001</v>
      </c>
      <c r="CP98" s="119">
        <v>0.08</v>
      </c>
      <c r="CQ98" s="39">
        <f>+CQ97/CG97-1</f>
        <v>2.9999999999999805E-2</v>
      </c>
      <c r="CR98" s="39">
        <f>+CR97/CH97-1</f>
        <v>0.14312832820642241</v>
      </c>
      <c r="CS98" s="49"/>
      <c r="CT98" s="39">
        <f>+CT97/CO97-1</f>
        <v>-4.0822370094412475E-2</v>
      </c>
      <c r="CU98" s="39">
        <f>+CU97/CP97-1</f>
        <v>-4.0382146165392596E-2</v>
      </c>
      <c r="CV98" s="39">
        <f>+CV97/CQ97-1</f>
        <v>9.4841229603481736E-3</v>
      </c>
      <c r="CW98" s="39">
        <f>+CW97/CR97-1</f>
        <v>-3.2302696418514132E-2</v>
      </c>
      <c r="CX98" s="49"/>
      <c r="CY98" s="39">
        <f>+CY97/CT97-1</f>
        <v>2.5185982755093095E-2</v>
      </c>
      <c r="CZ98" s="39">
        <f>+CZ97/CU97-1</f>
        <v>4.5895417597366484E-2</v>
      </c>
      <c r="DA98" s="39">
        <f>+DA97/CV97-1</f>
        <v>5.2546755221466457E-2</v>
      </c>
      <c r="DB98" s="39">
        <f>+DB97/CW97-1</f>
        <v>1.5968843365422369E-2</v>
      </c>
      <c r="DC98" s="39"/>
      <c r="DD98" s="39">
        <f>+DD97/CY97-1</f>
        <v>7.0467627170537117E-2</v>
      </c>
      <c r="DE98" s="39">
        <f>+(DE97/(CZ97))-1</f>
        <v>-6.7067028217448144E-2</v>
      </c>
      <c r="DF98" s="39">
        <f>+DF97/DA97-1</f>
        <v>-7.27049762484554E-2</v>
      </c>
      <c r="DG98" s="39">
        <f>+DG97/DB97-1</f>
        <v>-0.27262711934473505</v>
      </c>
      <c r="DH98" s="39"/>
      <c r="DI98" s="39">
        <f>+DI97/DD97-1</f>
        <v>-0.15434638281189783</v>
      </c>
      <c r="DJ98" s="39">
        <f>+(DJ97/(DE97))-1</f>
        <v>-0.17926524057800519</v>
      </c>
      <c r="DK98" s="39">
        <f>+(DK97-10)/DF97-1</f>
        <v>-0.27976470182608981</v>
      </c>
      <c r="DL98" s="39">
        <f>+(DL97-30)/(DG97-12)-1</f>
        <v>-7.5374083316492979E-2</v>
      </c>
      <c r="DM98" s="39"/>
      <c r="DN98" s="39">
        <f>+DN97/DI97-1</f>
        <v>-0.32206598161168198</v>
      </c>
      <c r="DO98" s="39">
        <f>+(DO97/(DJ97))-1</f>
        <v>-0.28272980501392753</v>
      </c>
      <c r="DP98" s="39">
        <f>+(DP97)/(DK97-20)-1</f>
        <v>-7.6687116564417179E-2</v>
      </c>
      <c r="DQ98" s="39">
        <f>+(DQ97)/(DL97-40)-1</f>
        <v>8.8422971741112244E-2</v>
      </c>
      <c r="DR98" s="116"/>
      <c r="DS98" s="39">
        <f>DS97/DN97-1</f>
        <v>0.28759473474272057</v>
      </c>
      <c r="DT98" s="39">
        <f>DT97/DO97-1</f>
        <v>0.31223300970873802</v>
      </c>
      <c r="DU98" s="39">
        <f>DU97/DP97-1</f>
        <v>0.22111480251015125</v>
      </c>
      <c r="DV98" s="39">
        <f>DV97/DQ97-1</f>
        <v>0.26925739810161931</v>
      </c>
      <c r="DX98" s="39">
        <f>DX97/DS97-1</f>
        <v>1.2986369268896958E-2</v>
      </c>
      <c r="DY98" s="39">
        <f>DY97/DT97-1</f>
        <v>2.632435631843677E-3</v>
      </c>
      <c r="DZ98" s="39">
        <f>DZ97/DU97-1</f>
        <v>-6.438935912938315E-2</v>
      </c>
      <c r="EA98" s="39">
        <f>EA97/DV97-1</f>
        <v>-0.17844464288856454</v>
      </c>
      <c r="EB98" s="2300"/>
      <c r="EC98" s="39">
        <f>EC97/DX97-1</f>
        <v>2.1040759406958154E-2</v>
      </c>
      <c r="ED98" s="39">
        <f>ED97/DY97-1</f>
        <v>5.9164200779539877E-2</v>
      </c>
      <c r="EE98" s="39">
        <f>EE97/DZ97-1</f>
        <v>7.2132471728594494E-2</v>
      </c>
      <c r="EF98" s="39">
        <f>EF97/EA97-1</f>
        <v>0.16746327156486207</v>
      </c>
      <c r="EG98" s="2300"/>
      <c r="EH98" s="39">
        <f>EH97/EC97-1</f>
        <v>4.7922534181945586E-2</v>
      </c>
      <c r="EI98" s="39">
        <f>EI97/ED97-1</f>
        <v>-1.672083706962757E-2</v>
      </c>
      <c r="EJ98" s="39">
        <f>EJ97/EE97-1</f>
        <v>-6.9946236030210551E-2</v>
      </c>
      <c r="EK98" s="39">
        <f>EK97/EF97-1</f>
        <v>-0.13252506598959535</v>
      </c>
      <c r="EM98" s="1174">
        <f>EM97/EH97-1</f>
        <v>-4.7474613127263421E-2</v>
      </c>
      <c r="EN98" s="1174">
        <f>EN97/EI97-1</f>
        <v>-4.4615027005214358E-2</v>
      </c>
      <c r="EO98" s="1174">
        <f>EO97/EJ97-1</f>
        <v>0.11775484048701546</v>
      </c>
      <c r="EP98" s="1174">
        <f>EP97/EK97-1</f>
        <v>0.15705551714991883</v>
      </c>
      <c r="ER98" s="1609">
        <f>ER97/EM97-1</f>
        <v>0.12524041472612568</v>
      </c>
      <c r="ES98" s="1609">
        <f>ES97/EN97-1</f>
        <v>0.14805445359921277</v>
      </c>
      <c r="ET98" s="1609">
        <f>ET97/EO97-1</f>
        <v>8.9994051598916158E-2</v>
      </c>
      <c r="EU98" s="1174">
        <f>EU97/EP97-1</f>
        <v>3.7264172362059034E-2</v>
      </c>
      <c r="EW98" s="1609">
        <f>EW97/ER97-1</f>
        <v>0.19466666666666677</v>
      </c>
      <c r="EX98" s="1609">
        <f>EX97/ES97-1</f>
        <v>2.3255813953488413E-2</v>
      </c>
      <c r="EY98" s="1609">
        <f>EY97/ET97-1</f>
        <v>8.7765957446808596E-2</v>
      </c>
      <c r="EZ98" s="2866">
        <f>EZ97/EU97-1</f>
        <v>0.15859030837004395</v>
      </c>
      <c r="FA98" s="2807"/>
      <c r="FB98" s="3003">
        <f>FB97/EW97-1</f>
        <v>-8.7053571428571397E-2</v>
      </c>
      <c r="FC98" s="3003">
        <f>FC97/EX97-1</f>
        <v>4.0404040404040442E-2</v>
      </c>
      <c r="FD98" s="3003">
        <f>FD97/EY97-1</f>
        <v>-2.933985330073352E-2</v>
      </c>
      <c r="FE98" s="2866">
        <f>FE97/EZ97-1</f>
        <v>-8.224113797928323E-2</v>
      </c>
      <c r="FF98" s="2807"/>
      <c r="FG98" s="2866">
        <f t="shared" ref="FG98:FJ98" si="153">FG97/FB97-1</f>
        <v>9.9311497508473234E-2</v>
      </c>
      <c r="FH98" s="2866">
        <f t="shared" si="153"/>
        <v>7.7859529142189521E-2</v>
      </c>
      <c r="FI98" s="2866">
        <f t="shared" si="153"/>
        <v>0.14032753606911563</v>
      </c>
      <c r="FJ98" s="2866">
        <f t="shared" si="153"/>
        <v>0.1894216841742451</v>
      </c>
      <c r="FK98" s="2807"/>
      <c r="FL98" s="39"/>
    </row>
    <row r="99" spans="1:168" ht="12.75" customHeight="1" outlineLevel="1">
      <c r="A99" s="390" t="s">
        <v>1062</v>
      </c>
      <c r="B99" s="14"/>
      <c r="C99" s="14"/>
      <c r="D99" s="14">
        <v>705.3</v>
      </c>
      <c r="E99" s="14">
        <f>+SUM(B99:D99)</f>
        <v>705.3</v>
      </c>
      <c r="F99" s="14">
        <f>E99</f>
        <v>705.3</v>
      </c>
      <c r="G99" s="14"/>
      <c r="H99" s="14"/>
      <c r="I99" s="14">
        <v>103</v>
      </c>
      <c r="J99" s="14">
        <v>688.6</v>
      </c>
      <c r="K99" s="14">
        <f>+SUM(H99:J99)</f>
        <v>791.6</v>
      </c>
      <c r="L99" s="14">
        <f>K99</f>
        <v>791.6</v>
      </c>
      <c r="M99" s="14">
        <f>+N99</f>
        <v>791.6</v>
      </c>
      <c r="N99" s="14">
        <v>791.6</v>
      </c>
      <c r="O99" s="14">
        <f>N99</f>
        <v>791.6</v>
      </c>
      <c r="P99" s="14"/>
      <c r="Q99" s="14"/>
      <c r="R99" s="14"/>
      <c r="S99" s="14"/>
      <c r="T99" s="14"/>
      <c r="U99" s="14"/>
      <c r="V99" s="14"/>
      <c r="W99" s="14"/>
      <c r="X99" s="14"/>
      <c r="Y99" s="14"/>
      <c r="Z99" s="14"/>
      <c r="AA99" s="14"/>
      <c r="AB99" s="39"/>
      <c r="AC99" s="39"/>
      <c r="AD99" s="14"/>
      <c r="AE99" s="14"/>
      <c r="AF99" s="14"/>
      <c r="AG99" s="14"/>
      <c r="AH99" s="14"/>
      <c r="AI99" s="14"/>
      <c r="AJ99" s="14"/>
      <c r="AK99" s="14"/>
      <c r="AL99" s="14"/>
      <c r="AM99" s="14"/>
      <c r="AN99" s="14"/>
      <c r="AO99" s="14"/>
      <c r="AP99" s="14"/>
      <c r="AQ99" s="14"/>
      <c r="AR99" s="14"/>
      <c r="AS99" s="14"/>
      <c r="AT99" s="14"/>
      <c r="AU99" s="14"/>
      <c r="AV99" s="14"/>
      <c r="AW99" s="14"/>
      <c r="AX99" s="354"/>
      <c r="AY99" s="354"/>
      <c r="AZ99" s="354"/>
      <c r="BA99" s="354"/>
      <c r="BB99" s="354"/>
      <c r="BC99" s="354"/>
      <c r="BD99" s="354"/>
      <c r="BE99" s="354"/>
      <c r="BF99" s="14">
        <v>130</v>
      </c>
      <c r="BG99" s="14">
        <v>225</v>
      </c>
      <c r="BH99" s="14">
        <v>175</v>
      </c>
      <c r="BI99" s="14">
        <f>+K99-SUM(BF99:BH99)</f>
        <v>261.60000000000002</v>
      </c>
      <c r="BJ99" s="14"/>
      <c r="BK99" s="14">
        <f>+BF99*1.134</f>
        <v>147.41999999999999</v>
      </c>
      <c r="BL99" s="14">
        <f>+BG99*1.134</f>
        <v>255.14999999999998</v>
      </c>
      <c r="BM99" s="14">
        <f>+BH99*1.134</f>
        <v>198.45</v>
      </c>
      <c r="BN99" s="14">
        <f>+N99-SUM(BK99:BM99)</f>
        <v>190.58000000000004</v>
      </c>
      <c r="BO99" s="14"/>
      <c r="BP99" s="14">
        <f>+BK99</f>
        <v>147.41999999999999</v>
      </c>
      <c r="BQ99" s="14">
        <f>+BL99</f>
        <v>255.14999999999998</v>
      </c>
      <c r="BR99" s="14">
        <f>+BM99</f>
        <v>198.45</v>
      </c>
      <c r="BS99" s="14">
        <f>+N99-SUM(BP99:BR99)</f>
        <v>190.58000000000004</v>
      </c>
      <c r="BT99" s="14"/>
      <c r="BU99" s="14"/>
      <c r="BV99" s="14"/>
      <c r="BW99" s="14"/>
      <c r="BX99" s="14"/>
      <c r="BY99" s="95"/>
      <c r="BZ99" s="14"/>
      <c r="CA99" s="14"/>
      <c r="CB99" s="14"/>
      <c r="CC99" s="14"/>
      <c r="CD99" s="377"/>
      <c r="CE99" s="14"/>
      <c r="CF99" s="14"/>
      <c r="CG99" s="14"/>
      <c r="CH99" s="14"/>
      <c r="CI99" s="53"/>
      <c r="CJ99" s="14"/>
      <c r="CK99" s="14"/>
      <c r="CL99" s="14"/>
      <c r="CM99" s="14"/>
      <c r="CN99" s="49"/>
      <c r="CO99" s="14"/>
      <c r="CP99" s="14"/>
      <c r="CQ99" s="14"/>
      <c r="CR99" s="14"/>
      <c r="CS99" s="49"/>
      <c r="CT99" s="414"/>
      <c r="CU99" s="352"/>
      <c r="CV99" s="352"/>
      <c r="CW99" s="414"/>
      <c r="CX99" s="49"/>
      <c r="CY99" s="352"/>
      <c r="CZ99" s="352"/>
      <c r="DA99" s="352"/>
      <c r="DB99" s="352"/>
      <c r="DC99" s="14"/>
      <c r="DD99" s="352"/>
      <c r="DE99" s="352"/>
      <c r="DF99" s="352"/>
      <c r="DG99" s="352"/>
      <c r="DH99" s="14"/>
      <c r="DI99" s="352"/>
      <c r="DJ99" s="352"/>
      <c r="DK99" s="352"/>
      <c r="DL99" s="352"/>
      <c r="DM99" s="14"/>
      <c r="DN99" s="14"/>
      <c r="DO99" s="14"/>
      <c r="DP99" s="14"/>
      <c r="DQ99" s="14"/>
      <c r="DR99" s="14"/>
      <c r="EB99" s="2300"/>
      <c r="EG99" s="2300"/>
      <c r="EI99" s="1048"/>
      <c r="EJ99" s="1048"/>
      <c r="EK99" s="1048"/>
      <c r="EM99" s="1048"/>
      <c r="EN99" s="1048"/>
      <c r="EO99" s="1048"/>
      <c r="EP99" s="1048"/>
      <c r="ER99" s="1048"/>
      <c r="ES99" s="1048"/>
      <c r="ET99" s="1048"/>
      <c r="EU99" s="1048"/>
      <c r="EW99" s="1048"/>
      <c r="EX99" s="1048"/>
      <c r="EY99" s="1048"/>
      <c r="EZ99" s="2807"/>
      <c r="FA99" s="2807"/>
      <c r="FB99" s="2807"/>
      <c r="FC99" s="2807"/>
      <c r="FD99" s="2807"/>
      <c r="FE99" s="2807"/>
      <c r="FF99" s="2807"/>
      <c r="FG99" s="2807"/>
      <c r="FH99" s="2807"/>
      <c r="FI99" s="2807"/>
      <c r="FJ99" s="2807"/>
      <c r="FK99" s="2807"/>
      <c r="FL99" s="2807"/>
    </row>
    <row r="100" spans="1:168" outlineLevel="1">
      <c r="A100" s="372" t="str">
        <f>+A96</f>
        <v>% Change</v>
      </c>
      <c r="B100" s="242"/>
      <c r="C100" s="242"/>
      <c r="D100" s="242"/>
      <c r="E100" s="242"/>
      <c r="F100" s="242"/>
      <c r="G100" s="242"/>
      <c r="H100" s="242"/>
      <c r="I100" s="242"/>
      <c r="J100" s="242"/>
      <c r="K100" s="242"/>
      <c r="L100" s="242"/>
      <c r="M100" s="242"/>
      <c r="N100" s="39">
        <f>+N99/K99-1</f>
        <v>0</v>
      </c>
      <c r="O100" s="242"/>
      <c r="P100" s="39"/>
      <c r="Q100" s="39"/>
      <c r="R100" s="39"/>
      <c r="S100" s="242"/>
      <c r="T100" s="39"/>
      <c r="U100" s="39"/>
      <c r="V100" s="39"/>
      <c r="W100" s="39"/>
      <c r="X100" s="39"/>
      <c r="Y100" s="242"/>
      <c r="Z100" s="242"/>
      <c r="AA100" s="242"/>
      <c r="AB100" s="39"/>
      <c r="AC100" s="39"/>
      <c r="AD100" s="39"/>
      <c r="AE100" s="39"/>
      <c r="AF100" s="39"/>
      <c r="AG100" s="39"/>
      <c r="AH100" s="39"/>
      <c r="AI100" s="39"/>
      <c r="AJ100" s="39"/>
      <c r="AK100" s="39"/>
      <c r="AL100" s="39"/>
      <c r="AM100" s="39"/>
      <c r="AN100" s="39"/>
      <c r="AO100" s="39"/>
      <c r="AP100" s="39"/>
      <c r="AQ100" s="39"/>
      <c r="AR100" s="39"/>
      <c r="AS100" s="39"/>
      <c r="AT100" s="39"/>
      <c r="AU100" s="39"/>
      <c r="AV100" s="39"/>
      <c r="AW100" s="39"/>
      <c r="AX100" s="359"/>
      <c r="AY100" s="359"/>
      <c r="AZ100" s="359"/>
      <c r="BA100" s="359"/>
      <c r="BB100" s="359"/>
      <c r="BC100" s="359"/>
      <c r="BD100" s="359"/>
      <c r="BE100" s="421"/>
      <c r="BF100" s="242"/>
      <c r="BG100" s="242"/>
      <c r="BH100" s="242"/>
      <c r="BI100" s="242"/>
      <c r="BJ100" s="242"/>
      <c r="BK100" s="39">
        <f>+BK99/BF99-1</f>
        <v>0.1339999999999999</v>
      </c>
      <c r="BL100" s="39">
        <f>+BL99/BG99-1</f>
        <v>0.1339999999999999</v>
      </c>
      <c r="BM100" s="39">
        <f>+BM99/BH99-1</f>
        <v>0.1339999999999999</v>
      </c>
      <c r="BN100" s="39">
        <f>+BN99/BI99-1</f>
        <v>-0.27148318042813446</v>
      </c>
      <c r="BO100" s="39"/>
      <c r="BP100" s="39"/>
      <c r="BQ100" s="39"/>
      <c r="BR100" s="39"/>
      <c r="BS100" s="39"/>
      <c r="BT100" s="242"/>
      <c r="BU100" s="39"/>
      <c r="BV100" s="39"/>
      <c r="BW100" s="39"/>
      <c r="BX100" s="39"/>
      <c r="BY100" s="95"/>
      <c r="BZ100" s="119"/>
      <c r="CA100" s="119"/>
      <c r="CB100" s="119"/>
      <c r="CC100" s="39"/>
      <c r="CD100" s="377"/>
      <c r="CE100" s="394"/>
      <c r="CF100" s="394"/>
      <c r="CG100" s="394"/>
      <c r="CH100" s="242"/>
      <c r="CI100" s="53"/>
      <c r="CJ100" s="394"/>
      <c r="CK100" s="394"/>
      <c r="CL100" s="394"/>
      <c r="CM100" s="242"/>
      <c r="CN100" s="49"/>
      <c r="CO100" s="394"/>
      <c r="CP100" s="394"/>
      <c r="CQ100" s="394"/>
      <c r="CR100" s="242"/>
      <c r="CS100" s="49"/>
      <c r="CT100" s="391"/>
      <c r="CU100" s="391"/>
      <c r="CV100" s="391"/>
      <c r="CW100" s="391"/>
      <c r="CX100" s="49"/>
      <c r="CY100" s="391"/>
      <c r="CZ100" s="391"/>
      <c r="DA100" s="391"/>
      <c r="DB100" s="391"/>
      <c r="DC100" s="242"/>
      <c r="DD100" s="391"/>
      <c r="DE100" s="391"/>
      <c r="DF100" s="391"/>
      <c r="DG100" s="391"/>
      <c r="DH100" s="242"/>
      <c r="DI100" s="391"/>
      <c r="DJ100" s="391"/>
      <c r="DK100" s="391"/>
      <c r="DL100" s="1079"/>
      <c r="DM100" s="242"/>
      <c r="DN100" s="242"/>
      <c r="DO100" s="242"/>
      <c r="DP100" s="242"/>
      <c r="DQ100" s="242"/>
      <c r="DR100" s="242"/>
      <c r="EB100" s="2300"/>
      <c r="EG100" s="2300"/>
      <c r="EI100" s="1048"/>
      <c r="EJ100" s="1048"/>
      <c r="EK100" s="1048"/>
      <c r="EM100" s="1048"/>
      <c r="EN100" s="1048"/>
      <c r="EO100" s="1048"/>
      <c r="EP100" s="1048"/>
      <c r="ER100" s="1048"/>
      <c r="ES100" s="1048"/>
      <c r="ET100" s="1048"/>
      <c r="EU100" s="1048"/>
      <c r="EW100" s="1048"/>
      <c r="EX100" s="1048"/>
      <c r="EY100" s="1048"/>
      <c r="EZ100" s="2807"/>
      <c r="FA100" s="2807"/>
      <c r="FB100" s="2807"/>
      <c r="FC100" s="2807"/>
      <c r="FD100" s="2807"/>
      <c r="FE100" s="2807"/>
      <c r="FF100" s="2807"/>
      <c r="FG100" s="2807"/>
      <c r="FH100" s="2807"/>
      <c r="FI100" s="2807"/>
      <c r="FJ100" s="2807"/>
      <c r="FK100" s="2807"/>
      <c r="FL100" s="2807"/>
    </row>
    <row r="101" spans="1:168" outlineLevel="1">
      <c r="A101" s="390" t="s">
        <v>1063</v>
      </c>
      <c r="B101" s="14"/>
      <c r="C101" s="14"/>
      <c r="D101" s="77">
        <v>1976.6</v>
      </c>
      <c r="E101" s="14">
        <f>+SUM(B101:D101)</f>
        <v>1976.6</v>
      </c>
      <c r="F101" s="14">
        <f>E101</f>
        <v>1976.6</v>
      </c>
      <c r="G101" s="14"/>
      <c r="H101" s="77">
        <v>1582.1729999999989</v>
      </c>
      <c r="I101" s="14"/>
      <c r="J101" s="14">
        <f>+K101-H101</f>
        <v>0</v>
      </c>
      <c r="K101" s="14">
        <f>+K109-K108-K88-K99-K95-K93-K86-K107</f>
        <v>1582.1729999999989</v>
      </c>
      <c r="L101" s="14">
        <f>K101</f>
        <v>1582.1729999999989</v>
      </c>
      <c r="M101" s="14">
        <f>+M109-M108-M88-M99-M95-M93-M86-M107</f>
        <v>1290.7285499999989</v>
      </c>
      <c r="N101" s="355">
        <f>+N109-N108-N88-N99-N95-N93-N86-N107</f>
        <v>1044.0285499999991</v>
      </c>
      <c r="O101" s="14">
        <f>N101</f>
        <v>1044.0285499999991</v>
      </c>
      <c r="P101" s="354"/>
      <c r="Q101" s="354"/>
      <c r="R101" s="355"/>
      <c r="S101" s="14"/>
      <c r="T101" s="355"/>
      <c r="U101" s="355"/>
      <c r="V101" s="355"/>
      <c r="W101" s="354"/>
      <c r="X101" s="354"/>
      <c r="Y101" s="14"/>
      <c r="Z101" s="14"/>
      <c r="AA101" s="14"/>
      <c r="AB101" s="354"/>
      <c r="AC101" s="354"/>
      <c r="AD101" s="354"/>
      <c r="AE101" s="354"/>
      <c r="AF101" s="354"/>
      <c r="AG101" s="354"/>
      <c r="AH101" s="354"/>
      <c r="AI101" s="354"/>
      <c r="AJ101" s="354"/>
      <c r="AK101" s="354"/>
      <c r="AL101" s="354"/>
      <c r="AM101" s="354"/>
      <c r="AN101" s="354"/>
      <c r="AO101" s="354"/>
      <c r="AP101" s="354"/>
      <c r="AQ101" s="354"/>
      <c r="AR101" s="354"/>
      <c r="AS101" s="354"/>
      <c r="AT101" s="354"/>
      <c r="AU101" s="354"/>
      <c r="AV101" s="354"/>
      <c r="AW101" s="354"/>
      <c r="AX101" s="354"/>
      <c r="AY101" s="354"/>
      <c r="AZ101" s="354"/>
      <c r="BA101" s="354"/>
      <c r="BB101" s="354"/>
      <c r="BC101" s="354"/>
      <c r="BD101" s="354"/>
      <c r="BE101" s="354"/>
      <c r="BF101" s="309">
        <f>+BF109-BF108-BF88-BF99-BF95-BF93-BF86-BF107</f>
        <v>423.78850000000011</v>
      </c>
      <c r="BG101" s="309">
        <f>+BG109-BG108-BG88-BG99-BG95-BG93-BG86-BG107</f>
        <v>250.72000000000025</v>
      </c>
      <c r="BH101" s="309">
        <f>+BH109-BH108-BH88-BH99-BH95-BH93-BH86-BH107</f>
        <v>552.3275000000001</v>
      </c>
      <c r="BI101" s="14">
        <f>+K101-SUM(BF101:BH101)</f>
        <v>355.3369999999984</v>
      </c>
      <c r="BJ101" s="14"/>
      <c r="BK101" s="309">
        <f>+BK109-BK108-BK88-BK99-BK95-BK93-BK86-BK107</f>
        <v>242.69599999999969</v>
      </c>
      <c r="BL101" s="309">
        <f>+BL109-BL108-BL88-BL99-BL95-BL93-BL86-BL107</f>
        <v>170.53695999999968</v>
      </c>
      <c r="BM101" s="309">
        <f>+BM109-BM108-BM88-BM99-BM95-BM93-BM86-BM107</f>
        <v>401.11724999999979</v>
      </c>
      <c r="BN101" s="309">
        <f>+BN109-BN108-BN88-BN99-BN95-BN93-BN86-BN107</f>
        <v>229.67833999999993</v>
      </c>
      <c r="BO101" s="14"/>
      <c r="BP101" s="14">
        <f>+BK101</f>
        <v>242.69599999999969</v>
      </c>
      <c r="BQ101" s="14">
        <f>+BL101</f>
        <v>170.53695999999968</v>
      </c>
      <c r="BR101" s="14">
        <f>+BM101</f>
        <v>401.11724999999979</v>
      </c>
      <c r="BS101" s="14">
        <f>+N101-SUM(BP101:BR101)</f>
        <v>229.67833999999993</v>
      </c>
      <c r="BT101" s="14"/>
      <c r="BU101" s="417"/>
      <c r="BV101" s="417"/>
      <c r="BW101" s="417"/>
      <c r="BX101" s="417"/>
      <c r="BY101" s="49"/>
      <c r="BZ101" s="417"/>
      <c r="CA101" s="417"/>
      <c r="CB101" s="417"/>
      <c r="CC101" s="417"/>
      <c r="CD101" s="377"/>
      <c r="CE101" s="417"/>
      <c r="CF101" s="417"/>
      <c r="CG101" s="417"/>
      <c r="CH101" s="417"/>
      <c r="CI101" s="53"/>
      <c r="CJ101" s="417"/>
      <c r="CK101" s="417"/>
      <c r="CL101" s="14"/>
      <c r="CM101" s="14"/>
      <c r="CN101" s="49"/>
      <c r="CO101" s="417"/>
      <c r="CP101" s="417"/>
      <c r="CQ101" s="14"/>
      <c r="CR101" s="14"/>
      <c r="CS101" s="49"/>
      <c r="CT101" s="352"/>
      <c r="CU101" s="352"/>
      <c r="CV101" s="352"/>
      <c r="CW101" s="352"/>
      <c r="CX101" s="1366"/>
      <c r="CY101" s="2346"/>
      <c r="CZ101" s="2346"/>
      <c r="DA101" s="2346"/>
      <c r="DB101" s="2346"/>
      <c r="DC101" s="1357"/>
      <c r="DD101" s="2346"/>
      <c r="DE101" s="2346"/>
      <c r="DF101" s="2346"/>
      <c r="DG101" s="2346"/>
      <c r="DH101" s="1357"/>
      <c r="DI101" s="2346"/>
      <c r="DJ101" s="2346"/>
      <c r="DK101" s="2347" t="s">
        <v>337</v>
      </c>
      <c r="DL101" s="2346"/>
      <c r="DM101" s="1357"/>
      <c r="DN101" s="1357"/>
      <c r="DO101" s="1357"/>
      <c r="DP101" s="1357"/>
      <c r="DQ101" s="1357"/>
      <c r="DR101" s="1357"/>
      <c r="DS101" s="1577"/>
      <c r="DT101" s="1577"/>
      <c r="DU101" s="1577"/>
      <c r="EB101" s="2300"/>
      <c r="EG101" s="2300"/>
      <c r="EI101" s="1048"/>
      <c r="EJ101" s="1048"/>
      <c r="EK101" s="1048"/>
      <c r="EM101" s="1048"/>
      <c r="EN101" s="1048"/>
      <c r="EO101" s="1048"/>
      <c r="EP101" s="1048"/>
      <c r="ER101" s="1048"/>
      <c r="ES101" s="1048"/>
      <c r="ET101" s="1048"/>
      <c r="EU101" s="1048"/>
      <c r="EW101" s="1048"/>
      <c r="EX101" s="1048"/>
      <c r="EY101" s="1048"/>
      <c r="EZ101" s="2807"/>
      <c r="FA101" s="2807"/>
      <c r="FB101" s="2807"/>
      <c r="FC101" s="2807"/>
      <c r="FD101" s="2807"/>
      <c r="FE101" s="2807"/>
      <c r="FF101" s="2807"/>
      <c r="FG101" s="2807"/>
      <c r="FH101" s="2807"/>
      <c r="FI101" s="2807"/>
      <c r="FJ101" s="2807"/>
      <c r="FK101" s="2807"/>
      <c r="FL101" s="2807"/>
    </row>
    <row r="102" spans="1:168" ht="13.5" customHeight="1" outlineLevel="1">
      <c r="A102" s="372" t="str">
        <f>+A100</f>
        <v>% Change</v>
      </c>
      <c r="B102" s="242"/>
      <c r="C102" s="242"/>
      <c r="D102" s="242"/>
      <c r="E102" s="242"/>
      <c r="F102" s="242"/>
      <c r="G102" s="242"/>
      <c r="H102" s="242"/>
      <c r="I102" s="242"/>
      <c r="J102" s="242"/>
      <c r="K102" s="242"/>
      <c r="L102" s="242"/>
      <c r="M102" s="242"/>
      <c r="N102" s="359">
        <f>+N101/K101-1</f>
        <v>-0.34012996682410845</v>
      </c>
      <c r="O102" s="242"/>
      <c r="P102" s="359"/>
      <c r="Q102" s="359"/>
      <c r="R102" s="359"/>
      <c r="S102" s="242"/>
      <c r="T102" s="359"/>
      <c r="U102" s="359"/>
      <c r="V102" s="359"/>
      <c r="W102" s="359"/>
      <c r="X102" s="359"/>
      <c r="Y102" s="242"/>
      <c r="Z102" s="242"/>
      <c r="AA102" s="242"/>
      <c r="AB102" s="418"/>
      <c r="AC102" s="359"/>
      <c r="AD102" s="359"/>
      <c r="AE102" s="359"/>
      <c r="AF102" s="359"/>
      <c r="AG102" s="359"/>
      <c r="AH102" s="359"/>
      <c r="AI102" s="1100"/>
      <c r="AJ102" s="418"/>
      <c r="AK102" s="418"/>
      <c r="AL102" s="418"/>
      <c r="AM102" s="418"/>
      <c r="AN102" s="418"/>
      <c r="AO102" s="359"/>
      <c r="AP102" s="359"/>
      <c r="AQ102" s="359"/>
      <c r="AR102" s="359"/>
      <c r="AS102" s="359"/>
      <c r="AT102" s="359"/>
      <c r="AU102" s="359"/>
      <c r="AV102" s="359"/>
      <c r="AW102" s="359"/>
      <c r="AX102" s="359"/>
      <c r="AY102" s="359"/>
      <c r="AZ102" s="359"/>
      <c r="BA102" s="359"/>
      <c r="BB102" s="359"/>
      <c r="BC102" s="359"/>
      <c r="BD102" s="359"/>
      <c r="BE102" s="421"/>
      <c r="BF102" s="242"/>
      <c r="BG102" s="242"/>
      <c r="BH102" s="242"/>
      <c r="BI102" s="242"/>
      <c r="BJ102" s="242"/>
      <c r="BK102" s="39">
        <f>+BK101/BF101-1</f>
        <v>-0.42731810797131209</v>
      </c>
      <c r="BL102" s="39">
        <f>+BL101/BG101-1</f>
        <v>-0.31981110402042312</v>
      </c>
      <c r="BM102" s="39">
        <f>+BM101/BH101-1</f>
        <v>-0.27376918585440757</v>
      </c>
      <c r="BN102" s="39">
        <f>+BN101/BI101-1</f>
        <v>-0.35363235463798881</v>
      </c>
      <c r="BO102" s="39"/>
      <c r="BP102" s="39"/>
      <c r="BQ102" s="39"/>
      <c r="BR102" s="39"/>
      <c r="BS102" s="39"/>
      <c r="BT102" s="242"/>
      <c r="BU102" s="359"/>
      <c r="BV102" s="359"/>
      <c r="BW102" s="359"/>
      <c r="BX102" s="359"/>
      <c r="BY102" s="419"/>
      <c r="BZ102" s="359"/>
      <c r="CA102" s="359"/>
      <c r="CB102" s="359"/>
      <c r="CC102" s="359"/>
      <c r="CD102" s="420"/>
      <c r="CE102" s="421"/>
      <c r="CF102" s="421"/>
      <c r="CG102" s="421"/>
      <c r="CH102" s="421"/>
      <c r="CI102" s="418"/>
      <c r="CJ102" s="418"/>
      <c r="CK102" s="418"/>
      <c r="CL102" s="418"/>
      <c r="CM102" s="418"/>
      <c r="CN102" s="350"/>
      <c r="CO102" s="418"/>
      <c r="CP102" s="418"/>
      <c r="CQ102" s="418"/>
      <c r="CR102" s="418"/>
      <c r="CS102" s="350"/>
      <c r="CT102" s="422"/>
      <c r="CU102" s="422"/>
      <c r="CV102" s="422"/>
      <c r="CW102" s="422"/>
      <c r="CX102" s="1366"/>
      <c r="CY102" s="2348"/>
      <c r="CZ102" s="2348"/>
      <c r="DA102" s="2348"/>
      <c r="DB102" s="2348"/>
      <c r="DC102" s="1164"/>
      <c r="DD102" s="2348"/>
      <c r="DE102" s="2348"/>
      <c r="DF102" s="2348"/>
      <c r="DG102" s="2348"/>
      <c r="DH102" s="1164"/>
      <c r="DI102" s="2348"/>
      <c r="DJ102" s="2348"/>
      <c r="DK102" s="2349"/>
      <c r="DL102" s="2348"/>
      <c r="DM102" s="1164"/>
      <c r="DN102" s="1164"/>
      <c r="DO102" s="1164"/>
      <c r="DP102" s="1164"/>
      <c r="DQ102" s="1164"/>
      <c r="DR102" s="1164"/>
      <c r="DS102" s="1577"/>
      <c r="DT102" s="1577"/>
      <c r="DU102" s="1577"/>
      <c r="EB102" s="2300"/>
      <c r="EG102" s="2300"/>
      <c r="EI102" s="1048"/>
      <c r="EJ102" s="1048"/>
      <c r="EK102" s="1048"/>
      <c r="EM102" s="1048"/>
      <c r="EN102" s="1048"/>
      <c r="EO102" s="1048"/>
      <c r="EP102" s="1048"/>
      <c r="ER102" s="1048"/>
      <c r="ES102" s="1048"/>
      <c r="ET102" s="1048"/>
      <c r="EU102" s="1048"/>
      <c r="EW102" s="1048"/>
      <c r="EX102" s="1048"/>
      <c r="EY102" s="1048"/>
      <c r="EZ102" s="2807"/>
      <c r="FA102" s="2807"/>
      <c r="FB102" s="2807"/>
      <c r="FC102" s="2807"/>
      <c r="FD102" s="2807"/>
      <c r="FE102" s="2807"/>
      <c r="FF102" s="2807"/>
      <c r="FG102" s="2807"/>
      <c r="FH102" s="2807"/>
      <c r="FI102" s="2807"/>
      <c r="FJ102" s="2807"/>
      <c r="FK102" s="2807"/>
      <c r="FL102" s="2807"/>
    </row>
    <row r="103" spans="1:168" ht="13.5" customHeight="1">
      <c r="A103" s="412" t="s">
        <v>1064</v>
      </c>
      <c r="B103" s="242"/>
      <c r="C103" s="242"/>
      <c r="D103" s="49">
        <f>+D99+D101</f>
        <v>2681.8999999999996</v>
      </c>
      <c r="E103" s="49">
        <f>+E99+E101</f>
        <v>2681.8999999999996</v>
      </c>
      <c r="F103" s="49">
        <f>+F99+F101</f>
        <v>2681.8999999999996</v>
      </c>
      <c r="G103" s="49"/>
      <c r="H103" s="49">
        <f t="shared" ref="H103:N103" si="154">+H99+H101</f>
        <v>1582.1729999999989</v>
      </c>
      <c r="I103" s="49">
        <f t="shared" si="154"/>
        <v>103</v>
      </c>
      <c r="J103" s="49">
        <f t="shared" si="154"/>
        <v>688.6</v>
      </c>
      <c r="K103" s="49">
        <f t="shared" si="154"/>
        <v>2373.7729999999988</v>
      </c>
      <c r="L103" s="49">
        <f>+L99+L101</f>
        <v>2373.7729999999988</v>
      </c>
      <c r="M103" s="49">
        <f t="shared" si="154"/>
        <v>2082.3285499999988</v>
      </c>
      <c r="N103" s="49">
        <f t="shared" si="154"/>
        <v>1835.628549999999</v>
      </c>
      <c r="O103" s="49">
        <f>+O99+O101</f>
        <v>1835.628549999999</v>
      </c>
      <c r="P103" s="423">
        <f>R103</f>
        <v>2022.8878325000001</v>
      </c>
      <c r="Q103" s="359"/>
      <c r="R103" s="423">
        <f>R109-R108-R107-R97-R90</f>
        <v>2022.8878325000001</v>
      </c>
      <c r="S103" s="14">
        <f>R103</f>
        <v>2022.8878325000001</v>
      </c>
      <c r="T103" s="423">
        <f>T109-T108-T107-T97-T90</f>
        <v>2059.6203891000005</v>
      </c>
      <c r="U103" s="423">
        <f>U109-U108-U107-U97-U90</f>
        <v>2095.558532760635</v>
      </c>
      <c r="V103" s="359"/>
      <c r="W103" s="359"/>
      <c r="X103" s="423">
        <f t="shared" ref="X103:AD103" si="155">X109-X108-X107-X97-X90-X105</f>
        <v>2194.5558098613528</v>
      </c>
      <c r="Y103" s="423">
        <f t="shared" si="155"/>
        <v>1913.555129327505</v>
      </c>
      <c r="Z103" s="423">
        <f t="shared" si="155"/>
        <v>1981.6776929582929</v>
      </c>
      <c r="AA103" s="423">
        <f t="shared" si="155"/>
        <v>2128.4558098613525</v>
      </c>
      <c r="AB103" s="423">
        <f t="shared" si="155"/>
        <v>1845.8861815270673</v>
      </c>
      <c r="AC103" s="423">
        <f t="shared" si="155"/>
        <v>2002.0693590557812</v>
      </c>
      <c r="AD103" s="423">
        <f t="shared" si="155"/>
        <v>1788.3902006308772</v>
      </c>
      <c r="AE103" s="423">
        <f>Drivers!H15</f>
        <v>2569.9440777576883</v>
      </c>
      <c r="AF103" s="423">
        <f>Drivers!I15</f>
        <v>2588.6159585192045</v>
      </c>
      <c r="AG103" s="423">
        <f>Drivers!J15</f>
        <v>2416.6333323104564</v>
      </c>
      <c r="AH103" s="423">
        <f>Drivers!K15</f>
        <v>2468.760347406459</v>
      </c>
      <c r="AI103" s="423">
        <f>Drivers!L15</f>
        <v>2867.2296423241323</v>
      </c>
      <c r="AJ103" s="424">
        <f>Drivers!M15</f>
        <v>3221.8038914121935</v>
      </c>
      <c r="AK103" s="424">
        <f>Drivers!N15</f>
        <v>3160.8345434856483</v>
      </c>
      <c r="AL103" s="424">
        <f>Drivers!Q15</f>
        <v>3013.0286887855809</v>
      </c>
      <c r="AM103" s="424">
        <f>Drivers!R15</f>
        <v>2809.8046287953584</v>
      </c>
      <c r="AN103" s="424">
        <f>Drivers!T15</f>
        <v>2939.0501164532961</v>
      </c>
      <c r="AO103" s="424">
        <f>Drivers!U15</f>
        <v>3060.772228956193</v>
      </c>
      <c r="AP103" s="424">
        <f>Drivers!V15</f>
        <v>3172.6958766558755</v>
      </c>
      <c r="AQ103" s="424">
        <f>Drivers!W15</f>
        <v>3286.0159599292197</v>
      </c>
      <c r="AR103" s="424">
        <f>Drivers!X15</f>
        <v>3405.869108267314</v>
      </c>
      <c r="AS103" s="424">
        <f>Drivers!Y15</f>
        <v>3522.9663458688424</v>
      </c>
      <c r="AT103" s="424">
        <f>Drivers!Z15</f>
        <v>3636.7061506623618</v>
      </c>
      <c r="AU103" s="424">
        <f>Drivers!AA15</f>
        <v>3745.3551608694688</v>
      </c>
      <c r="AV103" s="424">
        <f>Drivers!AB15</f>
        <v>3848.127692991633</v>
      </c>
      <c r="AW103" s="424">
        <f>Drivers!AC15</f>
        <v>3944.2371303629393</v>
      </c>
      <c r="AX103" s="424">
        <f>Drivers!AD15</f>
        <v>4031.6137340485657</v>
      </c>
      <c r="AY103" s="424">
        <f>Drivers!AE15</f>
        <v>4112.0196194560413</v>
      </c>
      <c r="AZ103" s="354"/>
      <c r="BA103" s="354"/>
      <c r="BB103" s="354"/>
      <c r="BC103" s="354"/>
      <c r="BD103" s="354"/>
      <c r="BE103" s="354"/>
      <c r="BF103" s="49">
        <f>BF99+BF101</f>
        <v>553.78850000000011</v>
      </c>
      <c r="BG103" s="49">
        <f>BG99+BG101</f>
        <v>475.72000000000025</v>
      </c>
      <c r="BH103" s="49">
        <f>BH99+BH101</f>
        <v>727.3275000000001</v>
      </c>
      <c r="BI103" s="49">
        <f>BI99+BI101</f>
        <v>616.93699999999842</v>
      </c>
      <c r="BJ103" s="242"/>
      <c r="BK103" s="49">
        <f>BK99+BK101</f>
        <v>390.11599999999964</v>
      </c>
      <c r="BL103" s="49">
        <f>BL99+BL101</f>
        <v>425.68695999999966</v>
      </c>
      <c r="BM103" s="49">
        <f>BM99+BM101</f>
        <v>599.56724999999983</v>
      </c>
      <c r="BN103" s="49">
        <f>BN99+BN101</f>
        <v>420.25833999999998</v>
      </c>
      <c r="BO103" s="39"/>
      <c r="BP103" s="49">
        <f>BP99+BP101</f>
        <v>390.11599999999964</v>
      </c>
      <c r="BQ103" s="49">
        <f>BQ99+BQ101</f>
        <v>425.68695999999966</v>
      </c>
      <c r="BR103" s="49">
        <f>BR99+BR101</f>
        <v>599.56724999999983</v>
      </c>
      <c r="BS103" s="49">
        <f>BS99+BS101</f>
        <v>420.25833999999998</v>
      </c>
      <c r="BT103" s="242"/>
      <c r="BU103" s="423">
        <f>BU109-BU108-BU107-BU97-BU90</f>
        <v>473.1754199999998</v>
      </c>
      <c r="BV103" s="423">
        <f>BV109-BV108-BV107-BV97-BV90</f>
        <v>496.61008360000005</v>
      </c>
      <c r="BW103" s="423">
        <f>BW109-BW108-BW107-BW97-BW90</f>
        <v>627.71309749999989</v>
      </c>
      <c r="BX103" s="423">
        <f>BX109-BX108-BX107-BX97-BX90</f>
        <v>430.48923139999988</v>
      </c>
      <c r="BY103" s="419"/>
      <c r="BZ103" s="423">
        <f>BZ109-BZ108-BZ107-BZ97-BZ90</f>
        <v>504.76088140000002</v>
      </c>
      <c r="CA103" s="423">
        <f>CA109-CA108-CA107-CA97-CA90</f>
        <v>500.39260007300015</v>
      </c>
      <c r="CB103" s="423">
        <f>CB109-CB108-CB107-CB97-CB90</f>
        <v>674.28042007499982</v>
      </c>
      <c r="CC103" s="423">
        <f>CC109-CC108-CC107-CC97-CC90</f>
        <v>380.18648755200002</v>
      </c>
      <c r="CD103" s="420"/>
      <c r="CE103" s="423">
        <f>CE109-CE108-CE107-CE97-CE90</f>
        <v>500.05396461000009</v>
      </c>
      <c r="CF103" s="423">
        <f>CF109-CF108-CF107-CF97-CF90</f>
        <v>561.44710368884</v>
      </c>
      <c r="CG103" s="423">
        <f>CG109-CG108-CG107-CG97-CG90</f>
        <v>695.60095696959979</v>
      </c>
      <c r="CH103" s="423">
        <f>CH109-CH108-CH107-CH97-CH90</f>
        <v>338.45650749219499</v>
      </c>
      <c r="CI103" s="418"/>
      <c r="CJ103" s="423">
        <f>CJ109-CJ108-CJ107-CJ97-CJ90-CJ105</f>
        <v>609.96632929599969</v>
      </c>
      <c r="CK103" s="423">
        <f>CK109-CK108-CK107-CK97-CK90-CK105</f>
        <v>753.33889844484008</v>
      </c>
      <c r="CL103" s="423">
        <f>CL109-CL108-CL107-CL97-CL90-CL105</f>
        <v>791.75427427724981</v>
      </c>
      <c r="CM103" s="423">
        <f>CM109-CM108-CM107-CM97-CM90-CM105</f>
        <v>39.496307843261775</v>
      </c>
      <c r="CN103" s="49">
        <f>+X103-SUM(CJ103:CM103)</f>
        <v>0</v>
      </c>
      <c r="CO103" s="423">
        <f>CO109-CO108-CO107-CO97-CO90-CO105</f>
        <v>506.43497189039977</v>
      </c>
      <c r="CP103" s="423">
        <f>CP109-CP108-CP107-CP97-CP90-CP105</f>
        <v>624.67450686824736</v>
      </c>
      <c r="CQ103" s="423">
        <f>CQ109-CQ108-CQ107-CQ97-CQ90-CQ105</f>
        <v>722.21781819068815</v>
      </c>
      <c r="CR103" s="423">
        <f>CR109-CR108-CR107-CR97-CR90-CR105</f>
        <v>275.12851291201673</v>
      </c>
      <c r="CS103" s="49">
        <f>+AA103-SUM(CO103:CR103)</f>
        <v>0</v>
      </c>
      <c r="CT103" s="423">
        <f>CT109-CT108-CT107-CT97-CT90-CT105</f>
        <v>448.70527509479984</v>
      </c>
      <c r="CU103" s="423">
        <f>CU109-CU108-CU107-CU97-CU90-CU105</f>
        <v>529.44555028770549</v>
      </c>
      <c r="CV103" s="423">
        <f>CV109-CV108-CV107-CV97-CV90-CV105</f>
        <v>560.91498272447564</v>
      </c>
      <c r="CW103" s="423">
        <f>CW109-CW108-CW107-CW97-CW90-CW105</f>
        <v>306.82037342008573</v>
      </c>
      <c r="CX103" s="1366">
        <f>AB103-SUM(CT103:CW103)</f>
        <v>0</v>
      </c>
      <c r="CY103" s="2350">
        <f>CY109-CY108-CY107-CY97-CY90-CY105</f>
        <v>531.3523143785867</v>
      </c>
      <c r="CZ103" s="1724">
        <f>CZ109-CZ108-CZ107-CZ97-CZ90-CZ105</f>
        <v>448.72100476340063</v>
      </c>
      <c r="DA103" s="1724">
        <f>DA109-DA108-DA107-DA97-DA90-DA105</f>
        <v>509.85011467315377</v>
      </c>
      <c r="DB103" s="1373">
        <f>AC103-SUM(CY103:DA103)</f>
        <v>512.14592524064005</v>
      </c>
      <c r="DC103" s="2351">
        <f>AC103-SUM(CY103:DB103)</f>
        <v>0</v>
      </c>
      <c r="DD103" s="1724">
        <f>DD109-DD108-DD107-DD97-DD90-DD105</f>
        <v>396.06523275675772</v>
      </c>
      <c r="DE103" s="1724">
        <f>DE109-DE108-DE107-DE97-DE90-DE105</f>
        <v>473.68735558245936</v>
      </c>
      <c r="DF103" s="1693">
        <f>DF109-DF108-DF107-DF97-DF90-DF105</f>
        <v>439.58093328439116</v>
      </c>
      <c r="DG103" s="1821">
        <f>AD103-SUM(DD103:DF103)</f>
        <v>479.05667900726894</v>
      </c>
      <c r="DH103" s="2351">
        <f>AD103-SUM(DD103:DG103)</f>
        <v>0</v>
      </c>
      <c r="DI103" s="2194">
        <f>Drivers!BG15</f>
        <v>707.91290695046837</v>
      </c>
      <c r="DJ103" s="2194">
        <f>Drivers!BH15</f>
        <v>570.92216514319034</v>
      </c>
      <c r="DK103" s="2194">
        <f>Drivers!BI15</f>
        <v>726.10747419906943</v>
      </c>
      <c r="DL103" s="2194">
        <f>Drivers!BJ15</f>
        <v>565.00153146496041</v>
      </c>
      <c r="DM103" s="2352">
        <f>AE103-SUM(DI103:DL103)</f>
        <v>0</v>
      </c>
      <c r="DN103" s="2194">
        <f>Drivers!BL15</f>
        <v>592.81839695272811</v>
      </c>
      <c r="DO103" s="2194">
        <f>Drivers!BM15</f>
        <v>477.46138936317891</v>
      </c>
      <c r="DP103" s="2194">
        <f>Drivers!BN15</f>
        <v>951.81747419906947</v>
      </c>
      <c r="DQ103" s="2194">
        <f>Drivers!BO15</f>
        <v>566.51869800422764</v>
      </c>
      <c r="DR103" s="2026">
        <f>AF103-SUM(DN103:DQ103)</f>
        <v>0</v>
      </c>
      <c r="DS103" s="2194">
        <f>Drivers!BQ15</f>
        <v>569.14668535891019</v>
      </c>
      <c r="DT103" s="2194">
        <f>Drivers!BR15</f>
        <v>544.64038811225362</v>
      </c>
      <c r="DU103" s="2194">
        <f>Drivers!BS15</f>
        <v>656.07409677597491</v>
      </c>
      <c r="DV103" s="424">
        <f>Drivers!BT15</f>
        <v>646.77216206331809</v>
      </c>
      <c r="DW103" s="538">
        <f>AG103-SUM(DS103:DV103)</f>
        <v>0</v>
      </c>
      <c r="DX103" s="424">
        <f>Drivers!BV15</f>
        <v>589.8274981589534</v>
      </c>
      <c r="DY103" s="424">
        <f>Drivers!BW15</f>
        <v>690.38584982234465</v>
      </c>
      <c r="DZ103" s="424">
        <f>Drivers!BX15</f>
        <v>665.94242004033276</v>
      </c>
      <c r="EA103" s="424">
        <f>Drivers!BY15</f>
        <v>522.60457938482818</v>
      </c>
      <c r="EB103" s="2300">
        <f>AH103-SUM(DX103:EA103)</f>
        <v>0</v>
      </c>
      <c r="EC103" s="424">
        <f>Drivers!CA15</f>
        <v>870.16726249952762</v>
      </c>
      <c r="ED103" s="424">
        <f>Drivers!CB15</f>
        <v>654.00180949046035</v>
      </c>
      <c r="EE103" s="424">
        <f>Drivers!CC15</f>
        <v>829.29030966694086</v>
      </c>
      <c r="EF103" s="424">
        <f>Drivers!CD15</f>
        <v>513.77026066720396</v>
      </c>
      <c r="EG103" s="2300">
        <f>AI103-SUM(EC103:EF103)</f>
        <v>0</v>
      </c>
      <c r="EH103" s="424">
        <f>Drivers!CF15</f>
        <v>877.85966478294108</v>
      </c>
      <c r="EI103" s="424">
        <f>Drivers!CG15</f>
        <v>809.36735177367643</v>
      </c>
      <c r="EJ103" s="424">
        <f>Drivers!CH15</f>
        <v>905.69145357481261</v>
      </c>
      <c r="EK103" s="424">
        <f>Drivers!CI15</f>
        <v>628.88542128076392</v>
      </c>
      <c r="EL103" s="1120">
        <f>+AJ103-SUM(EH103:EK103)</f>
        <v>0</v>
      </c>
      <c r="EM103" s="424">
        <f>Drivers!CK15</f>
        <v>910.55191645197897</v>
      </c>
      <c r="EN103" s="424">
        <f>Drivers!CL15</f>
        <v>699.55811605505778</v>
      </c>
      <c r="EO103" s="424">
        <f>Drivers!CM15</f>
        <v>916.82130192457112</v>
      </c>
      <c r="EP103" s="424">
        <f>Drivers!CN15</f>
        <v>633.90320905404019</v>
      </c>
      <c r="EQ103" s="1120">
        <f>+$AK103-SUM(EM103:EP103)</f>
        <v>0</v>
      </c>
      <c r="ER103" s="424">
        <f>Drivers!CP15</f>
        <v>868.06770178069382</v>
      </c>
      <c r="ES103" s="424">
        <f>Drivers!CQ15</f>
        <v>594.99305566569672</v>
      </c>
      <c r="ET103" s="424">
        <f>Drivers!CR15</f>
        <v>877.10649308010591</v>
      </c>
      <c r="EU103" s="424">
        <f>Drivers!CS15</f>
        <v>672.86143825908425</v>
      </c>
      <c r="EV103" s="1120">
        <f>+$AL103-SUM(ER103:EU103)</f>
        <v>0</v>
      </c>
      <c r="EW103" s="424">
        <f>Drivers!CU15</f>
        <v>586.03648863560056</v>
      </c>
      <c r="EX103" s="424">
        <f>Drivers!CV15</f>
        <v>703.19546012520073</v>
      </c>
      <c r="EY103" s="424">
        <f>Drivers!CW15</f>
        <v>850.52745657946207</v>
      </c>
      <c r="EZ103" s="3009">
        <f>Drivers!CX15</f>
        <v>670.04522345509508</v>
      </c>
      <c r="FA103" s="2835">
        <f>AM103-SUM(EW103:EZ103)</f>
        <v>0</v>
      </c>
      <c r="FB103" s="3009">
        <f>Drivers!CZ15</f>
        <v>686.54770168227947</v>
      </c>
      <c r="FC103" s="3009">
        <f>Drivers!DA15</f>
        <v>800.43875972551064</v>
      </c>
      <c r="FD103" s="3009">
        <f>Drivers!DB15</f>
        <v>648.00938689939176</v>
      </c>
      <c r="FE103" s="3009">
        <f>Drivers!DC15</f>
        <v>804.05426814611405</v>
      </c>
      <c r="FF103" s="1741">
        <f>AN103-SUM(FB103:FE103)</f>
        <v>0</v>
      </c>
      <c r="FG103" s="3009">
        <f>Drivers!DE15</f>
        <v>652.22031659816548</v>
      </c>
      <c r="FH103" s="3009">
        <f>Drivers!DF15</f>
        <v>832.45631011453111</v>
      </c>
      <c r="FI103" s="3009">
        <f>Drivers!DG15</f>
        <v>745.21079493430045</v>
      </c>
      <c r="FJ103" s="3009">
        <f>Drivers!DH15</f>
        <v>830.88480730919582</v>
      </c>
      <c r="FK103" s="1741">
        <f>AO103-SUM(FG103:FJ103)</f>
        <v>0</v>
      </c>
      <c r="FL103" s="424"/>
    </row>
    <row r="104" spans="1:168" ht="13.5" customHeight="1">
      <c r="A104" s="372" t="str">
        <f>+A102</f>
        <v>% Change</v>
      </c>
      <c r="B104" s="242"/>
      <c r="C104" s="242"/>
      <c r="D104" s="391"/>
      <c r="E104" s="391"/>
      <c r="F104" s="391"/>
      <c r="G104" s="391"/>
      <c r="H104" s="391"/>
      <c r="I104" s="391"/>
      <c r="J104" s="391"/>
      <c r="K104" s="39">
        <f>K103/E103-1</f>
        <v>-0.11489130840076101</v>
      </c>
      <c r="L104" s="391"/>
      <c r="M104" s="39">
        <f>M103/K103-1</f>
        <v>-0.12277688304652556</v>
      </c>
      <c r="N104" s="39">
        <f>N103/K103-1</f>
        <v>-0.22670425942160433</v>
      </c>
      <c r="O104" s="391"/>
      <c r="P104" s="39">
        <f>P103/N103-1</f>
        <v>0.10201371214236188</v>
      </c>
      <c r="Q104" s="39"/>
      <c r="R104" s="39">
        <f>R103/N103-1</f>
        <v>0.10201371214236188</v>
      </c>
      <c r="S104" s="391"/>
      <c r="T104" s="39">
        <f>T103/R103-1</f>
        <v>1.8158474241552147E-2</v>
      </c>
      <c r="U104" s="39">
        <f>U103/T103-1</f>
        <v>1.744891624244338E-2</v>
      </c>
      <c r="V104" s="39"/>
      <c r="W104" s="39"/>
      <c r="X104" s="39">
        <f>X103/U103-1</f>
        <v>4.7241475507869168E-2</v>
      </c>
      <c r="Y104" s="39">
        <f>Y103/S103-1</f>
        <v>-5.4047832715161226E-2</v>
      </c>
      <c r="Z104" s="39">
        <f t="shared" ref="Z104:AK104" si="156">Z103/Y103-1</f>
        <v>3.5600000536555543E-2</v>
      </c>
      <c r="AA104" s="39">
        <f t="shared" si="156"/>
        <v>7.4067603134769122E-2</v>
      </c>
      <c r="AB104" s="39">
        <f t="shared" si="156"/>
        <v>-0.13275804319033135</v>
      </c>
      <c r="AC104" s="39">
        <f t="shared" si="156"/>
        <v>8.4611488558577586E-2</v>
      </c>
      <c r="AD104" s="39">
        <f t="shared" si="156"/>
        <v>-0.10672914874721406</v>
      </c>
      <c r="AE104" s="39">
        <f t="shared" si="156"/>
        <v>0.43701529836783282</v>
      </c>
      <c r="AF104" s="39">
        <f t="shared" si="156"/>
        <v>7.2654813476749069E-3</v>
      </c>
      <c r="AG104" s="39">
        <f t="shared" si="156"/>
        <v>-6.6438061483299116E-2</v>
      </c>
      <c r="AH104" s="39">
        <f t="shared" si="156"/>
        <v>2.1570096877777445E-2</v>
      </c>
      <c r="AI104" s="39">
        <f t="shared" si="156"/>
        <v>0.16140460751335506</v>
      </c>
      <c r="AJ104" s="39">
        <f t="shared" si="156"/>
        <v>0.12366440547840063</v>
      </c>
      <c r="AK104" s="39">
        <f t="shared" si="156"/>
        <v>-1.8923978609952208E-2</v>
      </c>
      <c r="AL104" s="39">
        <f>AL103/AK103-1</f>
        <v>-4.6761655083999654E-2</v>
      </c>
      <c r="AM104" s="39">
        <f>AM103/AL103-1</f>
        <v>-6.7448431787794583E-2</v>
      </c>
      <c r="AN104" s="39">
        <f>AN103/AM103-1</f>
        <v>4.5998033576216679E-2</v>
      </c>
      <c r="AO104" s="39">
        <f t="shared" ref="AO104:AY104" si="157">AO103/AN103-1</f>
        <v>4.141545998874796E-2</v>
      </c>
      <c r="AP104" s="39">
        <f t="shared" si="157"/>
        <v>3.6567127289263146E-2</v>
      </c>
      <c r="AQ104" s="39">
        <f t="shared" si="157"/>
        <v>3.5717285135059118E-2</v>
      </c>
      <c r="AR104" s="39">
        <f t="shared" si="157"/>
        <v>3.6473696354376806E-2</v>
      </c>
      <c r="AS104" s="39">
        <f t="shared" si="157"/>
        <v>3.4381015206159882E-2</v>
      </c>
      <c r="AT104" s="39">
        <f t="shared" si="157"/>
        <v>3.2285237390046184E-2</v>
      </c>
      <c r="AU104" s="39">
        <f t="shared" si="157"/>
        <v>2.9875663775396966E-2</v>
      </c>
      <c r="AV104" s="39">
        <f t="shared" si="157"/>
        <v>2.7439996397646382E-2</v>
      </c>
      <c r="AW104" s="39">
        <f t="shared" si="157"/>
        <v>2.4975636215592401E-2</v>
      </c>
      <c r="AX104" s="39">
        <f t="shared" si="157"/>
        <v>2.2152979346245827E-2</v>
      </c>
      <c r="AY104" s="39">
        <f t="shared" si="157"/>
        <v>1.9943846487181061E-2</v>
      </c>
      <c r="AZ104" s="359"/>
      <c r="BA104" s="359"/>
      <c r="BB104" s="359"/>
      <c r="BC104" s="359"/>
      <c r="BD104" s="359"/>
      <c r="BE104" s="421"/>
      <c r="BF104" s="242"/>
      <c r="BG104" s="242"/>
      <c r="BH104" s="242"/>
      <c r="BI104" s="242"/>
      <c r="BJ104" s="242"/>
      <c r="BK104" s="39">
        <f>+BK103/BF103-1</f>
        <v>-0.29555055765874594</v>
      </c>
      <c r="BL104" s="39">
        <f>+BL103/BG103-1</f>
        <v>-0.10517329521567431</v>
      </c>
      <c r="BM104" s="39">
        <f>+BM103/BH103-1</f>
        <v>-0.17565711457355904</v>
      </c>
      <c r="BN104" s="39">
        <f>+BN103/BI103-1</f>
        <v>-0.31879861314850455</v>
      </c>
      <c r="BO104" s="39"/>
      <c r="BP104" s="39"/>
      <c r="BQ104" s="39"/>
      <c r="BR104" s="39"/>
      <c r="BS104" s="39"/>
      <c r="BT104" s="242"/>
      <c r="BU104" s="39">
        <f>+BU103/BP103-1</f>
        <v>0.21290954485332625</v>
      </c>
      <c r="BV104" s="39">
        <f>+BV103/BQ103-1</f>
        <v>0.16660863560396688</v>
      </c>
      <c r="BW104" s="39">
        <f>+BW103/BR103-1</f>
        <v>4.6943603907651843E-2</v>
      </c>
      <c r="BX104" s="39">
        <f>+BX103/BS103-1</f>
        <v>2.4344291180515176E-2</v>
      </c>
      <c r="BY104" s="419"/>
      <c r="BZ104" s="39">
        <f>+BZ103/BU103-1</f>
        <v>6.6752117850923609E-2</v>
      </c>
      <c r="CA104" s="39">
        <f>+CA103/BV103-1</f>
        <v>7.6166727134900913E-3</v>
      </c>
      <c r="CB104" s="39">
        <f>+CB103/BW103-1</f>
        <v>7.4185679350111E-2</v>
      </c>
      <c r="CC104" s="39">
        <f>+CC103/BX103-1</f>
        <v>-0.11685017923540064</v>
      </c>
      <c r="CD104" s="420"/>
      <c r="CE104" s="39">
        <f>+CE103/BZ103-1</f>
        <v>-9.3250427349774734E-3</v>
      </c>
      <c r="CF104" s="39">
        <f>+CF103/CA103-1</f>
        <v>0.12201320244730418</v>
      </c>
      <c r="CG104" s="39">
        <f>+CG103/CB103-1</f>
        <v>3.1619688574419103E-2</v>
      </c>
      <c r="CH104" s="39">
        <f>+CH103/CC103-1</f>
        <v>-0.1097618706243404</v>
      </c>
      <c r="CI104" s="418"/>
      <c r="CJ104" s="39">
        <f>+CJ103/BZ103-1</f>
        <v>0.20842630990777811</v>
      </c>
      <c r="CK104" s="39">
        <f>+CK103/CA103-1</f>
        <v>0.50549568146079427</v>
      </c>
      <c r="CL104" s="39">
        <f>+CL103/CB103-1</f>
        <v>0.17422106694004769</v>
      </c>
      <c r="CM104" s="39">
        <f>+CM103/CC103-1</f>
        <v>-0.89611333086145084</v>
      </c>
      <c r="CN104" s="350"/>
      <c r="CO104" s="39">
        <f>+CO103/CE103-1</f>
        <v>1.2760637315167189E-2</v>
      </c>
      <c r="CP104" s="39">
        <f>+CP103/CF103-1</f>
        <v>0.11261506696532653</v>
      </c>
      <c r="CQ104" s="39">
        <f>+CQ103/CG103-1</f>
        <v>3.8264555208556983E-2</v>
      </c>
      <c r="CR104" s="39">
        <f>+CR103/CH103-1</f>
        <v>-0.18710821975151015</v>
      </c>
      <c r="CS104" s="350"/>
      <c r="CT104" s="39">
        <f>+CT103/CO103-1</f>
        <v>-0.11399231885607908</v>
      </c>
      <c r="CU104" s="39">
        <f>+CU103/CP103-1</f>
        <v>-0.15244572258593392</v>
      </c>
      <c r="CV104" s="39">
        <f>+CV103/CQ103-1</f>
        <v>-0.22334374949417757</v>
      </c>
      <c r="CW104" s="39">
        <f>+CW103/CR103-1</f>
        <v>0.11518929889394536</v>
      </c>
      <c r="CX104" s="1366"/>
      <c r="CY104" s="1110">
        <f>+CY103/CT103-1</f>
        <v>0.1841900326808632</v>
      </c>
      <c r="CZ104" s="1110">
        <f>+CZ103/CU103-1</f>
        <v>-0.15246996689355197</v>
      </c>
      <c r="DA104" s="1110">
        <f>+DA103/CV103-1</f>
        <v>-9.1038516752199539E-2</v>
      </c>
      <c r="DB104" s="1110">
        <f>+DB103/CW103-1</f>
        <v>0.66920442580724937</v>
      </c>
      <c r="DC104" s="1164" t="s">
        <v>337</v>
      </c>
      <c r="DD104" s="1110">
        <f>+DD103/CY103-1</f>
        <v>-0.25460900039561585</v>
      </c>
      <c r="DE104" s="1110">
        <f>+DE103/CZ103-1</f>
        <v>5.5638917175769187E-2</v>
      </c>
      <c r="DF104" s="1110">
        <f>+DF103/DA103-1</f>
        <v>-0.13782321385533003</v>
      </c>
      <c r="DG104" s="1110">
        <f>+DG103/DB103-1</f>
        <v>-6.4609019817591262E-2</v>
      </c>
      <c r="DH104" s="1164" t="s">
        <v>337</v>
      </c>
      <c r="DI104" s="1110">
        <f>+DI103/DD103-1</f>
        <v>0.78736442485278935</v>
      </c>
      <c r="DJ104" s="1110">
        <f>+DJ103/DE103-1</f>
        <v>0.20527212393323935</v>
      </c>
      <c r="DK104" s="1110">
        <f>+DK103/DF103-1</f>
        <v>0.65181749074932505</v>
      </c>
      <c r="DL104" s="1110">
        <f>+DL103/DG103-1</f>
        <v>0.17940435072482819</v>
      </c>
      <c r="DM104" s="1164" t="s">
        <v>337</v>
      </c>
      <c r="DN104" s="1110">
        <f>+DN103/DI103-1</f>
        <v>-0.16258286699919322</v>
      </c>
      <c r="DO104" s="1110">
        <f>+DO103/DJ103-1</f>
        <v>-0.16370143162434581</v>
      </c>
      <c r="DP104" s="1164">
        <f>+DP103/DK103-1</f>
        <v>0.31084929989044485</v>
      </c>
      <c r="DQ104" s="1164">
        <f>DQ103/DL103-1</f>
        <v>2.6852432334714127E-3</v>
      </c>
      <c r="DR104" s="1164"/>
      <c r="DS104" s="1164">
        <f>DS103/DN103-1</f>
        <v>-3.9930797889367042E-2</v>
      </c>
      <c r="DT104" s="1164">
        <f>DT103/DO103-1</f>
        <v>0.14070037964467796</v>
      </c>
      <c r="DU104" s="1164">
        <f>DU103/DP103-1</f>
        <v>-0.31071438110752825</v>
      </c>
      <c r="DV104" s="242">
        <f>DV103/DQ103-1</f>
        <v>0.14166075072510953</v>
      </c>
      <c r="DX104" s="242">
        <f>DX103/DS103-1</f>
        <v>3.6336525068228598E-2</v>
      </c>
      <c r="DY104" s="242">
        <f>DY103/DT103-1</f>
        <v>0.26759943788827512</v>
      </c>
      <c r="DZ104" s="242">
        <f>DZ103/DU103-1</f>
        <v>1.5041476736929571E-2</v>
      </c>
      <c r="EA104" s="242">
        <f>EA103/DV103-1</f>
        <v>-0.19198040664331206</v>
      </c>
      <c r="EB104" s="2300"/>
      <c r="EC104" s="242">
        <f>EC103/DX103-1</f>
        <v>0.47529110666357077</v>
      </c>
      <c r="ED104" s="242">
        <f>ED103/DY103-1</f>
        <v>-5.2701022683542709E-2</v>
      </c>
      <c r="EE104" s="242">
        <f>EE103/DZ103-1</f>
        <v>0.2452883082845434</v>
      </c>
      <c r="EF104" s="242">
        <f>EF103/EA103-1</f>
        <v>-1.6904403570330961E-2</v>
      </c>
      <c r="EG104" s="2300"/>
      <c r="EH104" s="242">
        <f>EH103/EC103-1</f>
        <v>8.8401421369463939E-3</v>
      </c>
      <c r="EI104" s="242">
        <f>EI103/ED103-1</f>
        <v>0.23756133397285706</v>
      </c>
      <c r="EJ104" s="242">
        <f>EJ103/EE103-1</f>
        <v>9.2128345185362059E-2</v>
      </c>
      <c r="EK104" s="242">
        <f>EK103/EF103-1</f>
        <v>0.22405960295184557</v>
      </c>
      <c r="EM104" s="990">
        <f>EM103/EH103-1</f>
        <v>3.7240863181840611E-2</v>
      </c>
      <c r="EN104" s="990">
        <f>EN103/EI103-1</f>
        <v>-0.13567292463425762</v>
      </c>
      <c r="EO104" s="990">
        <f>EO103/EJ103-1</f>
        <v>1.2288785883789011E-2</v>
      </c>
      <c r="EP104" s="990">
        <f>EP103/EK103-1</f>
        <v>7.9788584748192726E-3</v>
      </c>
      <c r="ER104" s="990">
        <f>ER103/EM103-1</f>
        <v>-4.6657652247691139E-2</v>
      </c>
      <c r="ES104" s="990">
        <f>ES103/EN103-1</f>
        <v>-0.14947301444949779</v>
      </c>
      <c r="ET104" s="990">
        <f>ET103/EO103-1</f>
        <v>-4.3317938578757653E-2</v>
      </c>
      <c r="EU104" s="990">
        <f>EU103/EP103-1</f>
        <v>6.1457693617264608E-2</v>
      </c>
      <c r="EW104" s="990">
        <f>EW103/ER103-1</f>
        <v>-0.32489541145990575</v>
      </c>
      <c r="EX104" s="990">
        <f>EX103/ES103-1</f>
        <v>0.18185490306007646</v>
      </c>
      <c r="EY104" s="990">
        <f>EY103/ET103-1</f>
        <v>-3.0303089431372388E-2</v>
      </c>
      <c r="EZ104" s="2958">
        <f>EZ103/EU103-1</f>
        <v>-4.1854305267896574E-3</v>
      </c>
      <c r="FA104" s="2807"/>
      <c r="FB104" s="2958">
        <f>FB103/EW103-1</f>
        <v>0.17151016190252455</v>
      </c>
      <c r="FC104" s="2958">
        <f>FC103/EX103-1</f>
        <v>0.13828772384707411</v>
      </c>
      <c r="FD104" s="2958">
        <f>FD103/EY103-1</f>
        <v>-0.23810879720982847</v>
      </c>
      <c r="FE104" s="2958">
        <f>FE103/EZ103-1</f>
        <v>0.19999999999999996</v>
      </c>
      <c r="FF104" s="2958"/>
      <c r="FG104" s="2958">
        <f>FG103/FB103-1</f>
        <v>-5.0000000000000044E-2</v>
      </c>
      <c r="FH104" s="2958">
        <f>FH103/FC103-1</f>
        <v>4.0000000000000036E-2</v>
      </c>
      <c r="FI104" s="2958">
        <f>FI103/FD103-1</f>
        <v>0.14999999999999991</v>
      </c>
      <c r="FJ104" s="2958">
        <f>FJ103/FE103-1</f>
        <v>3.3369065032070822E-2</v>
      </c>
      <c r="FK104" s="2807"/>
      <c r="FL104" s="242"/>
    </row>
    <row r="105" spans="1:168" ht="13.5" customHeight="1">
      <c r="A105" s="378" t="s">
        <v>1065</v>
      </c>
      <c r="B105" s="242"/>
      <c r="C105" s="242"/>
      <c r="D105" s="391"/>
      <c r="E105" s="391"/>
      <c r="F105" s="49">
        <f>Showtime!J18</f>
        <v>748.9</v>
      </c>
      <c r="G105" s="391"/>
      <c r="H105" s="391"/>
      <c r="I105" s="391"/>
      <c r="J105" s="391"/>
      <c r="K105" s="39"/>
      <c r="L105" s="49">
        <f>Showtime!K18</f>
        <v>798.6</v>
      </c>
      <c r="M105" s="39"/>
      <c r="N105" s="39"/>
      <c r="O105" s="49">
        <f>Showtime!L18</f>
        <v>876.4</v>
      </c>
      <c r="P105" s="39"/>
      <c r="Q105" s="39"/>
      <c r="R105" s="39"/>
      <c r="S105" s="49">
        <f>Showtime!M18</f>
        <v>982.81288059338533</v>
      </c>
      <c r="T105" s="39"/>
      <c r="U105" s="39"/>
      <c r="V105" s="39"/>
      <c r="W105" s="39"/>
      <c r="X105" s="49"/>
      <c r="Y105" s="49">
        <f>Showtime!N18</f>
        <v>1027.9652597724951</v>
      </c>
      <c r="Z105" s="49">
        <f>Showtime!O18</f>
        <v>1033.3808398023421</v>
      </c>
      <c r="AA105" s="49">
        <f>Showtime!P18</f>
        <v>1010</v>
      </c>
      <c r="AB105" s="49">
        <f>Showtime!Q18</f>
        <v>1049.4950000000001</v>
      </c>
      <c r="AC105" s="49">
        <f>Showtime!R18</f>
        <v>1131.1980425000002</v>
      </c>
      <c r="AD105" s="49">
        <f>Showtime!S18</f>
        <v>1187.7579446250002</v>
      </c>
      <c r="AE105" s="49">
        <f>Showtime!T18</f>
        <v>1190.7077563349999</v>
      </c>
      <c r="AF105" s="49">
        <f>Showtime!U18</f>
        <v>1260.7811738441001</v>
      </c>
      <c r="AG105" s="49">
        <f>Showtime!V18</f>
        <v>1375.336574223237</v>
      </c>
      <c r="AH105" s="49">
        <f>Showtime!W18</f>
        <v>1507.0290056943654</v>
      </c>
      <c r="AI105" s="49">
        <f>Showtime!X18</f>
        <v>1646.1255244003867</v>
      </c>
      <c r="AJ105" s="1366">
        <f>Showtime!Y18</f>
        <v>1933.5380326176105</v>
      </c>
      <c r="AK105" s="1366">
        <f>Showtime!Z18</f>
        <v>2032.1618988136549</v>
      </c>
      <c r="AL105" s="1366">
        <f>Showtime!AA18</f>
        <v>2091.8947745263063</v>
      </c>
      <c r="AM105" s="1366">
        <f>Showtime!AB18</f>
        <v>2003.6354679048613</v>
      </c>
      <c r="AN105" s="1366">
        <f>Showtime!AC18</f>
        <v>2321.7976590455655</v>
      </c>
      <c r="AO105" s="1366">
        <f>Showtime!AD18</f>
        <v>2153.6633226445961</v>
      </c>
      <c r="AP105" s="49">
        <f>Showtime!AE18</f>
        <v>2264.7172375801219</v>
      </c>
      <c r="AQ105" s="49">
        <f>Showtime!AF18</f>
        <v>2373.287419751186</v>
      </c>
      <c r="AR105" s="49">
        <f>Showtime!AG18</f>
        <v>2484.4435981712049</v>
      </c>
      <c r="AS105" s="49">
        <f>Showtime!AH18</f>
        <v>2594.9902016275528</v>
      </c>
      <c r="AT105" s="49">
        <f>Showtime!AI18</f>
        <v>2701.145918950102</v>
      </c>
      <c r="AU105" s="49">
        <f>Showtime!AJ18</f>
        <v>2802.414023054936</v>
      </c>
      <c r="AV105" s="49">
        <f>Showtime!AK18</f>
        <v>2902.7061172352828</v>
      </c>
      <c r="AW105" s="49">
        <f>Showtime!AL18</f>
        <v>3004.5772218142311</v>
      </c>
      <c r="AX105" s="49">
        <f>Showtime!AM18</f>
        <v>3107.9020552880988</v>
      </c>
      <c r="AY105" s="49">
        <f>Showtime!AN18</f>
        <v>3212.5461965630357</v>
      </c>
      <c r="AZ105" s="354"/>
      <c r="BA105" s="354"/>
      <c r="BB105" s="354"/>
      <c r="BC105" s="354"/>
      <c r="BD105" s="354"/>
      <c r="BE105" s="354"/>
      <c r="BF105" s="242"/>
      <c r="BG105" s="242"/>
      <c r="BH105" s="242"/>
      <c r="BI105" s="242"/>
      <c r="BJ105" s="242"/>
      <c r="BK105" s="39"/>
      <c r="BL105" s="39"/>
      <c r="BM105" s="39"/>
      <c r="BN105" s="39"/>
      <c r="BO105" s="39"/>
      <c r="BP105" s="39"/>
      <c r="BQ105" s="39"/>
      <c r="BR105" s="39"/>
      <c r="BS105" s="39"/>
      <c r="BT105" s="242"/>
      <c r="BU105" s="39"/>
      <c r="BV105" s="39"/>
      <c r="BW105" s="39"/>
      <c r="BX105" s="39"/>
      <c r="BY105" s="419"/>
      <c r="BZ105" s="39"/>
      <c r="CA105" s="39"/>
      <c r="CB105" s="39"/>
      <c r="CC105" s="39"/>
      <c r="CD105" s="420"/>
      <c r="CE105" s="39"/>
      <c r="CF105" s="39"/>
      <c r="CG105" s="39"/>
      <c r="CH105" s="39"/>
      <c r="CI105" s="418"/>
      <c r="CJ105" s="49"/>
      <c r="CK105" s="49"/>
      <c r="CL105" s="49"/>
      <c r="CM105" s="49"/>
      <c r="CN105" s="49">
        <f>+X105-SUM(CJ105:CM105)</f>
        <v>0</v>
      </c>
      <c r="CO105" s="49">
        <f>+Showtime!CE18</f>
        <v>245</v>
      </c>
      <c r="CP105" s="49">
        <f>+Showtime!CF18</f>
        <v>240</v>
      </c>
      <c r="CQ105" s="49">
        <f>+Showtime!CG18</f>
        <v>250</v>
      </c>
      <c r="CR105" s="49">
        <f>+Showtime!CH18</f>
        <v>275</v>
      </c>
      <c r="CS105" s="49">
        <f>+AA105-SUM(CO105:CR105)</f>
        <v>0</v>
      </c>
      <c r="CT105" s="49">
        <f>+Showtime!CJ18</f>
        <v>250</v>
      </c>
      <c r="CU105" s="49">
        <f>+Showtime!CK18</f>
        <v>262.39999999999998</v>
      </c>
      <c r="CV105" s="49">
        <f>+Showtime!CL18</f>
        <v>266.65025000000003</v>
      </c>
      <c r="CW105" s="49">
        <f>+Showtime!CM18</f>
        <v>270.44475</v>
      </c>
      <c r="CX105" s="1366">
        <f>AB105-SUM(CT105:CW105)</f>
        <v>0</v>
      </c>
      <c r="CY105" s="1366">
        <f>Showtime!CO18</f>
        <v>262.5</v>
      </c>
      <c r="CZ105" s="1366">
        <f>Showtime!CP18</f>
        <v>291.26400000000001</v>
      </c>
      <c r="DA105" s="1366">
        <f>Showtime!CQ18</f>
        <v>282.64926500000007</v>
      </c>
      <c r="DB105" s="1366">
        <f>Showtime!CR18</f>
        <v>294.78477750000002</v>
      </c>
      <c r="DC105" s="2351">
        <f>AC105-SUM(CY105:DB105)</f>
        <v>0</v>
      </c>
      <c r="DD105" s="1366">
        <f>Showtime!CT18</f>
        <v>275.625</v>
      </c>
      <c r="DE105" s="1366">
        <f>Showtime!CU18</f>
        <v>305.8272</v>
      </c>
      <c r="DF105" s="1366">
        <f>Showtime!CV18</f>
        <v>296.78172825000007</v>
      </c>
      <c r="DG105" s="1821">
        <f>AD105-SUM(DD105:DF105)</f>
        <v>309.5240163750002</v>
      </c>
      <c r="DH105" s="2351">
        <f>AD105-SUM(DD105:DG105)</f>
        <v>0</v>
      </c>
      <c r="DI105" s="1366">
        <f>Showtime!CY18</f>
        <v>300.43125000000003</v>
      </c>
      <c r="DJ105" s="1366">
        <f>Showtime!CZ18</f>
        <v>299.71065599999997</v>
      </c>
      <c r="DK105" s="1366">
        <f>Showtime!DA18</f>
        <v>289.36218504375006</v>
      </c>
      <c r="DL105" s="2152">
        <f>AE105-SUM(DI105:DK105)</f>
        <v>301.20366529124976</v>
      </c>
      <c r="DM105" s="2352">
        <f>AE105-SUM(DI105:DL105)</f>
        <v>0</v>
      </c>
      <c r="DN105" s="1366">
        <f>Showtime!DD18</f>
        <v>322.96359375000003</v>
      </c>
      <c r="DO105" s="1366">
        <f>Showtime!DE18</f>
        <v>312.897924864</v>
      </c>
      <c r="DP105" s="1366">
        <f>Showtime!DF18</f>
        <v>307.30264051646259</v>
      </c>
      <c r="DQ105" s="1366">
        <f>Showtime!DG18</f>
        <v>317.61701471363745</v>
      </c>
      <c r="DR105" s="2026">
        <f>AF105-SUM(DN105:DQ105)</f>
        <v>0</v>
      </c>
      <c r="DS105" s="1357">
        <f>Drivers!BQ30</f>
        <v>344.732922286757</v>
      </c>
      <c r="DT105" s="1357">
        <f>Drivers!BR30</f>
        <v>343.97682870400001</v>
      </c>
      <c r="DU105" s="1357">
        <f>Drivers!BS30</f>
        <v>344.54055125799999</v>
      </c>
      <c r="DV105" s="14">
        <f>Drivers!BT30</f>
        <v>342.08627197448004</v>
      </c>
      <c r="DW105" s="538">
        <f>AG105-SUM(DS105:DV105)</f>
        <v>0</v>
      </c>
      <c r="DX105" s="14">
        <f>Drivers!BV30</f>
        <v>366.47553140690297</v>
      </c>
      <c r="DY105" s="14">
        <f>Drivers!BW30</f>
        <v>384.45335300959999</v>
      </c>
      <c r="DZ105" s="14">
        <f>Drivers!BX30</f>
        <v>390.72163394670002</v>
      </c>
      <c r="EA105" s="14">
        <f>Drivers!BY30</f>
        <v>365.37848733116243</v>
      </c>
      <c r="EB105" s="2300">
        <f>AH105-SUM(DX105:EA105)</f>
        <v>0</v>
      </c>
      <c r="EC105" s="14">
        <f>Drivers!CA30</f>
        <v>422.02735048980037</v>
      </c>
      <c r="ED105" s="14">
        <f>Drivers!CB30</f>
        <v>414.59868831056002</v>
      </c>
      <c r="EE105" s="14">
        <f>Drivers!CC30</f>
        <v>404.37936466243599</v>
      </c>
      <c r="EF105" s="14">
        <f>Drivers!CD30</f>
        <v>405.12012093759017</v>
      </c>
      <c r="EG105" s="2300">
        <f>AI105-SUM(EC105:EF105)</f>
        <v>0</v>
      </c>
      <c r="EH105" s="14">
        <f>Drivers!CF30</f>
        <v>445.62953852898443</v>
      </c>
      <c r="EI105" s="14">
        <f>Drivers!CG30</f>
        <v>484.18078731047314</v>
      </c>
      <c r="EJ105" s="14">
        <f>Drivers!CH30</f>
        <v>562.00781701211872</v>
      </c>
      <c r="EK105" s="129">
        <f>Drivers!CI30</f>
        <v>441.71988976603416</v>
      </c>
      <c r="EL105" s="1120">
        <f>+AJ105-SUM(EH105:EK105)</f>
        <v>0</v>
      </c>
      <c r="EM105" s="129">
        <f>Drivers!CK30</f>
        <v>502.3636062260133</v>
      </c>
      <c r="EN105" s="129">
        <f>Drivers!CL30</f>
        <v>479.98253848565389</v>
      </c>
      <c r="EO105" s="129">
        <f>Drivers!CM30</f>
        <v>588.03627039882156</v>
      </c>
      <c r="EP105" s="129">
        <f>Drivers!CN30</f>
        <v>461.77948370316631</v>
      </c>
      <c r="EQ105" s="1120">
        <f>+$AK105-SUM(EM105:EP105)</f>
        <v>0</v>
      </c>
      <c r="ER105" s="129">
        <f>Drivers!CP30</f>
        <v>502.97815047505384</v>
      </c>
      <c r="ES105" s="129">
        <f>Drivers!CQ30</f>
        <v>577.50582256356574</v>
      </c>
      <c r="ET105" s="129">
        <f>Drivers!CR30</f>
        <v>488.41790256676859</v>
      </c>
      <c r="EU105" s="129">
        <f>Drivers!CS30</f>
        <v>522.99289892091815</v>
      </c>
      <c r="EV105" s="1120">
        <f>+$AL105-SUM(ER105:EU105)</f>
        <v>0</v>
      </c>
      <c r="EW105" s="129">
        <f>Drivers!CU30</f>
        <v>487.35716724643129</v>
      </c>
      <c r="EX105" s="129">
        <f>Drivers!CV30</f>
        <v>496.93106711123545</v>
      </c>
      <c r="EY105" s="129">
        <f>Drivers!CW30</f>
        <v>558.91461866943928</v>
      </c>
      <c r="EZ105" s="3008">
        <f>Drivers!CX30</f>
        <v>460.43261487775499</v>
      </c>
      <c r="FA105" s="2835">
        <f>AM105-SUM(EW105:EZ105)</f>
        <v>0</v>
      </c>
      <c r="FB105" s="3008">
        <f>Drivers!CZ30</f>
        <v>503.85145393628852</v>
      </c>
      <c r="FC105" s="3008">
        <f>Drivers!DA30</f>
        <v>530.36830979568481</v>
      </c>
      <c r="FD105" s="3008">
        <f>Drivers!DB30</f>
        <v>799.35120341621689</v>
      </c>
      <c r="FE105" s="3008">
        <f>Drivers!DC30</f>
        <v>488.22669189737542</v>
      </c>
      <c r="FF105" s="1741">
        <f>AN105-SUM(FB105:FE105)</f>
        <v>0</v>
      </c>
      <c r="FG105" s="3008">
        <f>Drivers!DE30</f>
        <v>528.3584278823904</v>
      </c>
      <c r="FH105" s="3008">
        <f>Drivers!DF30</f>
        <v>556.88672528546908</v>
      </c>
      <c r="FI105" s="3008">
        <f>Drivers!DG30</f>
        <v>555.88612262317668</v>
      </c>
      <c r="FJ105" s="3008">
        <f>Drivers!DH30</f>
        <v>512.53204685356013</v>
      </c>
      <c r="FK105" s="1741">
        <f>AO105-SUM(FG105:FJ105)</f>
        <v>0</v>
      </c>
      <c r="FL105" s="14"/>
    </row>
    <row r="106" spans="1:168" ht="13.5" customHeight="1">
      <c r="A106" s="358" t="s">
        <v>676</v>
      </c>
      <c r="B106" s="242"/>
      <c r="C106" s="242"/>
      <c r="D106" s="391"/>
      <c r="E106" s="391"/>
      <c r="F106" s="391"/>
      <c r="G106" s="391"/>
      <c r="H106" s="391"/>
      <c r="I106" s="391"/>
      <c r="J106" s="391"/>
      <c r="K106" s="39"/>
      <c r="L106" s="391"/>
      <c r="M106" s="39"/>
      <c r="N106" s="39"/>
      <c r="O106" s="391"/>
      <c r="P106" s="39"/>
      <c r="Q106" s="39"/>
      <c r="R106" s="39"/>
      <c r="S106" s="391"/>
      <c r="T106" s="39"/>
      <c r="U106" s="39"/>
      <c r="V106" s="39"/>
      <c r="W106" s="39"/>
      <c r="X106" s="39"/>
      <c r="Y106" s="39">
        <f>Y105/S105-1</f>
        <v>4.5941989640844394E-2</v>
      </c>
      <c r="Z106" s="39">
        <f>Z105/Y105-1</f>
        <v>5.2682519942799377E-3</v>
      </c>
      <c r="AA106" s="39">
        <f>AA105/Z105-1</f>
        <v>-2.2625578975137728E-2</v>
      </c>
      <c r="AB106" s="39">
        <f>AB105/AA105-1</f>
        <v>3.9103960396039694E-2</v>
      </c>
      <c r="AC106" s="39">
        <f t="shared" ref="AC106:AQ106" si="158">AC105/AB105-1</f>
        <v>7.784986350578138E-2</v>
      </c>
      <c r="AD106" s="39">
        <f t="shared" si="158"/>
        <v>5.0000000000000044E-2</v>
      </c>
      <c r="AE106" s="39">
        <f t="shared" si="158"/>
        <v>2.4835125063558117E-3</v>
      </c>
      <c r="AF106" s="39">
        <f t="shared" si="158"/>
        <v>5.8850223437517668E-2</v>
      </c>
      <c r="AG106" s="39">
        <f t="shared" si="158"/>
        <v>9.0860652709351175E-2</v>
      </c>
      <c r="AH106" s="39">
        <f t="shared" si="158"/>
        <v>9.5752875288367623E-2</v>
      </c>
      <c r="AI106" s="39">
        <f t="shared" si="158"/>
        <v>9.2298501342999995E-2</v>
      </c>
      <c r="AJ106" s="1110">
        <f t="shared" si="158"/>
        <v>0.17459938744459724</v>
      </c>
      <c r="AK106" s="1110">
        <f t="shared" si="158"/>
        <v>5.1006944022987888E-2</v>
      </c>
      <c r="AL106" s="1110">
        <f t="shared" si="158"/>
        <v>2.939375831597002E-2</v>
      </c>
      <c r="AM106" s="1110">
        <f t="shared" si="158"/>
        <v>-4.2191083268722562E-2</v>
      </c>
      <c r="AN106" s="1110">
        <f t="shared" si="158"/>
        <v>0.15879245313689538</v>
      </c>
      <c r="AO106" s="1110">
        <f t="shared" si="158"/>
        <v>-7.2415585288377549E-2</v>
      </c>
      <c r="AP106" s="39">
        <f t="shared" si="158"/>
        <v>5.1565123372745658E-2</v>
      </c>
      <c r="AQ106" s="39">
        <f t="shared" si="158"/>
        <v>4.7939840068984774E-2</v>
      </c>
      <c r="AR106" s="39">
        <f t="shared" ref="AR106:AY106" si="159">AR105/AQ105-1</f>
        <v>4.6836374513657741E-2</v>
      </c>
      <c r="AS106" s="39">
        <f t="shared" si="159"/>
        <v>4.4495517442102894E-2</v>
      </c>
      <c r="AT106" s="39">
        <f t="shared" si="159"/>
        <v>4.0907945338664264E-2</v>
      </c>
      <c r="AU106" s="39">
        <f t="shared" si="159"/>
        <v>3.7490793590372107E-2</v>
      </c>
      <c r="AV106" s="39">
        <f t="shared" si="159"/>
        <v>3.5787750616169678E-2</v>
      </c>
      <c r="AW106" s="39">
        <f t="shared" si="159"/>
        <v>3.5095218208303081E-2</v>
      </c>
      <c r="AX106" s="39">
        <f t="shared" si="159"/>
        <v>3.4389142247266857E-2</v>
      </c>
      <c r="AY106" s="39">
        <f t="shared" si="159"/>
        <v>3.3670347203150985E-2</v>
      </c>
      <c r="AZ106" s="359"/>
      <c r="BA106" s="359"/>
      <c r="BB106" s="359"/>
      <c r="BC106" s="359"/>
      <c r="BD106" s="359"/>
      <c r="BE106" s="421"/>
      <c r="BF106" s="242"/>
      <c r="BG106" s="242"/>
      <c r="BH106" s="242"/>
      <c r="BI106" s="242"/>
      <c r="BJ106" s="242"/>
      <c r="BK106" s="39"/>
      <c r="BL106" s="39"/>
      <c r="BM106" s="39"/>
      <c r="BN106" s="39"/>
      <c r="BO106" s="39"/>
      <c r="BP106" s="39"/>
      <c r="BQ106" s="39"/>
      <c r="BR106" s="39"/>
      <c r="BS106" s="39"/>
      <c r="BT106" s="242"/>
      <c r="BU106" s="39"/>
      <c r="BV106" s="39"/>
      <c r="BW106" s="39"/>
      <c r="BX106" s="39"/>
      <c r="BY106" s="419"/>
      <c r="BZ106" s="39"/>
      <c r="CA106" s="39"/>
      <c r="CB106" s="39"/>
      <c r="CC106" s="39"/>
      <c r="CD106" s="420"/>
      <c r="CE106" s="39"/>
      <c r="CF106" s="39"/>
      <c r="CG106" s="39"/>
      <c r="CH106" s="39"/>
      <c r="CI106" s="418"/>
      <c r="CJ106" s="39"/>
      <c r="CK106" s="39"/>
      <c r="CL106" s="39"/>
      <c r="CM106" s="39"/>
      <c r="CN106" s="350"/>
      <c r="CO106" s="39"/>
      <c r="CP106" s="39"/>
      <c r="CQ106" s="39"/>
      <c r="CR106" s="39"/>
      <c r="CS106" s="350"/>
      <c r="CT106" s="242">
        <f>CT105/CO105-1</f>
        <v>2.0408163265306145E-2</v>
      </c>
      <c r="CU106" s="242">
        <f>CU105/CP105-1</f>
        <v>9.3333333333333268E-2</v>
      </c>
      <c r="CV106" s="242">
        <f>CV105/CQ105-1</f>
        <v>6.6601000000000132E-2</v>
      </c>
      <c r="CW106" s="242">
        <f>CW105/CR105-1</f>
        <v>-1.6564545454545443E-2</v>
      </c>
      <c r="CX106" s="1366"/>
      <c r="CY106" s="1110">
        <f>CY105/CT105-1</f>
        <v>5.0000000000000044E-2</v>
      </c>
      <c r="CZ106" s="1110">
        <f>CZ105/CU105-1</f>
        <v>0.1100000000000001</v>
      </c>
      <c r="DA106" s="1110">
        <f>DA105/CV105-1</f>
        <v>6.0000000000000053E-2</v>
      </c>
      <c r="DB106" s="1110">
        <f>DB105/CW105-1</f>
        <v>9.000000000000008E-2</v>
      </c>
      <c r="DC106" s="1164" t="s">
        <v>337</v>
      </c>
      <c r="DD106" s="1110">
        <f>DD105/CY105-1</f>
        <v>5.0000000000000044E-2</v>
      </c>
      <c r="DE106" s="1110">
        <f>DE105/CZ105-1</f>
        <v>5.0000000000000044E-2</v>
      </c>
      <c r="DF106" s="1110">
        <f>DF105/DA105-1</f>
        <v>5.0000000000000044E-2</v>
      </c>
      <c r="DG106" s="1110">
        <f>DG105/DB105-1</f>
        <v>5.0000000000000711E-2</v>
      </c>
      <c r="DH106" s="2351"/>
      <c r="DI106" s="1110">
        <f>DI105/DD105-1</f>
        <v>9.000000000000008E-2</v>
      </c>
      <c r="DJ106" s="1110">
        <f>DJ105/DE105-1</f>
        <v>-2.0000000000000129E-2</v>
      </c>
      <c r="DK106" s="1110">
        <f>DK105/DF105-1</f>
        <v>-2.5000000000000022E-2</v>
      </c>
      <c r="DL106" s="1110">
        <f>DL105/DG105-1</f>
        <v>-2.6881116306238462E-2</v>
      </c>
      <c r="DM106" s="2352"/>
      <c r="DN106" s="1110">
        <f>DN105/DI105-1</f>
        <v>7.4999999999999956E-2</v>
      </c>
      <c r="DO106" s="1110">
        <f>DO105/DJ105-1</f>
        <v>4.4000000000000039E-2</v>
      </c>
      <c r="DP106" s="1110">
        <f>DP105/DK105-1</f>
        <v>6.2000000000000055E-2</v>
      </c>
      <c r="DQ106" s="1110">
        <f>DQ105/DL105-1</f>
        <v>5.4492528855904609E-2</v>
      </c>
      <c r="DR106" s="1164"/>
      <c r="DS106" s="1110">
        <f>DS105/DN105-1</f>
        <v>6.7404899369581051E-2</v>
      </c>
      <c r="DT106" s="1110">
        <f>DT105/DO105-1</f>
        <v>9.9326014557330033E-2</v>
      </c>
      <c r="DU106" s="1110">
        <f>DU105/DP105-1</f>
        <v>0.1211766702653585</v>
      </c>
      <c r="DV106" s="39">
        <f>DV105/DQ105-1</f>
        <v>7.7040133643041742E-2</v>
      </c>
      <c r="DX106" s="39">
        <f>DX105/DS105-1</f>
        <v>6.3070881005266921E-2</v>
      </c>
      <c r="DY106" s="39">
        <f>DY105/DT105-1</f>
        <v>0.11767224105793184</v>
      </c>
      <c r="DZ106" s="39">
        <f>DZ105/DU105-1</f>
        <v>0.13403671213760426</v>
      </c>
      <c r="EA106" s="39">
        <f>EA105/DV105-1</f>
        <v>6.8088716984293418E-2</v>
      </c>
      <c r="EB106" s="2300"/>
      <c r="EC106" s="39">
        <f>EC105/DX105-1</f>
        <v>0.15158397852547867</v>
      </c>
      <c r="ED106" s="39">
        <f>ED105/DY105-1</f>
        <v>7.8410904899058886E-2</v>
      </c>
      <c r="EE106" s="39">
        <f>EE105/DZ105-1</f>
        <v>3.4955143327433547E-2</v>
      </c>
      <c r="EF106" s="39">
        <f>EF105/EA105-1</f>
        <v>0.10876840039684033</v>
      </c>
      <c r="EG106" s="2300"/>
      <c r="EH106" s="39">
        <f>EH105/EC105-1</f>
        <v>5.5925730907704363E-2</v>
      </c>
      <c r="EI106" s="39">
        <f>EI105/ED105-1</f>
        <v>0.16783000275146032</v>
      </c>
      <c r="EJ106" s="39">
        <f>EJ105/EE105-1</f>
        <v>0.38980340275589076</v>
      </c>
      <c r="EK106" s="39">
        <f>EK105/EF105-1</f>
        <v>9.0343004301389085E-2</v>
      </c>
      <c r="EM106" s="1174">
        <f>EM105/EH105-1</f>
        <v>0.12731217926959482</v>
      </c>
      <c r="EN106" s="1174">
        <f>EN105/EI105-1</f>
        <v>-8.6708290267767385E-3</v>
      </c>
      <c r="EO106" s="1174">
        <f>EO105/EJ105-1</f>
        <v>4.6313329812886828E-2</v>
      </c>
      <c r="EP106" s="1174">
        <f>EP105/EK105-1</f>
        <v>4.5412476100537669E-2</v>
      </c>
      <c r="ER106" s="1609">
        <f>ER105/EM105-1</f>
        <v>1.2233056722743552E-3</v>
      </c>
      <c r="ES106" s="1609">
        <f>ES105/EN105-1</f>
        <v>0.20318089984189447</v>
      </c>
      <c r="ET106" s="1609">
        <f>ET105/EO105-1</f>
        <v>-0.16940854305549757</v>
      </c>
      <c r="EU106" s="1174">
        <f>EU105/EP105-1</f>
        <v>0.1325598416085112</v>
      </c>
      <c r="EW106" s="1609">
        <f>EW105/ER105-1</f>
        <v>-3.1056981727474287E-2</v>
      </c>
      <c r="EX106" s="1609">
        <f>EX105/ES105-1</f>
        <v>-0.13952197935365662</v>
      </c>
      <c r="EY106" s="1609">
        <f>EY105/ET105-1</f>
        <v>0.144336879815812</v>
      </c>
      <c r="EZ106" s="2866">
        <f>EZ105/EU105-1</f>
        <v>-0.11961975807366154</v>
      </c>
      <c r="FA106" s="2807"/>
      <c r="FB106" s="3003">
        <f>FB105/EW105-1</f>
        <v>3.3844350300725079E-2</v>
      </c>
      <c r="FC106" s="3003">
        <f>FC105/EX105-1</f>
        <v>6.7287486932195772E-2</v>
      </c>
      <c r="FD106" s="3003">
        <f>FD105/EY105-1</f>
        <v>0.43018482021308491</v>
      </c>
      <c r="FE106" s="2866">
        <f>FE105/EZ105-1</f>
        <v>6.0365135139264225E-2</v>
      </c>
      <c r="FF106" s="2866"/>
      <c r="FG106" s="3003">
        <f>FG105/FB105-1</f>
        <v>4.8639283968803904E-2</v>
      </c>
      <c r="FH106" s="3003">
        <f>FH105/FC105-1</f>
        <v>5.0000000000000044E-2</v>
      </c>
      <c r="FI106" s="3003">
        <f>FI105/FD105-1</f>
        <v>-0.30457836274285255</v>
      </c>
      <c r="FJ106" s="2866">
        <f>FJ105/FE105-1</f>
        <v>4.9782929445597812E-2</v>
      </c>
      <c r="FK106" s="2807"/>
      <c r="FL106" s="39"/>
    </row>
    <row r="107" spans="1:168" outlineLevel="1">
      <c r="A107" s="372" t="s">
        <v>696</v>
      </c>
      <c r="B107" s="242"/>
      <c r="C107" s="242"/>
      <c r="D107" s="242"/>
      <c r="E107" s="242"/>
      <c r="F107" s="242"/>
      <c r="G107" s="242"/>
      <c r="H107" s="242"/>
      <c r="I107" s="242"/>
      <c r="J107" s="14">
        <v>14</v>
      </c>
      <c r="K107" s="14">
        <f>+SUM(I107:J107)</f>
        <v>14</v>
      </c>
      <c r="L107" s="242"/>
      <c r="M107" s="14">
        <v>57</v>
      </c>
      <c r="N107" s="354">
        <v>40</v>
      </c>
      <c r="O107" s="242"/>
      <c r="P107" s="362">
        <f>+N107*1.3</f>
        <v>52</v>
      </c>
      <c r="Q107" s="360"/>
      <c r="R107" s="362">
        <f>+P107+Q107</f>
        <v>52</v>
      </c>
      <c r="S107" s="242"/>
      <c r="T107" s="362">
        <v>0</v>
      </c>
      <c r="U107" s="362">
        <f>+T107*1.25</f>
        <v>0</v>
      </c>
      <c r="V107" s="362"/>
      <c r="W107" s="362"/>
      <c r="X107" s="362">
        <f>+U107*1.25</f>
        <v>0</v>
      </c>
      <c r="Y107" s="14">
        <f>T107</f>
        <v>0</v>
      </c>
      <c r="Z107" s="14">
        <f>U107</f>
        <v>0</v>
      </c>
      <c r="AA107" s="14">
        <f>X107</f>
        <v>0</v>
      </c>
      <c r="AB107" s="362">
        <f>+X107*1.25</f>
        <v>0</v>
      </c>
      <c r="AC107" s="362">
        <f>+AB107*1.15</f>
        <v>0</v>
      </c>
      <c r="AD107" s="362">
        <f>+AC107*1.15</f>
        <v>0</v>
      </c>
      <c r="AE107" s="362">
        <f t="shared" ref="AE107:AJ107" si="160">+AD107*1.1</f>
        <v>0</v>
      </c>
      <c r="AF107" s="362">
        <f t="shared" si="160"/>
        <v>0</v>
      </c>
      <c r="AG107" s="362">
        <f t="shared" si="160"/>
        <v>0</v>
      </c>
      <c r="AH107" s="362">
        <f t="shared" si="160"/>
        <v>0</v>
      </c>
      <c r="AI107" s="362">
        <f t="shared" si="160"/>
        <v>0</v>
      </c>
      <c r="AJ107" s="2280">
        <f t="shared" si="160"/>
        <v>0</v>
      </c>
      <c r="AK107" s="2280">
        <f>+AJ107*1.1</f>
        <v>0</v>
      </c>
      <c r="AL107" s="2280">
        <f>+AK107*1.1</f>
        <v>0</v>
      </c>
      <c r="AM107" s="2280">
        <f t="shared" ref="AM107:AS107" si="161">+AL107*1.1</f>
        <v>0</v>
      </c>
      <c r="AN107" s="2280">
        <f t="shared" si="161"/>
        <v>0</v>
      </c>
      <c r="AO107" s="2280">
        <f t="shared" si="161"/>
        <v>0</v>
      </c>
      <c r="AP107" s="390">
        <f t="shared" si="161"/>
        <v>0</v>
      </c>
      <c r="AQ107" s="390">
        <f t="shared" si="161"/>
        <v>0</v>
      </c>
      <c r="AR107" s="390">
        <f t="shared" si="161"/>
        <v>0</v>
      </c>
      <c r="AS107" s="390">
        <f t="shared" si="161"/>
        <v>0</v>
      </c>
      <c r="AT107" s="390">
        <f t="shared" ref="AT107:AY107" si="162">+AS107*1.1</f>
        <v>0</v>
      </c>
      <c r="AU107" s="390">
        <f t="shared" si="162"/>
        <v>0</v>
      </c>
      <c r="AV107" s="390">
        <f t="shared" si="162"/>
        <v>0</v>
      </c>
      <c r="AW107" s="390">
        <f t="shared" si="162"/>
        <v>0</v>
      </c>
      <c r="AX107" s="390">
        <f t="shared" si="162"/>
        <v>0</v>
      </c>
      <c r="AY107" s="390">
        <f t="shared" si="162"/>
        <v>0</v>
      </c>
      <c r="AZ107" s="354"/>
      <c r="BA107" s="354"/>
      <c r="BB107" s="354"/>
      <c r="BC107" s="354"/>
      <c r="BD107" s="354"/>
      <c r="BE107" s="354"/>
      <c r="BF107" s="14">
        <v>1</v>
      </c>
      <c r="BG107" s="14">
        <v>3</v>
      </c>
      <c r="BH107" s="14">
        <v>3</v>
      </c>
      <c r="BI107" s="14">
        <f>+K107-SUM(BF107:BH107)</f>
        <v>7</v>
      </c>
      <c r="BJ107" s="242"/>
      <c r="BK107" s="14">
        <v>8</v>
      </c>
      <c r="BL107" s="14">
        <v>13</v>
      </c>
      <c r="BM107" s="14">
        <v>16</v>
      </c>
      <c r="BN107" s="14">
        <f>+N107-SUM(BK107:BM107)</f>
        <v>3</v>
      </c>
      <c r="BO107" s="14"/>
      <c r="BP107" s="14">
        <f t="shared" ref="BP107:BR109" si="163">+BK107</f>
        <v>8</v>
      </c>
      <c r="BQ107" s="14">
        <f t="shared" si="163"/>
        <v>13</v>
      </c>
      <c r="BR107" s="14">
        <f t="shared" si="163"/>
        <v>16</v>
      </c>
      <c r="BS107" s="14">
        <f>+N107-SUM(BP107:BR107)</f>
        <v>3</v>
      </c>
      <c r="BT107" s="14"/>
      <c r="BU107" s="354">
        <v>5</v>
      </c>
      <c r="BV107" s="354">
        <v>5</v>
      </c>
      <c r="BW107" s="354">
        <f>+BR107*($P$107/$N$107)</f>
        <v>20.8</v>
      </c>
      <c r="BX107" s="354">
        <f>+P107-SUM(BU107:BW107)</f>
        <v>21.2</v>
      </c>
      <c r="BY107" s="419"/>
      <c r="BZ107" s="354">
        <f>+($T107/$R107)*BU107</f>
        <v>0</v>
      </c>
      <c r="CA107" s="354">
        <f>+($T107/$R107)*BV107</f>
        <v>0</v>
      </c>
      <c r="CB107" s="354">
        <f>+($T107/$R107)*BW107</f>
        <v>0</v>
      </c>
      <c r="CC107" s="354">
        <f>+T107-SUM(BZ107:CB107)</f>
        <v>0</v>
      </c>
      <c r="CD107" s="420"/>
      <c r="CE107" s="354">
        <f>+BZ107</f>
        <v>0</v>
      </c>
      <c r="CF107" s="354">
        <f>+CA107</f>
        <v>0</v>
      </c>
      <c r="CG107" s="354">
        <f>+CB107</f>
        <v>0</v>
      </c>
      <c r="CH107" s="354">
        <f>+CC107</f>
        <v>0</v>
      </c>
      <c r="CI107" s="418"/>
      <c r="CJ107" s="356">
        <v>0</v>
      </c>
      <c r="CK107" s="356">
        <v>0</v>
      </c>
      <c r="CL107" s="356">
        <v>0</v>
      </c>
      <c r="CM107" s="356">
        <v>0</v>
      </c>
      <c r="CN107" s="49">
        <f>+X107-SUM(CJ107:CM107)</f>
        <v>0</v>
      </c>
      <c r="CO107" s="356">
        <v>0</v>
      </c>
      <c r="CP107" s="356">
        <v>0</v>
      </c>
      <c r="CQ107" s="356">
        <v>0</v>
      </c>
      <c r="CR107" s="356">
        <v>0</v>
      </c>
      <c r="CS107" s="49">
        <f>+AA107-SUM(CO107:CR107)</f>
        <v>0</v>
      </c>
      <c r="CT107" s="356">
        <v>0</v>
      </c>
      <c r="CU107" s="356">
        <v>0</v>
      </c>
      <c r="CV107" s="356">
        <v>0</v>
      </c>
      <c r="CW107" s="356">
        <v>0</v>
      </c>
      <c r="CX107" s="1366">
        <f>AB107-SUM(CT107:CW107)</f>
        <v>0</v>
      </c>
      <c r="CY107" s="1726">
        <v>0</v>
      </c>
      <c r="CZ107" s="1726">
        <v>0</v>
      </c>
      <c r="DA107" s="1726">
        <v>0</v>
      </c>
      <c r="DB107" s="1726">
        <v>0</v>
      </c>
      <c r="DC107" s="1164"/>
      <c r="DD107" s="1726">
        <v>0</v>
      </c>
      <c r="DE107" s="1726">
        <v>0</v>
      </c>
      <c r="DF107" s="1726">
        <v>0</v>
      </c>
      <c r="DG107" s="1726">
        <v>0</v>
      </c>
      <c r="DH107" s="2351">
        <f>AD107-SUM(DD107:DG107)</f>
        <v>0</v>
      </c>
      <c r="DI107" s="1726">
        <v>0</v>
      </c>
      <c r="DJ107" s="1726">
        <v>0</v>
      </c>
      <c r="DK107" s="1726">
        <v>0</v>
      </c>
      <c r="DL107" s="1726">
        <v>0</v>
      </c>
      <c r="DM107" s="1164"/>
      <c r="DN107" s="1726">
        <v>0</v>
      </c>
      <c r="DO107" s="1726">
        <v>0</v>
      </c>
      <c r="DP107" s="1726">
        <v>0</v>
      </c>
      <c r="DQ107" s="1726">
        <v>0</v>
      </c>
      <c r="DR107" s="1164"/>
      <c r="DS107" s="1577"/>
      <c r="DT107" s="1577"/>
      <c r="DU107" s="1577"/>
      <c r="EB107" s="2300"/>
      <c r="EG107" s="2300"/>
      <c r="EI107" s="1048"/>
      <c r="EJ107" s="1048"/>
      <c r="EK107" s="1048"/>
      <c r="EM107" s="1048"/>
      <c r="EN107" s="1048"/>
      <c r="EO107" s="1048"/>
      <c r="EP107" s="1048"/>
      <c r="ER107" s="1048"/>
      <c r="ES107" s="1048"/>
      <c r="ET107" s="1048"/>
      <c r="EU107" s="1048"/>
      <c r="EW107" s="1048"/>
      <c r="EX107" s="1048"/>
      <c r="EY107" s="1048"/>
      <c r="EZ107" s="2807"/>
      <c r="FA107" s="2807"/>
      <c r="FB107" s="2807"/>
      <c r="FC107" s="2807"/>
      <c r="FD107" s="2807"/>
      <c r="FE107" s="2807"/>
      <c r="FF107" s="2807"/>
      <c r="FG107" s="2807"/>
      <c r="FH107" s="2807"/>
      <c r="FI107" s="2807"/>
      <c r="FJ107" s="2807"/>
      <c r="FK107" s="2807"/>
      <c r="FL107" s="1048"/>
    </row>
    <row r="108" spans="1:168" ht="13.5" customHeight="1">
      <c r="A108" s="390" t="s">
        <v>376</v>
      </c>
      <c r="B108" s="14"/>
      <c r="C108" s="14"/>
      <c r="D108" s="14"/>
      <c r="E108" s="14">
        <f>+SUM(B108:D108)</f>
        <v>0</v>
      </c>
      <c r="F108" s="14"/>
      <c r="G108" s="14"/>
      <c r="H108" s="14"/>
      <c r="I108" s="14">
        <v>0</v>
      </c>
      <c r="J108" s="14"/>
      <c r="K108" s="14">
        <v>0</v>
      </c>
      <c r="L108" s="14"/>
      <c r="M108" s="14">
        <f>+N108</f>
        <v>0</v>
      </c>
      <c r="N108" s="14">
        <v>0</v>
      </c>
      <c r="O108" s="14"/>
      <c r="P108" s="14">
        <f>+R108</f>
        <v>0</v>
      </c>
      <c r="Q108" s="14"/>
      <c r="R108" s="14">
        <v>0</v>
      </c>
      <c r="S108" s="14"/>
      <c r="T108" s="14">
        <v>0</v>
      </c>
      <c r="U108" s="14">
        <v>0</v>
      </c>
      <c r="V108" s="14"/>
      <c r="W108" s="14"/>
      <c r="X108" s="14">
        <v>0</v>
      </c>
      <c r="Y108" s="14">
        <f>T108</f>
        <v>0</v>
      </c>
      <c r="Z108" s="14">
        <f>U108</f>
        <v>0</v>
      </c>
      <c r="AA108" s="14">
        <f>X108</f>
        <v>0</v>
      </c>
      <c r="AB108" s="14">
        <v>0</v>
      </c>
      <c r="AC108" s="167">
        <f>SUM(CY108:DB108)</f>
        <v>38.945340000000002</v>
      </c>
      <c r="AD108" s="167">
        <f>SUM(DD108:DG108)</f>
        <v>61.023948300000001</v>
      </c>
      <c r="AE108" s="129">
        <f>Drivers!H33</f>
        <v>73.792243665000001</v>
      </c>
      <c r="AF108" s="129">
        <f>Drivers!I33</f>
        <v>86.418826155899993</v>
      </c>
      <c r="AG108" s="129">
        <f>Drivers!J33</f>
        <v>99.763425776762986</v>
      </c>
      <c r="AH108" s="129">
        <f>Drivers!K33</f>
        <v>113.9709943056346</v>
      </c>
      <c r="AI108" s="129">
        <f>Drivers!L33</f>
        <v>125.87447559961336</v>
      </c>
      <c r="AJ108" s="1922">
        <f>Drivers!M33</f>
        <v>135.46196738238939</v>
      </c>
      <c r="AK108" s="1922">
        <f>Drivers!N33</f>
        <v>143.83810118634497</v>
      </c>
      <c r="AL108" s="1922">
        <f>Drivers!Q33</f>
        <v>150.10522547369365</v>
      </c>
      <c r="AM108" s="1922">
        <f>Drivers!R33</f>
        <v>156.36453209513903</v>
      </c>
      <c r="AN108" s="1922">
        <f>Drivers!T33</f>
        <v>162.61911337894458</v>
      </c>
      <c r="AO108" s="1922">
        <f>Drivers!U33</f>
        <v>169.12387791410239</v>
      </c>
      <c r="AP108" s="1922">
        <f>Drivers!V33</f>
        <v>175.88883303066649</v>
      </c>
      <c r="AQ108" s="1922">
        <f>Drivers!W33</f>
        <v>182.92438635189316</v>
      </c>
      <c r="AR108" s="1922">
        <f>Drivers!X33</f>
        <v>190.24136180596889</v>
      </c>
      <c r="AS108" s="1922">
        <f>Drivers!Y33</f>
        <v>197.85101627820765</v>
      </c>
      <c r="AT108" s="1922">
        <f>Drivers!Z33</f>
        <v>205.76505692933597</v>
      </c>
      <c r="AU108" s="1922">
        <f>Drivers!AA33</f>
        <v>213.9956592065094</v>
      </c>
      <c r="AV108" s="1922">
        <f>Drivers!AB33</f>
        <v>222.55548557476979</v>
      </c>
      <c r="AW108" s="1922">
        <f>Drivers!AC33</f>
        <v>231.4577049977606</v>
      </c>
      <c r="AX108" s="1922">
        <f>Drivers!AD33</f>
        <v>240.71601319767103</v>
      </c>
      <c r="AY108" s="1922">
        <f>Drivers!AE33</f>
        <v>250.34465372557787</v>
      </c>
      <c r="AZ108" s="359"/>
      <c r="BA108" s="359"/>
      <c r="BB108" s="359"/>
      <c r="BC108" s="359"/>
      <c r="BD108" s="359"/>
      <c r="BE108" s="421"/>
      <c r="BF108" s="14">
        <v>0</v>
      </c>
      <c r="BG108" s="14">
        <v>0</v>
      </c>
      <c r="BH108" s="14">
        <v>0</v>
      </c>
      <c r="BI108" s="14">
        <f>+K108-SUM(BF108:BH108)</f>
        <v>0</v>
      </c>
      <c r="BJ108" s="14"/>
      <c r="BK108" s="14">
        <v>0</v>
      </c>
      <c r="BL108" s="14">
        <v>0</v>
      </c>
      <c r="BM108" s="14">
        <f>+BL108</f>
        <v>0</v>
      </c>
      <c r="BN108" s="14">
        <f>+N108-SUM(BK108:BM108)</f>
        <v>0</v>
      </c>
      <c r="BO108" s="14"/>
      <c r="BP108" s="14">
        <f t="shared" si="163"/>
        <v>0</v>
      </c>
      <c r="BQ108" s="14">
        <f t="shared" si="163"/>
        <v>0</v>
      </c>
      <c r="BR108" s="14">
        <f t="shared" si="163"/>
        <v>0</v>
      </c>
      <c r="BS108" s="14">
        <f>+N108-SUM(BP108:BR108)</f>
        <v>0</v>
      </c>
      <c r="BT108" s="14"/>
      <c r="BU108" s="61">
        <f>+$R$108/4</f>
        <v>0</v>
      </c>
      <c r="BV108" s="61">
        <f>+$R$108/4</f>
        <v>0</v>
      </c>
      <c r="BW108" s="61">
        <f>+$R$108/4</f>
        <v>0</v>
      </c>
      <c r="BX108" s="61">
        <f>+P108-SUM(BU108:BW108)</f>
        <v>0</v>
      </c>
      <c r="BY108" s="95"/>
      <c r="BZ108" s="61">
        <f>+$R$108/4</f>
        <v>0</v>
      </c>
      <c r="CA108" s="61">
        <f>+$R$108/4</f>
        <v>0</v>
      </c>
      <c r="CB108" s="61">
        <f>+$R$108/4</f>
        <v>0</v>
      </c>
      <c r="CC108" s="61">
        <f>+BX108-SUM(BZ108:CB108)</f>
        <v>0</v>
      </c>
      <c r="CD108" s="377"/>
      <c r="CE108" s="14"/>
      <c r="CF108" s="14"/>
      <c r="CG108" s="14"/>
      <c r="CH108" s="14"/>
      <c r="CI108" s="53"/>
      <c r="CJ108" s="14"/>
      <c r="CK108" s="14"/>
      <c r="CL108" s="14"/>
      <c r="CM108" s="14"/>
      <c r="CN108" s="49"/>
      <c r="CO108" s="14"/>
      <c r="CP108" s="14"/>
      <c r="CQ108" s="14"/>
      <c r="CR108" s="14"/>
      <c r="CS108" s="49"/>
      <c r="CT108" s="352"/>
      <c r="CU108" s="352"/>
      <c r="CV108" s="352"/>
      <c r="CW108" s="352"/>
      <c r="CX108" s="1366"/>
      <c r="CY108" s="1357">
        <v>0</v>
      </c>
      <c r="CZ108" s="1437">
        <v>12.6</v>
      </c>
      <c r="DA108" s="1437">
        <f>CZ108*1.03</f>
        <v>12.978</v>
      </c>
      <c r="DB108" s="1437">
        <f>DA108*1.03</f>
        <v>13.36734</v>
      </c>
      <c r="DC108" s="1357" t="s">
        <v>337</v>
      </c>
      <c r="DD108" s="1437">
        <f>DB108*1.025</f>
        <v>13.701523499999999</v>
      </c>
      <c r="DE108" s="1357">
        <f>CZ108*(1.21)</f>
        <v>15.245999999999999</v>
      </c>
      <c r="DF108" s="1357">
        <f>DA108*(1.215)</f>
        <v>15.768270000000001</v>
      </c>
      <c r="DG108" s="1357">
        <f>DB108*(1.22)</f>
        <v>16.308154800000001</v>
      </c>
      <c r="DH108" s="2351">
        <f>AD108-SUM(DD108:DG108)</f>
        <v>0</v>
      </c>
      <c r="DI108" s="2194">
        <f>Drivers!BG33</f>
        <v>16.852873904999999</v>
      </c>
      <c r="DJ108" s="2194">
        <f>Drivers!BH33</f>
        <v>18.447659999999999</v>
      </c>
      <c r="DK108" s="2194">
        <f>Drivers!BI33</f>
        <v>18.921924000000001</v>
      </c>
      <c r="DL108" s="2194">
        <f>Drivers!BJ33</f>
        <v>19.569785759999998</v>
      </c>
      <c r="DM108" s="2352">
        <f>AE108-SUM(DI108:DL108)</f>
        <v>0</v>
      </c>
      <c r="DN108" s="2194">
        <f>Drivers!BL33</f>
        <v>19.886391207899997</v>
      </c>
      <c r="DO108" s="2194">
        <f>Drivers!BM33</f>
        <v>21.399285599999999</v>
      </c>
      <c r="DP108" s="2194">
        <f>Drivers!BN33</f>
        <v>22.138651079999999</v>
      </c>
      <c r="DQ108" s="2194">
        <f>Drivers!BO33</f>
        <v>22.994498267999997</v>
      </c>
      <c r="DR108" s="2026">
        <f>AF108-SUM(DN108:DQ108)</f>
        <v>0</v>
      </c>
      <c r="DS108" s="2194">
        <f>Drivers!BQ33</f>
        <v>23.267077713242994</v>
      </c>
      <c r="DT108" s="2194">
        <f>Drivers!BR33</f>
        <v>24.823171295999998</v>
      </c>
      <c r="DU108" s="2194">
        <f>Drivers!BS33</f>
        <v>25.459448741999996</v>
      </c>
      <c r="DV108" s="424">
        <f>Drivers!BT33</f>
        <v>26.213728025519998</v>
      </c>
      <c r="DW108" s="538">
        <f>AG108-SUM(DS108:DV108)</f>
        <v>0</v>
      </c>
      <c r="DX108" s="424">
        <f>Drivers!BV33</f>
        <v>26.524468593097016</v>
      </c>
      <c r="DY108" s="424">
        <f>Drivers!BW33</f>
        <v>28.546646990399996</v>
      </c>
      <c r="DZ108" s="424">
        <f>Drivers!BX33</f>
        <v>29.278366053299994</v>
      </c>
      <c r="EA108" s="424">
        <f>Drivers!BY33</f>
        <v>29.621512668837596</v>
      </c>
      <c r="EB108" s="2300">
        <f>AH108-SUM(DX108:EA108)</f>
        <v>0</v>
      </c>
      <c r="EC108" s="129">
        <f>Drivers!CA33</f>
        <v>29.972649510199624</v>
      </c>
      <c r="ED108" s="129">
        <f>Drivers!CB33</f>
        <v>31.401311689439996</v>
      </c>
      <c r="EE108" s="129">
        <f>Drivers!CC33</f>
        <v>31.620635337563996</v>
      </c>
      <c r="EF108" s="129">
        <f>Drivers!CD33</f>
        <v>32.879879062409735</v>
      </c>
      <c r="EG108" s="2300">
        <f>AI108-SUM(EC108:EF108)</f>
        <v>0</v>
      </c>
      <c r="EH108" s="129">
        <f>Drivers!CF33</f>
        <v>32.370461471015595</v>
      </c>
      <c r="EI108" s="129">
        <f>Drivers!CG33</f>
        <v>33.819212689526871</v>
      </c>
      <c r="EJ108" s="129">
        <f>Drivers!CH33</f>
        <v>33.992182987881293</v>
      </c>
      <c r="EK108" s="129">
        <f>Drivers!CI33</f>
        <v>35.280110233965644</v>
      </c>
      <c r="EL108" s="1120">
        <f>+AJ108-SUM(EH108:EK108)</f>
        <v>0</v>
      </c>
      <c r="EM108" s="129">
        <f>Drivers!CK33</f>
        <v>34.63639377398669</v>
      </c>
      <c r="EN108" s="129">
        <f>Drivers!CL33</f>
        <v>36.017461514346117</v>
      </c>
      <c r="EO108" s="129">
        <f>Drivers!CM33</f>
        <v>35.963729601178407</v>
      </c>
      <c r="EP108" s="129">
        <f>Drivers!CN33</f>
        <v>37.22051629683375</v>
      </c>
      <c r="EQ108" s="1120">
        <f>+$AK108-SUM(EM108:EP108)</f>
        <v>0</v>
      </c>
      <c r="ER108" s="129">
        <f>Drivers!CP33</f>
        <v>36.021849524946155</v>
      </c>
      <c r="ES108" s="129">
        <f>Drivers!CQ33</f>
        <v>37.494177436434306</v>
      </c>
      <c r="ET108" s="129">
        <f>Drivers!CR33</f>
        <v>37.582097433231432</v>
      </c>
      <c r="EU108" s="129">
        <f>Drivers!CS33</f>
        <v>39.007101079081771</v>
      </c>
      <c r="EV108" s="1120">
        <f>+$AL108-SUM(ER108:EU108)</f>
        <v>0</v>
      </c>
      <c r="EW108" s="129">
        <f>Drivers!CU33</f>
        <v>37.642832753568733</v>
      </c>
      <c r="EX108" s="129">
        <f>Drivers!CV33</f>
        <v>39.06893288876455</v>
      </c>
      <c r="EY108" s="129">
        <f>Drivers!CW33</f>
        <v>39.085381330560693</v>
      </c>
      <c r="EZ108" s="3008">
        <f>Drivers!CX33</f>
        <v>40.567385122245042</v>
      </c>
      <c r="FA108" s="2835">
        <f>AM108-SUM(EW108:EZ108)</f>
        <v>0</v>
      </c>
      <c r="FB108" s="3008">
        <f>Drivers!CZ33</f>
        <v>39.148546063711485</v>
      </c>
      <c r="FC108" s="3008">
        <f>Drivers!DA33</f>
        <v>40.631690204315134</v>
      </c>
      <c r="FD108" s="3008">
        <f>Drivers!DB33</f>
        <v>40.648796583783124</v>
      </c>
      <c r="FE108" s="3008">
        <f>Drivers!DC33</f>
        <v>42.190080527134846</v>
      </c>
      <c r="FF108" s="1741">
        <f>AN108-SUM(FB108:FE108)</f>
        <v>0</v>
      </c>
      <c r="FG108" s="3008">
        <f>Drivers!DE33</f>
        <v>40.714487906259947</v>
      </c>
      <c r="FH108" s="3008">
        <f>Drivers!DF33</f>
        <v>42.256957812487741</v>
      </c>
      <c r="FI108" s="3008">
        <f>Drivers!DG33</f>
        <v>42.274748447134449</v>
      </c>
      <c r="FJ108" s="3008">
        <f>Drivers!DH33</f>
        <v>43.877683748220242</v>
      </c>
      <c r="FK108" s="1741">
        <f>AO108-SUM(FG108:FJ108)</f>
        <v>0</v>
      </c>
      <c r="FL108" s="14"/>
    </row>
    <row r="109" spans="1:168" ht="13.5" thickBot="1">
      <c r="A109" s="425" t="s">
        <v>1066</v>
      </c>
      <c r="B109" s="14"/>
      <c r="C109" s="426">
        <f>+SUM(C86,C88,C93,C95,C99,C101,C107)</f>
        <v>4230</v>
      </c>
      <c r="D109" s="426">
        <f>+SUM(D86,D88,D93,D95,D99,D101,D107)</f>
        <v>3271.3009999999999</v>
      </c>
      <c r="E109" s="426">
        <f>+SUM(E86,E88,E93,E95,E99,E101,E107)</f>
        <v>7501.3009999999995</v>
      </c>
      <c r="F109" s="426">
        <f>+SUM(F86,F88,F93,F95,F99,F101,F107,F105)</f>
        <v>8250.2009999999991</v>
      </c>
      <c r="G109" s="426"/>
      <c r="H109" s="426"/>
      <c r="I109" s="426">
        <f>+SUM(I86,I88,I93,I95,I99,I101,I107)</f>
        <v>4203</v>
      </c>
      <c r="J109" s="426"/>
      <c r="K109" s="426">
        <f>SUM(BF109:BI109)</f>
        <v>7087.7</v>
      </c>
      <c r="L109" s="426">
        <f>+SUM(L86,L88,L93,L95,L99,L101,L107,L105)</f>
        <v>7872.3</v>
      </c>
      <c r="M109" s="427">
        <v>7312.4</v>
      </c>
      <c r="N109" s="426">
        <f>SUM(BK109:BN109)</f>
        <v>7048.7</v>
      </c>
      <c r="O109" s="426">
        <f>+SUM(O86,O88,O93,O95,O99,O101,O107,O105)</f>
        <v>7885.0999999999985</v>
      </c>
      <c r="P109" s="426">
        <f>P107+P103+P97+P90</f>
        <v>7239.9</v>
      </c>
      <c r="Q109" s="426"/>
      <c r="R109" s="427">
        <v>7239.9</v>
      </c>
      <c r="S109" s="426">
        <f>S90+S97+S103+S105</f>
        <v>8170.7128805933853</v>
      </c>
      <c r="T109" s="426">
        <f>SUM(BZ109:CC109)</f>
        <v>7483</v>
      </c>
      <c r="U109" s="426">
        <f>SUM(CE109:CH109)</f>
        <v>7761</v>
      </c>
      <c r="V109" s="428"/>
      <c r="W109" s="426">
        <f>U109</f>
        <v>7761</v>
      </c>
      <c r="X109" s="426">
        <f>SUM(CJ109:CM109)</f>
        <v>8504.6</v>
      </c>
      <c r="Y109" s="859">
        <v>8364.9</v>
      </c>
      <c r="Z109" s="859">
        <v>8680.5</v>
      </c>
      <c r="AA109" s="859">
        <v>9448.5</v>
      </c>
      <c r="AB109" s="859">
        <v>9325.2000000000007</v>
      </c>
      <c r="AC109" s="860">
        <f>SUM(CY109:DB109)</f>
        <v>9487.1</v>
      </c>
      <c r="AD109" s="860">
        <f>SUM(DD109:DG109)</f>
        <v>9107.6</v>
      </c>
      <c r="AE109" s="860">
        <f>SUM(DI109:DL109)</f>
        <v>9130.9209999999985</v>
      </c>
      <c r="AF109" s="860">
        <f>+AF86+AF93+AF95+AF103+AF108+AF88+AF107+AF105</f>
        <v>8920.2775538125006</v>
      </c>
      <c r="AG109" s="860">
        <f t="shared" ref="AG109:AQ109" si="164">+AG86+AG93+AG95+AG103+AG108+AG88+AG107+AG105</f>
        <v>9654.3347968581547</v>
      </c>
      <c r="AH109" s="860">
        <f>+AH86+AH93+AH95+AH103+AH108+AH88+AH107+AH105</f>
        <v>9772.2779027474917</v>
      </c>
      <c r="AI109" s="860">
        <f>+AI86+AI93+AI95+AI103+AI108+AI88+AI107+AI105</f>
        <v>10243.538390966376</v>
      </c>
      <c r="AJ109" s="2281">
        <f>+AJ86+AJ93+AJ95+AJ103+AJ108+AJ88+AJ107+AJ105</f>
        <v>11343.511992194752</v>
      </c>
      <c r="AK109" s="2281">
        <f>+AK86+AK93+AK95+AK103+AK108+AK88+AK107+AK105</f>
        <v>11187.842460706477</v>
      </c>
      <c r="AL109" s="2281">
        <f>+AL86+AL93+AL95+AL103+AL108+AL88+AL107+AL105</f>
        <v>11499.892644457748</v>
      </c>
      <c r="AM109" s="2281">
        <f t="shared" si="164"/>
        <v>12029.288927399981</v>
      </c>
      <c r="AN109" s="2281">
        <f t="shared" si="164"/>
        <v>12287.553272329718</v>
      </c>
      <c r="AO109" s="2281">
        <f t="shared" si="164"/>
        <v>12718.028843585811</v>
      </c>
      <c r="AP109" s="860">
        <f t="shared" si="164"/>
        <v>13792.747117688974</v>
      </c>
      <c r="AQ109" s="860">
        <f t="shared" si="164"/>
        <v>14344.459433598324</v>
      </c>
      <c r="AR109" s="860">
        <f t="shared" ref="AR109:AW109" si="165">+AR86+AR93+AR95+AR103+AR108+AR88+AR107+AR105</f>
        <v>15032.885597481518</v>
      </c>
      <c r="AS109" s="860">
        <f t="shared" si="165"/>
        <v>16141.996993368666</v>
      </c>
      <c r="AT109" s="860">
        <f t="shared" si="165"/>
        <v>16054.204592255097</v>
      </c>
      <c r="AU109" s="860">
        <f t="shared" si="165"/>
        <v>16600.043432255017</v>
      </c>
      <c r="AV109" s="860">
        <f t="shared" si="165"/>
        <v>17585.587793899384</v>
      </c>
      <c r="AW109" s="860">
        <f t="shared" si="165"/>
        <v>17417.976013038977</v>
      </c>
      <c r="AX109" s="860">
        <f>+AX86+AX93+AX95+AX103+AX108+AX88+AX107+AX105</f>
        <v>17807.832100709467</v>
      </c>
      <c r="AY109" s="860">
        <f>+AY86+AY93+AY95+AY103+AY108+AY88+AY107+AY105</f>
        <v>19064.511850217754</v>
      </c>
      <c r="AZ109" s="354"/>
      <c r="BA109" s="354"/>
      <c r="BB109" s="354"/>
      <c r="BC109" s="354"/>
      <c r="BD109" s="354"/>
      <c r="BE109" s="354"/>
      <c r="BF109" s="427">
        <v>1819</v>
      </c>
      <c r="BG109" s="427">
        <v>1558</v>
      </c>
      <c r="BH109" s="427">
        <v>1692</v>
      </c>
      <c r="BI109" s="427">
        <v>2018.7</v>
      </c>
      <c r="BJ109" s="14"/>
      <c r="BK109" s="427">
        <v>1850.1</v>
      </c>
      <c r="BL109" s="427">
        <v>1644.1</v>
      </c>
      <c r="BM109" s="427">
        <v>1638.8</v>
      </c>
      <c r="BN109" s="427">
        <v>1915.7</v>
      </c>
      <c r="BO109" s="14"/>
      <c r="BP109" s="426">
        <f t="shared" si="163"/>
        <v>1850.1</v>
      </c>
      <c r="BQ109" s="426">
        <f t="shared" si="163"/>
        <v>1644.1</v>
      </c>
      <c r="BR109" s="426">
        <f t="shared" si="163"/>
        <v>1638.8</v>
      </c>
      <c r="BS109" s="429">
        <f>+N109-SUM(BP109:BR109)</f>
        <v>1915.6999999999998</v>
      </c>
      <c r="BT109" s="14"/>
      <c r="BU109" s="427">
        <v>2030.8</v>
      </c>
      <c r="BV109" s="427">
        <v>1626.4</v>
      </c>
      <c r="BW109" s="427">
        <v>1582.5</v>
      </c>
      <c r="BX109" s="427">
        <v>2005.3</v>
      </c>
      <c r="BY109" s="430"/>
      <c r="BZ109" s="427">
        <v>1850.8</v>
      </c>
      <c r="CA109" s="427">
        <v>1699</v>
      </c>
      <c r="CB109" s="427">
        <v>1810.1</v>
      </c>
      <c r="CC109" s="427">
        <v>2123.1</v>
      </c>
      <c r="CD109" s="377"/>
      <c r="CE109" s="427">
        <v>1924.5</v>
      </c>
      <c r="CF109" s="427">
        <v>1862</v>
      </c>
      <c r="CG109" s="427">
        <v>1882.6</v>
      </c>
      <c r="CH109" s="427">
        <v>2091.9</v>
      </c>
      <c r="CI109" s="53"/>
      <c r="CJ109" s="427">
        <v>2272.6999999999998</v>
      </c>
      <c r="CK109" s="427">
        <v>2063.9</v>
      </c>
      <c r="CL109" s="427">
        <v>1969.1</v>
      </c>
      <c r="CM109" s="427">
        <v>2198.9</v>
      </c>
      <c r="CN109" s="49">
        <f>+X109-SUM(CJ109:CM109)</f>
        <v>0</v>
      </c>
      <c r="CO109" s="427">
        <v>2502</v>
      </c>
      <c r="CP109" s="427">
        <v>2286.8000000000002</v>
      </c>
      <c r="CQ109" s="427">
        <v>2202.8000000000002</v>
      </c>
      <c r="CR109" s="427">
        <v>2456.9</v>
      </c>
      <c r="CS109" s="49">
        <f>+AA109-SUM(CO109:CR109)</f>
        <v>0</v>
      </c>
      <c r="CT109" s="427">
        <f>4166.9-2025.7+3.9+CT105</f>
        <v>2395.1</v>
      </c>
      <c r="CU109" s="427">
        <f>2025.7-3.9+CU105</f>
        <v>2284.1999999999998</v>
      </c>
      <c r="CV109" s="427">
        <v>2154.9</v>
      </c>
      <c r="CW109" s="427">
        <v>2491</v>
      </c>
      <c r="CX109" s="1366">
        <f>AB109-SUM(CT109:CW109)</f>
        <v>0</v>
      </c>
      <c r="CY109" s="2353">
        <v>2515.6999999999998</v>
      </c>
      <c r="CZ109" s="2353">
        <v>2259.8000000000002</v>
      </c>
      <c r="DA109" s="2353">
        <v>2150.6</v>
      </c>
      <c r="DB109" s="2353">
        <v>2561</v>
      </c>
      <c r="DC109" s="2351">
        <f>AC109-SUM(CY109:DB109)</f>
        <v>0</v>
      </c>
      <c r="DD109" s="2353">
        <v>2534</v>
      </c>
      <c r="DE109" s="2353">
        <v>2131.1999999999998</v>
      </c>
      <c r="DF109" s="2353">
        <v>2040.5</v>
      </c>
      <c r="DG109" s="2353">
        <v>2401.9</v>
      </c>
      <c r="DH109" s="2351">
        <f>AD109-SUM(DD109:DG109)</f>
        <v>0</v>
      </c>
      <c r="DI109" s="2354">
        <f>DI107+DI105+DI103+DI97+DI90+DI108</f>
        <v>2588.0841239049996</v>
      </c>
      <c r="DJ109" s="2354">
        <f>DJ107+DJ105+DJ103+DJ97+DJ90+DJ108</f>
        <v>2192.0583159999996</v>
      </c>
      <c r="DK109" s="2354">
        <f>DK107+DK105+DK103+DK97+DK90+DK108</f>
        <v>2102.1841090437501</v>
      </c>
      <c r="DL109" s="2354">
        <f>DL107+DL105+DL103+DL97+DL90+DL108</f>
        <v>2248.5944510512495</v>
      </c>
      <c r="DM109" s="2352">
        <f>AE109-SUM(DI109:DL109)</f>
        <v>0</v>
      </c>
      <c r="DN109" s="2354">
        <f>DN107+DN105+DN103+DN97+DN90+DN108</f>
        <v>2276.8499849578998</v>
      </c>
      <c r="DO109" s="2354">
        <f>DO107+DO105+DO103+DO97+DO90+DO108</f>
        <v>1980.1972104639999</v>
      </c>
      <c r="DP109" s="2354">
        <f>DP107+DP105+DP103+DP97+DP90+DP108</f>
        <v>2306.5512915964623</v>
      </c>
      <c r="DQ109" s="2354">
        <f>DQ107+DQ105+DQ103+DQ97+DQ90+DQ108</f>
        <v>2356.6790667941373</v>
      </c>
      <c r="DR109" s="2026">
        <f>AF109-SUM(DN109:DQ109)</f>
        <v>0</v>
      </c>
      <c r="DS109" s="2354">
        <f>DS107+DS105+DS103+DS97+DS90+DS108</f>
        <v>2623.0486891679998</v>
      </c>
      <c r="DT109" s="2354">
        <f>DT107+DT105+DT103+DT97+DT90+DT108</f>
        <v>2214.4509292809162</v>
      </c>
      <c r="DU109" s="2354">
        <f>DU107+DU105+DU103+DU97+DU90+DU108</f>
        <v>2164.0740993829704</v>
      </c>
      <c r="DV109" s="426">
        <f>DV107+DV105+DV103+DV97+DV90+DV108</f>
        <v>2652.7610790262688</v>
      </c>
      <c r="DW109" s="538">
        <f>AG109-SUM(DS109:DV109)</f>
        <v>0</v>
      </c>
      <c r="DX109" s="426">
        <f>DX107+DX105+DX103+DX97+DX90+DX108</f>
        <v>2563.8733416633163</v>
      </c>
      <c r="DY109" s="426">
        <f>DY107+DY105+DY103+DY97+DY90+DY108</f>
        <v>2434.1792072260669</v>
      </c>
      <c r="DZ109" s="426">
        <f>DZ107+DZ105+DZ103+DZ97+DZ90+DZ108</f>
        <v>2210.7144226733985</v>
      </c>
      <c r="EA109" s="426">
        <f>EA107+EA105+EA103+EA97+EA90+EA108</f>
        <v>2563.51093118471</v>
      </c>
      <c r="EB109" s="2300">
        <f>AH109-SUM(DX109:EA109)</f>
        <v>0</v>
      </c>
      <c r="EC109" s="426">
        <f>EC107+EC105+EC103+EC97+EC90+EC108</f>
        <v>2947.7148813090212</v>
      </c>
      <c r="ED109" s="426">
        <f>ED107+ED105+ED103+ED97+ED90+ED108</f>
        <v>2351.6389911538104</v>
      </c>
      <c r="EE109" s="426">
        <f>EE107+EE105+EE103+EE97+EE90+EE108</f>
        <v>2290.096511905047</v>
      </c>
      <c r="EF109" s="426">
        <f>EF107+EF105+EF103+EF97+EF90+EF108</f>
        <v>2654.0880065984993</v>
      </c>
      <c r="EG109" s="2300">
        <f>AI109-SUM(EC109:EF109)</f>
        <v>0</v>
      </c>
      <c r="EH109" s="426">
        <f>EH107+EH105+EH103+EH97+EH90+EH108</f>
        <v>3210.5337342960006</v>
      </c>
      <c r="EI109" s="426">
        <f>EI107+EI105+EI103+EI97+EI90+EI108</f>
        <v>2697.9970194698953</v>
      </c>
      <c r="EJ109" s="426">
        <f>EJ107+EJ105+EJ103+EJ97+EJ90+EJ108</f>
        <v>2614.1647384002908</v>
      </c>
      <c r="EK109" s="426">
        <f>EK107+EK105+EK103+EK97+EK90+EK108</f>
        <v>2820.816500028564</v>
      </c>
      <c r="EL109" s="1120">
        <f>+AJ109-SUM(EH109:EK109)</f>
        <v>0</v>
      </c>
      <c r="EM109" s="1420">
        <f>EM107+EM105+EM103+EM97+EM90+EM108</f>
        <v>3007.227587265123</v>
      </c>
      <c r="EN109" s="1420">
        <f>EN107+EN105+EN103+EN97+EN90+EN108</f>
        <v>2519.5563003664656</v>
      </c>
      <c r="EO109" s="1420">
        <f>EO107+EO105+EO103+EO97+EO90+EO108</f>
        <v>2697.6740894178452</v>
      </c>
      <c r="EP109" s="1420">
        <f>EP107+EP105+EP103+EP97+EP90+EP108</f>
        <v>2963.3844836570438</v>
      </c>
      <c r="EQ109" s="1120">
        <f>+$AK109-SUM(EM109:EP109)</f>
        <v>0</v>
      </c>
      <c r="ER109" s="1420">
        <f>ER107+ER105+ER103+ER97+ER90+ER108</f>
        <v>3009.7076715900907</v>
      </c>
      <c r="ES109" s="1420">
        <f>ES107+ES105+ES103+ES97+ES90+ES108</f>
        <v>2609.3438049882411</v>
      </c>
      <c r="ET109" s="1420">
        <f>ET107+ET105+ET103+ET97+ET90+ET108</f>
        <v>2644.5884568740535</v>
      </c>
      <c r="EU109" s="1420">
        <f>EU107+EU105+EU103+EU97+EU90+EU108</f>
        <v>3236.2527110053634</v>
      </c>
      <c r="EV109" s="1120">
        <f>+$AL109-SUM(ER109:EU109)</f>
        <v>0</v>
      </c>
      <c r="EW109" s="1420">
        <f>EW107+EW105+EW103+EW97+EW90+EW108</f>
        <v>3391.90296356103</v>
      </c>
      <c r="EX109" s="1420">
        <f>EX107+EX105+EX103+EX97+EX90+EX108</f>
        <v>2693.9118737667177</v>
      </c>
      <c r="EY109" s="1420">
        <f>EY107+EY105+EY103+EY97+EY90+EY108</f>
        <v>2763.2543316898286</v>
      </c>
      <c r="EZ109" s="3010">
        <f>EZ107+EZ105+EZ103+EZ97+EZ90+EZ108</f>
        <v>3180.2197583824041</v>
      </c>
      <c r="FA109" s="2835">
        <f>AM109-SUM(EW109:EZ109)</f>
        <v>0</v>
      </c>
      <c r="FB109" s="3010">
        <f>FB107+FB105+FB103+FB97+FB90+FB108</f>
        <v>3114.9216472347125</v>
      </c>
      <c r="FC109" s="3010">
        <f>FC107+FC105+FC103+FC97+FC90+FC108</f>
        <v>2965.0192131701251</v>
      </c>
      <c r="FD109" s="3010">
        <f>FD107+FD105+FD103+FD97+FD90+FD108</f>
        <v>2839.6455132657179</v>
      </c>
      <c r="FE109" s="3010">
        <f>FE107+FE105+FE103+FE97+FE90+FE108</f>
        <v>3367.9668986591614</v>
      </c>
      <c r="FF109" s="1741">
        <f>AN109-SUM(FB109:FE109)</f>
        <v>0</v>
      </c>
      <c r="FG109" s="3010">
        <f>FG107+FG105+FG103+FG97+FG90+FG108</f>
        <v>3244.7583789529749</v>
      </c>
      <c r="FH109" s="3010">
        <f>FH107+FH105+FH103+FH97+FH90+FH108</f>
        <v>3055.6960793634989</v>
      </c>
      <c r="FI109" s="3010">
        <f>FI107+FI105+FI103+FI97+FI90+FI108</f>
        <v>2830.5442236072417</v>
      </c>
      <c r="FJ109" s="3010">
        <f>FJ107+FJ105+FJ103+FJ97+FJ90+FJ108</f>
        <v>3587.0301616620959</v>
      </c>
      <c r="FK109" s="1741">
        <f>AO109-SUM(FG109:FJ109)</f>
        <v>0</v>
      </c>
      <c r="FL109" s="426"/>
    </row>
    <row r="110" spans="1:168">
      <c r="A110" s="372" t="s">
        <v>676</v>
      </c>
      <c r="B110" s="242"/>
      <c r="C110" s="242"/>
      <c r="D110" s="242"/>
      <c r="E110" s="39"/>
      <c r="F110" s="39"/>
      <c r="G110" s="242"/>
      <c r="H110" s="242"/>
      <c r="I110" s="242"/>
      <c r="J110" s="242"/>
      <c r="K110" s="39"/>
      <c r="L110" s="39"/>
      <c r="M110" s="242"/>
      <c r="N110" s="39">
        <f>+N109/K109-1</f>
        <v>-5.5024902295526257E-3</v>
      </c>
      <c r="O110" s="39"/>
      <c r="P110" s="39"/>
      <c r="Q110" s="39"/>
      <c r="R110" s="39">
        <f>+R109/N109-1</f>
        <v>2.7125569253904969E-2</v>
      </c>
      <c r="S110" s="39"/>
      <c r="T110" s="39">
        <f>+T109/R109-1</f>
        <v>3.3577811848229944E-2</v>
      </c>
      <c r="U110" s="39">
        <f>+U109/T109-1</f>
        <v>3.7150875317386145E-2</v>
      </c>
      <c r="V110" s="39"/>
      <c r="W110" s="39"/>
      <c r="X110" s="39">
        <f>+X109/U109-1</f>
        <v>9.5812395309882836E-2</v>
      </c>
      <c r="Y110" s="39">
        <f>+Y109/X109-1</f>
        <v>-1.6426404534017003E-2</v>
      </c>
      <c r="Z110" s="39">
        <f>+Z109/Y109-1</f>
        <v>3.7729082236488187E-2</v>
      </c>
      <c r="AA110" s="39">
        <f>+AA109/Z109-1</f>
        <v>8.8474166234663976E-2</v>
      </c>
      <c r="AB110" s="39">
        <f>+AB109/AA109-1</f>
        <v>-1.3049690427051841E-2</v>
      </c>
      <c r="AC110" s="39">
        <f t="shared" ref="AC110:AQ110" si="166">+AC109/AB109-1</f>
        <v>1.7361557929052474E-2</v>
      </c>
      <c r="AD110" s="39">
        <f t="shared" si="166"/>
        <v>-4.000168650061664E-2</v>
      </c>
      <c r="AE110" s="39">
        <f t="shared" si="166"/>
        <v>2.5606087223855045E-3</v>
      </c>
      <c r="AF110" s="39">
        <f t="shared" si="166"/>
        <v>-2.3069244185498716E-2</v>
      </c>
      <c r="AG110" s="39">
        <f t="shared" si="166"/>
        <v>8.2290852343705367E-2</v>
      </c>
      <c r="AH110" s="39">
        <f t="shared" si="166"/>
        <v>1.2216595795675023E-2</v>
      </c>
      <c r="AI110" s="39">
        <f t="shared" si="166"/>
        <v>4.8224220893921643E-2</v>
      </c>
      <c r="AJ110" s="1110">
        <f t="shared" si="166"/>
        <v>0.10738219150898343</v>
      </c>
      <c r="AK110" s="1110">
        <f t="shared" si="166"/>
        <v>-1.3723221837768418E-2</v>
      </c>
      <c r="AL110" s="1110">
        <f t="shared" si="166"/>
        <v>2.7891900055550645E-2</v>
      </c>
      <c r="AM110" s="1110">
        <f t="shared" si="166"/>
        <v>4.6034889134149326E-2</v>
      </c>
      <c r="AN110" s="1110">
        <f t="shared" si="166"/>
        <v>2.1469626882223203E-2</v>
      </c>
      <c r="AO110" s="1110">
        <f t="shared" si="166"/>
        <v>3.5033465305536415E-2</v>
      </c>
      <c r="AP110" s="39">
        <f t="shared" si="166"/>
        <v>8.4503525453567763E-2</v>
      </c>
      <c r="AQ110" s="39">
        <f t="shared" si="166"/>
        <v>4.0000176266683507E-2</v>
      </c>
      <c r="AR110" s="39">
        <f t="shared" ref="AR110:AY110" si="167">+AR109/AQ109-1</f>
        <v>4.7992478703709596E-2</v>
      </c>
      <c r="AS110" s="39">
        <f t="shared" si="167"/>
        <v>7.377900860716724E-2</v>
      </c>
      <c r="AT110" s="39">
        <f t="shared" si="167"/>
        <v>-5.4387571221600206E-3</v>
      </c>
      <c r="AU110" s="39">
        <f t="shared" si="167"/>
        <v>3.3999743610047428E-2</v>
      </c>
      <c r="AV110" s="39">
        <f t="shared" si="167"/>
        <v>5.9369986932045427E-2</v>
      </c>
      <c r="AW110" s="39">
        <f t="shared" si="167"/>
        <v>-9.5312015057326116E-3</v>
      </c>
      <c r="AX110" s="39">
        <f t="shared" si="167"/>
        <v>2.238239892962568E-2</v>
      </c>
      <c r="AY110" s="39">
        <f t="shared" si="167"/>
        <v>7.056893519667784E-2</v>
      </c>
      <c r="AZ110" s="359"/>
      <c r="BA110" s="359"/>
      <c r="BB110" s="359"/>
      <c r="BC110" s="359"/>
      <c r="BD110" s="359"/>
      <c r="BE110" s="421"/>
      <c r="BF110" s="242"/>
      <c r="BG110" s="242"/>
      <c r="BH110" s="242"/>
      <c r="BI110" s="242"/>
      <c r="BJ110" s="242"/>
      <c r="BK110" s="242">
        <f>+BK109/BF109-1</f>
        <v>1.70973062122044E-2</v>
      </c>
      <c r="BL110" s="242">
        <f>+BL109/BG109-1</f>
        <v>5.5263157894736681E-2</v>
      </c>
      <c r="BM110" s="242">
        <f>+BM109/BH109-1</f>
        <v>-3.1442080378250581E-2</v>
      </c>
      <c r="BN110" s="242">
        <f>+BN109/BI109-1</f>
        <v>-5.1022935552583304E-2</v>
      </c>
      <c r="BO110" s="242"/>
      <c r="BP110" s="242"/>
      <c r="BQ110" s="242"/>
      <c r="BR110" s="242"/>
      <c r="BS110" s="242"/>
      <c r="BT110" s="242"/>
      <c r="BU110" s="242">
        <f>+BU109/BK109-1</f>
        <v>9.7670396194800224E-2</v>
      </c>
      <c r="BV110" s="242">
        <f>+BV109/BL109-1</f>
        <v>-1.076576850556521E-2</v>
      </c>
      <c r="BW110" s="242">
        <f>+BW109/BM109-1</f>
        <v>-3.4354405662679999E-2</v>
      </c>
      <c r="BX110" s="242">
        <f>+BX109/BN109-1</f>
        <v>4.6771415148509687E-2</v>
      </c>
      <c r="BY110" s="95"/>
      <c r="BZ110" s="39">
        <f>+BZ109/BU109-1</f>
        <v>-8.8635020681504861E-2</v>
      </c>
      <c r="CA110" s="39">
        <f>+CA109/BV109-1</f>
        <v>4.4638465322183851E-2</v>
      </c>
      <c r="CB110" s="39">
        <f>+CB109/BW109-1</f>
        <v>0.14382306477093199</v>
      </c>
      <c r="CC110" s="39">
        <f>+CC109/BX109-1</f>
        <v>5.8744327532040064E-2</v>
      </c>
      <c r="CD110" s="377"/>
      <c r="CE110" s="39">
        <f>+CE109/BZ109-1</f>
        <v>3.9820618111087169E-2</v>
      </c>
      <c r="CF110" s="39">
        <f>+CF109/CA109-1</f>
        <v>9.5938787522071856E-2</v>
      </c>
      <c r="CG110" s="39">
        <f>+CG109/CB109-1</f>
        <v>4.0053035743881527E-2</v>
      </c>
      <c r="CH110" s="39">
        <f>+CH109/CC109-1</f>
        <v>-1.469549244029944E-2</v>
      </c>
      <c r="CI110" s="53"/>
      <c r="CJ110" s="39">
        <f>+CJ109/BZ109-1</f>
        <v>0.22795547871190824</v>
      </c>
      <c r="CK110" s="39">
        <f>+CK109/CA109-1</f>
        <v>0.21477339611536195</v>
      </c>
      <c r="CL110" s="39">
        <f>+CL109/CB109-1</f>
        <v>8.7840450803823078E-2</v>
      </c>
      <c r="CM110" s="39">
        <f>+CM109/CC109-1</f>
        <v>3.5702510479958649E-2</v>
      </c>
      <c r="CN110" s="49"/>
      <c r="CO110" s="39">
        <f>+CO109/CE109-1</f>
        <v>0.30007794232268115</v>
      </c>
      <c r="CP110" s="39">
        <f>+CP109/CF109-1</f>
        <v>0.22814178302900112</v>
      </c>
      <c r="CQ110" s="39">
        <f>+CQ109/CG109-1</f>
        <v>0.17008392648464898</v>
      </c>
      <c r="CR110" s="39">
        <f>+CR109/CH109-1</f>
        <v>0.17448252784549934</v>
      </c>
      <c r="CS110" s="49"/>
      <c r="CT110" s="39">
        <f>+CT109/CO109-1</f>
        <v>-4.2725819344524463E-2</v>
      </c>
      <c r="CU110" s="39">
        <f>+CU109/CP109-1</f>
        <v>-1.1369599440267386E-3</v>
      </c>
      <c r="CV110" s="39">
        <f>+CV109/CQ109-1</f>
        <v>-2.1745051752315225E-2</v>
      </c>
      <c r="CW110" s="39">
        <f>+CW109/CR109-1</f>
        <v>1.3879278765924541E-2</v>
      </c>
      <c r="CX110" s="1366"/>
      <c r="CY110" s="1110">
        <f>+CY109/CT109-1</f>
        <v>5.0352803640766552E-2</v>
      </c>
      <c r="CZ110" s="1110">
        <f>+CZ109/CU109-1</f>
        <v>-1.0682076875930147E-2</v>
      </c>
      <c r="DA110" s="1110">
        <f>+DA109/CV109-1</f>
        <v>-1.9954522251613982E-3</v>
      </c>
      <c r="DB110" s="1110">
        <f>+DB109/CW109-1</f>
        <v>2.8101164191087991E-2</v>
      </c>
      <c r="DC110" s="1164"/>
      <c r="DD110" s="1110">
        <f>+DD109/CY109-1</f>
        <v>7.2743172874349948E-3</v>
      </c>
      <c r="DE110" s="1110">
        <f>+DE109/CZ109-1</f>
        <v>-5.6907690946101597E-2</v>
      </c>
      <c r="DF110" s="1110">
        <f>+DF109/DA109-1</f>
        <v>-5.1195015344554951E-2</v>
      </c>
      <c r="DG110" s="1110">
        <f>+DG109/DB109-1</f>
        <v>-6.212417024599759E-2</v>
      </c>
      <c r="DH110" s="2348"/>
      <c r="DI110" s="1110">
        <f>+DI109/DD109-1</f>
        <v>2.1343379599447321E-2</v>
      </c>
      <c r="DJ110" s="1110">
        <f>+DJ109/DE109-1</f>
        <v>2.8555891516516496E-2</v>
      </c>
      <c r="DK110" s="1110">
        <f>+DK109/DF109-1</f>
        <v>3.0229899065792765E-2</v>
      </c>
      <c r="DL110" s="1110">
        <f>+DL109/DG109-1</f>
        <v>-6.3826782525813086E-2</v>
      </c>
      <c r="DM110" s="2348"/>
      <c r="DN110" s="1110">
        <f>+DN109/DI109-1</f>
        <v>-0.12025657747071139</v>
      </c>
      <c r="DO110" s="1110">
        <f>+DO109/DJ109-1</f>
        <v>-9.664939294251873E-2</v>
      </c>
      <c r="DP110" s="1110">
        <f>+DP109/DK109-1</f>
        <v>9.7216595669955552E-2</v>
      </c>
      <c r="DQ110" s="1110">
        <f>+DQ109/DL109-1</f>
        <v>4.8067634291437678E-2</v>
      </c>
      <c r="DR110" s="1164"/>
      <c r="DS110" s="1110">
        <f>+DS109/DN109-1</f>
        <v>0.15205160923964045</v>
      </c>
      <c r="DT110" s="1110">
        <f>+DT109/DO109-1</f>
        <v>0.11829817635286233</v>
      </c>
      <c r="DU110" s="1110">
        <f>+DU109/DP109-1</f>
        <v>-6.1770658529287426E-2</v>
      </c>
      <c r="DV110" s="39">
        <f>+DV109/DQ109-1</f>
        <v>0.12563527058221857</v>
      </c>
      <c r="DX110" s="39">
        <f>+DX109/DS109-1</f>
        <v>-2.2559759469601426E-2</v>
      </c>
      <c r="DY110" s="39">
        <f>+DY109/DT109-1</f>
        <v>9.9224722047239755E-2</v>
      </c>
      <c r="DZ110" s="39">
        <f>+DZ109/DU109-1</f>
        <v>2.1552091632965009E-2</v>
      </c>
      <c r="EA110" s="39">
        <f>+EA109/DV109-1</f>
        <v>-3.3644246572827163E-2</v>
      </c>
      <c r="EB110" s="862"/>
      <c r="EC110" s="39">
        <f>+EC109/DX109-1</f>
        <v>0.14971158419108455</v>
      </c>
      <c r="ED110" s="39">
        <f>+ED109/DY109-1</f>
        <v>-3.3908849367880967E-2</v>
      </c>
      <c r="EE110" s="39">
        <f>+EE109/DZ109-1</f>
        <v>3.590788951186763E-2</v>
      </c>
      <c r="EF110" s="39">
        <f>+EF109/EA109-1</f>
        <v>3.5333212085009391E-2</v>
      </c>
      <c r="EH110" s="39">
        <f>+EH109/EC109-1</f>
        <v>8.916020156951765E-2</v>
      </c>
      <c r="EI110" s="39">
        <f>+EI109/ED109-1</f>
        <v>0.14728367305482859</v>
      </c>
      <c r="EJ110" s="39">
        <f>+EJ109/EE109-1</f>
        <v>0.14150854551787573</v>
      </c>
      <c r="EK110" s="39">
        <f>+EK109/EF109-1</f>
        <v>6.2819504483479838E-2</v>
      </c>
      <c r="EM110" s="1174">
        <f>+EM109/EH109-1</f>
        <v>-6.332471914532245E-2</v>
      </c>
      <c r="EN110" s="1174">
        <f>+EN109/EI109-1</f>
        <v>-6.613821950718457E-2</v>
      </c>
      <c r="EO110" s="1174">
        <f>+EO109/EJ109-1</f>
        <v>3.1944945852439677E-2</v>
      </c>
      <c r="EP110" s="1174">
        <f>+EP109/EK109-1</f>
        <v>5.0541388859231429E-2</v>
      </c>
      <c r="ER110" s="1609">
        <f>+ER109/EM109-1</f>
        <v>8.2470789223609842E-4</v>
      </c>
      <c r="ES110" s="1609">
        <f>+ES109/EN109-1</f>
        <v>3.5636236669415178E-2</v>
      </c>
      <c r="ET110" s="1609">
        <f>+ET109/EO109-1</f>
        <v>-1.9678297223534313E-2</v>
      </c>
      <c r="EU110" s="1174">
        <f>+EU109/EP109-1</f>
        <v>9.2079927141812901E-2</v>
      </c>
      <c r="EW110" s="1609">
        <f>+EW109/ER109-1</f>
        <v>0.12698751296633981</v>
      </c>
      <c r="EX110" s="1609">
        <f>+EX109/ES109-1</f>
        <v>3.2409707228617801E-2</v>
      </c>
      <c r="EY110" s="1609">
        <f>+EY109/ET109-1</f>
        <v>4.4871206522636209E-2</v>
      </c>
      <c r="EZ110" s="2866">
        <f>+EZ109/EU109-1</f>
        <v>-1.7314146213740056E-2</v>
      </c>
      <c r="FA110" s="2807"/>
      <c r="FB110" s="3003">
        <f>+FB109/EW109-1</f>
        <v>-8.1659563761672382E-2</v>
      </c>
      <c r="FC110" s="3003">
        <f>+FC109/EX109-1</f>
        <v>0.10063704831752207</v>
      </c>
      <c r="FD110" s="3003">
        <f>+FD109/EY109-1</f>
        <v>2.7645367529080644E-2</v>
      </c>
      <c r="FE110" s="2866">
        <f>+FE109/EZ109-1</f>
        <v>5.9035901459921103E-2</v>
      </c>
      <c r="FF110" s="2866"/>
      <c r="FG110" s="3003">
        <f>+FG109/FB109-1</f>
        <v>4.1682182225522668E-2</v>
      </c>
      <c r="FH110" s="3003">
        <f>+FH109/FC109-1</f>
        <v>3.0582218756155743E-2</v>
      </c>
      <c r="FI110" s="3003">
        <f>+FI109/FD109-1</f>
        <v>-3.205079512903497E-3</v>
      </c>
      <c r="FJ110" s="2866">
        <f>+FJ109/FE109-1</f>
        <v>6.5043175777691475E-2</v>
      </c>
      <c r="FK110" s="2807"/>
      <c r="FL110" s="39"/>
    </row>
    <row r="111" spans="1:168">
      <c r="A111" s="379"/>
      <c r="B111" s="11"/>
      <c r="C111" s="11"/>
      <c r="D111" s="11"/>
      <c r="E111" s="11"/>
      <c r="F111" s="11"/>
      <c r="G111" s="11"/>
      <c r="H111" s="11"/>
      <c r="I111" s="11"/>
      <c r="J111" s="11"/>
      <c r="K111" s="14"/>
      <c r="L111" s="11"/>
      <c r="M111" s="14"/>
      <c r="N111" s="14"/>
      <c r="O111" s="11"/>
      <c r="P111" s="11"/>
      <c r="Q111" s="11"/>
      <c r="R111" s="49"/>
      <c r="S111" s="11"/>
      <c r="T111" s="53"/>
      <c r="U111" s="49"/>
      <c r="V111" s="39"/>
      <c r="W111" s="39"/>
      <c r="X111" s="49"/>
      <c r="Y111" s="11"/>
      <c r="Z111" s="11"/>
      <c r="AA111" s="14"/>
      <c r="AB111" s="39"/>
      <c r="AC111" s="39"/>
      <c r="AD111" s="424"/>
      <c r="AE111" s="14"/>
      <c r="AF111" s="14"/>
      <c r="AG111" s="11"/>
      <c r="AH111" s="432"/>
      <c r="AI111" s="432"/>
      <c r="AJ111" s="11"/>
      <c r="AK111" s="11"/>
      <c r="AL111" s="11"/>
      <c r="AM111" s="11"/>
      <c r="AN111" s="11"/>
      <c r="AO111" s="11"/>
      <c r="AP111" s="11"/>
      <c r="AQ111" s="11"/>
      <c r="AR111" s="11"/>
      <c r="AS111" s="11"/>
      <c r="AT111" s="11"/>
      <c r="AU111" s="11"/>
      <c r="AV111" s="11"/>
      <c r="AW111" s="11"/>
      <c r="AX111" s="69"/>
      <c r="AY111" s="69"/>
      <c r="AZ111" s="69"/>
      <c r="BA111" s="69"/>
      <c r="BB111" s="69"/>
      <c r="BC111" s="69"/>
      <c r="BD111" s="69"/>
      <c r="BE111" s="69"/>
      <c r="BF111" s="14"/>
      <c r="BG111" s="14"/>
      <c r="BH111" s="14"/>
      <c r="BI111" s="14"/>
      <c r="BJ111" s="11"/>
      <c r="BK111" s="14"/>
      <c r="BL111" s="14"/>
      <c r="BM111" s="14"/>
      <c r="BN111" s="14"/>
      <c r="BO111" s="11"/>
      <c r="BP111" s="11"/>
      <c r="BQ111" s="11"/>
      <c r="BR111" s="11"/>
      <c r="BS111" s="11"/>
      <c r="BT111" s="11"/>
      <c r="BU111" s="39"/>
      <c r="BV111" s="39"/>
      <c r="BW111" s="39"/>
      <c r="BX111" s="39"/>
      <c r="BY111" s="95"/>
      <c r="BZ111" s="39"/>
      <c r="CA111" s="39"/>
      <c r="CB111" s="39"/>
      <c r="CC111" s="39"/>
      <c r="CD111" s="377"/>
      <c r="CE111" s="14"/>
      <c r="CF111" s="14"/>
      <c r="CG111" s="14"/>
      <c r="CH111" s="14"/>
      <c r="CI111" s="14"/>
      <c r="CJ111" s="14"/>
      <c r="CK111" s="14"/>
      <c r="CL111" s="14"/>
      <c r="CM111" s="14"/>
      <c r="CN111" s="49"/>
      <c r="CO111" s="14"/>
      <c r="CP111" s="14"/>
      <c r="CQ111" s="14"/>
      <c r="CR111" s="14"/>
      <c r="CS111" s="49"/>
      <c r="CT111" s="431"/>
      <c r="CU111" s="431"/>
      <c r="CV111" s="431"/>
      <c r="CW111" s="304"/>
      <c r="CX111" s="1366"/>
      <c r="CY111" s="2355"/>
      <c r="CZ111" s="2355"/>
      <c r="DA111" s="2355"/>
      <c r="DB111" s="2355"/>
      <c r="DC111" s="1108"/>
      <c r="DD111" s="2348"/>
      <c r="DE111" s="2346"/>
      <c r="DF111" s="2348"/>
      <c r="DG111" s="2348"/>
      <c r="DH111" s="1710"/>
      <c r="DI111" s="2349"/>
      <c r="DJ111" s="2346"/>
      <c r="DK111" s="1710"/>
      <c r="DL111" s="1710"/>
      <c r="DM111" s="1710"/>
      <c r="DN111" s="1357"/>
      <c r="DO111" s="1357"/>
      <c r="DP111" s="1357"/>
      <c r="DQ111" s="1110"/>
      <c r="DR111" s="1108"/>
      <c r="DS111" s="1577"/>
      <c r="DT111" s="1577"/>
      <c r="DU111" s="1577"/>
      <c r="DX111" s="862"/>
      <c r="DY111" s="862"/>
      <c r="DZ111" s="862"/>
      <c r="EA111" s="862"/>
      <c r="EB111" s="862"/>
      <c r="EH111" s="1048"/>
      <c r="EI111" s="1048"/>
      <c r="EJ111" s="1048"/>
      <c r="EK111" s="1048"/>
      <c r="EM111" s="1048"/>
      <c r="EZ111" s="2807"/>
      <c r="FA111" s="2807"/>
      <c r="FB111" s="2807"/>
      <c r="FC111" s="2807"/>
      <c r="FD111" s="2807"/>
      <c r="FE111" s="2807"/>
      <c r="FF111" s="2807"/>
      <c r="FG111" s="2807"/>
      <c r="FH111" s="2807"/>
      <c r="FI111" s="2807"/>
      <c r="FJ111" s="2807"/>
      <c r="FK111" s="2807"/>
      <c r="FL111" s="1048"/>
    </row>
    <row r="112" spans="1:168">
      <c r="A112" s="389" t="s">
        <v>678</v>
      </c>
      <c r="B112" s="11"/>
      <c r="C112" s="11"/>
      <c r="D112" s="11"/>
      <c r="E112" s="11"/>
      <c r="F112" s="11"/>
      <c r="G112" s="11"/>
      <c r="H112" s="11"/>
      <c r="I112" s="11"/>
      <c r="J112" s="11"/>
      <c r="K112" s="11"/>
      <c r="L112" s="11"/>
      <c r="M112" s="11"/>
      <c r="N112" s="88"/>
      <c r="O112" s="11"/>
      <c r="P112" s="88"/>
      <c r="Q112" s="88"/>
      <c r="R112" s="49"/>
      <c r="S112" s="11"/>
      <c r="T112" s="204"/>
      <c r="U112" s="49"/>
      <c r="V112" s="204"/>
      <c r="W112" s="49"/>
      <c r="X112" s="49"/>
      <c r="Y112" s="11"/>
      <c r="Z112" s="11"/>
      <c r="AA112" s="11"/>
      <c r="AB112" s="58"/>
      <c r="AC112" s="53"/>
      <c r="AD112" s="53"/>
      <c r="AE112" s="432"/>
      <c r="AF112" s="14"/>
      <c r="AG112" s="414"/>
      <c r="AH112" s="352"/>
      <c r="AI112" s="352"/>
      <c r="AJ112" s="304"/>
      <c r="AK112" s="304"/>
      <c r="AL112" s="304"/>
      <c r="AM112" s="304"/>
      <c r="AN112" s="304"/>
      <c r="AO112" s="304"/>
      <c r="AP112" s="304"/>
      <c r="AQ112" s="304"/>
      <c r="AR112" s="304"/>
      <c r="AS112" s="304"/>
      <c r="AT112" s="304"/>
      <c r="AU112" s="304"/>
      <c r="AV112" s="304"/>
      <c r="AW112" s="304"/>
      <c r="AX112" s="139"/>
      <c r="AY112" s="139"/>
      <c r="AZ112" s="139"/>
      <c r="BA112" s="139"/>
      <c r="BB112" s="139"/>
      <c r="BC112" s="139"/>
      <c r="BD112" s="139"/>
      <c r="BE112" s="69"/>
      <c r="BF112" s="11"/>
      <c r="BG112" s="11"/>
      <c r="BH112" s="11"/>
      <c r="BI112" s="11"/>
      <c r="BJ112" s="11"/>
      <c r="BK112" s="11"/>
      <c r="BL112" s="11"/>
      <c r="BM112" s="11"/>
      <c r="BN112" s="11"/>
      <c r="BO112" s="11"/>
      <c r="BP112" s="11"/>
      <c r="BQ112" s="11"/>
      <c r="BR112" s="11"/>
      <c r="BS112" s="11"/>
      <c r="BT112" s="11"/>
      <c r="BU112" s="49"/>
      <c r="BV112" s="49"/>
      <c r="BW112" s="49"/>
      <c r="BX112" s="49"/>
      <c r="BY112" s="95"/>
      <c r="BZ112" s="304"/>
      <c r="CA112" s="304"/>
      <c r="CB112" s="304"/>
      <c r="CC112" s="304"/>
      <c r="CD112" s="304"/>
      <c r="CE112" s="14"/>
      <c r="CF112" s="14"/>
      <c r="CG112" s="14"/>
      <c r="CH112" s="14"/>
      <c r="CI112" s="53"/>
      <c r="CJ112" s="39"/>
      <c r="CK112" s="39"/>
      <c r="CL112" s="39"/>
      <c r="CM112" s="39"/>
      <c r="CN112" s="49"/>
      <c r="CO112" s="116"/>
      <c r="CP112" s="116"/>
      <c r="CQ112" s="116"/>
      <c r="CR112" s="116"/>
      <c r="CS112" s="49"/>
      <c r="CT112" s="304"/>
      <c r="CU112" s="304"/>
      <c r="CV112" s="352"/>
      <c r="CW112" s="304"/>
      <c r="CX112" s="49"/>
      <c r="CY112" s="304" t="s">
        <v>337</v>
      </c>
      <c r="CZ112" s="304" t="s">
        <v>337</v>
      </c>
      <c r="DA112" s="304"/>
      <c r="DB112" s="304"/>
      <c r="DC112" s="11"/>
      <c r="DD112" s="391"/>
      <c r="DE112" s="391"/>
      <c r="DF112" s="391"/>
      <c r="DG112" s="391"/>
      <c r="DH112" s="304"/>
      <c r="DI112" s="926"/>
      <c r="DJ112" s="391"/>
      <c r="DK112" s="391"/>
      <c r="DL112" s="304"/>
      <c r="DM112" s="304"/>
      <c r="DN112" s="14"/>
      <c r="DO112" s="14"/>
      <c r="DP112" s="14"/>
      <c r="DQ112" s="14"/>
      <c r="DR112" s="11"/>
      <c r="DX112" s="862"/>
      <c r="DY112" s="862"/>
      <c r="DZ112" s="862"/>
      <c r="EA112" s="862"/>
      <c r="EB112" s="862"/>
      <c r="EH112" s="1048"/>
      <c r="EI112" s="1048"/>
      <c r="EJ112" s="1048"/>
      <c r="EK112" s="1048"/>
      <c r="EM112" s="1048"/>
      <c r="EZ112" s="2807"/>
      <c r="FA112" s="2807"/>
      <c r="FB112" s="2807"/>
      <c r="FC112" s="2807"/>
      <c r="FD112" s="2807"/>
      <c r="FE112" s="2807"/>
      <c r="FF112" s="2807"/>
      <c r="FG112" s="2807"/>
      <c r="FH112" s="2807"/>
      <c r="FI112" s="2807"/>
      <c r="FJ112" s="2807"/>
      <c r="FK112" s="2807"/>
      <c r="FL112" s="1048"/>
    </row>
    <row r="113" spans="1:168">
      <c r="A113" s="390" t="s">
        <v>694</v>
      </c>
      <c r="B113" s="14"/>
      <c r="C113" s="14">
        <f>'CBS Network'!F42</f>
        <v>-70.548387096774192</v>
      </c>
      <c r="D113" s="14"/>
      <c r="E113" s="14">
        <f>+SUM(B113:D113)</f>
        <v>-70.548387096774192</v>
      </c>
      <c r="F113" s="14">
        <f>E113</f>
        <v>-70.548387096774192</v>
      </c>
      <c r="G113" s="14"/>
      <c r="H113" s="14"/>
      <c r="I113" s="14">
        <f>'CBS Network'!G42</f>
        <v>24</v>
      </c>
      <c r="J113" s="14"/>
      <c r="K113" s="14">
        <f>+SUM(H113:J113)</f>
        <v>24</v>
      </c>
      <c r="L113" s="14">
        <f>K113</f>
        <v>24</v>
      </c>
      <c r="M113" s="14">
        <f>+N113</f>
        <v>227</v>
      </c>
      <c r="N113" s="14">
        <f>+'CBS Network'!H42</f>
        <v>227</v>
      </c>
      <c r="O113" s="14">
        <f>N113</f>
        <v>227</v>
      </c>
      <c r="P113" s="14">
        <f>+R113</f>
        <v>259.2</v>
      </c>
      <c r="Q113" s="14"/>
      <c r="R113" s="14">
        <f>+'CBS Network'!I42</f>
        <v>259.2</v>
      </c>
      <c r="S113" s="14">
        <f>R113</f>
        <v>259.2</v>
      </c>
      <c r="T113" s="14">
        <f>+'CBS Network'!J42</f>
        <v>308.95987930356449</v>
      </c>
      <c r="U113" s="14">
        <f>+'CBS Network'!K42</f>
        <v>512.66356084176778</v>
      </c>
      <c r="V113" s="14"/>
      <c r="W113" s="14"/>
      <c r="X113" s="14">
        <f>+'CBS Network'!L42</f>
        <v>423.63819981996971</v>
      </c>
      <c r="Y113" s="14">
        <f>T113</f>
        <v>308.95987930356449</v>
      </c>
      <c r="Z113" s="14">
        <f>U113</f>
        <v>512.66356084176778</v>
      </c>
      <c r="AA113" s="14">
        <f>X113</f>
        <v>423.63819981996971</v>
      </c>
      <c r="AB113" s="14">
        <f>+'CBS Network'!M42</f>
        <v>395.31906754648992</v>
      </c>
      <c r="AC113" s="14">
        <f>+'CBS Network'!N42</f>
        <v>401.73898738906161</v>
      </c>
      <c r="AD113" s="14">
        <f>+'CBS Network'!O42</f>
        <v>456.64742313755028</v>
      </c>
      <c r="AE113" s="14">
        <f>+'CBS Network'!P42</f>
        <v>198.90165783132676</v>
      </c>
      <c r="AF113" s="14">
        <f>+'CBS Network'!Q42</f>
        <v>30.114225020536296</v>
      </c>
      <c r="AG113" s="14">
        <f>+'CBS Network'!R42</f>
        <v>182.08407635205407</v>
      </c>
      <c r="AH113" s="14">
        <f>+'CBS Network'!S42</f>
        <v>598.38836646660877</v>
      </c>
      <c r="AI113" s="14">
        <f>+'CBS Network'!T42</f>
        <v>374.0472761089049</v>
      </c>
      <c r="AJ113" s="14">
        <f>+'CBS Network'!U42</f>
        <v>553.47493661637714</v>
      </c>
      <c r="AK113" s="14">
        <f>+'CBS Network'!V42</f>
        <v>287.28743914900042</v>
      </c>
      <c r="AL113" s="14">
        <f>+'CBS Network'!W42</f>
        <v>334.24855144778314</v>
      </c>
      <c r="AM113" s="14">
        <f>+'CBS Network'!X42</f>
        <v>576.55054226253287</v>
      </c>
      <c r="AN113" s="14">
        <f>+'CBS Network'!Y42</f>
        <v>574.05729983471656</v>
      </c>
      <c r="AO113" s="14">
        <f>+'CBS Network'!Z42</f>
        <v>589.66937121918875</v>
      </c>
      <c r="AP113" s="14">
        <f>+'CBS Network'!AA42</f>
        <v>676.22691593801301</v>
      </c>
      <c r="AQ113" s="14">
        <f>+'CBS Network'!AB42</f>
        <v>738.00136905085594</v>
      </c>
      <c r="AR113" s="14">
        <f>+'CBS Network'!AC42</f>
        <v>824.33599257280866</v>
      </c>
      <c r="AS113" s="14">
        <f>+'CBS Network'!AD42</f>
        <v>854.54674295481459</v>
      </c>
      <c r="AT113" s="14">
        <f>+'CBS Network'!AE42</f>
        <v>712.55071153684071</v>
      </c>
      <c r="AU113" s="14">
        <f>+'CBS Network'!AF42</f>
        <v>613.41145555873004</v>
      </c>
      <c r="AV113" s="14">
        <f>+'CBS Network'!AG42</f>
        <v>638.66510921232214</v>
      </c>
      <c r="AW113" s="14">
        <f>+'CBS Network'!AH42</f>
        <v>457.29356523796645</v>
      </c>
      <c r="AX113" s="14">
        <f>+'CBS Network'!AI42</f>
        <v>417.46576137970226</v>
      </c>
      <c r="AY113" s="14">
        <f>+'CBS Network'!AJ42</f>
        <v>355.28717804672732</v>
      </c>
      <c r="AZ113" s="354"/>
      <c r="BA113" s="354"/>
      <c r="BB113" s="354"/>
      <c r="BC113" s="354"/>
      <c r="BD113" s="354"/>
      <c r="BE113" s="359"/>
      <c r="BF113" s="14">
        <v>6.4</v>
      </c>
      <c r="BG113" s="14">
        <v>23.1</v>
      </c>
      <c r="BH113" s="14">
        <v>18</v>
      </c>
      <c r="BI113" s="14">
        <f>+K113-SUM(BF113:BH113)</f>
        <v>-23.5</v>
      </c>
      <c r="BJ113" s="14"/>
      <c r="BK113" s="14">
        <f>237-BK123-BK134</f>
        <v>59.206619999999987</v>
      </c>
      <c r="BL113" s="14">
        <f>+BL86*BL120</f>
        <v>55.258499999999998</v>
      </c>
      <c r="BM113" s="14">
        <v>80</v>
      </c>
      <c r="BN113" s="14">
        <f>+N113-SUM(BK113:BM113)</f>
        <v>32.534880000000015</v>
      </c>
      <c r="BO113" s="14"/>
      <c r="BP113" s="14">
        <f>+BK113</f>
        <v>59.206619999999987</v>
      </c>
      <c r="BQ113" s="14">
        <f>+BL113</f>
        <v>55.258499999999998</v>
      </c>
      <c r="BR113" s="14">
        <f>+BM113</f>
        <v>80</v>
      </c>
      <c r="BS113" s="14">
        <f>+N113-SUM(BP113:BR113)</f>
        <v>32.534880000000015</v>
      </c>
      <c r="BT113" s="14"/>
      <c r="BU113" s="14">
        <f>+BU86*BU120</f>
        <v>67.744</v>
      </c>
      <c r="BV113" s="14">
        <f>+BV86*BV120</f>
        <v>76.183051999999989</v>
      </c>
      <c r="BW113" s="14">
        <f>+BW86*BW120</f>
        <v>22.963200000000001</v>
      </c>
      <c r="BX113" s="14">
        <f>+P113-SUM(BU113:BW113)</f>
        <v>92.309747999999985</v>
      </c>
      <c r="BY113" s="95"/>
      <c r="BZ113" s="14">
        <f>+BZ86*BZ120</f>
        <v>24.673999999999999</v>
      </c>
      <c r="CA113" s="14">
        <f>+CA86*CA120</f>
        <v>90.173030639999979</v>
      </c>
      <c r="CB113" s="14">
        <f>+CB86*CB120</f>
        <v>54.193151999999998</v>
      </c>
      <c r="CC113" s="14">
        <f>+T113-SUM(BZ113:CB113)</f>
        <v>139.91969666356451</v>
      </c>
      <c r="CD113" s="377"/>
      <c r="CE113" s="14">
        <f>+CE86*CE120</f>
        <v>25.41422</v>
      </c>
      <c r="CF113" s="14">
        <f>+CF86*CF120</f>
        <v>98.281682171999989</v>
      </c>
      <c r="CG113" s="14">
        <f>+CG86*CG120</f>
        <v>57.986672640000009</v>
      </c>
      <c r="CH113" s="14">
        <f>+U113-CG113-CF113-CE113</f>
        <v>330.98098602976779</v>
      </c>
      <c r="CI113" s="53"/>
      <c r="CJ113" s="14">
        <f>+CJ120*CJ86</f>
        <v>52.535767200000002</v>
      </c>
      <c r="CK113" s="14">
        <f>+CK120*CK86</f>
        <v>111.79201473594</v>
      </c>
      <c r="CL113" s="14">
        <f>+CL120*CL86</f>
        <v>59.941013184000006</v>
      </c>
      <c r="CM113" s="167">
        <f>+X113-SUM(CJ113:CL113)</f>
        <v>199.36940470002969</v>
      </c>
      <c r="CN113" s="49">
        <f>+X113-SUM(CJ113:CM113)</f>
        <v>0</v>
      </c>
      <c r="CO113" s="14">
        <f>+CO120*CO86</f>
        <v>53.885040216</v>
      </c>
      <c r="CP113" s="14">
        <f>+CP120*CP86</f>
        <v>121.84471547273701</v>
      </c>
      <c r="CQ113" s="14">
        <f>+CQ120*CQ86</f>
        <v>64.136884106880004</v>
      </c>
      <c r="CR113" s="167">
        <f>+AA113-SUM(CO113:CQ113)</f>
        <v>183.77156002435271</v>
      </c>
      <c r="CS113" s="49">
        <f>+AA113-SUM(CO113:CR113)</f>
        <v>0</v>
      </c>
      <c r="CT113" s="14">
        <f>+CT120*CT86</f>
        <v>74.120064345599999</v>
      </c>
      <c r="CU113" s="14">
        <f>+CU120*CU86</f>
        <v>150.51883851398776</v>
      </c>
      <c r="CV113" s="14">
        <f>+CV120*CV86</f>
        <v>83.755225127808004</v>
      </c>
      <c r="CW113" s="167">
        <f>AB113-SUM(CT113:CV113)</f>
        <v>86.924939559094184</v>
      </c>
      <c r="CX113" s="49">
        <f>AB113-SUM(CT113:CW113)</f>
        <v>0</v>
      </c>
      <c r="CY113" s="14">
        <f>CY86*CY120</f>
        <v>75.157745246438395</v>
      </c>
      <c r="CZ113" s="14">
        <f>CZ86*CZ120</f>
        <v>116.28318112649251</v>
      </c>
      <c r="DA113" s="14">
        <f>DA86*DA120</f>
        <v>85.011553504725114</v>
      </c>
      <c r="DB113" s="354">
        <f>AC113-SUM(CY113:DA113)</f>
        <v>125.2865075114056</v>
      </c>
      <c r="DC113" s="871">
        <f>AC113-SUM(CY113:DB113)</f>
        <v>0</v>
      </c>
      <c r="DD113" s="14">
        <f>DD86*DD120</f>
        <v>84.678801615277436</v>
      </c>
      <c r="DE113" s="14">
        <f>DE86*DE120</f>
        <v>107.88318112649252</v>
      </c>
      <c r="DF113" s="14">
        <f>DF86*DF120</f>
        <v>104.05414148978352</v>
      </c>
      <c r="DG113" s="899">
        <f>AD113-SUM(DD113:DF113)</f>
        <v>160.03129890599678</v>
      </c>
      <c r="DH113" s="357">
        <f>AD113-SUM(DD113:DG113)</f>
        <v>0</v>
      </c>
      <c r="DI113" s="14">
        <f>DI86*DI120</f>
        <v>35.792612791485951</v>
      </c>
      <c r="DJ113" s="14">
        <f>DJ86*DJ120</f>
        <v>113.27734018281714</v>
      </c>
      <c r="DK113" s="14">
        <f>DK86*DK120</f>
        <v>22.631775774027915</v>
      </c>
      <c r="DL113" s="355">
        <f>AE113-SUM(DI113:DK113)</f>
        <v>27.199929082995766</v>
      </c>
      <c r="DM113" s="357">
        <f>AE113-SUM(DI113:DL113)</f>
        <v>0</v>
      </c>
      <c r="DN113" s="14">
        <f>DN86*DN120</f>
        <v>-43.619264121890872</v>
      </c>
      <c r="DO113" s="14">
        <f>DO86*DO120</f>
        <v>0</v>
      </c>
      <c r="DP113" s="14">
        <f>DP86*DP120</f>
        <v>33.947663661041872</v>
      </c>
      <c r="DQ113" s="355">
        <f>AF113-SUM(DN113:DP113)</f>
        <v>39.785825481385295</v>
      </c>
      <c r="DR113" s="538">
        <f>AF113-SUM(DN113:DQ113)</f>
        <v>0</v>
      </c>
      <c r="DS113" s="14">
        <f>Drivers!BQ49</f>
        <v>27.262040076181798</v>
      </c>
      <c r="DT113" s="14">
        <f>Drivers!BR49</f>
        <v>33.70886894090318</v>
      </c>
      <c r="DU113" s="14">
        <f>Drivers!BS49</f>
        <v>56.504000182489712</v>
      </c>
      <c r="DV113" s="14">
        <f>Drivers!BT49</f>
        <v>64.609167152479387</v>
      </c>
      <c r="DW113" s="538">
        <f>AG113-SUM(DS113:DV113)</f>
        <v>0</v>
      </c>
      <c r="DX113" s="862"/>
      <c r="DY113" s="862"/>
      <c r="DZ113" s="862"/>
      <c r="EA113" s="862"/>
      <c r="EB113" s="862"/>
      <c r="EH113" s="1048"/>
      <c r="EI113" s="1048"/>
      <c r="EJ113" s="1048"/>
      <c r="EK113" s="1048"/>
      <c r="EM113" s="1048"/>
      <c r="FA113" s="1577"/>
      <c r="FB113" s="1577"/>
      <c r="FC113" s="1577"/>
      <c r="FD113" s="1577"/>
      <c r="FE113" s="1577"/>
      <c r="FF113" s="1577"/>
      <c r="FG113" s="1577"/>
      <c r="FH113" s="1577"/>
      <c r="FI113" s="1577"/>
      <c r="FJ113" s="1577"/>
      <c r="FK113" s="1577"/>
      <c r="FL113" s="1048"/>
    </row>
    <row r="114" spans="1:168">
      <c r="A114" s="242" t="str">
        <f>+A110</f>
        <v>% Change</v>
      </c>
      <c r="B114" s="242"/>
      <c r="C114" s="242"/>
      <c r="D114" s="242"/>
      <c r="E114" s="39"/>
      <c r="F114" s="39"/>
      <c r="G114" s="242"/>
      <c r="H114" s="242"/>
      <c r="I114" s="242"/>
      <c r="J114" s="242"/>
      <c r="K114" s="39">
        <f>+K113/E113-1</f>
        <v>-1.3401920438957475</v>
      </c>
      <c r="L114" s="39"/>
      <c r="M114" s="39"/>
      <c r="N114" s="39">
        <f>+N113/K113-1</f>
        <v>8.4583333333333339</v>
      </c>
      <c r="O114" s="39"/>
      <c r="P114" s="39">
        <f>+P113/N113-1</f>
        <v>0.14185022026431704</v>
      </c>
      <c r="Q114" s="39"/>
      <c r="R114" s="39">
        <f>+R113/N113-1</f>
        <v>0.14185022026431704</v>
      </c>
      <c r="S114" s="39"/>
      <c r="T114" s="39">
        <f>+T113/R113-1</f>
        <v>0.19197484299214707</v>
      </c>
      <c r="U114" s="39">
        <f>+U113/T113-1</f>
        <v>0.6593208218406148</v>
      </c>
      <c r="V114" s="39"/>
      <c r="W114" s="39"/>
      <c r="X114" s="39">
        <f>+X113/U113-1</f>
        <v>-0.17365260147536699</v>
      </c>
      <c r="Y114" s="39">
        <f>Y113/S113-1</f>
        <v>0.19197484299214707</v>
      </c>
      <c r="Z114" s="39">
        <f>Z113/Y113-1</f>
        <v>0.6593208218406148</v>
      </c>
      <c r="AA114" s="39">
        <f>AA113/Z113-1</f>
        <v>-0.17365260147536699</v>
      </c>
      <c r="AB114" s="39">
        <f>AB113/AA113-1</f>
        <v>-6.6847447386742642E-2</v>
      </c>
      <c r="AC114" s="39">
        <f t="shared" ref="AC114:AQ114" si="168">+AC113/AB113-1</f>
        <v>1.6239843634197282E-2</v>
      </c>
      <c r="AD114" s="39">
        <f t="shared" si="168"/>
        <v>0.13667689089710611</v>
      </c>
      <c r="AE114" s="39">
        <f t="shared" si="168"/>
        <v>-0.56443056994670904</v>
      </c>
      <c r="AF114" s="39">
        <f t="shared" si="168"/>
        <v>-0.84859741568331293</v>
      </c>
      <c r="AG114" s="39">
        <f t="shared" si="168"/>
        <v>5.0464473592756391</v>
      </c>
      <c r="AH114" s="39">
        <f t="shared" si="168"/>
        <v>2.2863300210263469</v>
      </c>
      <c r="AI114" s="39">
        <f t="shared" si="168"/>
        <v>-0.37490884336940489</v>
      </c>
      <c r="AJ114" s="39">
        <f t="shared" si="168"/>
        <v>0.47969246661545362</v>
      </c>
      <c r="AK114" s="39">
        <f t="shared" si="168"/>
        <v>-0.48093866561454757</v>
      </c>
      <c r="AL114" s="39">
        <f t="shared" si="168"/>
        <v>0.16346385500838601</v>
      </c>
      <c r="AM114" s="39">
        <f t="shared" si="168"/>
        <v>0.72491560476546302</v>
      </c>
      <c r="AN114" s="39">
        <f t="shared" si="168"/>
        <v>-4.3244125970850478E-3</v>
      </c>
      <c r="AO114" s="39">
        <f t="shared" si="168"/>
        <v>2.7196015779203941E-2</v>
      </c>
      <c r="AP114" s="39">
        <f t="shared" si="168"/>
        <v>0.14678996221197593</v>
      </c>
      <c r="AQ114" s="39">
        <f t="shared" si="168"/>
        <v>9.1351662669554967E-2</v>
      </c>
      <c r="AR114" s="39">
        <f t="shared" ref="AR114:AY114" si="169">+AR113/AQ113-1</f>
        <v>0.11698436770244447</v>
      </c>
      <c r="AS114" s="39">
        <f t="shared" si="169"/>
        <v>3.6648588262798265E-2</v>
      </c>
      <c r="AT114" s="39">
        <f t="shared" si="169"/>
        <v>-0.16616531815098401</v>
      </c>
      <c r="AU114" s="39">
        <f t="shared" si="169"/>
        <v>-0.13913291274986661</v>
      </c>
      <c r="AV114" s="39">
        <f t="shared" si="169"/>
        <v>4.1169191453377163E-2</v>
      </c>
      <c r="AW114" s="39">
        <f t="shared" si="169"/>
        <v>-0.2839853647211833</v>
      </c>
      <c r="AX114" s="39">
        <f t="shared" si="169"/>
        <v>-8.7094608115770411E-2</v>
      </c>
      <c r="AY114" s="39">
        <f t="shared" si="169"/>
        <v>-0.14894295313579253</v>
      </c>
      <c r="AZ114" s="359"/>
      <c r="BA114" s="359"/>
      <c r="BB114" s="359"/>
      <c r="BC114" s="359"/>
      <c r="BD114" s="359"/>
      <c r="BE114" s="421"/>
      <c r="BF114" s="242"/>
      <c r="BG114" s="242"/>
      <c r="BH114" s="242"/>
      <c r="BI114" s="242"/>
      <c r="BJ114" s="242"/>
      <c r="BK114" s="39">
        <f>+BK113/BF113-1</f>
        <v>8.2510343749999979</v>
      </c>
      <c r="BL114" s="39">
        <f>+BL113/BG113-1</f>
        <v>1.3921428571428569</v>
      </c>
      <c r="BM114" s="39">
        <f>+BM113/BH113-1</f>
        <v>3.4444444444444446</v>
      </c>
      <c r="BN114" s="39">
        <f>+BN113/BI113-1</f>
        <v>-2.3844629787234046</v>
      </c>
      <c r="BO114" s="39"/>
      <c r="BP114" s="39"/>
      <c r="BQ114" s="39"/>
      <c r="BR114" s="39"/>
      <c r="BS114" s="39"/>
      <c r="BT114" s="242"/>
      <c r="BU114" s="39">
        <f>+BU113/BK113-1</f>
        <v>0.1441963753377582</v>
      </c>
      <c r="BV114" s="39">
        <f>+BV113/BL113-1</f>
        <v>0.37866666666666648</v>
      </c>
      <c r="BW114" s="39">
        <f>+BW113/BM113-1</f>
        <v>-0.71296000000000004</v>
      </c>
      <c r="BX114" s="39">
        <f>+BX113/BN113-1</f>
        <v>1.8372549091928398</v>
      </c>
      <c r="BY114" s="95"/>
      <c r="BZ114" s="242">
        <f>+BZ113/BU113-1</f>
        <v>-0.63577586206896552</v>
      </c>
      <c r="CA114" s="242">
        <f>+CA113/BV113-1</f>
        <v>0.1836363636363636</v>
      </c>
      <c r="CB114" s="242">
        <f>+CB113/BW113-1</f>
        <v>1.3599999999999999</v>
      </c>
      <c r="CC114" s="242">
        <f>+CC113/BX113-1</f>
        <v>0.515762957814212</v>
      </c>
      <c r="CD114" s="377"/>
      <c r="CE114" s="39">
        <f>+CE113/BZ113-1</f>
        <v>3.0000000000000027E-2</v>
      </c>
      <c r="CF114" s="39">
        <f>+CF113/CA113-1</f>
        <v>8.9923245059516432E-2</v>
      </c>
      <c r="CG114" s="39">
        <f>+CG113/CB113-1</f>
        <v>7.0000000000000284E-2</v>
      </c>
      <c r="CH114" s="39">
        <f>+CH113/CC113-1</f>
        <v>1.3655067436688935</v>
      </c>
      <c r="CI114" s="53"/>
      <c r="CJ114" s="39">
        <f>+CJ113/BZ113-1</f>
        <v>1.1291953959633623</v>
      </c>
      <c r="CK114" s="39">
        <f>+CK113/CA113-1</f>
        <v>0.23975000000000035</v>
      </c>
      <c r="CL114" s="39">
        <f>+CL113/CB113-1</f>
        <v>0.10606250000000017</v>
      </c>
      <c r="CM114" s="39">
        <f>+CM113/CC113-1</f>
        <v>0.42488448341487906</v>
      </c>
      <c r="CN114" s="49"/>
      <c r="CO114" s="39">
        <f>+CO113/CE113-1</f>
        <v>1.1202712582168566</v>
      </c>
      <c r="CP114" s="39">
        <f>+CP113/CF113-1</f>
        <v>0.23975000000000013</v>
      </c>
      <c r="CQ114" s="39">
        <f>+CQ113/CG113-1</f>
        <v>0.10606249999999995</v>
      </c>
      <c r="CR114" s="39">
        <f>+CR113/CH113-1</f>
        <v>-0.44476701749923286</v>
      </c>
      <c r="CS114" s="49"/>
      <c r="CT114" s="39">
        <f>+CT113/CO113-1</f>
        <v>0.37552211241723543</v>
      </c>
      <c r="CU114" s="39">
        <f>+CU113/CP113-1</f>
        <v>0.23533333333333317</v>
      </c>
      <c r="CV114" s="39">
        <f>+CV113/CQ113-1</f>
        <v>0.30588235294117649</v>
      </c>
      <c r="CW114" s="39">
        <f>+CW113/CR113-1</f>
        <v>-0.52699460380281249</v>
      </c>
      <c r="CX114" s="49"/>
      <c r="CY114" s="39">
        <f>+CY113/CT113-1</f>
        <v>1.4000000000000012E-2</v>
      </c>
      <c r="CZ114" s="39">
        <f>+CZ113/CU113-1</f>
        <v>-0.22745098039215683</v>
      </c>
      <c r="DA114" s="39">
        <f>+DA113/CV113-1</f>
        <v>1.4999999999999902E-2</v>
      </c>
      <c r="DB114" s="39">
        <f>+DB113/CW113-1</f>
        <v>0.44131831608846928</v>
      </c>
      <c r="DC114" s="242"/>
      <c r="DD114" s="39">
        <f>+DD113/CY113-1</f>
        <v>0.12668097396509159</v>
      </c>
      <c r="DE114" s="39">
        <f>+DE113/CZ113-1</f>
        <v>-7.2237445850939497E-2</v>
      </c>
      <c r="DF114" s="39">
        <f>+DF113/DA113-1</f>
        <v>0.22399999999999975</v>
      </c>
      <c r="DG114" s="39">
        <f>+DG113/DB113-1</f>
        <v>0.2773226908845563</v>
      </c>
      <c r="DH114" s="391"/>
      <c r="DI114" s="39">
        <f>+DI113/DD113-1</f>
        <v>-0.57731318690475675</v>
      </c>
      <c r="DJ114" s="39">
        <f>+DJ113/DE113-1</f>
        <v>5.0000000000000044E-2</v>
      </c>
      <c r="DK114" s="39">
        <f>+DK113/DF113-1</f>
        <v>-0.78249999999999997</v>
      </c>
      <c r="DL114" s="39">
        <f>+DL113/DG113-1</f>
        <v>-0.83003369172818409</v>
      </c>
      <c r="DM114" s="391"/>
      <c r="DN114" s="39">
        <f>+DN113/DI113-1</f>
        <v>-2.2186666666666666</v>
      </c>
      <c r="DO114" s="39">
        <f>+DO113/DJ113-1</f>
        <v>-1</v>
      </c>
      <c r="DP114" s="39">
        <f>+DP113/DK113-1</f>
        <v>0.5</v>
      </c>
      <c r="DQ114" s="39">
        <f>+DQ113/DL113-1</f>
        <v>0.46271798577069423</v>
      </c>
      <c r="DR114" s="242"/>
      <c r="DS114" s="39">
        <f>+DS113/DN113-1</f>
        <v>-1.625</v>
      </c>
      <c r="DT114" s="118" t="s">
        <v>348</v>
      </c>
      <c r="DU114" s="39">
        <f>+DU113/DP113-1</f>
        <v>0.66444444444444506</v>
      </c>
      <c r="DV114" s="39">
        <f>+DV113/DQ113-1</f>
        <v>0.62392425872144486</v>
      </c>
      <c r="DX114" s="862"/>
      <c r="DY114" s="862"/>
      <c r="DZ114" s="862"/>
      <c r="EA114" s="862"/>
      <c r="EB114" s="862"/>
      <c r="EH114" s="1048"/>
      <c r="EI114" s="1048"/>
      <c r="EJ114" s="1048"/>
      <c r="EK114" s="1048"/>
      <c r="EM114" s="1048"/>
      <c r="FL114" s="1048"/>
    </row>
    <row r="115" spans="1:168">
      <c r="A115" s="390" t="s">
        <v>1059</v>
      </c>
      <c r="B115" s="14"/>
      <c r="C115" s="14"/>
      <c r="D115" s="14">
        <v>-176.69499999999999</v>
      </c>
      <c r="E115" s="14">
        <f>+SUM(B115:D115)</f>
        <v>-176.69499999999999</v>
      </c>
      <c r="F115" s="14">
        <f>E115</f>
        <v>-176.69499999999999</v>
      </c>
      <c r="G115" s="14"/>
      <c r="H115" s="14"/>
      <c r="I115" s="14"/>
      <c r="J115" s="14">
        <v>-190.96700000000001</v>
      </c>
      <c r="K115" s="14">
        <f>+SUM(H115:J115)</f>
        <v>-190.96700000000001</v>
      </c>
      <c r="L115" s="14">
        <f>K115</f>
        <v>-190.96700000000001</v>
      </c>
      <c r="M115" s="14">
        <v>-160</v>
      </c>
      <c r="N115" s="61">
        <v>-160</v>
      </c>
      <c r="O115" s="14">
        <f>N115</f>
        <v>-160</v>
      </c>
      <c r="P115" s="61">
        <v>-140</v>
      </c>
      <c r="Q115" s="14"/>
      <c r="R115" s="61">
        <f>+P115+Q115</f>
        <v>-140</v>
      </c>
      <c r="S115" s="14">
        <f>R115</f>
        <v>-140</v>
      </c>
      <c r="T115" s="61">
        <v>-115</v>
      </c>
      <c r="U115" s="61">
        <v>-110</v>
      </c>
      <c r="V115" s="61"/>
      <c r="W115" s="61"/>
      <c r="X115" s="61">
        <v>-50</v>
      </c>
      <c r="Y115" s="317">
        <f>T115</f>
        <v>-115</v>
      </c>
      <c r="Z115" s="317">
        <f>U115</f>
        <v>-110</v>
      </c>
      <c r="AA115" s="317">
        <f>X115</f>
        <v>-50</v>
      </c>
      <c r="AB115" s="317">
        <f>+-75</f>
        <v>-75</v>
      </c>
      <c r="AC115" s="317">
        <v>-40</v>
      </c>
      <c r="AD115" s="317">
        <v>0</v>
      </c>
      <c r="AE115" s="317">
        <f t="shared" ref="AE115:AL115" si="170">+AD115</f>
        <v>0</v>
      </c>
      <c r="AF115" s="317">
        <f t="shared" si="170"/>
        <v>0</v>
      </c>
      <c r="AG115" s="317">
        <f t="shared" si="170"/>
        <v>0</v>
      </c>
      <c r="AH115" s="317">
        <f t="shared" si="170"/>
        <v>0</v>
      </c>
      <c r="AI115" s="317">
        <f t="shared" si="170"/>
        <v>0</v>
      </c>
      <c r="AJ115" s="317">
        <f t="shared" si="170"/>
        <v>0</v>
      </c>
      <c r="AK115" s="317">
        <f t="shared" si="170"/>
        <v>0</v>
      </c>
      <c r="AL115" s="317">
        <f t="shared" si="170"/>
        <v>0</v>
      </c>
      <c r="AM115" s="317">
        <f t="shared" ref="AM115:AS115" si="171">+AL115</f>
        <v>0</v>
      </c>
      <c r="AN115" s="317">
        <f t="shared" si="171"/>
        <v>0</v>
      </c>
      <c r="AO115" s="317">
        <f t="shared" si="171"/>
        <v>0</v>
      </c>
      <c r="AP115" s="317">
        <f t="shared" si="171"/>
        <v>0</v>
      </c>
      <c r="AQ115" s="317">
        <f t="shared" si="171"/>
        <v>0</v>
      </c>
      <c r="AR115" s="317">
        <f t="shared" si="171"/>
        <v>0</v>
      </c>
      <c r="AS115" s="317">
        <f t="shared" si="171"/>
        <v>0</v>
      </c>
      <c r="AT115" s="317">
        <f t="shared" ref="AT115:AY115" si="172">+AS115</f>
        <v>0</v>
      </c>
      <c r="AU115" s="317">
        <f t="shared" si="172"/>
        <v>0</v>
      </c>
      <c r="AV115" s="317">
        <f t="shared" si="172"/>
        <v>0</v>
      </c>
      <c r="AW115" s="317">
        <f t="shared" si="172"/>
        <v>0</v>
      </c>
      <c r="AX115" s="317">
        <f t="shared" si="172"/>
        <v>0</v>
      </c>
      <c r="AY115" s="317">
        <f t="shared" si="172"/>
        <v>0</v>
      </c>
      <c r="AZ115" s="354"/>
      <c r="BA115" s="354"/>
      <c r="BB115" s="354"/>
      <c r="BC115" s="354"/>
      <c r="BD115" s="354"/>
      <c r="BE115" s="359"/>
      <c r="BF115" s="317">
        <v>-60.61</v>
      </c>
      <c r="BG115" s="317">
        <v>-54.744</v>
      </c>
      <c r="BH115" s="317">
        <v>-34.134</v>
      </c>
      <c r="BI115" s="317">
        <f>+K115-SUM(BF115:BH115)</f>
        <v>-41.479000000000013</v>
      </c>
      <c r="BJ115" s="14"/>
      <c r="BK115" s="317">
        <v>-40.5</v>
      </c>
      <c r="BL115" s="317">
        <v>-30</v>
      </c>
      <c r="BM115" s="317">
        <v>-40</v>
      </c>
      <c r="BN115" s="317">
        <f>+N115-SUM(BK115:BM115)</f>
        <v>-49.5</v>
      </c>
      <c r="BO115" s="14"/>
      <c r="BP115" s="317">
        <f>+BK115</f>
        <v>-40.5</v>
      </c>
      <c r="BQ115" s="317">
        <f>+BL115</f>
        <v>-30</v>
      </c>
      <c r="BR115" s="317">
        <f>+BM115</f>
        <v>-40</v>
      </c>
      <c r="BS115" s="317">
        <f>+N115-SUM(BP115:BR115)</f>
        <v>-49.5</v>
      </c>
      <c r="BT115" s="14"/>
      <c r="BU115" s="317">
        <v>-30</v>
      </c>
      <c r="BV115" s="317">
        <v>-30</v>
      </c>
      <c r="BW115" s="317">
        <v>-30</v>
      </c>
      <c r="BX115" s="317">
        <f>+P115-SUM(BU115:BW115)</f>
        <v>-50</v>
      </c>
      <c r="BY115" s="95"/>
      <c r="BZ115" s="317">
        <v>-30</v>
      </c>
      <c r="CA115" s="317">
        <v>-20</v>
      </c>
      <c r="CB115" s="317">
        <v>-35</v>
      </c>
      <c r="CC115" s="317">
        <f>+T115-SUM(BZ115:CB115)</f>
        <v>-30</v>
      </c>
      <c r="CD115" s="377">
        <f>+T115-SUM(BZ115:CC115)</f>
        <v>0</v>
      </c>
      <c r="CE115" s="365">
        <v>-22</v>
      </c>
      <c r="CF115" s="365">
        <v>-15</v>
      </c>
      <c r="CG115" s="365">
        <v>-25</v>
      </c>
      <c r="CH115" s="317">
        <f>+U115-CG115-CF115-CE115</f>
        <v>-48</v>
      </c>
      <c r="CI115" s="53"/>
      <c r="CJ115" s="317">
        <v>-10</v>
      </c>
      <c r="CK115" s="317">
        <v>-10</v>
      </c>
      <c r="CL115" s="317">
        <v>-22</v>
      </c>
      <c r="CM115" s="839">
        <f>+X115-SUM(CJ115:CL115)</f>
        <v>-8</v>
      </c>
      <c r="CN115" s="49">
        <f>+X115-SUM(CJ115:CM115)</f>
        <v>0</v>
      </c>
      <c r="CO115" s="317">
        <v>-10</v>
      </c>
      <c r="CP115" s="317">
        <v>-10</v>
      </c>
      <c r="CQ115" s="317">
        <v>-22</v>
      </c>
      <c r="CR115" s="839">
        <f>+AA115-SUM(CO115:CQ115)</f>
        <v>-8</v>
      </c>
      <c r="CS115" s="49">
        <f>+AA115-SUM(CO115:CR115)</f>
        <v>0</v>
      </c>
      <c r="CT115" s="317">
        <v>-20</v>
      </c>
      <c r="CU115" s="317">
        <f>CP115+($AB115-$X115)/4</f>
        <v>-16.25</v>
      </c>
      <c r="CV115" s="317">
        <v>-10</v>
      </c>
      <c r="CW115" s="317">
        <f>AB115-CV115-CU115-CT115</f>
        <v>-28.75</v>
      </c>
      <c r="CX115" s="49">
        <f>AB115-SUM(CT115:CW115)</f>
        <v>0</v>
      </c>
      <c r="CY115" s="317">
        <v>-8</v>
      </c>
      <c r="CZ115" s="317">
        <v>-24</v>
      </c>
      <c r="DA115" s="317">
        <v>-8</v>
      </c>
      <c r="DB115" s="317">
        <f>AC115-SUM(CY115:DA115)</f>
        <v>0</v>
      </c>
      <c r="DC115" s="871">
        <f>AC115-SUM(CY115:DB115)</f>
        <v>0</v>
      </c>
      <c r="DD115" s="317">
        <v>0</v>
      </c>
      <c r="DE115" s="317">
        <v>0</v>
      </c>
      <c r="DF115" s="317">
        <v>0</v>
      </c>
      <c r="DG115" s="900">
        <f>AD115-SUM(DD115:DF115)</f>
        <v>0</v>
      </c>
      <c r="DH115" s="357">
        <f>AD115-SUM(DD115:DG115)</f>
        <v>0</v>
      </c>
      <c r="DI115" s="317">
        <v>0</v>
      </c>
      <c r="DJ115" s="317">
        <v>0</v>
      </c>
      <c r="DK115" s="317">
        <v>0</v>
      </c>
      <c r="DL115" s="317">
        <f>AE115-SUM(DI115:DK115)</f>
        <v>0</v>
      </c>
      <c r="DM115" s="357">
        <f>AE115-SUM(DI115:DL115)</f>
        <v>0</v>
      </c>
      <c r="DN115" s="317">
        <v>0</v>
      </c>
      <c r="DO115" s="317">
        <v>0</v>
      </c>
      <c r="DP115" s="317">
        <v>0</v>
      </c>
      <c r="DQ115" s="317">
        <f>AJ115-SUM(DN115:DP115)</f>
        <v>0</v>
      </c>
      <c r="DR115" s="538">
        <f>AF115-SUM(DN115:DQ115)</f>
        <v>0</v>
      </c>
      <c r="DS115" s="317">
        <v>0</v>
      </c>
      <c r="DT115" s="317">
        <v>0</v>
      </c>
      <c r="DU115" s="317">
        <v>0</v>
      </c>
      <c r="DV115" s="317">
        <f>AO115-SUM(DS115:DU115)</f>
        <v>0</v>
      </c>
      <c r="DW115" s="538">
        <f>AG115-SUM(DS115:DV115)</f>
        <v>0</v>
      </c>
      <c r="DX115" s="862"/>
      <c r="DY115" s="862"/>
      <c r="DZ115" s="862"/>
      <c r="EA115" s="862"/>
      <c r="EB115" s="862"/>
      <c r="EH115" s="1048"/>
      <c r="EI115" s="1048"/>
      <c r="EJ115" s="1048"/>
      <c r="EK115" s="1048"/>
      <c r="EM115" s="1048"/>
      <c r="FL115" s="1048"/>
    </row>
    <row r="116" spans="1:168">
      <c r="A116" s="412" t="s">
        <v>1067</v>
      </c>
      <c r="B116" s="242"/>
      <c r="C116" s="14"/>
      <c r="D116" s="14"/>
      <c r="E116" s="14">
        <f>E113+E115</f>
        <v>-247.2433870967742</v>
      </c>
      <c r="F116" s="14">
        <f>F113+F115</f>
        <v>-247.2433870967742</v>
      </c>
      <c r="G116" s="242"/>
      <c r="H116" s="242"/>
      <c r="I116" s="242"/>
      <c r="J116" s="14"/>
      <c r="K116" s="14">
        <f t="shared" ref="K116:P116" si="173">K113+K115</f>
        <v>-166.96700000000001</v>
      </c>
      <c r="L116" s="14">
        <f t="shared" si="173"/>
        <v>-166.96700000000001</v>
      </c>
      <c r="M116" s="14">
        <f t="shared" si="173"/>
        <v>67</v>
      </c>
      <c r="N116" s="14">
        <f t="shared" si="173"/>
        <v>67</v>
      </c>
      <c r="O116" s="14">
        <f t="shared" si="173"/>
        <v>67</v>
      </c>
      <c r="P116" s="14">
        <f t="shared" si="173"/>
        <v>119.19999999999999</v>
      </c>
      <c r="Q116" s="39"/>
      <c r="R116" s="14">
        <f>R113+R115</f>
        <v>119.19999999999999</v>
      </c>
      <c r="S116" s="14">
        <f>S113+S115</f>
        <v>119.19999999999999</v>
      </c>
      <c r="T116" s="14">
        <f>T113+T115</f>
        <v>193.95987930356449</v>
      </c>
      <c r="U116" s="14">
        <f>U113+U115</f>
        <v>402.66356084176778</v>
      </c>
      <c r="V116" s="14"/>
      <c r="W116" s="14"/>
      <c r="X116" s="14">
        <f t="shared" ref="X116:AQ116" si="174">X113+X115</f>
        <v>373.63819981996971</v>
      </c>
      <c r="Y116" s="14">
        <f t="shared" si="174"/>
        <v>193.95987930356449</v>
      </c>
      <c r="Z116" s="14">
        <f t="shared" si="174"/>
        <v>402.66356084176778</v>
      </c>
      <c r="AA116" s="14">
        <f t="shared" si="174"/>
        <v>373.63819981996971</v>
      </c>
      <c r="AB116" s="14">
        <f t="shared" si="174"/>
        <v>320.31906754648992</v>
      </c>
      <c r="AC116" s="14">
        <f t="shared" si="174"/>
        <v>361.73898738906161</v>
      </c>
      <c r="AD116" s="14">
        <f t="shared" si="174"/>
        <v>456.64742313755028</v>
      </c>
      <c r="AE116" s="14">
        <f t="shared" si="174"/>
        <v>198.90165783132676</v>
      </c>
      <c r="AF116" s="14">
        <f t="shared" si="174"/>
        <v>30.114225020536296</v>
      </c>
      <c r="AG116" s="14">
        <f t="shared" si="174"/>
        <v>182.08407635205407</v>
      </c>
      <c r="AH116" s="14">
        <f t="shared" si="174"/>
        <v>598.38836646660877</v>
      </c>
      <c r="AI116" s="14">
        <f t="shared" si="174"/>
        <v>374.0472761089049</v>
      </c>
      <c r="AJ116" s="14">
        <f t="shared" si="174"/>
        <v>553.47493661637714</v>
      </c>
      <c r="AK116" s="14">
        <f t="shared" si="174"/>
        <v>287.28743914900042</v>
      </c>
      <c r="AL116" s="14">
        <f>AL113+AL115</f>
        <v>334.24855144778314</v>
      </c>
      <c r="AM116" s="14">
        <f t="shared" si="174"/>
        <v>576.55054226253287</v>
      </c>
      <c r="AN116" s="14">
        <f t="shared" si="174"/>
        <v>574.05729983471656</v>
      </c>
      <c r="AO116" s="14">
        <f t="shared" si="174"/>
        <v>589.66937121918875</v>
      </c>
      <c r="AP116" s="14">
        <f t="shared" si="174"/>
        <v>676.22691593801301</v>
      </c>
      <c r="AQ116" s="14">
        <f t="shared" si="174"/>
        <v>738.00136905085594</v>
      </c>
      <c r="AR116" s="14">
        <f t="shared" ref="AR116:AW116" si="175">AR113+AR115</f>
        <v>824.33599257280866</v>
      </c>
      <c r="AS116" s="14">
        <f t="shared" si="175"/>
        <v>854.54674295481459</v>
      </c>
      <c r="AT116" s="14">
        <f t="shared" si="175"/>
        <v>712.55071153684071</v>
      </c>
      <c r="AU116" s="14">
        <f t="shared" si="175"/>
        <v>613.41145555873004</v>
      </c>
      <c r="AV116" s="14">
        <f t="shared" si="175"/>
        <v>638.66510921232214</v>
      </c>
      <c r="AW116" s="14">
        <f t="shared" si="175"/>
        <v>457.29356523796645</v>
      </c>
      <c r="AX116" s="14">
        <f>AX113+AX115</f>
        <v>417.46576137970226</v>
      </c>
      <c r="AY116" s="14">
        <f>AY113+AY115</f>
        <v>355.28717804672732</v>
      </c>
      <c r="AZ116" s="354"/>
      <c r="BA116" s="354"/>
      <c r="BB116" s="354"/>
      <c r="BC116" s="354"/>
      <c r="BD116" s="354"/>
      <c r="BE116" s="421"/>
      <c r="BF116" s="14">
        <f>BF113+BF115</f>
        <v>-54.21</v>
      </c>
      <c r="BG116" s="14">
        <f>BG113+BG115</f>
        <v>-31.643999999999998</v>
      </c>
      <c r="BH116" s="14">
        <f>BH113+BH115</f>
        <v>-16.134</v>
      </c>
      <c r="BI116" s="14">
        <f>BI113+BI115</f>
        <v>-64.979000000000013</v>
      </c>
      <c r="BJ116" s="242"/>
      <c r="BK116" s="14">
        <f>BK113+BK115</f>
        <v>18.706619999999987</v>
      </c>
      <c r="BL116" s="14">
        <f>BL113+BL115</f>
        <v>25.258499999999998</v>
      </c>
      <c r="BM116" s="14">
        <f>BM113+BM115</f>
        <v>40</v>
      </c>
      <c r="BN116" s="14">
        <f>BN113+BN115</f>
        <v>-16.965119999999985</v>
      </c>
      <c r="BO116" s="39"/>
      <c r="BP116" s="14">
        <f>BP113+BP115</f>
        <v>18.706619999999987</v>
      </c>
      <c r="BQ116" s="14">
        <f>BQ113+BQ115</f>
        <v>25.258499999999998</v>
      </c>
      <c r="BR116" s="14">
        <f>BR113+BR115</f>
        <v>40</v>
      </c>
      <c r="BS116" s="14">
        <f>BS113+BS115</f>
        <v>-16.965119999999985</v>
      </c>
      <c r="BT116" s="242"/>
      <c r="BU116" s="14">
        <f>BU113+BU115</f>
        <v>37.744</v>
      </c>
      <c r="BV116" s="14">
        <f>BV113+BV115</f>
        <v>46.183051999999989</v>
      </c>
      <c r="BW116" s="14">
        <f>BW113+BW115</f>
        <v>-7.0367999999999995</v>
      </c>
      <c r="BX116" s="14">
        <f>BX113+BX115</f>
        <v>42.309747999999985</v>
      </c>
      <c r="BY116" s="95"/>
      <c r="BZ116" s="14">
        <f>BZ113+BZ115</f>
        <v>-5.3260000000000005</v>
      </c>
      <c r="CA116" s="14">
        <f>CA113+CA115</f>
        <v>70.173030639999979</v>
      </c>
      <c r="CB116" s="14">
        <f>CB113+CB115</f>
        <v>19.193151999999998</v>
      </c>
      <c r="CC116" s="14">
        <f>CC113+CC115</f>
        <v>109.91969666356451</v>
      </c>
      <c r="CD116" s="377"/>
      <c r="CE116" s="14">
        <f>CE113+CE115</f>
        <v>3.4142200000000003</v>
      </c>
      <c r="CF116" s="14">
        <f>CF113+CF115</f>
        <v>83.281682171999989</v>
      </c>
      <c r="CG116" s="14">
        <f>CG113+CG115</f>
        <v>32.986672640000009</v>
      </c>
      <c r="CH116" s="14">
        <f>CH113+CH115</f>
        <v>282.98098602976779</v>
      </c>
      <c r="CI116" s="53"/>
      <c r="CJ116" s="14">
        <f>CJ113+CJ115</f>
        <v>42.535767200000002</v>
      </c>
      <c r="CK116" s="14">
        <f>CK113+CK115</f>
        <v>101.79201473594</v>
      </c>
      <c r="CL116" s="14">
        <f>CL113+CL115</f>
        <v>37.941013184000006</v>
      </c>
      <c r="CM116" s="14">
        <f>CM113+CM115</f>
        <v>191.36940470002969</v>
      </c>
      <c r="CN116" s="49">
        <f>+X116-SUM(CJ116:CM116)</f>
        <v>0</v>
      </c>
      <c r="CO116" s="14">
        <f>CO113+CO115</f>
        <v>43.885040216</v>
      </c>
      <c r="CP116" s="14">
        <f>CP113+CP115</f>
        <v>111.84471547273701</v>
      </c>
      <c r="CQ116" s="14">
        <f>CQ113+CQ115</f>
        <v>42.136884106880004</v>
      </c>
      <c r="CR116" s="14">
        <f>CR113+CR115</f>
        <v>175.77156002435271</v>
      </c>
      <c r="CS116" s="49">
        <f>+AA116-SUM(CO116:CR116)</f>
        <v>0</v>
      </c>
      <c r="CT116" s="14">
        <f>CT113+CT115</f>
        <v>54.120064345599999</v>
      </c>
      <c r="CU116" s="14">
        <f>CU113+CU115</f>
        <v>134.26883851398776</v>
      </c>
      <c r="CV116" s="14">
        <f>CV113+CV115</f>
        <v>73.755225127808004</v>
      </c>
      <c r="CW116" s="14">
        <f>CW113+CW115</f>
        <v>58.174939559094184</v>
      </c>
      <c r="CX116" s="49">
        <f>AB116-SUM(CT116:CW116)</f>
        <v>0</v>
      </c>
      <c r="CY116" s="14">
        <f>CY113+CY115</f>
        <v>67.157745246438395</v>
      </c>
      <c r="CZ116" s="14">
        <f>CZ113+CZ115</f>
        <v>92.283181126492508</v>
      </c>
      <c r="DA116" s="14">
        <f>DA113+DA115</f>
        <v>77.011553504725114</v>
      </c>
      <c r="DB116" s="14">
        <f>DB113+DB115</f>
        <v>125.2865075114056</v>
      </c>
      <c r="DC116" s="871">
        <f>AC116-SUM(CY116:DB116)</f>
        <v>0</v>
      </c>
      <c r="DD116" s="14">
        <f>DD113+DD115</f>
        <v>84.678801615277436</v>
      </c>
      <c r="DE116" s="14">
        <f>DE113+DE115</f>
        <v>107.88318112649252</v>
      </c>
      <c r="DF116" s="14">
        <f>DF113+DF115</f>
        <v>104.05414148978352</v>
      </c>
      <c r="DG116" s="14">
        <f>DG113+DG115</f>
        <v>160.03129890599678</v>
      </c>
      <c r="DH116" s="357">
        <f>AD116-SUM(DD116:DG116)</f>
        <v>0</v>
      </c>
      <c r="DI116" s="14">
        <f>DI113+DI115</f>
        <v>35.792612791485951</v>
      </c>
      <c r="DJ116" s="14">
        <f>DJ113+DJ115</f>
        <v>113.27734018281714</v>
      </c>
      <c r="DK116" s="14">
        <f>DK113+DK115</f>
        <v>22.631775774027915</v>
      </c>
      <c r="DL116" s="14">
        <f>DL113+DL115</f>
        <v>27.199929082995766</v>
      </c>
      <c r="DM116" s="357">
        <f>AE116-SUM(DI116:DL116)</f>
        <v>0</v>
      </c>
      <c r="DN116" s="14">
        <f>DN113+DN115</f>
        <v>-43.619264121890872</v>
      </c>
      <c r="DO116" s="14">
        <f>DO113+DO115</f>
        <v>0</v>
      </c>
      <c r="DP116" s="14">
        <f>DP113+DP115</f>
        <v>33.947663661041872</v>
      </c>
      <c r="DQ116" s="14">
        <f>DQ113+DQ115</f>
        <v>39.785825481385295</v>
      </c>
      <c r="DR116" s="538">
        <f>AF116-SUM(DN116:DQ116)</f>
        <v>0</v>
      </c>
      <c r="DS116" s="14">
        <f>DS113+DS115</f>
        <v>27.262040076181798</v>
      </c>
      <c r="DT116" s="14">
        <f>DT113+DT115</f>
        <v>33.70886894090318</v>
      </c>
      <c r="DU116" s="14">
        <f>DU113+DU115</f>
        <v>56.504000182489712</v>
      </c>
      <c r="DV116" s="14">
        <f>DV113+DV115</f>
        <v>64.609167152479387</v>
      </c>
      <c r="DW116" s="538">
        <f>AG116-SUM(DS116:DV116)</f>
        <v>0</v>
      </c>
      <c r="DX116" s="862"/>
      <c r="DY116" s="862"/>
      <c r="DZ116" s="862"/>
      <c r="EA116" s="862"/>
      <c r="EB116" s="862"/>
      <c r="EH116" s="1048"/>
      <c r="EI116" s="1048"/>
      <c r="EJ116" s="1048"/>
      <c r="EK116" s="1048"/>
      <c r="EM116" s="1048"/>
      <c r="FL116" s="1048"/>
    </row>
    <row r="117" spans="1:168">
      <c r="A117" s="413" t="str">
        <f>+A114</f>
        <v>% Change</v>
      </c>
      <c r="B117" s="39"/>
      <c r="C117" s="39"/>
      <c r="D117" s="39"/>
      <c r="E117" s="39"/>
      <c r="F117" s="39"/>
      <c r="G117" s="39"/>
      <c r="H117" s="39"/>
      <c r="I117" s="39"/>
      <c r="J117" s="39"/>
      <c r="K117" s="39"/>
      <c r="L117" s="39"/>
      <c r="M117" s="39"/>
      <c r="N117" s="39"/>
      <c r="O117" s="39"/>
      <c r="P117" s="39">
        <f>P116/N116-1</f>
        <v>0.77910447761194024</v>
      </c>
      <c r="Q117" s="39"/>
      <c r="R117" s="39">
        <f>R116/N116-1</f>
        <v>0.77910447761194024</v>
      </c>
      <c r="S117" s="39"/>
      <c r="T117" s="39">
        <f>T116/R116-1</f>
        <v>0.62718019549970228</v>
      </c>
      <c r="U117" s="39">
        <f>U116/T116-1</f>
        <v>1.0760147010174377</v>
      </c>
      <c r="V117" s="39"/>
      <c r="W117" s="39"/>
      <c r="X117" s="39">
        <f>X116/U116-1</f>
        <v>-7.2083406209195067E-2</v>
      </c>
      <c r="Y117" s="39">
        <f>Y116/S116-1</f>
        <v>0.62718019549970228</v>
      </c>
      <c r="Z117" s="39">
        <f>Z116/Y116-1</f>
        <v>1.0760147010174377</v>
      </c>
      <c r="AA117" s="39">
        <f>AA116/Z116-1</f>
        <v>-7.2083406209195067E-2</v>
      </c>
      <c r="AB117" s="39">
        <f>AB116/AA116-1</f>
        <v>-0.14270257243282558</v>
      </c>
      <c r="AC117" s="39">
        <f t="shared" ref="AC117:AQ117" si="176">AC116/AB116-1</f>
        <v>0.12930831798378706</v>
      </c>
      <c r="AD117" s="39">
        <f t="shared" si="176"/>
        <v>0.2623671737279778</v>
      </c>
      <c r="AE117" s="39">
        <f t="shared" si="176"/>
        <v>-0.56443056994670904</v>
      </c>
      <c r="AF117" s="39">
        <f t="shared" si="176"/>
        <v>-0.84859741568331293</v>
      </c>
      <c r="AG117" s="39">
        <f t="shared" si="176"/>
        <v>5.0464473592756391</v>
      </c>
      <c r="AH117" s="39">
        <f t="shared" si="176"/>
        <v>2.2863300210263469</v>
      </c>
      <c r="AI117" s="39">
        <f t="shared" si="176"/>
        <v>-0.37490884336940489</v>
      </c>
      <c r="AJ117" s="39">
        <f t="shared" si="176"/>
        <v>0.47969246661545362</v>
      </c>
      <c r="AK117" s="39">
        <f t="shared" si="176"/>
        <v>-0.48093866561454757</v>
      </c>
      <c r="AL117" s="39">
        <f t="shared" si="176"/>
        <v>0.16346385500838601</v>
      </c>
      <c r="AM117" s="39">
        <f t="shared" si="176"/>
        <v>0.72491560476546302</v>
      </c>
      <c r="AN117" s="39">
        <f t="shared" si="176"/>
        <v>-4.3244125970850478E-3</v>
      </c>
      <c r="AO117" s="39">
        <f t="shared" si="176"/>
        <v>2.7196015779203941E-2</v>
      </c>
      <c r="AP117" s="39">
        <f t="shared" si="176"/>
        <v>0.14678996221197593</v>
      </c>
      <c r="AQ117" s="39">
        <f t="shared" si="176"/>
        <v>9.1351662669554967E-2</v>
      </c>
      <c r="AR117" s="39">
        <f t="shared" ref="AR117:AY117" si="177">AR116/AQ116-1</f>
        <v>0.11698436770244447</v>
      </c>
      <c r="AS117" s="39">
        <f t="shared" si="177"/>
        <v>3.6648588262798265E-2</v>
      </c>
      <c r="AT117" s="39">
        <f t="shared" si="177"/>
        <v>-0.16616531815098401</v>
      </c>
      <c r="AU117" s="39">
        <f t="shared" si="177"/>
        <v>-0.13913291274986661</v>
      </c>
      <c r="AV117" s="39">
        <f t="shared" si="177"/>
        <v>4.1169191453377163E-2</v>
      </c>
      <c r="AW117" s="39">
        <f t="shared" si="177"/>
        <v>-0.2839853647211833</v>
      </c>
      <c r="AX117" s="39">
        <f t="shared" si="177"/>
        <v>-8.7094608115770411E-2</v>
      </c>
      <c r="AY117" s="39">
        <f t="shared" si="177"/>
        <v>-0.14894295313579253</v>
      </c>
      <c r="AZ117" s="359"/>
      <c r="BA117" s="359"/>
      <c r="BB117" s="359"/>
      <c r="BC117" s="359"/>
      <c r="BD117" s="359"/>
      <c r="BE117" s="359"/>
      <c r="BF117" s="39"/>
      <c r="BG117" s="39"/>
      <c r="BH117" s="39"/>
      <c r="BI117" s="39"/>
      <c r="BJ117" s="39"/>
      <c r="BK117" s="39">
        <f>BK116/BF116-1</f>
        <v>-1.3450769230769228</v>
      </c>
      <c r="BL117" s="39">
        <f>BL116/BG116-1</f>
        <v>-1.7982081911262799</v>
      </c>
      <c r="BM117" s="39">
        <f>BM116/BH116-1</f>
        <v>-3.4792363951902812</v>
      </c>
      <c r="BN117" s="39">
        <f>BN116/BI116-1</f>
        <v>-0.738913802920944</v>
      </c>
      <c r="BO117" s="39"/>
      <c r="BP117" s="39">
        <f>BP116/BF116-1</f>
        <v>-1.3450769230769228</v>
      </c>
      <c r="BQ117" s="39">
        <f>BQ116/BG116-1</f>
        <v>-1.7982081911262799</v>
      </c>
      <c r="BR117" s="39">
        <f>BR116/BH116-1</f>
        <v>-3.4792363951902812</v>
      </c>
      <c r="BS117" s="39">
        <f>BS116/BI116-1</f>
        <v>-0.738913802920944</v>
      </c>
      <c r="BT117" s="39"/>
      <c r="BU117" s="39">
        <f>BU116/BP116-1</f>
        <v>1.0176814411154997</v>
      </c>
      <c r="BV117" s="39">
        <f>BV116/BQ116-1</f>
        <v>0.8284162559138506</v>
      </c>
      <c r="BW117" s="39">
        <f>BW116/BR116-1</f>
        <v>-1.1759200000000001</v>
      </c>
      <c r="BX117" s="39">
        <f>BX116/BS116-1</f>
        <v>-3.4939256545193915</v>
      </c>
      <c r="BY117" s="39"/>
      <c r="BZ117" s="39">
        <f>BZ116/BU116-1</f>
        <v>-1.141108520559559</v>
      </c>
      <c r="CA117" s="39">
        <f>CA116/BV116-1</f>
        <v>0.51945416340176043</v>
      </c>
      <c r="CB117" s="39">
        <f>CB116/BW116-1</f>
        <v>-3.7275397908140064</v>
      </c>
      <c r="CC117" s="39">
        <f>CC116/BX116-1</f>
        <v>1.5979756878619211</v>
      </c>
      <c r="CD117" s="118"/>
      <c r="CE117" s="39">
        <f>CE116/BZ116-1</f>
        <v>-1.6410476905745401</v>
      </c>
      <c r="CF117" s="39">
        <f>CF116/CA116-1</f>
        <v>0.18680469423145918</v>
      </c>
      <c r="CG117" s="39">
        <f>CG116/CB116-1</f>
        <v>0.71866885855955354</v>
      </c>
      <c r="CH117" s="39">
        <f>CH116/CC116-1</f>
        <v>1.5744338332364465</v>
      </c>
      <c r="CI117" s="53"/>
      <c r="CJ117" s="39">
        <f>CJ116/BZ116-1</f>
        <v>-8.9864377018400301</v>
      </c>
      <c r="CK117" s="39">
        <f>CK116/CA116-1</f>
        <v>0.450585984495254</v>
      </c>
      <c r="CL117" s="39">
        <f>CL116/CB116-1</f>
        <v>0.97679949515327191</v>
      </c>
      <c r="CM117" s="39">
        <f>CM116/CC116-1</f>
        <v>0.74099283848791431</v>
      </c>
      <c r="CN117" s="49"/>
      <c r="CO117" s="39">
        <f>CO116/CE116-1</f>
        <v>11.853606450668087</v>
      </c>
      <c r="CP117" s="39">
        <f>CP116/CF116-1</f>
        <v>0.34296897656013181</v>
      </c>
      <c r="CQ117" s="39">
        <f>CQ116/CG116-1</f>
        <v>0.27739116238672534</v>
      </c>
      <c r="CR117" s="39">
        <f>CR116/CH116-1</f>
        <v>-0.3788573483666402</v>
      </c>
      <c r="CS117" s="49"/>
      <c r="CT117" s="39">
        <f>CT116/CO116-1</f>
        <v>0.23322353310430421</v>
      </c>
      <c r="CU117" s="39">
        <f>CU116/CP116-1</f>
        <v>0.20049336212685698</v>
      </c>
      <c r="CV117" s="39">
        <f>CV116/CQ116-1</f>
        <v>0.75037207166833286</v>
      </c>
      <c r="CW117" s="39">
        <f>CW116/CR116-1</f>
        <v>-0.66903098799922933</v>
      </c>
      <c r="CX117" s="49" t="s">
        <v>337</v>
      </c>
      <c r="CY117" s="39">
        <f>CY116/CT116-1</f>
        <v>0.2409029083480454</v>
      </c>
      <c r="CZ117" s="39">
        <f>CZ116/CU116-1</f>
        <v>-0.31269844777216349</v>
      </c>
      <c r="DA117" s="39">
        <f>DA116/CV116-1</f>
        <v>4.4150477085173723E-2</v>
      </c>
      <c r="DB117" s="39">
        <f>DB116/CW116-1</f>
        <v>1.1536164620186566</v>
      </c>
      <c r="DC117" s="39"/>
      <c r="DD117" s="39">
        <f>DD116/CY116-1</f>
        <v>0.26089405331499327</v>
      </c>
      <c r="DE117" s="39">
        <f>DE116/CZ116-1</f>
        <v>0.16904488780698945</v>
      </c>
      <c r="DF117" s="39">
        <f>DF116/DA116-1</f>
        <v>0.35114975291855632</v>
      </c>
      <c r="DG117" s="39">
        <f>DG116/DB116-1</f>
        <v>0.2773226908845563</v>
      </c>
      <c r="DH117" s="414"/>
      <c r="DI117" s="39">
        <f>DI116/DD116-1</f>
        <v>-0.57731318690475675</v>
      </c>
      <c r="DJ117" s="39">
        <f>DJ116/DE116-1</f>
        <v>5.0000000000000044E-2</v>
      </c>
      <c r="DK117" s="39">
        <f>DK116/DF116-1</f>
        <v>-0.78249999999999997</v>
      </c>
      <c r="DL117" s="39">
        <f>DL116/DG116-1</f>
        <v>-0.83003369172818409</v>
      </c>
      <c r="DM117" s="414"/>
      <c r="DN117" s="39">
        <f>DN116/DI116-1</f>
        <v>-2.2186666666666666</v>
      </c>
      <c r="DO117" s="39">
        <f>DO116/DJ116-1</f>
        <v>-1</v>
      </c>
      <c r="DP117" s="39">
        <f>DP116/DK116-1</f>
        <v>0.5</v>
      </c>
      <c r="DQ117" s="39">
        <f>DQ116/DL116-1</f>
        <v>0.46271798577069423</v>
      </c>
      <c r="DR117" s="39"/>
      <c r="DS117" s="39">
        <f>DS116/DN116-1</f>
        <v>-1.625</v>
      </c>
      <c r="DT117" s="118" t="s">
        <v>348</v>
      </c>
      <c r="DU117" s="39">
        <f>DU116/DP116-1</f>
        <v>0.66444444444444506</v>
      </c>
      <c r="DV117" s="39">
        <f>DV116/DQ116-1</f>
        <v>0.62392425872144486</v>
      </c>
      <c r="DX117" s="862"/>
      <c r="DY117" s="862"/>
      <c r="DZ117" s="862"/>
      <c r="EA117" s="862"/>
      <c r="EB117" s="862"/>
      <c r="EH117" s="1048"/>
      <c r="EI117" s="1048"/>
      <c r="EJ117" s="1048"/>
      <c r="EK117" s="1048"/>
      <c r="EM117" s="1048"/>
      <c r="FL117" s="1048"/>
    </row>
    <row r="118" spans="1:168" ht="5.0999999999999996" customHeight="1">
      <c r="A118" s="91"/>
      <c r="B118" s="91"/>
      <c r="C118" s="91"/>
      <c r="D118" s="91"/>
      <c r="E118" s="91"/>
      <c r="F118" s="304"/>
      <c r="G118" s="304"/>
      <c r="H118" s="304"/>
      <c r="I118" s="304"/>
      <c r="J118" s="304"/>
      <c r="K118" s="304"/>
      <c r="L118" s="304"/>
      <c r="M118" s="304"/>
      <c r="N118" s="304"/>
      <c r="O118" s="304"/>
      <c r="P118" s="304"/>
      <c r="Q118" s="304"/>
      <c r="R118" s="304"/>
      <c r="S118" s="304"/>
      <c r="T118" s="304"/>
      <c r="U118" s="304"/>
      <c r="V118" s="304"/>
      <c r="W118" s="304"/>
      <c r="X118" s="304"/>
      <c r="Y118" s="304"/>
      <c r="Z118" s="304"/>
      <c r="AA118" s="304"/>
      <c r="AB118" s="304"/>
      <c r="AC118" s="304"/>
      <c r="AD118" s="304"/>
      <c r="AE118" s="304"/>
      <c r="AF118" s="304"/>
      <c r="AG118" s="304"/>
      <c r="AH118" s="304"/>
      <c r="AI118" s="304"/>
      <c r="AJ118" s="304"/>
      <c r="AK118" s="304"/>
      <c r="AL118" s="304"/>
      <c r="AM118" s="304"/>
      <c r="AN118" s="304"/>
      <c r="AO118" s="304"/>
      <c r="AP118" s="304"/>
      <c r="AQ118" s="304"/>
      <c r="AR118" s="304"/>
      <c r="AS118" s="304"/>
      <c r="AT118" s="304"/>
      <c r="AU118" s="304"/>
      <c r="AV118" s="304"/>
      <c r="AW118" s="304"/>
      <c r="AX118" s="304"/>
      <c r="AY118" s="139"/>
      <c r="AZ118" s="139"/>
      <c r="BA118" s="139"/>
      <c r="BB118" s="139"/>
      <c r="BC118" s="139"/>
      <c r="BD118" s="139"/>
      <c r="BE118" s="139"/>
      <c r="BF118" s="304"/>
      <c r="BG118" s="304"/>
      <c r="BH118" s="304"/>
      <c r="BI118" s="304"/>
      <c r="BJ118" s="304"/>
      <c r="BK118" s="304"/>
      <c r="BL118" s="304"/>
      <c r="BM118" s="304"/>
      <c r="BN118" s="304"/>
      <c r="BO118" s="304"/>
      <c r="BP118" s="304"/>
      <c r="BQ118" s="304"/>
      <c r="BR118" s="304"/>
      <c r="BS118" s="304"/>
      <c r="BT118" s="304"/>
      <c r="BU118" s="304"/>
      <c r="BV118" s="304"/>
      <c r="BW118" s="304"/>
      <c r="BX118" s="304"/>
      <c r="BY118" s="422"/>
      <c r="BZ118" s="304"/>
      <c r="CA118" s="304"/>
      <c r="CB118" s="304"/>
      <c r="CC118" s="304"/>
      <c r="CD118" s="433"/>
      <c r="CE118" s="304"/>
      <c r="CF118" s="304"/>
      <c r="CG118" s="304"/>
      <c r="CH118" s="304"/>
      <c r="CI118" s="434"/>
      <c r="CJ118" s="304"/>
      <c r="CK118" s="304"/>
      <c r="CL118" s="304"/>
      <c r="CM118" s="304"/>
      <c r="CN118" s="435"/>
      <c r="CO118" s="304"/>
      <c r="CP118" s="304"/>
      <c r="CQ118" s="304"/>
      <c r="CR118" s="304"/>
      <c r="CS118" s="435"/>
      <c r="CT118" s="11"/>
      <c r="CU118" s="39"/>
      <c r="CV118" s="39"/>
      <c r="CW118" s="39"/>
      <c r="CX118" s="49"/>
      <c r="CY118" s="414"/>
      <c r="CZ118" s="414"/>
      <c r="DA118" s="414"/>
      <c r="DB118" s="414"/>
      <c r="DC118" s="11"/>
      <c r="DD118" s="304"/>
      <c r="DE118" s="91"/>
      <c r="DF118" s="91"/>
      <c r="DG118" s="91"/>
      <c r="DH118" s="304"/>
      <c r="DI118" s="304"/>
      <c r="DJ118" s="91"/>
      <c r="DK118" s="91"/>
      <c r="DL118" s="91"/>
      <c r="DM118" s="304"/>
      <c r="DN118" s="6"/>
      <c r="DO118" s="6"/>
      <c r="DP118" s="6"/>
      <c r="DQ118" s="6"/>
      <c r="DR118" s="6"/>
      <c r="DX118" s="862"/>
      <c r="DY118" s="862"/>
      <c r="DZ118" s="862"/>
      <c r="EA118" s="862"/>
      <c r="EB118" s="862"/>
      <c r="EH118" s="1048"/>
      <c r="EI118" s="1048"/>
      <c r="EJ118" s="1048"/>
      <c r="EK118" s="1048"/>
      <c r="EM118" s="1048"/>
      <c r="FL118" s="1048"/>
    </row>
    <row r="119" spans="1:168">
      <c r="A119" s="242" t="s">
        <v>1069</v>
      </c>
      <c r="B119" s="242"/>
      <c r="C119" s="242"/>
      <c r="D119" s="242"/>
      <c r="E119" s="39">
        <f>E116/E97</f>
        <v>-0.16785022885049164</v>
      </c>
      <c r="F119" s="39">
        <f>F116/F97</f>
        <v>-0.16785022885049164</v>
      </c>
      <c r="G119" s="242"/>
      <c r="H119" s="242"/>
      <c r="I119" s="242"/>
      <c r="J119" s="242"/>
      <c r="K119" s="39">
        <f>K116/K97</f>
        <v>-0.1139084458998499</v>
      </c>
      <c r="L119" s="39">
        <f>L116/L97</f>
        <v>-0.1139084458998499</v>
      </c>
      <c r="M119" s="39">
        <f>M116/M97</f>
        <v>4.2893725992317548E-2</v>
      </c>
      <c r="N119" s="39">
        <f>N116/N90</f>
        <v>1.8554049934403818E-2</v>
      </c>
      <c r="O119" s="39">
        <f>O116/O97</f>
        <v>4.2893725992317548E-2</v>
      </c>
      <c r="P119" s="39">
        <f>P116/P90</f>
        <v>3.2319006664051061E-2</v>
      </c>
      <c r="Q119" s="39"/>
      <c r="R119" s="39">
        <f>R116/R90</f>
        <v>3.2319006664051061E-2</v>
      </c>
      <c r="S119" s="39">
        <f>S116/S97</f>
        <v>8.0716152710627168E-2</v>
      </c>
      <c r="T119" s="39">
        <f>T116/T90</f>
        <v>5.1387032746387444E-2</v>
      </c>
      <c r="U119" s="39">
        <f>U116/U90</f>
        <v>0.1009161640636209</v>
      </c>
      <c r="V119" s="39"/>
      <c r="W119" s="39"/>
      <c r="X119" s="39">
        <f t="shared" ref="X119:AK119" si="178">X116/X90</f>
        <v>8.3582438321472843E-2</v>
      </c>
      <c r="Y119" s="39">
        <f t="shared" si="178"/>
        <v>5.1387032746387444E-2</v>
      </c>
      <c r="Z119" s="39">
        <f t="shared" si="178"/>
        <v>0.1009161640636209</v>
      </c>
      <c r="AA119" s="39">
        <f t="shared" si="178"/>
        <v>8.3582438321472843E-2</v>
      </c>
      <c r="AB119" s="39">
        <f t="shared" si="178"/>
        <v>6.9049953980397732E-2</v>
      </c>
      <c r="AC119" s="39">
        <f t="shared" si="178"/>
        <v>8.1061199757403168E-2</v>
      </c>
      <c r="AD119" s="39">
        <f t="shared" si="178"/>
        <v>0.10388441587674692</v>
      </c>
      <c r="AE119" s="39">
        <f t="shared" si="178"/>
        <v>5.119500651119168E-2</v>
      </c>
      <c r="AF119" s="39">
        <f t="shared" si="178"/>
        <v>7.8276475460190495E-3</v>
      </c>
      <c r="AG119" s="39">
        <f t="shared" si="178"/>
        <v>4.218372278250284E-2</v>
      </c>
      <c r="AH119" s="39">
        <f t="shared" si="178"/>
        <v>0.13807738017654911</v>
      </c>
      <c r="AI119" s="39">
        <f t="shared" si="178"/>
        <v>9.0268717904333329E-2</v>
      </c>
      <c r="AJ119" s="39">
        <f t="shared" si="178"/>
        <v>0.11869228091098587</v>
      </c>
      <c r="AK119" s="39">
        <f t="shared" si="178"/>
        <v>6.5322174165284783E-2</v>
      </c>
      <c r="AL119" s="39">
        <f>AL116/AL90</f>
        <v>7.1837164084780664E-2</v>
      </c>
      <c r="AM119" s="39">
        <f t="shared" ref="AM119:AS119" si="179">AM116/AM90</f>
        <v>0.10918516364396491</v>
      </c>
      <c r="AN119" s="39">
        <f t="shared" si="179"/>
        <v>0.11117933726095736</v>
      </c>
      <c r="AO119" s="39">
        <f t="shared" si="179"/>
        <v>0.10891807094616791</v>
      </c>
      <c r="AP119" s="39">
        <f t="shared" si="179"/>
        <v>0.10988978988192259</v>
      </c>
      <c r="AQ119" s="39">
        <f t="shared" si="179"/>
        <v>0.12164301062398228</v>
      </c>
      <c r="AR119" s="39">
        <f t="shared" si="179"/>
        <v>0.12824251224738398</v>
      </c>
      <c r="AS119" s="39">
        <f t="shared" si="179"/>
        <v>0.12071155648302651</v>
      </c>
      <c r="AT119" s="39">
        <f t="shared" ref="AT119:AY119" si="180">AT116/AT90</f>
        <v>0.10464159722439006</v>
      </c>
      <c r="AU119" s="39">
        <f t="shared" si="180"/>
        <v>8.8474159584429363E-2</v>
      </c>
      <c r="AV119" s="39">
        <f t="shared" si="180"/>
        <v>8.2620643329807036E-2</v>
      </c>
      <c r="AW119" s="39">
        <f t="shared" si="180"/>
        <v>6.3145790387118039E-2</v>
      </c>
      <c r="AX119" s="39">
        <f t="shared" si="180"/>
        <v>5.6028009337226452E-2</v>
      </c>
      <c r="AY119" s="39">
        <f t="shared" si="180"/>
        <v>4.3031204314356968E-2</v>
      </c>
      <c r="AZ119" s="359"/>
      <c r="BA119" s="359"/>
      <c r="BB119" s="359"/>
      <c r="BC119" s="359"/>
      <c r="BD119" s="359"/>
      <c r="BE119" s="421"/>
      <c r="BF119" s="39">
        <f>BF116/BF97</f>
        <v>-0.165396672845015</v>
      </c>
      <c r="BG119" s="39">
        <f>BG116/BG97</f>
        <v>-8.4033970501537589E-2</v>
      </c>
      <c r="BH119" s="39">
        <f>BH116/BH97</f>
        <v>-4.8882391704475739E-2</v>
      </c>
      <c r="BI119" s="39">
        <f>BI116/BI97</f>
        <v>-0.15061552119381677</v>
      </c>
      <c r="BJ119" s="242"/>
      <c r="BK119" s="39">
        <f>BK116/BK97</f>
        <v>4.9824663269844867E-2</v>
      </c>
      <c r="BL119" s="39">
        <f>BL116/BL97</f>
        <v>5.9086209091423293E-2</v>
      </c>
      <c r="BM119" s="39">
        <f>BM116/BM97</f>
        <v>0.11169027170752785</v>
      </c>
      <c r="BN119" s="39">
        <f>BN116/BN97</f>
        <v>-4.2314185732296235E-2</v>
      </c>
      <c r="BO119" s="39"/>
      <c r="BP119" s="39">
        <f>BP116/BP97</f>
        <v>4.9824663269844867E-2</v>
      </c>
      <c r="BQ119" s="39">
        <f>BQ116/BQ97</f>
        <v>5.9086209091423293E-2</v>
      </c>
      <c r="BR119" s="39">
        <f>BR116/BR97</f>
        <v>0.11169027170752785</v>
      </c>
      <c r="BS119" s="39">
        <f>BS116/BS97</f>
        <v>-4.2314185732296235E-2</v>
      </c>
      <c r="BT119" s="242"/>
      <c r="BU119" s="39">
        <f>BU116/BU97</f>
        <v>0.1095820159142445</v>
      </c>
      <c r="BV119" s="39">
        <f>BV116/BV97</f>
        <v>0.11871888483855285</v>
      </c>
      <c r="BW119" s="39">
        <f>BW116/BW97</f>
        <v>-2.2215457212241878E-2</v>
      </c>
      <c r="BX119" s="39">
        <f>BX116/BX97</f>
        <v>9.9183699669916095E-2</v>
      </c>
      <c r="BY119" s="95"/>
      <c r="BZ119" s="39">
        <f>BZ116/BZ97</f>
        <v>-1.6807561027818597E-2</v>
      </c>
      <c r="CA119" s="39">
        <f>CA116/CA97</f>
        <v>0.17521171656886023</v>
      </c>
      <c r="CB119" s="39">
        <f>CB116/CB97</f>
        <v>4.6608132702134444E-2</v>
      </c>
      <c r="CC119" s="39">
        <f>CC116/CC97</f>
        <v>0.21150397247130498</v>
      </c>
      <c r="CD119" s="377"/>
      <c r="CE119" s="39">
        <f>CE116/CE97</f>
        <v>9.3690853748467414E-3</v>
      </c>
      <c r="CF119" s="39">
        <f>CF116/CF97</f>
        <v>0.19253897010025486</v>
      </c>
      <c r="CG119" s="39">
        <f>CG116/CG97</f>
        <v>7.9468200625763485E-2</v>
      </c>
      <c r="CH119" s="39">
        <f>CH116/CH97</f>
        <v>0.61077992696929484</v>
      </c>
      <c r="CI119" s="53"/>
      <c r="CJ119" s="39">
        <f>CJ116/CJ90</f>
        <v>3.2682384257521756E-2</v>
      </c>
      <c r="CK119" s="39">
        <f>CK116/CK90</f>
        <v>0.1159340499346409</v>
      </c>
      <c r="CL119" s="39">
        <f>CL116/CL90</f>
        <v>5.0373531889545811E-2</v>
      </c>
      <c r="CM119" s="39">
        <f>CM116/CM90</f>
        <v>0.12446009928590318</v>
      </c>
      <c r="CN119" s="49"/>
      <c r="CO119" s="39">
        <f>CO116/CO90</f>
        <v>3.286939538563019E-2</v>
      </c>
      <c r="CP119" s="39">
        <f>CP116/CP90</f>
        <v>0.11711765944603979</v>
      </c>
      <c r="CQ119" s="39">
        <f>CQ116/CQ90</f>
        <v>5.2471930468169933E-2</v>
      </c>
      <c r="CR119" s="39">
        <f>CR116/CR90</f>
        <v>0.1276345019133755</v>
      </c>
      <c r="CS119" s="49"/>
      <c r="CT119" s="39">
        <f>CT116/CT90</f>
        <v>4.1697458703937144E-2</v>
      </c>
      <c r="CU119" s="39">
        <f>CU116/CU90</f>
        <v>0.12860127990589221</v>
      </c>
      <c r="CV119" s="39">
        <f>CV116/CV90</f>
        <v>8.234051147520921E-2</v>
      </c>
      <c r="CW119" s="39">
        <f>CW116/CW90</f>
        <v>4.1517367803617096E-2</v>
      </c>
      <c r="CX119" s="49"/>
      <c r="CY119" s="39">
        <f>CY116/CY90</f>
        <v>5.1135102386740176E-2</v>
      </c>
      <c r="CZ119" s="39">
        <f>CZ116/CZ90</f>
        <v>8.887421864121299E-2</v>
      </c>
      <c r="DA119" s="39">
        <f>DA116/DA90</f>
        <v>8.6447951774514545E-2</v>
      </c>
      <c r="DB119" s="39">
        <f>DB116/DB90</f>
        <v>0.10269367670712423</v>
      </c>
      <c r="DC119" s="242"/>
      <c r="DD119" s="39">
        <f>DD116/DD90</f>
        <v>0.06</v>
      </c>
      <c r="DE119" s="39">
        <f>DE116/DE90</f>
        <v>0.12000000000000001</v>
      </c>
      <c r="DF119" s="39">
        <f>DF116/DF90</f>
        <v>0.12</v>
      </c>
      <c r="DG119" s="39">
        <f>DG116/DG90</f>
        <v>0.13135965772436323</v>
      </c>
      <c r="DH119" s="391"/>
      <c r="DI119" s="39">
        <f>DI116/DI90</f>
        <v>3.0000000000000002E-2</v>
      </c>
      <c r="DJ119" s="39">
        <f>DJ116/DJ90</f>
        <v>0.12</v>
      </c>
      <c r="DK119" s="39">
        <f>DK116/DK90</f>
        <v>2.9999999999999995E-2</v>
      </c>
      <c r="DL119" s="39">
        <f>DL116/DL90</f>
        <v>2.7371838777692888E-2</v>
      </c>
      <c r="DM119" s="391"/>
      <c r="DN119" s="39">
        <f>DN116/DN90</f>
        <v>-0.04</v>
      </c>
      <c r="DO119" s="39">
        <f>DO116/DO90</f>
        <v>0</v>
      </c>
      <c r="DP119" s="39">
        <f>DP116/DP90</f>
        <v>4.4999999999999998E-2</v>
      </c>
      <c r="DQ119" s="39">
        <f>DQ116/DQ90</f>
        <v>3.6455644104670094E-2</v>
      </c>
      <c r="DR119" s="242"/>
      <c r="DS119" s="39">
        <f>DS116/DS90</f>
        <v>0.02</v>
      </c>
      <c r="DT119" s="39">
        <f>DT116/DT90</f>
        <v>3.5000000000000003E-2</v>
      </c>
      <c r="DU119" s="39">
        <f>DU116/DU90</f>
        <v>7.0000000000000007E-2</v>
      </c>
      <c r="DV119" s="39">
        <f>DV116/DV90</f>
        <v>5.4612791684619945E-2</v>
      </c>
      <c r="DX119" s="862"/>
      <c r="DY119" s="862"/>
      <c r="DZ119" s="862"/>
      <c r="EA119" s="862"/>
      <c r="EB119" s="862"/>
      <c r="EH119" s="1048"/>
      <c r="EI119" s="1048"/>
      <c r="EJ119" s="1048"/>
      <c r="EK119" s="1048"/>
      <c r="EM119" s="1048"/>
      <c r="FL119" s="1048"/>
    </row>
    <row r="120" spans="1:168">
      <c r="A120" s="372" t="s">
        <v>1073</v>
      </c>
      <c r="B120" s="242"/>
      <c r="C120" s="242"/>
      <c r="D120" s="242"/>
      <c r="E120" s="242"/>
      <c r="F120" s="242"/>
      <c r="G120" s="242"/>
      <c r="H120" s="242"/>
      <c r="I120" s="242"/>
      <c r="J120" s="242"/>
      <c r="K120" s="39">
        <f>+K113/K86</f>
        <v>7.7419354838709677E-3</v>
      </c>
      <c r="L120" s="242"/>
      <c r="M120" s="39"/>
      <c r="N120" s="39">
        <f>+N113/N86</f>
        <v>6.6180758017492708E-2</v>
      </c>
      <c r="O120" s="242"/>
      <c r="P120" s="39">
        <f>+P113/P86</f>
        <v>7.4482758620689649E-2</v>
      </c>
      <c r="Q120" s="39"/>
      <c r="R120" s="39">
        <f>+R113/R86</f>
        <v>7.4482758620689649E-2</v>
      </c>
      <c r="S120" s="242"/>
      <c r="T120" s="39">
        <f>+T113/T86</f>
        <v>8.7040759325998557E-2</v>
      </c>
      <c r="U120" s="39">
        <f>+U113/U86</f>
        <v>0.13575335833221167</v>
      </c>
      <c r="V120" s="39"/>
      <c r="W120" s="39"/>
      <c r="X120" s="39">
        <f t="shared" ref="X120:AK120" si="181">+X113/X86</f>
        <v>9.9874764977142233E-2</v>
      </c>
      <c r="Y120" s="39">
        <f>+Y113/Y86</f>
        <v>8.7040759325998557E-2</v>
      </c>
      <c r="Z120" s="39">
        <f>+Z113/Z86</f>
        <v>0.13575335833221167</v>
      </c>
      <c r="AA120" s="39">
        <f>+AA113/AA86</f>
        <v>9.9874764977142233E-2</v>
      </c>
      <c r="AB120" s="39">
        <f t="shared" si="181"/>
        <v>9.0808079347826198E-2</v>
      </c>
      <c r="AC120" s="39">
        <f t="shared" si="181"/>
        <v>9.3606758784062466E-2</v>
      </c>
      <c r="AD120" s="39">
        <f t="shared" si="181"/>
        <v>0.10388441587674692</v>
      </c>
      <c r="AE120" s="39">
        <f t="shared" si="181"/>
        <v>5.119500651119168E-2</v>
      </c>
      <c r="AF120" s="39">
        <f t="shared" si="181"/>
        <v>7.8276475460190495E-3</v>
      </c>
      <c r="AG120" s="39">
        <f t="shared" si="181"/>
        <v>4.218372278250284E-2</v>
      </c>
      <c r="AH120" s="39">
        <f t="shared" si="181"/>
        <v>0.13807738017654911</v>
      </c>
      <c r="AI120" s="39">
        <f t="shared" si="181"/>
        <v>9.0268717904333329E-2</v>
      </c>
      <c r="AJ120" s="39">
        <f t="shared" si="181"/>
        <v>0.11869228091098587</v>
      </c>
      <c r="AK120" s="39">
        <f t="shared" si="181"/>
        <v>6.5322174165284783E-2</v>
      </c>
      <c r="AL120" s="39">
        <f>+AL113/AL86</f>
        <v>7.1837164084780664E-2</v>
      </c>
      <c r="AM120" s="39">
        <f t="shared" ref="AM120:AS120" si="182">+AM113/AM86</f>
        <v>0.10918516364396491</v>
      </c>
      <c r="AN120" s="39">
        <f t="shared" si="182"/>
        <v>0.11117933726095736</v>
      </c>
      <c r="AO120" s="39">
        <f t="shared" si="182"/>
        <v>0.10891807094616791</v>
      </c>
      <c r="AP120" s="39">
        <f t="shared" si="182"/>
        <v>0.10988978988192259</v>
      </c>
      <c r="AQ120" s="39">
        <f t="shared" si="182"/>
        <v>0.12164301062398228</v>
      </c>
      <c r="AR120" s="39">
        <f t="shared" si="182"/>
        <v>0.12824251224738398</v>
      </c>
      <c r="AS120" s="39">
        <f t="shared" si="182"/>
        <v>0.12071155648302651</v>
      </c>
      <c r="AT120" s="39">
        <f t="shared" ref="AT120:AY120" si="183">+AT113/AT86</f>
        <v>0.10464159722439006</v>
      </c>
      <c r="AU120" s="39">
        <f t="shared" si="183"/>
        <v>8.8474159584429363E-2</v>
      </c>
      <c r="AV120" s="39">
        <f t="shared" si="183"/>
        <v>8.2620643329807036E-2</v>
      </c>
      <c r="AW120" s="39">
        <f t="shared" si="183"/>
        <v>6.3145790387118039E-2</v>
      </c>
      <c r="AX120" s="39">
        <f t="shared" si="183"/>
        <v>5.6028009337226452E-2</v>
      </c>
      <c r="AY120" s="39">
        <f t="shared" si="183"/>
        <v>4.3031204314356968E-2</v>
      </c>
      <c r="AZ120" s="359"/>
      <c r="BA120" s="359"/>
      <c r="BB120" s="359"/>
      <c r="BC120" s="359"/>
      <c r="BD120" s="359"/>
      <c r="BE120" s="421"/>
      <c r="BF120" s="39">
        <f>+BF113/BF86</f>
        <v>7.0640176600441501E-3</v>
      </c>
      <c r="BG120" s="39">
        <f>+BG113/BG86</f>
        <v>3.4487906837862056E-2</v>
      </c>
      <c r="BH120" s="39">
        <f>+BH113/BH86</f>
        <v>0.03</v>
      </c>
      <c r="BI120" s="39">
        <f>+BI113/BI86</f>
        <v>-2.5427396667388018E-2</v>
      </c>
      <c r="BJ120" s="242"/>
      <c r="BK120" s="39">
        <f>+BK113/BK86</f>
        <v>5.6929442307692292E-2</v>
      </c>
      <c r="BL120" s="39">
        <v>7.4999999999999997E-2</v>
      </c>
      <c r="BM120" s="39">
        <f>+BM113/BM86</f>
        <v>0.12820512820512819</v>
      </c>
      <c r="BN120" s="39">
        <f>+BN113/BN86</f>
        <v>3.1611200715104648E-2</v>
      </c>
      <c r="BO120" s="39"/>
      <c r="BP120" s="39">
        <f>+BP113/BP86</f>
        <v>5.6929442307692292E-2</v>
      </c>
      <c r="BQ120" s="39">
        <f>+BQ113/BQ86</f>
        <v>7.4999999999999997E-2</v>
      </c>
      <c r="BR120" s="39">
        <f>+BR113/BR86</f>
        <v>0.12820512820512819</v>
      </c>
      <c r="BS120" s="39">
        <f>+BS113/BS86</f>
        <v>3.1611200715104648E-2</v>
      </c>
      <c r="BT120" s="242"/>
      <c r="BU120" s="39">
        <v>5.8000000000000003E-2</v>
      </c>
      <c r="BV120" s="39">
        <v>0.11</v>
      </c>
      <c r="BW120" s="39">
        <v>0.04</v>
      </c>
      <c r="BX120" s="39">
        <f>+BX113/BX86</f>
        <v>8.8305381525059401E-2</v>
      </c>
      <c r="BY120" s="95"/>
      <c r="BZ120" s="394">
        <v>2.5000000000000001E-2</v>
      </c>
      <c r="CA120" s="394">
        <v>0.12</v>
      </c>
      <c r="CB120" s="394">
        <v>0.08</v>
      </c>
      <c r="CC120" s="39">
        <f>+CC113/CC86</f>
        <v>0.12340951751076847</v>
      </c>
      <c r="CD120" s="377"/>
      <c r="CE120" s="394">
        <v>2.5000000000000001E-2</v>
      </c>
      <c r="CF120" s="394">
        <v>0.12</v>
      </c>
      <c r="CG120" s="394">
        <v>0.08</v>
      </c>
      <c r="CH120" s="242">
        <f>+CH113/CH86</f>
        <v>0.27218439374467401</v>
      </c>
      <c r="CI120" s="53"/>
      <c r="CJ120" s="394">
        <v>4.2000000000000003E-2</v>
      </c>
      <c r="CK120" s="394">
        <v>0.13500000000000001</v>
      </c>
      <c r="CL120" s="394">
        <v>8.5000000000000006E-2</v>
      </c>
      <c r="CM120" s="242">
        <f>+CM113/CM86</f>
        <v>0.1367825047433166</v>
      </c>
      <c r="CN120" s="49"/>
      <c r="CO120" s="394">
        <v>4.2000000000000003E-2</v>
      </c>
      <c r="CP120" s="394">
        <v>0.13500000000000001</v>
      </c>
      <c r="CQ120" s="394">
        <v>8.5000000000000006E-2</v>
      </c>
      <c r="CR120" s="242">
        <f>+CR113/CR86</f>
        <v>0.14118767541975993</v>
      </c>
      <c r="CS120" s="49"/>
      <c r="CT120" s="394">
        <v>0.06</v>
      </c>
      <c r="CU120" s="394">
        <f>+CP120+0.018</f>
        <v>0.153</v>
      </c>
      <c r="CV120" s="394">
        <v>0.1</v>
      </c>
      <c r="CW120" s="242">
        <f>+CW113/CW86</f>
        <v>6.7036696826036121E-2</v>
      </c>
      <c r="CX120" s="49"/>
      <c r="CY120" s="394">
        <v>0.06</v>
      </c>
      <c r="CZ120" s="394">
        <v>0.12</v>
      </c>
      <c r="DA120" s="394">
        <v>0.1</v>
      </c>
      <c r="DB120" s="242">
        <f>DB113/DB86</f>
        <v>0.10269367670712423</v>
      </c>
      <c r="DC120" s="242"/>
      <c r="DD120" s="394">
        <v>0.06</v>
      </c>
      <c r="DE120" s="394">
        <v>0.12</v>
      </c>
      <c r="DF120" s="394">
        <v>0.12</v>
      </c>
      <c r="DG120" s="242">
        <f>DG113/DG86</f>
        <v>0.13135965772436323</v>
      </c>
      <c r="DH120" s="391"/>
      <c r="DI120" s="394">
        <v>0.03</v>
      </c>
      <c r="DJ120" s="394">
        <v>0.12</v>
      </c>
      <c r="DK120" s="394">
        <v>0.03</v>
      </c>
      <c r="DL120" s="242">
        <f>DL113/DL86</f>
        <v>2.7371838777692888E-2</v>
      </c>
      <c r="DM120" s="391"/>
      <c r="DN120" s="394">
        <f>+-0.04</f>
        <v>-0.04</v>
      </c>
      <c r="DO120" s="394">
        <v>0</v>
      </c>
      <c r="DP120" s="394">
        <v>4.4999999999999998E-2</v>
      </c>
      <c r="DQ120" s="242">
        <f>DQ113/DQ86</f>
        <v>3.6455644104670094E-2</v>
      </c>
      <c r="DR120" s="242"/>
      <c r="DS120" s="242">
        <f>DS113/DS86</f>
        <v>0.02</v>
      </c>
      <c r="DT120" s="242">
        <f>DT113/DT86</f>
        <v>3.5000000000000003E-2</v>
      </c>
      <c r="DU120" s="242">
        <f>DU113/DU86</f>
        <v>7.0000000000000007E-2</v>
      </c>
      <c r="DV120" s="242">
        <f>DV113/DV86</f>
        <v>5.4612791684619945E-2</v>
      </c>
      <c r="DX120" s="862"/>
      <c r="DY120" s="862"/>
      <c r="DZ120" s="862"/>
      <c r="EA120" s="862"/>
      <c r="EB120" s="862"/>
      <c r="EH120" s="1048"/>
      <c r="EI120" s="1048"/>
      <c r="EJ120" s="1048"/>
      <c r="EK120" s="1048"/>
      <c r="EM120" s="1048"/>
      <c r="FL120" s="1048"/>
    </row>
    <row r="121" spans="1:168">
      <c r="A121" s="372" t="s">
        <v>1074</v>
      </c>
      <c r="B121" s="242"/>
      <c r="C121" s="242"/>
      <c r="D121" s="242"/>
      <c r="E121" s="39"/>
      <c r="F121" s="39"/>
      <c r="G121" s="242"/>
      <c r="H121" s="242"/>
      <c r="I121" s="242"/>
      <c r="J121" s="242"/>
      <c r="K121" s="39"/>
      <c r="L121" s="39"/>
      <c r="M121" s="39"/>
      <c r="N121" s="39">
        <f>+N115/N88</f>
        <v>-0.88362908675000928</v>
      </c>
      <c r="O121" s="39"/>
      <c r="P121" s="39">
        <f>+P115/P88</f>
        <v>-0.67232647904892018</v>
      </c>
      <c r="Q121" s="39"/>
      <c r="R121" s="39">
        <f>+R115/R88</f>
        <v>-0.67232647904892018</v>
      </c>
      <c r="S121" s="39"/>
      <c r="T121" s="39">
        <f>+T115/T88</f>
        <v>-0.51135942520255173</v>
      </c>
      <c r="U121" s="39">
        <f>+U115/U88</f>
        <v>-0.51486990180577297</v>
      </c>
      <c r="V121" s="39"/>
      <c r="W121" s="39"/>
      <c r="X121" s="39">
        <f t="shared" ref="X121:AC121" si="184">+X115/X88</f>
        <v>-0.21872128368979307</v>
      </c>
      <c r="Y121" s="39">
        <f t="shared" si="184"/>
        <v>-0.51135942520255173</v>
      </c>
      <c r="Z121" s="39">
        <f t="shared" si="184"/>
        <v>-0.51486990180577297</v>
      </c>
      <c r="AA121" s="39">
        <f t="shared" si="184"/>
        <v>-0.21872128368979307</v>
      </c>
      <c r="AB121" s="39">
        <f t="shared" si="184"/>
        <v>-0.26260504201680668</v>
      </c>
      <c r="AC121" s="39">
        <f t="shared" si="184"/>
        <v>-0.23423530960772806</v>
      </c>
      <c r="AD121" s="118" t="s">
        <v>1113</v>
      </c>
      <c r="AE121" s="118" t="s">
        <v>1113</v>
      </c>
      <c r="AF121" s="118" t="s">
        <v>1113</v>
      </c>
      <c r="AG121" s="118" t="s">
        <v>1113</v>
      </c>
      <c r="AH121" s="118" t="s">
        <v>1113</v>
      </c>
      <c r="AI121" s="118" t="s">
        <v>1113</v>
      </c>
      <c r="AJ121" s="118" t="s">
        <v>1113</v>
      </c>
      <c r="AK121" s="118" t="s">
        <v>1113</v>
      </c>
      <c r="AL121" s="118" t="s">
        <v>1113</v>
      </c>
      <c r="AM121" s="118" t="s">
        <v>1113</v>
      </c>
      <c r="AN121" s="118" t="s">
        <v>1113</v>
      </c>
      <c r="AO121" s="118" t="s">
        <v>1113</v>
      </c>
      <c r="AP121" s="118" t="s">
        <v>1113</v>
      </c>
      <c r="AQ121" s="118" t="s">
        <v>1113</v>
      </c>
      <c r="AR121" s="118" t="s">
        <v>1113</v>
      </c>
      <c r="AS121" s="118" t="s">
        <v>1113</v>
      </c>
      <c r="AT121" s="118" t="s">
        <v>1113</v>
      </c>
      <c r="AU121" s="118" t="s">
        <v>1113</v>
      </c>
      <c r="AV121" s="118" t="s">
        <v>1113</v>
      </c>
      <c r="AW121" s="118" t="s">
        <v>1113</v>
      </c>
      <c r="AX121" s="118" t="s">
        <v>1113</v>
      </c>
      <c r="AY121" s="118" t="s">
        <v>1113</v>
      </c>
      <c r="AZ121" s="360"/>
      <c r="BA121" s="360"/>
      <c r="BB121" s="360"/>
      <c r="BC121" s="360"/>
      <c r="BD121" s="360"/>
      <c r="BE121" s="421"/>
      <c r="BF121" s="242"/>
      <c r="BG121" s="242"/>
      <c r="BH121" s="242"/>
      <c r="BI121" s="242"/>
      <c r="BJ121" s="242"/>
      <c r="BK121" s="39"/>
      <c r="BL121" s="39"/>
      <c r="BM121" s="39"/>
      <c r="BN121" s="39"/>
      <c r="BO121" s="39"/>
      <c r="BP121" s="39"/>
      <c r="BQ121" s="39"/>
      <c r="BR121" s="39"/>
      <c r="BS121" s="39"/>
      <c r="BT121" s="242"/>
      <c r="BU121" s="39"/>
      <c r="BV121" s="39"/>
      <c r="BW121" s="39"/>
      <c r="BX121" s="39"/>
      <c r="BY121" s="95"/>
      <c r="BZ121" s="242"/>
      <c r="CA121" s="242"/>
      <c r="CB121" s="242"/>
      <c r="CC121" s="242"/>
      <c r="CD121" s="377"/>
      <c r="CE121" s="53"/>
      <c r="CF121" s="53"/>
      <c r="CG121" s="53"/>
      <c r="CH121" s="53"/>
      <c r="CI121" s="53"/>
      <c r="CJ121" s="53"/>
      <c r="CK121" s="53"/>
      <c r="CL121" s="53"/>
      <c r="CM121" s="436"/>
      <c r="CN121" s="53"/>
      <c r="CO121" s="53"/>
      <c r="CP121" s="53"/>
      <c r="CQ121" s="53"/>
      <c r="CR121" s="436"/>
      <c r="CS121" s="53"/>
      <c r="CT121" s="436"/>
      <c r="CU121" s="436"/>
      <c r="CV121" s="437"/>
      <c r="CW121" s="53"/>
      <c r="CX121" s="49"/>
      <c r="CY121" s="243"/>
      <c r="CZ121" s="243"/>
      <c r="DA121" s="243"/>
      <c r="DB121" s="243"/>
      <c r="DC121" s="242"/>
      <c r="DD121" s="391" t="s">
        <v>337</v>
      </c>
      <c r="DE121" s="391"/>
      <c r="DF121" s="391"/>
      <c r="DG121" s="391"/>
      <c r="DH121" s="391"/>
      <c r="DI121" s="391" t="s">
        <v>337</v>
      </c>
      <c r="DJ121" s="391"/>
      <c r="DK121" s="391"/>
      <c r="DL121" s="391"/>
      <c r="DM121" s="391"/>
      <c r="DN121" s="54"/>
      <c r="DO121" s="54"/>
      <c r="DP121" s="54"/>
      <c r="DQ121" s="54"/>
      <c r="DR121" s="242"/>
      <c r="DS121" s="1048"/>
      <c r="DT121" s="1048"/>
      <c r="DU121" s="1048"/>
      <c r="DV121" s="1048"/>
      <c r="DW121" s="1048"/>
      <c r="DX121" s="906"/>
      <c r="DY121" s="862"/>
      <c r="DZ121" s="862"/>
      <c r="EA121" s="862"/>
      <c r="EB121" s="862"/>
      <c r="EH121" s="1048"/>
      <c r="EI121" s="1048"/>
      <c r="EJ121" s="1048"/>
      <c r="EK121" s="1048"/>
      <c r="EM121" s="1048"/>
      <c r="FL121" s="1048"/>
    </row>
    <row r="122" spans="1:168" ht="11.25" customHeight="1">
      <c r="A122" s="372"/>
      <c r="B122" s="242"/>
      <c r="C122" s="242"/>
      <c r="D122" s="242"/>
      <c r="E122" s="39"/>
      <c r="F122" s="39"/>
      <c r="G122" s="242"/>
      <c r="H122" s="242"/>
      <c r="I122" s="242"/>
      <c r="J122" s="242"/>
      <c r="K122" s="39"/>
      <c r="L122" s="39"/>
      <c r="M122" s="39"/>
      <c r="N122" s="39"/>
      <c r="O122" s="39"/>
      <c r="P122" s="39"/>
      <c r="Q122" s="39"/>
      <c r="R122" s="39"/>
      <c r="S122" s="39"/>
      <c r="T122" s="53"/>
      <c r="U122" s="53"/>
      <c r="V122" s="53"/>
      <c r="W122" s="53"/>
      <c r="X122" s="53"/>
      <c r="Y122" s="39"/>
      <c r="Z122" s="39"/>
      <c r="AA122" s="39"/>
      <c r="AB122" s="437"/>
      <c r="AC122" s="53"/>
      <c r="AD122" s="39"/>
      <c r="AE122" s="854"/>
      <c r="AF122" s="854"/>
      <c r="AG122" s="39"/>
      <c r="AH122" s="53"/>
      <c r="AI122" s="53"/>
      <c r="AJ122" s="53"/>
      <c r="AK122" s="39"/>
      <c r="AL122" s="1110"/>
      <c r="AM122" s="1110"/>
      <c r="AN122" s="1110"/>
      <c r="AO122" s="39"/>
      <c r="AP122" s="39"/>
      <c r="AQ122" s="39"/>
      <c r="AR122" s="39"/>
      <c r="AS122" s="39"/>
      <c r="AT122" s="39"/>
      <c r="AU122" s="39"/>
      <c r="AV122" s="39"/>
      <c r="AW122" s="39"/>
      <c r="AX122" s="39"/>
      <c r="AY122" s="39"/>
      <c r="AZ122" s="359"/>
      <c r="BA122" s="359"/>
      <c r="BB122" s="359"/>
      <c r="BC122" s="359"/>
      <c r="BD122" s="359"/>
      <c r="BE122" s="421"/>
      <c r="BF122" s="242"/>
      <c r="BG122" s="242"/>
      <c r="BH122" s="242"/>
      <c r="BI122" s="242"/>
      <c r="BJ122" s="242"/>
      <c r="BK122" s="39"/>
      <c r="BL122" s="39"/>
      <c r="BM122" s="39"/>
      <c r="BN122" s="39"/>
      <c r="BO122" s="39"/>
      <c r="BP122" s="39"/>
      <c r="BQ122" s="39"/>
      <c r="BR122" s="39"/>
      <c r="BS122" s="39"/>
      <c r="BT122" s="242"/>
      <c r="BU122" s="39"/>
      <c r="BV122" s="39"/>
      <c r="BW122" s="39"/>
      <c r="BX122" s="39"/>
      <c r="BY122" s="95"/>
      <c r="BZ122" s="49"/>
      <c r="CA122" s="49"/>
      <c r="CB122" s="49"/>
      <c r="CC122" s="49"/>
      <c r="CD122" s="377"/>
      <c r="CE122" s="49"/>
      <c r="CF122" s="242"/>
      <c r="CG122" s="49"/>
      <c r="CH122" s="49"/>
      <c r="CI122" s="53"/>
      <c r="CJ122" s="242"/>
      <c r="CK122" s="242"/>
      <c r="CL122" s="242"/>
      <c r="CM122" s="242"/>
      <c r="CN122" s="49"/>
      <c r="CO122" s="242"/>
      <c r="CP122" s="242"/>
      <c r="CQ122" s="242"/>
      <c r="CR122" s="242"/>
      <c r="CS122" s="49"/>
      <c r="CT122" s="242"/>
      <c r="CU122" s="242"/>
      <c r="CV122" s="242"/>
      <c r="CW122" s="242"/>
      <c r="CX122" s="49"/>
      <c r="CY122" s="391"/>
      <c r="CZ122" s="391"/>
      <c r="DA122" s="391"/>
      <c r="DB122" s="391"/>
      <c r="DC122" s="242"/>
      <c r="DD122" s="391"/>
      <c r="DE122" s="391"/>
      <c r="DF122" s="391"/>
      <c r="DG122" s="391"/>
      <c r="DH122" s="391"/>
      <c r="DI122" s="54"/>
      <c r="DJ122" s="54"/>
      <c r="DK122" s="54"/>
      <c r="DL122" s="54"/>
      <c r="DM122" s="391"/>
      <c r="DN122" s="54"/>
      <c r="DO122" s="54"/>
      <c r="DP122" s="54"/>
      <c r="DQ122" s="54"/>
      <c r="DR122" s="242"/>
      <c r="DS122" s="1048"/>
      <c r="DT122" s="1048"/>
      <c r="DU122" s="1048"/>
      <c r="DV122" s="1048"/>
      <c r="DW122" s="1048"/>
      <c r="DX122" s="906"/>
      <c r="DY122" s="862"/>
      <c r="DZ122" s="862"/>
      <c r="EA122" s="862"/>
      <c r="EB122" s="862"/>
      <c r="EH122" s="1048"/>
      <c r="EI122" s="1048"/>
      <c r="EJ122" s="1048"/>
      <c r="EK122" s="1048"/>
      <c r="EM122" s="1048"/>
      <c r="FL122" s="1048"/>
    </row>
    <row r="123" spans="1:168">
      <c r="A123" s="390" t="s">
        <v>695</v>
      </c>
      <c r="B123" s="14"/>
      <c r="C123" s="14">
        <f>'CBS Stations'!J16</f>
        <v>510</v>
      </c>
      <c r="D123" s="14">
        <v>26</v>
      </c>
      <c r="E123" s="14">
        <f>+SUM(B123:D123)</f>
        <v>536</v>
      </c>
      <c r="F123" s="14">
        <f>E123</f>
        <v>536</v>
      </c>
      <c r="G123" s="14"/>
      <c r="H123" s="14"/>
      <c r="I123" s="14">
        <f>+'CBS Stations'!K16</f>
        <v>530</v>
      </c>
      <c r="J123" s="14">
        <v>0</v>
      </c>
      <c r="K123" s="14">
        <f>+SUM(H123:J123)</f>
        <v>530</v>
      </c>
      <c r="L123" s="14">
        <f>K123</f>
        <v>530</v>
      </c>
      <c r="M123" s="14">
        <f>+N123</f>
        <v>560.48999999999978</v>
      </c>
      <c r="N123" s="14">
        <f>+'CBS Stations'!L16</f>
        <v>560.48999999999978</v>
      </c>
      <c r="O123" s="14">
        <f>N123</f>
        <v>560.48999999999978</v>
      </c>
      <c r="P123" s="14">
        <f>+R123</f>
        <v>438.19979999999998</v>
      </c>
      <c r="Q123" s="14"/>
      <c r="R123" s="14">
        <f>+'CBS Stations'!M16</f>
        <v>438.19979999999998</v>
      </c>
      <c r="S123" s="14">
        <f>R123</f>
        <v>438.19979999999998</v>
      </c>
      <c r="T123" s="14">
        <f>+'CBS Stations'!N16</f>
        <v>487.78755799999999</v>
      </c>
      <c r="U123" s="14">
        <f>+'CBS Stations'!O16</f>
        <v>500.80976243999999</v>
      </c>
      <c r="V123" s="14"/>
      <c r="W123" s="14"/>
      <c r="X123" s="14">
        <f>+'CBS Stations'!P16</f>
        <v>540.63954245160005</v>
      </c>
      <c r="Y123" s="14">
        <f>T123</f>
        <v>487.78755799999999</v>
      </c>
      <c r="Z123" s="14">
        <f>U123</f>
        <v>500.80976243999999</v>
      </c>
      <c r="AA123" s="14">
        <f>X123</f>
        <v>540.63954245160005</v>
      </c>
      <c r="AB123" s="14">
        <f>+'CBS Stations'!Q16</f>
        <v>459.54826624035741</v>
      </c>
      <c r="AC123" s="14">
        <f>+'CBS Stations'!R16</f>
        <v>510.31840595667131</v>
      </c>
      <c r="AD123" s="14">
        <f>+'CBS Stations'!S16</f>
        <v>422.16080410572204</v>
      </c>
      <c r="AE123" s="167">
        <f>SUM(DI123:DL123)</f>
        <v>296.13446004831894</v>
      </c>
      <c r="AF123" s="14">
        <f>+'CBS Stations'!U16</f>
        <v>129.16018593100478</v>
      </c>
      <c r="AG123" s="14">
        <f>+'CBS Stations'!V16</f>
        <v>288.35889818396493</v>
      </c>
      <c r="AH123" s="14">
        <f>+'CBS Stations'!W16</f>
        <v>291.32653929232595</v>
      </c>
      <c r="AI123" s="14">
        <f>+'CBS Stations'!X16</f>
        <v>389.89796075503057</v>
      </c>
      <c r="AJ123" s="14">
        <f>+'CBS Stations'!Y16</f>
        <v>390.96747727054185</v>
      </c>
      <c r="AK123" s="14">
        <f>+'CBS Stations'!Z16</f>
        <v>419.69387450006343</v>
      </c>
      <c r="AL123" s="1357">
        <f>+'CBS Stations'!AA16</f>
        <v>393.03499654865072</v>
      </c>
      <c r="AM123" s="1357">
        <f>+'CBS Stations'!AB16</f>
        <v>507.85750237266166</v>
      </c>
      <c r="AN123" s="1357">
        <f>+'CBS Stations'!AC16</f>
        <v>413.02486504596504</v>
      </c>
      <c r="AO123" s="1357">
        <f>+'CBS Stations'!AD16</f>
        <v>524.29919291501039</v>
      </c>
      <c r="AP123" s="14">
        <f>+'CBS Stations'!AE16</f>
        <v>516.69010052363524</v>
      </c>
      <c r="AQ123" s="14">
        <f>+'CBS Stations'!AF16</f>
        <v>699.48167121528127</v>
      </c>
      <c r="AR123" s="14">
        <f>+'CBS Stations'!AG16</f>
        <v>615.78954310251879</v>
      </c>
      <c r="AS123" s="14">
        <f>+'CBS Stations'!AH16</f>
        <v>732.79049690301281</v>
      </c>
      <c r="AT123" s="14">
        <f>+'CBS Stations'!AI16</f>
        <v>590.55668464534926</v>
      </c>
      <c r="AU123" s="14">
        <f>+'CBS Stations'!AJ16</f>
        <v>697.16439333076676</v>
      </c>
      <c r="AV123" s="14">
        <f>+'CBS Stations'!AK16</f>
        <v>583.17239919997962</v>
      </c>
      <c r="AW123" s="14">
        <f>+'CBS Stations'!AL16</f>
        <v>612.56843523874568</v>
      </c>
      <c r="AX123" s="14">
        <f>+'CBS Stations'!AM16</f>
        <v>511.13137080431102</v>
      </c>
      <c r="AY123" s="14">
        <f>+'CBS Stations'!AN16</f>
        <v>680.74052293599379</v>
      </c>
      <c r="AZ123" s="354"/>
      <c r="BA123" s="354"/>
      <c r="BB123" s="354"/>
      <c r="BC123" s="354"/>
      <c r="BD123" s="354"/>
      <c r="BE123" s="359"/>
      <c r="BF123" s="14">
        <v>95</v>
      </c>
      <c r="BG123" s="14">
        <v>140</v>
      </c>
      <c r="BH123" s="14">
        <v>90</v>
      </c>
      <c r="BI123" s="14">
        <f>+K123-SUM(BF123:BH123)</f>
        <v>205</v>
      </c>
      <c r="BJ123" s="14"/>
      <c r="BK123" s="14">
        <f>+BK93*BK131</f>
        <v>138.87450000000001</v>
      </c>
      <c r="BL123" s="14">
        <f>+BL93*BL131</f>
        <v>172.11179700000002</v>
      </c>
      <c r="BM123" s="14">
        <f>+BM93*BM131</f>
        <v>134.93972250000002</v>
      </c>
      <c r="BN123" s="14">
        <f>+N123-SUM(BK123:BM123)</f>
        <v>114.56398049999973</v>
      </c>
      <c r="BO123" s="14"/>
      <c r="BP123" s="14">
        <f>+BK123</f>
        <v>138.87450000000001</v>
      </c>
      <c r="BQ123" s="14">
        <f>+BL123</f>
        <v>172.11179700000002</v>
      </c>
      <c r="BR123" s="14">
        <f>+BM123</f>
        <v>134.93972250000002</v>
      </c>
      <c r="BS123" s="14">
        <f>+N123-SUM(BP123:BR123)</f>
        <v>114.56398049999973</v>
      </c>
      <c r="BT123" s="14"/>
      <c r="BU123" s="14">
        <f>+BU93*BU131</f>
        <v>107.32221360000001</v>
      </c>
      <c r="BV123" s="14">
        <f>+BV93*BV131</f>
        <v>119.60205238800002</v>
      </c>
      <c r="BW123" s="14">
        <f>+BW93*BW131</f>
        <v>79.741737900000004</v>
      </c>
      <c r="BX123" s="14">
        <f>+P123-SUM(BU123:BW123)</f>
        <v>131.53379611199995</v>
      </c>
      <c r="BY123" s="95"/>
      <c r="BZ123" s="14">
        <f>+BZ93*BZ131</f>
        <v>98.736436512000012</v>
      </c>
      <c r="CA123" s="14">
        <f>+CA93*CA131</f>
        <v>120.17158597080002</v>
      </c>
      <c r="CB123" s="14">
        <f>+CB93*CB131</f>
        <v>104.08511844225002</v>
      </c>
      <c r="CC123" s="14">
        <f>+T123-SUM(BZ123:CB123)</f>
        <v>164.79441707494993</v>
      </c>
      <c r="CD123" s="377"/>
      <c r="CE123" s="14">
        <f>+CE131*CE93</f>
        <v>97.502231055600021</v>
      </c>
      <c r="CF123" s="14">
        <f>+CF131*CF93</f>
        <v>129.33466940107351</v>
      </c>
      <c r="CG123" s="14">
        <f>+CG131*CG93</f>
        <v>127.85590900541253</v>
      </c>
      <c r="CH123" s="14">
        <f>+U123-CG123-CF123-CE123</f>
        <v>146.11695297791394</v>
      </c>
      <c r="CI123" s="53"/>
      <c r="CJ123" s="14">
        <f>+CJ131*CJ93</f>
        <v>117.89600693040001</v>
      </c>
      <c r="CK123" s="14">
        <f>+CK131*CK93</f>
        <v>128.16299643785823</v>
      </c>
      <c r="CL123" s="14">
        <f>+CL131*CL93</f>
        <v>113.00268129257252</v>
      </c>
      <c r="CM123" s="167">
        <f>+X123-SUM(CJ123:CL123)</f>
        <v>181.57785779076931</v>
      </c>
      <c r="CN123" s="49">
        <f>+X123-SUM(CJ123:CM123)</f>
        <v>0</v>
      </c>
      <c r="CO123" s="14">
        <f>+CO131*CO93</f>
        <v>123.79080727692002</v>
      </c>
      <c r="CP123" s="14">
        <f>+CP131*CP93</f>
        <v>134.57114625975115</v>
      </c>
      <c r="CQ123" s="14">
        <f>+CQ131*CQ93</f>
        <v>114.13270810549825</v>
      </c>
      <c r="CR123" s="167">
        <f>+AA123-SUM(CO123:CQ123)</f>
        <v>168.14488080943062</v>
      </c>
      <c r="CS123" s="49">
        <f>+AA123-SUM(CO123:CR123)</f>
        <v>0</v>
      </c>
      <c r="CT123" s="14">
        <f>+CT131*CT93</f>
        <v>110.94142315893988</v>
      </c>
      <c r="CU123" s="14">
        <f>+CU131*CU93</f>
        <v>133.50249966456462</v>
      </c>
      <c r="CV123" s="14">
        <f>+CV131*CV93</f>
        <v>109.28093866409159</v>
      </c>
      <c r="CW123" s="167">
        <f>AB123-SUM(CT123:CV123)</f>
        <v>105.82340475276129</v>
      </c>
      <c r="CX123" s="49">
        <f>AB123-SUM(CT123:CW123)</f>
        <v>0</v>
      </c>
      <c r="CY123" s="14">
        <f>+CY131*CY93</f>
        <v>115.66319836411915</v>
      </c>
      <c r="CZ123" s="14">
        <f>+CZ131*CZ93</f>
        <v>150.43452401226554</v>
      </c>
      <c r="DA123" s="14">
        <f>+DA131*DA93</f>
        <v>124.03290485689085</v>
      </c>
      <c r="DB123" s="354">
        <f>AC123-SUM(CY123:DA123)</f>
        <v>120.18777872339575</v>
      </c>
      <c r="DC123" s="871">
        <f>AC123-SUM(CY123:DB123)</f>
        <v>0</v>
      </c>
      <c r="DD123" s="14">
        <f>+DD131*DD93</f>
        <v>111.37111823205305</v>
      </c>
      <c r="DE123" s="14">
        <f>+DE131*DE93</f>
        <v>109.9912028079488</v>
      </c>
      <c r="DF123" s="14">
        <f>+DF131*DF93</f>
        <v>101.18223384337037</v>
      </c>
      <c r="DG123" s="899">
        <f>AD123-SUM(DD123:DF123)</f>
        <v>99.616249222349779</v>
      </c>
      <c r="DH123" s="357">
        <f>AD123-SUM(DD123:DG123)</f>
        <v>0</v>
      </c>
      <c r="DI123" s="77">
        <f>191.6-132.3-DI125+10+34.9</f>
        <v>92.203250846649723</v>
      </c>
      <c r="DJ123" s="77">
        <f>264.2-158.6-DJ125</f>
        <v>92.482396487569261</v>
      </c>
      <c r="DK123" s="77">
        <f>190.7-139.6-DK125</f>
        <v>38.26</v>
      </c>
      <c r="DL123" s="356">
        <f>173.5-122.8-DL125+25.4+43.7</f>
        <v>73.188812714099953</v>
      </c>
      <c r="DM123" s="357">
        <f>AE123-SUM(DI123:DL123)</f>
        <v>0</v>
      </c>
      <c r="DN123" s="77">
        <f>54.1-52.2-DN125</f>
        <v>1.8999999999999986</v>
      </c>
      <c r="DO123" s="77">
        <f>100.6-95.3-DO125</f>
        <v>4.0603100628066464</v>
      </c>
      <c r="DP123" s="77">
        <f>130.7-93.1-DP125</f>
        <v>27.554899999999996</v>
      </c>
      <c r="DQ123" s="355">
        <f>AF123-SUM(DN123:DP123)</f>
        <v>95.644975868198131</v>
      </c>
      <c r="DR123" s="538">
        <f>AF123-SUM(DN123:DQ123)</f>
        <v>0</v>
      </c>
      <c r="DS123" s="14"/>
      <c r="DT123" s="14"/>
      <c r="DU123" s="14"/>
      <c r="DV123" s="14"/>
      <c r="DW123" s="538"/>
      <c r="DX123" s="906"/>
      <c r="DY123" s="862"/>
      <c r="DZ123" s="862"/>
      <c r="EA123" s="862"/>
      <c r="EB123" s="862"/>
      <c r="EH123" s="1048"/>
      <c r="EI123" s="1048"/>
      <c r="EJ123" s="1048"/>
      <c r="EK123" s="1048"/>
      <c r="EM123" s="1048"/>
      <c r="FL123" s="1048"/>
    </row>
    <row r="124" spans="1:168">
      <c r="A124" s="242" t="str">
        <f>+A117</f>
        <v>% Change</v>
      </c>
      <c r="B124" s="242"/>
      <c r="C124" s="242"/>
      <c r="D124" s="242"/>
      <c r="E124" s="39"/>
      <c r="F124" s="39"/>
      <c r="G124" s="242"/>
      <c r="H124" s="242"/>
      <c r="I124" s="242"/>
      <c r="J124" s="242"/>
      <c r="K124" s="39">
        <f>+K123/E123-1</f>
        <v>-1.1194029850746245E-2</v>
      </c>
      <c r="L124" s="39"/>
      <c r="M124" s="39"/>
      <c r="N124" s="39">
        <f>+N123/K123-1</f>
        <v>5.7528301886792033E-2</v>
      </c>
      <c r="O124" s="39"/>
      <c r="P124" s="39">
        <f>+P123/N123-1</f>
        <v>-0.21818444575282314</v>
      </c>
      <c r="Q124" s="39"/>
      <c r="R124" s="39">
        <f>+R123/N123-1</f>
        <v>-0.21818444575282314</v>
      </c>
      <c r="S124" s="39"/>
      <c r="T124" s="39">
        <f>+T123/R123-1</f>
        <v>0.11316243868664477</v>
      </c>
      <c r="U124" s="39">
        <f>+U123/T123-1</f>
        <v>2.6696466989426515E-2</v>
      </c>
      <c r="V124" s="39"/>
      <c r="W124" s="39"/>
      <c r="X124" s="39">
        <f>+X123/U123-1</f>
        <v>7.9530757981923106E-2</v>
      </c>
      <c r="Y124" s="39">
        <f>Y123/S123-1</f>
        <v>0.11316243868664477</v>
      </c>
      <c r="Z124" s="39">
        <f>Z123/Y123-1</f>
        <v>2.6696466989426515E-2</v>
      </c>
      <c r="AA124" s="39">
        <f>AA123/Z123-1</f>
        <v>7.9530757981923106E-2</v>
      </c>
      <c r="AB124" s="39">
        <f>AB123/AA123-1</f>
        <v>-0.14999138953751656</v>
      </c>
      <c r="AC124" s="39">
        <f t="shared" ref="AC124:AQ124" si="185">+AC123/AB123-1</f>
        <v>0.11047836200465522</v>
      </c>
      <c r="AD124" s="39">
        <f t="shared" si="185"/>
        <v>-0.17275019051230212</v>
      </c>
      <c r="AE124" s="39">
        <f t="shared" si="185"/>
        <v>-0.29852687135265699</v>
      </c>
      <c r="AF124" s="39">
        <f t="shared" si="185"/>
        <v>-0.56384614640953878</v>
      </c>
      <c r="AG124" s="39">
        <f t="shared" si="185"/>
        <v>1.2325680015512015</v>
      </c>
      <c r="AH124" s="39">
        <f t="shared" si="185"/>
        <v>1.0291484421152575E-2</v>
      </c>
      <c r="AI124" s="39">
        <f t="shared" si="185"/>
        <v>0.33835373084151121</v>
      </c>
      <c r="AJ124" s="39">
        <f t="shared" si="185"/>
        <v>2.7430677335171794E-3</v>
      </c>
      <c r="AK124" s="1110">
        <f t="shared" si="185"/>
        <v>7.3475158164226118E-2</v>
      </c>
      <c r="AL124" s="1110">
        <f t="shared" si="185"/>
        <v>-6.351981663580053E-2</v>
      </c>
      <c r="AM124" s="1110">
        <f>+AM123/AL123-1</f>
        <v>0.29214321073771843</v>
      </c>
      <c r="AN124" s="1110">
        <f>+AN123/AM123-1</f>
        <v>-0.18673079925697189</v>
      </c>
      <c r="AO124" s="1110">
        <f>+AO123/AN123-1</f>
        <v>0.26941314503343938</v>
      </c>
      <c r="AP124" s="39">
        <f t="shared" si="185"/>
        <v>-1.4512882137143746E-2</v>
      </c>
      <c r="AQ124" s="39">
        <f t="shared" si="185"/>
        <v>0.35377409109715363</v>
      </c>
      <c r="AR124" s="39">
        <f t="shared" ref="AR124:AY124" si="186">+AR123/AQ123-1</f>
        <v>-0.11964877931305273</v>
      </c>
      <c r="AS124" s="39">
        <f t="shared" si="186"/>
        <v>0.19000152748780152</v>
      </c>
      <c r="AT124" s="39">
        <f t="shared" si="186"/>
        <v>-0.19409887663497993</v>
      </c>
      <c r="AU124" s="39">
        <f t="shared" si="186"/>
        <v>0.18052070437478718</v>
      </c>
      <c r="AV124" s="39">
        <f t="shared" si="186"/>
        <v>-0.16350805523239642</v>
      </c>
      <c r="AW124" s="39">
        <f t="shared" si="186"/>
        <v>5.0407111308924613E-2</v>
      </c>
      <c r="AX124" s="39">
        <f t="shared" si="186"/>
        <v>-0.16559303189512209</v>
      </c>
      <c r="AY124" s="39">
        <f t="shared" si="186"/>
        <v>0.33183084001435392</v>
      </c>
      <c r="AZ124" s="359"/>
      <c r="BA124" s="359"/>
      <c r="BB124" s="359"/>
      <c r="BC124" s="359"/>
      <c r="BD124" s="359"/>
      <c r="BE124" s="421"/>
      <c r="BF124" s="242"/>
      <c r="BG124" s="242"/>
      <c r="BH124" s="242"/>
      <c r="BI124" s="242"/>
      <c r="BJ124" s="242"/>
      <c r="BK124" s="39">
        <f>+BK123/BF123-1</f>
        <v>0.46183684210526321</v>
      </c>
      <c r="BL124" s="39">
        <f>+BL123/BG123-1</f>
        <v>0.22936997857142871</v>
      </c>
      <c r="BM124" s="39">
        <f>+BM123/BH123-1</f>
        <v>0.49933025000000009</v>
      </c>
      <c r="BN124" s="39">
        <f>+BN123/BI123-1</f>
        <v>-0.4411513146341477</v>
      </c>
      <c r="BO124" s="39"/>
      <c r="BP124" s="39"/>
      <c r="BQ124" s="39"/>
      <c r="BR124" s="39"/>
      <c r="BS124" s="39"/>
      <c r="BT124" s="242"/>
      <c r="BU124" s="39">
        <f>+BU123/BK123-1</f>
        <v>-0.22719999999999996</v>
      </c>
      <c r="BV124" s="39">
        <f>+BV123/BL123-1</f>
        <v>-0.30509090909090908</v>
      </c>
      <c r="BW124" s="39">
        <f>+BW123/BM123-1</f>
        <v>-0.40905660377358499</v>
      </c>
      <c r="BX124" s="39">
        <f>+BX123/BN123-1</f>
        <v>0.14812522695124275</v>
      </c>
      <c r="BY124" s="95"/>
      <c r="BZ124" s="242">
        <f>+BZ123/BU123-1</f>
        <v>-7.999999999999996E-2</v>
      </c>
      <c r="CA124" s="242">
        <f>+CA123/BV123-1</f>
        <v>4.761904761904745E-3</v>
      </c>
      <c r="CB124" s="242">
        <f>+CB123/BW123-1</f>
        <v>0.30527777777777798</v>
      </c>
      <c r="CC124" s="242">
        <f>+CC123/BX123-1</f>
        <v>0.25286749068375425</v>
      </c>
      <c r="CD124" s="377"/>
      <c r="CE124" s="39">
        <f>+CE123/BZ123-1</f>
        <v>-1.2499999999999956E-2</v>
      </c>
      <c r="CF124" s="39">
        <f>+CF123/CA123-1</f>
        <v>7.6249999999999929E-2</v>
      </c>
      <c r="CG124" s="39">
        <f>+CG123/CB123-1</f>
        <v>0.22837837837837838</v>
      </c>
      <c r="CH124" s="39">
        <f>+CH123/CC123-1</f>
        <v>-0.11333796634955973</v>
      </c>
      <c r="CI124" s="53"/>
      <c r="CJ124" s="39">
        <f>+CJ123/BZ123-1</f>
        <v>0.19404761904761902</v>
      </c>
      <c r="CK124" s="58">
        <f>+CK123/CA123-1</f>
        <v>6.6500000000000004E-2</v>
      </c>
      <c r="CL124" s="39">
        <f>+CL123/CB123-1</f>
        <v>8.5675675675675578E-2</v>
      </c>
      <c r="CM124" s="39">
        <f>+CM123/CC123-1</f>
        <v>0.10184471667014128</v>
      </c>
      <c r="CN124" s="49"/>
      <c r="CO124" s="39">
        <f>+CO123/CE123-1</f>
        <v>0.26962025316455684</v>
      </c>
      <c r="CP124" s="58">
        <f>+CP123/CF123-1</f>
        <v>4.0487804878049038E-2</v>
      </c>
      <c r="CQ124" s="39">
        <f>+CQ123/CG123-1</f>
        <v>-0.10733333333333328</v>
      </c>
      <c r="CR124" s="39">
        <f>+CR123/CH123-1</f>
        <v>0.15075545569887616</v>
      </c>
      <c r="CS124" s="49"/>
      <c r="CT124" s="39">
        <f>+CT123/CO123-1</f>
        <v>-0.10379917863558374</v>
      </c>
      <c r="CU124" s="58">
        <f>+CU123/CP123-1</f>
        <v>-7.9411272392954091E-3</v>
      </c>
      <c r="CV124" s="39">
        <f>+CV123/CQ123-1</f>
        <v>-4.2509895033086775E-2</v>
      </c>
      <c r="CW124" s="39">
        <f>+CW123/CR123-1</f>
        <v>-0.37064153102170416</v>
      </c>
      <c r="CX124" s="49"/>
      <c r="CY124" s="39">
        <f>+CY123/CT123-1</f>
        <v>4.2560975609756024E-2</v>
      </c>
      <c r="CZ124" s="39">
        <f>+CZ123/CU123-1</f>
        <v>0.12682926829268326</v>
      </c>
      <c r="DA124" s="39">
        <f>+DA123/CV123-1</f>
        <v>0.13499121048130758</v>
      </c>
      <c r="DB124" s="39">
        <f>+DB123/CW123-1</f>
        <v>0.13573910236770792</v>
      </c>
      <c r="DC124" s="242"/>
      <c r="DD124" s="39">
        <f>+DD123/CY123-1</f>
        <v>-3.7108433734939772E-2</v>
      </c>
      <c r="DE124" s="39">
        <f>+DE123/CZ123-1</f>
        <v>-0.2688433487582893</v>
      </c>
      <c r="DF124" s="39">
        <f>+DF123/DA123-1</f>
        <v>-0.18423071716239803</v>
      </c>
      <c r="DG124" s="39">
        <f>+DG123/DB123-1</f>
        <v>-0.17116157499166362</v>
      </c>
      <c r="DH124" s="391"/>
      <c r="DI124" s="39">
        <f>+DI123/DD123-1</f>
        <v>-0.17210806257206757</v>
      </c>
      <c r="DJ124" s="39">
        <f>+DJ123/DE123-1</f>
        <v>-0.15918369718122782</v>
      </c>
      <c r="DK124" s="39">
        <f>+DK123/DF123-1</f>
        <v>-0.62187037638221843</v>
      </c>
      <c r="DL124" s="39">
        <f>+DL123/DG123-1</f>
        <v>-0.26529242683351906</v>
      </c>
      <c r="DM124" s="391"/>
      <c r="DN124" s="39">
        <f>+DN123/DI123-1</f>
        <v>-0.97939335129126814</v>
      </c>
      <c r="DO124" s="39">
        <f>+DO123/DJ123-1</f>
        <v>-0.95609640086097469</v>
      </c>
      <c r="DP124" s="39">
        <f>+DP123/DK123-1</f>
        <v>-0.27979874542603245</v>
      </c>
      <c r="DQ124" s="39">
        <f>+DQ123/DL123-1</f>
        <v>0.30682507778640278</v>
      </c>
      <c r="DR124" s="242"/>
      <c r="DS124" s="1048"/>
      <c r="DT124" s="1048"/>
      <c r="DU124" s="1048"/>
      <c r="DV124" s="1048"/>
      <c r="DW124" s="1048"/>
      <c r="DX124" s="906"/>
      <c r="DY124" s="862"/>
      <c r="DZ124" s="862"/>
      <c r="EA124" s="862"/>
      <c r="EB124" s="862"/>
      <c r="EH124" s="1048"/>
      <c r="EI124" s="1048"/>
      <c r="EJ124" s="1048"/>
      <c r="EK124" s="1048"/>
      <c r="EM124" s="1048"/>
      <c r="FL124" s="1048"/>
    </row>
    <row r="125" spans="1:168">
      <c r="A125" s="362" t="s">
        <v>1209</v>
      </c>
      <c r="B125" s="352"/>
      <c r="C125" s="14"/>
      <c r="D125" s="14">
        <f>+'CW Stations'!H51</f>
        <v>148.30000000000001</v>
      </c>
      <c r="E125" s="14">
        <f>+SUM(C125:D125)</f>
        <v>148.30000000000001</v>
      </c>
      <c r="F125" s="14">
        <f>E125</f>
        <v>148.30000000000001</v>
      </c>
      <c r="G125" s="14"/>
      <c r="H125" s="14"/>
      <c r="I125" s="14"/>
      <c r="J125" s="77">
        <v>151.5</v>
      </c>
      <c r="K125" s="14">
        <f>SUM(H125:J125)</f>
        <v>151.5</v>
      </c>
      <c r="L125" s="14">
        <f>K125</f>
        <v>151.5</v>
      </c>
      <c r="M125" s="14">
        <f>+N125</f>
        <v>120</v>
      </c>
      <c r="N125" s="14">
        <f>'CW Stations'!J51</f>
        <v>120</v>
      </c>
      <c r="O125" s="14">
        <f>N125</f>
        <v>120</v>
      </c>
      <c r="P125" s="14">
        <f>+R125</f>
        <v>113</v>
      </c>
      <c r="Q125" s="39"/>
      <c r="R125" s="14">
        <f>'CW Stations'!K51</f>
        <v>113</v>
      </c>
      <c r="S125" s="14">
        <f>R125</f>
        <v>113</v>
      </c>
      <c r="T125" s="14">
        <f>'CW Stations'!L51</f>
        <v>160.6644656106796</v>
      </c>
      <c r="U125" s="14">
        <f>'CW Stations'!M51</f>
        <v>152.98995997785431</v>
      </c>
      <c r="V125" s="14"/>
      <c r="W125" s="14"/>
      <c r="X125" s="14">
        <f>'CW Stations'!N51</f>
        <v>171.68541269534524</v>
      </c>
      <c r="Y125" s="14">
        <f>T125</f>
        <v>160.6644656106796</v>
      </c>
      <c r="Z125" s="14">
        <f>U125</f>
        <v>152.98995997785431</v>
      </c>
      <c r="AA125" s="14">
        <f>X125</f>
        <v>171.68541269534524</v>
      </c>
      <c r="AB125" s="14">
        <f>'CW Stations'!O51</f>
        <v>170.51610755688591</v>
      </c>
      <c r="AC125" s="14">
        <f>'CW Stations'!P51</f>
        <v>150.44527739874007</v>
      </c>
      <c r="AD125" s="14">
        <f>'CW Stations'!Q51</f>
        <v>119.43158821596319</v>
      </c>
      <c r="AE125" s="14">
        <f>'CW Stations'!R51</f>
        <v>84.565539951681046</v>
      </c>
      <c r="AF125" s="14">
        <f>SUM(DN125:DQ125)</f>
        <v>36.816156239273127</v>
      </c>
      <c r="AG125" s="167">
        <f t="shared" ref="AG125:AN125" si="187">AG127-AG123</f>
        <v>133.8744913019724</v>
      </c>
      <c r="AH125" s="167">
        <f t="shared" si="187"/>
        <v>134.31346070767404</v>
      </c>
      <c r="AI125" s="167">
        <f t="shared" si="187"/>
        <v>134.38203924496941</v>
      </c>
      <c r="AJ125" s="167">
        <f t="shared" si="187"/>
        <v>79.652522729458042</v>
      </c>
      <c r="AK125" s="167">
        <f>AK127-AK123</f>
        <v>135.39612549993649</v>
      </c>
      <c r="AL125" s="1693">
        <f t="shared" si="187"/>
        <v>144.46500345134928</v>
      </c>
      <c r="AM125" s="1693">
        <f>AM127-AM123</f>
        <v>154.4424976273383</v>
      </c>
      <c r="AN125" s="1693">
        <f t="shared" si="187"/>
        <v>140.281296376932</v>
      </c>
      <c r="AO125" s="1693">
        <f t="shared" ref="AO125" si="188">AO127-AO123</f>
        <v>155.28297263182935</v>
      </c>
      <c r="AP125" s="14">
        <f>'CW Stations'!AC51</f>
        <v>152.56637936877507</v>
      </c>
      <c r="AQ125" s="14">
        <f>'CW Stations'!AD51</f>
        <v>149.86182311237377</v>
      </c>
      <c r="AR125" s="14">
        <f>'CW Stations'!AE51</f>
        <v>147.16898681652123</v>
      </c>
      <c r="AS125" s="14">
        <f>'CW Stations'!AF51</f>
        <v>144.74521555677165</v>
      </c>
      <c r="AT125" s="14">
        <f>'CW Stations'!AG51</f>
        <v>142.59029400721823</v>
      </c>
      <c r="AU125" s="14">
        <f>'CW Stations'!AH51</f>
        <v>140.70332358377524</v>
      </c>
      <c r="AV125" s="14">
        <f>'CW Stations'!AI51</f>
        <v>138.83061218973288</v>
      </c>
      <c r="AW125" s="14">
        <f>'CW Stations'!AJ51</f>
        <v>136.97197112804892</v>
      </c>
      <c r="AX125" s="14">
        <f>'CW Stations'!AK51</f>
        <v>135.12721312758393</v>
      </c>
      <c r="AY125" s="14">
        <f>'CW Stations'!AL51</f>
        <v>133.29615232423177</v>
      </c>
      <c r="AZ125" s="354"/>
      <c r="BA125" s="354"/>
      <c r="BB125" s="354"/>
      <c r="BC125" s="354"/>
      <c r="BD125" s="354"/>
      <c r="BE125" s="359"/>
      <c r="BF125" s="14">
        <v>26.6</v>
      </c>
      <c r="BG125" s="14">
        <v>38.9</v>
      </c>
      <c r="BH125" s="14">
        <v>32.200000000000003</v>
      </c>
      <c r="BI125" s="14">
        <f>+K125-SUM(BF125:BH125)</f>
        <v>53.8</v>
      </c>
      <c r="BJ125" s="14"/>
      <c r="BK125" s="14">
        <v>28.7</v>
      </c>
      <c r="BL125" s="14">
        <f>+BL132*BL95</f>
        <v>41.239799999999995</v>
      </c>
      <c r="BM125" s="14">
        <f>+BM132*BM95</f>
        <v>35.200200000000002</v>
      </c>
      <c r="BN125" s="14">
        <f>+N125-SUM(BK125:BM125)</f>
        <v>14.860000000000014</v>
      </c>
      <c r="BO125" s="14"/>
      <c r="BP125" s="14">
        <f>+BK125</f>
        <v>28.7</v>
      </c>
      <c r="BQ125" s="14">
        <f>+BL125</f>
        <v>41.239799999999995</v>
      </c>
      <c r="BR125" s="14">
        <f>+BM125</f>
        <v>35.200200000000002</v>
      </c>
      <c r="BS125" s="14">
        <f>+N125-SUM(BP125:BR125)</f>
        <v>14.860000000000014</v>
      </c>
      <c r="BT125" s="14"/>
      <c r="BU125" s="14">
        <f>+'CW Stations'!BJ51</f>
        <v>30.228380000000005</v>
      </c>
      <c r="BV125" s="14">
        <f>+'CW Stations'!BK51</f>
        <v>35.443317</v>
      </c>
      <c r="BW125" s="14">
        <f>+'CW Stations'!BL51</f>
        <v>9.5247600000000006</v>
      </c>
      <c r="BX125" s="14">
        <f>+P125-SUM(BU125:BW125)</f>
        <v>37.803542999999991</v>
      </c>
      <c r="BY125" s="95"/>
      <c r="BZ125" s="14">
        <f>+'CW Stations'!BO51</f>
        <v>24.538332</v>
      </c>
      <c r="CA125" s="14">
        <f>+'CW Stations'!BP51</f>
        <v>39.029346719999999</v>
      </c>
      <c r="CB125" s="14">
        <f>+'CW Stations'!BQ51</f>
        <v>32.621803999999997</v>
      </c>
      <c r="CC125" s="14">
        <f>+T125-SUM(BZ125:CB125)</f>
        <v>64.474982890679598</v>
      </c>
      <c r="CD125" s="377">
        <f>+T125-SUM(BZ125:CC125)</f>
        <v>0</v>
      </c>
      <c r="CE125" s="14">
        <f>+CE132*CE95</f>
        <v>43.501744103199989</v>
      </c>
      <c r="CF125" s="14">
        <f>+CF132*CF95</f>
        <v>45.666713347245896</v>
      </c>
      <c r="CG125" s="14">
        <f>+CG132*CG95</f>
        <v>32.7421228665375</v>
      </c>
      <c r="CH125" s="14">
        <f>+U125-CG125-CF125-CE125</f>
        <v>31.079379660870934</v>
      </c>
      <c r="CI125" s="53"/>
      <c r="CJ125" s="14">
        <f>+CJ132*CJ95</f>
        <v>35.213720411520057</v>
      </c>
      <c r="CK125" s="14">
        <f>+CK132*CK95</f>
        <v>41.070881779200008</v>
      </c>
      <c r="CL125" s="14">
        <f>+CL132*CL95</f>
        <v>32.256439795199995</v>
      </c>
      <c r="CM125" s="167">
        <f>+X125-SUM(CJ125:CL125)</f>
        <v>63.144370709425175</v>
      </c>
      <c r="CN125" s="49">
        <f>+X125-SUM(CJ125:CM125)</f>
        <v>0</v>
      </c>
      <c r="CO125" s="14">
        <f>+CO132*CO95</f>
        <v>52.146677981663991</v>
      </c>
      <c r="CP125" s="14">
        <f>+CP132*CP95</f>
        <v>48.055433737717223</v>
      </c>
      <c r="CQ125" s="14">
        <f>+CQ132*CQ95</f>
        <v>32.37541109043228</v>
      </c>
      <c r="CR125" s="167">
        <f>+AA125-SUM(CO125:CQ125)</f>
        <v>39.107889885531733</v>
      </c>
      <c r="CS125" s="49">
        <f>+AA125-SUM(CO125:CR125)</f>
        <v>0</v>
      </c>
      <c r="CT125" s="14">
        <f>+CT132*CT95</f>
        <v>40.283308740835437</v>
      </c>
      <c r="CU125" s="14">
        <f>+CU132*CU95</f>
        <v>38.640362575156573</v>
      </c>
      <c r="CV125" s="14">
        <f>+CV132*CV95</f>
        <v>34.061630418058961</v>
      </c>
      <c r="CW125" s="167">
        <f>AB125-SUM(CT125:CV125)</f>
        <v>57.530805822834935</v>
      </c>
      <c r="CX125" s="49">
        <f>AB125-SUM(CT125:CW125)</f>
        <v>0</v>
      </c>
      <c r="CY125" s="14">
        <f>+CY132*CY95</f>
        <v>42.834584961088339</v>
      </c>
      <c r="CZ125" s="14">
        <f>+CZ132*CZ95</f>
        <v>44.436416961430048</v>
      </c>
      <c r="DA125" s="14">
        <f>+DA132*DA95</f>
        <v>34.061630418058961</v>
      </c>
      <c r="DB125" s="354">
        <f>AC125-SUM(CY125:DA125)</f>
        <v>29.112645058162713</v>
      </c>
      <c r="DC125" s="871">
        <f>AC125-SUM(CY125:DB125)</f>
        <v>0</v>
      </c>
      <c r="DD125" s="14">
        <f>+DD132*DD95</f>
        <v>38.161721147151439</v>
      </c>
      <c r="DE125" s="14">
        <f>+DE132*DE95</f>
        <v>34.48265956206972</v>
      </c>
      <c r="DF125" s="14">
        <f>+DF132*DF95</f>
        <v>29.075007724855126</v>
      </c>
      <c r="DG125" s="899">
        <f>AD125-SUM(DD125:DF125)</f>
        <v>17.712199781886895</v>
      </c>
      <c r="DH125" s="357">
        <f>AD125-SUM(DD125:DG125)</f>
        <v>0</v>
      </c>
      <c r="DI125" s="14">
        <f>+DI132*DI95</f>
        <v>11.996749153350258</v>
      </c>
      <c r="DJ125" s="14">
        <f>+DJ132*DJ95</f>
        <v>13.117603512430735</v>
      </c>
      <c r="DK125" s="14">
        <f>+DK132*DK95</f>
        <v>12.839999999999995</v>
      </c>
      <c r="DL125" s="355">
        <f>AE125-SUM(DI125:DK125)</f>
        <v>46.611187285900058</v>
      </c>
      <c r="DM125" s="357">
        <f>AE125-SUM(DI125:DL125)</f>
        <v>0</v>
      </c>
      <c r="DN125" s="14">
        <f>+DN132*DN95</f>
        <v>0</v>
      </c>
      <c r="DO125" s="14">
        <f>+DO132*DO95</f>
        <v>1.2396899371933505</v>
      </c>
      <c r="DP125" s="14">
        <f>DP95*DP132</f>
        <v>10.045099999999998</v>
      </c>
      <c r="DQ125" s="355">
        <f>DQ127-DQ123</f>
        <v>25.531366302079775</v>
      </c>
      <c r="DR125" s="538">
        <f>AF125-SUM(DN125:DQ125)</f>
        <v>0</v>
      </c>
      <c r="DS125" s="1048"/>
      <c r="DT125" s="1048"/>
      <c r="DU125" s="1048"/>
      <c r="DV125" s="1048"/>
      <c r="DW125" s="538"/>
      <c r="DX125" s="906"/>
      <c r="DY125" s="862"/>
      <c r="DZ125" s="862"/>
      <c r="EA125" s="862"/>
      <c r="EB125" s="862"/>
      <c r="EH125" s="1048"/>
      <c r="EI125" s="1048"/>
      <c r="EJ125" s="1048"/>
      <c r="EK125" s="1048"/>
      <c r="EM125" s="1048"/>
      <c r="FL125" s="1048"/>
    </row>
    <row r="126" spans="1:168">
      <c r="A126" s="242" t="str">
        <f>+A124</f>
        <v>% Change</v>
      </c>
      <c r="B126" s="242"/>
      <c r="C126" s="242"/>
      <c r="D126" s="242"/>
      <c r="E126" s="39"/>
      <c r="F126" s="39"/>
      <c r="G126" s="242"/>
      <c r="H126" s="242"/>
      <c r="I126" s="242"/>
      <c r="J126" s="242"/>
      <c r="K126" s="39">
        <f>+K125/E125-1</f>
        <v>2.1577882670262838E-2</v>
      </c>
      <c r="L126" s="39"/>
      <c r="M126" s="39"/>
      <c r="N126" s="410">
        <f>+N125/K125-1</f>
        <v>-0.20792079207920788</v>
      </c>
      <c r="O126" s="39"/>
      <c r="P126" s="410">
        <f>+P125/N125-1</f>
        <v>-5.8333333333333348E-2</v>
      </c>
      <c r="Q126" s="410"/>
      <c r="R126" s="410">
        <f>+R125/N125-1</f>
        <v>-5.8333333333333348E-2</v>
      </c>
      <c r="S126" s="39"/>
      <c r="T126" s="410">
        <f>+T125/R125-1</f>
        <v>0.42180943018300532</v>
      </c>
      <c r="U126" s="410">
        <f>+U125/T125-1</f>
        <v>-4.7767286958287802E-2</v>
      </c>
      <c r="V126" s="410"/>
      <c r="W126" s="410"/>
      <c r="X126" s="410">
        <f>+X125/U125-1</f>
        <v>0.12220052034915985</v>
      </c>
      <c r="Y126" s="366">
        <f>Y125/S125-1</f>
        <v>0.42180943018300532</v>
      </c>
      <c r="Z126" s="366">
        <f>Z125/Y125-1</f>
        <v>-4.7767286958287802E-2</v>
      </c>
      <c r="AA126" s="366">
        <f>AA125/Z125-1</f>
        <v>0.12220052034915985</v>
      </c>
      <c r="AB126" s="366">
        <f>AB125/AA125-1</f>
        <v>-6.8107425092325258E-3</v>
      </c>
      <c r="AC126" s="366">
        <f t="shared" ref="AC126:AQ126" si="189">+AC125/AB125-1</f>
        <v>-0.1177063589224262</v>
      </c>
      <c r="AD126" s="366">
        <f t="shared" si="189"/>
        <v>-0.20614598024621422</v>
      </c>
      <c r="AE126" s="366">
        <f t="shared" si="189"/>
        <v>-0.29193322122816712</v>
      </c>
      <c r="AF126" s="366">
        <f t="shared" si="189"/>
        <v>-0.56464351483702346</v>
      </c>
      <c r="AG126" s="366">
        <f t="shared" si="189"/>
        <v>2.6362973481507455</v>
      </c>
      <c r="AH126" s="366">
        <f t="shared" si="189"/>
        <v>3.2789622685585051E-3</v>
      </c>
      <c r="AI126" s="366">
        <f t="shared" si="189"/>
        <v>5.1058573678353092E-4</v>
      </c>
      <c r="AJ126" s="366">
        <f t="shared" si="189"/>
        <v>-0.4072680904606838</v>
      </c>
      <c r="AK126" s="366">
        <f t="shared" si="189"/>
        <v>0.69983474295990744</v>
      </c>
      <c r="AL126" s="1783">
        <f t="shared" si="189"/>
        <v>6.6980335795628454E-2</v>
      </c>
      <c r="AM126" s="1783">
        <f t="shared" si="189"/>
        <v>6.9065129530482494E-2</v>
      </c>
      <c r="AN126" s="1783">
        <f t="shared" si="189"/>
        <v>-9.1692386926923053E-2</v>
      </c>
      <c r="AO126" s="1783">
        <f t="shared" si="189"/>
        <v>0.10693996022526231</v>
      </c>
      <c r="AP126" s="366">
        <f t="shared" si="189"/>
        <v>-1.7494469722029504E-2</v>
      </c>
      <c r="AQ126" s="366">
        <f t="shared" si="189"/>
        <v>-1.7727078977629818E-2</v>
      </c>
      <c r="AR126" s="366">
        <f t="shared" ref="AR126:AY126" si="190">+AR125/AQ125-1</f>
        <v>-1.7968794452962955E-2</v>
      </c>
      <c r="AS126" s="366">
        <f t="shared" si="190"/>
        <v>-1.6469307237749309E-2</v>
      </c>
      <c r="AT126" s="366">
        <f t="shared" si="190"/>
        <v>-1.4887687591360943E-2</v>
      </c>
      <c r="AU126" s="366">
        <f t="shared" si="190"/>
        <v>-1.3233512397046177E-2</v>
      </c>
      <c r="AV126" s="366">
        <f t="shared" si="190"/>
        <v>-1.3309645759201683E-2</v>
      </c>
      <c r="AW126" s="366">
        <f t="shared" si="190"/>
        <v>-1.3387833074911759E-2</v>
      </c>
      <c r="AX126" s="366">
        <f t="shared" si="190"/>
        <v>-1.3468142316068521E-2</v>
      </c>
      <c r="AY126" s="366">
        <f t="shared" si="190"/>
        <v>-1.3550644322275152E-2</v>
      </c>
      <c r="AZ126" s="359"/>
      <c r="BA126" s="359"/>
      <c r="BB126" s="359"/>
      <c r="BC126" s="359"/>
      <c r="BD126" s="359"/>
      <c r="BE126" s="421"/>
      <c r="BF126" s="242"/>
      <c r="BG126" s="242"/>
      <c r="BH126" s="242"/>
      <c r="BI126" s="242"/>
      <c r="BJ126" s="242"/>
      <c r="BK126" s="39">
        <f>+BK125/BF125-1</f>
        <v>7.8947368421052655E-2</v>
      </c>
      <c r="BL126" s="39">
        <f>+BL125/BG125-1</f>
        <v>6.0149100257069321E-2</v>
      </c>
      <c r="BM126" s="39">
        <f>+BM125/BH125-1</f>
        <v>9.3173913043478329E-2</v>
      </c>
      <c r="BN126" s="39">
        <f>+BN125/BI125-1</f>
        <v>-0.72379182156133803</v>
      </c>
      <c r="BO126" s="39"/>
      <c r="BP126" s="39"/>
      <c r="BQ126" s="39"/>
      <c r="BR126" s="39"/>
      <c r="BS126" s="39"/>
      <c r="BT126" s="242"/>
      <c r="BU126" s="39">
        <f>+BU125/BK125-1</f>
        <v>5.325365853658548E-2</v>
      </c>
      <c r="BV126" s="39">
        <f>+BV125/BL125-1</f>
        <v>-0.14055555555555543</v>
      </c>
      <c r="BW126" s="39">
        <f>+BW125/BM125-1</f>
        <v>-0.72941176470588243</v>
      </c>
      <c r="BX126" s="39">
        <f>+BX125/BN125-1</f>
        <v>1.5439800134589472</v>
      </c>
      <c r="BY126" s="95"/>
      <c r="BZ126" s="242">
        <f>+BZ125/BU125-1</f>
        <v>-0.18823529411764717</v>
      </c>
      <c r="CA126" s="242">
        <f>+CA125/BV125-1</f>
        <v>0.1011764705882352</v>
      </c>
      <c r="CB126" s="242">
        <f>+CB125/BW125-1</f>
        <v>2.4249476102284988</v>
      </c>
      <c r="CC126" s="242">
        <f>+CC125/BX125-1</f>
        <v>0.7055275186952612</v>
      </c>
      <c r="CD126" s="377"/>
      <c r="CE126" s="39">
        <f>+CE125/BZ125-1</f>
        <v>0.77280770767955986</v>
      </c>
      <c r="CF126" s="39">
        <f>+CF125/CA125-1</f>
        <v>0.17006092043668963</v>
      </c>
      <c r="CG126" s="39">
        <f>+CG125/CB125-1</f>
        <v>3.6882959181994135E-3</v>
      </c>
      <c r="CH126" s="39">
        <f>+CH125/CC125-1</f>
        <v>-0.51796218831779295</v>
      </c>
      <c r="CI126" s="53"/>
      <c r="CJ126" s="366">
        <f>+CJ125/BZ125-1</f>
        <v>0.43504947326982357</v>
      </c>
      <c r="CK126" s="366">
        <f>+CK125/CA125-1</f>
        <v>5.230769230769261E-2</v>
      </c>
      <c r="CL126" s="366">
        <f>+CL125/CB125-1</f>
        <v>-1.1200000000000099E-2</v>
      </c>
      <c r="CM126" s="366">
        <f>+CM125/CC125-1</f>
        <v>-2.0637650784809614E-2</v>
      </c>
      <c r="CN126" s="49"/>
      <c r="CO126" s="366">
        <f>+CO125/CE125-1</f>
        <v>0.19872614435769442</v>
      </c>
      <c r="CP126" s="366">
        <f>+CP125/CF125-1</f>
        <v>5.2307692307692388E-2</v>
      </c>
      <c r="CQ126" s="366">
        <f>+CQ125/CG125-1</f>
        <v>-1.1199999999999988E-2</v>
      </c>
      <c r="CR126" s="366">
        <f>+CR125/CH125-1</f>
        <v>0.25832273077086954</v>
      </c>
      <c r="CS126" s="49"/>
      <c r="CT126" s="366">
        <f>+CT125/CO125-1</f>
        <v>-0.22749999999999992</v>
      </c>
      <c r="CU126" s="366">
        <f>+CU125/CP125-1</f>
        <v>-0.195921052631579</v>
      </c>
      <c r="CV126" s="366">
        <f>+CV125/CQ125-1</f>
        <v>5.2083333333333259E-2</v>
      </c>
      <c r="CW126" s="366">
        <f>+CW125/CR125-1</f>
        <v>0.47107926280929058</v>
      </c>
      <c r="CX126" s="49"/>
      <c r="CY126" s="366">
        <f>+CY125/CT125-1</f>
        <v>6.333333333333302E-2</v>
      </c>
      <c r="CZ126" s="366">
        <f>+CZ125/CU125-1</f>
        <v>0.14999999999999969</v>
      </c>
      <c r="DA126" s="366">
        <f>+DA125/CV125-1</f>
        <v>0</v>
      </c>
      <c r="DB126" s="366">
        <f>+DB125/CW125-1</f>
        <v>-0.49396423982284254</v>
      </c>
      <c r="DC126" s="242"/>
      <c r="DD126" s="366">
        <f>+DD125/CY125-1</f>
        <v>-0.10909090909090891</v>
      </c>
      <c r="DE126" s="366">
        <f>+DE125/CZ125-1</f>
        <v>-0.22399999999999998</v>
      </c>
      <c r="DF126" s="366">
        <f>+DF125/DA125-1</f>
        <v>-0.14640000000000009</v>
      </c>
      <c r="DG126" s="366">
        <f>+DG125/DB125-1</f>
        <v>-0.39159771479023742</v>
      </c>
      <c r="DH126" s="391"/>
      <c r="DI126" s="366">
        <f>+DI125/DD125-1</f>
        <v>-0.68563396008553068</v>
      </c>
      <c r="DJ126" s="366">
        <f>+DJ125/DE125-1</f>
        <v>-0.61958840533112902</v>
      </c>
      <c r="DK126" s="366">
        <f>+DK125/DF125-1</f>
        <v>-0.55838360830344458</v>
      </c>
      <c r="DL126" s="366">
        <f>+DL125/DG125-1</f>
        <v>1.6315865821232585</v>
      </c>
      <c r="DM126" s="391"/>
      <c r="DN126" s="366">
        <f>+DN125/DI125-1</f>
        <v>-1</v>
      </c>
      <c r="DO126" s="366">
        <f>+DO125/DJ125-1</f>
        <v>-0.90549417536377175</v>
      </c>
      <c r="DP126" s="366">
        <f>+DP125/DK125-1</f>
        <v>-0.21767133956386275</v>
      </c>
      <c r="DQ126" s="366">
        <f>+DQ125/DL125-1</f>
        <v>-0.45224810203873433</v>
      </c>
      <c r="DR126" s="242"/>
      <c r="DS126" s="1319"/>
      <c r="DT126" s="1319"/>
      <c r="DU126" s="1319"/>
      <c r="DV126" s="1319"/>
      <c r="DW126" s="1048"/>
      <c r="DX126" s="906"/>
      <c r="DY126" s="862"/>
      <c r="DZ126" s="862"/>
      <c r="EA126" s="862"/>
      <c r="EB126" s="862"/>
      <c r="EH126" s="1048"/>
      <c r="EI126" s="1048"/>
      <c r="EJ126" s="1048"/>
      <c r="EK126" s="1048"/>
      <c r="EM126" s="1048"/>
      <c r="FL126" s="1048"/>
    </row>
    <row r="127" spans="1:168">
      <c r="A127" s="412" t="s">
        <v>1075</v>
      </c>
      <c r="B127" s="242"/>
      <c r="C127" s="14"/>
      <c r="D127" s="14"/>
      <c r="E127" s="14">
        <f>E123+E125</f>
        <v>684.3</v>
      </c>
      <c r="F127" s="14">
        <f>F123+F125</f>
        <v>684.3</v>
      </c>
      <c r="G127" s="242"/>
      <c r="H127" s="242"/>
      <c r="I127" s="242"/>
      <c r="J127" s="14"/>
      <c r="K127" s="14">
        <f t="shared" ref="K127:P127" si="191">K123+K125</f>
        <v>681.5</v>
      </c>
      <c r="L127" s="14">
        <f t="shared" si="191"/>
        <v>681.5</v>
      </c>
      <c r="M127" s="14">
        <f t="shared" si="191"/>
        <v>680.48999999999978</v>
      </c>
      <c r="N127" s="14">
        <f t="shared" si="191"/>
        <v>680.48999999999978</v>
      </c>
      <c r="O127" s="14">
        <f t="shared" si="191"/>
        <v>680.48999999999978</v>
      </c>
      <c r="P127" s="14">
        <f t="shared" si="191"/>
        <v>551.19979999999998</v>
      </c>
      <c r="Q127" s="39"/>
      <c r="R127" s="14">
        <f>R123+R125</f>
        <v>551.19979999999998</v>
      </c>
      <c r="S127" s="14">
        <f>S123+S125</f>
        <v>551.19979999999998</v>
      </c>
      <c r="T127" s="14">
        <f>T123+T125</f>
        <v>648.45202361067959</v>
      </c>
      <c r="U127" s="14">
        <f>U123+U125</f>
        <v>653.79972241785435</v>
      </c>
      <c r="V127" s="14"/>
      <c r="W127" s="14"/>
      <c r="X127" s="14">
        <f t="shared" ref="X127:AF127" si="192">X123+X125</f>
        <v>712.32495514694529</v>
      </c>
      <c r="Y127" s="14">
        <f t="shared" si="192"/>
        <v>648.45202361067959</v>
      </c>
      <c r="Z127" s="14">
        <f t="shared" si="192"/>
        <v>653.79972241785435</v>
      </c>
      <c r="AA127" s="14">
        <f t="shared" si="192"/>
        <v>712.32495514694529</v>
      </c>
      <c r="AB127" s="14">
        <f t="shared" si="192"/>
        <v>630.06437379724332</v>
      </c>
      <c r="AC127" s="14">
        <f t="shared" si="192"/>
        <v>660.76368335541133</v>
      </c>
      <c r="AD127" s="14">
        <f t="shared" si="192"/>
        <v>541.59239232168522</v>
      </c>
      <c r="AE127" s="14">
        <f t="shared" si="192"/>
        <v>380.7</v>
      </c>
      <c r="AF127" s="14">
        <f t="shared" si="192"/>
        <v>165.97634217027792</v>
      </c>
      <c r="AG127" s="14">
        <f>SUM(DS127:DV127)</f>
        <v>422.23338948593732</v>
      </c>
      <c r="AH127" s="129">
        <f>+Drivers!K149</f>
        <v>425.64</v>
      </c>
      <c r="AI127" s="129">
        <f>+Drivers!L149</f>
        <v>524.28</v>
      </c>
      <c r="AJ127" s="129">
        <f>Drivers!M149</f>
        <v>470.61999999999989</v>
      </c>
      <c r="AK127" s="129">
        <f>Drivers!N149</f>
        <v>555.08999999999992</v>
      </c>
      <c r="AL127" s="1922">
        <f>Drivers!Q149</f>
        <v>537.5</v>
      </c>
      <c r="AM127" s="1922">
        <f>Drivers!R149</f>
        <v>662.3</v>
      </c>
      <c r="AN127" s="1922">
        <f>Drivers!T149</f>
        <v>553.30616142289705</v>
      </c>
      <c r="AO127" s="1922">
        <f>Drivers!U149</f>
        <v>679.58216554683975</v>
      </c>
      <c r="AP127" s="14">
        <f t="shared" ref="AP127:AW127" si="193">AP123+AP125</f>
        <v>669.25647989241031</v>
      </c>
      <c r="AQ127" s="14">
        <f t="shared" si="193"/>
        <v>849.34349432765498</v>
      </c>
      <c r="AR127" s="14">
        <f t="shared" si="193"/>
        <v>762.95852991904007</v>
      </c>
      <c r="AS127" s="14">
        <f t="shared" si="193"/>
        <v>877.53571245978446</v>
      </c>
      <c r="AT127" s="14">
        <f t="shared" si="193"/>
        <v>733.14697865256744</v>
      </c>
      <c r="AU127" s="14">
        <f t="shared" si="193"/>
        <v>837.86771691454203</v>
      </c>
      <c r="AV127" s="14">
        <f t="shared" si="193"/>
        <v>722.00301138971247</v>
      </c>
      <c r="AW127" s="14">
        <f t="shared" si="193"/>
        <v>749.54040636679463</v>
      </c>
      <c r="AX127" s="14">
        <f>AX123+AX125</f>
        <v>646.25858393189492</v>
      </c>
      <c r="AY127" s="14">
        <f>AY123+AY125</f>
        <v>814.03667526022559</v>
      </c>
      <c r="AZ127" s="354"/>
      <c r="BA127" s="354"/>
      <c r="BB127" s="354"/>
      <c r="BC127" s="354"/>
      <c r="BD127" s="354"/>
      <c r="BE127" s="421"/>
      <c r="BF127" s="14">
        <f>BF123+BF125</f>
        <v>121.6</v>
      </c>
      <c r="BG127" s="14">
        <f>BG123+BG125</f>
        <v>178.9</v>
      </c>
      <c r="BH127" s="14">
        <f>BH123+BH125</f>
        <v>122.2</v>
      </c>
      <c r="BI127" s="14">
        <f>BI123+BI125</f>
        <v>258.8</v>
      </c>
      <c r="BJ127" s="242"/>
      <c r="BK127" s="14">
        <f>BK123+BK125</f>
        <v>167.5745</v>
      </c>
      <c r="BL127" s="14">
        <f>BL123+BL125</f>
        <v>213.35159700000003</v>
      </c>
      <c r="BM127" s="14">
        <f>BM123+BM125</f>
        <v>170.13992250000001</v>
      </c>
      <c r="BN127" s="14">
        <f>BN123+BN125</f>
        <v>129.42398049999974</v>
      </c>
      <c r="BO127" s="39"/>
      <c r="BP127" s="14">
        <f>BP123+BP125</f>
        <v>167.5745</v>
      </c>
      <c r="BQ127" s="14">
        <f>BQ123+BQ125</f>
        <v>213.35159700000003</v>
      </c>
      <c r="BR127" s="14">
        <f>BR123+BR125</f>
        <v>170.13992250000001</v>
      </c>
      <c r="BS127" s="14">
        <f>BS123+BS125</f>
        <v>129.42398049999974</v>
      </c>
      <c r="BT127" s="242"/>
      <c r="BU127" s="14">
        <f>BU123+BU125</f>
        <v>137.55059360000001</v>
      </c>
      <c r="BV127" s="14">
        <f>BV123+BV125</f>
        <v>155.04536938800001</v>
      </c>
      <c r="BW127" s="14">
        <f>BW123+BW125</f>
        <v>89.266497900000005</v>
      </c>
      <c r="BX127" s="14">
        <f>BX123+BX125</f>
        <v>169.33733911199994</v>
      </c>
      <c r="BY127" s="95"/>
      <c r="BZ127" s="14">
        <f>BZ123+BZ125</f>
        <v>123.27476851200001</v>
      </c>
      <c r="CA127" s="14">
        <f>CA123+CA125</f>
        <v>159.20093269080002</v>
      </c>
      <c r="CB127" s="14">
        <f>CB123+CB125</f>
        <v>136.70692244225</v>
      </c>
      <c r="CC127" s="14">
        <f>CC123+CC125</f>
        <v>229.26939996562953</v>
      </c>
      <c r="CD127" s="377"/>
      <c r="CE127" s="14">
        <f>CE123+CE125</f>
        <v>141.00397515880002</v>
      </c>
      <c r="CF127" s="14">
        <f>CF123+CF125</f>
        <v>175.0013827483194</v>
      </c>
      <c r="CG127" s="14">
        <f>CG123+CG125</f>
        <v>160.59803187195001</v>
      </c>
      <c r="CH127" s="14">
        <f>CH123+CH125</f>
        <v>177.19633263878487</v>
      </c>
      <c r="CI127" s="53"/>
      <c r="CJ127" s="14">
        <f>CJ123+CJ125</f>
        <v>153.10972734192006</v>
      </c>
      <c r="CK127" s="14">
        <f>CK123+CK125</f>
        <v>169.23387821705825</v>
      </c>
      <c r="CL127" s="14">
        <f>CL123+CL125</f>
        <v>145.25912108777251</v>
      </c>
      <c r="CM127" s="14">
        <f>CM123+CM125</f>
        <v>244.72222850019449</v>
      </c>
      <c r="CN127" s="49">
        <f>+X127-SUM(CJ127:CM127)</f>
        <v>0</v>
      </c>
      <c r="CO127" s="14">
        <f>CO123+CO125</f>
        <v>175.93748525858402</v>
      </c>
      <c r="CP127" s="14">
        <f>CP123+CP125</f>
        <v>182.62657999746835</v>
      </c>
      <c r="CQ127" s="14">
        <f>CQ123+CQ125</f>
        <v>146.50811919593053</v>
      </c>
      <c r="CR127" s="14">
        <f>CR123+CR125</f>
        <v>207.25277069496235</v>
      </c>
      <c r="CS127" s="49">
        <f>+AA127-SUM(CO127:CR127)</f>
        <v>0</v>
      </c>
      <c r="CT127" s="14">
        <f>CT123+CT125</f>
        <v>151.22473189977532</v>
      </c>
      <c r="CU127" s="14">
        <f>CU123+CU125</f>
        <v>172.14286223972118</v>
      </c>
      <c r="CV127" s="14">
        <f>CV123+CV125</f>
        <v>143.34256908215056</v>
      </c>
      <c r="CW127" s="14">
        <f>CW123+CW125</f>
        <v>163.35421057559623</v>
      </c>
      <c r="CX127" s="49">
        <f>AB127-SUM(CT127:CW127)</f>
        <v>0</v>
      </c>
      <c r="CY127" s="14">
        <f>CY123+CY125</f>
        <v>158.49778332520748</v>
      </c>
      <c r="CZ127" s="14">
        <f>CZ123+CZ125</f>
        <v>194.87094097369558</v>
      </c>
      <c r="DA127" s="14">
        <f>DA123+DA125</f>
        <v>158.09453527494981</v>
      </c>
      <c r="DB127" s="14">
        <f>DB123+DB125</f>
        <v>149.30042378155846</v>
      </c>
      <c r="DC127" s="871">
        <f>AC127-SUM(CY127:DB127)</f>
        <v>0</v>
      </c>
      <c r="DD127" s="14">
        <f>DD123+DD125</f>
        <v>149.53283937920449</v>
      </c>
      <c r="DE127" s="14">
        <f>DE123+DE125</f>
        <v>144.47386237001851</v>
      </c>
      <c r="DF127" s="14">
        <f>DF123+DF125</f>
        <v>130.25724156822548</v>
      </c>
      <c r="DG127" s="14">
        <f>DG123+DG125</f>
        <v>117.32844900423667</v>
      </c>
      <c r="DH127" s="357">
        <f>AD127-SUM(DD127:DG127)</f>
        <v>0</v>
      </c>
      <c r="DI127" s="129">
        <f>Drivers!BG149</f>
        <v>104.19999999999999</v>
      </c>
      <c r="DJ127" s="129">
        <f>Drivers!BH149</f>
        <v>105.6</v>
      </c>
      <c r="DK127" s="129">
        <f>Drivers!BI149</f>
        <v>51.099999999999994</v>
      </c>
      <c r="DL127" s="129">
        <f>Drivers!BJ149</f>
        <v>119.80000000000003</v>
      </c>
      <c r="DM127" s="357">
        <f>AE127-SUM(DI127:DL127)</f>
        <v>0</v>
      </c>
      <c r="DN127" s="129">
        <f>Drivers!BL149</f>
        <v>1.8999999999999986</v>
      </c>
      <c r="DO127" s="129">
        <f>Drivers!BM149</f>
        <v>5.2999999999999972</v>
      </c>
      <c r="DP127" s="129">
        <f>Drivers!BN149</f>
        <v>37.599999999999994</v>
      </c>
      <c r="DQ127" s="129">
        <f>Drivers!BO149</f>
        <v>121.17634217027791</v>
      </c>
      <c r="DR127" s="538">
        <f>AF127-SUM(DN127:DQ127)</f>
        <v>0</v>
      </c>
      <c r="DS127" s="129">
        <f>Drivers!BQ149</f>
        <v>54.650000000000006</v>
      </c>
      <c r="DT127" s="129">
        <f>Drivers!BR149</f>
        <v>91.331999999999965</v>
      </c>
      <c r="DU127" s="129">
        <f>Drivers!BS149</f>
        <v>78.915999999999968</v>
      </c>
      <c r="DV127" s="129">
        <f>Drivers!BT149</f>
        <v>197.33538948593736</v>
      </c>
      <c r="DW127" s="538">
        <f>AG127-SUM(DS127:DV127)</f>
        <v>0</v>
      </c>
      <c r="DX127" s="906"/>
      <c r="DY127" s="862"/>
      <c r="DZ127" s="862"/>
      <c r="EA127" s="862"/>
      <c r="EB127" s="862"/>
      <c r="EH127" s="1048"/>
      <c r="EI127" s="1048"/>
      <c r="EJ127" s="1048"/>
      <c r="EK127" s="1048"/>
      <c r="EM127" s="1048"/>
      <c r="FL127" s="1048"/>
    </row>
    <row r="128" spans="1:168">
      <c r="A128" s="413" t="str">
        <f>+A126</f>
        <v>% Change</v>
      </c>
      <c r="B128" s="39"/>
      <c r="C128" s="39"/>
      <c r="D128" s="39"/>
      <c r="E128" s="39"/>
      <c r="F128" s="39"/>
      <c r="G128" s="39"/>
      <c r="H128" s="39"/>
      <c r="I128" s="39"/>
      <c r="J128" s="204">
        <f>+U130-T130</f>
        <v>-3.0220955514892456E-3</v>
      </c>
      <c r="K128" s="204">
        <f>+AB130-X130</f>
        <v>-3.5366124967650459E-2</v>
      </c>
      <c r="L128" s="39"/>
      <c r="M128" s="39"/>
      <c r="N128" s="39"/>
      <c r="O128" s="39"/>
      <c r="P128" s="39">
        <f>P127/N127-1</f>
        <v>-0.1899957383650015</v>
      </c>
      <c r="Q128" s="39"/>
      <c r="R128" s="39">
        <f>R127/N127-1</f>
        <v>-0.1899957383650015</v>
      </c>
      <c r="S128" s="39"/>
      <c r="T128" s="39">
        <f>T127/R127-1</f>
        <v>0.17643733472087542</v>
      </c>
      <c r="U128" s="39">
        <f>U127/T127-1</f>
        <v>8.2468688699557369E-3</v>
      </c>
      <c r="V128" s="39"/>
      <c r="W128" s="39"/>
      <c r="X128" s="39">
        <f>X127/U127-1</f>
        <v>8.9515536214447078E-2</v>
      </c>
      <c r="Y128" s="39">
        <f>Y127/S127-1</f>
        <v>0.17643733472087542</v>
      </c>
      <c r="Z128" s="39">
        <f>Z127/Y127-1</f>
        <v>8.2468688699557369E-3</v>
      </c>
      <c r="AA128" s="39">
        <f>AA127/Z127-1</f>
        <v>8.9515536214447078E-2</v>
      </c>
      <c r="AB128" s="39">
        <f>AB127/AA127-1</f>
        <v>-0.11548181873360375</v>
      </c>
      <c r="AC128" s="39">
        <f t="shared" ref="AC128:AQ128" si="194">AC127/AB127-1</f>
        <v>4.8724084133103363E-2</v>
      </c>
      <c r="AD128" s="39">
        <f t="shared" si="194"/>
        <v>-0.18035387542572656</v>
      </c>
      <c r="AE128" s="39">
        <f t="shared" si="194"/>
        <v>-0.29707284408478418</v>
      </c>
      <c r="AF128" s="39">
        <f t="shared" si="194"/>
        <v>-0.56402326721755203</v>
      </c>
      <c r="AG128" s="39">
        <f t="shared" si="194"/>
        <v>1.5439371898722829</v>
      </c>
      <c r="AH128" s="39">
        <f t="shared" si="194"/>
        <v>8.0680746688701621E-3</v>
      </c>
      <c r="AI128" s="39">
        <f t="shared" si="194"/>
        <v>0.2317451367352692</v>
      </c>
      <c r="AJ128" s="39">
        <f t="shared" si="194"/>
        <v>-0.10234988937209144</v>
      </c>
      <c r="AK128" s="39">
        <f t="shared" si="194"/>
        <v>0.17948663465216108</v>
      </c>
      <c r="AL128" s="39">
        <f t="shared" si="194"/>
        <v>-3.1688555009097508E-2</v>
      </c>
      <c r="AM128" s="39">
        <f t="shared" si="194"/>
        <v>0.23218604651162789</v>
      </c>
      <c r="AN128" s="39">
        <f t="shared" si="194"/>
        <v>-0.16456868273758551</v>
      </c>
      <c r="AO128" s="39">
        <f t="shared" si="194"/>
        <v>0.22822085298889117</v>
      </c>
      <c r="AP128" s="39">
        <f t="shared" si="194"/>
        <v>-1.5194168090212679E-2</v>
      </c>
      <c r="AQ128" s="39">
        <f t="shared" si="194"/>
        <v>0.2690852010341318</v>
      </c>
      <c r="AR128" s="39">
        <f t="shared" ref="AR128:AY128" si="195">AR127/AQ127-1</f>
        <v>-0.1017079249862245</v>
      </c>
      <c r="AS128" s="39">
        <f t="shared" si="195"/>
        <v>0.15017484967748196</v>
      </c>
      <c r="AT128" s="39">
        <f t="shared" si="195"/>
        <v>-0.16453886919597482</v>
      </c>
      <c r="AU128" s="39">
        <f t="shared" si="195"/>
        <v>0.1428373045394502</v>
      </c>
      <c r="AV128" s="39">
        <f t="shared" si="195"/>
        <v>-0.13828520085664919</v>
      </c>
      <c r="AW128" s="39">
        <f t="shared" si="195"/>
        <v>3.8140277177068915E-2</v>
      </c>
      <c r="AX128" s="39">
        <f t="shared" si="195"/>
        <v>-0.13779353528855354</v>
      </c>
      <c r="AY128" s="39">
        <f t="shared" si="195"/>
        <v>0.25961448791527664</v>
      </c>
      <c r="AZ128" s="359"/>
      <c r="BA128" s="359"/>
      <c r="BB128" s="359"/>
      <c r="BC128" s="359"/>
      <c r="BD128" s="359"/>
      <c r="BE128" s="359"/>
      <c r="BF128" s="39"/>
      <c r="BG128" s="39"/>
      <c r="BH128" s="39"/>
      <c r="BI128" s="39"/>
      <c r="BJ128" s="39"/>
      <c r="BK128" s="39">
        <f>BK127/BF127-1</f>
        <v>0.3780797697368421</v>
      </c>
      <c r="BL128" s="39">
        <f>BL127/BG127-1</f>
        <v>0.1925746059250979</v>
      </c>
      <c r="BM128" s="39">
        <f>BM127/BH127-1</f>
        <v>0.39230705810147315</v>
      </c>
      <c r="BN128" s="39">
        <f>BN127/BI127-1</f>
        <v>-0.49990733964451417</v>
      </c>
      <c r="BO128" s="39"/>
      <c r="BP128" s="39">
        <f>BP127/BF127-1</f>
        <v>0.3780797697368421</v>
      </c>
      <c r="BQ128" s="39">
        <f>BQ127/BG127-1</f>
        <v>0.1925746059250979</v>
      </c>
      <c r="BR128" s="39">
        <f>BR127/BH127-1</f>
        <v>0.39230705810147315</v>
      </c>
      <c r="BS128" s="39">
        <f>BS127/BI127-1</f>
        <v>-0.49990733964451417</v>
      </c>
      <c r="BT128" s="39"/>
      <c r="BU128" s="39">
        <f>BU127/BP127-1</f>
        <v>-0.17916751295692357</v>
      </c>
      <c r="BV128" s="39">
        <f>BV127/BQ127-1</f>
        <v>-0.27328704557107208</v>
      </c>
      <c r="BW128" s="39">
        <f>BW127/BR127-1</f>
        <v>-0.47533479157427028</v>
      </c>
      <c r="BX128" s="39">
        <f>BX127/BS127-1</f>
        <v>0.30839229683559521</v>
      </c>
      <c r="BY128" s="39"/>
      <c r="BZ128" s="39">
        <f>BZ127/BU127-1</f>
        <v>-0.10378599404314026</v>
      </c>
      <c r="CA128" s="39">
        <f>CA127/BV127-1</f>
        <v>2.6802240655125598E-2</v>
      </c>
      <c r="CB128" s="39">
        <f>CB127/BW127-1</f>
        <v>0.53144713479624484</v>
      </c>
      <c r="CC128" s="39">
        <f>CC127/BX127-1</f>
        <v>0.35392112081075311</v>
      </c>
      <c r="CD128" s="118"/>
      <c r="CE128" s="39">
        <f>CE127/BZ127-1</f>
        <v>0.14381861641925675</v>
      </c>
      <c r="CF128" s="39">
        <f>CF127/CA127-1</f>
        <v>9.9248476692074483E-2</v>
      </c>
      <c r="CG128" s="39">
        <f>CG127/CB127-1</f>
        <v>0.1747615190429912</v>
      </c>
      <c r="CH128" s="39">
        <f>CH127/CC127-1</f>
        <v>-0.22712611161651353</v>
      </c>
      <c r="CI128" s="53"/>
      <c r="CJ128" s="39">
        <f>CJ127/BZ127-1</f>
        <v>0.24201999476491265</v>
      </c>
      <c r="CK128" s="39">
        <f>CK127/CA127-1</f>
        <v>6.3020645398756736E-2</v>
      </c>
      <c r="CL128" s="39">
        <f>CL127/CB127-1</f>
        <v>6.2558636334859141E-2</v>
      </c>
      <c r="CM128" s="39">
        <f>CM127/CC127-1</f>
        <v>6.7400309578520057E-2</v>
      </c>
      <c r="CN128" s="49"/>
      <c r="CO128" s="39">
        <f>CO127/CE127-1</f>
        <v>0.24774840610303039</v>
      </c>
      <c r="CP128" s="39">
        <f>CP127/CF127-1</f>
        <v>4.3572211427124641E-2</v>
      </c>
      <c r="CQ128" s="39">
        <f>CQ127/CG127-1</f>
        <v>-8.7734030808383934E-2</v>
      </c>
      <c r="CR128" s="39">
        <f>CR127/CH127-1</f>
        <v>0.16962223545251143</v>
      </c>
      <c r="CS128" s="49"/>
      <c r="CT128" s="39">
        <f>CT127/CO127-1</f>
        <v>-0.14046326354208793</v>
      </c>
      <c r="CU128" s="39">
        <f>CU127/CP127-1</f>
        <v>-5.740521318360392E-2</v>
      </c>
      <c r="CV128" s="39">
        <f>CV127/CQ127-1</f>
        <v>-2.1606653140817222E-2</v>
      </c>
      <c r="CW128" s="39">
        <f>CW127/CR127-1</f>
        <v>-0.21181169241870679</v>
      </c>
      <c r="CX128" s="49"/>
      <c r="CY128" s="39">
        <f>CY127/CT127-1</f>
        <v>4.8094325141554206E-2</v>
      </c>
      <c r="CZ128" s="39">
        <f>CZ127/CU127-1</f>
        <v>0.13203032898525846</v>
      </c>
      <c r="DA128" s="39">
        <f>DA127/CV127-1</f>
        <v>0.10291406305369621</v>
      </c>
      <c r="DB128" s="39">
        <f>DB127/CW127-1</f>
        <v>-8.6032595942998502E-2</v>
      </c>
      <c r="DC128" s="39"/>
      <c r="DD128" s="39">
        <f>DD127/CY127-1</f>
        <v>-5.656195158015942E-2</v>
      </c>
      <c r="DE128" s="39">
        <f>DE127/CZ127-1</f>
        <v>-0.25861772079439926</v>
      </c>
      <c r="DF128" s="39">
        <f>DF127/DA127-1</f>
        <v>-0.1760800501947215</v>
      </c>
      <c r="DG128" s="39">
        <f>DG127/DB127-1</f>
        <v>-0.21414523795391238</v>
      </c>
      <c r="DH128" s="414"/>
      <c r="DI128" s="39">
        <f>DI127/DD127-1</f>
        <v>-0.30316310161304227</v>
      </c>
      <c r="DJ128" s="39">
        <f>DJ127/DE127-1</f>
        <v>-0.26907193960425113</v>
      </c>
      <c r="DK128" s="39">
        <f>DK127/DF127-1</f>
        <v>-0.60769935410281894</v>
      </c>
      <c r="DL128" s="39">
        <f>DL127/DG127-1</f>
        <v>2.1065231976893362E-2</v>
      </c>
      <c r="DM128" s="414"/>
      <c r="DN128" s="39">
        <f>DN127/DI127-1</f>
        <v>-0.98176583493282155</v>
      </c>
      <c r="DO128" s="39">
        <f>DO127/DJ127-1</f>
        <v>-0.94981060606060608</v>
      </c>
      <c r="DP128" s="39">
        <f>DP127/DK127-1</f>
        <v>-0.264187866927593</v>
      </c>
      <c r="DQ128" s="39">
        <f>DQ127/DL127-1</f>
        <v>1.1488665862085856E-2</v>
      </c>
      <c r="DR128" s="39"/>
      <c r="DS128" s="39">
        <f>DS127/DN127-1</f>
        <v>27.763157894736867</v>
      </c>
      <c r="DT128" s="39">
        <f>DT127/DO127-1</f>
        <v>16.232452830188681</v>
      </c>
      <c r="DU128" s="39">
        <f>DU127/DP127-1</f>
        <v>1.0988297872340422</v>
      </c>
      <c r="DV128" s="39">
        <f>DV127/DQ127-1</f>
        <v>0.62849765846736139</v>
      </c>
      <c r="DW128" s="1048"/>
      <c r="DX128" s="906"/>
      <c r="DY128" s="862"/>
      <c r="DZ128" s="862"/>
      <c r="EA128" s="862"/>
      <c r="EB128" s="862"/>
      <c r="EH128" s="1048"/>
      <c r="EI128" s="1048"/>
      <c r="EJ128" s="1048"/>
      <c r="EK128" s="1048"/>
      <c r="EM128" s="1048"/>
      <c r="FL128" s="1048"/>
    </row>
    <row r="129" spans="1:168" ht="5.0999999999999996" customHeight="1">
      <c r="A129" s="413"/>
      <c r="B129" s="39"/>
      <c r="C129" s="39"/>
      <c r="D129" s="39"/>
      <c r="E129" s="39"/>
      <c r="F129" s="39"/>
      <c r="G129" s="39"/>
      <c r="H129" s="39"/>
      <c r="I129" s="39"/>
      <c r="J129" s="39"/>
      <c r="K129" s="39"/>
      <c r="L129" s="39"/>
      <c r="M129" s="39"/>
      <c r="N129" s="39"/>
      <c r="O129" s="39"/>
      <c r="P129" s="39"/>
      <c r="Q129" s="39"/>
      <c r="R129" s="39"/>
      <c r="S129" s="39"/>
      <c r="T129" s="39"/>
      <c r="U129" s="39"/>
      <c r="V129" s="39"/>
      <c r="W129" s="39"/>
      <c r="X129" s="39"/>
      <c r="Y129" s="39"/>
      <c r="Z129" s="39"/>
      <c r="AA129" s="39"/>
      <c r="AB129" s="39"/>
      <c r="AC129" s="39"/>
      <c r="AD129" s="39"/>
      <c r="AE129" s="39"/>
      <c r="AF129" s="39"/>
      <c r="AG129" s="39"/>
      <c r="AH129" s="39"/>
      <c r="AI129" s="39"/>
      <c r="AJ129" s="39"/>
      <c r="AK129" s="39"/>
      <c r="AL129" s="39"/>
      <c r="AM129" s="39"/>
      <c r="AN129" s="39"/>
      <c r="AO129" s="39"/>
      <c r="AP129" s="39"/>
      <c r="AQ129" s="39"/>
      <c r="AR129" s="39"/>
      <c r="AS129" s="39"/>
      <c r="AT129" s="39"/>
      <c r="AU129" s="39"/>
      <c r="AV129" s="39"/>
      <c r="AW129" s="39"/>
      <c r="AX129" s="359"/>
      <c r="AY129" s="359"/>
      <c r="AZ129" s="359"/>
      <c r="BA129" s="359"/>
      <c r="BB129" s="359"/>
      <c r="BC129" s="359"/>
      <c r="BD129" s="359"/>
      <c r="BE129" s="359"/>
      <c r="BF129" s="39"/>
      <c r="BG129" s="39"/>
      <c r="BH129" s="39"/>
      <c r="BI129" s="39"/>
      <c r="BJ129" s="39"/>
      <c r="BK129" s="39"/>
      <c r="BL129" s="39"/>
      <c r="BM129" s="39"/>
      <c r="BN129" s="39"/>
      <c r="BO129" s="39"/>
      <c r="BP129" s="39"/>
      <c r="BQ129" s="39"/>
      <c r="BR129" s="39"/>
      <c r="BS129" s="39"/>
      <c r="BT129" s="39"/>
      <c r="BU129" s="39"/>
      <c r="BV129" s="39"/>
      <c r="BW129" s="39"/>
      <c r="BX129" s="39"/>
      <c r="BY129" s="39"/>
      <c r="BZ129" s="39"/>
      <c r="CA129" s="39"/>
      <c r="CB129" s="39"/>
      <c r="CC129" s="39"/>
      <c r="CD129" s="118"/>
      <c r="CE129" s="39"/>
      <c r="CF129" s="39"/>
      <c r="CG129" s="39"/>
      <c r="CH129" s="39"/>
      <c r="CI129" s="53"/>
      <c r="CJ129" s="39"/>
      <c r="CK129" s="39"/>
      <c r="CL129" s="39"/>
      <c r="CM129" s="39"/>
      <c r="CN129" s="49"/>
      <c r="CO129" s="39"/>
      <c r="CP129" s="39"/>
      <c r="CQ129" s="39"/>
      <c r="CR129" s="39"/>
      <c r="CS129" s="49"/>
      <c r="CT129" s="39"/>
      <c r="CU129" s="39"/>
      <c r="CV129" s="39"/>
      <c r="CW129" s="39"/>
      <c r="CX129" s="49"/>
      <c r="CY129" s="414"/>
      <c r="CZ129" s="414"/>
      <c r="DA129" s="414"/>
      <c r="DB129" s="414"/>
      <c r="DC129" s="39"/>
      <c r="DD129" s="414"/>
      <c r="DE129" s="414"/>
      <c r="DF129" s="414"/>
      <c r="DG129" s="414"/>
      <c r="DH129" s="414"/>
      <c r="DI129" s="414"/>
      <c r="DJ129" s="414"/>
      <c r="DK129" s="414"/>
      <c r="DL129" s="414"/>
      <c r="DM129" s="414"/>
      <c r="DN129" s="39"/>
      <c r="DO129" s="39"/>
      <c r="DP129" s="39"/>
      <c r="DQ129" s="39"/>
      <c r="DR129" s="39"/>
      <c r="DS129" s="1048"/>
      <c r="DT129" s="1048"/>
      <c r="DU129" s="1048"/>
      <c r="DV129" s="1048"/>
      <c r="DW129" s="1048"/>
      <c r="DX129" s="906"/>
      <c r="DY129" s="862"/>
      <c r="DZ129" s="862"/>
      <c r="EA129" s="862"/>
      <c r="EB129" s="862"/>
      <c r="EH129" s="1048"/>
      <c r="EI129" s="1048"/>
      <c r="EJ129" s="1048"/>
      <c r="EK129" s="1048"/>
      <c r="EM129" s="1048"/>
      <c r="FL129" s="1048"/>
    </row>
    <row r="130" spans="1:168">
      <c r="A130" s="242" t="s">
        <v>1076</v>
      </c>
      <c r="B130" s="242"/>
      <c r="C130" s="242"/>
      <c r="D130" s="242"/>
      <c r="E130" s="39">
        <f>E127/E97</f>
        <v>0.4645621181262729</v>
      </c>
      <c r="F130" s="39"/>
      <c r="G130" s="242"/>
      <c r="H130" s="242"/>
      <c r="I130" s="242"/>
      <c r="J130" s="242"/>
      <c r="K130" s="39">
        <f>K127/K97</f>
        <v>0.46493382453267834</v>
      </c>
      <c r="L130" s="39"/>
      <c r="M130" s="39">
        <f>M127/M97</f>
        <v>0.43565300896286802</v>
      </c>
      <c r="N130" s="39">
        <f>N127/N97</f>
        <v>0.43565300896286802</v>
      </c>
      <c r="O130" s="39"/>
      <c r="P130" s="39">
        <f>P127/P97</f>
        <v>0.37324435596365063</v>
      </c>
      <c r="Q130" s="39"/>
      <c r="R130" s="39">
        <f>R127/R97</f>
        <v>0.37324435596365063</v>
      </c>
      <c r="S130" s="39"/>
      <c r="T130" s="39">
        <f>T127/T97</f>
        <v>0.39326605656006375</v>
      </c>
      <c r="U130" s="39">
        <f>U127/U97</f>
        <v>0.3902439610085745</v>
      </c>
      <c r="V130" s="39"/>
      <c r="W130" s="39"/>
      <c r="X130" s="39">
        <f t="shared" ref="X130:AK130" si="196">X127/X97</f>
        <v>0.38718601503802302</v>
      </c>
      <c r="Y130" s="39">
        <f>Y127/Y97</f>
        <v>0.39326605656006375</v>
      </c>
      <c r="Z130" s="39">
        <f>Z127/Z97</f>
        <v>0.3902439610085745</v>
      </c>
      <c r="AA130" s="39">
        <f>AA127/AA97</f>
        <v>0.38718601503802302</v>
      </c>
      <c r="AB130" s="39">
        <f t="shared" si="196"/>
        <v>0.35181989007037257</v>
      </c>
      <c r="AC130" s="39">
        <f t="shared" si="196"/>
        <v>0.35671729527541329</v>
      </c>
      <c r="AD130" s="39">
        <f t="shared" si="196"/>
        <v>0.32339628654111024</v>
      </c>
      <c r="AE130" s="39">
        <f t="shared" si="196"/>
        <v>0.26975129313398993</v>
      </c>
      <c r="AF130" s="39">
        <f t="shared" si="196"/>
        <v>0.14593892743363926</v>
      </c>
      <c r="AG130" s="39">
        <f t="shared" si="196"/>
        <v>0.29197107729356697</v>
      </c>
      <c r="AH130" s="39">
        <f t="shared" si="196"/>
        <v>0.31556939501779363</v>
      </c>
      <c r="AI130" s="39">
        <f t="shared" si="196"/>
        <v>0.35894837737915924</v>
      </c>
      <c r="AJ130" s="39">
        <f t="shared" si="196"/>
        <v>0.33867299942429469</v>
      </c>
      <c r="AK130" s="39">
        <f t="shared" si="196"/>
        <v>0.38203028217481072</v>
      </c>
      <c r="AL130" s="39">
        <f>AL127/AL97</f>
        <v>0.33762562814070352</v>
      </c>
      <c r="AM130" s="39">
        <f t="shared" ref="AM130:AS130" si="197">AM127/AM97</f>
        <v>0.37228780213603146</v>
      </c>
      <c r="AN130" s="39">
        <f t="shared" si="197"/>
        <v>0.3253323750687509</v>
      </c>
      <c r="AO130" s="39">
        <f t="shared" si="197"/>
        <v>0.35384042926497494</v>
      </c>
      <c r="AP130" s="39">
        <f t="shared" si="197"/>
        <v>0.33037265764277235</v>
      </c>
      <c r="AQ130" s="39">
        <f t="shared" si="197"/>
        <v>0.34876520245215792</v>
      </c>
      <c r="AR130" s="39">
        <f t="shared" si="197"/>
        <v>0.30223539012850842</v>
      </c>
      <c r="AS130" s="39">
        <f t="shared" si="197"/>
        <v>0.31945890951959405</v>
      </c>
      <c r="AT130" s="39">
        <f t="shared" ref="AT130:AY130" si="198">AT127/AT97</f>
        <v>0.27142060011762698</v>
      </c>
      <c r="AU130" s="39">
        <f t="shared" si="198"/>
        <v>0.28841752647105795</v>
      </c>
      <c r="AV130" s="39">
        <f t="shared" si="198"/>
        <v>0.25051219145024028</v>
      </c>
      <c r="AW130" s="39">
        <f t="shared" si="198"/>
        <v>0.25019418957914608</v>
      </c>
      <c r="AX130" s="39">
        <f t="shared" si="198"/>
        <v>0.21711437262672625</v>
      </c>
      <c r="AY130" s="39">
        <f t="shared" si="198"/>
        <v>0.25178205423126748</v>
      </c>
      <c r="AZ130" s="359"/>
      <c r="BA130" s="359"/>
      <c r="BB130" s="359"/>
      <c r="BC130" s="359"/>
      <c r="BD130" s="359"/>
      <c r="BE130" s="359"/>
      <c r="BF130" s="39">
        <f>BF127/BF97</f>
        <v>0.37100600291373959</v>
      </c>
      <c r="BG130" s="39">
        <f>BG127/BG97</f>
        <v>0.47508776775139289</v>
      </c>
      <c r="BH130" s="39">
        <f>BH127/BH97</f>
        <v>0.37023851904592381</v>
      </c>
      <c r="BI130" s="39">
        <f>BI127/BI97</f>
        <v>0.59987529640283432</v>
      </c>
      <c r="BJ130" s="39"/>
      <c r="BK130" s="39">
        <f>BK127/BK97</f>
        <v>0.44633092643741223</v>
      </c>
      <c r="BL130" s="39">
        <f>BL127/BL97</f>
        <v>0.49908494448724516</v>
      </c>
      <c r="BM130" s="39">
        <f>BM127/BM97</f>
        <v>0.47507435430806827</v>
      </c>
      <c r="BN130" s="39">
        <f>BN127/BN97</f>
        <v>0.32280763997484718</v>
      </c>
      <c r="BO130" s="39"/>
      <c r="BP130" s="39">
        <f>BP127/BP97</f>
        <v>0.44633092643741223</v>
      </c>
      <c r="BQ130" s="39">
        <f>BQ127/BQ97</f>
        <v>0.49908494448724516</v>
      </c>
      <c r="BR130" s="39">
        <f>BR127/BR97</f>
        <v>0.47507435430806827</v>
      </c>
      <c r="BS130" s="39">
        <f>BS127/BS97</f>
        <v>0.32280763997484718</v>
      </c>
      <c r="BT130" s="39"/>
      <c r="BU130" s="39">
        <f>BU127/BU97</f>
        <v>0.39935013079930531</v>
      </c>
      <c r="BV130" s="39">
        <f>BV127/BV97</f>
        <v>0.39856208188936637</v>
      </c>
      <c r="BW130" s="39">
        <f>BW127/BW97</f>
        <v>0.2818178809379448</v>
      </c>
      <c r="BX130" s="39">
        <f>BX127/BX97</f>
        <v>0.39696534674201661</v>
      </c>
      <c r="BY130" s="39"/>
      <c r="BZ130" s="39">
        <f>BZ127/BZ97</f>
        <v>0.38902519619895798</v>
      </c>
      <c r="CA130" s="39">
        <f>CA127/CA97</f>
        <v>0.39750126853176848</v>
      </c>
      <c r="CB130" s="39">
        <f>CB127/CB97</f>
        <v>0.33197540364859246</v>
      </c>
      <c r="CC130" s="39">
        <f>CC127/CC97</f>
        <v>0.44115286277820254</v>
      </c>
      <c r="CD130" s="39"/>
      <c r="CE130" s="39">
        <f>CE127/CE97</f>
        <v>0.38693414058132353</v>
      </c>
      <c r="CF130" s="39">
        <f>CF127/CF97</f>
        <v>0.40458579992288307</v>
      </c>
      <c r="CG130" s="39">
        <f>CG127/CG97</f>
        <v>0.38689675543167723</v>
      </c>
      <c r="CH130" s="39">
        <f>CH127/CH97</f>
        <v>0.38245666122938388</v>
      </c>
      <c r="CI130" s="53"/>
      <c r="CJ130" s="39">
        <f>CJ127/CJ97</f>
        <v>0.42383953697056909</v>
      </c>
      <c r="CK130" s="39">
        <f>CK127/CK97</f>
        <v>0.39125190279765276</v>
      </c>
      <c r="CL130" s="39">
        <f>CL127/CL97</f>
        <v>0.34246925456074062</v>
      </c>
      <c r="CM130" s="39">
        <f>CM127/CM97</f>
        <v>0.39356605259255872</v>
      </c>
      <c r="CN130" s="49"/>
      <c r="CO130" s="39">
        <f>CO127/CO97</f>
        <v>0.4235056641905196</v>
      </c>
      <c r="CP130" s="39">
        <f>CP127/CP97</f>
        <v>0.39093934994216234</v>
      </c>
      <c r="CQ130" s="39">
        <f>CQ127/CQ97</f>
        <v>0.342672566573758</v>
      </c>
      <c r="CR130" s="39">
        <f>CR127/CR97</f>
        <v>0.39132073279356122</v>
      </c>
      <c r="CS130" s="49"/>
      <c r="CT130" s="39">
        <f>CT127/CT97</f>
        <v>0.3795112241155898</v>
      </c>
      <c r="CU130" s="39">
        <f>CU127/CU97</f>
        <v>0.38400431144998731</v>
      </c>
      <c r="CV130" s="39">
        <f>CV127/CV97</f>
        <v>0.3321187046545499</v>
      </c>
      <c r="CW130" s="39">
        <f>CW127/CW97</f>
        <v>0.31873027336182558</v>
      </c>
      <c r="CX130" s="49"/>
      <c r="CY130" s="39">
        <f>CY127/CY97</f>
        <v>0.38799161031652152</v>
      </c>
      <c r="CZ130" s="39">
        <f>CZ127/CZ97</f>
        <v>0.41562905784699872</v>
      </c>
      <c r="DA130" s="39">
        <f>DA127/DA97</f>
        <v>0.34801151411996639</v>
      </c>
      <c r="DB130" s="39">
        <f>DB127/DB97</f>
        <v>0.2867303288296888</v>
      </c>
      <c r="DC130" s="242"/>
      <c r="DD130" s="39">
        <f>DD127/DD97</f>
        <v>0.34194966606120003</v>
      </c>
      <c r="DE130" s="39">
        <f>DE127/DE97</f>
        <v>0.33029170104463379</v>
      </c>
      <c r="DF130" s="39">
        <f>DF127/DF97</f>
        <v>0.3092151061971059</v>
      </c>
      <c r="DG130" s="39">
        <f>DG127/DG97</f>
        <v>0.30978388159159997</v>
      </c>
      <c r="DH130" s="391"/>
      <c r="DI130" s="39">
        <f>DI127/DI97</f>
        <v>0.28177393185505678</v>
      </c>
      <c r="DJ130" s="39">
        <f>DJ127/DJ97</f>
        <v>0.29415041782729806</v>
      </c>
      <c r="DK130" s="39">
        <f>DK127/DK97</f>
        <v>0.16305041480536056</v>
      </c>
      <c r="DL130" s="39">
        <f>DL127/DL97</f>
        <v>0.32457328637225696</v>
      </c>
      <c r="DM130" s="391"/>
      <c r="DN130" s="39">
        <f>DN127/DN97</f>
        <v>7.5787794176306288E-3</v>
      </c>
      <c r="DO130" s="39">
        <f>DO127/DO97</f>
        <v>2.0582524271844649E-2</v>
      </c>
      <c r="DP130" s="39">
        <f>DP127/DP97</f>
        <v>0.13879660391288298</v>
      </c>
      <c r="DQ130" s="39">
        <f>DQ127/DQ97</f>
        <v>0.33829241253567255</v>
      </c>
      <c r="DR130" s="242"/>
      <c r="DS130" s="39">
        <f>DS127/DS97</f>
        <v>0.16929987608426272</v>
      </c>
      <c r="DT130" s="39">
        <f>DT127/DT97</f>
        <v>0.27029298609055918</v>
      </c>
      <c r="DU130" s="39">
        <f>DU127/DU97</f>
        <v>0.2385610640870616</v>
      </c>
      <c r="DV130" s="39">
        <f>DV127/DV97</f>
        <v>0.43403993745917135</v>
      </c>
      <c r="DW130" s="1048"/>
      <c r="DX130" s="906"/>
      <c r="DY130" s="862"/>
      <c r="DZ130" s="862"/>
      <c r="EA130" s="862"/>
      <c r="EB130" s="862"/>
      <c r="EH130" s="1048"/>
      <c r="EI130" s="1048"/>
      <c r="EJ130" s="1048"/>
      <c r="EK130" s="1048"/>
      <c r="EM130" s="1048"/>
      <c r="FL130" s="1048"/>
    </row>
    <row r="131" spans="1:168">
      <c r="A131" s="372" t="s">
        <v>1077</v>
      </c>
      <c r="B131" s="242"/>
      <c r="C131" s="242"/>
      <c r="D131" s="242"/>
      <c r="E131" s="242">
        <f>E123/E93</f>
        <v>0.5124282982791587</v>
      </c>
      <c r="F131" s="242"/>
      <c r="G131" s="242"/>
      <c r="H131" s="242"/>
      <c r="I131" s="242"/>
      <c r="J131" s="242"/>
      <c r="K131" s="39">
        <f>+K123/K93</f>
        <v>0.51521337610576456</v>
      </c>
      <c r="L131" s="242"/>
      <c r="M131" s="39"/>
      <c r="N131" s="39">
        <f>+N123/N93</f>
        <v>0.4929551451187334</v>
      </c>
      <c r="O131" s="242"/>
      <c r="P131" s="39"/>
      <c r="Q131" s="39"/>
      <c r="R131" s="39">
        <f>+R123/R93</f>
        <v>0.41</v>
      </c>
      <c r="S131" s="242"/>
      <c r="T131" s="39">
        <f>+T123/T93</f>
        <v>0.41415299442969539</v>
      </c>
      <c r="U131" s="39">
        <f>+U123/U93</f>
        <v>0.42520941617405994</v>
      </c>
      <c r="V131" s="39"/>
      <c r="W131" s="39"/>
      <c r="X131" s="39">
        <f t="shared" ref="X131:AK131" si="199">+X123/X93</f>
        <v>0.41353751652561616</v>
      </c>
      <c r="Y131" s="39">
        <f>+Y123/Y93</f>
        <v>0.41415299442969539</v>
      </c>
      <c r="Z131" s="39">
        <f>+Z123/Z93</f>
        <v>0.42520941617405994</v>
      </c>
      <c r="AA131" s="39">
        <f>+AA123/AA93</f>
        <v>0.41353751652561616</v>
      </c>
      <c r="AB131" s="39">
        <f t="shared" si="199"/>
        <v>0.36516241516204367</v>
      </c>
      <c r="AC131" s="39">
        <f t="shared" si="199"/>
        <v>0.37897659874281325</v>
      </c>
      <c r="AD131" s="39">
        <f t="shared" si="199"/>
        <v>0.3511616504455003</v>
      </c>
      <c r="AE131" s="39">
        <f t="shared" si="199"/>
        <v>0.29284333087109793</v>
      </c>
      <c r="AF131" s="39">
        <f>+AF123/AF93</f>
        <v>0.16161240082054265</v>
      </c>
      <c r="AG131" s="39">
        <f t="shared" si="199"/>
        <v>0.29161234893984928</v>
      </c>
      <c r="AH131" s="39">
        <f t="shared" si="199"/>
        <v>0.30444183014222548</v>
      </c>
      <c r="AI131" s="39">
        <f t="shared" si="199"/>
        <v>0.37905972662441584</v>
      </c>
      <c r="AJ131" s="39">
        <f t="shared" si="199"/>
        <v>0.39188676729175048</v>
      </c>
      <c r="AK131" s="39">
        <f t="shared" si="199"/>
        <v>0.40856911281621111</v>
      </c>
      <c r="AL131" s="39">
        <f>+AL123/AL93</f>
        <v>0.33093751650885772</v>
      </c>
      <c r="AM131" s="39">
        <f t="shared" ref="AM131:AS131" si="200">+AM123/AM93</f>
        <v>0.37262625104522296</v>
      </c>
      <c r="AN131" s="39">
        <f t="shared" si="200"/>
        <v>0.32179106624596165</v>
      </c>
      <c r="AO131" s="39">
        <f t="shared" si="200"/>
        <v>0.34874997997851159</v>
      </c>
      <c r="AP131" s="39">
        <f t="shared" si="200"/>
        <v>0.32038582308406793</v>
      </c>
      <c r="AQ131" s="39">
        <f t="shared" si="200"/>
        <v>0.34518990656518012</v>
      </c>
      <c r="AR131" s="39">
        <f t="shared" si="200"/>
        <v>0.29052779662472844</v>
      </c>
      <c r="AS131" s="39">
        <f t="shared" si="200"/>
        <v>0.31233588217520125</v>
      </c>
      <c r="AT131" s="39">
        <f t="shared" ref="AT131:AY131" si="201">+AT123/AT93</f>
        <v>0.25627654125785659</v>
      </c>
      <c r="AU131" s="39">
        <f t="shared" si="201"/>
        <v>0.27750656360184567</v>
      </c>
      <c r="AV131" s="39">
        <f t="shared" si="201"/>
        <v>0.23390248693390617</v>
      </c>
      <c r="AW131" s="39">
        <f t="shared" si="201"/>
        <v>0.23462460581784705</v>
      </c>
      <c r="AX131" s="39">
        <f t="shared" si="201"/>
        <v>0.19693427239065178</v>
      </c>
      <c r="AY131" s="39">
        <f t="shared" si="201"/>
        <v>0.2383735560244768</v>
      </c>
      <c r="AZ131" s="359"/>
      <c r="BA131" s="359"/>
      <c r="BB131" s="359"/>
      <c r="BC131" s="359"/>
      <c r="BD131" s="359"/>
      <c r="BE131" s="421"/>
      <c r="BF131" s="39">
        <f>+BF123/BF93</f>
        <v>0.41044252184526314</v>
      </c>
      <c r="BG131" s="39">
        <f>+BG123/BG93</f>
        <v>0.52343884364881732</v>
      </c>
      <c r="BH131" s="39">
        <f>+BH123/BH93</f>
        <v>0.38884028385340719</v>
      </c>
      <c r="BI131" s="39">
        <f>+BI123/BI93</f>
        <v>0.68717463956852143</v>
      </c>
      <c r="BJ131" s="242"/>
      <c r="BK131" s="39">
        <v>0.5</v>
      </c>
      <c r="BL131" s="39">
        <v>0.55000000000000004</v>
      </c>
      <c r="BM131" s="39">
        <v>0.53</v>
      </c>
      <c r="BN131" s="39">
        <f>+BN123/BN93</f>
        <v>0.39272273480196745</v>
      </c>
      <c r="BO131" s="39"/>
      <c r="BP131" s="39">
        <f>+BP123/BP93</f>
        <v>0.5</v>
      </c>
      <c r="BQ131" s="39">
        <f>+BQ123/BQ93</f>
        <v>0.55000000000000004</v>
      </c>
      <c r="BR131" s="39">
        <f>+BR123/BR93</f>
        <v>0.53</v>
      </c>
      <c r="BS131" s="39">
        <f>+BS123/BS93</f>
        <v>0.39272273480196745</v>
      </c>
      <c r="BT131" s="242"/>
      <c r="BU131" s="119">
        <v>0.42</v>
      </c>
      <c r="BV131" s="119">
        <v>0.42</v>
      </c>
      <c r="BW131" s="119">
        <v>0.36</v>
      </c>
      <c r="BX131" s="39">
        <f>+BX123/BX93</f>
        <v>0.42847773657922367</v>
      </c>
      <c r="BY131" s="95"/>
      <c r="BZ131" s="394">
        <v>0.42</v>
      </c>
      <c r="CA131" s="394">
        <v>0.4</v>
      </c>
      <c r="CB131" s="394">
        <v>0.37</v>
      </c>
      <c r="CC131" s="39">
        <f>+CC123/CC93</f>
        <v>0.45653379990960841</v>
      </c>
      <c r="CD131" s="377"/>
      <c r="CE131" s="394">
        <v>0.39500000000000002</v>
      </c>
      <c r="CF131" s="394">
        <v>0.41</v>
      </c>
      <c r="CG131" s="394">
        <v>0.45</v>
      </c>
      <c r="CH131" s="242">
        <f>+CH123/CH93</f>
        <v>0.44093498489651778</v>
      </c>
      <c r="CI131" s="53"/>
      <c r="CJ131" s="394">
        <v>0.42499999999999999</v>
      </c>
      <c r="CK131" s="394">
        <v>0.39500000000000002</v>
      </c>
      <c r="CL131" s="394">
        <v>0.39</v>
      </c>
      <c r="CM131" s="242">
        <f>+CM123/CM93</f>
        <v>0.43676140752422227</v>
      </c>
      <c r="CN131" s="49"/>
      <c r="CO131" s="394">
        <v>0.42499999999999999</v>
      </c>
      <c r="CP131" s="394">
        <v>0.39500000000000002</v>
      </c>
      <c r="CQ131" s="394">
        <v>0.39</v>
      </c>
      <c r="CR131" s="242">
        <f>+CR123/CR93</f>
        <v>0.43931172875558516</v>
      </c>
      <c r="CS131" s="49"/>
      <c r="CT131" s="394">
        <v>0.41</v>
      </c>
      <c r="CU131" s="394">
        <v>0.41</v>
      </c>
      <c r="CV131" s="394">
        <v>0.37</v>
      </c>
      <c r="CW131" s="242">
        <f>+CW123/CW93</f>
        <v>0.28841176580859129</v>
      </c>
      <c r="CX131" s="49"/>
      <c r="CY131" s="394">
        <v>0.41499999999999998</v>
      </c>
      <c r="CZ131" s="394">
        <v>0.44</v>
      </c>
      <c r="DA131" s="394">
        <v>0.39</v>
      </c>
      <c r="DB131" s="242">
        <f>DB123/DB93</f>
        <v>0.29462593478401544</v>
      </c>
      <c r="DC131" s="242"/>
      <c r="DD131" s="394">
        <v>0.37</v>
      </c>
      <c r="DE131" s="394">
        <v>0.35</v>
      </c>
      <c r="DF131" s="394">
        <v>0.35</v>
      </c>
      <c r="DG131" s="242">
        <f>DG123/DG93</f>
        <v>0.33447579282184814</v>
      </c>
      <c r="DH131" s="391"/>
      <c r="DI131" s="242">
        <f>DI123/DI93</f>
        <v>0.36906026126305419</v>
      </c>
      <c r="DJ131" s="242">
        <f>DJ123/DJ93</f>
        <v>0.34057312285489916</v>
      </c>
      <c r="DK131" s="242">
        <f>DK123/DK93</f>
        <v>0.16795434591747144</v>
      </c>
      <c r="DL131" s="242">
        <f>DL123/DL93</f>
        <v>0.27928615784480243</v>
      </c>
      <c r="DM131" s="391"/>
      <c r="DN131" s="242">
        <f>DN123/DN93</f>
        <v>1.1350888292836682E-2</v>
      </c>
      <c r="DO131" s="242">
        <f>DO123/DO93</f>
        <v>2.0767202587982671E-2</v>
      </c>
      <c r="DP131" s="242">
        <f>DP123/DP93</f>
        <v>0.14230697722460361</v>
      </c>
      <c r="DQ131" s="242">
        <f>DQ123/DQ93</f>
        <v>0.39414577398958311</v>
      </c>
      <c r="DR131" s="242"/>
      <c r="DS131" s="1048"/>
      <c r="DT131" s="1048"/>
      <c r="DU131" s="1048"/>
      <c r="DV131" s="1048"/>
      <c r="DW131" s="1048"/>
      <c r="DX131" s="906"/>
      <c r="DY131" s="862"/>
      <c r="DZ131" s="862"/>
      <c r="EA131" s="862"/>
      <c r="EB131" s="862"/>
      <c r="EH131" s="1048"/>
      <c r="EI131" s="1048"/>
      <c r="EJ131" s="1048"/>
      <c r="EK131" s="1048"/>
      <c r="EM131" s="1048"/>
      <c r="FL131" s="1048"/>
    </row>
    <row r="132" spans="1:168">
      <c r="A132" s="416" t="s">
        <v>1210</v>
      </c>
      <c r="B132" s="242"/>
      <c r="C132" s="242"/>
      <c r="D132" s="242"/>
      <c r="E132" s="242"/>
      <c r="F132" s="242"/>
      <c r="G132" s="242"/>
      <c r="H132" s="242"/>
      <c r="I132" s="242"/>
      <c r="J132" s="242"/>
      <c r="K132" s="39">
        <f>+K125/K95</f>
        <v>0.3466026080988332</v>
      </c>
      <c r="L132" s="242"/>
      <c r="M132" s="39"/>
      <c r="N132" s="39">
        <f>+N125/N95</f>
        <v>0.28235294117647058</v>
      </c>
      <c r="O132" s="242"/>
      <c r="P132" s="39"/>
      <c r="Q132" s="39"/>
      <c r="R132" s="39">
        <f>+R125/R95</f>
        <v>0.27696078431372551</v>
      </c>
      <c r="S132" s="242"/>
      <c r="T132" s="39">
        <f>+T125/T95</f>
        <v>0.34104595034618429</v>
      </c>
      <c r="U132" s="39">
        <f>+U125/U95</f>
        <v>0.30747673067080539</v>
      </c>
      <c r="V132" s="39"/>
      <c r="W132" s="39"/>
      <c r="X132" s="39">
        <f t="shared" ref="X132:AK132" si="202">+X125/X95</f>
        <v>0.32247714687293105</v>
      </c>
      <c r="Y132" s="39">
        <f>+Y125/Y95</f>
        <v>0.34104595034618429</v>
      </c>
      <c r="Z132" s="39">
        <f>+Z125/Z95</f>
        <v>0.30747673067080539</v>
      </c>
      <c r="AA132" s="39">
        <f>+AA125/AA95</f>
        <v>0.32247714687293105</v>
      </c>
      <c r="AB132" s="39">
        <f t="shared" si="202"/>
        <v>0.32028083806046759</v>
      </c>
      <c r="AC132" s="39">
        <f t="shared" si="202"/>
        <v>0.29745447029447025</v>
      </c>
      <c r="AD132" s="39">
        <f t="shared" si="202"/>
        <v>0.2527554901353114</v>
      </c>
      <c r="AE132" s="39">
        <f t="shared" si="202"/>
        <v>0.21138136696271984</v>
      </c>
      <c r="AF132" s="39">
        <f t="shared" si="202"/>
        <v>0.10889043638220755</v>
      </c>
      <c r="AG132" s="39">
        <f t="shared" si="202"/>
        <v>0.29274676591902798</v>
      </c>
      <c r="AH132" s="39">
        <f t="shared" si="202"/>
        <v>0.34274148170387525</v>
      </c>
      <c r="AI132" s="39">
        <f t="shared" si="202"/>
        <v>0.31106407578874407</v>
      </c>
      <c r="AJ132" s="39">
        <f t="shared" si="202"/>
        <v>0.20322330707528341</v>
      </c>
      <c r="AK132" s="39">
        <f t="shared" si="202"/>
        <v>0.31800192065861593</v>
      </c>
      <c r="AL132" s="39">
        <f>+AL125/AL95</f>
        <v>0.35726925732273579</v>
      </c>
      <c r="AM132" s="39">
        <f t="shared" ref="AM132:AS132" si="203">+AM125/AM95</f>
        <v>0.37117919326053717</v>
      </c>
      <c r="AN132" s="39">
        <f t="shared" si="203"/>
        <v>0.33622665125476109</v>
      </c>
      <c r="AO132" s="39">
        <f t="shared" si="203"/>
        <v>0.37218271596661839</v>
      </c>
      <c r="AP132" s="39">
        <f t="shared" si="203"/>
        <v>0.36936522900108865</v>
      </c>
      <c r="AQ132" s="39">
        <f t="shared" si="203"/>
        <v>0.36648228526767279</v>
      </c>
      <c r="AR132" s="39">
        <f t="shared" si="203"/>
        <v>0.36353236405358164</v>
      </c>
      <c r="AS132" s="39">
        <f t="shared" si="203"/>
        <v>0.36115680591830085</v>
      </c>
      <c r="AT132" s="39">
        <f t="shared" ref="AT132:AY132" si="204">+AT125/AT95</f>
        <v>0.35937375375787417</v>
      </c>
      <c r="AU132" s="39">
        <f t="shared" si="204"/>
        <v>0.35819997649731944</v>
      </c>
      <c r="AV132" s="39">
        <f t="shared" si="204"/>
        <v>0.35700248656483413</v>
      </c>
      <c r="AW132" s="39">
        <f t="shared" si="204"/>
        <v>0.35578080491654113</v>
      </c>
      <c r="AX132" s="39">
        <f t="shared" si="204"/>
        <v>0.35453444283090879</v>
      </c>
      <c r="AY132" s="39">
        <f t="shared" si="204"/>
        <v>0.35326290171324354</v>
      </c>
      <c r="AZ132" s="359"/>
      <c r="BA132" s="359"/>
      <c r="BB132" s="359"/>
      <c r="BC132" s="359"/>
      <c r="BD132" s="359"/>
      <c r="BE132" s="421"/>
      <c r="BF132" s="39">
        <f>+BF125/BF95</f>
        <v>0.2762201453790239</v>
      </c>
      <c r="BG132" s="39">
        <f>+BG125/BG95</f>
        <v>0.35655362053162237</v>
      </c>
      <c r="BH132" s="39">
        <f>+BH125/BH95</f>
        <v>0.32657200811359033</v>
      </c>
      <c r="BI132" s="39">
        <f>+BI125/BI95</f>
        <v>0.40420736288504877</v>
      </c>
      <c r="BJ132" s="242"/>
      <c r="BK132" s="39">
        <f>+BK125/BK95</f>
        <v>0.29375639713408391</v>
      </c>
      <c r="BL132" s="39">
        <v>0.36</v>
      </c>
      <c r="BM132" s="39">
        <v>0.34</v>
      </c>
      <c r="BN132" s="39">
        <f>+BN125/BN95</f>
        <v>0.13606189625967138</v>
      </c>
      <c r="BO132" s="39"/>
      <c r="BP132" s="39">
        <f>+BP125/BP95</f>
        <v>0.29375639713408391</v>
      </c>
      <c r="BQ132" s="39">
        <f>+BQ125/BQ95</f>
        <v>0.36</v>
      </c>
      <c r="BR132" s="39">
        <f>+BR125/BR95</f>
        <v>0.34</v>
      </c>
      <c r="BS132" s="39">
        <f>+BS125/BS95</f>
        <v>0.13606189625967138</v>
      </c>
      <c r="BT132" s="242"/>
      <c r="BU132" s="39">
        <f>+BU125/BU95</f>
        <v>0.34</v>
      </c>
      <c r="BV132" s="39">
        <f>+BV125/BV95</f>
        <v>0.34</v>
      </c>
      <c r="BW132" s="39">
        <f>+BW125/BW95</f>
        <v>0.1</v>
      </c>
      <c r="BX132" s="39">
        <f>+BX125/BX95</f>
        <v>0.31608221046175861</v>
      </c>
      <c r="BY132" s="95"/>
      <c r="BZ132" s="39">
        <f>+BZ125/BZ95</f>
        <v>0.3</v>
      </c>
      <c r="CA132" s="39">
        <f>+CA125/CA95</f>
        <v>0.39000000000000007</v>
      </c>
      <c r="CB132" s="39">
        <f>+CB125/CB95</f>
        <v>0.25</v>
      </c>
      <c r="CC132" s="39">
        <f>+CC125/CC95</f>
        <v>0.40617640600152938</v>
      </c>
      <c r="CD132" s="377"/>
      <c r="CE132" s="394">
        <v>0.37</v>
      </c>
      <c r="CF132" s="394">
        <v>0.39</v>
      </c>
      <c r="CG132" s="394">
        <v>0.25</v>
      </c>
      <c r="CH132" s="242">
        <f>+CH125/CH95</f>
        <v>0.23557286557105744</v>
      </c>
      <c r="CI132" s="53"/>
      <c r="CJ132" s="893">
        <v>0.42</v>
      </c>
      <c r="CK132" s="893">
        <v>0.38</v>
      </c>
      <c r="CL132" s="893">
        <v>0.24</v>
      </c>
      <c r="CM132" s="895">
        <f>+CM125/CM95</f>
        <v>0.30642149557723847</v>
      </c>
      <c r="CN132" s="49"/>
      <c r="CO132" s="394">
        <v>0.42</v>
      </c>
      <c r="CP132" s="394">
        <v>0.38</v>
      </c>
      <c r="CQ132" s="394">
        <v>0.24</v>
      </c>
      <c r="CR132" s="242">
        <f>+CR125/CR95</f>
        <v>0.26626172630053035</v>
      </c>
      <c r="CS132" s="49"/>
      <c r="CT132" s="394">
        <v>0.315</v>
      </c>
      <c r="CU132" s="394">
        <v>0.315</v>
      </c>
      <c r="CV132" s="394">
        <v>0.25</v>
      </c>
      <c r="CW132" s="242">
        <f>+CW125/CW95</f>
        <v>0.39513530372113975</v>
      </c>
      <c r="CX132" s="49"/>
      <c r="CY132" s="394">
        <v>0.33</v>
      </c>
      <c r="CZ132" s="394">
        <v>0.35</v>
      </c>
      <c r="DA132" s="394">
        <v>0.25</v>
      </c>
      <c r="DB132" s="242">
        <f>DB125/DB95</f>
        <v>0.25816788563797916</v>
      </c>
      <c r="DC132" s="242"/>
      <c r="DD132" s="394">
        <v>0.28000000000000003</v>
      </c>
      <c r="DE132" s="394">
        <v>0.28000000000000003</v>
      </c>
      <c r="DF132" s="394">
        <v>0.22</v>
      </c>
      <c r="DG132" s="242">
        <f>DG125/DG95</f>
        <v>0.21889902508120734</v>
      </c>
      <c r="DH132" s="391"/>
      <c r="DI132" s="394">
        <v>0.1</v>
      </c>
      <c r="DJ132" s="394">
        <v>0.15</v>
      </c>
      <c r="DK132" s="394">
        <v>0.15</v>
      </c>
      <c r="DL132" s="242">
        <f>DL125/DL95</f>
        <v>0.4354424168816316</v>
      </c>
      <c r="DM132" s="391"/>
      <c r="DN132" s="394">
        <v>0</v>
      </c>
      <c r="DO132" s="394">
        <v>0.02</v>
      </c>
      <c r="DP132" s="394">
        <v>0.13</v>
      </c>
      <c r="DQ132" s="242">
        <f>DQ125/DQ95</f>
        <v>0.22098184395519022</v>
      </c>
      <c r="DR132" s="242"/>
      <c r="DS132" s="1048"/>
      <c r="DT132" s="1048"/>
      <c r="DU132" s="1048"/>
      <c r="DV132" s="1048"/>
      <c r="DW132" s="1048"/>
      <c r="DX132" s="906"/>
      <c r="DY132" s="862"/>
      <c r="DZ132" s="862"/>
      <c r="EA132" s="862"/>
      <c r="EB132" s="862"/>
      <c r="EH132" s="1048"/>
      <c r="EI132" s="1048"/>
      <c r="EJ132" s="1048"/>
      <c r="EK132" s="1048"/>
      <c r="EM132" s="1048"/>
      <c r="FL132" s="1048"/>
    </row>
    <row r="133" spans="1:168" ht="10.5" hidden="1" customHeight="1" outlineLevel="1">
      <c r="A133" s="242"/>
      <c r="B133" s="242"/>
      <c r="C133" s="242"/>
      <c r="D133" s="242"/>
      <c r="E133" s="39"/>
      <c r="F133" s="39"/>
      <c r="G133" s="242"/>
      <c r="H133" s="242"/>
      <c r="I133" s="242"/>
      <c r="J133" s="242"/>
      <c r="K133" s="39"/>
      <c r="L133" s="39"/>
      <c r="M133" s="39"/>
      <c r="N133" s="39"/>
      <c r="O133" s="39"/>
      <c r="P133" s="39"/>
      <c r="Q133" s="39"/>
      <c r="R133" s="39"/>
      <c r="S133" s="39"/>
      <c r="T133" s="118"/>
      <c r="U133" s="118"/>
      <c r="V133" s="118"/>
      <c r="W133" s="118"/>
      <c r="X133" s="118"/>
      <c r="Y133" s="39"/>
      <c r="Z133" s="39"/>
      <c r="AA133" s="39"/>
      <c r="AB133" s="39"/>
      <c r="AC133" s="39"/>
      <c r="AD133" s="39"/>
      <c r="AE133" s="39"/>
      <c r="AF133" s="39"/>
      <c r="AG133" s="39"/>
      <c r="AH133" s="39"/>
      <c r="AI133" s="39"/>
      <c r="AJ133" s="39"/>
      <c r="AK133" s="39"/>
      <c r="AL133" s="39"/>
      <c r="AM133" s="39"/>
      <c r="AN133" s="39"/>
      <c r="AO133" s="39"/>
      <c r="AP133" s="39"/>
      <c r="AQ133" s="39"/>
      <c r="AR133" s="39"/>
      <c r="AS133" s="39"/>
      <c r="AT133" s="39"/>
      <c r="AU133" s="39"/>
      <c r="AV133" s="39"/>
      <c r="AW133" s="39"/>
      <c r="AX133" s="39"/>
      <c r="AY133" s="39"/>
      <c r="AZ133" s="359"/>
      <c r="BA133" s="359"/>
      <c r="BB133" s="359"/>
      <c r="BC133" s="359"/>
      <c r="BD133" s="359"/>
      <c r="BE133" s="421"/>
      <c r="BF133" s="242"/>
      <c r="BG133" s="242"/>
      <c r="BH133" s="242"/>
      <c r="BI133" s="242"/>
      <c r="BJ133" s="242"/>
      <c r="BK133" s="39"/>
      <c r="BL133" s="39"/>
      <c r="BM133" s="39"/>
      <c r="BN133" s="39"/>
      <c r="BO133" s="39"/>
      <c r="BP133" s="39"/>
      <c r="BQ133" s="39"/>
      <c r="BR133" s="39"/>
      <c r="BS133" s="39"/>
      <c r="BT133" s="242"/>
      <c r="BU133" s="39"/>
      <c r="BV133" s="39"/>
      <c r="BW133" s="39"/>
      <c r="BX133" s="39"/>
      <c r="BY133" s="95"/>
      <c r="BZ133" s="242"/>
      <c r="CA133" s="242"/>
      <c r="CB133" s="242"/>
      <c r="CC133" s="242"/>
      <c r="CD133" s="377"/>
      <c r="CE133" s="39"/>
      <c r="CF133" s="39"/>
      <c r="CG133" s="39"/>
      <c r="CH133" s="39"/>
      <c r="CI133" s="53"/>
      <c r="CJ133" s="242"/>
      <c r="CK133" s="242"/>
      <c r="CL133" s="242"/>
      <c r="CM133" s="242"/>
      <c r="CN133" s="49"/>
      <c r="CO133" s="242"/>
      <c r="CP133" s="242"/>
      <c r="CQ133" s="242"/>
      <c r="CR133" s="242"/>
      <c r="CS133" s="49"/>
      <c r="CT133" s="242"/>
      <c r="CU133" s="242"/>
      <c r="CV133" s="438"/>
      <c r="CW133" s="242"/>
      <c r="CX133" s="49"/>
      <c r="CY133" s="49"/>
      <c r="CZ133" s="49"/>
      <c r="DA133" s="391"/>
      <c r="DB133" s="391"/>
      <c r="DC133" s="242"/>
      <c r="DD133" s="391"/>
      <c r="DE133" s="391"/>
      <c r="DF133" s="391"/>
      <c r="DG133" s="391"/>
      <c r="DH133" s="391"/>
      <c r="DI133" s="391"/>
      <c r="DJ133" s="391"/>
      <c r="DK133" s="391"/>
      <c r="DL133" s="391"/>
      <c r="DM133" s="391"/>
      <c r="DN133" s="242"/>
      <c r="DO133" s="242"/>
      <c r="DP133" s="242"/>
      <c r="DQ133" s="242"/>
      <c r="DR133" s="242"/>
      <c r="DS133" s="1048"/>
      <c r="DT133" s="1048"/>
      <c r="DU133" s="1048"/>
      <c r="DV133" s="1048"/>
      <c r="DW133" s="1048"/>
      <c r="DX133" s="906"/>
      <c r="DY133" s="862"/>
      <c r="DZ133" s="862"/>
      <c r="EA133" s="862"/>
      <c r="EB133" s="862"/>
      <c r="EH133" s="1048"/>
      <c r="EI133" s="1048"/>
      <c r="EJ133" s="1048"/>
      <c r="EK133" s="1048"/>
      <c r="EM133" s="1048"/>
      <c r="FL133" s="1048"/>
    </row>
    <row r="134" spans="1:168" hidden="1" outlineLevel="1">
      <c r="A134" s="390" t="s">
        <v>1062</v>
      </c>
      <c r="B134" s="14"/>
      <c r="C134" s="14"/>
      <c r="D134" s="14">
        <v>184.8</v>
      </c>
      <c r="E134" s="14">
        <f>+SUM(B134:D134)</f>
        <v>184.8</v>
      </c>
      <c r="F134" s="14">
        <f>E134</f>
        <v>184.8</v>
      </c>
      <c r="G134" s="14"/>
      <c r="H134" s="14"/>
      <c r="I134" s="14">
        <v>28</v>
      </c>
      <c r="J134" s="14">
        <v>181</v>
      </c>
      <c r="K134" s="14">
        <f>+SUM(H134:J134)</f>
        <v>209</v>
      </c>
      <c r="L134" s="14">
        <f>K134</f>
        <v>209</v>
      </c>
      <c r="M134" s="14">
        <f>+N134</f>
        <v>209</v>
      </c>
      <c r="N134" s="14">
        <v>209</v>
      </c>
      <c r="O134" s="14">
        <f>N134</f>
        <v>209</v>
      </c>
      <c r="P134" s="14"/>
      <c r="Q134" s="14"/>
      <c r="R134" s="14"/>
      <c r="S134" s="14"/>
      <c r="T134" s="14"/>
      <c r="U134" s="14"/>
      <c r="V134" s="14"/>
      <c r="W134" s="14"/>
      <c r="X134" s="14"/>
      <c r="Y134" s="14"/>
      <c r="Z134" s="14"/>
      <c r="AA134" s="14"/>
      <c r="AB134" s="58"/>
      <c r="AC134" s="14"/>
      <c r="AD134" s="14"/>
      <c r="AE134" s="14"/>
      <c r="AF134" s="14"/>
      <c r="AG134" s="14"/>
      <c r="AH134" s="14"/>
      <c r="AI134" s="14"/>
      <c r="AJ134" s="14"/>
      <c r="AK134" s="14"/>
      <c r="AL134" s="14"/>
      <c r="AM134" s="14"/>
      <c r="AN134" s="14"/>
      <c r="AO134" s="14"/>
      <c r="AP134" s="14"/>
      <c r="AQ134" s="14"/>
      <c r="AR134" s="14"/>
      <c r="AS134" s="14"/>
      <c r="AT134" s="14"/>
      <c r="AU134" s="14"/>
      <c r="AV134" s="14"/>
      <c r="AW134" s="14"/>
      <c r="AX134" s="14"/>
      <c r="AY134" s="14"/>
      <c r="AZ134" s="354"/>
      <c r="BA134" s="354"/>
      <c r="BB134" s="354"/>
      <c r="BC134" s="354"/>
      <c r="BD134" s="354"/>
      <c r="BE134" s="359"/>
      <c r="BF134" s="14">
        <f>+BF135*BF99</f>
        <v>34.322890348660941</v>
      </c>
      <c r="BG134" s="14">
        <f>+BG135*BG99</f>
        <v>59.405002526528548</v>
      </c>
      <c r="BH134" s="14">
        <f>+BH135*BH99</f>
        <v>46.203890853966648</v>
      </c>
      <c r="BI134" s="14">
        <f>+K134-SUM(BF134:BH134)</f>
        <v>69.068216270843863</v>
      </c>
      <c r="BJ134" s="14"/>
      <c r="BK134" s="14">
        <f>+BK135*BK99</f>
        <v>38.918880000000001</v>
      </c>
      <c r="BL134" s="14">
        <f>+BL135*BL99</f>
        <v>67.3596</v>
      </c>
      <c r="BM134" s="14">
        <f>+BM135*BM99</f>
        <v>52.390799999999999</v>
      </c>
      <c r="BN134" s="14">
        <f>+N134-SUM(BK134:BM134)</f>
        <v>50.330719999999985</v>
      </c>
      <c r="BO134" s="14"/>
      <c r="BP134" s="14">
        <f>+BK134</f>
        <v>38.918880000000001</v>
      </c>
      <c r="BQ134" s="14">
        <f>+BL134</f>
        <v>67.3596</v>
      </c>
      <c r="BR134" s="14">
        <f>+BM134</f>
        <v>52.390799999999999</v>
      </c>
      <c r="BS134" s="14">
        <f>+N134-SUM(BP134:BR134)</f>
        <v>50.330719999999985</v>
      </c>
      <c r="BT134" s="14"/>
      <c r="BU134" s="14"/>
      <c r="BV134" s="14"/>
      <c r="BW134" s="14"/>
      <c r="BX134" s="14"/>
      <c r="BY134" s="95"/>
      <c r="BZ134" s="14"/>
      <c r="CA134" s="14"/>
      <c r="CB134" s="14"/>
      <c r="CC134" s="14"/>
      <c r="CD134" s="377"/>
      <c r="CE134" s="14"/>
      <c r="CF134" s="14"/>
      <c r="CG134" s="14"/>
      <c r="CH134" s="14"/>
      <c r="CI134" s="53"/>
      <c r="CJ134" s="14"/>
      <c r="CK134" s="14"/>
      <c r="CL134" s="14"/>
      <c r="CM134" s="14"/>
      <c r="CN134" s="49"/>
      <c r="CO134" s="14"/>
      <c r="CP134" s="14"/>
      <c r="CQ134" s="14"/>
      <c r="CR134" s="14"/>
      <c r="CS134" s="49"/>
      <c r="CT134" s="14"/>
      <c r="CU134" s="242"/>
      <c r="CV134" s="242"/>
      <c r="CW134" s="242"/>
      <c r="CX134" s="49"/>
      <c r="CY134" s="49"/>
      <c r="CZ134" s="49"/>
      <c r="DA134" s="391"/>
      <c r="DB134" s="391"/>
      <c r="DC134" s="14"/>
      <c r="DD134" s="352"/>
      <c r="DE134" s="352"/>
      <c r="DF134" s="352"/>
      <c r="DG134" s="352"/>
      <c r="DH134" s="352"/>
      <c r="DI134" s="352"/>
      <c r="DJ134" s="352"/>
      <c r="DK134" s="352"/>
      <c r="DL134" s="352"/>
      <c r="DM134" s="352"/>
      <c r="DN134" s="14"/>
      <c r="DO134" s="14"/>
      <c r="DP134" s="14"/>
      <c r="DQ134" s="14"/>
      <c r="DR134" s="14"/>
      <c r="DS134" s="1048"/>
      <c r="DT134" s="1048"/>
      <c r="DU134" s="1048"/>
      <c r="DV134" s="1048"/>
      <c r="DW134" s="1048"/>
      <c r="DX134" s="906"/>
      <c r="DY134" s="862"/>
      <c r="DZ134" s="862"/>
      <c r="EA134" s="862"/>
      <c r="EB134" s="862"/>
      <c r="EH134" s="1048"/>
      <c r="EI134" s="1048"/>
      <c r="EJ134" s="1048"/>
      <c r="EK134" s="1048"/>
      <c r="EM134" s="1048"/>
      <c r="FL134" s="1048"/>
    </row>
    <row r="135" spans="1:168" hidden="1" outlineLevel="1">
      <c r="A135" s="372" t="s">
        <v>1078</v>
      </c>
      <c r="B135" s="242"/>
      <c r="C135" s="242"/>
      <c r="D135" s="242"/>
      <c r="E135" s="242"/>
      <c r="F135" s="242"/>
      <c r="G135" s="242"/>
      <c r="H135" s="242"/>
      <c r="I135" s="242"/>
      <c r="J135" s="391"/>
      <c r="K135" s="39">
        <f>+K134/K99</f>
        <v>0.26402223345123799</v>
      </c>
      <c r="L135" s="242"/>
      <c r="M135" s="39"/>
      <c r="N135" s="39">
        <f>+N134/N99</f>
        <v>0.26402223345123799</v>
      </c>
      <c r="O135" s="242"/>
      <c r="P135" s="39"/>
      <c r="Q135" s="39"/>
      <c r="R135" s="39"/>
      <c r="S135" s="242"/>
      <c r="T135" s="39"/>
      <c r="U135" s="39"/>
      <c r="V135" s="39"/>
      <c r="W135" s="39"/>
      <c r="X135" s="39"/>
      <c r="Y135" s="242"/>
      <c r="Z135" s="242"/>
      <c r="AA135" s="242"/>
      <c r="AB135" s="39"/>
      <c r="AC135" s="39"/>
      <c r="AD135" s="39"/>
      <c r="AE135" s="39"/>
      <c r="AF135" s="39"/>
      <c r="AG135" s="39"/>
      <c r="AH135" s="39"/>
      <c r="AI135" s="39"/>
      <c r="AJ135" s="39"/>
      <c r="AK135" s="39"/>
      <c r="AL135" s="39"/>
      <c r="AM135" s="39"/>
      <c r="AN135" s="39"/>
      <c r="AO135" s="39"/>
      <c r="AP135" s="39"/>
      <c r="AQ135" s="39"/>
      <c r="AR135" s="39"/>
      <c r="AS135" s="39"/>
      <c r="AT135" s="39"/>
      <c r="AU135" s="39"/>
      <c r="AV135" s="39"/>
      <c r="AW135" s="39"/>
      <c r="AX135" s="39"/>
      <c r="AY135" s="39"/>
      <c r="AZ135" s="359"/>
      <c r="BA135" s="359"/>
      <c r="BB135" s="359"/>
      <c r="BC135" s="359"/>
      <c r="BD135" s="359"/>
      <c r="BE135" s="421"/>
      <c r="BF135" s="39">
        <v>0.26402223345123799</v>
      </c>
      <c r="BG135" s="39">
        <v>0.26402223345123799</v>
      </c>
      <c r="BH135" s="39">
        <v>0.26402223345123799</v>
      </c>
      <c r="BI135" s="39">
        <f>+BI134/BI99</f>
        <v>0.26402223345123799</v>
      </c>
      <c r="BJ135" s="242"/>
      <c r="BK135" s="39">
        <v>0.26400000000000001</v>
      </c>
      <c r="BL135" s="39">
        <v>0.26400000000000001</v>
      </c>
      <c r="BM135" s="39">
        <v>0.26400000000000001</v>
      </c>
      <c r="BN135" s="39">
        <f>+BN134/BN99</f>
        <v>0.26409234966943002</v>
      </c>
      <c r="BO135" s="39"/>
      <c r="BP135" s="39">
        <f>+BP134/BP99</f>
        <v>0.26400000000000001</v>
      </c>
      <c r="BQ135" s="39">
        <f>+BQ134/BQ99</f>
        <v>0.26400000000000001</v>
      </c>
      <c r="BR135" s="39">
        <f>+BR134/BR99</f>
        <v>0.26400000000000001</v>
      </c>
      <c r="BS135" s="39">
        <f>+BS134/BS99</f>
        <v>0.26409234966943002</v>
      </c>
      <c r="BT135" s="242"/>
      <c r="BU135" s="39"/>
      <c r="BV135" s="39"/>
      <c r="BW135" s="39"/>
      <c r="BX135" s="39"/>
      <c r="BY135" s="95"/>
      <c r="BZ135" s="242"/>
      <c r="CA135" s="242"/>
      <c r="CB135" s="242"/>
      <c r="CC135" s="39"/>
      <c r="CD135" s="377"/>
      <c r="CE135" s="394"/>
      <c r="CF135" s="394"/>
      <c r="CG135" s="394"/>
      <c r="CH135" s="242"/>
      <c r="CI135" s="53"/>
      <c r="CJ135" s="394"/>
      <c r="CK135" s="394"/>
      <c r="CL135" s="394"/>
      <c r="CM135" s="242"/>
      <c r="CN135" s="49"/>
      <c r="CO135" s="394"/>
      <c r="CP135" s="394"/>
      <c r="CQ135" s="394"/>
      <c r="CR135" s="242"/>
      <c r="CS135" s="49"/>
      <c r="CT135" s="242"/>
      <c r="CU135" s="14"/>
      <c r="CV135" s="14"/>
      <c r="CW135" s="14"/>
      <c r="CX135" s="49"/>
      <c r="CY135" s="49"/>
      <c r="CZ135" s="49"/>
      <c r="DA135" s="352"/>
      <c r="DB135" s="352"/>
      <c r="DC135" s="242"/>
      <c r="DD135" s="391"/>
      <c r="DE135" s="391"/>
      <c r="DF135" s="391"/>
      <c r="DG135" s="391"/>
      <c r="DH135" s="391"/>
      <c r="DI135" s="391"/>
      <c r="DJ135" s="391"/>
      <c r="DK135" s="391"/>
      <c r="DL135" s="391"/>
      <c r="DM135" s="391"/>
      <c r="DN135" s="242"/>
      <c r="DO135" s="242"/>
      <c r="DP135" s="242"/>
      <c r="DQ135" s="242"/>
      <c r="DR135" s="242"/>
      <c r="DS135" s="1048"/>
      <c r="DT135" s="1048"/>
      <c r="DU135" s="1048"/>
      <c r="DV135" s="1048"/>
      <c r="DW135" s="1048"/>
      <c r="DX135" s="906"/>
      <c r="DY135" s="862"/>
      <c r="DZ135" s="862"/>
      <c r="EA135" s="862"/>
      <c r="EB135" s="862"/>
      <c r="EH135" s="1048"/>
      <c r="EI135" s="1048"/>
      <c r="EJ135" s="1048"/>
      <c r="EK135" s="1048"/>
      <c r="EM135" s="1048"/>
      <c r="FL135" s="1048"/>
    </row>
    <row r="136" spans="1:168" hidden="1" outlineLevel="1">
      <c r="A136" s="242" t="str">
        <f>+A128</f>
        <v>% Change</v>
      </c>
      <c r="B136" s="242"/>
      <c r="C136" s="242"/>
      <c r="D136" s="242"/>
      <c r="E136" s="39"/>
      <c r="F136" s="39"/>
      <c r="G136" s="242"/>
      <c r="H136" s="242"/>
      <c r="I136" s="242"/>
      <c r="J136" s="242"/>
      <c r="K136" s="39">
        <f>+K134/E134-1</f>
        <v>0.13095238095238093</v>
      </c>
      <c r="L136" s="39"/>
      <c r="M136" s="39"/>
      <c r="N136" s="39">
        <f>+N134/K134-1</f>
        <v>0</v>
      </c>
      <c r="O136" s="39"/>
      <c r="P136" s="39"/>
      <c r="Q136" s="39"/>
      <c r="R136" s="39"/>
      <c r="S136" s="39"/>
      <c r="T136" s="39"/>
      <c r="U136" s="39"/>
      <c r="V136" s="39"/>
      <c r="W136" s="39"/>
      <c r="X136" s="39"/>
      <c r="Y136" s="39"/>
      <c r="Z136" s="39"/>
      <c r="AA136" s="39"/>
      <c r="AB136" s="39"/>
      <c r="AC136" s="39"/>
      <c r="AD136" s="39"/>
      <c r="AE136" s="39"/>
      <c r="AF136" s="39"/>
      <c r="AG136" s="39"/>
      <c r="AH136" s="39"/>
      <c r="AI136" s="39"/>
      <c r="AJ136" s="39"/>
      <c r="AK136" s="39"/>
      <c r="AL136" s="39"/>
      <c r="AM136" s="39"/>
      <c r="AN136" s="39"/>
      <c r="AO136" s="39"/>
      <c r="AP136" s="39"/>
      <c r="AQ136" s="39"/>
      <c r="AR136" s="39"/>
      <c r="AS136" s="39"/>
      <c r="AT136" s="39"/>
      <c r="AU136" s="39"/>
      <c r="AV136" s="39"/>
      <c r="AW136" s="39"/>
      <c r="AX136" s="39"/>
      <c r="AY136" s="39"/>
      <c r="AZ136" s="359"/>
      <c r="BA136" s="359"/>
      <c r="BB136" s="359"/>
      <c r="BC136" s="359"/>
      <c r="BD136" s="359"/>
      <c r="BE136" s="421"/>
      <c r="BF136" s="242"/>
      <c r="BG136" s="242"/>
      <c r="BH136" s="242"/>
      <c r="BI136" s="242"/>
      <c r="BJ136" s="242"/>
      <c r="BK136" s="39">
        <f>+BK134/BF134-1</f>
        <v>0.133904505263158</v>
      </c>
      <c r="BL136" s="39">
        <f>+BL134/BG134-1</f>
        <v>0.133904505263158</v>
      </c>
      <c r="BM136" s="39">
        <f>+BM134/BH134-1</f>
        <v>0.133904505263158</v>
      </c>
      <c r="BN136" s="39">
        <f>+BN134/BI134-1</f>
        <v>-0.2712897086753584</v>
      </c>
      <c r="BO136" s="39"/>
      <c r="BP136" s="39"/>
      <c r="BQ136" s="39"/>
      <c r="BR136" s="39"/>
      <c r="BS136" s="39"/>
      <c r="BT136" s="242"/>
      <c r="BU136" s="39"/>
      <c r="BV136" s="39"/>
      <c r="BW136" s="39"/>
      <c r="BX136" s="39"/>
      <c r="BY136" s="95"/>
      <c r="BZ136" s="242"/>
      <c r="CA136" s="242"/>
      <c r="CB136" s="242"/>
      <c r="CC136" s="242"/>
      <c r="CD136" s="377"/>
      <c r="CE136" s="39"/>
      <c r="CF136" s="39"/>
      <c r="CG136" s="39"/>
      <c r="CH136" s="39"/>
      <c r="CI136" s="53"/>
      <c r="CJ136" s="242"/>
      <c r="CK136" s="242"/>
      <c r="CL136" s="242"/>
      <c r="CM136" s="242"/>
      <c r="CN136" s="49"/>
      <c r="CO136" s="242"/>
      <c r="CP136" s="242"/>
      <c r="CQ136" s="242"/>
      <c r="CR136" s="242"/>
      <c r="CS136" s="49"/>
      <c r="CT136" s="242"/>
      <c r="CU136" s="242"/>
      <c r="CV136" s="242"/>
      <c r="CW136" s="242"/>
      <c r="CX136" s="49"/>
      <c r="CY136" s="49"/>
      <c r="CZ136" s="49"/>
      <c r="DA136" s="391"/>
      <c r="DB136" s="391"/>
      <c r="DC136" s="242"/>
      <c r="DD136" s="391"/>
      <c r="DE136" s="391"/>
      <c r="DF136" s="391"/>
      <c r="DG136" s="391"/>
      <c r="DH136" s="391"/>
      <c r="DI136" s="391"/>
      <c r="DJ136" s="391"/>
      <c r="DK136" s="391"/>
      <c r="DL136" s="391"/>
      <c r="DM136" s="391"/>
      <c r="DN136" s="242"/>
      <c r="DO136" s="242"/>
      <c r="DP136" s="242"/>
      <c r="DQ136" s="242"/>
      <c r="DR136" s="242"/>
      <c r="DS136" s="1048"/>
      <c r="DT136" s="1048"/>
      <c r="DU136" s="1048"/>
      <c r="DV136" s="1048"/>
      <c r="DW136" s="1048"/>
      <c r="DX136" s="906"/>
      <c r="DY136" s="862"/>
      <c r="DZ136" s="862"/>
      <c r="EA136" s="862"/>
      <c r="EB136" s="862"/>
      <c r="EH136" s="1048"/>
      <c r="EI136" s="1048"/>
      <c r="EJ136" s="1048"/>
      <c r="EK136" s="1048"/>
      <c r="EM136" s="1048"/>
      <c r="FL136" s="1048"/>
    </row>
    <row r="137" spans="1:168" hidden="1" outlineLevel="1">
      <c r="A137" s="390" t="s">
        <v>1063</v>
      </c>
      <c r="B137" s="14"/>
      <c r="C137" s="14"/>
      <c r="D137" s="77">
        <v>208.86578262960006</v>
      </c>
      <c r="E137" s="14">
        <f>+SUM(B137:D137)</f>
        <v>208.86578262960006</v>
      </c>
      <c r="F137" s="14">
        <f>E137</f>
        <v>208.86578262960006</v>
      </c>
      <c r="G137" s="14"/>
      <c r="H137" s="352"/>
      <c r="I137" s="14"/>
      <c r="J137" s="14">
        <f>+K137</f>
        <v>230.4670000000001</v>
      </c>
      <c r="K137" s="14">
        <f>+K147-K115-K134-K125-K123-K113-K145</f>
        <v>230.4670000000001</v>
      </c>
      <c r="L137" s="14">
        <f>K137</f>
        <v>230.4670000000001</v>
      </c>
      <c r="M137" s="14">
        <f>+M147-M115-M134-M125-M123-M113-M145</f>
        <v>379.51000000000022</v>
      </c>
      <c r="N137" s="14">
        <f>+N147-N115-N134-N125-N123-N113-N145</f>
        <v>364.21000000000026</v>
      </c>
      <c r="O137" s="14">
        <f>N137</f>
        <v>364.21000000000026</v>
      </c>
      <c r="P137" s="14"/>
      <c r="Q137" s="39"/>
      <c r="R137" s="167"/>
      <c r="S137" s="14"/>
      <c r="T137" s="167"/>
      <c r="U137" s="167"/>
      <c r="V137" s="167"/>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c r="AS137" s="14"/>
      <c r="AT137" s="14"/>
      <c r="AU137" s="14"/>
      <c r="AV137" s="14"/>
      <c r="AW137" s="14"/>
      <c r="AX137" s="14"/>
      <c r="AY137" s="14"/>
      <c r="AZ137" s="354"/>
      <c r="BA137" s="354"/>
      <c r="BB137" s="354"/>
      <c r="BC137" s="354"/>
      <c r="BD137" s="354"/>
      <c r="BE137" s="359"/>
      <c r="BF137" s="14">
        <f>+BF147-BF146-BF115-BF134-BF125-BF123-BF113-BF145</f>
        <v>79.587109651339091</v>
      </c>
      <c r="BG137" s="14">
        <f>+BG147-BG146-BG115-BG134-BG125-BG123-BG113-BG145</f>
        <v>27.838997473471458</v>
      </c>
      <c r="BH137" s="14">
        <f>+BH147-BH146-BH115-BH134-BH125-BH123-BH113-BH145</f>
        <v>114.0301091460334</v>
      </c>
      <c r="BI137" s="14">
        <f>+K137-SUM(BF137:BH137)</f>
        <v>9.0107837291561452</v>
      </c>
      <c r="BJ137" s="14"/>
      <c r="BK137" s="14">
        <f>+BK147-BK146-BK115-BK134-BK125-BK123-BK113-BK145</f>
        <v>96.600000000000023</v>
      </c>
      <c r="BL137" s="14">
        <f>+BL147-BL146-BL115-BL134-BL125-BL123-BL113-BL145</f>
        <v>36.630302999999998</v>
      </c>
      <c r="BM137" s="14">
        <f>+BM147-BM146-BM115-BM134-BM125-BM123-BM113-BM145</f>
        <v>112.76927749999999</v>
      </c>
      <c r="BN137" s="14">
        <f>+N137-SUM(BK137:BM137)</f>
        <v>118.21041950000026</v>
      </c>
      <c r="BO137" s="14"/>
      <c r="BP137" s="14">
        <f>+BK137</f>
        <v>96.600000000000023</v>
      </c>
      <c r="BQ137" s="14">
        <f>+BL137</f>
        <v>36.630302999999998</v>
      </c>
      <c r="BR137" s="14">
        <f>+BM137</f>
        <v>112.76927749999999</v>
      </c>
      <c r="BS137" s="14">
        <f>+N137-SUM(BP137:BR137)</f>
        <v>118.21041950000026</v>
      </c>
      <c r="BT137" s="39"/>
      <c r="BU137" s="167"/>
      <c r="BV137" s="167"/>
      <c r="BW137" s="167"/>
      <c r="BX137" s="167"/>
      <c r="BY137" s="95"/>
      <c r="BZ137" s="167"/>
      <c r="CA137" s="167"/>
      <c r="CB137" s="167"/>
      <c r="CC137" s="241"/>
      <c r="CD137" s="377"/>
      <c r="CE137" s="167"/>
      <c r="CF137" s="167"/>
      <c r="CG137" s="167"/>
      <c r="CH137" s="14"/>
      <c r="CI137" s="53"/>
      <c r="CJ137" s="167"/>
      <c r="CK137" s="167"/>
      <c r="CL137" s="14"/>
      <c r="CM137" s="14"/>
      <c r="CN137" s="49"/>
      <c r="CO137" s="167"/>
      <c r="CP137" s="167"/>
      <c r="CQ137" s="14"/>
      <c r="CR137" s="14"/>
      <c r="CS137" s="49"/>
      <c r="CT137" s="14"/>
      <c r="CU137" s="242"/>
      <c r="CV137" s="242"/>
      <c r="CW137" s="242"/>
      <c r="CX137" s="49"/>
      <c r="CY137" s="49"/>
      <c r="CZ137" s="49"/>
      <c r="DA137" s="391"/>
      <c r="DB137" s="391"/>
      <c r="DC137" s="14"/>
      <c r="DD137" s="352"/>
      <c r="DE137" s="352"/>
      <c r="DF137" s="352"/>
      <c r="DG137" s="352"/>
      <c r="DH137" s="352"/>
      <c r="DI137" s="352"/>
      <c r="DJ137" s="352"/>
      <c r="DK137" s="352"/>
      <c r="DL137" s="352"/>
      <c r="DM137" s="352"/>
      <c r="DN137" s="14"/>
      <c r="DO137" s="14"/>
      <c r="DP137" s="14"/>
      <c r="DQ137" s="14"/>
      <c r="DR137" s="14"/>
      <c r="DS137" s="1048"/>
      <c r="DT137" s="1048"/>
      <c r="DU137" s="1048"/>
      <c r="DV137" s="1048"/>
      <c r="DW137" s="1048"/>
      <c r="DX137" s="906"/>
      <c r="DY137" s="862"/>
      <c r="DZ137" s="862"/>
      <c r="EA137" s="862"/>
      <c r="EB137" s="862"/>
      <c r="EH137" s="1048"/>
      <c r="EI137" s="1048"/>
      <c r="EJ137" s="1048"/>
      <c r="EK137" s="1048"/>
      <c r="EM137" s="1048"/>
      <c r="FL137" s="1048"/>
    </row>
    <row r="138" spans="1:168" hidden="1" outlineLevel="1">
      <c r="A138" s="372" t="str">
        <f>+A135</f>
        <v xml:space="preserve">% Margin   </v>
      </c>
      <c r="B138" s="242"/>
      <c r="C138" s="242"/>
      <c r="D138" s="242"/>
      <c r="E138" s="39">
        <f>+E137/E101</f>
        <v>0.10566922120287366</v>
      </c>
      <c r="F138" s="39"/>
      <c r="G138" s="242"/>
      <c r="H138" s="242"/>
      <c r="I138" s="242"/>
      <c r="J138" s="242"/>
      <c r="K138" s="39">
        <f>+K137/K101</f>
        <v>0.14566485460186734</v>
      </c>
      <c r="L138" s="39"/>
      <c r="M138" s="39"/>
      <c r="N138" s="39">
        <f>+N137/N101</f>
        <v>0.34885061332853451</v>
      </c>
      <c r="O138" s="39"/>
      <c r="P138" s="39"/>
      <c r="Q138" s="39"/>
      <c r="R138" s="39"/>
      <c r="S138" s="39"/>
      <c r="T138" s="39"/>
      <c r="U138" s="39"/>
      <c r="V138" s="39"/>
      <c r="W138" s="39"/>
      <c r="X138" s="39"/>
      <c r="Y138" s="39"/>
      <c r="Z138" s="39"/>
      <c r="AA138" s="39"/>
      <c r="AB138" s="39"/>
      <c r="AC138" s="39"/>
      <c r="AD138" s="39"/>
      <c r="AE138" s="39"/>
      <c r="AF138" s="39"/>
      <c r="AG138" s="39"/>
      <c r="AH138" s="39"/>
      <c r="AI138" s="39"/>
      <c r="AJ138" s="39"/>
      <c r="AK138" s="39"/>
      <c r="AL138" s="39"/>
      <c r="AM138" s="39"/>
      <c r="AN138" s="39"/>
      <c r="AO138" s="39"/>
      <c r="AP138" s="39"/>
      <c r="AQ138" s="39"/>
      <c r="AR138" s="39"/>
      <c r="AS138" s="39"/>
      <c r="AT138" s="39"/>
      <c r="AU138" s="39"/>
      <c r="AV138" s="39"/>
      <c r="AW138" s="39"/>
      <c r="AX138" s="39"/>
      <c r="AY138" s="39"/>
      <c r="AZ138" s="359"/>
      <c r="BA138" s="359"/>
      <c r="BB138" s="359"/>
      <c r="BC138" s="359"/>
      <c r="BD138" s="359"/>
      <c r="BE138" s="421"/>
      <c r="BF138" s="39">
        <f>+BF137/BF101</f>
        <v>0.18779912539235744</v>
      </c>
      <c r="BG138" s="39">
        <f>+BG137/BG101</f>
        <v>0.11103620562169524</v>
      </c>
      <c r="BH138" s="39">
        <f>+BH137/BH101</f>
        <v>0.20645379624594715</v>
      </c>
      <c r="BI138" s="39">
        <f>+BI137/BI101</f>
        <v>2.5358416740041669E-2</v>
      </c>
      <c r="BJ138" s="242"/>
      <c r="BK138" s="39">
        <f>+BK137/BK101</f>
        <v>0.39802880970432208</v>
      </c>
      <c r="BL138" s="39">
        <f>+BL137/BL101</f>
        <v>0.21479392502364336</v>
      </c>
      <c r="BM138" s="39">
        <f>+BM137/BM101</f>
        <v>0.28113794034038686</v>
      </c>
      <c r="BN138" s="39">
        <f>+BN137/BN101</f>
        <v>0.51467813421152508</v>
      </c>
      <c r="BO138" s="39"/>
      <c r="BP138" s="39">
        <f>+BP137/BP101</f>
        <v>0.39802880970432208</v>
      </c>
      <c r="BQ138" s="39">
        <f>+BQ137/BQ101</f>
        <v>0.21479392502364336</v>
      </c>
      <c r="BR138" s="39">
        <f>+BR137/BR101</f>
        <v>0.28113794034038686</v>
      </c>
      <c r="BS138" s="39">
        <f>+BS137/BS101</f>
        <v>0.51467813421152508</v>
      </c>
      <c r="BT138" s="242"/>
      <c r="BU138" s="39"/>
      <c r="BV138" s="39"/>
      <c r="BW138" s="39"/>
      <c r="BX138" s="39"/>
      <c r="BY138" s="95"/>
      <c r="BZ138" s="39"/>
      <c r="CA138" s="242"/>
      <c r="CB138" s="242"/>
      <c r="CC138" s="39"/>
      <c r="CD138" s="377"/>
      <c r="CE138" s="39"/>
      <c r="CF138" s="39"/>
      <c r="CG138" s="39"/>
      <c r="CH138" s="39"/>
      <c r="CI138" s="53"/>
      <c r="CJ138" s="39"/>
      <c r="CK138" s="119"/>
      <c r="CL138" s="119"/>
      <c r="CM138" s="39"/>
      <c r="CN138" s="49"/>
      <c r="CO138" s="39"/>
      <c r="CP138" s="119"/>
      <c r="CQ138" s="119"/>
      <c r="CR138" s="39"/>
      <c r="CS138" s="49"/>
      <c r="CT138" s="242"/>
      <c r="CU138" s="14"/>
      <c r="CV138" s="88"/>
      <c r="CW138" s="14"/>
      <c r="CX138" s="49"/>
      <c r="CY138" s="49"/>
      <c r="CZ138" s="49"/>
      <c r="DA138" s="352"/>
      <c r="DB138" s="352"/>
      <c r="DC138" s="242"/>
      <c r="DD138" s="391"/>
      <c r="DE138" s="391"/>
      <c r="DF138" s="391"/>
      <c r="DG138" s="391"/>
      <c r="DH138" s="391"/>
      <c r="DI138" s="391"/>
      <c r="DJ138" s="391"/>
      <c r="DK138" s="391"/>
      <c r="DL138" s="391"/>
      <c r="DM138" s="391"/>
      <c r="DN138" s="242"/>
      <c r="DO138" s="242"/>
      <c r="DP138" s="242"/>
      <c r="DQ138" s="242"/>
      <c r="DR138" s="242"/>
      <c r="DS138" s="1048"/>
      <c r="DT138" s="1048"/>
      <c r="DU138" s="1048"/>
      <c r="DV138" s="1048"/>
      <c r="DW138" s="1048"/>
      <c r="DX138" s="906"/>
      <c r="DY138" s="862"/>
      <c r="DZ138" s="862"/>
      <c r="EA138" s="862"/>
      <c r="EB138" s="862"/>
      <c r="EH138" s="1048"/>
      <c r="EI138" s="1048"/>
      <c r="EJ138" s="1048"/>
      <c r="EK138" s="1048"/>
      <c r="EM138" s="1048"/>
      <c r="FL138" s="1048"/>
    </row>
    <row r="139" spans="1:168" hidden="1" outlineLevel="1">
      <c r="A139" s="242" t="str">
        <f>+A136</f>
        <v>% Change</v>
      </c>
      <c r="B139" s="242"/>
      <c r="C139" s="242"/>
      <c r="D139" s="242"/>
      <c r="E139" s="39"/>
      <c r="F139" s="39"/>
      <c r="G139" s="242"/>
      <c r="H139" s="242"/>
      <c r="I139" s="242"/>
      <c r="J139" s="242"/>
      <c r="K139" s="39">
        <f>+K137/E137-1</f>
        <v>0.10342152313530151</v>
      </c>
      <c r="L139" s="39"/>
      <c r="M139" s="39"/>
      <c r="N139" s="39">
        <f>+N137/K137-1</f>
        <v>0.58031301661409262</v>
      </c>
      <c r="O139" s="39"/>
      <c r="P139" s="39"/>
      <c r="Q139" s="39"/>
      <c r="R139" s="39"/>
      <c r="S139" s="39"/>
      <c r="T139" s="39"/>
      <c r="U139" s="39"/>
      <c r="V139" s="39"/>
      <c r="W139" s="39"/>
      <c r="X139" s="39"/>
      <c r="Y139" s="39"/>
      <c r="Z139" s="39"/>
      <c r="AA139" s="39"/>
      <c r="AB139" s="53"/>
      <c r="AC139" s="39"/>
      <c r="AD139" s="39"/>
      <c r="AE139" s="39"/>
      <c r="AF139" s="39"/>
      <c r="AG139" s="39"/>
      <c r="AH139" s="39"/>
      <c r="AI139" s="39"/>
      <c r="AJ139" s="39"/>
      <c r="AK139" s="39"/>
      <c r="AL139" s="39"/>
      <c r="AM139" s="39"/>
      <c r="AN139" s="39"/>
      <c r="AO139" s="39"/>
      <c r="AP139" s="39"/>
      <c r="AQ139" s="39"/>
      <c r="AR139" s="39"/>
      <c r="AS139" s="39"/>
      <c r="AT139" s="39"/>
      <c r="AU139" s="39"/>
      <c r="AV139" s="39"/>
      <c r="AW139" s="39"/>
      <c r="AX139" s="39"/>
      <c r="AY139" s="39"/>
      <c r="AZ139" s="359"/>
      <c r="BA139" s="359"/>
      <c r="BB139" s="359"/>
      <c r="BC139" s="359"/>
      <c r="BD139" s="359"/>
      <c r="BE139" s="421"/>
      <c r="BF139" s="242"/>
      <c r="BG139" s="242"/>
      <c r="BH139" s="242"/>
      <c r="BI139" s="242"/>
      <c r="BJ139" s="242"/>
      <c r="BK139" s="39">
        <f>+BK137/BF137-1</f>
        <v>0.21376439505332234</v>
      </c>
      <c r="BL139" s="39">
        <f>+BL137/BG137-1</f>
        <v>0.315791024260339</v>
      </c>
      <c r="BM139" s="39">
        <f>+BM137/BH137-1</f>
        <v>-1.1057006394852409E-2</v>
      </c>
      <c r="BN139" s="39">
        <f>+BN137/BI137-1</f>
        <v>12.11877224591546</v>
      </c>
      <c r="BO139" s="39"/>
      <c r="BP139" s="39"/>
      <c r="BQ139" s="39"/>
      <c r="BR139" s="39"/>
      <c r="BS139" s="39"/>
      <c r="BT139" s="242"/>
      <c r="BU139" s="39"/>
      <c r="BV139" s="39"/>
      <c r="BW139" s="39"/>
      <c r="BX139" s="39"/>
      <c r="BY139" s="95"/>
      <c r="BZ139" s="242"/>
      <c r="CA139" s="242"/>
      <c r="CB139" s="242"/>
      <c r="CC139" s="242"/>
      <c r="CD139" s="377"/>
      <c r="CE139" s="242"/>
      <c r="CF139" s="242"/>
      <c r="CG139" s="242"/>
      <c r="CH139" s="118"/>
      <c r="CI139" s="53"/>
      <c r="CJ139" s="242"/>
      <c r="CK139" s="242"/>
      <c r="CL139" s="242"/>
      <c r="CM139" s="242"/>
      <c r="CN139" s="49"/>
      <c r="CO139" s="242"/>
      <c r="CP139" s="242"/>
      <c r="CQ139" s="242"/>
      <c r="CR139" s="242"/>
      <c r="CS139" s="49"/>
      <c r="CT139" s="422"/>
      <c r="CU139" s="422"/>
      <c r="CV139" s="422"/>
      <c r="CW139" s="422"/>
      <c r="CX139" s="49"/>
      <c r="CY139" s="49"/>
      <c r="CZ139" s="49"/>
      <c r="DA139" s="391"/>
      <c r="DB139" s="391"/>
      <c r="DC139" s="242"/>
      <c r="DD139" s="391"/>
      <c r="DE139" s="391"/>
      <c r="DF139" s="391"/>
      <c r="DG139" s="391"/>
      <c r="DH139" s="391"/>
      <c r="DI139" s="391"/>
      <c r="DJ139" s="391"/>
      <c r="DK139" s="391"/>
      <c r="DL139" s="391"/>
      <c r="DM139" s="391"/>
      <c r="DN139" s="242"/>
      <c r="DO139" s="242"/>
      <c r="DP139" s="242"/>
      <c r="DQ139" s="242"/>
      <c r="DR139" s="242"/>
      <c r="DS139" s="1048"/>
      <c r="DT139" s="1048"/>
      <c r="DU139" s="1048"/>
      <c r="DV139" s="1048"/>
      <c r="DW139" s="1048"/>
      <c r="DX139" s="906"/>
      <c r="DY139" s="862"/>
      <c r="DZ139" s="862"/>
      <c r="EA139" s="862"/>
      <c r="EB139" s="862"/>
      <c r="EH139" s="1048"/>
      <c r="EI139" s="1048"/>
      <c r="EJ139" s="1048"/>
      <c r="EK139" s="1048"/>
      <c r="EM139" s="1048"/>
      <c r="FL139" s="1048"/>
    </row>
    <row r="140" spans="1:168" collapsed="1">
      <c r="A140" s="412" t="s">
        <v>1079</v>
      </c>
      <c r="B140" s="242"/>
      <c r="C140" s="242"/>
      <c r="D140" s="439">
        <f>D137+D134</f>
        <v>393.66578262960007</v>
      </c>
      <c r="E140" s="439">
        <f>E137+E134</f>
        <v>393.66578262960007</v>
      </c>
      <c r="F140" s="49">
        <f>F134+F137</f>
        <v>393.66578262960007</v>
      </c>
      <c r="G140" s="439"/>
      <c r="H140" s="439"/>
      <c r="I140" s="439">
        <f>I137+I134</f>
        <v>28</v>
      </c>
      <c r="J140" s="439">
        <f>J137+J134</f>
        <v>411.4670000000001</v>
      </c>
      <c r="K140" s="439">
        <f>K137+K134</f>
        <v>439.4670000000001</v>
      </c>
      <c r="L140" s="49">
        <f>L134+L137</f>
        <v>439.4670000000001</v>
      </c>
      <c r="M140" s="439">
        <f>M137+M134</f>
        <v>588.51000000000022</v>
      </c>
      <c r="N140" s="439">
        <f>N137+N134</f>
        <v>573.21000000000026</v>
      </c>
      <c r="O140" s="49">
        <f>O134+O137</f>
        <v>573.21000000000026</v>
      </c>
      <c r="P140" s="439">
        <f>R140</f>
        <v>573.60020000000009</v>
      </c>
      <c r="Q140" s="39"/>
      <c r="R140" s="439">
        <f>R147-R146-R145-R127-R116</f>
        <v>573.60020000000009</v>
      </c>
      <c r="S140" s="49">
        <f>R140</f>
        <v>573.60020000000009</v>
      </c>
      <c r="T140" s="439">
        <f>T147-T146-T145-T127-T116</f>
        <v>496.68809708575606</v>
      </c>
      <c r="U140" s="439">
        <f>U147-U146-U145-U127-U116</f>
        <v>332.73671674037791</v>
      </c>
      <c r="V140" s="39"/>
      <c r="W140" s="39"/>
      <c r="X140" s="439">
        <f t="shared" ref="X140:AD140" si="205">X147-X146-X145-X127-X116-X143</f>
        <v>620.73684503308505</v>
      </c>
      <c r="Y140" s="439">
        <f t="shared" si="205"/>
        <v>435.11103357066918</v>
      </c>
      <c r="Z140" s="439">
        <f t="shared" si="205"/>
        <v>324.09170374774101</v>
      </c>
      <c r="AA140" s="439">
        <f t="shared" si="205"/>
        <v>589.23684503308505</v>
      </c>
      <c r="AB140" s="439">
        <f>AB147-AB146-AB145-AB127-AB116-AB143</f>
        <v>562.44017959050313</v>
      </c>
      <c r="AC140" s="439">
        <f t="shared" ca="1" si="205"/>
        <v>588.91075451527695</v>
      </c>
      <c r="AD140" s="439">
        <f t="shared" ca="1" si="205"/>
        <v>574.22473203085883</v>
      </c>
      <c r="AE140" s="439">
        <f>SUM(DI140:DL140)</f>
        <v>784.5983421686733</v>
      </c>
      <c r="AF140" s="439">
        <f>SUM(DN140:DQ140)</f>
        <v>811.71295188571366</v>
      </c>
      <c r="AG140" s="439">
        <f>SUM(DS140:DV140)</f>
        <v>728.20794041364763</v>
      </c>
      <c r="AH140" s="225">
        <f>+Drivers!K59</f>
        <v>788.78363915269722</v>
      </c>
      <c r="AI140" s="225">
        <f>+Drivers!L59</f>
        <v>1129.2408198762516</v>
      </c>
      <c r="AJ140" s="225">
        <f>Drivers!M59</f>
        <v>1097.1242780884916</v>
      </c>
      <c r="AK140" s="225">
        <f>Drivers!N59</f>
        <v>1042.695549435507</v>
      </c>
      <c r="AL140" s="225">
        <f>Drivers!Q59</f>
        <v>952.71760805640679</v>
      </c>
      <c r="AM140" s="225">
        <f>Drivers!R59</f>
        <v>924.57929572869148</v>
      </c>
      <c r="AN140" s="225">
        <f>Drivers!T59</f>
        <v>912.81956230781645</v>
      </c>
      <c r="AO140" s="225">
        <f>Drivers!U59</f>
        <v>983.6685037622866</v>
      </c>
      <c r="AP140" s="49">
        <f t="shared" ref="AP140:AW140" si="206">AP141*AP103</f>
        <v>1022.8111310264569</v>
      </c>
      <c r="AQ140" s="49">
        <f t="shared" si="206"/>
        <v>1062.6291837925703</v>
      </c>
      <c r="AR140" s="49">
        <f t="shared" si="206"/>
        <v>1104.7930670877872</v>
      </c>
      <c r="AS140" s="49">
        <f t="shared" si="206"/>
        <v>1146.2999406728611</v>
      </c>
      <c r="AT140" s="49">
        <f t="shared" si="206"/>
        <v>1186.9452125283426</v>
      </c>
      <c r="AU140" s="49">
        <f t="shared" si="206"/>
        <v>1226.1513437785261</v>
      </c>
      <c r="AV140" s="49">
        <f t="shared" si="206"/>
        <v>1263.6450599277696</v>
      </c>
      <c r="AW140" s="49">
        <f t="shared" si="206"/>
        <v>1299.1496363805193</v>
      </c>
      <c r="AX140" s="49">
        <f>AX141*AX103</f>
        <v>1331.9612851769882</v>
      </c>
      <c r="AY140" s="49">
        <f>AY141*AY103</f>
        <v>1362.6377361948826</v>
      </c>
      <c r="AZ140" s="350"/>
      <c r="BA140" s="350"/>
      <c r="BB140" s="350"/>
      <c r="BC140" s="350"/>
      <c r="BD140" s="350"/>
      <c r="BE140" s="421"/>
      <c r="BF140" s="49">
        <f>BF134+BF137</f>
        <v>113.91000000000003</v>
      </c>
      <c r="BG140" s="49">
        <f>BG134+BG137</f>
        <v>87.244</v>
      </c>
      <c r="BH140" s="49">
        <f>BH134+BH137</f>
        <v>160.23400000000004</v>
      </c>
      <c r="BI140" s="49">
        <f>BI134+BI137</f>
        <v>78.079000000000008</v>
      </c>
      <c r="BJ140" s="242"/>
      <c r="BK140" s="49">
        <f>BK134+BK137</f>
        <v>135.51888000000002</v>
      </c>
      <c r="BL140" s="49">
        <f>BL134+BL137</f>
        <v>103.989903</v>
      </c>
      <c r="BM140" s="49">
        <f>BM134+BM137</f>
        <v>165.1600775</v>
      </c>
      <c r="BN140" s="49">
        <f>BN134+BN137</f>
        <v>168.54113950000024</v>
      </c>
      <c r="BO140" s="39"/>
      <c r="BP140" s="49">
        <f>BP134+BP137</f>
        <v>135.51888000000002</v>
      </c>
      <c r="BQ140" s="49">
        <f>BQ134+BQ137</f>
        <v>103.989903</v>
      </c>
      <c r="BR140" s="49">
        <f>BR134+BR137</f>
        <v>165.1600775</v>
      </c>
      <c r="BS140" s="49">
        <f>BS134+BS137</f>
        <v>168.54113950000024</v>
      </c>
      <c r="BT140" s="242"/>
      <c r="BU140" s="439">
        <f>BU147-BU146-BU145-BU127-BU116</f>
        <v>139.40540639999998</v>
      </c>
      <c r="BV140" s="439">
        <f>BV147-BV146-BV145-BV127-BV116</f>
        <v>159.571578612</v>
      </c>
      <c r="BW140" s="439">
        <f>BW147-BW146-BW145-BW127-BW116</f>
        <v>201.4703021</v>
      </c>
      <c r="BX140" s="439">
        <f>BX147-BX146-BX145-BX127-BX116</f>
        <v>71.852912888000077</v>
      </c>
      <c r="BY140" s="95"/>
      <c r="BZ140" s="439">
        <f>BZ147-BZ146-BZ145-BZ127-BZ116</f>
        <v>130.15123148799998</v>
      </c>
      <c r="CA140" s="439">
        <f>CA147-CA146-CA145-CA127-CA116</f>
        <v>155.22603666920003</v>
      </c>
      <c r="CB140" s="439">
        <f>CB147-CB146-CB145-CB127-CB116</f>
        <v>192.79992555774999</v>
      </c>
      <c r="CC140" s="439">
        <f>CC147-CC146-CC145-CC127-CC116</f>
        <v>18.510903370805948</v>
      </c>
      <c r="CD140" s="377"/>
      <c r="CE140" s="439">
        <f>CE147-CE146-CE145-CE127-CE116</f>
        <v>135.18180484120001</v>
      </c>
      <c r="CF140" s="439">
        <f>CF147-CF146-CF145-CF127-CF116</f>
        <v>170.9169350796806</v>
      </c>
      <c r="CG140" s="439">
        <f>CG147-CG146-CG145-CG127-CG116</f>
        <v>206.51529548805001</v>
      </c>
      <c r="CH140" s="439">
        <f>CH147-CH146-CH145-CH127-CH116</f>
        <v>-179.87731866855265</v>
      </c>
      <c r="CI140" s="53"/>
      <c r="CJ140" s="439">
        <f>CJ147-CJ146-CJ145-CJ127-CJ116-CJ143</f>
        <v>175.45450545807995</v>
      </c>
      <c r="CK140" s="439">
        <f>CK147-CK146-CK145-CK127-CK116-CK143</f>
        <v>305.37410704700176</v>
      </c>
      <c r="CL140" s="439">
        <f>CL147-CL146-CL145-CL127-CL116-CL143</f>
        <v>241.99986572822749</v>
      </c>
      <c r="CM140" s="439">
        <f>CM147-CM146-CM145-CM127-CM116-CM143</f>
        <v>-102.09163320022418</v>
      </c>
      <c r="CN140" s="49">
        <f>+X140-SUM(CJ140:CM140)</f>
        <v>0</v>
      </c>
      <c r="CO140" s="439">
        <f>CO147-CO146-CO145-CO127-CO116-CO143</f>
        <v>142.87747452541601</v>
      </c>
      <c r="CP140" s="439">
        <f>CP147-CP146-CP145-CP127-CP116-CP143</f>
        <v>268.2287045297947</v>
      </c>
      <c r="CQ140" s="439">
        <f>CQ147-CQ146-CQ145-CQ127-CQ116-CQ143</f>
        <v>229.45499669718947</v>
      </c>
      <c r="CR140" s="439">
        <f>CR147-CR146-CR145-CR127-CR116-CR143</f>
        <v>-51.324330719315014</v>
      </c>
      <c r="CS140" s="49">
        <f>+AA140-SUM(CO140:CR140)</f>
        <v>0</v>
      </c>
      <c r="CT140" s="439">
        <f>CT147-CT146-CT145-CT127-CT116-CT143</f>
        <v>134.65520375462472</v>
      </c>
      <c r="CU140" s="439">
        <f>CU147-CU146-CU145-CU127-CU116-CU143</f>
        <v>169.08829924629106</v>
      </c>
      <c r="CV140" s="439">
        <f>CV147-CV146-CV145-CV127-CV116-CV143</f>
        <v>123.81541600937942</v>
      </c>
      <c r="CW140" s="439">
        <f>CW147-CW146-CW145-CW127-CW116-CW143</f>
        <v>134.88126058020799</v>
      </c>
      <c r="CX140" s="49">
        <f>AB140-SUM(CT140:CW140)</f>
        <v>0</v>
      </c>
      <c r="CY140" s="49">
        <f>CY147-CY146-CY145-CY127-CY116-CY143</f>
        <v>126.04447142835411</v>
      </c>
      <c r="CZ140" s="49">
        <f>CZ147-CZ146-CZ145-CZ127-CZ116-CZ143</f>
        <v>168.98587789981187</v>
      </c>
      <c r="DA140" s="1366">
        <f>DA147-DA146-DA145-DA127-DA116-DA143</f>
        <v>137.69611122032512</v>
      </c>
      <c r="DB140" s="1373">
        <f ca="1">AC140-SUM(CY140:DA140)</f>
        <v>156.18429396678584</v>
      </c>
      <c r="DC140" s="2351">
        <f ca="1">AC140-SUM(CY140:DB140)</f>
        <v>0</v>
      </c>
      <c r="DD140" s="1724">
        <f>DD147-DD146-DD145-DD127-DD116-DD143</f>
        <v>83.209725010518099</v>
      </c>
      <c r="DE140" s="1724">
        <f>DE147-DE146-DE145-DE127-DE116-DE143</f>
        <v>219.54169010348903</v>
      </c>
      <c r="DF140" s="1724">
        <f>DF147-DF146-DF145-DF127-DF116-DF143</f>
        <v>159.00520813299096</v>
      </c>
      <c r="DG140" s="2440">
        <f ca="1">AD140-SUM(DD140:DF140)</f>
        <v>112.46810878386071</v>
      </c>
      <c r="DH140" s="2352">
        <f ca="1">AD140-SUM(DD140:DG140)</f>
        <v>0</v>
      </c>
      <c r="DI140" s="2011">
        <f>Drivers!BG59</f>
        <v>257.60738720851401</v>
      </c>
      <c r="DJ140" s="2011">
        <f>Drivers!BH59</f>
        <v>195.22265981718286</v>
      </c>
      <c r="DK140" s="2011">
        <f>Drivers!BI59</f>
        <v>236.56822422597207</v>
      </c>
      <c r="DL140" s="2011">
        <f>Drivers!BJ59</f>
        <v>95.200070917004226</v>
      </c>
      <c r="DM140" s="2351">
        <f>AE140-SUM(DI140:DL140)</f>
        <v>0</v>
      </c>
      <c r="DN140" s="2011">
        <f>Drivers!BL59</f>
        <v>186.51926412189087</v>
      </c>
      <c r="DO140" s="2011">
        <f>Drivers!BM59</f>
        <v>203.8</v>
      </c>
      <c r="DP140" s="2011">
        <f>Drivers!BN59</f>
        <v>286.4523363389581</v>
      </c>
      <c r="DQ140" s="2011">
        <f>Drivers!BO59</f>
        <v>134.94135142486471</v>
      </c>
      <c r="DR140" s="2026">
        <f>AF140-SUM(DN140:DQ140)</f>
        <v>0</v>
      </c>
      <c r="DS140" s="2011">
        <f>Drivers!BQ59</f>
        <v>147.59323599917821</v>
      </c>
      <c r="DT140" s="2011">
        <f>Drivers!BR59</f>
        <v>202.88347696494407</v>
      </c>
      <c r="DU140" s="2011">
        <f>Drivers!BS59</f>
        <v>215.27792565091229</v>
      </c>
      <c r="DV140" s="2011">
        <f>Drivers!BT59</f>
        <v>162.4533017986131</v>
      </c>
      <c r="DW140" s="2026">
        <f>AG140-SUM(DS140:DV140)</f>
        <v>0</v>
      </c>
      <c r="DX140" s="1470"/>
      <c r="DY140" s="862"/>
      <c r="DZ140" s="862"/>
      <c r="EA140" s="862"/>
      <c r="EB140" s="862"/>
      <c r="EH140" s="1048"/>
      <c r="EI140" s="1048"/>
      <c r="EJ140" s="1048"/>
      <c r="EK140" s="1048"/>
      <c r="EM140" s="1048"/>
      <c r="FL140" s="1048"/>
    </row>
    <row r="141" spans="1:168">
      <c r="A141" s="372" t="str">
        <f>+A138</f>
        <v xml:space="preserve">% Margin   </v>
      </c>
      <c r="B141" s="242"/>
      <c r="C141" s="242"/>
      <c r="D141" s="39">
        <f>D140/D103</f>
        <v>0.14678615258943292</v>
      </c>
      <c r="E141" s="39">
        <f>E140/E103</f>
        <v>0.14678615258943292</v>
      </c>
      <c r="F141" s="39"/>
      <c r="G141" s="242"/>
      <c r="H141" s="242"/>
      <c r="I141" s="242"/>
      <c r="J141" s="242"/>
      <c r="K141" s="39">
        <f>K140/K103</f>
        <v>0.18513438311076935</v>
      </c>
      <c r="L141" s="39"/>
      <c r="M141" s="39"/>
      <c r="N141" s="39">
        <f>N140/N103</f>
        <v>0.31226905900978746</v>
      </c>
      <c r="O141" s="39"/>
      <c r="P141" s="39"/>
      <c r="Q141" s="39"/>
      <c r="R141" s="39">
        <f>R140/R103</f>
        <v>0.28355511896629099</v>
      </c>
      <c r="S141" s="39"/>
      <c r="T141" s="39">
        <f>T140/T103</f>
        <v>0.24115516612398444</v>
      </c>
      <c r="U141" s="39">
        <f>U140/U103</f>
        <v>0.15878187678300693</v>
      </c>
      <c r="V141" s="39"/>
      <c r="W141" s="39"/>
      <c r="X141" s="1110">
        <f t="shared" ref="X141:AK141" si="207">X140/X103</f>
        <v>0.28285306859992859</v>
      </c>
      <c r="Y141" s="1110">
        <f t="shared" si="207"/>
        <v>0.22738358926903951</v>
      </c>
      <c r="Z141" s="1110">
        <f t="shared" si="207"/>
        <v>0.16354410452283472</v>
      </c>
      <c r="AA141" s="1110">
        <f t="shared" si="207"/>
        <v>0.27683771601134061</v>
      </c>
      <c r="AB141" s="1110">
        <f t="shared" si="207"/>
        <v>0.30469927410432579</v>
      </c>
      <c r="AC141" s="1110">
        <f t="shared" ca="1" si="207"/>
        <v>0.29415102521374176</v>
      </c>
      <c r="AD141" s="1110">
        <f t="shared" ca="1" si="207"/>
        <v>0.32108470054705834</v>
      </c>
      <c r="AE141" s="1110">
        <f t="shared" si="207"/>
        <v>0.30529782689016571</v>
      </c>
      <c r="AF141" s="1110">
        <f t="shared" si="207"/>
        <v>0.31357024946645506</v>
      </c>
      <c r="AG141" s="1110">
        <f t="shared" si="207"/>
        <v>0.30133158004463761</v>
      </c>
      <c r="AH141" s="1110">
        <f t="shared" si="207"/>
        <v>0.31950595770924017</v>
      </c>
      <c r="AI141" s="1110">
        <f t="shared" si="207"/>
        <v>0.39384387047592961</v>
      </c>
      <c r="AJ141" s="1110">
        <f t="shared" si="207"/>
        <v>0.34053105498224345</v>
      </c>
      <c r="AK141" s="1110">
        <f t="shared" si="207"/>
        <v>0.32987982606823257</v>
      </c>
      <c r="AL141" s="1110">
        <f>AL140/AL103</f>
        <v>0.31619931519483979</v>
      </c>
      <c r="AM141" s="39">
        <f>AM140/AM103</f>
        <v>0.32905465606165096</v>
      </c>
      <c r="AN141" s="39">
        <f>AN140/AN103</f>
        <v>0.31058319053414546</v>
      </c>
      <c r="AO141" s="39">
        <f>AO140/AO103</f>
        <v>0.32137919132183984</v>
      </c>
      <c r="AP141" s="1551">
        <f>+Scenarios!N136</f>
        <v>0.32237919132183984</v>
      </c>
      <c r="AQ141" s="1551">
        <f>+Scenarios!O136</f>
        <v>0.32337919132183984</v>
      </c>
      <c r="AR141" s="1551">
        <f>+Scenarios!P136</f>
        <v>0.32437919132183984</v>
      </c>
      <c r="AS141" s="1551">
        <f>+Scenarios!Q136</f>
        <v>0.32537919132183984</v>
      </c>
      <c r="AT141" s="1551">
        <f>+Scenarios!R136</f>
        <v>0.32637919132183985</v>
      </c>
      <c r="AU141" s="1551">
        <f>+Scenarios!S136</f>
        <v>0.32737919132183985</v>
      </c>
      <c r="AV141" s="1551">
        <f>+Scenarios!T136</f>
        <v>0.32837919132183985</v>
      </c>
      <c r="AW141" s="1551">
        <f>+Scenarios!U136</f>
        <v>0.32937919132183985</v>
      </c>
      <c r="AX141" s="1551">
        <f>+Scenarios!V136</f>
        <v>0.33037919132183985</v>
      </c>
      <c r="AY141" s="1551">
        <f>+Scenarios!W136</f>
        <v>0.33137919132183985</v>
      </c>
      <c r="AZ141" s="471"/>
      <c r="BA141" s="471"/>
      <c r="BB141" s="471"/>
      <c r="BC141" s="471"/>
      <c r="BD141" s="471"/>
      <c r="BE141" s="421"/>
      <c r="BF141" s="39">
        <f>BF140/BF103</f>
        <v>0.20569224532470429</v>
      </c>
      <c r="BG141" s="39">
        <f>BG140/BG103</f>
        <v>0.18339359286975521</v>
      </c>
      <c r="BH141" s="39">
        <f>BH140/BH103</f>
        <v>0.22030515826776798</v>
      </c>
      <c r="BI141" s="39">
        <f>BI140/BI103</f>
        <v>0.12655911381551149</v>
      </c>
      <c r="BJ141" s="242"/>
      <c r="BK141" s="39">
        <f>BK140/BK103</f>
        <v>0.34738098411754492</v>
      </c>
      <c r="BL141" s="39">
        <f>BL140/BL103</f>
        <v>0.24428726451944893</v>
      </c>
      <c r="BM141" s="39">
        <f>BM140/BM103</f>
        <v>0.2754654753073989</v>
      </c>
      <c r="BN141" s="39">
        <f>BN140/BN103</f>
        <v>0.40104174851116636</v>
      </c>
      <c r="BO141" s="39"/>
      <c r="BP141" s="39">
        <f>BP140/BP103</f>
        <v>0.34738098411754492</v>
      </c>
      <c r="BQ141" s="39">
        <f>BQ140/BQ103</f>
        <v>0.24428726451944893</v>
      </c>
      <c r="BR141" s="39">
        <f>BR140/BR103</f>
        <v>0.2754654753073989</v>
      </c>
      <c r="BS141" s="39">
        <f>BS140/BS103</f>
        <v>0.40104174851116636</v>
      </c>
      <c r="BT141" s="242"/>
      <c r="BU141" s="39">
        <f>BU140/BU103</f>
        <v>0.29461675418389238</v>
      </c>
      <c r="BV141" s="39">
        <f>BV140/BV103</f>
        <v>0.32132166438353804</v>
      </c>
      <c r="BW141" s="39">
        <f>BW140/BW103</f>
        <v>0.32095921353624463</v>
      </c>
      <c r="BX141" s="39">
        <f>BX140/BX103</f>
        <v>0.1669098961066372</v>
      </c>
      <c r="BY141" s="419"/>
      <c r="BZ141" s="39">
        <f>BZ140/BZ103</f>
        <v>0.25784730212653117</v>
      </c>
      <c r="CA141" s="39">
        <f>CA140/CA103</f>
        <v>0.31020849758080909</v>
      </c>
      <c r="CB141" s="39">
        <f>CB140/CB103</f>
        <v>0.28593433802557244</v>
      </c>
      <c r="CC141" s="39">
        <f>CC140/CC103</f>
        <v>4.8689009149158989E-2</v>
      </c>
      <c r="CD141" s="420"/>
      <c r="CE141" s="39">
        <f>CE140/CE103</f>
        <v>0.27033443269793972</v>
      </c>
      <c r="CF141" s="39">
        <f>CF140/CF103</f>
        <v>0.30442215118168031</v>
      </c>
      <c r="CG141" s="39">
        <f>CG140/CG103</f>
        <v>0.29688759542214871</v>
      </c>
      <c r="CH141" s="39">
        <f>CH140/CH103</f>
        <v>-0.53146361404411979</v>
      </c>
      <c r="CI141" s="418"/>
      <c r="CJ141" s="39">
        <f>CJ140/CJ103</f>
        <v>0.2876462142764224</v>
      </c>
      <c r="CK141" s="39">
        <f>CK140/CK103</f>
        <v>0.40536086438308538</v>
      </c>
      <c r="CL141" s="39">
        <f>CL140/CL103</f>
        <v>0.30565021698068667</v>
      </c>
      <c r="CM141" s="39">
        <f>CM140/CM103</f>
        <v>-2.5848399198570005</v>
      </c>
      <c r="CN141" s="350"/>
      <c r="CO141" s="39">
        <f>CO140/CO103</f>
        <v>0.28212402866273001</v>
      </c>
      <c r="CP141" s="39">
        <f>CP140/CP103</f>
        <v>0.4293895486059397</v>
      </c>
      <c r="CQ141" s="39">
        <f>CQ140/CQ103</f>
        <v>0.3177088558573975</v>
      </c>
      <c r="CR141" s="39">
        <f>CR140/CR103</f>
        <v>-0.18654675291952749</v>
      </c>
      <c r="CS141" s="350"/>
      <c r="CT141" s="39">
        <f>CT140/CT103</f>
        <v>0.3000972157641239</v>
      </c>
      <c r="CU141" s="39">
        <f>CU140/CU103</f>
        <v>0.31936862847257275</v>
      </c>
      <c r="CV141" s="242">
        <f>CV140/CV103</f>
        <v>0.22073829336485776</v>
      </c>
      <c r="CW141" s="39">
        <f>CW140/CW103</f>
        <v>0.43960985731392149</v>
      </c>
      <c r="CX141" s="49"/>
      <c r="CY141" s="39">
        <f>CY140/CY103</f>
        <v>0.2372144959522052</v>
      </c>
      <c r="CZ141" s="39">
        <f>CZ140/CZ103</f>
        <v>0.37659453447897739</v>
      </c>
      <c r="DA141" s="1110">
        <f>DA140/DA103</f>
        <v>0.27007174708315412</v>
      </c>
      <c r="DB141" s="1923">
        <f ca="1">DB140/DB103</f>
        <v>0.3049605322807169</v>
      </c>
      <c r="DC141" s="1164"/>
      <c r="DD141" s="1110">
        <f>DD140/DD103</f>
        <v>0.21009096009601302</v>
      </c>
      <c r="DE141" s="1164">
        <f>DE140/DE103</f>
        <v>0.46347382406594823</v>
      </c>
      <c r="DF141" s="1164">
        <f>DF140/DF103</f>
        <v>0.3617199839514445</v>
      </c>
      <c r="DG141" s="1110">
        <f ca="1">DG140/DG103</f>
        <v>0.23476994208059918</v>
      </c>
      <c r="DH141" s="2348"/>
      <c r="DI141" s="1164">
        <f>DI140/DI103</f>
        <v>0.3638970058029164</v>
      </c>
      <c r="DJ141" s="1164">
        <f>DJ140/DJ103</f>
        <v>0.34194268805139133</v>
      </c>
      <c r="DK141" s="1164">
        <f>DK140/DK103</f>
        <v>0.32580331787235478</v>
      </c>
      <c r="DL141" s="1110">
        <f>DL140/DL103</f>
        <v>0.16849524402202126</v>
      </c>
      <c r="DM141" s="2348"/>
      <c r="DN141" s="1110">
        <f>DN140/DN103</f>
        <v>0.3146313695402474</v>
      </c>
      <c r="DO141" s="1110">
        <f>DO140/DO103</f>
        <v>0.42684079705758249</v>
      </c>
      <c r="DP141" s="1164">
        <f>DP140/DK140-1</f>
        <v>0.21086564891038062</v>
      </c>
      <c r="DQ141" s="1110">
        <f>DQ140/DQ103</f>
        <v>0.23819399412631162</v>
      </c>
      <c r="DR141" s="1164"/>
      <c r="DS141" s="1110">
        <f>DS140/DS103</f>
        <v>0.25932372057320213</v>
      </c>
      <c r="DT141" s="1110">
        <f>DT140/DT103</f>
        <v>0.37250905623827624</v>
      </c>
      <c r="DU141" s="1110">
        <f>DU140/DU103</f>
        <v>0.32813050646079961</v>
      </c>
      <c r="DV141" s="1110">
        <f>DV140/DV103</f>
        <v>0.25117547001460022</v>
      </c>
      <c r="DW141" s="1577"/>
      <c r="DX141" s="1470"/>
      <c r="DY141" s="862"/>
      <c r="DZ141" s="862"/>
      <c r="EA141" s="862"/>
      <c r="EB141" s="862"/>
      <c r="EH141" s="1048"/>
      <c r="EI141" s="1048"/>
      <c r="EJ141" s="1048"/>
      <c r="EK141" s="1048"/>
      <c r="EM141" s="1048"/>
      <c r="FL141" s="1048"/>
    </row>
    <row r="142" spans="1:168">
      <c r="A142" s="242" t="str">
        <f>+A139</f>
        <v>% Change</v>
      </c>
      <c r="B142" s="242"/>
      <c r="C142" s="242"/>
      <c r="D142" s="242"/>
      <c r="E142" s="39"/>
      <c r="F142" s="39"/>
      <c r="G142" s="242"/>
      <c r="H142" s="242"/>
      <c r="I142" s="242"/>
      <c r="J142" s="242"/>
      <c r="K142" s="39">
        <f>+K140/E140-1</f>
        <v>0.11634543664033492</v>
      </c>
      <c r="L142" s="39"/>
      <c r="M142" s="53"/>
      <c r="N142" s="39">
        <f>+N140/K140-1</f>
        <v>0.30433001795356684</v>
      </c>
      <c r="O142" s="39"/>
      <c r="P142" s="39">
        <f>+P140/N140-1</f>
        <v>6.8072783098660494E-4</v>
      </c>
      <c r="Q142" s="39"/>
      <c r="R142" s="39">
        <f>+R140/N140-1</f>
        <v>6.8072783098660494E-4</v>
      </c>
      <c r="S142" s="39"/>
      <c r="T142" s="39">
        <f>+T140/R140-1</f>
        <v>-0.13408660407413386</v>
      </c>
      <c r="U142" s="39">
        <f>+U140/T140-1</f>
        <v>-0.33008920750736448</v>
      </c>
      <c r="V142" s="39"/>
      <c r="W142" s="39"/>
      <c r="X142" s="1110">
        <f>+X140/U140-1</f>
        <v>0.86554958861790698</v>
      </c>
      <c r="Y142" s="1110">
        <f>Y140/S140-1</f>
        <v>-0.24143849048401811</v>
      </c>
      <c r="Z142" s="1110">
        <f>Z140/Y140-1</f>
        <v>-0.25515172279559495</v>
      </c>
      <c r="AA142" s="1110">
        <f>AA140/Z140-1</f>
        <v>0.81811764454088465</v>
      </c>
      <c r="AB142" s="1110">
        <f>AB140/AA140-1</f>
        <v>-4.5476900618930727E-2</v>
      </c>
      <c r="AC142" s="1110">
        <f t="shared" ref="AC142:AQ142" ca="1" si="208">+AC140/AB140-1</f>
        <v>4.7063804979306845E-2</v>
      </c>
      <c r="AD142" s="1110">
        <f t="shared" ca="1" si="208"/>
        <v>-2.4937602806228143E-2</v>
      </c>
      <c r="AE142" s="1110">
        <f t="shared" ca="1" si="208"/>
        <v>0.36636110986335746</v>
      </c>
      <c r="AF142" s="1110">
        <f t="shared" si="208"/>
        <v>3.455858655282662E-2</v>
      </c>
      <c r="AG142" s="1110">
        <f t="shared" si="208"/>
        <v>-0.10287505118413243</v>
      </c>
      <c r="AH142" s="1110">
        <f t="shared" si="208"/>
        <v>8.3184617163938768E-2</v>
      </c>
      <c r="AI142" s="1110">
        <f t="shared" si="208"/>
        <v>0.43162302540817121</v>
      </c>
      <c r="AJ142" s="1110">
        <f t="shared" si="208"/>
        <v>-2.8440826104107364E-2</v>
      </c>
      <c r="AK142" s="1110">
        <f t="shared" si="208"/>
        <v>-4.9610358406993904E-2</v>
      </c>
      <c r="AL142" s="1110">
        <f t="shared" si="208"/>
        <v>-8.6293589176449803E-2</v>
      </c>
      <c r="AM142" s="39">
        <f t="shared" si="208"/>
        <v>-2.9534787737490187E-2</v>
      </c>
      <c r="AN142" s="39">
        <f t="shared" si="208"/>
        <v>-1.2719010121902796E-2</v>
      </c>
      <c r="AO142" s="39">
        <f t="shared" si="208"/>
        <v>7.7615494211526137E-2</v>
      </c>
      <c r="AP142" s="39">
        <f t="shared" si="208"/>
        <v>3.9792498300453394E-2</v>
      </c>
      <c r="AQ142" s="39">
        <f t="shared" si="208"/>
        <v>3.893001509101035E-2</v>
      </c>
      <c r="AR142" s="39">
        <f t="shared" ref="AR142:AY142" si="209">+AR140/AQ140-1</f>
        <v>3.967883052555754E-2</v>
      </c>
      <c r="AS142" s="39">
        <f t="shared" si="209"/>
        <v>3.7569817209737844E-2</v>
      </c>
      <c r="AT142" s="39">
        <f t="shared" si="209"/>
        <v>3.5457798097436211E-2</v>
      </c>
      <c r="AU142" s="39">
        <f t="shared" si="209"/>
        <v>3.3031121265209462E-2</v>
      </c>
      <c r="AV142" s="39">
        <f t="shared" si="209"/>
        <v>3.0578375450539541E-2</v>
      </c>
      <c r="AW142" s="39">
        <f t="shared" si="209"/>
        <v>2.8096953471079322E-2</v>
      </c>
      <c r="AX142" s="39">
        <f t="shared" si="209"/>
        <v>2.5256250610117048E-2</v>
      </c>
      <c r="AY142" s="39">
        <f t="shared" si="209"/>
        <v>2.303103803337514E-2</v>
      </c>
      <c r="AZ142" s="359"/>
      <c r="BA142" s="359"/>
      <c r="BB142" s="359"/>
      <c r="BC142" s="359"/>
      <c r="BD142" s="359"/>
      <c r="BE142" s="421"/>
      <c r="BF142" s="421"/>
      <c r="BG142" s="421"/>
      <c r="BH142" s="421"/>
      <c r="BI142" s="421"/>
      <c r="BJ142" s="421"/>
      <c r="BK142" s="39">
        <f>+BK140/BF140-1</f>
        <v>0.18970134316565712</v>
      </c>
      <c r="BL142" s="39">
        <f>+BL140/BG140-1</f>
        <v>0.191943319884462</v>
      </c>
      <c r="BM142" s="39">
        <f>+BM140/BH140-1</f>
        <v>3.0743022704294631E-2</v>
      </c>
      <c r="BN142" s="39">
        <f>+BN140/BI140-1</f>
        <v>1.1585975678479516</v>
      </c>
      <c r="BO142" s="359"/>
      <c r="BP142" s="359"/>
      <c r="BQ142" s="359"/>
      <c r="BR142" s="359"/>
      <c r="BS142" s="359"/>
      <c r="BT142" s="421"/>
      <c r="BU142" s="39">
        <f>+BU140/BP140-1</f>
        <v>2.8678855669408865E-2</v>
      </c>
      <c r="BV142" s="39">
        <f>+BV140/BQ140-1</f>
        <v>0.5344910804657641</v>
      </c>
      <c r="BW142" s="39">
        <f>+BW140/BR140-1</f>
        <v>0.21984867741418923</v>
      </c>
      <c r="BX142" s="39">
        <f>+BX140/BS140-1</f>
        <v>-0.57367730453727006</v>
      </c>
      <c r="BY142" s="419"/>
      <c r="BZ142" s="39">
        <f>+BZ140/BU140-1</f>
        <v>-6.6383185207657736E-2</v>
      </c>
      <c r="CA142" s="39">
        <f>+CA140/BV140-1</f>
        <v>-2.7232555951371529E-2</v>
      </c>
      <c r="CB142" s="39">
        <f>+CB140/BW140-1</f>
        <v>-4.3035506731639583E-2</v>
      </c>
      <c r="CC142" s="39">
        <f>+CC140/BX140-1</f>
        <v>-0.7423778295577298</v>
      </c>
      <c r="CD142" s="420"/>
      <c r="CE142" s="39">
        <f>+CE140/BZ140-1</f>
        <v>3.86517537766351E-2</v>
      </c>
      <c r="CF142" s="39">
        <f>+CF140/CA140-1</f>
        <v>0.1010841914615086</v>
      </c>
      <c r="CG142" s="39">
        <f>+CG140/CB140-1</f>
        <v>7.1137838308925172E-2</v>
      </c>
      <c r="CH142" s="39">
        <f>+CH140/CC140-1</f>
        <v>-10.71737116580934</v>
      </c>
      <c r="CI142" s="418"/>
      <c r="CJ142" s="39">
        <f>+CJ140/BZ140-1</f>
        <v>0.34808179263564609</v>
      </c>
      <c r="CK142" s="39">
        <f>+CK140/CA140-1</f>
        <v>0.96728663309094287</v>
      </c>
      <c r="CL142" s="39">
        <f>+CL140/CB140-1</f>
        <v>0.25518651020298488</v>
      </c>
      <c r="CM142" s="39">
        <f>+CM140/CC140-1</f>
        <v>-6.5152161488366733</v>
      </c>
      <c r="CN142" s="350"/>
      <c r="CO142" s="39">
        <f>+CO140/CE140-1</f>
        <v>5.6928295144869523E-2</v>
      </c>
      <c r="CP142" s="39">
        <f>+CP140/CF140-1</f>
        <v>0.56935124307458396</v>
      </c>
      <c r="CQ142" s="39">
        <f>+CQ140/CG140-1</f>
        <v>0.11107991374162829</v>
      </c>
      <c r="CR142" s="39">
        <f>+CR140/CH140-1</f>
        <v>-0.71467035922474054</v>
      </c>
      <c r="CS142" s="350"/>
      <c r="CT142" s="39">
        <f>+CT140/CO140-1</f>
        <v>-5.7547705109587843E-2</v>
      </c>
      <c r="CU142" s="39">
        <f>+CU140/CP140-1</f>
        <v>-0.36961146815847656</v>
      </c>
      <c r="CV142" s="39">
        <f>+CV140/CQ140-1</f>
        <v>-0.46039346367872758</v>
      </c>
      <c r="CW142" s="39">
        <f>+CW140/CR140-1</f>
        <v>-3.6280179145024447</v>
      </c>
      <c r="CX142" s="49" t="s">
        <v>337</v>
      </c>
      <c r="CY142" s="39">
        <f>CY140/CT140-1</f>
        <v>-6.394652479945373E-2</v>
      </c>
      <c r="CZ142" s="39">
        <f>CZ140/CU140-1</f>
        <v>-6.0572698960092985E-4</v>
      </c>
      <c r="DA142" s="1110">
        <f>DA140/CV140-1</f>
        <v>0.11210797215989809</v>
      </c>
      <c r="DB142" s="1110">
        <f ca="1">DB140/CW140-1</f>
        <v>0.15793916289735344</v>
      </c>
      <c r="DC142" s="2436" t="s">
        <v>337</v>
      </c>
      <c r="DD142" s="1110">
        <f>DD140/CY140-1</f>
        <v>-0.3398383596870731</v>
      </c>
      <c r="DE142" s="1110">
        <f>DE140/CZ140-1</f>
        <v>0.29917181738494514</v>
      </c>
      <c r="DF142" s="1110">
        <f>DF140/DA140-1</f>
        <v>0.15475452954927338</v>
      </c>
      <c r="DG142" s="1110">
        <f ca="1">DG140/DB140-1</f>
        <v>-0.2799012888723742</v>
      </c>
      <c r="DH142" s="2352"/>
      <c r="DI142" s="1110">
        <f>DI140/DD140-1</f>
        <v>2.0958807660516992</v>
      </c>
      <c r="DJ142" s="1110">
        <f>DJ140/DE140-1</f>
        <v>-0.11077180955855126</v>
      </c>
      <c r="DK142" s="1110">
        <f>DK140/DF140-1</f>
        <v>0.48780173306089369</v>
      </c>
      <c r="DL142" s="1110">
        <f ca="1">DL140/DG140-1</f>
        <v>-0.15353719426403722</v>
      </c>
      <c r="DM142" s="2352"/>
      <c r="DN142" s="1110">
        <f>DN140/DI140-1</f>
        <v>-0.27595529715567746</v>
      </c>
      <c r="DO142" s="1110">
        <f>DO140/DJ140-1</f>
        <v>4.3936191581701811E-2</v>
      </c>
      <c r="DP142" s="1110">
        <f>DP140/DK140-1</f>
        <v>0.21086564891038062</v>
      </c>
      <c r="DQ142" s="1110">
        <f>DQ140/DL140-1</f>
        <v>0.41745011453307712</v>
      </c>
      <c r="DR142" s="2436"/>
      <c r="DS142" s="1110">
        <f>DS140/DN140-1</f>
        <v>-0.20869709252806401</v>
      </c>
      <c r="DT142" s="1110">
        <f>DT140/DO140-1</f>
        <v>-4.4971689649457858E-3</v>
      </c>
      <c r="DU142" s="1110">
        <f>DU140/DP140-1</f>
        <v>-0.24846859899171969</v>
      </c>
      <c r="DV142" s="1110">
        <f>DV140/DQ140-1</f>
        <v>0.20388079771875578</v>
      </c>
      <c r="DW142" s="1577"/>
      <c r="DX142" s="1470"/>
      <c r="DY142" s="862"/>
      <c r="DZ142" s="862"/>
      <c r="EA142" s="862"/>
      <c r="EB142" s="862"/>
      <c r="EH142" s="1048"/>
      <c r="EI142" s="1048"/>
      <c r="EJ142" s="1048"/>
      <c r="EK142" s="1048"/>
      <c r="EM142" s="1048"/>
      <c r="FL142" s="1048"/>
    </row>
    <row r="143" spans="1:168">
      <c r="A143" s="378" t="s">
        <v>1081</v>
      </c>
      <c r="B143" s="242"/>
      <c r="C143" s="242"/>
      <c r="D143" s="242"/>
      <c r="E143" s="39"/>
      <c r="F143" s="49">
        <f>Showtime!J28</f>
        <v>120.6</v>
      </c>
      <c r="G143" s="391"/>
      <c r="H143" s="391"/>
      <c r="I143" s="391"/>
      <c r="J143" s="391"/>
      <c r="K143" s="39"/>
      <c r="L143" s="49">
        <f>Showtime!K28</f>
        <v>138</v>
      </c>
      <c r="M143" s="39"/>
      <c r="N143" s="39"/>
      <c r="O143" s="49">
        <f>Showtime!L28</f>
        <v>166.4</v>
      </c>
      <c r="P143" s="39"/>
      <c r="Q143" s="39"/>
      <c r="R143" s="39"/>
      <c r="S143" s="49">
        <f>Showtime!M28</f>
        <v>237.30699451814201</v>
      </c>
      <c r="T143" s="39"/>
      <c r="U143" s="39"/>
      <c r="V143" s="39"/>
      <c r="W143" s="39"/>
      <c r="X143" s="1366"/>
      <c r="Y143" s="1366">
        <f>Showtime!N28</f>
        <v>280.87706351508655</v>
      </c>
      <c r="Z143" s="1366">
        <f>Showtime!O28</f>
        <v>275.94501299263686</v>
      </c>
      <c r="AA143" s="1366">
        <f>Showtime!P28</f>
        <v>306</v>
      </c>
      <c r="AB143" s="2011">
        <f>Drivers!E79</f>
        <v>311.87637906576356</v>
      </c>
      <c r="AC143" s="2011">
        <f ca="1">Drivers!F79</f>
        <v>332.3920407402502</v>
      </c>
      <c r="AD143" s="2011">
        <f ca="1">Drivers!G79</f>
        <v>353.66138129890555</v>
      </c>
      <c r="AE143" s="2011">
        <f>Drivers!H79</f>
        <v>371.05193908374997</v>
      </c>
      <c r="AF143" s="2011">
        <f>Drivers!I79</f>
        <v>435.93854041478903</v>
      </c>
      <c r="AG143" s="2011">
        <f>Drivers!J79</f>
        <v>536.37806949366825</v>
      </c>
      <c r="AH143" s="2011">
        <f>Drivers!K79</f>
        <v>664.83073210691521</v>
      </c>
      <c r="AI143" s="2011">
        <f>Drivers!L79</f>
        <v>759.39146500415848</v>
      </c>
      <c r="AJ143" s="2011">
        <f>Drivers!M79</f>
        <v>839.7513540255726</v>
      </c>
      <c r="AK143" s="2011">
        <f>Drivers!N79</f>
        <v>933.71123547800812</v>
      </c>
      <c r="AL143" s="2011">
        <f>Drivers!Q79</f>
        <v>902.40401646799592</v>
      </c>
      <c r="AM143" s="225">
        <f>Drivers!R79</f>
        <v>914.29121660199439</v>
      </c>
      <c r="AN143" s="225">
        <f>Drivers!T79</f>
        <v>972.51282925591249</v>
      </c>
      <c r="AO143" s="225">
        <f>Drivers!U79</f>
        <v>1001.9196211928344</v>
      </c>
      <c r="AP143" s="49">
        <f>Showtime!AE28</f>
        <v>1060.6482726733029</v>
      </c>
      <c r="AQ143" s="49">
        <f>Showtime!AF28</f>
        <v>1117.2387471653763</v>
      </c>
      <c r="AR143" s="49">
        <f>Showtime!AG28</f>
        <v>1175.0979688890391</v>
      </c>
      <c r="AS143" s="49">
        <f>Showtime!AH28</f>
        <v>1230.6076462560195</v>
      </c>
      <c r="AT143" s="49">
        <f>Showtime!AI28</f>
        <v>1281.3221103570825</v>
      </c>
      <c r="AU143" s="49">
        <f>Showtime!AJ28</f>
        <v>1325.2138820296118</v>
      </c>
      <c r="AV143" s="49">
        <f>Showtime!AK28</f>
        <v>1367.8703423825473</v>
      </c>
      <c r="AW143" s="49">
        <f>Showtime!AL28</f>
        <v>1410.2582859035629</v>
      </c>
      <c r="AX143" s="49">
        <f>Showtime!AM28</f>
        <v>1452.116377889485</v>
      </c>
      <c r="AY143" s="49">
        <f>Showtime!AN28</f>
        <v>1493.2896656298951</v>
      </c>
      <c r="AZ143" s="350"/>
      <c r="BA143" s="350"/>
      <c r="BB143" s="350"/>
      <c r="BC143" s="350"/>
      <c r="BD143" s="350"/>
      <c r="BE143" s="421"/>
      <c r="BF143" s="421"/>
      <c r="BG143" s="421"/>
      <c r="BH143" s="421"/>
      <c r="BI143" s="421"/>
      <c r="BJ143" s="421"/>
      <c r="BK143" s="39"/>
      <c r="BL143" s="39"/>
      <c r="BM143" s="39"/>
      <c r="BN143" s="39"/>
      <c r="BO143" s="359"/>
      <c r="BP143" s="359"/>
      <c r="BQ143" s="359"/>
      <c r="BR143" s="359"/>
      <c r="BS143" s="359"/>
      <c r="BT143" s="421"/>
      <c r="BU143" s="39"/>
      <c r="BV143" s="39"/>
      <c r="BW143" s="39"/>
      <c r="BX143" s="39"/>
      <c r="BY143" s="419"/>
      <c r="BZ143" s="39"/>
      <c r="CA143" s="39"/>
      <c r="CB143" s="39"/>
      <c r="CC143" s="39"/>
      <c r="CD143" s="420"/>
      <c r="CE143" s="39"/>
      <c r="CF143" s="39"/>
      <c r="CG143" s="39"/>
      <c r="CH143" s="39"/>
      <c r="CI143" s="418"/>
      <c r="CJ143" s="49"/>
      <c r="CK143" s="49"/>
      <c r="CL143" s="49"/>
      <c r="CM143" s="49"/>
      <c r="CN143" s="49">
        <f>+X143-SUM(CJ143:CM143)</f>
        <v>0</v>
      </c>
      <c r="CO143" s="49">
        <f>+Showtime!CE28</f>
        <v>70</v>
      </c>
      <c r="CP143" s="49">
        <f>+Showtime!CF28</f>
        <v>70</v>
      </c>
      <c r="CQ143" s="49">
        <f>+Showtime!CG28</f>
        <v>90</v>
      </c>
      <c r="CR143" s="49">
        <f>+Showtime!CH28</f>
        <v>76</v>
      </c>
      <c r="CS143" s="49">
        <f>+AA143-SUM(CO143:CR143)</f>
        <v>0</v>
      </c>
      <c r="CT143" s="49">
        <f>+Showtime!CJ28</f>
        <v>72</v>
      </c>
      <c r="CU143" s="49">
        <f>+Showtime!CK28</f>
        <v>72</v>
      </c>
      <c r="CV143" s="49">
        <f>+Showtime!CL28</f>
        <v>80.086789780662002</v>
      </c>
      <c r="CW143" s="49">
        <f>+Showtime!CM28</f>
        <v>87.789589285101556</v>
      </c>
      <c r="CX143" s="49">
        <f>AB143-SUM(CT143:CW143)</f>
        <v>0</v>
      </c>
      <c r="CY143" s="49">
        <f>Showtime!CO28</f>
        <v>72</v>
      </c>
      <c r="CZ143" s="49">
        <f>Showtime!CP28</f>
        <v>78</v>
      </c>
      <c r="DA143" s="1366">
        <f>Showtime!CQ28</f>
        <v>83</v>
      </c>
      <c r="DB143" s="1366">
        <f ca="1">Showtime!CR28</f>
        <v>99.392040740250167</v>
      </c>
      <c r="DC143" s="2351">
        <f ca="1">AC143-SUM(CY143:DB143)</f>
        <v>0</v>
      </c>
      <c r="DD143" s="1366">
        <f>Showtime!CT28</f>
        <v>75.449375000000003</v>
      </c>
      <c r="DE143" s="1366">
        <f>Showtime!CU28</f>
        <v>85.70944639999999</v>
      </c>
      <c r="DF143" s="1366">
        <f>Showtime!CV28</f>
        <v>90.40280290900003</v>
      </c>
      <c r="DG143" s="1366">
        <f ca="1">Showtime!CW28</f>
        <v>102.09975698990544</v>
      </c>
      <c r="DH143" s="2352">
        <f ca="1">AD143-SUM(DD143:DG143)</f>
        <v>0</v>
      </c>
      <c r="DI143" s="1366">
        <f>Showtime!CY28</f>
        <v>95.666031250000003</v>
      </c>
      <c r="DJ143" s="1366">
        <f>Showtime!CZ28</f>
        <v>96.382815679999965</v>
      </c>
      <c r="DK143" s="1366">
        <f>Showtime!DA28</f>
        <v>100.63849586793754</v>
      </c>
      <c r="DL143" s="1366">
        <f>Showtime!DB28</f>
        <v>78.364596285812524</v>
      </c>
      <c r="DM143" s="2352">
        <f>AE143-SUM(DI143:DL143)</f>
        <v>0</v>
      </c>
      <c r="DN143" s="1366">
        <f>Showtime!DD28</f>
        <v>94.071479691408314</v>
      </c>
      <c r="DO143" s="1366">
        <f>Showtime!DE28</f>
        <v>96.605140700868333</v>
      </c>
      <c r="DP143" s="1366">
        <f>Showtime!DF28</f>
        <v>119.00719104664574</v>
      </c>
      <c r="DQ143" s="1366">
        <f>Showtime!DG28</f>
        <v>126.25472897586664</v>
      </c>
      <c r="DR143" s="2026">
        <f>AF143-SUM(DN143:DQ143)</f>
        <v>0</v>
      </c>
      <c r="DS143" s="1366">
        <f>Drivers!BQ79</f>
        <v>93.221864354629815</v>
      </c>
      <c r="DT143" s="1366">
        <f>Drivers!BR79</f>
        <v>121.10835347232002</v>
      </c>
      <c r="DU143" s="1366">
        <f>Drivers!BS79</f>
        <v>162.09838191514001</v>
      </c>
      <c r="DV143" s="1366">
        <f>Drivers!BT79</f>
        <v>159.94946975157839</v>
      </c>
      <c r="DW143" s="2026">
        <f>AG143-SUM(DS143:DV143)</f>
        <v>0</v>
      </c>
      <c r="DX143" s="1470"/>
      <c r="DY143" s="862"/>
      <c r="DZ143" s="862"/>
      <c r="EA143" s="862"/>
      <c r="EB143" s="862"/>
      <c r="EH143" s="1048"/>
      <c r="EI143" s="1048"/>
      <c r="EJ143" s="1048"/>
      <c r="EK143" s="1048"/>
      <c r="EM143" s="1048"/>
      <c r="FL143" s="1048"/>
    </row>
    <row r="144" spans="1:168">
      <c r="A144" s="358" t="s">
        <v>676</v>
      </c>
      <c r="B144" s="242"/>
      <c r="C144" s="242"/>
      <c r="D144" s="242"/>
      <c r="E144" s="39"/>
      <c r="F144" s="39"/>
      <c r="G144" s="242"/>
      <c r="H144" s="242"/>
      <c r="I144" s="242"/>
      <c r="J144" s="242"/>
      <c r="K144" s="39"/>
      <c r="L144" s="39"/>
      <c r="M144" s="53"/>
      <c r="N144" s="39"/>
      <c r="O144" s="39"/>
      <c r="P144" s="39"/>
      <c r="Q144" s="39"/>
      <c r="R144" s="39"/>
      <c r="S144" s="39"/>
      <c r="T144" s="39"/>
      <c r="U144" s="39"/>
      <c r="V144" s="39"/>
      <c r="W144" s="39"/>
      <c r="X144" s="1110"/>
      <c r="Y144" s="1110">
        <f>+Y143/S143-1</f>
        <v>0.18360212721675007</v>
      </c>
      <c r="Z144" s="1110">
        <f>+Z143/Y143-1</f>
        <v>-1.7559463420496635E-2</v>
      </c>
      <c r="AA144" s="1110">
        <f>+AA143/Z143-1</f>
        <v>0.10891657972512481</v>
      </c>
      <c r="AB144" s="1110">
        <f>+AB143/AA143-1</f>
        <v>1.9203853156090078E-2</v>
      </c>
      <c r="AC144" s="1110">
        <f t="shared" ref="AC144:AQ144" ca="1" si="210">+AC143/AB143-1</f>
        <v>6.5781389844085103E-2</v>
      </c>
      <c r="AD144" s="1110">
        <f t="shared" ca="1" si="210"/>
        <v>6.398871799483441E-2</v>
      </c>
      <c r="AE144" s="1110">
        <f t="shared" ca="1" si="210"/>
        <v>4.9172905791900368E-2</v>
      </c>
      <c r="AF144" s="1110">
        <f t="shared" si="210"/>
        <v>0.17487201789395179</v>
      </c>
      <c r="AG144" s="1110">
        <f t="shared" si="210"/>
        <v>0.23039836987872753</v>
      </c>
      <c r="AH144" s="1110">
        <f t="shared" si="210"/>
        <v>0.23948157077805976</v>
      </c>
      <c r="AI144" s="1110">
        <f t="shared" si="210"/>
        <v>0.14223279450029458</v>
      </c>
      <c r="AJ144" s="1110">
        <f t="shared" si="210"/>
        <v>0.1058214277151166</v>
      </c>
      <c r="AK144" s="1110">
        <f t="shared" si="210"/>
        <v>0.11189012200101112</v>
      </c>
      <c r="AL144" s="1110">
        <f t="shared" si="210"/>
        <v>-3.3529872856231213E-2</v>
      </c>
      <c r="AM144" s="39">
        <f t="shared" si="210"/>
        <v>1.3172813858392196E-2</v>
      </c>
      <c r="AN144" s="39">
        <f t="shared" si="210"/>
        <v>6.3679505606869302E-2</v>
      </c>
      <c r="AO144" s="39">
        <f t="shared" si="210"/>
        <v>3.0237947564580203E-2</v>
      </c>
      <c r="AP144" s="39">
        <f t="shared" si="210"/>
        <v>5.8616130713708525E-2</v>
      </c>
      <c r="AQ144" s="39">
        <f t="shared" si="210"/>
        <v>5.3354609581779844E-2</v>
      </c>
      <c r="AR144" s="39">
        <f t="shared" ref="AR144:AY144" si="211">+AR143/AQ143-1</f>
        <v>5.1787697007878997E-2</v>
      </c>
      <c r="AS144" s="39">
        <f t="shared" si="211"/>
        <v>4.7238339982376365E-2</v>
      </c>
      <c r="AT144" s="39">
        <f t="shared" si="211"/>
        <v>4.1210912556374657E-2</v>
      </c>
      <c r="AU144" s="39">
        <f t="shared" si="211"/>
        <v>3.4255064606898422E-2</v>
      </c>
      <c r="AV144" s="39">
        <f t="shared" si="211"/>
        <v>3.2188359125551624E-2</v>
      </c>
      <c r="AW144" s="39">
        <f t="shared" si="211"/>
        <v>3.0988275867714687E-2</v>
      </c>
      <c r="AX144" s="39">
        <f t="shared" si="211"/>
        <v>2.9681153023045859E-2</v>
      </c>
      <c r="AY144" s="39">
        <f t="shared" si="211"/>
        <v>2.8353986200645664E-2</v>
      </c>
      <c r="AZ144" s="359"/>
      <c r="BA144" s="359"/>
      <c r="BB144" s="359"/>
      <c r="BC144" s="359"/>
      <c r="BD144" s="359"/>
      <c r="BE144" s="421"/>
      <c r="BF144" s="421"/>
      <c r="BG144" s="421"/>
      <c r="BH144" s="421"/>
      <c r="BI144" s="421"/>
      <c r="BJ144" s="421"/>
      <c r="BK144" s="39"/>
      <c r="BL144" s="39"/>
      <c r="BM144" s="39"/>
      <c r="BN144" s="39"/>
      <c r="BO144" s="359"/>
      <c r="BP144" s="359"/>
      <c r="BQ144" s="359"/>
      <c r="BR144" s="359"/>
      <c r="BS144" s="359"/>
      <c r="BT144" s="421"/>
      <c r="BU144" s="39"/>
      <c r="BV144" s="39"/>
      <c r="BW144" s="39"/>
      <c r="BX144" s="39"/>
      <c r="BY144" s="419"/>
      <c r="BZ144" s="39"/>
      <c r="CA144" s="39"/>
      <c r="CB144" s="39"/>
      <c r="CC144" s="39"/>
      <c r="CD144" s="420"/>
      <c r="CE144" s="39"/>
      <c r="CF144" s="39"/>
      <c r="CG144" s="39"/>
      <c r="CH144" s="39"/>
      <c r="CI144" s="418"/>
      <c r="CJ144" s="39"/>
      <c r="CK144" s="39"/>
      <c r="CL144" s="39"/>
      <c r="CM144" s="39"/>
      <c r="CN144" s="350"/>
      <c r="CO144" s="39"/>
      <c r="CP144" s="39"/>
      <c r="CQ144" s="39"/>
      <c r="CR144" s="39"/>
      <c r="CS144" s="350"/>
      <c r="CT144" s="242">
        <f>CT143/CO143-1</f>
        <v>2.857142857142847E-2</v>
      </c>
      <c r="CU144" s="242">
        <f>CU143/CP143-1</f>
        <v>2.857142857142847E-2</v>
      </c>
      <c r="CV144" s="242">
        <f>CV143/CQ143-1</f>
        <v>-0.11014678021486668</v>
      </c>
      <c r="CW144" s="242">
        <f>CW143/CR143-1</f>
        <v>0.15512617480396784</v>
      </c>
      <c r="CX144" s="49"/>
      <c r="CY144" s="242">
        <f>CY143/CT143-1</f>
        <v>0</v>
      </c>
      <c r="CZ144" s="242">
        <f>CZ143/CU143-1</f>
        <v>8.3333333333333259E-2</v>
      </c>
      <c r="DA144" s="1164">
        <f>DA143/CV143-1</f>
        <v>3.6375664792115625E-2</v>
      </c>
      <c r="DB144" s="1164">
        <f ca="1">DB143/CW143-1</f>
        <v>0.13216204278469745</v>
      </c>
      <c r="DC144" s="2436"/>
      <c r="DD144" s="1164">
        <f>DD143/CY143-1</f>
        <v>4.7907986111111134E-2</v>
      </c>
      <c r="DE144" s="1164">
        <f>DE143/CZ143-1</f>
        <v>9.8839056410256365E-2</v>
      </c>
      <c r="DF144" s="1164">
        <f>DF143/DA143-1</f>
        <v>8.9190396493976198E-2</v>
      </c>
      <c r="DG144" s="1164">
        <f ca="1">DG143/DB143-1</f>
        <v>2.7242787546053027E-2</v>
      </c>
      <c r="DH144" s="2441"/>
      <c r="DI144" s="1164">
        <f>DI143/DD143-1</f>
        <v>0.26794994988361398</v>
      </c>
      <c r="DJ144" s="1164">
        <f>DJ143/DE143-1</f>
        <v>0.1245296723792626</v>
      </c>
      <c r="DK144" s="1164">
        <f>DK143/DF143-1</f>
        <v>0.11322318146751287</v>
      </c>
      <c r="DL144" s="1164">
        <f ca="1">DL143/DG143-1</f>
        <v>-0.23247029575633171</v>
      </c>
      <c r="DM144" s="2441"/>
      <c r="DN144" s="1164">
        <f>DN143/DI143-1</f>
        <v>-1.6667897034682189E-2</v>
      </c>
      <c r="DO144" s="1164">
        <f>DO143/DJ143-1</f>
        <v>2.3066873415122924E-3</v>
      </c>
      <c r="DP144" s="1164">
        <f>DP143/DK143-1</f>
        <v>0.18252155917366308</v>
      </c>
      <c r="DQ144" s="1164">
        <f>DQ143/DL143-1</f>
        <v>0.61111949732234327</v>
      </c>
      <c r="DR144" s="2436"/>
      <c r="DS144" s="1164">
        <f>DS143/DN143-1</f>
        <v>-9.0315932051411307E-3</v>
      </c>
      <c r="DT144" s="1164">
        <f>DT143/DO143-1</f>
        <v>0.25364294895366202</v>
      </c>
      <c r="DU144" s="1164">
        <f>DU143/DP143-1</f>
        <v>0.36208896697346926</v>
      </c>
      <c r="DV144" s="1164">
        <f>DV143/DQ143-1</f>
        <v>0.26687903929644041</v>
      </c>
      <c r="DW144" s="1577"/>
      <c r="DX144" s="1470"/>
      <c r="DY144" s="862"/>
      <c r="DZ144" s="862"/>
      <c r="EA144" s="862"/>
      <c r="EB144" s="862"/>
      <c r="EH144" s="1048"/>
      <c r="EI144" s="1048"/>
      <c r="EJ144" s="1048"/>
      <c r="EK144" s="1048"/>
      <c r="EM144" s="1048"/>
      <c r="FL144" s="1048"/>
    </row>
    <row r="145" spans="1:168">
      <c r="A145" s="416" t="s">
        <v>696</v>
      </c>
      <c r="B145" s="421"/>
      <c r="C145" s="421"/>
      <c r="D145" s="421"/>
      <c r="E145" s="421"/>
      <c r="F145" s="421"/>
      <c r="G145" s="421"/>
      <c r="H145" s="421"/>
      <c r="I145" s="421"/>
      <c r="J145" s="354">
        <v>-34</v>
      </c>
      <c r="K145" s="354">
        <f>+SUM(H145:J145)</f>
        <v>-34</v>
      </c>
      <c r="L145" s="421"/>
      <c r="M145" s="354">
        <v>-109</v>
      </c>
      <c r="N145" s="354">
        <v>-95</v>
      </c>
      <c r="O145" s="421"/>
      <c r="P145" s="354">
        <v>0</v>
      </c>
      <c r="Q145" s="359"/>
      <c r="R145" s="354">
        <f>+P145+Q145</f>
        <v>0</v>
      </c>
      <c r="S145" s="421"/>
      <c r="T145" s="354">
        <f>+R145*0.5</f>
        <v>0</v>
      </c>
      <c r="U145" s="354">
        <f>+T145*0.5</f>
        <v>0</v>
      </c>
      <c r="V145" s="354"/>
      <c r="W145" s="354"/>
      <c r="X145" s="1373">
        <f>+U145*0.5</f>
        <v>0</v>
      </c>
      <c r="Y145" s="1357">
        <f>T145</f>
        <v>0</v>
      </c>
      <c r="Z145" s="1357">
        <f>U145</f>
        <v>0</v>
      </c>
      <c r="AA145" s="1357">
        <f>X145</f>
        <v>0</v>
      </c>
      <c r="AB145" s="1373">
        <v>0</v>
      </c>
      <c r="AC145" s="1373">
        <v>0</v>
      </c>
      <c r="AD145" s="1373">
        <v>0</v>
      </c>
      <c r="AE145" s="1373">
        <v>0</v>
      </c>
      <c r="AF145" s="1373">
        <f>+SUM(DN145:DQ145)</f>
        <v>0</v>
      </c>
      <c r="AG145" s="1373">
        <v>0</v>
      </c>
      <c r="AH145" s="1373">
        <v>0</v>
      </c>
      <c r="AI145" s="1373">
        <v>0</v>
      </c>
      <c r="AJ145" s="1373">
        <v>0</v>
      </c>
      <c r="AK145" s="1373">
        <v>0</v>
      </c>
      <c r="AL145" s="1373">
        <v>0</v>
      </c>
      <c r="AM145" s="1373">
        <v>0</v>
      </c>
      <c r="AN145" s="1373">
        <v>0</v>
      </c>
      <c r="AO145" s="1373">
        <v>0</v>
      </c>
      <c r="AP145" s="1373">
        <v>0</v>
      </c>
      <c r="AQ145" s="1373">
        <v>0</v>
      </c>
      <c r="AR145" s="1373">
        <v>0</v>
      </c>
      <c r="AS145" s="1373">
        <v>0</v>
      </c>
      <c r="AT145" s="1373">
        <v>0</v>
      </c>
      <c r="AU145" s="1373">
        <v>0</v>
      </c>
      <c r="AV145" s="1373">
        <v>0</v>
      </c>
      <c r="AW145" s="1373">
        <v>0</v>
      </c>
      <c r="AX145" s="1373">
        <v>0</v>
      </c>
      <c r="AY145" s="1373">
        <v>0</v>
      </c>
      <c r="AZ145" s="354"/>
      <c r="BA145" s="354"/>
      <c r="BB145" s="354"/>
      <c r="BC145" s="354"/>
      <c r="BD145" s="354"/>
      <c r="BE145" s="421"/>
      <c r="BF145" s="354">
        <v>-3</v>
      </c>
      <c r="BG145" s="354">
        <v>1</v>
      </c>
      <c r="BH145" s="354">
        <v>-1</v>
      </c>
      <c r="BI145" s="354">
        <f>+K145-SUM(BF145:BH145)</f>
        <v>-31</v>
      </c>
      <c r="BJ145" s="354"/>
      <c r="BK145" s="354">
        <v>-33</v>
      </c>
      <c r="BL145" s="354">
        <v>-34</v>
      </c>
      <c r="BM145" s="354">
        <v>-28</v>
      </c>
      <c r="BN145" s="354">
        <f>+N145-SUM(BK145:BM145)</f>
        <v>0</v>
      </c>
      <c r="BO145" s="354"/>
      <c r="BP145" s="354">
        <f t="shared" ref="BP145:BR146" si="212">+BK145</f>
        <v>-33</v>
      </c>
      <c r="BQ145" s="354">
        <f t="shared" si="212"/>
        <v>-34</v>
      </c>
      <c r="BR145" s="354">
        <f t="shared" si="212"/>
        <v>-28</v>
      </c>
      <c r="BS145" s="354">
        <f>+N145-SUM(BP145:BR145)</f>
        <v>0</v>
      </c>
      <c r="BT145" s="354"/>
      <c r="BU145" s="354">
        <v>0</v>
      </c>
      <c r="BV145" s="354">
        <v>0</v>
      </c>
      <c r="BW145" s="354">
        <v>0</v>
      </c>
      <c r="BX145" s="354">
        <f>+P145-SUM(BU145:BW145)</f>
        <v>0</v>
      </c>
      <c r="BY145" s="419"/>
      <c r="BZ145" s="354">
        <v>0</v>
      </c>
      <c r="CA145" s="354">
        <v>0</v>
      </c>
      <c r="CB145" s="354">
        <v>0</v>
      </c>
      <c r="CC145" s="354">
        <f>+T145-SUM(BZ145:CB145)</f>
        <v>0</v>
      </c>
      <c r="CD145" s="420">
        <f>+T145-SUM(BZ145:CC145)</f>
        <v>0</v>
      </c>
      <c r="CE145" s="356">
        <v>0</v>
      </c>
      <c r="CF145" s="356">
        <v>0</v>
      </c>
      <c r="CG145" s="356">
        <v>0</v>
      </c>
      <c r="CH145" s="354">
        <f>+U145-CG145-CF145-CE145</f>
        <v>0</v>
      </c>
      <c r="CI145" s="418"/>
      <c r="CJ145" s="356">
        <v>0</v>
      </c>
      <c r="CK145" s="356">
        <v>0</v>
      </c>
      <c r="CL145" s="356">
        <v>0</v>
      </c>
      <c r="CM145" s="167">
        <f>+X145-SUM(CJ145:CL145)</f>
        <v>0</v>
      </c>
      <c r="CN145" s="49">
        <f>+X145-SUM(CJ145:CM145)</f>
        <v>0</v>
      </c>
      <c r="CO145" s="356">
        <v>0</v>
      </c>
      <c r="CP145" s="356">
        <v>0</v>
      </c>
      <c r="CQ145" s="356">
        <v>0</v>
      </c>
      <c r="CR145" s="167">
        <f>+AA145-SUM(CO145:CQ145)</f>
        <v>0</v>
      </c>
      <c r="CS145" s="49">
        <f>+AA145-SUM(CO145:CR145)</f>
        <v>0</v>
      </c>
      <c r="CT145" s="356">
        <v>0</v>
      </c>
      <c r="CU145" s="356">
        <v>0</v>
      </c>
      <c r="CV145" s="356">
        <v>0</v>
      </c>
      <c r="CW145" s="354">
        <f>+AF145-SUM(CT145:CV145)</f>
        <v>0</v>
      </c>
      <c r="CX145" s="350"/>
      <c r="CY145" s="356">
        <v>0</v>
      </c>
      <c r="CZ145" s="356">
        <v>0</v>
      </c>
      <c r="DA145" s="1726">
        <v>0</v>
      </c>
      <c r="DB145" s="1726">
        <v>0</v>
      </c>
      <c r="DC145" s="2436"/>
      <c r="DD145" s="1726">
        <v>0</v>
      </c>
      <c r="DE145" s="1726">
        <v>0</v>
      </c>
      <c r="DF145" s="1726">
        <v>0</v>
      </c>
      <c r="DG145" s="2440">
        <f>AD145-SUM(DD145:DF145)</f>
        <v>0</v>
      </c>
      <c r="DH145" s="2441"/>
      <c r="DI145" s="1726">
        <v>0</v>
      </c>
      <c r="DJ145" s="1726">
        <v>0</v>
      </c>
      <c r="DK145" s="1726">
        <v>0</v>
      </c>
      <c r="DL145" s="1373">
        <f>AE145-SUM(DI145:DK145)</f>
        <v>0</v>
      </c>
      <c r="DM145" s="2441"/>
      <c r="DN145" s="1726">
        <v>0</v>
      </c>
      <c r="DO145" s="1726">
        <v>0</v>
      </c>
      <c r="DP145" s="1726">
        <v>0</v>
      </c>
      <c r="DQ145" s="1726">
        <v>0</v>
      </c>
      <c r="DR145" s="2026">
        <f>AF145-SUM(DN145:DQ145)</f>
        <v>0</v>
      </c>
      <c r="DS145" s="1726">
        <v>0</v>
      </c>
      <c r="DT145" s="1726">
        <v>0</v>
      </c>
      <c r="DU145" s="1726">
        <v>0</v>
      </c>
      <c r="DV145" s="1726">
        <v>0</v>
      </c>
      <c r="DW145" s="2026">
        <f>AG145-SUM(DS145:DV145)</f>
        <v>0</v>
      </c>
      <c r="DX145" s="1470"/>
      <c r="DY145" s="862"/>
      <c r="DZ145" s="862"/>
      <c r="EA145" s="862"/>
      <c r="EB145" s="862"/>
      <c r="EH145" s="1048"/>
      <c r="EI145" s="1048"/>
      <c r="EJ145" s="1048"/>
      <c r="EK145" s="1048"/>
      <c r="EM145" s="1048"/>
      <c r="FL145" s="1048"/>
    </row>
    <row r="146" spans="1:168">
      <c r="A146" s="362" t="s">
        <v>376</v>
      </c>
      <c r="B146" s="354"/>
      <c r="C146" s="354"/>
      <c r="D146" s="354"/>
      <c r="E146" s="354">
        <f>+SUM(B146:D146)</f>
        <v>0</v>
      </c>
      <c r="F146" s="354"/>
      <c r="G146" s="354"/>
      <c r="H146" s="354"/>
      <c r="I146" s="354">
        <v>0</v>
      </c>
      <c r="J146" s="354"/>
      <c r="K146" s="354">
        <v>-3.2</v>
      </c>
      <c r="L146" s="354"/>
      <c r="M146" s="354">
        <f>+N146</f>
        <v>0</v>
      </c>
      <c r="N146" s="354">
        <v>0</v>
      </c>
      <c r="O146" s="354"/>
      <c r="P146" s="354">
        <f>+R146</f>
        <v>0</v>
      </c>
      <c r="Q146" s="354"/>
      <c r="R146" s="354">
        <v>0</v>
      </c>
      <c r="S146" s="354"/>
      <c r="T146" s="354">
        <v>0</v>
      </c>
      <c r="U146" s="354">
        <v>0</v>
      </c>
      <c r="V146" s="354"/>
      <c r="W146" s="354"/>
      <c r="X146" s="1373">
        <v>0</v>
      </c>
      <c r="Y146" s="1357">
        <f>T146</f>
        <v>0</v>
      </c>
      <c r="Z146" s="1357">
        <f>U146</f>
        <v>0</v>
      </c>
      <c r="AA146" s="1357">
        <f>X146</f>
        <v>0</v>
      </c>
      <c r="AB146" s="1373">
        <f>SUM(CO146:CR146)</f>
        <v>0</v>
      </c>
      <c r="AC146" s="1373">
        <f>SUM(CY146:DB146)</f>
        <v>3.8945340000000002</v>
      </c>
      <c r="AD146" s="1373">
        <f>SUM(DD146:DG146)</f>
        <v>10.374071211</v>
      </c>
      <c r="AE146" s="2152">
        <f>SUM(DI146:DL146)</f>
        <v>18.44806091625</v>
      </c>
      <c r="AF146" s="1373">
        <f>SUM(DN146:DQ146)</f>
        <v>25.061459585210997</v>
      </c>
      <c r="AG146" s="1373">
        <f>SUM(DS146:DV146)</f>
        <v>32.921930506331776</v>
      </c>
      <c r="AH146" s="2153">
        <f>+Drivers!K83</f>
        <v>42.169267893084793</v>
      </c>
      <c r="AI146" s="2153">
        <f>+Drivers!L83</f>
        <v>51.608534995841467</v>
      </c>
      <c r="AJ146" s="2153">
        <f>Drivers!M83</f>
        <v>58.24864597442744</v>
      </c>
      <c r="AK146" s="2153">
        <f>Drivers!N83</f>
        <v>63.28876452199178</v>
      </c>
      <c r="AL146" s="2153">
        <f>Drivers!Q83</f>
        <v>65.595983532004126</v>
      </c>
      <c r="AM146" s="2153">
        <f>Drivers!R83</f>
        <v>67.708783398005664</v>
      </c>
      <c r="AN146" s="2153">
        <f>Drivers!T83</f>
        <v>70.091896507168002</v>
      </c>
      <c r="AO146" s="2153">
        <f>Drivers!U83</f>
        <v>72.557324611626527</v>
      </c>
      <c r="AP146" s="2153">
        <f>Drivers!V83</f>
        <v>75.107839930030252</v>
      </c>
      <c r="AQ146" s="2153">
        <f>Drivers!W83</f>
        <v>77.746304754527685</v>
      </c>
      <c r="AR146" s="2153">
        <f>Drivers!X83</f>
        <v>80.475674221096853</v>
      </c>
      <c r="AS146" s="2153">
        <f>Drivers!Y83</f>
        <v>83.298999157384316</v>
      </c>
      <c r="AT146" s="2153">
        <f>Drivers!Z83</f>
        <v>86.219429009821027</v>
      </c>
      <c r="AU146" s="2153">
        <f>Drivers!AA83</f>
        <v>89.240214851800843</v>
      </c>
      <c r="AV146" s="2153">
        <f>Drivers!AB83</f>
        <v>92.364712474723333</v>
      </c>
      <c r="AW146" s="2153">
        <f>Drivers!AC83</f>
        <v>95.596385563716765</v>
      </c>
      <c r="AX146" s="2153">
        <f>Drivers!AD83</f>
        <v>98.938808959870087</v>
      </c>
      <c r="AY146" s="2153">
        <f>Drivers!AE83</f>
        <v>102.39567201081374</v>
      </c>
      <c r="AZ146" s="354"/>
      <c r="BA146" s="354"/>
      <c r="BB146" s="354"/>
      <c r="BC146" s="354"/>
      <c r="BD146" s="354"/>
      <c r="BE146" s="354"/>
      <c r="BF146" s="354">
        <v>0</v>
      </c>
      <c r="BG146" s="354">
        <v>0</v>
      </c>
      <c r="BH146" s="354">
        <v>0</v>
      </c>
      <c r="BI146" s="354">
        <f>+K146-SUM(BF146:BH146)</f>
        <v>-3.2</v>
      </c>
      <c r="BJ146" s="354"/>
      <c r="BK146" s="354">
        <v>0</v>
      </c>
      <c r="BL146" s="354">
        <v>0</v>
      </c>
      <c r="BM146" s="354">
        <v>0</v>
      </c>
      <c r="BN146" s="354">
        <f>+N146-SUM(BK146:BM146)</f>
        <v>0</v>
      </c>
      <c r="BO146" s="354"/>
      <c r="BP146" s="354">
        <f t="shared" si="212"/>
        <v>0</v>
      </c>
      <c r="BQ146" s="354">
        <f t="shared" si="212"/>
        <v>0</v>
      </c>
      <c r="BR146" s="354">
        <f t="shared" si="212"/>
        <v>0</v>
      </c>
      <c r="BS146" s="354">
        <f>+N146-SUM(BP146:BR146)</f>
        <v>0</v>
      </c>
      <c r="BT146" s="354"/>
      <c r="BU146" s="354">
        <f>+$R$146/4</f>
        <v>0</v>
      </c>
      <c r="BV146" s="354">
        <f>+$R$146/4</f>
        <v>0</v>
      </c>
      <c r="BW146" s="354">
        <f>+$R$146/4</f>
        <v>0</v>
      </c>
      <c r="BX146" s="354">
        <f>+P146-SUM(BU146:BW146)</f>
        <v>0</v>
      </c>
      <c r="BY146" s="419"/>
      <c r="BZ146" s="354">
        <v>0</v>
      </c>
      <c r="CA146" s="354">
        <v>0</v>
      </c>
      <c r="CB146" s="354">
        <v>0</v>
      </c>
      <c r="CC146" s="354">
        <f>+T146-SUM(BZ146:CB146)</f>
        <v>0</v>
      </c>
      <c r="CD146" s="420">
        <f>+T146-SUM(BZ146:CC146)</f>
        <v>0</v>
      </c>
      <c r="CE146" s="354"/>
      <c r="CF146" s="354"/>
      <c r="CG146" s="354"/>
      <c r="CH146" s="354"/>
      <c r="CI146" s="418"/>
      <c r="CJ146" s="354"/>
      <c r="CK146" s="354"/>
      <c r="CL146" s="354"/>
      <c r="CM146" s="354"/>
      <c r="CN146" s="350"/>
      <c r="CO146" s="354"/>
      <c r="CP146" s="354"/>
      <c r="CQ146" s="354"/>
      <c r="CR146" s="354"/>
      <c r="CS146" s="350"/>
      <c r="CT146" s="354"/>
      <c r="CU146" s="421"/>
      <c r="CV146" s="421"/>
      <c r="CW146" s="95"/>
      <c r="CX146" s="49"/>
      <c r="CY146" s="225">
        <f>Drivers!AW83</f>
        <v>0</v>
      </c>
      <c r="CZ146" s="225">
        <f>Drivers!AX83</f>
        <v>1.26</v>
      </c>
      <c r="DA146" s="2011">
        <f>Drivers!AY83</f>
        <v>1.2978000000000001</v>
      </c>
      <c r="DB146" s="2011">
        <f>Drivers!AZ83</f>
        <v>1.3367340000000001</v>
      </c>
      <c r="DC146" s="2436"/>
      <c r="DD146" s="2011">
        <f>Drivers!BB83</f>
        <v>2.329258995</v>
      </c>
      <c r="DE146" s="2011">
        <f>Drivers!BC83</f>
        <v>2.5918199999999998</v>
      </c>
      <c r="DF146" s="2011">
        <f>Drivers!BD83</f>
        <v>2.6806059000000002</v>
      </c>
      <c r="DG146" s="2011">
        <f>Drivers!BE83</f>
        <v>2.7723863160000004</v>
      </c>
      <c r="DH146" s="2011">
        <f>Drivers!BF83</f>
        <v>0</v>
      </c>
      <c r="DI146" s="2011">
        <f>Drivers!BG83</f>
        <v>4.2132184762499998</v>
      </c>
      <c r="DJ146" s="2011">
        <f>Drivers!BH83</f>
        <v>4.6119149999999998</v>
      </c>
      <c r="DK146" s="2011">
        <f>Drivers!BI83</f>
        <v>4.7304810000000002</v>
      </c>
      <c r="DL146" s="2011">
        <f>Drivers!BJ83</f>
        <v>4.8924464399999996</v>
      </c>
      <c r="DM146" s="2011">
        <f>Drivers!BK83</f>
        <v>0</v>
      </c>
      <c r="DN146" s="2011">
        <f>Drivers!BL83</f>
        <v>5.7670534502909989</v>
      </c>
      <c r="DO146" s="2011">
        <f>Drivers!BM83</f>
        <v>6.2057928239999995</v>
      </c>
      <c r="DP146" s="2011">
        <f>Drivers!BN83</f>
        <v>6.4202088131999995</v>
      </c>
      <c r="DQ146" s="2011">
        <f>Drivers!BO83</f>
        <v>6.6684044977199992</v>
      </c>
      <c r="DR146" s="2011">
        <f>Drivers!BP83</f>
        <v>0</v>
      </c>
      <c r="DS146" s="2011">
        <f>Drivers!BQ83</f>
        <v>7.6781356453701868</v>
      </c>
      <c r="DT146" s="2011">
        <f>Drivers!BR83</f>
        <v>8.1916465276799979</v>
      </c>
      <c r="DU146" s="2011">
        <f>Drivers!BS83</f>
        <v>8.4016180848599973</v>
      </c>
      <c r="DV146" s="2011">
        <f>Drivers!BT83</f>
        <v>8.6505302484215978</v>
      </c>
      <c r="DW146" s="2026">
        <f>AG146-SUM(DS146:DV146)</f>
        <v>0</v>
      </c>
      <c r="DX146" s="1470"/>
      <c r="DY146" s="862"/>
      <c r="DZ146" s="862"/>
      <c r="EA146" s="862"/>
      <c r="EB146" s="862"/>
      <c r="EH146" s="1048"/>
      <c r="EI146" s="1048"/>
      <c r="EJ146" s="1048"/>
      <c r="EK146" s="1048"/>
      <c r="EM146" s="1048"/>
      <c r="FL146" s="1048"/>
    </row>
    <row r="147" spans="1:168" ht="13.5" thickBot="1">
      <c r="A147" s="442" t="s">
        <v>1082</v>
      </c>
      <c r="B147" s="443"/>
      <c r="C147" s="443">
        <f>+C113+C115+C123+C125+C134+C137+C145+C146</f>
        <v>439.45161290322579</v>
      </c>
      <c r="D147" s="443">
        <f>+D113+D115+D123+D125+D134+D137+D145+D146</f>
        <v>391.27078262960009</v>
      </c>
      <c r="E147" s="443">
        <f>+E113+E115+E123+E125+E134+E137+E145+E146</f>
        <v>830.72239553282589</v>
      </c>
      <c r="F147" s="443">
        <f>F116+F127+F140+F143</f>
        <v>951.32239553282591</v>
      </c>
      <c r="G147" s="443"/>
      <c r="H147" s="443"/>
      <c r="I147" s="443">
        <f>+I113+I115+I123+I125+I134+I137+I145+I146</f>
        <v>582</v>
      </c>
      <c r="J147" s="443">
        <f>+J113+J115+J123+J125+J134+J137+J145+J146</f>
        <v>338.00000000000011</v>
      </c>
      <c r="K147" s="443">
        <f>SUM(BF147:BI147)</f>
        <v>920</v>
      </c>
      <c r="L147" s="443">
        <f>L116+L127+L140+L143</f>
        <v>1092</v>
      </c>
      <c r="M147" s="444">
        <v>1227</v>
      </c>
      <c r="N147" s="443">
        <f>SUM(BK147:BN147)</f>
        <v>1225.7</v>
      </c>
      <c r="O147" s="443">
        <f>O116+O127+O140+O143</f>
        <v>1487.1000000000001</v>
      </c>
      <c r="P147" s="443">
        <f>+P113+P123+P125+P140+P146+P115+P145</f>
        <v>1244</v>
      </c>
      <c r="Q147" s="443"/>
      <c r="R147" s="444">
        <v>1244</v>
      </c>
      <c r="S147" s="443">
        <f>S116+S127+S140+S143</f>
        <v>1481.3069945181419</v>
      </c>
      <c r="T147" s="443">
        <f>SUM(BZ147:CC147)</f>
        <v>1339.1000000000001</v>
      </c>
      <c r="U147" s="443">
        <f>SUM(CE147:CH147)</f>
        <v>1389.2</v>
      </c>
      <c r="V147" s="445"/>
      <c r="W147" s="443"/>
      <c r="X147" s="2313">
        <f>SUM(CJ147:CM147)</f>
        <v>1706.7</v>
      </c>
      <c r="Y147" s="2313">
        <f>Y151+Y154</f>
        <v>1558.3999999999999</v>
      </c>
      <c r="Z147" s="2313">
        <f>Z151+Z154</f>
        <v>1656.5</v>
      </c>
      <c r="AA147" s="2313">
        <f>AA151+AA154</f>
        <v>1981.2</v>
      </c>
      <c r="AB147" s="2345">
        <f>1824.7</f>
        <v>1824.7</v>
      </c>
      <c r="AC147" s="2345">
        <v>1947.7</v>
      </c>
      <c r="AD147" s="2345">
        <v>1936.5</v>
      </c>
      <c r="AE147" s="2313">
        <f>SUM(DI147:DL147)</f>
        <v>1753.7</v>
      </c>
      <c r="AF147" s="2313">
        <f>+AF113+AF123+AF125+AF140+AF146+AF115+AF145+AF143</f>
        <v>1468.8035190765279</v>
      </c>
      <c r="AG147" s="2313">
        <f t="shared" ref="AG147:AQ147" si="213">+AG113+AG123+AG125+AG140+AG146+AG115+AG145+AG143</f>
        <v>1901.8254062516394</v>
      </c>
      <c r="AH147" s="2313">
        <f>+AH113+AH123+AH125+AH140+AH146+AH115+AH145+AH143</f>
        <v>2519.8120056193061</v>
      </c>
      <c r="AI147" s="2313">
        <f t="shared" si="213"/>
        <v>2838.5680959851566</v>
      </c>
      <c r="AJ147" s="2313">
        <f>+AJ113+AJ123+AJ125+AJ140+AJ146+AJ115+AJ145+AJ143</f>
        <v>3019.2192147048686</v>
      </c>
      <c r="AK147" s="2313">
        <f>+AK113+AK123+AK125+AK140+AK146+AK115+AK145+AK143</f>
        <v>2882.0729885845076</v>
      </c>
      <c r="AL147" s="2313">
        <f>+AL113+AL123+AL125+AL140+AL146+AL115+AL145+AL143</f>
        <v>2792.4661595041898</v>
      </c>
      <c r="AM147" s="2313">
        <f>+AM113+AM123+AM125+AM140+AM146+AM115+AM145+AM143</f>
        <v>3145.4298379912243</v>
      </c>
      <c r="AN147" s="2313">
        <f t="shared" si="213"/>
        <v>3082.7877493285105</v>
      </c>
      <c r="AO147" s="2313">
        <f t="shared" ref="AO147" si="214">+AO113+AO123+AO125+AO140+AO146+AO115+AO145+AO143</f>
        <v>3327.3969863327757</v>
      </c>
      <c r="AP147" s="2313">
        <f t="shared" si="213"/>
        <v>3504.0506394602135</v>
      </c>
      <c r="AQ147" s="2313">
        <f t="shared" si="213"/>
        <v>3844.9590990909846</v>
      </c>
      <c r="AR147" s="2313">
        <f t="shared" ref="AR147:AW147" si="215">+AR113+AR123+AR125+AR140+AR146+AR115+AR145+AR143</f>
        <v>3947.6612326897721</v>
      </c>
      <c r="AS147" s="2313">
        <f t="shared" si="215"/>
        <v>4192.2890415008642</v>
      </c>
      <c r="AT147" s="2313">
        <f t="shared" si="215"/>
        <v>4000.1844420846546</v>
      </c>
      <c r="AU147" s="2313">
        <f t="shared" si="215"/>
        <v>4091.8846131332107</v>
      </c>
      <c r="AV147" s="2313">
        <f t="shared" si="215"/>
        <v>4084.5482353870752</v>
      </c>
      <c r="AW147" s="2313">
        <f t="shared" si="215"/>
        <v>4011.8382794525601</v>
      </c>
      <c r="AX147" s="2313">
        <f>+AX113+AX123+AX125+AX140+AX146+AX115+AX145+AX143</f>
        <v>3946.7408173379408</v>
      </c>
      <c r="AY147" s="2313">
        <f>+AY113+AY123+AY125+AY140+AY146+AY115+AY145+AY143</f>
        <v>4127.646927142544</v>
      </c>
      <c r="AZ147" s="354"/>
      <c r="BA147" s="354"/>
      <c r="BB147" s="354"/>
      <c r="BC147" s="354"/>
      <c r="BD147" s="354"/>
      <c r="BE147" s="354"/>
      <c r="BF147" s="444">
        <v>178.3</v>
      </c>
      <c r="BG147" s="444">
        <v>235.5</v>
      </c>
      <c r="BH147" s="444">
        <v>265.3</v>
      </c>
      <c r="BI147" s="444">
        <v>240.9</v>
      </c>
      <c r="BJ147" s="14"/>
      <c r="BK147" s="444">
        <v>288.8</v>
      </c>
      <c r="BL147" s="444">
        <v>308.60000000000002</v>
      </c>
      <c r="BM147" s="444">
        <v>347.3</v>
      </c>
      <c r="BN147" s="444">
        <v>281</v>
      </c>
      <c r="BO147" s="14"/>
      <c r="BP147" s="443">
        <f>+BP113+BP123+BP125+BP134+BP137+BP146+BP115+BP145</f>
        <v>288.8</v>
      </c>
      <c r="BQ147" s="443">
        <f>+BQ113+BQ123+BQ125+BQ134+BQ137+BQ146+BQ115+BQ145</f>
        <v>308.60000000000002</v>
      </c>
      <c r="BR147" s="443">
        <f>+BR113+BR123+BR125+BR134+BR137+BR146+BR115+BR145</f>
        <v>347.3</v>
      </c>
      <c r="BS147" s="443">
        <f>+BS113+BS123+BS125+BS134+BS137+BS146+BS115+BS145</f>
        <v>281</v>
      </c>
      <c r="BT147" s="14"/>
      <c r="BU147" s="444">
        <v>314.7</v>
      </c>
      <c r="BV147" s="444">
        <v>360.8</v>
      </c>
      <c r="BW147" s="444">
        <v>283.7</v>
      </c>
      <c r="BX147" s="444">
        <v>283.5</v>
      </c>
      <c r="BY147" s="419"/>
      <c r="BZ147" s="444">
        <v>248.1</v>
      </c>
      <c r="CA147" s="444">
        <v>384.6</v>
      </c>
      <c r="CB147" s="444">
        <v>348.7</v>
      </c>
      <c r="CC147" s="444">
        <v>357.7</v>
      </c>
      <c r="CD147" s="420">
        <f>+T147-SUM(BZ147:CC147)</f>
        <v>0</v>
      </c>
      <c r="CE147" s="444">
        <v>279.60000000000002</v>
      </c>
      <c r="CF147" s="444">
        <v>429.2</v>
      </c>
      <c r="CG147" s="444">
        <v>400.1</v>
      </c>
      <c r="CH147" s="444">
        <v>280.3</v>
      </c>
      <c r="CI147" s="418"/>
      <c r="CJ147" s="444">
        <v>371.1</v>
      </c>
      <c r="CK147" s="444">
        <v>576.4</v>
      </c>
      <c r="CL147" s="444">
        <v>425.2</v>
      </c>
      <c r="CM147" s="444">
        <v>334</v>
      </c>
      <c r="CN147" s="49">
        <f>+X147-SUM(CJ147:CM147)</f>
        <v>0</v>
      </c>
      <c r="CO147" s="444">
        <v>432.7</v>
      </c>
      <c r="CP147" s="446">
        <v>632.70000000000005</v>
      </c>
      <c r="CQ147" s="444">
        <v>508.1</v>
      </c>
      <c r="CR147" s="447">
        <f>AA147-SUM(CO147:CQ147)</f>
        <v>407.70000000000005</v>
      </c>
      <c r="CS147" s="49">
        <f>+AA147-SUM(CO147:CR147)</f>
        <v>0</v>
      </c>
      <c r="CT147" s="444">
        <v>412</v>
      </c>
      <c r="CU147" s="444">
        <v>547.5</v>
      </c>
      <c r="CV147" s="444">
        <f>445-19-5</f>
        <v>421</v>
      </c>
      <c r="CW147" s="444">
        <f>444.2</f>
        <v>444.2</v>
      </c>
      <c r="CX147" s="49">
        <f>AB147-SUM(CT147:CW147)</f>
        <v>0</v>
      </c>
      <c r="CY147" s="446">
        <v>423.7</v>
      </c>
      <c r="CZ147" s="446">
        <v>535.4</v>
      </c>
      <c r="DA147" s="2442">
        <v>457.1</v>
      </c>
      <c r="DB147" s="2442">
        <v>531.5</v>
      </c>
      <c r="DC147" s="2351">
        <f>AC147-SUM(CY147:DB147)</f>
        <v>0</v>
      </c>
      <c r="DD147" s="2443">
        <v>395.2</v>
      </c>
      <c r="DE147" s="2443">
        <v>560.20000000000005</v>
      </c>
      <c r="DF147" s="2443">
        <v>486.4</v>
      </c>
      <c r="DG147" s="2443">
        <v>494.7</v>
      </c>
      <c r="DH147" s="2352">
        <f>AD147-SUM(DD147:DG147)</f>
        <v>0</v>
      </c>
      <c r="DI147" s="2444">
        <f>DI116+DI127+DI140+DI143+DI146</f>
        <v>497.47924972624998</v>
      </c>
      <c r="DJ147" s="2444">
        <f>DJ116+DJ127+DJ140+DJ143+DJ146</f>
        <v>515.09473068</v>
      </c>
      <c r="DK147" s="2444">
        <f>DK116+DK127+DK140+DK143+DK146</f>
        <v>415.66897686793749</v>
      </c>
      <c r="DL147" s="2444">
        <f>DL116+DL127+DL140+DL143+DL146</f>
        <v>325.45704272581253</v>
      </c>
      <c r="DM147" s="2352">
        <f>AE147-SUM(DI147:DL147)</f>
        <v>0</v>
      </c>
      <c r="DN147" s="2444">
        <f>DN116+DN127+DN140+DN143+DN146</f>
        <v>244.63853314169933</v>
      </c>
      <c r="DO147" s="2444">
        <f>DO116+DO127+DO140+DO143+DO146</f>
        <v>311.91093352486837</v>
      </c>
      <c r="DP147" s="2444">
        <f>DP116+DP127+DP140+DP143+DP146</f>
        <v>483.42739985984576</v>
      </c>
      <c r="DQ147" s="2444">
        <f>DQ143+DQ140+DQ127+DQ116+DQ146+DQ145</f>
        <v>428.8266525501146</v>
      </c>
      <c r="DR147" s="2026">
        <f>AF147-SUM(DN147:DQ147)</f>
        <v>0</v>
      </c>
      <c r="DS147" s="2444">
        <f>DS143+DS140+DS127+DS116+DS146+DS145</f>
        <v>330.40527607535995</v>
      </c>
      <c r="DT147" s="2444">
        <f>DT143+DT140+DT127+DT116+DT146+DT145</f>
        <v>457.22434590584726</v>
      </c>
      <c r="DU147" s="2444">
        <f>DU143+DU140+DU127+DU116+DU146+DU145</f>
        <v>521.197925833402</v>
      </c>
      <c r="DV147" s="2444">
        <f>DV143+DV140+DV127+DV116+DV146+DV145</f>
        <v>592.99785843702966</v>
      </c>
      <c r="DW147" s="2026">
        <f>AG147-SUM(DS147:DV147)</f>
        <v>0</v>
      </c>
      <c r="DX147" s="1470"/>
      <c r="DY147" s="862"/>
      <c r="DZ147" s="862"/>
      <c r="EA147" s="862"/>
      <c r="EB147" s="862"/>
      <c r="EH147" s="1048"/>
      <c r="EI147" s="1048"/>
      <c r="EJ147" s="1048"/>
      <c r="EK147" s="1048"/>
      <c r="EM147" s="1048"/>
      <c r="FL147" s="1048"/>
    </row>
    <row r="148" spans="1:168">
      <c r="A148" s="242" t="s">
        <v>680</v>
      </c>
      <c r="B148" s="242"/>
      <c r="C148" s="39"/>
      <c r="D148" s="242"/>
      <c r="E148" s="39">
        <f>+E147/E109</f>
        <v>0.11074377571741567</v>
      </c>
      <c r="F148" s="39">
        <f>+F147/F109</f>
        <v>0.11530899617267822</v>
      </c>
      <c r="G148" s="242"/>
      <c r="H148" s="242"/>
      <c r="I148" s="39">
        <f>+I147/I109</f>
        <v>0.13847251962883655</v>
      </c>
      <c r="J148" s="39"/>
      <c r="K148" s="39">
        <f t="shared" ref="K148:P148" si="216">+K147/K109</f>
        <v>0.12980233362021532</v>
      </c>
      <c r="L148" s="39">
        <f t="shared" si="216"/>
        <v>0.1387142258298083</v>
      </c>
      <c r="M148" s="39">
        <f t="shared" si="216"/>
        <v>0.1677971664569772</v>
      </c>
      <c r="N148" s="39">
        <f t="shared" si="216"/>
        <v>0.17389022089179565</v>
      </c>
      <c r="O148" s="39">
        <f t="shared" si="216"/>
        <v>0.18859621311080396</v>
      </c>
      <c r="P148" s="39">
        <f t="shared" si="216"/>
        <v>0.17182557770134949</v>
      </c>
      <c r="Q148" s="39"/>
      <c r="R148" s="39">
        <f>+R147/R109</f>
        <v>0.17182557770134949</v>
      </c>
      <c r="S148" s="39">
        <f>+S147/S109</f>
        <v>0.1812947066144569</v>
      </c>
      <c r="T148" s="39">
        <f>+T147/T109</f>
        <v>0.17895229186155287</v>
      </c>
      <c r="U148" s="39">
        <f>+U147/U109</f>
        <v>0.17899755186187347</v>
      </c>
      <c r="V148" s="39"/>
      <c r="W148" s="204"/>
      <c r="X148" s="1110">
        <f t="shared" ref="X148:AQ148" si="217">+X147/X109</f>
        <v>0.20067963219904522</v>
      </c>
      <c r="Y148" s="1110">
        <f>+Y147/Y109</f>
        <v>0.18630228693708231</v>
      </c>
      <c r="Z148" s="1110">
        <f>+Z147/Z109</f>
        <v>0.19083002131213639</v>
      </c>
      <c r="AA148" s="1110">
        <f>+AA147/AA109</f>
        <v>0.20968407683759327</v>
      </c>
      <c r="AB148" s="1110">
        <f t="shared" si="217"/>
        <v>0.19567408741903658</v>
      </c>
      <c r="AC148" s="1110">
        <f t="shared" si="217"/>
        <v>0.20529982818774967</v>
      </c>
      <c r="AD148" s="1110">
        <f t="shared" si="217"/>
        <v>0.21262462119548509</v>
      </c>
      <c r="AE148" s="1110">
        <f t="shared" si="217"/>
        <v>0.19206167702031376</v>
      </c>
      <c r="AF148" s="1110">
        <f t="shared" si="217"/>
        <v>0.16465894813427251</v>
      </c>
      <c r="AG148" s="1110">
        <f t="shared" si="217"/>
        <v>0.19699186389004836</v>
      </c>
      <c r="AH148" s="1110">
        <f t="shared" si="217"/>
        <v>0.25785308509399402</v>
      </c>
      <c r="AI148" s="1110">
        <f t="shared" si="217"/>
        <v>0.27710816200859339</v>
      </c>
      <c r="AJ148" s="1110">
        <f t="shared" si="217"/>
        <v>0.26616265022528596</v>
      </c>
      <c r="AK148" s="1110">
        <f t="shared" si="217"/>
        <v>0.25760757703791565</v>
      </c>
      <c r="AL148" s="1110">
        <f>+AL147/AL109</f>
        <v>0.24282541114416312</v>
      </c>
      <c r="AM148" s="1110">
        <f>+AM147/AM109</f>
        <v>0.26148094513106684</v>
      </c>
      <c r="AN148" s="1110">
        <f t="shared" si="217"/>
        <v>0.25088703023331954</v>
      </c>
      <c r="AO148" s="1110">
        <f t="shared" ref="AO148" si="218">+AO147/AO109</f>
        <v>0.26162835666243273</v>
      </c>
      <c r="AP148" s="1110">
        <f t="shared" si="217"/>
        <v>0.25405023448637909</v>
      </c>
      <c r="AQ148" s="1110">
        <f t="shared" si="217"/>
        <v>0.26804489335339649</v>
      </c>
      <c r="AR148" s="1110">
        <f t="shared" ref="AR148:AW148" si="219">+AR147/AR109</f>
        <v>0.26260169460420357</v>
      </c>
      <c r="AS148" s="1110">
        <f t="shared" si="219"/>
        <v>0.2597131596061571</v>
      </c>
      <c r="AT148" s="1110">
        <f t="shared" si="219"/>
        <v>0.24916740154254868</v>
      </c>
      <c r="AU148" s="1110">
        <f t="shared" si="219"/>
        <v>0.2464984281416035</v>
      </c>
      <c r="AV148" s="1110">
        <f t="shared" si="219"/>
        <v>0.23226680184122397</v>
      </c>
      <c r="AW148" s="1110">
        <f t="shared" si="219"/>
        <v>0.23032746608729543</v>
      </c>
      <c r="AX148" s="1110">
        <f>+AX147/AX109</f>
        <v>0.22162949397870288</v>
      </c>
      <c r="AY148" s="1110">
        <f>+AY147/AY109</f>
        <v>0.21650944747874035</v>
      </c>
      <c r="AZ148" s="359"/>
      <c r="BA148" s="359"/>
      <c r="BB148" s="359"/>
      <c r="BC148" s="359"/>
      <c r="BD148" s="359"/>
      <c r="BE148" s="421"/>
      <c r="BF148" s="39">
        <f>+BF147/BF109</f>
        <v>9.8020890599230359E-2</v>
      </c>
      <c r="BG148" s="39">
        <f>+BG147/BG109</f>
        <v>0.15115532734274711</v>
      </c>
      <c r="BH148" s="39">
        <f>+BH147/BH109</f>
        <v>0.15679669030732862</v>
      </c>
      <c r="BI148" s="39">
        <f>+BI147/BI109</f>
        <v>0.11933422499628474</v>
      </c>
      <c r="BJ148" s="242"/>
      <c r="BK148" s="39">
        <f>+BK147/BK109</f>
        <v>0.15609967028809255</v>
      </c>
      <c r="BL148" s="39">
        <f>+BL147/BL109</f>
        <v>0.18770147801228637</v>
      </c>
      <c r="BM148" s="39">
        <f>+BM147/BM109</f>
        <v>0.2119233585550403</v>
      </c>
      <c r="BN148" s="39">
        <f>+BN147/BN109</f>
        <v>0.1466826747403038</v>
      </c>
      <c r="BO148" s="39"/>
      <c r="BP148" s="39">
        <f>+BP147/BP109</f>
        <v>0.15609967028809255</v>
      </c>
      <c r="BQ148" s="39">
        <f>+BQ147/BQ109</f>
        <v>0.18770147801228637</v>
      </c>
      <c r="BR148" s="39">
        <f>+BR147/BR109</f>
        <v>0.2119233585550403</v>
      </c>
      <c r="BS148" s="39">
        <f>+BS147/BS109</f>
        <v>0.14668267474030383</v>
      </c>
      <c r="BT148" s="242"/>
      <c r="BU148" s="39">
        <f>+BU147/BU109</f>
        <v>0.15496356115816426</v>
      </c>
      <c r="BV148" s="39">
        <f>+BV147/BV109</f>
        <v>0.2218396458435809</v>
      </c>
      <c r="BW148" s="39">
        <f>+BW147/BW109</f>
        <v>0.17927330173775671</v>
      </c>
      <c r="BX148" s="39">
        <f>+BX147/BX109</f>
        <v>0.14137535530843265</v>
      </c>
      <c r="BY148" s="95"/>
      <c r="BZ148" s="39">
        <f>+BZ147/BZ109</f>
        <v>0.13405014047979252</v>
      </c>
      <c r="CA148" s="39">
        <f>+CA147/CA109</f>
        <v>0.22636845203060627</v>
      </c>
      <c r="CB148" s="39">
        <f>+CB147/CB109</f>
        <v>0.19264129053643445</v>
      </c>
      <c r="CC148" s="39">
        <f>+CC147/CC109</f>
        <v>0.16848005275304978</v>
      </c>
      <c r="CD148" s="377"/>
      <c r="CE148" s="39">
        <f>+CE147/CE109</f>
        <v>0.14528448947778644</v>
      </c>
      <c r="CF148" s="39">
        <f>+CF147/CF109</f>
        <v>0.23050483351235229</v>
      </c>
      <c r="CG148" s="39">
        <f>+CG147/CG109</f>
        <v>0.21252523106342294</v>
      </c>
      <c r="CH148" s="39">
        <f>+CH147/CH109</f>
        <v>0.13399302069888619</v>
      </c>
      <c r="CI148" s="53"/>
      <c r="CJ148" s="39">
        <f>+CJ147/CJ109</f>
        <v>0.16328595943151319</v>
      </c>
      <c r="CK148" s="39">
        <f>+CK147/CK109</f>
        <v>0.27927709675856388</v>
      </c>
      <c r="CL148" s="39">
        <f>+CL147/CL109</f>
        <v>0.21593621451424508</v>
      </c>
      <c r="CM148" s="39">
        <f>+CM147/CM109</f>
        <v>0.15189412888262313</v>
      </c>
      <c r="CN148" s="49"/>
      <c r="CO148" s="39">
        <f>+CO147/CO109</f>
        <v>0.17294164668265388</v>
      </c>
      <c r="CP148" s="39">
        <f>+CP147/CP109</f>
        <v>0.27667482945600841</v>
      </c>
      <c r="CQ148" s="39">
        <f>+CQ147/CQ109</f>
        <v>0.23066097693844198</v>
      </c>
      <c r="CR148" s="39">
        <f>+CR147/CR109</f>
        <v>0.16594081973218283</v>
      </c>
      <c r="CS148" s="49"/>
      <c r="CT148" s="39">
        <f>+CT147/CT109</f>
        <v>0.17201786981754416</v>
      </c>
      <c r="CU148" s="39">
        <f>+CU147/CU109</f>
        <v>0.23969004465458368</v>
      </c>
      <c r="CV148" s="39">
        <f>+CV147/CV109</f>
        <v>0.1953686946029978</v>
      </c>
      <c r="CW148" s="39">
        <f>+CW147/CW109</f>
        <v>0.17832195905258932</v>
      </c>
      <c r="CX148" s="49"/>
      <c r="CY148" s="39">
        <f>+CY147/CY109</f>
        <v>0.16842230790634813</v>
      </c>
      <c r="CZ148" s="39">
        <f>+CZ147/CZ109</f>
        <v>0.23692362155943</v>
      </c>
      <c r="DA148" s="1110">
        <f>+DA147/DA109</f>
        <v>0.21254533618525065</v>
      </c>
      <c r="DB148" s="1110">
        <f>+DB147/DB109</f>
        <v>0.20753611870363139</v>
      </c>
      <c r="DC148" s="1164"/>
      <c r="DD148" s="1110">
        <f>+DD147/DD109</f>
        <v>0.15595895816890293</v>
      </c>
      <c r="DE148" s="1110">
        <f>+DE147/DE109</f>
        <v>0.26285660660660665</v>
      </c>
      <c r="DF148" s="1110">
        <f>+DF147/DF109</f>
        <v>0.23837294780691007</v>
      </c>
      <c r="DG148" s="1110">
        <f>+DG147/DG109</f>
        <v>0.2059619467921229</v>
      </c>
      <c r="DH148" s="2348"/>
      <c r="DI148" s="1110">
        <f>+DI147/DI109</f>
        <v>0.19221911881891782</v>
      </c>
      <c r="DJ148" s="1110">
        <f>+DJ147/DJ109</f>
        <v>0.23498222055512144</v>
      </c>
      <c r="DK148" s="1110">
        <f>+DK147/DK109</f>
        <v>0.19773195653021022</v>
      </c>
      <c r="DL148" s="1110">
        <f>+DL147/DL109</f>
        <v>0.14473799069176604</v>
      </c>
      <c r="DM148" s="2348"/>
      <c r="DN148" s="1110">
        <f>+DN147/DN109</f>
        <v>0.10744604816211588</v>
      </c>
      <c r="DO148" s="1110">
        <f>+DO147/DO109</f>
        <v>0.15751508580894394</v>
      </c>
      <c r="DP148" s="1110">
        <f>+DP147/DP109</f>
        <v>0.20958883577448872</v>
      </c>
      <c r="DQ148" s="1110">
        <f>+DQ147/DQ109</f>
        <v>0.18196226146883065</v>
      </c>
      <c r="DR148" s="1164"/>
      <c r="DS148" s="1110">
        <f>+DS147/DS109</f>
        <v>0.12596231150408443</v>
      </c>
      <c r="DT148" s="1110">
        <f>+DT147/DT109</f>
        <v>0.20647300866328913</v>
      </c>
      <c r="DU148" s="1110">
        <f>+DU147/DU109</f>
        <v>0.240841071930951</v>
      </c>
      <c r="DV148" s="1110">
        <f>+DV147/DV109</f>
        <v>0.22353986686757987</v>
      </c>
      <c r="DW148" s="1577"/>
      <c r="DX148" s="1470"/>
      <c r="DY148" s="862"/>
      <c r="DZ148" s="862"/>
      <c r="EA148" s="862"/>
      <c r="EB148" s="862"/>
      <c r="EH148" s="1048"/>
      <c r="EI148" s="1048"/>
      <c r="EJ148" s="1048"/>
      <c r="EK148" s="1048"/>
      <c r="EM148" s="1048"/>
      <c r="FL148" s="1048"/>
    </row>
    <row r="149" spans="1:168">
      <c r="A149" s="242" t="str">
        <f>+A139</f>
        <v>% Change</v>
      </c>
      <c r="B149" s="242"/>
      <c r="C149" s="242"/>
      <c r="D149" s="242"/>
      <c r="E149" s="39"/>
      <c r="F149" s="39"/>
      <c r="G149" s="242"/>
      <c r="H149" s="242"/>
      <c r="I149" s="242"/>
      <c r="J149" s="242"/>
      <c r="K149" s="39">
        <f>+K147/E147-1</f>
        <v>0.10746984184760233</v>
      </c>
      <c r="L149" s="39"/>
      <c r="M149" s="39"/>
      <c r="N149" s="39">
        <f>+N147/K147-1</f>
        <v>0.33228260869565229</v>
      </c>
      <c r="O149" s="39"/>
      <c r="P149" s="39">
        <f>+P147/N147-1</f>
        <v>1.4930243942236965E-2</v>
      </c>
      <c r="Q149" s="39"/>
      <c r="R149" s="39">
        <f>+R147/N147-1</f>
        <v>1.4930243942236965E-2</v>
      </c>
      <c r="S149" s="39"/>
      <c r="T149" s="39">
        <f>+T147/R147-1</f>
        <v>7.6446945337620642E-2</v>
      </c>
      <c r="U149" s="39">
        <f>+U147/T147-1</f>
        <v>3.7413187962064054E-2</v>
      </c>
      <c r="V149" s="39"/>
      <c r="W149" s="39"/>
      <c r="X149" s="1110">
        <f>+X147/U147-1</f>
        <v>0.22854880506766473</v>
      </c>
      <c r="Y149" s="1110">
        <f>Y147/S147-1</f>
        <v>5.2043908364137303E-2</v>
      </c>
      <c r="Z149" s="1110">
        <f>Z147/Y147-1</f>
        <v>6.2949178644764014E-2</v>
      </c>
      <c r="AA149" s="1110">
        <f>AA147/Z147-1</f>
        <v>0.19601569574403865</v>
      </c>
      <c r="AB149" s="1110">
        <f>+AB147/AA147-1</f>
        <v>-7.899252977993132E-2</v>
      </c>
      <c r="AC149" s="1110">
        <f t="shared" ref="AC149:AQ149" si="220">+AC147/AB147-1</f>
        <v>6.7408341097166646E-2</v>
      </c>
      <c r="AD149" s="1110">
        <f t="shared" si="220"/>
        <v>-5.750372233916945E-3</v>
      </c>
      <c r="AE149" s="1110">
        <f t="shared" si="220"/>
        <v>-9.4397108184869571E-2</v>
      </c>
      <c r="AF149" s="1110">
        <f t="shared" si="220"/>
        <v>-0.16245451384129106</v>
      </c>
      <c r="AG149" s="1110">
        <f t="shared" si="220"/>
        <v>0.29481267000732858</v>
      </c>
      <c r="AH149" s="1110">
        <f t="shared" si="220"/>
        <v>0.32494391826727864</v>
      </c>
      <c r="AI149" s="1110">
        <f t="shared" si="220"/>
        <v>0.12649994906564799</v>
      </c>
      <c r="AJ149" s="1110">
        <f t="shared" si="220"/>
        <v>6.3641636420568304E-2</v>
      </c>
      <c r="AK149" s="1110">
        <f t="shared" si="220"/>
        <v>-4.5424401597737973E-2</v>
      </c>
      <c r="AL149" s="1110">
        <f t="shared" si="220"/>
        <v>-3.1091103325709635E-2</v>
      </c>
      <c r="AM149" s="1110">
        <f t="shared" si="220"/>
        <v>0.12639855179111792</v>
      </c>
      <c r="AN149" s="1110">
        <f t="shared" si="220"/>
        <v>-1.9915271326706563E-2</v>
      </c>
      <c r="AO149" s="1110">
        <f t="shared" si="220"/>
        <v>7.934676562067744E-2</v>
      </c>
      <c r="AP149" s="1110">
        <f t="shared" si="220"/>
        <v>5.3090645286101967E-2</v>
      </c>
      <c r="AQ149" s="1110">
        <f t="shared" si="220"/>
        <v>9.7289821040738911E-2</v>
      </c>
      <c r="AR149" s="1110">
        <f t="shared" ref="AR149:AY149" si="221">+AR147/AQ147-1</f>
        <v>2.6710852040810584E-2</v>
      </c>
      <c r="AS149" s="1110">
        <f t="shared" si="221"/>
        <v>6.1967781527294985E-2</v>
      </c>
      <c r="AT149" s="1110">
        <f t="shared" si="221"/>
        <v>-4.5823319316607769E-2</v>
      </c>
      <c r="AU149" s="1110">
        <f t="shared" si="221"/>
        <v>2.292398572521015E-2</v>
      </c>
      <c r="AV149" s="1110">
        <f t="shared" si="221"/>
        <v>-1.7929092434788574E-3</v>
      </c>
      <c r="AW149" s="1110">
        <f t="shared" si="221"/>
        <v>-1.7801223475483074E-2</v>
      </c>
      <c r="AX149" s="1110">
        <f t="shared" si="221"/>
        <v>-1.622634253430133E-2</v>
      </c>
      <c r="AY149" s="1110">
        <f t="shared" si="221"/>
        <v>4.5836835550459032E-2</v>
      </c>
      <c r="AZ149" s="359"/>
      <c r="BA149" s="359"/>
      <c r="BB149" s="359"/>
      <c r="BC149" s="359"/>
      <c r="BD149" s="359"/>
      <c r="BE149" s="421"/>
      <c r="BF149" s="242"/>
      <c r="BG149" s="242"/>
      <c r="BH149" s="242"/>
      <c r="BI149" s="242"/>
      <c r="BJ149" s="242"/>
      <c r="BK149" s="39">
        <f>+BK147/BF147-1</f>
        <v>0.6197420078519349</v>
      </c>
      <c r="BL149" s="39">
        <f>+BL147/BG147-1</f>
        <v>0.310403397027601</v>
      </c>
      <c r="BM149" s="39">
        <f>+BM147/BH147-1</f>
        <v>0.3090840557859027</v>
      </c>
      <c r="BN149" s="39">
        <f>+BN147/BI147-1</f>
        <v>0.16645911166459104</v>
      </c>
      <c r="BO149" s="39"/>
      <c r="BP149" s="39"/>
      <c r="BQ149" s="39"/>
      <c r="BR149" s="39"/>
      <c r="BS149" s="39"/>
      <c r="BT149" s="242"/>
      <c r="BU149" s="39">
        <f>+BU147/BK147-1</f>
        <v>8.9681440443213134E-2</v>
      </c>
      <c r="BV149" s="39">
        <f>+BV147/BL147-1</f>
        <v>0.16915100453661691</v>
      </c>
      <c r="BW149" s="39">
        <f>+BW147/BM147-1</f>
        <v>-0.18312697955657942</v>
      </c>
      <c r="BX149" s="39">
        <f>+BX147/BN147-1</f>
        <v>8.8967971530249379E-3</v>
      </c>
      <c r="BY149" s="95"/>
      <c r="BZ149" s="242">
        <f>+BZ147/BU147-1</f>
        <v>-0.21163012392754998</v>
      </c>
      <c r="CA149" s="242">
        <f>+CA147/BV147-1</f>
        <v>6.596452328159641E-2</v>
      </c>
      <c r="CB149" s="242">
        <f>+CB147/BW147-1</f>
        <v>0.22911526260133952</v>
      </c>
      <c r="CC149" s="242">
        <f>+CC147/BX147-1</f>
        <v>0.2617283950617284</v>
      </c>
      <c r="CD149" s="377"/>
      <c r="CE149" s="242">
        <f>+CE147/BZ147-1</f>
        <v>0.12696493349455884</v>
      </c>
      <c r="CF149" s="242">
        <f>+CF147/CA147-1</f>
        <v>0.11596463858554329</v>
      </c>
      <c r="CG149" s="242">
        <f>+CG147/CB147-1</f>
        <v>0.14740464582735879</v>
      </c>
      <c r="CH149" s="242">
        <f>+CH147/CC147-1</f>
        <v>-0.21638244338831414</v>
      </c>
      <c r="CI149" s="53"/>
      <c r="CJ149" s="242">
        <f>+CJ147/BZ147-1</f>
        <v>0.49576783555018156</v>
      </c>
      <c r="CK149" s="242">
        <f>+CK147/CA147-1</f>
        <v>0.49869994799791972</v>
      </c>
      <c r="CL149" s="242">
        <f>+CL147/CB147-1</f>
        <v>0.21938629194149706</v>
      </c>
      <c r="CM149" s="242">
        <f>+CM147/CC147-1</f>
        <v>-6.6256639642158222E-2</v>
      </c>
      <c r="CN149" s="49"/>
      <c r="CO149" s="242">
        <f>+CO147/CE147-1</f>
        <v>0.54756795422031468</v>
      </c>
      <c r="CP149" s="242">
        <f>+CP147/CF147-1</f>
        <v>0.47413793103448287</v>
      </c>
      <c r="CQ149" s="242">
        <f>+CQ147/CG147-1</f>
        <v>0.26993251687078224</v>
      </c>
      <c r="CR149" s="242">
        <f>+CR147/CH147-1</f>
        <v>0.45451302176239761</v>
      </c>
      <c r="CS149" s="49"/>
      <c r="CT149" s="242">
        <f>+CT147/CO147-1</f>
        <v>-4.7839149526230584E-2</v>
      </c>
      <c r="CU149" s="242">
        <f>+CU147/CP147-1</f>
        <v>-0.13466097676624</v>
      </c>
      <c r="CV149" s="242">
        <f>+CV147/CQ147-1</f>
        <v>-0.17142294823853577</v>
      </c>
      <c r="CW149" s="242">
        <f>+CW147/CR147-1</f>
        <v>8.9526612705420394E-2</v>
      </c>
      <c r="CX149" s="350"/>
      <c r="CY149" s="242">
        <f>+CY147/CT147-1</f>
        <v>2.839805825242725E-2</v>
      </c>
      <c r="CZ149" s="242">
        <f>+CZ147/CU147-1</f>
        <v>-2.2100456621004572E-2</v>
      </c>
      <c r="DA149" s="1164">
        <f>+DA147/CV147-1</f>
        <v>8.5748218527315956E-2</v>
      </c>
      <c r="DB149" s="1164">
        <f>+DB147/CW147-1</f>
        <v>0.19653309320126078</v>
      </c>
      <c r="DC149" s="1164"/>
      <c r="DD149" s="1164">
        <f>+DD147/CY147-1</f>
        <v>-6.7264573991031362E-2</v>
      </c>
      <c r="DE149" s="1164">
        <f>+DE147/CZ147-1</f>
        <v>4.6320508031378438E-2</v>
      </c>
      <c r="DF149" s="1164">
        <f>+DF147/DA147-1</f>
        <v>6.4099759352439278E-2</v>
      </c>
      <c r="DG149" s="1164">
        <f>+DG147/DB147-1</f>
        <v>-6.9238005644402634E-2</v>
      </c>
      <c r="DH149" s="2348"/>
      <c r="DI149" s="1164">
        <f>+DI147/DD147-1</f>
        <v>0.25880376955022766</v>
      </c>
      <c r="DJ149" s="1164">
        <f>+DJ147/DE147-1</f>
        <v>-8.0516367940021483E-2</v>
      </c>
      <c r="DK149" s="1164">
        <f>+DK147/DF147-1</f>
        <v>-0.14541739953137844</v>
      </c>
      <c r="DL149" s="1164">
        <f>+DL147/DG147-1</f>
        <v>-0.3421123049811754</v>
      </c>
      <c r="DM149" s="2348"/>
      <c r="DN149" s="1164">
        <f>+DN147/DI147-1</f>
        <v>-0.5082437442841734</v>
      </c>
      <c r="DO149" s="1164">
        <f>+DO147/DJ147-1</f>
        <v>-0.39445908694678244</v>
      </c>
      <c r="DP149" s="1164">
        <f>+DP147/DK147-1</f>
        <v>0.16301053665940501</v>
      </c>
      <c r="DQ149" s="1164">
        <f>+DQ147/DL147-1</f>
        <v>0.31761368246496291</v>
      </c>
      <c r="DR149" s="1164"/>
      <c r="DS149" s="1577"/>
      <c r="DT149" s="1577"/>
      <c r="DU149" s="1577"/>
      <c r="DV149" s="1577"/>
      <c r="DW149" s="1577"/>
      <c r="DX149" s="1470"/>
      <c r="DY149" s="862"/>
      <c r="DZ149" s="862"/>
      <c r="EA149" s="862"/>
      <c r="EB149" s="862"/>
      <c r="EH149" s="1048"/>
      <c r="EI149" s="1048"/>
      <c r="EJ149" s="1048"/>
      <c r="EK149" s="1048"/>
      <c r="EM149" s="1048"/>
      <c r="FL149" s="1048"/>
    </row>
    <row r="150" spans="1:168" ht="7.5" customHeight="1">
      <c r="A150" s="379"/>
      <c r="B150" s="11"/>
      <c r="C150" s="11"/>
      <c r="D150" s="11"/>
      <c r="E150" s="11"/>
      <c r="F150" s="11"/>
      <c r="G150" s="11"/>
      <c r="H150" s="11"/>
      <c r="I150" s="11"/>
      <c r="J150" s="11"/>
      <c r="K150" s="14"/>
      <c r="L150" s="11"/>
      <c r="M150" s="14"/>
      <c r="N150" s="11"/>
      <c r="O150" s="11"/>
      <c r="P150" s="11"/>
      <c r="Q150" s="11"/>
      <c r="R150" s="242"/>
      <c r="S150" s="11"/>
      <c r="T150" s="11"/>
      <c r="U150" s="11"/>
      <c r="V150" s="11"/>
      <c r="W150" s="11"/>
      <c r="X150" s="11"/>
      <c r="Y150" s="11"/>
      <c r="Z150" s="11"/>
      <c r="AA150" s="11"/>
      <c r="AB150" s="11"/>
      <c r="AC150" s="11"/>
      <c r="AD150" s="11"/>
      <c r="AE150" s="11"/>
      <c r="AF150" s="11"/>
      <c r="AG150" s="11"/>
      <c r="AH150" s="11"/>
      <c r="AI150" s="11"/>
      <c r="AJ150" s="432"/>
      <c r="AK150" s="11"/>
      <c r="AL150" s="11"/>
      <c r="AM150" s="11"/>
      <c r="AN150" s="11"/>
      <c r="AO150" s="11"/>
      <c r="AP150" s="11"/>
      <c r="AQ150" s="11"/>
      <c r="AR150" s="11"/>
      <c r="AS150" s="11"/>
      <c r="AT150" s="11"/>
      <c r="AU150" s="11"/>
      <c r="AV150" s="11"/>
      <c r="AW150" s="11"/>
      <c r="AX150" s="69"/>
      <c r="AY150" s="69"/>
      <c r="AZ150" s="69"/>
      <c r="BA150" s="69"/>
      <c r="BB150" s="69"/>
      <c r="BC150" s="69"/>
      <c r="BD150" s="69"/>
      <c r="BE150" s="69"/>
      <c r="BF150" s="14"/>
      <c r="BG150" s="14"/>
      <c r="BH150" s="14"/>
      <c r="BI150" s="14"/>
      <c r="BJ150" s="11"/>
      <c r="BK150" s="14"/>
      <c r="BL150" s="14"/>
      <c r="BM150" s="14"/>
      <c r="BN150" s="14"/>
      <c r="BO150" s="11"/>
      <c r="BP150" s="11"/>
      <c r="BQ150" s="11"/>
      <c r="BR150" s="11"/>
      <c r="BS150" s="11"/>
      <c r="BT150" s="11"/>
      <c r="BU150" s="352"/>
      <c r="BV150" s="304"/>
      <c r="BW150" s="304"/>
      <c r="BX150" s="304"/>
      <c r="BY150" s="95"/>
      <c r="BZ150" s="11"/>
      <c r="CA150" s="11"/>
      <c r="CB150" s="11"/>
      <c r="CC150" s="11"/>
      <c r="CD150" s="377"/>
      <c r="CE150" s="11"/>
      <c r="CF150" s="11"/>
      <c r="CG150" s="11"/>
      <c r="CH150" s="11"/>
      <c r="CI150" s="53"/>
      <c r="CJ150" s="11"/>
      <c r="CK150" s="11"/>
      <c r="CL150" s="11"/>
      <c r="CM150" s="11"/>
      <c r="CN150" s="49"/>
      <c r="CO150" s="11"/>
      <c r="CP150" s="11"/>
      <c r="CQ150" s="11"/>
      <c r="CR150" s="11"/>
      <c r="CS150" s="49"/>
      <c r="CT150" s="11"/>
      <c r="CU150" s="242"/>
      <c r="CV150" s="242"/>
      <c r="CW150" s="242"/>
      <c r="CX150" s="49"/>
      <c r="CY150" s="391"/>
      <c r="CZ150" s="391"/>
      <c r="DA150" s="2348"/>
      <c r="DB150" s="2348"/>
      <c r="DC150" s="1108"/>
      <c r="DD150" s="1710"/>
      <c r="DE150" s="1710"/>
      <c r="DF150" s="1710"/>
      <c r="DG150" s="1710"/>
      <c r="DH150" s="1710"/>
      <c r="DI150" s="1710"/>
      <c r="DJ150" s="1710"/>
      <c r="DK150" s="1710"/>
      <c r="DL150" s="1710"/>
      <c r="DM150" s="1710"/>
      <c r="DN150" s="1108"/>
      <c r="DO150" s="1108"/>
      <c r="DP150" s="1108"/>
      <c r="DQ150" s="1108"/>
      <c r="DR150" s="1108"/>
      <c r="DS150" s="1577"/>
      <c r="DT150" s="1577"/>
      <c r="DU150" s="1577"/>
      <c r="DV150" s="1577"/>
      <c r="DW150" s="1577"/>
      <c r="DX150" s="1470"/>
      <c r="DY150" s="862"/>
      <c r="DZ150" s="862"/>
      <c r="EA150" s="862"/>
      <c r="EB150" s="862"/>
      <c r="EH150" s="1048"/>
      <c r="EI150" s="1048"/>
      <c r="EJ150" s="1048"/>
      <c r="EK150" s="1048"/>
      <c r="EM150" s="1048"/>
      <c r="FL150" s="1048"/>
    </row>
    <row r="151" spans="1:168">
      <c r="A151" s="369" t="s">
        <v>681</v>
      </c>
      <c r="B151" s="77"/>
      <c r="C151" s="77">
        <v>95.3</v>
      </c>
      <c r="D151" s="77">
        <v>45</v>
      </c>
      <c r="E151" s="14">
        <f>+SUM(C151:D151)</f>
        <v>140.30000000000001</v>
      </c>
      <c r="F151" s="14">
        <f>F152*F109</f>
        <v>154.30699292029476</v>
      </c>
      <c r="G151" s="14"/>
      <c r="H151" s="77"/>
      <c r="I151" s="14">
        <f>+I152*I109</f>
        <v>94.691702127659568</v>
      </c>
      <c r="J151" s="77">
        <v>45</v>
      </c>
      <c r="K151" s="77">
        <f>+I152*K109</f>
        <v>159.68269739952717</v>
      </c>
      <c r="L151" s="14">
        <f>L152*L109</f>
        <v>177.3593829787234</v>
      </c>
      <c r="M151" s="14">
        <f>+N151</f>
        <v>211.46099999999998</v>
      </c>
      <c r="N151" s="14">
        <f>+N152*N109</f>
        <v>211.46099999999998</v>
      </c>
      <c r="O151" s="14">
        <f>O152*O109</f>
        <v>236.55299999999994</v>
      </c>
      <c r="P151" s="14">
        <f>+P152*P109</f>
        <v>253.3965</v>
      </c>
      <c r="Q151" s="14"/>
      <c r="R151" s="14">
        <f>+R152*R109</f>
        <v>253.3965</v>
      </c>
      <c r="S151" s="14">
        <f>S152*S109</f>
        <v>285.97495082076853</v>
      </c>
      <c r="T151" s="14">
        <f>T195</f>
        <v>128.80000000000001</v>
      </c>
      <c r="U151" s="14">
        <f>U195</f>
        <v>139.1</v>
      </c>
      <c r="V151" s="14"/>
      <c r="W151" s="14"/>
      <c r="X151" s="14">
        <f>X195</f>
        <v>136.9</v>
      </c>
      <c r="Y151" s="77">
        <f>164.1-Y156</f>
        <v>152.1</v>
      </c>
      <c r="Z151" s="77">
        <f>175-Z156</f>
        <v>163</v>
      </c>
      <c r="AA151" s="77">
        <f>173.7-AA156</f>
        <v>163.19999999999999</v>
      </c>
      <c r="AB151" s="77">
        <f>178.8-AB156</f>
        <v>159.70000000000002</v>
      </c>
      <c r="AC151" s="77">
        <f>171.5-AC156</f>
        <v>153.5</v>
      </c>
      <c r="AD151" s="77">
        <f>187.2-AD156</f>
        <v>170.7</v>
      </c>
      <c r="AE151" s="14">
        <f>SUM(DI151:DL151)</f>
        <v>167.8</v>
      </c>
      <c r="AF151" s="14">
        <f>SUM(DN151:DQ151)</f>
        <v>162.5</v>
      </c>
      <c r="AG151" s="14">
        <f>SUM(DS151:DV151)</f>
        <v>181.92713089005235</v>
      </c>
      <c r="AH151" s="14">
        <f>+AH195</f>
        <v>175.54644283716974</v>
      </c>
      <c r="AI151" s="14">
        <f>+AI195</f>
        <v>191.18500000000003</v>
      </c>
      <c r="AJ151" s="14">
        <f t="shared" ref="AJ151:AO151" si="222">AJ195</f>
        <v>179.02799999999999</v>
      </c>
      <c r="AK151" s="14">
        <f t="shared" si="222"/>
        <v>176.95491349999998</v>
      </c>
      <c r="AL151" s="14">
        <f t="shared" si="222"/>
        <v>164.89909568459612</v>
      </c>
      <c r="AM151" s="14">
        <f t="shared" ca="1" si="222"/>
        <v>152.0609542378682</v>
      </c>
      <c r="AN151" s="14">
        <f t="shared" ca="1" si="222"/>
        <v>146.6607855690425</v>
      </c>
      <c r="AO151" s="14">
        <f t="shared" ca="1" si="222"/>
        <v>142.6607855690425</v>
      </c>
      <c r="AP151" s="14">
        <f t="shared" ref="AP151:AU151" ca="1" si="223">+AP152*AP109</f>
        <v>140.92337777591308</v>
      </c>
      <c r="AQ151" s="14">
        <f t="shared" ca="1" si="223"/>
        <v>143.44459433598325</v>
      </c>
      <c r="AR151" s="14">
        <f t="shared" ca="1" si="223"/>
        <v>150.32885597481518</v>
      </c>
      <c r="AS151" s="14">
        <f t="shared" ca="1" si="223"/>
        <v>161.41996993368667</v>
      </c>
      <c r="AT151" s="14">
        <f ca="1">+AT152*AT109</f>
        <v>160.54204592255098</v>
      </c>
      <c r="AU151" s="14">
        <f t="shared" ca="1" si="223"/>
        <v>166.00043432255018</v>
      </c>
      <c r="AV151" s="14">
        <f ca="1">+AV152*AV109</f>
        <v>175.85587793899384</v>
      </c>
      <c r="AW151" s="14">
        <f ca="1">+AW152*AW109</f>
        <v>174.17976013038978</v>
      </c>
      <c r="AX151" s="14">
        <f ca="1">+AX152*AX109</f>
        <v>178.07832100709467</v>
      </c>
      <c r="AY151" s="14">
        <f ca="1">+AY152*AY109</f>
        <v>190.64511850217755</v>
      </c>
      <c r="AZ151" s="356"/>
      <c r="BA151" s="356"/>
      <c r="BB151" s="356"/>
      <c r="BC151" s="356"/>
      <c r="BD151" s="356"/>
      <c r="BE151" s="354"/>
      <c r="BF151" s="14">
        <f>+K151/4</f>
        <v>39.920674349881793</v>
      </c>
      <c r="BG151" s="14">
        <f>+BF151</f>
        <v>39.920674349881793</v>
      </c>
      <c r="BH151" s="14">
        <f>+BG151</f>
        <v>39.920674349881793</v>
      </c>
      <c r="BI151" s="14">
        <f>+K151-SUM(BF151:BH151)</f>
        <v>39.920674349881793</v>
      </c>
      <c r="BJ151" s="14"/>
      <c r="BK151" s="14">
        <f>+N151/4</f>
        <v>52.865249999999996</v>
      </c>
      <c r="BL151" s="14">
        <f>+BK151</f>
        <v>52.865249999999996</v>
      </c>
      <c r="BM151" s="14">
        <f>+BL151</f>
        <v>52.865249999999996</v>
      </c>
      <c r="BN151" s="14">
        <f>M151-SUM(BK151:BM151)</f>
        <v>52.865250000000003</v>
      </c>
      <c r="BO151" s="14"/>
      <c r="BP151" s="14">
        <f>+BK151</f>
        <v>52.865249999999996</v>
      </c>
      <c r="BQ151" s="14">
        <f>+BL151</f>
        <v>52.865249999999996</v>
      </c>
      <c r="BR151" s="14">
        <f>+BM151</f>
        <v>52.865249999999996</v>
      </c>
      <c r="BS151" s="14">
        <f>+N151-SUM(BP151:BR151)</f>
        <v>52.865250000000003</v>
      </c>
      <c r="BT151" s="14"/>
      <c r="BU151" s="14">
        <f>+BU195</f>
        <v>36.799125000000146</v>
      </c>
      <c r="BV151" s="14">
        <f>+BV195</f>
        <v>67.499125000000191</v>
      </c>
      <c r="BW151" s="14">
        <v>25</v>
      </c>
      <c r="BX151" s="14">
        <f>+P151-SUM(BU151:BW151)</f>
        <v>124.09824999999967</v>
      </c>
      <c r="BY151" s="95"/>
      <c r="BZ151" s="77">
        <f>33.7-BZ156</f>
        <v>30.700000000000003</v>
      </c>
      <c r="CA151" s="14">
        <v>31</v>
      </c>
      <c r="CB151" s="14">
        <v>31</v>
      </c>
      <c r="CC151" s="14">
        <f>+T151-CB151-CA151-BZ151</f>
        <v>36.100000000000009</v>
      </c>
      <c r="CD151" s="377">
        <f>+T151-SUM(BZ151:CC151)</f>
        <v>0</v>
      </c>
      <c r="CE151" s="14">
        <f>+CE195</f>
        <v>34</v>
      </c>
      <c r="CF151" s="14">
        <f>+CF195</f>
        <v>34</v>
      </c>
      <c r="CG151" s="14">
        <f>+CG195</f>
        <v>34.799999999999997</v>
      </c>
      <c r="CH151" s="14">
        <f>+U151-CG151-CF151-CE151</f>
        <v>36.299999999999997</v>
      </c>
      <c r="CI151" s="53"/>
      <c r="CJ151" s="14">
        <f>+CJ195</f>
        <v>32.4</v>
      </c>
      <c r="CK151" s="14">
        <f>+CK195</f>
        <v>34.9</v>
      </c>
      <c r="CL151" s="14">
        <f>+CL195</f>
        <v>33.700000000000003</v>
      </c>
      <c r="CM151" s="167">
        <f>+X151-SUM(CJ151:CL151)</f>
        <v>35.900000000000006</v>
      </c>
      <c r="CN151" s="49">
        <f>+X151-SUM(CJ151:CM151)</f>
        <v>0</v>
      </c>
      <c r="CO151" s="14">
        <f>+CO195</f>
        <v>39.000000000000007</v>
      </c>
      <c r="CP151" s="14">
        <f>+CP195</f>
        <v>41.9</v>
      </c>
      <c r="CQ151" s="14">
        <f>+CQ195</f>
        <v>39.4</v>
      </c>
      <c r="CR151" s="167">
        <f>+AA151-SUM(CO151:CQ151)</f>
        <v>42.899999999999977</v>
      </c>
      <c r="CS151" s="49">
        <f>+AA151-SUM(CO151:CR151)</f>
        <v>0</v>
      </c>
      <c r="CT151" s="14">
        <f>+CT195</f>
        <v>35.800000000000011</v>
      </c>
      <c r="CU151" s="14">
        <f>+CU195</f>
        <v>38</v>
      </c>
      <c r="CV151" s="14">
        <f>+CV195</f>
        <v>40.225000000000001</v>
      </c>
      <c r="CW151" s="167">
        <f>+AB151-SUM(CT151:CV151)</f>
        <v>45.675000000000011</v>
      </c>
      <c r="CX151" s="49">
        <f>AB151-SUM(CT151:CW151)</f>
        <v>0</v>
      </c>
      <c r="CY151" s="14">
        <f>CY195</f>
        <v>36.4</v>
      </c>
      <c r="CZ151" s="14">
        <f>CZ195</f>
        <v>38</v>
      </c>
      <c r="DA151" s="1357">
        <f>DA195</f>
        <v>38.200000000000003</v>
      </c>
      <c r="DB151" s="1357">
        <f>DB195</f>
        <v>40.9</v>
      </c>
      <c r="DC151" s="2351">
        <f>AC151-SUM(CY151:DB151)</f>
        <v>0</v>
      </c>
      <c r="DD151" s="1357">
        <f>DD195</f>
        <v>43.975000000000001</v>
      </c>
      <c r="DE151" s="1357">
        <f>DE195</f>
        <v>43.774999999999999</v>
      </c>
      <c r="DF151" s="1357">
        <f>DF195</f>
        <v>43.674999999999997</v>
      </c>
      <c r="DG151" s="1357">
        <f>DG195</f>
        <v>40.274999999999999</v>
      </c>
      <c r="DH151" s="2352">
        <f>AD151-SUM(DD151:DG151)</f>
        <v>-1.0000000000000284</v>
      </c>
      <c r="DI151" s="1357">
        <f>DI195</f>
        <v>40.725000000000001</v>
      </c>
      <c r="DJ151" s="1357">
        <f>DJ195</f>
        <v>40.024999999999999</v>
      </c>
      <c r="DK151" s="1357">
        <f>DK195</f>
        <v>43.524999999999999</v>
      </c>
      <c r="DL151" s="1357">
        <f>DL195</f>
        <v>43.524999999999999</v>
      </c>
      <c r="DM151" s="2352">
        <f>AE151-SUM(DI151:DL151)</f>
        <v>0</v>
      </c>
      <c r="DN151" s="1357">
        <f>DN195</f>
        <v>40.5</v>
      </c>
      <c r="DO151" s="1357">
        <f>DO195</f>
        <v>38.799999999999997</v>
      </c>
      <c r="DP151" s="1357">
        <f>DP195</f>
        <v>39.799999999999997</v>
      </c>
      <c r="DQ151" s="1357">
        <f>DQ195</f>
        <v>43.399999999999991</v>
      </c>
      <c r="DR151" s="2026">
        <f>AF151-SUM(DN151:DQ151)</f>
        <v>0</v>
      </c>
      <c r="DS151" s="1357">
        <f>DS195</f>
        <v>45.650000000000013</v>
      </c>
      <c r="DT151" s="1357">
        <f>DT195</f>
        <v>45.749999999999993</v>
      </c>
      <c r="DU151" s="1357">
        <f>DU195</f>
        <v>45.04999999999999</v>
      </c>
      <c r="DV151" s="1357">
        <f>DV195</f>
        <v>45.477130890052379</v>
      </c>
      <c r="DW151" s="2026">
        <f>AG151-SUM(DS151:DV151)</f>
        <v>0</v>
      </c>
      <c r="DX151" s="1470"/>
      <c r="DY151" s="862"/>
      <c r="DZ151" s="862"/>
      <c r="EA151" s="862"/>
      <c r="EB151" s="862"/>
      <c r="EH151" s="1048"/>
      <c r="EI151" s="1048"/>
      <c r="EJ151" s="1048"/>
      <c r="EK151" s="1048"/>
      <c r="EM151" s="1048"/>
      <c r="FL151" s="1048"/>
    </row>
    <row r="152" spans="1:168">
      <c r="A152" s="375" t="s">
        <v>682</v>
      </c>
      <c r="B152" s="242"/>
      <c r="C152" s="39">
        <f>C151/C109</f>
        <v>2.2529550827423167E-2</v>
      </c>
      <c r="D152" s="242"/>
      <c r="E152" s="39">
        <f>E151/E109</f>
        <v>1.8703422246354334E-2</v>
      </c>
      <c r="F152" s="119">
        <f>E152</f>
        <v>1.8703422246354334E-2</v>
      </c>
      <c r="G152" s="242"/>
      <c r="H152" s="242"/>
      <c r="I152" s="119">
        <f>+C152</f>
        <v>2.2529550827423167E-2</v>
      </c>
      <c r="J152" s="242"/>
      <c r="K152" s="39">
        <f>K151/K109</f>
        <v>2.2529550827423167E-2</v>
      </c>
      <c r="L152" s="119">
        <f>K152</f>
        <v>2.2529550827423167E-2</v>
      </c>
      <c r="M152" s="39">
        <f>M151/M109</f>
        <v>2.8918139051474206E-2</v>
      </c>
      <c r="N152" s="39">
        <v>0.03</v>
      </c>
      <c r="O152" s="119">
        <f>N152</f>
        <v>0.03</v>
      </c>
      <c r="P152" s="119">
        <v>3.5000000000000003E-2</v>
      </c>
      <c r="Q152" s="39"/>
      <c r="R152" s="242">
        <f>+P152</f>
        <v>3.5000000000000003E-2</v>
      </c>
      <c r="S152" s="119">
        <f>R152</f>
        <v>3.5000000000000003E-2</v>
      </c>
      <c r="T152" s="242">
        <f>T151/T109</f>
        <v>1.7212347988774558E-2</v>
      </c>
      <c r="U152" s="242">
        <f>U151/U109</f>
        <v>1.7922948073701841E-2</v>
      </c>
      <c r="V152" s="242"/>
      <c r="W152" s="242"/>
      <c r="X152" s="242">
        <f t="shared" ref="X152:AD152" si="224">X151/X109</f>
        <v>1.6097170942783904E-2</v>
      </c>
      <c r="Y152" s="242">
        <f t="shared" si="224"/>
        <v>1.8183122332604097E-2</v>
      </c>
      <c r="Z152" s="242">
        <f t="shared" si="224"/>
        <v>1.8777720177409134E-2</v>
      </c>
      <c r="AA152" s="242">
        <f t="shared" si="224"/>
        <v>1.7272582949674549E-2</v>
      </c>
      <c r="AB152" s="242">
        <f t="shared" si="224"/>
        <v>1.7125638056020246E-2</v>
      </c>
      <c r="AC152" s="242">
        <f t="shared" si="224"/>
        <v>1.6179865290763245E-2</v>
      </c>
      <c r="AD152" s="242">
        <f t="shared" si="224"/>
        <v>1.8742588607316965E-2</v>
      </c>
      <c r="AE152" s="242">
        <f>+AD152+0.0005</f>
        <v>1.9242588607316966E-2</v>
      </c>
      <c r="AF152" s="242">
        <f>+AE152+0.0005</f>
        <v>1.9742588607316966E-2</v>
      </c>
      <c r="AG152" s="242">
        <v>1.5900000000000001E-2</v>
      </c>
      <c r="AH152" s="242">
        <v>1.485E-2</v>
      </c>
      <c r="AI152" s="242">
        <f t="shared" ref="AI152:AN152" si="225">+AI151/AI109</f>
        <v>1.8663960899351267E-2</v>
      </c>
      <c r="AJ152" s="242">
        <f t="shared" si="225"/>
        <v>1.5782413781832792E-2</v>
      </c>
      <c r="AK152" s="242">
        <f t="shared" si="225"/>
        <v>1.5816714806406545E-2</v>
      </c>
      <c r="AL152" s="242">
        <f t="shared" si="225"/>
        <v>1.4339185658751996E-2</v>
      </c>
      <c r="AM152" s="242">
        <f t="shared" ca="1" si="225"/>
        <v>1.2640893003368469E-2</v>
      </c>
      <c r="AN152" s="242">
        <f t="shared" ca="1" si="225"/>
        <v>1.1935719204514639E-2</v>
      </c>
      <c r="AO152" s="242">
        <f t="shared" ref="AO152" ca="1" si="226">+AO151/AO109</f>
        <v>1.1217208839795311E-2</v>
      </c>
      <c r="AP152" s="119">
        <f t="shared" ref="AP152:AY152" ca="1" si="227">+MAX(1%,AO152-0.1%)</f>
        <v>1.0217208839795312E-2</v>
      </c>
      <c r="AQ152" s="119">
        <f t="shared" ca="1" si="227"/>
        <v>0.01</v>
      </c>
      <c r="AR152" s="119">
        <f t="shared" ca="1" si="227"/>
        <v>0.01</v>
      </c>
      <c r="AS152" s="119">
        <f t="shared" ca="1" si="227"/>
        <v>0.01</v>
      </c>
      <c r="AT152" s="119">
        <f t="shared" ca="1" si="227"/>
        <v>0.01</v>
      </c>
      <c r="AU152" s="119">
        <f t="shared" ca="1" si="227"/>
        <v>0.01</v>
      </c>
      <c r="AV152" s="119">
        <f ca="1">+MAX(1%,AU152-0.1%)</f>
        <v>0.01</v>
      </c>
      <c r="AW152" s="119">
        <f t="shared" ca="1" si="227"/>
        <v>0.01</v>
      </c>
      <c r="AX152" s="119">
        <f t="shared" ca="1" si="227"/>
        <v>0.01</v>
      </c>
      <c r="AY152" s="119">
        <f t="shared" ca="1" si="227"/>
        <v>0.01</v>
      </c>
      <c r="AZ152" s="421"/>
      <c r="BA152" s="421"/>
      <c r="BB152" s="421"/>
      <c r="BC152" s="421"/>
      <c r="BD152" s="421"/>
      <c r="BE152" s="421"/>
      <c r="BF152" s="242"/>
      <c r="BG152" s="242"/>
      <c r="BH152" s="242"/>
      <c r="BI152" s="242"/>
      <c r="BJ152" s="242"/>
      <c r="BK152" s="242"/>
      <c r="BL152" s="242"/>
      <c r="BM152" s="242"/>
      <c r="BN152" s="242"/>
      <c r="BO152" s="242"/>
      <c r="BP152" s="242"/>
      <c r="BQ152" s="242"/>
      <c r="BR152" s="242"/>
      <c r="BS152" s="242"/>
      <c r="BT152" s="242"/>
      <c r="BU152" s="350"/>
      <c r="BV152" s="350"/>
      <c r="BW152" s="350"/>
      <c r="BX152" s="350"/>
      <c r="BY152" s="95"/>
      <c r="BZ152" s="242"/>
      <c r="CA152" s="242"/>
      <c r="CB152" s="242"/>
      <c r="CC152" s="242"/>
      <c r="CD152" s="377"/>
      <c r="CE152" s="242"/>
      <c r="CF152" s="242"/>
      <c r="CG152" s="242"/>
      <c r="CH152" s="242"/>
      <c r="CI152" s="53"/>
      <c r="CJ152" s="242"/>
      <c r="CK152" s="242"/>
      <c r="CL152" s="242"/>
      <c r="CM152" s="242"/>
      <c r="CN152" s="49"/>
      <c r="CO152" s="242"/>
      <c r="CP152" s="242"/>
      <c r="CQ152" s="242"/>
      <c r="CR152" s="242"/>
      <c r="CS152" s="49"/>
      <c r="CT152" s="242"/>
      <c r="CU152" s="14"/>
      <c r="CV152" s="14"/>
      <c r="CW152" s="14"/>
      <c r="CX152" s="49"/>
      <c r="CY152" s="352" t="s">
        <v>337</v>
      </c>
      <c r="CZ152" s="352" t="s">
        <v>337</v>
      </c>
      <c r="DA152" s="352" t="s">
        <v>337</v>
      </c>
      <c r="DB152" s="352"/>
      <c r="DC152" s="242"/>
      <c r="DD152" s="391"/>
      <c r="DE152" s="391"/>
      <c r="DF152" s="391"/>
      <c r="DG152" s="391"/>
      <c r="DH152" s="391"/>
      <c r="DI152" s="391"/>
      <c r="DJ152" s="391"/>
      <c r="DK152" s="391"/>
      <c r="DL152" s="391" t="s">
        <v>337</v>
      </c>
      <c r="DM152" s="391"/>
      <c r="DN152" s="14"/>
      <c r="DO152" s="242"/>
      <c r="DP152" s="242"/>
      <c r="DQ152" s="242"/>
      <c r="DR152" s="242"/>
      <c r="DX152" s="862"/>
      <c r="DY152" s="862"/>
      <c r="DZ152" s="862"/>
      <c r="EA152" s="862"/>
      <c r="EB152" s="862"/>
      <c r="EH152" s="1048"/>
      <c r="EI152" s="1048"/>
      <c r="EJ152" s="1048"/>
      <c r="EK152" s="1048"/>
      <c r="EM152" s="1048"/>
      <c r="FL152" s="1048"/>
    </row>
    <row r="153" spans="1:168" ht="8.1" customHeight="1">
      <c r="A153" s="376"/>
      <c r="B153" s="11"/>
      <c r="C153" s="11"/>
      <c r="D153" s="11"/>
      <c r="E153" s="11"/>
      <c r="F153" s="11"/>
      <c r="G153" s="11"/>
      <c r="H153" s="11"/>
      <c r="I153" s="11"/>
      <c r="J153" s="242"/>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69"/>
      <c r="AZ153" s="69"/>
      <c r="BA153" s="69"/>
      <c r="BB153" s="69"/>
      <c r="BC153" s="69"/>
      <c r="BD153" s="69"/>
      <c r="BE153" s="69"/>
      <c r="BF153" s="11"/>
      <c r="BG153" s="11"/>
      <c r="BH153" s="11"/>
      <c r="BI153" s="11"/>
      <c r="BJ153" s="11"/>
      <c r="BK153" s="11"/>
      <c r="BL153" s="11"/>
      <c r="BM153" s="11"/>
      <c r="BN153" s="11"/>
      <c r="BO153" s="11"/>
      <c r="BP153" s="11"/>
      <c r="BQ153" s="11"/>
      <c r="BR153" s="11"/>
      <c r="BS153" s="11"/>
      <c r="BT153" s="11"/>
      <c r="BU153" s="124"/>
      <c r="BV153" s="124"/>
      <c r="BW153" s="124"/>
      <c r="BX153" s="124"/>
      <c r="BY153" s="95"/>
      <c r="BZ153" s="11"/>
      <c r="CA153" s="11"/>
      <c r="CB153" s="11"/>
      <c r="CC153" s="11"/>
      <c r="CD153" s="377"/>
      <c r="CE153" s="11"/>
      <c r="CF153" s="11"/>
      <c r="CG153" s="11"/>
      <c r="CH153" s="11"/>
      <c r="CI153" s="53"/>
      <c r="CJ153" s="11"/>
      <c r="CK153" s="11"/>
      <c r="CL153" s="11"/>
      <c r="CM153" s="11"/>
      <c r="CN153" s="49"/>
      <c r="CO153" s="11"/>
      <c r="CP153" s="11"/>
      <c r="CQ153" s="11"/>
      <c r="CR153" s="11"/>
      <c r="CS153" s="49"/>
      <c r="CT153" s="11"/>
      <c r="CU153" s="242"/>
      <c r="CV153" s="242"/>
      <c r="CW153" s="242"/>
      <c r="CX153" s="49"/>
      <c r="CY153" s="391"/>
      <c r="CZ153" s="391"/>
      <c r="DA153" s="391"/>
      <c r="DB153" s="391"/>
      <c r="DC153" s="11"/>
      <c r="DD153" s="304"/>
      <c r="DE153" s="304"/>
      <c r="DF153" s="304"/>
      <c r="DG153" s="304"/>
      <c r="DH153" s="304"/>
      <c r="DI153" s="304"/>
      <c r="DJ153" s="304"/>
      <c r="DK153" s="304"/>
      <c r="DL153" s="304"/>
      <c r="DM153" s="304"/>
      <c r="DN153" s="11"/>
      <c r="DO153" s="11"/>
      <c r="DP153" s="11"/>
      <c r="DQ153" s="11"/>
      <c r="DR153" s="11"/>
      <c r="DX153" s="862"/>
      <c r="DY153" s="862"/>
      <c r="DZ153" s="862"/>
      <c r="EA153" s="862"/>
      <c r="EB153" s="862"/>
      <c r="EH153" s="1048"/>
      <c r="EI153" s="1048"/>
      <c r="EJ153" s="1048"/>
      <c r="EK153" s="1048"/>
      <c r="EM153" s="1048"/>
      <c r="FL153" s="1048"/>
    </row>
    <row r="154" spans="1:168">
      <c r="A154" s="369" t="s">
        <v>683</v>
      </c>
      <c r="B154" s="14"/>
      <c r="C154" s="14">
        <f>+C147-C151</f>
        <v>344.15161290322578</v>
      </c>
      <c r="D154" s="14"/>
      <c r="E154" s="14">
        <f>+E147-E151</f>
        <v>690.42239553282593</v>
      </c>
      <c r="F154" s="14">
        <f>+F147-F151</f>
        <v>797.01540261253115</v>
      </c>
      <c r="G154" s="14"/>
      <c r="H154" s="14"/>
      <c r="I154" s="14">
        <f t="shared" ref="I154:P154" si="228">+I147-I151</f>
        <v>487.3082978723404</v>
      </c>
      <c r="J154" s="14">
        <f t="shared" si="228"/>
        <v>293.00000000000011</v>
      </c>
      <c r="K154" s="14">
        <f t="shared" si="228"/>
        <v>760.31730260047289</v>
      </c>
      <c r="L154" s="14">
        <f>+L147-L151</f>
        <v>914.64061702127663</v>
      </c>
      <c r="M154" s="14">
        <f t="shared" si="228"/>
        <v>1015.539</v>
      </c>
      <c r="N154" s="14">
        <f t="shared" si="228"/>
        <v>1014.239</v>
      </c>
      <c r="O154" s="14">
        <f>+O147-O151</f>
        <v>1250.5470000000003</v>
      </c>
      <c r="P154" s="14">
        <f t="shared" si="228"/>
        <v>990.60349999999994</v>
      </c>
      <c r="Q154" s="14"/>
      <c r="R154" s="14">
        <f>+R147-R151</f>
        <v>990.60349999999994</v>
      </c>
      <c r="S154" s="14">
        <f>+S147-S151</f>
        <v>1195.3320436973734</v>
      </c>
      <c r="T154" s="14">
        <f>+T147-T151</f>
        <v>1210.3000000000002</v>
      </c>
      <c r="U154" s="14">
        <f>+U147-U151</f>
        <v>1250.1000000000001</v>
      </c>
      <c r="V154" s="14"/>
      <c r="W154" s="14"/>
      <c r="X154" s="14">
        <f t="shared" ref="X154:AN154" si="229">+X147-X151</f>
        <v>1569.8</v>
      </c>
      <c r="Y154" s="14">
        <f>Y158+Y156</f>
        <v>1406.3</v>
      </c>
      <c r="Z154" s="14">
        <f>Z158+Z156</f>
        <v>1493.5</v>
      </c>
      <c r="AA154" s="14">
        <f>AA158+AA156</f>
        <v>1818</v>
      </c>
      <c r="AB154" s="14">
        <f t="shared" si="229"/>
        <v>1665</v>
      </c>
      <c r="AC154" s="14">
        <f t="shared" si="229"/>
        <v>1794.2</v>
      </c>
      <c r="AD154" s="14">
        <f t="shared" si="229"/>
        <v>1765.8</v>
      </c>
      <c r="AE154" s="14">
        <f t="shared" si="229"/>
        <v>1585.9</v>
      </c>
      <c r="AF154" s="14">
        <f t="shared" si="229"/>
        <v>1306.3035190765279</v>
      </c>
      <c r="AG154" s="14">
        <f t="shared" si="229"/>
        <v>1719.8982753615869</v>
      </c>
      <c r="AH154" s="14">
        <f t="shared" si="229"/>
        <v>2344.2655627821364</v>
      </c>
      <c r="AI154" s="14">
        <f t="shared" si="229"/>
        <v>2647.3830959851566</v>
      </c>
      <c r="AJ154" s="14">
        <f t="shared" si="229"/>
        <v>2840.1912147048688</v>
      </c>
      <c r="AK154" s="14">
        <f>+AK147-AK151</f>
        <v>2705.1180750845078</v>
      </c>
      <c r="AL154" s="14">
        <f t="shared" si="229"/>
        <v>2627.5670638195938</v>
      </c>
      <c r="AM154" s="14">
        <f t="shared" ca="1" si="229"/>
        <v>2993.3688837533559</v>
      </c>
      <c r="AN154" s="14">
        <f t="shared" ca="1" si="229"/>
        <v>2936.1269637594678</v>
      </c>
      <c r="AO154" s="14">
        <f t="shared" ref="AO154:AY154" ca="1" si="230">+AO147-AO151</f>
        <v>3184.736200763733</v>
      </c>
      <c r="AP154" s="14">
        <f t="shared" ca="1" si="230"/>
        <v>3363.1272616843003</v>
      </c>
      <c r="AQ154" s="14">
        <f t="shared" ca="1" si="230"/>
        <v>3701.5145047550013</v>
      </c>
      <c r="AR154" s="14">
        <f t="shared" ca="1" si="230"/>
        <v>3797.3323767149568</v>
      </c>
      <c r="AS154" s="14">
        <f t="shared" ca="1" si="230"/>
        <v>4030.8690715671773</v>
      </c>
      <c r="AT154" s="14">
        <f t="shared" ca="1" si="230"/>
        <v>3839.6423961621035</v>
      </c>
      <c r="AU154" s="14">
        <f t="shared" ca="1" si="230"/>
        <v>3925.8841788106606</v>
      </c>
      <c r="AV154" s="14">
        <f t="shared" ca="1" si="230"/>
        <v>3908.6923574480816</v>
      </c>
      <c r="AW154" s="14">
        <f t="shared" ca="1" si="230"/>
        <v>3837.6585193221704</v>
      </c>
      <c r="AX154" s="14">
        <f t="shared" ca="1" si="230"/>
        <v>3768.6624963308464</v>
      </c>
      <c r="AY154" s="14">
        <f t="shared" ca="1" si="230"/>
        <v>3937.0018086403666</v>
      </c>
      <c r="AZ154" s="354"/>
      <c r="BA154" s="354"/>
      <c r="BB154" s="354"/>
      <c r="BC154" s="354"/>
      <c r="BD154" s="354"/>
      <c r="BE154" s="354"/>
      <c r="BF154" s="14">
        <f>+BF147-BF151</f>
        <v>138.37932565011823</v>
      </c>
      <c r="BG154" s="14">
        <f>+BG147-BG151</f>
        <v>195.57932565011822</v>
      </c>
      <c r="BH154" s="14">
        <f>+BH147-BH151</f>
        <v>225.37932565011823</v>
      </c>
      <c r="BI154" s="14">
        <f>+BI147-BI151</f>
        <v>200.9793256501182</v>
      </c>
      <c r="BJ154" s="14"/>
      <c r="BK154" s="14">
        <f>+BK147-BK151</f>
        <v>235.93475000000001</v>
      </c>
      <c r="BL154" s="14">
        <f>+BL147-BL151</f>
        <v>255.73475000000002</v>
      </c>
      <c r="BM154" s="14">
        <f>+BM147-BM151</f>
        <v>294.43475000000001</v>
      </c>
      <c r="BN154" s="14">
        <f>+BN147-BN151</f>
        <v>228.13475</v>
      </c>
      <c r="BO154" s="14"/>
      <c r="BP154" s="14">
        <f>+BP147-BP151</f>
        <v>235.93475000000001</v>
      </c>
      <c r="BQ154" s="14">
        <f>+BQ147-BQ151</f>
        <v>255.73475000000002</v>
      </c>
      <c r="BR154" s="14">
        <f>+BR147-BR151</f>
        <v>294.43475000000001</v>
      </c>
      <c r="BS154" s="14">
        <f>+BS147-BS151</f>
        <v>228.13475</v>
      </c>
      <c r="BT154" s="14">
        <f>+N154-SUM(BK154:BN154)</f>
        <v>0</v>
      </c>
      <c r="BU154" s="14">
        <f>+BU147-BU151</f>
        <v>277.90087499999981</v>
      </c>
      <c r="BV154" s="14">
        <f>+BV147-BV151</f>
        <v>293.30087499999979</v>
      </c>
      <c r="BW154" s="14">
        <f>+BW147-BW151</f>
        <v>258.7</v>
      </c>
      <c r="BX154" s="14">
        <f>+BX147-BX151</f>
        <v>159.40175000000033</v>
      </c>
      <c r="BY154" s="95">
        <f>+R154-SUM(BU154:BX154)</f>
        <v>1.3000000000000682</v>
      </c>
      <c r="BZ154" s="14">
        <f>+BZ147-BZ151</f>
        <v>217.39999999999998</v>
      </c>
      <c r="CA154" s="14">
        <f>+CA147-CA151</f>
        <v>353.6</v>
      </c>
      <c r="CB154" s="14">
        <f>+CB147-CB151</f>
        <v>317.7</v>
      </c>
      <c r="CC154" s="14">
        <f>+CC147-CC151</f>
        <v>321.59999999999997</v>
      </c>
      <c r="CD154" s="377">
        <f>+T154-SUM(BZ154:CC154)</f>
        <v>0</v>
      </c>
      <c r="CE154" s="14">
        <f>+CE147-CE151</f>
        <v>245.60000000000002</v>
      </c>
      <c r="CF154" s="14">
        <f>+CF147-CF151</f>
        <v>395.2</v>
      </c>
      <c r="CG154" s="14">
        <f>+CG147-CG151</f>
        <v>365.3</v>
      </c>
      <c r="CH154" s="14">
        <f>+CH147-CH151</f>
        <v>244</v>
      </c>
      <c r="CI154" s="53"/>
      <c r="CJ154" s="14">
        <f>+CJ147-CJ151</f>
        <v>338.70000000000005</v>
      </c>
      <c r="CK154" s="14">
        <f>+CK147-CK151</f>
        <v>541.5</v>
      </c>
      <c r="CL154" s="14">
        <f>+CL147-CL151</f>
        <v>391.5</v>
      </c>
      <c r="CM154" s="14">
        <f>+CM147-CM151</f>
        <v>298.10000000000002</v>
      </c>
      <c r="CN154" s="49">
        <f>+X154-SUM(CJ154:CM154)</f>
        <v>0</v>
      </c>
      <c r="CO154" s="14">
        <f>+CO147-CO151</f>
        <v>393.7</v>
      </c>
      <c r="CP154" s="14">
        <f>+CP147-CP151</f>
        <v>590.80000000000007</v>
      </c>
      <c r="CQ154" s="14">
        <f>+CQ147-CQ151</f>
        <v>468.70000000000005</v>
      </c>
      <c r="CR154" s="14">
        <f>+CR147-CR151</f>
        <v>364.80000000000007</v>
      </c>
      <c r="CS154" s="49">
        <f>+AA154-SUM(CO154:CR154)</f>
        <v>0</v>
      </c>
      <c r="CT154" s="14">
        <f>+CT147-CT151</f>
        <v>376.2</v>
      </c>
      <c r="CU154" s="14">
        <f>+CU147-CU151</f>
        <v>509.5</v>
      </c>
      <c r="CV154" s="14">
        <f>+CV147-CV151</f>
        <v>380.77499999999998</v>
      </c>
      <c r="CW154" s="14">
        <f>+CW147-CW151</f>
        <v>398.52499999999998</v>
      </c>
      <c r="CX154" s="49">
        <f>AB154-SUM(CT154:CW154)</f>
        <v>0</v>
      </c>
      <c r="CY154" s="14">
        <f>+CY147-CY151</f>
        <v>387.3</v>
      </c>
      <c r="CZ154" s="14">
        <f>+CZ147-CZ151</f>
        <v>497.4</v>
      </c>
      <c r="DA154" s="14">
        <f>+DA147-DA151</f>
        <v>418.90000000000003</v>
      </c>
      <c r="DB154" s="14">
        <f>+DB147-DB151</f>
        <v>490.6</v>
      </c>
      <c r="DC154" s="871">
        <f>AC154-SUM(CY154:DB154)</f>
        <v>0</v>
      </c>
      <c r="DD154" s="14">
        <f>+DD147-DD151</f>
        <v>351.22499999999997</v>
      </c>
      <c r="DE154" s="14">
        <f>+DE147-DE151</f>
        <v>516.42500000000007</v>
      </c>
      <c r="DF154" s="14">
        <f>+DF147-DF151</f>
        <v>442.72499999999997</v>
      </c>
      <c r="DG154" s="14">
        <f>+DG147-DG151</f>
        <v>454.42500000000001</v>
      </c>
      <c r="DH154" s="357">
        <f>AD154-SUM(DD154:DG154)</f>
        <v>1</v>
      </c>
      <c r="DI154" s="14">
        <f>+DI147-DI151</f>
        <v>456.75424972624995</v>
      </c>
      <c r="DJ154" s="14">
        <f>+DJ147-DJ151</f>
        <v>475.06973068000002</v>
      </c>
      <c r="DK154" s="14">
        <f>+DK147-DK151</f>
        <v>372.14397686793751</v>
      </c>
      <c r="DL154" s="14">
        <f>+DL147-DL151</f>
        <v>281.93204272581255</v>
      </c>
      <c r="DM154" s="357">
        <f>AE154-SUM(DI154:DL154)</f>
        <v>0</v>
      </c>
      <c r="DN154" s="14">
        <f>+DN147-DN151</f>
        <v>204.13853314169933</v>
      </c>
      <c r="DO154" s="14">
        <f>+DO147-DO151</f>
        <v>273.11093352486836</v>
      </c>
      <c r="DP154" s="14">
        <f>+DP147-DP151</f>
        <v>443.62739985984575</v>
      </c>
      <c r="DQ154" s="14">
        <f>+DQ147-DQ151</f>
        <v>385.42665255011462</v>
      </c>
      <c r="DR154" s="538">
        <f>AF154-SUM(DN154:DQ154)</f>
        <v>0</v>
      </c>
      <c r="DS154" s="14">
        <f>+DS147-DS151</f>
        <v>284.75527607535992</v>
      </c>
      <c r="DT154" s="14">
        <f>+DT147-DT151</f>
        <v>411.47434590584726</v>
      </c>
      <c r="DU154" s="14">
        <f>+DU147-DU151</f>
        <v>476.14792583340198</v>
      </c>
      <c r="DV154" s="14">
        <f>+DV147-DV151</f>
        <v>547.52072754697724</v>
      </c>
      <c r="DW154" s="538">
        <f>AG154-SUM(DS154:DV154)</f>
        <v>0</v>
      </c>
      <c r="DX154" s="862"/>
      <c r="DY154" s="862"/>
      <c r="DZ154" s="862"/>
      <c r="EA154" s="862"/>
      <c r="EB154" s="862"/>
      <c r="EH154" s="1048"/>
      <c r="EI154" s="1048"/>
      <c r="EJ154" s="1048"/>
      <c r="EK154" s="1048"/>
      <c r="EM154" s="1048"/>
      <c r="FL154" s="1048"/>
    </row>
    <row r="155" spans="1:168" ht="8.1" customHeight="1">
      <c r="A155" s="376"/>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69"/>
      <c r="AZ155" s="69"/>
      <c r="BA155" s="69"/>
      <c r="BB155" s="69"/>
      <c r="BC155" s="69"/>
      <c r="BD155" s="69"/>
      <c r="BE155" s="69"/>
      <c r="BF155" s="11"/>
      <c r="BG155" s="11"/>
      <c r="BH155" s="11"/>
      <c r="BI155" s="11"/>
      <c r="BJ155" s="11"/>
      <c r="BK155" s="11"/>
      <c r="BL155" s="11"/>
      <c r="BM155" s="11"/>
      <c r="BN155" s="11"/>
      <c r="BO155" s="11"/>
      <c r="BP155" s="11"/>
      <c r="BQ155" s="11"/>
      <c r="BR155" s="11"/>
      <c r="BS155" s="11"/>
      <c r="BT155" s="11"/>
      <c r="BU155" s="11"/>
      <c r="BV155" s="11"/>
      <c r="BW155" s="11"/>
      <c r="BX155" s="11"/>
      <c r="BY155" s="95"/>
      <c r="BZ155" s="11"/>
      <c r="CA155" s="11"/>
      <c r="CB155" s="11"/>
      <c r="CC155" s="11"/>
      <c r="CD155" s="377"/>
      <c r="CE155" s="11"/>
      <c r="CF155" s="11"/>
      <c r="CG155" s="11"/>
      <c r="CH155" s="11"/>
      <c r="CI155" s="53"/>
      <c r="CJ155" s="11"/>
      <c r="CK155" s="11"/>
      <c r="CL155" s="11"/>
      <c r="CM155" s="11"/>
      <c r="CN155" s="49"/>
      <c r="CO155" s="11"/>
      <c r="CP155" s="11"/>
      <c r="CQ155" s="11"/>
      <c r="CR155" s="11"/>
      <c r="CS155" s="49"/>
      <c r="CT155" s="11"/>
      <c r="CU155" s="14"/>
      <c r="CV155" s="14"/>
      <c r="CW155" s="14"/>
      <c r="CX155" s="49" t="s">
        <v>337</v>
      </c>
      <c r="CY155" s="352"/>
      <c r="CZ155" s="352"/>
      <c r="DA155" s="352"/>
      <c r="DB155" s="352"/>
      <c r="DC155" s="11"/>
      <c r="DD155" s="304"/>
      <c r="DE155" s="304"/>
      <c r="DF155" s="304"/>
      <c r="DG155" s="304"/>
      <c r="DH155" s="304"/>
      <c r="DI155" s="304"/>
      <c r="DJ155" s="304"/>
      <c r="DK155" s="304"/>
      <c r="DL155" s="304"/>
      <c r="DM155" s="304"/>
      <c r="DN155" s="11"/>
      <c r="DO155" s="11"/>
      <c r="DP155" s="11"/>
      <c r="DQ155" s="11"/>
      <c r="DR155" s="11"/>
      <c r="DX155" s="862"/>
      <c r="DY155" s="862"/>
      <c r="DZ155" s="862"/>
      <c r="EA155" s="862"/>
      <c r="EB155" s="862"/>
      <c r="EH155" s="1048"/>
      <c r="EI155" s="1048"/>
      <c r="EJ155" s="1048"/>
      <c r="EK155" s="1048"/>
      <c r="EM155" s="1048"/>
      <c r="FL155" s="1048"/>
    </row>
    <row r="156" spans="1:168">
      <c r="A156" s="369" t="s">
        <v>684</v>
      </c>
      <c r="B156" s="14"/>
      <c r="C156" s="14"/>
      <c r="D156" s="14"/>
      <c r="E156" s="14"/>
      <c r="F156" s="14"/>
      <c r="G156" s="14"/>
      <c r="H156" s="14"/>
      <c r="I156" s="14"/>
      <c r="J156" s="14"/>
      <c r="K156" s="14">
        <f>SUM(BF156:BI156)</f>
        <v>600</v>
      </c>
      <c r="L156" s="14">
        <f>K156</f>
        <v>600</v>
      </c>
      <c r="M156" s="14">
        <f>SUM(BK156:BN156)</f>
        <v>520</v>
      </c>
      <c r="N156" s="77">
        <f>+M156</f>
        <v>520</v>
      </c>
      <c r="O156" s="14">
        <f>N156</f>
        <v>520</v>
      </c>
      <c r="P156" s="14">
        <f>+R156</f>
        <v>500</v>
      </c>
      <c r="Q156" s="14"/>
      <c r="R156" s="77">
        <v>500</v>
      </c>
      <c r="S156" s="14">
        <f>R156</f>
        <v>500</v>
      </c>
      <c r="T156" s="77">
        <v>12</v>
      </c>
      <c r="U156" s="77">
        <f>+T156</f>
        <v>12</v>
      </c>
      <c r="V156" s="77"/>
      <c r="W156" s="77"/>
      <c r="X156" s="77">
        <f>+U156</f>
        <v>12</v>
      </c>
      <c r="Y156" s="14">
        <f>T156</f>
        <v>12</v>
      </c>
      <c r="Z156" s="14">
        <f>U156</f>
        <v>12</v>
      </c>
      <c r="AA156" s="14">
        <v>10.5</v>
      </c>
      <c r="AB156" s="77">
        <v>19.100000000000001</v>
      </c>
      <c r="AC156" s="77">
        <v>18</v>
      </c>
      <c r="AD156" s="77">
        <v>16.5</v>
      </c>
      <c r="AE156" s="77">
        <v>15.5</v>
      </c>
      <c r="AF156" s="77">
        <v>14</v>
      </c>
      <c r="AG156" s="77">
        <f>+AF156</f>
        <v>14</v>
      </c>
      <c r="AH156" s="77">
        <v>14</v>
      </c>
      <c r="AI156" s="77">
        <v>13</v>
      </c>
      <c r="AJ156" s="77">
        <f>+AI156</f>
        <v>13</v>
      </c>
      <c r="AK156" s="77">
        <f t="shared" ref="AK156:AM156" si="231">+MAX(AJ156-2,5)</f>
        <v>11</v>
      </c>
      <c r="AL156" s="77">
        <f t="shared" si="231"/>
        <v>9</v>
      </c>
      <c r="AM156" s="77">
        <f t="shared" si="231"/>
        <v>7</v>
      </c>
      <c r="AN156" s="77">
        <v>6</v>
      </c>
      <c r="AO156" s="77">
        <v>6</v>
      </c>
      <c r="AP156" s="77">
        <v>6</v>
      </c>
      <c r="AQ156" s="77">
        <v>5</v>
      </c>
      <c r="AR156" s="77">
        <v>4</v>
      </c>
      <c r="AS156" s="77">
        <v>4</v>
      </c>
      <c r="AT156" s="77">
        <f t="shared" ref="AT156:AY156" si="232">+MAX(AS156-2,3)</f>
        <v>3</v>
      </c>
      <c r="AU156" s="77">
        <f t="shared" si="232"/>
        <v>3</v>
      </c>
      <c r="AV156" s="77">
        <f t="shared" si="232"/>
        <v>3</v>
      </c>
      <c r="AW156" s="77">
        <f t="shared" si="232"/>
        <v>3</v>
      </c>
      <c r="AX156" s="77">
        <f t="shared" si="232"/>
        <v>3</v>
      </c>
      <c r="AY156" s="77">
        <f t="shared" si="232"/>
        <v>3</v>
      </c>
      <c r="AZ156" s="356"/>
      <c r="BA156" s="356"/>
      <c r="BB156" s="356"/>
      <c r="BC156" s="356"/>
      <c r="BD156" s="356"/>
      <c r="BE156" s="354"/>
      <c r="BF156" s="77">
        <v>150</v>
      </c>
      <c r="BG156" s="77">
        <v>150</v>
      </c>
      <c r="BH156" s="77">
        <v>150</v>
      </c>
      <c r="BI156" s="77">
        <v>150</v>
      </c>
      <c r="BJ156" s="14"/>
      <c r="BK156" s="77">
        <v>130</v>
      </c>
      <c r="BL156" s="77">
        <f>+BK156</f>
        <v>130</v>
      </c>
      <c r="BM156" s="77">
        <f>+BL156</f>
        <v>130</v>
      </c>
      <c r="BN156" s="77">
        <f>+BM156</f>
        <v>130</v>
      </c>
      <c r="BO156" s="14"/>
      <c r="BP156" s="14">
        <f>+BK156</f>
        <v>130</v>
      </c>
      <c r="BQ156" s="14">
        <f>+BL156</f>
        <v>130</v>
      </c>
      <c r="BR156" s="14">
        <f>+BM156</f>
        <v>130</v>
      </c>
      <c r="BS156" s="14">
        <f>+BN156</f>
        <v>130</v>
      </c>
      <c r="BT156" s="14">
        <f>+N156-SUM(BK156:BN156)</f>
        <v>0</v>
      </c>
      <c r="BU156" s="105">
        <f>+P156/4</f>
        <v>125</v>
      </c>
      <c r="BV156" s="14">
        <f>+BU156</f>
        <v>125</v>
      </c>
      <c r="BW156" s="14">
        <f>+BV156</f>
        <v>125</v>
      </c>
      <c r="BX156" s="14">
        <f>+P156-SUM(BU156:BW156)</f>
        <v>125</v>
      </c>
      <c r="BY156" s="95">
        <f>+R156-SUM(BU156:BX156)</f>
        <v>0</v>
      </c>
      <c r="BZ156" s="14">
        <f>+$T156/4</f>
        <v>3</v>
      </c>
      <c r="CA156" s="14">
        <f>+$T156/4</f>
        <v>3</v>
      </c>
      <c r="CB156" s="14">
        <f>+$T156/4</f>
        <v>3</v>
      </c>
      <c r="CC156" s="14">
        <f>+T156-SUM(BZ156:CB156)</f>
        <v>3</v>
      </c>
      <c r="CD156" s="377">
        <f>+T156-SUM(BZ156:CC156)</f>
        <v>0</v>
      </c>
      <c r="CE156" s="14">
        <f>+$U156/4</f>
        <v>3</v>
      </c>
      <c r="CF156" s="14">
        <f>+$U156/4</f>
        <v>3</v>
      </c>
      <c r="CG156" s="14">
        <f>+$U156/4</f>
        <v>3</v>
      </c>
      <c r="CH156" s="14">
        <f>+$U156/4</f>
        <v>3</v>
      </c>
      <c r="CI156" s="53"/>
      <c r="CJ156" s="14">
        <f>+$X156/4</f>
        <v>3</v>
      </c>
      <c r="CK156" s="14">
        <f>+$X156/4</f>
        <v>3</v>
      </c>
      <c r="CL156" s="14">
        <f>+$X156/4</f>
        <v>3</v>
      </c>
      <c r="CM156" s="167">
        <f>+X156-SUM(CJ156:CL156)</f>
        <v>3</v>
      </c>
      <c r="CN156" s="49">
        <f>+X156-SUM(CJ156:CM156)</f>
        <v>0</v>
      </c>
      <c r="CO156" s="14">
        <f>+$X156/4</f>
        <v>3</v>
      </c>
      <c r="CP156" s="14">
        <f>+$X156/4</f>
        <v>3</v>
      </c>
      <c r="CQ156" s="14">
        <f>+$X156/4</f>
        <v>3</v>
      </c>
      <c r="CR156" s="167">
        <f>+AA156-SUM(CO156:CQ156)</f>
        <v>1.5</v>
      </c>
      <c r="CS156" s="49">
        <f>+AA156-SUM(CO156:CR156)</f>
        <v>0</v>
      </c>
      <c r="CT156" s="14">
        <v>3</v>
      </c>
      <c r="CU156" s="14">
        <v>7</v>
      </c>
      <c r="CV156" s="14">
        <f>+$AB156/4</f>
        <v>4.7750000000000004</v>
      </c>
      <c r="CW156" s="167">
        <f>AB156-SUM(CT156:CV156)</f>
        <v>4.3250000000000011</v>
      </c>
      <c r="CX156" s="49">
        <f>AB156-SUM(CT156:CW156)</f>
        <v>0</v>
      </c>
      <c r="CY156" s="14">
        <f>CY205</f>
        <v>4.5</v>
      </c>
      <c r="CZ156" s="14">
        <f>CZ205</f>
        <v>5.5</v>
      </c>
      <c r="DA156" s="14">
        <f>DA205</f>
        <v>4.5</v>
      </c>
      <c r="DB156" s="14">
        <f>DB205</f>
        <v>3.5</v>
      </c>
      <c r="DC156" s="871">
        <f>AC156-SUM(CY156:DB156)</f>
        <v>0</v>
      </c>
      <c r="DD156" s="14">
        <f>DD205</f>
        <v>4.125</v>
      </c>
      <c r="DE156" s="14">
        <f>DE205</f>
        <v>4.125</v>
      </c>
      <c r="DF156" s="14">
        <f>DF205</f>
        <v>4.125</v>
      </c>
      <c r="DG156" s="14">
        <f>DG205</f>
        <v>4.125</v>
      </c>
      <c r="DH156" s="357">
        <f>AD156-SUM(DD156:DG156)</f>
        <v>0</v>
      </c>
      <c r="DI156" s="14">
        <f>DI205</f>
        <v>3.875</v>
      </c>
      <c r="DJ156" s="14">
        <f>DJ205</f>
        <v>3.875</v>
      </c>
      <c r="DK156" s="14">
        <f>DK205</f>
        <v>3.875</v>
      </c>
      <c r="DL156" s="14">
        <f>DL205</f>
        <v>3.875</v>
      </c>
      <c r="DM156" s="357">
        <f>AE156-SUM(DI156:DL156)</f>
        <v>0</v>
      </c>
      <c r="DN156" s="14">
        <f>DN205</f>
        <v>3.5</v>
      </c>
      <c r="DO156" s="14">
        <f>DO205</f>
        <v>3.5</v>
      </c>
      <c r="DP156" s="14">
        <f>DP205</f>
        <v>3.5</v>
      </c>
      <c r="DQ156" s="14">
        <f>DQ205</f>
        <v>3.5</v>
      </c>
      <c r="DR156" s="538">
        <f>AF156-SUM(DN156:DQ156)</f>
        <v>0</v>
      </c>
      <c r="DS156" s="14">
        <f>DS205</f>
        <v>3.5</v>
      </c>
      <c r="DT156" s="14">
        <f>DT205</f>
        <v>3.5</v>
      </c>
      <c r="DU156" s="14">
        <f>DU205</f>
        <v>3.5</v>
      </c>
      <c r="DV156" s="14">
        <f>DV205</f>
        <v>3.5</v>
      </c>
      <c r="DW156" s="538">
        <f>AG156-SUM(DS156:DV156)</f>
        <v>0</v>
      </c>
      <c r="DX156" s="862"/>
      <c r="DY156" s="862"/>
      <c r="DZ156" s="862"/>
      <c r="EA156" s="862"/>
      <c r="EB156" s="862"/>
      <c r="EH156" s="1048"/>
      <c r="EI156" s="1048"/>
      <c r="EJ156" s="1048"/>
      <c r="EK156" s="1048"/>
      <c r="EM156" s="1048"/>
      <c r="FL156" s="1048"/>
    </row>
    <row r="157" spans="1:168" ht="8.1" customHeight="1">
      <c r="A157" s="376"/>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69"/>
      <c r="AZ157" s="69"/>
      <c r="BA157" s="69"/>
      <c r="BB157" s="69"/>
      <c r="BC157" s="69"/>
      <c r="BD157" s="69"/>
      <c r="BE157" s="69"/>
      <c r="BF157" s="11"/>
      <c r="BG157" s="11"/>
      <c r="BH157" s="11"/>
      <c r="BI157" s="11"/>
      <c r="BJ157" s="11"/>
      <c r="BK157" s="11"/>
      <c r="BL157" s="11"/>
      <c r="BM157" s="11"/>
      <c r="BN157" s="11"/>
      <c r="BO157" s="11"/>
      <c r="BP157" s="11"/>
      <c r="BQ157" s="11"/>
      <c r="BR157" s="11"/>
      <c r="BS157" s="11"/>
      <c r="BT157" s="11"/>
      <c r="BU157" s="11"/>
      <c r="BV157" s="11"/>
      <c r="BW157" s="11"/>
      <c r="BX157" s="11"/>
      <c r="BY157" s="95"/>
      <c r="BZ157" s="11"/>
      <c r="CA157" s="11"/>
      <c r="CB157" s="11"/>
      <c r="CC157" s="11"/>
      <c r="CD157" s="377"/>
      <c r="CE157" s="11"/>
      <c r="CF157" s="11"/>
      <c r="CG157" s="11"/>
      <c r="CH157" s="11"/>
      <c r="CI157" s="53"/>
      <c r="CJ157" s="11"/>
      <c r="CK157" s="11"/>
      <c r="CL157" s="11"/>
      <c r="CM157" s="11"/>
      <c r="CN157" s="49"/>
      <c r="CO157" s="11"/>
      <c r="CP157" s="11"/>
      <c r="CQ157" s="11"/>
      <c r="CR157" s="11"/>
      <c r="CS157" s="49"/>
      <c r="CT157" s="11"/>
      <c r="CU157" s="14"/>
      <c r="CV157" s="14"/>
      <c r="CW157" s="14"/>
      <c r="CX157" s="49"/>
      <c r="CY157" s="352"/>
      <c r="CZ157" s="352"/>
      <c r="DA157" s="352"/>
      <c r="DB157" s="352"/>
      <c r="DC157" s="11"/>
      <c r="DD157" s="304"/>
      <c r="DE157" s="304"/>
      <c r="DF157" s="304"/>
      <c r="DG157" s="304"/>
      <c r="DH157" s="304"/>
      <c r="DI157" s="304"/>
      <c r="DJ157" s="304"/>
      <c r="DK157" s="304"/>
      <c r="DL157" s="304"/>
      <c r="DM157" s="304"/>
      <c r="DN157" s="11"/>
      <c r="DO157" s="11"/>
      <c r="DP157" s="11"/>
      <c r="DQ157" s="11"/>
      <c r="DR157" s="11"/>
      <c r="DX157" s="862"/>
      <c r="DY157" s="862"/>
      <c r="DZ157" s="862"/>
      <c r="EA157" s="862"/>
      <c r="EB157" s="862"/>
      <c r="EH157" s="1048"/>
      <c r="EI157" s="1048"/>
      <c r="EJ157" s="1048"/>
      <c r="EK157" s="1048"/>
      <c r="EM157" s="1048"/>
      <c r="FL157" s="1048"/>
    </row>
    <row r="158" spans="1:168">
      <c r="A158" s="378" t="s">
        <v>685</v>
      </c>
      <c r="B158" s="14"/>
      <c r="C158" s="14"/>
      <c r="D158" s="14"/>
      <c r="E158" s="14"/>
      <c r="F158" s="14"/>
      <c r="G158" s="14"/>
      <c r="H158" s="14"/>
      <c r="I158" s="14"/>
      <c r="J158" s="14"/>
      <c r="K158" s="14">
        <f t="shared" ref="K158:P158" si="233">+K154-K156</f>
        <v>160.31730260047289</v>
      </c>
      <c r="L158" s="14">
        <f t="shared" si="233"/>
        <v>314.64061702127663</v>
      </c>
      <c r="M158" s="14">
        <f t="shared" si="233"/>
        <v>495.53899999999999</v>
      </c>
      <c r="N158" s="14">
        <f t="shared" si="233"/>
        <v>494.23900000000003</v>
      </c>
      <c r="O158" s="14">
        <f t="shared" si="233"/>
        <v>730.54700000000025</v>
      </c>
      <c r="P158" s="14">
        <f t="shared" si="233"/>
        <v>490.60349999999994</v>
      </c>
      <c r="Q158" s="14"/>
      <c r="R158" s="14">
        <f>+R154-R156</f>
        <v>490.60349999999994</v>
      </c>
      <c r="S158" s="14">
        <f>+S154-S156</f>
        <v>695.33204369737336</v>
      </c>
      <c r="T158" s="14">
        <f>+T154-T156</f>
        <v>1198.3000000000002</v>
      </c>
      <c r="U158" s="14">
        <f>+U154-U156</f>
        <v>1238.1000000000001</v>
      </c>
      <c r="V158" s="14"/>
      <c r="W158" s="14"/>
      <c r="X158" s="14">
        <f t="shared" ref="X158:AM158" si="234">+X154-X156</f>
        <v>1557.8</v>
      </c>
      <c r="Y158" s="77">
        <v>1394.3</v>
      </c>
      <c r="Z158" s="77">
        <v>1481.5</v>
      </c>
      <c r="AA158" s="77">
        <v>1807.5</v>
      </c>
      <c r="AB158" s="14">
        <f t="shared" si="234"/>
        <v>1645.9</v>
      </c>
      <c r="AC158" s="14">
        <f t="shared" si="234"/>
        <v>1776.2</v>
      </c>
      <c r="AD158" s="14">
        <f t="shared" si="234"/>
        <v>1749.3</v>
      </c>
      <c r="AE158" s="14">
        <f t="shared" si="234"/>
        <v>1570.4</v>
      </c>
      <c r="AF158" s="14">
        <f t="shared" si="234"/>
        <v>1292.3035190765279</v>
      </c>
      <c r="AG158" s="14">
        <f t="shared" si="234"/>
        <v>1705.8982753615869</v>
      </c>
      <c r="AH158" s="14">
        <f>+AH154-AH156</f>
        <v>2330.2655627821364</v>
      </c>
      <c r="AI158" s="14">
        <f t="shared" si="234"/>
        <v>2634.3830959851566</v>
      </c>
      <c r="AJ158" s="14">
        <f t="shared" si="234"/>
        <v>2827.1912147048688</v>
      </c>
      <c r="AK158" s="14">
        <f t="shared" si="234"/>
        <v>2694.1180750845078</v>
      </c>
      <c r="AL158" s="14">
        <f t="shared" si="234"/>
        <v>2618.5670638195938</v>
      </c>
      <c r="AM158" s="14">
        <f t="shared" ca="1" si="234"/>
        <v>2986.3688837533559</v>
      </c>
      <c r="AN158" s="14">
        <f t="shared" ref="AN158:AS158" ca="1" si="235">+AN154-AN156</f>
        <v>2930.1269637594678</v>
      </c>
      <c r="AO158" s="14">
        <f t="shared" ca="1" si="235"/>
        <v>3178.736200763733</v>
      </c>
      <c r="AP158" s="14">
        <f t="shared" ca="1" si="235"/>
        <v>3357.1272616843003</v>
      </c>
      <c r="AQ158" s="14">
        <f t="shared" ca="1" si="235"/>
        <v>3696.5145047550013</v>
      </c>
      <c r="AR158" s="14">
        <f t="shared" ca="1" si="235"/>
        <v>3793.3323767149568</v>
      </c>
      <c r="AS158" s="14">
        <f t="shared" ca="1" si="235"/>
        <v>4026.8690715671773</v>
      </c>
      <c r="AT158" s="14">
        <f t="shared" ref="AT158:AY158" ca="1" si="236">+AT154-AT156</f>
        <v>3836.6423961621035</v>
      </c>
      <c r="AU158" s="14">
        <f t="shared" ca="1" si="236"/>
        <v>3922.8841788106606</v>
      </c>
      <c r="AV158" s="14">
        <f t="shared" ca="1" si="236"/>
        <v>3905.6923574480816</v>
      </c>
      <c r="AW158" s="14">
        <f t="shared" ca="1" si="236"/>
        <v>3834.6585193221704</v>
      </c>
      <c r="AX158" s="14">
        <f t="shared" ca="1" si="236"/>
        <v>3765.6624963308464</v>
      </c>
      <c r="AY158" s="14">
        <f t="shared" ca="1" si="236"/>
        <v>3934.0018086403666</v>
      </c>
      <c r="AZ158" s="354"/>
      <c r="BA158" s="354"/>
      <c r="BB158" s="354"/>
      <c r="BC158" s="354"/>
      <c r="BD158" s="354"/>
      <c r="BE158" s="354"/>
      <c r="BF158" s="14">
        <f>+BF154-BF156</f>
        <v>-11.620674349881767</v>
      </c>
      <c r="BG158" s="14">
        <f>+BG154-BG156</f>
        <v>45.579325650118221</v>
      </c>
      <c r="BH158" s="14">
        <f>+BH154-BH156</f>
        <v>75.379325650118233</v>
      </c>
      <c r="BI158" s="14">
        <f>+BI154-BI156</f>
        <v>50.979325650118199</v>
      </c>
      <c r="BJ158" s="14"/>
      <c r="BK158" s="14">
        <f>+BK154-BK156</f>
        <v>105.93475000000001</v>
      </c>
      <c r="BL158" s="14">
        <f>+BL154-BL156</f>
        <v>125.73475000000002</v>
      </c>
      <c r="BM158" s="14">
        <f>+BM154-BM156</f>
        <v>164.43475000000001</v>
      </c>
      <c r="BN158" s="14">
        <f>+BN154-BN156</f>
        <v>98.134749999999997</v>
      </c>
      <c r="BO158" s="14"/>
      <c r="BP158" s="14">
        <f>+BP154-BP156</f>
        <v>105.93475000000001</v>
      </c>
      <c r="BQ158" s="14">
        <f>+BQ154-BQ156</f>
        <v>125.73475000000002</v>
      </c>
      <c r="BR158" s="14">
        <f>+BR154-BR156</f>
        <v>164.43475000000001</v>
      </c>
      <c r="BS158" s="14">
        <f>+BS154-BS156</f>
        <v>98.134749999999997</v>
      </c>
      <c r="BT158" s="14">
        <f>+N158-SUM(BK158:BN158)</f>
        <v>0</v>
      </c>
      <c r="BU158" s="14">
        <f>+BU154-BU156</f>
        <v>152.90087499999981</v>
      </c>
      <c r="BV158" s="14">
        <f>+BV154-BV156</f>
        <v>168.30087499999979</v>
      </c>
      <c r="BW158" s="14">
        <f>+BW154-BW156</f>
        <v>133.69999999999999</v>
      </c>
      <c r="BX158" s="14">
        <f>+BX154-BX156</f>
        <v>34.401750000000334</v>
      </c>
      <c r="BY158" s="95">
        <f>+R158-SUM(BU158:BX158)</f>
        <v>1.3000000000000114</v>
      </c>
      <c r="BZ158" s="77">
        <v>214.4</v>
      </c>
      <c r="CA158" s="14">
        <f>+CA154-CA156</f>
        <v>350.6</v>
      </c>
      <c r="CB158" s="14">
        <f>+CB154-CB156</f>
        <v>314.7</v>
      </c>
      <c r="CC158" s="14">
        <f>+CC154-CC156</f>
        <v>318.59999999999997</v>
      </c>
      <c r="CD158" s="339">
        <f>+T158-SUM(BZ158:CC158)</f>
        <v>0</v>
      </c>
      <c r="CE158" s="14">
        <f>+CE154-CE156</f>
        <v>242.60000000000002</v>
      </c>
      <c r="CF158" s="14">
        <f>+CF154-CF156</f>
        <v>392.2</v>
      </c>
      <c r="CG158" s="14">
        <f>+CG154-CG156</f>
        <v>362.3</v>
      </c>
      <c r="CH158" s="14">
        <f>+CH154-CH156</f>
        <v>241</v>
      </c>
      <c r="CI158" s="53"/>
      <c r="CJ158" s="14">
        <f>+CJ154-CJ156</f>
        <v>335.70000000000005</v>
      </c>
      <c r="CK158" s="14">
        <f>+CK154-CK156</f>
        <v>538.5</v>
      </c>
      <c r="CL158" s="14">
        <f>+CL154-CL156</f>
        <v>388.5</v>
      </c>
      <c r="CM158" s="14">
        <f>+CM154-CM156</f>
        <v>295.10000000000002</v>
      </c>
      <c r="CN158" s="49">
        <f>+X158-SUM(CJ158:CM158)</f>
        <v>0</v>
      </c>
      <c r="CO158" s="14">
        <f>+CO154-CO156</f>
        <v>390.7</v>
      </c>
      <c r="CP158" s="14">
        <f>+CP154-CP156</f>
        <v>587.80000000000007</v>
      </c>
      <c r="CQ158" s="14">
        <f>+CQ154-CQ156</f>
        <v>465.70000000000005</v>
      </c>
      <c r="CR158" s="14">
        <f>+CR154-CR156</f>
        <v>363.30000000000007</v>
      </c>
      <c r="CS158" s="49">
        <f>+AA158-SUM(CO158:CR158)</f>
        <v>0</v>
      </c>
      <c r="CT158" s="14">
        <f>+CT154-CT156</f>
        <v>373.2</v>
      </c>
      <c r="CU158" s="14">
        <f>+CU154-CU156</f>
        <v>502.5</v>
      </c>
      <c r="CV158" s="14">
        <f>+CV154-CV156</f>
        <v>376</v>
      </c>
      <c r="CW158" s="14">
        <f>+CW154-CW156</f>
        <v>394.2</v>
      </c>
      <c r="CX158" s="49">
        <f>AB158-SUM(CT158:CW158)</f>
        <v>0</v>
      </c>
      <c r="CY158" s="14">
        <f>+CY154-CY156</f>
        <v>382.8</v>
      </c>
      <c r="CZ158" s="14">
        <f>+CZ154-CZ156</f>
        <v>491.9</v>
      </c>
      <c r="DA158" s="14">
        <f>+DA154-DA156</f>
        <v>414.40000000000003</v>
      </c>
      <c r="DB158" s="14">
        <f>+DB154-DB156</f>
        <v>487.1</v>
      </c>
      <c r="DC158" s="871">
        <f>AC158-SUM(CY158:DB158)</f>
        <v>0</v>
      </c>
      <c r="DD158" s="14">
        <f>+DD154-DD156</f>
        <v>347.09999999999997</v>
      </c>
      <c r="DE158" s="14">
        <f>+DE154-DE156</f>
        <v>512.30000000000007</v>
      </c>
      <c r="DF158" s="14">
        <f>+DF154-DF156</f>
        <v>438.59999999999997</v>
      </c>
      <c r="DG158" s="14">
        <f>+DG154-DG156</f>
        <v>450.3</v>
      </c>
      <c r="DH158" s="357">
        <f>AD158-SUM(DD158:DG158)</f>
        <v>1</v>
      </c>
      <c r="DI158" s="14">
        <f>+DI154-DI156</f>
        <v>452.87924972624995</v>
      </c>
      <c r="DJ158" s="14">
        <f>+DJ154-DJ156</f>
        <v>471.19473068000002</v>
      </c>
      <c r="DK158" s="14">
        <f>+DK154-DK156</f>
        <v>368.26897686793751</v>
      </c>
      <c r="DL158" s="14">
        <f>+DL154-DL156</f>
        <v>278.05704272581255</v>
      </c>
      <c r="DM158" s="357">
        <f>AE158-SUM(DI158:DL158)</f>
        <v>0</v>
      </c>
      <c r="DN158" s="14">
        <f>+DN154-DN156</f>
        <v>200.63853314169933</v>
      </c>
      <c r="DO158" s="14">
        <f>+DO154-DO156</f>
        <v>269.61093352486836</v>
      </c>
      <c r="DP158" s="14">
        <f>+DP154-DP156</f>
        <v>440.12739985984575</v>
      </c>
      <c r="DQ158" s="14">
        <f>+DQ154-DQ156</f>
        <v>381.92665255011462</v>
      </c>
      <c r="DR158" s="538">
        <f>AF158-SUM(DN158:DQ158)</f>
        <v>0</v>
      </c>
      <c r="DS158" s="14">
        <f>+DS154-DS156</f>
        <v>281.25527607535992</v>
      </c>
      <c r="DT158" s="14">
        <f>+DT154-DT156</f>
        <v>407.97434590584726</v>
      </c>
      <c r="DU158" s="14">
        <f>+DU154-DU156</f>
        <v>472.64792583340198</v>
      </c>
      <c r="DV158" s="14">
        <f>+DV154-DV156</f>
        <v>544.02072754697724</v>
      </c>
      <c r="DW158" s="538">
        <f>AG158-SUM(DS158:DV158)</f>
        <v>0</v>
      </c>
      <c r="DX158" s="862"/>
      <c r="DY158" s="862"/>
      <c r="DZ158" s="862"/>
      <c r="EA158" s="862"/>
      <c r="EB158" s="862"/>
      <c r="EH158" s="1048"/>
      <c r="EI158" s="1048"/>
      <c r="EJ158" s="1048"/>
      <c r="EK158" s="1048"/>
      <c r="EM158" s="1048"/>
      <c r="FL158" s="1048"/>
    </row>
    <row r="159" spans="1:168" ht="8.1" customHeight="1">
      <c r="A159" s="11"/>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69"/>
      <c r="AZ159" s="69"/>
      <c r="BA159" s="69"/>
      <c r="BB159" s="69"/>
      <c r="BC159" s="69"/>
      <c r="BD159" s="69"/>
      <c r="BE159" s="69"/>
      <c r="BF159" s="11"/>
      <c r="BG159" s="11"/>
      <c r="BH159" s="11"/>
      <c r="BI159" s="11"/>
      <c r="BJ159" s="11"/>
      <c r="BK159" s="11"/>
      <c r="BL159" s="11"/>
      <c r="BM159" s="11"/>
      <c r="BN159" s="11"/>
      <c r="BO159" s="11"/>
      <c r="BP159" s="11"/>
      <c r="BQ159" s="11"/>
      <c r="BR159" s="11"/>
      <c r="BS159" s="11"/>
      <c r="BT159" s="11"/>
      <c r="BU159" s="11"/>
      <c r="BV159" s="11"/>
      <c r="BW159" s="11"/>
      <c r="BX159" s="11"/>
      <c r="BY159" s="95"/>
      <c r="BZ159" s="11"/>
      <c r="CA159" s="11"/>
      <c r="CB159" s="11"/>
      <c r="CC159" s="11"/>
      <c r="CD159" s="377"/>
      <c r="CE159" s="11"/>
      <c r="CF159" s="11"/>
      <c r="CG159" s="11"/>
      <c r="CH159" s="11"/>
      <c r="CI159" s="53"/>
      <c r="CJ159" s="11"/>
      <c r="CK159" s="11"/>
      <c r="CL159" s="11"/>
      <c r="CM159" s="11"/>
      <c r="CN159" s="49"/>
      <c r="CO159" s="11"/>
      <c r="CP159" s="11"/>
      <c r="CQ159" s="11"/>
      <c r="CR159" s="11"/>
      <c r="CS159" s="49"/>
      <c r="CT159" s="11"/>
      <c r="CU159" s="14"/>
      <c r="CV159" s="14"/>
      <c r="CW159" s="14"/>
      <c r="CX159" s="49"/>
      <c r="CY159" s="352"/>
      <c r="CZ159" s="352"/>
      <c r="DA159" s="352"/>
      <c r="DB159" s="352"/>
      <c r="DC159" s="11"/>
      <c r="DD159" s="304"/>
      <c r="DE159" s="304"/>
      <c r="DF159" s="304"/>
      <c r="DG159" s="304"/>
      <c r="DH159" s="304"/>
      <c r="DI159" s="304"/>
      <c r="DJ159" s="304"/>
      <c r="DK159" s="304"/>
      <c r="DL159" s="304"/>
      <c r="DM159" s="304"/>
      <c r="DN159" s="11"/>
      <c r="DO159" s="11"/>
      <c r="DP159" s="11"/>
      <c r="DQ159" s="11"/>
      <c r="DR159" s="11"/>
      <c r="DX159" s="862"/>
      <c r="DY159" s="862"/>
      <c r="DZ159" s="862"/>
      <c r="EA159" s="862"/>
      <c r="EB159" s="862"/>
      <c r="EH159" s="1048"/>
      <c r="EI159" s="1048"/>
      <c r="EJ159" s="1048"/>
      <c r="EK159" s="1048"/>
      <c r="EM159" s="1048"/>
      <c r="FL159" s="1048"/>
    </row>
    <row r="160" spans="1:168">
      <c r="A160" s="14" t="s">
        <v>686</v>
      </c>
      <c r="B160" s="14"/>
      <c r="C160" s="14"/>
      <c r="D160" s="14"/>
      <c r="E160" s="14"/>
      <c r="F160" s="14"/>
      <c r="G160" s="14"/>
      <c r="H160" s="14"/>
      <c r="I160" s="77">
        <v>90</v>
      </c>
      <c r="J160" s="14"/>
      <c r="K160" s="14"/>
      <c r="L160" s="14"/>
      <c r="M160" s="14">
        <f>+M217</f>
        <v>116.1</v>
      </c>
      <c r="N160" s="14">
        <f>+M160</f>
        <v>116.1</v>
      </c>
      <c r="O160" s="14"/>
      <c r="P160" s="14">
        <f>+P217</f>
        <v>120.2</v>
      </c>
      <c r="Q160" s="14"/>
      <c r="R160" s="14">
        <f>+R217</f>
        <v>120.2</v>
      </c>
      <c r="S160" s="14"/>
      <c r="T160" s="14">
        <f>+T217</f>
        <v>138.69999999999999</v>
      </c>
      <c r="U160" s="14">
        <f>+U217</f>
        <v>123.6</v>
      </c>
      <c r="V160" s="14"/>
      <c r="W160" s="14"/>
      <c r="X160" s="14">
        <f>+X217</f>
        <v>125.6</v>
      </c>
      <c r="Y160" s="77">
        <v>146.69999999999999</v>
      </c>
      <c r="Z160" s="77">
        <v>132.19999999999999</v>
      </c>
      <c r="AA160" s="77">
        <v>134.80000000000001</v>
      </c>
      <c r="AB160" s="167">
        <f>375.6-AB220-AB76-AB75-AB31</f>
        <v>204.96104532123263</v>
      </c>
      <c r="AC160" s="77">
        <v>216.5</v>
      </c>
      <c r="AD160" s="77">
        <v>216.8</v>
      </c>
      <c r="AE160" s="77">
        <v>187.6</v>
      </c>
      <c r="AF160" s="77">
        <f>72.4+7.7+(70.4-AF75)-AF219</f>
        <v>94.818181818181841</v>
      </c>
      <c r="AG160" s="77">
        <f>90-AG219+19+74-AG75</f>
        <v>121.1</v>
      </c>
      <c r="AH160" s="77">
        <f>94-AH219+15+69-AH75</f>
        <v>119.1</v>
      </c>
      <c r="AI160" s="14">
        <f>AI161*AI109</f>
        <v>124.84350470846607</v>
      </c>
      <c r="AJ160" s="14">
        <f t="shared" ref="AJ160:AQ160" si="237">AJ161*AJ109</f>
        <v>126.90596184752852</v>
      </c>
      <c r="AK160" s="14">
        <f t="shared" si="237"/>
        <v>122.92683468841821</v>
      </c>
      <c r="AL160" s="14">
        <f t="shared" si="237"/>
        <v>120.60555135346388</v>
      </c>
      <c r="AM160" s="14">
        <f t="shared" si="237"/>
        <v>123.75175675350356</v>
      </c>
      <c r="AN160" s="14">
        <f t="shared" si="237"/>
        <v>126.40866079702093</v>
      </c>
      <c r="AO160" s="14">
        <f t="shared" si="237"/>
        <v>129.56539134501409</v>
      </c>
      <c r="AP160" s="14">
        <f t="shared" si="237"/>
        <v>139.13484897867008</v>
      </c>
      <c r="AQ160" s="14">
        <f t="shared" si="237"/>
        <v>143.26582151929546</v>
      </c>
      <c r="AR160" s="14">
        <f t="shared" ref="AR160:AW160" si="238">AR161*AR109</f>
        <v>150.14150340752971</v>
      </c>
      <c r="AS160" s="14">
        <f t="shared" si="238"/>
        <v>161.21879467972684</v>
      </c>
      <c r="AT160" s="14">
        <f t="shared" si="238"/>
        <v>160.34196481193644</v>
      </c>
      <c r="AU160" s="14">
        <f t="shared" si="238"/>
        <v>165.79355050547355</v>
      </c>
      <c r="AV160" s="14">
        <f t="shared" si="238"/>
        <v>175.63671143240092</v>
      </c>
      <c r="AW160" s="14">
        <f t="shared" si="238"/>
        <v>173.96268254393448</v>
      </c>
      <c r="AX160" s="14">
        <f>AX161*AX109</f>
        <v>177.85638470350068</v>
      </c>
      <c r="AY160" s="14">
        <f>AY161*AY109</f>
        <v>190.40752038995743</v>
      </c>
      <c r="AZ160" s="354"/>
      <c r="BA160" s="354"/>
      <c r="BB160" s="354"/>
      <c r="BC160" s="354"/>
      <c r="BD160" s="354"/>
      <c r="BE160" s="354"/>
      <c r="BF160" s="14"/>
      <c r="BG160" s="14"/>
      <c r="BH160" s="14"/>
      <c r="BI160" s="14"/>
      <c r="BJ160" s="14"/>
      <c r="BK160" s="14"/>
      <c r="BL160" s="14"/>
      <c r="BM160" s="14"/>
      <c r="BN160" s="14"/>
      <c r="BO160" s="14"/>
      <c r="BP160" s="14"/>
      <c r="BQ160" s="14"/>
      <c r="BR160" s="14"/>
      <c r="BS160" s="14"/>
      <c r="BT160" s="14"/>
      <c r="BU160" s="14"/>
      <c r="BV160" s="14"/>
      <c r="BW160" s="14"/>
      <c r="BX160" s="14"/>
      <c r="BY160" s="95"/>
      <c r="BZ160" s="14"/>
      <c r="CA160" s="14"/>
      <c r="CB160" s="14"/>
      <c r="CC160" s="14"/>
      <c r="CD160" s="377"/>
      <c r="CE160" s="14"/>
      <c r="CF160" s="14"/>
      <c r="CG160" s="14"/>
      <c r="CH160" s="39"/>
      <c r="CI160" s="53"/>
      <c r="CJ160" s="14"/>
      <c r="CK160" s="14"/>
      <c r="CL160" s="14"/>
      <c r="CM160" s="14"/>
      <c r="CN160" s="49"/>
      <c r="CO160" s="14"/>
      <c r="CP160" s="14"/>
      <c r="CQ160" s="14"/>
      <c r="CR160" s="14"/>
      <c r="CS160" s="49"/>
      <c r="CT160" s="14"/>
      <c r="CU160" s="11"/>
      <c r="CV160" s="11"/>
      <c r="CW160" s="11"/>
      <c r="CX160" s="49"/>
      <c r="CY160" s="304"/>
      <c r="CZ160" s="304"/>
      <c r="DA160" s="304"/>
      <c r="DB160" s="304"/>
      <c r="DC160" s="14"/>
      <c r="DD160" s="352"/>
      <c r="DE160" s="352"/>
      <c r="DF160" s="352"/>
      <c r="DG160" s="352"/>
      <c r="DH160" s="352"/>
      <c r="DI160" s="352"/>
      <c r="DJ160" s="352"/>
      <c r="DK160" s="352"/>
      <c r="DL160" s="352"/>
      <c r="DM160" s="352"/>
      <c r="DN160" s="14"/>
      <c r="DO160" s="14"/>
      <c r="DP160" s="14"/>
      <c r="DQ160" s="14"/>
      <c r="DR160" s="14"/>
      <c r="DX160" s="862"/>
      <c r="DY160" s="862"/>
      <c r="DZ160" s="862"/>
      <c r="EA160" s="862"/>
      <c r="EB160" s="862"/>
      <c r="EH160" s="1048"/>
      <c r="EI160" s="1048"/>
      <c r="EJ160" s="1048"/>
      <c r="EK160" s="1048"/>
      <c r="EM160" s="1048"/>
      <c r="FL160" s="1048"/>
    </row>
    <row r="161" spans="1:168">
      <c r="A161" s="242" t="s">
        <v>729</v>
      </c>
      <c r="B161" s="242"/>
      <c r="C161" s="242"/>
      <c r="D161" s="242"/>
      <c r="E161" s="242"/>
      <c r="F161" s="242"/>
      <c r="G161" s="242"/>
      <c r="H161" s="242"/>
      <c r="I161" s="39">
        <f>+I160/I109</f>
        <v>2.1413276231263382E-2</v>
      </c>
      <c r="J161" s="242"/>
      <c r="K161" s="39"/>
      <c r="L161" s="242"/>
      <c r="M161" s="39">
        <f>+M160/M109</f>
        <v>1.5877140200207866E-2</v>
      </c>
      <c r="N161" s="39">
        <f>+N160/N109</f>
        <v>1.6471122334614893E-2</v>
      </c>
      <c r="O161" s="242"/>
      <c r="P161" s="39">
        <f>+P160/P109</f>
        <v>1.6602439260210777E-2</v>
      </c>
      <c r="Q161" s="119"/>
      <c r="R161" s="39">
        <f>+R160/R109</f>
        <v>1.6602439260210777E-2</v>
      </c>
      <c r="S161" s="242"/>
      <c r="T161" s="39">
        <f>+T160/T109</f>
        <v>1.8535346786048373E-2</v>
      </c>
      <c r="U161" s="39">
        <f>+U160/U109</f>
        <v>1.5925782759953613E-2</v>
      </c>
      <c r="V161" s="39"/>
      <c r="W161" s="119"/>
      <c r="X161" s="39">
        <f t="shared" ref="X161:AH161" si="239">+X160/X109</f>
        <v>1.476847823530795E-2</v>
      </c>
      <c r="Y161" s="39">
        <f t="shared" si="239"/>
        <v>1.7537567693576731E-2</v>
      </c>
      <c r="Z161" s="39">
        <f t="shared" si="239"/>
        <v>1.5229537469039801E-2</v>
      </c>
      <c r="AA161" s="39">
        <f t="shared" si="239"/>
        <v>1.4266814838334129E-2</v>
      </c>
      <c r="AB161" s="39">
        <f t="shared" si="239"/>
        <v>2.1979265358515916E-2</v>
      </c>
      <c r="AC161" s="39">
        <f t="shared" si="239"/>
        <v>2.2820461468731224E-2</v>
      </c>
      <c r="AD161" s="39">
        <f t="shared" si="239"/>
        <v>2.3804295313803858E-2</v>
      </c>
      <c r="AE161" s="39">
        <f t="shared" si="239"/>
        <v>2.0545572566009501E-2</v>
      </c>
      <c r="AF161" s="39">
        <f t="shared" si="239"/>
        <v>1.0629510264246972E-2</v>
      </c>
      <c r="AG161" s="39">
        <f t="shared" si="239"/>
        <v>1.2543588196196595E-2</v>
      </c>
      <c r="AH161" s="39">
        <f t="shared" si="239"/>
        <v>1.218753715206102E-2</v>
      </c>
      <c r="AI161" s="119">
        <f>AH161</f>
        <v>1.218753715206102E-2</v>
      </c>
      <c r="AJ161" s="119">
        <f>AI161-0.1%</f>
        <v>1.1187537152061021E-2</v>
      </c>
      <c r="AK161" s="119">
        <f>AJ161-0.02%</f>
        <v>1.098753715206102E-2</v>
      </c>
      <c r="AL161" s="119">
        <f>AK161-0.05%</f>
        <v>1.048753715206102E-2</v>
      </c>
      <c r="AM161" s="119">
        <f>AL161-0.02%</f>
        <v>1.0287537152061019E-2</v>
      </c>
      <c r="AN161" s="1482">
        <f>AM161</f>
        <v>1.0287537152061019E-2</v>
      </c>
      <c r="AO161" s="1482">
        <f>AN161-0.01%</f>
        <v>1.018753715206102E-2</v>
      </c>
      <c r="AP161" s="1482">
        <f>AO161-0.01%</f>
        <v>1.0087537152061021E-2</v>
      </c>
      <c r="AQ161" s="1482">
        <f>AP161-0.01%</f>
        <v>9.9875371520610212E-3</v>
      </c>
      <c r="AR161" s="1482">
        <f t="shared" ref="AR161:AY161" si="240">AQ161</f>
        <v>9.9875371520610212E-3</v>
      </c>
      <c r="AS161" s="1482">
        <f t="shared" si="240"/>
        <v>9.9875371520610212E-3</v>
      </c>
      <c r="AT161" s="1482">
        <f t="shared" si="240"/>
        <v>9.9875371520610212E-3</v>
      </c>
      <c r="AU161" s="1482">
        <f t="shared" si="240"/>
        <v>9.9875371520610212E-3</v>
      </c>
      <c r="AV161" s="1482">
        <f t="shared" si="240"/>
        <v>9.9875371520610212E-3</v>
      </c>
      <c r="AW161" s="1482">
        <f t="shared" si="240"/>
        <v>9.9875371520610212E-3</v>
      </c>
      <c r="AX161" s="1482">
        <f t="shared" si="240"/>
        <v>9.9875371520610212E-3</v>
      </c>
      <c r="AY161" s="1482">
        <f t="shared" si="240"/>
        <v>9.9875371520610212E-3</v>
      </c>
      <c r="AZ161" s="359"/>
      <c r="BA161" s="359"/>
      <c r="BB161" s="359"/>
      <c r="BC161" s="359"/>
      <c r="BD161" s="359"/>
      <c r="BE161" s="421"/>
      <c r="BF161" s="242"/>
      <c r="BG161" s="242"/>
      <c r="BH161" s="242"/>
      <c r="BI161" s="242"/>
      <c r="BJ161" s="242"/>
      <c r="BK161" s="242"/>
      <c r="BL161" s="242"/>
      <c r="BM161" s="242"/>
      <c r="BN161" s="242"/>
      <c r="BO161" s="242"/>
      <c r="BP161" s="242"/>
      <c r="BQ161" s="242"/>
      <c r="BR161" s="242"/>
      <c r="BS161" s="242"/>
      <c r="BT161" s="242"/>
      <c r="BU161" s="242"/>
      <c r="BV161" s="242"/>
      <c r="BW161" s="242"/>
      <c r="BX161" s="242"/>
      <c r="BY161" s="95"/>
      <c r="BZ161" s="242"/>
      <c r="CA161" s="242"/>
      <c r="CB161" s="242"/>
      <c r="CC161" s="242"/>
      <c r="CD161" s="377"/>
      <c r="CE161" s="242"/>
      <c r="CF161" s="242"/>
      <c r="CG161" s="242"/>
      <c r="CH161" s="242"/>
      <c r="CI161" s="53"/>
      <c r="CJ161" s="242"/>
      <c r="CK161" s="242"/>
      <c r="CL161" s="242"/>
      <c r="CM161" s="242"/>
      <c r="CN161" s="49"/>
      <c r="CO161" s="242"/>
      <c r="CP161" s="242"/>
      <c r="CQ161" s="242"/>
      <c r="CR161" s="242"/>
      <c r="CS161" s="49"/>
      <c r="CT161" s="242"/>
      <c r="CU161" s="14"/>
      <c r="CV161" s="14"/>
      <c r="CW161" s="14"/>
      <c r="CX161" s="49"/>
      <c r="CY161" s="352"/>
      <c r="CZ161" s="352"/>
      <c r="DA161" s="352"/>
      <c r="DB161" s="352"/>
      <c r="DC161" s="242"/>
      <c r="DD161" s="391"/>
      <c r="DE161" s="391"/>
      <c r="DF161" s="391"/>
      <c r="DG161" s="391"/>
      <c r="DH161" s="391"/>
      <c r="DI161" s="391"/>
      <c r="DJ161" s="391"/>
      <c r="DK161" s="391"/>
      <c r="DL161" s="391"/>
      <c r="DM161" s="391"/>
      <c r="DN161" s="242"/>
      <c r="DO161" s="242"/>
      <c r="DP161" s="242"/>
      <c r="DQ161" s="242"/>
      <c r="DR161" s="242"/>
      <c r="DX161" s="862"/>
      <c r="DY161" s="862"/>
      <c r="DZ161" s="862"/>
      <c r="EA161" s="862"/>
      <c r="EB161" s="862"/>
      <c r="EH161" s="1048"/>
      <c r="EI161" s="1048"/>
      <c r="EJ161" s="1048"/>
      <c r="EK161" s="1048"/>
      <c r="EM161" s="1048"/>
      <c r="FL161" s="1048"/>
    </row>
    <row r="162" spans="1:168" ht="8.1" customHeight="1">
      <c r="A162" s="11"/>
      <c r="B162" s="11"/>
      <c r="C162" s="11"/>
      <c r="D162" s="11"/>
      <c r="E162" s="14"/>
      <c r="F162" s="14"/>
      <c r="G162" s="11"/>
      <c r="H162" s="11"/>
      <c r="I162" s="88"/>
      <c r="J162" s="11"/>
      <c r="K162" s="88"/>
      <c r="L162" s="14"/>
      <c r="M162" s="88"/>
      <c r="N162" s="398"/>
      <c r="O162" s="14"/>
      <c r="P162" s="398"/>
      <c r="Q162" s="398"/>
      <c r="R162" s="398"/>
      <c r="S162" s="14"/>
      <c r="T162" s="398"/>
      <c r="U162" s="398"/>
      <c r="V162" s="398"/>
      <c r="W162" s="398"/>
      <c r="X162" s="398"/>
      <c r="Y162" s="14"/>
      <c r="Z162" s="14"/>
      <c r="AA162" s="14"/>
      <c r="AB162" s="398"/>
      <c r="AC162" s="398"/>
      <c r="AD162" s="88"/>
      <c r="AE162" s="398"/>
      <c r="AF162" s="398"/>
      <c r="AG162" s="398"/>
      <c r="AH162" s="398"/>
      <c r="AI162" s="398"/>
      <c r="AJ162" s="398"/>
      <c r="AK162" s="398"/>
      <c r="AL162" s="398"/>
      <c r="AM162" s="398"/>
      <c r="AN162" s="398"/>
      <c r="AO162" s="398"/>
      <c r="AP162" s="398"/>
      <c r="AQ162" s="398"/>
      <c r="AR162" s="398"/>
      <c r="AS162" s="398"/>
      <c r="AT162" s="398"/>
      <c r="AU162" s="398"/>
      <c r="AV162" s="398"/>
      <c r="AW162" s="398"/>
      <c r="AX162" s="1570"/>
      <c r="AY162" s="1570"/>
      <c r="AZ162" s="1570"/>
      <c r="BA162" s="1570"/>
      <c r="BB162" s="1570"/>
      <c r="BC162" s="1570"/>
      <c r="BD162" s="1570"/>
      <c r="BE162" s="69"/>
      <c r="BF162" s="11"/>
      <c r="BG162" s="11"/>
      <c r="BH162" s="11"/>
      <c r="BI162" s="11"/>
      <c r="BJ162" s="11"/>
      <c r="BK162" s="11"/>
      <c r="BL162" s="11"/>
      <c r="BM162" s="11"/>
      <c r="BN162" s="11"/>
      <c r="BO162" s="11"/>
      <c r="BP162" s="11"/>
      <c r="BQ162" s="11"/>
      <c r="BR162" s="11"/>
      <c r="BS162" s="11"/>
      <c r="BT162" s="11"/>
      <c r="BU162" s="11"/>
      <c r="BV162" s="11"/>
      <c r="BW162" s="11"/>
      <c r="BX162" s="11"/>
      <c r="BY162" s="95"/>
      <c r="BZ162" s="11"/>
      <c r="CA162" s="11"/>
      <c r="CB162" s="11"/>
      <c r="CC162" s="11"/>
      <c r="CD162" s="377"/>
      <c r="CE162" s="11"/>
      <c r="CF162" s="11"/>
      <c r="CG162" s="11"/>
      <c r="CH162" s="11"/>
      <c r="CI162" s="53"/>
      <c r="CJ162" s="11"/>
      <c r="CK162" s="11"/>
      <c r="CL162" s="11"/>
      <c r="CM162" s="11"/>
      <c r="CN162" s="49"/>
      <c r="CO162" s="11"/>
      <c r="CP162" s="11"/>
      <c r="CQ162" s="11"/>
      <c r="CR162" s="11"/>
      <c r="CS162" s="49"/>
      <c r="CT162" s="11"/>
      <c r="CU162" s="242"/>
      <c r="CV162" s="242"/>
      <c r="CW162" s="242"/>
      <c r="CX162" s="49"/>
      <c r="CY162" s="391"/>
      <c r="CZ162" s="391"/>
      <c r="DA162" s="391"/>
      <c r="DB162" s="391"/>
      <c r="DC162" s="11"/>
      <c r="DD162" s="304"/>
      <c r="DE162" s="304"/>
      <c r="DF162" s="304"/>
      <c r="DG162" s="304"/>
      <c r="DH162" s="304"/>
      <c r="DI162" s="304"/>
      <c r="DJ162" s="304"/>
      <c r="DK162" s="304"/>
      <c r="DL162" s="304"/>
      <c r="DM162" s="304"/>
      <c r="DN162" s="11"/>
      <c r="DO162" s="11"/>
      <c r="DP162" s="11"/>
      <c r="DQ162" s="11"/>
      <c r="DR162" s="11"/>
      <c r="DX162" s="862"/>
      <c r="DY162" s="862"/>
      <c r="DZ162" s="862"/>
      <c r="EA162" s="862"/>
      <c r="EB162" s="862"/>
      <c r="EH162" s="1048"/>
      <c r="EI162" s="1048"/>
      <c r="EJ162" s="1048"/>
      <c r="EK162" s="1048"/>
      <c r="EM162" s="1048"/>
      <c r="FL162" s="1048"/>
    </row>
    <row r="163" spans="1:168">
      <c r="A163" s="397" t="s">
        <v>1083</v>
      </c>
      <c r="B163" s="11"/>
      <c r="C163" s="11"/>
      <c r="D163" s="11"/>
      <c r="E163" s="11"/>
      <c r="F163" s="11"/>
      <c r="G163" s="11"/>
      <c r="H163" s="11"/>
      <c r="I163" s="88"/>
      <c r="J163" s="11"/>
      <c r="K163" s="88"/>
      <c r="L163" s="11"/>
      <c r="M163" s="88"/>
      <c r="N163" s="14">
        <f>+N151+N156</f>
        <v>731.46100000000001</v>
      </c>
      <c r="O163" s="11"/>
      <c r="P163" s="14">
        <f>+P151+P156</f>
        <v>753.39650000000006</v>
      </c>
      <c r="Q163" s="398"/>
      <c r="R163" s="14">
        <f>+R151+R156</f>
        <v>753.39650000000006</v>
      </c>
      <c r="S163" s="11"/>
      <c r="T163" s="14">
        <f>+T151+T156</f>
        <v>140.80000000000001</v>
      </c>
      <c r="U163" s="14">
        <f>+U151+U156</f>
        <v>151.1</v>
      </c>
      <c r="V163" s="14"/>
      <c r="W163" s="14"/>
      <c r="X163" s="14">
        <f t="shared" ref="X163:AL163" si="241">+X151+X156</f>
        <v>148.9</v>
      </c>
      <c r="Y163" s="14">
        <f t="shared" si="241"/>
        <v>164.1</v>
      </c>
      <c r="Z163" s="14">
        <f t="shared" si="241"/>
        <v>175</v>
      </c>
      <c r="AA163" s="14">
        <f t="shared" si="241"/>
        <v>173.7</v>
      </c>
      <c r="AB163" s="14">
        <f t="shared" si="241"/>
        <v>178.8</v>
      </c>
      <c r="AC163" s="14">
        <f t="shared" si="241"/>
        <v>171.5</v>
      </c>
      <c r="AD163" s="14">
        <f t="shared" si="241"/>
        <v>187.2</v>
      </c>
      <c r="AE163" s="14">
        <f t="shared" si="241"/>
        <v>183.3</v>
      </c>
      <c r="AF163" s="14">
        <f t="shared" si="241"/>
        <v>176.5</v>
      </c>
      <c r="AG163" s="14">
        <f t="shared" si="241"/>
        <v>195.92713089005235</v>
      </c>
      <c r="AH163" s="14">
        <f t="shared" si="241"/>
        <v>189.54644283716974</v>
      </c>
      <c r="AI163" s="14">
        <f t="shared" si="241"/>
        <v>204.18500000000003</v>
      </c>
      <c r="AJ163" s="14">
        <f t="shared" si="241"/>
        <v>192.02799999999999</v>
      </c>
      <c r="AK163" s="14">
        <f t="shared" si="241"/>
        <v>187.95491349999998</v>
      </c>
      <c r="AL163" s="14">
        <f t="shared" si="241"/>
        <v>173.89909568459612</v>
      </c>
      <c r="AM163" s="14">
        <f t="shared" ref="AM163:AS163" ca="1" si="242">+AM151+AM156</f>
        <v>159.0609542378682</v>
      </c>
      <c r="AN163" s="14">
        <f t="shared" ca="1" si="242"/>
        <v>152.6607855690425</v>
      </c>
      <c r="AO163" s="14">
        <f t="shared" ca="1" si="242"/>
        <v>148.6607855690425</v>
      </c>
      <c r="AP163" s="14">
        <f t="shared" ca="1" si="242"/>
        <v>146.92337777591308</v>
      </c>
      <c r="AQ163" s="14">
        <f t="shared" ca="1" si="242"/>
        <v>148.44459433598325</v>
      </c>
      <c r="AR163" s="14">
        <f t="shared" ca="1" si="242"/>
        <v>154.32885597481518</v>
      </c>
      <c r="AS163" s="14">
        <f t="shared" ca="1" si="242"/>
        <v>165.41996993368667</v>
      </c>
      <c r="AT163" s="14">
        <f t="shared" ref="AT163:AY163" ca="1" si="243">+AT151+AT156</f>
        <v>163.54204592255098</v>
      </c>
      <c r="AU163" s="14">
        <f t="shared" ca="1" si="243"/>
        <v>169.00043432255018</v>
      </c>
      <c r="AV163" s="14">
        <f t="shared" ca="1" si="243"/>
        <v>178.85587793899384</v>
      </c>
      <c r="AW163" s="14">
        <f t="shared" ca="1" si="243"/>
        <v>177.17976013038978</v>
      </c>
      <c r="AX163" s="14">
        <f t="shared" ca="1" si="243"/>
        <v>181.07832100709467</v>
      </c>
      <c r="AY163" s="14">
        <f t="shared" ca="1" si="243"/>
        <v>193.64511850217755</v>
      </c>
      <c r="AZ163" s="354"/>
      <c r="BA163" s="354"/>
      <c r="BB163" s="354"/>
      <c r="BC163" s="354"/>
      <c r="BD163" s="354"/>
      <c r="BE163" s="69"/>
      <c r="BF163" s="14">
        <f>+BF151+BF156</f>
        <v>189.92067434988178</v>
      </c>
      <c r="BG163" s="14">
        <f>+BG151+BG156</f>
        <v>189.92067434988178</v>
      </c>
      <c r="BH163" s="14">
        <f>+BH151+BH156</f>
        <v>189.92067434988178</v>
      </c>
      <c r="BI163" s="14">
        <f>+BI151+BI156</f>
        <v>189.92067434988178</v>
      </c>
      <c r="BJ163" s="11"/>
      <c r="BK163" s="14">
        <f>+BK151+BK156</f>
        <v>182.86525</v>
      </c>
      <c r="BL163" s="14">
        <f>+BL151+BL156</f>
        <v>182.86525</v>
      </c>
      <c r="BM163" s="14">
        <f>+BM151+BM156</f>
        <v>182.86525</v>
      </c>
      <c r="BN163" s="14">
        <f>+BN151+BN156</f>
        <v>182.86525</v>
      </c>
      <c r="BO163" s="11"/>
      <c r="BP163" s="14">
        <f>+BP151+BP156</f>
        <v>182.86525</v>
      </c>
      <c r="BQ163" s="14">
        <f>+BQ151+BQ156</f>
        <v>182.86525</v>
      </c>
      <c r="BR163" s="14">
        <f>+BR151+BR156</f>
        <v>182.86525</v>
      </c>
      <c r="BS163" s="14">
        <f>+BS151+BS156</f>
        <v>182.86525</v>
      </c>
      <c r="BT163" s="13">
        <f>+N163-SUM(BK163:BN163)</f>
        <v>0</v>
      </c>
      <c r="BU163" s="14">
        <f>+BU151+BU156</f>
        <v>161.79912500000015</v>
      </c>
      <c r="BV163" s="14">
        <f>+BV151+BV156</f>
        <v>192.49912500000019</v>
      </c>
      <c r="BW163" s="14">
        <f>+BW151+BW156</f>
        <v>150</v>
      </c>
      <c r="BX163" s="14">
        <f>+BX151+BX156</f>
        <v>249.09824999999967</v>
      </c>
      <c r="BY163" s="95"/>
      <c r="BZ163" s="14">
        <f>+BZ151+BZ156</f>
        <v>33.700000000000003</v>
      </c>
      <c r="CA163" s="14">
        <f>+CA151+CA156</f>
        <v>34</v>
      </c>
      <c r="CB163" s="14">
        <f>+CB151+CB156</f>
        <v>34</v>
      </c>
      <c r="CC163" s="14">
        <f>+CC151+CC156</f>
        <v>39.100000000000009</v>
      </c>
      <c r="CD163" s="339">
        <f>+T163-SUM(BZ163:CC163)</f>
        <v>0</v>
      </c>
      <c r="CE163" s="14">
        <f>+CE151+CE156</f>
        <v>37</v>
      </c>
      <c r="CF163" s="14">
        <f>+CF151+CF156</f>
        <v>37</v>
      </c>
      <c r="CG163" s="14">
        <f>+CG151+CG156</f>
        <v>37.799999999999997</v>
      </c>
      <c r="CH163" s="14">
        <f>+CH151+CH156</f>
        <v>39.299999999999997</v>
      </c>
      <c r="CI163" s="53"/>
      <c r="CJ163" s="14">
        <f>+CJ151+CJ156</f>
        <v>35.4</v>
      </c>
      <c r="CK163" s="14">
        <f>+CK151+CK156</f>
        <v>37.9</v>
      </c>
      <c r="CL163" s="14">
        <f>+CL151+CL156</f>
        <v>36.700000000000003</v>
      </c>
      <c r="CM163" s="14">
        <f>+CM151+CM156</f>
        <v>38.900000000000006</v>
      </c>
      <c r="CN163" s="49">
        <f>+X163-SUM(CJ163:CM163)</f>
        <v>0</v>
      </c>
      <c r="CO163" s="14">
        <f>+CO151+CO156</f>
        <v>42.000000000000007</v>
      </c>
      <c r="CP163" s="14">
        <f>+CP151+CP156</f>
        <v>44.9</v>
      </c>
      <c r="CQ163" s="14">
        <f>+CQ151+CQ156</f>
        <v>42.4</v>
      </c>
      <c r="CR163" s="14">
        <f>+CR151+CR156</f>
        <v>44.399999999999977</v>
      </c>
      <c r="CS163" s="49">
        <f>+AA163-SUM(CO163:CR163)</f>
        <v>0</v>
      </c>
      <c r="CT163" s="14">
        <f>+CT151+CT156</f>
        <v>38.800000000000011</v>
      </c>
      <c r="CU163" s="14">
        <f>+CU151+CU156</f>
        <v>45</v>
      </c>
      <c r="CV163" s="14">
        <f>+CV151+CV156</f>
        <v>45</v>
      </c>
      <c r="CW163" s="14">
        <f>+CW151+CW156</f>
        <v>50.000000000000014</v>
      </c>
      <c r="CX163" s="49">
        <f>AB163-SUM(CT163:CW163)</f>
        <v>0</v>
      </c>
      <c r="CY163" s="14">
        <f>+CY151+CY156</f>
        <v>40.9</v>
      </c>
      <c r="CZ163" s="14">
        <f>+CZ151+CZ156</f>
        <v>43.5</v>
      </c>
      <c r="DA163" s="14">
        <f>+DA151+DA156</f>
        <v>42.7</v>
      </c>
      <c r="DB163" s="14">
        <f>+DB151+DB156</f>
        <v>44.4</v>
      </c>
      <c r="DC163" s="871">
        <f>AC163-SUM(CY163:DB163)</f>
        <v>0</v>
      </c>
      <c r="DD163" s="14">
        <f>+DD151+DD156</f>
        <v>48.1</v>
      </c>
      <c r="DE163" s="14">
        <f>+DE151+DE156</f>
        <v>47.9</v>
      </c>
      <c r="DF163" s="14">
        <f>+DF151+DF156</f>
        <v>47.8</v>
      </c>
      <c r="DG163" s="14">
        <f>+DG151+DG156</f>
        <v>44.4</v>
      </c>
      <c r="DH163" s="357">
        <f>AD163-SUM(DD163:DG163)</f>
        <v>-1.0000000000000284</v>
      </c>
      <c r="DI163" s="14">
        <f>+DI151+DI156</f>
        <v>44.6</v>
      </c>
      <c r="DJ163" s="14">
        <f>+DJ151+DJ156</f>
        <v>43.9</v>
      </c>
      <c r="DK163" s="14">
        <f>+DK151+DK156</f>
        <v>47.4</v>
      </c>
      <c r="DL163" s="14">
        <f>+DL151+DL156</f>
        <v>47.4</v>
      </c>
      <c r="DM163" s="357">
        <f>AE163-SUM(DI163:DL163)</f>
        <v>0</v>
      </c>
      <c r="DN163" s="14">
        <f>+DN151+DN156</f>
        <v>44</v>
      </c>
      <c r="DO163" s="14">
        <f>+DO151+DO156</f>
        <v>42.3</v>
      </c>
      <c r="DP163" s="14">
        <f>+DP151+DP156</f>
        <v>43.3</v>
      </c>
      <c r="DQ163" s="14">
        <f>+DQ151+DQ156</f>
        <v>46.899999999999991</v>
      </c>
      <c r="DR163" s="538">
        <f>AF163-SUM(DN163:DQ163)</f>
        <v>0</v>
      </c>
      <c r="DS163" s="14">
        <f>+DS151+DS156</f>
        <v>49.150000000000013</v>
      </c>
      <c r="DT163" s="14">
        <f>+DT151+DT156</f>
        <v>49.249999999999993</v>
      </c>
      <c r="DU163" s="14">
        <f>+DU151+DU156</f>
        <v>48.54999999999999</v>
      </c>
      <c r="DV163" s="14">
        <f>+DV151+DV156</f>
        <v>48.977130890052379</v>
      </c>
      <c r="DW163" s="538">
        <f>AG163-SUM(DS163:DV163)</f>
        <v>0</v>
      </c>
      <c r="DX163" s="862"/>
      <c r="DY163" s="862"/>
      <c r="DZ163" s="862"/>
      <c r="EA163" s="862"/>
      <c r="EB163" s="862"/>
      <c r="EH163" s="1048"/>
      <c r="EI163" s="1048"/>
      <c r="EJ163" s="1048"/>
      <c r="EK163" s="1048"/>
      <c r="EM163" s="1048"/>
      <c r="FL163" s="1048"/>
    </row>
    <row r="164" spans="1:168">
      <c r="A164" s="397"/>
      <c r="B164" s="11"/>
      <c r="C164" s="11"/>
      <c r="D164" s="11"/>
      <c r="E164" s="11"/>
      <c r="F164" s="11"/>
      <c r="G164" s="11"/>
      <c r="H164" s="11"/>
      <c r="I164" s="88"/>
      <c r="J164" s="11"/>
      <c r="K164" s="88"/>
      <c r="L164" s="11"/>
      <c r="M164" s="88"/>
      <c r="N164" s="14"/>
      <c r="O164" s="11"/>
      <c r="P164" s="14"/>
      <c r="Q164" s="398"/>
      <c r="R164" s="14"/>
      <c r="S164" s="11"/>
      <c r="T164" s="14"/>
      <c r="U164" s="14"/>
      <c r="V164" s="14"/>
      <c r="W164" s="14"/>
      <c r="X164" s="14"/>
      <c r="Y164" s="14"/>
      <c r="Z164" s="14"/>
      <c r="AA164" s="14"/>
      <c r="AB164" s="14"/>
      <c r="AC164" s="14"/>
      <c r="AD164" s="14"/>
      <c r="AE164" s="14"/>
      <c r="AF164" s="14"/>
      <c r="AG164" s="14"/>
      <c r="AH164" s="14"/>
      <c r="AI164" s="14"/>
      <c r="AJ164" s="14"/>
      <c r="AK164" s="14"/>
      <c r="AL164" s="14"/>
      <c r="AM164" s="14"/>
      <c r="AN164" s="14"/>
      <c r="AO164" s="14"/>
      <c r="AP164" s="14"/>
      <c r="AQ164" s="14"/>
      <c r="AR164" s="14"/>
      <c r="AS164" s="14"/>
      <c r="AT164" s="14"/>
      <c r="AU164" s="14"/>
      <c r="AV164" s="14"/>
      <c r="AW164" s="14"/>
      <c r="AX164" s="354"/>
      <c r="AY164" s="354"/>
      <c r="AZ164" s="354"/>
      <c r="BA164" s="354"/>
      <c r="BB164" s="354"/>
      <c r="BC164" s="354"/>
      <c r="BD164" s="354"/>
      <c r="BE164" s="69"/>
      <c r="BF164" s="14"/>
      <c r="BG164" s="14"/>
      <c r="BH164" s="14"/>
      <c r="BI164" s="14"/>
      <c r="BJ164" s="11"/>
      <c r="BK164" s="14"/>
      <c r="BL164" s="14"/>
      <c r="BM164" s="14"/>
      <c r="BN164" s="14"/>
      <c r="BO164" s="11"/>
      <c r="BP164" s="14"/>
      <c r="BQ164" s="14"/>
      <c r="BR164" s="14"/>
      <c r="BS164" s="14"/>
      <c r="BT164" s="13"/>
      <c r="BU164" s="14"/>
      <c r="BV164" s="14"/>
      <c r="BW164" s="14"/>
      <c r="BX164" s="14"/>
      <c r="BY164" s="95"/>
      <c r="BZ164" s="14"/>
      <c r="CA164" s="14"/>
      <c r="CB164" s="14"/>
      <c r="CC164" s="14"/>
      <c r="CD164" s="339"/>
      <c r="CE164" s="14"/>
      <c r="CF164" s="14"/>
      <c r="CG164" s="14"/>
      <c r="CH164" s="14"/>
      <c r="CI164" s="53"/>
      <c r="CJ164" s="14"/>
      <c r="CK164" s="14"/>
      <c r="CL164" s="14"/>
      <c r="CM164" s="14"/>
      <c r="CN164" s="49"/>
      <c r="CO164" s="14"/>
      <c r="CP164" s="14"/>
      <c r="CQ164" s="14"/>
      <c r="CR164" s="14"/>
      <c r="CS164" s="49"/>
      <c r="CT164" s="14"/>
      <c r="CU164" s="14"/>
      <c r="CV164" s="14"/>
      <c r="CW164" s="14"/>
      <c r="CX164" s="49"/>
      <c r="CY164" s="304"/>
      <c r="CZ164" s="304"/>
      <c r="DA164" s="304"/>
      <c r="DB164" s="304"/>
      <c r="DC164" s="11"/>
      <c r="DD164" s="304"/>
      <c r="DE164" s="304"/>
      <c r="DF164" s="304"/>
      <c r="DG164" s="304"/>
      <c r="DH164" s="304"/>
      <c r="DI164" s="304"/>
      <c r="DJ164" s="304"/>
      <c r="DK164" s="304"/>
      <c r="DL164" s="304"/>
      <c r="DM164" s="304"/>
      <c r="DN164" s="11"/>
      <c r="DO164" s="11"/>
      <c r="DP164" s="11"/>
      <c r="DQ164" s="11"/>
      <c r="DR164" s="11"/>
      <c r="DX164" s="862"/>
      <c r="DY164" s="862"/>
      <c r="DZ164" s="862"/>
      <c r="EA164" s="862"/>
      <c r="EB164" s="862"/>
      <c r="EH164" s="1048"/>
      <c r="EI164" s="1048"/>
      <c r="EJ164" s="1048"/>
      <c r="EK164" s="1048"/>
      <c r="EM164" s="1048"/>
      <c r="FL164" s="1048"/>
    </row>
    <row r="165" spans="1:168" ht="15">
      <c r="A165" s="380" t="s">
        <v>880</v>
      </c>
      <c r="B165" s="11"/>
      <c r="C165" s="11"/>
      <c r="D165" s="11"/>
      <c r="E165" s="11"/>
      <c r="F165" s="11"/>
      <c r="G165" s="11"/>
      <c r="H165" s="11"/>
      <c r="I165" s="88"/>
      <c r="J165" s="11"/>
      <c r="K165" s="88"/>
      <c r="L165" s="11"/>
      <c r="M165" s="88"/>
      <c r="N165" s="14"/>
      <c r="O165" s="11"/>
      <c r="P165" s="14"/>
      <c r="Q165" s="398"/>
      <c r="R165" s="14"/>
      <c r="S165" s="11"/>
      <c r="T165" s="14"/>
      <c r="U165" s="14"/>
      <c r="V165" s="14"/>
      <c r="W165" s="14"/>
      <c r="X165" s="14"/>
      <c r="Y165" s="14"/>
      <c r="Z165" s="14"/>
      <c r="AA165" s="14"/>
      <c r="AB165" s="14"/>
      <c r="AC165" s="14"/>
      <c r="AD165" s="14"/>
      <c r="AE165" s="14"/>
      <c r="AF165" s="14"/>
      <c r="AG165" s="14"/>
      <c r="AH165" s="14"/>
      <c r="AI165" s="14"/>
      <c r="AJ165" s="14"/>
      <c r="AK165" s="14"/>
      <c r="AL165" s="14"/>
      <c r="AM165" s="14"/>
      <c r="AN165" s="14"/>
      <c r="AO165" s="14"/>
      <c r="AP165" s="14"/>
      <c r="AQ165" s="14"/>
      <c r="AR165" s="14"/>
      <c r="AS165" s="14"/>
      <c r="AT165" s="14"/>
      <c r="AU165" s="14"/>
      <c r="AV165" s="14"/>
      <c r="AW165" s="14"/>
      <c r="AX165" s="354"/>
      <c r="AY165" s="354"/>
      <c r="AZ165" s="354"/>
      <c r="BA165" s="354"/>
      <c r="BB165" s="354"/>
      <c r="BC165" s="354"/>
      <c r="BD165" s="354"/>
      <c r="BE165" s="69"/>
      <c r="BF165" s="14"/>
      <c r="BG165" s="14"/>
      <c r="BH165" s="14"/>
      <c r="BI165" s="14"/>
      <c r="BJ165" s="11"/>
      <c r="BK165" s="14"/>
      <c r="BL165" s="14"/>
      <c r="BM165" s="14"/>
      <c r="BN165" s="14"/>
      <c r="BO165" s="11"/>
      <c r="BP165" s="14"/>
      <c r="BQ165" s="14"/>
      <c r="BR165" s="14"/>
      <c r="BS165" s="14"/>
      <c r="BT165" s="13"/>
      <c r="BU165" s="14"/>
      <c r="BV165" s="14"/>
      <c r="BW165" s="14"/>
      <c r="BX165" s="14"/>
      <c r="BY165" s="95"/>
      <c r="BZ165" s="14"/>
      <c r="CA165" s="14"/>
      <c r="CB165" s="14"/>
      <c r="CC165" s="14"/>
      <c r="CD165" s="339"/>
      <c r="CE165" s="14"/>
      <c r="CF165" s="14"/>
      <c r="CG165" s="14"/>
      <c r="CH165" s="14"/>
      <c r="CI165" s="53"/>
      <c r="CJ165" s="14"/>
      <c r="CK165" s="14"/>
      <c r="CL165" s="14"/>
      <c r="CM165" s="14"/>
      <c r="CN165" s="49"/>
      <c r="CO165" s="14"/>
      <c r="CP165" s="14"/>
      <c r="CQ165" s="14"/>
      <c r="CR165" s="14"/>
      <c r="CS165" s="49"/>
      <c r="CT165" s="14"/>
      <c r="CU165" s="14"/>
      <c r="CV165" s="14"/>
      <c r="CW165" s="14"/>
      <c r="CX165" s="49"/>
      <c r="CY165" s="304"/>
      <c r="CZ165" s="304"/>
      <c r="DA165" s="304"/>
      <c r="DB165" s="304"/>
      <c r="DC165" s="11"/>
      <c r="DD165" s="304"/>
      <c r="DE165" s="304"/>
      <c r="DF165" s="304"/>
      <c r="DG165" s="304"/>
      <c r="DH165" s="304"/>
      <c r="DI165" s="304"/>
      <c r="DJ165" s="304"/>
      <c r="DK165" s="304"/>
      <c r="DL165" s="304"/>
      <c r="DM165" s="304"/>
      <c r="DN165" s="11"/>
      <c r="DO165" s="11"/>
      <c r="DP165" s="11"/>
      <c r="DQ165" s="11"/>
      <c r="DR165" s="11"/>
      <c r="DX165" s="862"/>
      <c r="DY165" s="862"/>
      <c r="DZ165" s="862"/>
      <c r="EA165" s="862"/>
      <c r="EB165" s="862"/>
      <c r="EH165" s="1048"/>
      <c r="EI165" s="1048"/>
      <c r="EJ165" s="1048"/>
      <c r="EK165" s="1048"/>
      <c r="EM165" s="1048"/>
      <c r="FL165" s="1048"/>
    </row>
    <row r="166" spans="1:168" ht="15">
      <c r="A166" s="399" t="s">
        <v>6</v>
      </c>
      <c r="B166" s="11"/>
      <c r="C166" s="11"/>
      <c r="D166" s="11"/>
      <c r="E166" s="11"/>
      <c r="F166" s="11"/>
      <c r="G166" s="11"/>
      <c r="H166" s="11"/>
      <c r="I166" s="88"/>
      <c r="J166" s="11"/>
      <c r="K166" s="88"/>
      <c r="L166" s="11"/>
      <c r="M166" s="88"/>
      <c r="N166" s="14"/>
      <c r="O166" s="11"/>
      <c r="P166" s="14"/>
      <c r="Q166" s="398"/>
      <c r="R166" s="14"/>
      <c r="S166" s="11"/>
      <c r="T166" s="14"/>
      <c r="U166" s="14"/>
      <c r="V166" s="14"/>
      <c r="W166" s="14"/>
      <c r="X166" s="14"/>
      <c r="Y166" s="14"/>
      <c r="Z166" s="14"/>
      <c r="AA166" s="14"/>
      <c r="AB166" s="14"/>
      <c r="AC166" s="14"/>
      <c r="AD166" s="14"/>
      <c r="AE166" s="14"/>
      <c r="AF166" s="14"/>
      <c r="AG166" s="14"/>
      <c r="AH166" s="14"/>
      <c r="AI166" s="14"/>
      <c r="AJ166" s="14"/>
      <c r="AK166" s="14"/>
      <c r="AL166" s="14"/>
      <c r="AM166" s="14"/>
      <c r="AN166" s="14"/>
      <c r="AO166" s="14"/>
      <c r="AP166" s="14"/>
      <c r="AQ166" s="14"/>
      <c r="AR166" s="14"/>
      <c r="AS166" s="14"/>
      <c r="AT166" s="14"/>
      <c r="AU166" s="14"/>
      <c r="AV166" s="14"/>
      <c r="AW166" s="14"/>
      <c r="AX166" s="354"/>
      <c r="AY166" s="354"/>
      <c r="AZ166" s="354"/>
      <c r="BA166" s="354"/>
      <c r="BB166" s="354"/>
      <c r="BC166" s="354"/>
      <c r="BD166" s="354"/>
      <c r="BE166" s="69"/>
      <c r="BF166" s="14"/>
      <c r="BG166" s="14"/>
      <c r="BH166" s="14"/>
      <c r="BI166" s="14"/>
      <c r="BJ166" s="11"/>
      <c r="BK166" s="14"/>
      <c r="BL166" s="14"/>
      <c r="BM166" s="14"/>
      <c r="BN166" s="14"/>
      <c r="BO166" s="11"/>
      <c r="BP166" s="14"/>
      <c r="BQ166" s="14"/>
      <c r="BR166" s="14"/>
      <c r="BS166" s="14"/>
      <c r="BT166" s="13"/>
      <c r="BU166" s="14"/>
      <c r="BV166" s="14"/>
      <c r="BW166" s="14"/>
      <c r="BX166" s="14"/>
      <c r="BY166" s="95"/>
      <c r="BZ166" s="14"/>
      <c r="CA166" s="14"/>
      <c r="CB166" s="14"/>
      <c r="CC166" s="14"/>
      <c r="CD166" s="339"/>
      <c r="CE166" s="14"/>
      <c r="CF166" s="14"/>
      <c r="CG166" s="14"/>
      <c r="CH166" s="14"/>
      <c r="CI166" s="53"/>
      <c r="CJ166" s="14"/>
      <c r="CK166" s="14"/>
      <c r="CL166" s="14"/>
      <c r="CM166" s="14"/>
      <c r="CN166" s="49"/>
      <c r="CO166" s="14"/>
      <c r="CP166" s="14"/>
      <c r="CQ166" s="14"/>
      <c r="CR166" s="14"/>
      <c r="CS166" s="49"/>
      <c r="CT166" s="14"/>
      <c r="CU166" s="14"/>
      <c r="CV166" s="14"/>
      <c r="CW166" s="14"/>
      <c r="CX166" s="49"/>
      <c r="CY166" s="304"/>
      <c r="CZ166" s="304"/>
      <c r="DA166" s="304"/>
      <c r="DB166" s="304"/>
      <c r="DC166" s="11"/>
      <c r="DD166" s="304"/>
      <c r="DE166" s="304"/>
      <c r="DF166" s="304"/>
      <c r="DG166" s="304"/>
      <c r="DH166" s="304"/>
      <c r="DI166" s="304"/>
      <c r="DJ166" s="304"/>
      <c r="DK166" s="304"/>
      <c r="DL166" s="304"/>
      <c r="DM166" s="304"/>
      <c r="DN166" s="11"/>
      <c r="DO166" s="11"/>
      <c r="DP166" s="11"/>
      <c r="DQ166" s="11"/>
      <c r="DR166" s="11"/>
      <c r="DX166" s="862"/>
      <c r="DY166" s="862"/>
      <c r="DZ166" s="862"/>
      <c r="EA166" s="862"/>
      <c r="EB166" s="862"/>
      <c r="EH166" s="1048"/>
      <c r="EI166" s="1048"/>
      <c r="EJ166" s="1048"/>
      <c r="EK166" s="1048"/>
      <c r="EM166" s="1048"/>
      <c r="FL166" s="1048"/>
    </row>
    <row r="167" spans="1:168">
      <c r="A167" s="372" t="s">
        <v>62</v>
      </c>
      <c r="B167" s="11"/>
      <c r="C167" s="11"/>
      <c r="D167" s="11"/>
      <c r="E167" s="11"/>
      <c r="F167" s="11"/>
      <c r="G167" s="11"/>
      <c r="H167" s="11"/>
      <c r="I167" s="88"/>
      <c r="J167" s="11"/>
      <c r="K167" s="88"/>
      <c r="L167" s="11"/>
      <c r="M167" s="88"/>
      <c r="N167" s="14"/>
      <c r="O167" s="11"/>
      <c r="P167" s="14"/>
      <c r="Q167" s="398"/>
      <c r="R167" s="14"/>
      <c r="S167" s="11"/>
      <c r="T167" s="14"/>
      <c r="U167" s="14"/>
      <c r="V167" s="14"/>
      <c r="W167" s="14"/>
      <c r="X167" s="14"/>
      <c r="Y167" s="14"/>
      <c r="Z167" s="14"/>
      <c r="AA167" s="14"/>
      <c r="AB167" s="14"/>
      <c r="AC167" s="14"/>
      <c r="AD167" s="14">
        <f>'Revenue and OCF'!T49</f>
        <v>166.1</v>
      </c>
      <c r="AE167" s="14">
        <f>'Revenue and OCF'!U49</f>
        <v>423.67899999999997</v>
      </c>
      <c r="AF167" s="14">
        <f>'Revenue and OCF'!Y49</f>
        <v>540.92244618749999</v>
      </c>
      <c r="AG167" s="14">
        <f>'Revenue and OCF'!Z49</f>
        <v>565.61320314184491</v>
      </c>
      <c r="AH167" s="14">
        <f>'Revenue and OCF'!AA49</f>
        <v>554.52209725250862</v>
      </c>
      <c r="AI167" s="14">
        <f>'Revenue and OCF'!AB49</f>
        <v>583.06160903362195</v>
      </c>
      <c r="AJ167" s="14">
        <f>'Revenue and OCF'!AC49</f>
        <v>665.83800780524825</v>
      </c>
      <c r="AK167" s="14">
        <f>'Revenue and OCF'!AD49</f>
        <v>697.15753929352184</v>
      </c>
      <c r="AL167" s="14">
        <f>'Revenue and OCF'!AG49</f>
        <v>742.10735554225073</v>
      </c>
      <c r="AM167" s="14">
        <f>'Revenue and OCF'!AH49</f>
        <v>766.71107260001997</v>
      </c>
      <c r="AN167" s="14">
        <f>'Revenue and OCF'!AJ49</f>
        <v>845.39733158644003</v>
      </c>
      <c r="AO167" s="14">
        <f>'Revenue and OCF'!AK49</f>
        <v>954.93989705688364</v>
      </c>
      <c r="AP167" s="14">
        <f>'Revenue and OCF'!AL49</f>
        <v>1036.5792963853805</v>
      </c>
      <c r="AQ167" s="14">
        <f>'Revenue and OCF'!AM49</f>
        <v>1094.7670968673624</v>
      </c>
      <c r="AR167" s="14">
        <f>'Revenue and OCF'!AN49</f>
        <v>1148.5436672875921</v>
      </c>
      <c r="AS167" s="14">
        <f>'Revenue and OCF'!AO49</f>
        <v>1206.319021403521</v>
      </c>
      <c r="AT167" s="14">
        <f>'Revenue and OCF'!AP49</f>
        <v>1266.2826219237886</v>
      </c>
      <c r="AU167" s="14">
        <f>'Revenue and OCF'!AQ49</f>
        <v>1325.376994785529</v>
      </c>
      <c r="AV167" s="14">
        <f>'Revenue and OCF'!AR49</f>
        <v>1383.5232407501244</v>
      </c>
      <c r="AW167" s="14">
        <f>'Revenue and OCF'!AS49</f>
        <v>1441.0234947677577</v>
      </c>
      <c r="AX167" s="14">
        <f>'Revenue and OCF'!AT49</f>
        <v>1499.1401371178895</v>
      </c>
      <c r="AY167" s="14">
        <f>'Revenue and OCF'!AU49</f>
        <v>1557.9139168837933</v>
      </c>
      <c r="AZ167" s="354"/>
      <c r="BA167" s="354"/>
      <c r="BB167" s="354"/>
      <c r="BC167" s="354"/>
      <c r="BD167" s="354"/>
      <c r="BE167" s="69"/>
      <c r="BF167" s="14"/>
      <c r="BG167" s="14"/>
      <c r="BH167" s="14"/>
      <c r="BI167" s="14"/>
      <c r="BJ167" s="11"/>
      <c r="BK167" s="14"/>
      <c r="BL167" s="14"/>
      <c r="BM167" s="14"/>
      <c r="BN167" s="14"/>
      <c r="BO167" s="11"/>
      <c r="BP167" s="14"/>
      <c r="BQ167" s="14"/>
      <c r="BR167" s="14"/>
      <c r="BS167" s="14"/>
      <c r="BT167" s="13"/>
      <c r="BU167" s="14"/>
      <c r="BV167" s="14"/>
      <c r="BW167" s="14"/>
      <c r="BX167" s="14"/>
      <c r="BY167" s="95"/>
      <c r="BZ167" s="14"/>
      <c r="CA167" s="14"/>
      <c r="CB167" s="14"/>
      <c r="CC167" s="14"/>
      <c r="CD167" s="339"/>
      <c r="CE167" s="14"/>
      <c r="CF167" s="14"/>
      <c r="CG167" s="14"/>
      <c r="CH167" s="14"/>
      <c r="CI167" s="53"/>
      <c r="CJ167" s="14"/>
      <c r="CK167" s="14"/>
      <c r="CL167" s="14"/>
      <c r="CM167" s="14"/>
      <c r="CN167" s="49"/>
      <c r="CO167" s="14"/>
      <c r="CP167" s="14"/>
      <c r="CQ167" s="14"/>
      <c r="CR167" s="14"/>
      <c r="CS167" s="49"/>
      <c r="CT167" s="14"/>
      <c r="CU167" s="14"/>
      <c r="CV167" s="14"/>
      <c r="CW167" s="14"/>
      <c r="CX167" s="49"/>
      <c r="CY167" s="304"/>
      <c r="CZ167" s="304"/>
      <c r="DA167" s="304"/>
      <c r="DB167" s="304"/>
      <c r="DC167" s="11"/>
      <c r="DD167" s="14">
        <f>'Revenue and OCF'!CT49</f>
        <v>38.6</v>
      </c>
      <c r="DE167" s="14">
        <f>'Revenue and OCF'!CU49</f>
        <v>31.8</v>
      </c>
      <c r="DF167" s="14">
        <f>'Revenue and OCF'!CV49</f>
        <v>37.1</v>
      </c>
      <c r="DG167" s="14">
        <f>'Revenue and OCF'!CW49</f>
        <v>58.6</v>
      </c>
      <c r="DH167" s="357">
        <f>AD167-SUM(DD167:DG167)</f>
        <v>0</v>
      </c>
      <c r="DI167" s="14">
        <f>'Revenue and OCF'!CY49</f>
        <v>52.9</v>
      </c>
      <c r="DJ167" s="14">
        <f>'Revenue and OCF'!CZ49</f>
        <v>40.200000000000003</v>
      </c>
      <c r="DK167" s="14">
        <f>'CBS Interactive'!BE13</f>
        <v>143.30000000000001</v>
      </c>
      <c r="DL167" s="14">
        <f>'CBS Interactive'!BF13</f>
        <v>187.279</v>
      </c>
      <c r="DM167" s="357">
        <f>AE167-SUM(DI167:DL167)</f>
        <v>0</v>
      </c>
      <c r="DN167" s="14">
        <f>'CBS Interactive'!BH13</f>
        <v>134.30000000000001</v>
      </c>
      <c r="DO167" s="14">
        <f>'CBS Interactive'!BI13</f>
        <v>127.1</v>
      </c>
      <c r="DP167" s="14">
        <f>'CBS Interactive'!BJ13</f>
        <v>122.09</v>
      </c>
      <c r="DQ167" s="14">
        <f>'CBS Interactive'!BK13</f>
        <v>157.43244618750001</v>
      </c>
      <c r="DR167" s="11"/>
      <c r="DS167" s="14">
        <f>Drivers!BQ18</f>
        <v>139.251310832</v>
      </c>
      <c r="DT167" s="14">
        <f>Drivers!BR18</f>
        <v>131.94907071908415</v>
      </c>
      <c r="DU167" s="14">
        <f>Drivers!BS18</f>
        <v>128.62590061702946</v>
      </c>
      <c r="DV167" s="14">
        <f>Drivers!BT18</f>
        <v>165.78692097373127</v>
      </c>
      <c r="DW167" s="538">
        <f>AG167-SUM(DS167:DV167)</f>
        <v>0</v>
      </c>
      <c r="DX167" s="862"/>
      <c r="DY167" s="862"/>
      <c r="DZ167" s="862"/>
      <c r="EA167" s="862"/>
      <c r="EB167" s="862"/>
      <c r="EH167" s="1048"/>
      <c r="EI167" s="1048"/>
      <c r="EJ167" s="1048"/>
      <c r="EK167" s="1048"/>
      <c r="EM167" s="1048"/>
      <c r="FL167" s="1048"/>
    </row>
    <row r="168" spans="1:168">
      <c r="A168" s="397" t="s">
        <v>676</v>
      </c>
      <c r="B168" s="11"/>
      <c r="C168" s="11"/>
      <c r="D168" s="11"/>
      <c r="E168" s="11"/>
      <c r="F168" s="11"/>
      <c r="G168" s="11"/>
      <c r="H168" s="11"/>
      <c r="I168" s="88"/>
      <c r="J168" s="11"/>
      <c r="K168" s="88"/>
      <c r="L168" s="11"/>
      <c r="M168" s="88"/>
      <c r="N168" s="14"/>
      <c r="O168" s="11"/>
      <c r="P168" s="14"/>
      <c r="Q168" s="398"/>
      <c r="R168" s="14"/>
      <c r="S168" s="11"/>
      <c r="T168" s="14"/>
      <c r="U168" s="14"/>
      <c r="V168" s="14"/>
      <c r="W168" s="14"/>
      <c r="X168" s="14"/>
      <c r="Y168" s="14"/>
      <c r="Z168" s="14"/>
      <c r="AA168" s="14"/>
      <c r="AB168" s="14"/>
      <c r="AC168" s="14"/>
      <c r="AD168" s="317"/>
      <c r="AE168" s="317"/>
      <c r="AF168" s="317"/>
      <c r="AG168" s="895">
        <f t="shared" ref="AG168:AQ168" si="244">AG167/AF167-1</f>
        <v>4.5645650551884076E-2</v>
      </c>
      <c r="AH168" s="895">
        <f t="shared" si="244"/>
        <v>-1.9608993969249422E-2</v>
      </c>
      <c r="AI168" s="895">
        <f t="shared" si="244"/>
        <v>5.1466861144971565E-2</v>
      </c>
      <c r="AJ168" s="895">
        <f t="shared" si="244"/>
        <v>0.14196852869257093</v>
      </c>
      <c r="AK168" s="895">
        <f t="shared" si="244"/>
        <v>4.7037764623124811E-2</v>
      </c>
      <c r="AL168" s="895">
        <f t="shared" si="244"/>
        <v>6.4475837547822712E-2</v>
      </c>
      <c r="AM168" s="895">
        <f t="shared" si="244"/>
        <v>3.3153851493348263E-2</v>
      </c>
      <c r="AN168" s="895">
        <f t="shared" si="244"/>
        <v>0.10262830654001687</v>
      </c>
      <c r="AO168" s="895">
        <f t="shared" si="244"/>
        <v>0.12957524394461983</v>
      </c>
      <c r="AP168" s="895">
        <f t="shared" si="244"/>
        <v>8.5491662438765825E-2</v>
      </c>
      <c r="AQ168" s="895">
        <f t="shared" si="244"/>
        <v>5.6134442087437453E-2</v>
      </c>
      <c r="AR168" s="895">
        <f t="shared" ref="AR168:AY168" si="245">AR167/AQ167-1</f>
        <v>4.9121471200686884E-2</v>
      </c>
      <c r="AS168" s="895">
        <f t="shared" si="245"/>
        <v>5.0303141065912937E-2</v>
      </c>
      <c r="AT168" s="895">
        <f t="shared" si="245"/>
        <v>4.9707912630360118E-2</v>
      </c>
      <c r="AU168" s="895">
        <f t="shared" si="245"/>
        <v>4.6667601559564842E-2</v>
      </c>
      <c r="AV168" s="895">
        <f t="shared" si="245"/>
        <v>4.387147671444569E-2</v>
      </c>
      <c r="AW168" s="895">
        <f t="shared" si="245"/>
        <v>4.1560743125975685E-2</v>
      </c>
      <c r="AX168" s="895">
        <f t="shared" si="245"/>
        <v>4.0330114367426173E-2</v>
      </c>
      <c r="AY168" s="895">
        <f t="shared" si="245"/>
        <v>3.920499378990483E-2</v>
      </c>
      <c r="AZ168" s="421"/>
      <c r="BA168" s="421"/>
      <c r="BB168" s="421"/>
      <c r="BC168" s="421"/>
      <c r="BD168" s="421"/>
      <c r="BE168" s="69"/>
      <c r="BF168" s="14"/>
      <c r="BG168" s="14"/>
      <c r="BH168" s="14"/>
      <c r="BI168" s="14"/>
      <c r="BJ168" s="11"/>
      <c r="BK168" s="14"/>
      <c r="BL168" s="14"/>
      <c r="BM168" s="14"/>
      <c r="BN168" s="14"/>
      <c r="BO168" s="11"/>
      <c r="BP168" s="14"/>
      <c r="BQ168" s="14"/>
      <c r="BR168" s="14"/>
      <c r="BS168" s="14"/>
      <c r="BT168" s="13"/>
      <c r="BU168" s="14"/>
      <c r="BV168" s="14"/>
      <c r="BW168" s="14"/>
      <c r="BX168" s="14"/>
      <c r="BY168" s="95"/>
      <c r="BZ168" s="14"/>
      <c r="CA168" s="14"/>
      <c r="CB168" s="14"/>
      <c r="CC168" s="14"/>
      <c r="CD168" s="339"/>
      <c r="CE168" s="14"/>
      <c r="CF168" s="14"/>
      <c r="CG168" s="14"/>
      <c r="CH168" s="14"/>
      <c r="CI168" s="53"/>
      <c r="CJ168" s="14"/>
      <c r="CK168" s="14"/>
      <c r="CL168" s="14"/>
      <c r="CM168" s="14"/>
      <c r="CN168" s="49"/>
      <c r="CO168" s="14"/>
      <c r="CP168" s="14"/>
      <c r="CQ168" s="14"/>
      <c r="CR168" s="14"/>
      <c r="CS168" s="49"/>
      <c r="CT168" s="14"/>
      <c r="CU168" s="14"/>
      <c r="CV168" s="14"/>
      <c r="CW168" s="14"/>
      <c r="CX168" s="49"/>
      <c r="CY168" s="304"/>
      <c r="CZ168" s="304"/>
      <c r="DA168" s="304"/>
      <c r="DB168" s="304"/>
      <c r="DC168" s="11"/>
      <c r="DD168" s="317"/>
      <c r="DE168" s="317"/>
      <c r="DF168" s="317"/>
      <c r="DG168" s="317"/>
      <c r="DH168" s="304"/>
      <c r="DI168" s="1083"/>
      <c r="DJ168" s="1083"/>
      <c r="DK168" s="895"/>
      <c r="DL168" s="895"/>
      <c r="DM168" s="304"/>
      <c r="DN168" s="895"/>
      <c r="DO168" s="895"/>
      <c r="DP168" s="895">
        <f>DP167/DK167-1</f>
        <v>-0.14801116538729941</v>
      </c>
      <c r="DQ168" s="895">
        <f>DQ167/DL167-1</f>
        <v>-0.15936946380800832</v>
      </c>
      <c r="DR168" s="11"/>
      <c r="DS168" s="895">
        <f>DS167/DN167-1</f>
        <v>3.6867541563663453E-2</v>
      </c>
      <c r="DT168" s="895">
        <f>DT167/DO167-1</f>
        <v>3.8151618560851031E-2</v>
      </c>
      <c r="DU168" s="895">
        <f>DU167/DP167-1</f>
        <v>5.3533463977635032E-2</v>
      </c>
      <c r="DV168" s="895">
        <f>DV167/DQ167-1</f>
        <v>5.3067045507767752E-2</v>
      </c>
      <c r="DX168" s="862"/>
      <c r="DY168" s="862"/>
      <c r="DZ168" s="862"/>
      <c r="EA168" s="862"/>
      <c r="EB168" s="862"/>
      <c r="EH168" s="1048"/>
      <c r="EI168" s="1048"/>
      <c r="EJ168" s="1048"/>
      <c r="EK168" s="1048"/>
      <c r="EM168" s="1048"/>
      <c r="FL168" s="1048"/>
    </row>
    <row r="169" spans="1:168">
      <c r="A169" s="376" t="s">
        <v>678</v>
      </c>
      <c r="B169" s="11"/>
      <c r="C169" s="11"/>
      <c r="D169" s="11"/>
      <c r="E169" s="11"/>
      <c r="F169" s="11"/>
      <c r="G169" s="11"/>
      <c r="H169" s="11"/>
      <c r="I169" s="88"/>
      <c r="J169" s="11"/>
      <c r="K169" s="88"/>
      <c r="L169" s="11"/>
      <c r="M169" s="88"/>
      <c r="N169" s="14"/>
      <c r="O169" s="11"/>
      <c r="P169" s="14"/>
      <c r="Q169" s="398"/>
      <c r="R169" s="14"/>
      <c r="S169" s="11"/>
      <c r="T169" s="14"/>
      <c r="U169" s="14"/>
      <c r="V169" s="14"/>
      <c r="W169" s="14"/>
      <c r="X169" s="14"/>
      <c r="Y169" s="14"/>
      <c r="Z169" s="14"/>
      <c r="AA169" s="14"/>
      <c r="AB169" s="14"/>
      <c r="AC169" s="14"/>
      <c r="AD169" s="14">
        <f>'Revenue and OCF'!T51</f>
        <v>-10.299999999999999</v>
      </c>
      <c r="AE169" s="14">
        <f>'Revenue and OCF'!U51</f>
        <v>41.899999999999991</v>
      </c>
      <c r="AF169" s="14">
        <f>'Revenue and OCF'!Y51</f>
        <v>74.072823093750003</v>
      </c>
      <c r="AG169" s="14">
        <f>'Revenue and OCF'!Z51</f>
        <v>79.007983234298194</v>
      </c>
      <c r="AH169" s="14">
        <f>'Revenue and OCF'!AA51</f>
        <v>76.827994380694065</v>
      </c>
      <c r="AI169" s="14">
        <f>'Revenue and OCF'!AB51</f>
        <v>90.711904014843327</v>
      </c>
      <c r="AJ169" s="14">
        <f>'Revenue and OCF'!AC51</f>
        <v>127.40078529513147</v>
      </c>
      <c r="AK169" s="14">
        <f>'Revenue and OCF'!AD51</f>
        <v>145.01701141549236</v>
      </c>
      <c r="AL169" s="14">
        <f>'Revenue and OCF'!AG51</f>
        <v>153.03384049581018</v>
      </c>
      <c r="AM169" s="14">
        <f>'Revenue and OCF'!AH51</f>
        <v>150.87016200877571</v>
      </c>
      <c r="AN169" s="14">
        <f>'Revenue and OCF'!AJ51</f>
        <v>152.73724969628859</v>
      </c>
      <c r="AO169" s="14">
        <f>'Revenue and OCF'!AK51</f>
        <v>141.77644012937105</v>
      </c>
      <c r="AP169" s="14">
        <f>'Revenue and OCF'!AL51</f>
        <v>146.23113821490807</v>
      </c>
      <c r="AQ169" s="14">
        <f>'Revenue and OCF'!AM51</f>
        <v>152.75150939896406</v>
      </c>
      <c r="AR169" s="14">
        <f>'Revenue and OCF'!AN51</f>
        <v>160.74339090851925</v>
      </c>
      <c r="AS169" s="14">
        <f>'Revenue and OCF'!AO51</f>
        <v>170.89112927272254</v>
      </c>
      <c r="AT169" s="14">
        <f>'Revenue and OCF'!AP51</f>
        <v>182.88530247219944</v>
      </c>
      <c r="AU169" s="14">
        <f>'Revenue and OCF'!AQ51</f>
        <v>196.41422205902307</v>
      </c>
      <c r="AV169" s="14">
        <f>'Revenue and OCF'!AR51</f>
        <v>211.46636357112288</v>
      </c>
      <c r="AW169" s="14">
        <f>'Revenue and OCF'!AS51</f>
        <v>228.09988114284135</v>
      </c>
      <c r="AX169" s="14">
        <f>'Revenue and OCF'!AT51</f>
        <v>246.81062271042254</v>
      </c>
      <c r="AY169" s="14">
        <f>'Revenue and OCF'!AU51</f>
        <v>267.63092460166274</v>
      </c>
      <c r="AZ169" s="354"/>
      <c r="BA169" s="354"/>
      <c r="BB169" s="354"/>
      <c r="BC169" s="354"/>
      <c r="BD169" s="354"/>
      <c r="BE169" s="69"/>
      <c r="BF169" s="14"/>
      <c r="BG169" s="14"/>
      <c r="BH169" s="14"/>
      <c r="BI169" s="14"/>
      <c r="BJ169" s="11"/>
      <c r="BK169" s="14"/>
      <c r="BL169" s="14"/>
      <c r="BM169" s="14"/>
      <c r="BN169" s="14"/>
      <c r="BO169" s="11"/>
      <c r="BP169" s="14"/>
      <c r="BQ169" s="14"/>
      <c r="BR169" s="14"/>
      <c r="BS169" s="14"/>
      <c r="BT169" s="13"/>
      <c r="BU169" s="14"/>
      <c r="BV169" s="14"/>
      <c r="BW169" s="14"/>
      <c r="BX169" s="14"/>
      <c r="BY169" s="95"/>
      <c r="BZ169" s="14"/>
      <c r="CA169" s="14"/>
      <c r="CB169" s="14"/>
      <c r="CC169" s="14"/>
      <c r="CD169" s="339"/>
      <c r="CE169" s="14"/>
      <c r="CF169" s="14"/>
      <c r="CG169" s="14"/>
      <c r="CH169" s="14"/>
      <c r="CI169" s="53"/>
      <c r="CJ169" s="14"/>
      <c r="CK169" s="14"/>
      <c r="CL169" s="14"/>
      <c r="CM169" s="14"/>
      <c r="CN169" s="49"/>
      <c r="CO169" s="14"/>
      <c r="CP169" s="14"/>
      <c r="CQ169" s="14"/>
      <c r="CR169" s="14"/>
      <c r="CS169" s="49"/>
      <c r="CT169" s="14"/>
      <c r="CU169" s="14"/>
      <c r="CV169" s="14"/>
      <c r="CW169" s="14"/>
      <c r="CX169" s="49"/>
      <c r="CY169" s="304"/>
      <c r="CZ169" s="304"/>
      <c r="DA169" s="304"/>
      <c r="DB169" s="304"/>
      <c r="DC169" s="11"/>
      <c r="DD169" s="14">
        <f>'Revenue and OCF'!CT51</f>
        <v>3.8</v>
      </c>
      <c r="DE169" s="14">
        <f>'Revenue and OCF'!CU51</f>
        <v>-10.7</v>
      </c>
      <c r="DF169" s="14">
        <f>'Revenue and OCF'!CV51</f>
        <v>-10.3</v>
      </c>
      <c r="DG169" s="14">
        <f>'Revenue and OCF'!CW51</f>
        <v>6.9</v>
      </c>
      <c r="DH169" s="357">
        <f>AD169-SUM(DD169:DG169)</f>
        <v>0</v>
      </c>
      <c r="DI169" s="14">
        <f>'Revenue and OCF'!CY51</f>
        <v>1.1000000000000001</v>
      </c>
      <c r="DJ169" s="14">
        <f>'Revenue and OCF'!CZ51</f>
        <v>-16.8</v>
      </c>
      <c r="DK169" s="14">
        <f>'Revenue and OCF'!DA51</f>
        <v>3.3</v>
      </c>
      <c r="DL169" s="14">
        <f>'Revenue and OCF'!DB51</f>
        <v>54.3</v>
      </c>
      <c r="DM169" s="357">
        <f>AE169-SUM(DI169:DL169)</f>
        <v>0</v>
      </c>
      <c r="DN169" s="14">
        <f>'Revenue and OCF'!DD51</f>
        <v>8.1999999999999993</v>
      </c>
      <c r="DO169" s="14">
        <f>'Revenue and OCF'!DE51</f>
        <v>5.7</v>
      </c>
      <c r="DP169" s="14">
        <f>'Revenue and OCF'!DF51</f>
        <v>4.0999999999999996</v>
      </c>
      <c r="DQ169" s="14">
        <f>'Revenue and OCF'!DG51</f>
        <v>56.072823093750003</v>
      </c>
      <c r="DR169" s="11"/>
      <c r="DS169" s="14">
        <f>Drivers!BQ63</f>
        <v>9.9447239246400017</v>
      </c>
      <c r="DT169" s="14">
        <f>Drivers!BR63</f>
        <v>6.007654094152727</v>
      </c>
      <c r="DU169" s="14">
        <f>Drivers!BS63</f>
        <v>6.1180741665979568</v>
      </c>
      <c r="DV169" s="14">
        <f>Drivers!BT63</f>
        <v>56.937531048907509</v>
      </c>
      <c r="DW169" s="538">
        <f>AG169-SUM(DS169:DV169)</f>
        <v>0</v>
      </c>
      <c r="DX169" s="862"/>
      <c r="DY169" s="862"/>
      <c r="DZ169" s="862"/>
      <c r="EA169" s="862"/>
      <c r="EB169" s="862"/>
      <c r="EH169" s="1048"/>
      <c r="EI169" s="1048"/>
      <c r="EJ169" s="1048"/>
      <c r="EK169" s="1048"/>
      <c r="EM169" s="1048"/>
      <c r="FL169" s="1048"/>
    </row>
    <row r="170" spans="1:168">
      <c r="A170" s="397" t="s">
        <v>690</v>
      </c>
      <c r="B170" s="11"/>
      <c r="C170" s="11"/>
      <c r="D170" s="11"/>
      <c r="E170" s="11"/>
      <c r="F170" s="11"/>
      <c r="G170" s="11"/>
      <c r="H170" s="11"/>
      <c r="I170" s="88"/>
      <c r="J170" s="11"/>
      <c r="K170" s="88"/>
      <c r="L170" s="11"/>
      <c r="M170" s="88"/>
      <c r="N170" s="14"/>
      <c r="O170" s="11"/>
      <c r="P170" s="14"/>
      <c r="Q170" s="398"/>
      <c r="R170" s="14"/>
      <c r="S170" s="11"/>
      <c r="T170" s="14"/>
      <c r="U170" s="14"/>
      <c r="V170" s="14"/>
      <c r="W170" s="14"/>
      <c r="X170" s="14"/>
      <c r="Y170" s="14"/>
      <c r="Z170" s="14"/>
      <c r="AA170" s="14"/>
      <c r="AB170" s="14"/>
      <c r="AC170" s="14"/>
      <c r="AD170" s="14"/>
      <c r="AE170" s="242">
        <f t="shared" ref="AE170:AQ170" si="246">AE169/AE167</f>
        <v>9.8895626169812512E-2</v>
      </c>
      <c r="AF170" s="242">
        <f t="shared" si="246"/>
        <v>0.13693797256117957</v>
      </c>
      <c r="AG170" s="242">
        <f t="shared" si="246"/>
        <v>0.13968553561944436</v>
      </c>
      <c r="AH170" s="242">
        <f t="shared" si="246"/>
        <v>0.1385481205552562</v>
      </c>
      <c r="AI170" s="242">
        <f t="shared" si="246"/>
        <v>0.15557859171210237</v>
      </c>
      <c r="AJ170" s="242">
        <f t="shared" si="246"/>
        <v>0.19133901009206894</v>
      </c>
      <c r="AK170" s="242">
        <f t="shared" si="246"/>
        <v>0.20801182407415142</v>
      </c>
      <c r="AL170" s="242">
        <f t="shared" si="246"/>
        <v>0.20621523200506459</v>
      </c>
      <c r="AM170" s="242">
        <f t="shared" si="246"/>
        <v>0.1967757704309066</v>
      </c>
      <c r="AN170" s="242">
        <f t="shared" si="246"/>
        <v>0.1806691883089668</v>
      </c>
      <c r="AO170" s="242">
        <f t="shared" si="246"/>
        <v>0.1484663491035664</v>
      </c>
      <c r="AP170" s="242">
        <f t="shared" si="246"/>
        <v>0.14107086522451834</v>
      </c>
      <c r="AQ170" s="242">
        <f t="shared" si="246"/>
        <v>0.139528772682388</v>
      </c>
      <c r="AR170" s="242">
        <f t="shared" ref="AR170:AW170" si="247">AR169/AR167</f>
        <v>0.13995409620613888</v>
      </c>
      <c r="AS170" s="242">
        <f t="shared" si="247"/>
        <v>0.14166329655806564</v>
      </c>
      <c r="AT170" s="242">
        <f t="shared" si="247"/>
        <v>0.14442692279418048</v>
      </c>
      <c r="AU170" s="242">
        <f t="shared" si="247"/>
        <v>0.1481949836399617</v>
      </c>
      <c r="AV170" s="242">
        <f t="shared" si="247"/>
        <v>0.15284626766115555</v>
      </c>
      <c r="AW170" s="242">
        <f t="shared" si="247"/>
        <v>0.15829018886302268</v>
      </c>
      <c r="AX170" s="242">
        <f>AX169/AX167</f>
        <v>0.16463479070403531</v>
      </c>
      <c r="AY170" s="242">
        <f>AY169/AY167</f>
        <v>0.17178800555103177</v>
      </c>
      <c r="AZ170" s="421"/>
      <c r="BA170" s="421"/>
      <c r="BB170" s="421"/>
      <c r="BC170" s="421"/>
      <c r="BD170" s="421"/>
      <c r="BE170" s="69"/>
      <c r="BF170" s="14"/>
      <c r="BG170" s="14"/>
      <c r="BH170" s="14"/>
      <c r="BI170" s="14"/>
      <c r="BJ170" s="11"/>
      <c r="BK170" s="14"/>
      <c r="BL170" s="14"/>
      <c r="BM170" s="14"/>
      <c r="BN170" s="14"/>
      <c r="BO170" s="11"/>
      <c r="BP170" s="14"/>
      <c r="BQ170" s="14"/>
      <c r="BR170" s="14"/>
      <c r="BS170" s="14"/>
      <c r="BT170" s="13"/>
      <c r="BU170" s="14"/>
      <c r="BV170" s="14"/>
      <c r="BW170" s="14"/>
      <c r="BX170" s="14"/>
      <c r="BY170" s="95"/>
      <c r="BZ170" s="14"/>
      <c r="CA170" s="14"/>
      <c r="CB170" s="14"/>
      <c r="CC170" s="14"/>
      <c r="CD170" s="339"/>
      <c r="CE170" s="14"/>
      <c r="CF170" s="14"/>
      <c r="CG170" s="14"/>
      <c r="CH170" s="14"/>
      <c r="CI170" s="53"/>
      <c r="CJ170" s="14"/>
      <c r="CK170" s="14"/>
      <c r="CL170" s="14"/>
      <c r="CM170" s="14"/>
      <c r="CN170" s="49"/>
      <c r="CO170" s="14"/>
      <c r="CP170" s="14"/>
      <c r="CQ170" s="14"/>
      <c r="CR170" s="14"/>
      <c r="CS170" s="49"/>
      <c r="CT170" s="14"/>
      <c r="CU170" s="14"/>
      <c r="CV170" s="14"/>
      <c r="CW170" s="14"/>
      <c r="CX170" s="49"/>
      <c r="CY170" s="304"/>
      <c r="CZ170" s="304"/>
      <c r="DA170" s="304"/>
      <c r="DB170" s="304"/>
      <c r="DC170" s="11"/>
      <c r="DD170" s="14"/>
      <c r="DE170" s="14"/>
      <c r="DF170" s="14"/>
      <c r="DG170" s="14"/>
      <c r="DH170" s="304"/>
      <c r="DI170" s="304"/>
      <c r="DJ170" s="304"/>
      <c r="DK170" s="242">
        <f>DK169/DK167</f>
        <v>2.3028611304954639E-2</v>
      </c>
      <c r="DL170" s="242">
        <f>DL169/DL167</f>
        <v>0.28994174466971734</v>
      </c>
      <c r="DM170" s="304"/>
      <c r="DN170" s="242">
        <f>DN169/DN167</f>
        <v>6.1057334326135505E-2</v>
      </c>
      <c r="DO170" s="242">
        <f>DO169/DO167</f>
        <v>4.4846577498033051E-2</v>
      </c>
      <c r="DP170" s="242">
        <f>DP169/DP167</f>
        <v>3.3581783929887782E-2</v>
      </c>
      <c r="DQ170" s="242">
        <f>DQ169/DQ167</f>
        <v>0.35617069067813378</v>
      </c>
      <c r="DR170" s="11"/>
      <c r="DS170" s="242">
        <f>DS169/DS167</f>
        <v>7.1415657527546236E-2</v>
      </c>
      <c r="DT170" s="242">
        <f>DT169/DT167</f>
        <v>4.553009779767872E-2</v>
      </c>
      <c r="DU170" s="242">
        <f>DU169/DU167</f>
        <v>4.7564869417815785E-2</v>
      </c>
      <c r="DV170" s="242">
        <f>DV169/DV167</f>
        <v>0.34343801498026005</v>
      </c>
      <c r="DX170" s="862"/>
      <c r="DY170" s="862"/>
      <c r="DZ170" s="862"/>
      <c r="EA170" s="862"/>
      <c r="EB170" s="862"/>
      <c r="EH170" s="1048"/>
      <c r="EI170" s="1048"/>
      <c r="EJ170" s="1048"/>
      <c r="EK170" s="1048"/>
      <c r="EM170" s="1048"/>
      <c r="FL170" s="1048"/>
    </row>
    <row r="171" spans="1:168">
      <c r="A171" s="397" t="s">
        <v>676</v>
      </c>
      <c r="B171" s="11"/>
      <c r="C171" s="11"/>
      <c r="D171" s="11"/>
      <c r="E171" s="11"/>
      <c r="F171" s="11"/>
      <c r="G171" s="11"/>
      <c r="H171" s="11"/>
      <c r="I171" s="88"/>
      <c r="J171" s="11"/>
      <c r="K171" s="88"/>
      <c r="L171" s="11"/>
      <c r="M171" s="88"/>
      <c r="N171" s="14"/>
      <c r="O171" s="11"/>
      <c r="P171" s="14"/>
      <c r="Q171" s="398"/>
      <c r="R171" s="14"/>
      <c r="S171" s="11"/>
      <c r="T171" s="14"/>
      <c r="U171" s="14"/>
      <c r="V171" s="14"/>
      <c r="W171" s="14"/>
      <c r="X171" s="14"/>
      <c r="Y171" s="14"/>
      <c r="Z171" s="14"/>
      <c r="AA171" s="14"/>
      <c r="AB171" s="14"/>
      <c r="AC171" s="14"/>
      <c r="AD171" s="895"/>
      <c r="AE171" s="895"/>
      <c r="AF171" s="895"/>
      <c r="AG171" s="895">
        <f t="shared" ref="AG171:AQ171" si="248">AG170/AF170-1</f>
        <v>2.0064289012583947E-2</v>
      </c>
      <c r="AH171" s="895">
        <f t="shared" si="248"/>
        <v>-8.1426832001195715E-3</v>
      </c>
      <c r="AI171" s="895">
        <f t="shared" si="248"/>
        <v>0.12292098289456055</v>
      </c>
      <c r="AJ171" s="895">
        <f t="shared" si="248"/>
        <v>0.22985436483536947</v>
      </c>
      <c r="AK171" s="895">
        <f t="shared" si="248"/>
        <v>8.7137557438286217E-2</v>
      </c>
      <c r="AL171" s="895">
        <f t="shared" si="248"/>
        <v>-8.6369708889547647E-3</v>
      </c>
      <c r="AM171" s="895">
        <f t="shared" si="248"/>
        <v>-4.5774802774637635E-2</v>
      </c>
      <c r="AN171" s="895">
        <f t="shared" si="248"/>
        <v>-8.1852466320772255E-2</v>
      </c>
      <c r="AO171" s="895">
        <f t="shared" si="248"/>
        <v>-0.17824200964654546</v>
      </c>
      <c r="AP171" s="895">
        <f t="shared" si="248"/>
        <v>-4.9812526028299886E-2</v>
      </c>
      <c r="AQ171" s="895">
        <f t="shared" si="248"/>
        <v>-1.0931332558824614E-2</v>
      </c>
      <c r="AR171" s="895">
        <f t="shared" ref="AR171:AY171" si="249">AR170/AQ170-1</f>
        <v>3.0482854222408928E-3</v>
      </c>
      <c r="AS171" s="895">
        <f t="shared" si="249"/>
        <v>1.2212578254296114E-2</v>
      </c>
      <c r="AT171" s="895">
        <f t="shared" si="249"/>
        <v>1.9508413987684436E-2</v>
      </c>
      <c r="AU171" s="895">
        <f t="shared" si="249"/>
        <v>2.6089739869006312E-2</v>
      </c>
      <c r="AV171" s="895">
        <f t="shared" si="249"/>
        <v>3.1386244709160405E-2</v>
      </c>
      <c r="AW171" s="895">
        <f t="shared" si="249"/>
        <v>3.5616971779355078E-2</v>
      </c>
      <c r="AX171" s="895">
        <f t="shared" si="249"/>
        <v>4.008209154708231E-2</v>
      </c>
      <c r="AY171" s="895">
        <f t="shared" si="249"/>
        <v>4.3448986793173106E-2</v>
      </c>
      <c r="AZ171" s="421"/>
      <c r="BA171" s="421"/>
      <c r="BB171" s="421"/>
      <c r="BC171" s="421"/>
      <c r="BD171" s="421"/>
      <c r="BE171" s="69"/>
      <c r="BF171" s="14"/>
      <c r="BG171" s="14"/>
      <c r="BH171" s="14"/>
      <c r="BI171" s="14"/>
      <c r="BJ171" s="11"/>
      <c r="BK171" s="14"/>
      <c r="BL171" s="14"/>
      <c r="BM171" s="14"/>
      <c r="BN171" s="14"/>
      <c r="BO171" s="11"/>
      <c r="BP171" s="14"/>
      <c r="BQ171" s="14"/>
      <c r="BR171" s="14"/>
      <c r="BS171" s="14"/>
      <c r="BT171" s="13"/>
      <c r="BU171" s="14"/>
      <c r="BV171" s="14"/>
      <c r="BW171" s="14"/>
      <c r="BX171" s="14"/>
      <c r="BY171" s="95"/>
      <c r="BZ171" s="14"/>
      <c r="CA171" s="14"/>
      <c r="CB171" s="14"/>
      <c r="CC171" s="14"/>
      <c r="CD171" s="339"/>
      <c r="CE171" s="14"/>
      <c r="CF171" s="14"/>
      <c r="CG171" s="14"/>
      <c r="CH171" s="14"/>
      <c r="CI171" s="53"/>
      <c r="CJ171" s="14"/>
      <c r="CK171" s="14"/>
      <c r="CL171" s="14"/>
      <c r="CM171" s="14"/>
      <c r="CN171" s="49"/>
      <c r="CO171" s="14"/>
      <c r="CP171" s="14"/>
      <c r="CQ171" s="14"/>
      <c r="CR171" s="14"/>
      <c r="CS171" s="49"/>
      <c r="CT171" s="14"/>
      <c r="CU171" s="14"/>
      <c r="CV171" s="14"/>
      <c r="CW171" s="14"/>
      <c r="CX171" s="49"/>
      <c r="CY171" s="304"/>
      <c r="CZ171" s="304"/>
      <c r="DA171" s="304"/>
      <c r="DB171" s="304"/>
      <c r="DC171" s="11"/>
      <c r="DD171" s="317"/>
      <c r="DE171" s="317"/>
      <c r="DF171" s="317"/>
      <c r="DG171" s="317"/>
      <c r="DH171" s="304"/>
      <c r="DI171" s="1083"/>
      <c r="DJ171" s="1083"/>
      <c r="DK171" s="895"/>
      <c r="DL171" s="895"/>
      <c r="DM171" s="304"/>
      <c r="DN171" s="895"/>
      <c r="DO171" s="895"/>
      <c r="DP171" s="895"/>
      <c r="DQ171" s="895"/>
      <c r="DR171" s="11"/>
      <c r="DS171" s="895"/>
      <c r="DT171" s="895"/>
      <c r="DU171" s="895"/>
      <c r="DV171" s="895"/>
      <c r="DX171" s="862"/>
      <c r="DY171" s="862"/>
      <c r="DZ171" s="862"/>
      <c r="EA171" s="862"/>
      <c r="EB171" s="862"/>
      <c r="EH171" s="1048"/>
      <c r="EI171" s="1048"/>
      <c r="EJ171" s="1048"/>
      <c r="EK171" s="1048"/>
      <c r="EM171" s="1048"/>
      <c r="FL171" s="1048"/>
    </row>
    <row r="172" spans="1:168">
      <c r="A172" s="397" t="s">
        <v>681</v>
      </c>
      <c r="B172" s="11"/>
      <c r="C172" s="11"/>
      <c r="D172" s="11"/>
      <c r="E172" s="11"/>
      <c r="F172" s="11"/>
      <c r="G172" s="11"/>
      <c r="H172" s="11"/>
      <c r="I172" s="88"/>
      <c r="J172" s="11"/>
      <c r="K172" s="88"/>
      <c r="L172" s="11"/>
      <c r="M172" s="88"/>
      <c r="N172" s="14"/>
      <c r="O172" s="11"/>
      <c r="P172" s="14"/>
      <c r="Q172" s="398"/>
      <c r="R172" s="14"/>
      <c r="S172" s="11"/>
      <c r="T172" s="14"/>
      <c r="U172" s="14"/>
      <c r="V172" s="14"/>
      <c r="W172" s="14"/>
      <c r="X172" s="14"/>
      <c r="Y172" s="14"/>
      <c r="Z172" s="14"/>
      <c r="AA172" s="14"/>
      <c r="AB172" s="14"/>
      <c r="AC172" s="14"/>
      <c r="AD172" s="14">
        <f>'Revenue and OCF'!T53</f>
        <v>0</v>
      </c>
      <c r="AE172" s="14">
        <f>SUM(DK172:DL172)</f>
        <v>14.7</v>
      </c>
      <c r="AF172" s="14">
        <f>'Revenue and OCF'!Y53</f>
        <v>27</v>
      </c>
      <c r="AG172" s="14">
        <f>'Revenue and OCF'!Z53</f>
        <v>27</v>
      </c>
      <c r="AH172" s="14">
        <f>'Revenue and OCF'!AA53</f>
        <v>26.470557162830264</v>
      </c>
      <c r="AI172" s="14">
        <f>'Revenue and OCF'!AB53</f>
        <v>20</v>
      </c>
      <c r="AJ172" s="14">
        <f>'Revenue and OCF'!AC53</f>
        <v>20.2</v>
      </c>
      <c r="AK172" s="14">
        <f>'Revenue and OCF'!AD53</f>
        <v>20.410086500000002</v>
      </c>
      <c r="AL172" s="14">
        <f>'Revenue and OCF'!AG53</f>
        <v>21.140904315403915</v>
      </c>
      <c r="AM172" s="14">
        <f>'Revenue and OCF'!AH53</f>
        <v>21.253545762131768</v>
      </c>
      <c r="AN172" s="14">
        <f>'Revenue and OCF'!AJ53</f>
        <v>22.706869320566085</v>
      </c>
      <c r="AO172" s="14">
        <f>'Revenue and OCF'!AK53</f>
        <v>24.773458621713129</v>
      </c>
      <c r="AP172" s="14">
        <f>'Revenue and OCF'!AL53</f>
        <v>24.962802422791533</v>
      </c>
      <c r="AQ172" s="14">
        <f>'Revenue and OCF'!AM53</f>
        <v>25.455455172769565</v>
      </c>
      <c r="AR172" s="14">
        <f>'Revenue and OCF'!AN53</f>
        <v>25.804106885633409</v>
      </c>
      <c r="AS172" s="14">
        <f>'Revenue and OCF'!AO53</f>
        <v>26.128988639678376</v>
      </c>
      <c r="AT172" s="14">
        <f>'Revenue and OCF'!AP53</f>
        <v>26.228753536717882</v>
      </c>
      <c r="AU172" s="14">
        <f>'Revenue and OCF'!AQ53</f>
        <v>26.329017258242587</v>
      </c>
      <c r="AV172" s="14">
        <f>'Revenue and OCF'!AR53</f>
        <v>26.42978229837491</v>
      </c>
      <c r="AW172" s="14">
        <f>'Revenue and OCF'!AS53</f>
        <v>26.513549912232712</v>
      </c>
      <c r="AX172" s="14">
        <f>'Revenue and OCF'!AT53</f>
        <v>26.597736364159793</v>
      </c>
      <c r="AY172" s="14">
        <f>'Revenue and OCF'!AU53</f>
        <v>26.682343748346511</v>
      </c>
      <c r="AZ172" s="354"/>
      <c r="BA172" s="354"/>
      <c r="BB172" s="354"/>
      <c r="BC172" s="354"/>
      <c r="BD172" s="354"/>
      <c r="BE172" s="69"/>
      <c r="BF172" s="14"/>
      <c r="BG172" s="14"/>
      <c r="BH172" s="14"/>
      <c r="BI172" s="14"/>
      <c r="BJ172" s="11"/>
      <c r="BK172" s="14"/>
      <c r="BL172" s="14"/>
      <c r="BM172" s="14"/>
      <c r="BN172" s="14"/>
      <c r="BO172" s="11"/>
      <c r="BP172" s="14"/>
      <c r="BQ172" s="14"/>
      <c r="BR172" s="14"/>
      <c r="BS172" s="14"/>
      <c r="BT172" s="13"/>
      <c r="BU172" s="14"/>
      <c r="BV172" s="14"/>
      <c r="BW172" s="14"/>
      <c r="BX172" s="14"/>
      <c r="BY172" s="95"/>
      <c r="BZ172" s="14"/>
      <c r="CA172" s="14"/>
      <c r="CB172" s="14"/>
      <c r="CC172" s="14"/>
      <c r="CD172" s="339"/>
      <c r="CE172" s="14"/>
      <c r="CF172" s="14"/>
      <c r="CG172" s="14"/>
      <c r="CH172" s="14"/>
      <c r="CI172" s="53"/>
      <c r="CJ172" s="14"/>
      <c r="CK172" s="14"/>
      <c r="CL172" s="14"/>
      <c r="CM172" s="14"/>
      <c r="CN172" s="49"/>
      <c r="CO172" s="14"/>
      <c r="CP172" s="14"/>
      <c r="CQ172" s="14"/>
      <c r="CR172" s="14"/>
      <c r="CS172" s="49"/>
      <c r="CT172" s="14"/>
      <c r="CU172" s="14"/>
      <c r="CV172" s="14"/>
      <c r="CW172" s="14"/>
      <c r="CX172" s="49"/>
      <c r="CY172" s="304"/>
      <c r="CZ172" s="304"/>
      <c r="DA172" s="304"/>
      <c r="DB172" s="304"/>
      <c r="DC172" s="11"/>
      <c r="DD172" s="14"/>
      <c r="DE172" s="14"/>
      <c r="DF172" s="14"/>
      <c r="DG172" s="14"/>
      <c r="DH172" s="304"/>
      <c r="DI172" s="304"/>
      <c r="DJ172" s="304"/>
      <c r="DK172" s="14">
        <f>'Revenue and OCF'!DA53</f>
        <v>4.6999999999999993</v>
      </c>
      <c r="DL172" s="14">
        <f>'Revenue and OCF'!DB53</f>
        <v>10</v>
      </c>
      <c r="DM172" s="357">
        <f>AE172-SUM(DI172:DL172)</f>
        <v>0</v>
      </c>
      <c r="DN172" s="14">
        <f>'Revenue and OCF'!DD53</f>
        <v>6.8000000000000007</v>
      </c>
      <c r="DO172" s="14">
        <f>'Revenue and OCF'!DE53</f>
        <v>6.8000000000000007</v>
      </c>
      <c r="DP172" s="14">
        <f>'Revenue and OCF'!DF53</f>
        <v>6.6999999999999993</v>
      </c>
      <c r="DQ172" s="14">
        <f>'Revenue and OCF'!DG53</f>
        <v>6.6999999999999993</v>
      </c>
      <c r="DR172" s="11"/>
      <c r="DS172" s="14">
        <f>DS197</f>
        <v>6.75</v>
      </c>
      <c r="DT172" s="14">
        <f>DT197</f>
        <v>6.75</v>
      </c>
      <c r="DU172" s="14">
        <f>DU197</f>
        <v>6.75</v>
      </c>
      <c r="DV172" s="14">
        <f>DV197</f>
        <v>6.75</v>
      </c>
      <c r="DW172" s="538">
        <f>AG172-SUM(DS172:DV172)</f>
        <v>0</v>
      </c>
      <c r="DX172" s="862"/>
      <c r="DY172" s="862"/>
      <c r="DZ172" s="862"/>
      <c r="EA172" s="862"/>
      <c r="EB172" s="862"/>
      <c r="EH172" s="1048"/>
      <c r="EI172" s="1048"/>
      <c r="EJ172" s="1048"/>
      <c r="EK172" s="1048"/>
      <c r="EM172" s="1048"/>
      <c r="FL172" s="1048"/>
    </row>
    <row r="173" spans="1:168">
      <c r="A173" s="375" t="s">
        <v>682</v>
      </c>
      <c r="B173" s="11"/>
      <c r="C173" s="11"/>
      <c r="D173" s="11"/>
      <c r="E173" s="11"/>
      <c r="F173" s="11"/>
      <c r="G173" s="11"/>
      <c r="H173" s="11"/>
      <c r="I173" s="88"/>
      <c r="J173" s="11"/>
      <c r="K173" s="88"/>
      <c r="L173" s="11"/>
      <c r="M173" s="88"/>
      <c r="N173" s="14"/>
      <c r="O173" s="11"/>
      <c r="P173" s="14"/>
      <c r="Q173" s="398"/>
      <c r="R173" s="14"/>
      <c r="S173" s="11"/>
      <c r="T173" s="14"/>
      <c r="U173" s="14"/>
      <c r="V173" s="14"/>
      <c r="W173" s="14"/>
      <c r="X173" s="14"/>
      <c r="Y173" s="14"/>
      <c r="Z173" s="14"/>
      <c r="AA173" s="14"/>
      <c r="AB173" s="14"/>
      <c r="AC173" s="14"/>
      <c r="AD173" s="242">
        <f t="shared" ref="AD173:AQ173" si="250">AD172/AD167</f>
        <v>0</v>
      </c>
      <c r="AE173" s="242">
        <f t="shared" si="250"/>
        <v>3.4696078871032078E-2</v>
      </c>
      <c r="AF173" s="242">
        <f t="shared" si="250"/>
        <v>4.9914733970276008E-2</v>
      </c>
      <c r="AG173" s="242">
        <f t="shared" si="250"/>
        <v>4.7735802223182758E-2</v>
      </c>
      <c r="AH173" s="242">
        <f t="shared" si="250"/>
        <v>4.7735802223182758E-2</v>
      </c>
      <c r="AI173" s="242">
        <f t="shared" si="250"/>
        <v>3.4301692462908685E-2</v>
      </c>
      <c r="AJ173" s="242">
        <f t="shared" si="250"/>
        <v>3.0337709417616064E-2</v>
      </c>
      <c r="AK173" s="242">
        <f t="shared" si="250"/>
        <v>2.9276146852952292E-2</v>
      </c>
      <c r="AL173" s="242">
        <f t="shared" si="250"/>
        <v>2.848766308205699E-2</v>
      </c>
      <c r="AM173" s="242">
        <f t="shared" si="250"/>
        <v>2.7720410623597945E-2</v>
      </c>
      <c r="AN173" s="242">
        <f t="shared" si="250"/>
        <v>2.6859405006584597E-2</v>
      </c>
      <c r="AO173" s="242">
        <f t="shared" si="250"/>
        <v>2.594242705542486E-2</v>
      </c>
      <c r="AP173" s="242">
        <f t="shared" si="250"/>
        <v>2.4081903342887949E-2</v>
      </c>
      <c r="AQ173" s="242">
        <f t="shared" si="250"/>
        <v>2.325193664077908E-2</v>
      </c>
      <c r="AR173" s="242">
        <f t="shared" ref="AR173:AW173" si="251">AR172/AR167</f>
        <v>2.2466805242653549E-2</v>
      </c>
      <c r="AS173" s="242">
        <f t="shared" si="251"/>
        <v>2.1660098345525524E-2</v>
      </c>
      <c r="AT173" s="242">
        <f t="shared" si="251"/>
        <v>2.0713190785853226E-2</v>
      </c>
      <c r="AU173" s="242">
        <f t="shared" si="251"/>
        <v>1.9865304258207015E-2</v>
      </c>
      <c r="AV173" s="242">
        <f t="shared" si="251"/>
        <v>1.9103244181171181E-2</v>
      </c>
      <c r="AW173" s="242">
        <f t="shared" si="251"/>
        <v>1.8399110082869097E-2</v>
      </c>
      <c r="AX173" s="242">
        <f>AX172/AX167</f>
        <v>1.7741994697903416E-2</v>
      </c>
      <c r="AY173" s="242">
        <f>AY172/AY167</f>
        <v>1.7126969249827158E-2</v>
      </c>
      <c r="AZ173" s="421"/>
      <c r="BA173" s="421"/>
      <c r="BB173" s="421"/>
      <c r="BC173" s="421"/>
      <c r="BD173" s="421"/>
      <c r="BE173" s="69"/>
      <c r="BF173" s="14"/>
      <c r="BG173" s="14"/>
      <c r="BH173" s="14"/>
      <c r="BI173" s="14"/>
      <c r="BJ173" s="11"/>
      <c r="BK173" s="14"/>
      <c r="BL173" s="14"/>
      <c r="BM173" s="14"/>
      <c r="BN173" s="14"/>
      <c r="BO173" s="11"/>
      <c r="BP173" s="14"/>
      <c r="BQ173" s="14"/>
      <c r="BR173" s="14"/>
      <c r="BS173" s="14"/>
      <c r="BT173" s="13"/>
      <c r="BU173" s="14"/>
      <c r="BV173" s="14"/>
      <c r="BW173" s="14"/>
      <c r="BX173" s="14"/>
      <c r="BY173" s="95"/>
      <c r="BZ173" s="14"/>
      <c r="CA173" s="14"/>
      <c r="CB173" s="14"/>
      <c r="CC173" s="14"/>
      <c r="CD173" s="339"/>
      <c r="CE173" s="14"/>
      <c r="CF173" s="14"/>
      <c r="CG173" s="14"/>
      <c r="CH173" s="14"/>
      <c r="CI173" s="53"/>
      <c r="CJ173" s="14"/>
      <c r="CK173" s="14"/>
      <c r="CL173" s="14"/>
      <c r="CM173" s="14"/>
      <c r="CN173" s="49"/>
      <c r="CO173" s="14"/>
      <c r="CP173" s="14"/>
      <c r="CQ173" s="14"/>
      <c r="CR173" s="14"/>
      <c r="CS173" s="49"/>
      <c r="CT173" s="14"/>
      <c r="CU173" s="14"/>
      <c r="CV173" s="14"/>
      <c r="CW173" s="14"/>
      <c r="CX173" s="49"/>
      <c r="CY173" s="304"/>
      <c r="CZ173" s="304"/>
      <c r="DA173" s="304"/>
      <c r="DB173" s="304"/>
      <c r="DC173" s="11"/>
      <c r="DD173" s="14"/>
      <c r="DE173" s="14"/>
      <c r="DF173" s="14"/>
      <c r="DG173" s="14"/>
      <c r="DH173" s="304"/>
      <c r="DI173" s="304"/>
      <c r="DJ173" s="304"/>
      <c r="DK173" s="242">
        <f>DK172/DK167</f>
        <v>3.2798325191905085E-2</v>
      </c>
      <c r="DL173" s="242">
        <f>DL172/DL167</f>
        <v>5.3396269736596204E-2</v>
      </c>
      <c r="DM173" s="304"/>
      <c r="DN173" s="242">
        <f>DN172/DN167</f>
        <v>5.0632911392405063E-2</v>
      </c>
      <c r="DO173" s="242">
        <f>DO172/DO167</f>
        <v>5.3501180173092064E-2</v>
      </c>
      <c r="DP173" s="242">
        <f>DP172/DP167</f>
        <v>5.4877549348841009E-2</v>
      </c>
      <c r="DQ173" s="242">
        <f>DQ172/DQ167</f>
        <v>4.255793619582323E-2</v>
      </c>
      <c r="DR173" s="11"/>
      <c r="DS173" s="242">
        <f>DS172/DS167</f>
        <v>4.8473511377882465E-2</v>
      </c>
      <c r="DT173" s="242">
        <f>DT172/DT167</f>
        <v>5.1156101086687909E-2</v>
      </c>
      <c r="DU173" s="242">
        <f>DU172/DU167</f>
        <v>5.2477766667674799E-2</v>
      </c>
      <c r="DV173" s="242">
        <f>DV172/DV167</f>
        <v>4.0714912614062779E-2</v>
      </c>
      <c r="DX173" s="862"/>
      <c r="DY173" s="862"/>
      <c r="DZ173" s="862"/>
      <c r="EA173" s="862"/>
      <c r="EB173" s="862"/>
      <c r="EH173" s="1048"/>
      <c r="EI173" s="1048"/>
      <c r="EJ173" s="1048"/>
      <c r="EK173" s="1048"/>
      <c r="EM173" s="1048"/>
      <c r="FL173" s="1048"/>
    </row>
    <row r="174" spans="1:168">
      <c r="A174" s="397" t="s">
        <v>676</v>
      </c>
      <c r="B174" s="11"/>
      <c r="C174" s="11"/>
      <c r="D174" s="11"/>
      <c r="E174" s="11"/>
      <c r="F174" s="11"/>
      <c r="G174" s="11"/>
      <c r="H174" s="11"/>
      <c r="I174" s="88"/>
      <c r="J174" s="11"/>
      <c r="K174" s="88"/>
      <c r="L174" s="11"/>
      <c r="M174" s="88"/>
      <c r="N174" s="14"/>
      <c r="O174" s="11"/>
      <c r="P174" s="14"/>
      <c r="Q174" s="398"/>
      <c r="R174" s="14"/>
      <c r="S174" s="11"/>
      <c r="T174" s="14"/>
      <c r="U174" s="14"/>
      <c r="V174" s="14"/>
      <c r="W174" s="14"/>
      <c r="X174" s="14"/>
      <c r="Y174" s="14"/>
      <c r="Z174" s="14"/>
      <c r="AA174" s="14"/>
      <c r="AB174" s="14"/>
      <c r="AC174" s="14"/>
      <c r="AD174" s="421"/>
      <c r="AE174" s="421"/>
      <c r="AF174" s="421"/>
      <c r="AG174" s="421">
        <f t="shared" ref="AG174:AQ174" si="252">AG173/AF173-1</f>
        <v>-4.3653077433825294E-2</v>
      </c>
      <c r="AH174" s="421">
        <f t="shared" si="252"/>
        <v>0</v>
      </c>
      <c r="AI174" s="421">
        <f t="shared" si="252"/>
        <v>-0.28142629084695336</v>
      </c>
      <c r="AJ174" s="421">
        <f t="shared" si="252"/>
        <v>-0.11556231662851557</v>
      </c>
      <c r="AK174" s="421">
        <f t="shared" si="252"/>
        <v>-3.4991519961205753E-2</v>
      </c>
      <c r="AL174" s="421">
        <f t="shared" si="252"/>
        <v>-2.6932634777919517E-2</v>
      </c>
      <c r="AM174" s="421">
        <f t="shared" si="252"/>
        <v>-2.6932797409496834E-2</v>
      </c>
      <c r="AN174" s="421">
        <f t="shared" si="252"/>
        <v>-3.1060348589511455E-2</v>
      </c>
      <c r="AO174" s="421">
        <f t="shared" si="252"/>
        <v>-3.4139920483530428E-2</v>
      </c>
      <c r="AP174" s="421">
        <f t="shared" si="252"/>
        <v>-7.1717411349446314E-2</v>
      </c>
      <c r="AQ174" s="421">
        <f t="shared" si="252"/>
        <v>-3.4464331589221353E-2</v>
      </c>
      <c r="AR174" s="421">
        <f t="shared" ref="AR174:AY174" si="253">AR173/AQ173-1</f>
        <v>-3.3766279783705055E-2</v>
      </c>
      <c r="AS174" s="421">
        <f t="shared" si="253"/>
        <v>-3.5906613709210444E-2</v>
      </c>
      <c r="AT174" s="421">
        <f t="shared" si="253"/>
        <v>-4.3716678685713717E-2</v>
      </c>
      <c r="AU174" s="421">
        <f t="shared" si="253"/>
        <v>-4.0934616805890833E-2</v>
      </c>
      <c r="AV174" s="421">
        <f t="shared" si="253"/>
        <v>-3.8361359440090226E-2</v>
      </c>
      <c r="AW174" s="421">
        <f t="shared" si="253"/>
        <v>-3.6859398938956289E-2</v>
      </c>
      <c r="AX174" s="421">
        <f t="shared" si="253"/>
        <v>-3.5714519996132954E-2</v>
      </c>
      <c r="AY174" s="421">
        <f t="shared" si="253"/>
        <v>-3.4664955014834686E-2</v>
      </c>
      <c r="AZ174" s="421"/>
      <c r="BA174" s="421"/>
      <c r="BB174" s="421"/>
      <c r="BC174" s="421"/>
      <c r="BD174" s="421"/>
      <c r="BE174" s="69"/>
      <c r="BF174" s="14"/>
      <c r="BG174" s="14"/>
      <c r="BH174" s="14"/>
      <c r="BI174" s="14"/>
      <c r="BJ174" s="11"/>
      <c r="BK174" s="14"/>
      <c r="BL174" s="14"/>
      <c r="BM174" s="14"/>
      <c r="BN174" s="14"/>
      <c r="BO174" s="11"/>
      <c r="BP174" s="14"/>
      <c r="BQ174" s="14"/>
      <c r="BR174" s="14"/>
      <c r="BS174" s="14"/>
      <c r="BT174" s="13"/>
      <c r="BU174" s="14"/>
      <c r="BV174" s="14"/>
      <c r="BW174" s="14"/>
      <c r="BX174" s="14"/>
      <c r="BY174" s="95"/>
      <c r="BZ174" s="14"/>
      <c r="CA174" s="14"/>
      <c r="CB174" s="14"/>
      <c r="CC174" s="14"/>
      <c r="CD174" s="339"/>
      <c r="CE174" s="14"/>
      <c r="CF174" s="14"/>
      <c r="CG174" s="14"/>
      <c r="CH174" s="14"/>
      <c r="CI174" s="53"/>
      <c r="CJ174" s="14"/>
      <c r="CK174" s="14"/>
      <c r="CL174" s="14"/>
      <c r="CM174" s="14"/>
      <c r="CN174" s="49"/>
      <c r="CO174" s="14"/>
      <c r="CP174" s="14"/>
      <c r="CQ174" s="14"/>
      <c r="CR174" s="14"/>
      <c r="CS174" s="49"/>
      <c r="CT174" s="14"/>
      <c r="CU174" s="14"/>
      <c r="CV174" s="14"/>
      <c r="CW174" s="14"/>
      <c r="CX174" s="49"/>
      <c r="CY174" s="304"/>
      <c r="CZ174" s="304"/>
      <c r="DA174" s="304"/>
      <c r="DB174" s="304"/>
      <c r="DC174" s="11"/>
      <c r="DD174" s="14"/>
      <c r="DE174" s="14"/>
      <c r="DF174" s="14"/>
      <c r="DG174" s="14"/>
      <c r="DH174" s="304"/>
      <c r="DI174" s="304"/>
      <c r="DJ174" s="304"/>
      <c r="DK174" s="421"/>
      <c r="DL174" s="421"/>
      <c r="DM174" s="304"/>
      <c r="DN174" s="11"/>
      <c r="DO174" s="11"/>
      <c r="DP174" s="11"/>
      <c r="DQ174" s="11"/>
      <c r="DR174" s="11"/>
      <c r="DX174" s="862"/>
      <c r="DY174" s="862"/>
      <c r="DZ174" s="862"/>
      <c r="EA174" s="862"/>
      <c r="EB174" s="862"/>
      <c r="EH174" s="1048"/>
      <c r="EI174" s="1048"/>
      <c r="EJ174" s="1048"/>
      <c r="EK174" s="1048"/>
      <c r="EM174" s="1048"/>
      <c r="FL174" s="1048"/>
    </row>
    <row r="175" spans="1:168">
      <c r="A175" s="397"/>
      <c r="B175" s="11"/>
      <c r="C175" s="11"/>
      <c r="D175" s="11"/>
      <c r="E175" s="11"/>
      <c r="F175" s="11"/>
      <c r="G175" s="11"/>
      <c r="H175" s="11"/>
      <c r="I175" s="88"/>
      <c r="J175" s="11"/>
      <c r="K175" s="88"/>
      <c r="L175" s="11"/>
      <c r="M175" s="88"/>
      <c r="N175" s="14"/>
      <c r="O175" s="11"/>
      <c r="P175" s="14"/>
      <c r="Q175" s="398"/>
      <c r="R175" s="14"/>
      <c r="S175" s="11"/>
      <c r="T175" s="14"/>
      <c r="U175" s="14"/>
      <c r="V175" s="14"/>
      <c r="W175" s="14"/>
      <c r="X175" s="14"/>
      <c r="Y175" s="14"/>
      <c r="Z175" s="14"/>
      <c r="AA175" s="14"/>
      <c r="AB175" s="14"/>
      <c r="AC175" s="14"/>
      <c r="AD175" s="895"/>
      <c r="AE175" s="895"/>
      <c r="AF175" s="895"/>
      <c r="AG175" s="895"/>
      <c r="AH175" s="895"/>
      <c r="AI175" s="895"/>
      <c r="AJ175" s="895"/>
      <c r="AK175" s="895"/>
      <c r="AL175" s="895"/>
      <c r="AM175" s="895"/>
      <c r="AN175" s="895"/>
      <c r="AO175" s="895"/>
      <c r="AP175" s="895"/>
      <c r="AQ175" s="895"/>
      <c r="AR175" s="895"/>
      <c r="AS175" s="895"/>
      <c r="AT175" s="895"/>
      <c r="AU175" s="895"/>
      <c r="AV175" s="895"/>
      <c r="AW175" s="895"/>
      <c r="AX175" s="895"/>
      <c r="AY175" s="895"/>
      <c r="AZ175" s="421"/>
      <c r="BA175" s="421"/>
      <c r="BB175" s="421"/>
      <c r="BC175" s="421"/>
      <c r="BD175" s="421"/>
      <c r="BE175" s="69"/>
      <c r="BF175" s="14"/>
      <c r="BG175" s="14"/>
      <c r="BH175" s="14"/>
      <c r="BI175" s="14"/>
      <c r="BJ175" s="11"/>
      <c r="BK175" s="14"/>
      <c r="BL175" s="14"/>
      <c r="BM175" s="14"/>
      <c r="BN175" s="14"/>
      <c r="BO175" s="11"/>
      <c r="BP175" s="14"/>
      <c r="BQ175" s="14"/>
      <c r="BR175" s="14"/>
      <c r="BS175" s="14"/>
      <c r="BT175" s="13"/>
      <c r="BU175" s="14"/>
      <c r="BV175" s="14"/>
      <c r="BW175" s="14"/>
      <c r="BX175" s="14"/>
      <c r="BY175" s="95"/>
      <c r="BZ175" s="14"/>
      <c r="CA175" s="14"/>
      <c r="CB175" s="14"/>
      <c r="CC175" s="14"/>
      <c r="CD175" s="339"/>
      <c r="CE175" s="14"/>
      <c r="CF175" s="14"/>
      <c r="CG175" s="14"/>
      <c r="CH175" s="14"/>
      <c r="CI175" s="53"/>
      <c r="CJ175" s="14"/>
      <c r="CK175" s="14"/>
      <c r="CL175" s="14"/>
      <c r="CM175" s="14"/>
      <c r="CN175" s="49"/>
      <c r="CO175" s="14"/>
      <c r="CP175" s="14"/>
      <c r="CQ175" s="14"/>
      <c r="CR175" s="14"/>
      <c r="CS175" s="49"/>
      <c r="CT175" s="14"/>
      <c r="CU175" s="14"/>
      <c r="CV175" s="14"/>
      <c r="CW175" s="14"/>
      <c r="CX175" s="49"/>
      <c r="CY175" s="304"/>
      <c r="CZ175" s="304"/>
      <c r="DA175" s="304"/>
      <c r="DB175" s="304"/>
      <c r="DC175" s="11"/>
      <c r="DD175" s="317"/>
      <c r="DE175" s="317"/>
      <c r="DF175" s="317"/>
      <c r="DG175" s="317"/>
      <c r="DH175" s="304"/>
      <c r="DI175" s="1083"/>
      <c r="DJ175" s="1083"/>
      <c r="DK175" s="895"/>
      <c r="DL175" s="895"/>
      <c r="DM175" s="304"/>
      <c r="DN175" s="895"/>
      <c r="DO175" s="895"/>
      <c r="DP175" s="895"/>
      <c r="DQ175" s="895"/>
      <c r="DR175" s="11"/>
      <c r="DS175" s="895"/>
      <c r="DT175" s="895"/>
      <c r="DU175" s="895"/>
      <c r="DV175" s="895"/>
      <c r="DX175" s="862"/>
      <c r="DY175" s="862"/>
      <c r="DZ175" s="862"/>
      <c r="EA175" s="862"/>
      <c r="EB175" s="862"/>
      <c r="EH175" s="1048"/>
      <c r="EI175" s="1048"/>
      <c r="EJ175" s="1048"/>
      <c r="EK175" s="1048"/>
      <c r="EM175" s="1048"/>
      <c r="FL175" s="1048"/>
    </row>
    <row r="176" spans="1:168">
      <c r="A176" s="369" t="s">
        <v>683</v>
      </c>
      <c r="B176" s="11"/>
      <c r="C176" s="11"/>
      <c r="D176" s="11"/>
      <c r="E176" s="11"/>
      <c r="F176" s="11"/>
      <c r="G176" s="11"/>
      <c r="H176" s="11"/>
      <c r="I176" s="88"/>
      <c r="J176" s="11"/>
      <c r="K176" s="88"/>
      <c r="L176" s="11"/>
      <c r="M176" s="88"/>
      <c r="N176" s="14"/>
      <c r="O176" s="11"/>
      <c r="P176" s="14"/>
      <c r="Q176" s="398"/>
      <c r="R176" s="14"/>
      <c r="S176" s="11"/>
      <c r="T176" s="14"/>
      <c r="U176" s="14"/>
      <c r="V176" s="14"/>
      <c r="W176" s="14"/>
      <c r="X176" s="14"/>
      <c r="Y176" s="14"/>
      <c r="Z176" s="14"/>
      <c r="AA176" s="14"/>
      <c r="AB176" s="14"/>
      <c r="AC176" s="14"/>
      <c r="AD176" s="14">
        <f>'Revenue and OCF'!T54</f>
        <v>-17.700000000000003</v>
      </c>
      <c r="AE176" s="14">
        <f>'Revenue and OCF'!U54</f>
        <v>20.9</v>
      </c>
      <c r="AF176" s="14">
        <f>'Revenue and OCF'!Y54</f>
        <v>47.072823093750003</v>
      </c>
      <c r="AG176" s="14">
        <f>'Revenue and OCF'!Z54</f>
        <v>52.007983234298194</v>
      </c>
      <c r="AH176" s="14">
        <f>'Revenue and OCF'!AA54</f>
        <v>50.357437217863804</v>
      </c>
      <c r="AI176" s="14">
        <f>'Revenue and OCF'!AB54</f>
        <v>70.711904014843327</v>
      </c>
      <c r="AJ176" s="14">
        <f>'Revenue and OCF'!AC54</f>
        <v>107.20078529513147</v>
      </c>
      <c r="AK176" s="14">
        <f>'Revenue and OCF'!AD54</f>
        <v>124.60692491549236</v>
      </c>
      <c r="AL176" s="14">
        <f>'Revenue and OCF'!AG54</f>
        <v>131.89293618040625</v>
      </c>
      <c r="AM176" s="14">
        <f>'Revenue and OCF'!AH54</f>
        <v>129.61661624664393</v>
      </c>
      <c r="AN176" s="14">
        <f>'Revenue and OCF'!AJ54</f>
        <v>130.0303803757225</v>
      </c>
      <c r="AO176" s="14">
        <f>'Revenue and OCF'!AK54</f>
        <v>117.00298150765792</v>
      </c>
      <c r="AP176" s="14">
        <f>'Revenue and OCF'!AL54</f>
        <v>121.26833579211655</v>
      </c>
      <c r="AQ176" s="14">
        <f>'Revenue and OCF'!AM54</f>
        <v>127.2960542261945</v>
      </c>
      <c r="AR176" s="14">
        <f>'Revenue and OCF'!AN54</f>
        <v>134.93928402288583</v>
      </c>
      <c r="AS176" s="14">
        <f>'Revenue and OCF'!AO54</f>
        <v>144.76214063304417</v>
      </c>
      <c r="AT176" s="14">
        <f>'Revenue and OCF'!AP54</f>
        <v>156.65654893548157</v>
      </c>
      <c r="AU176" s="14">
        <f>'Revenue and OCF'!AQ54</f>
        <v>170.0852048007805</v>
      </c>
      <c r="AV176" s="14">
        <f>'Revenue and OCF'!AR54</f>
        <v>185.03658127274798</v>
      </c>
      <c r="AW176" s="14">
        <f>'Revenue and OCF'!AS54</f>
        <v>201.58633123060864</v>
      </c>
      <c r="AX176" s="14">
        <f>'Revenue and OCF'!AT54</f>
        <v>220.21288634626274</v>
      </c>
      <c r="AY176" s="14">
        <f>'Revenue and OCF'!AU54</f>
        <v>240.94858085331623</v>
      </c>
      <c r="AZ176" s="354"/>
      <c r="BA176" s="354"/>
      <c r="BB176" s="354"/>
      <c r="BC176" s="354"/>
      <c r="BD176" s="354"/>
      <c r="BE176" s="69"/>
      <c r="BF176" s="14"/>
      <c r="BG176" s="14"/>
      <c r="BH176" s="14"/>
      <c r="BI176" s="14"/>
      <c r="BJ176" s="11"/>
      <c r="BK176" s="14"/>
      <c r="BL176" s="14"/>
      <c r="BM176" s="14"/>
      <c r="BN176" s="14"/>
      <c r="BO176" s="11"/>
      <c r="BP176" s="14"/>
      <c r="BQ176" s="14"/>
      <c r="BR176" s="14"/>
      <c r="BS176" s="14"/>
      <c r="BT176" s="13"/>
      <c r="BU176" s="14"/>
      <c r="BV176" s="14"/>
      <c r="BW176" s="14"/>
      <c r="BX176" s="14"/>
      <c r="BY176" s="95"/>
      <c r="BZ176" s="14"/>
      <c r="CA176" s="14"/>
      <c r="CB176" s="14"/>
      <c r="CC176" s="14"/>
      <c r="CD176" s="339"/>
      <c r="CE176" s="14"/>
      <c r="CF176" s="14"/>
      <c r="CG176" s="14"/>
      <c r="CH176" s="14"/>
      <c r="CI176" s="53"/>
      <c r="CJ176" s="14"/>
      <c r="CK176" s="14"/>
      <c r="CL176" s="14"/>
      <c r="CM176" s="14"/>
      <c r="CN176" s="49"/>
      <c r="CO176" s="14"/>
      <c r="CP176" s="14"/>
      <c r="CQ176" s="14"/>
      <c r="CR176" s="14"/>
      <c r="CS176" s="49"/>
      <c r="CT176" s="14"/>
      <c r="CU176" s="14"/>
      <c r="CV176" s="14"/>
      <c r="CW176" s="14"/>
      <c r="CX176" s="49"/>
      <c r="CY176" s="304"/>
      <c r="CZ176" s="304"/>
      <c r="DA176" s="304"/>
      <c r="DB176" s="304"/>
      <c r="DC176" s="11"/>
      <c r="DD176" s="14">
        <f>'Revenue and OCF'!CT54</f>
        <v>3</v>
      </c>
      <c r="DE176" s="14">
        <f>'Revenue and OCF'!CU54</f>
        <v>-11.7</v>
      </c>
      <c r="DF176" s="14">
        <f>'Revenue and OCF'!CV54</f>
        <v>-11.4</v>
      </c>
      <c r="DG176" s="14">
        <f>'Revenue and OCF'!CW54</f>
        <v>2.4</v>
      </c>
      <c r="DH176" s="357">
        <f>AD176-SUM(DD176:DG176)</f>
        <v>0</v>
      </c>
      <c r="DI176" s="14">
        <f>'Revenue and OCF'!CY54</f>
        <v>-1.7000000000000002</v>
      </c>
      <c r="DJ176" s="14">
        <f>'Revenue and OCF'!CZ54</f>
        <v>-20.3</v>
      </c>
      <c r="DK176" s="14">
        <f>'Revenue and OCF'!DA54</f>
        <v>-1.3999999999999995</v>
      </c>
      <c r="DL176" s="14">
        <f>'Revenue and OCF'!DB54</f>
        <v>44.3</v>
      </c>
      <c r="DM176" s="357">
        <f>AE176-SUM(DI176:DL176)</f>
        <v>0</v>
      </c>
      <c r="DN176" s="14">
        <f>'Revenue and OCF'!DD54</f>
        <v>1.3999999999999986</v>
      </c>
      <c r="DO176" s="14">
        <f>'Revenue and OCF'!DE54</f>
        <v>-1.1000000000000005</v>
      </c>
      <c r="DP176" s="14">
        <f>'Revenue and OCF'!DF54</f>
        <v>-2.5999999999999996</v>
      </c>
      <c r="DQ176" s="14">
        <f>'Revenue and OCF'!DG54</f>
        <v>49.37282309375</v>
      </c>
      <c r="DR176" s="11"/>
      <c r="DS176" s="14">
        <f>DS169-DS172</f>
        <v>3.1947239246400017</v>
      </c>
      <c r="DT176" s="14">
        <f>DT169-DT172</f>
        <v>-0.742345905847273</v>
      </c>
      <c r="DU176" s="14">
        <f>DU169-DU172</f>
        <v>-0.63192583340204322</v>
      </c>
      <c r="DV176" s="14">
        <f>DV169-DV172</f>
        <v>50.187531048907509</v>
      </c>
      <c r="DW176" s="538">
        <f>AG176-SUM(DS176:DV176)</f>
        <v>0</v>
      </c>
      <c r="DX176" s="862"/>
      <c r="DY176" s="862"/>
      <c r="DZ176" s="862"/>
      <c r="EA176" s="862"/>
      <c r="EB176" s="862"/>
      <c r="EH176" s="1048"/>
      <c r="EI176" s="1048"/>
      <c r="EJ176" s="1048"/>
      <c r="EK176" s="1048"/>
      <c r="EM176" s="1048"/>
      <c r="FL176" s="1048"/>
    </row>
    <row r="177" spans="1:168">
      <c r="A177" s="397" t="s">
        <v>676</v>
      </c>
      <c r="B177" s="11"/>
      <c r="C177" s="11"/>
      <c r="D177" s="11"/>
      <c r="E177" s="11"/>
      <c r="F177" s="11"/>
      <c r="G177" s="11"/>
      <c r="H177" s="11"/>
      <c r="I177" s="88"/>
      <c r="J177" s="11"/>
      <c r="K177" s="88"/>
      <c r="L177" s="11"/>
      <c r="M177" s="88"/>
      <c r="N177" s="14"/>
      <c r="O177" s="11"/>
      <c r="P177" s="14"/>
      <c r="Q177" s="398"/>
      <c r="R177" s="14"/>
      <c r="S177" s="11"/>
      <c r="T177" s="14"/>
      <c r="U177" s="14"/>
      <c r="V177" s="14"/>
      <c r="W177" s="14"/>
      <c r="X177" s="14"/>
      <c r="Y177" s="14"/>
      <c r="Z177" s="14"/>
      <c r="AA177" s="14"/>
      <c r="AB177" s="14"/>
      <c r="AC177" s="14"/>
      <c r="AD177" s="242"/>
      <c r="AE177" s="242"/>
      <c r="AF177" s="242"/>
      <c r="AG177" s="421">
        <f t="shared" ref="AG177:AQ177" si="254">AG176/AF176-1</f>
        <v>0.10484096377052521</v>
      </c>
      <c r="AH177" s="421">
        <f t="shared" si="254"/>
        <v>-3.1736397256525217E-2</v>
      </c>
      <c r="AI177" s="421">
        <f t="shared" si="254"/>
        <v>0.40419981479436728</v>
      </c>
      <c r="AJ177" s="421">
        <f t="shared" si="254"/>
        <v>0.51602176166305269</v>
      </c>
      <c r="AK177" s="421">
        <f t="shared" si="254"/>
        <v>0.16236951597360538</v>
      </c>
      <c r="AL177" s="421">
        <f t="shared" si="254"/>
        <v>5.8471961087678048E-2</v>
      </c>
      <c r="AM177" s="421">
        <f t="shared" si="254"/>
        <v>-1.7258846452919308E-2</v>
      </c>
      <c r="AN177" s="421">
        <f t="shared" si="254"/>
        <v>3.1922151731782478E-3</v>
      </c>
      <c r="AO177" s="421">
        <f t="shared" si="254"/>
        <v>-0.10018734722164113</v>
      </c>
      <c r="AP177" s="421">
        <f t="shared" si="254"/>
        <v>3.6455090541256396E-2</v>
      </c>
      <c r="AQ177" s="421">
        <f t="shared" si="254"/>
        <v>4.9705625089231376E-2</v>
      </c>
      <c r="AR177" s="421">
        <f t="shared" ref="AR177:AY177" si="255">AR176/AQ176-1</f>
        <v>6.0042943539396321E-2</v>
      </c>
      <c r="AS177" s="421">
        <f t="shared" si="255"/>
        <v>7.279464005820846E-2</v>
      </c>
      <c r="AT177" s="421">
        <f t="shared" si="255"/>
        <v>8.2165186632521481E-2</v>
      </c>
      <c r="AU177" s="421">
        <f t="shared" si="255"/>
        <v>8.5720360601263312E-2</v>
      </c>
      <c r="AV177" s="421">
        <f t="shared" si="255"/>
        <v>8.7905214856753178E-2</v>
      </c>
      <c r="AW177" s="421">
        <f t="shared" si="255"/>
        <v>8.944042223448756E-2</v>
      </c>
      <c r="AX177" s="421">
        <f t="shared" si="255"/>
        <v>9.2399891411019786E-2</v>
      </c>
      <c r="AY177" s="421">
        <f t="shared" si="255"/>
        <v>9.4162039520469643E-2</v>
      </c>
      <c r="AZ177" s="421"/>
      <c r="BA177" s="421"/>
      <c r="BB177" s="421"/>
      <c r="BC177" s="421"/>
      <c r="BD177" s="421"/>
      <c r="BE177" s="69"/>
      <c r="BF177" s="14"/>
      <c r="BG177" s="14"/>
      <c r="BH177" s="14"/>
      <c r="BI177" s="14"/>
      <c r="BJ177" s="11"/>
      <c r="BK177" s="14"/>
      <c r="BL177" s="14"/>
      <c r="BM177" s="14"/>
      <c r="BN177" s="14"/>
      <c r="BO177" s="11"/>
      <c r="BP177" s="14"/>
      <c r="BQ177" s="14"/>
      <c r="BR177" s="14"/>
      <c r="BS177" s="14"/>
      <c r="BT177" s="13"/>
      <c r="BU177" s="14"/>
      <c r="BV177" s="14"/>
      <c r="BW177" s="14"/>
      <c r="BX177" s="14"/>
      <c r="BY177" s="95"/>
      <c r="BZ177" s="14"/>
      <c r="CA177" s="14"/>
      <c r="CB177" s="14"/>
      <c r="CC177" s="14"/>
      <c r="CD177" s="339"/>
      <c r="CE177" s="14"/>
      <c r="CF177" s="14"/>
      <c r="CG177" s="14"/>
      <c r="CH177" s="14"/>
      <c r="CI177" s="53"/>
      <c r="CJ177" s="14"/>
      <c r="CK177" s="14"/>
      <c r="CL177" s="14"/>
      <c r="CM177" s="14"/>
      <c r="CN177" s="49"/>
      <c r="CO177" s="14"/>
      <c r="CP177" s="14"/>
      <c r="CQ177" s="14"/>
      <c r="CR177" s="14"/>
      <c r="CS177" s="49"/>
      <c r="CT177" s="14"/>
      <c r="CU177" s="14"/>
      <c r="CV177" s="14"/>
      <c r="CW177" s="14"/>
      <c r="CX177" s="49"/>
      <c r="CY177" s="304"/>
      <c r="CZ177" s="304"/>
      <c r="DA177" s="304"/>
      <c r="DB177" s="304"/>
      <c r="DC177" s="11"/>
      <c r="DD177" s="14"/>
      <c r="DE177" s="14"/>
      <c r="DF177" s="14"/>
      <c r="DG177" s="14"/>
      <c r="DH177" s="304"/>
      <c r="DI177" s="304"/>
      <c r="DJ177" s="304"/>
      <c r="DK177" s="421"/>
      <c r="DL177" s="421"/>
      <c r="DM177" s="304"/>
      <c r="DN177" s="11"/>
      <c r="DO177" s="11"/>
      <c r="DP177" s="11"/>
      <c r="DQ177" s="11"/>
      <c r="DR177" s="11"/>
      <c r="DX177" s="862"/>
      <c r="DY177" s="862"/>
      <c r="DZ177" s="862"/>
      <c r="EA177" s="862"/>
      <c r="EB177" s="862"/>
      <c r="EH177" s="1048"/>
      <c r="EI177" s="1048"/>
      <c r="EJ177" s="1048"/>
      <c r="EK177" s="1048"/>
      <c r="EM177" s="1048"/>
      <c r="FL177" s="1048"/>
    </row>
    <row r="178" spans="1:168">
      <c r="A178" s="397"/>
      <c r="B178" s="11"/>
      <c r="C178" s="11"/>
      <c r="D178" s="11"/>
      <c r="E178" s="11"/>
      <c r="F178" s="11"/>
      <c r="G178" s="11"/>
      <c r="H178" s="11"/>
      <c r="I178" s="88"/>
      <c r="J178" s="11"/>
      <c r="K178" s="88"/>
      <c r="L178" s="11"/>
      <c r="M178" s="88"/>
      <c r="N178" s="14"/>
      <c r="O178" s="11"/>
      <c r="P178" s="14"/>
      <c r="Q178" s="398"/>
      <c r="R178" s="14"/>
      <c r="S178" s="11"/>
      <c r="T178" s="14"/>
      <c r="U178" s="14"/>
      <c r="V178" s="14"/>
      <c r="W178" s="14"/>
      <c r="X178" s="14"/>
      <c r="Y178" s="14"/>
      <c r="Z178" s="14"/>
      <c r="AA178" s="14"/>
      <c r="AB178" s="14"/>
      <c r="AC178" s="14"/>
      <c r="AD178" s="242"/>
      <c r="AE178" s="242"/>
      <c r="AF178" s="242"/>
      <c r="AG178" s="421"/>
      <c r="AH178" s="421"/>
      <c r="AI178" s="421"/>
      <c r="AJ178" s="421"/>
      <c r="AK178" s="421"/>
      <c r="AL178" s="421"/>
      <c r="AM178" s="421"/>
      <c r="AN178" s="421"/>
      <c r="AO178" s="421"/>
      <c r="AP178" s="421"/>
      <c r="AQ178" s="421"/>
      <c r="AR178" s="421"/>
      <c r="AS178" s="421"/>
      <c r="AT178" s="421"/>
      <c r="AU178" s="421"/>
      <c r="AV178" s="421"/>
      <c r="AW178" s="421"/>
      <c r="AX178" s="421"/>
      <c r="AY178" s="421"/>
      <c r="AZ178" s="421"/>
      <c r="BA178" s="421"/>
      <c r="BB178" s="421"/>
      <c r="BC178" s="421"/>
      <c r="BD178" s="421"/>
      <c r="BE178" s="69"/>
      <c r="BF178" s="14"/>
      <c r="BG178" s="14"/>
      <c r="BH178" s="14"/>
      <c r="BI178" s="14"/>
      <c r="BJ178" s="11"/>
      <c r="BK178" s="14"/>
      <c r="BL178" s="14"/>
      <c r="BM178" s="14"/>
      <c r="BN178" s="14"/>
      <c r="BO178" s="11"/>
      <c r="BP178" s="14"/>
      <c r="BQ178" s="14"/>
      <c r="BR178" s="14"/>
      <c r="BS178" s="14"/>
      <c r="BT178" s="13"/>
      <c r="BU178" s="14"/>
      <c r="BV178" s="14"/>
      <c r="BW178" s="14"/>
      <c r="BX178" s="14"/>
      <c r="BY178" s="95"/>
      <c r="BZ178" s="14"/>
      <c r="CA178" s="14"/>
      <c r="CB178" s="14"/>
      <c r="CC178" s="14"/>
      <c r="CD178" s="339"/>
      <c r="CE178" s="14"/>
      <c r="CF178" s="14"/>
      <c r="CG178" s="14"/>
      <c r="CH178" s="14"/>
      <c r="CI178" s="53"/>
      <c r="CJ178" s="14"/>
      <c r="CK178" s="14"/>
      <c r="CL178" s="14"/>
      <c r="CM178" s="14"/>
      <c r="CN178" s="49"/>
      <c r="CO178" s="14"/>
      <c r="CP178" s="14"/>
      <c r="CQ178" s="14"/>
      <c r="CR178" s="14"/>
      <c r="CS178" s="49"/>
      <c r="CT178" s="14"/>
      <c r="CU178" s="14"/>
      <c r="CV178" s="14"/>
      <c r="CW178" s="14"/>
      <c r="CX178" s="49"/>
      <c r="CY178" s="304"/>
      <c r="CZ178" s="304"/>
      <c r="DA178" s="304"/>
      <c r="DB178" s="304"/>
      <c r="DC178" s="11"/>
      <c r="DD178" s="14"/>
      <c r="DE178" s="14"/>
      <c r="DF178" s="14"/>
      <c r="DG178" s="14"/>
      <c r="DH178" s="304"/>
      <c r="DI178" s="304"/>
      <c r="DJ178" s="304"/>
      <c r="DK178" s="421"/>
      <c r="DL178" s="421"/>
      <c r="DM178" s="304"/>
      <c r="DN178" s="11"/>
      <c r="DO178" s="11"/>
      <c r="DP178" s="11"/>
      <c r="DQ178" s="11"/>
      <c r="DR178" s="11"/>
      <c r="DX178" s="862"/>
      <c r="DY178" s="862"/>
      <c r="DZ178" s="862"/>
      <c r="EA178" s="862"/>
      <c r="EB178" s="862"/>
      <c r="EH178" s="1048"/>
      <c r="EI178" s="1048"/>
      <c r="EJ178" s="1048"/>
      <c r="EK178" s="1048"/>
      <c r="EM178" s="1048"/>
      <c r="FL178" s="1048"/>
    </row>
    <row r="179" spans="1:168">
      <c r="A179" s="369" t="s">
        <v>684</v>
      </c>
      <c r="B179" s="11"/>
      <c r="C179" s="11"/>
      <c r="D179" s="11"/>
      <c r="E179" s="11"/>
      <c r="F179" s="11"/>
      <c r="G179" s="11"/>
      <c r="H179" s="11"/>
      <c r="I179" s="88"/>
      <c r="J179" s="11"/>
      <c r="K179" s="88"/>
      <c r="L179" s="11"/>
      <c r="M179" s="88"/>
      <c r="N179" s="14"/>
      <c r="O179" s="11"/>
      <c r="P179" s="14"/>
      <c r="Q179" s="398"/>
      <c r="R179" s="14"/>
      <c r="S179" s="11"/>
      <c r="T179" s="14"/>
      <c r="U179" s="14"/>
      <c r="V179" s="14"/>
      <c r="W179" s="14"/>
      <c r="X179" s="14"/>
      <c r="Y179" s="14"/>
      <c r="Z179" s="14"/>
      <c r="AA179" s="14"/>
      <c r="AB179" s="14"/>
      <c r="AC179" s="14"/>
      <c r="AD179" s="14">
        <f>'Revenue and OCF'!T57</f>
        <v>4</v>
      </c>
      <c r="AE179" s="14">
        <f>SUM(DK179:DL179)</f>
        <v>26</v>
      </c>
      <c r="AF179" s="14">
        <f>'Revenue and OCF'!Y57</f>
        <v>52</v>
      </c>
      <c r="AG179" s="354">
        <f>'Revenue and OCF'!Z57</f>
        <v>25</v>
      </c>
      <c r="AH179" s="354">
        <f>'Revenue and OCF'!AA57</f>
        <v>25</v>
      </c>
      <c r="AI179" s="354">
        <f>'Revenue and OCF'!AB57</f>
        <v>20</v>
      </c>
      <c r="AJ179" s="354">
        <f>'Revenue and OCF'!AC57</f>
        <v>15</v>
      </c>
      <c r="AK179" s="354">
        <f>'Revenue and OCF'!AD57</f>
        <v>10</v>
      </c>
      <c r="AL179" s="354">
        <f>'Revenue and OCF'!AG57</f>
        <v>5</v>
      </c>
      <c r="AM179" s="354">
        <f ca="1">'Revenue and OCF'!AH57</f>
        <v>5</v>
      </c>
      <c r="AN179" s="354">
        <f>'Revenue and OCF'!AJ57</f>
        <v>7.3708543999999989</v>
      </c>
      <c r="AO179" s="354">
        <f>'Revenue and OCF'!AK57</f>
        <v>6.4966835199999995</v>
      </c>
      <c r="AP179" s="354">
        <f>'Revenue and OCF'!AL57</f>
        <v>6.5973468159999999</v>
      </c>
      <c r="AQ179" s="354">
        <f>'Revenue and OCF'!AM57</f>
        <v>5.6778774527999989</v>
      </c>
      <c r="AR179" s="354">
        <f>'Revenue and OCF'!AN57</f>
        <v>5.7423019622399991</v>
      </c>
      <c r="AS179" s="354">
        <f>'Revenue and OCF'!AO57</f>
        <v>5.7423019622399991</v>
      </c>
      <c r="AT179" s="354">
        <f>'Revenue and OCF'!AP57</f>
        <v>5.7423019622399991</v>
      </c>
      <c r="AU179" s="354">
        <f>'Revenue and OCF'!AQ57</f>
        <v>5.7423019622399991</v>
      </c>
      <c r="AV179" s="354">
        <f>'Revenue and OCF'!AR57</f>
        <v>5.7423019622399991</v>
      </c>
      <c r="AW179" s="354">
        <f>'Revenue and OCF'!AS57</f>
        <v>5.7423019622399991</v>
      </c>
      <c r="AX179" s="354">
        <f>'Revenue and OCF'!AT57</f>
        <v>5.7423019622399991</v>
      </c>
      <c r="AY179" s="354">
        <f>'Revenue and OCF'!AU57</f>
        <v>5.7423019622399991</v>
      </c>
      <c r="AZ179" s="354"/>
      <c r="BA179" s="354"/>
      <c r="BB179" s="354"/>
      <c r="BC179" s="354"/>
      <c r="BD179" s="354"/>
      <c r="BE179" s="69"/>
      <c r="BF179" s="14"/>
      <c r="BG179" s="14"/>
      <c r="BH179" s="14"/>
      <c r="BI179" s="14"/>
      <c r="BJ179" s="11"/>
      <c r="BK179" s="14"/>
      <c r="BL179" s="14"/>
      <c r="BM179" s="14"/>
      <c r="BN179" s="14"/>
      <c r="BO179" s="11"/>
      <c r="BP179" s="14"/>
      <c r="BQ179" s="14"/>
      <c r="BR179" s="14"/>
      <c r="BS179" s="14"/>
      <c r="BT179" s="13"/>
      <c r="BU179" s="14"/>
      <c r="BV179" s="14"/>
      <c r="BW179" s="14"/>
      <c r="BX179" s="14"/>
      <c r="BY179" s="95"/>
      <c r="BZ179" s="14"/>
      <c r="CA179" s="14"/>
      <c r="CB179" s="14"/>
      <c r="CC179" s="14"/>
      <c r="CD179" s="339"/>
      <c r="CE179" s="14"/>
      <c r="CF179" s="14"/>
      <c r="CG179" s="14"/>
      <c r="CH179" s="14"/>
      <c r="CI179" s="53"/>
      <c r="CJ179" s="14"/>
      <c r="CK179" s="14"/>
      <c r="CL179" s="14"/>
      <c r="CM179" s="14"/>
      <c r="CN179" s="49"/>
      <c r="CO179" s="14"/>
      <c r="CP179" s="14"/>
      <c r="CQ179" s="14"/>
      <c r="CR179" s="14"/>
      <c r="CS179" s="49"/>
      <c r="CT179" s="14"/>
      <c r="CU179" s="14"/>
      <c r="CV179" s="14"/>
      <c r="CW179" s="14"/>
      <c r="CX179" s="49"/>
      <c r="CY179" s="304"/>
      <c r="CZ179" s="304"/>
      <c r="DA179" s="304"/>
      <c r="DB179" s="304"/>
      <c r="DC179" s="11"/>
      <c r="DD179" s="14"/>
      <c r="DE179" s="14"/>
      <c r="DF179" s="14"/>
      <c r="DG179" s="14"/>
      <c r="DH179" s="304"/>
      <c r="DI179" s="14"/>
      <c r="DJ179" s="14"/>
      <c r="DK179" s="14">
        <f>'Revenue and OCF'!DA57</f>
        <v>13</v>
      </c>
      <c r="DL179" s="14">
        <f>'Revenue and OCF'!DB57</f>
        <v>13</v>
      </c>
      <c r="DM179" s="357">
        <f>AE179-SUM(DI179:DL179)</f>
        <v>0</v>
      </c>
      <c r="DN179" s="14">
        <f>'Revenue and OCF'!DD57</f>
        <v>13</v>
      </c>
      <c r="DO179" s="14">
        <f>'Revenue and OCF'!DE57</f>
        <v>13</v>
      </c>
      <c r="DP179" s="14">
        <f>'Revenue and OCF'!DF57</f>
        <v>13</v>
      </c>
      <c r="DQ179" s="14">
        <f>'Revenue and OCF'!DG57</f>
        <v>13</v>
      </c>
      <c r="DR179" s="11"/>
      <c r="DS179" s="14">
        <f>DS207</f>
        <v>6.25</v>
      </c>
      <c r="DT179" s="14">
        <f>DT207</f>
        <v>6.25</v>
      </c>
      <c r="DU179" s="14">
        <f>DU207</f>
        <v>6.25</v>
      </c>
      <c r="DV179" s="14">
        <f>DV207</f>
        <v>6.25</v>
      </c>
      <c r="DW179" s="538">
        <f>AG179-SUM(DS179:DV179)</f>
        <v>0</v>
      </c>
      <c r="DX179" s="862"/>
      <c r="DY179" s="862"/>
      <c r="DZ179" s="862"/>
      <c r="EA179" s="862"/>
      <c r="EB179" s="862"/>
      <c r="EH179" s="1048"/>
      <c r="EI179" s="1048"/>
      <c r="EJ179" s="1048"/>
      <c r="EK179" s="1048"/>
      <c r="EM179" s="1048"/>
      <c r="FL179" s="1048"/>
    </row>
    <row r="180" spans="1:168">
      <c r="A180" s="397" t="s">
        <v>676</v>
      </c>
      <c r="B180" s="11"/>
      <c r="C180" s="11"/>
      <c r="D180" s="11"/>
      <c r="E180" s="11"/>
      <c r="F180" s="11"/>
      <c r="G180" s="11"/>
      <c r="H180" s="11"/>
      <c r="I180" s="88"/>
      <c r="J180" s="11"/>
      <c r="K180" s="88"/>
      <c r="L180" s="11"/>
      <c r="M180" s="88"/>
      <c r="N180" s="14"/>
      <c r="O180" s="11"/>
      <c r="P180" s="14"/>
      <c r="Q180" s="398"/>
      <c r="R180" s="14"/>
      <c r="S180" s="11"/>
      <c r="T180" s="14"/>
      <c r="U180" s="14"/>
      <c r="V180" s="14"/>
      <c r="W180" s="14"/>
      <c r="X180" s="14"/>
      <c r="Y180" s="14"/>
      <c r="Z180" s="14"/>
      <c r="AA180" s="14"/>
      <c r="AB180" s="14"/>
      <c r="AC180" s="14"/>
      <c r="AD180" s="895"/>
      <c r="AE180" s="895"/>
      <c r="AF180" s="895"/>
      <c r="AG180" s="895">
        <f t="shared" ref="AG180:AQ180" si="256">AG179/AF179-1</f>
        <v>-0.51923076923076916</v>
      </c>
      <c r="AH180" s="895">
        <f t="shared" si="256"/>
        <v>0</v>
      </c>
      <c r="AI180" s="895">
        <f t="shared" si="256"/>
        <v>-0.19999999999999996</v>
      </c>
      <c r="AJ180" s="895">
        <f t="shared" si="256"/>
        <v>-0.25</v>
      </c>
      <c r="AK180" s="895">
        <f t="shared" si="256"/>
        <v>-0.33333333333333337</v>
      </c>
      <c r="AL180" s="895">
        <f t="shared" si="256"/>
        <v>-0.5</v>
      </c>
      <c r="AM180" s="895">
        <f t="shared" ca="1" si="256"/>
        <v>0</v>
      </c>
      <c r="AN180" s="895">
        <f t="shared" ca="1" si="256"/>
        <v>0.47417087999999974</v>
      </c>
      <c r="AO180" s="895">
        <f t="shared" si="256"/>
        <v>-0.11859831066531434</v>
      </c>
      <c r="AP180" s="895">
        <f t="shared" si="256"/>
        <v>1.5494566680077426E-2</v>
      </c>
      <c r="AQ180" s="895">
        <f t="shared" si="256"/>
        <v>-0.1393695661064972</v>
      </c>
      <c r="AR180" s="895">
        <f t="shared" ref="AR180:AY180" si="257">AR179/AQ179-1</f>
        <v>1.1346583292006329E-2</v>
      </c>
      <c r="AS180" s="895">
        <f t="shared" si="257"/>
        <v>0</v>
      </c>
      <c r="AT180" s="895">
        <f t="shared" si="257"/>
        <v>0</v>
      </c>
      <c r="AU180" s="895">
        <f t="shared" si="257"/>
        <v>0</v>
      </c>
      <c r="AV180" s="895">
        <f t="shared" si="257"/>
        <v>0</v>
      </c>
      <c r="AW180" s="895">
        <f t="shared" si="257"/>
        <v>0</v>
      </c>
      <c r="AX180" s="895">
        <f t="shared" si="257"/>
        <v>0</v>
      </c>
      <c r="AY180" s="895">
        <f t="shared" si="257"/>
        <v>0</v>
      </c>
      <c r="AZ180" s="421"/>
      <c r="BA180" s="421"/>
      <c r="BB180" s="421"/>
      <c r="BC180" s="421"/>
      <c r="BD180" s="421"/>
      <c r="BE180" s="69"/>
      <c r="BF180" s="14"/>
      <c r="BG180" s="14"/>
      <c r="BH180" s="14"/>
      <c r="BI180" s="14"/>
      <c r="BJ180" s="11"/>
      <c r="BK180" s="14"/>
      <c r="BL180" s="14"/>
      <c r="BM180" s="14"/>
      <c r="BN180" s="14"/>
      <c r="BO180" s="11"/>
      <c r="BP180" s="14"/>
      <c r="BQ180" s="14"/>
      <c r="BR180" s="14"/>
      <c r="BS180" s="14"/>
      <c r="BT180" s="13"/>
      <c r="BU180" s="14"/>
      <c r="BV180" s="14"/>
      <c r="BW180" s="14"/>
      <c r="BX180" s="14"/>
      <c r="BY180" s="95"/>
      <c r="BZ180" s="14"/>
      <c r="CA180" s="14"/>
      <c r="CB180" s="14"/>
      <c r="CC180" s="14"/>
      <c r="CD180" s="339"/>
      <c r="CE180" s="14"/>
      <c r="CF180" s="14"/>
      <c r="CG180" s="14"/>
      <c r="CH180" s="14"/>
      <c r="CI180" s="53"/>
      <c r="CJ180" s="14"/>
      <c r="CK180" s="14"/>
      <c r="CL180" s="14"/>
      <c r="CM180" s="14"/>
      <c r="CN180" s="49"/>
      <c r="CO180" s="14"/>
      <c r="CP180" s="14"/>
      <c r="CQ180" s="14"/>
      <c r="CR180" s="14"/>
      <c r="CS180" s="49"/>
      <c r="CT180" s="14"/>
      <c r="CU180" s="14"/>
      <c r="CV180" s="14"/>
      <c r="CW180" s="14"/>
      <c r="CX180" s="49"/>
      <c r="CY180" s="304"/>
      <c r="CZ180" s="304"/>
      <c r="DA180" s="304"/>
      <c r="DB180" s="304"/>
      <c r="DC180" s="11"/>
      <c r="DD180" s="317"/>
      <c r="DE180" s="317"/>
      <c r="DF180" s="317"/>
      <c r="DG180" s="317"/>
      <c r="DH180" s="304"/>
      <c r="DI180" s="1083"/>
      <c r="DJ180" s="1083"/>
      <c r="DK180" s="895"/>
      <c r="DL180" s="895"/>
      <c r="DM180" s="304"/>
      <c r="DN180" s="895"/>
      <c r="DO180" s="895"/>
      <c r="DP180" s="895"/>
      <c r="DQ180" s="895"/>
      <c r="DR180" s="11"/>
      <c r="DS180" s="895"/>
      <c r="DT180" s="895"/>
      <c r="DU180" s="895"/>
      <c r="DV180" s="895"/>
      <c r="DX180" s="862"/>
      <c r="DY180" s="862"/>
      <c r="DZ180" s="862"/>
      <c r="EA180" s="862"/>
      <c r="EB180" s="862"/>
      <c r="EH180" s="1048"/>
      <c r="EI180" s="1048"/>
      <c r="EJ180" s="1048"/>
      <c r="EK180" s="1048"/>
      <c r="EM180" s="1048"/>
      <c r="FL180" s="1048"/>
    </row>
    <row r="181" spans="1:168">
      <c r="A181" s="378" t="s">
        <v>685</v>
      </c>
      <c r="B181" s="11"/>
      <c r="C181" s="11"/>
      <c r="D181" s="11"/>
      <c r="E181" s="11"/>
      <c r="F181" s="11"/>
      <c r="G181" s="11"/>
      <c r="H181" s="11"/>
      <c r="I181" s="88"/>
      <c r="J181" s="11"/>
      <c r="K181" s="88"/>
      <c r="L181" s="11"/>
      <c r="M181" s="88"/>
      <c r="N181" s="14"/>
      <c r="O181" s="11"/>
      <c r="P181" s="14"/>
      <c r="Q181" s="398"/>
      <c r="R181" s="14"/>
      <c r="S181" s="11"/>
      <c r="T181" s="14"/>
      <c r="U181" s="14"/>
      <c r="V181" s="14"/>
      <c r="W181" s="14"/>
      <c r="X181" s="14"/>
      <c r="Y181" s="14"/>
      <c r="Z181" s="14"/>
      <c r="AA181" s="14"/>
      <c r="AB181" s="14"/>
      <c r="AC181" s="14"/>
      <c r="AD181" s="14">
        <f>'Revenue and OCF'!T58</f>
        <v>-21.700000000000003</v>
      </c>
      <c r="AE181" s="14">
        <f>'Revenue and OCF'!U58</f>
        <v>-7.1000000000000014</v>
      </c>
      <c r="AF181" s="14">
        <f>'Revenue and OCF'!Y58</f>
        <v>-4.927176906249997</v>
      </c>
      <c r="AG181" s="14">
        <f>'Revenue and OCF'!Z58</f>
        <v>27.007983234298194</v>
      </c>
      <c r="AH181" s="14">
        <f>'Revenue and OCF'!AA58</f>
        <v>25.357437217863804</v>
      </c>
      <c r="AI181" s="14">
        <f>'Revenue and OCF'!AB58</f>
        <v>50.711904014843327</v>
      </c>
      <c r="AJ181" s="14">
        <f>'Revenue and OCF'!AC58</f>
        <v>92.200785295131467</v>
      </c>
      <c r="AK181" s="14">
        <f>'Revenue and OCF'!AD58</f>
        <v>114.60692491549236</v>
      </c>
      <c r="AL181" s="14">
        <f>'Revenue and OCF'!AG58</f>
        <v>126.89293618040625</v>
      </c>
      <c r="AM181" s="14">
        <f ca="1">'Revenue and OCF'!AH58</f>
        <v>124.61661624664393</v>
      </c>
      <c r="AN181" s="14">
        <f>'Revenue and OCF'!AJ58</f>
        <v>122.6595259757225</v>
      </c>
      <c r="AO181" s="14">
        <f>'Revenue and OCF'!AK58</f>
        <v>110.50629798765792</v>
      </c>
      <c r="AP181" s="14">
        <f>'Revenue and OCF'!AL58</f>
        <v>114.67098897611655</v>
      </c>
      <c r="AQ181" s="14">
        <f>'Revenue and OCF'!AM58</f>
        <v>121.6181767733945</v>
      </c>
      <c r="AR181" s="14">
        <f>'Revenue and OCF'!AN58</f>
        <v>129.19698206064584</v>
      </c>
      <c r="AS181" s="14">
        <f>'Revenue and OCF'!AO58</f>
        <v>139.01983867080418</v>
      </c>
      <c r="AT181" s="14">
        <f>'Revenue and OCF'!AP58</f>
        <v>150.91424697324157</v>
      </c>
      <c r="AU181" s="14">
        <f>'Revenue and OCF'!AQ58</f>
        <v>164.34290283854051</v>
      </c>
      <c r="AV181" s="14">
        <f>'Revenue and OCF'!AR58</f>
        <v>179.29427931050799</v>
      </c>
      <c r="AW181" s="14">
        <f>'Revenue and OCF'!AS58</f>
        <v>195.84402926836864</v>
      </c>
      <c r="AX181" s="14">
        <f>'Revenue and OCF'!AT58</f>
        <v>214.47058438402274</v>
      </c>
      <c r="AY181" s="14">
        <f>'Revenue and OCF'!AU58</f>
        <v>235.20627889107624</v>
      </c>
      <c r="AZ181" s="354"/>
      <c r="BA181" s="354"/>
      <c r="BB181" s="354"/>
      <c r="BC181" s="354"/>
      <c r="BD181" s="354"/>
      <c r="BE181" s="69"/>
      <c r="BF181" s="14"/>
      <c r="BG181" s="14"/>
      <c r="BH181" s="14"/>
      <c r="BI181" s="14"/>
      <c r="BJ181" s="11"/>
      <c r="BK181" s="14"/>
      <c r="BL181" s="14"/>
      <c r="BM181" s="14"/>
      <c r="BN181" s="14"/>
      <c r="BO181" s="11"/>
      <c r="BP181" s="14"/>
      <c r="BQ181" s="14"/>
      <c r="BR181" s="14"/>
      <c r="BS181" s="14"/>
      <c r="BT181" s="13"/>
      <c r="BU181" s="14"/>
      <c r="BV181" s="14"/>
      <c r="BW181" s="14"/>
      <c r="BX181" s="14"/>
      <c r="BY181" s="95"/>
      <c r="BZ181" s="14"/>
      <c r="CA181" s="14"/>
      <c r="CB181" s="14"/>
      <c r="CC181" s="14"/>
      <c r="CD181" s="339"/>
      <c r="CE181" s="14"/>
      <c r="CF181" s="14"/>
      <c r="CG181" s="14"/>
      <c r="CH181" s="14"/>
      <c r="CI181" s="53"/>
      <c r="CJ181" s="14"/>
      <c r="CK181" s="14"/>
      <c r="CL181" s="14"/>
      <c r="CM181" s="14"/>
      <c r="CN181" s="49"/>
      <c r="CO181" s="14"/>
      <c r="CP181" s="14"/>
      <c r="CQ181" s="14"/>
      <c r="CR181" s="14"/>
      <c r="CS181" s="49"/>
      <c r="CT181" s="14"/>
      <c r="CU181" s="14"/>
      <c r="CV181" s="14"/>
      <c r="CW181" s="14"/>
      <c r="CX181" s="49"/>
      <c r="CY181" s="304"/>
      <c r="CZ181" s="304"/>
      <c r="DA181" s="304"/>
      <c r="DB181" s="304"/>
      <c r="DC181" s="11"/>
      <c r="DD181" s="354">
        <f>'Revenue and OCF'!CT58</f>
        <v>2</v>
      </c>
      <c r="DE181" s="354">
        <f>'Revenue and OCF'!CU58</f>
        <v>-12.7</v>
      </c>
      <c r="DF181" s="354">
        <f>'Revenue and OCF'!CV58</f>
        <v>-12.4</v>
      </c>
      <c r="DG181" s="354">
        <f>'Revenue and OCF'!CW58</f>
        <v>1.4</v>
      </c>
      <c r="DH181" s="304"/>
      <c r="DI181" s="354">
        <f>'Revenue and OCF'!CY58</f>
        <v>-2.7</v>
      </c>
      <c r="DJ181" s="354">
        <f>'Revenue and OCF'!CZ58</f>
        <v>-21.3</v>
      </c>
      <c r="DK181" s="14">
        <f>'Revenue and OCF'!DA58</f>
        <v>-14.399999999999999</v>
      </c>
      <c r="DL181" s="14">
        <f>'Revenue and OCF'!DB58</f>
        <v>31.299999999999997</v>
      </c>
      <c r="DM181" s="357">
        <f>AE181-SUM(DI181:DL181)</f>
        <v>0</v>
      </c>
      <c r="DN181" s="14">
        <f>'Revenue and OCF'!DD58</f>
        <v>-11.600000000000001</v>
      </c>
      <c r="DO181" s="14">
        <f>'Revenue and OCF'!DE58</f>
        <v>-14.100000000000001</v>
      </c>
      <c r="DP181" s="14">
        <f>'Revenue and OCF'!DF58</f>
        <v>-15.6</v>
      </c>
      <c r="DQ181" s="14">
        <f>'Revenue and OCF'!DG58</f>
        <v>36.37282309375</v>
      </c>
      <c r="DR181" s="11"/>
      <c r="DS181" s="14">
        <f>DS176-DS179</f>
        <v>-3.0552760753599983</v>
      </c>
      <c r="DT181" s="14">
        <f>DT176-DT179</f>
        <v>-6.992345905847273</v>
      </c>
      <c r="DU181" s="14">
        <f>DU176-DU179</f>
        <v>-6.8819258334020432</v>
      </c>
      <c r="DV181" s="14">
        <f>DV176-DV179</f>
        <v>43.937531048907509</v>
      </c>
      <c r="DW181" s="538">
        <f>AG181-SUM(DS181:DV181)</f>
        <v>0</v>
      </c>
      <c r="DX181" s="862"/>
      <c r="DY181" s="862"/>
      <c r="DZ181" s="862"/>
      <c r="EA181" s="862"/>
      <c r="EB181" s="862"/>
      <c r="EH181" s="1048"/>
      <c r="EI181" s="1048"/>
      <c r="EJ181" s="1048"/>
      <c r="EK181" s="1048"/>
      <c r="EM181" s="1048"/>
      <c r="FL181" s="1048"/>
    </row>
    <row r="182" spans="1:168">
      <c r="A182" s="369" t="s">
        <v>690</v>
      </c>
      <c r="B182" s="11"/>
      <c r="C182" s="11"/>
      <c r="D182" s="11"/>
      <c r="E182" s="11"/>
      <c r="F182" s="11"/>
      <c r="G182" s="11"/>
      <c r="H182" s="11"/>
      <c r="I182" s="88"/>
      <c r="J182" s="11"/>
      <c r="K182" s="88"/>
      <c r="L182" s="11"/>
      <c r="M182" s="88"/>
      <c r="N182" s="14"/>
      <c r="O182" s="11"/>
      <c r="P182" s="14"/>
      <c r="Q182" s="398"/>
      <c r="R182" s="14"/>
      <c r="S182" s="11"/>
      <c r="T182" s="14"/>
      <c r="U182" s="14"/>
      <c r="V182" s="14"/>
      <c r="W182" s="14"/>
      <c r="X182" s="14"/>
      <c r="Y182" s="14"/>
      <c r="Z182" s="14"/>
      <c r="AA182" s="14"/>
      <c r="AB182" s="14"/>
      <c r="AC182" s="14"/>
      <c r="AD182" s="242">
        <f t="shared" ref="AD182:AQ182" si="258">AD181/AD167</f>
        <v>-0.13064419024683926</v>
      </c>
      <c r="AE182" s="242">
        <f t="shared" si="258"/>
        <v>-1.6757970066961076E-2</v>
      </c>
      <c r="AF182" s="242">
        <f t="shared" si="258"/>
        <v>-9.1088416481465238E-3</v>
      </c>
      <c r="AG182" s="242">
        <f t="shared" si="258"/>
        <v>4.7749916522944233E-2</v>
      </c>
      <c r="AH182" s="242">
        <f t="shared" si="258"/>
        <v>4.5728452199655038E-2</v>
      </c>
      <c r="AI182" s="242">
        <f t="shared" si="258"/>
        <v>8.6975206786284995E-2</v>
      </c>
      <c r="AJ182" s="242">
        <f t="shared" si="258"/>
        <v>0.13847329863166866</v>
      </c>
      <c r="AK182" s="242">
        <f t="shared" si="258"/>
        <v>0.16439171701654623</v>
      </c>
      <c r="AL182" s="242">
        <f t="shared" si="258"/>
        <v>0.17098999926727151</v>
      </c>
      <c r="AM182" s="242">
        <f t="shared" ca="1" si="258"/>
        <v>0.16253399839923047</v>
      </c>
      <c r="AN182" s="242">
        <f t="shared" si="258"/>
        <v>0.14509097839893151</v>
      </c>
      <c r="AO182" s="242">
        <f t="shared" si="258"/>
        <v>0.11572068391763435</v>
      </c>
      <c r="AP182" s="242">
        <f t="shared" si="258"/>
        <v>0.11062442533434899</v>
      </c>
      <c r="AQ182" s="242">
        <f t="shared" si="258"/>
        <v>0.11109045670206991</v>
      </c>
      <c r="AR182" s="242">
        <f t="shared" ref="AR182:AW182" si="259">AR181/AR167</f>
        <v>0.11248765348709661</v>
      </c>
      <c r="AS182" s="242">
        <f t="shared" si="259"/>
        <v>0.11524301300418706</v>
      </c>
      <c r="AT182" s="242">
        <f t="shared" si="259"/>
        <v>0.11917896081047566</v>
      </c>
      <c r="AU182" s="242">
        <f t="shared" si="259"/>
        <v>0.12399709930466561</v>
      </c>
      <c r="AV182" s="242">
        <f t="shared" si="259"/>
        <v>0.12959253161030926</v>
      </c>
      <c r="AW182" s="242">
        <f t="shared" si="259"/>
        <v>0.13590620137663462</v>
      </c>
      <c r="AX182" s="242">
        <f>AX181/AX167</f>
        <v>0.14306239895380587</v>
      </c>
      <c r="AY182" s="242">
        <f>AY181/AY167</f>
        <v>0.15097514460975225</v>
      </c>
      <c r="AZ182" s="421"/>
      <c r="BA182" s="421"/>
      <c r="BB182" s="421"/>
      <c r="BC182" s="421"/>
      <c r="BD182" s="421"/>
      <c r="BE182" s="69"/>
      <c r="BF182" s="14"/>
      <c r="BG182" s="14"/>
      <c r="BH182" s="14"/>
      <c r="BI182" s="14"/>
      <c r="BJ182" s="11"/>
      <c r="BK182" s="14"/>
      <c r="BL182" s="14"/>
      <c r="BM182" s="14"/>
      <c r="BN182" s="14"/>
      <c r="BO182" s="11"/>
      <c r="BP182" s="14"/>
      <c r="BQ182" s="14"/>
      <c r="BR182" s="14"/>
      <c r="BS182" s="14"/>
      <c r="BT182" s="13"/>
      <c r="BU182" s="14"/>
      <c r="BV182" s="14"/>
      <c r="BW182" s="14"/>
      <c r="BX182" s="14"/>
      <c r="BY182" s="95"/>
      <c r="BZ182" s="14"/>
      <c r="CA182" s="14"/>
      <c r="CB182" s="14"/>
      <c r="CC182" s="14"/>
      <c r="CD182" s="339"/>
      <c r="CE182" s="14"/>
      <c r="CF182" s="14"/>
      <c r="CG182" s="14"/>
      <c r="CH182" s="14"/>
      <c r="CI182" s="53"/>
      <c r="CJ182" s="14"/>
      <c r="CK182" s="14"/>
      <c r="CL182" s="14"/>
      <c r="CM182" s="14"/>
      <c r="CN182" s="49"/>
      <c r="CO182" s="14"/>
      <c r="CP182" s="14"/>
      <c r="CQ182" s="14"/>
      <c r="CR182" s="14"/>
      <c r="CS182" s="49"/>
      <c r="CT182" s="14"/>
      <c r="CU182" s="14"/>
      <c r="CV182" s="14"/>
      <c r="CW182" s="14"/>
      <c r="CX182" s="49"/>
      <c r="CY182" s="304"/>
      <c r="CZ182" s="304"/>
      <c r="DA182" s="304"/>
      <c r="DB182" s="304"/>
      <c r="DC182" s="11"/>
      <c r="DD182" s="14"/>
      <c r="DE182" s="14"/>
      <c r="DF182" s="14"/>
      <c r="DG182" s="14"/>
      <c r="DH182" s="304"/>
      <c r="DI182" s="304"/>
      <c r="DJ182" s="304"/>
      <c r="DK182" s="242">
        <f>DK181/DK167</f>
        <v>-0.1004884856943475</v>
      </c>
      <c r="DL182" s="242">
        <f>DL181/DL167</f>
        <v>0.16713032427554611</v>
      </c>
      <c r="DM182" s="304"/>
      <c r="DN182" s="242">
        <f>DN181/DN167</f>
        <v>-8.6373790022338054E-2</v>
      </c>
      <c r="DO182" s="242">
        <f>DO181/DO167</f>
        <v>-0.11093627065302912</v>
      </c>
      <c r="DP182" s="242">
        <f>DP181/DP167</f>
        <v>-0.12777459251371939</v>
      </c>
      <c r="DQ182" s="242">
        <f>DQ181/DQ167</f>
        <v>0.23103765440086244</v>
      </c>
      <c r="DR182" s="11"/>
      <c r="DS182" s="242">
        <f>DS181/DS167</f>
        <v>-2.1940734755782957E-2</v>
      </c>
      <c r="DT182" s="242">
        <f>DT181/DT167</f>
        <v>-5.2992763554460948E-2</v>
      </c>
      <c r="DU182" s="242">
        <f>DU181/DU167</f>
        <v>-5.3503421942150499E-2</v>
      </c>
      <c r="DV182" s="242">
        <f>DV181/DV167</f>
        <v>0.26502410920502806</v>
      </c>
      <c r="DX182" s="862"/>
      <c r="DY182" s="862"/>
      <c r="DZ182" s="862"/>
      <c r="EA182" s="862"/>
      <c r="EB182" s="862"/>
      <c r="EH182" s="1048"/>
      <c r="EI182" s="1048"/>
      <c r="EJ182" s="1048"/>
      <c r="EK182" s="1048"/>
      <c r="EM182" s="1048"/>
      <c r="FL182" s="1048"/>
    </row>
    <row r="183" spans="1:168">
      <c r="A183" s="397"/>
      <c r="B183" s="11"/>
      <c r="C183" s="11"/>
      <c r="D183" s="11"/>
      <c r="E183" s="11"/>
      <c r="F183" s="11"/>
      <c r="G183" s="11"/>
      <c r="H183" s="11"/>
      <c r="I183" s="88"/>
      <c r="J183" s="11"/>
      <c r="K183" s="88"/>
      <c r="L183" s="11"/>
      <c r="M183" s="88"/>
      <c r="N183" s="14"/>
      <c r="O183" s="11"/>
      <c r="P183" s="14"/>
      <c r="Q183" s="398"/>
      <c r="R183" s="14"/>
      <c r="S183" s="11"/>
      <c r="T183" s="14"/>
      <c r="U183" s="14"/>
      <c r="V183" s="14"/>
      <c r="W183" s="14"/>
      <c r="X183" s="14"/>
      <c r="Y183" s="49"/>
      <c r="Z183" s="49"/>
      <c r="AA183" s="49"/>
      <c r="AB183" s="49"/>
      <c r="AC183" s="49"/>
      <c r="AD183" s="49"/>
      <c r="AE183" s="49"/>
      <c r="AF183" s="49"/>
      <c r="AG183" s="14"/>
      <c r="AH183" s="14"/>
      <c r="AI183" s="14"/>
      <c r="AJ183" s="14"/>
      <c r="AK183" s="14"/>
      <c r="AL183" s="14"/>
      <c r="AM183" s="14"/>
      <c r="AN183" s="14"/>
      <c r="AO183" s="14"/>
      <c r="AP183" s="14"/>
      <c r="AQ183" s="14"/>
      <c r="AR183" s="14"/>
      <c r="AS183" s="14"/>
      <c r="AT183" s="14"/>
      <c r="AU183" s="14"/>
      <c r="AV183" s="14"/>
      <c r="AW183" s="14"/>
      <c r="AX183" s="354"/>
      <c r="AY183" s="354"/>
      <c r="AZ183" s="354"/>
      <c r="BA183" s="354"/>
      <c r="BB183" s="354"/>
      <c r="BC183" s="354"/>
      <c r="BD183" s="354"/>
      <c r="BE183" s="69"/>
      <c r="BF183" s="14"/>
      <c r="BG183" s="14"/>
      <c r="BH183" s="14"/>
      <c r="BI183" s="14"/>
      <c r="BJ183" s="11"/>
      <c r="BK183" s="14"/>
      <c r="BL183" s="14"/>
      <c r="BM183" s="14"/>
      <c r="BN183" s="14"/>
      <c r="BO183" s="11"/>
      <c r="BP183" s="14"/>
      <c r="BQ183" s="14"/>
      <c r="BR183" s="14"/>
      <c r="BS183" s="14"/>
      <c r="BT183" s="13"/>
      <c r="BU183" s="14"/>
      <c r="BV183" s="14"/>
      <c r="BW183" s="14"/>
      <c r="BX183" s="14"/>
      <c r="BY183" s="95"/>
      <c r="BZ183" s="14"/>
      <c r="CA183" s="14"/>
      <c r="CB183" s="14"/>
      <c r="CC183" s="14"/>
      <c r="CD183" s="339"/>
      <c r="CE183" s="14"/>
      <c r="CF183" s="14"/>
      <c r="CG183" s="14"/>
      <c r="CH183" s="14"/>
      <c r="CI183" s="53"/>
      <c r="CJ183" s="14"/>
      <c r="CK183" s="14"/>
      <c r="CL183" s="14"/>
      <c r="CM183" s="14"/>
      <c r="CN183" s="49"/>
      <c r="CO183" s="14"/>
      <c r="CP183" s="14"/>
      <c r="CQ183" s="14"/>
      <c r="CR183" s="14"/>
      <c r="CS183" s="49"/>
      <c r="CT183" s="14"/>
      <c r="CU183" s="14"/>
      <c r="CV183" s="14"/>
      <c r="CW183" s="14"/>
      <c r="CX183" s="49"/>
      <c r="CY183" s="304"/>
      <c r="CZ183" s="304"/>
      <c r="DA183" s="304"/>
      <c r="DB183" s="304"/>
      <c r="DC183" s="11"/>
      <c r="DD183" s="304"/>
      <c r="DE183" s="304"/>
      <c r="DF183" s="304"/>
      <c r="DG183" s="304"/>
      <c r="DH183" s="304"/>
      <c r="DI183" s="304"/>
      <c r="DJ183" s="304"/>
      <c r="DK183" s="304"/>
      <c r="DL183" s="304"/>
      <c r="DM183" s="304"/>
      <c r="DN183" s="11"/>
      <c r="DO183" s="11"/>
      <c r="DP183" s="11"/>
      <c r="DQ183" s="11"/>
      <c r="DR183" s="11"/>
      <c r="DX183" s="906"/>
      <c r="DY183" s="906"/>
      <c r="DZ183" s="906"/>
      <c r="EA183" s="906"/>
      <c r="EB183" s="906"/>
      <c r="EC183" s="1048"/>
      <c r="ED183" s="1048"/>
      <c r="EE183" s="1048"/>
      <c r="EF183" s="1048"/>
      <c r="EH183" s="1048"/>
      <c r="EI183" s="1048"/>
      <c r="EJ183" s="1048"/>
      <c r="EK183" s="1048"/>
      <c r="EM183" s="1048"/>
      <c r="EV183" s="1577"/>
      <c r="EW183" s="1577"/>
      <c r="EX183" s="1577"/>
      <c r="EY183" s="1577"/>
      <c r="EZ183" s="1577"/>
      <c r="FA183" s="1577"/>
      <c r="FB183" s="1577"/>
      <c r="FC183" s="1577"/>
      <c r="FD183" s="1577"/>
      <c r="FE183" s="1577"/>
      <c r="FF183" s="1577"/>
      <c r="FG183" s="1577"/>
      <c r="FH183" s="1577"/>
      <c r="FI183" s="1577"/>
      <c r="FJ183" s="1577"/>
      <c r="FK183" s="1577"/>
      <c r="FL183" s="1048"/>
    </row>
    <row r="184" spans="1:168" ht="15">
      <c r="A184" s="380" t="s">
        <v>638</v>
      </c>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49"/>
      <c r="Z184" s="49"/>
      <c r="AA184" s="49"/>
      <c r="AB184" s="49"/>
      <c r="AC184" s="49"/>
      <c r="AD184" s="11"/>
      <c r="AE184" s="11"/>
      <c r="AF184" s="11"/>
      <c r="AG184" s="11"/>
      <c r="AH184" s="11"/>
      <c r="AI184" s="11"/>
      <c r="AJ184" s="11"/>
      <c r="AK184" s="11"/>
      <c r="AL184" s="11"/>
      <c r="AM184" s="11"/>
      <c r="AN184" s="11"/>
      <c r="AO184" s="11"/>
      <c r="AP184" s="11"/>
      <c r="AQ184" s="11"/>
      <c r="AR184" s="11"/>
      <c r="AS184" s="11"/>
      <c r="AT184" s="11"/>
      <c r="AU184" s="11"/>
      <c r="AV184" s="11"/>
      <c r="AW184" s="11"/>
      <c r="AX184" s="69"/>
      <c r="AY184" s="69"/>
      <c r="AZ184" s="69"/>
      <c r="BA184" s="69"/>
      <c r="BB184" s="69"/>
      <c r="BC184" s="69"/>
      <c r="BD184" s="69"/>
      <c r="BE184" s="69"/>
      <c r="BF184" s="11"/>
      <c r="BG184" s="11"/>
      <c r="BH184" s="11"/>
      <c r="BI184" s="11"/>
      <c r="BJ184" s="11"/>
      <c r="BK184" s="11"/>
      <c r="BL184" s="11"/>
      <c r="BM184" s="11"/>
      <c r="BN184" s="11"/>
      <c r="BO184" s="11"/>
      <c r="BP184" s="11"/>
      <c r="BQ184" s="11"/>
      <c r="BR184" s="11"/>
      <c r="BS184" s="11"/>
      <c r="BT184" s="11"/>
      <c r="BU184" s="11"/>
      <c r="BV184" s="11"/>
      <c r="BW184" s="11"/>
      <c r="BX184" s="11"/>
      <c r="BY184" s="95"/>
      <c r="BZ184" s="11"/>
      <c r="CA184" s="11"/>
      <c r="CB184" s="11"/>
      <c r="CC184" s="11"/>
      <c r="CD184" s="377"/>
      <c r="CE184" s="11"/>
      <c r="CF184" s="11"/>
      <c r="CG184" s="11"/>
      <c r="CH184" s="11"/>
      <c r="CI184" s="53"/>
      <c r="CJ184" s="11"/>
      <c r="CK184" s="11"/>
      <c r="CL184" s="11"/>
      <c r="CM184" s="11"/>
      <c r="CN184" s="49"/>
      <c r="CO184" s="11"/>
      <c r="CP184" s="11"/>
      <c r="CQ184" s="11"/>
      <c r="CR184" s="11"/>
      <c r="CS184" s="49"/>
      <c r="CT184" s="11"/>
      <c r="CU184" s="11"/>
      <c r="CV184" s="11"/>
      <c r="CW184" s="11"/>
      <c r="CX184" s="49"/>
      <c r="CY184" s="304"/>
      <c r="CZ184" s="304"/>
      <c r="DA184" s="304"/>
      <c r="DB184" s="304"/>
      <c r="DC184" s="11"/>
      <c r="DD184" s="304"/>
      <c r="DE184" s="304"/>
      <c r="DF184" s="304"/>
      <c r="DG184" s="304"/>
      <c r="DH184" s="304"/>
      <c r="DI184" s="304"/>
      <c r="DJ184" s="304"/>
      <c r="DK184" s="304"/>
      <c r="DL184" s="304"/>
      <c r="DM184" s="304"/>
      <c r="DN184" s="11"/>
      <c r="DO184" s="11"/>
      <c r="DP184" s="11"/>
      <c r="DQ184" s="11"/>
      <c r="DR184" s="11"/>
      <c r="DX184" s="906"/>
      <c r="DY184" s="906"/>
      <c r="DZ184" s="906"/>
      <c r="EA184" s="906"/>
      <c r="EB184" s="906"/>
      <c r="EC184" s="1048"/>
      <c r="ED184" s="1048"/>
      <c r="EE184" s="1048"/>
      <c r="EF184" s="1048"/>
      <c r="EH184" s="1048"/>
      <c r="EI184" s="1048"/>
      <c r="EJ184" s="1048"/>
      <c r="EK184" s="1048"/>
      <c r="EM184" s="1048"/>
      <c r="EV184" s="1577"/>
      <c r="EW184" s="1577"/>
      <c r="EX184" s="1577"/>
      <c r="EY184" s="1577"/>
      <c r="EZ184" s="1577"/>
      <c r="FA184" s="1577"/>
      <c r="FB184" s="1577"/>
      <c r="FC184" s="1577"/>
      <c r="FD184" s="1577"/>
      <c r="FE184" s="1577"/>
      <c r="FF184" s="1577"/>
      <c r="FG184" s="1577"/>
      <c r="FH184" s="1577"/>
      <c r="FI184" s="1577"/>
      <c r="FJ184" s="1577"/>
      <c r="FK184" s="1577"/>
      <c r="FL184" s="1048"/>
    </row>
    <row r="185" spans="1:168" ht="15">
      <c r="A185" s="381" t="s">
        <v>730</v>
      </c>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448"/>
      <c r="Z185" s="448"/>
      <c r="AA185" s="448"/>
      <c r="AB185" s="448"/>
      <c r="AC185" s="448"/>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69"/>
      <c r="BA185" s="69"/>
      <c r="BB185" s="69"/>
      <c r="BC185" s="69"/>
      <c r="BD185" s="69"/>
      <c r="BE185" s="69"/>
      <c r="BF185" s="19"/>
      <c r="BG185" s="19"/>
      <c r="BH185" s="19"/>
      <c r="BI185" s="19"/>
      <c r="BJ185" s="69"/>
      <c r="BK185" s="19"/>
      <c r="BL185" s="19"/>
      <c r="BM185" s="19"/>
      <c r="BN185" s="19"/>
      <c r="BO185" s="19"/>
      <c r="BP185" s="19"/>
      <c r="BQ185" s="19"/>
      <c r="BR185" s="19"/>
      <c r="BS185" s="19"/>
      <c r="BT185" s="19"/>
      <c r="BU185" s="19"/>
      <c r="BV185" s="19"/>
      <c r="BW185" s="19"/>
      <c r="BX185" s="19"/>
      <c r="BY185" s="95"/>
      <c r="BZ185" s="11"/>
      <c r="CA185" s="11"/>
      <c r="CB185" s="11"/>
      <c r="CC185" s="11"/>
      <c r="CD185" s="377"/>
      <c r="CE185" s="11"/>
      <c r="CF185" s="11"/>
      <c r="CG185" s="11"/>
      <c r="CH185" s="11"/>
      <c r="CI185" s="53"/>
      <c r="CJ185" s="11"/>
      <c r="CK185" s="11"/>
      <c r="CL185" s="11"/>
      <c r="CM185" s="11"/>
      <c r="CN185" s="49"/>
      <c r="CO185" s="11"/>
      <c r="CP185" s="11"/>
      <c r="CQ185" s="11"/>
      <c r="CR185" s="11"/>
      <c r="CS185" s="49"/>
      <c r="CT185" s="11"/>
      <c r="CU185" s="11"/>
      <c r="CV185" s="11"/>
      <c r="CW185" s="11"/>
      <c r="CX185" s="49"/>
      <c r="CY185" s="304"/>
      <c r="CZ185" s="304"/>
      <c r="DA185" s="304"/>
      <c r="DB185" s="304"/>
      <c r="DC185" s="11"/>
      <c r="DD185" s="304"/>
      <c r="DE185" s="304"/>
      <c r="DF185" s="304"/>
      <c r="DG185" s="304"/>
      <c r="DH185" s="304"/>
      <c r="DI185" s="304"/>
      <c r="DJ185" s="304"/>
      <c r="DK185" s="304"/>
      <c r="DL185" s="304"/>
      <c r="DM185" s="304"/>
      <c r="DN185" s="11"/>
      <c r="DO185" s="11"/>
      <c r="DP185" s="11"/>
      <c r="DQ185" s="11"/>
      <c r="DR185" s="11"/>
      <c r="DX185" s="906"/>
      <c r="DY185" s="906"/>
      <c r="DZ185" s="906"/>
      <c r="EA185" s="906"/>
      <c r="EB185" s="906"/>
      <c r="EC185" s="1048"/>
      <c r="ED185" s="1048"/>
      <c r="EE185" s="1048"/>
      <c r="EF185" s="1048"/>
      <c r="EH185" s="1048"/>
      <c r="EI185" s="1048"/>
      <c r="EJ185" s="1048"/>
      <c r="EK185" s="1048"/>
      <c r="EM185" s="1048"/>
      <c r="EV185" s="1577"/>
      <c r="EW185" s="1577"/>
      <c r="EX185" s="1577"/>
      <c r="EY185" s="1577"/>
      <c r="EZ185" s="1577"/>
      <c r="FA185" s="1577"/>
      <c r="FB185" s="1577"/>
      <c r="FC185" s="1577"/>
      <c r="FD185" s="1577"/>
      <c r="FE185" s="1577"/>
      <c r="FF185" s="1577"/>
      <c r="FG185" s="1577"/>
      <c r="FH185" s="1577"/>
      <c r="FI185" s="1577"/>
      <c r="FJ185" s="1577"/>
      <c r="FK185" s="1577"/>
      <c r="FL185" s="1048"/>
    </row>
    <row r="186" spans="1:168">
      <c r="A186" s="183"/>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c r="AU186" s="11"/>
      <c r="AV186" s="11"/>
      <c r="AW186" s="11"/>
      <c r="AX186" s="69"/>
      <c r="AY186" s="69"/>
      <c r="AZ186" s="69"/>
      <c r="BA186" s="69"/>
      <c r="BB186" s="69"/>
      <c r="BC186" s="69"/>
      <c r="BD186" s="69"/>
      <c r="BE186" s="69"/>
      <c r="BF186" s="11"/>
      <c r="BG186" s="11"/>
      <c r="BH186" s="11"/>
      <c r="BI186" s="11"/>
      <c r="BJ186" s="69"/>
      <c r="BK186" s="11"/>
      <c r="BL186" s="11"/>
      <c r="BM186" s="11"/>
      <c r="BN186" s="11"/>
      <c r="BO186" s="11"/>
      <c r="BP186" s="11"/>
      <c r="BQ186" s="11"/>
      <c r="BR186" s="11"/>
      <c r="BS186" s="11"/>
      <c r="BT186" s="11"/>
      <c r="BU186" s="11"/>
      <c r="BV186" s="11"/>
      <c r="BW186" s="11"/>
      <c r="BX186" s="11"/>
      <c r="BY186" s="95"/>
      <c r="BZ186" s="11"/>
      <c r="CA186" s="11"/>
      <c r="CB186" s="11"/>
      <c r="CC186" s="11"/>
      <c r="CD186" s="377"/>
      <c r="CE186" s="11"/>
      <c r="CF186" s="11"/>
      <c r="CG186" s="11"/>
      <c r="CH186" s="11"/>
      <c r="CI186" s="53"/>
      <c r="CJ186" s="11"/>
      <c r="CK186" s="11"/>
      <c r="CL186" s="11"/>
      <c r="CM186" s="11"/>
      <c r="CN186" s="49"/>
      <c r="CO186" s="11"/>
      <c r="CP186" s="11"/>
      <c r="CQ186" s="11"/>
      <c r="CR186" s="11"/>
      <c r="CS186" s="49"/>
      <c r="CT186" s="11"/>
      <c r="CU186" s="11"/>
      <c r="CV186" s="11"/>
      <c r="CW186" s="11"/>
      <c r="CX186" s="49"/>
      <c r="CY186" s="304"/>
      <c r="CZ186" s="304"/>
      <c r="DA186" s="304"/>
      <c r="DB186" s="304"/>
      <c r="DC186" s="11"/>
      <c r="DD186" s="304"/>
      <c r="DE186" s="304"/>
      <c r="DF186" s="304"/>
      <c r="DG186" s="304"/>
      <c r="DH186" s="304"/>
      <c r="DI186" s="304"/>
      <c r="DJ186" s="304"/>
      <c r="DK186" s="304"/>
      <c r="DL186" s="304"/>
      <c r="DM186" s="304"/>
      <c r="DN186" s="304"/>
      <c r="DO186" s="304"/>
      <c r="DP186" s="304"/>
      <c r="DQ186" s="304"/>
      <c r="DR186" s="11"/>
      <c r="DX186" s="906"/>
      <c r="DY186" s="906"/>
      <c r="DZ186" s="906"/>
      <c r="EA186" s="906"/>
      <c r="EB186" s="906"/>
      <c r="EC186" s="906"/>
      <c r="ED186" s="906"/>
      <c r="EE186" s="906"/>
      <c r="EF186" s="906"/>
      <c r="EH186" s="906"/>
      <c r="EI186" s="906"/>
      <c r="EJ186" s="906"/>
      <c r="EK186" s="906"/>
      <c r="EM186" s="1404"/>
      <c r="EV186" s="1577"/>
      <c r="EW186" s="1577"/>
      <c r="EX186" s="1577"/>
      <c r="EY186" s="1577"/>
      <c r="EZ186" s="1577"/>
      <c r="FA186" s="1577"/>
      <c r="FB186" s="1577"/>
      <c r="FC186" s="1577"/>
      <c r="FD186" s="1577"/>
      <c r="FE186" s="1577"/>
      <c r="FF186" s="1577"/>
      <c r="FG186" s="1577"/>
      <c r="FH186" s="1577"/>
      <c r="FI186" s="1577"/>
      <c r="FJ186" s="1577"/>
      <c r="FK186" s="1577"/>
      <c r="FL186" s="906"/>
    </row>
    <row r="187" spans="1:168">
      <c r="A187" s="449" t="s">
        <v>643</v>
      </c>
      <c r="B187" s="103" t="str">
        <f>+B$4</f>
        <v>Viacom</v>
      </c>
      <c r="C187" s="103" t="str">
        <f>+C$4</f>
        <v>INF</v>
      </c>
      <c r="D187" s="103" t="str">
        <f>+D$4</f>
        <v>Adj.</v>
      </c>
      <c r="E187" s="103" t="str">
        <f>+E$4</f>
        <v>Pro Forma</v>
      </c>
      <c r="F187" s="103" t="s">
        <v>636</v>
      </c>
      <c r="G187" s="11" t="s">
        <v>632</v>
      </c>
      <c r="H187" s="103" t="str">
        <f>+$H$4</f>
        <v>PF VIA</v>
      </c>
      <c r="I187" s="103" t="str">
        <f>+I$4</f>
        <v>CBS</v>
      </c>
      <c r="J187" s="103" t="str">
        <f>+J$4</f>
        <v>Adj.</v>
      </c>
      <c r="K187" s="103" t="str">
        <f>+K$4</f>
        <v>Pro Forma</v>
      </c>
      <c r="L187" s="103" t="s">
        <v>636</v>
      </c>
      <c r="M187" s="103" t="str">
        <f>+$M$4</f>
        <v>Pro Forma</v>
      </c>
      <c r="N187" s="103" t="str">
        <f>+N$4</f>
        <v>Pro Forma</v>
      </c>
      <c r="O187" s="103" t="s">
        <v>636</v>
      </c>
      <c r="P187" s="103" t="str">
        <f>+P$4</f>
        <v>Actual</v>
      </c>
      <c r="Q187" s="103"/>
      <c r="R187" s="103" t="str">
        <f>+R$4</f>
        <v>Pro Forma</v>
      </c>
      <c r="S187" s="103" t="s">
        <v>636</v>
      </c>
      <c r="T187" s="11"/>
      <c r="U187" s="11"/>
      <c r="V187" s="11"/>
      <c r="W187" s="103"/>
      <c r="X187" s="11"/>
      <c r="Y187" s="103" t="s">
        <v>636</v>
      </c>
      <c r="Z187" s="103" t="s">
        <v>636</v>
      </c>
      <c r="AA187" s="103" t="s">
        <v>636</v>
      </c>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69"/>
      <c r="AY187" s="69"/>
      <c r="AZ187" s="69"/>
      <c r="BA187" s="69"/>
      <c r="BB187" s="69"/>
      <c r="BC187" s="69"/>
      <c r="BD187" s="69"/>
      <c r="BE187" s="69"/>
      <c r="BF187" s="92" t="str">
        <f>+BF$4</f>
        <v xml:space="preserve">Pro Forma 1999 </v>
      </c>
      <c r="BG187" s="92"/>
      <c r="BH187" s="92"/>
      <c r="BI187" s="92"/>
      <c r="BJ187" s="69"/>
      <c r="BK187" s="92" t="str">
        <f>+BK$4</f>
        <v xml:space="preserve"> Pro Forma 2000</v>
      </c>
      <c r="BL187" s="92"/>
      <c r="BM187" s="92"/>
      <c r="BN187" s="92"/>
      <c r="BO187" s="343"/>
      <c r="BP187" s="384" t="s">
        <v>1287</v>
      </c>
      <c r="BQ187" s="384"/>
      <c r="BR187" s="384"/>
      <c r="BS187" s="384"/>
      <c r="BT187" s="11"/>
      <c r="BU187" s="92">
        <f>+$BU$4</f>
        <v>2001</v>
      </c>
      <c r="BV187" s="92"/>
      <c r="BW187" s="92"/>
      <c r="BX187" s="92"/>
      <c r="BY187" s="95"/>
      <c r="BZ187" s="92">
        <f>+$BZ$4</f>
        <v>2002</v>
      </c>
      <c r="CA187" s="92"/>
      <c r="CB187" s="92"/>
      <c r="CC187" s="92"/>
      <c r="CD187" s="377"/>
      <c r="CE187" s="92">
        <f>+$CE$4</f>
        <v>2003</v>
      </c>
      <c r="CF187" s="92"/>
      <c r="CG187" s="92"/>
      <c r="CH187" s="92"/>
      <c r="CI187" s="53"/>
      <c r="CJ187" s="92" t="s">
        <v>1286</v>
      </c>
      <c r="CK187" s="92"/>
      <c r="CL187" s="92"/>
      <c r="CM187" s="92"/>
      <c r="CN187" s="49"/>
      <c r="CO187" s="92" t="s">
        <v>642</v>
      </c>
      <c r="CP187" s="92"/>
      <c r="CQ187" s="92"/>
      <c r="CR187" s="92"/>
      <c r="CS187" s="49"/>
      <c r="CT187" s="92">
        <f>CT4</f>
        <v>2005</v>
      </c>
      <c r="CU187" s="92"/>
      <c r="CV187" s="92"/>
      <c r="CW187" s="92"/>
      <c r="CX187" s="49"/>
      <c r="CY187" s="92">
        <f>CY4</f>
        <v>2006</v>
      </c>
      <c r="CZ187" s="92"/>
      <c r="DA187" s="92"/>
      <c r="DB187" s="92"/>
      <c r="DC187" s="11"/>
      <c r="DD187" s="92">
        <f>DD4</f>
        <v>2007</v>
      </c>
      <c r="DE187" s="92"/>
      <c r="DF187" s="92"/>
      <c r="DG187" s="92"/>
      <c r="DH187" s="304"/>
      <c r="DI187" s="92">
        <f>DI4</f>
        <v>2008</v>
      </c>
      <c r="DJ187" s="92"/>
      <c r="DK187" s="92"/>
      <c r="DL187" s="92"/>
      <c r="DM187" s="304"/>
      <c r="DN187" s="92">
        <f>DN4</f>
        <v>2009</v>
      </c>
      <c r="DO187" s="92"/>
      <c r="DP187" s="92"/>
      <c r="DQ187" s="92"/>
      <c r="DR187" s="11"/>
      <c r="DS187" s="92">
        <f>DS4</f>
        <v>2010</v>
      </c>
      <c r="DT187" s="92"/>
      <c r="DU187" s="92"/>
      <c r="DV187" s="92"/>
      <c r="DX187" s="1144">
        <f>DX4</f>
        <v>2011</v>
      </c>
      <c r="DY187" s="1144"/>
      <c r="DZ187" s="1144"/>
      <c r="EA187" s="1144"/>
      <c r="EB187" s="906"/>
      <c r="EC187" s="1144">
        <f>EC4</f>
        <v>2012</v>
      </c>
      <c r="ED187" s="1144"/>
      <c r="EE187" s="1144"/>
      <c r="EF187" s="1144"/>
      <c r="EH187" s="1144" t="str">
        <f>EH4</f>
        <v>2013A</v>
      </c>
      <c r="EI187" s="1144"/>
      <c r="EJ187" s="1144"/>
      <c r="EK187" s="1144"/>
      <c r="EM187" s="1144" t="str">
        <f>EM4</f>
        <v>2014A</v>
      </c>
      <c r="EN187" s="1144"/>
      <c r="EO187" s="1144"/>
      <c r="EP187" s="1144"/>
      <c r="ER187" s="1144" t="str">
        <f>ER4</f>
        <v>2015A</v>
      </c>
      <c r="ES187" s="1144"/>
      <c r="ET187" s="1144"/>
      <c r="EU187" s="1144"/>
      <c r="EV187" s="1577"/>
      <c r="EW187" s="3596">
        <f>EW4</f>
        <v>2016</v>
      </c>
      <c r="EX187" s="3596"/>
      <c r="EY187" s="3596"/>
      <c r="EZ187" s="3596"/>
      <c r="FA187" s="1577"/>
      <c r="FB187" s="3596" t="str">
        <f>FB4</f>
        <v>2017E</v>
      </c>
      <c r="FC187" s="3596"/>
      <c r="FD187" s="3596"/>
      <c r="FE187" s="3596"/>
      <c r="FF187" s="3274"/>
      <c r="FG187" s="3596" t="str">
        <f>FG4</f>
        <v>2018E</v>
      </c>
      <c r="FH187" s="3596"/>
      <c r="FI187" s="3596"/>
      <c r="FJ187" s="3596"/>
      <c r="FK187" s="1577"/>
      <c r="FL187" s="1144"/>
    </row>
    <row r="188" spans="1:168">
      <c r="A188" s="386"/>
      <c r="B188" s="19">
        <v>1998</v>
      </c>
      <c r="C188" s="344" t="str">
        <f>+C$5</f>
        <v>1998A</v>
      </c>
      <c r="D188" s="344">
        <f>+D$5</f>
        <v>1998</v>
      </c>
      <c r="E188" s="344">
        <f>+E$5</f>
        <v>1998</v>
      </c>
      <c r="F188" s="19">
        <f>F5</f>
        <v>1998</v>
      </c>
      <c r="G188" s="344">
        <v>1999</v>
      </c>
      <c r="H188" s="344" t="str">
        <f>+$H$5</f>
        <v>1999A</v>
      </c>
      <c r="I188" s="344" t="str">
        <f>+$H$5</f>
        <v>1999A</v>
      </c>
      <c r="J188" s="344">
        <f>+$J$5</f>
        <v>1999</v>
      </c>
      <c r="K188" s="344">
        <f>+$K$5</f>
        <v>1999</v>
      </c>
      <c r="L188" s="19">
        <f>L5</f>
        <v>1999</v>
      </c>
      <c r="M188" s="344">
        <f t="shared" ref="M188:U188" si="260">+M$5</f>
        <v>2000</v>
      </c>
      <c r="N188" s="344">
        <f t="shared" si="260"/>
        <v>2000</v>
      </c>
      <c r="O188" s="19">
        <f>O5</f>
        <v>2000</v>
      </c>
      <c r="P188" s="344">
        <f t="shared" si="260"/>
        <v>2001</v>
      </c>
      <c r="Q188" s="344" t="str">
        <f t="shared" si="260"/>
        <v>Adj</v>
      </c>
      <c r="R188" s="344">
        <f t="shared" si="260"/>
        <v>2001</v>
      </c>
      <c r="S188" s="19">
        <f>S5</f>
        <v>2001</v>
      </c>
      <c r="T188" s="344">
        <f t="shared" si="260"/>
        <v>2002</v>
      </c>
      <c r="U188" s="344">
        <f t="shared" si="260"/>
        <v>2003</v>
      </c>
      <c r="V188" s="344"/>
      <c r="W188" s="344">
        <v>2003</v>
      </c>
      <c r="X188" s="344">
        <f>+X$5</f>
        <v>2004</v>
      </c>
      <c r="Y188" s="19">
        <f>Y5</f>
        <v>2002</v>
      </c>
      <c r="Z188" s="19">
        <f>Z5</f>
        <v>2003</v>
      </c>
      <c r="AA188" s="19">
        <f>AA5</f>
        <v>2004</v>
      </c>
      <c r="AB188" s="344">
        <f t="shared" ref="AB188:AY188" si="261">+AB$5</f>
        <v>2005</v>
      </c>
      <c r="AC188" s="344">
        <f t="shared" si="261"/>
        <v>2006</v>
      </c>
      <c r="AD188" s="344">
        <f t="shared" si="261"/>
        <v>2007</v>
      </c>
      <c r="AE188" s="344">
        <f t="shared" si="261"/>
        <v>2008</v>
      </c>
      <c r="AF188" s="344">
        <f t="shared" si="261"/>
        <v>2009</v>
      </c>
      <c r="AG188" s="344">
        <f t="shared" si="261"/>
        <v>2010</v>
      </c>
      <c r="AH188" s="344">
        <f t="shared" si="261"/>
        <v>2011</v>
      </c>
      <c r="AI188" s="344">
        <f t="shared" si="261"/>
        <v>2012</v>
      </c>
      <c r="AJ188" s="344">
        <f t="shared" si="261"/>
        <v>2013</v>
      </c>
      <c r="AK188" s="344">
        <f t="shared" si="261"/>
        <v>2014</v>
      </c>
      <c r="AL188" s="344">
        <f t="shared" si="261"/>
        <v>2015</v>
      </c>
      <c r="AM188" s="344">
        <f t="shared" si="261"/>
        <v>2016</v>
      </c>
      <c r="AN188" s="344" t="str">
        <f t="shared" si="261"/>
        <v>2017E</v>
      </c>
      <c r="AO188" s="344" t="str">
        <f t="shared" si="261"/>
        <v>2018E</v>
      </c>
      <c r="AP188" s="344" t="str">
        <f t="shared" si="261"/>
        <v>2019E</v>
      </c>
      <c r="AQ188" s="344" t="str">
        <f t="shared" si="261"/>
        <v>2020E</v>
      </c>
      <c r="AR188" s="344" t="str">
        <f t="shared" si="261"/>
        <v>2021E</v>
      </c>
      <c r="AS188" s="344" t="str">
        <f t="shared" si="261"/>
        <v>2022E</v>
      </c>
      <c r="AT188" s="344" t="str">
        <f t="shared" si="261"/>
        <v>2023E</v>
      </c>
      <c r="AU188" s="344" t="str">
        <f t="shared" si="261"/>
        <v>2024E</v>
      </c>
      <c r="AV188" s="344" t="str">
        <f t="shared" si="261"/>
        <v>2025E</v>
      </c>
      <c r="AW188" s="344" t="str">
        <f t="shared" si="261"/>
        <v>2026E</v>
      </c>
      <c r="AX188" s="344" t="str">
        <f t="shared" si="261"/>
        <v>2027E</v>
      </c>
      <c r="AY188" s="344" t="str">
        <f t="shared" si="261"/>
        <v>2028E</v>
      </c>
      <c r="AZ188" s="274"/>
      <c r="BA188" s="274"/>
      <c r="BB188" s="274"/>
      <c r="BC188" s="274"/>
      <c r="BD188" s="274"/>
      <c r="BE188" s="69"/>
      <c r="BF188" s="346" t="str">
        <f>+BF$5</f>
        <v>1Q</v>
      </c>
      <c r="BG188" s="346" t="str">
        <f>+BG$5</f>
        <v>2Q</v>
      </c>
      <c r="BH188" s="346" t="str">
        <f>+BH$5</f>
        <v>3Q</v>
      </c>
      <c r="BI188" s="346" t="str">
        <f>+BI$5</f>
        <v>4Q</v>
      </c>
      <c r="BJ188" s="69"/>
      <c r="BK188" s="346" t="str">
        <f>+BK$5</f>
        <v>1Q</v>
      </c>
      <c r="BL188" s="346" t="str">
        <f>+BL$5</f>
        <v>2Q</v>
      </c>
      <c r="BM188" s="346" t="str">
        <f>+BM$5</f>
        <v>3Q</v>
      </c>
      <c r="BN188" s="346" t="str">
        <f>+BN$5</f>
        <v>4Q</v>
      </c>
      <c r="BO188" s="346"/>
      <c r="BP188" s="387" t="str">
        <f>+BK188</f>
        <v>1Q</v>
      </c>
      <c r="BQ188" s="387" t="str">
        <f>+BL188</f>
        <v>2Q</v>
      </c>
      <c r="BR188" s="387" t="str">
        <f>+BM188</f>
        <v>3Q</v>
      </c>
      <c r="BS188" s="387" t="str">
        <f>+BN188</f>
        <v>4Q</v>
      </c>
      <c r="BT188" s="19"/>
      <c r="BU188" s="345" t="str">
        <f>+BU$5</f>
        <v>1Q</v>
      </c>
      <c r="BV188" s="345" t="str">
        <f>+BV$5</f>
        <v>2Q</v>
      </c>
      <c r="BW188" s="345" t="str">
        <f>+BW$5</f>
        <v>3Q</v>
      </c>
      <c r="BX188" s="345" t="str">
        <f>+BX$5</f>
        <v>4Q</v>
      </c>
      <c r="BY188" s="348"/>
      <c r="BZ188" s="345" t="str">
        <f>+BZ$5</f>
        <v>1Q</v>
      </c>
      <c r="CA188" s="345" t="str">
        <f>+CA$5</f>
        <v>2Q</v>
      </c>
      <c r="CB188" s="345" t="str">
        <f>+CB$5</f>
        <v>3Q</v>
      </c>
      <c r="CC188" s="345" t="str">
        <f>+CC$5</f>
        <v>4Q</v>
      </c>
      <c r="CD188" s="377"/>
      <c r="CE188" s="345" t="str">
        <f>+CE$5</f>
        <v>1Q</v>
      </c>
      <c r="CF188" s="345" t="str">
        <f>+CF$5</f>
        <v>2Q</v>
      </c>
      <c r="CG188" s="345" t="str">
        <f>+CG$5</f>
        <v>3Q</v>
      </c>
      <c r="CH188" s="345" t="str">
        <f>+CH$5</f>
        <v>4Q</v>
      </c>
      <c r="CI188" s="53"/>
      <c r="CJ188" s="344" t="str">
        <f>+CJ$5</f>
        <v>1Q</v>
      </c>
      <c r="CK188" s="344" t="str">
        <f>+CK$5</f>
        <v>2Q</v>
      </c>
      <c r="CL188" s="344" t="str">
        <f>+CL$5</f>
        <v>3Q</v>
      </c>
      <c r="CM188" s="344" t="str">
        <f>+CM$5</f>
        <v>4Q</v>
      </c>
      <c r="CN188" s="49"/>
      <c r="CO188" s="344" t="str">
        <f>+CO$5</f>
        <v>1Q</v>
      </c>
      <c r="CP188" s="344" t="str">
        <f>+CP$5</f>
        <v>2Q</v>
      </c>
      <c r="CQ188" s="344" t="str">
        <f>+CQ$5</f>
        <v>3Q</v>
      </c>
      <c r="CR188" s="344" t="str">
        <f>+CR$5</f>
        <v>4Q</v>
      </c>
      <c r="CS188" s="49"/>
      <c r="CT188" s="344" t="str">
        <f>CT5</f>
        <v>1Q</v>
      </c>
      <c r="CU188" s="344" t="str">
        <f>CU5</f>
        <v>2Q</v>
      </c>
      <c r="CV188" s="344" t="str">
        <f>CV5</f>
        <v>3Q</v>
      </c>
      <c r="CW188" s="344" t="str">
        <f>CW5</f>
        <v>4Q</v>
      </c>
      <c r="CX188" s="49"/>
      <c r="CY188" s="344" t="str">
        <f>CY5</f>
        <v>1Q</v>
      </c>
      <c r="CZ188" s="344" t="str">
        <f>CZ5</f>
        <v>2Q</v>
      </c>
      <c r="DA188" s="344" t="str">
        <f>DA5</f>
        <v>3Q</v>
      </c>
      <c r="DB188" s="344" t="str">
        <f>DB5</f>
        <v>4Q</v>
      </c>
      <c r="DC188" s="11"/>
      <c r="DD188" s="344" t="str">
        <f>DD5</f>
        <v>1Q</v>
      </c>
      <c r="DE188" s="344" t="str">
        <f>DE5</f>
        <v>2Q</v>
      </c>
      <c r="DF188" s="344" t="str">
        <f>DF5</f>
        <v>3Q</v>
      </c>
      <c r="DG188" s="344" t="str">
        <f>DG5</f>
        <v>4Q</v>
      </c>
      <c r="DH188" s="304"/>
      <c r="DI188" s="344" t="str">
        <f>DI5</f>
        <v>1Q</v>
      </c>
      <c r="DJ188" s="344" t="str">
        <f>DJ5</f>
        <v>2Q</v>
      </c>
      <c r="DK188" s="344" t="str">
        <f>DK5</f>
        <v>3Q</v>
      </c>
      <c r="DL188" s="344" t="str">
        <f>DL5</f>
        <v>4Q</v>
      </c>
      <c r="DM188" s="304"/>
      <c r="DN188" s="344" t="str">
        <f>DN5</f>
        <v>1Q</v>
      </c>
      <c r="DO188" s="344" t="str">
        <f>DO5</f>
        <v>2Q</v>
      </c>
      <c r="DP188" s="344" t="str">
        <f>DP5</f>
        <v>3Q</v>
      </c>
      <c r="DQ188" s="344" t="str">
        <f>DQ5</f>
        <v>4Q</v>
      </c>
      <c r="DR188" s="11"/>
      <c r="DS188" s="344" t="str">
        <f>DS5</f>
        <v>1Q</v>
      </c>
      <c r="DT188" s="344" t="str">
        <f>DT5</f>
        <v>2Q</v>
      </c>
      <c r="DU188" s="344" t="str">
        <f>DU5</f>
        <v>3Q</v>
      </c>
      <c r="DV188" s="344" t="str">
        <f>DV5</f>
        <v>4Q</v>
      </c>
      <c r="DX188" s="1145" t="str">
        <f>DX5</f>
        <v>1Q</v>
      </c>
      <c r="DY188" s="1145" t="str">
        <f>DY5</f>
        <v>2Q</v>
      </c>
      <c r="DZ188" s="1145" t="str">
        <f>DZ5</f>
        <v>3Q</v>
      </c>
      <c r="EA188" s="1145" t="str">
        <f>EA5</f>
        <v>4Q</v>
      </c>
      <c r="EB188" s="906"/>
      <c r="EC188" s="1145" t="str">
        <f>EC5</f>
        <v>1Q</v>
      </c>
      <c r="ED188" s="1145" t="str">
        <f>ED5</f>
        <v>2Q</v>
      </c>
      <c r="EE188" s="1145" t="str">
        <f>EE5</f>
        <v>3Q</v>
      </c>
      <c r="EF188" s="1145" t="str">
        <f>EF5</f>
        <v>4Q</v>
      </c>
      <c r="EH188" s="1145" t="str">
        <f>EH5</f>
        <v>1Q</v>
      </c>
      <c r="EI188" s="1145" t="str">
        <f>EI5</f>
        <v>2Q</v>
      </c>
      <c r="EJ188" s="1145" t="str">
        <f>EJ5</f>
        <v>3Q</v>
      </c>
      <c r="EK188" s="1145" t="str">
        <f>EK5</f>
        <v>4Q</v>
      </c>
      <c r="EM188" s="1417" t="str">
        <f>EM5</f>
        <v>1Q</v>
      </c>
      <c r="EN188" s="1417" t="str">
        <f>EN5</f>
        <v>2Q</v>
      </c>
      <c r="EO188" s="1417" t="str">
        <f>EO5</f>
        <v>3Q</v>
      </c>
      <c r="EP188" s="1145" t="str">
        <f>EP5</f>
        <v>4Q</v>
      </c>
      <c r="ER188" s="2025" t="str">
        <f>ER5</f>
        <v>1Q</v>
      </c>
      <c r="ES188" s="1145" t="str">
        <f>ES5</f>
        <v>2Q</v>
      </c>
      <c r="ET188" s="1145" t="str">
        <f>ET5</f>
        <v>3Q</v>
      </c>
      <c r="EU188" s="1145" t="str">
        <f>EU5</f>
        <v>4Q</v>
      </c>
      <c r="EV188" s="1577"/>
      <c r="EW188" s="2025" t="str">
        <f>EW5</f>
        <v>1Q</v>
      </c>
      <c r="EX188" s="2025" t="str">
        <f>EX5</f>
        <v>2Q</v>
      </c>
      <c r="EY188" s="2025" t="str">
        <f>EY5</f>
        <v>3Q</v>
      </c>
      <c r="EZ188" s="2025" t="str">
        <f>EZ5</f>
        <v>4Q</v>
      </c>
      <c r="FA188" s="1577"/>
      <c r="FB188" s="2025" t="str">
        <f>FB5</f>
        <v>1Q</v>
      </c>
      <c r="FC188" s="2025" t="str">
        <f>FC5</f>
        <v>2Q</v>
      </c>
      <c r="FD188" s="2025" t="str">
        <f>FD5</f>
        <v>3Q</v>
      </c>
      <c r="FE188" s="2025" t="str">
        <f>FE5</f>
        <v>4QE</v>
      </c>
      <c r="FF188" s="2412"/>
      <c r="FG188" s="2025" t="str">
        <f>FG5</f>
        <v>1QE</v>
      </c>
      <c r="FH188" s="2025" t="str">
        <f>FH5</f>
        <v>2QE</v>
      </c>
      <c r="FI188" s="2025" t="str">
        <f>FI5</f>
        <v>3QE</v>
      </c>
      <c r="FJ188" s="2025" t="str">
        <f>FJ5</f>
        <v>4QE</v>
      </c>
      <c r="FK188" s="1577"/>
      <c r="FL188" s="1145"/>
    </row>
    <row r="189" spans="1:168">
      <c r="A189" s="11"/>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69"/>
      <c r="AY189" s="69"/>
      <c r="AZ189" s="69"/>
      <c r="BA189" s="69"/>
      <c r="BB189" s="69"/>
      <c r="BC189" s="69"/>
      <c r="BD189" s="69"/>
      <c r="BE189" s="69"/>
      <c r="BF189" s="69"/>
      <c r="BG189" s="69"/>
      <c r="BH189" s="69"/>
      <c r="BI189" s="69"/>
      <c r="BJ189" s="69"/>
      <c r="BK189" s="69"/>
      <c r="BL189" s="69"/>
      <c r="BM189" s="69"/>
      <c r="BN189" s="69"/>
      <c r="BO189" s="69"/>
      <c r="BP189" s="69"/>
      <c r="BQ189" s="69"/>
      <c r="BR189" s="69"/>
      <c r="BS189" s="69"/>
      <c r="BT189" s="11"/>
      <c r="BU189" s="11"/>
      <c r="BV189" s="11"/>
      <c r="BW189" s="11"/>
      <c r="BX189" s="11"/>
      <c r="BY189" s="95"/>
      <c r="BZ189" s="11"/>
      <c r="CA189" s="11"/>
      <c r="CB189" s="11"/>
      <c r="CC189" s="11"/>
      <c r="CD189" s="377"/>
      <c r="CE189" s="11"/>
      <c r="CF189" s="11"/>
      <c r="CG189" s="11"/>
      <c r="CH189" s="11"/>
      <c r="CI189" s="53"/>
      <c r="CJ189" s="11"/>
      <c r="CK189" s="11"/>
      <c r="CL189" s="11"/>
      <c r="CM189" s="11"/>
      <c r="CN189" s="49"/>
      <c r="CO189" s="11"/>
      <c r="CP189" s="11"/>
      <c r="CQ189" s="11"/>
      <c r="CR189" s="11"/>
      <c r="CS189" s="49"/>
      <c r="CT189" s="11"/>
      <c r="CU189" s="11"/>
      <c r="CV189" s="11"/>
      <c r="CW189" s="11"/>
      <c r="CX189" s="49"/>
      <c r="CY189" s="304"/>
      <c r="CZ189" s="304"/>
      <c r="DA189" s="304"/>
      <c r="DB189" s="304"/>
      <c r="DC189" s="11"/>
      <c r="DD189" s="304"/>
      <c r="DE189" s="304"/>
      <c r="DF189" s="304"/>
      <c r="DG189" s="304"/>
      <c r="DH189" s="304"/>
      <c r="DI189" s="304"/>
      <c r="DJ189" s="304"/>
      <c r="DK189" s="304"/>
      <c r="DL189" s="304"/>
      <c r="DM189" s="304"/>
      <c r="DN189" s="11"/>
      <c r="DO189" s="11"/>
      <c r="DP189" s="11"/>
      <c r="DQ189" s="11"/>
      <c r="DR189" s="11"/>
      <c r="DX189" s="906"/>
      <c r="DY189" s="906"/>
      <c r="DZ189" s="906"/>
      <c r="EA189" s="906"/>
      <c r="EB189" s="906"/>
      <c r="EC189" s="1048"/>
      <c r="ED189" s="1048"/>
      <c r="EE189" s="1048"/>
      <c r="EF189" s="1048"/>
      <c r="EH189" s="1048"/>
      <c r="EI189" s="1048"/>
      <c r="EJ189" s="1048"/>
      <c r="EK189" s="1048"/>
      <c r="EM189" s="1048"/>
      <c r="EN189" s="1048"/>
      <c r="EO189" s="1048"/>
      <c r="EP189" s="1048"/>
      <c r="ER189" s="1577"/>
      <c r="ES189" s="1048"/>
      <c r="ET189" s="1048"/>
      <c r="EU189" s="1048"/>
      <c r="EV189" s="1577"/>
      <c r="EW189" s="1577"/>
      <c r="EX189" s="1577"/>
      <c r="EY189" s="1577"/>
      <c r="EZ189" s="1577"/>
      <c r="FA189" s="1577"/>
      <c r="FB189" s="1577"/>
      <c r="FC189" s="1577"/>
      <c r="FD189" s="1577"/>
      <c r="FE189" s="1577"/>
      <c r="FF189" s="1577"/>
      <c r="FG189" s="1577"/>
      <c r="FH189" s="1577"/>
      <c r="FI189" s="1577"/>
      <c r="FJ189" s="1577"/>
      <c r="FK189" s="1577"/>
      <c r="FL189" s="1048"/>
    </row>
    <row r="190" spans="1:168">
      <c r="A190" s="11"/>
      <c r="B190" s="11"/>
      <c r="C190" s="11"/>
      <c r="D190" s="11"/>
      <c r="E190" s="11"/>
      <c r="F190" s="11"/>
      <c r="G190" s="11"/>
      <c r="H190" s="11"/>
      <c r="I190" s="11"/>
      <c r="J190" s="11"/>
      <c r="K190" s="11"/>
      <c r="L190" s="11"/>
      <c r="M190" s="11"/>
      <c r="N190" s="11"/>
      <c r="O190" s="11"/>
      <c r="P190" s="11"/>
      <c r="Q190" s="11"/>
      <c r="R190" s="11"/>
      <c r="S190" s="11"/>
      <c r="T190" s="11"/>
      <c r="U190" s="11"/>
      <c r="V190" s="11"/>
      <c r="W190" s="11"/>
      <c r="X190" s="14"/>
      <c r="Y190" s="11"/>
      <c r="Z190" s="11"/>
      <c r="AA190" s="11"/>
      <c r="AB190" s="11"/>
      <c r="AC190" s="11"/>
      <c r="AD190" s="11"/>
      <c r="AE190" s="11"/>
      <c r="AF190" s="11"/>
      <c r="AG190" s="11"/>
      <c r="AH190" s="11"/>
      <c r="AI190" s="11"/>
      <c r="AJ190" s="11"/>
      <c r="AK190" s="11"/>
      <c r="AL190" s="11"/>
      <c r="AM190" s="11"/>
      <c r="AN190" s="11"/>
      <c r="AO190" s="11"/>
      <c r="AP190" s="11"/>
      <c r="AQ190" s="11"/>
      <c r="AR190" s="11"/>
      <c r="AS190" s="11"/>
      <c r="AT190" s="11"/>
      <c r="AU190" s="11"/>
      <c r="AV190" s="11"/>
      <c r="AW190" s="11"/>
      <c r="AX190" s="69"/>
      <c r="AY190" s="69"/>
      <c r="AZ190" s="69"/>
      <c r="BA190" s="69"/>
      <c r="BB190" s="69"/>
      <c r="BC190" s="69"/>
      <c r="BD190" s="69"/>
      <c r="BE190" s="69"/>
      <c r="BF190" s="11"/>
      <c r="BG190" s="11"/>
      <c r="BH190" s="11"/>
      <c r="BI190" s="11"/>
      <c r="BJ190" s="11"/>
      <c r="BK190" s="11"/>
      <c r="BL190" s="11"/>
      <c r="BM190" s="11"/>
      <c r="BN190" s="11"/>
      <c r="BO190" s="11"/>
      <c r="BP190" s="11"/>
      <c r="BQ190" s="11"/>
      <c r="BR190" s="11"/>
      <c r="BS190" s="11"/>
      <c r="BT190" s="11"/>
      <c r="BU190" s="11"/>
      <c r="BV190" s="11"/>
      <c r="BW190" s="11"/>
      <c r="BX190" s="11"/>
      <c r="BY190" s="95"/>
      <c r="BZ190" s="11"/>
      <c r="CA190" s="11"/>
      <c r="CB190" s="11"/>
      <c r="CC190" s="11"/>
      <c r="CD190" s="377"/>
      <c r="CE190" s="11"/>
      <c r="CF190" s="11"/>
      <c r="CG190" s="11"/>
      <c r="CH190" s="11"/>
      <c r="CI190" s="53"/>
      <c r="CJ190" s="11"/>
      <c r="CK190" s="11"/>
      <c r="CL190" s="11"/>
      <c r="CM190" s="11"/>
      <c r="CN190" s="49"/>
      <c r="CO190" s="11"/>
      <c r="CP190" s="11"/>
      <c r="CQ190" s="11"/>
      <c r="CR190" s="11"/>
      <c r="CS190" s="49"/>
      <c r="CT190" s="11"/>
      <c r="CU190" s="11"/>
      <c r="CV190" s="11"/>
      <c r="CW190" s="11"/>
      <c r="CX190" s="49"/>
      <c r="CY190" s="304"/>
      <c r="CZ190" s="304"/>
      <c r="DA190" s="304"/>
      <c r="DB190" s="304"/>
      <c r="DC190" s="11"/>
      <c r="DD190" s="304"/>
      <c r="DE190" s="304"/>
      <c r="DF190" s="304"/>
      <c r="DG190" s="304"/>
      <c r="DH190" s="304"/>
      <c r="DI190" s="304"/>
      <c r="DJ190" s="304"/>
      <c r="DK190" s="304"/>
      <c r="DL190" s="304"/>
      <c r="DM190" s="304"/>
      <c r="DN190" s="11"/>
      <c r="DO190" s="11"/>
      <c r="DP190" s="11"/>
      <c r="DQ190" s="11"/>
      <c r="DR190" s="11"/>
      <c r="DX190" s="906"/>
      <c r="DY190" s="906"/>
      <c r="DZ190" s="906"/>
      <c r="EA190" s="906"/>
      <c r="EB190" s="906"/>
      <c r="EC190" s="1048"/>
      <c r="ED190" s="1048"/>
      <c r="EE190" s="1048"/>
      <c r="EF190" s="1048"/>
      <c r="EH190" s="1048"/>
      <c r="EI190" s="1048"/>
      <c r="EJ190" s="1048"/>
      <c r="EK190" s="1048"/>
      <c r="EM190" s="1048"/>
      <c r="EN190" s="1048"/>
      <c r="EO190" s="1048"/>
      <c r="EP190" s="1048"/>
      <c r="ER190" s="1577"/>
      <c r="ES190" s="1048"/>
      <c r="ET190" s="1048"/>
      <c r="EU190" s="1048"/>
      <c r="EV190" s="1577"/>
      <c r="EW190" s="1577"/>
      <c r="EX190" s="1577"/>
      <c r="EY190" s="2807"/>
      <c r="EZ190" s="2807"/>
      <c r="FA190" s="2807"/>
      <c r="FB190" s="2807"/>
      <c r="FC190" s="2807"/>
      <c r="FD190" s="2807"/>
      <c r="FE190" s="2807"/>
      <c r="FF190" s="2807"/>
      <c r="FG190" s="2807"/>
      <c r="FH190" s="2807"/>
      <c r="FI190" s="2807"/>
      <c r="FJ190" s="2807"/>
      <c r="FK190" s="1577"/>
      <c r="FL190" s="1048"/>
    </row>
    <row r="191" spans="1:168">
      <c r="A191" s="450" t="s">
        <v>692</v>
      </c>
      <c r="B191" s="11"/>
      <c r="C191" s="11"/>
      <c r="D191" s="11"/>
      <c r="E191" s="11"/>
      <c r="F191" s="11"/>
      <c r="G191" s="11"/>
      <c r="H191" s="11"/>
      <c r="I191" s="11"/>
      <c r="J191" s="11"/>
      <c r="K191" s="11"/>
      <c r="L191" s="11"/>
      <c r="M191" s="11"/>
      <c r="N191" s="11"/>
      <c r="O191" s="11"/>
      <c r="P191" s="11"/>
      <c r="Q191" s="11"/>
      <c r="R191" s="11"/>
      <c r="S191" s="11"/>
      <c r="T191" s="11"/>
      <c r="U191" s="11"/>
      <c r="V191" s="11"/>
      <c r="W191" s="11"/>
      <c r="X191" s="14"/>
      <c r="Y191" s="11"/>
      <c r="Z191" s="11"/>
      <c r="AA191" s="11"/>
      <c r="AB191" s="14"/>
      <c r="AC191" s="11"/>
      <c r="AD191" s="11"/>
      <c r="AE191" s="11"/>
      <c r="AF191" s="11"/>
      <c r="AG191" s="11"/>
      <c r="AH191" s="11"/>
      <c r="AI191" s="11"/>
      <c r="AJ191" s="11"/>
      <c r="AK191" s="11"/>
      <c r="AL191" s="11"/>
      <c r="AM191" s="2210"/>
      <c r="AN191" s="98"/>
      <c r="AO191" s="11"/>
      <c r="AP191" s="11"/>
      <c r="AQ191" s="11"/>
      <c r="AR191" s="11"/>
      <c r="AS191" s="11"/>
      <c r="AT191" s="11"/>
      <c r="AU191" s="11"/>
      <c r="AV191" s="11"/>
      <c r="AW191" s="11"/>
      <c r="AX191" s="69"/>
      <c r="AY191" s="69"/>
      <c r="AZ191" s="69"/>
      <c r="BA191" s="69"/>
      <c r="BB191" s="69"/>
      <c r="BC191" s="69"/>
      <c r="BD191" s="69"/>
      <c r="BE191" s="69"/>
      <c r="BF191" s="11"/>
      <c r="BG191" s="11"/>
      <c r="BH191" s="11"/>
      <c r="BI191" s="11"/>
      <c r="BJ191" s="11"/>
      <c r="BK191" s="11"/>
      <c r="BL191" s="11"/>
      <c r="BM191" s="11"/>
      <c r="BN191" s="11"/>
      <c r="BO191" s="11"/>
      <c r="BP191" s="11"/>
      <c r="BQ191" s="11"/>
      <c r="BR191" s="11"/>
      <c r="BS191" s="11"/>
      <c r="BT191" s="11"/>
      <c r="BU191" s="11"/>
      <c r="BV191" s="11"/>
      <c r="BW191" s="11"/>
      <c r="BX191" s="11"/>
      <c r="BY191" s="95"/>
      <c r="BZ191" s="11"/>
      <c r="CA191" s="11"/>
      <c r="CB191" s="11"/>
      <c r="CC191" s="11"/>
      <c r="CD191" s="377"/>
      <c r="CE191" s="11"/>
      <c r="CF191" s="11"/>
      <c r="CG191" s="11"/>
      <c r="CH191" s="11"/>
      <c r="CI191" s="53"/>
      <c r="CJ191" s="11"/>
      <c r="CK191" s="11"/>
      <c r="CL191" s="11"/>
      <c r="CM191" s="11"/>
      <c r="CN191" s="49"/>
      <c r="CO191" s="11"/>
      <c r="CP191" s="11"/>
      <c r="CQ191" s="11"/>
      <c r="CR191" s="11"/>
      <c r="CS191" s="49"/>
      <c r="CT191" s="11"/>
      <c r="CU191" s="11"/>
      <c r="CV191" s="11"/>
      <c r="CW191" s="11"/>
      <c r="CX191" s="49"/>
      <c r="CY191" s="304"/>
      <c r="CZ191" s="304"/>
      <c r="DA191" s="304"/>
      <c r="DB191" s="304"/>
      <c r="DC191" s="11" t="s">
        <v>337</v>
      </c>
      <c r="DD191" s="304"/>
      <c r="DE191" s="304"/>
      <c r="DF191" s="304"/>
      <c r="DG191" s="304"/>
      <c r="DH191" s="357">
        <f t="shared" ref="DH191:DH199" si="262">AD191-SUM(DD191:DG191)</f>
        <v>0</v>
      </c>
      <c r="DI191" s="304"/>
      <c r="DJ191" s="304"/>
      <c r="DK191" s="304"/>
      <c r="DL191" s="304"/>
      <c r="DM191" s="357">
        <f t="shared" ref="DM191:DM199" si="263">AE191-SUM(DI191:DL191)</f>
        <v>0</v>
      </c>
      <c r="DN191" s="11"/>
      <c r="DO191" s="11"/>
      <c r="DP191" s="11"/>
      <c r="DQ191" s="11"/>
      <c r="DR191" s="11"/>
      <c r="DX191" s="906"/>
      <c r="DY191" s="906"/>
      <c r="DZ191" s="906"/>
      <c r="EA191" s="906"/>
      <c r="EB191" s="906"/>
      <c r="EC191" s="1048"/>
      <c r="ED191" s="1048"/>
      <c r="EE191" s="1048"/>
      <c r="EF191" s="1048"/>
      <c r="EH191" s="1048"/>
      <c r="EI191" s="1048"/>
      <c r="EJ191" s="1048"/>
      <c r="EK191" s="1048"/>
      <c r="EM191" s="1048"/>
      <c r="EN191" s="1048"/>
      <c r="EO191" s="1048"/>
      <c r="EP191" s="1048"/>
      <c r="ER191" s="1577"/>
      <c r="ES191" s="1048"/>
      <c r="ET191" s="1577"/>
      <c r="EU191" s="1048"/>
      <c r="EV191" s="1048"/>
      <c r="EW191" s="1048"/>
      <c r="EX191" s="1048"/>
      <c r="EY191" s="1048"/>
      <c r="EZ191" s="1048"/>
      <c r="FA191" s="1048"/>
      <c r="FB191" s="2807"/>
      <c r="FC191" s="2807"/>
      <c r="FD191" s="2807"/>
      <c r="FE191" s="2807"/>
      <c r="FF191" s="2807"/>
      <c r="FG191" s="2807"/>
      <c r="FH191" s="2807"/>
      <c r="FI191" s="2807"/>
      <c r="FJ191" s="2807"/>
      <c r="FK191" s="1577"/>
      <c r="FL191" s="1048"/>
    </row>
    <row r="192" spans="1:168">
      <c r="A192" s="14" t="s">
        <v>1054</v>
      </c>
      <c r="B192" s="352"/>
      <c r="C192" s="352"/>
      <c r="D192" s="352"/>
      <c r="E192" s="352"/>
      <c r="F192" s="352"/>
      <c r="G192" s="352"/>
      <c r="H192" s="352"/>
      <c r="I192" s="352"/>
      <c r="J192" s="352"/>
      <c r="K192" s="352"/>
      <c r="L192" s="352"/>
      <c r="M192" s="352"/>
      <c r="N192" s="352"/>
      <c r="O192" s="352"/>
      <c r="P192" s="352"/>
      <c r="Q192" s="352"/>
      <c r="R192" s="352"/>
      <c r="S192" s="352"/>
      <c r="T192" s="77">
        <f>30.8-T202</f>
        <v>21.571249999999999</v>
      </c>
      <c r="U192" s="77">
        <f>27.4-U202</f>
        <v>18.171250000000001</v>
      </c>
      <c r="V192" s="352"/>
      <c r="W192" s="14">
        <f>U192</f>
        <v>18.171250000000001</v>
      </c>
      <c r="X192" s="77">
        <f>29.9-X202</f>
        <v>20.671250000000001</v>
      </c>
      <c r="Y192" s="14">
        <f>T192</f>
        <v>21.571249999999999</v>
      </c>
      <c r="Z192" s="14">
        <f>U192</f>
        <v>18.171250000000001</v>
      </c>
      <c r="AA192" s="14">
        <f>X192</f>
        <v>20.671250000000001</v>
      </c>
      <c r="AB192" s="14">
        <f t="shared" ref="AB192:AB198" si="264">SUM(CT192:CW192)</f>
        <v>22.686675000000001</v>
      </c>
      <c r="AC192" s="14">
        <f t="shared" ref="AC192:AC198" si="265">SUM(CY192:DB192)</f>
        <v>23.6</v>
      </c>
      <c r="AD192" s="14">
        <f t="shared" ref="AD192:AD198" si="266">SUM(DD192:DG192)</f>
        <v>23.900000000000002</v>
      </c>
      <c r="AE192" s="14">
        <f>SUM(DI192:DL192)</f>
        <v>25.6</v>
      </c>
      <c r="AF192" s="14">
        <f t="shared" ref="AF192:AL192" si="267">+AF58</f>
        <v>27.6</v>
      </c>
      <c r="AG192" s="14">
        <f t="shared" si="267"/>
        <v>30.172869109947641</v>
      </c>
      <c r="AH192" s="14">
        <f t="shared" si="267"/>
        <v>39.9</v>
      </c>
      <c r="AI192" s="14">
        <f t="shared" si="267"/>
        <v>32.1</v>
      </c>
      <c r="AJ192" s="14">
        <f t="shared" si="267"/>
        <v>31.3</v>
      </c>
      <c r="AK192" s="14">
        <f t="shared" si="267"/>
        <v>30.8</v>
      </c>
      <c r="AL192" s="14">
        <f t="shared" si="267"/>
        <v>28.5</v>
      </c>
      <c r="AM192" s="14">
        <f>SUM(EW192:EZ192)</f>
        <v>26</v>
      </c>
      <c r="AN192" s="167">
        <f>SUM(FB192:FE192)</f>
        <v>0</v>
      </c>
      <c r="AO192" s="167">
        <f>SUM(FG192:FJ192)</f>
        <v>0</v>
      </c>
      <c r="AP192" s="14">
        <f t="shared" ref="AP192:AQ194" si="268">+AP58</f>
        <v>0</v>
      </c>
      <c r="AQ192" s="14">
        <f t="shared" si="268"/>
        <v>0</v>
      </c>
      <c r="AR192" s="14">
        <f t="shared" ref="AR192:AS194" si="269">+AR58</f>
        <v>0</v>
      </c>
      <c r="AS192" s="14">
        <f t="shared" si="269"/>
        <v>0</v>
      </c>
      <c r="AT192" s="14">
        <f t="shared" ref="AT192:AU194" si="270">+AT58</f>
        <v>0</v>
      </c>
      <c r="AU192" s="14">
        <f t="shared" si="270"/>
        <v>0</v>
      </c>
      <c r="AV192" s="14">
        <f t="shared" ref="AV192:AW194" si="271">+AV58</f>
        <v>0</v>
      </c>
      <c r="AW192" s="14">
        <f t="shared" si="271"/>
        <v>0</v>
      </c>
      <c r="AX192" s="14">
        <f t="shared" ref="AX192:AY194" si="272">+AX58</f>
        <v>0</v>
      </c>
      <c r="AY192" s="14">
        <f t="shared" si="272"/>
        <v>0</v>
      </c>
      <c r="AZ192" s="354"/>
      <c r="BA192" s="354"/>
      <c r="BB192" s="354"/>
      <c r="BC192" s="354"/>
      <c r="BD192" s="354"/>
      <c r="BE192" s="370"/>
      <c r="BF192" s="352"/>
      <c r="BG192" s="352"/>
      <c r="BH192" s="352"/>
      <c r="BI192" s="352"/>
      <c r="BJ192" s="352"/>
      <c r="BK192" s="352"/>
      <c r="BL192" s="352"/>
      <c r="BM192" s="352"/>
      <c r="BN192" s="352"/>
      <c r="BO192" s="352"/>
      <c r="BP192" s="352"/>
      <c r="BQ192" s="352"/>
      <c r="BR192" s="352"/>
      <c r="BS192" s="352"/>
      <c r="BT192" s="352"/>
      <c r="BU192" s="352"/>
      <c r="BV192" s="352"/>
      <c r="BW192" s="352"/>
      <c r="BX192" s="352"/>
      <c r="BY192" s="352"/>
      <c r="BZ192" s="352"/>
      <c r="CA192" s="352"/>
      <c r="CB192" s="352"/>
      <c r="CC192" s="352"/>
      <c r="CD192" s="352"/>
      <c r="CE192" s="77">
        <f>6.9-CE202</f>
        <v>3.8237500000000004</v>
      </c>
      <c r="CF192" s="77">
        <f>7-CF202</f>
        <v>3.9237500000000001</v>
      </c>
      <c r="CG192" s="77">
        <f>6.6-CG202</f>
        <v>3.5237499999999997</v>
      </c>
      <c r="CH192" s="14">
        <f>+U192-SUM(CE192:CG192)</f>
        <v>6.9</v>
      </c>
      <c r="CI192" s="53"/>
      <c r="CJ192" s="77">
        <f>7.3-CJ202</f>
        <v>4.2237499999999999</v>
      </c>
      <c r="CK192" s="77">
        <f>8.5-CK202</f>
        <v>5.4237500000000001</v>
      </c>
      <c r="CL192" s="77">
        <f>6.8-CL202</f>
        <v>3.7237499999999999</v>
      </c>
      <c r="CM192" s="77">
        <f>7.3-CM202</f>
        <v>7.3</v>
      </c>
      <c r="CN192" s="95">
        <f t="shared" ref="CN192:CN211" si="273">+X192-SUM(CJ192:CM192)</f>
        <v>0</v>
      </c>
      <c r="CO192" s="77">
        <f>CJ192</f>
        <v>4.2237499999999999</v>
      </c>
      <c r="CP192" s="77">
        <f>CK192</f>
        <v>5.4237500000000001</v>
      </c>
      <c r="CQ192" s="77">
        <f>6.8-CQ202</f>
        <v>3.7237499999999999</v>
      </c>
      <c r="CR192" s="77">
        <f>CM192</f>
        <v>7.3</v>
      </c>
      <c r="CS192" s="49">
        <f t="shared" ref="CS192:CS199" si="274">+AA192-SUM(CO192:CR192)</f>
        <v>0</v>
      </c>
      <c r="CT192" s="77">
        <f>7.7-CT202</f>
        <v>4.5622249999999998</v>
      </c>
      <c r="CU192" s="77">
        <f>7.6-CU202</f>
        <v>5.0999999999999996</v>
      </c>
      <c r="CV192" s="77">
        <f>7.4-CV202</f>
        <v>4.2622249999999999</v>
      </c>
      <c r="CW192" s="77">
        <f>9.4-CW202</f>
        <v>8.7622250000000008</v>
      </c>
      <c r="CX192" s="49">
        <f t="shared" ref="CX192:CX199" si="275">AB192-SUM(CT192:CW192)</f>
        <v>0</v>
      </c>
      <c r="CY192" s="77">
        <f>8-CY202</f>
        <v>5.75</v>
      </c>
      <c r="CZ192" s="77">
        <f>8.3-CZ202</f>
        <v>6.0500000000000007</v>
      </c>
      <c r="DA192" s="77">
        <f>8.5-DA202</f>
        <v>6.25</v>
      </c>
      <c r="DB192" s="77">
        <f>7.8-DB202</f>
        <v>5.55</v>
      </c>
      <c r="DC192" s="871">
        <f t="shared" ref="DC192:DC199" si="276">AC192-SUM(CY192:DB192)</f>
        <v>0</v>
      </c>
      <c r="DD192" s="77">
        <f>7.6-DD202</f>
        <v>5.85</v>
      </c>
      <c r="DE192" s="77">
        <f>7.9-DE202</f>
        <v>6.15</v>
      </c>
      <c r="DF192" s="77">
        <f>7.6-DF202</f>
        <v>5.85</v>
      </c>
      <c r="DG192" s="77">
        <f>7.8-DG202</f>
        <v>6.05</v>
      </c>
      <c r="DH192" s="357">
        <f t="shared" si="262"/>
        <v>0</v>
      </c>
      <c r="DI192" s="77">
        <f>7.3-DI202</f>
        <v>5.55</v>
      </c>
      <c r="DJ192" s="77">
        <f>7.9-DJ202</f>
        <v>6.15</v>
      </c>
      <c r="DK192" s="77">
        <f>8.8-DK202</f>
        <v>7.0500000000000007</v>
      </c>
      <c r="DL192" s="77">
        <f>8.6-DL202</f>
        <v>6.85</v>
      </c>
      <c r="DM192" s="357">
        <f t="shared" si="263"/>
        <v>0</v>
      </c>
      <c r="DN192" s="77">
        <f>8.5-DN202</f>
        <v>6.75</v>
      </c>
      <c r="DO192" s="77">
        <f>9.3-DO202</f>
        <v>7.5500000000000007</v>
      </c>
      <c r="DP192" s="77">
        <f>10.3-DP202</f>
        <v>8.5500000000000007</v>
      </c>
      <c r="DQ192" s="354">
        <f>AF192-SUM(DN192:DP192)</f>
        <v>4.75</v>
      </c>
      <c r="DR192" s="871">
        <f>AF192-SUM(DN192:DQ192)</f>
        <v>0</v>
      </c>
      <c r="DS192" s="354">
        <v>7.5</v>
      </c>
      <c r="DT192" s="354">
        <v>7.5</v>
      </c>
      <c r="DU192" s="354">
        <v>7.5</v>
      </c>
      <c r="DV192" s="354">
        <f>AG192-SUM(DS192:DU192)</f>
        <v>7.6728691099476407</v>
      </c>
      <c r="DW192" s="538">
        <f t="shared" ref="DW192:DW199" si="277">AG192-SUM(DS192:DV192)</f>
        <v>0</v>
      </c>
      <c r="DX192" s="354">
        <f t="shared" ref="DX192:DX197" si="278">$AH192/4</f>
        <v>9.9749999999999996</v>
      </c>
      <c r="DY192" s="354">
        <f t="shared" ref="DY192:EA197" si="279">$AH192/4</f>
        <v>9.9749999999999996</v>
      </c>
      <c r="DZ192" s="354">
        <f t="shared" si="279"/>
        <v>9.9749999999999996</v>
      </c>
      <c r="EA192" s="354">
        <f t="shared" si="279"/>
        <v>9.9749999999999996</v>
      </c>
      <c r="EB192" s="538">
        <f>AH192-SUM(DX192:EA192)</f>
        <v>0</v>
      </c>
      <c r="EC192" s="354">
        <f>$AI192/4</f>
        <v>8.0250000000000004</v>
      </c>
      <c r="ED192" s="354">
        <f>$AI192/4</f>
        <v>8.0250000000000004</v>
      </c>
      <c r="EE192" s="354">
        <f>$AI192/4</f>
        <v>8.0250000000000004</v>
      </c>
      <c r="EF192" s="355">
        <f>AI192-SUM(EC192:EE192)</f>
        <v>8.0249999999999986</v>
      </c>
      <c r="EG192" s="538">
        <f>AI192-SUM(EC192:EF192)</f>
        <v>0</v>
      </c>
      <c r="EH192" s="354">
        <f>$AJ192/4</f>
        <v>7.8250000000000002</v>
      </c>
      <c r="EI192" s="354">
        <f>$AJ192/4</f>
        <v>7.8250000000000002</v>
      </c>
      <c r="EJ192" s="354">
        <f>$AJ192/4</f>
        <v>7.8250000000000002</v>
      </c>
      <c r="EK192" s="354">
        <f>$AJ192/4</f>
        <v>7.8250000000000002</v>
      </c>
      <c r="EL192" s="538">
        <f t="shared" ref="EL192:EL199" si="280">AJ192-SUM(EH192:EK192)</f>
        <v>0</v>
      </c>
      <c r="EM192" s="1117">
        <f>$AK192/4</f>
        <v>7.7</v>
      </c>
      <c r="EN192" s="1117">
        <f>$AK192/4</f>
        <v>7.7</v>
      </c>
      <c r="EO192" s="1117">
        <f>$AK192/4</f>
        <v>7.7</v>
      </c>
      <c r="EP192" s="1117">
        <f>$AK192/4</f>
        <v>7.7</v>
      </c>
      <c r="EQ192" s="538">
        <f t="shared" ref="EQ192:EQ199" si="281">$AK192-SUM(EM192:EP192)</f>
        <v>0</v>
      </c>
      <c r="ER192" s="1117">
        <f>$AL$192/4-0.1</f>
        <v>7.0250000000000004</v>
      </c>
      <c r="ES192" s="1117">
        <f>$AL$192/4-0.1</f>
        <v>7.0250000000000004</v>
      </c>
      <c r="ET192" s="1635">
        <v>8</v>
      </c>
      <c r="EU192" s="1693">
        <f>AL192-SUM(ER192:ET192)</f>
        <v>6.4499999999999993</v>
      </c>
      <c r="EV192" s="2026">
        <f t="shared" ref="EV192:EV199" si="282">$AL192-SUM(ER192:EU192)</f>
        <v>0</v>
      </c>
      <c r="EW192" s="1635">
        <v>7</v>
      </c>
      <c r="EX192" s="2829">
        <v>6.7</v>
      </c>
      <c r="EY192" s="2829">
        <v>7</v>
      </c>
      <c r="EZ192" s="2829">
        <f>26-SUM(EW192:EY192)</f>
        <v>5.3000000000000007</v>
      </c>
      <c r="FA192" s="2842">
        <f>AM192-SUM(EW192:EZ192)</f>
        <v>0</v>
      </c>
      <c r="FB192" s="2351">
        <v>0</v>
      </c>
      <c r="FC192" s="2351">
        <v>0</v>
      </c>
      <c r="FD192" s="2351">
        <v>0</v>
      </c>
      <c r="FE192" s="2351">
        <v>0</v>
      </c>
      <c r="FF192" s="2829"/>
      <c r="FG192" s="2351">
        <v>0</v>
      </c>
      <c r="FH192" s="2351">
        <v>0</v>
      </c>
      <c r="FI192" s="2351">
        <v>0</v>
      </c>
      <c r="FJ192" s="2351">
        <v>0</v>
      </c>
      <c r="FK192" s="2026">
        <f>AO192-SUM(FG192:FJ192)</f>
        <v>0</v>
      </c>
      <c r="FL192" s="354"/>
    </row>
    <row r="193" spans="1:169">
      <c r="A193" s="14" t="s">
        <v>1055</v>
      </c>
      <c r="B193" s="14"/>
      <c r="C193" s="14"/>
      <c r="D193" s="14"/>
      <c r="E193" s="14"/>
      <c r="F193" s="14"/>
      <c r="G193" s="14"/>
      <c r="H193" s="14"/>
      <c r="I193" s="14"/>
      <c r="J193" s="14"/>
      <c r="K193" s="14"/>
      <c r="L193" s="14"/>
      <c r="M193" s="14"/>
      <c r="N193" s="14"/>
      <c r="O193" s="14"/>
      <c r="P193" s="14"/>
      <c r="Q193" s="14"/>
      <c r="R193" s="14"/>
      <c r="S193" s="14"/>
      <c r="T193" s="167">
        <f>T194-T192</f>
        <v>153.30375000000001</v>
      </c>
      <c r="U193" s="167">
        <f>U194-U192</f>
        <v>163.60374999999999</v>
      </c>
      <c r="V193" s="77"/>
      <c r="W193" s="14">
        <f>U193</f>
        <v>163.60374999999999</v>
      </c>
      <c r="X193" s="167">
        <f>X194-X192</f>
        <v>170.80375000000004</v>
      </c>
      <c r="Y193" s="14">
        <f>T193</f>
        <v>153.30375000000001</v>
      </c>
      <c r="Z193" s="14">
        <f>U193</f>
        <v>163.60374999999999</v>
      </c>
      <c r="AA193" s="14">
        <f>X193</f>
        <v>170.80375000000004</v>
      </c>
      <c r="AB193" s="14">
        <f t="shared" si="264"/>
        <v>156.05782499999998</v>
      </c>
      <c r="AC193" s="14">
        <f t="shared" si="265"/>
        <v>162.90000000000003</v>
      </c>
      <c r="AD193" s="14">
        <f t="shared" si="266"/>
        <v>165</v>
      </c>
      <c r="AE193" s="14">
        <f t="shared" ref="AE193:AE198" si="283">SUM(DI193:DL193)</f>
        <v>193.89999999999998</v>
      </c>
      <c r="AF193" s="354">
        <f>SUM(DN193:DQ193)</f>
        <v>215.60000000000002</v>
      </c>
      <c r="AG193" s="14">
        <f>SUM(DS193:DV193)</f>
        <v>173.2</v>
      </c>
      <c r="AH193" s="167">
        <f>SUM(DX193:EA193)</f>
        <v>112.19999999999999</v>
      </c>
      <c r="AI193" s="167">
        <f>SUM(EC193:EF193)</f>
        <v>109.2</v>
      </c>
      <c r="AJ193" s="167">
        <f>+SUM(EH193:EK193)</f>
        <v>107.6</v>
      </c>
      <c r="AK193" s="167">
        <f>+SUM(EM193:EP193)</f>
        <v>0</v>
      </c>
      <c r="AL193" s="167">
        <f>+SUM(ER193:EU193)</f>
        <v>0</v>
      </c>
      <c r="AM193" s="167">
        <f>SUM(EW193:EZ193)</f>
        <v>0</v>
      </c>
      <c r="AN193" s="167">
        <f>SUM(FB193:FE193)</f>
        <v>0</v>
      </c>
      <c r="AO193" s="167">
        <f t="shared" ref="AO193:AO198" si="284">SUM(FG193:FJ193)</f>
        <v>0</v>
      </c>
      <c r="AP193" s="14">
        <f t="shared" si="268"/>
        <v>0</v>
      </c>
      <c r="AQ193" s="14">
        <f t="shared" si="268"/>
        <v>0</v>
      </c>
      <c r="AR193" s="14">
        <f t="shared" si="269"/>
        <v>0</v>
      </c>
      <c r="AS193" s="14">
        <f t="shared" si="269"/>
        <v>0</v>
      </c>
      <c r="AT193" s="14">
        <f t="shared" si="270"/>
        <v>0</v>
      </c>
      <c r="AU193" s="14">
        <f t="shared" si="270"/>
        <v>0</v>
      </c>
      <c r="AV193" s="14">
        <f t="shared" si="271"/>
        <v>0</v>
      </c>
      <c r="AW193" s="14">
        <f t="shared" si="271"/>
        <v>0</v>
      </c>
      <c r="AX193" s="14">
        <f t="shared" si="272"/>
        <v>0</v>
      </c>
      <c r="AY193" s="14">
        <f t="shared" si="272"/>
        <v>0</v>
      </c>
      <c r="AZ193" s="354"/>
      <c r="BA193" s="354"/>
      <c r="BB193" s="354"/>
      <c r="BC193" s="354"/>
      <c r="BD193" s="354"/>
      <c r="BE193" s="370"/>
      <c r="BF193" s="14"/>
      <c r="BG193" s="14"/>
      <c r="BH193" s="14"/>
      <c r="BI193" s="14"/>
      <c r="BJ193" s="14"/>
      <c r="BK193" s="14"/>
      <c r="BL193" s="14"/>
      <c r="BM193" s="14"/>
      <c r="BN193" s="14"/>
      <c r="BO193" s="14"/>
      <c r="BP193" s="14"/>
      <c r="BQ193" s="14"/>
      <c r="BR193" s="14"/>
      <c r="BS193" s="14"/>
      <c r="BT193" s="14"/>
      <c r="BU193" s="14"/>
      <c r="BV193" s="14"/>
      <c r="BW193" s="14"/>
      <c r="BX193" s="14"/>
      <c r="BY193" s="95"/>
      <c r="BZ193" s="14"/>
      <c r="CA193" s="14"/>
      <c r="CB193" s="14"/>
      <c r="CC193" s="14"/>
      <c r="CD193" s="377"/>
      <c r="CE193" s="77">
        <f>52.2-CE203</f>
        <v>39.895000000000003</v>
      </c>
      <c r="CF193" s="77">
        <f>54.7-CF203</f>
        <v>42.395000000000003</v>
      </c>
      <c r="CG193" s="77">
        <f>53.9-CG203</f>
        <v>41.594999999999999</v>
      </c>
      <c r="CH193" s="14">
        <f>+U193-SUM(CE193:CG193)</f>
        <v>39.718749999999986</v>
      </c>
      <c r="CI193" s="53"/>
      <c r="CJ193" s="77">
        <f>54.2-CJ203</f>
        <v>41.895000000000003</v>
      </c>
      <c r="CK193" s="77">
        <f>56.5-CK203</f>
        <v>44.195</v>
      </c>
      <c r="CL193" s="77">
        <f>56.8-CL203</f>
        <v>44.494999999999997</v>
      </c>
      <c r="CM193" s="77">
        <f>55.6-CM203</f>
        <v>40.21875</v>
      </c>
      <c r="CN193" s="95">
        <f t="shared" si="273"/>
        <v>0</v>
      </c>
      <c r="CO193" s="77">
        <f>CJ193</f>
        <v>41.895000000000003</v>
      </c>
      <c r="CP193" s="77">
        <f>CK193</f>
        <v>44.195</v>
      </c>
      <c r="CQ193" s="77">
        <f>56.8-CQ203</f>
        <v>44.494999999999997</v>
      </c>
      <c r="CR193" s="77">
        <f>CM193</f>
        <v>40.21875</v>
      </c>
      <c r="CS193" s="49">
        <f t="shared" si="274"/>
        <v>0</v>
      </c>
      <c r="CT193" s="77">
        <f>52.8-CT203</f>
        <v>40.248899999999992</v>
      </c>
      <c r="CU193" s="77">
        <f>53.2-CU203</f>
        <v>43.2</v>
      </c>
      <c r="CV193" s="77">
        <f>52.3-CV203</f>
        <v>39.748899999999992</v>
      </c>
      <c r="CW193" s="77">
        <f>51.1-CW203</f>
        <v>32.860025</v>
      </c>
      <c r="CX193" s="49">
        <f t="shared" si="275"/>
        <v>0</v>
      </c>
      <c r="CY193" s="77">
        <f>54.6-CY203</f>
        <v>42.075000000000003</v>
      </c>
      <c r="CZ193" s="77">
        <f>52.1-CZ203</f>
        <v>40.775000000000006</v>
      </c>
      <c r="DA193" s="77">
        <f>53.6-DA203</f>
        <v>39.275000000000006</v>
      </c>
      <c r="DB193" s="77">
        <f>55.9-DB203</f>
        <v>40.775000000000006</v>
      </c>
      <c r="DC193" s="871">
        <f t="shared" si="276"/>
        <v>0</v>
      </c>
      <c r="DD193" s="77">
        <f>53.2-DD203</f>
        <v>40.450000000000003</v>
      </c>
      <c r="DE193" s="77">
        <f>53-DE203</f>
        <v>40.25</v>
      </c>
      <c r="DF193" s="77">
        <f>53.7-DF203</f>
        <v>40.950000000000003</v>
      </c>
      <c r="DG193" s="77">
        <f>56.1-DG203</f>
        <v>43.35</v>
      </c>
      <c r="DH193" s="357">
        <f t="shared" si="262"/>
        <v>0</v>
      </c>
      <c r="DI193" s="77">
        <f>57.4-DI203</f>
        <v>44.9</v>
      </c>
      <c r="DJ193" s="77">
        <f>61.2-DJ203</f>
        <v>48.7</v>
      </c>
      <c r="DK193" s="77">
        <f>62.1-DK203</f>
        <v>49.6</v>
      </c>
      <c r="DL193" s="77">
        <f>63.2-DL203</f>
        <v>50.7</v>
      </c>
      <c r="DM193" s="357">
        <f t="shared" si="263"/>
        <v>0</v>
      </c>
      <c r="DN193" s="77">
        <f>63.3-DN203</f>
        <v>50.8</v>
      </c>
      <c r="DO193" s="77">
        <f>67-DO203</f>
        <v>54.5</v>
      </c>
      <c r="DP193" s="77">
        <f>67.5-DP203</f>
        <v>55</v>
      </c>
      <c r="DQ193" s="77">
        <f>67.8-DQ203</f>
        <v>55.3</v>
      </c>
      <c r="DR193" s="871">
        <f t="shared" ref="DR193:DR199" si="285">AF193-SUM(DN193:DQ193)</f>
        <v>0</v>
      </c>
      <c r="DS193" s="77">
        <f>62.9-DS203</f>
        <v>43.975000000000001</v>
      </c>
      <c r="DT193" s="77">
        <f>65.2-DT203</f>
        <v>46.275000000000006</v>
      </c>
      <c r="DU193" s="77">
        <f>61.4-DU203</f>
        <v>42.475000000000001</v>
      </c>
      <c r="DV193" s="77">
        <f>59.4-DV203</f>
        <v>40.475000000000001</v>
      </c>
      <c r="DW193" s="538">
        <f t="shared" si="277"/>
        <v>0</v>
      </c>
      <c r="DX193" s="356">
        <f>69-21-DX203</f>
        <v>30.299999999999997</v>
      </c>
      <c r="DY193" s="356">
        <f>99-53-DY203</f>
        <v>28.299999999999997</v>
      </c>
      <c r="DZ193" s="356">
        <f>104-59-DZ203</f>
        <v>27.299999999999997</v>
      </c>
      <c r="EA193" s="356">
        <f>108-64-EA203</f>
        <v>26.299999999999997</v>
      </c>
      <c r="EB193" s="538">
        <f t="shared" ref="EB193:EB199" si="286">AH193-SUM(DX193:EA193)</f>
        <v>0</v>
      </c>
      <c r="EC193" s="356">
        <f>76-33-EC203</f>
        <v>28.099999999999998</v>
      </c>
      <c r="ED193" s="356">
        <f>103-62-ED203</f>
        <v>26.1</v>
      </c>
      <c r="EE193" s="356">
        <f>105-62-EE203</f>
        <v>28.099999999999994</v>
      </c>
      <c r="EF193" s="356">
        <f>42-EF203</f>
        <v>26.900000000000006</v>
      </c>
      <c r="EG193" s="538">
        <f t="shared" ref="EG193:EG199" si="287">AI193-SUM(EC193:EF193)</f>
        <v>0</v>
      </c>
      <c r="EH193" s="356">
        <f>42-EH203</f>
        <v>26.900000000000002</v>
      </c>
      <c r="EI193" s="356">
        <f>42-EI203</f>
        <v>26.999999999999996</v>
      </c>
      <c r="EJ193" s="356">
        <f>42-EJ203</f>
        <v>26.599999999999998</v>
      </c>
      <c r="EK193" s="356">
        <f>42-EK203</f>
        <v>27.1</v>
      </c>
      <c r="EL193" s="538">
        <f t="shared" si="280"/>
        <v>0</v>
      </c>
      <c r="EM193" s="63">
        <v>0</v>
      </c>
      <c r="EN193" s="63">
        <v>0</v>
      </c>
      <c r="EO193" s="63">
        <v>0</v>
      </c>
      <c r="EP193" s="63">
        <v>0</v>
      </c>
      <c r="EQ193" s="538">
        <f t="shared" si="281"/>
        <v>0</v>
      </c>
      <c r="ER193" s="1635">
        <v>0</v>
      </c>
      <c r="ES193" s="1635">
        <v>0</v>
      </c>
      <c r="ET193" s="1635">
        <v>0</v>
      </c>
      <c r="EU193" s="63">
        <v>0</v>
      </c>
      <c r="EV193" s="2026">
        <f t="shared" si="282"/>
        <v>0</v>
      </c>
      <c r="EW193" s="1635">
        <v>0</v>
      </c>
      <c r="EX193" s="1635">
        <v>0</v>
      </c>
      <c r="EY193" s="2829">
        <v>0</v>
      </c>
      <c r="EZ193" s="2829">
        <v>0</v>
      </c>
      <c r="FA193" s="2842">
        <f t="shared" ref="FA193:FA198" si="288">AM193-SUM(EW193:EZ193)</f>
        <v>0</v>
      </c>
      <c r="FB193" s="3280">
        <v>0</v>
      </c>
      <c r="FC193" s="3280">
        <v>0</v>
      </c>
      <c r="FD193" s="3280">
        <v>0</v>
      </c>
      <c r="FE193" s="3280">
        <v>0</v>
      </c>
      <c r="FF193" s="2829"/>
      <c r="FG193" s="3280">
        <v>0</v>
      </c>
      <c r="FH193" s="3280">
        <v>0</v>
      </c>
      <c r="FI193" s="3280">
        <v>0</v>
      </c>
      <c r="FJ193" s="3280">
        <v>0</v>
      </c>
      <c r="FK193" s="2842">
        <f t="shared" ref="FK193:FK211" si="289">AO193-SUM(FG193:FJ193)</f>
        <v>0</v>
      </c>
      <c r="FL193" s="1173" t="s">
        <v>1237</v>
      </c>
    </row>
    <row r="194" spans="1:169">
      <c r="A194" s="14" t="s">
        <v>655</v>
      </c>
      <c r="B194" s="14">
        <f>+B60</f>
        <v>0</v>
      </c>
      <c r="C194" s="14">
        <f>+C60</f>
        <v>23.7</v>
      </c>
      <c r="D194" s="14">
        <f>+E194-C194-B194</f>
        <v>15.7</v>
      </c>
      <c r="E194" s="14">
        <f>+E60</f>
        <v>39.4</v>
      </c>
      <c r="F194" s="14">
        <f>E194</f>
        <v>39.4</v>
      </c>
      <c r="G194" s="14">
        <f>+G60</f>
        <v>0</v>
      </c>
      <c r="H194" s="14">
        <f>+H60</f>
        <v>0</v>
      </c>
      <c r="I194" s="14">
        <f>+I60</f>
        <v>31.837</v>
      </c>
      <c r="J194" s="14">
        <f>+K194-I194-H194</f>
        <v>14.794</v>
      </c>
      <c r="K194" s="14">
        <f>SUM(BF194:BI194)</f>
        <v>46.631</v>
      </c>
      <c r="L194" s="14">
        <f>K194</f>
        <v>46.631</v>
      </c>
      <c r="M194" s="14">
        <f>SUM(BK194:BN194)</f>
        <v>72.5</v>
      </c>
      <c r="N194" s="14">
        <f>+SUM(BP194:BS194)</f>
        <v>95.22</v>
      </c>
      <c r="O194" s="14">
        <f>N194</f>
        <v>95.22</v>
      </c>
      <c r="P194" s="14">
        <f>+P60</f>
        <v>113.77685523990043</v>
      </c>
      <c r="Q194" s="14"/>
      <c r="R194" s="14">
        <f>+R60</f>
        <v>113.77685523990043</v>
      </c>
      <c r="S194" s="14">
        <f>R194</f>
        <v>113.77685523990043</v>
      </c>
      <c r="T194" s="77">
        <f>236.4-T204</f>
        <v>174.875</v>
      </c>
      <c r="U194" s="77">
        <f>27.4+215.9-U204</f>
        <v>181.77500000000001</v>
      </c>
      <c r="V194" s="77"/>
      <c r="W194" s="77">
        <f>27.4+215.9-W204</f>
        <v>181.77500000000001</v>
      </c>
      <c r="X194" s="14">
        <f>SUM(CJ194:CM194)</f>
        <v>191.47500000000002</v>
      </c>
      <c r="Y194" s="14">
        <f>+Y60</f>
        <v>174.875</v>
      </c>
      <c r="Z194" s="14">
        <f>+Z60</f>
        <v>181.77500000000001</v>
      </c>
      <c r="AA194" s="14">
        <f>+AA60</f>
        <v>191.47500000000002</v>
      </c>
      <c r="AB194" s="14">
        <f t="shared" si="264"/>
        <v>178.74449999999999</v>
      </c>
      <c r="AC194" s="14">
        <f t="shared" si="265"/>
        <v>186.5</v>
      </c>
      <c r="AD194" s="14">
        <f t="shared" si="266"/>
        <v>188.9</v>
      </c>
      <c r="AE194" s="14">
        <f t="shared" si="283"/>
        <v>219.5</v>
      </c>
      <c r="AF194" s="14">
        <f>+AF60</f>
        <v>243.2</v>
      </c>
      <c r="AG194" s="14">
        <f>+AG60</f>
        <v>203.37286910994763</v>
      </c>
      <c r="AH194" s="167">
        <f>SUM(DX194:EA194)</f>
        <v>152.1</v>
      </c>
      <c r="AI194" s="167">
        <f>SUM(EC194:EF194)</f>
        <v>141.30000000000001</v>
      </c>
      <c r="AJ194" s="167">
        <f>+SUM(EH194:EK194)</f>
        <v>138.9</v>
      </c>
      <c r="AK194" s="167">
        <f>+SUM(EM194:EP194)</f>
        <v>30.8</v>
      </c>
      <c r="AL194" s="167">
        <f>+SUM(ER194:EU194)</f>
        <v>28.5</v>
      </c>
      <c r="AM194" s="167">
        <f>SUM(EW194:EZ194)</f>
        <v>26</v>
      </c>
      <c r="AN194" s="167">
        <f>SUM(FB194:FE194)</f>
        <v>0</v>
      </c>
      <c r="AO194" s="167">
        <f t="shared" si="284"/>
        <v>0</v>
      </c>
      <c r="AP194" s="14">
        <f t="shared" si="268"/>
        <v>0</v>
      </c>
      <c r="AQ194" s="14">
        <f t="shared" si="268"/>
        <v>0</v>
      </c>
      <c r="AR194" s="14">
        <f t="shared" si="269"/>
        <v>0</v>
      </c>
      <c r="AS194" s="14">
        <f t="shared" si="269"/>
        <v>0</v>
      </c>
      <c r="AT194" s="14">
        <f t="shared" si="270"/>
        <v>0</v>
      </c>
      <c r="AU194" s="14">
        <f t="shared" si="270"/>
        <v>0</v>
      </c>
      <c r="AV194" s="14">
        <f t="shared" si="271"/>
        <v>0</v>
      </c>
      <c r="AW194" s="14">
        <f t="shared" si="271"/>
        <v>0</v>
      </c>
      <c r="AX194" s="14">
        <f t="shared" si="272"/>
        <v>0</v>
      </c>
      <c r="AY194" s="14">
        <f t="shared" si="272"/>
        <v>0</v>
      </c>
      <c r="AZ194" s="354"/>
      <c r="BA194" s="354"/>
      <c r="BB194" s="354"/>
      <c r="BC194" s="354"/>
      <c r="BD194" s="354"/>
      <c r="BE194" s="370"/>
      <c r="BF194" s="14">
        <f>+BF60</f>
        <v>11.65775</v>
      </c>
      <c r="BG194" s="14">
        <f>+BG60</f>
        <v>11.65775</v>
      </c>
      <c r="BH194" s="14">
        <f>+BH60</f>
        <v>11.65775</v>
      </c>
      <c r="BI194" s="14">
        <f>+BI60</f>
        <v>11.65775</v>
      </c>
      <c r="BJ194" s="14"/>
      <c r="BK194" s="14">
        <f>+BK60</f>
        <v>12.5</v>
      </c>
      <c r="BL194" s="14">
        <f>+BL60</f>
        <v>20</v>
      </c>
      <c r="BM194" s="14">
        <f>+BM60</f>
        <v>20</v>
      </c>
      <c r="BN194" s="14">
        <f>+BN60</f>
        <v>20</v>
      </c>
      <c r="BO194" s="14"/>
      <c r="BP194" s="14">
        <f>+BP60</f>
        <v>12.5</v>
      </c>
      <c r="BQ194" s="14">
        <f>+BQ60</f>
        <v>20</v>
      </c>
      <c r="BR194" s="14">
        <f>+BR60</f>
        <v>20</v>
      </c>
      <c r="BS194" s="14">
        <f>+BS60</f>
        <v>42.72</v>
      </c>
      <c r="BT194" s="14">
        <f>+N194-SUM(BK194:BN194)</f>
        <v>22.72</v>
      </c>
      <c r="BU194" s="14">
        <f>+BU60</f>
        <v>28.444213809975107</v>
      </c>
      <c r="BV194" s="14">
        <f>+BV60</f>
        <v>28.444213809975107</v>
      </c>
      <c r="BW194" s="14">
        <f>+BW60</f>
        <v>28.444213809975107</v>
      </c>
      <c r="BX194" s="14">
        <f>+P194-SUM(BU194:BW194)</f>
        <v>28.444213809975111</v>
      </c>
      <c r="BY194" s="95">
        <f>+R194-SUM(BU194:BX194)</f>
        <v>0</v>
      </c>
      <c r="BZ194" s="14">
        <f>+BZ60</f>
        <v>43.71875</v>
      </c>
      <c r="CA194" s="14">
        <f>+CA60</f>
        <v>43.71875</v>
      </c>
      <c r="CB194" s="14">
        <f>+CB60</f>
        <v>43.71875</v>
      </c>
      <c r="CC194" s="14">
        <f>+CC60</f>
        <v>43.71875</v>
      </c>
      <c r="CD194" s="377">
        <f>+T194-SUM(BZ194:CC194)</f>
        <v>0</v>
      </c>
      <c r="CE194" s="14">
        <f>CE192+CE193</f>
        <v>43.71875</v>
      </c>
      <c r="CF194" s="14">
        <f>CF192+CF193</f>
        <v>46.318750000000001</v>
      </c>
      <c r="CG194" s="14">
        <f>CG192+CG193</f>
        <v>45.118749999999999</v>
      </c>
      <c r="CH194" s="14">
        <f>CH192+CH193</f>
        <v>46.618749999999984</v>
      </c>
      <c r="CI194" s="53"/>
      <c r="CJ194" s="14">
        <f>CJ192+CJ193</f>
        <v>46.118750000000006</v>
      </c>
      <c r="CK194" s="14">
        <f>CK192+CK193</f>
        <v>49.618749999999999</v>
      </c>
      <c r="CL194" s="14">
        <f>CL192+CL193</f>
        <v>48.21875</v>
      </c>
      <c r="CM194" s="14">
        <f>CM192+CM193</f>
        <v>47.518749999999997</v>
      </c>
      <c r="CN194" s="95">
        <f t="shared" si="273"/>
        <v>0</v>
      </c>
      <c r="CO194" s="14">
        <f>CO192+CO193</f>
        <v>46.118750000000006</v>
      </c>
      <c r="CP194" s="14">
        <f>CP192+CP193</f>
        <v>49.618749999999999</v>
      </c>
      <c r="CQ194" s="14">
        <f>CQ192+CQ193</f>
        <v>48.21875</v>
      </c>
      <c r="CR194" s="14">
        <f>CR192+CR193</f>
        <v>47.518749999999997</v>
      </c>
      <c r="CS194" s="49">
        <f t="shared" si="274"/>
        <v>0</v>
      </c>
      <c r="CT194" s="14">
        <f>CT192+CT193</f>
        <v>44.81112499999999</v>
      </c>
      <c r="CU194" s="14">
        <f>CU192+CU193</f>
        <v>48.300000000000004</v>
      </c>
      <c r="CV194" s="14">
        <f>CV192+CV193</f>
        <v>44.011124999999993</v>
      </c>
      <c r="CW194" s="14">
        <f>CW192+CW193</f>
        <v>41.622250000000001</v>
      </c>
      <c r="CX194" s="49">
        <f t="shared" si="275"/>
        <v>0</v>
      </c>
      <c r="CY194" s="14">
        <f>CY192+CY193</f>
        <v>47.825000000000003</v>
      </c>
      <c r="CZ194" s="14">
        <f>CZ192+CZ193</f>
        <v>46.825000000000003</v>
      </c>
      <c r="DA194" s="14">
        <f>DA192+DA193</f>
        <v>45.525000000000006</v>
      </c>
      <c r="DB194" s="14">
        <f>DB192+DB193</f>
        <v>46.325000000000003</v>
      </c>
      <c r="DC194" s="871">
        <f t="shared" si="276"/>
        <v>0</v>
      </c>
      <c r="DD194" s="14">
        <f>DD192+DD193</f>
        <v>46.300000000000004</v>
      </c>
      <c r="DE194" s="14">
        <f>DE192+DE193</f>
        <v>46.4</v>
      </c>
      <c r="DF194" s="14">
        <f>DF192+DF193</f>
        <v>46.800000000000004</v>
      </c>
      <c r="DG194" s="14">
        <f>DG192+DG193</f>
        <v>49.4</v>
      </c>
      <c r="DH194" s="357">
        <f t="shared" si="262"/>
        <v>0</v>
      </c>
      <c r="DI194" s="14">
        <f>DI192+DI193</f>
        <v>50.449999999999996</v>
      </c>
      <c r="DJ194" s="14">
        <f>DJ192+DJ193</f>
        <v>54.85</v>
      </c>
      <c r="DK194" s="14">
        <f>DK192+DK193</f>
        <v>56.650000000000006</v>
      </c>
      <c r="DL194" s="14">
        <f>DL192+DL193</f>
        <v>57.550000000000004</v>
      </c>
      <c r="DM194" s="357">
        <f t="shared" si="263"/>
        <v>0</v>
      </c>
      <c r="DN194" s="14">
        <f>DN192+DN193</f>
        <v>57.55</v>
      </c>
      <c r="DO194" s="14">
        <f>DO192+DO193</f>
        <v>62.05</v>
      </c>
      <c r="DP194" s="14">
        <f>DP192+DP193</f>
        <v>63.55</v>
      </c>
      <c r="DQ194" s="354">
        <f>AF194-SUM(DN194:DP194)</f>
        <v>60.050000000000011</v>
      </c>
      <c r="DR194" s="871">
        <f t="shared" si="285"/>
        <v>0</v>
      </c>
      <c r="DS194" s="14">
        <f>DS192+DS193</f>
        <v>51.475000000000001</v>
      </c>
      <c r="DT194" s="14">
        <f>DT192+DT193</f>
        <v>53.775000000000006</v>
      </c>
      <c r="DU194" s="14">
        <f>DU192+DU193</f>
        <v>49.975000000000001</v>
      </c>
      <c r="DV194" s="354">
        <f>AG194-SUM(DS194:DU194)</f>
        <v>48.147869109947635</v>
      </c>
      <c r="DW194" s="538">
        <f t="shared" si="277"/>
        <v>0</v>
      </c>
      <c r="DX194" s="354">
        <f>+DX193+DX192</f>
        <v>40.274999999999999</v>
      </c>
      <c r="DY194" s="354">
        <f>+DY193+DY192</f>
        <v>38.274999999999999</v>
      </c>
      <c r="DZ194" s="354">
        <f>+DZ193+DZ192</f>
        <v>37.274999999999999</v>
      </c>
      <c r="EA194" s="354">
        <f>+EA193+EA192</f>
        <v>36.274999999999999</v>
      </c>
      <c r="EB194" s="538">
        <f t="shared" si="286"/>
        <v>0</v>
      </c>
      <c r="EC194" s="354">
        <f>+SUM(EC192:EC193)</f>
        <v>36.125</v>
      </c>
      <c r="ED194" s="354">
        <f>+SUM(ED192:ED193)</f>
        <v>34.125</v>
      </c>
      <c r="EE194" s="354">
        <f>+SUM(EE192:EE193)</f>
        <v>36.124999999999993</v>
      </c>
      <c r="EF194" s="354">
        <f>+SUM(EF192:EF193)</f>
        <v>34.925000000000004</v>
      </c>
      <c r="EG194" s="538">
        <f t="shared" si="287"/>
        <v>0</v>
      </c>
      <c r="EH194" s="354">
        <f>+SUM(EH192:EH193)</f>
        <v>34.725000000000001</v>
      </c>
      <c r="EI194" s="354">
        <f>+SUM(EI192:EI193)</f>
        <v>34.824999999999996</v>
      </c>
      <c r="EJ194" s="354">
        <f>+SUM(EJ192:EJ193)</f>
        <v>34.424999999999997</v>
      </c>
      <c r="EK194" s="354">
        <f>+SUM(EK192:EK193)</f>
        <v>34.925000000000004</v>
      </c>
      <c r="EL194" s="538">
        <f t="shared" si="280"/>
        <v>0</v>
      </c>
      <c r="EM194" s="1421">
        <f>+SUM(EM192:EM193)</f>
        <v>7.7</v>
      </c>
      <c r="EN194" s="1421">
        <f>+SUM(EN192:EN193)</f>
        <v>7.7</v>
      </c>
      <c r="EO194" s="1421">
        <f>+SUM(EO192:EO193)</f>
        <v>7.7</v>
      </c>
      <c r="EP194" s="1373">
        <f>+SUM(EP192:EP193)</f>
        <v>7.7</v>
      </c>
      <c r="EQ194" s="538">
        <f t="shared" si="281"/>
        <v>0</v>
      </c>
      <c r="ER194" s="1373">
        <f>+SUM(ER192:ER193)</f>
        <v>7.0250000000000004</v>
      </c>
      <c r="ES194" s="1421">
        <f>+SUM(ES192:ES193)</f>
        <v>7.0250000000000004</v>
      </c>
      <c r="ET194" s="1421">
        <f>+SUM(ET192:ET193)</f>
        <v>8</v>
      </c>
      <c r="EU194" s="1421">
        <f>+SUM(EU192:EU193)</f>
        <v>6.4499999999999993</v>
      </c>
      <c r="EV194" s="2026">
        <f t="shared" si="282"/>
        <v>0</v>
      </c>
      <c r="EW194" s="2336">
        <f>+SUM(EW192:EW193)</f>
        <v>7</v>
      </c>
      <c r="EX194" s="2486">
        <f>+SUM(EX192:EX193)</f>
        <v>6.7</v>
      </c>
      <c r="EY194" s="3001">
        <f>+SUM(EY192:EY193)</f>
        <v>7</v>
      </c>
      <c r="EZ194" s="3002">
        <f>+SUM(EZ192:EZ193)</f>
        <v>5.3000000000000007</v>
      </c>
      <c r="FA194" s="2842">
        <f t="shared" si="288"/>
        <v>0</v>
      </c>
      <c r="FB194" s="2026">
        <f>+SUM(FB192:FB193)</f>
        <v>0</v>
      </c>
      <c r="FC194" s="2026">
        <f>+SUM(FC192:FC193)</f>
        <v>0</v>
      </c>
      <c r="FD194" s="2026">
        <f>+SUM(FD192:FD193)</f>
        <v>0</v>
      </c>
      <c r="FE194" s="2026">
        <f>+SUM(FE192:FE193)</f>
        <v>0</v>
      </c>
      <c r="FF194" s="2879"/>
      <c r="FG194" s="2026">
        <v>0</v>
      </c>
      <c r="FH194" s="2026">
        <v>0</v>
      </c>
      <c r="FI194" s="2026">
        <v>0</v>
      </c>
      <c r="FJ194" s="2026">
        <f>+SUM(FJ192:FJ193)</f>
        <v>0</v>
      </c>
      <c r="FK194" s="2842">
        <f t="shared" si="289"/>
        <v>0</v>
      </c>
      <c r="FL194" s="354"/>
    </row>
    <row r="195" spans="1:169">
      <c r="A195" s="14" t="s">
        <v>1058</v>
      </c>
      <c r="B195" s="14">
        <f>+B151</f>
        <v>0</v>
      </c>
      <c r="C195" s="14">
        <f>+C151</f>
        <v>95.3</v>
      </c>
      <c r="D195" s="14">
        <f>+E195-C195-B195</f>
        <v>45.000000000000014</v>
      </c>
      <c r="E195" s="14">
        <f>+E151</f>
        <v>140.30000000000001</v>
      </c>
      <c r="F195" s="14">
        <f>E195</f>
        <v>140.30000000000001</v>
      </c>
      <c r="G195" s="14">
        <f>+G151</f>
        <v>0</v>
      </c>
      <c r="H195" s="14">
        <f>+H151</f>
        <v>0</v>
      </c>
      <c r="I195" s="14">
        <f>+I151</f>
        <v>94.691702127659568</v>
      </c>
      <c r="J195" s="14">
        <f>+K195-I195-H195</f>
        <v>64.990995271867604</v>
      </c>
      <c r="K195" s="14">
        <f>SUM(BF195:BI195)</f>
        <v>159.68269739952717</v>
      </c>
      <c r="L195" s="14">
        <f>K195</f>
        <v>159.68269739952717</v>
      </c>
      <c r="M195" s="14">
        <f>SUM(BK195:BN195)</f>
        <v>211.46099999999998</v>
      </c>
      <c r="N195" s="14">
        <f>+SUM(BP195:BS195)</f>
        <v>211.46099999999998</v>
      </c>
      <c r="O195" s="14">
        <f>N195</f>
        <v>211.46099999999998</v>
      </c>
      <c r="P195" s="14">
        <f>+P151</f>
        <v>253.3965</v>
      </c>
      <c r="Q195" s="14"/>
      <c r="R195" s="14">
        <f>+R151</f>
        <v>253.3965</v>
      </c>
      <c r="S195" s="14">
        <f>R195</f>
        <v>253.3965</v>
      </c>
      <c r="T195" s="77">
        <f>140.8-T205</f>
        <v>128.80000000000001</v>
      </c>
      <c r="U195" s="77">
        <f>151.1-U205</f>
        <v>139.1</v>
      </c>
      <c r="V195" s="77"/>
      <c r="W195" s="77">
        <f>151.1-W205</f>
        <v>139.1</v>
      </c>
      <c r="X195" s="14">
        <f>SUM(CJ195:CM195)</f>
        <v>136.9</v>
      </c>
      <c r="Y195" s="14">
        <f>+Y151</f>
        <v>152.1</v>
      </c>
      <c r="Z195" s="14">
        <f>+Z151</f>
        <v>163</v>
      </c>
      <c r="AA195" s="14">
        <f>+AA151</f>
        <v>163.19999999999999</v>
      </c>
      <c r="AB195" s="14">
        <f t="shared" si="264"/>
        <v>159.69999999999999</v>
      </c>
      <c r="AC195" s="14">
        <f t="shared" si="265"/>
        <v>153.5</v>
      </c>
      <c r="AD195" s="14">
        <f t="shared" si="266"/>
        <v>171.70000000000002</v>
      </c>
      <c r="AE195" s="14">
        <f t="shared" si="283"/>
        <v>167.8</v>
      </c>
      <c r="AF195" s="14">
        <f>SUM(DN195:DQ195)</f>
        <v>162.5</v>
      </c>
      <c r="AG195" s="14">
        <f>SUM(DS195:DV195)</f>
        <v>181.92713089005235</v>
      </c>
      <c r="AH195" s="167">
        <f>SUM(DX195:EA195)</f>
        <v>175.54644283716974</v>
      </c>
      <c r="AI195" s="167">
        <f>SUM(EC195:EF195)</f>
        <v>191.18500000000003</v>
      </c>
      <c r="AJ195" s="355">
        <f>SUM(EH195:EK195)</f>
        <v>179.02799999999999</v>
      </c>
      <c r="AK195" s="167">
        <f>+SUM(EM195:EP195)</f>
        <v>176.95491349999998</v>
      </c>
      <c r="AL195" s="167">
        <f>+SUM(ER195:EU195)</f>
        <v>164.89909568459612</v>
      </c>
      <c r="AM195" s="167">
        <f ca="1">SUM(EW195:EZ195)</f>
        <v>152.0609542378682</v>
      </c>
      <c r="AN195" s="167">
        <f ca="1">SUM(FB195:FE195)</f>
        <v>146.6607855690425</v>
      </c>
      <c r="AO195" s="167">
        <f t="shared" ca="1" si="284"/>
        <v>142.6607855690425</v>
      </c>
      <c r="AP195" s="14">
        <f t="shared" ref="AP195:AV195" ca="1" si="290">+AP151</f>
        <v>140.92337777591308</v>
      </c>
      <c r="AQ195" s="14">
        <f t="shared" ca="1" si="290"/>
        <v>143.44459433598325</v>
      </c>
      <c r="AR195" s="14">
        <f t="shared" ca="1" si="290"/>
        <v>150.32885597481518</v>
      </c>
      <c r="AS195" s="14">
        <f t="shared" ca="1" si="290"/>
        <v>161.41996993368667</v>
      </c>
      <c r="AT195" s="14">
        <f t="shared" ca="1" si="290"/>
        <v>160.54204592255098</v>
      </c>
      <c r="AU195" s="14">
        <f t="shared" ca="1" si="290"/>
        <v>166.00043432255018</v>
      </c>
      <c r="AV195" s="14">
        <f t="shared" ca="1" si="290"/>
        <v>175.85587793899384</v>
      </c>
      <c r="AW195" s="14">
        <f ca="1">+AW151</f>
        <v>174.17976013038978</v>
      </c>
      <c r="AX195" s="14">
        <f ca="1">+AX151</f>
        <v>178.07832100709467</v>
      </c>
      <c r="AY195" s="14">
        <f ca="1">+AY151</f>
        <v>190.64511850217755</v>
      </c>
      <c r="AZ195" s="354"/>
      <c r="BA195" s="354"/>
      <c r="BB195" s="354"/>
      <c r="BC195" s="354"/>
      <c r="BD195" s="354"/>
      <c r="BE195" s="370"/>
      <c r="BF195" s="14">
        <f>+BF151</f>
        <v>39.920674349881793</v>
      </c>
      <c r="BG195" s="14">
        <f>+BG151</f>
        <v>39.920674349881793</v>
      </c>
      <c r="BH195" s="14">
        <f>+BH151</f>
        <v>39.920674349881793</v>
      </c>
      <c r="BI195" s="14">
        <f>+BI151</f>
        <v>39.920674349881793</v>
      </c>
      <c r="BJ195" s="14"/>
      <c r="BK195" s="14">
        <f>+BK151</f>
        <v>52.865249999999996</v>
      </c>
      <c r="BL195" s="14">
        <f>+BL151</f>
        <v>52.865249999999996</v>
      </c>
      <c r="BM195" s="14">
        <f>+BM151</f>
        <v>52.865249999999996</v>
      </c>
      <c r="BN195" s="14">
        <f>+BN151</f>
        <v>52.865250000000003</v>
      </c>
      <c r="BO195" s="14"/>
      <c r="BP195" s="14">
        <f>+BP151</f>
        <v>52.865249999999996</v>
      </c>
      <c r="BQ195" s="14">
        <f>+BQ151</f>
        <v>52.865249999999996</v>
      </c>
      <c r="BR195" s="14">
        <f>+BR151</f>
        <v>52.865249999999996</v>
      </c>
      <c r="BS195" s="14">
        <f>+BS151</f>
        <v>52.865250000000003</v>
      </c>
      <c r="BT195" s="14">
        <f>+N195-SUM(BK195:BN195)</f>
        <v>0</v>
      </c>
      <c r="BU195" s="77">
        <v>36.799125000000146</v>
      </c>
      <c r="BV195" s="77">
        <v>67.499125000000191</v>
      </c>
      <c r="BW195" s="77">
        <v>57.3491250000001</v>
      </c>
      <c r="BX195" s="167">
        <f>+P195-SUM(BU195:BW195)</f>
        <v>91.749124999999566</v>
      </c>
      <c r="BY195" s="95">
        <f>+R195-SUM(BU195:BX195)</f>
        <v>0</v>
      </c>
      <c r="BZ195" s="14">
        <f>+BZ151</f>
        <v>30.700000000000003</v>
      </c>
      <c r="CA195" s="14">
        <f>+CA151</f>
        <v>31</v>
      </c>
      <c r="CB195" s="14">
        <f>+CB151</f>
        <v>31</v>
      </c>
      <c r="CC195" s="167">
        <f>T195-SUM(BZ195:CB195)</f>
        <v>36.100000000000009</v>
      </c>
      <c r="CD195" s="377">
        <f>+T195-SUM(BZ195:CC195)</f>
        <v>0</v>
      </c>
      <c r="CE195" s="77">
        <f>37-CE205</f>
        <v>34</v>
      </c>
      <c r="CF195" s="77">
        <f>37-CF205</f>
        <v>34</v>
      </c>
      <c r="CG195" s="77">
        <f>37.8-CG205</f>
        <v>34.799999999999997</v>
      </c>
      <c r="CH195" s="14">
        <f>+U195-SUM(CE195:CG195)</f>
        <v>36.299999999999997</v>
      </c>
      <c r="CI195" s="53"/>
      <c r="CJ195" s="77">
        <f>35.4-CJ205</f>
        <v>32.4</v>
      </c>
      <c r="CK195" s="77">
        <f>37.9-CK205</f>
        <v>34.9</v>
      </c>
      <c r="CL195" s="77">
        <f>36.7-CL205</f>
        <v>33.700000000000003</v>
      </c>
      <c r="CM195" s="77">
        <f>38.9-CM205</f>
        <v>35.9</v>
      </c>
      <c r="CN195" s="95">
        <f t="shared" si="273"/>
        <v>0</v>
      </c>
      <c r="CO195" s="14">
        <f>129.3-CP195-CQ195-CO205-CP205-CQ205</f>
        <v>39.000000000000007</v>
      </c>
      <c r="CP195" s="77">
        <f>CK195+7</f>
        <v>41.9</v>
      </c>
      <c r="CQ195" s="77">
        <f>42.4-CQ205</f>
        <v>39.4</v>
      </c>
      <c r="CR195" s="167">
        <f>AA195-SUM(CO195:CQ195)</f>
        <v>42.899999999999977</v>
      </c>
      <c r="CS195" s="49">
        <f t="shared" si="274"/>
        <v>0</v>
      </c>
      <c r="CT195" s="14">
        <f>128.8-CU195-CV195-CT205-CU205-CV205</f>
        <v>35.800000000000011</v>
      </c>
      <c r="CU195" s="14">
        <v>38</v>
      </c>
      <c r="CV195" s="77">
        <f>45-CV205</f>
        <v>40.225000000000001</v>
      </c>
      <c r="CW195" s="77">
        <f>50-CW205</f>
        <v>45.674999999999997</v>
      </c>
      <c r="CX195" s="49">
        <f t="shared" si="275"/>
        <v>0</v>
      </c>
      <c r="CY195" s="77">
        <f>40.9-CY205</f>
        <v>36.4</v>
      </c>
      <c r="CZ195" s="77">
        <f>43.5-CZ205</f>
        <v>38</v>
      </c>
      <c r="DA195" s="77">
        <f>42.7-DA205</f>
        <v>38.200000000000003</v>
      </c>
      <c r="DB195" s="77">
        <f>44.4-DB205</f>
        <v>40.9</v>
      </c>
      <c r="DC195" s="871">
        <f t="shared" si="276"/>
        <v>0</v>
      </c>
      <c r="DD195" s="77">
        <f>48.9-DD205-DD197</f>
        <v>43.975000000000001</v>
      </c>
      <c r="DE195" s="77">
        <f>48.9-DE205-DE197</f>
        <v>43.774999999999999</v>
      </c>
      <c r="DF195" s="77">
        <f>48.9-DF205-DF197</f>
        <v>43.674999999999997</v>
      </c>
      <c r="DG195" s="77">
        <f>48.9-DG205-DG197</f>
        <v>40.274999999999999</v>
      </c>
      <c r="DH195" s="357">
        <f t="shared" si="262"/>
        <v>0</v>
      </c>
      <c r="DI195" s="77">
        <f>47.4-DI205-DI197</f>
        <v>40.725000000000001</v>
      </c>
      <c r="DJ195" s="77">
        <f>47.4-DJ205-DJ197</f>
        <v>40.024999999999999</v>
      </c>
      <c r="DK195" s="77">
        <f>47.4-DK205</f>
        <v>43.524999999999999</v>
      </c>
      <c r="DL195" s="77">
        <f>47.4-DL205</f>
        <v>43.524999999999999</v>
      </c>
      <c r="DM195" s="357">
        <f t="shared" si="263"/>
        <v>0</v>
      </c>
      <c r="DN195" s="77">
        <f>44-DN205</f>
        <v>40.5</v>
      </c>
      <c r="DO195" s="77">
        <f>42.3-DO205</f>
        <v>38.799999999999997</v>
      </c>
      <c r="DP195" s="77">
        <f>43.3-DP205</f>
        <v>39.799999999999997</v>
      </c>
      <c r="DQ195" s="167">
        <f>DQ211-DQ209-DQ194-DQ196-DQ197-DQ198</f>
        <v>43.399999999999991</v>
      </c>
      <c r="DR195" s="871">
        <f t="shared" si="285"/>
        <v>0</v>
      </c>
      <c r="DS195" s="167">
        <f>DS211-DS209-DS194-DS196-DS197-DS198</f>
        <v>45.650000000000013</v>
      </c>
      <c r="DT195" s="167">
        <f>DT211-DT209-DT194-DT196-DT197-DT198</f>
        <v>45.749999999999993</v>
      </c>
      <c r="DU195" s="167">
        <f>DU211-DU209-DU194-DU196-DU197-DU198</f>
        <v>45.04999999999999</v>
      </c>
      <c r="DV195" s="167">
        <f>DV211-DV209-DV194-DV196-DV197-DV198</f>
        <v>45.477130890052379</v>
      </c>
      <c r="DW195" s="538">
        <f t="shared" si="277"/>
        <v>0</v>
      </c>
      <c r="DX195" s="167">
        <f>DX211-DX209-DX194-DX196-DX197-DX198</f>
        <v>43.886610709292434</v>
      </c>
      <c r="DY195" s="167">
        <f>DY211-DY209-DY194-DY196-DY197-DY198</f>
        <v>44.886610709292434</v>
      </c>
      <c r="DZ195" s="167">
        <f>DZ211-DZ209-DZ194-DZ196-DZ197-DZ198</f>
        <v>41.886610709292434</v>
      </c>
      <c r="EA195" s="167">
        <f>EA211-EA209-EA194-EA196-EA197-EA198</f>
        <v>44.886610709292434</v>
      </c>
      <c r="EB195" s="538">
        <f t="shared" si="286"/>
        <v>0</v>
      </c>
      <c r="EC195" s="167">
        <f>EC211-EC209-EC194-EC196-EC197-EC198</f>
        <v>46.046250000000001</v>
      </c>
      <c r="ED195" s="167">
        <f>ED211-ED209-ED194-ED196-ED197-ED198</f>
        <v>49.046250000000015</v>
      </c>
      <c r="EE195" s="167">
        <f>EE211-EE209-EE194-EE196-EE197-EE198</f>
        <v>45.046250000000008</v>
      </c>
      <c r="EF195" s="167">
        <f>EF211-EF209-EF194-EF196-EF197-EF198</f>
        <v>51.046250000000008</v>
      </c>
      <c r="EG195" s="538">
        <f t="shared" si="287"/>
        <v>0</v>
      </c>
      <c r="EH195" s="167">
        <f>EH211-EH209-EH194-EH196-EH197-EH198</f>
        <v>47.506999999999998</v>
      </c>
      <c r="EI195" s="167">
        <f>EI211-EI209-EI194-EI196-EI197-EI198</f>
        <v>43.506999999999998</v>
      </c>
      <c r="EJ195" s="167">
        <f>EJ211-EJ209-EJ194-EJ196-EJ197-EJ198</f>
        <v>43.506999999999991</v>
      </c>
      <c r="EK195" s="167">
        <f>EK211-EK209-EK194-EK196-EK197-EK198</f>
        <v>44.506999999999998</v>
      </c>
      <c r="EL195" s="538">
        <f t="shared" si="280"/>
        <v>0</v>
      </c>
      <c r="EM195" s="167">
        <f>EM211-EM209-EM194-EM196-EM197-EM198</f>
        <v>45.488728374999994</v>
      </c>
      <c r="EN195" s="167">
        <f>EN211-EN209-EN194-EN196-EN197-EN198</f>
        <v>45.488728374999994</v>
      </c>
      <c r="EO195" s="167">
        <f>EO211-EO209-EO194-EO196-EO197-EO198</f>
        <v>42.488728374999994</v>
      </c>
      <c r="EP195" s="167">
        <f>EP211-EP209-EP194-EP196-EP197-EP198</f>
        <v>43.488728374999994</v>
      </c>
      <c r="EQ195" s="538">
        <f t="shared" si="281"/>
        <v>0</v>
      </c>
      <c r="ER195" s="1693">
        <f>ER211-ER209-ER194-ER196-ER197-ER198</f>
        <v>43.698253921149025</v>
      </c>
      <c r="ES195" s="1693">
        <f>ES211-ES209-ES194-ES196-ES197-ES198</f>
        <v>42.698253921149025</v>
      </c>
      <c r="ET195" s="1693">
        <f>ET211-ET209-ET194-ET196-ET197-ET198</f>
        <v>39.723253921149031</v>
      </c>
      <c r="EU195" s="1693">
        <f>EU211-EU209-EU194-EU196-EU197-EU198</f>
        <v>38.779333921149025</v>
      </c>
      <c r="EV195" s="2026">
        <f t="shared" si="282"/>
        <v>0</v>
      </c>
      <c r="EW195" s="1693">
        <f ca="1">EW211-EW209-EW194-EW196-EW197-EW198</f>
        <v>38.490005559467058</v>
      </c>
      <c r="EX195" s="1693">
        <f ca="1">EX211-EX209-EX194-EX196-EX197-EX198</f>
        <v>39.090005559467052</v>
      </c>
      <c r="EY195" s="2787">
        <f ca="1">EY211-EY209-EY194-EY196-EY197-EY198</f>
        <v>36.790005559467055</v>
      </c>
      <c r="EZ195" s="2787">
        <f ca="1">EZ211-EZ209-EZ194-EZ196-EZ197-EZ198</f>
        <v>37.690937559467059</v>
      </c>
      <c r="FA195" s="2842">
        <f t="shared" ca="1" si="288"/>
        <v>0</v>
      </c>
      <c r="FB195" s="2787">
        <f>FB211-FB209-FB194-FB196-FB197-FB198</f>
        <v>36.823282669858479</v>
      </c>
      <c r="FC195" s="2787">
        <f>FC211-FC209-FC194-FC196-FC197-FC198</f>
        <v>36.823282669858479</v>
      </c>
      <c r="FD195" s="2787">
        <f>FD211-FD209-FD194-FD196-FD197-FD198</f>
        <v>36.823282669858479</v>
      </c>
      <c r="FE195" s="2878">
        <f ca="1">EZ195-1.5</f>
        <v>36.190937559467059</v>
      </c>
      <c r="FF195" s="2878"/>
      <c r="FG195" s="2878">
        <f>FB195-1</f>
        <v>35.823282669858479</v>
      </c>
      <c r="FH195" s="2878">
        <f t="shared" ref="FH195:FJ195" si="291">FC195-1</f>
        <v>35.823282669858479</v>
      </c>
      <c r="FI195" s="2878">
        <f t="shared" si="291"/>
        <v>35.823282669858479</v>
      </c>
      <c r="FJ195" s="2878">
        <f t="shared" ca="1" si="291"/>
        <v>35.190937559467059</v>
      </c>
      <c r="FK195" s="2842">
        <f t="shared" ca="1" si="289"/>
        <v>0</v>
      </c>
      <c r="FL195" s="1173" t="s">
        <v>1237</v>
      </c>
    </row>
    <row r="196" spans="1:169">
      <c r="A196" s="14" t="s">
        <v>1051</v>
      </c>
      <c r="B196" s="77">
        <v>0</v>
      </c>
      <c r="C196" s="77">
        <v>0</v>
      </c>
      <c r="D196" s="77">
        <v>0</v>
      </c>
      <c r="E196" s="77">
        <v>0</v>
      </c>
      <c r="F196" s="14">
        <f>F22</f>
        <v>55.460047596382672</v>
      </c>
      <c r="G196" s="77">
        <v>0</v>
      </c>
      <c r="H196" s="77">
        <v>0</v>
      </c>
      <c r="I196" s="77">
        <v>0</v>
      </c>
      <c r="J196" s="77">
        <v>0</v>
      </c>
      <c r="K196" s="77">
        <v>0</v>
      </c>
      <c r="L196" s="14">
        <f>L22</f>
        <v>56.343312708234173</v>
      </c>
      <c r="M196" s="77">
        <v>0</v>
      </c>
      <c r="N196" s="77">
        <v>0</v>
      </c>
      <c r="O196" s="14">
        <f>O22</f>
        <v>56.235144991661542</v>
      </c>
      <c r="P196" s="77">
        <v>0</v>
      </c>
      <c r="Q196" s="14"/>
      <c r="R196" s="77">
        <v>0</v>
      </c>
      <c r="S196" s="14">
        <f>S22</f>
        <v>58.379087224898676</v>
      </c>
      <c r="T196" s="77">
        <v>0</v>
      </c>
      <c r="U196" s="77">
        <v>0</v>
      </c>
      <c r="V196" s="77"/>
      <c r="W196" s="77">
        <v>0</v>
      </c>
      <c r="X196" s="14">
        <f>SUM(CJ196:CM196)</f>
        <v>0</v>
      </c>
      <c r="Y196" s="14">
        <f>Y22</f>
        <v>59.099999999999994</v>
      </c>
      <c r="Z196" s="14">
        <f>Z22</f>
        <v>62.599999999999994</v>
      </c>
      <c r="AA196" s="14">
        <f>AA22</f>
        <v>61</v>
      </c>
      <c r="AB196" s="14">
        <f t="shared" si="264"/>
        <v>57.2</v>
      </c>
      <c r="AC196" s="14">
        <f t="shared" si="265"/>
        <v>6.5</v>
      </c>
      <c r="AD196" s="14">
        <f t="shared" si="266"/>
        <v>6.1</v>
      </c>
      <c r="AE196" s="14">
        <f t="shared" si="283"/>
        <v>6.5</v>
      </c>
      <c r="AF196" s="354">
        <f>SUM(DN196:DQ196)</f>
        <v>4.7</v>
      </c>
      <c r="AG196" s="14">
        <f>SUM(DS196:DV196)</f>
        <v>4.1000000000000005</v>
      </c>
      <c r="AH196" s="14">
        <f t="shared" ref="AH196:AL196" si="292">AH22</f>
        <v>4.6829999999999989</v>
      </c>
      <c r="AI196" s="14">
        <f t="shared" si="292"/>
        <v>4.7949999999999982</v>
      </c>
      <c r="AJ196" s="14">
        <f t="shared" si="292"/>
        <v>4.9359999999999982</v>
      </c>
      <c r="AK196" s="14">
        <f t="shared" si="292"/>
        <v>4.6061999999999976</v>
      </c>
      <c r="AL196" s="14">
        <f t="shared" si="292"/>
        <v>4.4769599999999974</v>
      </c>
      <c r="AM196" s="14">
        <f>AM22</f>
        <v>4.1990679999999969</v>
      </c>
      <c r="AN196" s="167">
        <f>SUM(FB196:FE196)</f>
        <v>4.7990679999999966</v>
      </c>
      <c r="AO196" s="167">
        <f t="shared" si="284"/>
        <v>4.3990679999999971</v>
      </c>
      <c r="AP196" s="1357">
        <f t="shared" ref="AP196:AU196" si="293">AP22</f>
        <v>3.7592528159999996</v>
      </c>
      <c r="AQ196" s="14">
        <f t="shared" si="293"/>
        <v>3.9230215727999997</v>
      </c>
      <c r="AR196" s="14">
        <f t="shared" si="293"/>
        <v>4.0723489646399997</v>
      </c>
      <c r="AS196" s="14">
        <f t="shared" si="293"/>
        <v>4.2104895122399997</v>
      </c>
      <c r="AT196" s="14">
        <f t="shared" si="293"/>
        <v>4.3400541571305595</v>
      </c>
      <c r="AU196" s="14">
        <f t="shared" si="293"/>
        <v>4.4631391239897784</v>
      </c>
      <c r="AV196" s="14">
        <f>AV22</f>
        <v>4.5814290134428601</v>
      </c>
      <c r="AW196" s="14">
        <f>AW22</f>
        <v>4.6962792792903469</v>
      </c>
      <c r="AX196" s="14">
        <f>AX22</f>
        <v>4.8087822133390574</v>
      </c>
      <c r="AY196" s="14">
        <f>AY22</f>
        <v>4.9198197363761613</v>
      </c>
      <c r="AZ196" s="354"/>
      <c r="BA196" s="354"/>
      <c r="BB196" s="354"/>
      <c r="BC196" s="354"/>
      <c r="BD196" s="354"/>
      <c r="BE196" s="370"/>
      <c r="BF196" s="14">
        <v>0</v>
      </c>
      <c r="BG196" s="14">
        <v>0</v>
      </c>
      <c r="BH196" s="14">
        <v>0</v>
      </c>
      <c r="BI196" s="14">
        <v>0</v>
      </c>
      <c r="BJ196" s="14"/>
      <c r="BK196" s="14">
        <v>0</v>
      </c>
      <c r="BL196" s="14">
        <v>0</v>
      </c>
      <c r="BM196" s="14">
        <v>0</v>
      </c>
      <c r="BN196" s="14">
        <v>0</v>
      </c>
      <c r="BO196" s="14"/>
      <c r="BP196" s="14">
        <v>0</v>
      </c>
      <c r="BQ196" s="14">
        <v>0</v>
      </c>
      <c r="BR196" s="14">
        <v>0</v>
      </c>
      <c r="BS196" s="14">
        <v>0</v>
      </c>
      <c r="BT196" s="14"/>
      <c r="BU196" s="14">
        <v>0</v>
      </c>
      <c r="BV196" s="14">
        <v>0</v>
      </c>
      <c r="BW196" s="14">
        <v>0</v>
      </c>
      <c r="BX196" s="14">
        <v>0</v>
      </c>
      <c r="BY196" s="95"/>
      <c r="BZ196" s="14">
        <v>0</v>
      </c>
      <c r="CA196" s="14">
        <v>0</v>
      </c>
      <c r="CB196" s="14">
        <v>0</v>
      </c>
      <c r="CC196" s="14">
        <v>0</v>
      </c>
      <c r="CD196" s="377"/>
      <c r="CE196" s="14">
        <v>0</v>
      </c>
      <c r="CF196" s="14">
        <v>0</v>
      </c>
      <c r="CG196" s="14">
        <v>0</v>
      </c>
      <c r="CH196" s="14">
        <v>0</v>
      </c>
      <c r="CI196" s="53"/>
      <c r="CJ196" s="77">
        <v>0</v>
      </c>
      <c r="CK196" s="77">
        <v>0</v>
      </c>
      <c r="CL196" s="77">
        <v>0</v>
      </c>
      <c r="CM196" s="77">
        <v>0</v>
      </c>
      <c r="CN196" s="95">
        <f t="shared" si="273"/>
        <v>0</v>
      </c>
      <c r="CO196" s="14">
        <f>52.8-CP196-CQ196-CO206-CP206-CQ206</f>
        <v>15.399999999999999</v>
      </c>
      <c r="CP196" s="14">
        <v>15.5</v>
      </c>
      <c r="CQ196" s="77">
        <f>17.9-CQ206</f>
        <v>15.899999999999999</v>
      </c>
      <c r="CR196" s="167">
        <f>AA196-SUM(CO196:CQ196)</f>
        <v>14.200000000000003</v>
      </c>
      <c r="CS196" s="49">
        <f t="shared" si="274"/>
        <v>0</v>
      </c>
      <c r="CT196" s="14">
        <f>49.9-CU196-CV196-CT206-CU206-CV206</f>
        <v>12.799999999999997</v>
      </c>
      <c r="CU196" s="14">
        <v>15</v>
      </c>
      <c r="CV196" s="77">
        <f>17.1-CV206</f>
        <v>14.600000000000001</v>
      </c>
      <c r="CW196" s="77">
        <f>17.3-CW206</f>
        <v>14.8</v>
      </c>
      <c r="CX196" s="49">
        <f t="shared" si="275"/>
        <v>0</v>
      </c>
      <c r="CY196" s="77">
        <f>2.1-CY206</f>
        <v>1.35</v>
      </c>
      <c r="CZ196" s="77">
        <f>2.4-CZ206</f>
        <v>1.65</v>
      </c>
      <c r="DA196" s="77">
        <f>2.4-DA206</f>
        <v>1.65</v>
      </c>
      <c r="DB196" s="77">
        <f>2.6-DB206</f>
        <v>1.85</v>
      </c>
      <c r="DC196" s="871">
        <f t="shared" si="276"/>
        <v>0</v>
      </c>
      <c r="DD196" s="77">
        <f>2.4-DD206</f>
        <v>1.65</v>
      </c>
      <c r="DE196" s="77">
        <f>2-DE206</f>
        <v>1.25</v>
      </c>
      <c r="DF196" s="77">
        <f>2.2-DF206</f>
        <v>1.4500000000000002</v>
      </c>
      <c r="DG196" s="77">
        <f>2.5-DG206</f>
        <v>1.75</v>
      </c>
      <c r="DH196" s="357">
        <f t="shared" si="262"/>
        <v>0</v>
      </c>
      <c r="DI196" s="77">
        <f>2.5-DI206</f>
        <v>1.75</v>
      </c>
      <c r="DJ196" s="77">
        <f>2.4-DJ206</f>
        <v>1.65</v>
      </c>
      <c r="DK196" s="77">
        <f>2.4-DK206</f>
        <v>1.65</v>
      </c>
      <c r="DL196" s="77">
        <f>2.2-DL206</f>
        <v>1.4500000000000002</v>
      </c>
      <c r="DM196" s="357">
        <f t="shared" si="263"/>
        <v>0</v>
      </c>
      <c r="DN196" s="77">
        <f>2.2-DN206</f>
        <v>1.4500000000000002</v>
      </c>
      <c r="DO196" s="77">
        <f>2-DO206</f>
        <v>1.25</v>
      </c>
      <c r="DP196" s="77">
        <f>1.8-DP206</f>
        <v>1.05</v>
      </c>
      <c r="DQ196" s="77">
        <f>1.7-DQ206</f>
        <v>0.95</v>
      </c>
      <c r="DR196" s="871">
        <f t="shared" si="285"/>
        <v>0</v>
      </c>
      <c r="DS196" s="77">
        <f>1.6-DS206</f>
        <v>0.85000000000000009</v>
      </c>
      <c r="DT196" s="77">
        <f>1.6-DT206</f>
        <v>0.85000000000000009</v>
      </c>
      <c r="DU196" s="77">
        <f>1.7-DU206</f>
        <v>0.95</v>
      </c>
      <c r="DV196" s="77">
        <f>2.2-DV206</f>
        <v>1.4500000000000002</v>
      </c>
      <c r="DW196" s="538">
        <f t="shared" si="277"/>
        <v>0</v>
      </c>
      <c r="DX196" s="354">
        <f t="shared" si="278"/>
        <v>1.1707499999999997</v>
      </c>
      <c r="DY196" s="354">
        <f t="shared" si="279"/>
        <v>1.1707499999999997</v>
      </c>
      <c r="DZ196" s="354">
        <f t="shared" si="279"/>
        <v>1.1707499999999997</v>
      </c>
      <c r="EA196" s="354">
        <f t="shared" si="279"/>
        <v>1.1707499999999997</v>
      </c>
      <c r="EB196" s="538">
        <f t="shared" si="286"/>
        <v>0</v>
      </c>
      <c r="EC196" s="1117">
        <f>+$AI196/4</f>
        <v>1.1987499999999995</v>
      </c>
      <c r="ED196" s="1117">
        <f>+$AI196/4</f>
        <v>1.1987499999999995</v>
      </c>
      <c r="EE196" s="1117">
        <f>+$AI196/4</f>
        <v>1.1987499999999995</v>
      </c>
      <c r="EF196" s="355">
        <f>AI196-SUM(EC196:EE196)</f>
        <v>1.1987499999999995</v>
      </c>
      <c r="EG196" s="538">
        <f t="shared" si="287"/>
        <v>0</v>
      </c>
      <c r="EH196" s="1117">
        <f>+$AJ196/4</f>
        <v>1.2339999999999995</v>
      </c>
      <c r="EI196" s="1117">
        <f t="shared" ref="EI196:EK197" si="294">+$AJ196/4</f>
        <v>1.2339999999999995</v>
      </c>
      <c r="EJ196" s="1117">
        <f t="shared" si="294"/>
        <v>1.2339999999999995</v>
      </c>
      <c r="EK196" s="1117">
        <f t="shared" si="294"/>
        <v>1.2339999999999995</v>
      </c>
      <c r="EL196" s="538">
        <f t="shared" si="280"/>
        <v>0</v>
      </c>
      <c r="EM196" s="1456">
        <f>+$AK196/4</f>
        <v>1.1515499999999994</v>
      </c>
      <c r="EN196" s="1456">
        <f t="shared" ref="EN196:EP197" si="295">+$AK196/4</f>
        <v>1.1515499999999994</v>
      </c>
      <c r="EO196" s="1456">
        <f t="shared" si="295"/>
        <v>1.1515499999999994</v>
      </c>
      <c r="EP196" s="1456">
        <f t="shared" si="295"/>
        <v>1.1515499999999994</v>
      </c>
      <c r="EQ196" s="538">
        <f t="shared" si="281"/>
        <v>0</v>
      </c>
      <c r="ER196" s="1635">
        <f>ER206</f>
        <v>0.24576000000000012</v>
      </c>
      <c r="ES196" s="63">
        <f>ER196</f>
        <v>0.24576000000000012</v>
      </c>
      <c r="ET196" s="1635">
        <f>ES196</f>
        <v>0.24576000000000012</v>
      </c>
      <c r="EU196" s="63">
        <f>AL196-SUM(ER196:ET196)</f>
        <v>3.7396799999999972</v>
      </c>
      <c r="EV196" s="2026">
        <f t="shared" si="282"/>
        <v>0</v>
      </c>
      <c r="EW196" s="1635">
        <v>1</v>
      </c>
      <c r="EX196" s="1635">
        <v>0.7</v>
      </c>
      <c r="EY196" s="2829">
        <v>0.7</v>
      </c>
      <c r="EZ196" s="2829">
        <f>AM196-SUM(EW196:EY196)</f>
        <v>1.799067999999997</v>
      </c>
      <c r="FA196" s="2842">
        <f t="shared" si="288"/>
        <v>0</v>
      </c>
      <c r="FB196" s="2829">
        <v>1</v>
      </c>
      <c r="FC196" s="2829">
        <v>1</v>
      </c>
      <c r="FD196" s="2829">
        <v>1</v>
      </c>
      <c r="FE196" s="2829">
        <f>EZ196</f>
        <v>1.799067999999997</v>
      </c>
      <c r="FF196" s="2829"/>
      <c r="FG196" s="2829">
        <f>FB196-0.1</f>
        <v>0.9</v>
      </c>
      <c r="FH196" s="2829">
        <f t="shared" ref="FH196:FJ196" si="296">FC196-0.1</f>
        <v>0.9</v>
      </c>
      <c r="FI196" s="2829">
        <f t="shared" si="296"/>
        <v>0.9</v>
      </c>
      <c r="FJ196" s="2829">
        <f t="shared" si="296"/>
        <v>1.6990679999999969</v>
      </c>
      <c r="FK196" s="2842">
        <f t="shared" si="289"/>
        <v>0</v>
      </c>
      <c r="FL196" s="1117"/>
    </row>
    <row r="197" spans="1:169">
      <c r="A197" s="14" t="s">
        <v>4</v>
      </c>
      <c r="B197" s="77"/>
      <c r="C197" s="77"/>
      <c r="D197" s="77"/>
      <c r="E197" s="77"/>
      <c r="F197" s="14"/>
      <c r="G197" s="77"/>
      <c r="H197" s="77"/>
      <c r="I197" s="77"/>
      <c r="J197" s="77"/>
      <c r="K197" s="77"/>
      <c r="L197" s="14"/>
      <c r="M197" s="77"/>
      <c r="N197" s="77"/>
      <c r="O197" s="14"/>
      <c r="P197" s="77"/>
      <c r="Q197" s="14"/>
      <c r="R197" s="77"/>
      <c r="S197" s="14"/>
      <c r="T197" s="77"/>
      <c r="U197" s="77"/>
      <c r="V197" s="77"/>
      <c r="W197" s="77"/>
      <c r="X197" s="14"/>
      <c r="Y197" s="14"/>
      <c r="Z197" s="14"/>
      <c r="AA197" s="14"/>
      <c r="AB197" s="14"/>
      <c r="AC197" s="14"/>
      <c r="AD197" s="14">
        <f>SUM(DD197:DG197)</f>
        <v>7.3999999999999995</v>
      </c>
      <c r="AE197" s="14">
        <f t="shared" si="283"/>
        <v>21</v>
      </c>
      <c r="AF197" s="14">
        <f t="shared" ref="AF197:AO197" si="297">AF172</f>
        <v>27</v>
      </c>
      <c r="AG197" s="14">
        <f t="shared" si="297"/>
        <v>27</v>
      </c>
      <c r="AH197" s="1922">
        <f t="shared" si="297"/>
        <v>26.470557162830264</v>
      </c>
      <c r="AI197" s="1922">
        <f t="shared" si="297"/>
        <v>20</v>
      </c>
      <c r="AJ197" s="1922">
        <f t="shared" si="297"/>
        <v>20.2</v>
      </c>
      <c r="AK197" s="1922">
        <f t="shared" si="297"/>
        <v>20.410086500000002</v>
      </c>
      <c r="AL197" s="1922">
        <f>AL172</f>
        <v>21.140904315403915</v>
      </c>
      <c r="AM197" s="1922">
        <f>AM172</f>
        <v>21.253545762131768</v>
      </c>
      <c r="AN197" s="1922">
        <f t="shared" si="297"/>
        <v>22.706869320566085</v>
      </c>
      <c r="AO197" s="1922">
        <f t="shared" si="297"/>
        <v>24.773458621713129</v>
      </c>
      <c r="AP197" s="1922">
        <f t="shared" ref="AP197:AU197" si="298">AP172</f>
        <v>24.962802422791533</v>
      </c>
      <c r="AQ197" s="1922">
        <f t="shared" si="298"/>
        <v>25.455455172769565</v>
      </c>
      <c r="AR197" s="1922">
        <f t="shared" si="298"/>
        <v>25.804106885633409</v>
      </c>
      <c r="AS197" s="1922">
        <f t="shared" si="298"/>
        <v>26.128988639678376</v>
      </c>
      <c r="AT197" s="1922">
        <f t="shared" si="298"/>
        <v>26.228753536717882</v>
      </c>
      <c r="AU197" s="1922">
        <f t="shared" si="298"/>
        <v>26.329017258242587</v>
      </c>
      <c r="AV197" s="1922">
        <f>AV172</f>
        <v>26.42978229837491</v>
      </c>
      <c r="AW197" s="1922">
        <f>AW172</f>
        <v>26.513549912232712</v>
      </c>
      <c r="AX197" s="1922">
        <f>AX172</f>
        <v>26.597736364159793</v>
      </c>
      <c r="AY197" s="1922">
        <f>AY172</f>
        <v>26.682343748346511</v>
      </c>
      <c r="AZ197" s="354"/>
      <c r="BA197" s="354"/>
      <c r="BB197" s="354"/>
      <c r="BC197" s="354"/>
      <c r="BD197" s="354"/>
      <c r="BE197" s="370"/>
      <c r="BF197" s="14"/>
      <c r="BG197" s="14"/>
      <c r="BH197" s="14"/>
      <c r="BI197" s="14"/>
      <c r="BJ197" s="14"/>
      <c r="BK197" s="14"/>
      <c r="BL197" s="14"/>
      <c r="BM197" s="14"/>
      <c r="BN197" s="14"/>
      <c r="BO197" s="14"/>
      <c r="BP197" s="14"/>
      <c r="BQ197" s="14"/>
      <c r="BR197" s="14"/>
      <c r="BS197" s="14"/>
      <c r="BT197" s="14"/>
      <c r="BU197" s="14"/>
      <c r="BV197" s="14"/>
      <c r="BW197" s="14"/>
      <c r="BX197" s="14"/>
      <c r="BY197" s="95"/>
      <c r="BZ197" s="14"/>
      <c r="CA197" s="14"/>
      <c r="CB197" s="14"/>
      <c r="CC197" s="14"/>
      <c r="CD197" s="377"/>
      <c r="CE197" s="14"/>
      <c r="CF197" s="14"/>
      <c r="CG197" s="14"/>
      <c r="CH197" s="14"/>
      <c r="CI197" s="53"/>
      <c r="CJ197" s="77"/>
      <c r="CK197" s="77"/>
      <c r="CL197" s="77"/>
      <c r="CM197" s="77"/>
      <c r="CN197" s="95"/>
      <c r="CO197" s="14"/>
      <c r="CP197" s="14"/>
      <c r="CQ197" s="77"/>
      <c r="CR197" s="167"/>
      <c r="CS197" s="49"/>
      <c r="CT197" s="14"/>
      <c r="CU197" s="14"/>
      <c r="CV197" s="77"/>
      <c r="CW197" s="77"/>
      <c r="CX197" s="49"/>
      <c r="CY197" s="77"/>
      <c r="CZ197" s="77"/>
      <c r="DA197" s="77"/>
      <c r="DB197" s="77"/>
      <c r="DC197" s="871"/>
      <c r="DD197" s="77">
        <f>'Revenue and OCF'!CT53</f>
        <v>0.79999999999999982</v>
      </c>
      <c r="DE197" s="77">
        <f>'Revenue and OCF'!CU53</f>
        <v>1</v>
      </c>
      <c r="DF197" s="77">
        <f>'Revenue and OCF'!CV53</f>
        <v>1.0999999999999996</v>
      </c>
      <c r="DG197" s="77">
        <f>'Revenue and OCF'!CW53</f>
        <v>4.5</v>
      </c>
      <c r="DH197" s="357">
        <f t="shared" si="262"/>
        <v>0</v>
      </c>
      <c r="DI197" s="77">
        <f>'Revenue and OCF'!CY53</f>
        <v>2.8000000000000003</v>
      </c>
      <c r="DJ197" s="77">
        <f>'Revenue and OCF'!CZ53</f>
        <v>3.5</v>
      </c>
      <c r="DK197" s="77">
        <f>17.7-DK207</f>
        <v>4.6999999999999993</v>
      </c>
      <c r="DL197" s="77">
        <f>23-DL207</f>
        <v>10</v>
      </c>
      <c r="DM197" s="357">
        <f t="shared" si="263"/>
        <v>0</v>
      </c>
      <c r="DN197" s="77">
        <f>19.8-DN207</f>
        <v>6.8000000000000007</v>
      </c>
      <c r="DO197" s="77">
        <f>19.8-DO207</f>
        <v>6.8000000000000007</v>
      </c>
      <c r="DP197" s="77">
        <f>19.7-DP207</f>
        <v>6.6999999999999993</v>
      </c>
      <c r="DQ197" s="354">
        <f>AF197-SUM(DN197:DP197)</f>
        <v>6.6999999999999993</v>
      </c>
      <c r="DR197" s="871">
        <f t="shared" si="285"/>
        <v>0</v>
      </c>
      <c r="DS197" s="354">
        <f>$AG$197/4</f>
        <v>6.75</v>
      </c>
      <c r="DT197" s="354">
        <f>$AG$197/4</f>
        <v>6.75</v>
      </c>
      <c r="DU197" s="354">
        <f>$AG$197/4</f>
        <v>6.75</v>
      </c>
      <c r="DV197" s="354">
        <f>AG197-SUM(DS197:DU197)</f>
        <v>6.75</v>
      </c>
      <c r="DW197" s="538">
        <f t="shared" si="277"/>
        <v>0</v>
      </c>
      <c r="DX197" s="354">
        <f t="shared" si="278"/>
        <v>6.6176392907075661</v>
      </c>
      <c r="DY197" s="354">
        <f t="shared" si="279"/>
        <v>6.6176392907075661</v>
      </c>
      <c r="DZ197" s="354">
        <f t="shared" si="279"/>
        <v>6.6176392907075661</v>
      </c>
      <c r="EA197" s="354">
        <f t="shared" si="279"/>
        <v>6.6176392907075661</v>
      </c>
      <c r="EB197" s="538">
        <f t="shared" si="286"/>
        <v>0</v>
      </c>
      <c r="EC197" s="1117">
        <f>+$AI197/4+1</f>
        <v>6</v>
      </c>
      <c r="ED197" s="1117">
        <f>+$AI197/4</f>
        <v>5</v>
      </c>
      <c r="EE197" s="1117">
        <f>+$AI197/4</f>
        <v>5</v>
      </c>
      <c r="EF197" s="355">
        <f>AI197-SUM(EC197:EE197)</f>
        <v>4</v>
      </c>
      <c r="EG197" s="538">
        <f t="shared" si="287"/>
        <v>0</v>
      </c>
      <c r="EH197" s="1117">
        <f>+$AJ197/4</f>
        <v>5.05</v>
      </c>
      <c r="EI197" s="1117">
        <f t="shared" si="294"/>
        <v>5.05</v>
      </c>
      <c r="EJ197" s="1117">
        <f t="shared" si="294"/>
        <v>5.05</v>
      </c>
      <c r="EK197" s="1117">
        <f t="shared" si="294"/>
        <v>5.05</v>
      </c>
      <c r="EL197" s="538">
        <f t="shared" si="280"/>
        <v>0</v>
      </c>
      <c r="EM197" s="1456">
        <f>+$AK197/4</f>
        <v>5.1025216250000005</v>
      </c>
      <c r="EN197" s="1456">
        <f t="shared" si="295"/>
        <v>5.1025216250000005</v>
      </c>
      <c r="EO197" s="1456">
        <f t="shared" si="295"/>
        <v>5.1025216250000005</v>
      </c>
      <c r="EP197" s="1456">
        <f t="shared" si="295"/>
        <v>5.1025216250000005</v>
      </c>
      <c r="EQ197" s="538">
        <f t="shared" si="281"/>
        <v>0</v>
      </c>
      <c r="ER197" s="1421">
        <f>+$AL197/4</f>
        <v>5.2852260788509788</v>
      </c>
      <c r="ES197" s="1421">
        <f>+$AL197/4</f>
        <v>5.2852260788509788</v>
      </c>
      <c r="ET197" s="1421">
        <f>+$AL197/4</f>
        <v>5.2852260788509788</v>
      </c>
      <c r="EU197" s="1456">
        <f>+$AL197/4</f>
        <v>5.2852260788509788</v>
      </c>
      <c r="EV197" s="2026">
        <f t="shared" si="282"/>
        <v>0</v>
      </c>
      <c r="EW197" s="2026">
        <f>$AM$197/4</f>
        <v>5.3133864405329421</v>
      </c>
      <c r="EX197" s="2026">
        <f>$AM$197/4</f>
        <v>5.3133864405329421</v>
      </c>
      <c r="EY197" s="2842">
        <f>$AM$197/4</f>
        <v>5.3133864405329421</v>
      </c>
      <c r="EZ197" s="2842">
        <f>$AM$197/4</f>
        <v>5.3133864405329421</v>
      </c>
      <c r="FA197" s="2842">
        <f t="shared" si="288"/>
        <v>0</v>
      </c>
      <c r="FB197" s="2842">
        <f>$AN$197/4</f>
        <v>5.6767173301415212</v>
      </c>
      <c r="FC197" s="2842">
        <f>$AN$197/4</f>
        <v>5.6767173301415212</v>
      </c>
      <c r="FD197" s="2842">
        <f>$AN$197/4</f>
        <v>5.6767173301415212</v>
      </c>
      <c r="FE197" s="2842">
        <f>$AN$197/4</f>
        <v>5.6767173301415212</v>
      </c>
      <c r="FF197" s="2842"/>
      <c r="FG197" s="2842">
        <f>$AO$197/4</f>
        <v>6.1933646554282822</v>
      </c>
      <c r="FH197" s="2842">
        <f t="shared" ref="FH197:FJ197" si="299">$AO$197/4</f>
        <v>6.1933646554282822</v>
      </c>
      <c r="FI197" s="2842">
        <f t="shared" si="299"/>
        <v>6.1933646554282822</v>
      </c>
      <c r="FJ197" s="2842">
        <f t="shared" si="299"/>
        <v>6.1933646554282822</v>
      </c>
      <c r="FK197" s="2842">
        <f t="shared" si="289"/>
        <v>0</v>
      </c>
      <c r="FL197" s="1117"/>
    </row>
    <row r="198" spans="1:169">
      <c r="A198" s="61" t="s">
        <v>731</v>
      </c>
      <c r="B198" s="170">
        <f>62.8/2</f>
        <v>31.4</v>
      </c>
      <c r="C198" s="170">
        <f>1.6/2</f>
        <v>0.8</v>
      </c>
      <c r="D198" s="61">
        <f>+E198-C198-B198</f>
        <v>-24.7</v>
      </c>
      <c r="E198" s="170">
        <f>15/2</f>
        <v>7.5</v>
      </c>
      <c r="F198" s="61">
        <f>E198</f>
        <v>7.5</v>
      </c>
      <c r="G198" s="170">
        <f>75/2</f>
        <v>37.5</v>
      </c>
      <c r="H198" s="61">
        <f>G198</f>
        <v>37.5</v>
      </c>
      <c r="I198" s="170">
        <v>3.5</v>
      </c>
      <c r="J198" s="61">
        <f>+K198-I198-H198</f>
        <v>-33.5</v>
      </c>
      <c r="K198" s="170">
        <f>15/2</f>
        <v>7.5</v>
      </c>
      <c r="L198" s="61">
        <f>K198</f>
        <v>7.5</v>
      </c>
      <c r="M198" s="170">
        <f>8.3/2</f>
        <v>4.1500000000000004</v>
      </c>
      <c r="N198" s="61">
        <f>+M198</f>
        <v>4.1500000000000004</v>
      </c>
      <c r="O198" s="61">
        <f>N198</f>
        <v>4.1500000000000004</v>
      </c>
      <c r="P198" s="170">
        <f>5.3/2</f>
        <v>2.65</v>
      </c>
      <c r="Q198" s="170"/>
      <c r="R198" s="170">
        <f>+P198</f>
        <v>2.65</v>
      </c>
      <c r="S198" s="61">
        <f>R198</f>
        <v>2.65</v>
      </c>
      <c r="T198" s="170">
        <f>12/2</f>
        <v>6</v>
      </c>
      <c r="U198" s="170">
        <f>10/2</f>
        <v>5</v>
      </c>
      <c r="V198" s="170"/>
      <c r="W198" s="170">
        <f>10/2</f>
        <v>5</v>
      </c>
      <c r="X198" s="61">
        <f>SUM(CJ198:CM198)</f>
        <v>7.4499999999999993</v>
      </c>
      <c r="Y198" s="839">
        <f>Y199-SUM(Y194:Y196)</f>
        <v>7.6341081008098968</v>
      </c>
      <c r="Z198" s="839">
        <f>Z199-SUM(Z194:Z196)</f>
        <v>6.5500000000000682</v>
      </c>
      <c r="AA198" s="839">
        <f>AA199-SUM(AA194:AA196)</f>
        <v>8.9000000000000341</v>
      </c>
      <c r="AB198" s="317">
        <f t="shared" si="264"/>
        <v>7.2</v>
      </c>
      <c r="AC198" s="317">
        <f t="shared" si="265"/>
        <v>5.6999999999999993</v>
      </c>
      <c r="AD198" s="317">
        <f t="shared" si="266"/>
        <v>8.5</v>
      </c>
      <c r="AE198" s="317">
        <f t="shared" si="283"/>
        <v>9.2000000000000011</v>
      </c>
      <c r="AF198" s="317">
        <f>SUM(DN198:DQ198)</f>
        <v>14.899999999999999</v>
      </c>
      <c r="AG198" s="317">
        <f>SUM(DS198:DV198)</f>
        <v>15.899999999999988</v>
      </c>
      <c r="AH198" s="839">
        <f>SUM(DX198:EA198)</f>
        <v>15.200000000000017</v>
      </c>
      <c r="AI198" s="839">
        <f>SUM(EC198:EF198)</f>
        <v>11.720000000000006</v>
      </c>
      <c r="AJ198" s="839">
        <f>SUM(EH198:EK198)</f>
        <v>13.936</v>
      </c>
      <c r="AK198" s="839">
        <f>+SUM(EM198:EP198)</f>
        <v>16.2288</v>
      </c>
      <c r="AL198" s="839">
        <f>+SUM(ER198:EU198)</f>
        <v>20.983039999999999</v>
      </c>
      <c r="AM198" s="839">
        <f ca="1">SUM(EW198:EZ198)</f>
        <v>26.786432000000001</v>
      </c>
      <c r="AN198" s="1725">
        <f ca="1">SUM(FB198:FE198)</f>
        <v>28.446608000000001</v>
      </c>
      <c r="AO198" s="1725">
        <f t="shared" ca="1" si="284"/>
        <v>28.446608000000001</v>
      </c>
      <c r="AP198" s="1464">
        <f t="shared" ref="AP198:AY198" ca="1" si="300">+MAX(15,AO198-1)</f>
        <v>27.446608000000001</v>
      </c>
      <c r="AQ198" s="365">
        <f t="shared" ca="1" si="300"/>
        <v>26.446608000000001</v>
      </c>
      <c r="AR198" s="365">
        <f t="shared" ca="1" si="300"/>
        <v>25.446608000000001</v>
      </c>
      <c r="AS198" s="365">
        <f t="shared" ca="1" si="300"/>
        <v>24.446608000000001</v>
      </c>
      <c r="AT198" s="365">
        <f t="shared" ca="1" si="300"/>
        <v>23.446608000000001</v>
      </c>
      <c r="AU198" s="365">
        <f t="shared" ca="1" si="300"/>
        <v>22.446608000000001</v>
      </c>
      <c r="AV198" s="365">
        <f t="shared" ca="1" si="300"/>
        <v>21.446608000000001</v>
      </c>
      <c r="AW198" s="365">
        <f t="shared" ca="1" si="300"/>
        <v>20.446608000000001</v>
      </c>
      <c r="AX198" s="365">
        <f t="shared" ca="1" si="300"/>
        <v>19.446608000000001</v>
      </c>
      <c r="AY198" s="365">
        <f t="shared" ca="1" si="300"/>
        <v>18.446608000000001</v>
      </c>
      <c r="AZ198" s="356"/>
      <c r="BA198" s="356"/>
      <c r="BB198" s="356"/>
      <c r="BC198" s="356"/>
      <c r="BD198" s="356"/>
      <c r="BE198" s="1573"/>
      <c r="BF198" s="61">
        <f>+K198/4</f>
        <v>1.875</v>
      </c>
      <c r="BG198" s="61">
        <f>+BF198</f>
        <v>1.875</v>
      </c>
      <c r="BH198" s="61">
        <f>+BG198</f>
        <v>1.875</v>
      </c>
      <c r="BI198" s="61">
        <f>+BH198</f>
        <v>1.875</v>
      </c>
      <c r="BJ198" s="61"/>
      <c r="BK198" s="170">
        <f>4.7/2</f>
        <v>2.35</v>
      </c>
      <c r="BL198" s="61">
        <f>+BK198</f>
        <v>2.35</v>
      </c>
      <c r="BM198" s="61">
        <f>+BL198</f>
        <v>2.35</v>
      </c>
      <c r="BN198" s="61">
        <f>+M198-BM198-BL198-BK198</f>
        <v>-2.9</v>
      </c>
      <c r="BO198" s="61"/>
      <c r="BP198" s="61">
        <f>BK198</f>
        <v>2.35</v>
      </c>
      <c r="BQ198" s="61">
        <f>BL198</f>
        <v>2.35</v>
      </c>
      <c r="BR198" s="61">
        <f>BM198</f>
        <v>2.35</v>
      </c>
      <c r="BS198" s="61">
        <f>BN198</f>
        <v>-2.9</v>
      </c>
      <c r="BT198" s="61">
        <f>+N198-SUM(BK198:BN198)</f>
        <v>0</v>
      </c>
      <c r="BU198" s="61">
        <f>+P198/4</f>
        <v>0.66249999999999998</v>
      </c>
      <c r="BV198" s="61">
        <f>+BU198</f>
        <v>0.66249999999999998</v>
      </c>
      <c r="BW198" s="61">
        <f>+BV198</f>
        <v>0.66249999999999998</v>
      </c>
      <c r="BX198" s="61">
        <f>+P198-SUM(BU198:BW198)</f>
        <v>0.66250000000000009</v>
      </c>
      <c r="BY198" s="256">
        <f>+R198-SUM(BU198:BX198)</f>
        <v>0</v>
      </c>
      <c r="BZ198" s="170">
        <f>5.28874374999997/2</f>
        <v>2.6443718749999849</v>
      </c>
      <c r="CA198" s="170">
        <f>0.267493749999993/2</f>
        <v>0.13374687499999649</v>
      </c>
      <c r="CB198" s="170">
        <f>-0.982506249999979/2</f>
        <v>-0.49125312499998952</v>
      </c>
      <c r="CC198" s="169">
        <f>+T198-CB198-CA198-BZ198</f>
        <v>3.7131343750000081</v>
      </c>
      <c r="CD198" s="451">
        <f>+T198-SUM(BZ198:CC198)</f>
        <v>0</v>
      </c>
      <c r="CE198" s="170">
        <f>2.5/2</f>
        <v>1.25</v>
      </c>
      <c r="CF198" s="170">
        <f>2.5/2</f>
        <v>1.25</v>
      </c>
      <c r="CG198" s="170">
        <f>2.5/2</f>
        <v>1.25</v>
      </c>
      <c r="CH198" s="61">
        <f>+U198-SUM(CE198:CG198)</f>
        <v>1.25</v>
      </c>
      <c r="CI198" s="452"/>
      <c r="CJ198" s="170">
        <f>5.6/2-CJ208</f>
        <v>1.7999999999999998</v>
      </c>
      <c r="CK198" s="170">
        <f>5.6/2-CK208</f>
        <v>1.7999999999999998</v>
      </c>
      <c r="CL198" s="170">
        <f>5.5/2-CL208</f>
        <v>1.75</v>
      </c>
      <c r="CM198" s="170">
        <v>2.1</v>
      </c>
      <c r="CN198" s="95">
        <f t="shared" si="273"/>
        <v>0</v>
      </c>
      <c r="CO198" s="170">
        <v>1.7</v>
      </c>
      <c r="CP198" s="170">
        <v>2</v>
      </c>
      <c r="CQ198" s="170">
        <f>5.5/2-CQ208</f>
        <v>1.75</v>
      </c>
      <c r="CR198" s="169">
        <f>AA198-SUM(CO198:CQ198)</f>
        <v>3.4500000000000339</v>
      </c>
      <c r="CS198" s="49">
        <f t="shared" si="274"/>
        <v>0</v>
      </c>
      <c r="CT198" s="170">
        <v>1.7</v>
      </c>
      <c r="CU198" s="170">
        <v>2</v>
      </c>
      <c r="CV198" s="170">
        <f>3.6/2-CV208</f>
        <v>0.8</v>
      </c>
      <c r="CW198" s="170">
        <f>3.7-CW208</f>
        <v>2.7</v>
      </c>
      <c r="CX198" s="49">
        <f t="shared" si="275"/>
        <v>0</v>
      </c>
      <c r="CY198" s="365">
        <f>2.4-CY208</f>
        <v>1.4</v>
      </c>
      <c r="CZ198" s="365">
        <f>2.3-CZ208</f>
        <v>1.2999999999999998</v>
      </c>
      <c r="DA198" s="365">
        <f>2.3-DA208</f>
        <v>1.2999999999999998</v>
      </c>
      <c r="DB198" s="365">
        <f>2.7-DB208</f>
        <v>1.7000000000000002</v>
      </c>
      <c r="DC198" s="871">
        <f t="shared" si="276"/>
        <v>0</v>
      </c>
      <c r="DD198" s="365">
        <f>3.1-DD208</f>
        <v>2.1</v>
      </c>
      <c r="DE198" s="365">
        <f>3.2-DE208</f>
        <v>2.2000000000000002</v>
      </c>
      <c r="DF198" s="365">
        <f>3.1-DF208</f>
        <v>2.1</v>
      </c>
      <c r="DG198" s="365">
        <f>3.1-DG208</f>
        <v>2.1</v>
      </c>
      <c r="DH198" s="357">
        <f t="shared" si="262"/>
        <v>0</v>
      </c>
      <c r="DI198" s="365">
        <f>3.2-DI208</f>
        <v>2.2000000000000002</v>
      </c>
      <c r="DJ198" s="365">
        <f>3.1-DJ208</f>
        <v>2.1</v>
      </c>
      <c r="DK198" s="365">
        <f>3.3-DK208</f>
        <v>2.2999999999999998</v>
      </c>
      <c r="DL198" s="365">
        <f>3.6-DL208</f>
        <v>2.6</v>
      </c>
      <c r="DM198" s="357">
        <f t="shared" si="263"/>
        <v>0</v>
      </c>
      <c r="DN198" s="365">
        <f>4.5-DN208</f>
        <v>3.5</v>
      </c>
      <c r="DO198" s="365">
        <f>4.8-DO208</f>
        <v>3.8</v>
      </c>
      <c r="DP198" s="365">
        <f>4.8-DP208</f>
        <v>3.8</v>
      </c>
      <c r="DQ198" s="365">
        <f>4.8-DQ208</f>
        <v>3.8</v>
      </c>
      <c r="DR198" s="871">
        <f t="shared" si="285"/>
        <v>0</v>
      </c>
      <c r="DS198" s="365">
        <f>4.9-DS208</f>
        <v>3.5749999999999975</v>
      </c>
      <c r="DT198" s="365">
        <f>5.2-DT208</f>
        <v>3.8749999999999973</v>
      </c>
      <c r="DU198" s="365">
        <f>5.3-DU208</f>
        <v>3.974999999999997</v>
      </c>
      <c r="DV198" s="365">
        <f>5.8-DV208</f>
        <v>4.474999999999997</v>
      </c>
      <c r="DW198" s="538">
        <f t="shared" si="277"/>
        <v>0</v>
      </c>
      <c r="DX198" s="365">
        <f>6-DX208</f>
        <v>3.8000000000000043</v>
      </c>
      <c r="DY198" s="365">
        <f>6-DY208</f>
        <v>3.8000000000000043</v>
      </c>
      <c r="DZ198" s="365">
        <f>5-DZ208</f>
        <v>2.8000000000000043</v>
      </c>
      <c r="EA198" s="365">
        <f>7-EA208</f>
        <v>4.8000000000000043</v>
      </c>
      <c r="EB198" s="538">
        <f t="shared" si="286"/>
        <v>0</v>
      </c>
      <c r="EC198" s="365">
        <f>6-EC208</f>
        <v>3.1800000000000015</v>
      </c>
      <c r="ED198" s="365">
        <f>6-ED208</f>
        <v>3.1800000000000015</v>
      </c>
      <c r="EE198" s="365">
        <f>5-EE208</f>
        <v>2.1800000000000015</v>
      </c>
      <c r="EF198" s="365">
        <f>6-EF208</f>
        <v>3.1800000000000015</v>
      </c>
      <c r="EG198" s="538">
        <f t="shared" si="287"/>
        <v>0</v>
      </c>
      <c r="EH198" s="365">
        <f>5-EH208</f>
        <v>2.484</v>
      </c>
      <c r="EI198" s="365">
        <f>7-EI208</f>
        <v>4.484</v>
      </c>
      <c r="EJ198" s="365">
        <f>6-EJ208</f>
        <v>3.484</v>
      </c>
      <c r="EK198" s="365">
        <f>6-EK208</f>
        <v>3.484</v>
      </c>
      <c r="EL198" s="538">
        <f t="shared" si="280"/>
        <v>0</v>
      </c>
      <c r="EM198" s="1464">
        <f>6-EM208</f>
        <v>3.5571999999999999</v>
      </c>
      <c r="EN198" s="1464">
        <f>6-EN208</f>
        <v>3.5571999999999999</v>
      </c>
      <c r="EO198" s="1464">
        <f>6-EO208</f>
        <v>3.5571999999999999</v>
      </c>
      <c r="EP198" s="1464">
        <f>8-EP208</f>
        <v>5.5571999999999999</v>
      </c>
      <c r="EQ198" s="538">
        <f t="shared" si="281"/>
        <v>0</v>
      </c>
      <c r="ER198" s="1464">
        <f>8-ER208</f>
        <v>5.7457599999999998</v>
      </c>
      <c r="ES198" s="1464">
        <f>7-ES208</f>
        <v>4.7457599999999998</v>
      </c>
      <c r="ET198" s="1464">
        <f>8-ET208</f>
        <v>5.7457599999999998</v>
      </c>
      <c r="EU198" s="1464">
        <f>7-EU208</f>
        <v>4.7457599999999998</v>
      </c>
      <c r="EV198" s="2026">
        <f t="shared" si="282"/>
        <v>0</v>
      </c>
      <c r="EW198" s="1464">
        <f ca="1">9-EW208</f>
        <v>7.1966080000000003</v>
      </c>
      <c r="EX198" s="1464">
        <f ca="1">8-EX208</f>
        <v>6.1966080000000003</v>
      </c>
      <c r="EY198" s="2883">
        <f ca="1">8-EY208</f>
        <v>6.1966080000000003</v>
      </c>
      <c r="EZ198" s="2883">
        <f ca="1">9-EZ208</f>
        <v>7.1966080000000003</v>
      </c>
      <c r="FA198" s="2842">
        <f t="shared" ca="1" si="288"/>
        <v>0</v>
      </c>
      <c r="FB198" s="2883">
        <f>8-FB208</f>
        <v>6.75</v>
      </c>
      <c r="FC198" s="2883">
        <f>9-FC208</f>
        <v>7.75</v>
      </c>
      <c r="FD198" s="2883">
        <f>8-FD208</f>
        <v>6.75</v>
      </c>
      <c r="FE198" s="2883">
        <f ca="1">EZ198</f>
        <v>7.1966080000000003</v>
      </c>
      <c r="FF198" s="2884"/>
      <c r="FG198" s="2884">
        <f>FB198</f>
        <v>6.75</v>
      </c>
      <c r="FH198" s="2884">
        <f t="shared" ref="FH198:FJ198" si="301">FC198</f>
        <v>7.75</v>
      </c>
      <c r="FI198" s="2884">
        <f t="shared" si="301"/>
        <v>6.75</v>
      </c>
      <c r="FJ198" s="2884">
        <f t="shared" ca="1" si="301"/>
        <v>7.1966080000000003</v>
      </c>
      <c r="FK198" s="2842">
        <f t="shared" ca="1" si="289"/>
        <v>0</v>
      </c>
      <c r="FL198" s="1171" t="s">
        <v>1237</v>
      </c>
    </row>
    <row r="199" spans="1:169">
      <c r="A199" s="14" t="s">
        <v>732</v>
      </c>
      <c r="B199" s="14">
        <f t="shared" ref="B199:K199" si="302">SUM(B193:B198)</f>
        <v>31.4</v>
      </c>
      <c r="C199" s="14">
        <f t="shared" si="302"/>
        <v>119.8</v>
      </c>
      <c r="D199" s="14">
        <f t="shared" si="302"/>
        <v>36.000000000000014</v>
      </c>
      <c r="E199" s="14">
        <f t="shared" si="302"/>
        <v>187.20000000000002</v>
      </c>
      <c r="F199" s="14">
        <f t="shared" si="302"/>
        <v>242.6600475963827</v>
      </c>
      <c r="G199" s="14">
        <f t="shared" si="302"/>
        <v>37.5</v>
      </c>
      <c r="H199" s="14">
        <f t="shared" si="302"/>
        <v>37.5</v>
      </c>
      <c r="I199" s="14">
        <f t="shared" si="302"/>
        <v>130.02870212765959</v>
      </c>
      <c r="J199" s="14">
        <f t="shared" si="302"/>
        <v>46.284995271867601</v>
      </c>
      <c r="K199" s="14">
        <f t="shared" si="302"/>
        <v>213.81369739952717</v>
      </c>
      <c r="L199" s="14">
        <f>SUM(L194:L198)</f>
        <v>270.15701010776132</v>
      </c>
      <c r="M199" s="14">
        <f>SUM(M194:M198)</f>
        <v>288.11099999999999</v>
      </c>
      <c r="N199" s="14">
        <f>SUM(N194:N198)</f>
        <v>310.83099999999996</v>
      </c>
      <c r="O199" s="14">
        <f>SUM(O194:O198)</f>
        <v>367.06614499166153</v>
      </c>
      <c r="P199" s="14">
        <f>SUM(P194:P198)</f>
        <v>369.82335523990042</v>
      </c>
      <c r="Q199" s="14">
        <f>+SUM(Q193:Q198)</f>
        <v>0</v>
      </c>
      <c r="R199" s="14">
        <f>SUM(R194:R198)</f>
        <v>369.82335523990042</v>
      </c>
      <c r="S199" s="14">
        <f>SUM(S194:S198)</f>
        <v>428.20244246479911</v>
      </c>
      <c r="T199" s="14">
        <f>SUM(T194:T198)</f>
        <v>309.67500000000001</v>
      </c>
      <c r="U199" s="14">
        <f>SUM(U194:U198)</f>
        <v>325.875</v>
      </c>
      <c r="V199" s="129"/>
      <c r="W199" s="14">
        <f>SUM(W194:W198)</f>
        <v>325.875</v>
      </c>
      <c r="X199" s="14">
        <f>SUM(X194:X198)</f>
        <v>335.82499999999999</v>
      </c>
      <c r="Y199" s="77">
        <f>480.8-Y209</f>
        <v>393.70910810080994</v>
      </c>
      <c r="Z199" s="77">
        <f>501.7-Z209</f>
        <v>413.92500000000007</v>
      </c>
      <c r="AA199" s="77">
        <f>508.6-AA209</f>
        <v>424.57500000000005</v>
      </c>
      <c r="AB199" s="14">
        <f>SUM(AB194:AB198)</f>
        <v>402.84449999999993</v>
      </c>
      <c r="AC199" s="14">
        <f>SUM(AC194:AC198)</f>
        <v>352.2</v>
      </c>
      <c r="AD199" s="14">
        <f t="shared" ref="AD199:AQ199" si="303">SUM(AD194:AD198)</f>
        <v>382.6</v>
      </c>
      <c r="AE199" s="14">
        <f t="shared" si="303"/>
        <v>424</v>
      </c>
      <c r="AF199" s="14">
        <f>SUM(AF194:AF198)</f>
        <v>452.29999999999995</v>
      </c>
      <c r="AG199" s="14">
        <f t="shared" si="303"/>
        <v>432.29999999999995</v>
      </c>
      <c r="AH199" s="14">
        <f t="shared" si="303"/>
        <v>374</v>
      </c>
      <c r="AI199" s="14">
        <f t="shared" si="303"/>
        <v>369.00000000000006</v>
      </c>
      <c r="AJ199" s="14">
        <f>SUM(AJ194:AJ198)</f>
        <v>356.99999999999994</v>
      </c>
      <c r="AK199" s="14">
        <f t="shared" si="303"/>
        <v>249</v>
      </c>
      <c r="AL199" s="14">
        <f>SUM(AL194:AL198)</f>
        <v>240.00000000000003</v>
      </c>
      <c r="AM199" s="14">
        <f ca="1">SUM(AM194:AM198)</f>
        <v>230.29999999999998</v>
      </c>
      <c r="AN199" s="1357">
        <f t="shared" ca="1" si="303"/>
        <v>202.61333088960859</v>
      </c>
      <c r="AO199" s="1357">
        <f t="shared" ca="1" si="303"/>
        <v>200.27992019075563</v>
      </c>
      <c r="AP199" s="1357">
        <f t="shared" ca="1" si="303"/>
        <v>197.09204101470459</v>
      </c>
      <c r="AQ199" s="14">
        <f t="shared" ca="1" si="303"/>
        <v>199.26967908155282</v>
      </c>
      <c r="AR199" s="14">
        <f t="shared" ref="AR199:AW199" ca="1" si="304">SUM(AR194:AR198)</f>
        <v>205.65191982508858</v>
      </c>
      <c r="AS199" s="14">
        <f t="shared" ca="1" si="304"/>
        <v>216.20605608560504</v>
      </c>
      <c r="AT199" s="14">
        <f t="shared" ca="1" si="304"/>
        <v>214.55746161639942</v>
      </c>
      <c r="AU199" s="14">
        <f t="shared" ca="1" si="304"/>
        <v>219.23919870478252</v>
      </c>
      <c r="AV199" s="14">
        <f t="shared" ca="1" si="304"/>
        <v>228.3136972508116</v>
      </c>
      <c r="AW199" s="14">
        <f t="shared" ca="1" si="304"/>
        <v>225.83619732191283</v>
      </c>
      <c r="AX199" s="14">
        <f ca="1">SUM(AX194:AX198)</f>
        <v>228.93144758459354</v>
      </c>
      <c r="AY199" s="14">
        <f ca="1">SUM(AY194:AY198)</f>
        <v>240.69388998690022</v>
      </c>
      <c r="AZ199" s="354"/>
      <c r="BA199" s="354"/>
      <c r="BB199" s="354"/>
      <c r="BC199" s="354"/>
      <c r="BD199" s="354"/>
      <c r="BE199" s="370"/>
      <c r="BF199" s="14">
        <f>SUM(BF193:BF198)</f>
        <v>53.453424349881793</v>
      </c>
      <c r="BG199" s="14">
        <f>SUM(BG193:BG198)</f>
        <v>53.453424349881793</v>
      </c>
      <c r="BH199" s="14">
        <f>SUM(BH193:BH198)</f>
        <v>53.453424349881793</v>
      </c>
      <c r="BI199" s="14">
        <f>SUM(BI193:BI198)</f>
        <v>53.453424349881793</v>
      </c>
      <c r="BJ199" s="14"/>
      <c r="BK199" s="14">
        <f>SUM(BK193:BK198)</f>
        <v>67.715249999999997</v>
      </c>
      <c r="BL199" s="14">
        <f>SUM(BL193:BL198)</f>
        <v>75.215249999999997</v>
      </c>
      <c r="BM199" s="14">
        <f>SUM(BM193:BM198)</f>
        <v>75.215249999999997</v>
      </c>
      <c r="BN199" s="14">
        <f>SUM(BN193:BN198)</f>
        <v>69.965249999999997</v>
      </c>
      <c r="BO199" s="14"/>
      <c r="BP199" s="14">
        <f>SUM(BP193:BP198)</f>
        <v>67.715249999999997</v>
      </c>
      <c r="BQ199" s="14">
        <f>SUM(BQ193:BQ198)</f>
        <v>75.215249999999997</v>
      </c>
      <c r="BR199" s="14">
        <f>SUM(BR193:BR198)</f>
        <v>75.215249999999997</v>
      </c>
      <c r="BS199" s="14">
        <f>SUM(BS193:BS198)</f>
        <v>92.685249999999996</v>
      </c>
      <c r="BT199" s="14">
        <f>+N199-SUM(BK199:BN199)</f>
        <v>22.71999999999997</v>
      </c>
      <c r="BU199" s="14">
        <f>SUM(BU193:BU198)</f>
        <v>65.905838809975251</v>
      </c>
      <c r="BV199" s="14">
        <f>SUM(BV193:BV198)</f>
        <v>96.605838809975296</v>
      </c>
      <c r="BW199" s="14">
        <f>SUM(BW193:BW198)</f>
        <v>86.455838809975205</v>
      </c>
      <c r="BX199" s="14">
        <f>SUM(BX193:BX198)</f>
        <v>120.85583880997467</v>
      </c>
      <c r="BY199" s="95">
        <f>+R199-SUM(BU199:BX199)</f>
        <v>0</v>
      </c>
      <c r="BZ199" s="14">
        <f>SUM(BZ193:BZ198)</f>
        <v>77.063121874999993</v>
      </c>
      <c r="CA199" s="14">
        <f>SUM(CA193:CA198)</f>
        <v>74.852496875</v>
      </c>
      <c r="CB199" s="14">
        <f>SUM(CB193:CB198)</f>
        <v>74.227496875000014</v>
      </c>
      <c r="CC199" s="167">
        <f>T199-SUM(BZ199:CB199)</f>
        <v>83.531884375000004</v>
      </c>
      <c r="CD199" s="377">
        <f>+T199-SUM(BZ199:CC199)</f>
        <v>0</v>
      </c>
      <c r="CE199" s="14">
        <f>SUM(CE194:CE198)</f>
        <v>78.96875</v>
      </c>
      <c r="CF199" s="14">
        <f>SUM(CF194:CF198)</f>
        <v>81.568749999999994</v>
      </c>
      <c r="CG199" s="14">
        <f>SUM(CG194:CG198)</f>
        <v>81.168749999999989</v>
      </c>
      <c r="CH199" s="14">
        <f>SUM(CH194:CH198)</f>
        <v>84.168749999999989</v>
      </c>
      <c r="CI199" s="53"/>
      <c r="CJ199" s="14">
        <f>SUM(CJ194:CJ198)</f>
        <v>80.318750000000009</v>
      </c>
      <c r="CK199" s="14">
        <f>SUM(CK194:CK198)</f>
        <v>86.318749999999994</v>
      </c>
      <c r="CL199" s="14">
        <f>SUM(CL194:CL198)</f>
        <v>83.668750000000003</v>
      </c>
      <c r="CM199" s="14">
        <f>SUM(CM194:CM198)</f>
        <v>85.518749999999983</v>
      </c>
      <c r="CN199" s="95">
        <f t="shared" si="273"/>
        <v>0</v>
      </c>
      <c r="CO199" s="14">
        <f>SUM(CO194:CO198)</f>
        <v>102.21875000000001</v>
      </c>
      <c r="CP199" s="14">
        <f>SUM(CP194:CP198)</f>
        <v>109.01875</v>
      </c>
      <c r="CQ199" s="14">
        <f>SUM(CQ194:CQ198)</f>
        <v>105.26875000000001</v>
      </c>
      <c r="CR199" s="14">
        <f>SUM(CR194:CR198)</f>
        <v>108.06875000000001</v>
      </c>
      <c r="CS199" s="49">
        <f t="shared" si="274"/>
        <v>0</v>
      </c>
      <c r="CT199" s="14">
        <f>SUM(CT194:CT198)</f>
        <v>95.111125000000001</v>
      </c>
      <c r="CU199" s="14">
        <f>SUM(CU194:CU198)</f>
        <v>103.30000000000001</v>
      </c>
      <c r="CV199" s="14">
        <f>SUM(CV194:CV198)</f>
        <v>99.636124999999979</v>
      </c>
      <c r="CW199" s="14">
        <f>SUM(CW194:CW198)</f>
        <v>104.79724999999999</v>
      </c>
      <c r="CX199" s="49">
        <f t="shared" si="275"/>
        <v>0</v>
      </c>
      <c r="CY199" s="14">
        <f>SUM(CY194:CY198)</f>
        <v>86.974999999999994</v>
      </c>
      <c r="CZ199" s="14">
        <f>SUM(CZ194:CZ198)</f>
        <v>87.775000000000006</v>
      </c>
      <c r="DA199" s="14">
        <f>SUM(DA194:DA198)</f>
        <v>86.675000000000011</v>
      </c>
      <c r="DB199" s="14">
        <f>SUM(DB194:DB198)</f>
        <v>90.774999999999991</v>
      </c>
      <c r="DC199" s="871">
        <f t="shared" si="276"/>
        <v>0</v>
      </c>
      <c r="DD199" s="14">
        <f>SUM(DD194:DD198)</f>
        <v>94.825000000000003</v>
      </c>
      <c r="DE199" s="14">
        <f>SUM(DE194:DE198)</f>
        <v>94.625</v>
      </c>
      <c r="DF199" s="14">
        <f>SUM(DF194:DF198)</f>
        <v>95.124999999999986</v>
      </c>
      <c r="DG199" s="14">
        <f>SUM(DG194:DG198)</f>
        <v>98.024999999999991</v>
      </c>
      <c r="DH199" s="357">
        <f t="shared" si="262"/>
        <v>0</v>
      </c>
      <c r="DI199" s="14">
        <f>SUM(DI194:DI198)</f>
        <v>97.924999999999997</v>
      </c>
      <c r="DJ199" s="14">
        <f>SUM(DJ194:DJ198)</f>
        <v>102.125</v>
      </c>
      <c r="DK199" s="14">
        <f>SUM(DK194:DK198)</f>
        <v>108.82500000000002</v>
      </c>
      <c r="DL199" s="14">
        <f>SUM(DL194:DL198)</f>
        <v>115.125</v>
      </c>
      <c r="DM199" s="357">
        <f t="shared" si="263"/>
        <v>0</v>
      </c>
      <c r="DN199" s="14">
        <f>SUM(DN194:DN198)</f>
        <v>109.8</v>
      </c>
      <c r="DO199" s="14">
        <f>SUM(DO194:DO198)</f>
        <v>112.69999999999999</v>
      </c>
      <c r="DP199" s="14">
        <f>SUM(DP194:DP198)</f>
        <v>114.89999999999999</v>
      </c>
      <c r="DQ199" s="14">
        <f>SUM(DQ194:DQ198)</f>
        <v>114.9</v>
      </c>
      <c r="DR199" s="871">
        <f t="shared" si="285"/>
        <v>0</v>
      </c>
      <c r="DS199" s="14">
        <f>SUM(DS194:DS198)</f>
        <v>108.30000000000001</v>
      </c>
      <c r="DT199" s="14">
        <f>SUM(DT194:DT198)</f>
        <v>111</v>
      </c>
      <c r="DU199" s="14">
        <f>SUM(DU194:DU198)</f>
        <v>106.69999999999999</v>
      </c>
      <c r="DV199" s="14">
        <f>SUM(DV194:DV198)</f>
        <v>106.30000000000001</v>
      </c>
      <c r="DW199" s="538">
        <f t="shared" si="277"/>
        <v>0</v>
      </c>
      <c r="DX199" s="14">
        <f>SUM(DX194:DX198)</f>
        <v>95.75</v>
      </c>
      <c r="DY199" s="14">
        <f>SUM(DY194:DY198)</f>
        <v>94.75</v>
      </c>
      <c r="DZ199" s="14">
        <f>SUM(DZ194:DZ198)</f>
        <v>89.75</v>
      </c>
      <c r="EA199" s="14">
        <f>SUM(EA194:EA198)</f>
        <v>93.75</v>
      </c>
      <c r="EB199" s="538">
        <f t="shared" si="286"/>
        <v>0</v>
      </c>
      <c r="EC199" s="14">
        <f>SUM(EC194:EC198)</f>
        <v>92.550000000000011</v>
      </c>
      <c r="ED199" s="14">
        <f>SUM(ED194:ED198)</f>
        <v>92.550000000000026</v>
      </c>
      <c r="EE199" s="14">
        <f>SUM(EE194:EE198)</f>
        <v>89.550000000000011</v>
      </c>
      <c r="EF199" s="14">
        <f>SUM(EF194:EF198)</f>
        <v>94.350000000000023</v>
      </c>
      <c r="EG199" s="538">
        <f t="shared" si="287"/>
        <v>0</v>
      </c>
      <c r="EH199" s="14">
        <f>SUM(EH194:EH198)</f>
        <v>90.999999999999986</v>
      </c>
      <c r="EI199" s="14">
        <f>SUM(EI194:EI198)</f>
        <v>89.09999999999998</v>
      </c>
      <c r="EJ199" s="14">
        <f>SUM(EJ194:EJ198)</f>
        <v>87.699999999999974</v>
      </c>
      <c r="EK199" s="14">
        <f>SUM(EK194:EK198)</f>
        <v>89.199999999999989</v>
      </c>
      <c r="EL199" s="538">
        <f t="shared" si="280"/>
        <v>0</v>
      </c>
      <c r="EM199" s="1465">
        <f>SUM(EM194:EM198)</f>
        <v>63</v>
      </c>
      <c r="EN199" s="1465">
        <f>SUM(EN194:EN198)</f>
        <v>63</v>
      </c>
      <c r="EO199" s="1465">
        <f>SUM(EO194:EO198)</f>
        <v>60</v>
      </c>
      <c r="EP199" s="1357">
        <f>SUM(EP194:EP198)</f>
        <v>63</v>
      </c>
      <c r="EQ199" s="2026">
        <f t="shared" si="281"/>
        <v>0</v>
      </c>
      <c r="ER199" s="1465">
        <f>SUM(ER194:ER198)</f>
        <v>61.999999999999993</v>
      </c>
      <c r="ES199" s="1465">
        <f>SUM(ES194:ES198)</f>
        <v>59.999999999999993</v>
      </c>
      <c r="ET199" s="1465">
        <f>SUM(ET194:ET198)</f>
        <v>59.000000000000007</v>
      </c>
      <c r="EU199" s="1357">
        <f>SUM(EU194:EU198)</f>
        <v>58.999999999999993</v>
      </c>
      <c r="EV199" s="2026">
        <f t="shared" si="282"/>
        <v>0</v>
      </c>
      <c r="EW199" s="1465">
        <f ca="1">SUM(EW194:EW198)</f>
        <v>59</v>
      </c>
      <c r="EX199" s="1465">
        <f ca="1">SUM(EX194:EX198)</f>
        <v>58</v>
      </c>
      <c r="EY199" s="2851">
        <f ca="1">SUM(EY194:EY198)</f>
        <v>56</v>
      </c>
      <c r="EZ199" s="2851">
        <f ca="1">SUM(EZ194:EZ198)</f>
        <v>57.3</v>
      </c>
      <c r="FA199" s="2842">
        <f ca="1">AM199-SUM(EW199:EZ199)</f>
        <v>0</v>
      </c>
      <c r="FB199" s="3001">
        <f>SUM(FB194:FB198)</f>
        <v>50.25</v>
      </c>
      <c r="FC199" s="3001">
        <f>SUM(FC194:FC198)</f>
        <v>51.25</v>
      </c>
      <c r="FD199" s="3001">
        <f>SUM(FD194:FD198)</f>
        <v>50.25</v>
      </c>
      <c r="FE199" s="3001">
        <f ca="1">SUM(FE194:FE198)</f>
        <v>50.863330889608577</v>
      </c>
      <c r="FF199" s="2851"/>
      <c r="FG199" s="3001">
        <f>SUM(FG194:FG198)</f>
        <v>49.66664732528676</v>
      </c>
      <c r="FH199" s="3001">
        <f>SUM(FH194:FH198)</f>
        <v>50.66664732528676</v>
      </c>
      <c r="FI199" s="3001">
        <f>SUM(FI194:FI198)</f>
        <v>49.66664732528676</v>
      </c>
      <c r="FJ199" s="3001">
        <f ca="1">SUM(FJ194:FJ198)</f>
        <v>50.279978214895337</v>
      </c>
      <c r="FK199" s="2842">
        <f t="shared" ca="1" si="289"/>
        <v>0</v>
      </c>
      <c r="FL199" s="14"/>
      <c r="FM199" s="2379"/>
    </row>
    <row r="200" spans="1:169" ht="11.25" customHeight="1">
      <c r="A200" s="129"/>
      <c r="B200" s="129"/>
      <c r="C200" s="129"/>
      <c r="D200" s="129"/>
      <c r="E200" s="129"/>
      <c r="F200" s="129"/>
      <c r="G200" s="129"/>
      <c r="H200" s="129"/>
      <c r="I200" s="129"/>
      <c r="J200" s="129"/>
      <c r="K200" s="129"/>
      <c r="L200" s="129"/>
      <c r="M200" s="129"/>
      <c r="N200" s="129"/>
      <c r="O200" s="129"/>
      <c r="P200" s="129"/>
      <c r="Q200" s="129"/>
      <c r="R200" s="129"/>
      <c r="S200" s="129"/>
      <c r="T200" s="129"/>
      <c r="U200" s="129"/>
      <c r="V200" s="129"/>
      <c r="W200" s="129"/>
      <c r="X200" s="129"/>
      <c r="Y200" s="129"/>
      <c r="Z200" s="129"/>
      <c r="AA200" s="129"/>
      <c r="AB200" s="129"/>
      <c r="AC200" s="129"/>
      <c r="AD200" s="129"/>
      <c r="AE200" s="129"/>
      <c r="AF200" s="129"/>
      <c r="AG200" s="129"/>
      <c r="AH200" s="129"/>
      <c r="AI200" s="129"/>
      <c r="AJ200" s="129"/>
      <c r="AK200" s="129"/>
      <c r="AL200" s="129"/>
      <c r="AM200" s="129"/>
      <c r="AN200" s="129"/>
      <c r="AO200" s="1922"/>
      <c r="AP200" s="1922"/>
      <c r="AQ200" s="129"/>
      <c r="AR200" s="129"/>
      <c r="AS200" s="129"/>
      <c r="AT200" s="129"/>
      <c r="AU200" s="129"/>
      <c r="AV200" s="129"/>
      <c r="AW200" s="129"/>
      <c r="AX200" s="129"/>
      <c r="AY200" s="1274"/>
      <c r="AZ200" s="1274"/>
      <c r="BA200" s="1274"/>
      <c r="BB200" s="1274"/>
      <c r="BC200" s="1274"/>
      <c r="BD200" s="1274"/>
      <c r="BE200" s="1274"/>
      <c r="BF200" s="129"/>
      <c r="BG200" s="129"/>
      <c r="BH200" s="129"/>
      <c r="BI200" s="129"/>
      <c r="BJ200" s="129"/>
      <c r="BK200" s="129"/>
      <c r="BL200" s="129"/>
      <c r="BM200" s="129"/>
      <c r="BN200" s="129"/>
      <c r="BO200" s="129"/>
      <c r="BP200" s="129"/>
      <c r="BQ200" s="129"/>
      <c r="BR200" s="129"/>
      <c r="BS200" s="129"/>
      <c r="BT200" s="129"/>
      <c r="BU200" s="129"/>
      <c r="BV200" s="129"/>
      <c r="BW200" s="129"/>
      <c r="BX200" s="129"/>
      <c r="BY200" s="234"/>
      <c r="BZ200" s="129"/>
      <c r="CA200" s="129"/>
      <c r="CB200" s="129"/>
      <c r="CC200" s="129"/>
      <c r="CD200" s="454"/>
      <c r="CE200" s="129"/>
      <c r="CF200" s="129"/>
      <c r="CG200" s="129"/>
      <c r="CH200" s="129"/>
      <c r="CI200" s="455"/>
      <c r="CJ200" s="104"/>
      <c r="CK200" s="104"/>
      <c r="CL200" s="104"/>
      <c r="CM200" s="104"/>
      <c r="CN200" s="234"/>
      <c r="CO200" s="104"/>
      <c r="CP200" s="104"/>
      <c r="CQ200" s="104"/>
      <c r="CR200" s="104"/>
      <c r="CS200" s="225"/>
      <c r="CT200" s="104"/>
      <c r="CU200" s="104"/>
      <c r="CV200" s="129"/>
      <c r="CW200" s="129"/>
      <c r="CX200" s="225"/>
      <c r="CY200" s="456" t="s">
        <v>337</v>
      </c>
      <c r="CZ200" s="456" t="s">
        <v>337</v>
      </c>
      <c r="DA200" s="456" t="s">
        <v>337</v>
      </c>
      <c r="DB200" s="456"/>
      <c r="DC200" s="129"/>
      <c r="DD200" s="456"/>
      <c r="DE200" s="456"/>
      <c r="DF200" s="456"/>
      <c r="DG200" s="456"/>
      <c r="DH200" s="456"/>
      <c r="DI200" s="456"/>
      <c r="DJ200" s="456"/>
      <c r="DK200" s="456"/>
      <c r="DL200" s="456"/>
      <c r="DM200" s="456"/>
      <c r="DN200" s="129"/>
      <c r="DO200" s="129"/>
      <c r="DP200" s="129"/>
      <c r="DQ200" s="129"/>
      <c r="DR200" s="129"/>
      <c r="DX200" s="1328"/>
      <c r="DY200" s="1328"/>
      <c r="DZ200" s="1328"/>
      <c r="EA200" s="1328"/>
      <c r="EB200" s="906"/>
      <c r="EC200" s="1324"/>
      <c r="ED200" s="1048"/>
      <c r="EE200" s="1048"/>
      <c r="EF200" s="129"/>
      <c r="EH200" s="14"/>
      <c r="EI200" s="14"/>
      <c r="EJ200" s="14"/>
      <c r="EK200" s="14"/>
      <c r="EM200" s="1465"/>
      <c r="EN200" s="1465"/>
      <c r="EO200" s="1465"/>
      <c r="EP200" s="1357"/>
      <c r="EQ200" s="1577"/>
      <c r="ER200" s="1465"/>
      <c r="ES200" s="1465"/>
      <c r="ET200" s="1465"/>
      <c r="EU200" s="1465"/>
      <c r="EV200" s="1465"/>
      <c r="EW200" s="1465"/>
      <c r="EX200" s="1465"/>
      <c r="EY200" s="2851"/>
      <c r="EZ200" s="2851"/>
      <c r="FA200" s="2851"/>
      <c r="FB200" s="2851"/>
      <c r="FC200" s="2807"/>
      <c r="FD200" s="2807"/>
      <c r="FE200" s="2807"/>
      <c r="FF200" s="2807"/>
      <c r="FG200" s="2851"/>
      <c r="FH200" s="2807"/>
      <c r="FI200" s="2807"/>
      <c r="FJ200" s="2807"/>
      <c r="FK200" s="2807"/>
      <c r="FL200" s="2807"/>
    </row>
    <row r="201" spans="1:169">
      <c r="A201" s="457" t="s">
        <v>733</v>
      </c>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c r="AA201" s="14"/>
      <c r="AB201" s="14"/>
      <c r="AC201" s="14"/>
      <c r="AD201" s="14"/>
      <c r="AE201" s="14"/>
      <c r="AF201" s="14"/>
      <c r="AG201" s="14"/>
      <c r="AH201" s="14"/>
      <c r="AI201" s="14"/>
      <c r="AJ201" s="14"/>
      <c r="AK201" s="14"/>
      <c r="AL201" s="14"/>
      <c r="AM201" s="1357"/>
      <c r="AN201" s="1357"/>
      <c r="AO201" s="1357"/>
      <c r="AP201" s="1357"/>
      <c r="AQ201" s="14"/>
      <c r="AR201" s="14"/>
      <c r="AS201" s="14"/>
      <c r="AT201" s="14"/>
      <c r="AU201" s="14"/>
      <c r="AV201" s="14"/>
      <c r="AW201" s="14"/>
      <c r="AX201" s="14"/>
      <c r="AY201" s="354"/>
      <c r="AZ201" s="354"/>
      <c r="BA201" s="354"/>
      <c r="BB201" s="354"/>
      <c r="BC201" s="354"/>
      <c r="BD201" s="354"/>
      <c r="BE201" s="354"/>
      <c r="BF201" s="14"/>
      <c r="BG201" s="14"/>
      <c r="BH201" s="14"/>
      <c r="BI201" s="14"/>
      <c r="BJ201" s="14"/>
      <c r="BK201" s="14"/>
      <c r="BL201" s="14"/>
      <c r="BM201" s="14"/>
      <c r="BN201" s="14"/>
      <c r="BO201" s="14"/>
      <c r="BP201" s="14"/>
      <c r="BQ201" s="14"/>
      <c r="BR201" s="14"/>
      <c r="BS201" s="14"/>
      <c r="BT201" s="14"/>
      <c r="BU201" s="14"/>
      <c r="BV201" s="14"/>
      <c r="BW201" s="14"/>
      <c r="BX201" s="14"/>
      <c r="BY201" s="95"/>
      <c r="BZ201" s="14"/>
      <c r="CA201" s="14"/>
      <c r="CB201" s="14"/>
      <c r="CC201" s="14"/>
      <c r="CD201" s="377"/>
      <c r="CE201" s="14"/>
      <c r="CF201" s="14"/>
      <c r="CG201" s="14"/>
      <c r="CH201" s="14"/>
      <c r="CI201" s="53"/>
      <c r="CJ201" s="14"/>
      <c r="CK201" s="14"/>
      <c r="CL201" s="14"/>
      <c r="CM201" s="14"/>
      <c r="CN201" s="95"/>
      <c r="CO201" s="14"/>
      <c r="CP201" s="14"/>
      <c r="CQ201" s="14"/>
      <c r="CR201" s="14"/>
      <c r="CS201" s="49"/>
      <c r="CT201" s="14"/>
      <c r="CU201" s="14"/>
      <c r="CV201" s="14"/>
      <c r="CW201" s="14"/>
      <c r="CX201" s="49"/>
      <c r="CY201" s="352"/>
      <c r="CZ201" s="352"/>
      <c r="DA201" s="352"/>
      <c r="DB201" s="352"/>
      <c r="DC201" s="14"/>
      <c r="DD201" s="352"/>
      <c r="DE201" s="352"/>
      <c r="DF201" s="352"/>
      <c r="DG201" s="352"/>
      <c r="DH201" s="352"/>
      <c r="DI201" s="352"/>
      <c r="DJ201" s="352"/>
      <c r="DK201" s="352"/>
      <c r="DL201" s="352"/>
      <c r="DM201" s="352"/>
      <c r="DN201" s="14"/>
      <c r="DO201" s="14"/>
      <c r="DP201" s="14"/>
      <c r="DQ201" s="14"/>
      <c r="DR201" s="14"/>
      <c r="DX201" s="906"/>
      <c r="DY201" s="906"/>
      <c r="DZ201" s="906"/>
      <c r="EA201" s="906"/>
      <c r="EB201" s="906"/>
      <c r="EC201" s="1048"/>
      <c r="ED201" s="1048"/>
      <c r="EE201" s="1048"/>
      <c r="EF201" s="1048"/>
      <c r="EH201" s="1048"/>
      <c r="EI201" s="1048"/>
      <c r="EJ201" s="1048"/>
      <c r="EK201" s="1048"/>
      <c r="EM201" s="1577"/>
      <c r="EN201" s="1577"/>
      <c r="EO201" s="1577"/>
      <c r="EP201" s="1577"/>
      <c r="EQ201" s="1577"/>
      <c r="ER201" s="1577"/>
      <c r="ES201" s="1577"/>
      <c r="ET201" s="1577"/>
      <c r="EU201" s="1577"/>
      <c r="EV201" s="1577"/>
      <c r="EW201" s="1577"/>
      <c r="EX201" s="1577"/>
      <c r="EY201" s="2807"/>
      <c r="EZ201" s="2807"/>
      <c r="FA201" s="2807"/>
      <c r="FB201" s="2807"/>
      <c r="FC201" s="2807"/>
      <c r="FD201" s="2807"/>
      <c r="FE201" s="2807"/>
      <c r="FF201" s="2807"/>
      <c r="FG201" s="2807"/>
      <c r="FH201" s="2807"/>
      <c r="FI201" s="2807"/>
      <c r="FJ201" s="2807"/>
      <c r="FK201" s="2807"/>
      <c r="FL201" s="2807"/>
    </row>
    <row r="202" spans="1:169">
      <c r="A202" s="14" t="s">
        <v>1054</v>
      </c>
      <c r="B202" s="14"/>
      <c r="C202" s="14"/>
      <c r="D202" s="14"/>
      <c r="E202" s="352"/>
      <c r="F202" s="352"/>
      <c r="G202" s="352"/>
      <c r="H202" s="352"/>
      <c r="I202" s="352"/>
      <c r="J202" s="352"/>
      <c r="K202" s="352"/>
      <c r="L202" s="352"/>
      <c r="M202" s="352"/>
      <c r="N202" s="352"/>
      <c r="O202" s="352"/>
      <c r="P202" s="352"/>
      <c r="Q202" s="352"/>
      <c r="R202" s="352"/>
      <c r="S202" s="352"/>
      <c r="T202" s="14">
        <f t="shared" ref="T202:U204" si="305">+T67</f>
        <v>9.2287499999999998</v>
      </c>
      <c r="U202" s="14">
        <f t="shared" si="305"/>
        <v>9.2287499999999998</v>
      </c>
      <c r="V202" s="352"/>
      <c r="W202" s="14">
        <f t="shared" ref="W202:AA203" si="306">+W67</f>
        <v>0</v>
      </c>
      <c r="X202" s="14">
        <f t="shared" si="306"/>
        <v>9.2287499999999998</v>
      </c>
      <c r="Y202" s="14">
        <f t="shared" si="306"/>
        <v>9.2287499999999998</v>
      </c>
      <c r="Z202" s="14">
        <f t="shared" si="306"/>
        <v>9.2287499999999998</v>
      </c>
      <c r="AA202" s="14">
        <f t="shared" si="306"/>
        <v>9.2287499999999998</v>
      </c>
      <c r="AB202" s="14">
        <f t="shared" ref="AB202:AM202" si="307">+AB67</f>
        <v>9.4133250000000004</v>
      </c>
      <c r="AC202" s="14">
        <f t="shared" si="307"/>
        <v>9</v>
      </c>
      <c r="AD202" s="14">
        <f t="shared" si="307"/>
        <v>7</v>
      </c>
      <c r="AE202" s="14">
        <f t="shared" si="307"/>
        <v>7</v>
      </c>
      <c r="AF202" s="14">
        <f t="shared" si="307"/>
        <v>7</v>
      </c>
      <c r="AG202" s="14">
        <f t="shared" si="307"/>
        <v>7</v>
      </c>
      <c r="AH202" s="14">
        <f t="shared" si="307"/>
        <v>0</v>
      </c>
      <c r="AI202" s="14">
        <f t="shared" si="307"/>
        <v>0</v>
      </c>
      <c r="AJ202" s="14">
        <f t="shared" si="307"/>
        <v>0</v>
      </c>
      <c r="AK202" s="1357">
        <f t="shared" si="307"/>
        <v>0</v>
      </c>
      <c r="AL202" s="1357">
        <f>+AL67</f>
        <v>0</v>
      </c>
      <c r="AM202" s="1357">
        <f t="shared" si="307"/>
        <v>0</v>
      </c>
      <c r="AN202" s="1357">
        <f t="shared" ref="AN202:AO204" si="308">+AN67</f>
        <v>0</v>
      </c>
      <c r="AO202" s="1357">
        <f t="shared" si="308"/>
        <v>0</v>
      </c>
      <c r="AP202" s="1357">
        <f t="shared" ref="AP202:AQ204" si="309">+AP67</f>
        <v>0</v>
      </c>
      <c r="AQ202" s="14">
        <f t="shared" si="309"/>
        <v>0</v>
      </c>
      <c r="AR202" s="14">
        <f t="shared" ref="AR202:AS204" si="310">+AR67</f>
        <v>0</v>
      </c>
      <c r="AS202" s="14">
        <f t="shared" si="310"/>
        <v>0</v>
      </c>
      <c r="AT202" s="14">
        <f t="shared" ref="AT202:AU204" si="311">+AT67</f>
        <v>0</v>
      </c>
      <c r="AU202" s="14">
        <f t="shared" si="311"/>
        <v>0</v>
      </c>
      <c r="AV202" s="14">
        <f>+AV67</f>
        <v>0</v>
      </c>
      <c r="AW202" s="14">
        <f>+AW67</f>
        <v>0</v>
      </c>
      <c r="AX202" s="14">
        <f>+AX67</f>
        <v>0</v>
      </c>
      <c r="AY202" s="14">
        <f>+AY67</f>
        <v>0</v>
      </c>
      <c r="AZ202" s="354"/>
      <c r="BA202" s="354"/>
      <c r="BB202" s="354"/>
      <c r="BC202" s="354"/>
      <c r="BD202" s="354"/>
      <c r="BE202" s="351"/>
      <c r="BF202" s="352"/>
      <c r="BG202" s="352"/>
      <c r="BH202" s="352"/>
      <c r="BI202" s="352"/>
      <c r="BJ202" s="352"/>
      <c r="BK202" s="14">
        <f t="shared" ref="BK202:BN204" si="312">+BK67</f>
        <v>154</v>
      </c>
      <c r="BL202" s="14">
        <f t="shared" si="312"/>
        <v>154</v>
      </c>
      <c r="BM202" s="14">
        <f t="shared" si="312"/>
        <v>154</v>
      </c>
      <c r="BN202" s="14">
        <f t="shared" si="312"/>
        <v>216.10750000000002</v>
      </c>
      <c r="BO202" s="352"/>
      <c r="BP202" s="352"/>
      <c r="BQ202" s="352"/>
      <c r="BR202" s="352"/>
      <c r="BS202" s="352"/>
      <c r="BT202" s="352"/>
      <c r="BU202" s="14">
        <f t="shared" ref="BU202:BX203" si="313">+BU67</f>
        <v>210</v>
      </c>
      <c r="BV202" s="14">
        <f t="shared" si="313"/>
        <v>210</v>
      </c>
      <c r="BW202" s="14">
        <f t="shared" si="313"/>
        <v>210</v>
      </c>
      <c r="BX202" s="14">
        <f t="shared" si="313"/>
        <v>175</v>
      </c>
      <c r="BY202" s="352"/>
      <c r="BZ202" s="14">
        <f t="shared" ref="BZ202:CC204" si="314">+BZ67</f>
        <v>3.0762499999999999</v>
      </c>
      <c r="CA202" s="14">
        <f t="shared" si="314"/>
        <v>3.0762499999999999</v>
      </c>
      <c r="CB202" s="14">
        <f t="shared" si="314"/>
        <v>3.0762499999999999</v>
      </c>
      <c r="CC202" s="14">
        <f t="shared" si="314"/>
        <v>0</v>
      </c>
      <c r="CD202" s="377">
        <f>+T204-SUM(BZ204:CC204)</f>
        <v>0</v>
      </c>
      <c r="CE202" s="14">
        <f t="shared" ref="CE202:CH204" si="315">+CE67</f>
        <v>3.0762499999999999</v>
      </c>
      <c r="CF202" s="14">
        <f t="shared" si="315"/>
        <v>3.0762499999999999</v>
      </c>
      <c r="CG202" s="14">
        <f t="shared" si="315"/>
        <v>3.0762499999999999</v>
      </c>
      <c r="CH202" s="14">
        <f t="shared" si="315"/>
        <v>0</v>
      </c>
      <c r="CI202" s="53"/>
      <c r="CJ202" s="14">
        <f t="shared" ref="CJ202:CM203" si="316">+CJ67</f>
        <v>3.0762499999999999</v>
      </c>
      <c r="CK202" s="14">
        <f t="shared" si="316"/>
        <v>3.0762499999999999</v>
      </c>
      <c r="CL202" s="14">
        <f t="shared" si="316"/>
        <v>3.0762499999999999</v>
      </c>
      <c r="CM202" s="14">
        <f t="shared" si="316"/>
        <v>0</v>
      </c>
      <c r="CN202" s="95">
        <f t="shared" si="273"/>
        <v>0</v>
      </c>
      <c r="CO202" s="14">
        <f t="shared" ref="CO202:CR203" si="317">+CO67</f>
        <v>3.0762499999999999</v>
      </c>
      <c r="CP202" s="14">
        <f t="shared" si="317"/>
        <v>3.0762499999999999</v>
      </c>
      <c r="CQ202" s="14">
        <f t="shared" si="317"/>
        <v>3.0762499999999999</v>
      </c>
      <c r="CR202" s="14">
        <f t="shared" si="317"/>
        <v>0</v>
      </c>
      <c r="CS202" s="49">
        <f t="shared" ref="CS202:CS209" si="318">+AA202-SUM(CO202:CR202)</f>
        <v>0</v>
      </c>
      <c r="CT202" s="14">
        <f t="shared" ref="CT202:CW203" si="319">+CT67</f>
        <v>3.1377750000000004</v>
      </c>
      <c r="CU202" s="14">
        <f t="shared" si="319"/>
        <v>2.5</v>
      </c>
      <c r="CV202" s="14">
        <f t="shared" si="319"/>
        <v>3.1377750000000004</v>
      </c>
      <c r="CW202" s="14">
        <f t="shared" si="319"/>
        <v>0.63777499999999954</v>
      </c>
      <c r="CX202" s="49">
        <f t="shared" ref="CX202:CX209" si="320">AB202-SUM(CT202:CW202)</f>
        <v>0</v>
      </c>
      <c r="CY202" s="14">
        <f>$AC202/4</f>
        <v>2.25</v>
      </c>
      <c r="CZ202" s="14">
        <f>$AC202/4</f>
        <v>2.25</v>
      </c>
      <c r="DA202" s="14">
        <f>$AC202/4</f>
        <v>2.25</v>
      </c>
      <c r="DB202" s="14">
        <f t="shared" ref="DB202:DB208" si="321">AC202-DA202-CZ202-CY202</f>
        <v>2.25</v>
      </c>
      <c r="DC202" s="871">
        <f t="shared" ref="DC202:DC211" si="322">AC202-SUM(CY202:DB202)</f>
        <v>0</v>
      </c>
      <c r="DD202" s="14">
        <f t="shared" ref="DD202:DF208" si="323">$AD202/4</f>
        <v>1.75</v>
      </c>
      <c r="DE202" s="14">
        <f t="shared" si="323"/>
        <v>1.75</v>
      </c>
      <c r="DF202" s="14">
        <f t="shared" si="323"/>
        <v>1.75</v>
      </c>
      <c r="DG202" s="14">
        <f>AD202-SUM(DD202:DF202)</f>
        <v>1.75</v>
      </c>
      <c r="DH202" s="357">
        <f t="shared" ref="DH202:DH209" si="324">AD202-SUM(DD202:DG202)</f>
        <v>0</v>
      </c>
      <c r="DI202" s="14">
        <f t="shared" ref="DI202:DK203" si="325">$AE202/4</f>
        <v>1.75</v>
      </c>
      <c r="DJ202" s="14">
        <f t="shared" si="325"/>
        <v>1.75</v>
      </c>
      <c r="DK202" s="14">
        <f t="shared" si="325"/>
        <v>1.75</v>
      </c>
      <c r="DL202" s="354">
        <f>AE202-SUM(DI202:DK202)</f>
        <v>1.75</v>
      </c>
      <c r="DM202" s="357">
        <f>AE202-SUM(DI202:DL202)</f>
        <v>0</v>
      </c>
      <c r="DN202" s="14">
        <f>$AF$202/4</f>
        <v>1.75</v>
      </c>
      <c r="DO202" s="14">
        <f>$AF$202/4</f>
        <v>1.75</v>
      </c>
      <c r="DP202" s="14">
        <f>$AF$202/4</f>
        <v>1.75</v>
      </c>
      <c r="DQ202" s="14">
        <f>$AF$202/4</f>
        <v>1.75</v>
      </c>
      <c r="DR202" s="871">
        <f t="shared" ref="DR202:DR211" si="326">AF202-SUM(DN202:DQ202)</f>
        <v>0</v>
      </c>
      <c r="DS202" s="14">
        <f>$AG202/4</f>
        <v>1.75</v>
      </c>
      <c r="DT202" s="14">
        <f t="shared" ref="DT202:DV208" si="327">$AG202/4</f>
        <v>1.75</v>
      </c>
      <c r="DU202" s="14">
        <f t="shared" si="327"/>
        <v>1.75</v>
      </c>
      <c r="DV202" s="14">
        <f t="shared" si="327"/>
        <v>1.75</v>
      </c>
      <c r="DW202" s="538">
        <f t="shared" ref="DW202:DW209" si="328">AG202-SUM(DS202:DV202)</f>
        <v>0</v>
      </c>
      <c r="DX202" s="14">
        <f>$AH202/4</f>
        <v>0</v>
      </c>
      <c r="DY202" s="14">
        <f t="shared" ref="DY202:EA208" si="329">$AH202/4</f>
        <v>0</v>
      </c>
      <c r="DZ202" s="14">
        <f t="shared" si="329"/>
        <v>0</v>
      </c>
      <c r="EA202" s="14">
        <f t="shared" si="329"/>
        <v>0</v>
      </c>
      <c r="EB202" s="538">
        <f t="shared" ref="EB202:EB211" si="330">AH202-SUM(DX202:EA202)</f>
        <v>0</v>
      </c>
      <c r="EC202" s="14">
        <f t="shared" ref="EC202:EC208" si="331">$AI202/4</f>
        <v>0</v>
      </c>
      <c r="ED202" s="14">
        <f t="shared" ref="ED202:EF208" si="332">$AI202/4</f>
        <v>0</v>
      </c>
      <c r="EE202" s="14">
        <f t="shared" si="332"/>
        <v>0</v>
      </c>
      <c r="EF202" s="14">
        <f t="shared" si="332"/>
        <v>0</v>
      </c>
      <c r="EG202" s="538">
        <f t="shared" ref="EG202:EG211" si="333">AI202-SUM(EC202:EF202)</f>
        <v>0</v>
      </c>
      <c r="EH202" s="14">
        <f t="shared" ref="EH202:EH208" si="334">$AJ202/4</f>
        <v>0</v>
      </c>
      <c r="EI202" s="14">
        <f t="shared" ref="EI202:EK208" si="335">$AJ202/4</f>
        <v>0</v>
      </c>
      <c r="EJ202" s="14">
        <f t="shared" si="335"/>
        <v>0</v>
      </c>
      <c r="EK202" s="14">
        <f t="shared" si="335"/>
        <v>0</v>
      </c>
      <c r="EL202" s="538">
        <f t="shared" ref="EL202:EL209" si="336">AJ202-SUM(EH202:EK202)</f>
        <v>0</v>
      </c>
      <c r="EM202" s="1465">
        <f t="shared" ref="EM202:EM208" si="337">$AK202/4</f>
        <v>0</v>
      </c>
      <c r="EN202" s="1465">
        <f t="shared" ref="EN202:EP208" si="338">$AK202/4</f>
        <v>0</v>
      </c>
      <c r="EO202" s="1465">
        <f t="shared" si="338"/>
        <v>0</v>
      </c>
      <c r="EP202" s="1465">
        <f t="shared" si="338"/>
        <v>0</v>
      </c>
      <c r="EQ202" s="2026">
        <f t="shared" ref="EQ202:EQ209" si="339">$AK202-SUM(EM202:EP202)</f>
        <v>0</v>
      </c>
      <c r="ER202" s="1465">
        <f>$AL202/4</f>
        <v>0</v>
      </c>
      <c r="ES202" s="1465">
        <f>$AL202/4</f>
        <v>0</v>
      </c>
      <c r="ET202" s="1465">
        <f>$AL202/4</f>
        <v>0</v>
      </c>
      <c r="EU202" s="1465">
        <f>$AL202/4</f>
        <v>0</v>
      </c>
      <c r="EV202" s="2026">
        <f t="shared" ref="EV202:EV209" si="340">$AL202-SUM(ER202:EU202)</f>
        <v>0</v>
      </c>
      <c r="EW202" s="1421">
        <f>$AM202/4</f>
        <v>0</v>
      </c>
      <c r="EX202" s="1421">
        <f>$AM202/4</f>
        <v>0</v>
      </c>
      <c r="EY202" s="3273">
        <f>$AM202/4</f>
        <v>0</v>
      </c>
      <c r="EZ202" s="3273">
        <f>$AM202/4</f>
        <v>0</v>
      </c>
      <c r="FA202" s="2842">
        <f t="shared" ref="FA202:FA211" si="341">AM202-SUM(EW202:EZ202)</f>
        <v>0</v>
      </c>
      <c r="FB202" s="2351">
        <f>$AN202/4</f>
        <v>0</v>
      </c>
      <c r="FC202" s="2351">
        <f>$AN202/4</f>
        <v>0</v>
      </c>
      <c r="FD202" s="2351">
        <f>$AN202/4</f>
        <v>0</v>
      </c>
      <c r="FE202" s="2351">
        <f>$AN202/4</f>
        <v>0</v>
      </c>
      <c r="FF202" s="2851"/>
      <c r="FG202" s="2351">
        <v>0</v>
      </c>
      <c r="FH202" s="2351">
        <v>0</v>
      </c>
      <c r="FI202" s="2351">
        <v>0</v>
      </c>
      <c r="FJ202" s="2351">
        <v>0</v>
      </c>
      <c r="FK202" s="2842">
        <f t="shared" si="289"/>
        <v>0</v>
      </c>
      <c r="FL202" s="14"/>
    </row>
    <row r="203" spans="1:169">
      <c r="A203" s="14" t="s">
        <v>1055</v>
      </c>
      <c r="B203" s="14"/>
      <c r="C203" s="14"/>
      <c r="D203" s="14"/>
      <c r="E203" s="14"/>
      <c r="F203" s="14"/>
      <c r="G203" s="14"/>
      <c r="H203" s="14"/>
      <c r="I203" s="14"/>
      <c r="J203" s="14"/>
      <c r="K203" s="14"/>
      <c r="L203" s="14"/>
      <c r="M203" s="14"/>
      <c r="N203" s="14"/>
      <c r="O203" s="14"/>
      <c r="P203" s="14"/>
      <c r="Q203" s="14"/>
      <c r="R203" s="14"/>
      <c r="S203" s="14"/>
      <c r="T203" s="14">
        <f t="shared" si="305"/>
        <v>52.296250000000001</v>
      </c>
      <c r="U203" s="14">
        <f t="shared" si="305"/>
        <v>52.296250000000001</v>
      </c>
      <c r="V203" s="14"/>
      <c r="W203" s="14">
        <f t="shared" si="306"/>
        <v>0</v>
      </c>
      <c r="X203" s="14">
        <f t="shared" si="306"/>
        <v>52.296250000000001</v>
      </c>
      <c r="Y203" s="14">
        <f t="shared" si="306"/>
        <v>52.296250000000001</v>
      </c>
      <c r="Z203" s="14">
        <f t="shared" si="306"/>
        <v>52.296250000000001</v>
      </c>
      <c r="AA203" s="14">
        <f t="shared" si="306"/>
        <v>52.296250000000001</v>
      </c>
      <c r="AB203" s="14">
        <f>+AB68</f>
        <v>53.342175000000005</v>
      </c>
      <c r="AC203" s="14">
        <f>+AC68</f>
        <v>53.3</v>
      </c>
      <c r="AD203" s="14">
        <f>+AD68</f>
        <v>51</v>
      </c>
      <c r="AE203" s="14">
        <f>+AE68</f>
        <v>50</v>
      </c>
      <c r="AF203" s="14">
        <f>+AF68</f>
        <v>50</v>
      </c>
      <c r="AG203" s="1437">
        <v>75.699999999999989</v>
      </c>
      <c r="AH203" s="1437">
        <v>70.800000000000011</v>
      </c>
      <c r="AI203" s="167">
        <f>+SUM(EC203:EF203)</f>
        <v>59.800000000000004</v>
      </c>
      <c r="AJ203" s="167">
        <f>+SUM(EH203:EK203)</f>
        <v>60.4</v>
      </c>
      <c r="AK203" s="1693">
        <f>+SUM(EM203:EP203)</f>
        <v>0</v>
      </c>
      <c r="AL203" s="1726">
        <v>0</v>
      </c>
      <c r="AM203" s="1726">
        <v>0</v>
      </c>
      <c r="AN203" s="1726">
        <v>0</v>
      </c>
      <c r="AO203" s="356">
        <v>0</v>
      </c>
      <c r="AP203" s="356">
        <v>0</v>
      </c>
      <c r="AQ203" s="356">
        <v>0</v>
      </c>
      <c r="AR203" s="356">
        <v>0</v>
      </c>
      <c r="AS203" s="356">
        <v>0</v>
      </c>
      <c r="AT203" s="356">
        <v>0</v>
      </c>
      <c r="AU203" s="356">
        <v>0</v>
      </c>
      <c r="AV203" s="356">
        <v>0</v>
      </c>
      <c r="AW203" s="356">
        <v>0</v>
      </c>
      <c r="AX203" s="356">
        <v>0</v>
      </c>
      <c r="AY203" s="356">
        <v>0</v>
      </c>
      <c r="AZ203" s="354"/>
      <c r="BA203" s="354"/>
      <c r="BB203" s="354"/>
      <c r="BC203" s="354"/>
      <c r="BD203" s="354"/>
      <c r="BE203" s="354"/>
      <c r="BF203" s="14"/>
      <c r="BG203" s="14"/>
      <c r="BH203" s="14"/>
      <c r="BI203" s="14"/>
      <c r="BJ203" s="14"/>
      <c r="BK203" s="14">
        <f t="shared" si="312"/>
        <v>66</v>
      </c>
      <c r="BL203" s="14">
        <f t="shared" si="312"/>
        <v>66</v>
      </c>
      <c r="BM203" s="14">
        <f t="shared" si="312"/>
        <v>66</v>
      </c>
      <c r="BN203" s="14">
        <f t="shared" si="312"/>
        <v>92.617500000000007</v>
      </c>
      <c r="BO203" s="14"/>
      <c r="BP203" s="14"/>
      <c r="BQ203" s="14"/>
      <c r="BR203" s="14"/>
      <c r="BS203" s="14"/>
      <c r="BT203" s="14"/>
      <c r="BU203" s="14">
        <f t="shared" si="313"/>
        <v>90</v>
      </c>
      <c r="BV203" s="14">
        <f t="shared" si="313"/>
        <v>90</v>
      </c>
      <c r="BW203" s="14">
        <f t="shared" si="313"/>
        <v>90</v>
      </c>
      <c r="BX203" s="14">
        <f t="shared" si="313"/>
        <v>75</v>
      </c>
      <c r="BY203" s="95"/>
      <c r="BZ203" s="14">
        <f t="shared" si="314"/>
        <v>12.305</v>
      </c>
      <c r="CA203" s="14">
        <f t="shared" si="314"/>
        <v>12.305</v>
      </c>
      <c r="CB203" s="14">
        <f t="shared" si="314"/>
        <v>12.305</v>
      </c>
      <c r="CC203" s="14">
        <f t="shared" si="314"/>
        <v>15.381250000000001</v>
      </c>
      <c r="CD203" s="377"/>
      <c r="CE203" s="14">
        <f t="shared" si="315"/>
        <v>12.305</v>
      </c>
      <c r="CF203" s="14">
        <f t="shared" si="315"/>
        <v>12.305</v>
      </c>
      <c r="CG203" s="14">
        <f t="shared" si="315"/>
        <v>12.305</v>
      </c>
      <c r="CH203" s="14">
        <f t="shared" si="315"/>
        <v>15.381250000000001</v>
      </c>
      <c r="CI203" s="53"/>
      <c r="CJ203" s="14">
        <f t="shared" si="316"/>
        <v>12.305</v>
      </c>
      <c r="CK203" s="14">
        <f t="shared" si="316"/>
        <v>12.305</v>
      </c>
      <c r="CL203" s="14">
        <f t="shared" si="316"/>
        <v>12.305</v>
      </c>
      <c r="CM203" s="14">
        <f t="shared" si="316"/>
        <v>15.381250000000001</v>
      </c>
      <c r="CN203" s="95">
        <f t="shared" si="273"/>
        <v>0</v>
      </c>
      <c r="CO203" s="14">
        <f t="shared" si="317"/>
        <v>12.305</v>
      </c>
      <c r="CP203" s="14">
        <f t="shared" si="317"/>
        <v>12.305</v>
      </c>
      <c r="CQ203" s="14">
        <f t="shared" si="317"/>
        <v>12.305</v>
      </c>
      <c r="CR203" s="14">
        <f t="shared" si="317"/>
        <v>15.381250000000001</v>
      </c>
      <c r="CS203" s="49">
        <f t="shared" si="318"/>
        <v>0</v>
      </c>
      <c r="CT203" s="14">
        <f t="shared" si="319"/>
        <v>12.551100000000002</v>
      </c>
      <c r="CU203" s="14">
        <f t="shared" si="319"/>
        <v>10</v>
      </c>
      <c r="CV203" s="14">
        <f t="shared" si="319"/>
        <v>12.551100000000002</v>
      </c>
      <c r="CW203" s="14">
        <f t="shared" si="319"/>
        <v>18.239975000000001</v>
      </c>
      <c r="CX203" s="49">
        <f t="shared" si="320"/>
        <v>0</v>
      </c>
      <c r="CY203" s="14">
        <f>$AC203/4-0.8</f>
        <v>12.524999999999999</v>
      </c>
      <c r="CZ203" s="14">
        <f>$AC203/4-2</f>
        <v>11.324999999999999</v>
      </c>
      <c r="DA203" s="14">
        <f>$AC203/4+1</f>
        <v>14.324999999999999</v>
      </c>
      <c r="DB203" s="14">
        <f t="shared" si="321"/>
        <v>15.124999999999996</v>
      </c>
      <c r="DC203" s="871">
        <f t="shared" si="322"/>
        <v>0</v>
      </c>
      <c r="DD203" s="14">
        <f t="shared" si="323"/>
        <v>12.75</v>
      </c>
      <c r="DE203" s="14">
        <f t="shared" si="323"/>
        <v>12.75</v>
      </c>
      <c r="DF203" s="14">
        <f t="shared" si="323"/>
        <v>12.75</v>
      </c>
      <c r="DG203" s="14">
        <f>AD203-SUM(DD203:DF203)</f>
        <v>12.75</v>
      </c>
      <c r="DH203" s="357">
        <f t="shared" si="324"/>
        <v>0</v>
      </c>
      <c r="DI203" s="14">
        <f t="shared" si="325"/>
        <v>12.5</v>
      </c>
      <c r="DJ203" s="14">
        <f t="shared" si="325"/>
        <v>12.5</v>
      </c>
      <c r="DK203" s="14">
        <f t="shared" si="325"/>
        <v>12.5</v>
      </c>
      <c r="DL203" s="354">
        <f>AE203-SUM(DI203:DK203)</f>
        <v>12.5</v>
      </c>
      <c r="DM203" s="357">
        <f t="shared" ref="DM203:DM209" si="342">AE203-SUM(DI203:DL203)</f>
        <v>0</v>
      </c>
      <c r="DN203" s="14">
        <f>$AF$203/4</f>
        <v>12.5</v>
      </c>
      <c r="DO203" s="14">
        <f>$AF$203/4</f>
        <v>12.5</v>
      </c>
      <c r="DP203" s="14">
        <f>$AF$203/4</f>
        <v>12.5</v>
      </c>
      <c r="DQ203" s="14">
        <f>$AF$203/4</f>
        <v>12.5</v>
      </c>
      <c r="DR203" s="871">
        <f t="shared" si="326"/>
        <v>0</v>
      </c>
      <c r="DS203" s="14">
        <f t="shared" ref="DS203:DS208" si="343">$AG203/4</f>
        <v>18.924999999999997</v>
      </c>
      <c r="DT203" s="14">
        <f t="shared" si="327"/>
        <v>18.924999999999997</v>
      </c>
      <c r="DU203" s="14">
        <f t="shared" si="327"/>
        <v>18.924999999999997</v>
      </c>
      <c r="DV203" s="14">
        <f t="shared" si="327"/>
        <v>18.924999999999997</v>
      </c>
      <c r="DW203" s="538">
        <f t="shared" si="328"/>
        <v>0</v>
      </c>
      <c r="DX203" s="14">
        <f t="shared" ref="DX203:DX208" si="344">$AH203/4</f>
        <v>17.700000000000003</v>
      </c>
      <c r="DY203" s="14">
        <f t="shared" si="329"/>
        <v>17.700000000000003</v>
      </c>
      <c r="DZ203" s="14">
        <f t="shared" si="329"/>
        <v>17.700000000000003</v>
      </c>
      <c r="EA203" s="14">
        <f t="shared" si="329"/>
        <v>17.700000000000003</v>
      </c>
      <c r="EB203" s="538">
        <f t="shared" si="330"/>
        <v>0</v>
      </c>
      <c r="EC203" s="1437">
        <v>14.900000000000002</v>
      </c>
      <c r="ED203" s="1437">
        <v>14.899999999999999</v>
      </c>
      <c r="EE203" s="1437">
        <v>14.900000000000007</v>
      </c>
      <c r="EF203" s="1437">
        <v>15.099999999999994</v>
      </c>
      <c r="EG203" s="538">
        <f t="shared" si="333"/>
        <v>0</v>
      </c>
      <c r="EH203" s="1437">
        <v>15.099999999999998</v>
      </c>
      <c r="EI203" s="1437">
        <v>15.000000000000004</v>
      </c>
      <c r="EJ203" s="1437">
        <v>15.400000000000002</v>
      </c>
      <c r="EK203" s="1437">
        <v>14.899999999999999</v>
      </c>
      <c r="EL203" s="538">
        <f t="shared" si="336"/>
        <v>0</v>
      </c>
      <c r="EM203" s="1635">
        <v>0</v>
      </c>
      <c r="EN203" s="1635">
        <v>0</v>
      </c>
      <c r="EO203" s="1635">
        <v>0</v>
      </c>
      <c r="EP203" s="1635">
        <v>0</v>
      </c>
      <c r="EQ203" s="2026">
        <f t="shared" si="339"/>
        <v>0</v>
      </c>
      <c r="ER203" s="1635">
        <v>0</v>
      </c>
      <c r="ES203" s="1635">
        <v>0</v>
      </c>
      <c r="ET203" s="1635">
        <v>0</v>
      </c>
      <c r="EU203" s="1635">
        <v>0</v>
      </c>
      <c r="EV203" s="2026">
        <f t="shared" si="340"/>
        <v>0</v>
      </c>
      <c r="EW203" s="1657">
        <v>0</v>
      </c>
      <c r="EX203" s="1657">
        <v>0</v>
      </c>
      <c r="EY203" s="2800">
        <v>0</v>
      </c>
      <c r="EZ203" s="2800">
        <v>0</v>
      </c>
      <c r="FA203" s="2842">
        <f t="shared" si="341"/>
        <v>0</v>
      </c>
      <c r="FB203" s="3280">
        <v>0</v>
      </c>
      <c r="FC203" s="3280">
        <v>0</v>
      </c>
      <c r="FD203" s="3280">
        <v>0</v>
      </c>
      <c r="FE203" s="3280">
        <v>0</v>
      </c>
      <c r="FF203" s="2829"/>
      <c r="FG203" s="3280">
        <v>0</v>
      </c>
      <c r="FH203" s="3280">
        <v>0</v>
      </c>
      <c r="FI203" s="3280">
        <v>0</v>
      </c>
      <c r="FJ203" s="3280">
        <v>0</v>
      </c>
      <c r="FK203" s="2842">
        <f t="shared" si="289"/>
        <v>0</v>
      </c>
      <c r="FL203" s="14"/>
    </row>
    <row r="204" spans="1:169">
      <c r="A204" s="14" t="s">
        <v>655</v>
      </c>
      <c r="B204" s="14"/>
      <c r="C204" s="14"/>
      <c r="D204" s="14"/>
      <c r="E204" s="14">
        <f>+E69</f>
        <v>934.58941768082627</v>
      </c>
      <c r="F204" s="14">
        <f>E204</f>
        <v>934.58941768082627</v>
      </c>
      <c r="G204" s="14"/>
      <c r="H204" s="14"/>
      <c r="I204" s="14"/>
      <c r="J204" s="14"/>
      <c r="K204" s="14">
        <f>+K69</f>
        <v>934.58941768082627</v>
      </c>
      <c r="L204" s="14">
        <f>K204</f>
        <v>934.58941768082627</v>
      </c>
      <c r="M204" s="14">
        <f>SUM(BK204:BN204)</f>
        <v>968.72500000000002</v>
      </c>
      <c r="N204" s="14">
        <f>+N69</f>
        <v>1234.9000000000001</v>
      </c>
      <c r="O204" s="14">
        <f>N204</f>
        <v>1234.9000000000001</v>
      </c>
      <c r="P204" s="14">
        <f>+P69</f>
        <v>1117.6666666666667</v>
      </c>
      <c r="Q204" s="14">
        <f>+R204-P204</f>
        <v>32.333333333333258</v>
      </c>
      <c r="R204" s="14">
        <f>+R69</f>
        <v>1150</v>
      </c>
      <c r="S204" s="14">
        <f>R204</f>
        <v>1150</v>
      </c>
      <c r="T204" s="14">
        <f t="shared" si="305"/>
        <v>61.524999999999999</v>
      </c>
      <c r="U204" s="14">
        <f t="shared" si="305"/>
        <v>61.524999999999999</v>
      </c>
      <c r="V204" s="14"/>
      <c r="W204" s="14">
        <f>U204</f>
        <v>61.524999999999999</v>
      </c>
      <c r="X204" s="14">
        <f>SUM(CJ204:CM204)</f>
        <v>61.524999999999999</v>
      </c>
      <c r="Y204" s="14">
        <f>+Y69</f>
        <v>61.524999999999999</v>
      </c>
      <c r="Z204" s="14">
        <f>+Z69</f>
        <v>61.524999999999999</v>
      </c>
      <c r="AA204" s="14">
        <f>+AA69</f>
        <v>61.524999999999999</v>
      </c>
      <c r="AB204" s="14">
        <f t="shared" ref="AB204:AM204" si="345">+AB69</f>
        <v>62.755500000000005</v>
      </c>
      <c r="AC204" s="14">
        <f t="shared" si="345"/>
        <v>62.3</v>
      </c>
      <c r="AD204" s="14">
        <f t="shared" si="345"/>
        <v>58</v>
      </c>
      <c r="AE204" s="14">
        <f t="shared" si="345"/>
        <v>57</v>
      </c>
      <c r="AF204" s="14">
        <f t="shared" si="345"/>
        <v>57</v>
      </c>
      <c r="AG204" s="14">
        <f t="shared" si="345"/>
        <v>82.699999999999989</v>
      </c>
      <c r="AH204" s="14">
        <f t="shared" si="345"/>
        <v>70.800000000000011</v>
      </c>
      <c r="AI204" s="14">
        <f t="shared" si="345"/>
        <v>59.800000000000004</v>
      </c>
      <c r="AJ204" s="14">
        <f t="shared" si="345"/>
        <v>60.4</v>
      </c>
      <c r="AK204" s="1357">
        <f>+AK69</f>
        <v>0</v>
      </c>
      <c r="AL204" s="1357">
        <f t="shared" si="345"/>
        <v>0</v>
      </c>
      <c r="AM204" s="1357">
        <f t="shared" si="345"/>
        <v>0</v>
      </c>
      <c r="AN204" s="1357">
        <f t="shared" si="308"/>
        <v>0</v>
      </c>
      <c r="AO204" s="14">
        <f t="shared" si="308"/>
        <v>0</v>
      </c>
      <c r="AP204" s="14">
        <f t="shared" si="309"/>
        <v>0</v>
      </c>
      <c r="AQ204" s="14">
        <f t="shared" si="309"/>
        <v>0</v>
      </c>
      <c r="AR204" s="14">
        <f t="shared" si="310"/>
        <v>0</v>
      </c>
      <c r="AS204" s="14">
        <f t="shared" si="310"/>
        <v>0</v>
      </c>
      <c r="AT204" s="14">
        <f t="shared" si="311"/>
        <v>0</v>
      </c>
      <c r="AU204" s="14">
        <f t="shared" si="311"/>
        <v>0</v>
      </c>
      <c r="AV204" s="14">
        <f>+AV69</f>
        <v>0</v>
      </c>
      <c r="AW204" s="14">
        <f>+AW69</f>
        <v>0</v>
      </c>
      <c r="AX204" s="14">
        <f>+AX69</f>
        <v>0</v>
      </c>
      <c r="AY204" s="14">
        <f>+AY69</f>
        <v>0</v>
      </c>
      <c r="AZ204" s="354"/>
      <c r="BA204" s="354"/>
      <c r="BB204" s="354"/>
      <c r="BC204" s="354"/>
      <c r="BD204" s="354"/>
      <c r="BE204" s="354"/>
      <c r="BF204" s="14">
        <f>+BF69</f>
        <v>230.09735442020661</v>
      </c>
      <c r="BG204" s="14">
        <f>+BG69</f>
        <v>233.69735442020669</v>
      </c>
      <c r="BH204" s="14">
        <f>+BH69</f>
        <v>235.39735442020645</v>
      </c>
      <c r="BI204" s="14">
        <f>+BI69</f>
        <v>235.39735442020645</v>
      </c>
      <c r="BJ204" s="14"/>
      <c r="BK204" s="14">
        <f t="shared" si="312"/>
        <v>220</v>
      </c>
      <c r="BL204" s="14">
        <f t="shared" si="312"/>
        <v>220</v>
      </c>
      <c r="BM204" s="14">
        <f t="shared" si="312"/>
        <v>220</v>
      </c>
      <c r="BN204" s="14">
        <f t="shared" si="312"/>
        <v>308.72500000000002</v>
      </c>
      <c r="BO204" s="14"/>
      <c r="BP204" s="14"/>
      <c r="BQ204" s="14"/>
      <c r="BR204" s="14"/>
      <c r="BS204" s="14"/>
      <c r="BT204" s="14"/>
      <c r="BU204" s="14">
        <f>+$P$204/4</f>
        <v>279.41666666666669</v>
      </c>
      <c r="BV204" s="14">
        <f>+$P$204/4</f>
        <v>279.41666666666669</v>
      </c>
      <c r="BW204" s="14">
        <f>+$P$204/4</f>
        <v>279.41666666666669</v>
      </c>
      <c r="BX204" s="14">
        <f>+P204-SUM(BU204:BW204)</f>
        <v>279.41666666666674</v>
      </c>
      <c r="BY204" s="95">
        <f>+R204-SUM(BU204:BX204)</f>
        <v>32.333333333333258</v>
      </c>
      <c r="BZ204" s="14">
        <f t="shared" si="314"/>
        <v>15.38125</v>
      </c>
      <c r="CA204" s="14">
        <f t="shared" si="314"/>
        <v>15.38125</v>
      </c>
      <c r="CB204" s="14">
        <f t="shared" si="314"/>
        <v>15.38125</v>
      </c>
      <c r="CC204" s="14">
        <f t="shared" si="314"/>
        <v>15.381250000000001</v>
      </c>
      <c r="CD204" s="377"/>
      <c r="CE204" s="14">
        <f t="shared" si="315"/>
        <v>15.38125</v>
      </c>
      <c r="CF204" s="14">
        <f t="shared" si="315"/>
        <v>15.38125</v>
      </c>
      <c r="CG204" s="14">
        <f t="shared" si="315"/>
        <v>15.38125</v>
      </c>
      <c r="CH204" s="14">
        <f t="shared" si="315"/>
        <v>15.381250000000001</v>
      </c>
      <c r="CI204" s="53"/>
      <c r="CJ204" s="14">
        <f t="shared" ref="CJ204:CW204" si="346">+CJ69</f>
        <v>15.38125</v>
      </c>
      <c r="CK204" s="14">
        <f t="shared" si="346"/>
        <v>15.38125</v>
      </c>
      <c r="CL204" s="14">
        <f t="shared" si="346"/>
        <v>15.38125</v>
      </c>
      <c r="CM204" s="14">
        <f t="shared" si="346"/>
        <v>15.381250000000001</v>
      </c>
      <c r="CN204" s="95">
        <f t="shared" si="273"/>
        <v>0</v>
      </c>
      <c r="CO204" s="14">
        <f t="shared" si="346"/>
        <v>15.38125</v>
      </c>
      <c r="CP204" s="14">
        <f t="shared" si="346"/>
        <v>15.38125</v>
      </c>
      <c r="CQ204" s="14">
        <f t="shared" si="346"/>
        <v>15.38125</v>
      </c>
      <c r="CR204" s="14">
        <f t="shared" si="346"/>
        <v>15.381250000000001</v>
      </c>
      <c r="CS204" s="49">
        <f t="shared" si="318"/>
        <v>0</v>
      </c>
      <c r="CT204" s="14">
        <f t="shared" si="346"/>
        <v>15.688875000000001</v>
      </c>
      <c r="CU204" s="14">
        <f t="shared" si="346"/>
        <v>12.5</v>
      </c>
      <c r="CV204" s="14">
        <f t="shared" si="346"/>
        <v>15.688875000000001</v>
      </c>
      <c r="CW204" s="14">
        <f t="shared" si="346"/>
        <v>18.877749999999999</v>
      </c>
      <c r="CX204" s="49">
        <f t="shared" si="320"/>
        <v>0</v>
      </c>
      <c r="CY204" s="14">
        <f>SUM(CY202:CY203)</f>
        <v>14.774999999999999</v>
      </c>
      <c r="CZ204" s="14">
        <f>SUM(CZ202:CZ203)</f>
        <v>13.574999999999999</v>
      </c>
      <c r="DA204" s="14">
        <f>SUM(DA202:DA203)</f>
        <v>16.574999999999999</v>
      </c>
      <c r="DB204" s="14">
        <f t="shared" si="321"/>
        <v>17.374999999999993</v>
      </c>
      <c r="DC204" s="871">
        <f t="shared" si="322"/>
        <v>0</v>
      </c>
      <c r="DD204" s="14">
        <f>SUM(DD202:DD203)</f>
        <v>14.5</v>
      </c>
      <c r="DE204" s="14">
        <f>SUM(DE202:DE203)</f>
        <v>14.5</v>
      </c>
      <c r="DF204" s="14">
        <f>SUM(DF202:DF203)</f>
        <v>14.5</v>
      </c>
      <c r="DG204" s="14">
        <f>SUM(DG202:DG203)</f>
        <v>14.5</v>
      </c>
      <c r="DH204" s="357">
        <f t="shared" si="324"/>
        <v>0</v>
      </c>
      <c r="DI204" s="14">
        <f>SUM(DI202:DI203)</f>
        <v>14.25</v>
      </c>
      <c r="DJ204" s="14">
        <f>SUM(DJ202:DJ203)</f>
        <v>14.25</v>
      </c>
      <c r="DK204" s="14">
        <f>SUM(DK202:DK203)</f>
        <v>14.25</v>
      </c>
      <c r="DL204" s="14">
        <f>SUM(DL202:DL203)</f>
        <v>14.25</v>
      </c>
      <c r="DM204" s="357">
        <f t="shared" si="342"/>
        <v>0</v>
      </c>
      <c r="DN204" s="14">
        <f>$AF$204/4</f>
        <v>14.25</v>
      </c>
      <c r="DO204" s="14">
        <f>$AF$204/4</f>
        <v>14.25</v>
      </c>
      <c r="DP204" s="14">
        <f>$AF$204/4</f>
        <v>14.25</v>
      </c>
      <c r="DQ204" s="14">
        <f>$AF$204/4</f>
        <v>14.25</v>
      </c>
      <c r="DR204" s="871">
        <f t="shared" si="326"/>
        <v>0</v>
      </c>
      <c r="DS204" s="14">
        <f t="shared" si="343"/>
        <v>20.674999999999997</v>
      </c>
      <c r="DT204" s="14">
        <f t="shared" si="327"/>
        <v>20.674999999999997</v>
      </c>
      <c r="DU204" s="14">
        <f t="shared" si="327"/>
        <v>20.674999999999997</v>
      </c>
      <c r="DV204" s="14">
        <f t="shared" si="327"/>
        <v>20.674999999999997</v>
      </c>
      <c r="DW204" s="538">
        <f t="shared" si="328"/>
        <v>0</v>
      </c>
      <c r="DX204" s="14">
        <f t="shared" si="344"/>
        <v>17.700000000000003</v>
      </c>
      <c r="DY204" s="14">
        <f t="shared" si="329"/>
        <v>17.700000000000003</v>
      </c>
      <c r="DZ204" s="14">
        <f t="shared" si="329"/>
        <v>17.700000000000003</v>
      </c>
      <c r="EA204" s="14">
        <f t="shared" si="329"/>
        <v>17.700000000000003</v>
      </c>
      <c r="EB204" s="538">
        <f t="shared" si="330"/>
        <v>0</v>
      </c>
      <c r="EC204" s="14">
        <f>+SUM(EC202:EC203)</f>
        <v>14.900000000000002</v>
      </c>
      <c r="ED204" s="14">
        <f>+SUM(ED202:ED203)</f>
        <v>14.899999999999999</v>
      </c>
      <c r="EE204" s="14">
        <f>+SUM(EE202:EE203)</f>
        <v>14.900000000000007</v>
      </c>
      <c r="EF204" s="14">
        <f>+SUM(EF202:EF203)</f>
        <v>15.099999999999994</v>
      </c>
      <c r="EG204" s="538">
        <f t="shared" si="333"/>
        <v>0</v>
      </c>
      <c r="EH204" s="14">
        <f>+SUM(EH202:EH203)</f>
        <v>15.099999999999998</v>
      </c>
      <c r="EI204" s="14">
        <f>+SUM(EI202:EI203)</f>
        <v>15.000000000000004</v>
      </c>
      <c r="EJ204" s="14">
        <f>+SUM(EJ202:EJ203)</f>
        <v>15.400000000000002</v>
      </c>
      <c r="EK204" s="14">
        <f>+SUM(EK202:EK203)</f>
        <v>14.899999999999999</v>
      </c>
      <c r="EL204" s="538">
        <f t="shared" si="336"/>
        <v>0</v>
      </c>
      <c r="EM204" s="1357">
        <f>+SUM(EM202:EM203)</f>
        <v>0</v>
      </c>
      <c r="EN204" s="1357">
        <f>+SUM(EN202:EN203)</f>
        <v>0</v>
      </c>
      <c r="EO204" s="1357">
        <f>+SUM(EO202:EO203)</f>
        <v>0</v>
      </c>
      <c r="EP204" s="1357">
        <f>+SUM(EP202:EP203)</f>
        <v>0</v>
      </c>
      <c r="EQ204" s="2026">
        <f t="shared" si="339"/>
        <v>0</v>
      </c>
      <c r="ER204" s="1465">
        <f>+SUM(ER202:ER203)</f>
        <v>0</v>
      </c>
      <c r="ES204" s="1465">
        <f>+SUM(ES202:ES203)</f>
        <v>0</v>
      </c>
      <c r="ET204" s="1465">
        <f>+SUM(ET202:ET203)</f>
        <v>0</v>
      </c>
      <c r="EU204" s="1357">
        <f>+SUM(EU202:EU203)</f>
        <v>0</v>
      </c>
      <c r="EV204" s="2026">
        <f t="shared" si="340"/>
        <v>0</v>
      </c>
      <c r="EW204" s="1465">
        <f>+SUM(EW202:EW203)</f>
        <v>0</v>
      </c>
      <c r="EX204" s="1465">
        <f>+SUM(EX202:EX203)</f>
        <v>0</v>
      </c>
      <c r="EY204" s="2851">
        <f>+SUM(EY202:EY203)</f>
        <v>0</v>
      </c>
      <c r="EZ204" s="2806">
        <f>+SUM(EZ202:EZ203)</f>
        <v>0</v>
      </c>
      <c r="FA204" s="2842">
        <f t="shared" si="341"/>
        <v>0</v>
      </c>
      <c r="FB204" s="2026">
        <f>+SUM(FB202:FB203)</f>
        <v>0</v>
      </c>
      <c r="FC204" s="2026">
        <f>+SUM(FC202:FC203)</f>
        <v>0</v>
      </c>
      <c r="FD204" s="2026">
        <f>+SUM(FD202:FD203)</f>
        <v>0</v>
      </c>
      <c r="FE204" s="2026">
        <f>+SUM(FE202:FE203)</f>
        <v>0</v>
      </c>
      <c r="FF204" s="2806"/>
      <c r="FG204" s="2026">
        <v>0</v>
      </c>
      <c r="FH204" s="2026">
        <v>0</v>
      </c>
      <c r="FI204" s="2026">
        <v>0</v>
      </c>
      <c r="FJ204" s="2026">
        <f>+SUM(FJ202:FJ203)</f>
        <v>0</v>
      </c>
      <c r="FK204" s="2842">
        <f t="shared" si="289"/>
        <v>0</v>
      </c>
      <c r="FL204" s="14"/>
    </row>
    <row r="205" spans="1:169">
      <c r="A205" s="14" t="s">
        <v>1058</v>
      </c>
      <c r="B205" s="14"/>
      <c r="C205" s="14"/>
      <c r="D205" s="14"/>
      <c r="E205" s="14">
        <f>+E156</f>
        <v>0</v>
      </c>
      <c r="F205" s="14">
        <f>E205</f>
        <v>0</v>
      </c>
      <c r="G205" s="14"/>
      <c r="H205" s="14"/>
      <c r="I205" s="14"/>
      <c r="J205" s="14"/>
      <c r="K205" s="14">
        <f>+K156</f>
        <v>600</v>
      </c>
      <c r="L205" s="14">
        <f>K205</f>
        <v>600</v>
      </c>
      <c r="M205" s="14">
        <f>SUM(BK205:BN205)</f>
        <v>520</v>
      </c>
      <c r="N205" s="14">
        <f>+N156</f>
        <v>520</v>
      </c>
      <c r="O205" s="14">
        <f>N205</f>
        <v>520</v>
      </c>
      <c r="P205" s="14">
        <f>+P156</f>
        <v>500</v>
      </c>
      <c r="Q205" s="14"/>
      <c r="R205" s="14">
        <f>+R156</f>
        <v>500</v>
      </c>
      <c r="S205" s="14">
        <f>R205</f>
        <v>500</v>
      </c>
      <c r="T205" s="14">
        <f>+T156</f>
        <v>12</v>
      </c>
      <c r="U205" s="14">
        <f>+U156</f>
        <v>12</v>
      </c>
      <c r="V205" s="14"/>
      <c r="W205" s="14">
        <f>U205</f>
        <v>12</v>
      </c>
      <c r="X205" s="14">
        <f>SUM(CJ205:CM205)</f>
        <v>12</v>
      </c>
      <c r="Y205" s="14">
        <f>+Y156</f>
        <v>12</v>
      </c>
      <c r="Z205" s="14">
        <f>+Z156</f>
        <v>12</v>
      </c>
      <c r="AA205" s="14">
        <f>+AA156</f>
        <v>10.5</v>
      </c>
      <c r="AB205" s="14">
        <f t="shared" ref="AB205:AU205" si="347">+AB156</f>
        <v>19.100000000000001</v>
      </c>
      <c r="AC205" s="14">
        <f t="shared" si="347"/>
        <v>18</v>
      </c>
      <c r="AD205" s="14">
        <f t="shared" si="347"/>
        <v>16.5</v>
      </c>
      <c r="AE205" s="14">
        <f t="shared" si="347"/>
        <v>15.5</v>
      </c>
      <c r="AF205" s="14">
        <f t="shared" si="347"/>
        <v>14</v>
      </c>
      <c r="AG205" s="14">
        <f t="shared" si="347"/>
        <v>14</v>
      </c>
      <c r="AH205" s="14">
        <f t="shared" si="347"/>
        <v>14</v>
      </c>
      <c r="AI205" s="14">
        <f t="shared" si="347"/>
        <v>13</v>
      </c>
      <c r="AJ205" s="14">
        <f t="shared" si="347"/>
        <v>13</v>
      </c>
      <c r="AK205" s="1357">
        <f t="shared" si="347"/>
        <v>11</v>
      </c>
      <c r="AL205" s="1357">
        <f t="shared" si="347"/>
        <v>9</v>
      </c>
      <c r="AM205" s="1357">
        <f t="shared" si="347"/>
        <v>7</v>
      </c>
      <c r="AN205" s="1357">
        <f t="shared" si="347"/>
        <v>6</v>
      </c>
      <c r="AO205" s="14">
        <f t="shared" si="347"/>
        <v>6</v>
      </c>
      <c r="AP205" s="14">
        <f t="shared" si="347"/>
        <v>6</v>
      </c>
      <c r="AQ205" s="14">
        <f t="shared" si="347"/>
        <v>5</v>
      </c>
      <c r="AR205" s="14">
        <f t="shared" si="347"/>
        <v>4</v>
      </c>
      <c r="AS205" s="14">
        <f t="shared" si="347"/>
        <v>4</v>
      </c>
      <c r="AT205" s="14">
        <f t="shared" si="347"/>
        <v>3</v>
      </c>
      <c r="AU205" s="14">
        <f t="shared" si="347"/>
        <v>3</v>
      </c>
      <c r="AV205" s="14">
        <f>+AV156</f>
        <v>3</v>
      </c>
      <c r="AW205" s="14">
        <f>+AW156</f>
        <v>3</v>
      </c>
      <c r="AX205" s="14">
        <f>+AX156</f>
        <v>3</v>
      </c>
      <c r="AY205" s="14">
        <f>+AY156</f>
        <v>3</v>
      </c>
      <c r="AZ205" s="354"/>
      <c r="BA205" s="354"/>
      <c r="BB205" s="354"/>
      <c r="BC205" s="354"/>
      <c r="BD205" s="354"/>
      <c r="BE205" s="354"/>
      <c r="BF205" s="14">
        <f>+BF156</f>
        <v>150</v>
      </c>
      <c r="BG205" s="14">
        <f>+BG156</f>
        <v>150</v>
      </c>
      <c r="BH205" s="14">
        <f>+BH156</f>
        <v>150</v>
      </c>
      <c r="BI205" s="14">
        <f>+BI156</f>
        <v>150</v>
      </c>
      <c r="BJ205" s="14"/>
      <c r="BK205" s="14">
        <f>+BK156</f>
        <v>130</v>
      </c>
      <c r="BL205" s="14">
        <f>+BL156</f>
        <v>130</v>
      </c>
      <c r="BM205" s="14">
        <f>+BM156</f>
        <v>130</v>
      </c>
      <c r="BN205" s="14">
        <f>+BN156</f>
        <v>130</v>
      </c>
      <c r="BO205" s="14"/>
      <c r="BP205" s="14"/>
      <c r="BQ205" s="14"/>
      <c r="BR205" s="14"/>
      <c r="BS205" s="14"/>
      <c r="BT205" s="14"/>
      <c r="BU205" s="14">
        <f>+BU156</f>
        <v>125</v>
      </c>
      <c r="BV205" s="14">
        <f>+BV156</f>
        <v>125</v>
      </c>
      <c r="BW205" s="14">
        <f>+BW156</f>
        <v>125</v>
      </c>
      <c r="BX205" s="14">
        <f>+P205-SUM(BU205:BW205)</f>
        <v>125</v>
      </c>
      <c r="BY205" s="95">
        <f>+R205-SUM(BU205:BX205)</f>
        <v>0</v>
      </c>
      <c r="BZ205" s="14">
        <f>+BZ156</f>
        <v>3</v>
      </c>
      <c r="CA205" s="14">
        <f>+CA156</f>
        <v>3</v>
      </c>
      <c r="CB205" s="14">
        <f>+CB156</f>
        <v>3</v>
      </c>
      <c r="CC205" s="14">
        <f>+CC156</f>
        <v>3</v>
      </c>
      <c r="CD205" s="377">
        <f>+T205-SUM(BZ205:CC205)</f>
        <v>0</v>
      </c>
      <c r="CE205" s="14">
        <f>+CE156</f>
        <v>3</v>
      </c>
      <c r="CF205" s="14">
        <f>+CF156</f>
        <v>3</v>
      </c>
      <c r="CG205" s="14">
        <f>+CG156</f>
        <v>3</v>
      </c>
      <c r="CH205" s="14">
        <f>+CH156</f>
        <v>3</v>
      </c>
      <c r="CI205" s="53"/>
      <c r="CJ205" s="14">
        <f>+CJ156</f>
        <v>3</v>
      </c>
      <c r="CK205" s="14">
        <f>+CK156</f>
        <v>3</v>
      </c>
      <c r="CL205" s="14">
        <f>+CL156</f>
        <v>3</v>
      </c>
      <c r="CM205" s="14">
        <f>+CM156</f>
        <v>3</v>
      </c>
      <c r="CN205" s="95">
        <f t="shared" si="273"/>
        <v>0</v>
      </c>
      <c r="CO205" s="14">
        <f>+CO156</f>
        <v>3</v>
      </c>
      <c r="CP205" s="14">
        <f>+CP156</f>
        <v>3</v>
      </c>
      <c r="CQ205" s="14">
        <f>+CQ156</f>
        <v>3</v>
      </c>
      <c r="CR205" s="14">
        <f>+CR156</f>
        <v>1.5</v>
      </c>
      <c r="CS205" s="49">
        <f t="shared" si="318"/>
        <v>0</v>
      </c>
      <c r="CT205" s="14">
        <f>+CT156</f>
        <v>3</v>
      </c>
      <c r="CU205" s="14">
        <f>+CU156</f>
        <v>7</v>
      </c>
      <c r="CV205" s="14">
        <f>+CV156</f>
        <v>4.7750000000000004</v>
      </c>
      <c r="CW205" s="14">
        <f>+CW156</f>
        <v>4.3250000000000011</v>
      </c>
      <c r="CX205" s="49">
        <f t="shared" si="320"/>
        <v>0</v>
      </c>
      <c r="CY205" s="14">
        <f t="shared" ref="CY205:DA208" si="348">$AC205/4</f>
        <v>4.5</v>
      </c>
      <c r="CZ205" s="14">
        <f>$AC205/4+1</f>
        <v>5.5</v>
      </c>
      <c r="DA205" s="14">
        <f t="shared" si="348"/>
        <v>4.5</v>
      </c>
      <c r="DB205" s="14">
        <f t="shared" si="321"/>
        <v>3.5</v>
      </c>
      <c r="DC205" s="871">
        <f t="shared" si="322"/>
        <v>0</v>
      </c>
      <c r="DD205" s="14">
        <f t="shared" si="323"/>
        <v>4.125</v>
      </c>
      <c r="DE205" s="14">
        <f t="shared" si="323"/>
        <v>4.125</v>
      </c>
      <c r="DF205" s="14">
        <f t="shared" si="323"/>
        <v>4.125</v>
      </c>
      <c r="DG205" s="14">
        <f>AD205-SUM(DD205:DF205)</f>
        <v>4.125</v>
      </c>
      <c r="DH205" s="357">
        <f t="shared" si="324"/>
        <v>0</v>
      </c>
      <c r="DI205" s="14">
        <f t="shared" ref="DI205:DK208" si="349">$AE205/4</f>
        <v>3.875</v>
      </c>
      <c r="DJ205" s="14">
        <f t="shared" si="349"/>
        <v>3.875</v>
      </c>
      <c r="DK205" s="14">
        <f t="shared" si="349"/>
        <v>3.875</v>
      </c>
      <c r="DL205" s="354">
        <f>AE205-SUM(DI205:DK205)</f>
        <v>3.875</v>
      </c>
      <c r="DM205" s="357">
        <f t="shared" si="342"/>
        <v>0</v>
      </c>
      <c r="DN205" s="14">
        <f>$AF$205/4</f>
        <v>3.5</v>
      </c>
      <c r="DO205" s="14">
        <f>$AF$205/4</f>
        <v>3.5</v>
      </c>
      <c r="DP205" s="14">
        <f>$AF$205/4</f>
        <v>3.5</v>
      </c>
      <c r="DQ205" s="14">
        <f>$AF$205/4</f>
        <v>3.5</v>
      </c>
      <c r="DR205" s="871">
        <f t="shared" si="326"/>
        <v>0</v>
      </c>
      <c r="DS205" s="14">
        <f t="shared" si="343"/>
        <v>3.5</v>
      </c>
      <c r="DT205" s="14">
        <f t="shared" si="327"/>
        <v>3.5</v>
      </c>
      <c r="DU205" s="14">
        <f t="shared" si="327"/>
        <v>3.5</v>
      </c>
      <c r="DV205" s="14">
        <f t="shared" si="327"/>
        <v>3.5</v>
      </c>
      <c r="DW205" s="538">
        <f t="shared" si="328"/>
        <v>0</v>
      </c>
      <c r="DX205" s="14">
        <f t="shared" si="344"/>
        <v>3.5</v>
      </c>
      <c r="DY205" s="14">
        <f t="shared" si="329"/>
        <v>3.5</v>
      </c>
      <c r="DZ205" s="14">
        <f t="shared" si="329"/>
        <v>3.5</v>
      </c>
      <c r="EA205" s="14">
        <f t="shared" si="329"/>
        <v>3.5</v>
      </c>
      <c r="EB205" s="538">
        <f t="shared" si="330"/>
        <v>0</v>
      </c>
      <c r="EC205" s="14">
        <f t="shared" si="331"/>
        <v>3.25</v>
      </c>
      <c r="ED205" s="14">
        <f t="shared" si="332"/>
        <v>3.25</v>
      </c>
      <c r="EE205" s="14">
        <f t="shared" si="332"/>
        <v>3.25</v>
      </c>
      <c r="EF205" s="14">
        <f t="shared" si="332"/>
        <v>3.25</v>
      </c>
      <c r="EG205" s="538">
        <f t="shared" si="333"/>
        <v>0</v>
      </c>
      <c r="EH205" s="14">
        <f t="shared" si="334"/>
        <v>3.25</v>
      </c>
      <c r="EI205" s="14">
        <f t="shared" si="335"/>
        <v>3.25</v>
      </c>
      <c r="EJ205" s="14">
        <f t="shared" si="335"/>
        <v>3.25</v>
      </c>
      <c r="EK205" s="14">
        <f t="shared" si="335"/>
        <v>3.25</v>
      </c>
      <c r="EL205" s="538">
        <f t="shared" si="336"/>
        <v>0</v>
      </c>
      <c r="EM205" s="1465">
        <f t="shared" si="337"/>
        <v>2.75</v>
      </c>
      <c r="EN205" s="1465">
        <f t="shared" si="338"/>
        <v>2.75</v>
      </c>
      <c r="EO205" s="1465">
        <f t="shared" si="338"/>
        <v>2.75</v>
      </c>
      <c r="EP205" s="1465">
        <f t="shared" si="338"/>
        <v>2.75</v>
      </c>
      <c r="EQ205" s="2026">
        <f t="shared" si="339"/>
        <v>0</v>
      </c>
      <c r="ER205" s="1465">
        <f t="shared" ref="ER205:EU207" si="350">$AL205/4</f>
        <v>2.25</v>
      </c>
      <c r="ES205" s="1465">
        <f t="shared" si="350"/>
        <v>2.25</v>
      </c>
      <c r="ET205" s="1465">
        <f t="shared" si="350"/>
        <v>2.25</v>
      </c>
      <c r="EU205" s="1465">
        <f t="shared" si="350"/>
        <v>2.25</v>
      </c>
      <c r="EV205" s="2026">
        <f t="shared" si="340"/>
        <v>0</v>
      </c>
      <c r="EW205" s="1465">
        <f>$AM205/4</f>
        <v>1.75</v>
      </c>
      <c r="EX205" s="1465">
        <f t="shared" ref="EX205:EZ206" si="351">$AM205/4</f>
        <v>1.75</v>
      </c>
      <c r="EY205" s="2851">
        <f>$AM205/4</f>
        <v>1.75</v>
      </c>
      <c r="EZ205" s="2851">
        <f t="shared" si="351"/>
        <v>1.75</v>
      </c>
      <c r="FA205" s="2842">
        <f t="shared" si="341"/>
        <v>0</v>
      </c>
      <c r="FB205" s="2851">
        <f>$AN205/4</f>
        <v>1.5</v>
      </c>
      <c r="FC205" s="2851">
        <f t="shared" ref="FB205:FD208" si="352">$AN205/4</f>
        <v>1.5</v>
      </c>
      <c r="FD205" s="2851">
        <f t="shared" si="352"/>
        <v>1.5</v>
      </c>
      <c r="FE205" s="2851">
        <f>$AN205/4</f>
        <v>1.5</v>
      </c>
      <c r="FF205" s="2851"/>
      <c r="FG205" s="2851">
        <f t="shared" ref="FG205:FI208" si="353">$AO205/4</f>
        <v>1.5</v>
      </c>
      <c r="FH205" s="2851">
        <f t="shared" si="353"/>
        <v>1.5</v>
      </c>
      <c r="FI205" s="2851">
        <f t="shared" si="353"/>
        <v>1.5</v>
      </c>
      <c r="FJ205" s="2851">
        <f>$AO205/4</f>
        <v>1.5</v>
      </c>
      <c r="FK205" s="2842">
        <f t="shared" si="289"/>
        <v>0</v>
      </c>
      <c r="FL205" s="14"/>
    </row>
    <row r="206" spans="1:169">
      <c r="A206" s="14" t="s">
        <v>1051</v>
      </c>
      <c r="B206" s="14"/>
      <c r="C206" s="14"/>
      <c r="D206" s="14"/>
      <c r="E206" s="77">
        <v>0</v>
      </c>
      <c r="F206" s="14">
        <f>F27</f>
        <v>8</v>
      </c>
      <c r="G206" s="14"/>
      <c r="H206" s="14"/>
      <c r="I206" s="14"/>
      <c r="J206" s="14"/>
      <c r="K206" s="77">
        <v>0</v>
      </c>
      <c r="L206" s="14">
        <f>L27</f>
        <v>8</v>
      </c>
      <c r="M206" s="77">
        <v>0</v>
      </c>
      <c r="N206" s="77">
        <v>0</v>
      </c>
      <c r="O206" s="14">
        <f>O27</f>
        <v>8</v>
      </c>
      <c r="P206" s="77">
        <v>0</v>
      </c>
      <c r="Q206" s="14"/>
      <c r="R206" s="77">
        <v>0</v>
      </c>
      <c r="S206" s="14">
        <f>S27</f>
        <v>8</v>
      </c>
      <c r="T206" s="77">
        <v>0</v>
      </c>
      <c r="U206" s="77">
        <v>0</v>
      </c>
      <c r="V206" s="14"/>
      <c r="W206" s="14">
        <f>W27</f>
        <v>0</v>
      </c>
      <c r="X206" s="14">
        <f>SUM(CJ206:CM206)</f>
        <v>0</v>
      </c>
      <c r="Y206" s="14">
        <f t="shared" ref="Y206:AO206" si="354">Y27</f>
        <v>8</v>
      </c>
      <c r="Z206" s="14">
        <f t="shared" si="354"/>
        <v>8</v>
      </c>
      <c r="AA206" s="14">
        <f t="shared" si="354"/>
        <v>8</v>
      </c>
      <c r="AB206" s="14">
        <f t="shared" si="354"/>
        <v>10</v>
      </c>
      <c r="AC206" s="14">
        <f t="shared" si="354"/>
        <v>3</v>
      </c>
      <c r="AD206" s="14">
        <f t="shared" si="354"/>
        <v>3</v>
      </c>
      <c r="AE206" s="14">
        <f t="shared" si="354"/>
        <v>3</v>
      </c>
      <c r="AF206" s="14">
        <f t="shared" si="354"/>
        <v>3</v>
      </c>
      <c r="AG206" s="14">
        <f t="shared" si="354"/>
        <v>3</v>
      </c>
      <c r="AH206" s="14">
        <f t="shared" si="354"/>
        <v>2.4000000000000004</v>
      </c>
      <c r="AI206" s="14">
        <f t="shared" si="354"/>
        <v>1.9200000000000004</v>
      </c>
      <c r="AJ206" s="1357">
        <f>AJ27</f>
        <v>1.5360000000000005</v>
      </c>
      <c r="AK206" s="1357">
        <f>AK27</f>
        <v>1.2288000000000006</v>
      </c>
      <c r="AL206" s="1357">
        <f>AL27</f>
        <v>0.98304000000000047</v>
      </c>
      <c r="AM206" s="1357">
        <f>AM27</f>
        <v>0.78643200000000046</v>
      </c>
      <c r="AN206" s="1357">
        <f t="shared" si="354"/>
        <v>0.62914560000000042</v>
      </c>
      <c r="AO206" s="1357">
        <f t="shared" si="354"/>
        <v>0.5033164800000004</v>
      </c>
      <c r="AP206" s="1357">
        <f t="shared" ref="AP206:AU206" si="355">AP27</f>
        <v>0.40265318400000033</v>
      </c>
      <c r="AQ206" s="1357">
        <f t="shared" si="355"/>
        <v>0.32212254720000028</v>
      </c>
      <c r="AR206" s="1357">
        <f t="shared" si="355"/>
        <v>0.25769803776000022</v>
      </c>
      <c r="AS206" s="1357">
        <f t="shared" si="355"/>
        <v>0.20615843020800018</v>
      </c>
      <c r="AT206" s="1357">
        <f t="shared" si="355"/>
        <v>0.16492674416640016</v>
      </c>
      <c r="AU206" s="1357">
        <f t="shared" si="355"/>
        <v>0.13194139533312013</v>
      </c>
      <c r="AV206" s="1357">
        <f>AV27</f>
        <v>0.10555311626649611</v>
      </c>
      <c r="AW206" s="1357">
        <f>AW27</f>
        <v>8.4442493013196895E-2</v>
      </c>
      <c r="AX206" s="1357">
        <f>AX27</f>
        <v>6.7553994410557525E-2</v>
      </c>
      <c r="AY206" s="1357">
        <f>AY27</f>
        <v>5.4043195528446025E-2</v>
      </c>
      <c r="AZ206" s="354"/>
      <c r="BA206" s="354"/>
      <c r="BB206" s="354"/>
      <c r="BC206" s="354"/>
      <c r="BD206" s="354"/>
      <c r="BE206" s="354"/>
      <c r="BF206" s="14">
        <v>0</v>
      </c>
      <c r="BG206" s="14">
        <v>0</v>
      </c>
      <c r="BH206" s="14">
        <v>0</v>
      </c>
      <c r="BI206" s="14">
        <v>0</v>
      </c>
      <c r="BJ206" s="14"/>
      <c r="BK206" s="14">
        <v>0</v>
      </c>
      <c r="BL206" s="14">
        <v>0</v>
      </c>
      <c r="BM206" s="14">
        <v>0</v>
      </c>
      <c r="BN206" s="14">
        <v>0</v>
      </c>
      <c r="BO206" s="14"/>
      <c r="BP206" s="14"/>
      <c r="BQ206" s="14"/>
      <c r="BR206" s="14"/>
      <c r="BS206" s="14"/>
      <c r="BT206" s="14"/>
      <c r="BU206" s="14">
        <v>0</v>
      </c>
      <c r="BV206" s="14">
        <v>0</v>
      </c>
      <c r="BW206" s="14">
        <v>0</v>
      </c>
      <c r="BX206" s="14">
        <v>0</v>
      </c>
      <c r="BY206" s="95"/>
      <c r="BZ206" s="14">
        <v>0</v>
      </c>
      <c r="CA206" s="14">
        <v>0</v>
      </c>
      <c r="CB206" s="14">
        <v>0</v>
      </c>
      <c r="CC206" s="14">
        <v>0</v>
      </c>
      <c r="CD206" s="377"/>
      <c r="CE206" s="14">
        <v>0</v>
      </c>
      <c r="CF206" s="14">
        <v>0</v>
      </c>
      <c r="CG206" s="14">
        <v>0</v>
      </c>
      <c r="CH206" s="14">
        <v>0</v>
      </c>
      <c r="CI206" s="53"/>
      <c r="CJ206" s="77">
        <v>0</v>
      </c>
      <c r="CK206" s="77">
        <v>0</v>
      </c>
      <c r="CL206" s="77">
        <v>0</v>
      </c>
      <c r="CM206" s="77">
        <v>0</v>
      </c>
      <c r="CN206" s="95">
        <f t="shared" si="273"/>
        <v>0</v>
      </c>
      <c r="CO206" s="14">
        <f>+CO27</f>
        <v>2</v>
      </c>
      <c r="CP206" s="14">
        <f t="shared" ref="CP206:CW206" si="356">+CP27</f>
        <v>2</v>
      </c>
      <c r="CQ206" s="14">
        <f t="shared" si="356"/>
        <v>2</v>
      </c>
      <c r="CR206" s="14">
        <f t="shared" si="356"/>
        <v>2</v>
      </c>
      <c r="CS206" s="49">
        <f t="shared" si="318"/>
        <v>0</v>
      </c>
      <c r="CT206" s="14">
        <f t="shared" si="356"/>
        <v>2.5</v>
      </c>
      <c r="CU206" s="14">
        <f t="shared" si="356"/>
        <v>2.5</v>
      </c>
      <c r="CV206" s="14">
        <f t="shared" si="356"/>
        <v>2.5</v>
      </c>
      <c r="CW206" s="14">
        <f t="shared" si="356"/>
        <v>2.5</v>
      </c>
      <c r="CX206" s="49">
        <f t="shared" si="320"/>
        <v>0</v>
      </c>
      <c r="CY206" s="14">
        <f t="shared" si="348"/>
        <v>0.75</v>
      </c>
      <c r="CZ206" s="14">
        <v>0.75</v>
      </c>
      <c r="DA206" s="14">
        <v>0.75</v>
      </c>
      <c r="DB206" s="14">
        <f t="shared" si="321"/>
        <v>0.75</v>
      </c>
      <c r="DC206" s="871">
        <f t="shared" si="322"/>
        <v>0</v>
      </c>
      <c r="DD206" s="14">
        <f t="shared" si="323"/>
        <v>0.75</v>
      </c>
      <c r="DE206" s="14">
        <f t="shared" si="323"/>
        <v>0.75</v>
      </c>
      <c r="DF206" s="14">
        <f t="shared" si="323"/>
        <v>0.75</v>
      </c>
      <c r="DG206" s="14">
        <f>AD206-SUM(DD206:DF206)</f>
        <v>0.75</v>
      </c>
      <c r="DH206" s="357">
        <f t="shared" si="324"/>
        <v>0</v>
      </c>
      <c r="DI206" s="14">
        <f t="shared" si="349"/>
        <v>0.75</v>
      </c>
      <c r="DJ206" s="14">
        <f t="shared" si="349"/>
        <v>0.75</v>
      </c>
      <c r="DK206" s="14">
        <f t="shared" si="349"/>
        <v>0.75</v>
      </c>
      <c r="DL206" s="354">
        <f>AE206-SUM(DI206:DK206)</f>
        <v>0.75</v>
      </c>
      <c r="DM206" s="357">
        <f t="shared" si="342"/>
        <v>0</v>
      </c>
      <c r="DN206" s="14">
        <f>$AF$206/4</f>
        <v>0.75</v>
      </c>
      <c r="DO206" s="14">
        <f>$AF$206/4</f>
        <v>0.75</v>
      </c>
      <c r="DP206" s="14">
        <f>$AF$206/4</f>
        <v>0.75</v>
      </c>
      <c r="DQ206" s="14">
        <f>$AF$206/4</f>
        <v>0.75</v>
      </c>
      <c r="DR206" s="871">
        <f t="shared" si="326"/>
        <v>0</v>
      </c>
      <c r="DS206" s="14">
        <f t="shared" si="343"/>
        <v>0.75</v>
      </c>
      <c r="DT206" s="14">
        <f t="shared" si="327"/>
        <v>0.75</v>
      </c>
      <c r="DU206" s="14">
        <f t="shared" si="327"/>
        <v>0.75</v>
      </c>
      <c r="DV206" s="14">
        <f t="shared" si="327"/>
        <v>0.75</v>
      </c>
      <c r="DW206" s="538">
        <f t="shared" si="328"/>
        <v>0</v>
      </c>
      <c r="DX206" s="14">
        <f t="shared" si="344"/>
        <v>0.60000000000000009</v>
      </c>
      <c r="DY206" s="14">
        <f t="shared" si="329"/>
        <v>0.60000000000000009</v>
      </c>
      <c r="DZ206" s="14">
        <f t="shared" si="329"/>
        <v>0.60000000000000009</v>
      </c>
      <c r="EA206" s="14">
        <f t="shared" si="329"/>
        <v>0.60000000000000009</v>
      </c>
      <c r="EB206" s="538">
        <f t="shared" si="330"/>
        <v>0</v>
      </c>
      <c r="EC206" s="14">
        <f t="shared" si="331"/>
        <v>0.48000000000000009</v>
      </c>
      <c r="ED206" s="14">
        <f t="shared" si="332"/>
        <v>0.48000000000000009</v>
      </c>
      <c r="EE206" s="14">
        <f t="shared" si="332"/>
        <v>0.48000000000000009</v>
      </c>
      <c r="EF206" s="14">
        <f t="shared" si="332"/>
        <v>0.48000000000000009</v>
      </c>
      <c r="EG206" s="538">
        <f t="shared" si="333"/>
        <v>0</v>
      </c>
      <c r="EH206" s="14">
        <f t="shared" si="334"/>
        <v>0.38400000000000012</v>
      </c>
      <c r="EI206" s="14">
        <f t="shared" si="335"/>
        <v>0.38400000000000012</v>
      </c>
      <c r="EJ206" s="14">
        <f t="shared" si="335"/>
        <v>0.38400000000000012</v>
      </c>
      <c r="EK206" s="14">
        <f t="shared" si="335"/>
        <v>0.38400000000000012</v>
      </c>
      <c r="EL206" s="538">
        <f t="shared" si="336"/>
        <v>0</v>
      </c>
      <c r="EM206" s="1465">
        <f t="shared" si="337"/>
        <v>0.30720000000000014</v>
      </c>
      <c r="EN206" s="1465">
        <f t="shared" si="338"/>
        <v>0.30720000000000014</v>
      </c>
      <c r="EO206" s="1465">
        <f t="shared" si="338"/>
        <v>0.30720000000000014</v>
      </c>
      <c r="EP206" s="1465">
        <f t="shared" si="338"/>
        <v>0.30720000000000014</v>
      </c>
      <c r="EQ206" s="2026">
        <f t="shared" si="339"/>
        <v>0</v>
      </c>
      <c r="ER206" s="1465">
        <f t="shared" si="350"/>
        <v>0.24576000000000012</v>
      </c>
      <c r="ES206" s="1465">
        <f t="shared" si="350"/>
        <v>0.24576000000000012</v>
      </c>
      <c r="ET206" s="1465">
        <f t="shared" si="350"/>
        <v>0.24576000000000012</v>
      </c>
      <c r="EU206" s="1465">
        <f t="shared" si="350"/>
        <v>0.24576000000000012</v>
      </c>
      <c r="EV206" s="2026">
        <f t="shared" si="340"/>
        <v>0</v>
      </c>
      <c r="EW206" s="1465">
        <f>$AM206/4</f>
        <v>0.19660800000000012</v>
      </c>
      <c r="EX206" s="1465">
        <f t="shared" si="351"/>
        <v>0.19660800000000012</v>
      </c>
      <c r="EY206" s="2851">
        <f>$AM206/4</f>
        <v>0.19660800000000012</v>
      </c>
      <c r="EZ206" s="2851">
        <f t="shared" si="351"/>
        <v>0.19660800000000012</v>
      </c>
      <c r="FA206" s="2842">
        <f t="shared" si="341"/>
        <v>0</v>
      </c>
      <c r="FB206" s="2851">
        <f>$AN206/4</f>
        <v>0.1572864000000001</v>
      </c>
      <c r="FC206" s="2851">
        <f t="shared" si="352"/>
        <v>0.1572864000000001</v>
      </c>
      <c r="FD206" s="2851">
        <f t="shared" si="352"/>
        <v>0.1572864000000001</v>
      </c>
      <c r="FE206" s="2851">
        <f>$AN206/4</f>
        <v>0.1572864000000001</v>
      </c>
      <c r="FF206" s="2851"/>
      <c r="FG206" s="2851">
        <f t="shared" si="353"/>
        <v>0.1258291200000001</v>
      </c>
      <c r="FH206" s="2851">
        <f t="shared" si="353"/>
        <v>0.1258291200000001</v>
      </c>
      <c r="FI206" s="2851">
        <f t="shared" si="353"/>
        <v>0.1258291200000001</v>
      </c>
      <c r="FJ206" s="2851">
        <f>$AO206/4</f>
        <v>0.1258291200000001</v>
      </c>
      <c r="FK206" s="2842">
        <f t="shared" si="289"/>
        <v>0</v>
      </c>
      <c r="FL206" s="14"/>
    </row>
    <row r="207" spans="1:169">
      <c r="A207" s="14" t="s">
        <v>4</v>
      </c>
      <c r="B207" s="14"/>
      <c r="C207" s="14"/>
      <c r="D207" s="14"/>
      <c r="E207" s="77"/>
      <c r="F207" s="14"/>
      <c r="G207" s="14"/>
      <c r="H207" s="14"/>
      <c r="I207" s="14"/>
      <c r="J207" s="14"/>
      <c r="K207" s="77"/>
      <c r="L207" s="14"/>
      <c r="M207" s="77"/>
      <c r="N207" s="77"/>
      <c r="O207" s="14"/>
      <c r="P207" s="77"/>
      <c r="Q207" s="14"/>
      <c r="R207" s="77"/>
      <c r="S207" s="14"/>
      <c r="T207" s="77"/>
      <c r="U207" s="77"/>
      <c r="V207" s="14"/>
      <c r="W207" s="14"/>
      <c r="X207" s="14"/>
      <c r="Y207" s="14"/>
      <c r="Z207" s="14"/>
      <c r="AA207" s="14"/>
      <c r="AB207" s="14"/>
      <c r="AC207" s="14"/>
      <c r="AD207" s="14">
        <f>SUM(DD207:DG207)</f>
        <v>4</v>
      </c>
      <c r="AE207" s="14">
        <f t="shared" ref="AE207:AM207" si="357">AE179</f>
        <v>26</v>
      </c>
      <c r="AF207" s="14">
        <f t="shared" si="357"/>
        <v>52</v>
      </c>
      <c r="AG207" s="14">
        <f t="shared" si="357"/>
        <v>25</v>
      </c>
      <c r="AH207" s="14">
        <f t="shared" si="357"/>
        <v>25</v>
      </c>
      <c r="AI207" s="14">
        <f t="shared" si="357"/>
        <v>20</v>
      </c>
      <c r="AJ207" s="1357">
        <f t="shared" si="357"/>
        <v>15</v>
      </c>
      <c r="AK207" s="1357">
        <f t="shared" si="357"/>
        <v>10</v>
      </c>
      <c r="AL207" s="1357">
        <f t="shared" si="357"/>
        <v>5</v>
      </c>
      <c r="AM207" s="1357">
        <f t="shared" ca="1" si="357"/>
        <v>5</v>
      </c>
      <c r="AN207" s="1693">
        <f>+AN209-AN208-AN206-AN205-AN204</f>
        <v>7.3708543999999989</v>
      </c>
      <c r="AO207" s="1693">
        <f>+AO209-AO208-AO206-AO205-AO204</f>
        <v>6.4966835199999995</v>
      </c>
      <c r="AP207" s="1693">
        <f>+AP209-AP208-AP206-AP205-AP204</f>
        <v>6.5973468159999999</v>
      </c>
      <c r="AQ207" s="1693">
        <f>+AQ209-AQ208-AQ206-AQ205-AQ204</f>
        <v>5.6778774527999989</v>
      </c>
      <c r="AR207" s="1693">
        <f>+AR209-AR208-AR206-AR205-AR204</f>
        <v>5.7423019622399991</v>
      </c>
      <c r="AS207" s="1357">
        <f t="shared" ref="AS207:AY207" si="358">+AR207</f>
        <v>5.7423019622399991</v>
      </c>
      <c r="AT207" s="1357">
        <f t="shared" si="358"/>
        <v>5.7423019622399991</v>
      </c>
      <c r="AU207" s="1357">
        <f t="shared" si="358"/>
        <v>5.7423019622399991</v>
      </c>
      <c r="AV207" s="1357">
        <f t="shared" si="358"/>
        <v>5.7423019622399991</v>
      </c>
      <c r="AW207" s="1357">
        <f t="shared" si="358"/>
        <v>5.7423019622399991</v>
      </c>
      <c r="AX207" s="1357">
        <f t="shared" si="358"/>
        <v>5.7423019622399991</v>
      </c>
      <c r="AY207" s="1357">
        <f t="shared" si="358"/>
        <v>5.7423019622399991</v>
      </c>
      <c r="AZ207" s="354"/>
      <c r="BA207" s="354"/>
      <c r="BB207" s="354"/>
      <c r="BC207" s="354"/>
      <c r="BD207" s="354"/>
      <c r="BE207" s="354"/>
      <c r="BF207" s="14"/>
      <c r="BG207" s="14"/>
      <c r="BH207" s="14"/>
      <c r="BI207" s="14"/>
      <c r="BJ207" s="14"/>
      <c r="BK207" s="14"/>
      <c r="BL207" s="14"/>
      <c r="BM207" s="14"/>
      <c r="BN207" s="14"/>
      <c r="BO207" s="14"/>
      <c r="BP207" s="14"/>
      <c r="BQ207" s="14"/>
      <c r="BR207" s="14"/>
      <c r="BS207" s="14"/>
      <c r="BT207" s="14"/>
      <c r="BU207" s="14"/>
      <c r="BV207" s="14"/>
      <c r="BW207" s="14"/>
      <c r="BX207" s="14"/>
      <c r="BY207" s="95"/>
      <c r="BZ207" s="14"/>
      <c r="CA207" s="14"/>
      <c r="CB207" s="14"/>
      <c r="CC207" s="14"/>
      <c r="CD207" s="377"/>
      <c r="CE207" s="14"/>
      <c r="CF207" s="14"/>
      <c r="CG207" s="14"/>
      <c r="CH207" s="14"/>
      <c r="CI207" s="53"/>
      <c r="CJ207" s="77"/>
      <c r="CK207" s="77"/>
      <c r="CL207" s="77"/>
      <c r="CM207" s="77"/>
      <c r="CN207" s="95"/>
      <c r="CO207" s="14"/>
      <c r="CP207" s="14"/>
      <c r="CQ207" s="14"/>
      <c r="CR207" s="14"/>
      <c r="CS207" s="49"/>
      <c r="CT207" s="14"/>
      <c r="CU207" s="14"/>
      <c r="CV207" s="14"/>
      <c r="CW207" s="14"/>
      <c r="CX207" s="49"/>
      <c r="CY207" s="14"/>
      <c r="CZ207" s="14"/>
      <c r="DA207" s="14"/>
      <c r="DB207" s="14"/>
      <c r="DC207" s="871"/>
      <c r="DD207" s="14">
        <f>'Revenue and OCF'!CT57</f>
        <v>1</v>
      </c>
      <c r="DE207" s="14">
        <f>'Revenue and OCF'!CU57</f>
        <v>1</v>
      </c>
      <c r="DF207" s="14">
        <f>'Revenue and OCF'!CV57</f>
        <v>1</v>
      </c>
      <c r="DG207" s="14">
        <f>'Revenue and OCF'!CW57</f>
        <v>1</v>
      </c>
      <c r="DH207" s="357"/>
      <c r="DI207" s="14">
        <v>0</v>
      </c>
      <c r="DJ207" s="14">
        <v>0</v>
      </c>
      <c r="DK207" s="14">
        <v>13</v>
      </c>
      <c r="DL207" s="14">
        <v>13</v>
      </c>
      <c r="DM207" s="357">
        <f t="shared" si="342"/>
        <v>0</v>
      </c>
      <c r="DN207" s="14">
        <f>$AF$207/4</f>
        <v>13</v>
      </c>
      <c r="DO207" s="14">
        <f>$AF$207/4</f>
        <v>13</v>
      </c>
      <c r="DP207" s="14">
        <f>$AF$207/4</f>
        <v>13</v>
      </c>
      <c r="DQ207" s="14">
        <f>$AF$207/4</f>
        <v>13</v>
      </c>
      <c r="DR207" s="871">
        <f t="shared" si="326"/>
        <v>0</v>
      </c>
      <c r="DS207" s="14">
        <f t="shared" si="343"/>
        <v>6.25</v>
      </c>
      <c r="DT207" s="14">
        <f t="shared" si="327"/>
        <v>6.25</v>
      </c>
      <c r="DU207" s="14">
        <f t="shared" si="327"/>
        <v>6.25</v>
      </c>
      <c r="DV207" s="14">
        <f t="shared" si="327"/>
        <v>6.25</v>
      </c>
      <c r="DW207" s="538">
        <f t="shared" si="328"/>
        <v>0</v>
      </c>
      <c r="DX207" s="14">
        <f t="shared" si="344"/>
        <v>6.25</v>
      </c>
      <c r="DY207" s="14">
        <f t="shared" si="329"/>
        <v>6.25</v>
      </c>
      <c r="DZ207" s="14">
        <f t="shared" si="329"/>
        <v>6.25</v>
      </c>
      <c r="EA207" s="14">
        <f t="shared" si="329"/>
        <v>6.25</v>
      </c>
      <c r="EB207" s="538">
        <f t="shared" si="330"/>
        <v>0</v>
      </c>
      <c r="EC207" s="14">
        <f t="shared" si="331"/>
        <v>5</v>
      </c>
      <c r="ED207" s="14">
        <f t="shared" si="332"/>
        <v>5</v>
      </c>
      <c r="EE207" s="14">
        <f t="shared" si="332"/>
        <v>5</v>
      </c>
      <c r="EF207" s="14">
        <f t="shared" si="332"/>
        <v>5</v>
      </c>
      <c r="EG207" s="538">
        <f t="shared" si="333"/>
        <v>0</v>
      </c>
      <c r="EH207" s="14">
        <f>$AJ207/4</f>
        <v>3.75</v>
      </c>
      <c r="EI207" s="14">
        <f t="shared" si="335"/>
        <v>3.75</v>
      </c>
      <c r="EJ207" s="14">
        <f t="shared" si="335"/>
        <v>3.75</v>
      </c>
      <c r="EK207" s="14">
        <f>$AJ207/4</f>
        <v>3.75</v>
      </c>
      <c r="EL207" s="538">
        <f t="shared" si="336"/>
        <v>0</v>
      </c>
      <c r="EM207" s="1437">
        <v>2.5</v>
      </c>
      <c r="EN207" s="1437">
        <v>2.5</v>
      </c>
      <c r="EO207" s="1437">
        <f>EN207</f>
        <v>2.5</v>
      </c>
      <c r="EP207" s="1437">
        <f>EO207</f>
        <v>2.5</v>
      </c>
      <c r="EQ207" s="2026">
        <f t="shared" si="339"/>
        <v>0</v>
      </c>
      <c r="ER207" s="1465">
        <f t="shared" si="350"/>
        <v>1.25</v>
      </c>
      <c r="ES207" s="1465">
        <f t="shared" si="350"/>
        <v>1.25</v>
      </c>
      <c r="ET207" s="1465">
        <f t="shared" si="350"/>
        <v>1.25</v>
      </c>
      <c r="EU207" s="1465">
        <f t="shared" si="350"/>
        <v>1.25</v>
      </c>
      <c r="EV207" s="2026">
        <f t="shared" si="340"/>
        <v>0</v>
      </c>
      <c r="EW207" s="2027">
        <f ca="1">$AM$207/4</f>
        <v>1.25</v>
      </c>
      <c r="EX207" s="2027">
        <f t="shared" ref="EX207:EZ207" ca="1" si="359">$AM$207/4</f>
        <v>1.25</v>
      </c>
      <c r="EY207" s="2027">
        <f t="shared" ca="1" si="359"/>
        <v>1.25</v>
      </c>
      <c r="EZ207" s="2027">
        <f t="shared" ca="1" si="359"/>
        <v>1.25</v>
      </c>
      <c r="FA207" s="2842">
        <f t="shared" ca="1" si="341"/>
        <v>0</v>
      </c>
      <c r="FB207" s="3154">
        <f t="shared" si="352"/>
        <v>1.8427135999999997</v>
      </c>
      <c r="FC207" s="3154">
        <f t="shared" si="352"/>
        <v>1.8427135999999997</v>
      </c>
      <c r="FD207" s="3154">
        <f t="shared" si="352"/>
        <v>1.8427135999999997</v>
      </c>
      <c r="FE207" s="2851">
        <f>$AN207/4</f>
        <v>1.8427135999999997</v>
      </c>
      <c r="FF207" s="2851"/>
      <c r="FG207" s="2851">
        <f t="shared" si="353"/>
        <v>1.6241708799999999</v>
      </c>
      <c r="FH207" s="2851">
        <f t="shared" si="353"/>
        <v>1.6241708799999999</v>
      </c>
      <c r="FI207" s="2851">
        <f t="shared" si="353"/>
        <v>1.6241708799999999</v>
      </c>
      <c r="FJ207" s="2851">
        <f>$AO207/4</f>
        <v>1.6241708799999999</v>
      </c>
      <c r="FK207" s="2842">
        <f t="shared" si="289"/>
        <v>0</v>
      </c>
      <c r="FL207" s="14"/>
    </row>
    <row r="208" spans="1:169">
      <c r="A208" s="61" t="s">
        <v>731</v>
      </c>
      <c r="B208" s="61"/>
      <c r="C208" s="61"/>
      <c r="D208" s="61"/>
      <c r="E208" s="170">
        <f>929.4/2</f>
        <v>464.7</v>
      </c>
      <c r="F208" s="61">
        <f>E208</f>
        <v>464.7</v>
      </c>
      <c r="G208" s="61"/>
      <c r="H208" s="61"/>
      <c r="I208" s="61"/>
      <c r="J208" s="61"/>
      <c r="K208" s="61">
        <f>-17.3/2</f>
        <v>-8.65</v>
      </c>
      <c r="L208" s="61">
        <f>K208</f>
        <v>-8.65</v>
      </c>
      <c r="M208" s="170">
        <f>42/2</f>
        <v>21</v>
      </c>
      <c r="N208" s="61">
        <f>+M208</f>
        <v>21</v>
      </c>
      <c r="O208" s="61">
        <f>N208</f>
        <v>21</v>
      </c>
      <c r="P208" s="170">
        <f>33.4/2</f>
        <v>16.7</v>
      </c>
      <c r="Q208" s="170"/>
      <c r="R208" s="170">
        <f>+P208</f>
        <v>16.7</v>
      </c>
      <c r="S208" s="61">
        <f>R208</f>
        <v>16.7</v>
      </c>
      <c r="T208" s="170">
        <f>11.1317837983801/2</f>
        <v>5.5658918991900501</v>
      </c>
      <c r="U208" s="170">
        <f>12.4999999999999/2</f>
        <v>6.2499999999999503</v>
      </c>
      <c r="V208" s="458"/>
      <c r="W208" s="61">
        <f>U208</f>
        <v>6.2499999999999503</v>
      </c>
      <c r="X208" s="61">
        <f>SUM(CJ208:CM208)</f>
        <v>4</v>
      </c>
      <c r="Y208" s="317">
        <f>T208</f>
        <v>5.5658918991900501</v>
      </c>
      <c r="Z208" s="317">
        <f>W208</f>
        <v>6.2499999999999503</v>
      </c>
      <c r="AA208" s="317">
        <f>X208</f>
        <v>4</v>
      </c>
      <c r="AB208" s="365">
        <f>SUM(CT208:CW208)</f>
        <v>4</v>
      </c>
      <c r="AC208" s="365">
        <f>+AB208</f>
        <v>4</v>
      </c>
      <c r="AD208" s="365">
        <f>+AC208</f>
        <v>4</v>
      </c>
      <c r="AE208" s="365">
        <f>+AD208</f>
        <v>4</v>
      </c>
      <c r="AF208" s="365">
        <f>+AE208</f>
        <v>4</v>
      </c>
      <c r="AG208" s="365">
        <f t="shared" ref="AG208:AM208" si="360">+AG209-AG207-AG206-AG205-AG204</f>
        <v>5.3000000000000114</v>
      </c>
      <c r="AH208" s="365">
        <f t="shared" si="360"/>
        <v>8.7999999999999829</v>
      </c>
      <c r="AI208" s="839">
        <f>+AI209-AI207-AI206-AI205-AI204</f>
        <v>11.279999999999994</v>
      </c>
      <c r="AJ208" s="1725">
        <f t="shared" si="360"/>
        <v>10.064</v>
      </c>
      <c r="AK208" s="1725">
        <f t="shared" si="360"/>
        <v>9.7712000000000003</v>
      </c>
      <c r="AL208" s="1725">
        <f t="shared" si="360"/>
        <v>9.016960000000001</v>
      </c>
      <c r="AM208" s="1725">
        <f t="shared" ca="1" si="360"/>
        <v>7.2135679999999986</v>
      </c>
      <c r="AN208" s="1464">
        <v>5</v>
      </c>
      <c r="AO208" s="1464">
        <v>5</v>
      </c>
      <c r="AP208" s="1464">
        <v>5</v>
      </c>
      <c r="AQ208" s="1464">
        <v>4</v>
      </c>
      <c r="AR208" s="1464">
        <v>3</v>
      </c>
      <c r="AS208" s="1464">
        <v>3</v>
      </c>
      <c r="AT208" s="1464">
        <v>2</v>
      </c>
      <c r="AU208" s="1464">
        <v>2</v>
      </c>
      <c r="AV208" s="1464">
        <v>2</v>
      </c>
      <c r="AW208" s="1464">
        <v>2</v>
      </c>
      <c r="AX208" s="1464">
        <v>2</v>
      </c>
      <c r="AY208" s="1464">
        <v>2</v>
      </c>
      <c r="AZ208" s="356"/>
      <c r="BA208" s="356"/>
      <c r="BB208" s="356"/>
      <c r="BC208" s="356"/>
      <c r="BD208" s="356"/>
      <c r="BE208" s="1574"/>
      <c r="BF208" s="61">
        <f>-13.6257787700884/2</f>
        <v>-6.8128893850442003</v>
      </c>
      <c r="BG208" s="61">
        <f>-1.22577877008843/2</f>
        <v>-0.61288938504421497</v>
      </c>
      <c r="BH208" s="61">
        <f>-1.22577877008848/2</f>
        <v>-0.61288938504423995</v>
      </c>
      <c r="BI208" s="61">
        <f>-1.22577877008848/2</f>
        <v>-0.61288938504423995</v>
      </c>
      <c r="BJ208" s="61"/>
      <c r="BK208" s="61">
        <f>16.2347499999997/2</f>
        <v>8.1173749999998499</v>
      </c>
      <c r="BL208" s="61">
        <f>17.6347500000001/2</f>
        <v>8.8173750000000499</v>
      </c>
      <c r="BM208" s="61">
        <f>9.63474999999988/2</f>
        <v>4.8173749999999398</v>
      </c>
      <c r="BN208" s="61">
        <f>-1.52875000000006/2</f>
        <v>-0.76437500000003</v>
      </c>
      <c r="BO208" s="61"/>
      <c r="BP208" s="61"/>
      <c r="BQ208" s="61"/>
      <c r="BR208" s="61"/>
      <c r="BS208" s="61"/>
      <c r="BT208" s="61"/>
      <c r="BU208" s="61">
        <f>+$R$208/4</f>
        <v>4.1749999999999998</v>
      </c>
      <c r="BV208" s="61">
        <f>+$R$208/4</f>
        <v>4.1749999999999998</v>
      </c>
      <c r="BW208" s="170">
        <f>25.8084583333333/2</f>
        <v>12.904229166666649</v>
      </c>
      <c r="BX208" s="61">
        <f>+P208-SUM(BU208:BW208)</f>
        <v>-4.5542291666666479</v>
      </c>
      <c r="BY208" s="256">
        <f>+R208-SUM(BU208:BX208)</f>
        <v>0</v>
      </c>
      <c r="BZ208" s="61">
        <f>+$T$208/4</f>
        <v>1.3914729747975125</v>
      </c>
      <c r="CA208" s="61">
        <f>+$T$208/4</f>
        <v>1.3914729747975125</v>
      </c>
      <c r="CB208" s="169">
        <f>CB209-SUM(CB204:CB206)</f>
        <v>6.6187499999999986</v>
      </c>
      <c r="CC208" s="169">
        <f>T208-SUM(BZ208:CB208)</f>
        <v>-3.8358040504049731</v>
      </c>
      <c r="CD208" s="451">
        <f>+T208-SUM(BZ208:CC208)</f>
        <v>0</v>
      </c>
      <c r="CE208" s="170">
        <f>3.30000000000005/2</f>
        <v>1.650000000000025</v>
      </c>
      <c r="CF208" s="170">
        <f>3.09999999999972/2</f>
        <v>1.5499999999998599</v>
      </c>
      <c r="CG208" s="170">
        <f>3.0999999999999/2</f>
        <v>1.5499999999999501</v>
      </c>
      <c r="CH208" s="170">
        <f>3.00000000000023/2</f>
        <v>1.500000000000115</v>
      </c>
      <c r="CI208" s="452"/>
      <c r="CJ208" s="170">
        <v>1</v>
      </c>
      <c r="CK208" s="170">
        <v>1</v>
      </c>
      <c r="CL208" s="170">
        <v>1</v>
      </c>
      <c r="CM208" s="170">
        <v>1</v>
      </c>
      <c r="CN208" s="95">
        <f t="shared" si="273"/>
        <v>0</v>
      </c>
      <c r="CO208" s="170">
        <v>1</v>
      </c>
      <c r="CP208" s="170">
        <v>1</v>
      </c>
      <c r="CQ208" s="170">
        <v>1</v>
      </c>
      <c r="CR208" s="170">
        <v>1</v>
      </c>
      <c r="CS208" s="49">
        <f t="shared" si="318"/>
        <v>0</v>
      </c>
      <c r="CT208" s="170">
        <v>1</v>
      </c>
      <c r="CU208" s="170">
        <v>1</v>
      </c>
      <c r="CV208" s="170">
        <v>1</v>
      </c>
      <c r="CW208" s="170">
        <v>1</v>
      </c>
      <c r="CX208" s="49">
        <f t="shared" si="320"/>
        <v>0</v>
      </c>
      <c r="CY208" s="317">
        <f t="shared" si="348"/>
        <v>1</v>
      </c>
      <c r="CZ208" s="317">
        <f t="shared" si="348"/>
        <v>1</v>
      </c>
      <c r="DA208" s="317">
        <f t="shared" si="348"/>
        <v>1</v>
      </c>
      <c r="DB208" s="317">
        <f t="shared" si="321"/>
        <v>1</v>
      </c>
      <c r="DC208" s="871">
        <f t="shared" si="322"/>
        <v>0</v>
      </c>
      <c r="DD208" s="317">
        <f t="shared" si="323"/>
        <v>1</v>
      </c>
      <c r="DE208" s="317">
        <f t="shared" si="323"/>
        <v>1</v>
      </c>
      <c r="DF208" s="317">
        <f t="shared" si="323"/>
        <v>1</v>
      </c>
      <c r="DG208" s="317">
        <f>AD208-SUM(DD208:DF208)</f>
        <v>1</v>
      </c>
      <c r="DH208" s="357">
        <f t="shared" si="324"/>
        <v>0</v>
      </c>
      <c r="DI208" s="317">
        <f t="shared" si="349"/>
        <v>1</v>
      </c>
      <c r="DJ208" s="317">
        <f t="shared" si="349"/>
        <v>1</v>
      </c>
      <c r="DK208" s="317">
        <f t="shared" si="349"/>
        <v>1</v>
      </c>
      <c r="DL208" s="317">
        <f>AE208-SUM(DI208:DK208)</f>
        <v>1</v>
      </c>
      <c r="DM208" s="357">
        <f t="shared" si="342"/>
        <v>0</v>
      </c>
      <c r="DN208" s="317">
        <f>$AF$208/4</f>
        <v>1</v>
      </c>
      <c r="DO208" s="317">
        <f>$AF$208/4</f>
        <v>1</v>
      </c>
      <c r="DP208" s="317">
        <f>$AF$208/4</f>
        <v>1</v>
      </c>
      <c r="DQ208" s="317">
        <f>$AF$208/4</f>
        <v>1</v>
      </c>
      <c r="DR208" s="871">
        <f t="shared" si="326"/>
        <v>0</v>
      </c>
      <c r="DS208" s="317">
        <f t="shared" si="343"/>
        <v>1.3250000000000028</v>
      </c>
      <c r="DT208" s="317">
        <f t="shared" si="327"/>
        <v>1.3250000000000028</v>
      </c>
      <c r="DU208" s="317">
        <f t="shared" si="327"/>
        <v>1.3250000000000028</v>
      </c>
      <c r="DV208" s="317">
        <f t="shared" si="327"/>
        <v>1.3250000000000028</v>
      </c>
      <c r="DW208" s="538">
        <f t="shared" si="328"/>
        <v>0</v>
      </c>
      <c r="DX208" s="317">
        <f t="shared" si="344"/>
        <v>2.1999999999999957</v>
      </c>
      <c r="DY208" s="317">
        <f t="shared" si="329"/>
        <v>2.1999999999999957</v>
      </c>
      <c r="DZ208" s="317">
        <f t="shared" si="329"/>
        <v>2.1999999999999957</v>
      </c>
      <c r="EA208" s="317">
        <f t="shared" si="329"/>
        <v>2.1999999999999957</v>
      </c>
      <c r="EB208" s="538">
        <f t="shared" si="330"/>
        <v>0</v>
      </c>
      <c r="EC208" s="317">
        <f t="shared" si="331"/>
        <v>2.8199999999999985</v>
      </c>
      <c r="ED208" s="317">
        <f t="shared" si="332"/>
        <v>2.8199999999999985</v>
      </c>
      <c r="EE208" s="317">
        <f t="shared" si="332"/>
        <v>2.8199999999999985</v>
      </c>
      <c r="EF208" s="317">
        <f t="shared" si="332"/>
        <v>2.8199999999999985</v>
      </c>
      <c r="EG208" s="538">
        <f t="shared" si="333"/>
        <v>0</v>
      </c>
      <c r="EH208" s="317">
        <f t="shared" si="334"/>
        <v>2.516</v>
      </c>
      <c r="EI208" s="317">
        <f t="shared" si="335"/>
        <v>2.516</v>
      </c>
      <c r="EJ208" s="317">
        <f t="shared" si="335"/>
        <v>2.516</v>
      </c>
      <c r="EK208" s="317">
        <f t="shared" si="335"/>
        <v>2.516</v>
      </c>
      <c r="EL208" s="538">
        <f t="shared" si="336"/>
        <v>0</v>
      </c>
      <c r="EM208" s="1458">
        <f t="shared" si="337"/>
        <v>2.4428000000000001</v>
      </c>
      <c r="EN208" s="1458">
        <f>$AK208/4</f>
        <v>2.4428000000000001</v>
      </c>
      <c r="EO208" s="1458">
        <f t="shared" si="338"/>
        <v>2.4428000000000001</v>
      </c>
      <c r="EP208" s="1458">
        <f t="shared" si="338"/>
        <v>2.4428000000000001</v>
      </c>
      <c r="EQ208" s="2026">
        <f t="shared" si="339"/>
        <v>0</v>
      </c>
      <c r="ER208" s="1458">
        <f>$AL208/4</f>
        <v>2.2542400000000002</v>
      </c>
      <c r="ES208" s="1458">
        <f>$AL208/4</f>
        <v>2.2542400000000002</v>
      </c>
      <c r="ET208" s="1458">
        <f>$AL208/4</f>
        <v>2.2542400000000002</v>
      </c>
      <c r="EU208" s="1458">
        <f>$AL208/4</f>
        <v>2.2542400000000002</v>
      </c>
      <c r="EV208" s="2026">
        <f t="shared" si="340"/>
        <v>0</v>
      </c>
      <c r="EW208" s="1458">
        <f ca="1">$AM208/4</f>
        <v>1.8033919999999997</v>
      </c>
      <c r="EX208" s="1458">
        <f ca="1">$AM208/4</f>
        <v>1.8033919999999997</v>
      </c>
      <c r="EY208" s="2871">
        <f ca="1">$AM208/4</f>
        <v>1.8033919999999997</v>
      </c>
      <c r="EZ208" s="2871">
        <f ca="1">$AM208/4</f>
        <v>1.8033919999999997</v>
      </c>
      <c r="FA208" s="2842">
        <f t="shared" ca="1" si="341"/>
        <v>0</v>
      </c>
      <c r="FB208" s="2871">
        <f t="shared" si="352"/>
        <v>1.25</v>
      </c>
      <c r="FC208" s="2871">
        <f t="shared" si="352"/>
        <v>1.25</v>
      </c>
      <c r="FD208" s="2871">
        <f t="shared" si="352"/>
        <v>1.25</v>
      </c>
      <c r="FE208" s="2871">
        <f>$AN208/4</f>
        <v>1.25</v>
      </c>
      <c r="FF208" s="3273"/>
      <c r="FG208" s="2871">
        <f t="shared" si="353"/>
        <v>1.25</v>
      </c>
      <c r="FH208" s="2871">
        <f t="shared" si="353"/>
        <v>1.25</v>
      </c>
      <c r="FI208" s="2871">
        <f t="shared" si="353"/>
        <v>1.25</v>
      </c>
      <c r="FJ208" s="2871">
        <f>$AO208/4</f>
        <v>1.25</v>
      </c>
      <c r="FK208" s="2842">
        <f t="shared" si="289"/>
        <v>0</v>
      </c>
      <c r="FL208" s="1172" t="s">
        <v>1237</v>
      </c>
    </row>
    <row r="209" spans="1:169">
      <c r="A209" s="14" t="s">
        <v>732</v>
      </c>
      <c r="B209" s="14"/>
      <c r="C209" s="14"/>
      <c r="D209" s="14"/>
      <c r="E209" s="14">
        <f>SUM(E203:E208)</f>
        <v>1399.2894176808263</v>
      </c>
      <c r="F209" s="14">
        <f>SUM(F203:F208)</f>
        <v>1407.2894176808263</v>
      </c>
      <c r="G209" s="14"/>
      <c r="H209" s="14"/>
      <c r="I209" s="14"/>
      <c r="J209" s="14"/>
      <c r="K209" s="14">
        <f t="shared" ref="K209:P209" si="361">SUM(K203:K208)</f>
        <v>1525.9394176808262</v>
      </c>
      <c r="L209" s="14">
        <f t="shared" si="361"/>
        <v>1533.9394176808262</v>
      </c>
      <c r="M209" s="14">
        <f t="shared" si="361"/>
        <v>1509.7249999999999</v>
      </c>
      <c r="N209" s="14">
        <f t="shared" si="361"/>
        <v>1775.9</v>
      </c>
      <c r="O209" s="14">
        <f t="shared" si="361"/>
        <v>1783.9</v>
      </c>
      <c r="P209" s="14">
        <f t="shared" si="361"/>
        <v>1634.3666666666668</v>
      </c>
      <c r="Q209" s="14">
        <f>+SUM(Q203:Q208)</f>
        <v>32.333333333333258</v>
      </c>
      <c r="R209" s="14">
        <f>SUM(R204:R208)</f>
        <v>1666.7</v>
      </c>
      <c r="S209" s="14">
        <f>SUM(S204:S208)</f>
        <v>1674.7</v>
      </c>
      <c r="T209" s="14">
        <f>SUM(T204:T208)</f>
        <v>79.090891899190055</v>
      </c>
      <c r="U209" s="14">
        <f>SUM(U204:U208)</f>
        <v>79.774999999999949</v>
      </c>
      <c r="V209" s="14"/>
      <c r="W209" s="14">
        <f t="shared" ref="W209:AF209" si="362">SUM(W204:W208)</f>
        <v>79.774999999999949</v>
      </c>
      <c r="X209" s="14">
        <f t="shared" si="362"/>
        <v>77.525000000000006</v>
      </c>
      <c r="Y209" s="14">
        <f t="shared" si="362"/>
        <v>87.090891899190055</v>
      </c>
      <c r="Z209" s="14">
        <f t="shared" si="362"/>
        <v>87.774999999999949</v>
      </c>
      <c r="AA209" s="14">
        <f t="shared" si="362"/>
        <v>84.025000000000006</v>
      </c>
      <c r="AB209" s="14">
        <f t="shared" si="362"/>
        <v>95.855500000000006</v>
      </c>
      <c r="AC209" s="14">
        <f t="shared" si="362"/>
        <v>87.3</v>
      </c>
      <c r="AD209" s="14">
        <f t="shared" si="362"/>
        <v>85.5</v>
      </c>
      <c r="AE209" s="14">
        <f t="shared" si="362"/>
        <v>105.5</v>
      </c>
      <c r="AF209" s="14">
        <f t="shared" si="362"/>
        <v>130</v>
      </c>
      <c r="AG209" s="14">
        <v>130</v>
      </c>
      <c r="AH209" s="77">
        <v>121</v>
      </c>
      <c r="AI209" s="1437">
        <f>106</f>
        <v>106</v>
      </c>
      <c r="AJ209" s="1437">
        <f>100</f>
        <v>100</v>
      </c>
      <c r="AK209" s="1437">
        <v>32</v>
      </c>
      <c r="AL209" s="1437">
        <v>24</v>
      </c>
      <c r="AM209" s="1437">
        <v>20</v>
      </c>
      <c r="AN209" s="1437">
        <v>19</v>
      </c>
      <c r="AO209" s="1437">
        <v>18</v>
      </c>
      <c r="AP209" s="1437">
        <v>18</v>
      </c>
      <c r="AQ209" s="1437">
        <v>15</v>
      </c>
      <c r="AR209" s="1437">
        <v>13</v>
      </c>
      <c r="AS209" s="1357">
        <f t="shared" ref="AS209:AW209" si="363">+SUM(AS204:AS208)</f>
        <v>12.948460392447998</v>
      </c>
      <c r="AT209" s="1357">
        <f t="shared" si="363"/>
        <v>10.9072287064064</v>
      </c>
      <c r="AU209" s="1357">
        <f t="shared" si="363"/>
        <v>10.874243357573119</v>
      </c>
      <c r="AV209" s="1357">
        <f t="shared" si="363"/>
        <v>10.847855078506495</v>
      </c>
      <c r="AW209" s="1357">
        <f t="shared" si="363"/>
        <v>10.826744455253197</v>
      </c>
      <c r="AX209" s="1357">
        <f>+SUM(AX204:AX208)</f>
        <v>10.809855956650557</v>
      </c>
      <c r="AY209" s="1357">
        <f>+SUM(AY204:AY208)</f>
        <v>10.796345157768446</v>
      </c>
      <c r="AZ209" s="354"/>
      <c r="BA209" s="354"/>
      <c r="BB209" s="354"/>
      <c r="BC209" s="354"/>
      <c r="BD209" s="354"/>
      <c r="BE209" s="354"/>
      <c r="BF209" s="14">
        <f>SUM(BF204:BF208)</f>
        <v>373.28446503516244</v>
      </c>
      <c r="BG209" s="14">
        <f>SUM(BG204:BG208)</f>
        <v>383.08446503516245</v>
      </c>
      <c r="BH209" s="14">
        <f>SUM(BH204:BH208)</f>
        <v>384.78446503516221</v>
      </c>
      <c r="BI209" s="14">
        <f>SUM(BI204:BI208)</f>
        <v>384.78446503516221</v>
      </c>
      <c r="BJ209" s="14"/>
      <c r="BK209" s="14">
        <f>SUM(BK204:BK208)</f>
        <v>358.11737499999987</v>
      </c>
      <c r="BL209" s="14">
        <f>SUM(BL204:BL208)</f>
        <v>358.81737500000003</v>
      </c>
      <c r="BM209" s="14">
        <f>SUM(BM204:BM208)</f>
        <v>354.81737499999991</v>
      </c>
      <c r="BN209" s="14">
        <f>SUM(BN204:BN208)</f>
        <v>437.96062499999999</v>
      </c>
      <c r="BO209" s="14"/>
      <c r="BP209" s="14"/>
      <c r="BQ209" s="14"/>
      <c r="BR209" s="14"/>
      <c r="BS209" s="14"/>
      <c r="BT209" s="14"/>
      <c r="BU209" s="14">
        <f>SUM(BU204:BU208)</f>
        <v>408.5916666666667</v>
      </c>
      <c r="BV209" s="14">
        <f>SUM(BV204:BV208)</f>
        <v>408.5916666666667</v>
      </c>
      <c r="BW209" s="14">
        <f>SUM(BW204:BW208)</f>
        <v>417.32089583333334</v>
      </c>
      <c r="BX209" s="14">
        <f>SUM(BX204:BX208)</f>
        <v>399.86243750000011</v>
      </c>
      <c r="BY209" s="95">
        <f>+R209-SUM(BU209:BX209)</f>
        <v>32.33333333333303</v>
      </c>
      <c r="BZ209" s="14">
        <f>SUM(BZ204:BZ208)</f>
        <v>19.772722974797514</v>
      </c>
      <c r="CA209" s="14">
        <f>SUM(CA204:CA208)</f>
        <v>19.772722974797514</v>
      </c>
      <c r="CB209" s="77">
        <v>25</v>
      </c>
      <c r="CC209" s="14">
        <f>SUM(CC204:CC208)</f>
        <v>14.545445949595027</v>
      </c>
      <c r="CD209" s="377">
        <f>+T209-SUM(BZ209:CC209)</f>
        <v>0</v>
      </c>
      <c r="CE209" s="14">
        <f>SUM(CE204:CE208)</f>
        <v>20.031250000000025</v>
      </c>
      <c r="CF209" s="14">
        <f>SUM(CF204:CF208)</f>
        <v>19.93124999999986</v>
      </c>
      <c r="CG209" s="14">
        <f>SUM(CG204:CG208)</f>
        <v>19.931249999999952</v>
      </c>
      <c r="CH209" s="14">
        <f>SUM(CH204:CH208)</f>
        <v>19.881250000000115</v>
      </c>
      <c r="CI209" s="53"/>
      <c r="CJ209" s="14">
        <f>SUM(CJ204:CJ208)</f>
        <v>19.381250000000001</v>
      </c>
      <c r="CK209" s="14">
        <f>SUM(CK204:CK208)</f>
        <v>19.381250000000001</v>
      </c>
      <c r="CL209" s="14">
        <f>SUM(CL204:CL208)</f>
        <v>19.381250000000001</v>
      </c>
      <c r="CM209" s="14">
        <f>SUM(CM204:CM208)</f>
        <v>19.381250000000001</v>
      </c>
      <c r="CN209" s="95">
        <f t="shared" si="273"/>
        <v>0</v>
      </c>
      <c r="CO209" s="14">
        <f>SUM(CO204:CO208)</f>
        <v>21.381250000000001</v>
      </c>
      <c r="CP209" s="14">
        <f>SUM(CP204:CP208)</f>
        <v>21.381250000000001</v>
      </c>
      <c r="CQ209" s="14">
        <f>SUM(CQ204:CQ208)</f>
        <v>21.381250000000001</v>
      </c>
      <c r="CR209" s="14">
        <f>SUM(CR204:CR208)</f>
        <v>19.881250000000001</v>
      </c>
      <c r="CS209" s="49">
        <f t="shared" si="318"/>
        <v>0</v>
      </c>
      <c r="CT209" s="14">
        <f>SUM(CT204:CT208)</f>
        <v>22.188875000000003</v>
      </c>
      <c r="CU209" s="14">
        <f>SUM(CU204:CU208)</f>
        <v>23</v>
      </c>
      <c r="CV209" s="14">
        <f>SUM(CV204:CV208)</f>
        <v>23.963875000000002</v>
      </c>
      <c r="CW209" s="14">
        <f>SUM(CW204:CW208)</f>
        <v>26.702750000000002</v>
      </c>
      <c r="CX209" s="49">
        <f t="shared" si="320"/>
        <v>0</v>
      </c>
      <c r="CY209" s="14">
        <f>SUM(CY204:CY208)</f>
        <v>21.024999999999999</v>
      </c>
      <c r="CZ209" s="14">
        <f>SUM(CZ204:CZ208)</f>
        <v>20.824999999999999</v>
      </c>
      <c r="DA209" s="14">
        <f>SUM(DA204:DA208)</f>
        <v>22.824999999999999</v>
      </c>
      <c r="DB209" s="14">
        <f>SUM(DB204:DB208)</f>
        <v>22.624999999999993</v>
      </c>
      <c r="DC209" s="871">
        <f t="shared" si="322"/>
        <v>0</v>
      </c>
      <c r="DD209" s="14">
        <f>SUM(DD204:DD208)</f>
        <v>21.375</v>
      </c>
      <c r="DE209" s="14">
        <f>SUM(DE204:DE208)</f>
        <v>21.375</v>
      </c>
      <c r="DF209" s="14">
        <f>SUM(DF204:DF208)</f>
        <v>21.375</v>
      </c>
      <c r="DG209" s="14">
        <f>SUM(DG204:DG208)</f>
        <v>21.375</v>
      </c>
      <c r="DH209" s="357">
        <f t="shared" si="324"/>
        <v>0</v>
      </c>
      <c r="DI209" s="14">
        <f>SUM(DI204:DI208)</f>
        <v>19.875</v>
      </c>
      <c r="DJ209" s="14">
        <f>SUM(DJ204:DJ208)</f>
        <v>19.875</v>
      </c>
      <c r="DK209" s="14">
        <f>SUM(DK204:DK208)</f>
        <v>32.875</v>
      </c>
      <c r="DL209" s="14">
        <f>SUM(DL204:DL208)</f>
        <v>32.875</v>
      </c>
      <c r="DM209" s="357">
        <f t="shared" si="342"/>
        <v>0</v>
      </c>
      <c r="DN209" s="14">
        <f>SUM(DN204:DN208)</f>
        <v>32.5</v>
      </c>
      <c r="DO209" s="14">
        <f>SUM(DO204:DO208)</f>
        <v>32.5</v>
      </c>
      <c r="DP209" s="14">
        <f>SUM(DP204:DP208)</f>
        <v>32.5</v>
      </c>
      <c r="DQ209" s="14">
        <f>SUM(DQ204:DQ208)</f>
        <v>32.5</v>
      </c>
      <c r="DR209" s="871">
        <f t="shared" si="326"/>
        <v>0</v>
      </c>
      <c r="DS209" s="14">
        <f>SUM(DS204:DS208)</f>
        <v>32.5</v>
      </c>
      <c r="DT209" s="14">
        <f>SUM(DT204:DT208)</f>
        <v>32.5</v>
      </c>
      <c r="DU209" s="14">
        <f>SUM(DU204:DU208)</f>
        <v>32.5</v>
      </c>
      <c r="DV209" s="14">
        <f>SUM(DV204:DV208)</f>
        <v>32.5</v>
      </c>
      <c r="DW209" s="538">
        <f t="shared" si="328"/>
        <v>0</v>
      </c>
      <c r="DX209" s="14">
        <f>SUM(DX204:DX208)</f>
        <v>30.25</v>
      </c>
      <c r="DY209" s="14">
        <f>SUM(DY204:DY208)</f>
        <v>30.25</v>
      </c>
      <c r="DZ209" s="14">
        <f>SUM(DZ204:DZ208)</f>
        <v>30.25</v>
      </c>
      <c r="EA209" s="14">
        <f>SUM(EA204:EA208)</f>
        <v>30.25</v>
      </c>
      <c r="EB209" s="538">
        <f t="shared" si="330"/>
        <v>0</v>
      </c>
      <c r="EC209" s="14">
        <f>SUM(EC204:EC208)</f>
        <v>26.450000000000003</v>
      </c>
      <c r="ED209" s="14">
        <f>SUM(ED204:ED208)</f>
        <v>26.449999999999996</v>
      </c>
      <c r="EE209" s="14">
        <f>SUM(EE204:EE208)</f>
        <v>26.450000000000003</v>
      </c>
      <c r="EF209" s="14">
        <f>SUM(EF204:EF208)</f>
        <v>26.649999999999991</v>
      </c>
      <c r="EG209" s="538">
        <f t="shared" si="333"/>
        <v>0</v>
      </c>
      <c r="EH209" s="14">
        <f>SUM(EH204:EH208)</f>
        <v>25</v>
      </c>
      <c r="EI209" s="14">
        <f>SUM(EI204:EI208)</f>
        <v>24.900000000000006</v>
      </c>
      <c r="EJ209" s="14">
        <f>SUM(EJ204:EJ208)</f>
        <v>25.300000000000004</v>
      </c>
      <c r="EK209" s="14">
        <f>SUM(EK204:EK208)</f>
        <v>24.799999999999997</v>
      </c>
      <c r="EL209" s="538">
        <f t="shared" si="336"/>
        <v>0</v>
      </c>
      <c r="EM209" s="1465">
        <f>SUM(EM204:EM208)</f>
        <v>8</v>
      </c>
      <c r="EN209" s="1465">
        <f>SUM(EN204:EN208)</f>
        <v>8</v>
      </c>
      <c r="EO209" s="1465">
        <f>SUM(EO204:EO208)</f>
        <v>8</v>
      </c>
      <c r="EP209" s="1465">
        <f>SUM(EP204:EP208)</f>
        <v>8</v>
      </c>
      <c r="EQ209" s="2026">
        <f t="shared" si="339"/>
        <v>0</v>
      </c>
      <c r="ER209" s="1465">
        <f>SUM(ER204:ER208)</f>
        <v>6</v>
      </c>
      <c r="ES209" s="1465">
        <f>SUM(ES204:ES208)</f>
        <v>6</v>
      </c>
      <c r="ET209" s="1465">
        <f>SUM(ET204:ET208)</f>
        <v>6</v>
      </c>
      <c r="EU209" s="1465">
        <f>SUM(EU204:EU208)</f>
        <v>6</v>
      </c>
      <c r="EV209" s="2026">
        <f t="shared" si="340"/>
        <v>0</v>
      </c>
      <c r="EW209" s="1465">
        <f ca="1">SUM(EW204:EW208)</f>
        <v>5</v>
      </c>
      <c r="EX209" s="1465">
        <f ca="1">SUM(EX204:EX208)</f>
        <v>5</v>
      </c>
      <c r="EY209" s="2851">
        <f ca="1">SUM(EY204:EY208)</f>
        <v>5</v>
      </c>
      <c r="EZ209" s="2851">
        <f ca="1">SUM(EZ204:EZ208)</f>
        <v>5</v>
      </c>
      <c r="FA209" s="2842">
        <f t="shared" ca="1" si="341"/>
        <v>0</v>
      </c>
      <c r="FB209" s="2851">
        <f>SUM(FB204:FB208)</f>
        <v>4.75</v>
      </c>
      <c r="FC209" s="2851">
        <f>SUM(FC204:FC208)</f>
        <v>4.75</v>
      </c>
      <c r="FD209" s="2851">
        <f>SUM(FD204:FD208)</f>
        <v>4.75</v>
      </c>
      <c r="FE209" s="2851">
        <f>SUM(FE204:FE208)</f>
        <v>4.75</v>
      </c>
      <c r="FF209" s="2851"/>
      <c r="FG209" s="2851">
        <f t="shared" ref="FG209:FI209" si="364">SUM(FG204:FG208)</f>
        <v>4.5</v>
      </c>
      <c r="FH209" s="2851">
        <f t="shared" si="364"/>
        <v>4.5</v>
      </c>
      <c r="FI209" s="2851">
        <f t="shared" si="364"/>
        <v>4.5</v>
      </c>
      <c r="FJ209" s="2851">
        <f>SUM(FJ204:FJ208)</f>
        <v>4.5</v>
      </c>
      <c r="FK209" s="2842">
        <f t="shared" si="289"/>
        <v>0</v>
      </c>
      <c r="FL209" s="14"/>
    </row>
    <row r="210" spans="1:169">
      <c r="A210" s="352"/>
      <c r="B210" s="352"/>
      <c r="C210" s="352"/>
      <c r="D210" s="352"/>
      <c r="E210" s="352"/>
      <c r="F210" s="352"/>
      <c r="G210" s="14"/>
      <c r="H210" s="14"/>
      <c r="I210" s="14"/>
      <c r="J210" s="352"/>
      <c r="K210" s="14"/>
      <c r="L210" s="352"/>
      <c r="M210" s="352"/>
      <c r="N210" s="14"/>
      <c r="O210" s="352"/>
      <c r="P210" s="352"/>
      <c r="Q210" s="14"/>
      <c r="R210" s="14"/>
      <c r="S210" s="352"/>
      <c r="T210" s="14"/>
      <c r="U210" s="14"/>
      <c r="V210" s="14"/>
      <c r="W210" s="14"/>
      <c r="X210" s="14"/>
      <c r="Y210" s="352"/>
      <c r="Z210" s="352"/>
      <c r="AA210" s="352"/>
      <c r="AB210" s="14"/>
      <c r="AC210" s="14"/>
      <c r="AD210" s="14"/>
      <c r="AE210" s="14"/>
      <c r="AF210" s="14"/>
      <c r="AG210" s="14"/>
      <c r="AH210" s="14"/>
      <c r="AI210" s="14"/>
      <c r="AJ210" s="1357"/>
      <c r="AK210" s="1357"/>
      <c r="AL210" s="1357"/>
      <c r="AM210" s="1357"/>
      <c r="AN210" s="1357"/>
      <c r="AO210" s="1357"/>
      <c r="AP210" s="1357"/>
      <c r="AQ210" s="1357"/>
      <c r="AR210" s="1357"/>
      <c r="AS210" s="1357"/>
      <c r="AT210" s="1357"/>
      <c r="AU210" s="1357"/>
      <c r="AV210" s="1357"/>
      <c r="AW210" s="1357"/>
      <c r="AX210" s="1357"/>
      <c r="AY210" s="354"/>
      <c r="AZ210" s="354"/>
      <c r="BA210" s="354"/>
      <c r="BB210" s="354"/>
      <c r="BC210" s="354"/>
      <c r="BD210" s="354"/>
      <c r="BE210" s="354"/>
      <c r="BF210" s="14"/>
      <c r="BG210" s="14"/>
      <c r="BH210" s="14"/>
      <c r="BI210" s="14"/>
      <c r="BJ210" s="14"/>
      <c r="BK210" s="14"/>
      <c r="BL210" s="14"/>
      <c r="BM210" s="14"/>
      <c r="BN210" s="14"/>
      <c r="BO210" s="14"/>
      <c r="BP210" s="14"/>
      <c r="BQ210" s="14"/>
      <c r="BR210" s="14"/>
      <c r="BS210" s="14"/>
      <c r="BT210" s="14"/>
      <c r="BU210" s="14"/>
      <c r="BV210" s="14"/>
      <c r="BW210" s="14"/>
      <c r="BX210" s="14"/>
      <c r="BY210" s="95"/>
      <c r="BZ210" s="14"/>
      <c r="CA210" s="14"/>
      <c r="CB210" s="14"/>
      <c r="CC210" s="14"/>
      <c r="CD210" s="377"/>
      <c r="CE210" s="14"/>
      <c r="CF210" s="14"/>
      <c r="CG210" s="14"/>
      <c r="CH210" s="14"/>
      <c r="CI210" s="53"/>
      <c r="CJ210" s="77"/>
      <c r="CK210" s="77"/>
      <c r="CL210" s="77"/>
      <c r="CM210" s="14"/>
      <c r="CN210" s="95"/>
      <c r="CO210" s="77"/>
      <c r="CP210" s="77"/>
      <c r="CQ210" s="77"/>
      <c r="CR210" s="14"/>
      <c r="CS210" s="49"/>
      <c r="CT210" s="77"/>
      <c r="CU210" s="77"/>
      <c r="CV210" s="14"/>
      <c r="CW210" s="14"/>
      <c r="CX210" s="49"/>
      <c r="CY210" s="352"/>
      <c r="CZ210" s="352"/>
      <c r="DA210" s="352"/>
      <c r="DB210" s="352"/>
      <c r="DC210" s="14"/>
      <c r="DD210" s="352"/>
      <c r="DE210" s="352"/>
      <c r="DF210" s="352"/>
      <c r="DG210" s="352"/>
      <c r="DH210" s="352"/>
      <c r="DI210" s="352"/>
      <c r="DJ210" s="352"/>
      <c r="DK210" s="352"/>
      <c r="DL210" s="352"/>
      <c r="DM210" s="352"/>
      <c r="DN210" s="14"/>
      <c r="DO210" s="14"/>
      <c r="DP210" s="14"/>
      <c r="DQ210" s="14"/>
      <c r="DR210" s="14"/>
      <c r="DU210" s="1089"/>
      <c r="DX210" s="906"/>
      <c r="DY210" s="906"/>
      <c r="DZ210" s="906"/>
      <c r="EA210" s="906"/>
      <c r="EB210" s="906"/>
      <c r="EC210" s="1048"/>
      <c r="ED210" s="1048"/>
      <c r="EE210" s="1048"/>
      <c r="EF210" s="1048"/>
      <c r="EH210" s="1048"/>
      <c r="EI210" s="1048"/>
      <c r="EJ210" s="1048"/>
      <c r="EK210" s="1048"/>
      <c r="EM210" s="1577"/>
      <c r="EN210" s="1577"/>
      <c r="EO210" s="1577"/>
      <c r="EP210" s="1577"/>
      <c r="EQ210" s="1577"/>
      <c r="ER210" s="1577"/>
      <c r="ES210" s="1577"/>
      <c r="ET210" s="1577"/>
      <c r="EU210" s="1577"/>
      <c r="EV210" s="1577"/>
      <c r="EW210" s="1577"/>
      <c r="EX210" s="1577"/>
      <c r="EY210" s="2807"/>
      <c r="EZ210" s="2807"/>
      <c r="FA210" s="2807"/>
      <c r="FB210" s="2807"/>
      <c r="FC210" s="2807"/>
      <c r="FD210" s="2807"/>
      <c r="FE210" s="2807"/>
      <c r="FF210" s="2807"/>
      <c r="FG210" s="2807"/>
      <c r="FH210" s="2807"/>
      <c r="FI210" s="2807"/>
      <c r="FJ210" s="2807"/>
      <c r="FK210" s="2807"/>
      <c r="FL210" s="2807"/>
    </row>
    <row r="211" spans="1:169">
      <c r="A211" s="14" t="s">
        <v>687</v>
      </c>
      <c r="B211" s="77"/>
      <c r="C211" s="77"/>
      <c r="D211" s="77"/>
      <c r="E211" s="14">
        <f>E209+E199</f>
        <v>1586.4894176808264</v>
      </c>
      <c r="F211" s="14">
        <f>F209+F199</f>
        <v>1649.9494652772091</v>
      </c>
      <c r="G211" s="77"/>
      <c r="H211" s="14"/>
      <c r="I211" s="77"/>
      <c r="J211" s="77"/>
      <c r="K211" s="14">
        <f t="shared" ref="K211:P211" si="365">K209+K199</f>
        <v>1739.7531150803534</v>
      </c>
      <c r="L211" s="14">
        <f t="shared" si="365"/>
        <v>1804.0964277885876</v>
      </c>
      <c r="M211" s="14">
        <f t="shared" si="365"/>
        <v>1797.8359999999998</v>
      </c>
      <c r="N211" s="14">
        <f t="shared" si="365"/>
        <v>2086.7310000000002</v>
      </c>
      <c r="O211" s="14">
        <f t="shared" si="365"/>
        <v>2150.9661449916616</v>
      </c>
      <c r="P211" s="14">
        <f t="shared" si="365"/>
        <v>2004.1900219065672</v>
      </c>
      <c r="Q211" s="14">
        <f>+R211-P211</f>
        <v>32.333333333333258</v>
      </c>
      <c r="R211" s="14">
        <f>+R199+R209</f>
        <v>2036.5233552399004</v>
      </c>
      <c r="S211" s="14">
        <f>S209+S199</f>
        <v>2102.9024424647992</v>
      </c>
      <c r="T211" s="14">
        <f>+T199+T209</f>
        <v>388.76589189919008</v>
      </c>
      <c r="U211" s="14">
        <f>+U199+U209</f>
        <v>405.65</v>
      </c>
      <c r="V211" s="14"/>
      <c r="W211" s="14">
        <f t="shared" ref="W211:AL211" si="366">+W199+W209</f>
        <v>405.65</v>
      </c>
      <c r="X211" s="14">
        <f t="shared" si="366"/>
        <v>413.35</v>
      </c>
      <c r="Y211" s="14">
        <f t="shared" si="366"/>
        <v>480.8</v>
      </c>
      <c r="Z211" s="14">
        <f t="shared" si="366"/>
        <v>501.70000000000005</v>
      </c>
      <c r="AA211" s="14">
        <f t="shared" si="366"/>
        <v>508.6</v>
      </c>
      <c r="AB211" s="14">
        <f t="shared" si="366"/>
        <v>498.69999999999993</v>
      </c>
      <c r="AC211" s="14">
        <f t="shared" si="366"/>
        <v>439.5</v>
      </c>
      <c r="AD211" s="14">
        <f t="shared" si="366"/>
        <v>468.1</v>
      </c>
      <c r="AE211" s="14">
        <f t="shared" si="366"/>
        <v>529.5</v>
      </c>
      <c r="AF211" s="14">
        <f t="shared" si="366"/>
        <v>582.29999999999995</v>
      </c>
      <c r="AG211" s="14">
        <f t="shared" si="366"/>
        <v>562.29999999999995</v>
      </c>
      <c r="AH211" s="14">
        <f t="shared" si="366"/>
        <v>495</v>
      </c>
      <c r="AI211" s="14">
        <f>+AI199+AI209</f>
        <v>475.00000000000006</v>
      </c>
      <c r="AJ211" s="1357">
        <f t="shared" si="366"/>
        <v>456.99999999999994</v>
      </c>
      <c r="AK211" s="1357">
        <f>+AK199+AK209</f>
        <v>281</v>
      </c>
      <c r="AL211" s="1357">
        <f t="shared" si="366"/>
        <v>264</v>
      </c>
      <c r="AM211" s="1357">
        <f ca="1">+AM199+AM209</f>
        <v>250.29999999999998</v>
      </c>
      <c r="AN211" s="1357">
        <f t="shared" ref="AN211:AS211" ca="1" si="367">+AN199+AN209</f>
        <v>221.61333088960859</v>
      </c>
      <c r="AO211" s="1357">
        <f t="shared" ca="1" si="367"/>
        <v>218.27992019075563</v>
      </c>
      <c r="AP211" s="1357">
        <f t="shared" ca="1" si="367"/>
        <v>215.09204101470459</v>
      </c>
      <c r="AQ211" s="1357">
        <f t="shared" ca="1" si="367"/>
        <v>214.26967908155282</v>
      </c>
      <c r="AR211" s="1357">
        <f t="shared" ca="1" si="367"/>
        <v>218.65191982508858</v>
      </c>
      <c r="AS211" s="1357">
        <f t="shared" ca="1" si="367"/>
        <v>229.15451647805304</v>
      </c>
      <c r="AT211" s="1357">
        <f t="shared" ref="AT211:AY211" ca="1" si="368">+AT199+AT209</f>
        <v>225.46469032280584</v>
      </c>
      <c r="AU211" s="1357">
        <f t="shared" ca="1" si="368"/>
        <v>230.11344206235563</v>
      </c>
      <c r="AV211" s="1357">
        <f t="shared" ca="1" si="368"/>
        <v>239.16155232931808</v>
      </c>
      <c r="AW211" s="1357">
        <f t="shared" ca="1" si="368"/>
        <v>236.66294177716603</v>
      </c>
      <c r="AX211" s="1357">
        <f t="shared" ca="1" si="368"/>
        <v>239.74130354124409</v>
      </c>
      <c r="AY211" s="1357">
        <f t="shared" ca="1" si="368"/>
        <v>251.49023514466867</v>
      </c>
      <c r="AZ211" s="354"/>
      <c r="BA211" s="354"/>
      <c r="BB211" s="354"/>
      <c r="BC211" s="354"/>
      <c r="BD211" s="354"/>
      <c r="BE211" s="354"/>
      <c r="BF211" s="14">
        <f>BF209+BF199</f>
        <v>426.73788938504424</v>
      </c>
      <c r="BG211" s="14">
        <f t="shared" ref="BG211:BN211" si="369">BG209+BG199</f>
        <v>436.53788938504425</v>
      </c>
      <c r="BH211" s="14">
        <f t="shared" si="369"/>
        <v>438.23788938504401</v>
      </c>
      <c r="BI211" s="14">
        <f t="shared" si="369"/>
        <v>438.23788938504401</v>
      </c>
      <c r="BJ211" s="14"/>
      <c r="BK211" s="14">
        <f t="shared" si="369"/>
        <v>425.83262499999989</v>
      </c>
      <c r="BL211" s="14">
        <f t="shared" si="369"/>
        <v>434.03262500000005</v>
      </c>
      <c r="BM211" s="14">
        <f t="shared" si="369"/>
        <v>430.03262499999994</v>
      </c>
      <c r="BN211" s="14">
        <f t="shared" si="369"/>
        <v>507.92587500000002</v>
      </c>
      <c r="BO211" s="14"/>
      <c r="BP211" s="14"/>
      <c r="BQ211" s="14"/>
      <c r="BR211" s="14"/>
      <c r="BS211" s="14"/>
      <c r="BT211" s="14"/>
      <c r="BU211" s="14">
        <f>+BU199+BU209</f>
        <v>474.49750547664195</v>
      </c>
      <c r="BV211" s="14">
        <f>+BV199+BV209</f>
        <v>505.19750547664199</v>
      </c>
      <c r="BW211" s="14">
        <f>+BW199+BW209</f>
        <v>503.77673464330854</v>
      </c>
      <c r="BX211" s="14">
        <f>+BX199+BX209</f>
        <v>520.71827630997473</v>
      </c>
      <c r="BY211" s="95">
        <f>+R211-SUM(BU211:BX211)</f>
        <v>32.333333333333258</v>
      </c>
      <c r="BZ211" s="14">
        <f>+BZ199+BZ209</f>
        <v>96.83584484979751</v>
      </c>
      <c r="CA211" s="14">
        <f>+CA199+CA209</f>
        <v>94.625219849797517</v>
      </c>
      <c r="CB211" s="14">
        <f>+CB199+CB209</f>
        <v>99.227496875000014</v>
      </c>
      <c r="CC211" s="14">
        <f>+CC199+CC209</f>
        <v>98.077330324595039</v>
      </c>
      <c r="CD211" s="377">
        <f>+T211-SUM(BZ211:CC211)</f>
        <v>0</v>
      </c>
      <c r="CE211" s="14">
        <f>+CE199+CE209</f>
        <v>99.000000000000028</v>
      </c>
      <c r="CF211" s="14">
        <f>+CF199+CF209</f>
        <v>101.49999999999986</v>
      </c>
      <c r="CG211" s="14">
        <f>+CG199+CG209</f>
        <v>101.09999999999994</v>
      </c>
      <c r="CH211" s="14">
        <f>+CH199+CH209</f>
        <v>104.0500000000001</v>
      </c>
      <c r="CI211" s="53"/>
      <c r="CJ211" s="14">
        <f>CJ209+CJ199</f>
        <v>99.700000000000017</v>
      </c>
      <c r="CK211" s="14">
        <f>CK209+CK199</f>
        <v>105.69999999999999</v>
      </c>
      <c r="CL211" s="14">
        <f>CL209+CL199</f>
        <v>103.05000000000001</v>
      </c>
      <c r="CM211" s="14">
        <f>CM209+CM199</f>
        <v>104.89999999999998</v>
      </c>
      <c r="CN211" s="95">
        <f t="shared" si="273"/>
        <v>0</v>
      </c>
      <c r="CO211" s="14">
        <f>+CO199+CO209</f>
        <v>123.60000000000002</v>
      </c>
      <c r="CP211" s="14">
        <f>+CP199+CP209</f>
        <v>130.4</v>
      </c>
      <c r="CQ211" s="14">
        <f>+CQ199+CQ209</f>
        <v>126.65</v>
      </c>
      <c r="CR211" s="14">
        <f>+CR199+CR209</f>
        <v>127.95000000000002</v>
      </c>
      <c r="CS211" s="49">
        <f>+AA211-SUM(CO211:CR211)</f>
        <v>0</v>
      </c>
      <c r="CT211" s="14">
        <f>+CT199+CT209</f>
        <v>117.30000000000001</v>
      </c>
      <c r="CU211" s="14">
        <f>+CU199+CU209</f>
        <v>126.30000000000001</v>
      </c>
      <c r="CV211" s="14">
        <f>+CV199+CV209</f>
        <v>123.59999999999998</v>
      </c>
      <c r="CW211" s="14">
        <f>+CW199+CW209</f>
        <v>131.5</v>
      </c>
      <c r="CX211" s="49">
        <f>AB211-SUM(CT211:CW211)</f>
        <v>0</v>
      </c>
      <c r="CY211" s="14">
        <f>+CY199+CY209</f>
        <v>108</v>
      </c>
      <c r="CZ211" s="14">
        <f>+CZ199+CZ209</f>
        <v>108.60000000000001</v>
      </c>
      <c r="DA211" s="14">
        <f>+DA199+DA209</f>
        <v>109.50000000000001</v>
      </c>
      <c r="DB211" s="14">
        <f>+DB199+DB209</f>
        <v>113.39999999999998</v>
      </c>
      <c r="DC211" s="871">
        <f t="shared" si="322"/>
        <v>0</v>
      </c>
      <c r="DD211" s="14">
        <f>+DD199+DD209</f>
        <v>116.2</v>
      </c>
      <c r="DE211" s="14">
        <f>+DE199+DE209</f>
        <v>116</v>
      </c>
      <c r="DF211" s="14">
        <f>+DF199+DF209</f>
        <v>116.49999999999999</v>
      </c>
      <c r="DG211" s="14">
        <f>+DG199+DG209</f>
        <v>119.39999999999999</v>
      </c>
      <c r="DH211" s="357">
        <f>AD211-SUM(DD211:DG211)</f>
        <v>0</v>
      </c>
      <c r="DI211" s="14">
        <f>+DI199+DI209</f>
        <v>117.8</v>
      </c>
      <c r="DJ211" s="14">
        <f>+DJ199+DJ209</f>
        <v>122</v>
      </c>
      <c r="DK211" s="14">
        <f>+DK199+DK209</f>
        <v>141.70000000000002</v>
      </c>
      <c r="DL211" s="14">
        <f>+DL199+DL209</f>
        <v>148</v>
      </c>
      <c r="DM211" s="357">
        <f>AE211-SUM(DI211:DL211)</f>
        <v>0</v>
      </c>
      <c r="DN211" s="14">
        <f>+DN199+DN209</f>
        <v>142.30000000000001</v>
      </c>
      <c r="DO211" s="14">
        <f>+DO199+DO209</f>
        <v>145.19999999999999</v>
      </c>
      <c r="DP211" s="14">
        <f>+DP199+DP209</f>
        <v>147.39999999999998</v>
      </c>
      <c r="DQ211" s="77">
        <v>147.4</v>
      </c>
      <c r="DR211" s="871">
        <f t="shared" si="326"/>
        <v>0</v>
      </c>
      <c r="DS211" s="77">
        <v>140.80000000000001</v>
      </c>
      <c r="DT211" s="77">
        <v>143.5</v>
      </c>
      <c r="DU211" s="77">
        <v>139.19999999999999</v>
      </c>
      <c r="DV211" s="77">
        <v>138.80000000000001</v>
      </c>
      <c r="DW211" s="538">
        <f>AG211-SUM(DS211:DV211)</f>
        <v>0</v>
      </c>
      <c r="DX211" s="77">
        <v>126</v>
      </c>
      <c r="DY211" s="77">
        <v>125</v>
      </c>
      <c r="DZ211" s="77">
        <v>120</v>
      </c>
      <c r="EA211" s="77">
        <v>124</v>
      </c>
      <c r="EB211" s="538">
        <f t="shared" si="330"/>
        <v>0</v>
      </c>
      <c r="EC211" s="77">
        <v>119</v>
      </c>
      <c r="ED211" s="77">
        <v>119</v>
      </c>
      <c r="EE211" s="77">
        <v>116</v>
      </c>
      <c r="EF211" s="77">
        <v>121</v>
      </c>
      <c r="EG211" s="538">
        <f t="shared" si="333"/>
        <v>0</v>
      </c>
      <c r="EH211" s="77">
        <v>116</v>
      </c>
      <c r="EI211" s="77">
        <v>114</v>
      </c>
      <c r="EJ211" s="77">
        <v>113</v>
      </c>
      <c r="EK211" s="77">
        <v>114</v>
      </c>
      <c r="EL211" s="538">
        <f>AJ211-SUM(EH211:EK211)</f>
        <v>0</v>
      </c>
      <c r="EM211" s="1437">
        <v>71</v>
      </c>
      <c r="EN211" s="1437">
        <v>71</v>
      </c>
      <c r="EO211" s="1437">
        <v>68</v>
      </c>
      <c r="EP211" s="1437">
        <v>71</v>
      </c>
      <c r="EQ211" s="2026">
        <f>$AK211-SUM(EM211:EP211)</f>
        <v>0</v>
      </c>
      <c r="ER211" s="1437">
        <v>68</v>
      </c>
      <c r="ES211" s="1437">
        <v>66</v>
      </c>
      <c r="ET211" s="1437">
        <v>65</v>
      </c>
      <c r="EU211" s="1437">
        <v>65</v>
      </c>
      <c r="EV211" s="2026">
        <f>$AL211-SUM(ER211:EU211)</f>
        <v>0</v>
      </c>
      <c r="EW211" s="1437">
        <v>64</v>
      </c>
      <c r="EX211" s="1437">
        <v>63</v>
      </c>
      <c r="EY211" s="2878">
        <v>61</v>
      </c>
      <c r="EZ211" s="2878">
        <f>57+EZ192</f>
        <v>62.3</v>
      </c>
      <c r="FA211" s="2842">
        <f t="shared" ca="1" si="341"/>
        <v>0</v>
      </c>
      <c r="FB211" s="1437">
        <v>55</v>
      </c>
      <c r="FC211" s="1437">
        <v>56</v>
      </c>
      <c r="FD211" s="1437">
        <v>55</v>
      </c>
      <c r="FE211" s="2806">
        <f ca="1">+FE199+FE209</f>
        <v>55.613330889608577</v>
      </c>
      <c r="FF211" s="2806"/>
      <c r="FG211" s="2806">
        <f t="shared" ref="FG211:FJ211" si="370">+FG199+FG209</f>
        <v>54.16664732528676</v>
      </c>
      <c r="FH211" s="2806">
        <f t="shared" si="370"/>
        <v>55.16664732528676</v>
      </c>
      <c r="FI211" s="2806">
        <f t="shared" si="370"/>
        <v>54.16664732528676</v>
      </c>
      <c r="FJ211" s="2806">
        <f t="shared" ca="1" si="370"/>
        <v>54.779978214895337</v>
      </c>
      <c r="FK211" s="2842">
        <f t="shared" ca="1" si="289"/>
        <v>0</v>
      </c>
      <c r="FL211" s="1170" t="s">
        <v>1237</v>
      </c>
    </row>
    <row r="212" spans="1:169">
      <c r="A212" s="14"/>
      <c r="B212" s="77"/>
      <c r="C212" s="77"/>
      <c r="D212" s="77"/>
      <c r="E212" s="77"/>
      <c r="F212" s="77"/>
      <c r="G212" s="77"/>
      <c r="H212" s="14"/>
      <c r="I212" s="77"/>
      <c r="J212" s="77"/>
      <c r="K212" s="77"/>
      <c r="L212" s="77"/>
      <c r="M212" s="14"/>
      <c r="N212" s="14"/>
      <c r="O212" s="77"/>
      <c r="P212" s="14"/>
      <c r="Q212" s="14"/>
      <c r="R212" s="14"/>
      <c r="S212" s="77"/>
      <c r="T212" s="14"/>
      <c r="U212" s="14"/>
      <c r="V212" s="14"/>
      <c r="W212" s="14"/>
      <c r="X212" s="14"/>
      <c r="Y212" s="77"/>
      <c r="Z212" s="77"/>
      <c r="AA212" s="77"/>
      <c r="AB212" s="14"/>
      <c r="AC212" s="14"/>
      <c r="AD212" s="14"/>
      <c r="AE212" s="14"/>
      <c r="AF212" s="14"/>
      <c r="AG212" s="14"/>
      <c r="AH212" s="14"/>
      <c r="AI212" s="14"/>
      <c r="AJ212" s="1357"/>
      <c r="AK212" s="1357"/>
      <c r="AL212" s="1357"/>
      <c r="AM212" s="1357"/>
      <c r="AN212" s="1357"/>
      <c r="AO212" s="1357"/>
      <c r="AP212" s="1357"/>
      <c r="AQ212" s="1357"/>
      <c r="AR212" s="1357"/>
      <c r="AS212" s="1357"/>
      <c r="AT212" s="1357"/>
      <c r="AU212" s="1357"/>
      <c r="AV212" s="1357"/>
      <c r="AW212" s="1357"/>
      <c r="AX212" s="354"/>
      <c r="AY212" s="354"/>
      <c r="AZ212" s="354"/>
      <c r="BA212" s="354"/>
      <c r="BB212" s="354"/>
      <c r="BC212" s="354"/>
      <c r="BD212" s="354"/>
      <c r="BE212" s="354"/>
      <c r="BF212" s="14"/>
      <c r="BG212" s="14"/>
      <c r="BH212" s="14"/>
      <c r="BI212" s="14"/>
      <c r="BJ212" s="14"/>
      <c r="BK212" s="14"/>
      <c r="BL212" s="14"/>
      <c r="BM212" s="14"/>
      <c r="BN212" s="14"/>
      <c r="BO212" s="14"/>
      <c r="BP212" s="14"/>
      <c r="BQ212" s="14"/>
      <c r="BR212" s="14"/>
      <c r="BS212" s="14"/>
      <c r="BT212" s="13"/>
      <c r="BU212" s="14"/>
      <c r="BV212" s="14"/>
      <c r="BW212" s="14"/>
      <c r="BX212" s="14"/>
      <c r="BY212" s="4"/>
      <c r="BZ212" s="14"/>
      <c r="CA212" s="14"/>
      <c r="CB212" s="14"/>
      <c r="CC212" s="14"/>
      <c r="CD212" s="339"/>
      <c r="CE212" s="77"/>
      <c r="CF212" s="77"/>
      <c r="CG212" s="77"/>
      <c r="CH212" s="167"/>
      <c r="CI212" s="53"/>
      <c r="CJ212" s="77"/>
      <c r="CK212" s="77"/>
      <c r="CL212" s="77"/>
      <c r="CM212" s="77"/>
      <c r="CN212" s="95"/>
      <c r="CO212" s="77"/>
      <c r="CP212" s="77"/>
      <c r="CQ212" s="77"/>
      <c r="CR212" s="77"/>
      <c r="CS212" s="49"/>
      <c r="CT212" s="77"/>
      <c r="CU212" s="14"/>
      <c r="CV212" s="14"/>
      <c r="CW212" s="14"/>
      <c r="CX212" s="49"/>
      <c r="CY212" s="352"/>
      <c r="CZ212" s="352"/>
      <c r="DA212" s="352"/>
      <c r="DB212" s="352"/>
      <c r="DC212" s="14"/>
      <c r="DD212" s="352"/>
      <c r="DE212" s="352"/>
      <c r="DF212" s="352"/>
      <c r="DG212" s="352"/>
      <c r="DH212" s="352"/>
      <c r="DI212" s="352"/>
      <c r="DJ212" s="352"/>
      <c r="DK212" s="352"/>
      <c r="DL212" s="352"/>
      <c r="DM212" s="352"/>
      <c r="DN212" s="14"/>
      <c r="DO212" s="14"/>
      <c r="DP212" s="14"/>
      <c r="DQ212" s="14"/>
      <c r="DR212" s="14"/>
      <c r="DX212" s="906"/>
      <c r="DY212" s="906"/>
      <c r="DZ212" s="906"/>
      <c r="EA212" s="906"/>
      <c r="EB212" s="906"/>
      <c r="EC212" s="1048"/>
      <c r="ED212" s="1048"/>
      <c r="EE212" s="1048"/>
      <c r="EF212" s="1048"/>
      <c r="EH212" s="1048"/>
      <c r="EI212" s="1048"/>
      <c r="EJ212" s="1048"/>
      <c r="EK212" s="1048"/>
      <c r="EM212" s="1577"/>
      <c r="EN212" s="1577"/>
      <c r="EO212" s="1577"/>
      <c r="EP212" s="1577"/>
      <c r="EQ212" s="1577"/>
      <c r="ER212" s="1577"/>
      <c r="ES212" s="1577"/>
      <c r="ET212" s="1577"/>
      <c r="EU212" s="1577"/>
      <c r="EV212" s="1577"/>
      <c r="EW212" s="3204" t="s">
        <v>1769</v>
      </c>
      <c r="EX212" s="3204"/>
      <c r="EY212" s="3204"/>
      <c r="EZ212" s="3204"/>
      <c r="FA212" s="2807"/>
      <c r="FB212" s="2807"/>
      <c r="FC212" s="2807"/>
      <c r="FD212" s="2807"/>
      <c r="FE212" s="2807"/>
      <c r="FF212" s="2807"/>
      <c r="FG212" s="2807"/>
      <c r="FH212" s="2807"/>
      <c r="FI212" s="2807"/>
      <c r="FJ212" s="2807"/>
      <c r="FK212" s="2807"/>
      <c r="FL212" s="1577"/>
      <c r="FM212" s="1577"/>
    </row>
    <row r="213" spans="1:169">
      <c r="A213" s="14"/>
      <c r="B213" s="77"/>
      <c r="C213" s="77"/>
      <c r="D213" s="77"/>
      <c r="E213" s="77"/>
      <c r="F213" s="77"/>
      <c r="G213" s="77"/>
      <c r="H213" s="14"/>
      <c r="I213" s="77"/>
      <c r="J213" s="77"/>
      <c r="K213" s="77"/>
      <c r="L213" s="77"/>
      <c r="M213" s="14"/>
      <c r="N213" s="14"/>
      <c r="O213" s="77"/>
      <c r="P213" s="14"/>
      <c r="Q213" s="14"/>
      <c r="R213" s="14"/>
      <c r="S213" s="77"/>
      <c r="T213" s="14"/>
      <c r="U213" s="14"/>
      <c r="V213" s="14"/>
      <c r="W213" s="14"/>
      <c r="X213" s="77"/>
      <c r="Y213" s="77"/>
      <c r="Z213" s="77"/>
      <c r="AA213" s="77"/>
      <c r="AB213" s="14"/>
      <c r="AC213" s="14"/>
      <c r="AD213" s="14"/>
      <c r="AE213" s="14"/>
      <c r="AF213" s="14"/>
      <c r="AG213" s="14"/>
      <c r="AH213" s="14"/>
      <c r="AI213" s="14"/>
      <c r="AJ213" s="1357"/>
      <c r="AK213" s="1357"/>
      <c r="AL213" s="1357"/>
      <c r="AM213" s="1357"/>
      <c r="AN213" s="1357"/>
      <c r="AO213" s="1357"/>
      <c r="AP213" s="1357"/>
      <c r="AQ213" s="1357"/>
      <c r="AR213" s="1357"/>
      <c r="AS213" s="1357"/>
      <c r="AT213" s="1357"/>
      <c r="AU213" s="1357"/>
      <c r="AV213" s="1357"/>
      <c r="AW213" s="1357"/>
      <c r="AX213" s="354"/>
      <c r="AY213" s="354"/>
      <c r="AZ213" s="354"/>
      <c r="BA213" s="354"/>
      <c r="BB213" s="354"/>
      <c r="BC213" s="354"/>
      <c r="BD213" s="354"/>
      <c r="BE213" s="354"/>
      <c r="BF213" s="14"/>
      <c r="BG213" s="14"/>
      <c r="BH213" s="14"/>
      <c r="BI213" s="14"/>
      <c r="BJ213" s="14"/>
      <c r="BK213" s="14"/>
      <c r="BL213" s="14"/>
      <c r="BM213" s="14"/>
      <c r="BN213" s="14"/>
      <c r="BO213" s="14"/>
      <c r="BP213" s="14"/>
      <c r="BQ213" s="14"/>
      <c r="BR213" s="14"/>
      <c r="BS213" s="14"/>
      <c r="BT213" s="13"/>
      <c r="BU213" s="14"/>
      <c r="BV213" s="14"/>
      <c r="BW213" s="14"/>
      <c r="BX213" s="14"/>
      <c r="BY213" s="4"/>
      <c r="BZ213" s="14"/>
      <c r="CA213" s="14"/>
      <c r="CB213" s="14"/>
      <c r="CC213" s="14"/>
      <c r="CD213" s="339"/>
      <c r="CE213" s="77"/>
      <c r="CF213" s="77"/>
      <c r="CG213" s="77"/>
      <c r="CH213" s="167"/>
      <c r="CI213" s="53"/>
      <c r="CJ213" s="14"/>
      <c r="CK213" s="14"/>
      <c r="CL213" s="14"/>
      <c r="CM213" s="14"/>
      <c r="CN213" s="49"/>
      <c r="CO213" s="14"/>
      <c r="CP213" s="14"/>
      <c r="CQ213" s="14"/>
      <c r="CR213" s="14"/>
      <c r="CS213" s="49"/>
      <c r="CT213" s="77"/>
      <c r="CU213" s="14"/>
      <c r="CV213" s="14"/>
      <c r="CW213" s="14"/>
      <c r="CX213" s="49"/>
      <c r="CY213" s="352"/>
      <c r="CZ213" s="352"/>
      <c r="DA213" s="352"/>
      <c r="DB213" s="352"/>
      <c r="DC213" s="14"/>
      <c r="DD213" s="352"/>
      <c r="DE213" s="352"/>
      <c r="DF213" s="352"/>
      <c r="DG213" s="352"/>
      <c r="DH213" s="352"/>
      <c r="DI213" s="352"/>
      <c r="DJ213" s="352"/>
      <c r="DK213" s="352"/>
      <c r="DL213" s="352"/>
      <c r="DM213" s="352"/>
      <c r="DN213" s="14"/>
      <c r="DO213" s="14"/>
      <c r="DP213" s="14"/>
      <c r="DQ213" s="14"/>
      <c r="DR213" s="14"/>
      <c r="DX213" s="906"/>
      <c r="DY213" s="906"/>
      <c r="DZ213" s="906"/>
      <c r="EA213" s="906"/>
      <c r="EB213" s="906"/>
      <c r="EC213" s="1048"/>
      <c r="ED213" s="1048"/>
      <c r="EE213" s="1048"/>
      <c r="EF213" s="1048"/>
      <c r="EH213" s="1048"/>
      <c r="EM213" s="1048"/>
      <c r="EV213" s="1577"/>
      <c r="EW213" s="1577"/>
      <c r="EX213" s="1577"/>
      <c r="EY213" s="2807"/>
      <c r="EZ213" s="2807"/>
      <c r="FA213" s="2807"/>
      <c r="FB213" s="2807"/>
      <c r="FC213" s="2807"/>
      <c r="FD213" s="2807"/>
      <c r="FE213" s="2807"/>
      <c r="FF213" s="2807"/>
      <c r="FG213" s="2807"/>
      <c r="FH213" s="2807"/>
      <c r="FI213" s="2807"/>
      <c r="FJ213" s="2807"/>
      <c r="FK213" s="1577"/>
    </row>
    <row r="214" spans="1:169">
      <c r="A214" s="14"/>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c r="AA214" s="14"/>
      <c r="AB214" s="1357"/>
      <c r="AC214" s="1357"/>
      <c r="AD214" s="1357"/>
      <c r="AE214" s="1357"/>
      <c r="AF214" s="1357"/>
      <c r="AG214" s="1357"/>
      <c r="AH214" s="1357"/>
      <c r="AI214" s="1357"/>
      <c r="AJ214" s="1357"/>
      <c r="AK214" s="1357"/>
      <c r="AL214" s="1357"/>
      <c r="AM214" s="1357"/>
      <c r="AN214" s="1357"/>
      <c r="AO214" s="1357"/>
      <c r="AP214" s="1357"/>
      <c r="AQ214" s="1357"/>
      <c r="AR214" s="1357"/>
      <c r="AS214" s="1357"/>
      <c r="AT214" s="1357"/>
      <c r="AU214" s="1357"/>
      <c r="AV214" s="1357"/>
      <c r="AW214" s="1357"/>
      <c r="AX214" s="354"/>
      <c r="AY214" s="354"/>
      <c r="AZ214" s="354"/>
      <c r="BA214" s="354"/>
      <c r="BB214" s="354"/>
      <c r="BC214" s="354"/>
      <c r="BD214" s="354"/>
      <c r="BE214" s="354"/>
      <c r="BF214" s="14"/>
      <c r="BG214" s="14"/>
      <c r="BH214" s="14"/>
      <c r="BI214" s="14"/>
      <c r="BJ214" s="14"/>
      <c r="BK214" s="14"/>
      <c r="BL214" s="14"/>
      <c r="BM214" s="14"/>
      <c r="BN214" s="14"/>
      <c r="BO214" s="14"/>
      <c r="BP214" s="14"/>
      <c r="BQ214" s="14"/>
      <c r="BR214" s="14"/>
      <c r="BS214" s="14"/>
      <c r="BT214" s="14"/>
      <c r="BU214" s="14"/>
      <c r="BV214" s="14"/>
      <c r="BW214" s="14"/>
      <c r="BX214" s="14"/>
      <c r="BY214" s="95"/>
      <c r="BZ214" s="14"/>
      <c r="CA214" s="14"/>
      <c r="CB214" s="14"/>
      <c r="CC214" s="14"/>
      <c r="CD214" s="377"/>
      <c r="CE214" s="14"/>
      <c r="CF214" s="14"/>
      <c r="CG214" s="14"/>
      <c r="CH214" s="14"/>
      <c r="CI214" s="53"/>
      <c r="CJ214" s="14"/>
      <c r="CK214" s="14"/>
      <c r="CL214" s="14"/>
      <c r="CM214" s="14"/>
      <c r="CN214" s="49"/>
      <c r="CO214" s="14"/>
      <c r="CP214" s="14"/>
      <c r="CQ214" s="14"/>
      <c r="CR214" s="14"/>
      <c r="CS214" s="49"/>
      <c r="CT214" s="14"/>
      <c r="CU214" s="14"/>
      <c r="CV214" s="14"/>
      <c r="CW214" s="14"/>
      <c r="CX214" s="49"/>
      <c r="CY214" s="352"/>
      <c r="CZ214" s="352"/>
      <c r="DA214" s="352"/>
      <c r="DB214" s="352"/>
      <c r="DC214" s="14"/>
      <c r="DD214" s="352"/>
      <c r="DE214" s="352"/>
      <c r="DF214" s="352"/>
      <c r="DG214" s="352"/>
      <c r="DH214" s="352"/>
      <c r="DI214" s="352"/>
      <c r="DJ214" s="352"/>
      <c r="DK214" s="352"/>
      <c r="DL214" s="352"/>
      <c r="DM214" s="352"/>
      <c r="DN214" s="14"/>
      <c r="DO214" s="14"/>
      <c r="DP214" s="14"/>
      <c r="DQ214" s="14"/>
      <c r="DR214" s="14"/>
      <c r="DX214" s="906"/>
      <c r="DY214" s="906"/>
      <c r="DZ214" s="906"/>
      <c r="EA214" s="906"/>
      <c r="EB214" s="906"/>
      <c r="EC214" s="1048"/>
      <c r="ED214" s="1048"/>
      <c r="EE214" s="1048"/>
      <c r="EF214" s="1048"/>
      <c r="EH214" s="1048"/>
      <c r="EI214" s="1048"/>
      <c r="EJ214" s="1048"/>
      <c r="EK214" s="1048"/>
      <c r="EM214" s="1048"/>
      <c r="EV214" s="1577"/>
      <c r="EW214" s="1577"/>
      <c r="EX214" s="1577"/>
      <c r="EY214" s="2807"/>
      <c r="EZ214" s="2807"/>
      <c r="FA214" s="2807"/>
      <c r="FB214" s="2807"/>
      <c r="FC214" s="2807"/>
      <c r="FD214" s="2807"/>
      <c r="FE214" s="2807"/>
      <c r="FF214" s="2807"/>
      <c r="FG214" s="2807"/>
      <c r="FH214" s="2807"/>
      <c r="FI214" s="2807"/>
      <c r="FJ214" s="2807"/>
      <c r="FK214" s="1577"/>
    </row>
    <row r="215" spans="1:169">
      <c r="A215" s="457" t="s">
        <v>686</v>
      </c>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c r="AA215" s="14"/>
      <c r="AB215" s="1357"/>
      <c r="AC215" s="1357"/>
      <c r="AD215" s="1357"/>
      <c r="AE215" s="1357"/>
      <c r="AF215" s="1357"/>
      <c r="AG215" s="1357"/>
      <c r="AH215" s="1357"/>
      <c r="AI215" s="1357"/>
      <c r="AJ215" s="1357"/>
      <c r="AK215" s="1357"/>
      <c r="AL215" s="1357"/>
      <c r="AM215" s="1357"/>
      <c r="AN215" s="1357"/>
      <c r="AO215" s="1357"/>
      <c r="AP215" s="1357"/>
      <c r="AQ215" s="1357"/>
      <c r="AR215" s="1357"/>
      <c r="AS215" s="1357"/>
      <c r="AT215" s="1357"/>
      <c r="AU215" s="1357"/>
      <c r="AV215" s="1357"/>
      <c r="AW215" s="1357"/>
      <c r="AX215" s="354"/>
      <c r="AY215" s="354"/>
      <c r="AZ215" s="354"/>
      <c r="BA215" s="354"/>
      <c r="BB215" s="354"/>
      <c r="BC215" s="354"/>
      <c r="BD215" s="354"/>
      <c r="BE215" s="354"/>
      <c r="BF215" s="14"/>
      <c r="BG215" s="14"/>
      <c r="BH215" s="14"/>
      <c r="BI215" s="14"/>
      <c r="BJ215" s="14"/>
      <c r="BK215" s="14"/>
      <c r="BL215" s="14"/>
      <c r="BM215" s="14"/>
      <c r="BN215" s="14"/>
      <c r="BO215" s="14"/>
      <c r="BP215" s="14"/>
      <c r="BQ215" s="14"/>
      <c r="BR215" s="14"/>
      <c r="BS215" s="14"/>
      <c r="BT215" s="14"/>
      <c r="BU215" s="14"/>
      <c r="BV215" s="14"/>
      <c r="BW215" s="14"/>
      <c r="BX215" s="14"/>
      <c r="BY215" s="95"/>
      <c r="BZ215" s="14"/>
      <c r="CA215" s="14"/>
      <c r="CB215" s="14"/>
      <c r="CC215" s="14"/>
      <c r="CD215" s="377"/>
      <c r="CE215" s="14"/>
      <c r="CF215" s="14"/>
      <c r="CG215" s="14"/>
      <c r="CH215" s="14"/>
      <c r="CI215" s="53"/>
      <c r="CJ215" s="14"/>
      <c r="CK215" s="14"/>
      <c r="CL215" s="14"/>
      <c r="CM215" s="14"/>
      <c r="CN215" s="49"/>
      <c r="CO215" s="14"/>
      <c r="CP215" s="14"/>
      <c r="CQ215" s="14"/>
      <c r="CR215" s="14"/>
      <c r="CS215" s="49"/>
      <c r="CT215" s="14"/>
      <c r="CU215" s="14"/>
      <c r="CV215" s="14"/>
      <c r="CW215" s="14"/>
      <c r="CX215" s="49"/>
      <c r="CY215" s="352"/>
      <c r="CZ215" s="352"/>
      <c r="DA215" s="352"/>
      <c r="DB215" s="352"/>
      <c r="DC215" s="14"/>
      <c r="DD215" s="352"/>
      <c r="DE215" s="352"/>
      <c r="DF215" s="352"/>
      <c r="DG215" s="352"/>
      <c r="DH215" s="352"/>
      <c r="DI215" s="352"/>
      <c r="DJ215" s="352"/>
      <c r="DK215" s="352"/>
      <c r="DL215" s="352"/>
      <c r="DM215" s="352"/>
      <c r="DN215" s="14"/>
      <c r="DO215" s="14"/>
      <c r="DP215" s="14"/>
      <c r="DQ215" s="14"/>
      <c r="DR215" s="14"/>
      <c r="DX215" s="906"/>
      <c r="DY215" s="906"/>
      <c r="DZ215" s="906"/>
      <c r="EA215" s="906"/>
      <c r="EB215" s="906"/>
      <c r="EC215" s="1048"/>
      <c r="ED215" s="1048"/>
      <c r="EE215" s="1048"/>
      <c r="EF215" s="1048"/>
      <c r="EH215" s="1048"/>
      <c r="EI215" s="1048"/>
      <c r="EJ215" s="1048"/>
      <c r="EK215" s="1048"/>
      <c r="EM215" s="1048"/>
      <c r="FC215" s="2807"/>
      <c r="FD215" s="2807"/>
      <c r="FE215" s="2807"/>
      <c r="FF215" s="2807"/>
      <c r="FG215" s="2807"/>
      <c r="FH215" s="2807"/>
      <c r="FI215" s="2807"/>
      <c r="FJ215" s="2807"/>
      <c r="FK215" s="1577"/>
    </row>
    <row r="216" spans="1:169">
      <c r="A216" s="14" t="s">
        <v>693</v>
      </c>
      <c r="B216" s="77"/>
      <c r="C216" s="14"/>
      <c r="D216" s="14"/>
      <c r="E216" s="14"/>
      <c r="F216" s="14">
        <f>C221</f>
        <v>139</v>
      </c>
      <c r="G216" s="77"/>
      <c r="H216" s="14"/>
      <c r="I216" s="14"/>
      <c r="J216" s="14"/>
      <c r="K216" s="14"/>
      <c r="L216" s="14"/>
      <c r="M216" s="77">
        <v>72</v>
      </c>
      <c r="N216" s="14">
        <f>+M216</f>
        <v>72</v>
      </c>
      <c r="O216" s="14">
        <f>N216</f>
        <v>72</v>
      </c>
      <c r="P216" s="77">
        <v>99.3</v>
      </c>
      <c r="Q216" s="14">
        <f>Q77</f>
        <v>0</v>
      </c>
      <c r="R216" s="14">
        <f>+P216</f>
        <v>99.3</v>
      </c>
      <c r="S216" s="14">
        <f>R216</f>
        <v>99.3</v>
      </c>
      <c r="T216" s="77">
        <v>81.5</v>
      </c>
      <c r="U216" s="77">
        <f>14.1+58.1</f>
        <v>72.2</v>
      </c>
      <c r="V216" s="77"/>
      <c r="W216" s="14"/>
      <c r="X216" s="77">
        <f>38.2+56.5</f>
        <v>94.7</v>
      </c>
      <c r="Y216" s="14">
        <f>Y77</f>
        <v>81.5</v>
      </c>
      <c r="Z216" s="14">
        <f>Z77</f>
        <v>72.2</v>
      </c>
      <c r="AA216" s="14">
        <f>AA77</f>
        <v>94.7</v>
      </c>
      <c r="AB216" s="1437">
        <f>37.7+68.4</f>
        <v>106.10000000000001</v>
      </c>
      <c r="AC216" s="1437">
        <f>43.2+115.7</f>
        <v>158.9</v>
      </c>
      <c r="AD216" s="1922">
        <f t="shared" ref="AD216:AO216" si="371">AD77</f>
        <v>226.8</v>
      </c>
      <c r="AE216" s="1922">
        <f t="shared" si="371"/>
        <v>236.79999999999998</v>
      </c>
      <c r="AF216" s="1922">
        <f>AF77</f>
        <v>129.18181818181819</v>
      </c>
      <c r="AG216" s="1922">
        <f t="shared" si="371"/>
        <v>122.4</v>
      </c>
      <c r="AH216" s="1922">
        <f t="shared" si="371"/>
        <v>87.4</v>
      </c>
      <c r="AI216" s="1922">
        <f t="shared" ref="AI216:AN216" si="372">AI77</f>
        <v>96.228000000000009</v>
      </c>
      <c r="AJ216" s="1922">
        <f t="shared" si="372"/>
        <v>81.3</v>
      </c>
      <c r="AK216" s="1922">
        <f t="shared" si="372"/>
        <v>26.7</v>
      </c>
      <c r="AL216" s="1922">
        <f t="shared" si="372"/>
        <v>21.5</v>
      </c>
      <c r="AM216" s="3008">
        <f t="shared" si="372"/>
        <v>19.350000000000001</v>
      </c>
      <c r="AN216" s="3008">
        <f t="shared" si="372"/>
        <v>0</v>
      </c>
      <c r="AO216" s="3008">
        <f t="shared" si="371"/>
        <v>0</v>
      </c>
      <c r="AP216" s="1922">
        <f t="shared" ref="AP216:AU216" si="373">AP77</f>
        <v>0</v>
      </c>
      <c r="AQ216" s="1922">
        <f t="shared" si="373"/>
        <v>0</v>
      </c>
      <c r="AR216" s="1922">
        <f t="shared" si="373"/>
        <v>0</v>
      </c>
      <c r="AS216" s="1922">
        <f t="shared" si="373"/>
        <v>0</v>
      </c>
      <c r="AT216" s="1922">
        <f t="shared" si="373"/>
        <v>0</v>
      </c>
      <c r="AU216" s="1922">
        <f t="shared" si="373"/>
        <v>0</v>
      </c>
      <c r="AV216" s="1922">
        <f>AV77</f>
        <v>0</v>
      </c>
      <c r="AW216" s="1922">
        <f>AW77</f>
        <v>0</v>
      </c>
      <c r="AX216" s="1922">
        <f>AX77</f>
        <v>0</v>
      </c>
      <c r="AY216" s="1922">
        <f>AY77</f>
        <v>0</v>
      </c>
      <c r="AZ216" s="354"/>
      <c r="BA216" s="354"/>
      <c r="BB216" s="354"/>
      <c r="BC216" s="354"/>
      <c r="BD216" s="354"/>
      <c r="BE216" s="370"/>
      <c r="BF216" s="14"/>
      <c r="BG216" s="14"/>
      <c r="BH216" s="14"/>
      <c r="BI216" s="14"/>
      <c r="BJ216" s="14"/>
      <c r="BK216" s="14"/>
      <c r="BL216" s="14"/>
      <c r="BM216" s="14"/>
      <c r="BN216" s="14"/>
      <c r="BO216" s="14"/>
      <c r="BP216" s="14"/>
      <c r="BQ216" s="14"/>
      <c r="BR216" s="14"/>
      <c r="BS216" s="14"/>
      <c r="BT216" s="14"/>
      <c r="BU216" s="14"/>
      <c r="BV216" s="14"/>
      <c r="BW216" s="14"/>
      <c r="BX216" s="14"/>
      <c r="BY216" s="95"/>
      <c r="BZ216" s="14"/>
      <c r="CA216" s="14"/>
      <c r="CB216" s="14"/>
      <c r="CC216" s="14"/>
      <c r="CD216" s="377"/>
      <c r="CE216" s="14"/>
      <c r="CF216" s="14"/>
      <c r="CG216" s="14"/>
      <c r="CH216" s="14"/>
      <c r="CI216" s="53"/>
      <c r="CJ216" s="14"/>
      <c r="CK216" s="14"/>
      <c r="CL216" s="14"/>
      <c r="CM216" s="14"/>
      <c r="CN216" s="49"/>
      <c r="CO216" s="14"/>
      <c r="CP216" s="14"/>
      <c r="CQ216" s="14"/>
      <c r="CR216" s="14"/>
      <c r="CS216" s="49"/>
      <c r="CT216" s="14"/>
      <c r="CU216" s="14"/>
      <c r="CV216" s="14"/>
      <c r="CW216" s="14"/>
      <c r="CX216" s="49"/>
      <c r="CY216" s="352"/>
      <c r="CZ216" s="352"/>
      <c r="DA216" s="352"/>
      <c r="DB216" s="352"/>
      <c r="DC216" s="14"/>
      <c r="DD216" s="352"/>
      <c r="DE216" s="352"/>
      <c r="DF216" s="352"/>
      <c r="DG216" s="352"/>
      <c r="DH216" s="352"/>
      <c r="DI216" s="352"/>
      <c r="DJ216" s="352"/>
      <c r="DK216" s="352"/>
      <c r="DL216" s="352"/>
      <c r="DM216" s="352"/>
      <c r="DN216" s="14"/>
      <c r="DO216" s="14"/>
      <c r="DP216" s="14"/>
      <c r="DQ216" s="14"/>
      <c r="DR216" s="14"/>
      <c r="DX216" s="906"/>
      <c r="DY216" s="906"/>
      <c r="DZ216" s="906"/>
      <c r="EA216" s="906"/>
      <c r="EB216" s="906"/>
      <c r="EC216" s="1048"/>
      <c r="ED216" s="1048"/>
      <c r="EE216" s="1048"/>
      <c r="EF216" s="1048"/>
      <c r="EH216" s="1048"/>
      <c r="EI216" s="1048"/>
      <c r="EJ216" s="1048"/>
      <c r="EK216" s="1048"/>
      <c r="EM216" s="1048"/>
      <c r="FC216" s="1577"/>
      <c r="FD216" s="1577"/>
      <c r="FE216" s="1577"/>
      <c r="FF216" s="1577"/>
      <c r="FG216" s="1577"/>
      <c r="FH216" s="1577"/>
      <c r="FI216" s="1577"/>
      <c r="FJ216" s="1577"/>
      <c r="FK216" s="1577"/>
    </row>
    <row r="217" spans="1:169">
      <c r="A217" s="14" t="s">
        <v>1058</v>
      </c>
      <c r="B217" s="77">
        <v>60.6</v>
      </c>
      <c r="C217" s="14"/>
      <c r="D217" s="14"/>
      <c r="E217" s="14"/>
      <c r="F217" s="14">
        <f>B217</f>
        <v>60.6</v>
      </c>
      <c r="G217" s="77">
        <v>51.3</v>
      </c>
      <c r="H217" s="14"/>
      <c r="I217" s="14"/>
      <c r="J217" s="14"/>
      <c r="K217" s="14"/>
      <c r="L217" s="14">
        <f>I221+G217</f>
        <v>222.3</v>
      </c>
      <c r="M217" s="77">
        <v>116.1</v>
      </c>
      <c r="N217" s="14">
        <f>+M217</f>
        <v>116.1</v>
      </c>
      <c r="O217" s="14">
        <f>N217</f>
        <v>116.1</v>
      </c>
      <c r="P217" s="77">
        <v>120.2</v>
      </c>
      <c r="Q217" s="14">
        <f>Q160</f>
        <v>0</v>
      </c>
      <c r="R217" s="14">
        <f>+P217</f>
        <v>120.2</v>
      </c>
      <c r="S217" s="14">
        <f>R217</f>
        <v>120.2</v>
      </c>
      <c r="T217" s="77">
        <v>138.69999999999999</v>
      </c>
      <c r="U217" s="77">
        <v>123.6</v>
      </c>
      <c r="V217" s="77"/>
      <c r="W217" s="14"/>
      <c r="X217" s="77">
        <v>125.6</v>
      </c>
      <c r="Y217" s="14">
        <f>Y160</f>
        <v>146.69999999999999</v>
      </c>
      <c r="Z217" s="14">
        <f>Z160</f>
        <v>132.19999999999999</v>
      </c>
      <c r="AA217" s="14">
        <f>AA160</f>
        <v>134.80000000000001</v>
      </c>
      <c r="AB217" s="1437">
        <v>197.2</v>
      </c>
      <c r="AC217" s="1437">
        <v>216.5</v>
      </c>
      <c r="AD217" s="1437">
        <f t="shared" ref="AD217:AL217" si="374">AD160</f>
        <v>216.8</v>
      </c>
      <c r="AE217" s="1922">
        <f t="shared" si="374"/>
        <v>187.6</v>
      </c>
      <c r="AF217" s="1922">
        <f t="shared" si="374"/>
        <v>94.818181818181841</v>
      </c>
      <c r="AG217" s="1922">
        <f t="shared" si="374"/>
        <v>121.1</v>
      </c>
      <c r="AH217" s="1922">
        <f t="shared" si="374"/>
        <v>119.1</v>
      </c>
      <c r="AI217" s="1922">
        <f t="shared" si="374"/>
        <v>124.84350470846607</v>
      </c>
      <c r="AJ217" s="1922">
        <f t="shared" si="374"/>
        <v>126.90596184752852</v>
      </c>
      <c r="AK217" s="1922">
        <f t="shared" si="374"/>
        <v>122.92683468841821</v>
      </c>
      <c r="AL217" s="1922">
        <f t="shared" si="374"/>
        <v>120.60555135346388</v>
      </c>
      <c r="AM217" s="3008">
        <f t="shared" ref="AM217:AN217" si="375">AM160</f>
        <v>123.75175675350356</v>
      </c>
      <c r="AN217" s="3008">
        <f t="shared" si="375"/>
        <v>126.40866079702093</v>
      </c>
      <c r="AO217" s="3008">
        <f t="shared" ref="AO217:AX217" si="376">AO160</f>
        <v>129.56539134501409</v>
      </c>
      <c r="AP217" s="129">
        <f t="shared" si="376"/>
        <v>139.13484897867008</v>
      </c>
      <c r="AQ217" s="129">
        <f t="shared" si="376"/>
        <v>143.26582151929546</v>
      </c>
      <c r="AR217" s="129">
        <f t="shared" si="376"/>
        <v>150.14150340752971</v>
      </c>
      <c r="AS217" s="129">
        <f t="shared" si="376"/>
        <v>161.21879467972684</v>
      </c>
      <c r="AT217" s="129">
        <f t="shared" si="376"/>
        <v>160.34196481193644</v>
      </c>
      <c r="AU217" s="129">
        <f t="shared" si="376"/>
        <v>165.79355050547355</v>
      </c>
      <c r="AV217" s="129">
        <f t="shared" si="376"/>
        <v>175.63671143240092</v>
      </c>
      <c r="AW217" s="129">
        <f t="shared" si="376"/>
        <v>173.96268254393448</v>
      </c>
      <c r="AX217" s="129">
        <f t="shared" si="376"/>
        <v>177.85638470350068</v>
      </c>
      <c r="AY217" s="129">
        <f t="shared" ref="AY217" si="377">AY160</f>
        <v>190.40752038995743</v>
      </c>
      <c r="AZ217" s="354"/>
      <c r="BA217" s="354"/>
      <c r="BB217" s="354"/>
      <c r="BC217" s="354"/>
      <c r="BD217" s="354"/>
      <c r="BE217" s="370"/>
      <c r="BF217" s="14"/>
      <c r="BG217" s="14"/>
      <c r="BH217" s="14"/>
      <c r="BI217" s="14"/>
      <c r="BJ217" s="14"/>
      <c r="BK217" s="14"/>
      <c r="BL217" s="14"/>
      <c r="BM217" s="14"/>
      <c r="BN217" s="14"/>
      <c r="BO217" s="14"/>
      <c r="BP217" s="14"/>
      <c r="BQ217" s="14"/>
      <c r="BR217" s="14"/>
      <c r="BS217" s="14"/>
      <c r="BT217" s="14"/>
      <c r="BU217" s="14"/>
      <c r="BV217" s="14"/>
      <c r="BW217" s="14"/>
      <c r="BX217" s="14"/>
      <c r="BY217" s="95"/>
      <c r="BZ217" s="14"/>
      <c r="CA217" s="14"/>
      <c r="CB217" s="14"/>
      <c r="CC217" s="14"/>
      <c r="CD217" s="377"/>
      <c r="CE217" s="14"/>
      <c r="CF217" s="14"/>
      <c r="CG217" s="14"/>
      <c r="CH217" s="14"/>
      <c r="CI217" s="53"/>
      <c r="CJ217" s="14"/>
      <c r="CK217" s="14"/>
      <c r="CL217" s="14"/>
      <c r="CM217" s="14"/>
      <c r="CN217" s="49"/>
      <c r="CO217" s="14"/>
      <c r="CP217" s="14"/>
      <c r="CQ217" s="14"/>
      <c r="CR217" s="14"/>
      <c r="CS217" s="49"/>
      <c r="CT217" s="14"/>
      <c r="CU217" s="14"/>
      <c r="CV217" s="14"/>
      <c r="CW217" s="14"/>
      <c r="CX217" s="49"/>
      <c r="CY217" s="352"/>
      <c r="CZ217" s="352"/>
      <c r="DA217" s="352"/>
      <c r="DB217" s="352"/>
      <c r="DC217" s="14"/>
      <c r="DD217" s="352"/>
      <c r="DE217" s="352"/>
      <c r="DF217" s="352"/>
      <c r="DG217" s="352"/>
      <c r="DH217" s="352"/>
      <c r="DI217" s="352"/>
      <c r="DJ217" s="352"/>
      <c r="DK217" s="352"/>
      <c r="DL217" s="352"/>
      <c r="DM217" s="352"/>
      <c r="DN217" s="14"/>
      <c r="DO217" s="14"/>
      <c r="DP217" s="14"/>
      <c r="DQ217" s="14"/>
      <c r="DR217" s="14"/>
      <c r="DX217" s="906"/>
      <c r="DY217" s="906"/>
      <c r="DZ217" s="906"/>
      <c r="EA217" s="906"/>
      <c r="EB217" s="906"/>
      <c r="EC217" s="1048"/>
      <c r="ED217" s="1048"/>
      <c r="EE217" s="1048"/>
      <c r="EF217" s="1048"/>
      <c r="EH217" s="1048"/>
      <c r="EI217" s="1048"/>
      <c r="EJ217" s="1048"/>
      <c r="EK217" s="1048"/>
      <c r="EM217" s="1048"/>
      <c r="FC217" s="1577"/>
      <c r="FD217" s="1577"/>
      <c r="FE217" s="1577"/>
      <c r="FF217" s="1577"/>
      <c r="FG217" s="1577"/>
      <c r="FH217" s="1577"/>
      <c r="FI217" s="1577"/>
      <c r="FJ217" s="1577"/>
      <c r="FK217" s="1577"/>
      <c r="FL217" s="1048"/>
    </row>
    <row r="218" spans="1:169">
      <c r="A218" s="14" t="s">
        <v>1084</v>
      </c>
      <c r="B218" s="77"/>
      <c r="C218" s="14"/>
      <c r="D218" s="14"/>
      <c r="E218" s="14"/>
      <c r="F218" s="14">
        <v>0</v>
      </c>
      <c r="G218" s="77"/>
      <c r="H218" s="14"/>
      <c r="I218" s="14"/>
      <c r="J218" s="14"/>
      <c r="K218" s="14"/>
      <c r="L218" s="14">
        <v>0</v>
      </c>
      <c r="M218" s="77"/>
      <c r="N218" s="14"/>
      <c r="O218" s="14">
        <v>0</v>
      </c>
      <c r="P218" s="77"/>
      <c r="Q218" s="14"/>
      <c r="R218" s="14"/>
      <c r="S218" s="14">
        <v>0</v>
      </c>
      <c r="T218" s="77"/>
      <c r="U218" s="77"/>
      <c r="V218" s="77"/>
      <c r="W218" s="14"/>
      <c r="X218" s="14">
        <v>35.508499999999998</v>
      </c>
      <c r="Y218" s="14">
        <f>Y31</f>
        <v>46</v>
      </c>
      <c r="Z218" s="14">
        <f>Z31</f>
        <v>46.2</v>
      </c>
      <c r="AA218" s="14">
        <f>AA31</f>
        <v>48.8</v>
      </c>
      <c r="AB218" s="1437">
        <v>52.8</v>
      </c>
      <c r="AC218" s="1437">
        <v>5.8</v>
      </c>
      <c r="AD218" s="1437">
        <f t="shared" ref="AD218:AO218" si="378">AD31</f>
        <v>12</v>
      </c>
      <c r="AE218" s="1437">
        <v>9.5</v>
      </c>
      <c r="AF218" s="1922">
        <f t="shared" si="378"/>
        <v>5</v>
      </c>
      <c r="AG218" s="1922">
        <f t="shared" si="378"/>
        <v>6</v>
      </c>
      <c r="AH218" s="1922">
        <f t="shared" si="378"/>
        <v>7</v>
      </c>
      <c r="AI218" s="1922">
        <f t="shared" si="378"/>
        <v>3</v>
      </c>
      <c r="AJ218" s="1922">
        <f t="shared" si="378"/>
        <v>5</v>
      </c>
      <c r="AK218" s="1922">
        <f t="shared" si="378"/>
        <v>5.15</v>
      </c>
      <c r="AL218" s="1922">
        <f t="shared" si="378"/>
        <v>5.3045000000000009</v>
      </c>
      <c r="AM218" s="3008">
        <f t="shared" ref="AM218:AN218" si="379">AM31</f>
        <v>5.4636350000000009</v>
      </c>
      <c r="AN218" s="3008">
        <f t="shared" si="379"/>
        <v>5.6275440500000009</v>
      </c>
      <c r="AO218" s="3008">
        <f t="shared" si="378"/>
        <v>5.796370371500001</v>
      </c>
      <c r="AP218" s="129">
        <f t="shared" ref="AP218:AU218" si="380">AP31</f>
        <v>5.9702614826450011</v>
      </c>
      <c r="AQ218" s="129">
        <f t="shared" si="380"/>
        <v>6.1493693271243517</v>
      </c>
      <c r="AR218" s="129">
        <f t="shared" si="380"/>
        <v>6.3338504069380823</v>
      </c>
      <c r="AS218" s="129">
        <f t="shared" si="380"/>
        <v>6.5238659191462247</v>
      </c>
      <c r="AT218" s="129">
        <f t="shared" si="380"/>
        <v>6.7195818967206113</v>
      </c>
      <c r="AU218" s="129">
        <f t="shared" si="380"/>
        <v>6.9211693536222301</v>
      </c>
      <c r="AV218" s="129">
        <f>AV31</f>
        <v>7.1288044342308972</v>
      </c>
      <c r="AW218" s="129">
        <f>AW31</f>
        <v>7.3426685672578245</v>
      </c>
      <c r="AX218" s="129">
        <f>AX31</f>
        <v>7.5629486242755597</v>
      </c>
      <c r="AY218" s="129">
        <f>AY31</f>
        <v>7.7898370830038264</v>
      </c>
      <c r="AZ218" s="354"/>
      <c r="BA218" s="354"/>
      <c r="BB218" s="354"/>
      <c r="BC218" s="354"/>
      <c r="BD218" s="354"/>
      <c r="BE218" s="370"/>
      <c r="BF218" s="14"/>
      <c r="BG218" s="14"/>
      <c r="BH218" s="14"/>
      <c r="BI218" s="14"/>
      <c r="BJ218" s="14"/>
      <c r="BK218" s="14"/>
      <c r="BL218" s="14"/>
      <c r="BM218" s="14"/>
      <c r="BN218" s="14"/>
      <c r="BO218" s="14"/>
      <c r="BP218" s="14"/>
      <c r="BQ218" s="14"/>
      <c r="BR218" s="14"/>
      <c r="BS218" s="14"/>
      <c r="BT218" s="14"/>
      <c r="BU218" s="14"/>
      <c r="BV218" s="14"/>
      <c r="BW218" s="14"/>
      <c r="BX218" s="14"/>
      <c r="BY218" s="95"/>
      <c r="BZ218" s="14"/>
      <c r="CA218" s="14"/>
      <c r="CB218" s="14"/>
      <c r="CC218" s="14"/>
      <c r="CD218" s="377"/>
      <c r="CE218" s="14"/>
      <c r="CF218" s="14"/>
      <c r="CG218" s="14"/>
      <c r="CH218" s="14"/>
      <c r="CI218" s="53"/>
      <c r="CJ218" s="14"/>
      <c r="CK218" s="14"/>
      <c r="CL218" s="14"/>
      <c r="CM218" s="14"/>
      <c r="CN218" s="49"/>
      <c r="CO218" s="14"/>
      <c r="CP218" s="14"/>
      <c r="CQ218" s="14"/>
      <c r="CR218" s="14"/>
      <c r="CS218" s="49"/>
      <c r="CT218" s="14"/>
      <c r="CU218" s="14"/>
      <c r="CV218" s="14"/>
      <c r="CW218" s="14"/>
      <c r="CX218" s="49"/>
      <c r="CY218" s="352"/>
      <c r="CZ218" s="352"/>
      <c r="DA218" s="352"/>
      <c r="DB218" s="352"/>
      <c r="DC218" s="14"/>
      <c r="DD218" s="352"/>
      <c r="DE218" s="352"/>
      <c r="DF218" s="352"/>
      <c r="DG218" s="352"/>
      <c r="DH218" s="352"/>
      <c r="DI218" s="352"/>
      <c r="DJ218" s="352"/>
      <c r="DK218" s="352"/>
      <c r="DL218" s="352"/>
      <c r="DM218" s="352"/>
      <c r="DN218" s="14"/>
      <c r="DO218" s="14"/>
      <c r="DP218" s="14"/>
      <c r="DQ218" s="14"/>
      <c r="DR218" s="14"/>
      <c r="DX218" s="906"/>
      <c r="DY218" s="906"/>
      <c r="DZ218" s="906"/>
      <c r="EA218" s="906"/>
      <c r="EB218" s="906"/>
      <c r="EC218" s="1048"/>
      <c r="ED218" s="1048"/>
      <c r="EE218" s="1048"/>
      <c r="EF218" s="1048"/>
      <c r="EH218" s="1048"/>
      <c r="EI218" s="1048"/>
      <c r="EJ218" s="1048"/>
      <c r="EK218" s="1048"/>
      <c r="EM218" s="1048"/>
      <c r="FC218" s="1577"/>
      <c r="FD218" s="1577"/>
      <c r="FE218" s="1577"/>
      <c r="FF218" s="1577"/>
      <c r="FG218" s="1577"/>
      <c r="FH218" s="1577"/>
      <c r="FI218" s="1577"/>
      <c r="FJ218" s="1577"/>
      <c r="FK218" s="1577"/>
      <c r="FL218" s="1048"/>
    </row>
    <row r="219" spans="1:169">
      <c r="A219" s="14" t="s">
        <v>4</v>
      </c>
      <c r="B219" s="77"/>
      <c r="C219" s="14"/>
      <c r="D219" s="14"/>
      <c r="E219" s="14"/>
      <c r="F219" s="14"/>
      <c r="G219" s="77"/>
      <c r="H219" s="14"/>
      <c r="I219" s="14"/>
      <c r="J219" s="14"/>
      <c r="K219" s="14"/>
      <c r="L219" s="14"/>
      <c r="M219" s="77"/>
      <c r="N219" s="14"/>
      <c r="O219" s="14"/>
      <c r="P219" s="77"/>
      <c r="Q219" s="14"/>
      <c r="R219" s="14"/>
      <c r="S219" s="14"/>
      <c r="T219" s="77"/>
      <c r="U219" s="77"/>
      <c r="V219" s="77"/>
      <c r="W219" s="14"/>
      <c r="X219" s="14"/>
      <c r="Y219" s="14"/>
      <c r="Z219" s="14"/>
      <c r="AA219" s="14"/>
      <c r="AB219" s="77"/>
      <c r="AC219" s="77"/>
      <c r="AD219" s="77"/>
      <c r="AE219" s="77">
        <v>17.5</v>
      </c>
      <c r="AF219" s="14">
        <f t="shared" ref="AF219:AQ219" si="381">AE219</f>
        <v>17.5</v>
      </c>
      <c r="AG219" s="14">
        <f t="shared" si="381"/>
        <v>17.5</v>
      </c>
      <c r="AH219" s="14">
        <f t="shared" si="381"/>
        <v>17.5</v>
      </c>
      <c r="AI219" s="14">
        <f t="shared" si="381"/>
        <v>17.5</v>
      </c>
      <c r="AJ219" s="14">
        <f t="shared" si="381"/>
        <v>17.5</v>
      </c>
      <c r="AK219" s="14">
        <f t="shared" si="381"/>
        <v>17.5</v>
      </c>
      <c r="AL219" s="14">
        <f t="shared" si="381"/>
        <v>17.5</v>
      </c>
      <c r="AM219" s="2806">
        <f t="shared" si="381"/>
        <v>17.5</v>
      </c>
      <c r="AN219" s="3339">
        <f t="shared" si="381"/>
        <v>17.5</v>
      </c>
      <c r="AO219" s="2806">
        <f t="shared" si="381"/>
        <v>17.5</v>
      </c>
      <c r="AP219" s="14">
        <f t="shared" si="381"/>
        <v>17.5</v>
      </c>
      <c r="AQ219" s="14">
        <f t="shared" si="381"/>
        <v>17.5</v>
      </c>
      <c r="AR219" s="14">
        <f t="shared" ref="AR219:AY219" si="382">AQ219</f>
        <v>17.5</v>
      </c>
      <c r="AS219" s="14">
        <f t="shared" si="382"/>
        <v>17.5</v>
      </c>
      <c r="AT219" s="14">
        <f t="shared" si="382"/>
        <v>17.5</v>
      </c>
      <c r="AU219" s="14">
        <f t="shared" si="382"/>
        <v>17.5</v>
      </c>
      <c r="AV219" s="14">
        <f t="shared" si="382"/>
        <v>17.5</v>
      </c>
      <c r="AW219" s="14">
        <f t="shared" si="382"/>
        <v>17.5</v>
      </c>
      <c r="AX219" s="14">
        <f t="shared" si="382"/>
        <v>17.5</v>
      </c>
      <c r="AY219" s="14">
        <f t="shared" si="382"/>
        <v>17.5</v>
      </c>
      <c r="AZ219" s="354"/>
      <c r="BA219" s="354"/>
      <c r="BB219" s="354"/>
      <c r="BC219" s="354"/>
      <c r="BD219" s="354"/>
      <c r="BE219" s="370"/>
      <c r="BF219" s="14"/>
      <c r="BG219" s="14"/>
      <c r="BH219" s="14"/>
      <c r="BI219" s="14"/>
      <c r="BJ219" s="14"/>
      <c r="BK219" s="14"/>
      <c r="BL219" s="14"/>
      <c r="BM219" s="14"/>
      <c r="BN219" s="14"/>
      <c r="BO219" s="14"/>
      <c r="BP219" s="14"/>
      <c r="BQ219" s="14"/>
      <c r="BR219" s="14"/>
      <c r="BS219" s="14"/>
      <c r="BT219" s="14"/>
      <c r="BU219" s="14"/>
      <c r="BV219" s="14"/>
      <c r="BW219" s="14"/>
      <c r="BX219" s="14"/>
      <c r="BY219" s="95"/>
      <c r="BZ219" s="14"/>
      <c r="CA219" s="14"/>
      <c r="CB219" s="14"/>
      <c r="CC219" s="14"/>
      <c r="CD219" s="377"/>
      <c r="CE219" s="14"/>
      <c r="CF219" s="14"/>
      <c r="CG219" s="14"/>
      <c r="CH219" s="14"/>
      <c r="CI219" s="53"/>
      <c r="CJ219" s="14"/>
      <c r="CK219" s="14"/>
      <c r="CL219" s="14"/>
      <c r="CM219" s="14"/>
      <c r="CN219" s="49"/>
      <c r="CO219" s="14"/>
      <c r="CP219" s="14"/>
      <c r="CQ219" s="14"/>
      <c r="CR219" s="14"/>
      <c r="CS219" s="49"/>
      <c r="CT219" s="14"/>
      <c r="CU219" s="14"/>
      <c r="CV219" s="14"/>
      <c r="CW219" s="14"/>
      <c r="CX219" s="49"/>
      <c r="CY219" s="352"/>
      <c r="CZ219" s="352"/>
      <c r="DA219" s="352"/>
      <c r="DB219" s="352"/>
      <c r="DC219" s="14"/>
      <c r="DD219" s="352"/>
      <c r="DE219" s="352"/>
      <c r="DF219" s="352"/>
      <c r="DG219" s="352"/>
      <c r="DH219" s="352"/>
      <c r="DI219" s="352"/>
      <c r="DJ219" s="352"/>
      <c r="DK219" s="352"/>
      <c r="DL219" s="352"/>
      <c r="DM219" s="352"/>
      <c r="DN219" s="14"/>
      <c r="DO219" s="14"/>
      <c r="DP219" s="14"/>
      <c r="DQ219" s="14"/>
      <c r="DR219" s="14"/>
      <c r="DX219" s="906"/>
      <c r="DY219" s="906"/>
      <c r="DZ219" s="906"/>
      <c r="EA219" s="906"/>
      <c r="EB219" s="906"/>
      <c r="EC219" s="1048"/>
      <c r="ED219" s="1048"/>
      <c r="EE219" s="1048"/>
      <c r="EF219" s="1048"/>
      <c r="EH219" s="1048"/>
      <c r="EI219" s="1048"/>
      <c r="EJ219" s="1048"/>
      <c r="EK219" s="1048"/>
      <c r="EM219" s="1048"/>
      <c r="FC219" s="1577"/>
      <c r="FD219" s="1577"/>
      <c r="FE219" s="1577"/>
      <c r="FF219" s="1577"/>
      <c r="FG219" s="1577"/>
      <c r="FH219" s="1577"/>
      <c r="FI219" s="1577"/>
      <c r="FJ219" s="1577"/>
      <c r="FK219" s="1577"/>
      <c r="FL219" s="1048"/>
    </row>
    <row r="220" spans="1:169">
      <c r="A220" s="61" t="s">
        <v>731</v>
      </c>
      <c r="B220" s="170">
        <f>82.4/2</f>
        <v>41.2</v>
      </c>
      <c r="C220" s="61"/>
      <c r="D220" s="61"/>
      <c r="E220" s="61"/>
      <c r="F220" s="61">
        <f>B220</f>
        <v>41.2</v>
      </c>
      <c r="G220" s="170">
        <f>29.5/2</f>
        <v>14.75</v>
      </c>
      <c r="H220" s="61"/>
      <c r="I220" s="61"/>
      <c r="J220" s="61"/>
      <c r="K220" s="61"/>
      <c r="L220" s="61">
        <f>G220</f>
        <v>14.75</v>
      </c>
      <c r="M220" s="170">
        <f>6.8/2</f>
        <v>3.4</v>
      </c>
      <c r="N220" s="61">
        <f>+M220</f>
        <v>3.4</v>
      </c>
      <c r="O220" s="61">
        <f>N220</f>
        <v>3.4</v>
      </c>
      <c r="P220" s="170">
        <f>8/2</f>
        <v>4</v>
      </c>
      <c r="Q220" s="170">
        <v>0</v>
      </c>
      <c r="R220" s="170">
        <f>P220</f>
        <v>4</v>
      </c>
      <c r="S220" s="61">
        <f>R220</f>
        <v>4</v>
      </c>
      <c r="T220" s="170">
        <f>6/2</f>
        <v>3</v>
      </c>
      <c r="U220" s="170">
        <f>5.1/2</f>
        <v>2.5499999999999998</v>
      </c>
      <c r="V220" s="169"/>
      <c r="W220" s="170"/>
      <c r="X220" s="170">
        <f>24.5/2</f>
        <v>12.25</v>
      </c>
      <c r="Y220" s="170">
        <f>6/2</f>
        <v>3</v>
      </c>
      <c r="Z220" s="170">
        <f>5.1/2</f>
        <v>2.5499999999999998</v>
      </c>
      <c r="AA220" s="170">
        <f>24.5/2</f>
        <v>12.25</v>
      </c>
      <c r="AB220" s="170">
        <v>19.5</v>
      </c>
      <c r="AC220" s="170">
        <v>12.9</v>
      </c>
      <c r="AD220" s="170">
        <v>13.5</v>
      </c>
      <c r="AE220" s="169">
        <f t="shared" ref="AE220:AM220" si="383">AE221-AE216-AE217-AE218-AE219</f>
        <v>22.700000000000045</v>
      </c>
      <c r="AF220" s="169">
        <f t="shared" si="383"/>
        <v>15.099999999999994</v>
      </c>
      <c r="AG220" s="169">
        <f t="shared" si="383"/>
        <v>17.300000000000011</v>
      </c>
      <c r="AH220" s="169">
        <f t="shared" si="383"/>
        <v>14</v>
      </c>
      <c r="AI220" s="169">
        <f t="shared" si="383"/>
        <v>12.42849529153392</v>
      </c>
      <c r="AJ220" s="169">
        <f t="shared" si="383"/>
        <v>39.294038152471472</v>
      </c>
      <c r="AK220" s="169">
        <f t="shared" si="383"/>
        <v>33.723165311581802</v>
      </c>
      <c r="AL220" s="169">
        <f t="shared" si="383"/>
        <v>28.089948646536115</v>
      </c>
      <c r="AM220" s="3340">
        <f t="shared" si="383"/>
        <v>29.934608246496445</v>
      </c>
      <c r="AN220" s="3341">
        <f t="shared" ref="AN220:AY220" si="384">AM220*1.02</f>
        <v>30.533300411426374</v>
      </c>
      <c r="AO220" s="3341">
        <f t="shared" si="384"/>
        <v>31.143966419654902</v>
      </c>
      <c r="AP220" s="1653">
        <f t="shared" si="384"/>
        <v>31.766845748047999</v>
      </c>
      <c r="AQ220" s="1653">
        <f t="shared" si="384"/>
        <v>32.402182663008958</v>
      </c>
      <c r="AR220" s="1653">
        <f t="shared" si="384"/>
        <v>33.050226316269139</v>
      </c>
      <c r="AS220" s="1653">
        <f t="shared" si="384"/>
        <v>33.711230842594524</v>
      </c>
      <c r="AT220" s="1653">
        <f t="shared" si="384"/>
        <v>34.385455459446419</v>
      </c>
      <c r="AU220" s="1653">
        <f t="shared" si="384"/>
        <v>35.073164568635349</v>
      </c>
      <c r="AV220" s="1653">
        <f t="shared" si="384"/>
        <v>35.774627860008053</v>
      </c>
      <c r="AW220" s="1653">
        <f t="shared" si="384"/>
        <v>36.490120417208217</v>
      </c>
      <c r="AX220" s="1653">
        <f t="shared" si="384"/>
        <v>37.219922825552381</v>
      </c>
      <c r="AY220" s="1653">
        <f t="shared" si="384"/>
        <v>37.96432128206343</v>
      </c>
      <c r="AZ220" s="1571"/>
      <c r="BA220" s="1571"/>
      <c r="BB220" s="1571"/>
      <c r="BC220" s="1571"/>
      <c r="BD220" s="1571"/>
      <c r="BE220" s="1573"/>
      <c r="BF220" s="61"/>
      <c r="BG220" s="61"/>
      <c r="BH220" s="61"/>
      <c r="BI220" s="61"/>
      <c r="BJ220" s="61"/>
      <c r="BK220" s="61"/>
      <c r="BL220" s="61"/>
      <c r="BM220" s="61"/>
      <c r="BN220" s="61"/>
      <c r="BO220" s="61"/>
      <c r="BP220" s="61"/>
      <c r="BQ220" s="61"/>
      <c r="BR220" s="61"/>
      <c r="BS220" s="61"/>
      <c r="BT220" s="61"/>
      <c r="BU220" s="61"/>
      <c r="BV220" s="61"/>
      <c r="BW220" s="61"/>
      <c r="BX220" s="61"/>
      <c r="BY220" s="256"/>
      <c r="BZ220" s="61"/>
      <c r="CA220" s="61"/>
      <c r="CB220" s="61"/>
      <c r="CC220" s="61"/>
      <c r="CD220" s="451"/>
      <c r="CE220" s="61"/>
      <c r="CF220" s="61"/>
      <c r="CG220" s="61"/>
      <c r="CH220" s="61"/>
      <c r="CI220" s="452"/>
      <c r="CJ220" s="61"/>
      <c r="CK220" s="61"/>
      <c r="CL220" s="61"/>
      <c r="CM220" s="61"/>
      <c r="CN220" s="459"/>
      <c r="CO220" s="61"/>
      <c r="CP220" s="61"/>
      <c r="CQ220" s="61"/>
      <c r="CR220" s="61"/>
      <c r="CS220" s="459"/>
      <c r="CT220" s="61"/>
      <c r="CU220" s="61"/>
      <c r="CV220" s="61"/>
      <c r="CW220" s="61"/>
      <c r="CX220" s="459"/>
      <c r="CY220" s="453"/>
      <c r="CZ220" s="453"/>
      <c r="DA220" s="453"/>
      <c r="DB220" s="453"/>
      <c r="DC220" s="61"/>
      <c r="DD220" s="453"/>
      <c r="DE220" s="453"/>
      <c r="DF220" s="453"/>
      <c r="DG220" s="453"/>
      <c r="DH220" s="453"/>
      <c r="DI220" s="453"/>
      <c r="DJ220" s="453"/>
      <c r="DK220" s="453"/>
      <c r="DL220" s="453"/>
      <c r="DM220" s="453"/>
      <c r="DN220" s="61"/>
      <c r="DO220" s="61"/>
      <c r="DP220" s="61"/>
      <c r="DQ220" s="61"/>
      <c r="DR220" s="61"/>
      <c r="DX220" s="906"/>
      <c r="DY220" s="906"/>
      <c r="DZ220" s="906"/>
      <c r="EA220" s="906"/>
      <c r="EB220" s="906"/>
      <c r="EC220" s="1048"/>
      <c r="ED220" s="1048"/>
      <c r="EE220" s="1048"/>
      <c r="EF220" s="1048"/>
      <c r="EH220" s="1048"/>
      <c r="EI220" s="1048"/>
      <c r="EJ220" s="1048"/>
      <c r="EK220" s="1048"/>
      <c r="EM220" s="1048"/>
      <c r="FC220" s="1577"/>
      <c r="FD220" s="1577"/>
      <c r="FE220" s="1577"/>
      <c r="FF220" s="1577"/>
      <c r="FG220" s="1577"/>
      <c r="FH220" s="1577"/>
      <c r="FI220" s="1577"/>
      <c r="FJ220" s="1577"/>
      <c r="FK220" s="1577"/>
      <c r="FL220" s="1048"/>
    </row>
    <row r="221" spans="1:169" s="875" customFormat="1">
      <c r="A221" s="319" t="s">
        <v>732</v>
      </c>
      <c r="B221" s="319">
        <f>SUM(B216:B220)</f>
        <v>101.80000000000001</v>
      </c>
      <c r="C221" s="2782">
        <v>139</v>
      </c>
      <c r="D221" s="319"/>
      <c r="E221" s="319">
        <f>+B221+C221</f>
        <v>240.8</v>
      </c>
      <c r="F221" s="319">
        <f>SUM(F216:F220)</f>
        <v>240.8</v>
      </c>
      <c r="G221" s="319">
        <f>SUM(G216:G220)</f>
        <v>66.05</v>
      </c>
      <c r="H221" s="319">
        <f>+G221</f>
        <v>66.05</v>
      </c>
      <c r="I221" s="2782">
        <v>171</v>
      </c>
      <c r="J221" s="319"/>
      <c r="K221" s="319">
        <f>+H221+I221</f>
        <v>237.05</v>
      </c>
      <c r="L221" s="319">
        <f t="shared" ref="L221:U221" si="385">SUM(L216:L220)</f>
        <v>237.05</v>
      </c>
      <c r="M221" s="319">
        <f t="shared" si="385"/>
        <v>191.5</v>
      </c>
      <c r="N221" s="319">
        <f t="shared" si="385"/>
        <v>191.5</v>
      </c>
      <c r="O221" s="319">
        <f t="shared" si="385"/>
        <v>191.5</v>
      </c>
      <c r="P221" s="319">
        <f t="shared" si="385"/>
        <v>223.5</v>
      </c>
      <c r="Q221" s="319">
        <f t="shared" si="385"/>
        <v>0</v>
      </c>
      <c r="R221" s="319">
        <f t="shared" si="385"/>
        <v>223.5</v>
      </c>
      <c r="S221" s="319">
        <f t="shared" si="385"/>
        <v>223.5</v>
      </c>
      <c r="T221" s="319">
        <f t="shared" si="385"/>
        <v>223.2</v>
      </c>
      <c r="U221" s="319">
        <f t="shared" si="385"/>
        <v>198.35000000000002</v>
      </c>
      <c r="V221" s="2782"/>
      <c r="W221" s="319"/>
      <c r="X221" s="319">
        <f t="shared" ref="X221:AD221" si="386">SUM(X216:X220)</f>
        <v>268.05849999999998</v>
      </c>
      <c r="Y221" s="319">
        <f t="shared" si="386"/>
        <v>277.2</v>
      </c>
      <c r="Z221" s="319">
        <f t="shared" si="386"/>
        <v>253.14999999999998</v>
      </c>
      <c r="AA221" s="319">
        <f t="shared" si="386"/>
        <v>290.55</v>
      </c>
      <c r="AB221" s="319">
        <f t="shared" si="386"/>
        <v>375.6</v>
      </c>
      <c r="AC221" s="319">
        <f t="shared" si="386"/>
        <v>394.09999999999997</v>
      </c>
      <c r="AD221" s="319">
        <f t="shared" si="386"/>
        <v>469.1</v>
      </c>
      <c r="AE221" s="2781">
        <f>-'GAAP Financial Statements'!N279</f>
        <v>474.1</v>
      </c>
      <c r="AF221" s="2781">
        <f>-'GAAP Financial Statements'!R279</f>
        <v>261.60000000000002</v>
      </c>
      <c r="AG221" s="2781">
        <f>-'GAAP Financial Statements'!S279</f>
        <v>284.3</v>
      </c>
      <c r="AH221" s="2781">
        <f>-'GAAP Financial Statements'!T279</f>
        <v>245</v>
      </c>
      <c r="AI221" s="2781">
        <f>-'GAAP Financial Statements'!U279</f>
        <v>254</v>
      </c>
      <c r="AJ221" s="2781">
        <f>-'GAAP Financial Statements'!V279</f>
        <v>270</v>
      </c>
      <c r="AK221" s="2781">
        <f>-'GAAP Financial Statements'!W279</f>
        <v>206</v>
      </c>
      <c r="AL221" s="2781">
        <f>-'GAAP Financial Statements'!Z279</f>
        <v>193</v>
      </c>
      <c r="AM221" s="3342">
        <f>-'GAAP Financial Statements'!AA279</f>
        <v>196</v>
      </c>
      <c r="AN221" s="3035">
        <f>SUM(AN216:AN220)</f>
        <v>180.06950525844732</v>
      </c>
      <c r="AO221" s="3035">
        <f>SUM(AO216:AO220)</f>
        <v>184.00572813616898</v>
      </c>
      <c r="AP221" s="319">
        <f>SUM(AP216:AP220)</f>
        <v>194.37195620936308</v>
      </c>
      <c r="AQ221" s="319">
        <f>SUM(AQ216:AQ220)</f>
        <v>199.31737350942876</v>
      </c>
      <c r="AR221" s="319">
        <f t="shared" ref="AR221:AW221" si="387">SUM(AR216:AR220)</f>
        <v>207.02558013073693</v>
      </c>
      <c r="AS221" s="319">
        <f t="shared" si="387"/>
        <v>218.95389144146759</v>
      </c>
      <c r="AT221" s="319">
        <f t="shared" si="387"/>
        <v>218.94700216810344</v>
      </c>
      <c r="AU221" s="319">
        <f t="shared" si="387"/>
        <v>225.28788442773111</v>
      </c>
      <c r="AV221" s="319">
        <f t="shared" si="387"/>
        <v>236.04014372663985</v>
      </c>
      <c r="AW221" s="319">
        <f t="shared" si="387"/>
        <v>235.29547152840053</v>
      </c>
      <c r="AX221" s="319">
        <f>SUM(AX216:AX220)</f>
        <v>240.1392561533286</v>
      </c>
      <c r="AY221" s="319">
        <f>SUM(AY216:AY220)</f>
        <v>253.66167875502467</v>
      </c>
      <c r="AZ221" s="2780"/>
      <c r="BA221" s="2780"/>
      <c r="BB221" s="2780"/>
      <c r="BC221" s="2780"/>
      <c r="BD221" s="2780"/>
      <c r="BE221" s="2779"/>
      <c r="BF221" s="319"/>
      <c r="BG221" s="319"/>
      <c r="BH221" s="319"/>
      <c r="BI221" s="319"/>
      <c r="BJ221" s="319"/>
      <c r="BK221" s="319"/>
      <c r="BL221" s="319"/>
      <c r="BM221" s="319"/>
      <c r="BN221" s="319"/>
      <c r="BO221" s="319"/>
      <c r="BP221" s="319"/>
      <c r="BQ221" s="319"/>
      <c r="BR221" s="319"/>
      <c r="BS221" s="319"/>
      <c r="BT221" s="319"/>
      <c r="BU221" s="319"/>
      <c r="BV221" s="319"/>
      <c r="BW221" s="319"/>
      <c r="BX221" s="319"/>
      <c r="BY221" s="2778"/>
      <c r="BZ221" s="319"/>
      <c r="CA221" s="319"/>
      <c r="CB221" s="319"/>
      <c r="CC221" s="319"/>
      <c r="CD221" s="2777"/>
      <c r="CE221" s="319"/>
      <c r="CF221" s="319"/>
      <c r="CG221" s="319"/>
      <c r="CH221" s="319"/>
      <c r="CI221" s="2776"/>
      <c r="CJ221" s="319"/>
      <c r="CK221" s="319"/>
      <c r="CL221" s="319"/>
      <c r="CM221" s="319"/>
      <c r="CN221" s="1025"/>
      <c r="CO221" s="319"/>
      <c r="CP221" s="319"/>
      <c r="CQ221" s="319"/>
      <c r="CR221" s="319"/>
      <c r="CS221" s="1025"/>
      <c r="CT221" s="319"/>
      <c r="CU221" s="319"/>
      <c r="CV221" s="319"/>
      <c r="CW221" s="319"/>
      <c r="CX221" s="1025"/>
      <c r="CY221" s="2775"/>
      <c r="CZ221" s="2775"/>
      <c r="DA221" s="2775"/>
      <c r="DB221" s="2775"/>
      <c r="DC221" s="319"/>
      <c r="DD221" s="2775"/>
      <c r="DE221" s="2775"/>
      <c r="DF221" s="2775"/>
      <c r="DG221" s="2775"/>
      <c r="DH221" s="2775"/>
      <c r="DI221" s="2775"/>
      <c r="DJ221" s="2775"/>
      <c r="DK221" s="2775"/>
      <c r="DL221" s="2775"/>
      <c r="DM221" s="2775"/>
      <c r="DN221" s="319"/>
      <c r="DO221" s="319"/>
      <c r="DP221" s="319"/>
      <c r="DQ221" s="319"/>
      <c r="DR221" s="319"/>
      <c r="DX221" s="9"/>
      <c r="DY221" s="9"/>
      <c r="DZ221" s="9"/>
      <c r="EA221" s="9"/>
      <c r="EB221" s="9"/>
      <c r="EC221" s="2774"/>
      <c r="ED221" s="2774"/>
      <c r="EE221" s="2774"/>
      <c r="EF221" s="2774"/>
      <c r="EH221" s="2774"/>
      <c r="EI221" s="2774"/>
      <c r="EJ221" s="2774"/>
      <c r="EK221" s="2774"/>
      <c r="EM221" s="2774"/>
      <c r="FC221" s="2368"/>
      <c r="FD221" s="2368"/>
      <c r="FE221" s="2368"/>
      <c r="FF221" s="2368"/>
      <c r="FG221" s="2368"/>
      <c r="FH221" s="2368"/>
      <c r="FI221" s="2368"/>
      <c r="FJ221" s="2368"/>
      <c r="FK221" s="2368"/>
      <c r="FL221" s="2774"/>
    </row>
    <row r="222" spans="1:169">
      <c r="A222" s="14"/>
      <c r="B222" s="77"/>
      <c r="C222" s="77"/>
      <c r="D222" s="14"/>
      <c r="E222" s="14"/>
      <c r="F222" s="14"/>
      <c r="G222" s="77"/>
      <c r="H222" s="14"/>
      <c r="I222" s="77"/>
      <c r="J222" s="14"/>
      <c r="K222" s="14"/>
      <c r="L222" s="14"/>
      <c r="M222" s="77"/>
      <c r="N222" s="77"/>
      <c r="O222" s="14"/>
      <c r="P222" s="14"/>
      <c r="Q222" s="14"/>
      <c r="R222" s="14"/>
      <c r="S222" s="14"/>
      <c r="T222" s="77"/>
      <c r="U222" s="39"/>
      <c r="V222" s="77"/>
      <c r="W222" s="39"/>
      <c r="X222" s="39"/>
      <c r="Y222" s="14"/>
      <c r="Z222" s="14"/>
      <c r="AA222" s="14"/>
      <c r="AB222" s="14"/>
      <c r="AC222" s="14"/>
      <c r="AD222" s="14"/>
      <c r="AE222" s="14"/>
      <c r="AF222" s="14"/>
      <c r="AG222" s="14"/>
      <c r="AH222" s="14"/>
      <c r="AI222" s="14"/>
      <c r="AJ222" s="14"/>
      <c r="AK222" s="14"/>
      <c r="AL222" s="14"/>
      <c r="AM222" s="2806"/>
      <c r="AN222" s="2806"/>
      <c r="AO222" s="2806"/>
      <c r="AP222" s="14"/>
      <c r="AQ222" s="14"/>
      <c r="AR222" s="14"/>
      <c r="AS222" s="14"/>
      <c r="AT222" s="14"/>
      <c r="AU222" s="14"/>
      <c r="AV222" s="14"/>
      <c r="AW222" s="14"/>
      <c r="AX222" s="14"/>
      <c r="AY222" s="354"/>
      <c r="AZ222" s="354"/>
      <c r="BA222" s="354"/>
      <c r="BB222" s="354"/>
      <c r="BC222" s="354"/>
      <c r="BD222" s="354"/>
      <c r="BE222" s="370"/>
      <c r="BF222" s="14"/>
      <c r="BG222" s="14"/>
      <c r="BH222" s="14"/>
      <c r="BI222" s="14"/>
      <c r="BJ222" s="14"/>
      <c r="BK222" s="14"/>
      <c r="BL222" s="14"/>
      <c r="BM222" s="14"/>
      <c r="BN222" s="14"/>
      <c r="BO222" s="14"/>
      <c r="BP222" s="14"/>
      <c r="BQ222" s="14"/>
      <c r="BR222" s="14"/>
      <c r="BS222" s="14"/>
      <c r="BT222" s="14"/>
      <c r="BU222" s="14"/>
      <c r="BV222" s="14"/>
      <c r="BW222" s="14"/>
      <c r="BX222" s="14"/>
      <c r="BY222" s="95"/>
      <c r="BZ222" s="14"/>
      <c r="CA222" s="14"/>
      <c r="CB222" s="14"/>
      <c r="CC222" s="14"/>
      <c r="CD222" s="377"/>
      <c r="CE222" s="14"/>
      <c r="CF222" s="14"/>
      <c r="CG222" s="14"/>
      <c r="CH222" s="14"/>
      <c r="CI222" s="53"/>
      <c r="CJ222" s="14"/>
      <c r="CK222" s="14"/>
      <c r="CL222" s="14"/>
      <c r="CM222" s="14"/>
      <c r="CN222" s="49"/>
      <c r="CO222" s="14"/>
      <c r="CP222" s="14"/>
      <c r="CQ222" s="14"/>
      <c r="CR222" s="14"/>
      <c r="CS222" s="49"/>
      <c r="CT222" s="14"/>
      <c r="CU222" s="14"/>
      <c r="CV222" s="14"/>
      <c r="CW222" s="14"/>
      <c r="CX222" s="49"/>
      <c r="CY222" s="352"/>
      <c r="CZ222" s="352"/>
      <c r="DA222" s="352"/>
      <c r="DB222" s="352"/>
      <c r="DC222" s="14"/>
      <c r="DD222" s="352"/>
      <c r="DE222" s="352"/>
      <c r="DF222" s="352"/>
      <c r="DG222" s="352"/>
      <c r="DH222" s="352"/>
      <c r="DI222" s="352"/>
      <c r="DJ222" s="352"/>
      <c r="DK222" s="352"/>
      <c r="DL222" s="352"/>
      <c r="DM222" s="352"/>
      <c r="DN222" s="14"/>
      <c r="DO222" s="14"/>
      <c r="DP222" s="14"/>
      <c r="DQ222" s="14"/>
      <c r="DR222" s="14"/>
      <c r="DX222" s="906"/>
      <c r="DY222" s="906"/>
      <c r="DZ222" s="906"/>
      <c r="EA222" s="906"/>
      <c r="EB222" s="906"/>
      <c r="EC222" s="1048"/>
      <c r="ED222" s="1048"/>
      <c r="EE222" s="1048"/>
      <c r="EF222" s="1048"/>
      <c r="EH222" s="1048"/>
      <c r="EI222" s="1048"/>
      <c r="EJ222" s="1048"/>
      <c r="EK222" s="1048"/>
      <c r="EM222" s="1048"/>
      <c r="FC222" s="1577"/>
      <c r="FD222" s="1577"/>
      <c r="FE222" s="1577"/>
      <c r="FF222" s="1577"/>
      <c r="FG222" s="1577"/>
      <c r="FH222" s="1577"/>
      <c r="FI222" s="1577"/>
      <c r="FJ222" s="1577"/>
      <c r="FK222" s="1577"/>
      <c r="FL222" s="1048"/>
    </row>
    <row r="223" spans="1:169">
      <c r="A223" s="14"/>
      <c r="B223" s="77"/>
      <c r="C223" s="77"/>
      <c r="D223" s="14"/>
      <c r="E223" s="14"/>
      <c r="F223" s="14"/>
      <c r="G223" s="77"/>
      <c r="H223" s="14"/>
      <c r="I223" s="77"/>
      <c r="J223" s="14"/>
      <c r="K223" s="14"/>
      <c r="L223" s="14"/>
      <c r="M223" s="77"/>
      <c r="N223" s="77"/>
      <c r="O223" s="14"/>
      <c r="P223" s="14"/>
      <c r="Q223" s="14"/>
      <c r="R223" s="14"/>
      <c r="S223" s="14"/>
      <c r="T223" s="14"/>
      <c r="U223" s="14"/>
      <c r="V223" s="14"/>
      <c r="W223" s="14"/>
      <c r="X223" s="14"/>
      <c r="Y223" s="14"/>
      <c r="Z223" s="14"/>
      <c r="AA223" s="14"/>
      <c r="AB223" s="14"/>
      <c r="AC223" s="14"/>
      <c r="AD223" s="14"/>
      <c r="AE223" s="14"/>
      <c r="AF223" s="14"/>
      <c r="AG223" s="14"/>
      <c r="AH223" s="14"/>
      <c r="AI223" s="14"/>
      <c r="AJ223" s="14"/>
      <c r="AK223" s="14"/>
      <c r="AL223" s="14"/>
      <c r="AM223" s="2806"/>
      <c r="AN223" s="2806"/>
      <c r="AO223" s="2806"/>
      <c r="AP223" s="14"/>
      <c r="AQ223" s="14"/>
      <c r="AR223" s="14"/>
      <c r="AS223" s="14"/>
      <c r="AT223" s="14"/>
      <c r="AU223" s="14"/>
      <c r="AV223" s="14"/>
      <c r="AW223" s="14"/>
      <c r="AX223" s="354"/>
      <c r="AY223" s="354"/>
      <c r="AZ223" s="354"/>
      <c r="BA223" s="354"/>
      <c r="BB223" s="354"/>
      <c r="BC223" s="354"/>
      <c r="BD223" s="354"/>
      <c r="BE223" s="370"/>
      <c r="BF223" s="14"/>
      <c r="BG223" s="14"/>
      <c r="BH223" s="14"/>
      <c r="BI223" s="14"/>
      <c r="BJ223" s="14"/>
      <c r="BK223" s="14"/>
      <c r="BL223" s="14"/>
      <c r="BM223" s="14"/>
      <c r="BN223" s="14"/>
      <c r="BO223" s="14"/>
      <c r="BP223" s="14"/>
      <c r="BQ223" s="14"/>
      <c r="BR223" s="14"/>
      <c r="BS223" s="14"/>
      <c r="BT223" s="14"/>
      <c r="BU223" s="14"/>
      <c r="BV223" s="14"/>
      <c r="BW223" s="14"/>
      <c r="BX223" s="14"/>
      <c r="BY223" s="95"/>
      <c r="BZ223" s="14"/>
      <c r="CA223" s="14"/>
      <c r="CB223" s="14"/>
      <c r="CC223" s="14"/>
      <c r="CD223" s="377"/>
      <c r="CE223" s="14"/>
      <c r="CF223" s="14"/>
      <c r="CG223" s="14"/>
      <c r="CH223" s="14"/>
      <c r="CI223" s="53"/>
      <c r="CJ223" s="14"/>
      <c r="CK223" s="14"/>
      <c r="CL223" s="14"/>
      <c r="CM223" s="14"/>
      <c r="CN223" s="49"/>
      <c r="CO223" s="14"/>
      <c r="CP223" s="14"/>
      <c r="CQ223" s="14"/>
      <c r="CR223" s="14"/>
      <c r="CS223" s="49"/>
      <c r="CT223" s="14"/>
      <c r="CU223" s="14"/>
      <c r="CV223" s="14"/>
      <c r="CW223" s="14"/>
      <c r="CX223" s="49"/>
      <c r="CY223" s="352"/>
      <c r="CZ223" s="352"/>
      <c r="DA223" s="352"/>
      <c r="DB223" s="352"/>
      <c r="DC223" s="14"/>
      <c r="DD223" s="352"/>
      <c r="DE223" s="352"/>
      <c r="DF223" s="352"/>
      <c r="DG223" s="352"/>
      <c r="DH223" s="352"/>
      <c r="DI223" s="352"/>
      <c r="DJ223" s="352"/>
      <c r="DK223" s="352"/>
      <c r="DL223" s="352"/>
      <c r="DM223" s="352"/>
      <c r="DN223" s="14"/>
      <c r="DO223" s="14"/>
      <c r="DP223" s="14"/>
      <c r="DQ223" s="14"/>
      <c r="DR223" s="14"/>
      <c r="DX223" s="906"/>
      <c r="DY223" s="906"/>
      <c r="DZ223" s="906"/>
      <c r="EA223" s="906"/>
      <c r="EB223" s="906"/>
      <c r="EC223" s="1048"/>
      <c r="ED223" s="1048"/>
      <c r="EE223" s="1048"/>
      <c r="EF223" s="1048"/>
      <c r="EH223" s="1048"/>
      <c r="EI223" s="1048"/>
      <c r="EJ223" s="1048"/>
      <c r="EK223" s="1048"/>
      <c r="EM223" s="1048"/>
      <c r="EV223" s="1577"/>
      <c r="EW223" s="1577"/>
      <c r="EX223" s="1577"/>
      <c r="EY223" s="1577"/>
      <c r="EZ223" s="1577"/>
      <c r="FA223" s="1577"/>
      <c r="FB223" s="1577"/>
      <c r="FC223" s="1577"/>
      <c r="FD223" s="1577"/>
      <c r="FE223" s="1577"/>
      <c r="FF223" s="1577"/>
      <c r="FG223" s="1577"/>
      <c r="FH223" s="1577"/>
      <c r="FI223" s="1577"/>
      <c r="FJ223" s="1577"/>
      <c r="FK223" s="1577"/>
      <c r="FL223" s="1048"/>
    </row>
    <row r="224" spans="1:169">
      <c r="A224" s="14"/>
      <c r="B224" s="77"/>
      <c r="C224" s="77"/>
      <c r="D224" s="14"/>
      <c r="E224" s="14"/>
      <c r="F224" s="14"/>
      <c r="G224" s="77"/>
      <c r="H224" s="14"/>
      <c r="I224" s="77"/>
      <c r="J224" s="14"/>
      <c r="K224" s="14"/>
      <c r="L224" s="14"/>
      <c r="M224" s="77"/>
      <c r="N224" s="77"/>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354"/>
      <c r="AY224" s="354"/>
      <c r="AZ224" s="354"/>
      <c r="BA224" s="354"/>
      <c r="BB224" s="354"/>
      <c r="BC224" s="354"/>
      <c r="BD224" s="354"/>
      <c r="BE224" s="370"/>
      <c r="BF224" s="14"/>
      <c r="BG224" s="14"/>
      <c r="BH224" s="14"/>
      <c r="BI224" s="14"/>
      <c r="BJ224" s="14"/>
      <c r="BK224" s="14"/>
      <c r="BL224" s="14"/>
      <c r="BM224" s="14"/>
      <c r="BN224" s="14"/>
      <c r="BO224" s="14"/>
      <c r="BP224" s="14"/>
      <c r="BQ224" s="14"/>
      <c r="BR224" s="14"/>
      <c r="BS224" s="14"/>
      <c r="BT224" s="14"/>
      <c r="BU224" s="14"/>
      <c r="BV224" s="14"/>
      <c r="BW224" s="14"/>
      <c r="BX224" s="14"/>
      <c r="BY224" s="95"/>
      <c r="BZ224" s="14"/>
      <c r="CA224" s="14"/>
      <c r="CB224" s="14"/>
      <c r="CC224" s="14"/>
      <c r="CD224" s="377"/>
      <c r="CE224" s="14"/>
      <c r="CF224" s="14"/>
      <c r="CG224" s="14"/>
      <c r="CH224" s="14"/>
      <c r="CI224" s="53"/>
      <c r="CJ224" s="14"/>
      <c r="CK224" s="14"/>
      <c r="CL224" s="14"/>
      <c r="CM224" s="14"/>
      <c r="CN224" s="49"/>
      <c r="CO224" s="14"/>
      <c r="CP224" s="14"/>
      <c r="CQ224" s="14"/>
      <c r="CR224" s="14"/>
      <c r="CS224" s="49"/>
      <c r="CT224" s="14"/>
      <c r="CU224" s="14"/>
      <c r="CV224" s="14"/>
      <c r="CW224" s="14"/>
      <c r="CX224" s="49"/>
      <c r="CY224" s="352"/>
      <c r="CZ224" s="352"/>
      <c r="DA224" s="352"/>
      <c r="DB224" s="352"/>
      <c r="DC224" s="14"/>
      <c r="DD224" s="352"/>
      <c r="DE224" s="352"/>
      <c r="DF224" s="352"/>
      <c r="DG224" s="352"/>
      <c r="DH224" s="352"/>
      <c r="DI224" s="352"/>
      <c r="DJ224" s="352"/>
      <c r="DK224" s="352"/>
      <c r="DL224" s="352"/>
      <c r="DM224" s="352"/>
      <c r="DN224" s="14"/>
      <c r="DO224" s="14"/>
      <c r="DP224" s="14"/>
      <c r="DQ224" s="14"/>
      <c r="DR224" s="14"/>
      <c r="DX224" s="906"/>
      <c r="DY224" s="906"/>
      <c r="DZ224" s="906"/>
      <c r="EA224" s="906"/>
      <c r="EB224" s="906"/>
      <c r="EC224" s="1048"/>
      <c r="ED224" s="1048"/>
      <c r="EE224" s="1048"/>
      <c r="EF224" s="1048"/>
      <c r="EH224" s="1048"/>
      <c r="EI224" s="1048"/>
      <c r="EJ224" s="1048"/>
      <c r="EK224" s="1048"/>
      <c r="EM224" s="1048"/>
      <c r="EV224" s="1577"/>
      <c r="EW224" s="1577"/>
      <c r="EX224" s="1577"/>
      <c r="EY224" s="1577"/>
      <c r="EZ224" s="1577"/>
      <c r="FA224" s="1577"/>
      <c r="FB224" s="1577"/>
      <c r="FC224" s="1577"/>
      <c r="FD224" s="1577"/>
      <c r="FE224" s="1577"/>
      <c r="FF224" s="1577"/>
      <c r="FG224" s="1577"/>
      <c r="FH224" s="1577"/>
      <c r="FI224" s="1577"/>
      <c r="FJ224" s="1577"/>
      <c r="FK224" s="1577"/>
      <c r="FL224" s="1048"/>
    </row>
    <row r="225" spans="1:168">
      <c r="A225" s="11"/>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4"/>
      <c r="AA225" s="11"/>
      <c r="AB225" s="14"/>
      <c r="AC225" s="11"/>
      <c r="AD225" s="11"/>
      <c r="AE225" s="11"/>
      <c r="AF225" s="11"/>
      <c r="AG225" s="11"/>
      <c r="AH225" s="11"/>
      <c r="AI225" s="11"/>
      <c r="AJ225" s="11"/>
      <c r="AK225" s="11"/>
      <c r="AL225" s="11"/>
      <c r="AM225" s="11"/>
      <c r="AN225" s="11"/>
      <c r="AO225" s="11"/>
      <c r="AP225" s="11"/>
      <c r="AQ225" s="11"/>
      <c r="AR225" s="11"/>
      <c r="AS225" s="11"/>
      <c r="AT225" s="11"/>
      <c r="AU225" s="11"/>
      <c r="AV225" s="11"/>
      <c r="AW225" s="11"/>
      <c r="AX225" s="69"/>
      <c r="AY225" s="69"/>
      <c r="AZ225" s="69"/>
      <c r="BA225" s="69"/>
      <c r="BB225" s="69"/>
      <c r="BC225" s="69"/>
      <c r="BD225" s="69"/>
      <c r="BE225" s="69"/>
      <c r="BF225" s="11"/>
      <c r="BG225" s="11"/>
      <c r="BH225" s="11"/>
      <c r="BI225" s="11"/>
      <c r="BJ225" s="11"/>
      <c r="BK225" s="11"/>
      <c r="BL225" s="11"/>
      <c r="BM225" s="11"/>
      <c r="BN225" s="11"/>
      <c r="BO225" s="11"/>
      <c r="BP225" s="11"/>
      <c r="BQ225" s="11"/>
      <c r="BR225" s="11"/>
      <c r="BS225" s="11"/>
      <c r="BT225" s="11"/>
      <c r="BU225" s="11"/>
      <c r="BV225" s="11"/>
      <c r="BW225" s="11"/>
      <c r="BX225" s="11"/>
      <c r="BY225" s="95"/>
      <c r="BZ225" s="11"/>
      <c r="CA225" s="11"/>
      <c r="CB225" s="11"/>
      <c r="CC225" s="11"/>
      <c r="CD225" s="377"/>
      <c r="CE225" s="11"/>
      <c r="CF225" s="11"/>
      <c r="CG225" s="11"/>
      <c r="CH225" s="11"/>
      <c r="CI225" s="53"/>
      <c r="CJ225" s="11"/>
      <c r="CK225" s="11"/>
      <c r="CL225" s="11"/>
      <c r="CM225" s="11"/>
      <c r="CN225" s="49"/>
      <c r="CO225" s="11"/>
      <c r="CP225" s="11"/>
      <c r="CQ225" s="11"/>
      <c r="CR225" s="11"/>
      <c r="CS225" s="49"/>
      <c r="CT225" s="11"/>
      <c r="CU225" s="14"/>
      <c r="CV225" s="14"/>
      <c r="CW225" s="14"/>
      <c r="CX225" s="49"/>
      <c r="CY225" s="352"/>
      <c r="CZ225" s="352"/>
      <c r="DA225" s="352"/>
      <c r="DB225" s="352"/>
      <c r="DC225" s="11"/>
      <c r="DD225" s="304"/>
      <c r="DE225" s="304"/>
      <c r="DF225" s="304"/>
      <c r="DG225" s="304"/>
      <c r="DH225" s="304"/>
      <c r="DI225" s="304"/>
      <c r="DJ225" s="304"/>
      <c r="DK225" s="304"/>
      <c r="DL225" s="304"/>
      <c r="DM225" s="304"/>
      <c r="DN225" s="11"/>
      <c r="DO225" s="11"/>
      <c r="DP225" s="11"/>
      <c r="DQ225" s="11"/>
      <c r="DR225" s="11"/>
      <c r="DX225" s="906"/>
      <c r="DY225" s="906"/>
      <c r="DZ225" s="906"/>
      <c r="EA225" s="906"/>
      <c r="EB225" s="906"/>
      <c r="EC225" s="1048"/>
      <c r="ED225" s="1048"/>
      <c r="EE225" s="1048"/>
      <c r="EF225" s="1048"/>
      <c r="EH225" s="1048"/>
      <c r="EI225" s="1048"/>
      <c r="EJ225" s="1048"/>
      <c r="EK225" s="1048"/>
      <c r="EM225" s="1048"/>
      <c r="EV225" s="1577"/>
      <c r="EW225" s="1577"/>
      <c r="EX225" s="1577"/>
      <c r="EY225" s="1577"/>
      <c r="EZ225" s="1577"/>
      <c r="FA225" s="1577"/>
      <c r="FB225" s="1577"/>
      <c r="FC225" s="1577"/>
      <c r="FD225" s="1577"/>
      <c r="FE225" s="1577"/>
      <c r="FF225" s="1577"/>
      <c r="FG225" s="1577"/>
      <c r="FH225" s="1577"/>
      <c r="FI225" s="1577"/>
      <c r="FJ225" s="1577"/>
      <c r="FK225" s="1577"/>
      <c r="FL225" s="1048"/>
    </row>
    <row r="226" spans="1:168">
      <c r="A226" s="11" t="s">
        <v>1086</v>
      </c>
      <c r="B226" s="460">
        <v>30.99445535732367</v>
      </c>
      <c r="C226" s="11"/>
      <c r="D226" s="11"/>
      <c r="E226" s="11"/>
      <c r="F226" s="11"/>
      <c r="G226" s="460">
        <v>37.129263157894741</v>
      </c>
      <c r="H226" s="11"/>
      <c r="I226" s="11"/>
      <c r="J226" s="11"/>
      <c r="K226" s="11"/>
      <c r="L226" s="11"/>
      <c r="M226" s="460">
        <v>42.292835999999994</v>
      </c>
      <c r="N226" s="11"/>
      <c r="O226" s="11"/>
      <c r="P226" s="11"/>
      <c r="Q226" s="11"/>
      <c r="R226" s="11"/>
      <c r="S226" s="11"/>
      <c r="T226" s="11"/>
      <c r="U226" s="11"/>
      <c r="V226" s="11"/>
      <c r="W226" s="11"/>
      <c r="X226" s="11"/>
      <c r="Y226" s="11"/>
      <c r="Z226" s="14"/>
      <c r="AA226" s="11"/>
      <c r="AB226" s="14"/>
      <c r="AC226" s="11"/>
      <c r="AD226" s="11"/>
      <c r="AE226" s="11"/>
      <c r="AF226" s="11"/>
      <c r="AG226" s="11"/>
      <c r="AH226" s="11"/>
      <c r="AI226" s="11"/>
      <c r="AJ226" s="11"/>
      <c r="AK226" s="11"/>
      <c r="AL226" s="11"/>
      <c r="AM226" s="11"/>
      <c r="AN226" s="11"/>
      <c r="AO226" s="11"/>
      <c r="AP226" s="11"/>
      <c r="AQ226" s="11"/>
      <c r="AR226" s="11"/>
      <c r="AS226" s="11"/>
      <c r="AT226" s="11"/>
      <c r="AU226" s="11"/>
      <c r="AV226" s="11"/>
      <c r="AW226" s="11"/>
      <c r="AX226" s="69"/>
      <c r="AY226" s="69"/>
      <c r="AZ226" s="69"/>
      <c r="BA226" s="69"/>
      <c r="BB226" s="69"/>
      <c r="BC226" s="69"/>
      <c r="BD226" s="69"/>
      <c r="BE226" s="69"/>
      <c r="BF226" s="11"/>
      <c r="BG226" s="11"/>
      <c r="BH226" s="11"/>
      <c r="BI226" s="11"/>
      <c r="BJ226" s="11"/>
      <c r="BK226" s="11"/>
      <c r="BL226" s="11"/>
      <c r="BM226" s="11"/>
      <c r="BN226" s="11"/>
      <c r="BO226" s="11"/>
      <c r="BP226" s="11"/>
      <c r="BQ226" s="11"/>
      <c r="BR226" s="11"/>
      <c r="BS226" s="11"/>
      <c r="BT226" s="11"/>
      <c r="BU226" s="11"/>
      <c r="BV226" s="11"/>
      <c r="BW226" s="11"/>
      <c r="BX226" s="11"/>
      <c r="BY226" s="95"/>
      <c r="BZ226" s="11"/>
      <c r="CA226" s="11"/>
      <c r="CB226" s="11"/>
      <c r="CC226" s="11"/>
      <c r="CD226" s="377"/>
      <c r="CE226" s="11"/>
      <c r="CF226" s="11"/>
      <c r="CG226" s="11"/>
      <c r="CH226" s="11"/>
      <c r="CI226" s="53"/>
      <c r="CJ226" s="11"/>
      <c r="CK226" s="11"/>
      <c r="CL226" s="11"/>
      <c r="CM226" s="11"/>
      <c r="CN226" s="49"/>
      <c r="CO226" s="11"/>
      <c r="CP226" s="11"/>
      <c r="CQ226" s="11"/>
      <c r="CR226" s="11"/>
      <c r="CS226" s="49"/>
      <c r="CT226" s="11"/>
      <c r="CU226" s="11"/>
      <c r="CV226" s="11"/>
      <c r="CW226" s="11"/>
      <c r="CX226" s="49"/>
      <c r="CY226" s="304"/>
      <c r="CZ226" s="304"/>
      <c r="DA226" s="304"/>
      <c r="DB226" s="304"/>
      <c r="DC226" s="11"/>
      <c r="DD226" s="304"/>
      <c r="DE226" s="304"/>
      <c r="DF226" s="304"/>
      <c r="DG226" s="304"/>
      <c r="DH226" s="304"/>
      <c r="DI226" s="304"/>
      <c r="DJ226" s="304"/>
      <c r="DK226" s="304"/>
      <c r="DL226" s="304"/>
      <c r="DM226" s="304"/>
      <c r="DN226" s="11"/>
      <c r="DO226" s="11"/>
      <c r="DP226" s="11"/>
      <c r="DQ226" s="11"/>
      <c r="DR226" s="11"/>
      <c r="DX226" s="906"/>
      <c r="DY226" s="906"/>
      <c r="DZ226" s="906"/>
      <c r="EA226" s="906"/>
      <c r="EB226" s="906"/>
      <c r="EC226" s="1048"/>
      <c r="ED226" s="1048"/>
      <c r="EE226" s="1048"/>
      <c r="EF226" s="1048"/>
      <c r="EH226" s="1048"/>
      <c r="EI226" s="1048"/>
      <c r="EJ226" s="1048"/>
      <c r="EK226" s="1048"/>
      <c r="EM226" s="1048"/>
      <c r="EV226" s="1577"/>
      <c r="EW226" s="1577"/>
      <c r="EX226" s="1577"/>
      <c r="EY226" s="1577"/>
      <c r="EZ226" s="1577"/>
      <c r="FA226" s="1577"/>
      <c r="FB226" s="1577"/>
      <c r="FC226" s="1577"/>
      <c r="FD226" s="1577"/>
      <c r="FE226" s="1577"/>
      <c r="FF226" s="1577"/>
      <c r="FG226" s="1577"/>
      <c r="FH226" s="1577"/>
      <c r="FI226" s="1577"/>
      <c r="FJ226" s="1577"/>
      <c r="FK226" s="1577"/>
      <c r="FL226" s="1048"/>
    </row>
    <row r="227" spans="1:168" ht="12.75" customHeight="1">
      <c r="A227" s="11" t="s">
        <v>1087</v>
      </c>
      <c r="B227" s="460">
        <v>24.181935686573894</v>
      </c>
      <c r="C227" s="11"/>
      <c r="D227" s="11"/>
      <c r="E227" s="11"/>
      <c r="F227" s="11"/>
      <c r="G227" s="460">
        <v>26.994217851623205</v>
      </c>
      <c r="H227" s="11"/>
      <c r="I227" s="11"/>
      <c r="J227" s="11"/>
      <c r="K227" s="11"/>
      <c r="L227" s="11"/>
      <c r="M227" s="460">
        <v>32.052999999999997</v>
      </c>
      <c r="N227" s="11"/>
      <c r="O227" s="11"/>
      <c r="P227" s="11"/>
      <c r="Q227" s="11"/>
      <c r="R227" s="11"/>
      <c r="S227" s="11"/>
      <c r="T227" s="11"/>
      <c r="U227" s="11"/>
      <c r="V227" s="11"/>
      <c r="W227" s="11"/>
      <c r="X227" s="11"/>
      <c r="Y227" s="11"/>
      <c r="Z227" s="14"/>
      <c r="AA227" s="11"/>
      <c r="AB227" s="14"/>
      <c r="AC227" s="11"/>
      <c r="AD227" s="11"/>
      <c r="AE227" s="11"/>
      <c r="AF227" s="11"/>
      <c r="AG227" s="11"/>
      <c r="AH227" s="11"/>
      <c r="AI227" s="11"/>
      <c r="AJ227" s="11"/>
      <c r="AK227" s="11"/>
      <c r="AL227" s="11"/>
      <c r="AM227" s="11"/>
      <c r="AN227" s="11"/>
      <c r="AO227" s="11"/>
      <c r="AP227" s="11"/>
      <c r="AQ227" s="11"/>
      <c r="AR227" s="11"/>
      <c r="AS227" s="11"/>
      <c r="AT227" s="11"/>
      <c r="AU227" s="11"/>
      <c r="AV227" s="11"/>
      <c r="AW227" s="11"/>
      <c r="AX227" s="69"/>
      <c r="AY227" s="69"/>
      <c r="AZ227" s="69"/>
      <c r="BA227" s="69"/>
      <c r="BB227" s="69"/>
      <c r="BC227" s="69"/>
      <c r="BD227" s="69"/>
      <c r="BE227" s="69"/>
      <c r="BF227" s="11"/>
      <c r="BG227" s="11"/>
      <c r="BH227" s="11"/>
      <c r="BI227" s="11"/>
      <c r="BJ227" s="11"/>
      <c r="BK227" s="11"/>
      <c r="BL227" s="11"/>
      <c r="BM227" s="11"/>
      <c r="BN227" s="11"/>
      <c r="BO227" s="11"/>
      <c r="BP227" s="11"/>
      <c r="BQ227" s="11"/>
      <c r="BR227" s="11"/>
      <c r="BS227" s="11"/>
      <c r="BT227" s="11"/>
      <c r="BU227" s="11"/>
      <c r="BV227" s="11"/>
      <c r="BW227" s="11"/>
      <c r="BX227" s="11"/>
      <c r="BY227" s="95"/>
      <c r="BZ227" s="11"/>
      <c r="CA227" s="11"/>
      <c r="CB227" s="11"/>
      <c r="CC227" s="11"/>
      <c r="CD227" s="377"/>
      <c r="CE227" s="11"/>
      <c r="CF227" s="11"/>
      <c r="CG227" s="11"/>
      <c r="CH227" s="11"/>
      <c r="CI227" s="53"/>
      <c r="CJ227" s="11"/>
      <c r="CK227" s="11"/>
      <c r="CL227" s="11"/>
      <c r="CM227" s="11"/>
      <c r="CN227" s="49"/>
      <c r="CO227" s="11"/>
      <c r="CP227" s="11"/>
      <c r="CQ227" s="11"/>
      <c r="CR227" s="11"/>
      <c r="CS227" s="49"/>
      <c r="CT227" s="11"/>
      <c r="CU227" s="11"/>
      <c r="CV227" s="11"/>
      <c r="CW227" s="11"/>
      <c r="CX227" s="49"/>
      <c r="CY227" s="304"/>
      <c r="CZ227" s="304"/>
      <c r="DA227" s="304"/>
      <c r="DB227" s="304"/>
      <c r="DC227" s="11"/>
      <c r="DD227" s="304"/>
      <c r="DE227" s="304"/>
      <c r="DF227" s="304"/>
      <c r="DG227" s="304"/>
      <c r="DH227" s="304"/>
      <c r="DI227" s="304"/>
      <c r="DJ227" s="304"/>
      <c r="DK227" s="304"/>
      <c r="DL227" s="304"/>
      <c r="DM227" s="304"/>
      <c r="DN227" s="11"/>
      <c r="DO227" s="11"/>
      <c r="DP227" s="11"/>
      <c r="DQ227" s="11"/>
      <c r="DR227" s="11"/>
      <c r="DX227" s="906"/>
      <c r="DY227" s="906"/>
      <c r="DZ227" s="906"/>
      <c r="EA227" s="906"/>
      <c r="EB227" s="906"/>
      <c r="EC227" s="1048"/>
      <c r="ED227" s="1048"/>
      <c r="EE227" s="1048"/>
      <c r="EF227" s="1048"/>
      <c r="EH227" s="1048"/>
      <c r="EI227" s="1048"/>
      <c r="EJ227" s="1048"/>
      <c r="EK227" s="1048"/>
      <c r="EM227" s="1048"/>
      <c r="FL227" s="1048"/>
    </row>
    <row r="228" spans="1:168" ht="12.75" customHeight="1">
      <c r="A228" s="11" t="s">
        <v>732</v>
      </c>
      <c r="B228" s="54">
        <f>SUM(B226:B227)</f>
        <v>55.176391043897567</v>
      </c>
      <c r="C228" s="11"/>
      <c r="D228" s="11"/>
      <c r="E228" s="11"/>
      <c r="F228" s="11"/>
      <c r="G228" s="54">
        <f>SUM(G226:G227)</f>
        <v>64.123481009517945</v>
      </c>
      <c r="H228" s="11"/>
      <c r="I228" s="11"/>
      <c r="J228" s="11"/>
      <c r="K228" s="11"/>
      <c r="L228" s="11"/>
      <c r="M228" s="460">
        <f>SUM(M226:M227)</f>
        <v>74.345835999999991</v>
      </c>
      <c r="N228" s="11"/>
      <c r="O228" s="11"/>
      <c r="P228" s="11"/>
      <c r="Q228" s="11"/>
      <c r="R228" s="11"/>
      <c r="S228" s="11"/>
      <c r="T228" s="11"/>
      <c r="U228" s="11"/>
      <c r="V228" s="11"/>
      <c r="W228" s="11"/>
      <c r="X228" s="11"/>
      <c r="Y228" s="11"/>
      <c r="Z228" s="14"/>
      <c r="AA228" s="11"/>
      <c r="AB228" s="14"/>
      <c r="AC228" s="11"/>
      <c r="AD228" s="11"/>
      <c r="AE228" s="11"/>
      <c r="AF228" s="11"/>
      <c r="AG228" s="11"/>
      <c r="AH228" s="11"/>
      <c r="AI228" s="11"/>
      <c r="AJ228" s="11"/>
      <c r="AK228" s="11"/>
      <c r="AL228" s="11"/>
      <c r="AM228" s="11"/>
      <c r="AN228" s="11"/>
      <c r="AO228" s="11"/>
      <c r="AP228" s="11"/>
      <c r="AQ228" s="11"/>
      <c r="AR228" s="11"/>
      <c r="AS228" s="11"/>
      <c r="AT228" s="11"/>
      <c r="AU228" s="11"/>
      <c r="AV228" s="11"/>
      <c r="AW228" s="11"/>
      <c r="AX228" s="69"/>
      <c r="AY228" s="69"/>
      <c r="AZ228" s="69"/>
      <c r="BA228" s="69"/>
      <c r="BB228" s="69"/>
      <c r="BC228" s="69"/>
      <c r="BD228" s="69"/>
      <c r="BE228" s="69"/>
      <c r="BF228" s="11"/>
      <c r="BG228" s="11"/>
      <c r="BH228" s="11"/>
      <c r="BI228" s="11"/>
      <c r="BJ228" s="11"/>
      <c r="BK228" s="11"/>
      <c r="BL228" s="11"/>
      <c r="BM228" s="11"/>
      <c r="BN228" s="11"/>
      <c r="BO228" s="11"/>
      <c r="BP228" s="11"/>
      <c r="BQ228" s="11"/>
      <c r="BR228" s="11"/>
      <c r="BS228" s="11"/>
      <c r="BT228" s="11"/>
      <c r="BU228" s="11"/>
      <c r="BV228" s="11"/>
      <c r="BW228" s="11"/>
      <c r="BX228" s="11"/>
      <c r="BY228" s="95"/>
      <c r="BZ228" s="11"/>
      <c r="CA228" s="11"/>
      <c r="CB228" s="11"/>
      <c r="CC228" s="11"/>
      <c r="CD228" s="377"/>
      <c r="CE228" s="11"/>
      <c r="CF228" s="11"/>
      <c r="CG228" s="11"/>
      <c r="CH228" s="11"/>
      <c r="CI228" s="53"/>
      <c r="CJ228" s="11"/>
      <c r="CK228" s="11"/>
      <c r="CL228" s="11"/>
      <c r="CM228" s="11"/>
      <c r="CN228" s="49"/>
      <c r="CO228" s="11"/>
      <c r="CP228" s="11"/>
      <c r="CQ228" s="11"/>
      <c r="CR228" s="11"/>
      <c r="CS228" s="49"/>
      <c r="CT228" s="11"/>
      <c r="CU228" s="11"/>
      <c r="CV228" s="11"/>
      <c r="CW228" s="11"/>
      <c r="CX228" s="49"/>
      <c r="CY228" s="304"/>
      <c r="CZ228" s="304"/>
      <c r="DA228" s="304"/>
      <c r="DB228" s="304"/>
      <c r="DC228" s="11"/>
      <c r="DD228" s="304"/>
      <c r="DE228" s="304"/>
      <c r="DF228" s="304"/>
      <c r="DG228" s="304"/>
      <c r="DH228" s="304"/>
      <c r="DI228" s="304"/>
      <c r="DJ228" s="304"/>
      <c r="DK228" s="304"/>
      <c r="DL228" s="304"/>
      <c r="DM228" s="304"/>
      <c r="DN228" s="11"/>
      <c r="DO228" s="11"/>
      <c r="DP228" s="11"/>
      <c r="DQ228" s="11"/>
      <c r="DR228" s="11"/>
      <c r="DX228" s="906"/>
      <c r="DY228" s="906"/>
      <c r="DZ228" s="906"/>
      <c r="EA228" s="906"/>
      <c r="EB228" s="906"/>
      <c r="EC228" s="1048"/>
      <c r="ED228" s="1048"/>
      <c r="EE228" s="1048"/>
      <c r="EF228" s="1048"/>
      <c r="EH228" s="1048"/>
      <c r="EI228" s="1048"/>
      <c r="EJ228" s="1048"/>
      <c r="EK228" s="1048"/>
      <c r="EM228" s="1048"/>
      <c r="FL228" s="1048"/>
    </row>
    <row r="229" spans="1:168" ht="12.75" customHeight="1">
      <c r="A229" s="11"/>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61"/>
      <c r="AA229" s="11"/>
      <c r="AB229" s="14"/>
      <c r="AC229" s="11"/>
      <c r="AD229" s="11"/>
      <c r="AE229" s="11"/>
      <c r="AF229" s="11"/>
      <c r="AG229" s="11"/>
      <c r="AH229" s="11"/>
      <c r="AI229" s="11"/>
      <c r="AJ229" s="11"/>
      <c r="AK229" s="11"/>
      <c r="AL229" s="11"/>
      <c r="AM229" s="11"/>
      <c r="AN229" s="11"/>
      <c r="AO229" s="11"/>
      <c r="AP229" s="11"/>
      <c r="AQ229" s="11"/>
      <c r="AR229" s="11"/>
      <c r="AS229" s="11"/>
      <c r="AT229" s="11"/>
      <c r="AU229" s="11"/>
      <c r="AV229" s="11"/>
      <c r="AW229" s="11"/>
      <c r="AX229" s="69"/>
      <c r="AY229" s="69"/>
      <c r="AZ229" s="69"/>
      <c r="BA229" s="69"/>
      <c r="BB229" s="69"/>
      <c r="BC229" s="69"/>
      <c r="BD229" s="69"/>
      <c r="BE229" s="69"/>
      <c r="BF229" s="11"/>
      <c r="BG229" s="11"/>
      <c r="BH229" s="11"/>
      <c r="BI229" s="11"/>
      <c r="BJ229" s="11"/>
      <c r="BK229" s="11"/>
      <c r="BL229" s="11"/>
      <c r="BM229" s="11"/>
      <c r="BN229" s="11"/>
      <c r="BO229" s="11"/>
      <c r="BP229" s="11"/>
      <c r="BQ229" s="11"/>
      <c r="BR229" s="11"/>
      <c r="BS229" s="11"/>
      <c r="BT229" s="11"/>
      <c r="BU229" s="11"/>
      <c r="BV229" s="11"/>
      <c r="BW229" s="11"/>
      <c r="BX229" s="11"/>
      <c r="BY229" s="95"/>
      <c r="BZ229" s="11"/>
      <c r="CA229" s="11"/>
      <c r="CB229" s="11"/>
      <c r="CC229" s="11"/>
      <c r="CD229" s="377"/>
      <c r="CE229" s="11"/>
      <c r="CF229" s="11"/>
      <c r="CG229" s="11"/>
      <c r="CH229" s="11"/>
      <c r="CI229" s="53"/>
      <c r="CJ229" s="11"/>
      <c r="CK229" s="11"/>
      <c r="CL229" s="11"/>
      <c r="CM229" s="11"/>
      <c r="CN229" s="49"/>
      <c r="CO229" s="11"/>
      <c r="CP229" s="11"/>
      <c r="CQ229" s="11"/>
      <c r="CR229" s="11"/>
      <c r="CS229" s="49"/>
      <c r="CT229" s="11"/>
      <c r="CU229" s="11"/>
      <c r="CV229" s="11"/>
      <c r="CW229" s="11"/>
      <c r="CX229" s="49"/>
      <c r="CY229" s="304"/>
      <c r="CZ229" s="304"/>
      <c r="DA229" s="304"/>
      <c r="DB229" s="304"/>
      <c r="DC229" s="11"/>
      <c r="DD229" s="304"/>
      <c r="DE229" s="304"/>
      <c r="DF229" s="304"/>
      <c r="DG229" s="304"/>
      <c r="DH229" s="304"/>
      <c r="DI229" s="304"/>
      <c r="DJ229" s="304"/>
      <c r="DK229" s="304"/>
      <c r="DL229" s="304"/>
      <c r="DM229" s="304"/>
      <c r="DN229" s="11"/>
      <c r="DO229" s="11"/>
      <c r="DP229" s="11"/>
      <c r="DQ229" s="11"/>
      <c r="DR229" s="11"/>
      <c r="DX229" s="906"/>
      <c r="DY229" s="906"/>
      <c r="DZ229" s="906"/>
      <c r="EA229" s="906"/>
      <c r="EB229" s="906"/>
      <c r="EC229" s="1048"/>
      <c r="ED229" s="1048"/>
      <c r="EE229" s="1048"/>
      <c r="EF229" s="1048"/>
      <c r="EH229" s="1048"/>
      <c r="EI229" s="1048"/>
      <c r="EJ229" s="1048"/>
      <c r="EK229" s="1048"/>
      <c r="EM229" s="1048"/>
      <c r="FL229" s="1048"/>
    </row>
    <row r="230" spans="1:168" ht="12.75" customHeight="1">
      <c r="A230" s="11"/>
      <c r="B230" s="11"/>
      <c r="C230" s="11"/>
      <c r="D230" s="11"/>
      <c r="E230" s="11"/>
      <c r="F230" s="11"/>
      <c r="G230" s="11"/>
      <c r="H230" s="11"/>
      <c r="I230" s="11"/>
      <c r="J230" s="11"/>
      <c r="K230" s="11"/>
      <c r="L230" s="11"/>
      <c r="M230" s="11"/>
      <c r="N230" s="11"/>
      <c r="O230" s="11"/>
      <c r="P230" s="11"/>
      <c r="Q230" s="11"/>
      <c r="R230" s="11"/>
      <c r="S230" s="11"/>
      <c r="T230" s="11"/>
      <c r="U230" s="11"/>
      <c r="V230" s="11"/>
      <c r="W230" s="11"/>
      <c r="X230" s="11"/>
      <c r="Y230" s="11"/>
      <c r="Z230" s="14"/>
      <c r="AA230" s="11"/>
      <c r="AB230" s="14"/>
      <c r="AC230" s="11"/>
      <c r="AD230" s="11"/>
      <c r="AE230" s="11"/>
      <c r="AF230" s="11"/>
      <c r="AG230" s="11"/>
      <c r="AH230" s="11"/>
      <c r="AI230" s="11"/>
      <c r="AJ230" s="11"/>
      <c r="AK230" s="11"/>
      <c r="AL230" s="11"/>
      <c r="AM230" s="11"/>
      <c r="AN230" s="11"/>
      <c r="AO230" s="11"/>
      <c r="AP230" s="11"/>
      <c r="AQ230" s="11"/>
      <c r="AR230" s="11"/>
      <c r="AS230" s="11"/>
      <c r="AT230" s="11"/>
      <c r="AU230" s="11"/>
      <c r="AV230" s="11"/>
      <c r="AW230" s="11"/>
      <c r="AX230" s="69"/>
      <c r="AY230" s="69"/>
      <c r="AZ230" s="69"/>
      <c r="BA230" s="69"/>
      <c r="BB230" s="69"/>
      <c r="BC230" s="69"/>
      <c r="BD230" s="69"/>
      <c r="BE230" s="69"/>
      <c r="BF230" s="11"/>
      <c r="BG230" s="11"/>
      <c r="BH230" s="11"/>
      <c r="BI230" s="11"/>
      <c r="BJ230" s="11"/>
      <c r="BK230" s="11"/>
      <c r="BL230" s="11"/>
      <c r="BM230" s="11"/>
      <c r="BN230" s="11"/>
      <c r="BO230" s="11"/>
      <c r="BP230" s="11"/>
      <c r="BQ230" s="11"/>
      <c r="BR230" s="11"/>
      <c r="BS230" s="11"/>
      <c r="BT230" s="11"/>
      <c r="BU230" s="11"/>
      <c r="BV230" s="11"/>
      <c r="BW230" s="11"/>
      <c r="BX230" s="11"/>
      <c r="BY230" s="95"/>
      <c r="BZ230" s="11"/>
      <c r="CA230" s="11"/>
      <c r="CB230" s="11"/>
      <c r="CC230" s="11"/>
      <c r="CD230" s="377"/>
      <c r="CE230" s="11"/>
      <c r="CF230" s="11"/>
      <c r="CG230" s="11"/>
      <c r="CH230" s="11"/>
      <c r="CI230" s="53"/>
      <c r="CJ230" s="11"/>
      <c r="CK230" s="11"/>
      <c r="CL230" s="11"/>
      <c r="CM230" s="11"/>
      <c r="CN230" s="49"/>
      <c r="CO230" s="11"/>
      <c r="CP230" s="11"/>
      <c r="CQ230" s="11"/>
      <c r="CR230" s="11"/>
      <c r="CS230" s="49"/>
      <c r="CT230" s="11"/>
      <c r="CU230" s="11"/>
      <c r="CV230" s="11"/>
      <c r="CW230" s="11"/>
      <c r="CX230" s="49"/>
      <c r="CY230" s="304"/>
      <c r="CZ230" s="304"/>
      <c r="DA230" s="304"/>
      <c r="DB230" s="304"/>
      <c r="DC230" s="11"/>
      <c r="DD230" s="304"/>
      <c r="DE230" s="304"/>
      <c r="DF230" s="304"/>
      <c r="DG230" s="304"/>
      <c r="DH230" s="304"/>
      <c r="DI230" s="304"/>
      <c r="DJ230" s="304"/>
      <c r="DK230" s="304"/>
      <c r="DL230" s="304"/>
      <c r="DM230" s="304"/>
      <c r="DN230" s="11"/>
      <c r="DO230" s="11"/>
      <c r="DP230" s="11"/>
      <c r="DQ230" s="11"/>
      <c r="DR230" s="11"/>
      <c r="DX230" s="906"/>
      <c r="DY230" s="906"/>
      <c r="DZ230" s="906"/>
      <c r="EA230" s="906"/>
      <c r="EB230" s="906"/>
      <c r="EC230" s="1048"/>
      <c r="ED230" s="1048"/>
      <c r="EE230" s="1048"/>
      <c r="EF230" s="1048"/>
      <c r="EH230" s="1048"/>
      <c r="EI230" s="1048"/>
      <c r="EJ230" s="1048"/>
      <c r="EK230" s="1048"/>
      <c r="EM230" s="1048"/>
      <c r="FL230" s="1048"/>
    </row>
    <row r="231" spans="1:168" ht="12.75" customHeight="1">
      <c r="A231" s="11"/>
      <c r="B231" s="11"/>
      <c r="C231" s="11"/>
      <c r="D231" s="11"/>
      <c r="E231" s="11"/>
      <c r="F231" s="11"/>
      <c r="G231" s="11"/>
      <c r="H231" s="11"/>
      <c r="I231" s="11"/>
      <c r="J231" s="11"/>
      <c r="K231" s="11"/>
      <c r="L231" s="11"/>
      <c r="M231" s="11"/>
      <c r="N231" s="11"/>
      <c r="O231" s="11"/>
      <c r="P231" s="11"/>
      <c r="Q231" s="11"/>
      <c r="R231" s="11"/>
      <c r="S231" s="11"/>
      <c r="T231" s="11"/>
      <c r="U231" s="11"/>
      <c r="V231" s="11"/>
      <c r="W231" s="11"/>
      <c r="X231" s="11"/>
      <c r="Y231" s="11"/>
      <c r="Z231" s="11"/>
      <c r="AA231" s="11"/>
      <c r="AB231" s="14"/>
      <c r="AC231" s="11"/>
      <c r="AD231" s="11"/>
      <c r="AE231" s="11"/>
      <c r="AF231" s="11"/>
      <c r="AG231" s="11"/>
      <c r="AH231" s="11"/>
      <c r="AI231" s="11"/>
      <c r="AJ231" s="11"/>
      <c r="AK231" s="11"/>
      <c r="AL231" s="11"/>
      <c r="AM231" s="11"/>
      <c r="AN231" s="11"/>
      <c r="AO231" s="11"/>
      <c r="AP231" s="11"/>
      <c r="AQ231" s="11"/>
      <c r="AR231" s="11"/>
      <c r="AS231" s="11"/>
      <c r="AT231" s="11"/>
      <c r="AU231" s="11"/>
      <c r="AV231" s="11"/>
      <c r="AW231" s="11"/>
      <c r="AX231" s="69"/>
      <c r="AY231" s="69"/>
      <c r="AZ231" s="69"/>
      <c r="BA231" s="69"/>
      <c r="BB231" s="69"/>
      <c r="BC231" s="69"/>
      <c r="BD231" s="69"/>
      <c r="BE231" s="69"/>
      <c r="BF231" s="11"/>
      <c r="BG231" s="11"/>
      <c r="BH231" s="11"/>
      <c r="BI231" s="11"/>
      <c r="BJ231" s="11"/>
      <c r="BK231" s="11"/>
      <c r="BL231" s="11"/>
      <c r="BM231" s="11"/>
      <c r="BN231" s="11"/>
      <c r="BO231" s="11"/>
      <c r="BP231" s="11"/>
      <c r="BQ231" s="11"/>
      <c r="BR231" s="11"/>
      <c r="BS231" s="11"/>
      <c r="BT231" s="11"/>
      <c r="BU231" s="11"/>
      <c r="BV231" s="11"/>
      <c r="BW231" s="11"/>
      <c r="BX231" s="11"/>
      <c r="BY231" s="95"/>
      <c r="BZ231" s="11"/>
      <c r="CA231" s="11"/>
      <c r="CB231" s="11"/>
      <c r="CC231" s="11"/>
      <c r="CD231" s="377"/>
      <c r="CE231" s="11"/>
      <c r="CF231" s="11"/>
      <c r="CG231" s="11"/>
      <c r="CH231" s="11"/>
      <c r="CI231" s="53"/>
      <c r="CJ231" s="11"/>
      <c r="CK231" s="11"/>
      <c r="CL231" s="11"/>
      <c r="CM231" s="11"/>
      <c r="CN231" s="49"/>
      <c r="CO231" s="11"/>
      <c r="CP231" s="11"/>
      <c r="CQ231" s="11"/>
      <c r="CR231" s="11"/>
      <c r="CS231" s="49"/>
      <c r="CT231" s="11"/>
      <c r="CU231" s="11"/>
      <c r="CV231" s="11"/>
      <c r="CW231" s="11"/>
      <c r="CX231" s="49"/>
      <c r="CY231" s="304"/>
      <c r="CZ231" s="304"/>
      <c r="DA231" s="304"/>
      <c r="DB231" s="304"/>
      <c r="DC231" s="11"/>
      <c r="DD231" s="304"/>
      <c r="DE231" s="304"/>
      <c r="DF231" s="304"/>
      <c r="DG231" s="304"/>
      <c r="DH231" s="304"/>
      <c r="DI231" s="304"/>
      <c r="DJ231" s="304"/>
      <c r="DK231" s="304"/>
      <c r="DL231" s="304"/>
      <c r="DM231" s="304"/>
      <c r="DN231" s="11"/>
      <c r="DO231" s="11"/>
      <c r="DP231" s="11"/>
      <c r="DQ231" s="11"/>
      <c r="DR231" s="11"/>
      <c r="DX231" s="862"/>
      <c r="DY231" s="862"/>
      <c r="DZ231" s="862"/>
      <c r="EA231" s="862"/>
      <c r="EB231" s="862"/>
      <c r="EH231" s="1048"/>
      <c r="EI231" s="1048"/>
      <c r="EJ231" s="1048"/>
      <c r="EK231" s="1048"/>
      <c r="EM231" s="1048"/>
      <c r="FL231" s="1048"/>
    </row>
    <row r="232" spans="1:168" ht="12.75" customHeight="1">
      <c r="A232" s="11"/>
      <c r="B232" s="39"/>
      <c r="C232" s="11"/>
      <c r="D232" s="11"/>
      <c r="E232" s="11"/>
      <c r="F232" s="11"/>
      <c r="G232" s="39"/>
      <c r="H232" s="11"/>
      <c r="I232" s="11"/>
      <c r="J232" s="11"/>
      <c r="K232" s="11"/>
      <c r="L232" s="11"/>
      <c r="M232" s="39"/>
      <c r="N232" s="11"/>
      <c r="O232" s="11"/>
      <c r="P232" s="11"/>
      <c r="Q232" s="11"/>
      <c r="R232" s="11"/>
      <c r="S232" s="11"/>
      <c r="T232" s="11"/>
      <c r="U232" s="11"/>
      <c r="V232" s="11"/>
      <c r="W232" s="11"/>
      <c r="X232" s="11"/>
      <c r="Y232" s="11"/>
      <c r="Z232" s="11"/>
      <c r="AA232" s="11"/>
      <c r="AB232" s="11"/>
      <c r="AC232" s="11"/>
      <c r="AD232" s="11"/>
      <c r="AE232" s="11"/>
      <c r="AF232" s="11"/>
      <c r="AG232" s="11"/>
      <c r="AH232" s="11"/>
      <c r="AI232" s="11"/>
      <c r="AJ232" s="11"/>
      <c r="AK232" s="11"/>
      <c r="AL232" s="11"/>
      <c r="AM232" s="11"/>
      <c r="AN232" s="11"/>
      <c r="AO232" s="11"/>
      <c r="AP232" s="11"/>
      <c r="AQ232" s="11"/>
      <c r="AR232" s="11"/>
      <c r="AS232" s="11"/>
      <c r="AT232" s="11"/>
      <c r="AU232" s="11"/>
      <c r="AV232" s="11"/>
      <c r="AW232" s="11"/>
      <c r="AX232" s="69"/>
      <c r="AY232" s="69"/>
      <c r="AZ232" s="69"/>
      <c r="BA232" s="69"/>
      <c r="BB232" s="69"/>
      <c r="BC232" s="69"/>
      <c r="BD232" s="69"/>
      <c r="BE232" s="69"/>
      <c r="BF232" s="11"/>
      <c r="BG232" s="11"/>
      <c r="BH232" s="11"/>
      <c r="BI232" s="11"/>
      <c r="BJ232" s="11"/>
      <c r="BK232" s="11"/>
      <c r="BL232" s="11"/>
      <c r="BM232" s="11"/>
      <c r="BN232" s="11"/>
      <c r="BO232" s="11"/>
      <c r="BP232" s="11"/>
      <c r="BQ232" s="11"/>
      <c r="BR232" s="11"/>
      <c r="BS232" s="11"/>
      <c r="BT232" s="11"/>
      <c r="BU232" s="11"/>
      <c r="BV232" s="11"/>
      <c r="BW232" s="11"/>
      <c r="BX232" s="11"/>
      <c r="BY232" s="95"/>
      <c r="BZ232" s="11"/>
      <c r="CA232" s="11"/>
      <c r="CB232" s="11"/>
      <c r="CC232" s="11"/>
      <c r="CD232" s="377"/>
      <c r="CE232" s="11"/>
      <c r="CF232" s="11"/>
      <c r="CG232" s="11"/>
      <c r="CH232" s="11"/>
      <c r="CI232" s="53"/>
      <c r="CJ232" s="11"/>
      <c r="CK232" s="11"/>
      <c r="CL232" s="11"/>
      <c r="CM232" s="11"/>
      <c r="CN232" s="49"/>
      <c r="CO232" s="11"/>
      <c r="CP232" s="11"/>
      <c r="CQ232" s="11"/>
      <c r="CR232" s="11"/>
      <c r="CS232" s="49"/>
      <c r="CT232" s="11"/>
      <c r="CU232" s="11"/>
      <c r="CV232" s="11"/>
      <c r="CW232" s="11"/>
      <c r="CX232" s="49"/>
      <c r="CY232" s="304"/>
      <c r="CZ232" s="304"/>
      <c r="DA232" s="304"/>
      <c r="DB232" s="304"/>
      <c r="DC232" s="11"/>
      <c r="DD232" s="304"/>
      <c r="DE232" s="304"/>
      <c r="DF232" s="304"/>
      <c r="DG232" s="304"/>
      <c r="DH232" s="304"/>
      <c r="DI232" s="304"/>
      <c r="DJ232" s="304"/>
      <c r="DK232" s="304"/>
      <c r="DL232" s="304"/>
      <c r="DM232" s="304"/>
      <c r="DN232" s="11"/>
      <c r="DO232" s="11"/>
      <c r="DP232" s="11"/>
      <c r="DQ232" s="11"/>
      <c r="DR232" s="11"/>
      <c r="DX232" s="862"/>
      <c r="DY232" s="862"/>
      <c r="DZ232" s="862"/>
      <c r="EA232" s="862"/>
      <c r="EB232" s="862"/>
      <c r="EH232" s="1048"/>
      <c r="EI232" s="1048"/>
      <c r="EJ232" s="1048"/>
      <c r="EK232" s="1048"/>
      <c r="EM232" s="1048"/>
      <c r="FL232" s="1048"/>
    </row>
    <row r="233" spans="1:168" ht="12.75" customHeight="1">
      <c r="A233" s="11"/>
      <c r="B233" s="39"/>
      <c r="C233" s="11"/>
      <c r="D233" s="11"/>
      <c r="E233" s="11"/>
      <c r="F233" s="11"/>
      <c r="G233" s="39"/>
      <c r="H233" s="11"/>
      <c r="I233" s="11"/>
      <c r="J233" s="11"/>
      <c r="K233" s="11"/>
      <c r="L233" s="11"/>
      <c r="M233" s="39"/>
      <c r="N233" s="11"/>
      <c r="O233" s="11"/>
      <c r="P233" s="11"/>
      <c r="Q233" s="11"/>
      <c r="R233" s="11"/>
      <c r="S233" s="11"/>
      <c r="T233" s="11"/>
      <c r="U233" s="11"/>
      <c r="V233" s="11"/>
      <c r="W233" s="11"/>
      <c r="X233" s="11"/>
      <c r="Y233" s="11"/>
      <c r="Z233" s="11"/>
      <c r="AA233" s="11"/>
      <c r="AB233" s="11"/>
      <c r="AC233" s="11"/>
      <c r="AD233" s="11"/>
      <c r="AE233" s="11"/>
      <c r="AF233" s="88"/>
      <c r="AG233" s="11"/>
      <c r="AH233" s="11"/>
      <c r="AI233" s="11"/>
      <c r="AJ233" s="11"/>
      <c r="AK233" s="11"/>
      <c r="AL233" s="11"/>
      <c r="AM233" s="11"/>
      <c r="AN233" s="11"/>
      <c r="AO233" s="11"/>
      <c r="AP233" s="11"/>
      <c r="AQ233" s="11"/>
      <c r="AR233" s="11"/>
      <c r="AS233" s="11"/>
      <c r="AT233" s="11"/>
      <c r="AU233" s="11"/>
      <c r="AV233" s="11"/>
      <c r="AW233" s="11"/>
      <c r="AX233" s="69"/>
      <c r="AY233" s="69"/>
      <c r="AZ233" s="69"/>
      <c r="BA233" s="69"/>
      <c r="BB233" s="69"/>
      <c r="BC233" s="69"/>
      <c r="BD233" s="69"/>
      <c r="BE233" s="69"/>
      <c r="BF233" s="11"/>
      <c r="BG233" s="11"/>
      <c r="BH233" s="11"/>
      <c r="BI233" s="11"/>
      <c r="BJ233" s="11"/>
      <c r="BK233" s="11"/>
      <c r="BL233" s="11"/>
      <c r="BM233" s="11"/>
      <c r="BN233" s="11"/>
      <c r="BO233" s="11"/>
      <c r="BP233" s="11"/>
      <c r="BQ233" s="11"/>
      <c r="BR233" s="11"/>
      <c r="BS233" s="11"/>
      <c r="BT233" s="11"/>
      <c r="BU233" s="11"/>
      <c r="BV233" s="11"/>
      <c r="BW233" s="11"/>
      <c r="BX233" s="11"/>
      <c r="BY233" s="95"/>
      <c r="BZ233" s="11"/>
      <c r="CA233" s="11"/>
      <c r="CB233" s="11"/>
      <c r="CC233" s="11"/>
      <c r="CD233" s="377"/>
      <c r="CE233" s="11"/>
      <c r="CF233" s="11"/>
      <c r="CG233" s="11"/>
      <c r="CH233" s="11"/>
      <c r="CI233" s="53"/>
      <c r="CJ233" s="11"/>
      <c r="CK233" s="11"/>
      <c r="CL233" s="11"/>
      <c r="CM233" s="11"/>
      <c r="CN233" s="49"/>
      <c r="CO233" s="11"/>
      <c r="CP233" s="11"/>
      <c r="CQ233" s="11"/>
      <c r="CR233" s="11"/>
      <c r="CS233" s="49"/>
      <c r="CT233" s="11"/>
      <c r="CU233" s="11"/>
      <c r="CV233" s="11"/>
      <c r="CW233" s="11"/>
      <c r="CX233" s="49"/>
      <c r="CY233" s="304"/>
      <c r="CZ233" s="304"/>
      <c r="DA233" s="304"/>
      <c r="DB233" s="304"/>
      <c r="DC233" s="11"/>
      <c r="DD233" s="304"/>
      <c r="DE233" s="304"/>
      <c r="DF233" s="304"/>
      <c r="DG233" s="304"/>
      <c r="DH233" s="304"/>
      <c r="DI233" s="304"/>
      <c r="DJ233" s="304"/>
      <c r="DK233" s="304"/>
      <c r="DL233" s="304"/>
      <c r="DM233" s="304"/>
      <c r="DN233" s="11"/>
      <c r="DO233" s="11"/>
      <c r="DP233" s="11"/>
      <c r="DQ233" s="11"/>
      <c r="DR233" s="11"/>
      <c r="DX233" s="862"/>
      <c r="DY233" s="862"/>
      <c r="DZ233" s="862"/>
      <c r="EA233" s="862"/>
      <c r="EB233" s="862"/>
      <c r="EH233" s="1048"/>
      <c r="EI233" s="1048"/>
      <c r="EJ233" s="1048"/>
      <c r="EK233" s="1048"/>
      <c r="EM233" s="1048"/>
      <c r="FL233" s="1048"/>
    </row>
    <row r="234" spans="1:168" ht="12.75" customHeight="1">
      <c r="A234" s="9" t="s">
        <v>734</v>
      </c>
      <c r="B234" s="11"/>
      <c r="C234" s="11"/>
      <c r="D234" s="11"/>
      <c r="E234" s="11"/>
      <c r="F234" s="11"/>
      <c r="G234" s="11"/>
      <c r="H234" s="11"/>
      <c r="I234" s="11"/>
      <c r="J234" s="258">
        <v>1998</v>
      </c>
      <c r="K234" s="11"/>
      <c r="L234" s="11"/>
      <c r="M234" s="11"/>
      <c r="N234" s="11"/>
      <c r="O234" s="11"/>
      <c r="P234" s="11"/>
      <c r="Q234" s="11"/>
      <c r="R234" s="11"/>
      <c r="S234" s="11"/>
      <c r="T234" s="11"/>
      <c r="U234" s="11"/>
      <c r="V234" s="11"/>
      <c r="W234" s="11"/>
      <c r="X234" s="11"/>
      <c r="Y234" s="11"/>
      <c r="Z234" s="11"/>
      <c r="AA234" s="11"/>
      <c r="AB234" s="11"/>
      <c r="AC234" s="11"/>
      <c r="AD234" s="11"/>
      <c r="AE234" s="14"/>
      <c r="AF234" s="39"/>
      <c r="AG234" s="11"/>
      <c r="AH234" s="11"/>
      <c r="AI234" s="11"/>
      <c r="AJ234" s="11"/>
      <c r="AK234" s="11"/>
      <c r="AL234" s="11"/>
      <c r="AM234" s="11"/>
      <c r="AN234" s="11"/>
      <c r="AO234" s="11"/>
      <c r="AP234" s="11"/>
      <c r="AQ234" s="11"/>
      <c r="AR234" s="11"/>
      <c r="AS234" s="11"/>
      <c r="AT234" s="11"/>
      <c r="AU234" s="11"/>
      <c r="AV234" s="11"/>
      <c r="AW234" s="11"/>
      <c r="AX234" s="69"/>
      <c r="AY234" s="69"/>
      <c r="AZ234" s="69"/>
      <c r="BA234" s="69"/>
      <c r="BB234" s="69"/>
      <c r="BC234" s="69"/>
      <c r="BD234" s="69"/>
      <c r="BE234" s="69"/>
      <c r="BF234" s="11"/>
      <c r="BG234" s="11"/>
      <c r="BH234" s="11"/>
      <c r="BI234" s="11"/>
      <c r="BJ234" s="11"/>
      <c r="BK234" s="11"/>
      <c r="BL234" s="11"/>
      <c r="BM234" s="11"/>
      <c r="BN234" s="11"/>
      <c r="BO234" s="11"/>
      <c r="BP234" s="11"/>
      <c r="BQ234" s="11"/>
      <c r="BR234" s="11"/>
      <c r="BS234" s="11"/>
      <c r="BT234" s="11"/>
      <c r="BU234" s="11"/>
      <c r="BV234" s="11"/>
      <c r="BW234" s="11"/>
      <c r="BX234" s="11"/>
      <c r="BY234" s="95"/>
      <c r="BZ234" s="11"/>
      <c r="CA234" s="11"/>
      <c r="CB234" s="11"/>
      <c r="CC234" s="11"/>
      <c r="CD234" s="377"/>
      <c r="CE234" s="11"/>
      <c r="CF234" s="11"/>
      <c r="CG234" s="11"/>
      <c r="CH234" s="11"/>
      <c r="CI234" s="53"/>
      <c r="CJ234" s="11"/>
      <c r="CK234" s="11"/>
      <c r="CL234" s="11"/>
      <c r="CM234" s="11"/>
      <c r="CN234" s="49"/>
      <c r="CO234" s="11"/>
      <c r="CP234" s="11"/>
      <c r="CQ234" s="11"/>
      <c r="CR234" s="11"/>
      <c r="CS234" s="49"/>
      <c r="CT234" s="11"/>
      <c r="CU234" s="11"/>
      <c r="CV234" s="11"/>
      <c r="CW234" s="11"/>
      <c r="CX234" s="49"/>
      <c r="CY234" s="304"/>
      <c r="CZ234" s="304"/>
      <c r="DA234" s="304"/>
      <c r="DB234" s="304"/>
      <c r="DC234" s="11"/>
      <c r="DD234" s="304"/>
      <c r="DE234" s="304"/>
      <c r="DF234" s="304"/>
      <c r="DG234" s="304"/>
      <c r="DH234" s="304"/>
      <c r="DI234" s="304"/>
      <c r="DJ234" s="304"/>
      <c r="DK234" s="304"/>
      <c r="DL234" s="304"/>
      <c r="DM234" s="304"/>
      <c r="DN234" s="11"/>
      <c r="DO234" s="11"/>
      <c r="DP234" s="11"/>
      <c r="DQ234" s="11"/>
      <c r="DR234" s="11"/>
      <c r="DX234" s="862"/>
      <c r="DY234" s="862"/>
      <c r="DZ234" s="862"/>
      <c r="EA234" s="862"/>
      <c r="EB234" s="862"/>
      <c r="EH234" s="1048"/>
      <c r="EI234" s="1048"/>
      <c r="EJ234" s="1048"/>
      <c r="EK234" s="1048"/>
      <c r="EM234" s="1048"/>
      <c r="FL234" s="1048"/>
    </row>
    <row r="235" spans="1:168" ht="12.75" customHeight="1">
      <c r="A235" s="14" t="s">
        <v>1088</v>
      </c>
      <c r="B235" s="14"/>
      <c r="C235" s="14"/>
      <c r="D235" s="14"/>
      <c r="E235" s="14"/>
      <c r="F235" s="14"/>
      <c r="G235" s="14"/>
      <c r="H235" s="14"/>
      <c r="I235" s="14"/>
      <c r="J235" s="129">
        <f>+'CW Stations'!H45</f>
        <v>427</v>
      </c>
      <c r="K235" s="129">
        <f>+'CW Stations'!I45</f>
        <v>437.1</v>
      </c>
      <c r="L235" s="14"/>
      <c r="M235" s="129"/>
      <c r="N235" s="129">
        <f>+'CW Stations'!J45</f>
        <v>425</v>
      </c>
      <c r="O235" s="14"/>
      <c r="P235" s="129"/>
      <c r="Q235" s="129"/>
      <c r="R235" s="129">
        <f>+'CW Stations'!K45</f>
        <v>408</v>
      </c>
      <c r="S235" s="14"/>
      <c r="T235" s="129">
        <f>+'CW Stations'!L45</f>
        <v>471.09330999999997</v>
      </c>
      <c r="U235" s="129">
        <f>+'CW Stations'!M45</f>
        <v>497.56597724999995</v>
      </c>
      <c r="V235" s="129"/>
      <c r="W235" s="129"/>
      <c r="X235" s="129">
        <f>+'CW Stations'!N45</f>
        <v>532.39559565749994</v>
      </c>
      <c r="Y235" s="14"/>
      <c r="Z235" s="129">
        <f>+'CW Stations'!M45</f>
        <v>497.56597724999995</v>
      </c>
      <c r="AA235" s="129">
        <f>+'CW Stations'!N45</f>
        <v>532.39559565749994</v>
      </c>
      <c r="AB235" s="129">
        <f>+'CW Stations'!O45</f>
        <v>532.39559565749994</v>
      </c>
      <c r="AC235" s="129">
        <f>+'CW Stations'!P45</f>
        <v>505.77581587462493</v>
      </c>
      <c r="AD235" s="129">
        <f>+'CW Stations'!Q45</f>
        <v>472.51827508089366</v>
      </c>
      <c r="AE235" s="129">
        <f>+'CW Stations'!R45</f>
        <v>400.06146788990822</v>
      </c>
      <c r="AF235" s="129">
        <f>+'CW Stations'!S45</f>
        <v>338.10275229357796</v>
      </c>
      <c r="AG235" s="129">
        <f>+'CW Stations'!T45</f>
        <v>457.304766055046</v>
      </c>
      <c r="AH235" s="129">
        <f>+'CW Stations'!U45</f>
        <v>391.87979243119264</v>
      </c>
      <c r="AI235" s="129">
        <f>+'CW Stations'!V45</f>
        <v>432.00758205275224</v>
      </c>
      <c r="AJ235" s="129">
        <f>+'CW Stations'!W45</f>
        <v>391.94580521195348</v>
      </c>
      <c r="AK235" s="129">
        <f>+'CW Stations'!X45</f>
        <v>425.77140798243187</v>
      </c>
      <c r="AL235" s="129">
        <f>+'CW Stations'!Y45</f>
        <v>404.3588987586698</v>
      </c>
      <c r="AM235" s="129">
        <f>+'CW Stations'!Z45</f>
        <v>416.08608572768895</v>
      </c>
      <c r="AN235" s="129">
        <f>+'CW Stations'!AA45</f>
        <v>417.22241783456946</v>
      </c>
      <c r="AO235" s="129">
        <f>+'CW Stations'!AB45</f>
        <v>417.22241783456946</v>
      </c>
      <c r="AP235" s="129">
        <f>+'CW Stations'!AC45</f>
        <v>413.05019365622371</v>
      </c>
      <c r="AQ235" s="129">
        <f>+'CW Stations'!AD45</f>
        <v>408.91969171966144</v>
      </c>
      <c r="AR235" s="129">
        <f>+'CW Stations'!AE45</f>
        <v>404.83049480246484</v>
      </c>
      <c r="AS235" s="129">
        <f>+'CW Stations'!AF45</f>
        <v>400.78218985444016</v>
      </c>
      <c r="AT235" s="129">
        <f>+'CW Stations'!AG45</f>
        <v>396.77436795589574</v>
      </c>
      <c r="AU235" s="129">
        <f>+'CW Stations'!AH45</f>
        <v>392.80662427633683</v>
      </c>
      <c r="AV235" s="129">
        <f>+'CW Stations'!AI45</f>
        <v>388.87855803357343</v>
      </c>
      <c r="AW235" s="129">
        <f>+'CW Stations'!AJ45</f>
        <v>384.98977245323772</v>
      </c>
      <c r="AX235" s="129">
        <f>+'CW Stations'!AK45</f>
        <v>381.13987472870537</v>
      </c>
      <c r="AY235" s="129">
        <f>+'CW Stations'!AL45</f>
        <v>377.32847598141836</v>
      </c>
      <c r="AZ235" s="1274"/>
      <c r="BA235" s="1274"/>
      <c r="BB235" s="1274"/>
      <c r="BC235" s="1274"/>
      <c r="BD235" s="1274"/>
      <c r="BE235" s="354"/>
      <c r="BF235" s="14"/>
      <c r="BG235" s="14"/>
      <c r="BH235" s="14"/>
      <c r="BI235" s="14"/>
      <c r="BJ235" s="14"/>
      <c r="BK235" s="14"/>
      <c r="BL235" s="14"/>
      <c r="BM235" s="14"/>
      <c r="BN235" s="14"/>
      <c r="BO235" s="14"/>
      <c r="BP235" s="14"/>
      <c r="BQ235" s="14"/>
      <c r="BR235" s="14"/>
      <c r="BS235" s="14"/>
      <c r="BT235" s="14"/>
      <c r="BU235" s="14"/>
      <c r="BV235" s="14"/>
      <c r="BW235" s="14"/>
      <c r="BX235" s="14"/>
      <c r="BY235" s="95"/>
      <c r="BZ235" s="14"/>
      <c r="CA235" s="14"/>
      <c r="CB235" s="14"/>
      <c r="CC235" s="14"/>
      <c r="CD235" s="377"/>
      <c r="CE235" s="14"/>
      <c r="CF235" s="14"/>
      <c r="CG235" s="14"/>
      <c r="CH235" s="14"/>
      <c r="CI235" s="53"/>
      <c r="CJ235" s="14"/>
      <c r="CK235" s="14"/>
      <c r="CL235" s="14"/>
      <c r="CM235" s="14"/>
      <c r="CN235" s="49"/>
      <c r="CO235" s="14"/>
      <c r="CP235" s="14"/>
      <c r="CQ235" s="14"/>
      <c r="CR235" s="14"/>
      <c r="CS235" s="49"/>
      <c r="CT235" s="14"/>
      <c r="CU235" s="11"/>
      <c r="CV235" s="11"/>
      <c r="CW235" s="11"/>
      <c r="CX235" s="49"/>
      <c r="CY235" s="304"/>
      <c r="CZ235" s="304"/>
      <c r="DA235" s="304"/>
      <c r="DB235" s="304"/>
      <c r="DC235" s="14"/>
      <c r="DD235" s="352"/>
      <c r="DE235" s="352"/>
      <c r="DF235" s="352"/>
      <c r="DG235" s="352"/>
      <c r="DH235" s="352"/>
      <c r="DI235" s="352"/>
      <c r="DJ235" s="352"/>
      <c r="DK235" s="352"/>
      <c r="DL235" s="352"/>
      <c r="DM235" s="352"/>
      <c r="DN235" s="14"/>
      <c r="DO235" s="14"/>
      <c r="DP235" s="14"/>
      <c r="DQ235" s="14"/>
      <c r="DR235" s="14"/>
      <c r="DX235" s="862"/>
      <c r="DY235" s="862"/>
      <c r="DZ235" s="862"/>
      <c r="EA235" s="862"/>
      <c r="EB235" s="862"/>
      <c r="EH235" s="1048"/>
      <c r="EI235" s="1048"/>
      <c r="EJ235" s="1048"/>
      <c r="EK235" s="1048"/>
      <c r="EM235" s="1048"/>
      <c r="FL235" s="1048"/>
    </row>
    <row r="236" spans="1:168" ht="12.75" customHeight="1">
      <c r="A236" s="14" t="s">
        <v>6</v>
      </c>
      <c r="B236" s="14"/>
      <c r="C236" s="14"/>
      <c r="D236" s="14"/>
      <c r="E236" s="14"/>
      <c r="F236" s="14"/>
      <c r="G236" s="14"/>
      <c r="H236" s="14"/>
      <c r="I236" s="14"/>
      <c r="J236" s="129"/>
      <c r="K236" s="129"/>
      <c r="L236" s="14"/>
      <c r="M236" s="129"/>
      <c r="N236" s="129"/>
      <c r="O236" s="14"/>
      <c r="P236" s="129"/>
      <c r="Q236" s="129"/>
      <c r="R236" s="129"/>
      <c r="S236" s="14"/>
      <c r="T236" s="129"/>
      <c r="U236" s="129"/>
      <c r="V236" s="129"/>
      <c r="W236" s="129"/>
      <c r="X236" s="129"/>
      <c r="Y236" s="14"/>
      <c r="Z236" s="129"/>
      <c r="AA236" s="129"/>
      <c r="AB236" s="129"/>
      <c r="AC236" s="129"/>
      <c r="AD236" s="129">
        <f>AD167</f>
        <v>166.1</v>
      </c>
      <c r="AE236" s="129">
        <f t="shared" ref="AE236:AQ236" si="388">AE167</f>
        <v>423.67899999999997</v>
      </c>
      <c r="AF236" s="129">
        <f t="shared" si="388"/>
        <v>540.92244618749999</v>
      </c>
      <c r="AG236" s="129">
        <f t="shared" si="388"/>
        <v>565.61320314184491</v>
      </c>
      <c r="AH236" s="129">
        <f t="shared" si="388"/>
        <v>554.52209725250862</v>
      </c>
      <c r="AI236" s="129">
        <f t="shared" si="388"/>
        <v>583.06160903362195</v>
      </c>
      <c r="AJ236" s="1652">
        <f t="shared" si="388"/>
        <v>665.83800780524825</v>
      </c>
      <c r="AK236" s="1652">
        <f t="shared" si="388"/>
        <v>697.15753929352184</v>
      </c>
      <c r="AL236" s="1652">
        <f t="shared" si="388"/>
        <v>742.10735554225073</v>
      </c>
      <c r="AM236" s="1652">
        <f t="shared" si="388"/>
        <v>766.71107260001997</v>
      </c>
      <c r="AN236" s="1652">
        <f t="shared" si="388"/>
        <v>845.39733158644003</v>
      </c>
      <c r="AO236" s="129">
        <f t="shared" si="388"/>
        <v>954.93989705688364</v>
      </c>
      <c r="AP236" s="129">
        <f t="shared" si="388"/>
        <v>1036.5792963853805</v>
      </c>
      <c r="AQ236" s="129">
        <f t="shared" si="388"/>
        <v>1094.7670968673624</v>
      </c>
      <c r="AR236" s="129">
        <f t="shared" ref="AR236:AW236" si="389">AR167</f>
        <v>1148.5436672875921</v>
      </c>
      <c r="AS236" s="129">
        <f t="shared" si="389"/>
        <v>1206.319021403521</v>
      </c>
      <c r="AT236" s="129">
        <f t="shared" si="389"/>
        <v>1266.2826219237886</v>
      </c>
      <c r="AU236" s="129">
        <f t="shared" si="389"/>
        <v>1325.376994785529</v>
      </c>
      <c r="AV236" s="129">
        <f t="shared" si="389"/>
        <v>1383.5232407501244</v>
      </c>
      <c r="AW236" s="129">
        <f t="shared" si="389"/>
        <v>1441.0234947677577</v>
      </c>
      <c r="AX236" s="129">
        <f>AX167</f>
        <v>1499.1401371178895</v>
      </c>
      <c r="AY236" s="129">
        <f>AY167</f>
        <v>1557.9139168837933</v>
      </c>
      <c r="AZ236" s="1274"/>
      <c r="BA236" s="1274"/>
      <c r="BB236" s="1274"/>
      <c r="BC236" s="1274"/>
      <c r="BD236" s="1274"/>
      <c r="BE236" s="354"/>
      <c r="BF236" s="14"/>
      <c r="BG236" s="14"/>
      <c r="BH236" s="14"/>
      <c r="BI236" s="14"/>
      <c r="BJ236" s="14"/>
      <c r="BK236" s="14"/>
      <c r="BL236" s="14"/>
      <c r="BM236" s="14"/>
      <c r="BN236" s="14"/>
      <c r="BO236" s="14"/>
      <c r="BP236" s="14"/>
      <c r="BQ236" s="14"/>
      <c r="BR236" s="14"/>
      <c r="BS236" s="14"/>
      <c r="BT236" s="14"/>
      <c r="BU236" s="14"/>
      <c r="BV236" s="14"/>
      <c r="BW236" s="14"/>
      <c r="BX236" s="14"/>
      <c r="BY236" s="95"/>
      <c r="BZ236" s="14"/>
      <c r="CA236" s="14"/>
      <c r="CB236" s="14"/>
      <c r="CC236" s="14"/>
      <c r="CD236" s="377"/>
      <c r="CE236" s="14"/>
      <c r="CF236" s="14"/>
      <c r="CG236" s="14"/>
      <c r="CH236" s="14"/>
      <c r="CI236" s="53"/>
      <c r="CJ236" s="14"/>
      <c r="CK236" s="14"/>
      <c r="CL236" s="14"/>
      <c r="CM236" s="14"/>
      <c r="CN236" s="49"/>
      <c r="CO236" s="14"/>
      <c r="CP236" s="14"/>
      <c r="CQ236" s="14"/>
      <c r="CR236" s="14"/>
      <c r="CS236" s="49"/>
      <c r="CT236" s="14"/>
      <c r="CU236" s="11"/>
      <c r="CV236" s="11"/>
      <c r="CW236" s="11"/>
      <c r="CX236" s="49"/>
      <c r="CY236" s="304"/>
      <c r="CZ236" s="304"/>
      <c r="DA236" s="304"/>
      <c r="DB236" s="304"/>
      <c r="DC236" s="14"/>
      <c r="DD236" s="352"/>
      <c r="DE236" s="352"/>
      <c r="DF236" s="352"/>
      <c r="DG236" s="352"/>
      <c r="DH236" s="352"/>
      <c r="DI236" s="352"/>
      <c r="DJ236" s="352"/>
      <c r="DK236" s="352"/>
      <c r="DL236" s="352"/>
      <c r="DM236" s="352"/>
      <c r="DN236" s="14"/>
      <c r="DO236" s="14"/>
      <c r="DP236" s="14"/>
      <c r="DQ236" s="14"/>
      <c r="DR236" s="14"/>
      <c r="DX236" s="862"/>
      <c r="DY236" s="862"/>
      <c r="DZ236" s="862"/>
      <c r="EA236" s="862"/>
      <c r="EB236" s="862"/>
      <c r="EH236" s="1048"/>
      <c r="EI236" s="1048"/>
      <c r="EJ236" s="1048"/>
      <c r="EK236" s="1048"/>
      <c r="EM236" s="1048"/>
      <c r="FL236" s="1048"/>
    </row>
    <row r="237" spans="1:168" ht="12.75" customHeight="1">
      <c r="A237" s="14" t="s">
        <v>1059</v>
      </c>
      <c r="B237" s="14"/>
      <c r="C237" s="14"/>
      <c r="D237" s="14"/>
      <c r="E237" s="14"/>
      <c r="F237" s="14"/>
      <c r="G237" s="14"/>
      <c r="H237" s="14"/>
      <c r="I237" s="14"/>
      <c r="J237" s="129">
        <f>+E88</f>
        <v>96.400999999999996</v>
      </c>
      <c r="K237" s="129">
        <f>+K88</f>
        <v>134.12700000000001</v>
      </c>
      <c r="L237" s="14"/>
      <c r="M237" s="129"/>
      <c r="N237" s="129">
        <f>+N88</f>
        <v>181.07145000000003</v>
      </c>
      <c r="O237" s="14"/>
      <c r="P237" s="129"/>
      <c r="Q237" s="129"/>
      <c r="R237" s="129">
        <f>+R88</f>
        <v>208.2321675</v>
      </c>
      <c r="S237" s="14"/>
      <c r="T237" s="129">
        <f>+T88</f>
        <v>224.89074090000003</v>
      </c>
      <c r="U237" s="129">
        <f>+U88</f>
        <v>213.64620385500001</v>
      </c>
      <c r="V237" s="129"/>
      <c r="W237" s="129"/>
      <c r="X237" s="129">
        <f t="shared" ref="X237:AN237" si="390">+X88</f>
        <v>228.60143812485003</v>
      </c>
      <c r="Y237" s="14"/>
      <c r="Z237" s="129">
        <f>+Z88</f>
        <v>213.64620385500001</v>
      </c>
      <c r="AA237" s="129">
        <f>+AA88</f>
        <v>228.60143812485003</v>
      </c>
      <c r="AB237" s="129">
        <f t="shared" si="390"/>
        <v>285.60000000000002</v>
      </c>
      <c r="AC237" s="129">
        <f t="shared" si="390"/>
        <v>170.76844676828472</v>
      </c>
      <c r="AD237" s="129">
        <f t="shared" si="390"/>
        <v>0</v>
      </c>
      <c r="AE237" s="129">
        <f t="shared" si="390"/>
        <v>0</v>
      </c>
      <c r="AF237" s="129">
        <f t="shared" si="390"/>
        <v>0</v>
      </c>
      <c r="AG237" s="129">
        <f t="shared" si="390"/>
        <v>0</v>
      </c>
      <c r="AH237" s="129">
        <f t="shared" si="390"/>
        <v>0</v>
      </c>
      <c r="AI237" s="129">
        <f t="shared" si="390"/>
        <v>0</v>
      </c>
      <c r="AJ237" s="1652">
        <f t="shared" si="390"/>
        <v>0</v>
      </c>
      <c r="AK237" s="1652">
        <f t="shared" si="390"/>
        <v>0</v>
      </c>
      <c r="AL237" s="1652">
        <f t="shared" si="390"/>
        <v>0</v>
      </c>
      <c r="AM237" s="1652">
        <f t="shared" si="390"/>
        <v>0</v>
      </c>
      <c r="AN237" s="1652">
        <f t="shared" si="390"/>
        <v>0</v>
      </c>
      <c r="AO237" s="129">
        <f t="shared" ref="AO237:AX237" si="391">+AO88</f>
        <v>0</v>
      </c>
      <c r="AP237" s="129">
        <f t="shared" si="391"/>
        <v>0</v>
      </c>
      <c r="AQ237" s="129">
        <f t="shared" si="391"/>
        <v>0</v>
      </c>
      <c r="AR237" s="129">
        <f t="shared" si="391"/>
        <v>0</v>
      </c>
      <c r="AS237" s="129">
        <f t="shared" si="391"/>
        <v>0</v>
      </c>
      <c r="AT237" s="129">
        <f t="shared" si="391"/>
        <v>0</v>
      </c>
      <c r="AU237" s="129">
        <f t="shared" si="391"/>
        <v>0</v>
      </c>
      <c r="AV237" s="129">
        <f t="shared" si="391"/>
        <v>0</v>
      </c>
      <c r="AW237" s="129">
        <f t="shared" si="391"/>
        <v>0</v>
      </c>
      <c r="AX237" s="129">
        <f t="shared" si="391"/>
        <v>0</v>
      </c>
      <c r="AY237" s="129">
        <f t="shared" ref="AY237" si="392">+AY88</f>
        <v>0</v>
      </c>
      <c r="AZ237" s="1274"/>
      <c r="BA237" s="1274"/>
      <c r="BB237" s="1274"/>
      <c r="BC237" s="1274"/>
      <c r="BD237" s="1274"/>
      <c r="BE237" s="354"/>
      <c r="BF237" s="14"/>
      <c r="BG237" s="14"/>
      <c r="BH237" s="14"/>
      <c r="BI237" s="14"/>
      <c r="BJ237" s="14"/>
      <c r="BK237" s="14"/>
      <c r="BL237" s="14"/>
      <c r="BM237" s="14"/>
      <c r="BN237" s="14"/>
      <c r="BO237" s="14"/>
      <c r="BP237" s="14"/>
      <c r="BQ237" s="14"/>
      <c r="BR237" s="14"/>
      <c r="BS237" s="14"/>
      <c r="BT237" s="14"/>
      <c r="BU237" s="14"/>
      <c r="BV237" s="14"/>
      <c r="BW237" s="14"/>
      <c r="BX237" s="14"/>
      <c r="BY237" s="95"/>
      <c r="BZ237" s="14"/>
      <c r="CA237" s="14"/>
      <c r="CB237" s="14"/>
      <c r="CC237" s="14"/>
      <c r="CD237" s="377"/>
      <c r="CE237" s="14"/>
      <c r="CF237" s="14"/>
      <c r="CG237" s="14"/>
      <c r="CH237" s="14"/>
      <c r="CI237" s="53"/>
      <c r="CJ237" s="14"/>
      <c r="CK237" s="14"/>
      <c r="CL237" s="14"/>
      <c r="CM237" s="14"/>
      <c r="CN237" s="49"/>
      <c r="CO237" s="14"/>
      <c r="CP237" s="14"/>
      <c r="CQ237" s="14"/>
      <c r="CR237" s="14"/>
      <c r="CS237" s="49"/>
      <c r="CT237" s="14"/>
      <c r="CU237" s="14"/>
      <c r="CV237" s="14"/>
      <c r="CW237" s="14"/>
      <c r="CX237" s="49"/>
      <c r="CY237" s="352"/>
      <c r="CZ237" s="352"/>
      <c r="DA237" s="352"/>
      <c r="DB237" s="352"/>
      <c r="DC237" s="14"/>
      <c r="DD237" s="352"/>
      <c r="DE237" s="352"/>
      <c r="DF237" s="352"/>
      <c r="DG237" s="352"/>
      <c r="DH237" s="352"/>
      <c r="DI237" s="352"/>
      <c r="DJ237" s="352"/>
      <c r="DK237" s="352"/>
      <c r="DL237" s="352"/>
      <c r="DM237" s="352"/>
      <c r="DN237" s="14"/>
      <c r="DO237" s="14"/>
      <c r="DP237" s="14"/>
      <c r="DQ237" s="14"/>
      <c r="DR237" s="14"/>
      <c r="DX237" s="862"/>
      <c r="DY237" s="862"/>
      <c r="DZ237" s="862"/>
      <c r="EA237" s="862"/>
      <c r="EB237" s="862"/>
      <c r="EH237" s="1048"/>
      <c r="EI237" s="1048"/>
      <c r="EJ237" s="1048"/>
      <c r="EK237" s="1048"/>
      <c r="EM237" s="1048"/>
      <c r="FL237" s="1048"/>
    </row>
    <row r="238" spans="1:168" ht="12.75" customHeight="1">
      <c r="A238" s="14" t="s">
        <v>1089</v>
      </c>
      <c r="B238" s="14"/>
      <c r="C238" s="14"/>
      <c r="D238" s="14"/>
      <c r="E238" s="14"/>
      <c r="F238" s="14"/>
      <c r="G238" s="14"/>
      <c r="H238" s="14"/>
      <c r="I238" s="14"/>
      <c r="J238" s="129">
        <f>+'CBS Stations'!J9</f>
        <v>980</v>
      </c>
      <c r="K238" s="129">
        <f>+'CBS Stations'!K9</f>
        <v>1000</v>
      </c>
      <c r="L238" s="14"/>
      <c r="M238" s="129"/>
      <c r="N238" s="129">
        <f>+'CBS Stations'!L9</f>
        <v>1136.9999999999998</v>
      </c>
      <c r="O238" s="14"/>
      <c r="P238" s="129"/>
      <c r="Q238" s="129"/>
      <c r="R238" s="129">
        <f>+'CBS Stations'!M9</f>
        <v>1068.78</v>
      </c>
      <c r="S238" s="14"/>
      <c r="T238" s="129">
        <f>+'CBS Stations'!N9</f>
        <v>1177.79556</v>
      </c>
      <c r="U238" s="129">
        <f>+'CBS Stations'!O9</f>
        <v>1177.79556</v>
      </c>
      <c r="V238" s="129"/>
      <c r="W238" s="129"/>
      <c r="X238" s="129">
        <f>+'CBS Stations'!P9</f>
        <v>1307.3530716</v>
      </c>
      <c r="Y238" s="14"/>
      <c r="Z238" s="129">
        <f>+'CBS Stations'!O9</f>
        <v>1177.79556</v>
      </c>
      <c r="AA238" s="129">
        <f>+'CBS Stations'!P9</f>
        <v>1307.3530716</v>
      </c>
      <c r="AB238" s="129">
        <f>+'CBS Stations'!Q9</f>
        <v>1258.4763578048669</v>
      </c>
      <c r="AC238" s="129">
        <f>+'CBS Stations'!R9</f>
        <v>1346.5697028512075</v>
      </c>
      <c r="AD238" s="129">
        <f>+'CBS Stations'!S9</f>
        <v>1202.1836768626324</v>
      </c>
      <c r="AE238" s="129">
        <f>+'CBS Stations'!T9</f>
        <v>1011.2385321100917</v>
      </c>
      <c r="AF238" s="129">
        <f>+'CBS Stations'!U7</f>
        <v>774.19724770642199</v>
      </c>
      <c r="AG238" s="129">
        <f>+'CBS Stations'!V7</f>
        <v>946.84323394495402</v>
      </c>
      <c r="AH238" s="129">
        <f>+'CBS Stations'!W7</f>
        <v>880.56420756880721</v>
      </c>
      <c r="AI238" s="129">
        <f>+'CBS Stations'!X7</f>
        <v>924.59241794724767</v>
      </c>
      <c r="AJ238" s="129">
        <f>+'CBS Stations'!Y7</f>
        <v>853.44419478804639</v>
      </c>
      <c r="AK238" s="129">
        <f>+'CBS Stations'!Z7</f>
        <v>847.80879201756795</v>
      </c>
      <c r="AL238" s="129">
        <f>+'CBS Stations'!AA7</f>
        <v>767.30600635418136</v>
      </c>
      <c r="AM238" s="129">
        <f>+'CBS Stations'!AB7</f>
        <v>875.46818513204209</v>
      </c>
      <c r="AN238" s="129">
        <f>+'CBS Stations'!AC7</f>
        <v>725.77667582488766</v>
      </c>
      <c r="AO238" s="129">
        <f>+'CBS Stations'!AD7</f>
        <v>811.91467582488747</v>
      </c>
      <c r="AP238" s="129">
        <f>+'CBS Stations'!AE7</f>
        <v>754.22813810752916</v>
      </c>
      <c r="AQ238" s="129">
        <f>+'CBS Stations'!AF7</f>
        <v>842.47283026611001</v>
      </c>
      <c r="AR238" s="129">
        <f>+'CBS Stations'!AG7</f>
        <v>706.6662100272132</v>
      </c>
      <c r="AS238" s="129">
        <f>+'CBS Stations'!AH7</f>
        <v>828.70746449891294</v>
      </c>
      <c r="AT238" s="129">
        <f>+'CBS Stations'!AI7</f>
        <v>694.0425015178397</v>
      </c>
      <c r="AU238" s="129">
        <f>+'CBS Stations'!AJ7</f>
        <v>821.468704796515</v>
      </c>
      <c r="AV238" s="129">
        <f>+'CBS Stations'!AK7</f>
        <v>727.57483183827344</v>
      </c>
      <c r="AW238" s="129">
        <f>+'CBS Stations'!AL7</f>
        <v>766.57284282480498</v>
      </c>
      <c r="AX238" s="129">
        <f>+'CBS Stations'!AM7</f>
        <v>670.06132191316203</v>
      </c>
      <c r="AY238" s="129">
        <f>+'CBS Stations'!AN7</f>
        <v>853.25608732422063</v>
      </c>
      <c r="AZ238" s="1274"/>
      <c r="BA238" s="1274"/>
      <c r="BB238" s="1274"/>
      <c r="BC238" s="1274"/>
      <c r="BD238" s="1274"/>
      <c r="BE238" s="354"/>
      <c r="BF238" s="14"/>
      <c r="BG238" s="14"/>
      <c r="BH238" s="14"/>
      <c r="BI238" s="14"/>
      <c r="BJ238" s="14"/>
      <c r="BK238" s="14"/>
      <c r="BL238" s="14"/>
      <c r="BM238" s="14"/>
      <c r="BN238" s="14"/>
      <c r="BO238" s="14"/>
      <c r="BP238" s="14"/>
      <c r="BQ238" s="14"/>
      <c r="BR238" s="14"/>
      <c r="BS238" s="14"/>
      <c r="BT238" s="14"/>
      <c r="BU238" s="14"/>
      <c r="BV238" s="14"/>
      <c r="BW238" s="14"/>
      <c r="BX238" s="14"/>
      <c r="BY238" s="95"/>
      <c r="BZ238" s="14"/>
      <c r="CA238" s="14"/>
      <c r="CB238" s="14"/>
      <c r="CC238" s="14"/>
      <c r="CD238" s="377"/>
      <c r="CE238" s="14"/>
      <c r="CF238" s="14"/>
      <c r="CG238" s="14"/>
      <c r="CH238" s="14"/>
      <c r="CI238" s="53"/>
      <c r="CJ238" s="14"/>
      <c r="CK238" s="14"/>
      <c r="CL238" s="14"/>
      <c r="CM238" s="14"/>
      <c r="CN238" s="49"/>
      <c r="CO238" s="14"/>
      <c r="CP238" s="14"/>
      <c r="CQ238" s="14"/>
      <c r="CR238" s="14"/>
      <c r="CS238" s="49"/>
      <c r="CT238" s="14"/>
      <c r="CU238" s="14"/>
      <c r="CV238" s="14"/>
      <c r="CW238" s="14"/>
      <c r="CX238" s="49"/>
      <c r="CY238" s="352"/>
      <c r="CZ238" s="352"/>
      <c r="DA238" s="352"/>
      <c r="DB238" s="352"/>
      <c r="DC238" s="14"/>
      <c r="DD238" s="352"/>
      <c r="DE238" s="352"/>
      <c r="DF238" s="352"/>
      <c r="DG238" s="352"/>
      <c r="DH238" s="352"/>
      <c r="DI238" s="352"/>
      <c r="DJ238" s="352"/>
      <c r="DK238" s="352"/>
      <c r="DL238" s="352"/>
      <c r="DM238" s="352"/>
      <c r="DN238" s="14"/>
      <c r="DO238" s="14"/>
      <c r="DP238" s="14"/>
      <c r="DQ238" s="14"/>
      <c r="DR238" s="14"/>
      <c r="DX238" s="862"/>
      <c r="DY238" s="862"/>
      <c r="DZ238" s="862"/>
      <c r="EA238" s="862"/>
      <c r="EB238" s="862"/>
      <c r="EH238" s="1048"/>
      <c r="EI238" s="1048"/>
      <c r="EJ238" s="1048"/>
      <c r="EK238" s="1048"/>
      <c r="EM238" s="1048"/>
      <c r="FL238" s="1048"/>
    </row>
    <row r="239" spans="1:168" ht="12.75" customHeight="1">
      <c r="A239" s="14" t="s">
        <v>694</v>
      </c>
      <c r="B239" s="14"/>
      <c r="C239" s="14"/>
      <c r="D239" s="14"/>
      <c r="E239" s="14"/>
      <c r="F239" s="14"/>
      <c r="G239" s="14"/>
      <c r="H239" s="14"/>
      <c r="I239" s="14"/>
      <c r="J239" s="129">
        <f>+'CBS Network'!F14</f>
        <v>3250</v>
      </c>
      <c r="K239" s="129">
        <f>+'CBS Network'!G14</f>
        <v>3100</v>
      </c>
      <c r="L239" s="14"/>
      <c r="M239" s="129"/>
      <c r="N239" s="129">
        <f>+'CBS Network'!H14</f>
        <v>3430</v>
      </c>
      <c r="O239" s="14"/>
      <c r="P239" s="129"/>
      <c r="Q239" s="129"/>
      <c r="R239" s="129">
        <f>+'CBS Network'!I14</f>
        <v>3480</v>
      </c>
      <c r="S239" s="14"/>
      <c r="T239" s="129">
        <f>+'CBS Network'!J14</f>
        <v>3549.6</v>
      </c>
      <c r="U239" s="129">
        <f>+'CBS Network'!K14</f>
        <v>3776.4337261343653</v>
      </c>
      <c r="V239" s="129"/>
      <c r="W239" s="129"/>
      <c r="X239" s="129">
        <f>+'CBS Network'!L14</f>
        <v>4241.6940847562983</v>
      </c>
      <c r="Y239" s="14"/>
      <c r="Z239" s="129">
        <f>+'CBS Network'!K14</f>
        <v>3776.4337261343653</v>
      </c>
      <c r="AA239" s="129">
        <f>+'CBS Network'!L14</f>
        <v>4241.6940847562983</v>
      </c>
      <c r="AB239" s="129">
        <f>+'CBS Network'!M14</f>
        <v>4353.346865010566</v>
      </c>
      <c r="AC239" s="129">
        <f>+'CBS Network'!N14</f>
        <v>4291.7732929501017</v>
      </c>
      <c r="AD239" s="129">
        <f>+'CBS Network'!O14</f>
        <v>4395.7259545005963</v>
      </c>
      <c r="AE239" s="129">
        <f>+'CBS Network'!P14</f>
        <v>3885.1769222423109</v>
      </c>
      <c r="AF239" s="129">
        <f>+'CBS Network'!Q14-'CBS Network'!Q13-'CBS Network'!Q12</f>
        <v>3822.1615952932957</v>
      </c>
      <c r="AG239" s="129">
        <f>+'CBS Network'!R14-'CBS Network'!R13-'CBS Network'!R12</f>
        <v>4262.5176297228527</v>
      </c>
      <c r="AH239" s="129">
        <f>+'CBS Network'!S14-'CBS Network'!S13-'CBS Network'!S12</f>
        <v>4212.6855583692386</v>
      </c>
      <c r="AI239" s="129">
        <f>+'CBS Network'!T14-'CBS Network'!T13-'CBS Network'!T12</f>
        <v>3966.908748642245</v>
      </c>
      <c r="AJ239" s="129">
        <f>+'CBS Network'!U14-'CBS Network'!U13-'CBS Network'!U12</f>
        <v>4416.2501007825576</v>
      </c>
      <c r="AK239" s="129">
        <f>+'CBS Network'!V14-'CBS Network'!V13-'CBS Network'!V12</f>
        <v>4033.8217172208292</v>
      </c>
      <c r="AL239" s="129">
        <f>+'CBS Network'!W14-'CBS Network'!W13-'CBS Network'!W12</f>
        <v>4094.0461156721685</v>
      </c>
      <c r="AM239" s="129">
        <f>+'CBS Network'!X14-'CBS Network'!X13-'CBS Network'!X12</f>
        <v>4471.998780431546</v>
      </c>
      <c r="AN239" s="129">
        <f>+'CBS Network'!Y14-'CBS Network'!Y13-'CBS Network'!Y12</f>
        <v>4080.318359525796</v>
      </c>
      <c r="AO239" s="129">
        <f>+'CBS Network'!Z14-'CBS Network'!Z13-'CBS Network'!Z12</f>
        <v>3978.1102638317516</v>
      </c>
      <c r="AP239" s="129">
        <f>+'CBS Network'!AA14-'CBS Network'!AA13-'CBS Network'!AA12</f>
        <v>4405.2494695070591</v>
      </c>
      <c r="AQ239" s="129">
        <f>+'CBS Network'!AB14-'CBS Network'!AB13-'CBS Network'!AB12</f>
        <v>3905.0615606289834</v>
      </c>
      <c r="AR239" s="129">
        <f>+'CBS Network'!AC14-'CBS Network'!AC13-'CBS Network'!AC12</f>
        <v>3930.9956131724666</v>
      </c>
      <c r="AS239" s="129">
        <f>+'CBS Network'!AD14-'CBS Network'!AD13-'CBS Network'!AD12</f>
        <v>4367.1611041723972</v>
      </c>
      <c r="AT239" s="129">
        <f>+'CBS Network'!AE14-'CBS Network'!AE13-'CBS Network'!AE12</f>
        <v>3899.1648402294732</v>
      </c>
      <c r="AU239" s="129">
        <f>+'CBS Network'!AF14-'CBS Network'!AF13-'CBS Network'!AF12</f>
        <v>3843.7582066661807</v>
      </c>
      <c r="AV239" s="129">
        <f>+'CBS Network'!AG14-'CBS Network'!AG13-'CBS Network'!AG12</f>
        <v>4468.495795548054</v>
      </c>
      <c r="AW239" s="129">
        <f>+'CBS Network'!AH14-'CBS Network'!AH13-'CBS Network'!AH12</f>
        <v>3816.6109612605092</v>
      </c>
      <c r="AX239" s="129">
        <f>+'CBS Network'!AI14-'CBS Network'!AI13-'CBS Network'!AI12</f>
        <v>3855.8756610000546</v>
      </c>
      <c r="AY239" s="129">
        <f>+'CBS Network'!AJ14-'CBS Network'!AJ13-'CBS Network'!AJ12</f>
        <v>4497.3086972131969</v>
      </c>
      <c r="AZ239" s="1274"/>
      <c r="BA239" s="1274"/>
      <c r="BB239" s="1274"/>
      <c r="BC239" s="1274"/>
      <c r="BD239" s="1274"/>
      <c r="BE239" s="354"/>
      <c r="BF239" s="14"/>
      <c r="BG239" s="14"/>
      <c r="BH239" s="14"/>
      <c r="BI239" s="14"/>
      <c r="BJ239" s="14"/>
      <c r="BK239" s="14"/>
      <c r="BL239" s="14"/>
      <c r="BM239" s="14"/>
      <c r="BN239" s="14"/>
      <c r="BO239" s="14"/>
      <c r="BP239" s="14"/>
      <c r="BQ239" s="14"/>
      <c r="BR239" s="14"/>
      <c r="BS239" s="14"/>
      <c r="BT239" s="14"/>
      <c r="BU239" s="14"/>
      <c r="BV239" s="14"/>
      <c r="BW239" s="14"/>
      <c r="BX239" s="14"/>
      <c r="BY239" s="95"/>
      <c r="BZ239" s="14"/>
      <c r="CA239" s="14"/>
      <c r="CB239" s="14"/>
      <c r="CC239" s="14"/>
      <c r="CD239" s="377"/>
      <c r="CE239" s="14"/>
      <c r="CF239" s="14"/>
      <c r="CG239" s="14"/>
      <c r="CH239" s="14"/>
      <c r="CI239" s="53"/>
      <c r="CJ239" s="14"/>
      <c r="CK239" s="14"/>
      <c r="CL239" s="14"/>
      <c r="CM239" s="14"/>
      <c r="CN239" s="49"/>
      <c r="CO239" s="14"/>
      <c r="CP239" s="14"/>
      <c r="CQ239" s="14"/>
      <c r="CR239" s="14"/>
      <c r="CS239" s="49"/>
      <c r="CT239" s="14"/>
      <c r="CU239" s="14"/>
      <c r="CV239" s="14"/>
      <c r="CW239" s="14"/>
      <c r="CX239" s="49"/>
      <c r="CY239" s="352"/>
      <c r="CZ239" s="352"/>
      <c r="DA239" s="352"/>
      <c r="DB239" s="352"/>
      <c r="DC239" s="14"/>
      <c r="DD239" s="352"/>
      <c r="DE239" s="352"/>
      <c r="DF239" s="352"/>
      <c r="DG239" s="352"/>
      <c r="DH239" s="352"/>
      <c r="DI239" s="352"/>
      <c r="DJ239" s="352"/>
      <c r="DK239" s="352"/>
      <c r="DL239" s="352"/>
      <c r="DM239" s="352"/>
      <c r="DN239" s="14"/>
      <c r="DO239" s="14"/>
      <c r="DP239" s="14"/>
      <c r="DQ239" s="14"/>
      <c r="DR239" s="14"/>
      <c r="DX239" s="862"/>
      <c r="DY239" s="862"/>
      <c r="DZ239" s="862"/>
      <c r="EA239" s="862"/>
      <c r="EB239" s="862"/>
      <c r="EH239" s="1048"/>
      <c r="EI239" s="1048"/>
      <c r="EJ239" s="1048"/>
      <c r="EK239" s="1048"/>
      <c r="EM239" s="1048"/>
      <c r="FL239" s="1048"/>
    </row>
    <row r="240" spans="1:168" ht="12.75" customHeight="1">
      <c r="A240" s="14" t="s">
        <v>1062</v>
      </c>
      <c r="B240" s="14"/>
      <c r="C240" s="14"/>
      <c r="D240" s="14"/>
      <c r="E240" s="14"/>
      <c r="F240" s="14"/>
      <c r="G240" s="14"/>
      <c r="H240" s="14"/>
      <c r="I240" s="14"/>
      <c r="J240" s="461">
        <f>0.5*J99</f>
        <v>344.3</v>
      </c>
      <c r="K240" s="461">
        <f>0.5*K99</f>
        <v>395.8</v>
      </c>
      <c r="L240" s="14"/>
      <c r="M240" s="129"/>
      <c r="N240" s="461">
        <f t="shared" ref="N240:U240" si="393">0.5*N99</f>
        <v>395.8</v>
      </c>
      <c r="O240" s="14"/>
      <c r="P240" s="461">
        <f t="shared" si="393"/>
        <v>0</v>
      </c>
      <c r="Q240" s="461">
        <f t="shared" si="393"/>
        <v>0</v>
      </c>
      <c r="R240" s="461">
        <f t="shared" si="393"/>
        <v>0</v>
      </c>
      <c r="S240" s="14"/>
      <c r="T240" s="461">
        <f t="shared" si="393"/>
        <v>0</v>
      </c>
      <c r="U240" s="461">
        <f t="shared" si="393"/>
        <v>0</v>
      </c>
      <c r="V240" s="461"/>
      <c r="W240" s="461"/>
      <c r="X240" s="461">
        <f t="shared" ref="X240:AL240" si="394">0.5*X99</f>
        <v>0</v>
      </c>
      <c r="Y240" s="14"/>
      <c r="Z240" s="461">
        <f>0.5*Z99</f>
        <v>0</v>
      </c>
      <c r="AA240" s="461">
        <f>0.5*AA99</f>
        <v>0</v>
      </c>
      <c r="AB240" s="461">
        <f t="shared" si="394"/>
        <v>0</v>
      </c>
      <c r="AC240" s="461">
        <f t="shared" si="394"/>
        <v>0</v>
      </c>
      <c r="AD240" s="14">
        <f t="shared" si="394"/>
        <v>0</v>
      </c>
      <c r="AE240" s="461">
        <f t="shared" si="394"/>
        <v>0</v>
      </c>
      <c r="AF240" s="461">
        <f t="shared" si="394"/>
        <v>0</v>
      </c>
      <c r="AG240" s="461">
        <f t="shared" si="394"/>
        <v>0</v>
      </c>
      <c r="AH240" s="461">
        <f t="shared" si="394"/>
        <v>0</v>
      </c>
      <c r="AI240" s="461">
        <f t="shared" si="394"/>
        <v>0</v>
      </c>
      <c r="AJ240" s="461">
        <f t="shared" si="394"/>
        <v>0</v>
      </c>
      <c r="AK240" s="461">
        <f t="shared" si="394"/>
        <v>0</v>
      </c>
      <c r="AL240" s="461">
        <f t="shared" si="394"/>
        <v>0</v>
      </c>
      <c r="AM240" s="461">
        <f t="shared" ref="AM240:AS240" si="395">0.5*AM99</f>
        <v>0</v>
      </c>
      <c r="AN240" s="461">
        <f t="shared" si="395"/>
        <v>0</v>
      </c>
      <c r="AO240" s="461">
        <f t="shared" si="395"/>
        <v>0</v>
      </c>
      <c r="AP240" s="461">
        <f t="shared" si="395"/>
        <v>0</v>
      </c>
      <c r="AQ240" s="461">
        <f t="shared" si="395"/>
        <v>0</v>
      </c>
      <c r="AR240" s="461">
        <f t="shared" si="395"/>
        <v>0</v>
      </c>
      <c r="AS240" s="461">
        <f t="shared" si="395"/>
        <v>0</v>
      </c>
      <c r="AT240" s="461">
        <f t="shared" ref="AT240:AY240" si="396">0.5*AT99</f>
        <v>0</v>
      </c>
      <c r="AU240" s="461">
        <f t="shared" si="396"/>
        <v>0</v>
      </c>
      <c r="AV240" s="461">
        <f t="shared" si="396"/>
        <v>0</v>
      </c>
      <c r="AW240" s="461">
        <f t="shared" si="396"/>
        <v>0</v>
      </c>
      <c r="AX240" s="461">
        <f t="shared" si="396"/>
        <v>0</v>
      </c>
      <c r="AY240" s="461">
        <f t="shared" si="396"/>
        <v>0</v>
      </c>
      <c r="AZ240" s="1572"/>
      <c r="BA240" s="1572"/>
      <c r="BB240" s="1572"/>
      <c r="BC240" s="1572"/>
      <c r="BD240" s="1572"/>
      <c r="BE240" s="354"/>
      <c r="BF240" s="14"/>
      <c r="BG240" s="14"/>
      <c r="BH240" s="14"/>
      <c r="BI240" s="14"/>
      <c r="BJ240" s="14"/>
      <c r="BK240" s="14"/>
      <c r="BL240" s="14"/>
      <c r="BM240" s="14"/>
      <c r="BN240" s="14"/>
      <c r="BO240" s="14"/>
      <c r="BP240" s="14"/>
      <c r="BQ240" s="14"/>
      <c r="BR240" s="14"/>
      <c r="BS240" s="14"/>
      <c r="BT240" s="14"/>
      <c r="BU240" s="14"/>
      <c r="BV240" s="14"/>
      <c r="BW240" s="14"/>
      <c r="BX240" s="14"/>
      <c r="BY240" s="95"/>
      <c r="BZ240" s="14"/>
      <c r="CA240" s="14"/>
      <c r="CB240" s="14"/>
      <c r="CC240" s="14"/>
      <c r="CD240" s="377"/>
      <c r="CE240" s="14"/>
      <c r="CF240" s="14"/>
      <c r="CG240" s="14"/>
      <c r="CH240" s="14"/>
      <c r="CI240" s="53"/>
      <c r="CJ240" s="14"/>
      <c r="CK240" s="14"/>
      <c r="CL240" s="14"/>
      <c r="CM240" s="14"/>
      <c r="CN240" s="49"/>
      <c r="CO240" s="14"/>
      <c r="CP240" s="14"/>
      <c r="CQ240" s="14"/>
      <c r="CR240" s="14"/>
      <c r="CS240" s="49"/>
      <c r="CT240" s="14"/>
      <c r="CU240" s="14"/>
      <c r="CV240" s="14"/>
      <c r="CW240" s="14"/>
      <c r="CX240" s="49"/>
      <c r="CY240" s="352"/>
      <c r="CZ240" s="352"/>
      <c r="DA240" s="352"/>
      <c r="DB240" s="352"/>
      <c r="DC240" s="14"/>
      <c r="DD240" s="352"/>
      <c r="DE240" s="352"/>
      <c r="DF240" s="352"/>
      <c r="DG240" s="352"/>
      <c r="DH240" s="352"/>
      <c r="DI240" s="352"/>
      <c r="DJ240" s="352"/>
      <c r="DK240" s="352"/>
      <c r="DL240" s="352"/>
      <c r="DM240" s="352"/>
      <c r="DN240" s="14"/>
      <c r="DO240" s="14"/>
      <c r="DP240" s="14"/>
      <c r="DQ240" s="14"/>
      <c r="DR240" s="14"/>
      <c r="DX240" s="862"/>
      <c r="DY240" s="862"/>
      <c r="DZ240" s="862"/>
      <c r="EA240" s="862"/>
      <c r="EB240" s="862"/>
      <c r="EH240" s="1048"/>
      <c r="EI240" s="1048"/>
      <c r="EJ240" s="1048"/>
      <c r="EK240" s="1048"/>
      <c r="EM240" s="1048"/>
      <c r="FL240" s="1048"/>
    </row>
    <row r="241" spans="1:168" ht="12.75" customHeight="1">
      <c r="A241" s="14" t="s">
        <v>735</v>
      </c>
      <c r="B241" s="14"/>
      <c r="C241" s="14"/>
      <c r="D241" s="14"/>
      <c r="E241" s="14"/>
      <c r="F241" s="14"/>
      <c r="G241" s="14"/>
      <c r="H241" s="14"/>
      <c r="I241" s="14"/>
      <c r="J241" s="129">
        <f>+E45</f>
        <v>3009</v>
      </c>
      <c r="K241" s="129">
        <f>+K45</f>
        <v>3587</v>
      </c>
      <c r="L241" s="14"/>
      <c r="M241" s="129"/>
      <c r="N241" s="129">
        <f>+N45</f>
        <v>3967.5</v>
      </c>
      <c r="O241" s="14"/>
      <c r="P241" s="129"/>
      <c r="Q241" s="129"/>
      <c r="R241" s="129">
        <f>+R45</f>
        <v>3685.9913000000001</v>
      </c>
      <c r="S241" s="14"/>
      <c r="T241" s="129">
        <f>+T45</f>
        <v>3755.1</v>
      </c>
      <c r="U241" s="129">
        <f>+U45</f>
        <v>3845.9</v>
      </c>
      <c r="V241" s="129"/>
      <c r="W241" s="129"/>
      <c r="X241" s="129">
        <f>+X45</f>
        <v>3976.3</v>
      </c>
      <c r="Y241" s="14"/>
      <c r="Z241" s="129">
        <f t="shared" ref="Z241:AO241" si="397">+Z45</f>
        <v>3845.9</v>
      </c>
      <c r="AA241" s="129">
        <f t="shared" si="397"/>
        <v>3976.3</v>
      </c>
      <c r="AB241" s="129">
        <f t="shared" si="397"/>
        <v>4064.1000000000004</v>
      </c>
      <c r="AC241" s="129">
        <f t="shared" si="397"/>
        <v>4063.3</v>
      </c>
      <c r="AD241" s="129">
        <f t="shared" si="397"/>
        <v>3941</v>
      </c>
      <c r="AE241" s="129">
        <f t="shared" si="397"/>
        <v>3709.7</v>
      </c>
      <c r="AF241" s="129">
        <f t="shared" si="397"/>
        <v>2945</v>
      </c>
      <c r="AG241" s="129">
        <f t="shared" si="397"/>
        <v>3155.5519999999997</v>
      </c>
      <c r="AH241" s="129">
        <f t="shared" si="397"/>
        <v>2626.2</v>
      </c>
      <c r="AI241" s="129">
        <f t="shared" si="397"/>
        <v>2598</v>
      </c>
      <c r="AJ241" s="1652">
        <f t="shared" si="397"/>
        <v>2610.4</v>
      </c>
      <c r="AK241" s="1652">
        <f t="shared" si="397"/>
        <v>1303</v>
      </c>
      <c r="AL241" s="1652">
        <f t="shared" si="397"/>
        <v>1232</v>
      </c>
      <c r="AM241" s="1652">
        <f t="shared" si="397"/>
        <v>1220</v>
      </c>
      <c r="AN241" s="1652">
        <f>+AN45</f>
        <v>0</v>
      </c>
      <c r="AO241" s="129">
        <f t="shared" si="397"/>
        <v>0</v>
      </c>
      <c r="AP241" s="129">
        <f t="shared" ref="AP241:AU241" si="398">+AP45</f>
        <v>0</v>
      </c>
      <c r="AQ241" s="129">
        <f t="shared" si="398"/>
        <v>0</v>
      </c>
      <c r="AR241" s="129">
        <f t="shared" si="398"/>
        <v>0</v>
      </c>
      <c r="AS241" s="129">
        <f t="shared" si="398"/>
        <v>0</v>
      </c>
      <c r="AT241" s="129">
        <f t="shared" si="398"/>
        <v>0</v>
      </c>
      <c r="AU241" s="129">
        <f t="shared" si="398"/>
        <v>0</v>
      </c>
      <c r="AV241" s="129">
        <f>+AV45</f>
        <v>0</v>
      </c>
      <c r="AW241" s="129">
        <f>+AW45</f>
        <v>0</v>
      </c>
      <c r="AX241" s="129">
        <f>+AX45</f>
        <v>0</v>
      </c>
      <c r="AY241" s="129">
        <f>+AY45</f>
        <v>0</v>
      </c>
      <c r="AZ241" s="1274"/>
      <c r="BA241" s="1274"/>
      <c r="BB241" s="1274"/>
      <c r="BC241" s="1274"/>
      <c r="BD241" s="1274"/>
      <c r="BE241" s="354"/>
      <c r="BF241" s="14"/>
      <c r="BG241" s="14"/>
      <c r="BH241" s="14"/>
      <c r="BI241" s="14"/>
      <c r="BJ241" s="14"/>
      <c r="BK241" s="14"/>
      <c r="BL241" s="14"/>
      <c r="BM241" s="14"/>
      <c r="BN241" s="14"/>
      <c r="BO241" s="14"/>
      <c r="BP241" s="14"/>
      <c r="BQ241" s="14"/>
      <c r="BR241" s="14"/>
      <c r="BS241" s="14"/>
      <c r="BT241" s="14"/>
      <c r="BU241" s="14"/>
      <c r="BV241" s="14"/>
      <c r="BW241" s="14"/>
      <c r="BX241" s="14"/>
      <c r="BY241" s="95"/>
      <c r="BZ241" s="14"/>
      <c r="CA241" s="14"/>
      <c r="CB241" s="14"/>
      <c r="CC241" s="14"/>
      <c r="CD241" s="377"/>
      <c r="CE241" s="14"/>
      <c r="CF241" s="14"/>
      <c r="CG241" s="14"/>
      <c r="CH241" s="14"/>
      <c r="CI241" s="53"/>
      <c r="CJ241" s="14"/>
      <c r="CK241" s="14"/>
      <c r="CL241" s="14"/>
      <c r="CM241" s="14"/>
      <c r="CN241" s="49"/>
      <c r="CO241" s="14"/>
      <c r="CP241" s="14"/>
      <c r="CQ241" s="14"/>
      <c r="CR241" s="14"/>
      <c r="CS241" s="49"/>
      <c r="CT241" s="14"/>
      <c r="CU241" s="14"/>
      <c r="CV241" s="14"/>
      <c r="CW241" s="14"/>
      <c r="CX241" s="49"/>
      <c r="CY241" s="352"/>
      <c r="CZ241" s="352"/>
      <c r="DA241" s="352"/>
      <c r="DB241" s="352"/>
      <c r="DC241" s="14"/>
      <c r="DD241" s="352"/>
      <c r="DE241" s="352"/>
      <c r="DF241" s="352"/>
      <c r="DG241" s="352"/>
      <c r="DH241" s="352"/>
      <c r="DI241" s="352"/>
      <c r="DJ241" s="352"/>
      <c r="DK241" s="352"/>
      <c r="DL241" s="352"/>
      <c r="DM241" s="352"/>
      <c r="DN241" s="14"/>
      <c r="DO241" s="14"/>
      <c r="DP241" s="14"/>
      <c r="DQ241" s="14"/>
      <c r="DR241" s="14"/>
      <c r="DX241" s="862"/>
      <c r="DY241" s="862"/>
      <c r="DZ241" s="862"/>
      <c r="EA241" s="862"/>
      <c r="EB241" s="862"/>
      <c r="EH241" s="1048"/>
      <c r="EI241" s="1048"/>
      <c r="EJ241" s="1048"/>
      <c r="EK241" s="1048"/>
      <c r="EM241" s="1048"/>
      <c r="FL241" s="1048"/>
    </row>
    <row r="242" spans="1:168" ht="12.75" customHeight="1">
      <c r="A242" s="319" t="s">
        <v>736</v>
      </c>
      <c r="B242" s="14"/>
      <c r="C242" s="14"/>
      <c r="D242" s="14"/>
      <c r="E242" s="14"/>
      <c r="F242" s="14"/>
      <c r="G242" s="14"/>
      <c r="H242" s="14"/>
      <c r="I242" s="14"/>
      <c r="J242" s="14">
        <f>SUM(J235:J241)</f>
        <v>8106.701</v>
      </c>
      <c r="K242" s="14">
        <f>SUM(K235:K241)</f>
        <v>8654.027</v>
      </c>
      <c r="L242" s="14"/>
      <c r="M242" s="14"/>
      <c r="N242" s="14">
        <f>SUM(N235:N241)</f>
        <v>9536.3714499999987</v>
      </c>
      <c r="O242" s="14"/>
      <c r="P242" s="14"/>
      <c r="Q242" s="14"/>
      <c r="R242" s="14">
        <f>SUM(R235:R241)</f>
        <v>8851.0034675000006</v>
      </c>
      <c r="S242" s="14"/>
      <c r="T242" s="14">
        <f>SUM(T235:T241)</f>
        <v>9178.4796108999999</v>
      </c>
      <c r="U242" s="14">
        <f>SUM(U235:U241)</f>
        <v>9511.3414672393646</v>
      </c>
      <c r="V242" s="14"/>
      <c r="W242" s="14"/>
      <c r="X242" s="14">
        <f t="shared" ref="X242:AO242" si="399">SUM(X235:X241)</f>
        <v>10286.344190138649</v>
      </c>
      <c r="Y242" s="14"/>
      <c r="Z242" s="14">
        <f>SUM(Z235:Z241)</f>
        <v>9511.3414672393646</v>
      </c>
      <c r="AA242" s="14">
        <f>SUM(AA235:AA241)</f>
        <v>10286.344190138649</v>
      </c>
      <c r="AB242" s="14">
        <f t="shared" si="399"/>
        <v>10493.918818472934</v>
      </c>
      <c r="AC242" s="14">
        <f t="shared" si="399"/>
        <v>10378.187258444219</v>
      </c>
      <c r="AD242" s="14">
        <f t="shared" si="399"/>
        <v>10177.527906444122</v>
      </c>
      <c r="AE242" s="14">
        <f t="shared" si="399"/>
        <v>9429.85592224231</v>
      </c>
      <c r="AF242" s="14">
        <f t="shared" si="399"/>
        <v>8420.3840414807964</v>
      </c>
      <c r="AG242" s="14">
        <f t="shared" si="399"/>
        <v>9387.8308328646963</v>
      </c>
      <c r="AH242" s="14">
        <f t="shared" si="399"/>
        <v>8665.8516556217473</v>
      </c>
      <c r="AI242" s="14">
        <f t="shared" si="399"/>
        <v>8504.5703576758679</v>
      </c>
      <c r="AJ242" s="14">
        <f t="shared" si="399"/>
        <v>8937.8781085878054</v>
      </c>
      <c r="AK242" s="14">
        <f t="shared" si="399"/>
        <v>7307.559456514351</v>
      </c>
      <c r="AL242" s="14">
        <f t="shared" si="399"/>
        <v>7239.81837632727</v>
      </c>
      <c r="AM242" s="14">
        <f t="shared" si="399"/>
        <v>7750.2641238912965</v>
      </c>
      <c r="AN242" s="14">
        <f>SUM(AN235:AN241)</f>
        <v>6068.7147847716933</v>
      </c>
      <c r="AO242" s="14">
        <f t="shared" si="399"/>
        <v>6162.1872545480928</v>
      </c>
      <c r="AP242" s="14">
        <f t="shared" ref="AP242:AU242" si="400">SUM(AP235:AP241)</f>
        <v>6609.1070976561923</v>
      </c>
      <c r="AQ242" s="14">
        <f t="shared" si="400"/>
        <v>6251.2211794821178</v>
      </c>
      <c r="AR242" s="14">
        <f t="shared" si="400"/>
        <v>6191.0359852897363</v>
      </c>
      <c r="AS242" s="14">
        <f t="shared" si="400"/>
        <v>6802.9697799292717</v>
      </c>
      <c r="AT242" s="14">
        <f t="shared" si="400"/>
        <v>6256.2643316269969</v>
      </c>
      <c r="AU242" s="14">
        <f t="shared" si="400"/>
        <v>6383.4105305245612</v>
      </c>
      <c r="AV242" s="14">
        <f>SUM(AV235:AV241)</f>
        <v>6968.4724261700248</v>
      </c>
      <c r="AW242" s="14">
        <f>SUM(AW235:AW241)</f>
        <v>6409.1970713063092</v>
      </c>
      <c r="AX242" s="14">
        <f>SUM(AX235:AX241)</f>
        <v>6406.2169947598113</v>
      </c>
      <c r="AY242" s="14">
        <f>SUM(AY235:AY241)</f>
        <v>7285.8071774026284</v>
      </c>
      <c r="AZ242" s="354"/>
      <c r="BA242" s="354"/>
      <c r="BB242" s="354"/>
      <c r="BC242" s="354"/>
      <c r="BD242" s="354"/>
      <c r="BE242" s="354"/>
      <c r="BF242" s="14"/>
      <c r="BG242" s="14"/>
      <c r="BH242" s="14"/>
      <c r="BI242" s="14"/>
      <c r="BJ242" s="14"/>
      <c r="BK242" s="14"/>
      <c r="BL242" s="14"/>
      <c r="BM242" s="14"/>
      <c r="BN242" s="14"/>
      <c r="BO242" s="14"/>
      <c r="BP242" s="14"/>
      <c r="BQ242" s="14"/>
      <c r="BR242" s="14"/>
      <c r="BS242" s="14"/>
      <c r="BT242" s="14"/>
      <c r="BU242" s="14"/>
      <c r="BV242" s="14"/>
      <c r="BW242" s="14"/>
      <c r="BX242" s="14"/>
      <c r="BY242" s="95"/>
      <c r="BZ242" s="14"/>
      <c r="CA242" s="14"/>
      <c r="CB242" s="14"/>
      <c r="CC242" s="14"/>
      <c r="CD242" s="377"/>
      <c r="CE242" s="14"/>
      <c r="CF242" s="14"/>
      <c r="CG242" s="14"/>
      <c r="CH242" s="14"/>
      <c r="CI242" s="53"/>
      <c r="CJ242" s="14"/>
      <c r="CK242" s="14"/>
      <c r="CL242" s="14"/>
      <c r="CM242" s="14"/>
      <c r="CN242" s="49"/>
      <c r="CO242" s="14"/>
      <c r="CP242" s="14"/>
      <c r="CQ242" s="14"/>
      <c r="CR242" s="14"/>
      <c r="CS242" s="49"/>
      <c r="CT242" s="14"/>
      <c r="CU242" s="14"/>
      <c r="CV242" s="14"/>
      <c r="CW242" s="14"/>
      <c r="CX242" s="49"/>
      <c r="CY242" s="352"/>
      <c r="CZ242" s="352"/>
      <c r="DA242" s="352"/>
      <c r="DB242" s="352"/>
      <c r="DC242" s="14"/>
      <c r="DD242" s="352"/>
      <c r="DE242" s="352"/>
      <c r="DF242" s="352"/>
      <c r="DG242" s="352"/>
      <c r="DH242" s="352"/>
      <c r="DI242" s="352"/>
      <c r="DJ242" s="352"/>
      <c r="DK242" s="352"/>
      <c r="DL242" s="352"/>
      <c r="DM242" s="352"/>
      <c r="DN242" s="14"/>
      <c r="DO242" s="14"/>
      <c r="DP242" s="14"/>
      <c r="DQ242" s="14"/>
      <c r="DR242" s="14"/>
      <c r="DX242" s="862"/>
      <c r="DY242" s="862"/>
      <c r="DZ242" s="862"/>
      <c r="EA242" s="862"/>
      <c r="EB242" s="862"/>
      <c r="EH242" s="1048"/>
      <c r="EI242" s="1048"/>
      <c r="EJ242" s="1048"/>
      <c r="EK242" s="1048"/>
      <c r="EM242" s="1048"/>
      <c r="FL242" s="1048"/>
    </row>
    <row r="243" spans="1:168" ht="12.75" customHeight="1">
      <c r="A243" s="14" t="s">
        <v>676</v>
      </c>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c r="AA243" s="14"/>
      <c r="AB243" s="14"/>
      <c r="AC243" s="14"/>
      <c r="AD243" s="14"/>
      <c r="AE243" s="39">
        <f>AE242/AD242-1</f>
        <v>-7.3463024722183023E-2</v>
      </c>
      <c r="AF243" s="39">
        <f t="shared" ref="AF243:AL243" si="401">AF242/AE242-1</f>
        <v>-0.10705061552217998</v>
      </c>
      <c r="AG243" s="39">
        <f t="shared" si="401"/>
        <v>0.11489342844910988</v>
      </c>
      <c r="AH243" s="39">
        <f t="shared" si="401"/>
        <v>-7.6905857177939518E-2</v>
      </c>
      <c r="AI243" s="39">
        <f t="shared" si="401"/>
        <v>-1.8611130718035329E-2</v>
      </c>
      <c r="AJ243" s="39">
        <f t="shared" si="401"/>
        <v>5.0949987205509029E-2</v>
      </c>
      <c r="AK243" s="39">
        <f t="shared" si="401"/>
        <v>-0.18240555893316457</v>
      </c>
      <c r="AL243" s="39">
        <f t="shared" si="401"/>
        <v>-9.2700005508259409E-3</v>
      </c>
      <c r="AM243" s="39">
        <f t="shared" ref="AM243:AS243" si="402">AM242/AL242-1</f>
        <v>7.050532500001383E-2</v>
      </c>
      <c r="AN243" s="39">
        <f t="shared" si="402"/>
        <v>-0.21696671393894651</v>
      </c>
      <c r="AO243" s="39">
        <f t="shared" si="402"/>
        <v>1.5402350100708562E-2</v>
      </c>
      <c r="AP243" s="39">
        <f t="shared" si="402"/>
        <v>7.2526170440251336E-2</v>
      </c>
      <c r="AQ243" s="39">
        <f t="shared" si="402"/>
        <v>-5.4150418942521372E-2</v>
      </c>
      <c r="AR243" s="39">
        <f t="shared" si="402"/>
        <v>-9.6277499170758229E-3</v>
      </c>
      <c r="AS243" s="39">
        <f t="shared" si="402"/>
        <v>9.8841905634780014E-2</v>
      </c>
      <c r="AT243" s="39">
        <f t="shared" ref="AT243:AY243" si="403">AT242/AS242-1</f>
        <v>-8.0362763026702533E-2</v>
      </c>
      <c r="AU243" s="39">
        <f t="shared" si="403"/>
        <v>2.0323022199495E-2</v>
      </c>
      <c r="AV243" s="39">
        <f t="shared" si="403"/>
        <v>9.1653496645371701E-2</v>
      </c>
      <c r="AW243" s="39">
        <f t="shared" si="403"/>
        <v>-8.025795621481735E-2</v>
      </c>
      <c r="AX243" s="39">
        <f t="shared" si="403"/>
        <v>-4.6496878054191892E-4</v>
      </c>
      <c r="AY243" s="39">
        <f t="shared" si="403"/>
        <v>0.13730258955672414</v>
      </c>
      <c r="AZ243" s="359"/>
      <c r="BA243" s="359"/>
      <c r="BB243" s="359"/>
      <c r="BC243" s="359"/>
      <c r="BD243" s="359"/>
      <c r="BE243" s="354"/>
      <c r="BF243" s="14"/>
      <c r="BG243" s="14"/>
      <c r="BH243" s="14"/>
      <c r="BI243" s="14"/>
      <c r="BJ243" s="14"/>
      <c r="BK243" s="14"/>
      <c r="BL243" s="14"/>
      <c r="BM243" s="14"/>
      <c r="BN243" s="14"/>
      <c r="BO243" s="14"/>
      <c r="BP243" s="14"/>
      <c r="BQ243" s="14"/>
      <c r="BR243" s="14"/>
      <c r="BS243" s="14"/>
      <c r="BT243" s="14"/>
      <c r="BU243" s="14"/>
      <c r="BV243" s="14"/>
      <c r="BW243" s="14"/>
      <c r="BX243" s="14"/>
      <c r="BY243" s="95"/>
      <c r="BZ243" s="14"/>
      <c r="CA243" s="14"/>
      <c r="CB243" s="14"/>
      <c r="CC243" s="14"/>
      <c r="CD243" s="377"/>
      <c r="CE243" s="14"/>
      <c r="CF243" s="14"/>
      <c r="CG243" s="14"/>
      <c r="CH243" s="14"/>
      <c r="CI243" s="53"/>
      <c r="CJ243" s="14"/>
      <c r="CK243" s="14"/>
      <c r="CL243" s="14"/>
      <c r="CM243" s="14"/>
      <c r="CN243" s="49"/>
      <c r="CO243" s="14"/>
      <c r="CP243" s="14"/>
      <c r="CQ243" s="14"/>
      <c r="CR243" s="14"/>
      <c r="CS243" s="49"/>
      <c r="CT243" s="14"/>
      <c r="CU243" s="14"/>
      <c r="CV243" s="14"/>
      <c r="CW243" s="14"/>
      <c r="CX243" s="49"/>
      <c r="CY243" s="352"/>
      <c r="CZ243" s="352"/>
      <c r="DA243" s="352"/>
      <c r="DB243" s="352"/>
      <c r="DC243" s="14"/>
      <c r="DD243" s="352"/>
      <c r="DE243" s="352"/>
      <c r="DF243" s="352"/>
      <c r="DG243" s="352"/>
      <c r="DH243" s="352"/>
      <c r="DI243" s="352"/>
      <c r="DJ243" s="352"/>
      <c r="DK243" s="352"/>
      <c r="DL243" s="352"/>
      <c r="DM243" s="352"/>
      <c r="DN243" s="14"/>
      <c r="DO243" s="14"/>
      <c r="DP243" s="14"/>
      <c r="DQ243" s="14"/>
      <c r="DR243" s="14"/>
      <c r="DX243" s="862"/>
      <c r="DY243" s="862"/>
      <c r="DZ243" s="862"/>
      <c r="EA243" s="862"/>
      <c r="EB243" s="862"/>
      <c r="EH243" s="1048"/>
      <c r="EI243" s="1048"/>
      <c r="EJ243" s="1048"/>
      <c r="EK243" s="1048"/>
      <c r="EM243" s="1048"/>
      <c r="FL243" s="1048"/>
    </row>
    <row r="244" spans="1:168" ht="12.75" customHeight="1">
      <c r="A244" s="14" t="s">
        <v>427</v>
      </c>
      <c r="AD244" s="867">
        <f>AD242/'GAAP Financial Statements'!M5</f>
        <v>0.72320047086557304</v>
      </c>
      <c r="AE244" s="867">
        <f>AE242/'GAAP Financial Statements'!N5</f>
        <v>0.67595595267822506</v>
      </c>
      <c r="AF244" s="867">
        <f>AF242/'GAAP Financial Statements'!R5</f>
        <v>0.6469952239393294</v>
      </c>
      <c r="AG244" s="867">
        <f>AG242/'GAAP Financial Statements'!S5</f>
        <v>0.66770728124615553</v>
      </c>
      <c r="AH244" s="867">
        <f>AH242/'GAAP Financial Statements'!T5</f>
        <v>0.63546613299272181</v>
      </c>
      <c r="AI244" s="867">
        <f>AI242/'GAAP Financial Statements'!U5</f>
        <v>0.60412075621383399</v>
      </c>
      <c r="AJ244" s="867">
        <f>AJ242/'GAAP Financial Statements'!V5</f>
        <v>0.58478658129990879</v>
      </c>
      <c r="AK244" s="867">
        <f>AK242/'GAAP Financial Statements'!W5</f>
        <v>0.52930316214068895</v>
      </c>
      <c r="AL244" s="867">
        <f>AL242/'GAAP Financial Statements'!Z5</f>
        <v>0.52137536917235139</v>
      </c>
      <c r="AM244" s="867">
        <f>AM242/'GAAP Financial Statements'!AA5</f>
        <v>0.53873655803498521</v>
      </c>
      <c r="AN244" s="867">
        <f>AN242/'GAAP Financial Statements'!AC5</f>
        <v>0.4476146229121642</v>
      </c>
      <c r="AO244" s="867">
        <f>AO242/'GAAP Financial Statements'!AD5</f>
        <v>0.42720848011556373</v>
      </c>
      <c r="AP244" s="867">
        <f>AP242/'GAAP Financial Statements'!AE5</f>
        <v>0.42712803180709397</v>
      </c>
      <c r="AQ244" s="867">
        <f>AQ242/'GAAP Financial Statements'!AF5</f>
        <v>0.39375330926091223</v>
      </c>
      <c r="AR244" s="867">
        <f>AR242/'GAAP Financial Statements'!AG5</f>
        <v>0.37617856032241109</v>
      </c>
      <c r="AS244" s="867">
        <f>AS242/'GAAP Financial Statements'!AH5</f>
        <v>0.38804703586629163</v>
      </c>
      <c r="AT244" s="867">
        <f>AT242/'GAAP Financial Statements'!AI5</f>
        <v>0.35895906911789888</v>
      </c>
      <c r="AU244" s="867">
        <f>AU242/'GAAP Financial Statements'!AJ5</f>
        <v>0.35548742338668188</v>
      </c>
      <c r="AV244" s="867">
        <f>AV242/'GAAP Financial Statements'!AK5</f>
        <v>0.36832867663772695</v>
      </c>
      <c r="AW244" s="867">
        <f>AW242/'GAAP Financial Statements'!AL5</f>
        <v>0.34173636333586754</v>
      </c>
      <c r="AX244" s="867">
        <f>AX242/'GAAP Financial Statements'!AM5</f>
        <v>0.33472646058625544</v>
      </c>
      <c r="AY244" s="867">
        <f>AY242/'GAAP Financial Statements'!AN5</f>
        <v>0.35747896178466271</v>
      </c>
      <c r="DC244" s="6"/>
      <c r="DX244" s="862"/>
      <c r="DY244" s="862"/>
      <c r="DZ244" s="862"/>
      <c r="EA244" s="862"/>
      <c r="EB244" s="862"/>
      <c r="EH244" s="1048"/>
      <c r="EI244" s="1048"/>
      <c r="EJ244" s="1048"/>
      <c r="EK244" s="1048"/>
      <c r="EM244" s="1048"/>
      <c r="FL244" s="1048"/>
    </row>
    <row r="245" spans="1:168" ht="12.75" customHeight="1"/>
    <row r="246" spans="1:168" ht="12.75" customHeight="1"/>
    <row r="247" spans="1:168" s="862" customFormat="1" ht="12.75" customHeight="1">
      <c r="AX247" s="865"/>
      <c r="AY247" s="865"/>
      <c r="AZ247" s="865"/>
      <c r="BA247" s="865"/>
      <c r="BB247" s="865"/>
      <c r="BC247" s="865"/>
      <c r="BD247" s="865"/>
      <c r="BE247" s="865"/>
    </row>
    <row r="248" spans="1:168" s="862" customFormat="1" ht="12.75" customHeight="1">
      <c r="AX248" s="865"/>
      <c r="AY248" s="865"/>
      <c r="AZ248" s="865"/>
      <c r="BA248" s="865"/>
      <c r="BB248" s="865"/>
      <c r="BC248" s="865"/>
      <c r="BD248" s="865"/>
      <c r="BE248" s="865"/>
    </row>
    <row r="249" spans="1:168" s="862" customFormat="1" ht="11.25">
      <c r="AX249" s="865"/>
      <c r="AY249" s="865"/>
      <c r="AZ249" s="865"/>
      <c r="BA249" s="865"/>
      <c r="BB249" s="865"/>
      <c r="BC249" s="865"/>
      <c r="BD249" s="865"/>
      <c r="BE249" s="865"/>
    </row>
    <row r="250" spans="1:168" s="862" customFormat="1" ht="11.25">
      <c r="AX250" s="865"/>
      <c r="AY250" s="865"/>
      <c r="AZ250" s="865"/>
      <c r="BA250" s="865"/>
      <c r="BB250" s="865"/>
      <c r="BC250" s="865"/>
      <c r="BD250" s="865"/>
      <c r="BE250" s="865"/>
    </row>
    <row r="251" spans="1:168" s="862" customFormat="1" ht="11.25">
      <c r="AX251" s="865"/>
      <c r="AY251" s="865"/>
      <c r="AZ251" s="865"/>
      <c r="BA251" s="865"/>
      <c r="BB251" s="865"/>
      <c r="BC251" s="865"/>
      <c r="BD251" s="865"/>
      <c r="BE251" s="865"/>
    </row>
    <row r="252" spans="1:168" s="862" customFormat="1" ht="11.25">
      <c r="AX252" s="865"/>
      <c r="AY252" s="865"/>
      <c r="AZ252" s="865"/>
      <c r="BA252" s="865"/>
      <c r="BB252" s="865"/>
      <c r="BC252" s="865"/>
      <c r="BD252" s="865"/>
      <c r="BE252" s="865"/>
    </row>
    <row r="253" spans="1:168" s="862" customFormat="1" ht="11.25">
      <c r="AX253" s="865"/>
      <c r="AY253" s="865"/>
      <c r="AZ253" s="865"/>
      <c r="BA253" s="865"/>
      <c r="BB253" s="865"/>
      <c r="BC253" s="865"/>
      <c r="BD253" s="865"/>
      <c r="BE253" s="865"/>
    </row>
    <row r="254" spans="1:168" s="862" customFormat="1" ht="11.25">
      <c r="AX254" s="865"/>
      <c r="AY254" s="865"/>
      <c r="AZ254" s="865"/>
      <c r="BA254" s="865"/>
      <c r="BB254" s="865"/>
      <c r="BC254" s="865"/>
      <c r="BD254" s="865"/>
      <c r="BE254" s="865"/>
    </row>
    <row r="255" spans="1:168" s="862" customFormat="1" ht="11.25">
      <c r="AX255" s="865"/>
      <c r="AY255" s="865"/>
      <c r="AZ255" s="865"/>
      <c r="BA255" s="865"/>
      <c r="BB255" s="865"/>
      <c r="BC255" s="865"/>
      <c r="BD255" s="865"/>
      <c r="BE255" s="865"/>
    </row>
    <row r="256" spans="1:168" s="862" customFormat="1" ht="11.25">
      <c r="AX256" s="865"/>
      <c r="AY256" s="865"/>
      <c r="AZ256" s="865"/>
      <c r="BA256" s="865"/>
      <c r="BB256" s="865"/>
      <c r="BC256" s="865"/>
      <c r="BD256" s="865"/>
      <c r="BE256" s="865"/>
    </row>
    <row r="257" spans="50:57" s="862" customFormat="1" ht="11.25">
      <c r="AX257" s="865"/>
      <c r="AY257" s="865"/>
      <c r="AZ257" s="865"/>
      <c r="BA257" s="865"/>
      <c r="BB257" s="865"/>
      <c r="BC257" s="865"/>
      <c r="BD257" s="865"/>
      <c r="BE257" s="865"/>
    </row>
    <row r="258" spans="50:57" s="862" customFormat="1" ht="11.25">
      <c r="AX258" s="865"/>
      <c r="AY258" s="865"/>
      <c r="AZ258" s="865"/>
      <c r="BA258" s="865"/>
      <c r="BB258" s="865"/>
      <c r="BC258" s="865"/>
      <c r="BD258" s="865"/>
      <c r="BE258" s="865"/>
    </row>
    <row r="259" spans="50:57" s="2426" customFormat="1" ht="11.25" hidden="1" outlineLevel="1">
      <c r="AX259" s="2427"/>
      <c r="AY259" s="2427"/>
      <c r="AZ259" s="2427"/>
      <c r="BA259" s="2427"/>
      <c r="BB259" s="2427"/>
      <c r="BC259" s="2427"/>
      <c r="BD259" s="2427"/>
      <c r="BE259" s="2427"/>
    </row>
    <row r="260" spans="50:57" s="862" customFormat="1" ht="11.25" collapsed="1">
      <c r="AX260" s="865"/>
      <c r="AY260" s="865"/>
      <c r="AZ260" s="865"/>
      <c r="BA260" s="865"/>
      <c r="BB260" s="865"/>
      <c r="BC260" s="865"/>
      <c r="BD260" s="865"/>
      <c r="BE260" s="865"/>
    </row>
    <row r="261" spans="50:57" s="862" customFormat="1" ht="11.25">
      <c r="AX261" s="865"/>
      <c r="AY261" s="865"/>
      <c r="AZ261" s="865"/>
      <c r="BA261" s="865"/>
      <c r="BB261" s="865"/>
      <c r="BC261" s="865"/>
      <c r="BD261" s="865"/>
      <c r="BE261" s="865"/>
    </row>
    <row r="262" spans="50:57" s="862" customFormat="1" ht="11.25">
      <c r="AX262" s="865"/>
      <c r="AY262" s="865"/>
      <c r="AZ262" s="865"/>
      <c r="BA262" s="865"/>
      <c r="BB262" s="865"/>
      <c r="BC262" s="865"/>
      <c r="BD262" s="865"/>
      <c r="BE262" s="865"/>
    </row>
    <row r="263" spans="50:57" s="862" customFormat="1" ht="11.25">
      <c r="AX263" s="865"/>
      <c r="AY263" s="865"/>
      <c r="AZ263" s="865"/>
      <c r="BA263" s="865"/>
      <c r="BB263" s="865"/>
      <c r="BC263" s="865"/>
      <c r="BD263" s="865"/>
      <c r="BE263" s="865"/>
    </row>
    <row r="264" spans="50:57" s="862" customFormat="1" ht="11.25">
      <c r="AX264" s="865"/>
      <c r="AY264" s="865"/>
      <c r="AZ264" s="865"/>
      <c r="BA264" s="865"/>
      <c r="BB264" s="865"/>
      <c r="BC264" s="865"/>
      <c r="BD264" s="865"/>
      <c r="BE264" s="865"/>
    </row>
    <row r="265" spans="50:57" s="862" customFormat="1" ht="11.25">
      <c r="AX265" s="865"/>
      <c r="AY265" s="865"/>
      <c r="AZ265" s="865"/>
      <c r="BA265" s="865"/>
      <c r="BB265" s="865"/>
      <c r="BC265" s="865"/>
      <c r="BD265" s="865"/>
      <c r="BE265" s="865"/>
    </row>
    <row r="266" spans="50:57" s="862" customFormat="1" ht="11.25">
      <c r="AX266" s="865"/>
      <c r="AY266" s="865"/>
      <c r="AZ266" s="865"/>
      <c r="BA266" s="865"/>
      <c r="BB266" s="865"/>
      <c r="BC266" s="865"/>
      <c r="BD266" s="865"/>
      <c r="BE266" s="865"/>
    </row>
    <row r="267" spans="50:57" s="862" customFormat="1" ht="11.25">
      <c r="AX267" s="865"/>
      <c r="AY267" s="865"/>
      <c r="AZ267" s="865"/>
      <c r="BA267" s="865"/>
      <c r="BB267" s="865"/>
      <c r="BC267" s="865"/>
      <c r="BD267" s="865"/>
      <c r="BE267" s="865"/>
    </row>
    <row r="268" spans="50:57" s="862" customFormat="1" ht="11.25">
      <c r="AX268" s="865"/>
      <c r="AY268" s="865"/>
      <c r="AZ268" s="865"/>
      <c r="BA268" s="865"/>
      <c r="BB268" s="865"/>
      <c r="BC268" s="865"/>
      <c r="BD268" s="865"/>
      <c r="BE268" s="865"/>
    </row>
    <row r="269" spans="50:57" s="862" customFormat="1" ht="11.25">
      <c r="AX269" s="865"/>
      <c r="AY269" s="865"/>
      <c r="AZ269" s="865"/>
      <c r="BA269" s="865"/>
      <c r="BB269" s="865"/>
      <c r="BC269" s="865"/>
      <c r="BD269" s="865"/>
      <c r="BE269" s="865"/>
    </row>
    <row r="270" spans="50:57" s="862" customFormat="1" ht="11.25">
      <c r="AX270" s="865"/>
      <c r="AY270" s="865"/>
      <c r="AZ270" s="865"/>
      <c r="BA270" s="865"/>
      <c r="BB270" s="865"/>
      <c r="BC270" s="865"/>
      <c r="BD270" s="865"/>
      <c r="BE270" s="865"/>
    </row>
    <row r="271" spans="50:57" s="862" customFormat="1" ht="11.25">
      <c r="AX271" s="865"/>
      <c r="AY271" s="865"/>
      <c r="AZ271" s="865"/>
      <c r="BA271" s="865"/>
      <c r="BB271" s="865"/>
      <c r="BC271" s="865"/>
      <c r="BD271" s="865"/>
      <c r="BE271" s="865"/>
    </row>
    <row r="272" spans="50:57" s="862" customFormat="1" ht="11.25">
      <c r="AX272" s="865"/>
      <c r="AY272" s="865"/>
      <c r="AZ272" s="865"/>
      <c r="BA272" s="865"/>
      <c r="BB272" s="865"/>
      <c r="BC272" s="865"/>
      <c r="BD272" s="865"/>
      <c r="BE272" s="865"/>
    </row>
    <row r="273" spans="50:57" s="862" customFormat="1" ht="11.25">
      <c r="AX273" s="865"/>
      <c r="AY273" s="865"/>
      <c r="AZ273" s="865"/>
      <c r="BA273" s="865"/>
      <c r="BB273" s="865"/>
      <c r="BC273" s="865"/>
      <c r="BD273" s="865"/>
      <c r="BE273" s="865"/>
    </row>
    <row r="274" spans="50:57" s="862" customFormat="1" ht="11.25">
      <c r="AX274" s="865"/>
      <c r="AY274" s="865"/>
      <c r="AZ274" s="865"/>
      <c r="BA274" s="865"/>
      <c r="BB274" s="865"/>
      <c r="BC274" s="865"/>
      <c r="BD274" s="865"/>
      <c r="BE274" s="865"/>
    </row>
    <row r="275" spans="50:57" s="862" customFormat="1" ht="11.25">
      <c r="AX275" s="865"/>
      <c r="AY275" s="865"/>
      <c r="AZ275" s="865"/>
      <c r="BA275" s="865"/>
      <c r="BB275" s="865"/>
      <c r="BC275" s="865"/>
      <c r="BD275" s="865"/>
      <c r="BE275" s="865"/>
    </row>
  </sheetData>
  <mergeCells count="7">
    <mergeCell ref="FB4:FE4"/>
    <mergeCell ref="FG4:FJ4"/>
    <mergeCell ref="FB84:FE84"/>
    <mergeCell ref="FG84:FJ84"/>
    <mergeCell ref="EW187:EZ187"/>
    <mergeCell ref="FB187:FE187"/>
    <mergeCell ref="FG187:FJ187"/>
  </mergeCells>
  <phoneticPr fontId="3" type="noConversion"/>
  <pageMargins left="0.75" right="0.75" top="1" bottom="1" header="0.5" footer="0.5"/>
  <pageSetup scale="43" fitToHeight="5" orientation="portrait" r:id="rId1"/>
  <headerFooter alignWithMargins="0"/>
  <ignoredErrors>
    <ignoredError sqref="AQ11:AV11 EM95:EP108 ER95:EU110 AI203:AK203 AI96:AL96 AI99:AU102 AI97:AL97 AN97:AU97 AI106:AU107 AI105 AO105:AU105 EO207:EP207 EQ194:EQ211 AI108:AL108 AI95:AO95 AP95:AU95 AN96:AU96 AI98:AL98 AN98:AU98 AI104:AK104 AI103:AL103 AN103:AU103 AO104:AU104 AJ105:AN105 DS95:EF107 EH95:EI107 EV90:EZ110 EQ90 AI11:AO11 AC11:AH11 AW11:AY11 AL197 FB197:FE197 FA194:FA199 EV194:EV199 AI125:AL125 AP125:AY125 FA201:FA211 EV201:EV209 EW207:EZ207 FB95:FE110 FC198 AP11 AV105:AY105 FG95:FJ99 FF90:FJ94 FF100:FJ109 FF95:FF99 AN125" formula="1"/>
  </ignoredErrors>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CN273"/>
  <sheetViews>
    <sheetView showGridLines="0" zoomScaleNormal="100" workbookViewId="0">
      <pane xSplit="1" ySplit="6" topLeftCell="Y7" activePane="bottomRight" state="frozen"/>
      <selection pane="topRight" activeCell="B1" sqref="B1"/>
      <selection pane="bottomLeft" activeCell="A7" sqref="A7"/>
      <selection pane="bottomRight" activeCell="BM22" sqref="BM22"/>
    </sheetView>
  </sheetViews>
  <sheetFormatPr defaultRowHeight="12.75" outlineLevelRow="1" outlineLevelCol="1"/>
  <cols>
    <col min="1" max="1" width="28.7109375" customWidth="1"/>
    <col min="2" max="16" width="9.140625" hidden="1" customWidth="1" outlineLevel="1"/>
    <col min="17" max="17" width="9.140625" hidden="1" customWidth="1" outlineLevel="1" collapsed="1"/>
    <col min="18" max="18" width="9.140625" hidden="1" customWidth="1" outlineLevel="1"/>
    <col min="19" max="19" width="9.140625" hidden="1" customWidth="1" outlineLevel="1" collapsed="1"/>
    <col min="20" max="20" width="9.7109375" customWidth="1" collapsed="1"/>
    <col min="21" max="33" width="9.7109375" customWidth="1"/>
    <col min="34" max="34" width="9.7109375" style="1577" customWidth="1"/>
    <col min="35" max="35" width="9.7109375" customWidth="1"/>
    <col min="36" max="36" width="9.140625" customWidth="1"/>
    <col min="37" max="41" width="9.140625" hidden="1" customWidth="1" outlineLevel="1"/>
    <col min="42" max="42" width="9.140625" customWidth="1" collapsed="1"/>
    <col min="43" max="52" width="9.140625" hidden="1" customWidth="1" outlineLevel="1"/>
    <col min="53" max="53" width="9.140625" hidden="1" customWidth="1" outlineLevel="1" collapsed="1"/>
    <col min="54" max="57" width="9.140625" hidden="1" customWidth="1" outlineLevel="1"/>
    <col min="58" max="58" width="9.140625" hidden="1" customWidth="1" outlineLevel="1" collapsed="1"/>
    <col min="59" max="62" width="9.140625" hidden="1" customWidth="1" outlineLevel="1"/>
    <col min="63" max="63" width="9.140625" collapsed="1"/>
    <col min="72" max="72" width="9.140625" style="1669"/>
    <col min="73" max="76" width="9.140625" customWidth="1"/>
    <col min="77" max="77" width="7.42578125" customWidth="1"/>
    <col min="78" max="78" width="2.42578125" customWidth="1"/>
    <col min="79" max="82" width="8" hidden="1" customWidth="1" outlineLevel="1"/>
    <col min="83" max="83" width="9.140625" customWidth="1" collapsed="1"/>
    <col min="84" max="84" width="9.7109375" bestFit="1" customWidth="1"/>
    <col min="85" max="88" width="8.5703125" customWidth="1"/>
    <col min="89" max="91" width="11.140625" customWidth="1"/>
  </cols>
  <sheetData>
    <row r="1" spans="1:92">
      <c r="A1" s="314"/>
      <c r="B1" s="314"/>
      <c r="C1" s="314"/>
      <c r="D1" s="314"/>
      <c r="E1" s="314"/>
      <c r="F1" s="314"/>
      <c r="G1" s="314"/>
      <c r="H1" s="314"/>
      <c r="I1" s="314"/>
      <c r="J1" s="314"/>
      <c r="K1" s="314"/>
      <c r="L1" s="477"/>
      <c r="M1" s="477"/>
      <c r="N1" s="314"/>
      <c r="O1" s="314"/>
      <c r="P1" s="314"/>
      <c r="Q1" s="314"/>
      <c r="R1" s="314"/>
      <c r="S1" s="314"/>
      <c r="T1" s="314"/>
      <c r="U1" s="314"/>
      <c r="V1" s="314"/>
      <c r="W1" s="314"/>
      <c r="X1" s="314"/>
      <c r="Y1" s="314"/>
      <c r="Z1" s="314"/>
      <c r="AA1" s="314"/>
      <c r="AB1" s="314"/>
      <c r="AC1" s="314"/>
      <c r="AD1" s="314"/>
      <c r="AE1" s="314"/>
      <c r="AF1" s="314"/>
      <c r="AG1" s="314"/>
      <c r="AH1" s="314"/>
      <c r="AI1" s="314"/>
      <c r="AJ1" s="314"/>
      <c r="AK1" s="314"/>
      <c r="AL1" s="314"/>
      <c r="AM1" s="314"/>
      <c r="AN1" s="314"/>
      <c r="AO1" s="314"/>
      <c r="AP1" s="314"/>
      <c r="AW1" s="314"/>
      <c r="AX1" s="314"/>
      <c r="AY1" s="314"/>
      <c r="AZ1" s="314"/>
      <c r="BA1" s="314"/>
      <c r="BB1" s="314"/>
      <c r="BC1" s="314"/>
      <c r="BD1" s="314"/>
      <c r="BE1" s="314"/>
      <c r="BF1" s="314"/>
      <c r="BG1" s="314"/>
      <c r="BH1" s="314"/>
      <c r="BI1" s="314"/>
      <c r="BJ1" s="314"/>
      <c r="BO1" s="314"/>
      <c r="BP1" s="314"/>
      <c r="BQ1" s="314"/>
      <c r="BR1" s="314"/>
      <c r="BS1" s="314"/>
      <c r="BT1" s="314"/>
      <c r="BU1" s="314"/>
      <c r="BV1" s="314"/>
      <c r="BW1" s="314"/>
      <c r="BX1" s="314"/>
      <c r="BY1" s="314"/>
      <c r="BZ1" s="314"/>
      <c r="CA1" s="314"/>
      <c r="CB1" s="314"/>
      <c r="CC1" s="314"/>
      <c r="CD1" s="314"/>
      <c r="CE1" s="314"/>
    </row>
    <row r="2" spans="1:92">
      <c r="A2" s="479" t="s">
        <v>1356</v>
      </c>
      <c r="B2" s="479"/>
      <c r="C2" s="479"/>
      <c r="D2" s="479"/>
      <c r="E2" s="479"/>
      <c r="F2" s="314"/>
      <c r="G2" s="314"/>
      <c r="H2" s="38"/>
      <c r="I2" s="38"/>
      <c r="J2" s="314"/>
      <c r="K2" s="314"/>
      <c r="L2" s="314"/>
      <c r="M2" s="314"/>
      <c r="N2" s="314"/>
      <c r="O2" s="314"/>
      <c r="P2" s="314"/>
      <c r="Q2" s="314"/>
      <c r="R2" s="314"/>
      <c r="S2" s="314"/>
      <c r="T2" s="314"/>
      <c r="U2" s="314"/>
      <c r="V2" s="314"/>
      <c r="W2" s="314"/>
      <c r="X2" s="314"/>
      <c r="Y2" s="314"/>
      <c r="Z2" s="314"/>
      <c r="AA2" s="314"/>
      <c r="AB2" s="314"/>
      <c r="AC2" s="314"/>
      <c r="AD2" s="314"/>
      <c r="AE2" s="314"/>
      <c r="AF2" s="997"/>
      <c r="AG2" s="314"/>
      <c r="AH2" s="314"/>
      <c r="AI2" s="314"/>
      <c r="AJ2" s="314"/>
      <c r="AK2" s="314"/>
      <c r="AL2" s="314"/>
      <c r="AM2" s="314"/>
      <c r="AN2" s="314"/>
      <c r="AO2" s="314"/>
      <c r="AP2" s="314"/>
      <c r="AQ2" s="314"/>
      <c r="AR2" s="314"/>
      <c r="AS2" s="314"/>
      <c r="AT2" s="314"/>
      <c r="AU2" s="314"/>
      <c r="AV2" s="314"/>
      <c r="AW2" s="314"/>
      <c r="AX2" s="314"/>
      <c r="AY2" s="314"/>
      <c r="AZ2" s="314"/>
      <c r="BA2" s="314"/>
      <c r="BB2" s="314"/>
      <c r="BC2" s="314"/>
      <c r="BD2" s="314"/>
      <c r="BE2" s="314"/>
      <c r="BF2" s="314"/>
      <c r="BG2" s="314"/>
      <c r="BH2" s="314"/>
      <c r="BI2" s="314"/>
      <c r="BJ2" s="314"/>
      <c r="BK2" s="314"/>
      <c r="BL2" s="314"/>
      <c r="BM2" s="314"/>
      <c r="BN2" s="314"/>
      <c r="BO2" s="314"/>
      <c r="BP2" s="314"/>
      <c r="BQ2" s="314"/>
      <c r="BR2" s="314"/>
      <c r="BS2" s="314"/>
      <c r="BT2" s="314"/>
      <c r="BU2" s="314"/>
      <c r="BV2" s="314"/>
      <c r="BW2" s="314"/>
      <c r="BX2" s="314"/>
      <c r="BY2" s="314"/>
      <c r="BZ2" s="314"/>
      <c r="CA2" s="314"/>
      <c r="CB2" s="314"/>
      <c r="CC2" s="314"/>
      <c r="CD2" s="314"/>
      <c r="CE2" s="314"/>
      <c r="CF2" s="314"/>
    </row>
    <row r="3" spans="1:92">
      <c r="A3" s="479" t="s">
        <v>1090</v>
      </c>
      <c r="B3" s="479"/>
      <c r="C3" s="479"/>
      <c r="D3" s="479"/>
      <c r="E3" s="479"/>
      <c r="F3" s="314"/>
      <c r="G3" s="314"/>
      <c r="H3" s="38"/>
      <c r="I3" s="38"/>
      <c r="J3" s="314"/>
      <c r="K3" s="314"/>
      <c r="L3" s="314"/>
      <c r="M3" s="314"/>
      <c r="N3" s="314"/>
      <c r="O3" s="314"/>
      <c r="P3" s="314"/>
      <c r="Q3" s="314"/>
      <c r="R3" s="314"/>
      <c r="S3" s="314"/>
      <c r="T3" s="314"/>
      <c r="U3" s="314"/>
      <c r="V3" s="314"/>
      <c r="W3" s="314"/>
      <c r="X3" s="314"/>
      <c r="Y3" s="314"/>
      <c r="Z3" s="314"/>
      <c r="AA3" s="314"/>
      <c r="AB3" s="314"/>
      <c r="AC3" s="314"/>
      <c r="AD3" s="314"/>
      <c r="AE3" s="314"/>
      <c r="AF3" s="314"/>
      <c r="AG3" s="314"/>
      <c r="AH3" s="314"/>
      <c r="AI3" s="314"/>
      <c r="AJ3" s="314"/>
      <c r="AK3" s="314"/>
      <c r="AL3" s="314"/>
      <c r="AM3" s="314"/>
      <c r="AN3" s="314"/>
      <c r="AO3" s="314"/>
      <c r="AP3" s="314"/>
      <c r="AQ3" s="314"/>
      <c r="AR3" s="314"/>
      <c r="AS3" s="314"/>
      <c r="AT3" s="314"/>
      <c r="AU3" s="314"/>
      <c r="AV3" s="314"/>
      <c r="AW3" s="314"/>
      <c r="AX3" s="314"/>
      <c r="AY3" s="314"/>
      <c r="AZ3" s="314"/>
      <c r="BA3" s="314"/>
      <c r="BB3" s="314"/>
      <c r="BC3" s="314"/>
      <c r="BD3" s="314"/>
      <c r="BE3" s="314"/>
      <c r="BF3" s="314"/>
      <c r="BG3" s="314"/>
      <c r="BH3" s="314"/>
      <c r="BI3" s="314"/>
      <c r="BJ3" s="314"/>
      <c r="BO3" s="314"/>
      <c r="BP3" s="314"/>
      <c r="BQ3" s="314"/>
      <c r="BR3" s="314"/>
      <c r="BS3" s="314"/>
      <c r="BT3" s="314"/>
      <c r="BU3" s="314"/>
      <c r="BV3" s="314"/>
      <c r="BW3" s="314"/>
      <c r="BX3" s="314"/>
      <c r="BY3" s="314"/>
      <c r="BZ3" s="314"/>
      <c r="CA3" s="314"/>
      <c r="CB3" s="314"/>
      <c r="CC3" s="314"/>
      <c r="CD3" s="314"/>
      <c r="CE3" s="314"/>
      <c r="CF3" s="314"/>
      <c r="CG3" s="314"/>
      <c r="CH3" s="314"/>
      <c r="CI3" s="314"/>
    </row>
    <row r="4" spans="1:92">
      <c r="A4" s="480"/>
      <c r="B4" s="480"/>
      <c r="C4" s="480"/>
      <c r="D4" s="480"/>
      <c r="E4" s="480"/>
      <c r="F4" s="314"/>
      <c r="G4" s="314"/>
      <c r="H4" s="38"/>
      <c r="I4" s="38"/>
      <c r="J4" s="314"/>
      <c r="K4" s="314"/>
      <c r="L4" s="314"/>
      <c r="M4" s="314"/>
      <c r="N4" s="314"/>
      <c r="O4" s="314"/>
      <c r="P4" s="314"/>
      <c r="Q4" s="314"/>
      <c r="R4" s="314"/>
      <c r="S4" s="314"/>
      <c r="T4" s="314"/>
      <c r="U4" s="314"/>
      <c r="V4" s="314"/>
      <c r="W4" s="314"/>
      <c r="X4" s="314"/>
      <c r="Y4" s="314"/>
      <c r="Z4" s="314"/>
      <c r="AA4" s="314"/>
      <c r="AB4" s="314"/>
      <c r="AC4" s="314"/>
      <c r="AD4" s="314"/>
      <c r="AE4" s="314"/>
      <c r="AF4" s="314"/>
      <c r="AG4" s="314"/>
      <c r="AH4" s="314"/>
      <c r="AI4" s="314"/>
      <c r="AJ4" s="314"/>
      <c r="AK4" s="314"/>
      <c r="AL4" s="314"/>
      <c r="AM4" s="314"/>
      <c r="AN4" s="314"/>
      <c r="AO4" s="314"/>
      <c r="AP4" s="314"/>
      <c r="AQ4" s="314"/>
      <c r="AR4" s="314"/>
      <c r="AS4" s="314"/>
      <c r="AT4" s="314"/>
      <c r="AU4" s="314"/>
      <c r="AV4" s="314"/>
      <c r="BT4"/>
    </row>
    <row r="5" spans="1:92">
      <c r="A5" s="480"/>
      <c r="B5" s="480"/>
      <c r="C5" s="480"/>
      <c r="D5" s="480"/>
      <c r="E5" s="480"/>
      <c r="F5" s="314"/>
      <c r="G5" s="314"/>
      <c r="H5" s="38"/>
      <c r="I5" s="38"/>
      <c r="J5" s="314"/>
      <c r="K5" s="314"/>
      <c r="L5" s="314"/>
      <c r="M5" s="314"/>
      <c r="N5" s="314"/>
      <c r="O5" s="314"/>
      <c r="P5" s="314"/>
      <c r="Q5" s="314"/>
      <c r="R5" s="314"/>
      <c r="S5" s="314"/>
      <c r="T5" s="314"/>
      <c r="U5" s="314"/>
      <c r="V5" s="314"/>
      <c r="W5" s="314"/>
      <c r="X5" s="314"/>
      <c r="Y5" s="314"/>
      <c r="Z5" s="314"/>
      <c r="AA5" s="314"/>
      <c r="AB5" s="314"/>
      <c r="AC5" s="314"/>
      <c r="AD5" s="314"/>
      <c r="AE5" s="314"/>
      <c r="AF5" s="314"/>
      <c r="AG5" s="314"/>
      <c r="AH5" s="314"/>
      <c r="AI5" s="314"/>
      <c r="AJ5" s="314"/>
      <c r="AK5" s="314"/>
      <c r="AL5" s="314"/>
      <c r="AM5" s="314"/>
      <c r="AN5" s="314"/>
      <c r="AO5" s="314"/>
      <c r="AP5" s="997"/>
      <c r="AQ5" s="1187" t="s">
        <v>852</v>
      </c>
      <c r="AR5" s="92"/>
      <c r="AS5" s="92"/>
      <c r="AT5" s="92"/>
      <c r="AU5" s="314"/>
      <c r="AV5" s="1187" t="str">
        <f>Drivers!CF2</f>
        <v>2013A</v>
      </c>
      <c r="AW5" s="92"/>
      <c r="AX5" s="92"/>
      <c r="AY5" s="92"/>
      <c r="AZ5" s="314"/>
      <c r="BA5" s="1187" t="str">
        <f>Drivers!CK2</f>
        <v>2014A</v>
      </c>
      <c r="BB5" s="92"/>
      <c r="BC5" s="92"/>
      <c r="BD5" s="92"/>
      <c r="BE5" s="314"/>
      <c r="BF5" s="1187" t="str">
        <f>Drivers!CP2</f>
        <v>2015A</v>
      </c>
      <c r="BG5" s="1144"/>
      <c r="BH5" s="1144"/>
      <c r="BI5" s="92"/>
      <c r="BJ5" s="997" t="s">
        <v>337</v>
      </c>
      <c r="BK5" s="1187" t="str">
        <f>Drivers!CU2</f>
        <v>2016A</v>
      </c>
      <c r="BL5" s="1144"/>
      <c r="BM5" s="1144"/>
      <c r="BN5" s="92"/>
      <c r="BO5" s="997"/>
      <c r="BP5" s="1187" t="str">
        <f>Drivers!CZ2</f>
        <v>2017E</v>
      </c>
      <c r="BQ5" s="1144"/>
      <c r="BR5" s="1144"/>
      <c r="BS5" s="92"/>
      <c r="BT5" s="2490"/>
      <c r="BU5" s="1187" t="str">
        <f>Drivers!DE2</f>
        <v>2018E</v>
      </c>
      <c r="BV5" s="1144"/>
      <c r="BW5" s="1144"/>
      <c r="BX5" s="92"/>
      <c r="BY5" s="997"/>
      <c r="BZ5" s="997"/>
      <c r="CA5" s="909" t="s">
        <v>813</v>
      </c>
      <c r="CB5" s="909" t="s">
        <v>813</v>
      </c>
      <c r="CC5" s="909" t="s">
        <v>816</v>
      </c>
    </row>
    <row r="6" spans="1:92">
      <c r="A6" s="496" t="s">
        <v>741</v>
      </c>
      <c r="B6" s="497">
        <f>+C6-1</f>
        <v>1994</v>
      </c>
      <c r="C6" s="497">
        <f>+D6-1</f>
        <v>1995</v>
      </c>
      <c r="D6" s="497">
        <f>+E6-1</f>
        <v>1996</v>
      </c>
      <c r="E6" s="497">
        <f>+F6-1</f>
        <v>1997</v>
      </c>
      <c r="F6" s="497">
        <v>1998</v>
      </c>
      <c r="G6" s="497">
        <f>+F6+1</f>
        <v>1999</v>
      </c>
      <c r="H6" s="497">
        <f>+G6+1</f>
        <v>2000</v>
      </c>
      <c r="I6" s="481">
        <v>2001</v>
      </c>
      <c r="J6" s="481">
        <v>2002</v>
      </c>
      <c r="K6" s="481">
        <v>2003</v>
      </c>
      <c r="L6" s="481">
        <v>2004</v>
      </c>
      <c r="M6" s="481">
        <v>2005</v>
      </c>
      <c r="N6" s="481">
        <v>2006</v>
      </c>
      <c r="O6" s="481">
        <v>2007</v>
      </c>
      <c r="P6" s="481">
        <v>2008</v>
      </c>
      <c r="Q6" s="481">
        <v>2009</v>
      </c>
      <c r="R6" s="481">
        <v>2010</v>
      </c>
      <c r="S6" s="481">
        <v>2011</v>
      </c>
      <c r="T6" s="481">
        <f>'GAAP Financial Statements'!U4</f>
        <v>2012</v>
      </c>
      <c r="U6" s="481">
        <f>'GAAP Financial Statements'!V4</f>
        <v>2013</v>
      </c>
      <c r="V6" s="481">
        <f>'GAAP Financial Statements'!W4</f>
        <v>2014</v>
      </c>
      <c r="W6" s="481">
        <f>'GAAP Financial Statements'!Z4</f>
        <v>2015</v>
      </c>
      <c r="X6" s="481">
        <f>'GAAP Financial Statements'!AA4</f>
        <v>2016</v>
      </c>
      <c r="Y6" s="481" t="str">
        <f>'GAAP Financial Statements'!AC4</f>
        <v>2017E</v>
      </c>
      <c r="Z6" s="481" t="str">
        <f>'GAAP Financial Statements'!AD4</f>
        <v>2018E</v>
      </c>
      <c r="AA6" s="481" t="str">
        <f>'GAAP Financial Statements'!AE4</f>
        <v>2019E</v>
      </c>
      <c r="AB6" s="481" t="str">
        <f>'GAAP Financial Statements'!AF4</f>
        <v>2020E</v>
      </c>
      <c r="AC6" s="481" t="str">
        <f>'GAAP Financial Statements'!AG4</f>
        <v>2021E</v>
      </c>
      <c r="AD6" s="481" t="str">
        <f>'GAAP Financial Statements'!AH4</f>
        <v>2022E</v>
      </c>
      <c r="AE6" s="481" t="str">
        <f>'GAAP Financial Statements'!AI4</f>
        <v>2023E</v>
      </c>
      <c r="AF6" s="481" t="str">
        <f>'GAAP Financial Statements'!AJ4</f>
        <v>2024E</v>
      </c>
      <c r="AG6" s="481" t="str">
        <f>'GAAP Financial Statements'!AK4</f>
        <v>2025E</v>
      </c>
      <c r="AH6" s="2218" t="str">
        <f>'GAAP Financial Statements'!AL4</f>
        <v>2026E</v>
      </c>
      <c r="AI6" s="2218" t="str">
        <f>'GAAP Financial Statements'!AM4</f>
        <v>2027E</v>
      </c>
      <c r="AJ6" s="2218" t="str">
        <f>'GAAP Financial Statements'!AN4</f>
        <v>2028E</v>
      </c>
      <c r="AK6" s="314"/>
      <c r="AL6" s="314"/>
      <c r="AM6" s="1136"/>
      <c r="AN6" s="1136"/>
      <c r="AO6" s="1136"/>
      <c r="AP6" s="724"/>
      <c r="AQ6" s="138" t="str">
        <f>Drivers!CA3</f>
        <v>1Q</v>
      </c>
      <c r="AR6" s="138" t="str">
        <f>Drivers!CB3</f>
        <v>2Q</v>
      </c>
      <c r="AS6" s="138" t="str">
        <f>Drivers!CC3</f>
        <v>3Q</v>
      </c>
      <c r="AT6" s="138" t="str">
        <f>Drivers!CD3</f>
        <v>4Q</v>
      </c>
      <c r="AU6" s="724"/>
      <c r="AV6" s="164" t="str">
        <f>Drivers!CF3</f>
        <v>1Q</v>
      </c>
      <c r="AW6" s="164" t="str">
        <f>Drivers!CG3</f>
        <v>2Q</v>
      </c>
      <c r="AX6" s="164" t="str">
        <f>Drivers!CH3</f>
        <v>3Q</v>
      </c>
      <c r="AY6" s="164" t="str">
        <f>Drivers!CI3</f>
        <v>4Q</v>
      </c>
      <c r="AZ6" s="314"/>
      <c r="BA6" s="164" t="str">
        <f>Drivers!CK3</f>
        <v>1Q</v>
      </c>
      <c r="BB6" s="164" t="str">
        <f>Drivers!CL3</f>
        <v>2Q</v>
      </c>
      <c r="BC6" s="164" t="str">
        <f>Drivers!CM3</f>
        <v>3Q</v>
      </c>
      <c r="BD6" s="164" t="str">
        <f>Drivers!CN3</f>
        <v>4Q</v>
      </c>
      <c r="BE6" s="724"/>
      <c r="BF6" s="164" t="str">
        <f>Drivers!CP3</f>
        <v>1Q</v>
      </c>
      <c r="BG6" s="164" t="str">
        <f>Drivers!CQ3</f>
        <v>2Q</v>
      </c>
      <c r="BH6" s="164" t="str">
        <f>Drivers!CR3</f>
        <v>3Q</v>
      </c>
      <c r="BI6" s="164" t="str">
        <f>Drivers!CS3</f>
        <v>4Q</v>
      </c>
      <c r="BJ6" s="724" t="s">
        <v>337</v>
      </c>
      <c r="BK6" s="164" t="str">
        <f>Drivers!CU3</f>
        <v>1Q</v>
      </c>
      <c r="BL6" s="164" t="str">
        <f>Drivers!CV3</f>
        <v>2Q</v>
      </c>
      <c r="BM6" s="164" t="str">
        <f>Drivers!CW3</f>
        <v>3Q</v>
      </c>
      <c r="BN6" s="164" t="str">
        <f>Drivers!CX3</f>
        <v>4Q</v>
      </c>
      <c r="BO6" s="724"/>
      <c r="BP6" s="164" t="str">
        <f>Drivers!CZ3</f>
        <v>1Q</v>
      </c>
      <c r="BQ6" s="164" t="str">
        <f>Drivers!DA3</f>
        <v>2Q</v>
      </c>
      <c r="BR6" s="164" t="str">
        <f>Drivers!DB3</f>
        <v>3Q</v>
      </c>
      <c r="BS6" s="164" t="str">
        <f>Drivers!DC3</f>
        <v>4QE</v>
      </c>
      <c r="BT6" s="2491"/>
      <c r="BU6" s="164" t="str">
        <f>Drivers!DE3</f>
        <v>1QE</v>
      </c>
      <c r="BV6" s="164" t="str">
        <f>Drivers!DF3</f>
        <v>2QE</v>
      </c>
      <c r="BW6" s="164" t="str">
        <f>Drivers!DG3</f>
        <v>3QE</v>
      </c>
      <c r="BX6" s="164" t="str">
        <f>Drivers!DH3</f>
        <v>4QE</v>
      </c>
      <c r="BY6" s="724"/>
      <c r="BZ6" s="724"/>
      <c r="CA6" s="314"/>
      <c r="CB6" s="908" t="s">
        <v>859</v>
      </c>
      <c r="CC6" s="908" t="s">
        <v>814</v>
      </c>
      <c r="CD6" s="908" t="s">
        <v>814</v>
      </c>
    </row>
    <row r="7" spans="1:92">
      <c r="A7" s="498" t="s">
        <v>738</v>
      </c>
      <c r="B7" s="498"/>
      <c r="C7" s="498"/>
      <c r="D7" s="498"/>
      <c r="E7" s="498"/>
      <c r="F7" s="314"/>
      <c r="G7" s="314"/>
      <c r="H7" s="314"/>
      <c r="I7" s="314"/>
      <c r="J7" s="314"/>
      <c r="K7" s="38"/>
      <c r="L7" s="314"/>
      <c r="M7" s="314"/>
      <c r="N7" s="314"/>
      <c r="O7" s="245"/>
      <c r="P7" s="245"/>
      <c r="Q7" s="314"/>
      <c r="R7" s="314"/>
      <c r="S7" s="314"/>
      <c r="T7" s="314"/>
      <c r="U7" s="314"/>
      <c r="V7" s="314"/>
      <c r="W7" s="314"/>
      <c r="X7" s="1169"/>
      <c r="Y7" s="1169"/>
      <c r="Z7" s="1169"/>
      <c r="AA7" s="1169"/>
      <c r="AB7" s="314"/>
      <c r="AC7" s="314"/>
      <c r="AD7" s="314"/>
      <c r="AE7" s="314"/>
      <c r="AF7" s="314"/>
      <c r="AG7" s="314"/>
      <c r="AH7" s="1628"/>
      <c r="AI7" s="314"/>
      <c r="AJ7" s="314"/>
      <c r="AK7" s="314"/>
      <c r="AL7" s="314"/>
      <c r="AM7" s="314"/>
      <c r="AN7" s="314"/>
      <c r="AO7" s="314"/>
      <c r="AU7" s="314"/>
      <c r="AV7" s="314"/>
      <c r="AW7" s="314"/>
      <c r="AX7" s="314"/>
      <c r="AY7" s="314"/>
      <c r="AZ7" s="314"/>
      <c r="BA7" s="314"/>
      <c r="BB7" s="314"/>
      <c r="BC7" s="314"/>
      <c r="BD7" s="314"/>
      <c r="BE7" s="314"/>
      <c r="BF7" s="1627"/>
      <c r="BG7" s="1627"/>
      <c r="BH7" s="1627"/>
      <c r="BI7" s="1627"/>
      <c r="BJ7" s="1627"/>
      <c r="BK7" s="1627"/>
      <c r="BL7" s="3162"/>
      <c r="BM7" s="3162"/>
      <c r="BN7" s="3162"/>
      <c r="BO7" s="3162"/>
      <c r="BP7" s="3162"/>
      <c r="BQ7" s="3162"/>
      <c r="BR7" s="3162"/>
      <c r="BS7" s="3162"/>
      <c r="BT7" s="3162"/>
      <c r="BU7" s="1627"/>
      <c r="BV7" s="1627"/>
      <c r="BW7" s="1627"/>
      <c r="BX7" s="1627"/>
      <c r="BY7" s="1627"/>
      <c r="BZ7" s="1627"/>
      <c r="CA7" s="1627"/>
      <c r="CB7" s="1627"/>
      <c r="CC7" s="1627"/>
      <c r="CD7" s="1627"/>
    </row>
    <row r="8" spans="1:92">
      <c r="A8" s="314" t="s">
        <v>1091</v>
      </c>
      <c r="B8" s="499">
        <v>1067</v>
      </c>
      <c r="C8" s="499">
        <v>1028</v>
      </c>
      <c r="D8" s="499">
        <v>1027</v>
      </c>
      <c r="E8" s="499">
        <v>1075</v>
      </c>
      <c r="F8" s="499">
        <v>1100</v>
      </c>
      <c r="G8" s="500">
        <v>1216.4264915381543</v>
      </c>
      <c r="H8" s="500">
        <v>1414.6985934458085</v>
      </c>
      <c r="I8" s="500">
        <v>1485.6745795250636</v>
      </c>
      <c r="J8" s="500">
        <v>1775.9450587489762</v>
      </c>
      <c r="K8" s="500">
        <v>1959.7422779027052</v>
      </c>
      <c r="L8" s="47">
        <v>2140.4</v>
      </c>
      <c r="M8" s="47">
        <v>2210.6999999999998</v>
      </c>
      <c r="N8" s="37">
        <f>+M8*0.9677</f>
        <v>2139.29439</v>
      </c>
      <c r="O8" s="37">
        <f>+N8*0.9382</f>
        <v>2007.0859966980001</v>
      </c>
      <c r="P8" s="10">
        <f>+(1+Scenarios!C12)*O8</f>
        <v>1671.9026352494341</v>
      </c>
      <c r="Q8" s="10">
        <f>+(1+Scenarios!D12)*P8</f>
        <v>1742.1225459299103</v>
      </c>
      <c r="R8" s="10">
        <f>+(1+Scenarios!E12)*Q8</f>
        <v>1811.8074477671069</v>
      </c>
      <c r="S8" s="10">
        <f>(1+Scenarios!F12)*R8</f>
        <v>1882.4679382300239</v>
      </c>
      <c r="T8" s="10">
        <f>(1+Scenarios!G12)*S8</f>
        <v>1832.5825378669283</v>
      </c>
      <c r="U8" s="1028">
        <f t="shared" ref="U8:U13" si="0">SUM(AV8:AY8)</f>
        <v>1878.3971013136015</v>
      </c>
      <c r="V8" s="1028">
        <f t="shared" ref="V8:V13" si="1">SUM(BA8:BD8)</f>
        <v>1685.309771593651</v>
      </c>
      <c r="W8" s="1028">
        <f t="shared" ref="W8:W13" si="2">SUM(BF8:BI8)</f>
        <v>1704.2185317299604</v>
      </c>
      <c r="X8" s="3026">
        <f t="shared" ref="X8:X13" si="3">SUM(BK8:BN8)</f>
        <v>1718.5742738977337</v>
      </c>
      <c r="Y8" s="3026">
        <f t="shared" ref="Y8:Y13" si="4">SUM(BP8:BS8)</f>
        <v>1679.8237309153865</v>
      </c>
      <c r="Z8" s="3026">
        <f>SUM(BU8:BX8)</f>
        <v>1639.5038316399173</v>
      </c>
      <c r="AA8" s="3027">
        <f>(1+Scenarios!N12)*Z8</f>
        <v>1606.7137550071188</v>
      </c>
      <c r="AB8" s="3027">
        <f>(1+Scenarios!O12)*AA8</f>
        <v>1582.613048682012</v>
      </c>
      <c r="AC8" s="3027">
        <f>(1+Scenarios!P12)*AB8</f>
        <v>1566.7869181951919</v>
      </c>
      <c r="AD8" s="3027">
        <f>(1+Scenarios!Q12)*AC8</f>
        <v>1551.1190490132399</v>
      </c>
      <c r="AE8" s="3027">
        <f>(1+Scenarios!R12)*AD8</f>
        <v>1535.6078585231076</v>
      </c>
      <c r="AF8" s="3027">
        <f>(1+Scenarios!S12)*AE8</f>
        <v>1520.2517799378766</v>
      </c>
      <c r="AG8" s="3027">
        <f>(1+Scenarios!T12)*AF8</f>
        <v>1505.0492621384979</v>
      </c>
      <c r="AH8" s="3027">
        <f>(1+Scenarios!U12)*AG8</f>
        <v>1489.9987695171128</v>
      </c>
      <c r="AI8" s="3027">
        <f>(1+Scenarios!V12)*AH8</f>
        <v>1475.0987818219417</v>
      </c>
      <c r="AJ8" s="3027">
        <f>(1+Scenarios!W12)*AI8</f>
        <v>1460.3477940037221</v>
      </c>
      <c r="AK8" s="314"/>
      <c r="AL8" s="314"/>
      <c r="AM8" s="499"/>
      <c r="AN8" s="499"/>
      <c r="AO8" s="499"/>
      <c r="AP8" s="499"/>
      <c r="AQ8" s="356">
        <f>$T8*30%</f>
        <v>549.77476136007851</v>
      </c>
      <c r="AR8" s="356">
        <f>$T8*24%</f>
        <v>439.81980908806275</v>
      </c>
      <c r="AS8" s="356">
        <f>$T8*18%</f>
        <v>329.86485681604711</v>
      </c>
      <c r="AT8" s="356">
        <f>$T8*28%</f>
        <v>513.12311060273998</v>
      </c>
      <c r="AU8" s="1120">
        <f t="shared" ref="AU8:AU14" si="5">T8-SUM(AQ8:AT8)</f>
        <v>0</v>
      </c>
      <c r="AV8" s="499">
        <f>+AQ8*0.97</f>
        <v>533.28151851927612</v>
      </c>
      <c r="AW8" s="499">
        <f>+AR8*1.05</f>
        <v>461.81079954246593</v>
      </c>
      <c r="AX8" s="499">
        <f>+AS8*1.06</f>
        <v>349.65674822500995</v>
      </c>
      <c r="AY8" s="499">
        <f>+AT8*1.04</f>
        <v>533.64803502684958</v>
      </c>
      <c r="AZ8" s="1120">
        <f t="shared" ref="AZ8:AZ14" si="6">U8-SUM(AV8:AY8)</f>
        <v>0</v>
      </c>
      <c r="BA8" s="499">
        <f>+AV8*0.9</f>
        <v>479.95336666734852</v>
      </c>
      <c r="BB8" s="499">
        <f>+AW8*0.955</f>
        <v>441.02931356305493</v>
      </c>
      <c r="BC8" s="499">
        <f>+AX8*0.88-45</f>
        <v>262.69793843800875</v>
      </c>
      <c r="BD8" s="499">
        <f>+AY8*0.94</f>
        <v>501.6291529252386</v>
      </c>
      <c r="BE8" s="1120">
        <f t="shared" ref="BE8:BE14" si="7">$V8-SUM(BA8:BD8)</f>
        <v>0</v>
      </c>
      <c r="BF8" s="2171">
        <f>BA8*1.01</f>
        <v>484.752900334022</v>
      </c>
      <c r="BG8" s="2171">
        <f>BB8*0.98</f>
        <v>432.20872729179382</v>
      </c>
      <c r="BH8" s="2171">
        <f>+BC8*1.03</f>
        <v>270.57887659114903</v>
      </c>
      <c r="BI8" s="2171">
        <f>+BD8*1.03</f>
        <v>516.67802751299575</v>
      </c>
      <c r="BJ8" s="1741">
        <f t="shared" ref="BJ8:BJ14" si="8">$W8-SUM(BF8:BI8)</f>
        <v>0</v>
      </c>
      <c r="BK8" s="2171">
        <f>BF8*1.07</f>
        <v>518.68560335740358</v>
      </c>
      <c r="BL8" s="3027">
        <f>BG8*1.025</f>
        <v>443.01394547408864</v>
      </c>
      <c r="BM8" s="3027">
        <f>BH8*0.945</f>
        <v>255.69703837863582</v>
      </c>
      <c r="BN8" s="3027">
        <f>BI8*0.97</f>
        <v>501.17768668760584</v>
      </c>
      <c r="BO8" s="2835">
        <f>X8-SUM(BK8:BN8)</f>
        <v>0</v>
      </c>
      <c r="BP8" s="3027">
        <f>BK8*0.98</f>
        <v>508.31189129025552</v>
      </c>
      <c r="BQ8" s="3027">
        <f>BL8*0.97</f>
        <v>429.72352710986598</v>
      </c>
      <c r="BR8" s="3027">
        <f>BM8*0.99</f>
        <v>253.14006799484946</v>
      </c>
      <c r="BS8" s="3027">
        <f>(1+Scenarios!BZ12)*BN8</f>
        <v>488.64824452041569</v>
      </c>
      <c r="BT8" s="3024">
        <f>Y8-SUM(BP8:BS8)</f>
        <v>0</v>
      </c>
      <c r="BU8" s="3027">
        <f>(1+Scenarios!CB12)*BP8</f>
        <v>493.5708464428381</v>
      </c>
      <c r="BV8" s="3027">
        <f>(1+Scenarios!CC12)*BQ8</f>
        <v>418.98043893211934</v>
      </c>
      <c r="BW8" s="3027">
        <f>(1+Scenarios!CD12)*BR8</f>
        <v>248.07726663495248</v>
      </c>
      <c r="BX8" s="3027">
        <f>(1+Scenarios!CE12)*BS8</f>
        <v>478.87527963000736</v>
      </c>
      <c r="BY8" s="1741">
        <f>Z8-SUM(BU8:BX8)</f>
        <v>0</v>
      </c>
      <c r="BZ8" s="1741"/>
      <c r="CA8" s="1110"/>
      <c r="CB8" s="1110"/>
      <c r="CC8" s="1110"/>
      <c r="CD8" s="1110"/>
    </row>
    <row r="9" spans="1:92">
      <c r="A9" s="314" t="s">
        <v>1092</v>
      </c>
      <c r="B9" s="76">
        <v>1029.69</v>
      </c>
      <c r="C9" s="76">
        <v>385.815</v>
      </c>
      <c r="D9" s="76">
        <v>465.03500000000003</v>
      </c>
      <c r="E9" s="76">
        <v>499.375</v>
      </c>
      <c r="F9" s="76">
        <v>881.00571198796104</v>
      </c>
      <c r="G9" s="76">
        <v>673.5153390375865</v>
      </c>
      <c r="H9" s="76">
        <v>736.51681629698351</v>
      </c>
      <c r="I9" s="76">
        <v>841.47622065610381</v>
      </c>
      <c r="J9" s="76">
        <v>740.78574820075346</v>
      </c>
      <c r="K9" s="76">
        <v>752.83617938988118</v>
      </c>
      <c r="L9" s="76">
        <v>1014.034</v>
      </c>
      <c r="M9" s="76">
        <v>1052.125</v>
      </c>
      <c r="N9" s="76">
        <v>1109.94</v>
      </c>
      <c r="O9" s="76">
        <v>1398.2280000000001</v>
      </c>
      <c r="P9" s="76">
        <v>1344.683</v>
      </c>
      <c r="Q9" s="76">
        <v>1251.528</v>
      </c>
      <c r="R9" s="76">
        <v>1612.2570000000001</v>
      </c>
      <c r="S9" s="76">
        <v>1481.703</v>
      </c>
      <c r="T9" s="76">
        <v>1309.57</v>
      </c>
      <c r="U9" s="166">
        <f t="shared" si="0"/>
        <v>1424.2567868062583</v>
      </c>
      <c r="V9" s="166">
        <f t="shared" si="1"/>
        <v>1513.2541140200603</v>
      </c>
      <c r="W9" s="166">
        <f t="shared" si="2"/>
        <v>1508.9058051155766</v>
      </c>
      <c r="X9" s="2787">
        <f t="shared" si="3"/>
        <v>1490.2039212015002</v>
      </c>
      <c r="Y9" s="2787">
        <f t="shared" si="4"/>
        <v>1528.2278895697459</v>
      </c>
      <c r="Z9" s="2787">
        <f t="shared" ref="Z9:Z13" si="9">SUM(BU9:BX9)</f>
        <v>1496.8690290175944</v>
      </c>
      <c r="AA9" s="2878">
        <f>+(1+Scenarios!N18)*'CBS Network'!Z9</f>
        <v>1543.4138615371123</v>
      </c>
      <c r="AB9" s="2878">
        <f>+(1+Scenarios!O18)*'CBS Network'!AA9</f>
        <v>1509.9193966628782</v>
      </c>
      <c r="AC9" s="2878">
        <f>+(1+Scenarios!P18)*'CBS Network'!AB9</f>
        <v>1559.8048708460219</v>
      </c>
      <c r="AD9" s="2878">
        <f>+(1+Scenarios!Q18)*'CBS Network'!AC9</f>
        <v>1522.3661466256297</v>
      </c>
      <c r="AE9" s="2878">
        <f>+(1+Scenarios!R18)*'CBS Network'!AD9</f>
        <v>1575.1607936753237</v>
      </c>
      <c r="AF9" s="2878">
        <f>+(1+Scenarios!S18)*'CBS Network'!AE9</f>
        <v>1542.9942005775733</v>
      </c>
      <c r="AG9" s="2878">
        <f>+(1+Scenarios!T18)*'CBS Network'!AF9</f>
        <v>1598.4279703938582</v>
      </c>
      <c r="AH9" s="2878">
        <f>+(1+Scenarios!U18)*'CBS Network'!AG9</f>
        <v>1561.6321588930648</v>
      </c>
      <c r="AI9" s="2878">
        <f>+(1+Scenarios!V18)*'CBS Network'!AH9</f>
        <v>1623.4466466562853</v>
      </c>
      <c r="AJ9" s="2878">
        <f>+(1+Scenarios!W18)*'CBS Network'!AI9</f>
        <v>1581.7515482098868</v>
      </c>
      <c r="AK9" s="314"/>
      <c r="AL9" s="314"/>
      <c r="AM9" s="76"/>
      <c r="AN9" s="76"/>
      <c r="AO9" s="76"/>
      <c r="AP9" s="76"/>
      <c r="AQ9" s="355">
        <f>AQ14-AQ8-SUM(AQ11:AQ13)</f>
        <v>414.23602367805432</v>
      </c>
      <c r="AR9" s="355">
        <f>AR14-AR8-SUM(AR11:AR13)</f>
        <v>224.28973409696434</v>
      </c>
      <c r="AS9" s="355">
        <f>AS14-AS8-SUM(AS11:AS13)</f>
        <v>176.90778959025494</v>
      </c>
      <c r="AT9" s="355">
        <f>AT14-AT8-SUM(AT11:AT13)</f>
        <v>494.1364526347266</v>
      </c>
      <c r="AU9" s="1120">
        <f t="shared" si="5"/>
        <v>0</v>
      </c>
      <c r="AV9" s="355">
        <f>AV14-AV8-SUM(AV10:AV13)</f>
        <v>350.69919281283467</v>
      </c>
      <c r="AW9" s="355">
        <f>AW14-AW8-SUM(AW10:AW13)</f>
        <v>307.46929039064707</v>
      </c>
      <c r="AX9" s="355">
        <f>AX14-AX8-SUM(AX10:AX13)</f>
        <v>249.41080498107095</v>
      </c>
      <c r="AY9" s="355">
        <f>AY14-AY8-SUM(AY10:AY13)</f>
        <v>516.67749862170558</v>
      </c>
      <c r="AZ9" s="1120">
        <f t="shared" si="6"/>
        <v>0</v>
      </c>
      <c r="BA9" s="355">
        <f>BA14-BA8-SUM(BA10:BA13)</f>
        <v>365.65335587163025</v>
      </c>
      <c r="BB9" s="355">
        <f>BB14-BB8-SUM(BB10:BB13)</f>
        <v>246.03006980761597</v>
      </c>
      <c r="BC9" s="355">
        <f>BC14-BC8-SUM(BC10:BC13)</f>
        <v>315.78819671403414</v>
      </c>
      <c r="BD9" s="355">
        <f>BD14-BD8-SUM(BD10:BD13)</f>
        <v>585.78249162677992</v>
      </c>
      <c r="BE9" s="1120">
        <f t="shared" si="7"/>
        <v>0</v>
      </c>
      <c r="BF9" s="2152">
        <f>BF14-BF8-SUM(BF10:BF13)</f>
        <v>313.30781742406811</v>
      </c>
      <c r="BG9" s="2152">
        <f>BG14-BG8-SUM(BG10:BG13)</f>
        <v>253.46749559001324</v>
      </c>
      <c r="BH9" s="2152">
        <f>BH14-BH8-SUM(BH10:BH13)</f>
        <v>284.45491753465257</v>
      </c>
      <c r="BI9" s="2152">
        <f>BI14-BI8-SUM(BI10:BI13)</f>
        <v>657.67557456684267</v>
      </c>
      <c r="BJ9" s="1741">
        <f t="shared" si="8"/>
        <v>0</v>
      </c>
      <c r="BK9" s="2152">
        <f>BK14-BK8-SUM(BK10:BK13)</f>
        <v>426.75752330412138</v>
      </c>
      <c r="BL9" s="3028">
        <f>BL14-BL8-SUM(BL10:BL13)</f>
        <v>213.90424261901501</v>
      </c>
      <c r="BM9" s="3028">
        <f>BM14-BM8-SUM(BM10:BM13)</f>
        <v>286.67196731035995</v>
      </c>
      <c r="BN9" s="3028">
        <f>BN14-BN8-SUM(BN10:BN13)</f>
        <v>562.87018796800396</v>
      </c>
      <c r="BO9" s="2835">
        <f t="shared" ref="BO9:BO10" si="10">X9-SUM(BK9:BN9)</f>
        <v>0</v>
      </c>
      <c r="BP9" s="3028">
        <f t="shared" ref="BP9:BR9" si="11">BP14-BP8-SUM(BP10:BP13)</f>
        <v>388.46154487224726</v>
      </c>
      <c r="BQ9" s="3028">
        <f t="shared" si="11"/>
        <v>291.08739305962251</v>
      </c>
      <c r="BR9" s="3028">
        <f t="shared" si="11"/>
        <v>271.8146866773601</v>
      </c>
      <c r="BS9" s="2878">
        <f>(1+Scenarios!BZ18)*BN9+18+5</f>
        <v>576.86426496051592</v>
      </c>
      <c r="BT9" s="3024">
        <f t="shared" ref="BT9:BT24" si="12">Y9-SUM(BP9:BS9)</f>
        <v>0</v>
      </c>
      <c r="BU9" s="2878">
        <f>(1+Scenarios!CB18)*BP9+36</f>
        <v>426.40385259660843</v>
      </c>
      <c r="BV9" s="2878">
        <f>(1+Scenarios!CC18)*BQ9-75</f>
        <v>217.54283002492059</v>
      </c>
      <c r="BW9" s="2878">
        <f>(1+Scenarios!CD18)*BR9</f>
        <v>273.17376011074685</v>
      </c>
      <c r="BX9" s="2878">
        <f>(1+Scenarios!CE18)*BS9</f>
        <v>579.74858628531842</v>
      </c>
      <c r="BY9" s="1741">
        <f t="shared" ref="BY9:BY14" si="13">Z9-SUM(BU9:BX9)</f>
        <v>0</v>
      </c>
      <c r="BZ9" s="1741"/>
      <c r="CA9" s="1110"/>
      <c r="CB9" s="1110"/>
      <c r="CC9" s="1110"/>
      <c r="CD9" s="1110"/>
    </row>
    <row r="10" spans="1:92">
      <c r="A10" s="997" t="s">
        <v>529</v>
      </c>
      <c r="B10" s="76"/>
      <c r="C10" s="76"/>
      <c r="D10" s="76"/>
      <c r="E10" s="76"/>
      <c r="F10" s="76"/>
      <c r="G10" s="76"/>
      <c r="H10" s="76"/>
      <c r="I10" s="76"/>
      <c r="J10" s="76"/>
      <c r="K10" s="76"/>
      <c r="L10" s="76"/>
      <c r="M10" s="76"/>
      <c r="N10" s="2314"/>
      <c r="O10" s="76"/>
      <c r="P10" s="76"/>
      <c r="Q10" s="76"/>
      <c r="R10" s="76"/>
      <c r="S10" s="76"/>
      <c r="T10" s="76">
        <v>0</v>
      </c>
      <c r="U10" s="355">
        <f t="shared" si="0"/>
        <v>272.344877671875</v>
      </c>
      <c r="V10" s="355">
        <f t="shared" si="1"/>
        <v>0</v>
      </c>
      <c r="W10" s="2152">
        <f t="shared" si="2"/>
        <v>0</v>
      </c>
      <c r="X10" s="3028">
        <f t="shared" si="3"/>
        <v>369.8177390149043</v>
      </c>
      <c r="Y10" s="3028">
        <f t="shared" si="4"/>
        <v>0</v>
      </c>
      <c r="Z10" s="3028">
        <f t="shared" si="9"/>
        <v>0</v>
      </c>
      <c r="AA10" s="3029">
        <v>430.21919785207166</v>
      </c>
      <c r="AB10" s="2878">
        <v>0</v>
      </c>
      <c r="AC10" s="2878">
        <v>0</v>
      </c>
      <c r="AD10" s="3029">
        <v>497.31612264358716</v>
      </c>
      <c r="AE10" s="2878">
        <v>0</v>
      </c>
      <c r="AF10" s="2878">
        <v>0</v>
      </c>
      <c r="AG10" s="2878">
        <f>+AD10*(1.06)^3</f>
        <v>592.3114591264748</v>
      </c>
      <c r="AH10" s="2878">
        <f>+AE10*(1.06)^3</f>
        <v>0</v>
      </c>
      <c r="AI10" s="2878">
        <f>+AF10*(1.06)^3</f>
        <v>0</v>
      </c>
      <c r="AJ10" s="2878">
        <f>+AG10*(1.06)^3</f>
        <v>705.4524248029777</v>
      </c>
      <c r="AK10" s="314"/>
      <c r="AL10" s="314"/>
      <c r="AM10" s="76"/>
      <c r="AN10" s="76"/>
      <c r="AO10" s="76"/>
      <c r="AP10" s="76"/>
      <c r="AQ10" s="355"/>
      <c r="AR10" s="355"/>
      <c r="AS10" s="355"/>
      <c r="AT10" s="355"/>
      <c r="AU10" s="1120"/>
      <c r="AV10" s="1274">
        <v>272.344877671875</v>
      </c>
      <c r="AW10" s="77">
        <v>0</v>
      </c>
      <c r="AX10" s="77">
        <v>0</v>
      </c>
      <c r="AY10" s="77">
        <v>0</v>
      </c>
      <c r="AZ10" s="1120">
        <f t="shared" si="6"/>
        <v>0</v>
      </c>
      <c r="BA10" s="77">
        <v>0</v>
      </c>
      <c r="BB10" s="77">
        <v>0</v>
      </c>
      <c r="BC10" s="77">
        <v>0</v>
      </c>
      <c r="BD10" s="77">
        <v>0</v>
      </c>
      <c r="BE10" s="1120">
        <f t="shared" si="7"/>
        <v>0</v>
      </c>
      <c r="BF10" s="1437">
        <v>0</v>
      </c>
      <c r="BG10" s="1437">
        <v>0</v>
      </c>
      <c r="BH10" s="1437">
        <v>0</v>
      </c>
      <c r="BI10" s="1437">
        <v>0</v>
      </c>
      <c r="BJ10" s="1741">
        <f t="shared" si="8"/>
        <v>0</v>
      </c>
      <c r="BK10" s="2153">
        <v>369.8177390149043</v>
      </c>
      <c r="BL10" s="2878">
        <v>0</v>
      </c>
      <c r="BM10" s="2878">
        <v>0</v>
      </c>
      <c r="BN10" s="2878">
        <v>0</v>
      </c>
      <c r="BO10" s="2835">
        <f t="shared" si="10"/>
        <v>0</v>
      </c>
      <c r="BP10" s="2878">
        <v>0</v>
      </c>
      <c r="BQ10" s="2878">
        <v>0</v>
      </c>
      <c r="BR10" s="2878">
        <v>0</v>
      </c>
      <c r="BS10" s="2878">
        <v>0</v>
      </c>
      <c r="BT10" s="3024">
        <f t="shared" si="12"/>
        <v>0</v>
      </c>
      <c r="BU10" s="2878">
        <v>0</v>
      </c>
      <c r="BV10" s="2878">
        <v>0</v>
      </c>
      <c r="BW10" s="2878">
        <v>0</v>
      </c>
      <c r="BX10" s="2878">
        <v>0</v>
      </c>
      <c r="BY10" s="1741">
        <f t="shared" si="13"/>
        <v>0</v>
      </c>
      <c r="BZ10" s="1741"/>
      <c r="CA10" s="1110"/>
      <c r="CB10" s="1110"/>
      <c r="CC10" s="1110"/>
      <c r="CD10" s="1110"/>
    </row>
    <row r="11" spans="1:92">
      <c r="A11" s="477" t="s">
        <v>677</v>
      </c>
      <c r="B11" s="886">
        <f t="shared" ref="B11:J11" si="14">+B14-SUM(B8:B9)</f>
        <v>755.31</v>
      </c>
      <c r="C11" s="886">
        <f t="shared" si="14"/>
        <v>1108.1849999999999</v>
      </c>
      <c r="D11" s="886">
        <f t="shared" si="14"/>
        <v>1088.9649999999999</v>
      </c>
      <c r="E11" s="886">
        <f t="shared" si="14"/>
        <v>1241.625</v>
      </c>
      <c r="F11" s="1121">
        <f t="shared" si="14"/>
        <v>1268.9942880120389</v>
      </c>
      <c r="G11" s="1121">
        <f t="shared" si="14"/>
        <v>1210.0581694242592</v>
      </c>
      <c r="H11" s="1121">
        <f t="shared" si="14"/>
        <v>1278.784590257208</v>
      </c>
      <c r="I11" s="1121">
        <f t="shared" si="14"/>
        <v>1152.8491998188329</v>
      </c>
      <c r="J11" s="1121">
        <f t="shared" si="14"/>
        <v>1032.8691930502705</v>
      </c>
      <c r="K11" s="1122">
        <f>+J11*1.03</f>
        <v>1063.8552688417788</v>
      </c>
      <c r="L11" s="1122">
        <f>+K11*1.022</f>
        <v>1087.2600847562978</v>
      </c>
      <c r="M11" s="1122">
        <f>+L11*1.003</f>
        <v>1090.5218650105667</v>
      </c>
      <c r="N11" s="1122">
        <f>+M11*0.956</f>
        <v>1042.5389029501016</v>
      </c>
      <c r="O11" s="1122">
        <f>+N11*0.95</f>
        <v>990.41195780259648</v>
      </c>
      <c r="P11" s="356">
        <f>O11*0.877</f>
        <v>868.59128699287714</v>
      </c>
      <c r="Q11" s="356">
        <f>(O11*0.9864)-'CBS Interactive'!N11</f>
        <v>828.51104936338515</v>
      </c>
      <c r="R11" s="356">
        <f>+Q11*1.012</f>
        <v>838.45318195574578</v>
      </c>
      <c r="S11" s="356">
        <f>R11*1.012</f>
        <v>848.51462013921468</v>
      </c>
      <c r="T11" s="356">
        <f>S11*0.972</f>
        <v>824.75621077531662</v>
      </c>
      <c r="U11" s="355">
        <f t="shared" si="0"/>
        <v>841.2513349908229</v>
      </c>
      <c r="V11" s="355">
        <f t="shared" si="1"/>
        <v>835.25783160711876</v>
      </c>
      <c r="W11" s="2152">
        <f t="shared" si="2"/>
        <v>880.92177882663145</v>
      </c>
      <c r="X11" s="3028">
        <f t="shared" si="3"/>
        <v>893.40284631740838</v>
      </c>
      <c r="Y11" s="3028">
        <f t="shared" si="4"/>
        <v>872.26673904066342</v>
      </c>
      <c r="Z11" s="3028">
        <f t="shared" si="9"/>
        <v>841.73740317424028</v>
      </c>
      <c r="AA11" s="2884">
        <f>(1+Scenarios!N24)*'CBS Network'!Z11</f>
        <v>824.90265511075552</v>
      </c>
      <c r="AB11" s="2884">
        <f>(1+Scenarios!O24)*'CBS Network'!AA11</f>
        <v>812.52911528409413</v>
      </c>
      <c r="AC11" s="2884">
        <f>(1+Scenarios!P24)*'CBS Network'!AB11</f>
        <v>804.40382413125315</v>
      </c>
      <c r="AD11" s="2884">
        <f>(1+Scenarios!Q24)*'CBS Network'!AC11</f>
        <v>796.35978588994055</v>
      </c>
      <c r="AE11" s="2884">
        <f>(1+Scenarios!R24)*'CBS Network'!AD11</f>
        <v>788.39618803104111</v>
      </c>
      <c r="AF11" s="2884">
        <f>(1+Scenarios!S24)*'CBS Network'!AE11</f>
        <v>780.51222615073073</v>
      </c>
      <c r="AG11" s="2884">
        <f>(1+Scenarios!T24)*'CBS Network'!AF11</f>
        <v>772.70710388922339</v>
      </c>
      <c r="AH11" s="2884">
        <f>(1+Scenarios!U24)*'CBS Network'!AG11</f>
        <v>764.9800328503311</v>
      </c>
      <c r="AI11" s="2884">
        <f>(1+Scenarios!V24)*'CBS Network'!AH11</f>
        <v>757.33023252182784</v>
      </c>
      <c r="AJ11" s="2884">
        <f>(1+Scenarios!W24)*'CBS Network'!AI11</f>
        <v>749.75693019660957</v>
      </c>
      <c r="AK11" s="314"/>
      <c r="AL11" s="314"/>
      <c r="AM11" s="76"/>
      <c r="AN11" s="76"/>
      <c r="AO11" s="76"/>
      <c r="AP11" s="76"/>
      <c r="AQ11" s="356">
        <f>$T11*35%</f>
        <v>288.66467377136081</v>
      </c>
      <c r="AR11" s="356">
        <f>$T11*23%</f>
        <v>189.69392847832282</v>
      </c>
      <c r="AS11" s="356">
        <f>$T11*17%</f>
        <v>140.20855583180384</v>
      </c>
      <c r="AT11" s="356">
        <f>$T11*25%</f>
        <v>206.18905269382915</v>
      </c>
      <c r="AU11" s="1120">
        <f t="shared" si="5"/>
        <v>0</v>
      </c>
      <c r="AV11" s="77">
        <f>AQ11*1.01</f>
        <v>291.5513205090744</v>
      </c>
      <c r="AW11" s="77">
        <f>AR11*1.01</f>
        <v>191.59086776310605</v>
      </c>
      <c r="AX11" s="77">
        <f>AS11*1.01</f>
        <v>141.61064139012188</v>
      </c>
      <c r="AY11" s="77">
        <f>AT11*1.05</f>
        <v>216.49850532852062</v>
      </c>
      <c r="AZ11" s="1120">
        <f t="shared" si="6"/>
        <v>0</v>
      </c>
      <c r="BA11" s="1437">
        <f>AV11*1.01</f>
        <v>294.46683371416515</v>
      </c>
      <c r="BB11" s="1437">
        <f>AW11*1.01</f>
        <v>193.5067764407371</v>
      </c>
      <c r="BC11" s="1437">
        <f>AX11</f>
        <v>141.61064139012188</v>
      </c>
      <c r="BD11" s="1437">
        <f>AY11*0.95</f>
        <v>205.67358006209457</v>
      </c>
      <c r="BE11" s="1120">
        <f t="shared" si="7"/>
        <v>0</v>
      </c>
      <c r="BF11" s="1437">
        <f>BA11*1.01</f>
        <v>297.4115020513068</v>
      </c>
      <c r="BG11" s="1437">
        <f>BB11*1</f>
        <v>193.5067764407371</v>
      </c>
      <c r="BH11" s="1437">
        <f>+BC11*1.2</f>
        <v>169.93276966814625</v>
      </c>
      <c r="BI11" s="1437">
        <f>+BD11*1.07</f>
        <v>220.07073066644119</v>
      </c>
      <c r="BJ11" s="1741">
        <f t="shared" si="8"/>
        <v>0</v>
      </c>
      <c r="BK11" s="1437">
        <f>BF11*1.06</f>
        <v>315.25619217438521</v>
      </c>
      <c r="BL11" s="2878">
        <f>BG11*1.01</f>
        <v>195.44184420514446</v>
      </c>
      <c r="BM11" s="2878">
        <f>BH11*0.97</f>
        <v>164.83478657810187</v>
      </c>
      <c r="BN11" s="2878">
        <f>BI11*0.99</f>
        <v>217.87002335977678</v>
      </c>
      <c r="BO11" s="2835">
        <f t="shared" ref="BO11:BO42" si="15">X11-SUM(BK11:BN11)</f>
        <v>0</v>
      </c>
      <c r="BP11" s="2878">
        <f>BK11*0.98</f>
        <v>308.9510683308975</v>
      </c>
      <c r="BQ11" s="2878">
        <f>BL11*0.98</f>
        <v>191.53300732104157</v>
      </c>
      <c r="BR11" s="2878">
        <f>BM11*0.98</f>
        <v>161.53809084653983</v>
      </c>
      <c r="BS11" s="2878">
        <f>(1+Scenarios!BZ24)*'CBS Network'!BN11</f>
        <v>210.24457254218459</v>
      </c>
      <c r="BT11" s="3024">
        <f t="shared" si="12"/>
        <v>0</v>
      </c>
      <c r="BU11" s="2878">
        <f>(1+Scenarios!CB24)*'CBS Network'!BP11</f>
        <v>298.13778093931609</v>
      </c>
      <c r="BV11" s="2878">
        <f>(1+Scenarios!CC24)*'CBS Network'!BQ11</f>
        <v>184.82935206480511</v>
      </c>
      <c r="BW11" s="2878">
        <f>(1+Scenarios!CD24)*'CBS Network'!BR11</f>
        <v>155.88425766691094</v>
      </c>
      <c r="BX11" s="2878">
        <f>(1+Scenarios!CE24)*'CBS Network'!BS11</f>
        <v>202.88601250320812</v>
      </c>
      <c r="BY11" s="1741">
        <f t="shared" si="13"/>
        <v>0</v>
      </c>
      <c r="BZ11" s="2835"/>
      <c r="CA11" s="2802"/>
      <c r="CB11" s="2802"/>
      <c r="CC11" s="2802"/>
      <c r="CD11" s="2802"/>
      <c r="CE11" s="2807"/>
      <c r="CG11" s="2807"/>
    </row>
    <row r="12" spans="1:92">
      <c r="A12" s="1424" t="s">
        <v>1536</v>
      </c>
      <c r="B12" s="354"/>
      <c r="C12" s="354"/>
      <c r="D12" s="354"/>
      <c r="E12" s="354"/>
      <c r="F12" s="355"/>
      <c r="G12" s="355"/>
      <c r="H12" s="355"/>
      <c r="I12" s="355"/>
      <c r="J12" s="355"/>
      <c r="K12" s="356"/>
      <c r="L12" s="356"/>
      <c r="M12" s="356"/>
      <c r="N12" s="356"/>
      <c r="O12" s="356"/>
      <c r="P12" s="356"/>
      <c r="Q12" s="356">
        <f>50*0.5</f>
        <v>25</v>
      </c>
      <c r="R12" s="356">
        <f>+Retrans!B8*0.5</f>
        <v>42</v>
      </c>
      <c r="S12" s="356">
        <f>+Retrans!C8*0.5</f>
        <v>76.356000000000009</v>
      </c>
      <c r="T12" s="356">
        <f>+Retrans!D8*0.5</f>
        <v>104</v>
      </c>
      <c r="U12" s="355">
        <f t="shared" si="0"/>
        <v>144.21</v>
      </c>
      <c r="V12" s="355">
        <f t="shared" si="1"/>
        <v>179.41980000000001</v>
      </c>
      <c r="W12" s="2152">
        <f t="shared" si="2"/>
        <v>217</v>
      </c>
      <c r="X12" s="3028">
        <f t="shared" si="3"/>
        <v>257.37134498606201</v>
      </c>
      <c r="Y12" s="3028">
        <f t="shared" si="4"/>
        <v>305.78263202048498</v>
      </c>
      <c r="Z12" s="3028">
        <f t="shared" si="9"/>
        <v>404.49957905411901</v>
      </c>
      <c r="AA12" s="3029">
        <f>Drivers!V273</f>
        <v>515.09039018381191</v>
      </c>
      <c r="AB12" s="3029">
        <f>Drivers!W273</f>
        <v>734.01480879166195</v>
      </c>
      <c r="AC12" s="3029">
        <f>Drivers!X273</f>
        <v>904.24860337203586</v>
      </c>
      <c r="AD12" s="3029">
        <f>Drivers!Y273</f>
        <v>1001.5198220724735</v>
      </c>
      <c r="AE12" s="3029">
        <f>Drivers!Z273</f>
        <v>1095.0245862320937</v>
      </c>
      <c r="AF12" s="3029">
        <f>Drivers!AA273</f>
        <v>1183.5431959028967</v>
      </c>
      <c r="AG12" s="3029">
        <f>Drivers!AB273</f>
        <v>1271.2708028530506</v>
      </c>
      <c r="AH12" s="3029">
        <f>Drivers!AC273</f>
        <v>1346.3185386543041</v>
      </c>
      <c r="AI12" s="3029">
        <f>Drivers!AD273</f>
        <v>1424.7812846989509</v>
      </c>
      <c r="AJ12" s="3029">
        <f>Drivers!AE273</f>
        <v>1501.8869222388894</v>
      </c>
      <c r="AK12" s="314"/>
      <c r="AL12" s="314"/>
      <c r="AM12" s="76"/>
      <c r="AN12" s="76"/>
      <c r="AO12" s="76"/>
      <c r="AP12" s="76"/>
      <c r="AQ12" s="1274">
        <f>Drivers!CA265*0.5</f>
        <v>21.5</v>
      </c>
      <c r="AR12" s="1274">
        <f>Drivers!CB265*0.5</f>
        <v>21.5</v>
      </c>
      <c r="AS12" s="1274">
        <f>Drivers!CC265*0.5</f>
        <v>28</v>
      </c>
      <c r="AT12" s="1274">
        <f>Drivers!CD265*0.5</f>
        <v>33</v>
      </c>
      <c r="AU12" s="1120">
        <f t="shared" si="5"/>
        <v>0</v>
      </c>
      <c r="AV12" s="1274">
        <f>Drivers!CF265*0.5</f>
        <v>32.25</v>
      </c>
      <c r="AW12" s="1274">
        <f>Drivers!CG265*0.5</f>
        <v>32.25</v>
      </c>
      <c r="AX12" s="1274">
        <f>Drivers!CH265*0.5</f>
        <v>37.800000000000004</v>
      </c>
      <c r="AY12" s="1274">
        <f>Drivers!CI265*0.5</f>
        <v>41.910000000000004</v>
      </c>
      <c r="AZ12" s="1120">
        <f t="shared" si="6"/>
        <v>0</v>
      </c>
      <c r="BA12" s="1274">
        <f>Drivers!CK273</f>
        <v>41.925000000000004</v>
      </c>
      <c r="BB12" s="1274">
        <f>Drivers!CL273</f>
        <v>41.925000000000004</v>
      </c>
      <c r="BC12" s="1274">
        <f>Drivers!CM273</f>
        <v>46.116000000000007</v>
      </c>
      <c r="BD12" s="1274">
        <f>Drivers!CN273</f>
        <v>49.453800000000001</v>
      </c>
      <c r="BE12" s="1120">
        <f t="shared" si="7"/>
        <v>0</v>
      </c>
      <c r="BF12" s="1274">
        <f>Drivers!CP273</f>
        <v>50</v>
      </c>
      <c r="BG12" s="1274">
        <f>Drivers!CQ273</f>
        <v>51</v>
      </c>
      <c r="BH12" s="1274">
        <f>Drivers!CR273</f>
        <v>56</v>
      </c>
      <c r="BI12" s="1274">
        <f>Drivers!CS273</f>
        <v>60</v>
      </c>
      <c r="BJ12" s="1741">
        <f t="shared" si="8"/>
        <v>0</v>
      </c>
      <c r="BK12" s="1274">
        <f>Drivers!CU273</f>
        <v>64.30786899721241</v>
      </c>
      <c r="BL12" s="3029">
        <f>Drivers!CV273</f>
        <v>63.384836246515512</v>
      </c>
      <c r="BM12" s="3029">
        <f>Drivers!CW273</f>
        <v>63.744836246515518</v>
      </c>
      <c r="BN12" s="3029">
        <f>Drivers!CX273</f>
        <v>65.933803495818609</v>
      </c>
      <c r="BO12" s="2835">
        <f t="shared" si="15"/>
        <v>0</v>
      </c>
      <c r="BP12" s="3029">
        <f>Drivers!CZ273</f>
        <v>74.227647835227671</v>
      </c>
      <c r="BQ12" s="3029">
        <f>Drivers!DA273</f>
        <v>73.871733162151102</v>
      </c>
      <c r="BR12" s="3029">
        <f>Drivers!DB273</f>
        <v>75.240649341129355</v>
      </c>
      <c r="BS12" s="3029">
        <f>Drivers!DC273</f>
        <v>82.442601681976839</v>
      </c>
      <c r="BT12" s="3024">
        <f t="shared" si="12"/>
        <v>0</v>
      </c>
      <c r="BU12" s="3029">
        <f>Drivers!DE273</f>
        <v>97.639465812521735</v>
      </c>
      <c r="BV12" s="3029">
        <f>Drivers!DF273</f>
        <v>99.287272590201169</v>
      </c>
      <c r="BW12" s="3029">
        <f>Drivers!DG273</f>
        <v>101.36573668906917</v>
      </c>
      <c r="BX12" s="3029">
        <f>Drivers!DH273</f>
        <v>106.20710396232694</v>
      </c>
      <c r="BY12" s="1741">
        <f t="shared" si="13"/>
        <v>0</v>
      </c>
      <c r="BZ12" s="2835"/>
      <c r="CA12" s="2802"/>
      <c r="CB12" s="2802"/>
      <c r="CC12" s="2802"/>
      <c r="CD12" s="2802"/>
      <c r="CE12" s="2807"/>
      <c r="CG12" s="2807"/>
    </row>
    <row r="13" spans="1:92">
      <c r="A13" s="314" t="s">
        <v>381</v>
      </c>
      <c r="B13" s="886"/>
      <c r="C13" s="886"/>
      <c r="D13" s="886"/>
      <c r="E13" s="886"/>
      <c r="F13" s="1121"/>
      <c r="G13" s="1121"/>
      <c r="H13" s="1121"/>
      <c r="I13" s="1121"/>
      <c r="J13" s="1121"/>
      <c r="K13" s="1122"/>
      <c r="L13" s="1122"/>
      <c r="M13" s="1122"/>
      <c r="N13" s="335"/>
      <c r="O13" s="335"/>
      <c r="P13" s="365"/>
      <c r="Q13" s="365"/>
      <c r="R13" s="365">
        <f>+Retrans!B20</f>
        <v>11.935834824846065</v>
      </c>
      <c r="S13" s="365">
        <f>+Retrans!C20</f>
        <v>44.675996971794113</v>
      </c>
      <c r="T13" s="365">
        <f>+Retrans!D20</f>
        <v>72.8</v>
      </c>
      <c r="U13" s="839">
        <f t="shared" si="0"/>
        <v>102.648</v>
      </c>
      <c r="V13" s="3030">
        <f t="shared" si="1"/>
        <v>184.7664</v>
      </c>
      <c r="W13" s="3030">
        <f t="shared" si="2"/>
        <v>341.81783999999999</v>
      </c>
      <c r="X13" s="3030">
        <f t="shared" si="3"/>
        <v>551.11417318701263</v>
      </c>
      <c r="Y13" s="3030">
        <f t="shared" si="4"/>
        <v>777.24423048273366</v>
      </c>
      <c r="Z13" s="3030">
        <f t="shared" si="9"/>
        <v>1031.2702056382095</v>
      </c>
      <c r="AA13" s="3031">
        <f>Drivers!V274</f>
        <v>1233.3429953279974</v>
      </c>
      <c r="AB13" s="3031">
        <f>Drivers!W274</f>
        <v>1427.8679232698282</v>
      </c>
      <c r="AC13" s="3031">
        <f>Drivers!X274</f>
        <v>1592.7021650940419</v>
      </c>
      <c r="AD13" s="3031">
        <f>Drivers!Y274</f>
        <v>1710.5645731284565</v>
      </c>
      <c r="AE13" s="3031">
        <f>Drivers!Z274</f>
        <v>1815.2508959072704</v>
      </c>
      <c r="AF13" s="3031">
        <f>Drivers!AA274</f>
        <v>1905.925863335179</v>
      </c>
      <c r="AG13" s="3031">
        <f>Drivers!AB274</f>
        <v>1990.3246169732865</v>
      </c>
      <c r="AH13" s="3031">
        <f>Drivers!AC274</f>
        <v>2078.9398699118715</v>
      </c>
      <c r="AI13" s="3031">
        <f>Drivers!AD274</f>
        <v>2170.3620413762192</v>
      </c>
      <c r="AJ13" s="3031">
        <f>Drivers!AE274</f>
        <v>2257.3053013968565</v>
      </c>
      <c r="AK13" s="314"/>
      <c r="AL13" s="314"/>
      <c r="AM13" s="76"/>
      <c r="AN13" s="76"/>
      <c r="AO13" s="76"/>
      <c r="AP13" s="76"/>
      <c r="AQ13" s="1275">
        <f>Drivers!CA266</f>
        <v>17.5</v>
      </c>
      <c r="AR13" s="1275">
        <f>Drivers!CB266</f>
        <v>17.5</v>
      </c>
      <c r="AS13" s="1275">
        <f>Drivers!CC266</f>
        <v>18</v>
      </c>
      <c r="AT13" s="1275">
        <f>Drivers!CD266</f>
        <v>19.8</v>
      </c>
      <c r="AU13" s="1120">
        <f t="shared" si="5"/>
        <v>0</v>
      </c>
      <c r="AV13" s="1275">
        <f>Drivers!CF266</f>
        <v>24.674999999999997</v>
      </c>
      <c r="AW13" s="1275">
        <f>Drivers!CG266</f>
        <v>24.674999999999997</v>
      </c>
      <c r="AX13" s="1275">
        <f>Drivers!CH266</f>
        <v>25.38</v>
      </c>
      <c r="AY13" s="1275">
        <f>Drivers!CI266</f>
        <v>27.917999999999999</v>
      </c>
      <c r="AZ13" s="1120">
        <f>U13-SUM(AV13:AY13)</f>
        <v>0</v>
      </c>
      <c r="BA13" s="1275">
        <f>Drivers!CK274</f>
        <v>44.414999999999999</v>
      </c>
      <c r="BB13" s="1275">
        <f>Drivers!CL274</f>
        <v>44.414999999999999</v>
      </c>
      <c r="BC13" s="1275">
        <f>Drivers!CM274</f>
        <v>45.683999999999997</v>
      </c>
      <c r="BD13" s="1275">
        <f>Drivers!CN274</f>
        <v>50.252400000000002</v>
      </c>
      <c r="BE13" s="1120">
        <f t="shared" si="7"/>
        <v>0</v>
      </c>
      <c r="BF13" s="1275">
        <f>Drivers!CP274</f>
        <v>82.167749999999998</v>
      </c>
      <c r="BG13" s="1275">
        <f>Drivers!CQ274</f>
        <v>82.167749999999998</v>
      </c>
      <c r="BH13" s="1275">
        <f>Drivers!CR274</f>
        <v>84.5154</v>
      </c>
      <c r="BI13" s="1275">
        <f>Drivers!CS274</f>
        <v>92.966940000000008</v>
      </c>
      <c r="BJ13" s="1741">
        <f t="shared" si="8"/>
        <v>0</v>
      </c>
      <c r="BK13" s="1275">
        <f>Drivers!CU274</f>
        <v>138.04154807740252</v>
      </c>
      <c r="BL13" s="3031">
        <f>Drivers!CV274</f>
        <v>142.97154509675315</v>
      </c>
      <c r="BM13" s="3031">
        <f>Drivers!CW274</f>
        <v>134.77824659675315</v>
      </c>
      <c r="BN13" s="3031">
        <f>Drivers!CX274</f>
        <v>135.3228334161038</v>
      </c>
      <c r="BO13" s="2835">
        <f t="shared" si="15"/>
        <v>0</v>
      </c>
      <c r="BP13" s="3031">
        <f>Drivers!CZ274</f>
        <v>196.42179322380548</v>
      </c>
      <c r="BQ13" s="3031">
        <f>Drivers!DA274</f>
        <v>195.36479279193364</v>
      </c>
      <c r="BR13" s="3031">
        <f>Drivers!DB274</f>
        <v>192.90263150644736</v>
      </c>
      <c r="BS13" s="3031">
        <f>Drivers!DC274</f>
        <v>192.55501296054723</v>
      </c>
      <c r="BT13" s="3024">
        <f t="shared" si="12"/>
        <v>0</v>
      </c>
      <c r="BU13" s="3031">
        <f>Drivers!DE274</f>
        <v>258.09479829390932</v>
      </c>
      <c r="BV13" s="3031">
        <f>Drivers!DF274</f>
        <v>259.37806653238255</v>
      </c>
      <c r="BW13" s="3031">
        <f>Drivers!DG274</f>
        <v>255.96150468151205</v>
      </c>
      <c r="BX13" s="3031">
        <f>Drivers!DH274</f>
        <v>257.83583613040571</v>
      </c>
      <c r="BY13" s="1741">
        <f t="shared" si="13"/>
        <v>0</v>
      </c>
      <c r="BZ13" s="2835"/>
      <c r="CA13" s="2802"/>
      <c r="CB13" s="2802"/>
      <c r="CC13" s="2802"/>
      <c r="CD13" s="2802"/>
      <c r="CE13" s="2807"/>
      <c r="CG13" s="3265"/>
      <c r="CH13" s="3205"/>
      <c r="CI13" s="3205"/>
      <c r="CJ13" s="3205"/>
      <c r="CK13" s="3205"/>
      <c r="CL13" s="3205"/>
      <c r="CM13" s="1577"/>
      <c r="CN13" s="1577"/>
    </row>
    <row r="14" spans="1:92">
      <c r="A14" s="479" t="s">
        <v>732</v>
      </c>
      <c r="B14" s="2034">
        <v>2852</v>
      </c>
      <c r="C14" s="2034">
        <v>2522</v>
      </c>
      <c r="D14" s="2034">
        <v>2581</v>
      </c>
      <c r="E14" s="2034">
        <v>2816</v>
      </c>
      <c r="F14" s="2034">
        <v>3250</v>
      </c>
      <c r="G14" s="2034">
        <v>3100</v>
      </c>
      <c r="H14" s="2034">
        <v>3430</v>
      </c>
      <c r="I14" s="2034">
        <f>3480</f>
        <v>3480</v>
      </c>
      <c r="J14" s="2035">
        <f>I14*(1+J15)</f>
        <v>3549.6</v>
      </c>
      <c r="K14" s="2035">
        <f>SUM(K8:K11)</f>
        <v>3776.4337261343653</v>
      </c>
      <c r="L14" s="2035">
        <f>SUM(L8:L11)</f>
        <v>4241.6940847562983</v>
      </c>
      <c r="M14" s="2035">
        <f t="shared" ref="M14:AF14" si="16">SUM(M8:M13)</f>
        <v>4353.346865010566</v>
      </c>
      <c r="N14" s="502">
        <f t="shared" si="16"/>
        <v>4291.7732929501017</v>
      </c>
      <c r="O14" s="502">
        <f t="shared" si="16"/>
        <v>4395.7259545005963</v>
      </c>
      <c r="P14" s="502">
        <f>SUM(P8:P13)</f>
        <v>3885.1769222423109</v>
      </c>
      <c r="Q14" s="502">
        <f>SUM(Q8:Q13)</f>
        <v>3847.1615952932957</v>
      </c>
      <c r="R14" s="502">
        <f t="shared" si="16"/>
        <v>4316.4534645476988</v>
      </c>
      <c r="S14" s="502">
        <f t="shared" si="16"/>
        <v>4333.7175553410325</v>
      </c>
      <c r="T14" s="502">
        <f>SUM(T8:T13)</f>
        <v>4143.7087486422452</v>
      </c>
      <c r="U14" s="502">
        <f t="shared" si="16"/>
        <v>4663.1081007825578</v>
      </c>
      <c r="V14" s="3032">
        <f t="shared" si="16"/>
        <v>4398.0079172208298</v>
      </c>
      <c r="W14" s="3032">
        <f>SUM(W8:W13)</f>
        <v>4652.8639556721682</v>
      </c>
      <c r="X14" s="3032">
        <f t="shared" si="16"/>
        <v>5280.4842986046215</v>
      </c>
      <c r="Y14" s="3032">
        <f t="shared" si="16"/>
        <v>5163.3452220290146</v>
      </c>
      <c r="Z14" s="3032">
        <f>SUM(Z8:Z13)</f>
        <v>5413.8800485240799</v>
      </c>
      <c r="AA14" s="3032">
        <f t="shared" si="16"/>
        <v>6153.6828550188684</v>
      </c>
      <c r="AB14" s="3032">
        <f t="shared" si="16"/>
        <v>6066.944292690474</v>
      </c>
      <c r="AC14" s="3032">
        <f t="shared" si="16"/>
        <v>6427.9463816385451</v>
      </c>
      <c r="AD14" s="3032">
        <f t="shared" si="16"/>
        <v>7079.2454993733272</v>
      </c>
      <c r="AE14" s="3032">
        <f t="shared" si="16"/>
        <v>6809.4403223688369</v>
      </c>
      <c r="AF14" s="3032">
        <f t="shared" si="16"/>
        <v>6933.2272659042565</v>
      </c>
      <c r="AG14" s="3032">
        <f>SUM(AG8:AG13)</f>
        <v>7730.0912153743911</v>
      </c>
      <c r="AH14" s="3032">
        <f>SUM(AH8:AH13)</f>
        <v>7241.8693698266852</v>
      </c>
      <c r="AI14" s="3032">
        <f>SUM(AI8:AI13)</f>
        <v>7451.0189870752247</v>
      </c>
      <c r="AJ14" s="3032">
        <f>SUM(AJ8:AJ13)</f>
        <v>8256.5009208489428</v>
      </c>
      <c r="AK14" s="314"/>
      <c r="AL14" s="314"/>
      <c r="AM14" s="76"/>
      <c r="AN14" s="76"/>
      <c r="AO14" s="76"/>
      <c r="AP14" s="76"/>
      <c r="AQ14" s="1273">
        <f>Drivers!CA8</f>
        <v>1291.6754588094936</v>
      </c>
      <c r="AR14" s="1273">
        <f>Drivers!CB8</f>
        <v>892.80347166334991</v>
      </c>
      <c r="AS14" s="1273">
        <f>Drivers!CC8</f>
        <v>692.98120223810588</v>
      </c>
      <c r="AT14" s="1273">
        <f>Drivers!CD8</f>
        <v>1266.2486159312957</v>
      </c>
      <c r="AU14" s="1120">
        <f t="shared" si="5"/>
        <v>0</v>
      </c>
      <c r="AV14" s="1354">
        <f>Drivers!CF8</f>
        <v>1504.8019095130601</v>
      </c>
      <c r="AW14" s="1354">
        <f>Drivers!CG8</f>
        <v>1017.795957696219</v>
      </c>
      <c r="AX14" s="1354">
        <f>Drivers!CH8</f>
        <v>803.85819459620279</v>
      </c>
      <c r="AY14" s="1354">
        <f>Drivers!CI8</f>
        <v>1336.6520389770758</v>
      </c>
      <c r="AZ14" s="1120">
        <f t="shared" si="6"/>
        <v>0</v>
      </c>
      <c r="BA14" s="1354">
        <f>Drivers!CK8</f>
        <v>1226.413556253144</v>
      </c>
      <c r="BB14" s="1354">
        <f>Drivers!CL8</f>
        <v>966.90615981140809</v>
      </c>
      <c r="BC14" s="1354">
        <f>Drivers!CM8</f>
        <v>811.89677654216484</v>
      </c>
      <c r="BD14" s="1354">
        <f>Drivers!CN8</f>
        <v>1392.7914246141131</v>
      </c>
      <c r="BE14" s="1120">
        <f t="shared" si="7"/>
        <v>0</v>
      </c>
      <c r="BF14" s="1354">
        <f>Drivers!CP8</f>
        <v>1227.6399698093969</v>
      </c>
      <c r="BG14" s="2172">
        <f>Drivers!CQ8</f>
        <v>1012.3507493225442</v>
      </c>
      <c r="BH14" s="2172">
        <f>Drivers!CR8</f>
        <v>865.48196379394778</v>
      </c>
      <c r="BI14" s="2172">
        <f>Drivers!CS8</f>
        <v>1547.3912727462796</v>
      </c>
      <c r="BJ14" s="1741">
        <f t="shared" si="8"/>
        <v>0</v>
      </c>
      <c r="BK14" s="2172">
        <f>Drivers!CU8</f>
        <v>1832.8664749254294</v>
      </c>
      <c r="BL14" s="3202">
        <f>Drivers!CV8</f>
        <v>1058.7164136415167</v>
      </c>
      <c r="BM14" s="3202">
        <f>Drivers!CW8</f>
        <v>905.72687511036634</v>
      </c>
      <c r="BN14" s="3202">
        <f>Drivers!CX8</f>
        <v>1483.174534927309</v>
      </c>
      <c r="BO14" s="2835">
        <f t="shared" si="15"/>
        <v>0</v>
      </c>
      <c r="BP14" s="3202">
        <f>Drivers!CZ8</f>
        <v>1476.3739455524335</v>
      </c>
      <c r="BQ14" s="3202">
        <f>Drivers!DA8</f>
        <v>1181.5804534446147</v>
      </c>
      <c r="BR14" s="3202">
        <f>Drivers!DB8</f>
        <v>954.63612636632615</v>
      </c>
      <c r="BS14" s="3032">
        <f>SUM(BS8:BS13)</f>
        <v>1550.7546966656403</v>
      </c>
      <c r="BT14" s="3024">
        <f t="shared" si="12"/>
        <v>0</v>
      </c>
      <c r="BU14" s="3032">
        <f>SUM(BU8:BU13)</f>
        <v>1573.8467440851937</v>
      </c>
      <c r="BV14" s="3032">
        <f>SUM(BV8:BV13)</f>
        <v>1180.0179601444288</v>
      </c>
      <c r="BW14" s="3032">
        <f>SUM(BW8:BW13)</f>
        <v>1034.4625257831915</v>
      </c>
      <c r="BX14" s="3032">
        <f>SUM(BX8:BX13)</f>
        <v>1625.5528185112667</v>
      </c>
      <c r="BY14" s="1741">
        <f t="shared" si="13"/>
        <v>0</v>
      </c>
      <c r="BZ14" s="2835"/>
      <c r="CA14" s="2802"/>
      <c r="CB14" s="2802"/>
      <c r="CC14" s="2802"/>
      <c r="CD14" s="2802"/>
      <c r="CE14" s="2807"/>
      <c r="CG14" s="2807"/>
      <c r="CH14" s="1577"/>
      <c r="CI14" s="1577"/>
      <c r="CJ14" s="1577"/>
      <c r="CK14" s="1577"/>
      <c r="CL14" s="1577"/>
      <c r="CM14" s="1577"/>
      <c r="CN14" s="1577"/>
    </row>
    <row r="15" spans="1:92" s="2068" customFormat="1">
      <c r="A15" s="480" t="s">
        <v>1634</v>
      </c>
      <c r="B15" s="2383"/>
      <c r="C15" s="2066">
        <f t="shared" ref="C15:I15" si="17">+C14/B14-1</f>
        <v>-0.11570827489481061</v>
      </c>
      <c r="D15" s="2066">
        <f t="shared" si="17"/>
        <v>2.3394131641554239E-2</v>
      </c>
      <c r="E15" s="2066">
        <f t="shared" si="17"/>
        <v>9.1049980627663674E-2</v>
      </c>
      <c r="F15" s="2066">
        <f t="shared" si="17"/>
        <v>0.15411931818181812</v>
      </c>
      <c r="G15" s="2066">
        <f t="shared" si="17"/>
        <v>-4.6153846153846101E-2</v>
      </c>
      <c r="H15" s="2066">
        <f t="shared" si="17"/>
        <v>0.1064516129032258</v>
      </c>
      <c r="I15" s="2066">
        <f t="shared" si="17"/>
        <v>1.4577259475218707E-2</v>
      </c>
      <c r="J15" s="2322">
        <v>0.02</v>
      </c>
      <c r="K15" s="2066">
        <f t="shared" ref="K15:AB15" si="18">+K14/J14-1</f>
        <v>6.3904024716690655E-2</v>
      </c>
      <c r="L15" s="2066">
        <f t="shared" si="18"/>
        <v>0.12320098599960949</v>
      </c>
      <c r="M15" s="2066">
        <f t="shared" si="18"/>
        <v>2.6322685706053894E-2</v>
      </c>
      <c r="N15" s="2066">
        <f t="shared" si="18"/>
        <v>-1.414396186882183E-2</v>
      </c>
      <c r="O15" s="2066">
        <f>+(O14-180)/(N14)-1</f>
        <v>-1.7719327946428276E-2</v>
      </c>
      <c r="P15" s="2066">
        <f t="shared" si="18"/>
        <v>-0.11614669284275014</v>
      </c>
      <c r="Q15" s="1104">
        <f t="shared" si="18"/>
        <v>-9.7847093478241609E-3</v>
      </c>
      <c r="R15" s="2066">
        <f t="shared" si="18"/>
        <v>0.12198392441548211</v>
      </c>
      <c r="S15" s="2066">
        <f t="shared" si="18"/>
        <v>3.9996008146800932E-3</v>
      </c>
      <c r="T15" s="2066">
        <f t="shared" si="18"/>
        <v>-4.3844298635616785E-2</v>
      </c>
      <c r="U15" s="2066">
        <f t="shared" si="18"/>
        <v>0.12534649118630803</v>
      </c>
      <c r="V15" s="2827">
        <f t="shared" si="18"/>
        <v>-5.6850533556629168E-2</v>
      </c>
      <c r="W15" s="2827">
        <f>+W14/V14-1</f>
        <v>5.7948062679338275E-2</v>
      </c>
      <c r="X15" s="2827">
        <f t="shared" si="18"/>
        <v>0.13488903800149576</v>
      </c>
      <c r="Y15" s="2827">
        <f t="shared" si="18"/>
        <v>-2.2183396437058023E-2</v>
      </c>
      <c r="Z15" s="2827">
        <f t="shared" si="18"/>
        <v>4.8521804319063833E-2</v>
      </c>
      <c r="AA15" s="2827">
        <f t="shared" si="18"/>
        <v>0.13664927923485704</v>
      </c>
      <c r="AB15" s="2827">
        <f t="shared" si="18"/>
        <v>-1.4095390414481823E-2</v>
      </c>
      <c r="AC15" s="2827">
        <f t="shared" ref="AC15:AJ16" si="19">+AC14/AB14-1</f>
        <v>5.9503115824387942E-2</v>
      </c>
      <c r="AD15" s="2827">
        <f t="shared" si="19"/>
        <v>0.10132304768366152</v>
      </c>
      <c r="AE15" s="2827">
        <f t="shared" si="19"/>
        <v>-3.8112137377969701E-2</v>
      </c>
      <c r="AF15" s="2827">
        <f t="shared" si="19"/>
        <v>1.8178725075067126E-2</v>
      </c>
      <c r="AG15" s="2827">
        <f t="shared" si="19"/>
        <v>0.11493405868705575</v>
      </c>
      <c r="AH15" s="2827">
        <f t="shared" si="19"/>
        <v>-6.3158613778926731E-2</v>
      </c>
      <c r="AI15" s="2827">
        <f t="shared" si="19"/>
        <v>2.888061169950995E-2</v>
      </c>
      <c r="AJ15" s="2827">
        <f t="shared" si="19"/>
        <v>0.10810359430984318</v>
      </c>
      <c r="AK15" s="314"/>
      <c r="AL15" s="314"/>
      <c r="AM15" s="76"/>
      <c r="AN15" s="76"/>
      <c r="AO15" s="76"/>
      <c r="AP15" s="76"/>
      <c r="AQ15" s="2066"/>
      <c r="AR15" s="2066"/>
      <c r="AS15" s="2066"/>
      <c r="AT15" s="2066"/>
      <c r="AU15" s="2066"/>
      <c r="AV15" s="1104">
        <f>+AV14/AQ14-1</f>
        <v>0.16500000000000004</v>
      </c>
      <c r="AW15" s="1104">
        <f>+AW14/AR14-1</f>
        <v>0.14000000000000012</v>
      </c>
      <c r="AX15" s="1104">
        <f>+AX14/AS14-1</f>
        <v>0.15999999999999992</v>
      </c>
      <c r="AY15" s="1104">
        <f>+AY14/AT14-1</f>
        <v>5.5600000000000094E-2</v>
      </c>
      <c r="AZ15" s="2384"/>
      <c r="BA15" s="1104">
        <f>+BA14/AV14-1</f>
        <v>-0.18500000000000005</v>
      </c>
      <c r="BB15" s="1104">
        <f>+BB14/AW14-1</f>
        <v>-5.0000000000000044E-2</v>
      </c>
      <c r="BC15" s="1104">
        <f>+BC14/AX14-1</f>
        <v>1.0000000000000009E-2</v>
      </c>
      <c r="BD15" s="1104">
        <f>+BD14/AY14-1</f>
        <v>4.2000000000000037E-2</v>
      </c>
      <c r="BE15" s="2384"/>
      <c r="BF15" s="2008">
        <f>+BF14/BA14-1</f>
        <v>9.9999999999988987E-4</v>
      </c>
      <c r="BG15" s="2008">
        <f>+BG14/BB14-1</f>
        <v>4.6999999999999931E-2</v>
      </c>
      <c r="BH15" s="2008">
        <f>+BH14/BC14-1</f>
        <v>6.6000000000000059E-2</v>
      </c>
      <c r="BI15" s="1364">
        <f>+BI14/BD14-1</f>
        <v>0.11099999999999999</v>
      </c>
      <c r="BJ15" s="3106"/>
      <c r="BK15" s="2827">
        <f>+BK14/BF14-1</f>
        <v>0.49299999999999988</v>
      </c>
      <c r="BL15" s="2827">
        <f>+BL14/BG14-1</f>
        <v>4.5800000000000063E-2</v>
      </c>
      <c r="BM15" s="2827">
        <f>+BM14/BH14-1</f>
        <v>4.6499999999999986E-2</v>
      </c>
      <c r="BN15" s="2827">
        <f>+BN14/BI14-1</f>
        <v>-4.1499999999999981E-2</v>
      </c>
      <c r="BO15" s="3106"/>
      <c r="BP15" s="2827">
        <f>+BP14/BK14-1</f>
        <v>-0.1944999999999999</v>
      </c>
      <c r="BQ15" s="2827">
        <f>+BQ14/BL14-1</f>
        <v>0.11604999999999999</v>
      </c>
      <c r="BR15" s="2827">
        <f>+BR14/BM14-1</f>
        <v>5.4000000000000048E-2</v>
      </c>
      <c r="BS15" s="2827">
        <f>+BS14/BN14-1</f>
        <v>4.5564537515231374E-2</v>
      </c>
      <c r="BT15" s="3024"/>
      <c r="BU15" s="2827">
        <f>+BU14/BP14-1</f>
        <v>6.6021754736593996E-2</v>
      </c>
      <c r="BV15" s="2827">
        <f>+BV14/BQ14-1</f>
        <v>-1.3223757177354134E-3</v>
      </c>
      <c r="BW15" s="2827">
        <f t="shared" ref="BW15:BX15" si="20">+BW14/BR14-1</f>
        <v>8.3619713534948792E-2</v>
      </c>
      <c r="BX15" s="2827">
        <f t="shared" si="20"/>
        <v>4.8233367924955362E-2</v>
      </c>
      <c r="BY15" s="2835"/>
      <c r="BZ15" s="2835"/>
      <c r="CA15" s="2802"/>
      <c r="CB15" s="2802"/>
      <c r="CC15" s="3118"/>
      <c r="CD15" s="2915"/>
      <c r="CE15" s="2807"/>
      <c r="CF15"/>
      <c r="CG15" s="2915"/>
      <c r="CH15" s="2258"/>
      <c r="CI15" s="2258"/>
      <c r="CJ15" s="2258"/>
      <c r="CK15" s="2258"/>
      <c r="CL15" s="2258"/>
      <c r="CM15" s="2258"/>
      <c r="CN15" s="2258"/>
    </row>
    <row r="16" spans="1:92" s="2068" customFormat="1">
      <c r="A16" s="480" t="s">
        <v>1635</v>
      </c>
      <c r="B16" s="2321"/>
      <c r="C16" s="2321"/>
      <c r="D16" s="2321"/>
      <c r="E16" s="2321"/>
      <c r="F16" s="2321"/>
      <c r="G16" s="2321"/>
      <c r="H16" s="2321"/>
      <c r="I16" s="2321"/>
      <c r="J16" s="1042"/>
      <c r="K16" s="1042"/>
      <c r="L16" s="1042"/>
      <c r="M16" s="2385"/>
      <c r="N16" s="2386"/>
      <c r="O16" s="2385"/>
      <c r="P16" s="2387"/>
      <c r="Q16" s="2066"/>
      <c r="R16" s="2066"/>
      <c r="S16" s="2066"/>
      <c r="T16" s="2066"/>
      <c r="U16" s="1104">
        <f>SUM(U8:U11)/SUM(T8:T11)-1</f>
        <v>0.11327241956198475</v>
      </c>
      <c r="V16" s="2827">
        <f t="shared" ref="V16:AI16" si="21">SUM(V8:V11)/SUM(U8:U11)-1</f>
        <v>-8.6595725974387583E-2</v>
      </c>
      <c r="W16" s="2827">
        <f>SUM(W8:W11)/SUM(V8:V11)-1</f>
        <v>1.4929861226695929E-2</v>
      </c>
      <c r="X16" s="2827">
        <f>SUM(X8:X11)/SUM(W8:W11)-1</f>
        <v>9.2317637388733997E-2</v>
      </c>
      <c r="Y16" s="2827">
        <f>SUM(Y8:Y11)/SUM(X8:X11)-1</f>
        <v>-8.7585091172129981E-2</v>
      </c>
      <c r="Z16" s="2827">
        <f>SUM(Z8:Z11)/SUM(Y8:Y11)-1</f>
        <v>-2.5049049286909764E-2</v>
      </c>
      <c r="AA16" s="2827">
        <f t="shared" si="21"/>
        <v>0.10737238973961549</v>
      </c>
      <c r="AB16" s="2827">
        <f t="shared" si="21"/>
        <v>-0.11354360572320665</v>
      </c>
      <c r="AC16" s="2827">
        <f t="shared" si="21"/>
        <v>6.6411379541237991E-3</v>
      </c>
      <c r="AD16" s="2827">
        <f t="shared" si="19"/>
        <v>0.7028191932452259</v>
      </c>
      <c r="AE16" s="2827">
        <f t="shared" si="21"/>
        <v>-0.10716258291817993</v>
      </c>
      <c r="AF16" s="2827">
        <f t="shared" si="21"/>
        <v>-1.4209872070971796E-2</v>
      </c>
      <c r="AG16" s="2827">
        <f t="shared" si="21"/>
        <v>0.16253300943810634</v>
      </c>
      <c r="AH16" s="2827">
        <f t="shared" si="21"/>
        <v>-0.14588462518796952</v>
      </c>
      <c r="AI16" s="2827">
        <f t="shared" si="21"/>
        <v>1.0287844409108571E-2</v>
      </c>
      <c r="AJ16" s="2827">
        <f>SUM(AJ8:AJ11)/SUM(AI8:AI11)-1</f>
        <v>0.16635210587853333</v>
      </c>
      <c r="AK16" s="314"/>
      <c r="AL16" s="314"/>
      <c r="AM16" s="76"/>
      <c r="AN16" s="76"/>
      <c r="AO16" s="76"/>
      <c r="AP16" s="76"/>
      <c r="AQ16" s="1104"/>
      <c r="AR16" s="1104"/>
      <c r="AS16" s="1104"/>
      <c r="AT16" s="1104"/>
      <c r="AU16" s="1104"/>
      <c r="AV16" s="1104">
        <f>(AV14-AV13-AV12)/(AQ14-AQ13-AQ12)-1</f>
        <v>0.15582763223371532</v>
      </c>
      <c r="AW16" s="1104">
        <f>(AW14-AW13-AW12)/(AR14-AR13-AR12)-1</f>
        <v>0.12540062155554854</v>
      </c>
      <c r="AX16" s="1104">
        <f>(AX14-AX13-AX12)/(AS14-AS13-AS12)-1</f>
        <v>0.14482181558594043</v>
      </c>
      <c r="AY16" s="1104">
        <f>(AY14-AY13-AY12)/(AT14-AT13-AT12)-1</f>
        <v>4.3986553979309173E-2</v>
      </c>
      <c r="AZ16" s="2384"/>
      <c r="BA16" s="1104">
        <f>(BA14-BA13-BA12)/(AV14-AV13-AV12)-1</f>
        <v>-0.21258944820346248</v>
      </c>
      <c r="BB16" s="1104">
        <f>(BB14-BB13-BB12)/(AW14-AW13-AW12)-1</f>
        <v>-8.3575007904650778E-2</v>
      </c>
      <c r="BC16" s="1104">
        <f>(BC14-BC13-BC12)/(AX14-AX13-AX12)-1</f>
        <v>-2.7787260654079882E-2</v>
      </c>
      <c r="BD16" s="1104">
        <f>(BD14-BD13-BD12)/(AY14-AY13-AY12)-1</f>
        <v>2.0729939462028391E-2</v>
      </c>
      <c r="BE16" s="2384"/>
      <c r="BF16" s="2008">
        <f>(BF14-BF13-BF12)/(BA14-BA13-BA12)-1</f>
        <v>-3.9121455101835401E-2</v>
      </c>
      <c r="BG16" s="2008">
        <f>(BG14-BG13-BG12)/(BB14-BB13-BB12)-1</f>
        <v>-1.5707627115266742E-3</v>
      </c>
      <c r="BH16" s="2008">
        <f>(BH14-BH13-BH12)/(BC14-BC13-BC12)-1</f>
        <v>6.7626844202346437E-3</v>
      </c>
      <c r="BI16" s="1364">
        <f>(BI14-BI13-BI12)/(BD14-BD13-BD12)-1</f>
        <v>7.8370014754757245E-2</v>
      </c>
      <c r="BJ16" s="3118"/>
      <c r="BK16" s="2827">
        <f>(BK14-BK13-BK12)/(BF14-BF13-BF12)-1</f>
        <v>0.4884147935166363</v>
      </c>
      <c r="BL16" s="2827">
        <f>(BL14-BL13-BL12)/(BG14-BG13-BG12)-1</f>
        <v>-3.0508969173613121E-2</v>
      </c>
      <c r="BM16" s="2827">
        <f>(BM14-BM13-BM12)/(BH14-BH13-BH12)-1</f>
        <v>-2.4501504502349447E-2</v>
      </c>
      <c r="BN16" s="2827">
        <f>(BN14-BN13-BN12)/(BI14-BI13-BI12)-1</f>
        <v>-8.0683069054966028E-2</v>
      </c>
      <c r="BO16" s="3106"/>
      <c r="BP16" s="2827">
        <f>(BP14-BP13-BP12)/(BK14-BK13-BK12)-1</f>
        <v>-0.26052628600974803</v>
      </c>
      <c r="BQ16" s="2827">
        <f>(BQ14-BQ13-BQ12)/(BL14-BL13-BL12)-1</f>
        <v>7.0373894738524179E-2</v>
      </c>
      <c r="BR16" s="2827">
        <f>(BR14-BR13-BR12)/(BM14-BM13-BM12)-1</f>
        <v>-2.9285683949678343E-2</v>
      </c>
      <c r="BS16" s="2827">
        <f>(BS14-BS13-BS12)/(BN14-BN13-BN12)-1</f>
        <v>-4.8059364814300176E-3</v>
      </c>
      <c r="BT16" s="3024"/>
      <c r="BU16" s="2827">
        <f>(BU14-BU13-BU12)/(BP14-BP13-BP12)-1</f>
        <v>1.0274300173211737E-2</v>
      </c>
      <c r="BV16" s="2827">
        <f>(BV14-BV13-BV12)/(BQ14-BQ13-BQ12)-1</f>
        <v>-9.9733558504590647E-2</v>
      </c>
      <c r="BW16" s="2827">
        <f t="shared" ref="BW16:BX16" si="22">(BW14-BW13-BW12)/(BR14-BR13-BR12)-1</f>
        <v>-1.3630966684100021E-2</v>
      </c>
      <c r="BX16" s="2827">
        <f t="shared" si="22"/>
        <v>-1.116764610233556E-2</v>
      </c>
      <c r="BY16" s="2835"/>
      <c r="BZ16" s="2835"/>
      <c r="CA16" s="2802"/>
      <c r="CB16" s="2802"/>
      <c r="CC16" s="3118"/>
      <c r="CD16" s="2915"/>
      <c r="CE16" s="2915"/>
      <c r="CF16"/>
      <c r="CG16" s="2915"/>
      <c r="CH16" s="2258"/>
      <c r="CI16" s="2258"/>
      <c r="CJ16" s="2258"/>
      <c r="CK16" s="2258"/>
      <c r="CL16" s="2258"/>
      <c r="CM16" s="2258"/>
      <c r="CN16" s="2258"/>
    </row>
    <row r="17" spans="1:92" s="2397" customFormat="1">
      <c r="A17" s="2388" t="s">
        <v>1689</v>
      </c>
      <c r="B17" s="2389"/>
      <c r="C17" s="2389"/>
      <c r="D17" s="2389"/>
      <c r="E17" s="2389"/>
      <c r="F17" s="2390"/>
      <c r="G17" s="2390"/>
      <c r="H17" s="2391"/>
      <c r="I17" s="2390"/>
      <c r="J17" s="2391"/>
      <c r="K17" s="2391"/>
      <c r="L17" s="2391"/>
      <c r="M17" s="2390"/>
      <c r="N17" s="2390"/>
      <c r="O17" s="2391"/>
      <c r="P17" s="2391"/>
      <c r="Q17" s="2391"/>
      <c r="R17" s="2391"/>
      <c r="S17" s="2391"/>
      <c r="T17" s="2391"/>
      <c r="U17" s="2391"/>
      <c r="V17" s="3025"/>
      <c r="W17" s="3025">
        <f>SUM(W8:W11)/SUM(V8:V11, -45, -8, -12, -25, -10)-1</f>
        <v>4.0729959303934749E-2</v>
      </c>
      <c r="X17" s="3025">
        <f>SUM(X8:X9, X11, -35)/SUM(W8:W11, -32, -10, -19, -60, -18, -5)-1</f>
        <v>2.9654065374004057E-2</v>
      </c>
      <c r="Y17" s="3025">
        <f>SUM(Y8:Y11, -75)/SUM(X8:X9, X11, -35, -13, 19, -3, 18, 5)-1</f>
        <v>-2.1465623191794347E-2</v>
      </c>
      <c r="Z17" s="3025">
        <f>SUM(Z8:Z11, -36)/SUM(Y8:Y11, -75)-1</f>
        <v>-1.5781041610267388E-2</v>
      </c>
      <c r="AA17" s="3025">
        <f>SUM(AA8:AA9, AA11, -76.5)/SUM(Z8:Z9, Z11, -36)-1</f>
        <v>-1.1054990667461628E-2</v>
      </c>
      <c r="AB17" s="3025">
        <f>SUM(AB8:AB9, AB11, -37)/SUM(AA8:AA9, AA11, -76.5)-1</f>
        <v>-7.8154352801954596E-3</v>
      </c>
      <c r="AC17" s="3025"/>
      <c r="AD17" s="3025"/>
      <c r="AE17" s="3025"/>
      <c r="AF17" s="3025"/>
      <c r="AG17" s="3025"/>
      <c r="AH17" s="3025"/>
      <c r="AI17" s="2932"/>
      <c r="AJ17" s="314"/>
      <c r="AK17" s="314"/>
      <c r="AL17" s="314"/>
      <c r="AM17" s="76"/>
      <c r="AN17" s="76"/>
      <c r="AO17" s="76"/>
      <c r="AP17" s="76"/>
      <c r="AQ17" s="2392"/>
      <c r="AR17" s="2392"/>
      <c r="AS17" s="2392"/>
      <c r="AT17" s="2392"/>
      <c r="AU17" s="2392"/>
      <c r="AV17" s="2392"/>
      <c r="AW17" s="2392"/>
      <c r="AX17" s="2392"/>
      <c r="AY17" s="2393"/>
      <c r="AZ17" s="2393"/>
      <c r="BA17" s="2394"/>
      <c r="BB17" s="2394"/>
      <c r="BC17" s="2394"/>
      <c r="BD17" s="2394"/>
      <c r="BE17" s="2395"/>
      <c r="BF17" s="2177">
        <f>SUM(BF8:BF9,BF11)/SUM(BA8:BA11, -45, -8)-1</f>
        <v>7.7259386064001401E-3</v>
      </c>
      <c r="BG17" s="2177">
        <f>SUM(BG8:BG9,BG11)/SUM(BB8:BB11)-1</f>
        <v>-1.5707627115266742E-3</v>
      </c>
      <c r="BH17" s="2177">
        <f>SUM(BH8:BH9,BH11)/SUM(BC8:BC11, -12, -25, -10)-1</f>
        <v>7.706141086910101E-2</v>
      </c>
      <c r="BI17" s="2177">
        <f>SUM(BI8:BI9,BI11)/SUM(BD8:BD11)-1</f>
        <v>7.8370014754757245E-2</v>
      </c>
      <c r="BJ17" s="3119"/>
      <c r="BK17" s="3025">
        <f>SUM(BK8:BK9,BK11, -35)/SUM(BF8:BF11)-1</f>
        <v>0.11887759148212051</v>
      </c>
      <c r="BL17" s="3025">
        <f>SUM(BL8:BL9,BL11)/SUM(BG8:BG11, -32, -10)-1</f>
        <v>1.8128692278731595E-2</v>
      </c>
      <c r="BM17" s="3025">
        <f>SUM(BM8:BM9,BM11)/SUM(BH8:BH11, -19)-1</f>
        <v>1.752531262246837E-3</v>
      </c>
      <c r="BN17" s="3025">
        <f>SUM(BN8:BN9,BN11)/SUM(BI8:BI11, -60, -18, -5)-1</f>
        <v>-2.2499532755430152E-2</v>
      </c>
      <c r="BO17" s="3106"/>
      <c r="BP17" s="3025">
        <f>SUM(BP8:BP11)/SUM(BK8:BK9, BK11 -35, -13)-1</f>
        <v>-5.7514787335785078E-3</v>
      </c>
      <c r="BQ17" s="3025">
        <f>SUM(BQ8:BQ11, -75)/SUM(BL8:BL11)-1</f>
        <v>-1.7617091649909433E-2</v>
      </c>
      <c r="BR17" s="3025">
        <f>SUM(BR8:BR11)/SUM(BM8:BM11, 19, -18, -5, (-3))-1</f>
        <v>-1.9581366024818858E-2</v>
      </c>
      <c r="BS17" s="3025">
        <f>SUM(BS8:BS11)/SUM(BN8:BN11, 18, 5, 18, 5)-1</f>
        <v>-3.92801513333213E-2</v>
      </c>
      <c r="BT17" s="3024"/>
      <c r="BU17" s="3581">
        <f>(BU14-BU13-BU12 -36)/(BP14-BP13-BP12)-1</f>
        <v>-1.9583266680441858E-2</v>
      </c>
      <c r="BV17" s="3581">
        <f>(BV14-BV13-BV12)/(BQ14-BQ13-BQ12-75)-1</f>
        <v>-1.9097656224258741E-2</v>
      </c>
      <c r="BW17" s="3581">
        <f>(BW14-BW13-BW12)/(BR14-BR13-BR12)-1</f>
        <v>-1.3630966684100021E-2</v>
      </c>
      <c r="BX17" s="3581">
        <f>(BX14-BX13-BX12)/(BS14-BS13-BS12)-1</f>
        <v>-1.116764610233556E-2</v>
      </c>
      <c r="BY17" s="2835"/>
      <c r="BZ17" s="2835"/>
      <c r="CA17" s="2802"/>
      <c r="CB17" s="2802"/>
      <c r="CC17" s="3119"/>
      <c r="CD17" s="3119"/>
      <c r="CE17" s="3266"/>
      <c r="CF17"/>
      <c r="CG17" s="3266"/>
      <c r="CH17" s="2396"/>
      <c r="CI17" s="2396"/>
      <c r="CJ17" s="2396"/>
      <c r="CK17" s="2396"/>
      <c r="CL17" s="2396"/>
      <c r="CM17" s="2396"/>
      <c r="CN17" s="2396"/>
    </row>
    <row r="18" spans="1:92">
      <c r="B18" s="498"/>
      <c r="C18" s="498"/>
      <c r="D18" s="498"/>
      <c r="E18" s="498"/>
      <c r="F18" s="314"/>
      <c r="G18" s="314"/>
      <c r="H18" s="38"/>
      <c r="I18" s="314"/>
      <c r="J18" s="38"/>
      <c r="K18" s="38"/>
      <c r="L18" s="38"/>
      <c r="M18" s="314"/>
      <c r="N18" s="314"/>
      <c r="O18" s="38"/>
      <c r="P18" s="38"/>
      <c r="Q18" s="38"/>
      <c r="R18" s="38"/>
      <c r="S18" s="38"/>
      <c r="T18" s="38"/>
      <c r="U18" s="38"/>
      <c r="V18" s="2802"/>
      <c r="W18" s="2802"/>
      <c r="X18" s="2802"/>
      <c r="Y18" s="2802"/>
      <c r="Z18" s="2802"/>
      <c r="AA18" s="2802"/>
      <c r="AB18" s="2802"/>
      <c r="AC18" s="2802"/>
      <c r="AD18" s="2802"/>
      <c r="AE18" s="2802"/>
      <c r="AF18" s="2802"/>
      <c r="AG18" s="2802"/>
      <c r="AH18" s="2802"/>
      <c r="AI18" s="3033"/>
      <c r="AJ18" s="314"/>
      <c r="AK18" s="314"/>
      <c r="AL18" s="314"/>
      <c r="AM18" s="1169"/>
      <c r="AN18" s="1169"/>
      <c r="AO18" s="1169"/>
      <c r="AP18" s="1169"/>
      <c r="AQ18" s="1169"/>
      <c r="AR18" s="1169"/>
      <c r="AS18" s="1169"/>
      <c r="AT18" s="1169"/>
      <c r="AU18" s="1169"/>
      <c r="AV18" s="1169"/>
      <c r="AW18" s="1169"/>
      <c r="AX18" s="1169"/>
      <c r="AY18" s="1251"/>
      <c r="AZ18" s="1251"/>
      <c r="BA18" s="49"/>
      <c r="BB18" s="49"/>
      <c r="BC18" s="49"/>
      <c r="BD18" s="49"/>
      <c r="BE18" s="1628"/>
      <c r="BF18" s="1628"/>
      <c r="BG18" s="1628"/>
      <c r="BH18" s="1628"/>
      <c r="BI18" s="1628"/>
      <c r="BJ18" s="1628"/>
      <c r="BK18" s="1628"/>
      <c r="BL18" s="2932"/>
      <c r="BM18" s="2932"/>
      <c r="BN18" s="2932"/>
      <c r="BO18" s="2932"/>
      <c r="BP18" s="2932"/>
      <c r="BQ18" s="2932"/>
      <c r="BR18" s="2932"/>
      <c r="BS18" s="2932"/>
      <c r="BT18" s="2932"/>
      <c r="BU18" s="2932"/>
      <c r="BV18" s="2932"/>
      <c r="BW18" s="2932"/>
      <c r="BX18" s="2932"/>
      <c r="BY18" s="2932"/>
      <c r="BZ18" s="2932"/>
      <c r="CA18" s="2932"/>
      <c r="CB18" s="2932"/>
      <c r="CC18" s="2932"/>
      <c r="CD18" s="2932"/>
      <c r="CE18" s="3266"/>
      <c r="CG18" s="2932"/>
      <c r="CH18" s="1628"/>
      <c r="CI18" s="1628"/>
      <c r="CJ18" s="1628"/>
      <c r="CK18" s="1628"/>
      <c r="CL18" s="1628"/>
      <c r="CM18" s="1628"/>
      <c r="CN18" s="1628"/>
    </row>
    <row r="19" spans="1:92">
      <c r="A19" s="498" t="s">
        <v>1093</v>
      </c>
      <c r="B19" s="498"/>
      <c r="C19" s="498"/>
      <c r="D19" s="498"/>
      <c r="E19" s="498"/>
      <c r="F19" s="314"/>
      <c r="G19" s="314"/>
      <c r="H19" s="38"/>
      <c r="I19" s="314"/>
      <c r="J19" s="38"/>
      <c r="K19" s="38"/>
      <c r="L19" s="38"/>
      <c r="M19" s="314"/>
      <c r="N19" s="314"/>
      <c r="O19" s="38"/>
      <c r="P19" s="38"/>
      <c r="Q19" s="38"/>
      <c r="R19" s="38"/>
      <c r="S19" s="38"/>
      <c r="T19" s="38"/>
      <c r="U19" s="38"/>
      <c r="V19" s="2802"/>
      <c r="W19" s="2802"/>
      <c r="X19" s="2802"/>
      <c r="Y19" s="2802"/>
      <c r="Z19" s="2802"/>
      <c r="AA19" s="2802"/>
      <c r="AB19" s="2802"/>
      <c r="AC19" s="2802"/>
      <c r="AD19" s="2802"/>
      <c r="AE19" s="2802"/>
      <c r="AF19" s="2802"/>
      <c r="AG19" s="2802"/>
      <c r="AH19" s="2802"/>
      <c r="AI19" s="3033"/>
      <c r="AJ19" s="314"/>
      <c r="AK19" s="314"/>
      <c r="AL19" s="314"/>
      <c r="AM19" s="1169"/>
      <c r="AN19" s="1169"/>
      <c r="AO19" s="1169"/>
      <c r="AP19" s="1169"/>
      <c r="AQ19" s="1169"/>
      <c r="AR19" s="1169"/>
      <c r="AS19" s="1169"/>
      <c r="AT19" s="1169"/>
      <c r="AU19" s="1169"/>
      <c r="AV19" s="1169"/>
      <c r="AW19" s="1169"/>
      <c r="AX19" s="1169"/>
      <c r="AY19" s="1251"/>
      <c r="AZ19" s="1251"/>
      <c r="BA19" s="49"/>
      <c r="BB19" s="49"/>
      <c r="BC19" s="49"/>
      <c r="BD19" s="49"/>
      <c r="BE19" s="1628"/>
      <c r="BF19" s="1628"/>
      <c r="BG19" s="1628"/>
      <c r="BH19" s="1628"/>
      <c r="BI19" s="1628"/>
      <c r="BJ19" s="2932"/>
      <c r="BK19" s="2807"/>
      <c r="BL19" s="2807"/>
      <c r="BM19" s="2807"/>
      <c r="BN19" s="2807"/>
      <c r="BO19" s="2807"/>
      <c r="BP19" s="2807"/>
      <c r="BQ19" s="2807"/>
      <c r="BR19" s="2807"/>
      <c r="BS19" s="2807"/>
      <c r="BT19" s="3024"/>
      <c r="BU19" s="2835"/>
      <c r="BV19" s="2835"/>
      <c r="BW19" s="2835"/>
      <c r="BX19" s="2835"/>
      <c r="BY19" s="2835"/>
      <c r="BZ19" s="2835"/>
      <c r="CA19" s="2802"/>
      <c r="CB19" s="2802"/>
      <c r="CC19" s="2932"/>
      <c r="CD19" s="2932"/>
      <c r="CE19" s="3266"/>
      <c r="CF19" s="2807"/>
      <c r="CG19" s="2807"/>
      <c r="CH19" s="1577"/>
      <c r="CI19" s="1577"/>
      <c r="CJ19" s="1577"/>
      <c r="CK19" s="1577"/>
      <c r="CL19" s="1577"/>
      <c r="CM19" s="1577"/>
      <c r="CN19" s="1577"/>
    </row>
    <row r="20" spans="1:92">
      <c r="A20" s="513" t="s">
        <v>1091</v>
      </c>
      <c r="B20" s="37">
        <f>+B8*B87</f>
        <v>800.25</v>
      </c>
      <c r="C20" s="1130">
        <f>+C8-C28</f>
        <v>1028.4555</v>
      </c>
      <c r="D20" s="1130">
        <f>+D8-D28</f>
        <v>1057.0641269627279</v>
      </c>
      <c r="E20" s="1130">
        <f>+E8-E28</f>
        <v>1122.0923</v>
      </c>
      <c r="F20" s="1130">
        <f>+F8-F28</f>
        <v>1166.8523612865411</v>
      </c>
      <c r="G20" s="1131">
        <v>1266.2438709829557</v>
      </c>
      <c r="H20" s="1131">
        <v>1310.7641959630764</v>
      </c>
      <c r="I20" s="1131">
        <v>1341.3095396033809</v>
      </c>
      <c r="J20" s="1131">
        <v>1504.4921382029543</v>
      </c>
      <c r="K20" s="1131">
        <v>1554.1470970472233</v>
      </c>
      <c r="L20" s="1131">
        <v>1642.1817356120841</v>
      </c>
      <c r="M20" s="47">
        <v>1727.8273007932301</v>
      </c>
      <c r="N20" s="37">
        <f>+N8*N87</f>
        <v>1678.5438999253236</v>
      </c>
      <c r="O20" s="37">
        <f>+O8*O87</f>
        <v>1513.1876468959485</v>
      </c>
      <c r="P20" s="37">
        <f>+((O20*0.85)*(1))+(O20*0.15)*(0.83)*(1+(P8/O8-1))+43</f>
        <v>1486.1399209396645</v>
      </c>
      <c r="Q20" s="37">
        <f>+((P20*0.85)*(1.065))+(P20*0.15)*(1+(Q8/P8-1))+25</f>
        <v>1602.611833073501</v>
      </c>
      <c r="R20" s="37">
        <f>+((Q20*0.85)*(1))+(Q20*0.15*1)*(1+(R8/Q8-1))</f>
        <v>1612.2275040719419</v>
      </c>
      <c r="S20" s="37">
        <f>+((R20*0.85)*(1+0.03))+(R20*0.15)*(1+(S8/R8-1))-125</f>
        <v>1537.7708363245974</v>
      </c>
      <c r="T20" s="37">
        <f>+((S20*0.85)*(1+0.03))+(S20*0.15)*(1+(T8/S8-1))-71</f>
        <v>1499.8713535764841</v>
      </c>
      <c r="U20" s="1028">
        <f>SUM(AV20:AY20)</f>
        <v>1566.0956394190969</v>
      </c>
      <c r="V20" s="1478">
        <f>SUM(BA20:BD20)</f>
        <v>1469.7942644056754</v>
      </c>
      <c r="W20" s="1478">
        <f>SUM(BF20:BI20)</f>
        <v>1533.2476315629274</v>
      </c>
      <c r="X20" s="3026">
        <f>SUM(BK20:BN20)</f>
        <v>1575.5554200904278</v>
      </c>
      <c r="Y20" s="3026">
        <f>SUM(BP20:BS20)</f>
        <v>1616.6766775873616</v>
      </c>
      <c r="Z20" s="3026">
        <f t="shared" ref="Z20:Z22" si="23">SUM(BU20:BX20)</f>
        <v>1697.5105114667299</v>
      </c>
      <c r="AA20" s="2938">
        <f>+(1+Scenarios!N33)*'CBS Network'!Z20</f>
        <v>1756.9233793680653</v>
      </c>
      <c r="AB20" s="2938">
        <f>+(1+Scenarios!O33)*'CBS Network'!AA20</f>
        <v>1814.9018508872114</v>
      </c>
      <c r="AC20" s="2938">
        <f>+(1+Scenarios!P33)*'CBS Network'!AB20</f>
        <v>1871.1638082647148</v>
      </c>
      <c r="AD20" s="2938">
        <f>+(1+Scenarios!Q33)*'CBS Network'!AC20</f>
        <v>1925.4275587043915</v>
      </c>
      <c r="AE20" s="2938">
        <f>+(1+Scenarios!R33)*'CBS Network'!AD20</f>
        <v>1977.4141027894098</v>
      </c>
      <c r="AF20" s="2938">
        <f>+(1+Scenarios!S33)*'CBS Network'!AE20</f>
        <v>2026.8494553591447</v>
      </c>
      <c r="AG20" s="2938">
        <f>+(1+Scenarios!T33)*'CBS Network'!AF20</f>
        <v>2073.4669928324047</v>
      </c>
      <c r="AH20" s="2938">
        <f>+(1+Scenarios!U33)*'CBS Network'!AG20</f>
        <v>2117.0097996818849</v>
      </c>
      <c r="AI20" s="2938">
        <f>+(1+Scenarios!V33)*'CBS Network'!AH20</f>
        <v>2159.3499956755227</v>
      </c>
      <c r="AJ20" s="2938">
        <f>+(1+Scenarios!W33)*'CBS Network'!AI20</f>
        <v>2202.5369955890333</v>
      </c>
      <c r="AK20" s="314"/>
      <c r="AL20" s="314"/>
      <c r="AM20" s="37"/>
      <c r="AN20" s="37"/>
      <c r="AO20" s="37"/>
      <c r="AP20" s="88"/>
      <c r="AQ20" s="37">
        <f>($T$20/$T$8+2%)*AQ8</f>
        <v>460.95690130014685</v>
      </c>
      <c r="AR20" s="37">
        <f>($T$20/$T$8-4%)*AR8</f>
        <v>342.37633249483366</v>
      </c>
      <c r="AS20" s="37">
        <f>($T$20/$T$8-4%)*AS8</f>
        <v>256.78224937112526</v>
      </c>
      <c r="AT20" s="1028">
        <f>T20-SUM(AQ20:AS20)</f>
        <v>439.75587041037829</v>
      </c>
      <c r="AU20" s="1120">
        <f>T20-SUM(AQ20:AT20)</f>
        <v>0</v>
      </c>
      <c r="AV20" s="47">
        <f>AQ20-25</f>
        <v>435.95690130014685</v>
      </c>
      <c r="AW20" s="47">
        <f>+AR20+45</f>
        <v>387.37633249483366</v>
      </c>
      <c r="AX20" s="125">
        <f>+((AS20*0.85)*(1.05))+(AS20*0.15)*(1+(AX8/AS8-1))+33</f>
        <v>303.00653521373818</v>
      </c>
      <c r="AY20" s="37">
        <f>AT20</f>
        <v>439.75587041037829</v>
      </c>
      <c r="AZ20" s="1120">
        <f>U20-SUM(AV20:AY20)</f>
        <v>0</v>
      </c>
      <c r="BA20" s="1438">
        <f>+(1+Scenarios!BH33)*'CBS Network'!AV20</f>
        <v>444.67603932614981</v>
      </c>
      <c r="BB20" s="1438">
        <f>+(1+Scenarios!BI33)*'CBS Network'!AW20</f>
        <v>397.06074080720447</v>
      </c>
      <c r="BC20" s="1438">
        <f>+(1+Scenarios!BJ33)*'CBS Network'!AX20-40</f>
        <v>272.09673127015031</v>
      </c>
      <c r="BD20" s="1438">
        <f>+(1+Scenarios!BK33)*'CBS Network'!AY20-75</f>
        <v>355.96075300217075</v>
      </c>
      <c r="BE20" s="1741">
        <f>$V20-SUM(BA20:BD20)</f>
        <v>0</v>
      </c>
      <c r="BF20" s="1438">
        <f>+(Scenarios!BM33+1)*BA20</f>
        <v>455.7929403093035</v>
      </c>
      <c r="BG20" s="1438">
        <f>+(Scenarios!BN33+1)*BB20</f>
        <v>452.64924452021313</v>
      </c>
      <c r="BH20" s="1438">
        <f>+(Scenarios!BO33+1)*BC20</f>
        <v>288.42253514635934</v>
      </c>
      <c r="BI20" s="1438">
        <f>+(Scenarios!BP33+1)*BD20</f>
        <v>336.38291158705135</v>
      </c>
      <c r="BJ20" s="1741">
        <f>$W20-SUM(BF20:BI20)</f>
        <v>0</v>
      </c>
      <c r="BK20" s="1438">
        <f>+(Scenarios!BR33+1)*BF20</f>
        <v>471.74569322012911</v>
      </c>
      <c r="BL20" s="1438">
        <f>+(Scenarios!BS33+1)*BG20</f>
        <v>461.70222941061741</v>
      </c>
      <c r="BM20" s="1438">
        <f>+(Scenarios!BT33+1)*BH20</f>
        <v>295.63309852501828</v>
      </c>
      <c r="BN20" s="2965">
        <f>+(Scenarios!BU33+1)*BI20</f>
        <v>346.47439893466293</v>
      </c>
      <c r="BO20" s="2835">
        <f t="shared" si="15"/>
        <v>0</v>
      </c>
      <c r="BP20" s="2965">
        <f>+(Scenarios!BW33+1)*BK20</f>
        <v>483.5393355506323</v>
      </c>
      <c r="BQ20" s="2965">
        <f>+(Scenarios!BX33+1)*BL20</f>
        <v>473.24478514588282</v>
      </c>
      <c r="BR20" s="2965">
        <f>+(Scenarios!BY33+1)*BM20</f>
        <v>303.02392598814373</v>
      </c>
      <c r="BS20" s="2965">
        <f>+(Scenarios!BZ33+1)*BN20</f>
        <v>356.86863090270282</v>
      </c>
      <c r="BT20" s="3024">
        <f t="shared" si="12"/>
        <v>0</v>
      </c>
      <c r="BU20" s="2965">
        <f>+(Scenarios!CB33+1)*BP20</f>
        <v>507.71630232816392</v>
      </c>
      <c r="BV20" s="2965">
        <f>+(Scenarios!CC33+1)*BQ20</f>
        <v>496.90702440317699</v>
      </c>
      <c r="BW20" s="2965">
        <f>+(Scenarios!CD33+1)*BR20</f>
        <v>318.17512228755095</v>
      </c>
      <c r="BX20" s="2965">
        <f>+(Scenarios!CE33+1)*BS20</f>
        <v>374.71206244783798</v>
      </c>
      <c r="BY20" s="1741">
        <f t="shared" ref="BY20:BY24" si="24">Z20-SUM(BU20:BX20)</f>
        <v>0</v>
      </c>
      <c r="BZ20" s="2835"/>
      <c r="CA20" s="2802"/>
      <c r="CB20" s="2802"/>
      <c r="CC20" s="2897"/>
      <c r="CD20" s="2807"/>
      <c r="CE20" s="3266"/>
      <c r="CF20" s="2807"/>
      <c r="CG20" s="2807"/>
      <c r="CH20" s="1577"/>
      <c r="CI20" s="1577"/>
      <c r="CJ20" s="1577"/>
      <c r="CK20" s="1577"/>
      <c r="CL20" s="1577"/>
      <c r="CM20" s="1577"/>
      <c r="CN20" s="1577"/>
    </row>
    <row r="21" spans="1:92">
      <c r="A21" s="314" t="s">
        <v>1092</v>
      </c>
      <c r="B21" s="13">
        <f>+B$9*B$88</f>
        <v>1029.69</v>
      </c>
      <c r="C21" s="76">
        <v>385.815</v>
      </c>
      <c r="D21" s="76">
        <v>465.03500000000003</v>
      </c>
      <c r="E21" s="76">
        <v>499.375</v>
      </c>
      <c r="F21" s="76">
        <v>800</v>
      </c>
      <c r="G21" s="76">
        <v>615.26887105141202</v>
      </c>
      <c r="H21" s="76">
        <v>654.2853877139828</v>
      </c>
      <c r="I21" s="76">
        <v>843.45689306010843</v>
      </c>
      <c r="J21" s="76">
        <v>712.68840017523519</v>
      </c>
      <c r="K21" s="76">
        <v>813.0975872084615</v>
      </c>
      <c r="L21" s="76">
        <v>1177.8643407977629</v>
      </c>
      <c r="M21" s="76">
        <v>1201.5013283888932</v>
      </c>
      <c r="N21" s="76">
        <v>1192.0828332261044</v>
      </c>
      <c r="O21" s="76">
        <v>1484.1980380021716</v>
      </c>
      <c r="P21" s="76">
        <v>1320.8219197134697</v>
      </c>
      <c r="Q21" s="76">
        <v>1356.9784035846947</v>
      </c>
      <c r="R21" s="76">
        <v>1651.4915814414694</v>
      </c>
      <c r="S21" s="76">
        <v>1354.1938394067963</v>
      </c>
      <c r="T21" s="76">
        <v>1400</v>
      </c>
      <c r="U21" s="166">
        <f>SUM(AV21:AY21)</f>
        <v>1445.6604764443862</v>
      </c>
      <c r="V21" s="166">
        <f>SUM(BA21:BD21)</f>
        <v>1783.7133401169172</v>
      </c>
      <c r="W21" s="1693">
        <f>SUM(BF21:BI21)</f>
        <v>1866.7936759569782</v>
      </c>
      <c r="X21" s="1693">
        <f>SUM(BK21:BN21)</f>
        <v>1788.4397107129114</v>
      </c>
      <c r="Y21" s="1693">
        <f>SUM(BP21:BS21)</f>
        <v>1902.3710868746216</v>
      </c>
      <c r="Z21" s="1693">
        <f t="shared" si="23"/>
        <v>1953.739641218353</v>
      </c>
      <c r="AA21" s="1437">
        <f>(1+AA185)*Z21</f>
        <v>2072.2123398424774</v>
      </c>
      <c r="AB21" s="1437">
        <f t="shared" ref="AB21:AJ21" si="25">(1+AB185)*AA21</f>
        <v>2139.8783583939512</v>
      </c>
      <c r="AC21" s="1437">
        <f t="shared" si="25"/>
        <v>2263.6539402851681</v>
      </c>
      <c r="AD21" s="1437">
        <f t="shared" si="25"/>
        <v>2314.808393589612</v>
      </c>
      <c r="AE21" s="1437">
        <f t="shared" si="25"/>
        <v>2513.9375017359789</v>
      </c>
      <c r="AF21" s="1437">
        <f t="shared" si="25"/>
        <v>2625.284064049175</v>
      </c>
      <c r="AG21" s="1437">
        <f t="shared" si="25"/>
        <v>2759.6777028299998</v>
      </c>
      <c r="AH21" s="1437">
        <f t="shared" si="25"/>
        <v>2881.9625822878693</v>
      </c>
      <c r="AI21" s="1437">
        <f t="shared" si="25"/>
        <v>3029.6426223865265</v>
      </c>
      <c r="AJ21" s="1437">
        <f t="shared" si="25"/>
        <v>3163.958086931907</v>
      </c>
      <c r="AK21" s="314"/>
      <c r="AL21" s="314"/>
      <c r="AM21" s="76"/>
      <c r="AN21" s="76"/>
      <c r="AO21" s="76"/>
      <c r="AP21" s="88"/>
      <c r="AQ21" s="354">
        <f>($T$21/$T$9+1%)*AQ9</f>
        <v>446.98270718217185</v>
      </c>
      <c r="AR21" s="354">
        <f>($T$21/$T$9-3%)*AR9</f>
        <v>233.04896609063223</v>
      </c>
      <c r="AS21" s="354">
        <f>($T$21/$T$9-4%)*AS9</f>
        <v>182.04752710111603</v>
      </c>
      <c r="AT21" s="355">
        <f>T21-SUM(AQ21:AS21)</f>
        <v>537.92079962608</v>
      </c>
      <c r="AU21" s="1120">
        <f>T21-SUM(AQ21:AT21)</f>
        <v>0</v>
      </c>
      <c r="AV21" s="77">
        <f>AQ21-50</f>
        <v>396.98270718217185</v>
      </c>
      <c r="AW21" s="76">
        <f>AR21*1.072+50</f>
        <v>299.82849164915774</v>
      </c>
      <c r="AX21" s="76">
        <f>AS21*1.07</f>
        <v>194.79085399819417</v>
      </c>
      <c r="AY21" s="76">
        <f>AT21*1.03</f>
        <v>554.05842361486236</v>
      </c>
      <c r="AZ21" s="1120">
        <f>U21-SUM(AV21:AY21)</f>
        <v>0</v>
      </c>
      <c r="BA21" s="1437">
        <f>(AV21-90*0.2)*1.04</f>
        <v>394.14201546945873</v>
      </c>
      <c r="BB21" s="1437">
        <f>(AW21-90*0.6)*1.02</f>
        <v>250.7450614821409</v>
      </c>
      <c r="BC21" s="1437">
        <f>+AX21*1.02+20+300*(9/24)</f>
        <v>331.18667107815804</v>
      </c>
      <c r="BD21" s="1437">
        <f>+AY21*1.02+55+300*(15/24)</f>
        <v>807.6395920871596</v>
      </c>
      <c r="BE21" s="1741">
        <f>$V21-SUM(BA21:BD21)</f>
        <v>0</v>
      </c>
      <c r="BF21" s="1437">
        <f>+BA21*1.02+50-(45+8)</f>
        <v>399.02485577884789</v>
      </c>
      <c r="BG21" s="1437">
        <f>+BB21*1.06</f>
        <v>265.78976517106935</v>
      </c>
      <c r="BH21" s="1437">
        <f>+BC21+(27)*0.25+(50)*0.2-20</f>
        <v>327.93667107815804</v>
      </c>
      <c r="BI21" s="1437">
        <f>+BD21*1.02+(27)*0.75+(50)*0.6</f>
        <v>874.04238392890284</v>
      </c>
      <c r="BJ21" s="1741">
        <f>$W21-SUM(BF21:BI21)</f>
        <v>0</v>
      </c>
      <c r="BK21" s="1437">
        <f>BF21*1.02+50*0.2</f>
        <v>417.00535289442485</v>
      </c>
      <c r="BL21" s="1437">
        <f>(BG21-35)*1.002</f>
        <v>231.25134470141148</v>
      </c>
      <c r="BM21" s="1437">
        <f>BH21*1.002+(53*0.2)+(237.4/5*2-344/8*2)</f>
        <v>348.15254442031437</v>
      </c>
      <c r="BN21" s="2878">
        <f>BI21*1.002+53*0.6+(237.4/5*3-344/8*6)</f>
        <v>792.03046869676064</v>
      </c>
      <c r="BO21" s="2835">
        <f t="shared" si="15"/>
        <v>0</v>
      </c>
      <c r="BP21" s="2878">
        <f>(BK21-33)*1.05</f>
        <v>403.20562053914608</v>
      </c>
      <c r="BQ21" s="2878">
        <f>BL21*1.05+75</f>
        <v>317.8139119364821</v>
      </c>
      <c r="BR21" s="2878">
        <f>BM21*1.05-45-4.5</f>
        <v>316.0601716413301</v>
      </c>
      <c r="BS21" s="2878">
        <f>BN21*1.03+45+4.5</f>
        <v>865.29138275766343</v>
      </c>
      <c r="BT21" s="3024">
        <f t="shared" si="12"/>
        <v>0</v>
      </c>
      <c r="BU21" s="2878">
        <f>BP21*1.05+35</f>
        <v>458.36590156610339</v>
      </c>
      <c r="BV21" s="2878">
        <f>(BQ21-75)*1.05</f>
        <v>254.95460753330622</v>
      </c>
      <c r="BW21" s="2878">
        <f>BR21*1.05</f>
        <v>331.86318022339663</v>
      </c>
      <c r="BX21" s="2878">
        <f>BS21*1.05</f>
        <v>908.55595189554663</v>
      </c>
      <c r="BY21" s="1741">
        <f t="shared" si="24"/>
        <v>0</v>
      </c>
      <c r="BZ21" s="2835"/>
      <c r="CA21" s="2802"/>
      <c r="CB21" s="2802"/>
      <c r="CC21" s="2932"/>
      <c r="CD21" s="2807"/>
      <c r="CE21" s="3266"/>
      <c r="CF21" s="3267" t="s">
        <v>337</v>
      </c>
      <c r="CG21" s="3267" t="s">
        <v>337</v>
      </c>
      <c r="CH21" s="3052" t="s">
        <v>337</v>
      </c>
      <c r="CJ21" s="3052" t="s">
        <v>337</v>
      </c>
      <c r="CK21" s="3052" t="s">
        <v>337</v>
      </c>
      <c r="CL21" s="3052" t="s">
        <v>337</v>
      </c>
      <c r="CM21" s="3052"/>
      <c r="CN21" s="3052" t="s">
        <v>337</v>
      </c>
    </row>
    <row r="22" spans="1:92">
      <c r="A22" s="997" t="s">
        <v>529</v>
      </c>
      <c r="B22" s="13"/>
      <c r="C22" s="76"/>
      <c r="D22" s="76"/>
      <c r="E22" s="76"/>
      <c r="F22" s="76"/>
      <c r="G22" s="76"/>
      <c r="H22" s="76"/>
      <c r="I22" s="76"/>
      <c r="J22" s="76"/>
      <c r="K22" s="76"/>
      <c r="L22" s="76"/>
      <c r="M22" s="76"/>
      <c r="N22" s="76"/>
      <c r="O22" s="76"/>
      <c r="P22" s="76"/>
      <c r="Q22" s="76"/>
      <c r="R22" s="76"/>
      <c r="S22" s="76"/>
      <c r="T22" s="76"/>
      <c r="U22" s="166">
        <f>SUM(AV22:AY22)</f>
        <v>232.344877671875</v>
      </c>
      <c r="V22" s="166">
        <f>SUM(BA22:BD22)</f>
        <v>0</v>
      </c>
      <c r="W22" s="1693">
        <f>SUM(BF22:BI22)</f>
        <v>0</v>
      </c>
      <c r="X22" s="1693">
        <f>SUM(BK22:BN22)</f>
        <v>343.03500000000003</v>
      </c>
      <c r="Y22" s="1693">
        <f>SUM(BP22:BS22)</f>
        <v>0</v>
      </c>
      <c r="Z22" s="1693">
        <f t="shared" si="23"/>
        <v>0</v>
      </c>
      <c r="AA22" s="2153">
        <v>384.73985356000009</v>
      </c>
      <c r="AB22" s="1437">
        <v>0</v>
      </c>
      <c r="AC22" s="1437">
        <v>0</v>
      </c>
      <c r="AD22" s="2153">
        <v>445.38447297739521</v>
      </c>
      <c r="AE22" s="1437">
        <v>0</v>
      </c>
      <c r="AF22" s="1437">
        <v>0</v>
      </c>
      <c r="AG22" s="1437">
        <f>+AD22*(1.06)^3</f>
        <v>530.46003346764542</v>
      </c>
      <c r="AH22" s="1437">
        <f>+AE22*(1.06)^3</f>
        <v>0</v>
      </c>
      <c r="AI22" s="1437">
        <f>+AF22*(1.06)^3</f>
        <v>0</v>
      </c>
      <c r="AJ22" s="1437">
        <f>+AG22*(1.06)^3</f>
        <v>631.7863872205013</v>
      </c>
      <c r="AK22" s="314"/>
      <c r="AL22" s="314"/>
      <c r="AM22" s="76"/>
      <c r="AN22" s="76"/>
      <c r="AO22" s="76"/>
      <c r="AP22" s="88"/>
      <c r="AQ22" s="354"/>
      <c r="AR22" s="354"/>
      <c r="AS22" s="354"/>
      <c r="AT22" s="355"/>
      <c r="AU22" s="1120"/>
      <c r="AV22" s="77">
        <f>+AV10-40</f>
        <v>232.344877671875</v>
      </c>
      <c r="AW22" s="76">
        <v>0</v>
      </c>
      <c r="AX22" s="76">
        <v>0</v>
      </c>
      <c r="AY22" s="76">
        <v>0</v>
      </c>
      <c r="AZ22" s="1120">
        <f>U22-SUM(AV22:AY22)</f>
        <v>0</v>
      </c>
      <c r="BA22" s="1437">
        <v>0</v>
      </c>
      <c r="BB22" s="1437">
        <v>0</v>
      </c>
      <c r="BC22" s="1437">
        <v>0</v>
      </c>
      <c r="BD22" s="1437">
        <v>0</v>
      </c>
      <c r="BE22" s="1741">
        <f>$V22-SUM(BA22:BD22)</f>
        <v>0</v>
      </c>
      <c r="BF22" s="1437">
        <v>0</v>
      </c>
      <c r="BG22" s="1437">
        <v>0</v>
      </c>
      <c r="BH22" s="1437">
        <v>0</v>
      </c>
      <c r="BI22" s="1437">
        <v>0</v>
      </c>
      <c r="BJ22" s="1741">
        <f>$W22-SUM(BF22:BI22)</f>
        <v>0</v>
      </c>
      <c r="BK22" s="2153">
        <v>343.03500000000003</v>
      </c>
      <c r="BL22" s="1437">
        <v>0</v>
      </c>
      <c r="BM22" s="1437">
        <v>0</v>
      </c>
      <c r="BN22" s="2878">
        <v>0</v>
      </c>
      <c r="BO22" s="2835">
        <f t="shared" si="15"/>
        <v>0</v>
      </c>
      <c r="BP22" s="2878">
        <v>0</v>
      </c>
      <c r="BQ22" s="2878">
        <v>0</v>
      </c>
      <c r="BR22" s="2878">
        <v>0</v>
      </c>
      <c r="BS22" s="2878">
        <v>0</v>
      </c>
      <c r="BT22" s="3024">
        <f t="shared" si="12"/>
        <v>0</v>
      </c>
      <c r="BU22" s="2878">
        <v>0</v>
      </c>
      <c r="BV22" s="2878">
        <v>0</v>
      </c>
      <c r="BW22" s="2878">
        <v>0</v>
      </c>
      <c r="BX22" s="2878">
        <v>0</v>
      </c>
      <c r="BY22" s="1741">
        <f t="shared" si="24"/>
        <v>0</v>
      </c>
      <c r="BZ22" s="2835"/>
      <c r="CA22" s="2802"/>
      <c r="CB22" s="2802"/>
      <c r="CC22" s="2802"/>
      <c r="CD22" s="2807"/>
      <c r="CE22" s="3266"/>
      <c r="CF22" s="2807"/>
      <c r="CG22" s="2807"/>
      <c r="CH22" s="1577"/>
      <c r="CJ22" s="1577"/>
      <c r="CK22" s="1577"/>
      <c r="CL22" s="1577"/>
      <c r="CM22" s="1577"/>
      <c r="CN22" s="1577"/>
    </row>
    <row r="23" spans="1:92">
      <c r="A23" s="314" t="s">
        <v>677</v>
      </c>
      <c r="B23" s="334">
        <f>+B11*B89</f>
        <v>566.48249999999996</v>
      </c>
      <c r="C23" s="334">
        <f>+C11*C89</f>
        <v>775.72949999999992</v>
      </c>
      <c r="D23" s="334">
        <f>+D11*D89</f>
        <v>718.71690000000001</v>
      </c>
      <c r="E23" s="334">
        <f>+E11*E89</f>
        <v>993.30000000000007</v>
      </c>
      <c r="F23" s="334">
        <f>+F11*F89</f>
        <v>1078.645144810233</v>
      </c>
      <c r="G23" s="506">
        <f>+G24-G21-G20</f>
        <v>914.25985053563227</v>
      </c>
      <c r="H23" s="506">
        <f>+H24-H21-H20</f>
        <v>960.86373481864075</v>
      </c>
      <c r="I23" s="506">
        <f>+I24-I21-I20</f>
        <v>746.26341857203852</v>
      </c>
      <c r="J23" s="334">
        <f t="shared" ref="J23:O23" si="26">+J11*J89</f>
        <v>741.68943355377417</v>
      </c>
      <c r="K23" s="334">
        <f t="shared" si="26"/>
        <v>622.35533227244048</v>
      </c>
      <c r="L23" s="334">
        <f t="shared" si="26"/>
        <v>728.4642567867196</v>
      </c>
      <c r="M23" s="334">
        <f t="shared" si="26"/>
        <v>763.36530550739667</v>
      </c>
      <c r="N23" s="334">
        <f t="shared" si="26"/>
        <v>750.62801012407317</v>
      </c>
      <c r="O23" s="334">
        <f t="shared" si="26"/>
        <v>683.54399474795343</v>
      </c>
      <c r="P23" s="334">
        <f>+((O23*$CB23)*(0.96))+(O23*$CC23)*(1+(P11/O11-1))</f>
        <v>647.69211222342335</v>
      </c>
      <c r="Q23" s="334">
        <f>+((P23*$CB23)*(0.9))+(P23*$CC23)*(1+(Q11/P11-1))+15</f>
        <v>603.15522129110389</v>
      </c>
      <c r="R23" s="334">
        <f>Q23*0.985</f>
        <v>594.10789297173733</v>
      </c>
      <c r="S23" s="334">
        <f>+((R23*$CB23)*(1+$CA23))+(R23*$CC23)*(1+(S11/R11-1))</f>
        <v>602.75216281447604</v>
      </c>
      <c r="T23" s="334">
        <f>+((S23*$CB23)*(1+$CA23))+(S23*$CC23)*(1+(T11/S11-1))</f>
        <v>607.90569380653983</v>
      </c>
      <c r="U23" s="839">
        <f>SUM(AV23:AY23)</f>
        <v>562.42626245746214</v>
      </c>
      <c r="V23" s="841">
        <f>SUM(BA23:BD23)</f>
        <v>482.3559884991289</v>
      </c>
      <c r="W23" s="1725">
        <f>SUM(BF23:BI23)</f>
        <v>489.59132832661578</v>
      </c>
      <c r="X23" s="1725">
        <f>SUM(BK23:BN23)</f>
        <v>496.93519825151503</v>
      </c>
      <c r="Y23" s="1725">
        <f>SUM(BP23:BS23)</f>
        <v>506.87390221654533</v>
      </c>
      <c r="Z23" s="1725">
        <f>SUM(BU23:BX23)</f>
        <v>532.21759732737269</v>
      </c>
      <c r="AA23" s="1458">
        <f>(1+Scenarios!N39)*'CBS Network'!Z23</f>
        <v>550.84521323383069</v>
      </c>
      <c r="AB23" s="1458">
        <f>(1+Scenarios!O39)*'CBS Network'!AA23</f>
        <v>569.02310527054703</v>
      </c>
      <c r="AC23" s="1458">
        <f>(1+Scenarios!P39)*'CBS Network'!AB23</f>
        <v>586.66282153393399</v>
      </c>
      <c r="AD23" s="1458">
        <f>(1+Scenarios!Q39)*'CBS Network'!AC23</f>
        <v>603.67604335841804</v>
      </c>
      <c r="AE23" s="1458">
        <f>(1+Scenarios!R39)*'CBS Network'!AD23</f>
        <v>619.97529652909532</v>
      </c>
      <c r="AF23" s="1458">
        <f>(1+Scenarios!S39)*'CBS Network'!AE23</f>
        <v>635.47467894232261</v>
      </c>
      <c r="AG23" s="1458">
        <f>(1+Scenarios!T39)*'CBS Network'!AF23</f>
        <v>650.09059655799592</v>
      </c>
      <c r="AH23" s="1458">
        <f>(1+Scenarios!U39)*'CBS Network'!AG23</f>
        <v>663.7424990857138</v>
      </c>
      <c r="AI23" s="1458">
        <f>(1+Scenarios!V39)*'CBS Network'!AH23</f>
        <v>677.01734906742809</v>
      </c>
      <c r="AJ23" s="1458">
        <f>(1+Scenarios!W39)*'CBS Network'!AI23</f>
        <v>690.55769604877662</v>
      </c>
      <c r="AK23" s="314"/>
      <c r="AL23" s="314"/>
      <c r="AM23" s="886"/>
      <c r="AN23" s="886"/>
      <c r="AO23" s="886"/>
      <c r="AP23" s="88"/>
      <c r="AQ23" s="317">
        <f>$T$23/$T$11*AQ11</f>
        <v>212.76699283228893</v>
      </c>
      <c r="AR23" s="317">
        <f>$T$23/$T$11*AR11</f>
        <v>139.81830957550414</v>
      </c>
      <c r="AS23" s="317">
        <f>$T$23/$T$11*AS11</f>
        <v>103.34396794711178</v>
      </c>
      <c r="AT23" s="839">
        <f>T23-SUM(AQ23:AS23)</f>
        <v>151.97642345163501</v>
      </c>
      <c r="AU23" s="1120">
        <f>T23-SUM(AQ23:AT23)</f>
        <v>0</v>
      </c>
      <c r="AV23" s="334">
        <f>+((AQ23*$CB23)*(1+$CA23))+(AQ23*$CC23)*(1+(AV11/AQ11-1))</f>
        <v>215.79892248014903</v>
      </c>
      <c r="AW23" s="334">
        <f>+((AR23*$CB23)*(1+$CA23))+(AR23*$CC23)*(1+(AW11/AR11-1))</f>
        <v>141.81072048695506</v>
      </c>
      <c r="AX23" s="334">
        <f>+((AS23*$CB23)*(1+$CA23))+(AS23*$CC23)*(1+(AX11/AS11-1))</f>
        <v>104.81661949035811</v>
      </c>
      <c r="AY23" s="334">
        <v>100</v>
      </c>
      <c r="AZ23" s="1120">
        <f>U23-SUM(AV23:AY23)</f>
        <v>0</v>
      </c>
      <c r="BA23" s="1439">
        <v>150</v>
      </c>
      <c r="BB23" s="1439">
        <f>+AW23*1.025</f>
        <v>145.35598849912893</v>
      </c>
      <c r="BC23" s="1439">
        <v>85</v>
      </c>
      <c r="BD23" s="1439">
        <f>+AY23*1.02</f>
        <v>102</v>
      </c>
      <c r="BE23" s="1741">
        <f>$V23-SUM(BA23:BD23)</f>
        <v>0</v>
      </c>
      <c r="BF23" s="1458">
        <f>+BA23*1.015</f>
        <v>152.24999999999997</v>
      </c>
      <c r="BG23" s="1458">
        <f>+BB23*1.015</f>
        <v>147.53632832661586</v>
      </c>
      <c r="BH23" s="1458">
        <f>+BC23*1.015</f>
        <v>86.274999999999991</v>
      </c>
      <c r="BI23" s="1458">
        <f>+BD23*1.015</f>
        <v>103.52999999999999</v>
      </c>
      <c r="BJ23" s="1741">
        <f>$W23-SUM(BF23:BI23)</f>
        <v>0</v>
      </c>
      <c r="BK23" s="1458">
        <f>+BF23*1.015</f>
        <v>154.53374999999997</v>
      </c>
      <c r="BL23" s="1458">
        <f>+BG23*1.015</f>
        <v>149.7493732515151</v>
      </c>
      <c r="BM23" s="1458">
        <f>+BH23*1.015</f>
        <v>87.569124999999985</v>
      </c>
      <c r="BN23" s="2871">
        <f>+BI23*1.015</f>
        <v>105.08294999999998</v>
      </c>
      <c r="BO23" s="2835">
        <f t="shared" si="15"/>
        <v>0</v>
      </c>
      <c r="BP23" s="2871">
        <f>+BK23*1.02</f>
        <v>157.62442499999997</v>
      </c>
      <c r="BQ23" s="2871">
        <f t="shared" ref="BQ23:BR23" si="27">+BL23*1.02</f>
        <v>152.7443607165454</v>
      </c>
      <c r="BR23" s="2871">
        <f t="shared" si="27"/>
        <v>89.320507499999991</v>
      </c>
      <c r="BS23" s="2883">
        <f>(1+Scenarios!BZ39)*BN23</f>
        <v>107.18460899999998</v>
      </c>
      <c r="BT23" s="3024">
        <f t="shared" si="12"/>
        <v>0</v>
      </c>
      <c r="BU23" s="2883">
        <f>(1+Scenarios!CB39)*BP23</f>
        <v>165.50564624999998</v>
      </c>
      <c r="BV23" s="2883">
        <f>(1+Scenarios!CC39)*BQ23</f>
        <v>160.38157875237269</v>
      </c>
      <c r="BW23" s="2883">
        <f>(1+Scenarios!CD39)*BR23</f>
        <v>93.786532874999992</v>
      </c>
      <c r="BX23" s="2883">
        <f>(1+Scenarios!CE39)*BS23</f>
        <v>112.54383944999998</v>
      </c>
      <c r="BY23" s="1741">
        <f t="shared" si="24"/>
        <v>0</v>
      </c>
      <c r="BZ23" s="2835"/>
      <c r="CA23" s="2897">
        <v>1.4999999999999999E-2</v>
      </c>
      <c r="CB23" s="2897">
        <v>0.85</v>
      </c>
      <c r="CC23" s="2897">
        <f>1-CB23</f>
        <v>0.15000000000000002</v>
      </c>
      <c r="CD23" s="2807"/>
      <c r="CE23" s="3266"/>
      <c r="CF23" s="2807"/>
      <c r="CG23" s="2807"/>
      <c r="CH23" s="1577"/>
      <c r="CJ23" s="1577"/>
      <c r="CK23" s="1577"/>
      <c r="CL23" s="1577"/>
      <c r="CM23" s="1577"/>
      <c r="CN23" s="1577"/>
    </row>
    <row r="24" spans="1:92">
      <c r="A24" s="504" t="s">
        <v>732</v>
      </c>
      <c r="B24" s="10">
        <f>SUM(B20:B23)</f>
        <v>2396.4225000000001</v>
      </c>
      <c r="C24" s="10">
        <f>SUM(C20:C23)</f>
        <v>2190</v>
      </c>
      <c r="D24" s="10">
        <f>SUM(D20:D23)</f>
        <v>2240.8160269627278</v>
      </c>
      <c r="E24" s="10">
        <f>SUM(E20:E23)</f>
        <v>2614.7673</v>
      </c>
      <c r="F24" s="10">
        <f>SUM(F20:F23)</f>
        <v>3045.497506096774</v>
      </c>
      <c r="G24" s="503">
        <f>+G14-G33</f>
        <v>2795.7725925700001</v>
      </c>
      <c r="H24" s="503">
        <f>+H14-H33</f>
        <v>2925.9133184957</v>
      </c>
      <c r="I24" s="503">
        <f>+I14-I33</f>
        <v>2931.029851235528</v>
      </c>
      <c r="J24" s="10">
        <f t="shared" ref="J24:AF24" si="28">SUM(J20:J23)</f>
        <v>2958.8699719319634</v>
      </c>
      <c r="K24" s="10">
        <f t="shared" si="28"/>
        <v>2989.6000165281253</v>
      </c>
      <c r="L24" s="10">
        <f t="shared" si="28"/>
        <v>3548.5103331965665</v>
      </c>
      <c r="M24" s="10">
        <f t="shared" si="28"/>
        <v>3692.6939346895197</v>
      </c>
      <c r="N24" s="10">
        <f t="shared" si="28"/>
        <v>3621.2547432755014</v>
      </c>
      <c r="O24" s="10">
        <f t="shared" si="28"/>
        <v>3680.929679646074</v>
      </c>
      <c r="P24" s="10">
        <f t="shared" si="28"/>
        <v>3454.6539528765579</v>
      </c>
      <c r="Q24" s="10">
        <f t="shared" si="28"/>
        <v>3562.7454579492996</v>
      </c>
      <c r="R24" s="10">
        <f t="shared" si="28"/>
        <v>3857.8269784851486</v>
      </c>
      <c r="S24" s="10">
        <f t="shared" si="28"/>
        <v>3494.7168385458699</v>
      </c>
      <c r="T24" s="10">
        <f t="shared" si="28"/>
        <v>3507.7770473830242</v>
      </c>
      <c r="U24" s="10">
        <f t="shared" si="28"/>
        <v>3806.5272559928203</v>
      </c>
      <c r="V24" s="10">
        <f t="shared" si="28"/>
        <v>3735.8635930217215</v>
      </c>
      <c r="W24" s="1626">
        <f>SUM(W20:W23)</f>
        <v>3889.6326358465217</v>
      </c>
      <c r="X24" s="1626">
        <f t="shared" si="28"/>
        <v>4203.965329054854</v>
      </c>
      <c r="Y24" s="1626">
        <f t="shared" si="28"/>
        <v>4025.9216666785287</v>
      </c>
      <c r="Z24" s="1626">
        <f t="shared" si="28"/>
        <v>4183.4677500124553</v>
      </c>
      <c r="AA24" s="1626">
        <f t="shared" si="28"/>
        <v>4764.7207860043736</v>
      </c>
      <c r="AB24" s="1626">
        <f t="shared" si="28"/>
        <v>4523.8033145517093</v>
      </c>
      <c r="AC24" s="1626">
        <f t="shared" si="28"/>
        <v>4721.4805700838169</v>
      </c>
      <c r="AD24" s="1626">
        <f t="shared" si="28"/>
        <v>5289.2964686298164</v>
      </c>
      <c r="AE24" s="1626">
        <f t="shared" si="28"/>
        <v>5111.3269010544846</v>
      </c>
      <c r="AF24" s="1626">
        <f t="shared" si="28"/>
        <v>5287.6081983506419</v>
      </c>
      <c r="AG24" s="1626">
        <f>SUM(AG20:AG23)</f>
        <v>6013.6953256880452</v>
      </c>
      <c r="AH24" s="1626">
        <f>SUM(AH20:AH23)</f>
        <v>5662.7148810554672</v>
      </c>
      <c r="AI24" s="1626">
        <f>SUM(AI20:AI23)</f>
        <v>5866.0099671294774</v>
      </c>
      <c r="AJ24" s="1626">
        <f>SUM(AJ20:AJ23)</f>
        <v>6688.8391657902184</v>
      </c>
      <c r="AK24" s="314"/>
      <c r="AL24" s="314"/>
      <c r="AM24" s="10"/>
      <c r="AN24" s="10"/>
      <c r="AO24" s="10"/>
      <c r="AP24" s="10"/>
      <c r="AQ24" s="37">
        <f>SUM(AQ20:AQ23)</f>
        <v>1120.7066013146077</v>
      </c>
      <c r="AR24" s="37">
        <f>SUM(AR20:AR23)</f>
        <v>715.2436081609701</v>
      </c>
      <c r="AS24" s="37">
        <f>SUM(AS20:AS23)</f>
        <v>542.17374441935306</v>
      </c>
      <c r="AT24" s="37">
        <f>SUM(AT20:AT23)</f>
        <v>1129.6530934880934</v>
      </c>
      <c r="AU24" s="1120">
        <f>T24-SUM(AQ24:AT24)</f>
        <v>0</v>
      </c>
      <c r="AV24" s="37">
        <f>SUM(AV20:AV23)</f>
        <v>1281.0834086343427</v>
      </c>
      <c r="AW24" s="37">
        <f>SUM(AW20:AW23)</f>
        <v>829.01554463094635</v>
      </c>
      <c r="AX24" s="37">
        <f>SUM(AX20:AX23)</f>
        <v>602.61400870229045</v>
      </c>
      <c r="AY24" s="37">
        <f>SUM(AY20:AY23)</f>
        <v>1093.8142940252405</v>
      </c>
      <c r="AZ24" s="1120">
        <f>U24-SUM(AV24:AY24)</f>
        <v>0</v>
      </c>
      <c r="BA24" s="1438">
        <f>SUM(BA20:BA23)</f>
        <v>988.81805479560853</v>
      </c>
      <c r="BB24" s="1438">
        <f>SUM(BB20:BB23)</f>
        <v>793.16179078847426</v>
      </c>
      <c r="BC24" s="1438">
        <f>SUM(BC20:BC23)</f>
        <v>688.2834023483083</v>
      </c>
      <c r="BD24" s="1626">
        <f>SUM(BD20:BD23)</f>
        <v>1265.6003450893304</v>
      </c>
      <c r="BE24" s="1741">
        <f>$V24-SUM(BA24:BD24)</f>
        <v>0</v>
      </c>
      <c r="BF24" s="1438">
        <f>SUM(BF20:BF23)</f>
        <v>1007.0677960881515</v>
      </c>
      <c r="BG24" s="1438">
        <f>SUM(BG20:BG23)</f>
        <v>865.97533801789837</v>
      </c>
      <c r="BH24" s="1438">
        <f>SUM(BH20:BH23)</f>
        <v>702.63420622451736</v>
      </c>
      <c r="BI24" s="1626">
        <f>SUM(BI20:BI23)</f>
        <v>1313.955295515954</v>
      </c>
      <c r="BJ24" s="1741">
        <f>$W24-SUM(BF24:BI24)</f>
        <v>0</v>
      </c>
      <c r="BK24" s="1438">
        <f>SUM(BK20:BK23)</f>
        <v>1386.319796114554</v>
      </c>
      <c r="BL24" s="1438">
        <f>SUM(BL20:BL23)</f>
        <v>842.70294736354401</v>
      </c>
      <c r="BM24" s="1438">
        <f>SUM(BM20:BM23)</f>
        <v>731.3547679453327</v>
      </c>
      <c r="BN24" s="1626">
        <f>SUM(BN20:BN23)</f>
        <v>1243.5878176314236</v>
      </c>
      <c r="BO24" s="1741">
        <f>X24-SUM(BK24:BN24)</f>
        <v>0</v>
      </c>
      <c r="BP24" s="1438">
        <f>SUM(BP20:BP23)</f>
        <v>1044.3693810897785</v>
      </c>
      <c r="BQ24" s="1438">
        <f>SUM(BQ20:BQ23)</f>
        <v>943.80305779891034</v>
      </c>
      <c r="BR24" s="1438">
        <f>SUM(BR20:BR23)</f>
        <v>708.40460512947379</v>
      </c>
      <c r="BS24" s="1626">
        <f>SUM(BS20:BS23)</f>
        <v>1329.3446226603662</v>
      </c>
      <c r="BT24" s="2492">
        <f t="shared" si="12"/>
        <v>0</v>
      </c>
      <c r="BU24" s="1438">
        <f t="shared" ref="BU24:BX24" si="29">SUM(BU20:BU23)</f>
        <v>1131.5878501442673</v>
      </c>
      <c r="BV24" s="1438">
        <f t="shared" si="29"/>
        <v>912.24321068885592</v>
      </c>
      <c r="BW24" s="1438">
        <f t="shared" si="29"/>
        <v>743.82483538594761</v>
      </c>
      <c r="BX24" s="1438">
        <f t="shared" si="29"/>
        <v>1395.8118537933844</v>
      </c>
      <c r="BY24" s="1741">
        <f t="shared" si="24"/>
        <v>0</v>
      </c>
      <c r="BZ24" s="1741"/>
      <c r="CA24" s="1628"/>
      <c r="CB24" s="1628"/>
      <c r="CC24" s="1628"/>
      <c r="CD24" s="1577"/>
      <c r="CE24" s="3266"/>
      <c r="CF24" s="1577"/>
      <c r="CG24" s="1577"/>
      <c r="CH24" s="1577"/>
      <c r="CJ24" s="1577"/>
      <c r="CK24" s="1577"/>
      <c r="CL24" s="1577"/>
      <c r="CM24" s="1577"/>
      <c r="CN24" s="1577"/>
    </row>
    <row r="25" spans="1:92">
      <c r="A25" s="482" t="s">
        <v>676</v>
      </c>
      <c r="B25" s="501"/>
      <c r="C25" s="38">
        <f t="shared" ref="C25:AB25" si="30">+C24/B24-1</f>
        <v>-8.6137774119547039E-2</v>
      </c>
      <c r="D25" s="38">
        <f t="shared" si="30"/>
        <v>2.3203665279784458E-2</v>
      </c>
      <c r="E25" s="38">
        <f t="shared" si="30"/>
        <v>0.16688173796406547</v>
      </c>
      <c r="F25" s="38">
        <f t="shared" si="30"/>
        <v>0.1647298427270274</v>
      </c>
      <c r="G25" s="38">
        <f t="shared" si="30"/>
        <v>-8.1998068633072352E-2</v>
      </c>
      <c r="H25" s="38">
        <f t="shared" si="30"/>
        <v>4.6549109992550797E-2</v>
      </c>
      <c r="I25" s="38">
        <f t="shared" si="30"/>
        <v>1.7486959396522117E-3</v>
      </c>
      <c r="J25" s="38">
        <f t="shared" si="30"/>
        <v>9.4984091290302164E-3</v>
      </c>
      <c r="K25" s="38">
        <f t="shared" si="30"/>
        <v>1.0385736746686858E-2</v>
      </c>
      <c r="L25" s="38">
        <f t="shared" si="30"/>
        <v>0.18695153651942831</v>
      </c>
      <c r="M25" s="38">
        <f t="shared" si="30"/>
        <v>4.0632149255451111E-2</v>
      </c>
      <c r="N25" s="38">
        <f t="shared" si="30"/>
        <v>-1.9346090598766352E-2</v>
      </c>
      <c r="O25" s="38">
        <f t="shared" si="30"/>
        <v>1.6479077171078993E-2</v>
      </c>
      <c r="P25" s="38">
        <f t="shared" si="30"/>
        <v>-6.147243942765912E-2</v>
      </c>
      <c r="Q25" s="38">
        <f t="shared" si="30"/>
        <v>3.1288663509333015E-2</v>
      </c>
      <c r="R25" s="38">
        <f t="shared" si="30"/>
        <v>8.2824193874826202E-2</v>
      </c>
      <c r="S25" s="38">
        <f t="shared" si="30"/>
        <v>-9.4122971808824119E-2</v>
      </c>
      <c r="T25" s="38">
        <f t="shared" si="30"/>
        <v>3.7371293413828166E-3</v>
      </c>
      <c r="U25" s="38">
        <f t="shared" si="30"/>
        <v>8.5167958104030106E-2</v>
      </c>
      <c r="V25" s="38">
        <f t="shared" si="30"/>
        <v>-1.8563813738585289E-2</v>
      </c>
      <c r="W25" s="1110">
        <f t="shared" si="30"/>
        <v>4.1160240195072362E-2</v>
      </c>
      <c r="X25" s="1110">
        <f t="shared" si="30"/>
        <v>8.08129514112641E-2</v>
      </c>
      <c r="Y25" s="1110">
        <f t="shared" si="30"/>
        <v>-4.2351363163205091E-2</v>
      </c>
      <c r="Z25" s="1110">
        <f t="shared" si="30"/>
        <v>3.9132923185737356E-2</v>
      </c>
      <c r="AA25" s="1110">
        <f t="shared" si="30"/>
        <v>0.13894048447969687</v>
      </c>
      <c r="AB25" s="1110">
        <f t="shared" si="30"/>
        <v>-5.056276795071013E-2</v>
      </c>
      <c r="AC25" s="1110">
        <f t="shared" ref="AC25:AJ25" si="31">+AC24/AB24-1</f>
        <v>4.3697137516177875E-2</v>
      </c>
      <c r="AD25" s="1110">
        <f t="shared" si="31"/>
        <v>0.12026225462914897</v>
      </c>
      <c r="AE25" s="1110">
        <f t="shared" si="31"/>
        <v>-3.3647115194023969E-2</v>
      </c>
      <c r="AF25" s="1110">
        <f t="shared" si="31"/>
        <v>3.4488362945400697E-2</v>
      </c>
      <c r="AG25" s="1110">
        <f t="shared" si="31"/>
        <v>0.13731863256507748</v>
      </c>
      <c r="AH25" s="1110">
        <f t="shared" si="31"/>
        <v>-5.8363522863110973E-2</v>
      </c>
      <c r="AI25" s="1110">
        <f t="shared" si="31"/>
        <v>3.5900639594999006E-2</v>
      </c>
      <c r="AJ25" s="1110">
        <f t="shared" si="31"/>
        <v>0.14027067858246256</v>
      </c>
      <c r="AK25" s="1777"/>
      <c r="AL25" s="1777"/>
      <c r="AM25" s="38"/>
      <c r="AN25" s="38"/>
      <c r="AO25" s="38"/>
      <c r="AP25" s="38"/>
      <c r="AQ25" s="38"/>
      <c r="AR25" s="38"/>
      <c r="AS25" s="38"/>
      <c r="AT25" s="38"/>
      <c r="AU25" s="38"/>
      <c r="AV25" s="38"/>
      <c r="AW25" s="38"/>
      <c r="AX25" s="38"/>
      <c r="AY25" s="38"/>
      <c r="AZ25" s="314"/>
      <c r="BA25" s="1737">
        <f>BA24/AV24-1</f>
        <v>-0.22813920769631557</v>
      </c>
      <c r="BB25" s="1737">
        <f>BB24/AW24-1</f>
        <v>-4.3248590541728804E-2</v>
      </c>
      <c r="BC25" s="1737">
        <f>BC24/AX24-1</f>
        <v>0.14216296403481232</v>
      </c>
      <c r="BD25" s="1737">
        <f>BD24/AY24-1</f>
        <v>0.15705230037899454</v>
      </c>
      <c r="BE25" s="1628"/>
      <c r="BF25" s="1737">
        <f>BF24/BA24-1</f>
        <v>1.8456116576790471E-2</v>
      </c>
      <c r="BG25" s="1737">
        <f>BG24/BB24-1</f>
        <v>9.1801632498006436E-2</v>
      </c>
      <c r="BH25" s="1737">
        <f>BH24/BC24-1</f>
        <v>2.0850137933366542E-2</v>
      </c>
      <c r="BI25" s="1737">
        <f>BI24/BD24-1</f>
        <v>3.8207124874962473E-2</v>
      </c>
      <c r="BJ25" s="1628"/>
      <c r="BK25" s="1737">
        <f>BK24/BF24-1</f>
        <v>0.37659033632052075</v>
      </c>
      <c r="BL25" s="1737">
        <f>BL24/BG24-1</f>
        <v>-2.6874195641208187E-2</v>
      </c>
      <c r="BM25" s="1737">
        <f>BM24/BH24-1</f>
        <v>4.0875552978185237E-2</v>
      </c>
      <c r="BN25" s="1737">
        <f>BN24/BI24-1</f>
        <v>-5.3553936062108676E-2</v>
      </c>
      <c r="BO25" s="1741"/>
      <c r="BP25" s="1737">
        <f>BP24/BK24-1</f>
        <v>-0.24666055839580581</v>
      </c>
      <c r="BQ25" s="1737">
        <f>BQ24/BL24-1</f>
        <v>0.11997123156109191</v>
      </c>
      <c r="BR25" s="1737">
        <f>BR24/BM24-1</f>
        <v>-3.1380342101734127E-2</v>
      </c>
      <c r="BS25" s="1737">
        <f>BS24/BN24-1</f>
        <v>6.8959187130248401E-2</v>
      </c>
      <c r="BT25" s="2492"/>
      <c r="BU25" s="1737">
        <f t="shared" ref="BU25:BX25" si="32">BU24/BP24-1</f>
        <v>8.3513046852712325E-2</v>
      </c>
      <c r="BV25" s="1737">
        <f t="shared" si="32"/>
        <v>-3.3439017652323266E-2</v>
      </c>
      <c r="BW25" s="1737">
        <f t="shared" si="32"/>
        <v>5.0000000000000266E-2</v>
      </c>
      <c r="BX25" s="1737">
        <f t="shared" si="32"/>
        <v>5.0000000000000044E-2</v>
      </c>
      <c r="BY25" s="1741"/>
      <c r="BZ25" s="1741"/>
      <c r="CA25" s="1577"/>
      <c r="CB25" s="1628"/>
      <c r="CC25" s="1628"/>
      <c r="CD25" s="1577"/>
      <c r="CE25" s="3266"/>
      <c r="CF25" s="1577"/>
      <c r="CG25" s="1577"/>
      <c r="CH25" s="1577"/>
      <c r="CJ25" s="1577"/>
      <c r="CK25" s="1577"/>
      <c r="CL25" s="1577"/>
      <c r="CM25" s="1577"/>
      <c r="CN25" s="1577"/>
    </row>
    <row r="26" spans="1:92">
      <c r="A26" s="483"/>
      <c r="B26" s="38"/>
      <c r="C26" s="38"/>
      <c r="D26" s="38"/>
      <c r="E26" s="38"/>
      <c r="F26" s="38"/>
      <c r="G26" s="38"/>
      <c r="H26" s="38"/>
      <c r="I26" s="314"/>
      <c r="J26" s="314"/>
      <c r="K26" s="314"/>
      <c r="L26" s="1110"/>
      <c r="M26" s="1110"/>
      <c r="N26" s="1110"/>
      <c r="O26" s="1110"/>
      <c r="P26" s="1110"/>
      <c r="Q26" s="1110"/>
      <c r="R26" s="1110"/>
      <c r="S26" s="1110"/>
      <c r="T26" s="1110"/>
      <c r="U26" s="1110"/>
      <c r="V26" s="1110"/>
      <c r="W26" s="1110"/>
      <c r="X26" s="1110"/>
      <c r="Y26" s="1110"/>
      <c r="Z26" s="1110"/>
      <c r="AA26" s="1110"/>
      <c r="AB26" s="1110"/>
      <c r="AC26" s="1110"/>
      <c r="AD26" s="1110"/>
      <c r="AE26" s="1110"/>
      <c r="AF26" s="1110"/>
      <c r="AG26" s="1110"/>
      <c r="AH26" s="1110"/>
      <c r="AI26" s="1777"/>
      <c r="AJ26" s="314"/>
      <c r="AK26" s="1777"/>
      <c r="AL26" s="1777"/>
      <c r="AM26" s="314"/>
      <c r="AN26" s="314"/>
      <c r="AO26" s="314"/>
      <c r="AP26" s="314"/>
      <c r="AQ26" s="314"/>
      <c r="AR26" s="314"/>
      <c r="AS26" s="314"/>
      <c r="AT26" s="314"/>
      <c r="AU26" s="314"/>
      <c r="AV26" s="314"/>
      <c r="AW26" s="314"/>
      <c r="AX26" s="314"/>
      <c r="AY26" s="314"/>
      <c r="AZ26" s="314"/>
      <c r="BA26" s="314"/>
      <c r="BB26" s="314"/>
      <c r="BC26" s="314"/>
      <c r="BD26" s="314"/>
      <c r="BE26" s="314"/>
      <c r="BF26" s="314"/>
      <c r="BG26" s="314"/>
      <c r="BH26" s="314"/>
      <c r="BI26" s="314"/>
      <c r="BJ26" s="1628"/>
      <c r="BK26" s="1628"/>
      <c r="BL26" s="1628"/>
      <c r="BM26" s="1628"/>
      <c r="BN26" s="1628"/>
      <c r="BO26" s="1741"/>
      <c r="BP26" s="1741"/>
      <c r="BQ26" s="1741"/>
      <c r="BR26" s="1741"/>
      <c r="BS26" s="1741"/>
      <c r="BT26" s="2492"/>
      <c r="BU26" s="1741"/>
      <c r="BV26" s="1741"/>
      <c r="BW26" s="1741"/>
      <c r="BX26" s="1741"/>
      <c r="BY26" s="1741"/>
      <c r="BZ26" s="1741"/>
      <c r="CA26" s="1577"/>
      <c r="CB26" s="1628"/>
      <c r="CC26" s="1628"/>
      <c r="CD26" s="1577"/>
      <c r="CE26" s="3266"/>
      <c r="CF26" s="1577"/>
      <c r="CG26" s="1577"/>
      <c r="CH26" s="1577"/>
      <c r="CJ26" s="1577"/>
      <c r="CK26" s="1577"/>
      <c r="CL26" s="1577"/>
      <c r="CM26" s="1577"/>
      <c r="CN26" s="1577"/>
    </row>
    <row r="27" spans="1:92">
      <c r="A27" s="498" t="s">
        <v>1094</v>
      </c>
      <c r="B27" s="498"/>
      <c r="C27" s="498"/>
      <c r="D27" s="498"/>
      <c r="E27" s="498"/>
      <c r="F27" s="498"/>
      <c r="G27" s="498"/>
      <c r="H27" s="505"/>
      <c r="I27" s="314"/>
      <c r="J27" s="314"/>
      <c r="K27" s="314"/>
      <c r="L27" s="314"/>
      <c r="M27" s="314"/>
      <c r="N27" s="314"/>
      <c r="O27" s="314"/>
      <c r="P27" s="314"/>
      <c r="Q27" s="314"/>
      <c r="R27" s="314"/>
      <c r="S27" s="314"/>
      <c r="T27" s="38"/>
      <c r="U27" s="38"/>
      <c r="V27" s="38"/>
      <c r="W27" s="38"/>
      <c r="X27" s="38"/>
      <c r="Y27" s="1110"/>
      <c r="Z27" s="1110"/>
      <c r="AA27" s="1110"/>
      <c r="AB27" s="1110"/>
      <c r="AC27" s="1110"/>
      <c r="AD27" s="1110"/>
      <c r="AE27" s="1110"/>
      <c r="AF27" s="1110"/>
      <c r="AG27" s="1110"/>
      <c r="AH27" s="1110"/>
      <c r="AI27" s="1777"/>
      <c r="AJ27" s="314"/>
      <c r="AK27" s="1628"/>
      <c r="AL27" s="1628"/>
      <c r="AM27" s="314"/>
      <c r="AN27" s="314"/>
      <c r="AO27" s="314"/>
      <c r="AP27" s="314"/>
      <c r="AQ27" s="314"/>
      <c r="AR27" s="314"/>
      <c r="AS27" s="314"/>
      <c r="AT27" s="314"/>
      <c r="AU27" s="314"/>
      <c r="AV27" s="314"/>
      <c r="AW27" s="314"/>
      <c r="AX27" s="314"/>
      <c r="AY27" s="314"/>
      <c r="AZ27" s="314"/>
      <c r="BA27" s="314"/>
      <c r="BB27" s="314"/>
      <c r="BC27" s="314"/>
      <c r="BD27" s="314"/>
      <c r="BE27" s="314"/>
      <c r="BF27" s="1627"/>
      <c r="BG27" s="1627"/>
      <c r="BH27" s="1627"/>
      <c r="BI27" s="1628"/>
      <c r="BJ27" s="1628"/>
      <c r="BK27" s="1628"/>
      <c r="BL27" s="1628"/>
      <c r="BM27" s="1628"/>
      <c r="BN27" s="1628"/>
      <c r="BO27" s="1741"/>
      <c r="BP27" s="1741"/>
      <c r="BQ27" s="1741"/>
      <c r="BR27" s="1741"/>
      <c r="BS27" s="1741"/>
      <c r="BT27" s="2492"/>
      <c r="BU27" s="1741"/>
      <c r="BV27" s="1741"/>
      <c r="BW27" s="1741"/>
      <c r="BX27" s="1741"/>
      <c r="BY27" s="1741"/>
      <c r="BZ27" s="1741"/>
      <c r="CA27" s="1577"/>
      <c r="CB27" s="1628"/>
      <c r="CC27" s="1628"/>
      <c r="CD27" s="1577"/>
      <c r="CE27" s="3266"/>
      <c r="CF27" s="1577"/>
      <c r="CG27" s="1577"/>
      <c r="CH27" s="1577"/>
      <c r="CJ27" s="1577"/>
      <c r="CK27" s="1577"/>
      <c r="CL27" s="1577"/>
      <c r="CM27" s="1577"/>
      <c r="CN27" s="1577"/>
    </row>
    <row r="28" spans="1:92">
      <c r="A28" s="314" t="s">
        <v>1091</v>
      </c>
      <c r="B28" s="10">
        <f>+B8-B20</f>
        <v>266.75</v>
      </c>
      <c r="C28" s="503">
        <f>+C33-C31-C29</f>
        <v>-0.4555000000000291</v>
      </c>
      <c r="D28" s="503">
        <f>+D33-D31-D29</f>
        <v>-30.064126962727869</v>
      </c>
      <c r="E28" s="503">
        <f>+E33-E31-E29</f>
        <v>-47.092299999999966</v>
      </c>
      <c r="F28" s="503">
        <f>+F33-F31-F29</f>
        <v>-66.852361286541111</v>
      </c>
      <c r="G28" s="13">
        <f t="shared" ref="G28:T28" si="33">+G8-G20</f>
        <v>-49.817379444801418</v>
      </c>
      <c r="H28" s="13">
        <f t="shared" si="33"/>
        <v>103.93439748273204</v>
      </c>
      <c r="I28" s="13">
        <f t="shared" si="33"/>
        <v>144.36503992168264</v>
      </c>
      <c r="J28" s="13">
        <f t="shared" si="33"/>
        <v>271.45292054602191</v>
      </c>
      <c r="K28" s="13">
        <f t="shared" si="33"/>
        <v>405.59518085548189</v>
      </c>
      <c r="L28" s="13">
        <f t="shared" si="33"/>
        <v>498.21826438791595</v>
      </c>
      <c r="M28" s="13">
        <f t="shared" si="33"/>
        <v>482.87269920676977</v>
      </c>
      <c r="N28" s="10">
        <f t="shared" si="33"/>
        <v>460.75049007467646</v>
      </c>
      <c r="O28" s="10">
        <f t="shared" si="33"/>
        <v>493.8983498020516</v>
      </c>
      <c r="P28" s="10">
        <f t="shared" si="33"/>
        <v>185.76271430976954</v>
      </c>
      <c r="Q28" s="10">
        <f t="shared" si="33"/>
        <v>139.51071285640933</v>
      </c>
      <c r="R28" s="10">
        <f t="shared" si="33"/>
        <v>199.57994369516496</v>
      </c>
      <c r="S28" s="10">
        <f t="shared" si="33"/>
        <v>344.69710190542651</v>
      </c>
      <c r="T28" s="10">
        <f t="shared" si="33"/>
        <v>332.71118429044418</v>
      </c>
      <c r="U28" s="1028">
        <f>SUM(AV28:AY28)</f>
        <v>312.3014618945046</v>
      </c>
      <c r="V28" s="1027">
        <f>SUM(BA28:BD28)</f>
        <v>215.51550718797546</v>
      </c>
      <c r="W28" s="1478">
        <f>SUM(BF28:BI28)</f>
        <v>170.97090016703328</v>
      </c>
      <c r="X28" s="1478">
        <f>SUM(BK28:BN28)</f>
        <v>143.01885380730616</v>
      </c>
      <c r="Y28" s="1478">
        <f>SUM(BP28:BS28)</f>
        <v>63.147053328024981</v>
      </c>
      <c r="Z28" s="1478">
        <f>SUM(BU28:BX28)</f>
        <v>-58.006679826812558</v>
      </c>
      <c r="AA28" s="1626">
        <f t="shared" ref="AA28:AF28" si="34">+AA8-AA20</f>
        <v>-150.20962436094646</v>
      </c>
      <c r="AB28" s="1626">
        <f t="shared" si="34"/>
        <v>-232.28880220519932</v>
      </c>
      <c r="AC28" s="1626">
        <f t="shared" si="34"/>
        <v>-304.37689006952291</v>
      </c>
      <c r="AD28" s="1626">
        <f t="shared" si="34"/>
        <v>-374.30850969115158</v>
      </c>
      <c r="AE28" s="1626">
        <f t="shared" si="34"/>
        <v>-441.8062442663022</v>
      </c>
      <c r="AF28" s="1626">
        <f t="shared" si="34"/>
        <v>-506.59767542126815</v>
      </c>
      <c r="AG28" s="1626">
        <f t="shared" ref="AG28:AH31" si="35">+AG8-AG20</f>
        <v>-568.41773069390683</v>
      </c>
      <c r="AH28" s="1626">
        <f t="shared" si="35"/>
        <v>-627.01103016477214</v>
      </c>
      <c r="AI28" s="1626">
        <f t="shared" ref="AI28:AJ31" si="36">+AI8-AI20</f>
        <v>-684.25121385358102</v>
      </c>
      <c r="AJ28" s="1626">
        <f t="shared" si="36"/>
        <v>-742.18920158531114</v>
      </c>
      <c r="AK28" s="1626"/>
      <c r="AL28" s="1626"/>
      <c r="AM28" s="10"/>
      <c r="AN28" s="10"/>
      <c r="AO28" s="10"/>
      <c r="AP28" s="10"/>
      <c r="AQ28" s="37">
        <f t="shared" ref="AQ28:AT29" si="37">+AQ8-AQ20</f>
        <v>88.817860059931661</v>
      </c>
      <c r="AR28" s="37">
        <f t="shared" si="37"/>
        <v>97.443476593229093</v>
      </c>
      <c r="AS28" s="37">
        <f t="shared" si="37"/>
        <v>73.082607444921848</v>
      </c>
      <c r="AT28" s="37">
        <f t="shared" si="37"/>
        <v>73.367240192361692</v>
      </c>
      <c r="AU28" s="1120">
        <f t="shared" ref="AU28:AU33" si="38">T28-SUM(AQ28:AT28)</f>
        <v>0</v>
      </c>
      <c r="AV28" s="37">
        <f t="shared" ref="AV28:AY31" si="39">+AV8-AV20</f>
        <v>97.324617219129266</v>
      </c>
      <c r="AW28" s="37">
        <f t="shared" si="39"/>
        <v>74.434467047632268</v>
      </c>
      <c r="AX28" s="37">
        <f t="shared" si="39"/>
        <v>46.650213011271774</v>
      </c>
      <c r="AY28" s="37">
        <f t="shared" si="39"/>
        <v>93.892164616471291</v>
      </c>
      <c r="AZ28" s="1120">
        <f t="shared" ref="AZ28:AZ33" si="40">U28-SUM(AV28:AY28)</f>
        <v>0</v>
      </c>
      <c r="BA28" s="869">
        <f t="shared" ref="BA28:BD31" si="41">+BA8-BA20</f>
        <v>35.277327341198713</v>
      </c>
      <c r="BB28" s="869">
        <f t="shared" si="41"/>
        <v>43.96857275585046</v>
      </c>
      <c r="BC28" s="869">
        <f t="shared" si="41"/>
        <v>-9.3987928321415666</v>
      </c>
      <c r="BD28" s="37">
        <f t="shared" si="41"/>
        <v>145.66839992306785</v>
      </c>
      <c r="BE28" s="1120">
        <f t="shared" ref="BE28:BE33" si="42">$V28-SUM(BA28:BD28)</f>
        <v>0</v>
      </c>
      <c r="BF28" s="1438">
        <f t="shared" ref="BF28:BI31" si="43">+BF8-BF20</f>
        <v>28.959960024718498</v>
      </c>
      <c r="BG28" s="1438">
        <f t="shared" si="43"/>
        <v>-20.44051722841931</v>
      </c>
      <c r="BH28" s="1438">
        <f t="shared" si="43"/>
        <v>-17.843658555210311</v>
      </c>
      <c r="BI28" s="1626">
        <f t="shared" si="43"/>
        <v>180.2951159259444</v>
      </c>
      <c r="BJ28" s="1741">
        <f t="shared" ref="BJ28:BJ33" si="44">$W28-SUM(BF28:BI28)</f>
        <v>0</v>
      </c>
      <c r="BK28" s="1438">
        <f t="shared" ref="BK28:BN31" si="45">+BK8-BK20</f>
        <v>46.939910137274467</v>
      </c>
      <c r="BL28" s="1438">
        <f t="shared" si="45"/>
        <v>-18.688283936528762</v>
      </c>
      <c r="BM28" s="1438">
        <f t="shared" si="45"/>
        <v>-39.936060146382459</v>
      </c>
      <c r="BN28" s="1626">
        <f t="shared" si="45"/>
        <v>154.70328775294291</v>
      </c>
      <c r="BO28" s="1741">
        <f t="shared" si="15"/>
        <v>0</v>
      </c>
      <c r="BP28" s="1438">
        <f t="shared" ref="BP28:BS31" si="46">+BP8-BP20</f>
        <v>24.772555739623215</v>
      </c>
      <c r="BQ28" s="1438">
        <f t="shared" si="46"/>
        <v>-43.521258036016832</v>
      </c>
      <c r="BR28" s="1438">
        <f t="shared" si="46"/>
        <v>-49.883857993294271</v>
      </c>
      <c r="BS28" s="1626">
        <f t="shared" si="46"/>
        <v>131.77961361771287</v>
      </c>
      <c r="BT28" s="2492">
        <f t="shared" ref="BT28:BT33" si="47">Y28-SUM(BP28:BS28)</f>
        <v>0</v>
      </c>
      <c r="BU28" s="1438">
        <f t="shared" ref="BU28:BV28" si="48">+BU8-BU20</f>
        <v>-14.145455885325816</v>
      </c>
      <c r="BV28" s="1438">
        <f t="shared" si="48"/>
        <v>-77.926585471057649</v>
      </c>
      <c r="BW28" s="1438">
        <f t="shared" ref="BW28:BX28" si="49">+BW8-BW20</f>
        <v>-70.097855652598469</v>
      </c>
      <c r="BX28" s="1626">
        <f t="shared" si="49"/>
        <v>104.16321718216938</v>
      </c>
      <c r="BY28" s="1741">
        <f t="shared" ref="BY28:BY33" si="50">Z28-SUM(BU28:BX28)</f>
        <v>0</v>
      </c>
      <c r="BZ28" s="1741"/>
      <c r="CA28" s="1577"/>
      <c r="CB28" s="1628"/>
      <c r="CC28" s="1628"/>
      <c r="CD28" s="1577"/>
      <c r="CE28" s="3266"/>
      <c r="CF28" s="1577"/>
      <c r="CG28" s="1577"/>
      <c r="CH28" s="1577"/>
      <c r="CJ28" s="1577"/>
      <c r="CK28" s="1577"/>
      <c r="CL28" s="1577"/>
      <c r="CM28" s="1577"/>
      <c r="CN28" s="1577"/>
    </row>
    <row r="29" spans="1:92">
      <c r="A29" s="314" t="s">
        <v>1092</v>
      </c>
      <c r="B29" s="13">
        <f>+B9-B21</f>
        <v>0</v>
      </c>
      <c r="C29" s="13">
        <f>+C9-C21</f>
        <v>0</v>
      </c>
      <c r="D29" s="13">
        <f>+D9-D21</f>
        <v>0</v>
      </c>
      <c r="E29" s="13">
        <f>+E9-E21</f>
        <v>0</v>
      </c>
      <c r="F29" s="13">
        <f>+F9-F21</f>
        <v>81.005711987961035</v>
      </c>
      <c r="G29" s="13">
        <f t="shared" ref="G29:T29" si="51">+G9-G21</f>
        <v>58.24646798617448</v>
      </c>
      <c r="H29" s="13">
        <f t="shared" si="51"/>
        <v>82.231428583000707</v>
      </c>
      <c r="I29" s="13">
        <f t="shared" si="51"/>
        <v>-1.980672404004622</v>
      </c>
      <c r="J29" s="13">
        <f t="shared" si="51"/>
        <v>28.097348025518272</v>
      </c>
      <c r="K29" s="13">
        <f t="shared" si="51"/>
        <v>-60.261407818580324</v>
      </c>
      <c r="L29" s="13">
        <f t="shared" si="51"/>
        <v>-163.83034079776291</v>
      </c>
      <c r="M29" s="13">
        <f t="shared" si="51"/>
        <v>-149.37632838889317</v>
      </c>
      <c r="N29" s="13">
        <f t="shared" si="51"/>
        <v>-82.142833226104358</v>
      </c>
      <c r="O29" s="13">
        <f t="shared" si="51"/>
        <v>-85.970038002171577</v>
      </c>
      <c r="P29" s="13">
        <f t="shared" si="51"/>
        <v>23.861080286530296</v>
      </c>
      <c r="Q29" s="14">
        <f t="shared" si="51"/>
        <v>-105.45040358469464</v>
      </c>
      <c r="R29" s="13">
        <f t="shared" si="51"/>
        <v>-39.234581441469345</v>
      </c>
      <c r="S29" s="13">
        <f t="shared" si="51"/>
        <v>127.50916059320366</v>
      </c>
      <c r="T29" s="13">
        <f t="shared" si="51"/>
        <v>-90.430000000000064</v>
      </c>
      <c r="U29" s="166">
        <f>SUM(AV29:AY29)</f>
        <v>-21.403689638127844</v>
      </c>
      <c r="V29" s="1027">
        <f>SUM(BA29:BD29)</f>
        <v>-270.45922609685698</v>
      </c>
      <c r="W29" s="1121">
        <f>SUM(BF29:BI29)</f>
        <v>-357.88787084140154</v>
      </c>
      <c r="X29" s="1121">
        <f>SUM(BK29:BN29)</f>
        <v>-298.23578951141104</v>
      </c>
      <c r="Y29" s="1121">
        <f>SUM(BP29:BS29)</f>
        <v>-374.14319730487591</v>
      </c>
      <c r="Z29" s="1121">
        <f>SUM(BU29:BX29)</f>
        <v>-456.87061220075856</v>
      </c>
      <c r="AA29" s="1357">
        <f t="shared" ref="AA29:AF29" si="52">+AA9-AA21</f>
        <v>-528.79847830536505</v>
      </c>
      <c r="AB29" s="1357">
        <f t="shared" si="52"/>
        <v>-629.95896173107303</v>
      </c>
      <c r="AC29" s="1357">
        <f t="shared" si="52"/>
        <v>-703.84906943914621</v>
      </c>
      <c r="AD29" s="1357">
        <f t="shared" si="52"/>
        <v>-792.44224696398237</v>
      </c>
      <c r="AE29" s="1357">
        <f t="shared" si="52"/>
        <v>-938.77670806065521</v>
      </c>
      <c r="AF29" s="1357">
        <f t="shared" si="52"/>
        <v>-1082.2898634716016</v>
      </c>
      <c r="AG29" s="1357">
        <f t="shared" si="35"/>
        <v>-1161.2497324361416</v>
      </c>
      <c r="AH29" s="1357">
        <f t="shared" si="35"/>
        <v>-1320.3304233948045</v>
      </c>
      <c r="AI29" s="1357">
        <f t="shared" si="36"/>
        <v>-1406.1959757302411</v>
      </c>
      <c r="AJ29" s="1357">
        <f t="shared" si="36"/>
        <v>-1582.2065387220202</v>
      </c>
      <c r="AK29" s="1357"/>
      <c r="AL29" s="1357"/>
      <c r="AM29" s="13"/>
      <c r="AN29" s="13"/>
      <c r="AO29" s="13"/>
      <c r="AP29" s="13"/>
      <c r="AQ29" s="14">
        <f t="shared" si="37"/>
        <v>-32.746683504117527</v>
      </c>
      <c r="AR29" s="14">
        <f t="shared" si="37"/>
        <v>-8.7592319936678962</v>
      </c>
      <c r="AS29" s="14">
        <f t="shared" si="37"/>
        <v>-5.1397375108610959</v>
      </c>
      <c r="AT29" s="14">
        <f t="shared" si="37"/>
        <v>-43.784346991353402</v>
      </c>
      <c r="AU29" s="1120">
        <f t="shared" si="38"/>
        <v>-1.4210854715202004E-13</v>
      </c>
      <c r="AV29" s="14">
        <f t="shared" si="39"/>
        <v>-46.283514369337183</v>
      </c>
      <c r="AW29" s="14">
        <f t="shared" si="39"/>
        <v>7.6407987414893341</v>
      </c>
      <c r="AX29" s="14">
        <f t="shared" si="39"/>
        <v>54.619950982876787</v>
      </c>
      <c r="AY29" s="14">
        <f t="shared" si="39"/>
        <v>-37.380924993156782</v>
      </c>
      <c r="AZ29" s="1120">
        <f t="shared" si="40"/>
        <v>0</v>
      </c>
      <c r="BA29" s="1328">
        <f t="shared" si="41"/>
        <v>-28.488659597828473</v>
      </c>
      <c r="BB29" s="1328">
        <f t="shared" si="41"/>
        <v>-4.7149916745249243</v>
      </c>
      <c r="BC29" s="1328">
        <f t="shared" si="41"/>
        <v>-15.398474364123899</v>
      </c>
      <c r="BD29" s="14">
        <f t="shared" si="41"/>
        <v>-221.85710046037968</v>
      </c>
      <c r="BE29" s="1120">
        <f t="shared" si="42"/>
        <v>0</v>
      </c>
      <c r="BF29" s="1465">
        <f t="shared" si="43"/>
        <v>-85.717038354779788</v>
      </c>
      <c r="BG29" s="1465">
        <f t="shared" si="43"/>
        <v>-12.322269581056105</v>
      </c>
      <c r="BH29" s="1465">
        <f t="shared" si="43"/>
        <v>-43.481753543505477</v>
      </c>
      <c r="BI29" s="1357">
        <f t="shared" si="43"/>
        <v>-216.36680936206017</v>
      </c>
      <c r="BJ29" s="1741">
        <f t="shared" si="44"/>
        <v>0</v>
      </c>
      <c r="BK29" s="1465">
        <f t="shared" si="45"/>
        <v>9.7521704096965323</v>
      </c>
      <c r="BL29" s="1465">
        <f t="shared" si="45"/>
        <v>-17.347102082396475</v>
      </c>
      <c r="BM29" s="1465">
        <f t="shared" si="45"/>
        <v>-61.480577109954424</v>
      </c>
      <c r="BN29" s="1357">
        <f t="shared" si="45"/>
        <v>-229.16028072875667</v>
      </c>
      <c r="BO29" s="1741">
        <f t="shared" si="15"/>
        <v>0</v>
      </c>
      <c r="BP29" s="1465">
        <f t="shared" si="46"/>
        <v>-14.744075666898823</v>
      </c>
      <c r="BQ29" s="1465">
        <f t="shared" si="46"/>
        <v>-26.726518876859586</v>
      </c>
      <c r="BR29" s="1465">
        <f t="shared" si="46"/>
        <v>-44.24548496397</v>
      </c>
      <c r="BS29" s="1357">
        <f t="shared" si="46"/>
        <v>-288.4271177971475</v>
      </c>
      <c r="BT29" s="2492">
        <f t="shared" si="47"/>
        <v>0</v>
      </c>
      <c r="BU29" s="1465">
        <f t="shared" ref="BU29:BV29" si="53">+BU9-BU21</f>
        <v>-31.962048969494958</v>
      </c>
      <c r="BV29" s="1465">
        <f t="shared" si="53"/>
        <v>-37.411777508385626</v>
      </c>
      <c r="BW29" s="1465">
        <f t="shared" ref="BW29:BX29" si="54">+BW9-BW21</f>
        <v>-58.689420112649771</v>
      </c>
      <c r="BX29" s="1357">
        <f t="shared" si="54"/>
        <v>-328.8073656102282</v>
      </c>
      <c r="BY29" s="1741">
        <f t="shared" si="50"/>
        <v>0</v>
      </c>
      <c r="BZ29" s="1741"/>
      <c r="CA29" s="1577"/>
      <c r="CB29" s="1628"/>
      <c r="CC29" s="1628"/>
      <c r="CD29" s="1577"/>
      <c r="CE29" s="1577"/>
      <c r="CF29" s="1577"/>
      <c r="CG29" s="1577"/>
      <c r="CH29" s="1577"/>
      <c r="CJ29" s="1577"/>
      <c r="CK29" s="1577"/>
      <c r="CL29" s="1577"/>
      <c r="CM29" s="1577"/>
      <c r="CN29" s="1577"/>
    </row>
    <row r="30" spans="1:92">
      <c r="A30" s="997" t="s">
        <v>529</v>
      </c>
      <c r="B30" s="13"/>
      <c r="C30" s="13"/>
      <c r="D30" s="13"/>
      <c r="E30" s="13"/>
      <c r="F30" s="13"/>
      <c r="G30" s="13"/>
      <c r="H30" s="13"/>
      <c r="I30" s="13"/>
      <c r="J30" s="13"/>
      <c r="K30" s="13"/>
      <c r="L30" s="13"/>
      <c r="M30" s="13"/>
      <c r="N30" s="13"/>
      <c r="O30" s="13"/>
      <c r="P30" s="13"/>
      <c r="Q30" s="14"/>
      <c r="R30" s="13"/>
      <c r="S30" s="13"/>
      <c r="T30" s="13"/>
      <c r="U30" s="166">
        <f>SUM(AV30:AY30)</f>
        <v>40</v>
      </c>
      <c r="V30" s="1027">
        <f>SUM(BA30:BD30)</f>
        <v>0</v>
      </c>
      <c r="W30" s="1121">
        <f>SUM(BF30:BI30)</f>
        <v>0</v>
      </c>
      <c r="X30" s="1121">
        <f>SUM(BK30:BN30)</f>
        <v>26.78273901490428</v>
      </c>
      <c r="Y30" s="1121">
        <f>SUM(BP30:BS30)</f>
        <v>0</v>
      </c>
      <c r="Z30" s="1121">
        <f>SUM(BU30:BX30)</f>
        <v>0</v>
      </c>
      <c r="AA30" s="886">
        <f t="shared" ref="AA30:AF30" si="55">+AA10-AA22</f>
        <v>45.479344292071573</v>
      </c>
      <c r="AB30" s="886">
        <f t="shared" si="55"/>
        <v>0</v>
      </c>
      <c r="AC30" s="886">
        <f t="shared" si="55"/>
        <v>0</v>
      </c>
      <c r="AD30" s="886">
        <f t="shared" si="55"/>
        <v>51.931649666191959</v>
      </c>
      <c r="AE30" s="886">
        <f t="shared" si="55"/>
        <v>0</v>
      </c>
      <c r="AF30" s="886">
        <f t="shared" si="55"/>
        <v>0</v>
      </c>
      <c r="AG30" s="886">
        <f t="shared" si="35"/>
        <v>61.851425658829385</v>
      </c>
      <c r="AH30" s="1373">
        <f t="shared" si="35"/>
        <v>0</v>
      </c>
      <c r="AI30" s="1373">
        <f t="shared" si="36"/>
        <v>0</v>
      </c>
      <c r="AJ30" s="1373">
        <f t="shared" si="36"/>
        <v>73.666037582476406</v>
      </c>
      <c r="AK30" s="13"/>
      <c r="AL30" s="13"/>
      <c r="AM30" s="13"/>
      <c r="AN30" s="13"/>
      <c r="AO30" s="13"/>
      <c r="AP30" s="13"/>
      <c r="AQ30" s="14"/>
      <c r="AR30" s="14"/>
      <c r="AS30" s="14"/>
      <c r="AT30" s="14"/>
      <c r="AU30" s="1120"/>
      <c r="AV30" s="14">
        <f t="shared" si="39"/>
        <v>40</v>
      </c>
      <c r="AW30" s="14">
        <f t="shared" si="39"/>
        <v>0</v>
      </c>
      <c r="AX30" s="14">
        <f t="shared" si="39"/>
        <v>0</v>
      </c>
      <c r="AY30" s="14">
        <f t="shared" si="39"/>
        <v>0</v>
      </c>
      <c r="AZ30" s="1120">
        <f t="shared" si="40"/>
        <v>0</v>
      </c>
      <c r="BA30" s="1117">
        <f t="shared" si="41"/>
        <v>0</v>
      </c>
      <c r="BB30" s="1117">
        <f t="shared" si="41"/>
        <v>0</v>
      </c>
      <c r="BC30" s="1117">
        <f t="shared" si="41"/>
        <v>0</v>
      </c>
      <c r="BD30" s="1117">
        <f t="shared" si="41"/>
        <v>0</v>
      </c>
      <c r="BE30" s="1120">
        <f t="shared" si="42"/>
        <v>0</v>
      </c>
      <c r="BF30" s="1421">
        <f t="shared" si="43"/>
        <v>0</v>
      </c>
      <c r="BG30" s="1421">
        <f t="shared" si="43"/>
        <v>0</v>
      </c>
      <c r="BH30" s="1421">
        <f t="shared" si="43"/>
        <v>0</v>
      </c>
      <c r="BI30" s="1421">
        <f t="shared" si="43"/>
        <v>0</v>
      </c>
      <c r="BJ30" s="1741">
        <f t="shared" si="44"/>
        <v>0</v>
      </c>
      <c r="BK30" s="1421">
        <f>+BK10-BK22</f>
        <v>26.78273901490428</v>
      </c>
      <c r="BL30" s="1421">
        <f t="shared" si="45"/>
        <v>0</v>
      </c>
      <c r="BM30" s="1421">
        <f t="shared" si="45"/>
        <v>0</v>
      </c>
      <c r="BN30" s="1421">
        <f t="shared" si="45"/>
        <v>0</v>
      </c>
      <c r="BO30" s="1741">
        <f t="shared" si="15"/>
        <v>0</v>
      </c>
      <c r="BP30" s="1421">
        <f t="shared" si="46"/>
        <v>0</v>
      </c>
      <c r="BQ30" s="1421">
        <f t="shared" si="46"/>
        <v>0</v>
      </c>
      <c r="BR30" s="1421">
        <f t="shared" si="46"/>
        <v>0</v>
      </c>
      <c r="BS30" s="1421">
        <f t="shared" si="46"/>
        <v>0</v>
      </c>
      <c r="BT30" s="2492">
        <f t="shared" si="47"/>
        <v>0</v>
      </c>
      <c r="BU30" s="1421">
        <f t="shared" ref="BU30:BV30" si="56">+BU10-BU22</f>
        <v>0</v>
      </c>
      <c r="BV30" s="1421">
        <f t="shared" si="56"/>
        <v>0</v>
      </c>
      <c r="BW30" s="1421">
        <f t="shared" ref="BW30:BX30" si="57">+BW10-BW22</f>
        <v>0</v>
      </c>
      <c r="BX30" s="1421">
        <f t="shared" si="57"/>
        <v>0</v>
      </c>
      <c r="BY30" s="1741">
        <f t="shared" si="50"/>
        <v>0</v>
      </c>
      <c r="BZ30" s="1741"/>
      <c r="CA30" s="1577"/>
      <c r="CB30" s="1628"/>
      <c r="CC30" s="1628"/>
      <c r="CD30" s="1577"/>
      <c r="CE30" s="1577"/>
      <c r="CF30" s="1577"/>
      <c r="CG30" s="1577"/>
      <c r="CH30" s="1577"/>
      <c r="CJ30" s="1577"/>
      <c r="CK30" s="1577"/>
      <c r="CL30" s="1577"/>
      <c r="CM30" s="1577"/>
      <c r="CN30" s="1577"/>
    </row>
    <row r="31" spans="1:92">
      <c r="A31" s="477" t="s">
        <v>677</v>
      </c>
      <c r="B31" s="886">
        <f>+B11-B23</f>
        <v>188.82749999999999</v>
      </c>
      <c r="C31" s="886">
        <f>+C11-C23</f>
        <v>332.45550000000003</v>
      </c>
      <c r="D31" s="886">
        <f>+D11-D23</f>
        <v>370.24809999999991</v>
      </c>
      <c r="E31" s="886">
        <f>+E11-E23</f>
        <v>248.32499999999993</v>
      </c>
      <c r="F31" s="886">
        <f>+F11-F23</f>
        <v>190.34914320180587</v>
      </c>
      <c r="G31" s="1129">
        <f>+G33-G29-G28</f>
        <v>295.79831888862691</v>
      </c>
      <c r="H31" s="1129">
        <f>+H33-H29-H28</f>
        <v>317.92085543856729</v>
      </c>
      <c r="I31" s="1129">
        <f>+I33-I29-I28</f>
        <v>406.585781246794</v>
      </c>
      <c r="J31" s="886">
        <f t="shared" ref="J31:T31" si="58">+J11-J23</f>
        <v>291.17975949649633</v>
      </c>
      <c r="K31" s="886">
        <f t="shared" si="58"/>
        <v>441.49993656933827</v>
      </c>
      <c r="L31" s="886">
        <f t="shared" si="58"/>
        <v>358.79582796957823</v>
      </c>
      <c r="M31" s="886">
        <f t="shared" si="58"/>
        <v>327.15655950317</v>
      </c>
      <c r="N31" s="886">
        <f t="shared" si="58"/>
        <v>291.91089282602843</v>
      </c>
      <c r="O31" s="886">
        <f t="shared" si="58"/>
        <v>306.86796305464304</v>
      </c>
      <c r="P31" s="886">
        <f t="shared" si="58"/>
        <v>220.89917476945379</v>
      </c>
      <c r="Q31" s="886">
        <f t="shared" si="58"/>
        <v>225.35582807228127</v>
      </c>
      <c r="R31" s="886">
        <f t="shared" si="58"/>
        <v>244.34528898400845</v>
      </c>
      <c r="S31" s="886">
        <f t="shared" si="58"/>
        <v>245.76245732473865</v>
      </c>
      <c r="T31" s="886">
        <f t="shared" si="58"/>
        <v>216.85051696877679</v>
      </c>
      <c r="U31" s="166">
        <f>SUM(AV31:AY31)</f>
        <v>278.82507253336075</v>
      </c>
      <c r="V31" s="1121">
        <f>SUM(BA31:BD31)</f>
        <v>352.90184310798975</v>
      </c>
      <c r="W31" s="1121">
        <f>SUM(BF31:BI31)</f>
        <v>391.33045050001556</v>
      </c>
      <c r="X31" s="1121">
        <f>SUM(BK31:BN31)</f>
        <v>396.46764806589329</v>
      </c>
      <c r="Y31" s="1121">
        <f>SUM(BP31:BS31)</f>
        <v>365.39283682411815</v>
      </c>
      <c r="Z31" s="1121">
        <f>SUM(BU31:BX31)</f>
        <v>309.5198058468676</v>
      </c>
      <c r="AA31" s="886">
        <f t="shared" ref="AA31:AF31" si="59">+AA11-AA23</f>
        <v>274.05744187692483</v>
      </c>
      <c r="AB31" s="886">
        <f t="shared" si="59"/>
        <v>243.5060100135471</v>
      </c>
      <c r="AC31" s="354">
        <f t="shared" si="59"/>
        <v>217.74100259731915</v>
      </c>
      <c r="AD31" s="354">
        <f t="shared" si="59"/>
        <v>192.68374253152251</v>
      </c>
      <c r="AE31" s="354">
        <f t="shared" si="59"/>
        <v>168.42089150194579</v>
      </c>
      <c r="AF31" s="354">
        <f t="shared" si="59"/>
        <v>145.03754720840811</v>
      </c>
      <c r="AG31" s="354">
        <f t="shared" si="35"/>
        <v>122.61650733122747</v>
      </c>
      <c r="AH31" s="1373">
        <f t="shared" si="35"/>
        <v>101.2375337646173</v>
      </c>
      <c r="AI31" s="1373">
        <f t="shared" si="36"/>
        <v>80.312883454399753</v>
      </c>
      <c r="AJ31" s="1373">
        <f t="shared" si="36"/>
        <v>59.199234147832954</v>
      </c>
      <c r="AK31" s="886"/>
      <c r="AL31" s="886"/>
      <c r="AM31" s="886"/>
      <c r="AN31" s="886"/>
      <c r="AO31" s="886"/>
      <c r="AP31" s="886"/>
      <c r="AQ31" s="354">
        <f>+AQ11-AQ23</f>
        <v>75.897680939071876</v>
      </c>
      <c r="AR31" s="354">
        <f>+AR11-AR23</f>
        <v>49.875618902818672</v>
      </c>
      <c r="AS31" s="354">
        <f>+AS11-AS23</f>
        <v>36.864587884692057</v>
      </c>
      <c r="AT31" s="354">
        <f>+AT11-AT23</f>
        <v>54.21262924219414</v>
      </c>
      <c r="AU31" s="1120">
        <f t="shared" si="38"/>
        <v>0</v>
      </c>
      <c r="AV31" s="354">
        <f t="shared" si="39"/>
        <v>75.75239802892537</v>
      </c>
      <c r="AW31" s="354">
        <f t="shared" si="39"/>
        <v>49.780147276150984</v>
      </c>
      <c r="AX31" s="354">
        <f t="shared" si="39"/>
        <v>36.794021899763777</v>
      </c>
      <c r="AY31" s="354">
        <f t="shared" si="39"/>
        <v>116.49850532852062</v>
      </c>
      <c r="AZ31" s="1120">
        <f t="shared" si="40"/>
        <v>0</v>
      </c>
      <c r="BA31" s="1117">
        <f t="shared" si="41"/>
        <v>144.46683371416515</v>
      </c>
      <c r="BB31" s="1117">
        <f t="shared" si="41"/>
        <v>48.150787941608172</v>
      </c>
      <c r="BC31" s="1117">
        <f t="shared" si="41"/>
        <v>56.610641390121884</v>
      </c>
      <c r="BD31" s="354">
        <f t="shared" si="41"/>
        <v>103.67358006209457</v>
      </c>
      <c r="BE31" s="1120">
        <f t="shared" si="42"/>
        <v>0</v>
      </c>
      <c r="BF31" s="1421">
        <f t="shared" si="43"/>
        <v>145.16150205130683</v>
      </c>
      <c r="BG31" s="1421">
        <f t="shared" si="43"/>
        <v>45.97044811412124</v>
      </c>
      <c r="BH31" s="1421">
        <f t="shared" si="43"/>
        <v>83.657769668146258</v>
      </c>
      <c r="BI31" s="1373">
        <f t="shared" si="43"/>
        <v>116.54073066644121</v>
      </c>
      <c r="BJ31" s="1741">
        <f t="shared" si="44"/>
        <v>0</v>
      </c>
      <c r="BK31" s="1421">
        <f t="shared" si="45"/>
        <v>160.72244217438524</v>
      </c>
      <c r="BL31" s="1421">
        <f t="shared" si="45"/>
        <v>45.692470953629368</v>
      </c>
      <c r="BM31" s="1421">
        <f t="shared" si="45"/>
        <v>77.265661578101884</v>
      </c>
      <c r="BN31" s="1373">
        <f t="shared" si="45"/>
        <v>112.7870733597768</v>
      </c>
      <c r="BO31" s="1741">
        <f t="shared" si="15"/>
        <v>0</v>
      </c>
      <c r="BP31" s="1421">
        <f t="shared" si="46"/>
        <v>151.32664333089753</v>
      </c>
      <c r="BQ31" s="1421">
        <f t="shared" si="46"/>
        <v>38.788646604496165</v>
      </c>
      <c r="BR31" s="1421">
        <f t="shared" si="46"/>
        <v>72.21758334653984</v>
      </c>
      <c r="BS31" s="1373">
        <f t="shared" si="46"/>
        <v>103.0599635421846</v>
      </c>
      <c r="BT31" s="2492">
        <f t="shared" si="47"/>
        <v>0</v>
      </c>
      <c r="BU31" s="1421">
        <f t="shared" ref="BU31:BV31" si="60">+BU11-BU23</f>
        <v>132.6321346893161</v>
      </c>
      <c r="BV31" s="1421">
        <f t="shared" si="60"/>
        <v>24.447773312432417</v>
      </c>
      <c r="BW31" s="1421">
        <f t="shared" ref="BW31:BX31" si="61">+BW11-BW23</f>
        <v>62.097724791910949</v>
      </c>
      <c r="BX31" s="1373">
        <f t="shared" si="61"/>
        <v>90.342173053208143</v>
      </c>
      <c r="BY31" s="1741">
        <f t="shared" si="50"/>
        <v>0</v>
      </c>
      <c r="BZ31" s="1741"/>
      <c r="CA31" s="1577"/>
      <c r="CB31" s="1628"/>
      <c r="CC31" s="1628"/>
      <c r="CD31" s="1577"/>
      <c r="CE31" s="1577"/>
      <c r="CF31" s="1577"/>
      <c r="CG31" s="1577"/>
      <c r="CH31" s="1577"/>
      <c r="CJ31" s="1577"/>
      <c r="CK31" s="1577"/>
      <c r="CL31" s="1577"/>
      <c r="CM31" s="1577"/>
      <c r="CN31" s="1577"/>
    </row>
    <row r="32" spans="1:92">
      <c r="A32" s="314" t="s">
        <v>183</v>
      </c>
      <c r="B32" s="886"/>
      <c r="C32" s="886"/>
      <c r="D32" s="886"/>
      <c r="E32" s="886"/>
      <c r="F32" s="886"/>
      <c r="G32" s="1129"/>
      <c r="H32" s="1129"/>
      <c r="I32" s="1129"/>
      <c r="J32" s="886"/>
      <c r="K32" s="886"/>
      <c r="L32" s="886"/>
      <c r="M32" s="886"/>
      <c r="N32" s="886"/>
      <c r="O32" s="334"/>
      <c r="P32" s="334"/>
      <c r="Q32" s="334"/>
      <c r="R32" s="334">
        <f>(R12+R13)*0.9</f>
        <v>48.54225134236146</v>
      </c>
      <c r="S32" s="334">
        <f>(S12+S13)*0.9</f>
        <v>108.92879727461471</v>
      </c>
      <c r="T32" s="334">
        <f>(T12+T13)*0.85</f>
        <v>150.28</v>
      </c>
      <c r="U32" s="839">
        <f>SUM(AV32:AY32)</f>
        <v>209.82930000000002</v>
      </c>
      <c r="V32" s="841">
        <f>SUM(BA32:BD32)</f>
        <v>309.55826999999999</v>
      </c>
      <c r="W32" s="841">
        <f>SUM(BF32:BI32)</f>
        <v>447.05427200000008</v>
      </c>
      <c r="X32" s="841">
        <f>SUM(BK32:BN32)</f>
        <v>646.78841453845985</v>
      </c>
      <c r="Y32" s="841">
        <f>SUM(BP32:BS32)</f>
        <v>866.42149000257496</v>
      </c>
      <c r="Z32" s="841">
        <f>SUM(BU32:BX32)</f>
        <v>1148.6158277538627</v>
      </c>
      <c r="AA32" s="334">
        <f t="shared" ref="AA32:AH32" si="62">(AA12+AA13)*0.8</f>
        <v>1398.7467084094476</v>
      </c>
      <c r="AB32" s="317">
        <f t="shared" si="62"/>
        <v>1729.506185649192</v>
      </c>
      <c r="AC32" s="317">
        <f t="shared" si="62"/>
        <v>1997.5606147728622</v>
      </c>
      <c r="AD32" s="317">
        <f t="shared" si="62"/>
        <v>2169.6675161607441</v>
      </c>
      <c r="AE32" s="317">
        <f t="shared" si="62"/>
        <v>2328.2203857114914</v>
      </c>
      <c r="AF32" s="317">
        <f t="shared" si="62"/>
        <v>2471.5752473904608</v>
      </c>
      <c r="AG32" s="317">
        <f t="shared" si="62"/>
        <v>2609.27633586107</v>
      </c>
      <c r="AH32" s="1439">
        <f t="shared" si="62"/>
        <v>2740.2067268529408</v>
      </c>
      <c r="AI32" s="1439">
        <f>(AI12+AI13)*0.8</f>
        <v>2876.1146608601362</v>
      </c>
      <c r="AJ32" s="1439">
        <f>(AJ12+AJ13)*0.8</f>
        <v>3007.3537789085967</v>
      </c>
      <c r="AK32" s="886"/>
      <c r="AL32" s="886"/>
      <c r="AM32" s="886"/>
      <c r="AN32" s="886"/>
      <c r="AO32" s="886"/>
      <c r="AP32" s="886"/>
      <c r="AQ32" s="317">
        <f>(AQ12+AQ13)*0.85</f>
        <v>33.15</v>
      </c>
      <c r="AR32" s="317">
        <f>(AR12+AR13)*0.85</f>
        <v>33.15</v>
      </c>
      <c r="AS32" s="317">
        <f>(AS12+AS13)*0.85</f>
        <v>39.1</v>
      </c>
      <c r="AT32" s="317">
        <f>(AT12+AT13)*0.85</f>
        <v>44.879999999999995</v>
      </c>
      <c r="AU32" s="1120">
        <f t="shared" si="38"/>
        <v>0</v>
      </c>
      <c r="AV32" s="317">
        <f>(AV12+AV13)*0.85</f>
        <v>48.386249999999997</v>
      </c>
      <c r="AW32" s="317">
        <f>(AW12+AW13)*0.85</f>
        <v>48.386249999999997</v>
      </c>
      <c r="AX32" s="317">
        <f>(AX12+AX13)*0.85</f>
        <v>53.703000000000003</v>
      </c>
      <c r="AY32" s="317">
        <f>(AY12+AY13)*0.85</f>
        <v>59.3538</v>
      </c>
      <c r="AZ32" s="1120">
        <f t="shared" si="40"/>
        <v>0</v>
      </c>
      <c r="BA32" s="1014">
        <f>(BA12+BA13)*0.85</f>
        <v>73.388999999999996</v>
      </c>
      <c r="BB32" s="1014">
        <f>(BB12+BB13)*0.85</f>
        <v>73.388999999999996</v>
      </c>
      <c r="BC32" s="1014">
        <f>(BC12+BC13)*0.85</f>
        <v>78.03</v>
      </c>
      <c r="BD32" s="317">
        <f>(BD12+BD13)*0.85</f>
        <v>84.75027</v>
      </c>
      <c r="BE32" s="1120">
        <f t="shared" si="42"/>
        <v>0</v>
      </c>
      <c r="BF32" s="1458">
        <f>(BF12+BF13)*0.8</f>
        <v>105.73420000000002</v>
      </c>
      <c r="BG32" s="1458">
        <f>(BG12+BG13)*0.8</f>
        <v>106.53420000000001</v>
      </c>
      <c r="BH32" s="1458">
        <f>(BH12+BH13)*0.8</f>
        <v>112.41232000000001</v>
      </c>
      <c r="BI32" s="1458">
        <f>(BI12+BI13)*0.8</f>
        <v>122.37355200000002</v>
      </c>
      <c r="BJ32" s="1741">
        <f t="shared" si="44"/>
        <v>0</v>
      </c>
      <c r="BK32" s="1458">
        <f>(BK12+BK13)*0.8</f>
        <v>161.87953365969196</v>
      </c>
      <c r="BL32" s="1458">
        <f>(BL12+BL13)*0.8</f>
        <v>165.08510507461494</v>
      </c>
      <c r="BM32" s="1458">
        <f>(BM12+BM13)*0.8</f>
        <v>158.81846627461493</v>
      </c>
      <c r="BN32" s="1458">
        <f>(BN12+BN13)*0.8</f>
        <v>161.00530952953795</v>
      </c>
      <c r="BO32" s="1741">
        <f t="shared" si="15"/>
        <v>0</v>
      </c>
      <c r="BP32" s="1458">
        <f>(BP12+BP13)*0.8</f>
        <v>216.51955284722655</v>
      </c>
      <c r="BQ32" s="1458">
        <f>(BQ12+BQ13)*0.8</f>
        <v>215.38922076326782</v>
      </c>
      <c r="BR32" s="1458">
        <f>(BR12+BR13)*0.8</f>
        <v>214.51462467806138</v>
      </c>
      <c r="BS32" s="1458">
        <f>(BS12+BS13)*0.8</f>
        <v>219.99809171401927</v>
      </c>
      <c r="BT32" s="2492">
        <f t="shared" si="47"/>
        <v>0</v>
      </c>
      <c r="BU32" s="1458">
        <f t="shared" ref="BU32:BV32" si="63">(BU12+BU13)*0.8</f>
        <v>284.58741128514487</v>
      </c>
      <c r="BV32" s="1458">
        <f t="shared" si="63"/>
        <v>286.93227129806695</v>
      </c>
      <c r="BW32" s="1458">
        <f>(BW12+BW13)*0.8</f>
        <v>285.86179309646496</v>
      </c>
      <c r="BX32" s="1458">
        <f>(BX12+BX13)*0.8</f>
        <v>291.23435207418612</v>
      </c>
      <c r="BY32" s="1741">
        <f t="shared" si="50"/>
        <v>0</v>
      </c>
      <c r="BZ32" s="1741"/>
      <c r="CA32" s="1577"/>
      <c r="CB32" s="1628"/>
      <c r="CC32" s="1628"/>
      <c r="CD32" s="1577"/>
      <c r="CE32" s="1577"/>
      <c r="CF32" s="1577"/>
      <c r="CG32" s="1577"/>
      <c r="CH32" s="1577"/>
      <c r="CJ32" s="1577"/>
      <c r="CK32" s="1577"/>
      <c r="CL32" s="1577"/>
      <c r="CM32" s="1577"/>
      <c r="CN32" s="1577"/>
    </row>
    <row r="33" spans="1:92">
      <c r="A33" s="507" t="s">
        <v>1095</v>
      </c>
      <c r="B33" s="1485">
        <f>SUM(B28:B31)</f>
        <v>455.57749999999999</v>
      </c>
      <c r="C33" s="2036">
        <f t="shared" ref="C33:I33" si="64">+C42+C39+C36</f>
        <v>332</v>
      </c>
      <c r="D33" s="2036">
        <f t="shared" si="64"/>
        <v>340.18397303727204</v>
      </c>
      <c r="E33" s="2036">
        <f t="shared" si="64"/>
        <v>201.23269999999997</v>
      </c>
      <c r="F33" s="2036">
        <f t="shared" si="64"/>
        <v>204.5024939032258</v>
      </c>
      <c r="G33" s="2036">
        <f t="shared" si="64"/>
        <v>304.22740742999997</v>
      </c>
      <c r="H33" s="2036">
        <f t="shared" si="64"/>
        <v>504.08668150430003</v>
      </c>
      <c r="I33" s="2036">
        <f t="shared" si="64"/>
        <v>548.97014876447201</v>
      </c>
      <c r="J33" s="1485">
        <f t="shared" ref="J33:R33" si="65">SUM(J28:J31)</f>
        <v>590.73002806803652</v>
      </c>
      <c r="K33" s="1485">
        <f t="shared" si="65"/>
        <v>786.83370960623984</v>
      </c>
      <c r="L33" s="1485">
        <f t="shared" si="65"/>
        <v>693.18375155973126</v>
      </c>
      <c r="M33" s="1485">
        <f t="shared" si="65"/>
        <v>660.6529303210466</v>
      </c>
      <c r="N33" s="1485">
        <f t="shared" si="65"/>
        <v>670.51854967460054</v>
      </c>
      <c r="O33" s="10">
        <f t="shared" si="65"/>
        <v>714.79627485452306</v>
      </c>
      <c r="P33" s="10">
        <f t="shared" si="65"/>
        <v>430.52296936575362</v>
      </c>
      <c r="Q33" s="10">
        <f t="shared" si="65"/>
        <v>259.41613734399596</v>
      </c>
      <c r="R33" s="10">
        <f t="shared" si="65"/>
        <v>404.69065123770406</v>
      </c>
      <c r="S33" s="10">
        <f t="shared" ref="S33:AF33" si="66">SUM(S28:S32)</f>
        <v>826.8975170979835</v>
      </c>
      <c r="T33" s="10">
        <f t="shared" si="66"/>
        <v>609.41170125922088</v>
      </c>
      <c r="U33" s="10">
        <f t="shared" si="66"/>
        <v>819.55214478973755</v>
      </c>
      <c r="V33" s="10">
        <f t="shared" si="66"/>
        <v>607.51639419910816</v>
      </c>
      <c r="W33" s="10">
        <f>SUM(W28:W32)</f>
        <v>651.46775182564738</v>
      </c>
      <c r="X33" s="10">
        <f t="shared" si="66"/>
        <v>914.82186591515256</v>
      </c>
      <c r="Y33" s="10">
        <f t="shared" si="66"/>
        <v>920.81818284984217</v>
      </c>
      <c r="Z33" s="10">
        <f>SUM(Z28:Z32)</f>
        <v>943.25834157315921</v>
      </c>
      <c r="AA33" s="10">
        <f t="shared" si="66"/>
        <v>1039.2753919121324</v>
      </c>
      <c r="AB33" s="10">
        <f t="shared" si="66"/>
        <v>1110.7644317264667</v>
      </c>
      <c r="AC33" s="37">
        <f t="shared" si="66"/>
        <v>1207.0756578615124</v>
      </c>
      <c r="AD33" s="37">
        <f t="shared" si="66"/>
        <v>1247.5321517033246</v>
      </c>
      <c r="AE33" s="37">
        <f t="shared" si="66"/>
        <v>1116.0583248864798</v>
      </c>
      <c r="AF33" s="37">
        <f t="shared" si="66"/>
        <v>1027.7252557059992</v>
      </c>
      <c r="AG33" s="37">
        <f>SUM(AG28:AG32)</f>
        <v>1064.0768057210785</v>
      </c>
      <c r="AH33" s="1626">
        <f>SUM(AH28:AH32)</f>
        <v>894.10280705798141</v>
      </c>
      <c r="AI33" s="1626">
        <f>SUM(AI28:AI32)</f>
        <v>865.98035473071354</v>
      </c>
      <c r="AJ33" s="1626">
        <f>SUM(AJ28:AJ32)</f>
        <v>815.8233103315747</v>
      </c>
      <c r="AK33" s="10"/>
      <c r="AL33" s="10"/>
      <c r="AM33" s="10"/>
      <c r="AN33" s="10"/>
      <c r="AO33" s="10"/>
      <c r="AP33" s="10"/>
      <c r="AQ33" s="37">
        <f>SUM(AQ28:AQ32)</f>
        <v>165.11885749488602</v>
      </c>
      <c r="AR33" s="37">
        <f>SUM(AR28:AR32)</f>
        <v>171.70986350237987</v>
      </c>
      <c r="AS33" s="37">
        <f>SUM(AS28:AS32)</f>
        <v>143.90745781875282</v>
      </c>
      <c r="AT33" s="37">
        <f>SUM(AT28:AT32)</f>
        <v>128.67552244320242</v>
      </c>
      <c r="AU33" s="1120">
        <f t="shared" si="38"/>
        <v>0</v>
      </c>
      <c r="AV33" s="37">
        <f>SUM(AV28:AV32)</f>
        <v>215.17975087871744</v>
      </c>
      <c r="AW33" s="37">
        <f>SUM(AW28:AW32)</f>
        <v>180.24166306527258</v>
      </c>
      <c r="AX33" s="37">
        <f>SUM(AX28:AX32)</f>
        <v>191.76718589391234</v>
      </c>
      <c r="AY33" s="37">
        <f>SUM(AY28:AY32)</f>
        <v>232.36354495183514</v>
      </c>
      <c r="AZ33" s="1120">
        <f t="shared" si="40"/>
        <v>0</v>
      </c>
      <c r="BA33" s="869">
        <f>SUM(BA28:BA32)</f>
        <v>224.6445014575354</v>
      </c>
      <c r="BB33" s="869">
        <f>SUM(BB28:BB32)</f>
        <v>160.79336902293369</v>
      </c>
      <c r="BC33" s="869">
        <f>SUM(BC28:BC32)</f>
        <v>109.84337419385642</v>
      </c>
      <c r="BD33" s="37">
        <f>SUM(BD28:BD32)</f>
        <v>112.23514952478274</v>
      </c>
      <c r="BE33" s="1120">
        <f t="shared" si="42"/>
        <v>0</v>
      </c>
      <c r="BF33" s="1438">
        <f>SUM(BF28:BF32)</f>
        <v>194.13862372124555</v>
      </c>
      <c r="BG33" s="1438">
        <f>SUM(BG28:BG32)</f>
        <v>119.74186130464584</v>
      </c>
      <c r="BH33" s="1438">
        <f>SUM(BH28:BH32)</f>
        <v>134.74467756943048</v>
      </c>
      <c r="BI33" s="1626">
        <f>SUM(BI28:BI32)</f>
        <v>202.84258923032547</v>
      </c>
      <c r="BJ33" s="1741">
        <f t="shared" si="44"/>
        <v>0</v>
      </c>
      <c r="BK33" s="1438">
        <f>SUM(BK28:BK32)</f>
        <v>406.07679539595244</v>
      </c>
      <c r="BL33" s="1438">
        <f>SUM(BL28:BL32)</f>
        <v>174.74219000931907</v>
      </c>
      <c r="BM33" s="1438">
        <f>SUM(BM28:BM32)</f>
        <v>134.66749059637993</v>
      </c>
      <c r="BN33" s="1626">
        <f>SUM(BN28:BN32)</f>
        <v>199.33538991350099</v>
      </c>
      <c r="BO33" s="1741">
        <f t="shared" si="15"/>
        <v>0</v>
      </c>
      <c r="BP33" s="1438">
        <f>SUM(BP28:BP32)</f>
        <v>377.87467625084844</v>
      </c>
      <c r="BQ33" s="1438">
        <f>SUM(BQ28:BQ32)</f>
        <v>183.93009045488756</v>
      </c>
      <c r="BR33" s="1438">
        <f>SUM(BR28:BR32)</f>
        <v>192.60286506733695</v>
      </c>
      <c r="BS33" s="1626">
        <f>SUM(BS28:BS32)</f>
        <v>166.41055107676925</v>
      </c>
      <c r="BT33" s="2492">
        <f t="shared" si="47"/>
        <v>0</v>
      </c>
      <c r="BU33" s="1438">
        <f t="shared" ref="BU33:BV33" si="67">SUM(BU28:BU32)</f>
        <v>371.1120411196402</v>
      </c>
      <c r="BV33" s="1438">
        <f t="shared" si="67"/>
        <v>196.04168163105609</v>
      </c>
      <c r="BW33" s="1438">
        <f>SUM(BW28:BW32)</f>
        <v>219.17224212312766</v>
      </c>
      <c r="BX33" s="1626">
        <f>SUM(BX28:BX32)</f>
        <v>156.93237669933544</v>
      </c>
      <c r="BY33" s="1741">
        <f t="shared" si="50"/>
        <v>0</v>
      </c>
      <c r="BZ33" s="1741"/>
      <c r="CA33" s="1628"/>
      <c r="CB33" s="1628"/>
      <c r="CC33" s="1628"/>
      <c r="CD33" s="1577"/>
      <c r="CE33" s="1577"/>
      <c r="CF33" s="1577"/>
      <c r="CG33" s="1577"/>
      <c r="CH33" s="1577"/>
      <c r="CJ33" s="1577"/>
      <c r="CK33" s="1577"/>
      <c r="CL33" s="1577"/>
      <c r="CM33" s="1577"/>
      <c r="CN33" s="1577"/>
    </row>
    <row r="34" spans="1:92">
      <c r="A34" s="504" t="s">
        <v>1096</v>
      </c>
      <c r="B34" s="46">
        <f t="shared" ref="B34:AI34" si="68">+B33/B14</f>
        <v>0.15973965638148668</v>
      </c>
      <c r="C34" s="46">
        <f t="shared" si="68"/>
        <v>0.1316415543219667</v>
      </c>
      <c r="D34" s="46">
        <f t="shared" si="68"/>
        <v>0.13180316661653313</v>
      </c>
      <c r="E34" s="46">
        <f t="shared" si="68"/>
        <v>7.146047585227272E-2</v>
      </c>
      <c r="F34" s="46">
        <f t="shared" si="68"/>
        <v>6.2923844277915628E-2</v>
      </c>
      <c r="G34" s="46">
        <f t="shared" si="68"/>
        <v>9.8137873364516126E-2</v>
      </c>
      <c r="H34" s="46">
        <f t="shared" si="68"/>
        <v>0.14696404708580177</v>
      </c>
      <c r="I34" s="46">
        <f t="shared" si="68"/>
        <v>0.15775004274841151</v>
      </c>
      <c r="J34" s="46">
        <f t="shared" si="68"/>
        <v>0.16642157653483111</v>
      </c>
      <c r="K34" s="46">
        <f t="shared" si="68"/>
        <v>0.20835363908574636</v>
      </c>
      <c r="L34" s="46">
        <f t="shared" si="68"/>
        <v>0.16342143910162663</v>
      </c>
      <c r="M34" s="46">
        <f t="shared" si="68"/>
        <v>0.15175747552554444</v>
      </c>
      <c r="N34" s="46">
        <f t="shared" si="68"/>
        <v>0.15623345034930677</v>
      </c>
      <c r="O34" s="46">
        <f t="shared" si="68"/>
        <v>0.16261165556116475</v>
      </c>
      <c r="P34" s="46">
        <f t="shared" si="68"/>
        <v>0.1108116767864665</v>
      </c>
      <c r="Q34" s="46">
        <f t="shared" si="68"/>
        <v>6.7430527914754484E-2</v>
      </c>
      <c r="R34" s="46">
        <f t="shared" si="68"/>
        <v>9.3755360636121152E-2</v>
      </c>
      <c r="S34" s="46">
        <f t="shared" si="68"/>
        <v>0.19080558585985483</v>
      </c>
      <c r="T34" s="46">
        <f t="shared" si="68"/>
        <v>0.14706914463013471</v>
      </c>
      <c r="U34" s="46">
        <f t="shared" si="68"/>
        <v>0.17575233665550263</v>
      </c>
      <c r="V34" s="46">
        <f t="shared" si="68"/>
        <v>0.1381344476030428</v>
      </c>
      <c r="W34" s="46">
        <f t="shared" si="68"/>
        <v>0.14001435632594897</v>
      </c>
      <c r="X34" s="46">
        <f t="shared" si="68"/>
        <v>0.17324582636424013</v>
      </c>
      <c r="Y34" s="46">
        <f t="shared" si="68"/>
        <v>0.17833752020322838</v>
      </c>
      <c r="Z34" s="46">
        <f t="shared" si="68"/>
        <v>0.17422963440616093</v>
      </c>
      <c r="AA34" s="46">
        <f t="shared" si="68"/>
        <v>0.16888673277409999</v>
      </c>
      <c r="AB34" s="46">
        <f t="shared" si="68"/>
        <v>0.18308465977917893</v>
      </c>
      <c r="AC34" s="118">
        <f t="shared" si="68"/>
        <v>0.18778558285886279</v>
      </c>
      <c r="AD34" s="118">
        <f t="shared" si="68"/>
        <v>0.17622388597962302</v>
      </c>
      <c r="AE34" s="118">
        <f t="shared" si="68"/>
        <v>0.16389868653672707</v>
      </c>
      <c r="AF34" s="118">
        <f t="shared" si="68"/>
        <v>0.14823187186724357</v>
      </c>
      <c r="AG34" s="118">
        <f t="shared" si="68"/>
        <v>0.13765384858651272</v>
      </c>
      <c r="AH34" s="1630">
        <f t="shared" si="68"/>
        <v>0.12346298467951781</v>
      </c>
      <c r="AI34" s="1630">
        <f t="shared" si="68"/>
        <v>0.11622307717009857</v>
      </c>
      <c r="AJ34" s="1630">
        <f t="shared" ref="AJ34" si="69">+AJ33/AJ14</f>
        <v>9.8809812795090296E-2</v>
      </c>
      <c r="AK34" s="46"/>
      <c r="AL34" s="46"/>
      <c r="AM34" s="46"/>
      <c r="AN34" s="46"/>
      <c r="AO34" s="46"/>
      <c r="AP34" s="46"/>
      <c r="AQ34" s="118">
        <f>+AQ33/AQ14</f>
        <v>0.12783308405276361</v>
      </c>
      <c r="AR34" s="118">
        <f>+AR33/AR14</f>
        <v>0.19232660820916547</v>
      </c>
      <c r="AS34" s="118">
        <f>+AS33/AS14</f>
        <v>0.20766430222634918</v>
      </c>
      <c r="AT34" s="118">
        <f>+AT33/AT14</f>
        <v>0.10161947726873892</v>
      </c>
      <c r="AU34" s="1120"/>
      <c r="AV34" s="118">
        <f>+AV33/AV14</f>
        <v>0.14299539993828664</v>
      </c>
      <c r="AW34" s="118">
        <f>+AW33/AW14</f>
        <v>0.1770901738234936</v>
      </c>
      <c r="AX34" s="118">
        <f>+AX33/AX14</f>
        <v>0.23855847608823791</v>
      </c>
      <c r="AY34" s="118">
        <f>+AY33/AY14</f>
        <v>0.17383996595677978</v>
      </c>
      <c r="AZ34" s="314"/>
      <c r="BA34" s="1403">
        <f>+BA33/BA14</f>
        <v>0.18317190014097215</v>
      </c>
      <c r="BB34" s="1403">
        <f>+BB33/BB14</f>
        <v>0.16629676767629231</v>
      </c>
      <c r="BC34" s="1403">
        <f>+BC33/BC14</f>
        <v>0.13529229006386115</v>
      </c>
      <c r="BD34" s="118">
        <f>+BD33/BD14</f>
        <v>8.0582883798181501E-2</v>
      </c>
      <c r="BE34" s="314"/>
      <c r="BF34" s="1629">
        <f>+BF33/BF14</f>
        <v>0.15813970585479345</v>
      </c>
      <c r="BG34" s="1629">
        <f>+BG33/BG14</f>
        <v>0.11828100229567272</v>
      </c>
      <c r="BH34" s="1629">
        <f>+BH33/BH14</f>
        <v>0.15568744723316988</v>
      </c>
      <c r="BI34" s="1630">
        <f>+BI33/BI14</f>
        <v>0.13108681223871996</v>
      </c>
      <c r="BJ34" s="1628"/>
      <c r="BK34" s="1629">
        <f>+BK33/BK14</f>
        <v>0.22155285229518629</v>
      </c>
      <c r="BL34" s="1629">
        <f>+BL33/BL14</f>
        <v>0.16505098793007575</v>
      </c>
      <c r="BM34" s="1629">
        <f>+BM33/BM14</f>
        <v>0.14868443710469581</v>
      </c>
      <c r="BN34" s="1630">
        <f>+BN33/BN14</f>
        <v>0.13439779690073395</v>
      </c>
      <c r="BO34" s="1741"/>
      <c r="BP34" s="1629">
        <f>+BP33/BP14</f>
        <v>0.25594780874397938</v>
      </c>
      <c r="BQ34" s="1629">
        <f>+BQ33/BQ14</f>
        <v>0.15566446611289433</v>
      </c>
      <c r="BR34" s="1629">
        <f>+BR33/BR14</f>
        <v>0.20175526543338537</v>
      </c>
      <c r="BS34" s="1630">
        <f>+BS33/BS14</f>
        <v>0.10730939679536511</v>
      </c>
      <c r="BT34" s="2492"/>
      <c r="BU34" s="1629">
        <f t="shared" ref="BU34:BV34" si="70">+BU33/BU14</f>
        <v>0.23579935118482639</v>
      </c>
      <c r="BV34" s="1629">
        <f t="shared" si="70"/>
        <v>0.16613448968781924</v>
      </c>
      <c r="BW34" s="1629">
        <f>+BW33/BW14</f>
        <v>0.21187064457186824</v>
      </c>
      <c r="BX34" s="1630">
        <f>+BX33/BX14</f>
        <v>9.6540927438493893E-2</v>
      </c>
      <c r="BY34" s="1741"/>
      <c r="BZ34" s="1741"/>
      <c r="CA34" s="1628"/>
      <c r="CB34" s="1628"/>
      <c r="CC34" s="1628"/>
      <c r="CD34" s="1577"/>
      <c r="CE34" s="1577"/>
      <c r="CF34" s="1577"/>
      <c r="CG34" s="1577"/>
      <c r="CH34" s="1577"/>
      <c r="CJ34" s="1577"/>
      <c r="CK34" s="1577"/>
      <c r="CL34" s="1577"/>
      <c r="CM34" s="1577"/>
      <c r="CN34" s="1577"/>
    </row>
    <row r="35" spans="1:92">
      <c r="A35" s="483"/>
      <c r="B35" s="483"/>
      <c r="C35" s="483"/>
      <c r="D35" s="483"/>
      <c r="E35" s="483"/>
      <c r="F35" s="314"/>
      <c r="G35" s="314"/>
      <c r="H35" s="314"/>
      <c r="I35" s="314"/>
      <c r="J35" s="314"/>
      <c r="K35" s="314"/>
      <c r="L35" s="314"/>
      <c r="M35" s="314"/>
      <c r="N35" s="314"/>
      <c r="O35" s="314"/>
      <c r="P35" s="314"/>
      <c r="Q35" s="314"/>
      <c r="R35" s="314"/>
      <c r="S35" s="314"/>
      <c r="T35" s="314"/>
      <c r="U35" s="314"/>
      <c r="V35" s="314"/>
      <c r="W35" s="314"/>
      <c r="X35" s="314"/>
      <c r="Y35" s="314"/>
      <c r="Z35" s="314"/>
      <c r="AA35" s="314"/>
      <c r="AB35" s="314"/>
      <c r="AC35" s="314"/>
      <c r="AD35" s="314"/>
      <c r="AE35" s="314"/>
      <c r="AF35" s="314"/>
      <c r="AG35" s="314"/>
      <c r="AH35" s="1628"/>
      <c r="AI35" s="314"/>
      <c r="AJ35" s="314"/>
      <c r="AK35" s="314"/>
      <c r="AL35" s="314"/>
      <c r="AM35" s="314"/>
      <c r="AN35" s="314"/>
      <c r="AO35" s="314"/>
      <c r="AP35" s="314"/>
      <c r="AQ35" s="314"/>
      <c r="AR35" s="314"/>
      <c r="AS35" s="314"/>
      <c r="AT35" s="314"/>
      <c r="AU35" s="314"/>
      <c r="AV35" s="314"/>
      <c r="AW35" s="314"/>
      <c r="AX35" s="314"/>
      <c r="AY35" s="314"/>
      <c r="AZ35" s="314"/>
      <c r="BA35" s="997"/>
      <c r="BB35" s="997"/>
      <c r="BC35" s="997"/>
      <c r="BD35" s="314"/>
      <c r="BE35" s="314"/>
      <c r="BF35" s="1627"/>
      <c r="BG35" s="1627"/>
      <c r="BH35" s="1627"/>
      <c r="BI35" s="1628"/>
      <c r="BJ35" s="1628"/>
      <c r="BK35" s="1628"/>
      <c r="BL35" s="1628"/>
      <c r="BM35" s="1628"/>
      <c r="BN35" s="1628"/>
      <c r="BO35" s="1741"/>
      <c r="BP35" s="1741"/>
      <c r="BQ35" s="1741"/>
      <c r="BR35" s="1741"/>
      <c r="BS35" s="1741"/>
      <c r="BT35" s="2492"/>
      <c r="BU35" s="1741"/>
      <c r="BV35" s="1741"/>
      <c r="BW35" s="1741"/>
      <c r="BX35" s="1741"/>
      <c r="BY35" s="1741"/>
      <c r="BZ35" s="1741"/>
      <c r="CA35" s="1628"/>
      <c r="CB35" s="1628"/>
      <c r="CC35" s="1628"/>
      <c r="CD35" s="1577"/>
      <c r="CE35" s="1577"/>
      <c r="CF35" s="1577"/>
      <c r="CG35" s="1577"/>
      <c r="CH35" s="1577"/>
    </row>
    <row r="36" spans="1:92">
      <c r="A36" s="483" t="s">
        <v>1097</v>
      </c>
      <c r="B36" s="76">
        <v>180</v>
      </c>
      <c r="C36" s="76">
        <v>175</v>
      </c>
      <c r="D36" s="13">
        <f>+D37*D14</f>
        <v>179.09397303727201</v>
      </c>
      <c r="E36" s="13">
        <f>+E37*E14</f>
        <v>168.95999999999998</v>
      </c>
      <c r="F36" s="13">
        <f>+F37*F14</f>
        <v>162.5</v>
      </c>
      <c r="G36" s="13">
        <f>+G37*G14</f>
        <v>164.29999999999998</v>
      </c>
      <c r="H36" s="76">
        <v>160</v>
      </c>
      <c r="I36" s="76">
        <v>160</v>
      </c>
      <c r="J36" s="76">
        <f>+I36*0.95</f>
        <v>152</v>
      </c>
      <c r="K36" s="76">
        <f>+J36*0.95</f>
        <v>144.4</v>
      </c>
      <c r="L36" s="76">
        <f>+K36*0.95</f>
        <v>137.18</v>
      </c>
      <c r="M36" s="76">
        <f>+L36*0.95</f>
        <v>130.321</v>
      </c>
      <c r="N36" s="76">
        <f>+M36*0.985</f>
        <v>128.366185</v>
      </c>
      <c r="O36" s="76">
        <f>+N36*0.95</f>
        <v>121.94787574999999</v>
      </c>
      <c r="P36" s="76">
        <f>+O36*0.95</f>
        <v>115.85048196249998</v>
      </c>
      <c r="Q36" s="76">
        <f>+P36*0.95</f>
        <v>110.05795786437498</v>
      </c>
      <c r="R36" s="76">
        <f>+Q36*0.95</f>
        <v>104.55505997115623</v>
      </c>
      <c r="S36" s="76">
        <f>+R36</f>
        <v>104.55505997115623</v>
      </c>
      <c r="T36" s="76">
        <f>+S36*1.03</f>
        <v>107.69171177029091</v>
      </c>
      <c r="U36" s="166">
        <f>SUM(AV36:AY36)</f>
        <v>110.92246312339964</v>
      </c>
      <c r="V36" s="166">
        <f>SUM(BA36:BD36)</f>
        <v>114.25013701710164</v>
      </c>
      <c r="W36" s="166">
        <f>SUM(BF36:BI36)</f>
        <v>117.96326647015746</v>
      </c>
      <c r="X36" s="166">
        <f>SUM(BK36:BN36)</f>
        <v>120.32253179956061</v>
      </c>
      <c r="Y36" s="1693">
        <f>SUM(BP36:BS36)</f>
        <v>122.72898243555181</v>
      </c>
      <c r="Z36" s="1693">
        <f>SUM(BU36:BX36)</f>
        <v>123.95627225990735</v>
      </c>
      <c r="AA36" s="76">
        <f>+Z36*1.03</f>
        <v>127.67496042770458</v>
      </c>
      <c r="AB36" s="76">
        <f t="shared" ref="AB36:AJ36" si="71">+AA36*1.03</f>
        <v>131.50520924053572</v>
      </c>
      <c r="AC36" s="77">
        <f t="shared" si="71"/>
        <v>135.45036551775181</v>
      </c>
      <c r="AD36" s="77">
        <f t="shared" si="71"/>
        <v>139.51387648328435</v>
      </c>
      <c r="AE36" s="77">
        <f t="shared" si="71"/>
        <v>143.69929277778289</v>
      </c>
      <c r="AF36" s="77">
        <f t="shared" si="71"/>
        <v>148.01027156111638</v>
      </c>
      <c r="AG36" s="77">
        <f t="shared" si="71"/>
        <v>152.45057970794988</v>
      </c>
      <c r="AH36" s="1437">
        <f t="shared" si="71"/>
        <v>157.0240970991884</v>
      </c>
      <c r="AI36" s="1437">
        <f t="shared" si="71"/>
        <v>161.73482001216405</v>
      </c>
      <c r="AJ36" s="1437">
        <f t="shared" si="71"/>
        <v>166.58686461252898</v>
      </c>
      <c r="AK36" s="76"/>
      <c r="AL36" s="76"/>
      <c r="AM36" s="76"/>
      <c r="AN36" s="76"/>
      <c r="AO36" s="76"/>
      <c r="AP36" s="76"/>
      <c r="AQ36" s="14">
        <f>$T$36*0.25</f>
        <v>26.922927942572727</v>
      </c>
      <c r="AR36" s="14">
        <f>$T$36*0.25</f>
        <v>26.922927942572727</v>
      </c>
      <c r="AS36" s="14">
        <f>$T$36*0.25</f>
        <v>26.922927942572727</v>
      </c>
      <c r="AT36" s="14">
        <f>$T$36*0.25</f>
        <v>26.922927942572727</v>
      </c>
      <c r="AU36" s="1120">
        <f>T36-SUM(AQ36:AT36)</f>
        <v>0</v>
      </c>
      <c r="AV36" s="76">
        <f>AQ36*1.03</f>
        <v>27.730615780849909</v>
      </c>
      <c r="AW36" s="76">
        <f>AR36*1.03</f>
        <v>27.730615780849909</v>
      </c>
      <c r="AX36" s="76">
        <f>AS36*1.03</f>
        <v>27.730615780849909</v>
      </c>
      <c r="AY36" s="76">
        <f>AT36*1.03</f>
        <v>27.730615780849909</v>
      </c>
      <c r="AZ36" s="1120">
        <f>U36-SUM(AV36:AY36)</f>
        <v>0</v>
      </c>
      <c r="BA36" s="76">
        <f>AV36*1.03</f>
        <v>28.562534254275409</v>
      </c>
      <c r="BB36" s="76">
        <f>AW36*1.03</f>
        <v>28.562534254275409</v>
      </c>
      <c r="BC36" s="76">
        <f>AX36*1.03</f>
        <v>28.562534254275409</v>
      </c>
      <c r="BD36" s="76">
        <f>AY36*1.03</f>
        <v>28.562534254275409</v>
      </c>
      <c r="BE36" s="1120">
        <f>$V36-SUM(BA36:BD36)</f>
        <v>0</v>
      </c>
      <c r="BF36" s="1437">
        <f>BA36*1.04</f>
        <v>29.705035624446428</v>
      </c>
      <c r="BG36" s="1437">
        <f>BB36*1.03</f>
        <v>29.419410281903673</v>
      </c>
      <c r="BH36" s="1437">
        <f>BC36*1.03</f>
        <v>29.419410281903673</v>
      </c>
      <c r="BI36" s="1437">
        <f>BD36*1.03</f>
        <v>29.419410281903673</v>
      </c>
      <c r="BJ36" s="1741">
        <f>$W36-SUM(BF36:BI36)</f>
        <v>0</v>
      </c>
      <c r="BK36" s="1437">
        <f>BF36*1.02</f>
        <v>30.299136336935355</v>
      </c>
      <c r="BL36" s="1437">
        <f>BG36*1.02</f>
        <v>30.007798487541749</v>
      </c>
      <c r="BM36" s="1437">
        <f>BH36*1.02</f>
        <v>30.007798487541749</v>
      </c>
      <c r="BN36" s="1437">
        <f>BI36*1.02</f>
        <v>30.007798487541749</v>
      </c>
      <c r="BO36" s="1741">
        <f t="shared" si="15"/>
        <v>0</v>
      </c>
      <c r="BP36" s="1437">
        <f>BK36*1.02</f>
        <v>30.905119063674064</v>
      </c>
      <c r="BQ36" s="1437">
        <f>BL36*1.02</f>
        <v>30.607954457292585</v>
      </c>
      <c r="BR36" s="1437">
        <f>BM36*1.02</f>
        <v>30.607954457292585</v>
      </c>
      <c r="BS36" s="1437">
        <f>BN36*1.02</f>
        <v>30.607954457292585</v>
      </c>
      <c r="BT36" s="3024">
        <f>Y36-SUM(BP36:BS36)</f>
        <v>0</v>
      </c>
      <c r="BU36" s="2878">
        <f>BP36*1.01</f>
        <v>31.214170254310805</v>
      </c>
      <c r="BV36" s="2878">
        <f t="shared" ref="BV36:BX36" si="72">BQ36*1.01</f>
        <v>30.914034001865513</v>
      </c>
      <c r="BW36" s="2878">
        <f t="shared" si="72"/>
        <v>30.914034001865513</v>
      </c>
      <c r="BX36" s="2878">
        <f t="shared" si="72"/>
        <v>30.914034001865513</v>
      </c>
      <c r="BY36" s="2835">
        <f t="shared" ref="BY36" si="73">Z36-SUM(BU36:BX36)</f>
        <v>0</v>
      </c>
      <c r="BZ36" s="2835"/>
      <c r="CA36" s="2932"/>
      <c r="CB36" s="2932"/>
      <c r="CC36" s="1628"/>
      <c r="CD36" s="1577"/>
      <c r="CE36" s="1577"/>
      <c r="CF36" s="1577"/>
      <c r="CG36" s="1577"/>
      <c r="CH36" s="1577"/>
    </row>
    <row r="37" spans="1:92">
      <c r="A37" s="508" t="s">
        <v>1098</v>
      </c>
      <c r="B37" s="260">
        <f>+B36/B14</f>
        <v>6.311360448807854E-2</v>
      </c>
      <c r="C37" s="260">
        <f>+C36/C14</f>
        <v>6.9389373513084857E-2</v>
      </c>
      <c r="D37" s="509">
        <f>+C37</f>
        <v>6.9389373513084857E-2</v>
      </c>
      <c r="E37" s="509">
        <v>0.06</v>
      </c>
      <c r="F37" s="509">
        <v>0.05</v>
      </c>
      <c r="G37" s="509">
        <v>5.2999999999999999E-2</v>
      </c>
      <c r="H37" s="260">
        <f t="shared" ref="H37:AI37" si="74">+H36/H14</f>
        <v>4.6647230320699708E-2</v>
      </c>
      <c r="I37" s="260">
        <f t="shared" si="74"/>
        <v>4.5977011494252873E-2</v>
      </c>
      <c r="J37" s="260">
        <f t="shared" si="74"/>
        <v>4.2821726391706109E-2</v>
      </c>
      <c r="K37" s="260">
        <f t="shared" si="74"/>
        <v>3.8237133356980896E-2</v>
      </c>
      <c r="L37" s="260">
        <f t="shared" si="74"/>
        <v>3.234085185279964E-2</v>
      </c>
      <c r="M37" s="260">
        <f t="shared" si="74"/>
        <v>2.9935818128217013E-2</v>
      </c>
      <c r="N37" s="260">
        <f t="shared" si="74"/>
        <v>2.9909824270275696E-2</v>
      </c>
      <c r="O37" s="260">
        <f t="shared" si="74"/>
        <v>2.7742374527498188E-2</v>
      </c>
      <c r="P37" s="260">
        <f t="shared" si="74"/>
        <v>2.9818585943735463E-2</v>
      </c>
      <c r="Q37" s="260">
        <f t="shared" si="74"/>
        <v>2.8607573437783942E-2</v>
      </c>
      <c r="R37" s="260">
        <f t="shared" si="74"/>
        <v>2.4222445771719229E-2</v>
      </c>
      <c r="S37" s="260">
        <f t="shared" si="74"/>
        <v>2.4125951596060694E-2</v>
      </c>
      <c r="T37" s="260">
        <f t="shared" si="74"/>
        <v>2.5989208774766778E-2</v>
      </c>
      <c r="U37" s="260">
        <f t="shared" si="74"/>
        <v>2.3787238195225359E-2</v>
      </c>
      <c r="V37" s="770">
        <f t="shared" si="74"/>
        <v>2.5977701533856739E-2</v>
      </c>
      <c r="W37" s="770">
        <f t="shared" si="74"/>
        <v>2.5352829481797325E-2</v>
      </c>
      <c r="X37" s="770">
        <f t="shared" si="74"/>
        <v>2.2786268265461197E-2</v>
      </c>
      <c r="Y37" s="770">
        <f t="shared" si="74"/>
        <v>2.3769276923793138E-2</v>
      </c>
      <c r="Z37" s="770">
        <f t="shared" si="74"/>
        <v>2.2896013792123089E-2</v>
      </c>
      <c r="AA37" s="770">
        <f t="shared" si="74"/>
        <v>2.0747731632541712E-2</v>
      </c>
      <c r="AB37" s="770">
        <f t="shared" si="74"/>
        <v>2.1675690907360851E-2</v>
      </c>
      <c r="AC37" s="770">
        <f t="shared" si="74"/>
        <v>2.1072105689099448E-2</v>
      </c>
      <c r="AD37" s="770">
        <f>+AD36/AD14</f>
        <v>1.9707449967038784E-2</v>
      </c>
      <c r="AE37" s="770">
        <f t="shared" si="74"/>
        <v>2.1102952074597732E-2</v>
      </c>
      <c r="AF37" s="770">
        <f t="shared" si="74"/>
        <v>2.1347961906425746E-2</v>
      </c>
      <c r="AG37" s="770">
        <f t="shared" si="74"/>
        <v>1.972170514686045E-2</v>
      </c>
      <c r="AH37" s="1632">
        <f t="shared" si="74"/>
        <v>2.1682812693837136E-2</v>
      </c>
      <c r="AI37" s="1632">
        <f t="shared" si="74"/>
        <v>2.1706402881634636E-2</v>
      </c>
      <c r="AJ37" s="1632">
        <f t="shared" ref="AJ37" si="75">+AJ36/AJ14</f>
        <v>2.0176448378013422E-2</v>
      </c>
      <c r="AK37" s="770"/>
      <c r="AL37" s="770"/>
      <c r="AM37" s="770"/>
      <c r="AN37" s="770"/>
      <c r="AO37" s="770"/>
      <c r="AP37" s="770"/>
      <c r="AQ37" s="770"/>
      <c r="AR37" s="770"/>
      <c r="AS37" s="770"/>
      <c r="AT37" s="770"/>
      <c r="AU37" s="770"/>
      <c r="AV37" s="770"/>
      <c r="AW37" s="770"/>
      <c r="AX37" s="770"/>
      <c r="AY37" s="770"/>
      <c r="AZ37" s="314"/>
      <c r="BA37" s="1422"/>
      <c r="BB37" s="1422"/>
      <c r="BC37" s="1422"/>
      <c r="BD37" s="770"/>
      <c r="BE37" s="314"/>
      <c r="BF37" s="1631"/>
      <c r="BG37" s="1631"/>
      <c r="BH37" s="1631"/>
      <c r="BI37" s="1632"/>
      <c r="BJ37" s="1741"/>
      <c r="BK37" s="1135"/>
      <c r="BL37" s="1628"/>
      <c r="BM37" s="1628"/>
      <c r="BN37" s="1628"/>
      <c r="BO37" s="1741"/>
      <c r="BP37" s="1741"/>
      <c r="BQ37" s="1741"/>
      <c r="BR37" s="1741"/>
      <c r="BS37" s="1741"/>
      <c r="BT37" s="3024"/>
      <c r="BU37" s="2835"/>
      <c r="BV37" s="2835"/>
      <c r="BW37" s="2835"/>
      <c r="BX37" s="2835"/>
      <c r="BY37" s="2835"/>
      <c r="BZ37" s="2835"/>
      <c r="CA37" s="2932"/>
      <c r="CB37" s="2932"/>
      <c r="CC37" s="1628"/>
      <c r="CD37" s="1577"/>
      <c r="CE37" s="1577"/>
      <c r="CF37" s="1577"/>
      <c r="CG37" s="1577"/>
      <c r="CH37" s="1577"/>
    </row>
    <row r="38" spans="1:92">
      <c r="A38" s="483"/>
      <c r="B38" s="483"/>
      <c r="C38" s="483"/>
      <c r="D38" s="483"/>
      <c r="E38" s="483"/>
      <c r="F38" s="314"/>
      <c r="G38" s="314"/>
      <c r="H38" s="314"/>
      <c r="I38" s="314"/>
      <c r="J38" s="314"/>
      <c r="K38" s="314"/>
      <c r="L38" s="314"/>
      <c r="M38" s="314"/>
      <c r="N38" s="314"/>
      <c r="O38" s="314"/>
      <c r="P38" s="314"/>
      <c r="Q38" s="314"/>
      <c r="R38" s="314"/>
      <c r="S38" s="314"/>
      <c r="T38" s="314"/>
      <c r="U38" s="314"/>
      <c r="V38" s="513"/>
      <c r="W38" s="513"/>
      <c r="X38" s="513"/>
      <c r="Y38" s="513"/>
      <c r="Z38" s="513"/>
      <c r="AA38" s="513"/>
      <c r="AB38" s="513"/>
      <c r="AC38" s="513"/>
      <c r="AD38" s="513"/>
      <c r="AE38" s="513"/>
      <c r="AF38" s="513"/>
      <c r="AG38" s="513"/>
      <c r="AH38" s="1628"/>
      <c r="AI38" s="1628"/>
      <c r="AJ38" s="513"/>
      <c r="AK38" s="513"/>
      <c r="AL38" s="513"/>
      <c r="AM38" s="513"/>
      <c r="AN38" s="513"/>
      <c r="AO38" s="513"/>
      <c r="AP38" s="513"/>
      <c r="AQ38" s="513"/>
      <c r="AR38" s="513"/>
      <c r="AS38" s="513"/>
      <c r="AT38" s="513"/>
      <c r="AU38" s="513"/>
      <c r="AV38" s="513"/>
      <c r="AW38" s="513"/>
      <c r="AX38" s="513"/>
      <c r="AY38" s="513"/>
      <c r="AZ38" s="314"/>
      <c r="BA38" s="1249"/>
      <c r="BB38" s="1249"/>
      <c r="BC38" s="1249"/>
      <c r="BD38" s="513"/>
      <c r="BE38" s="314"/>
      <c r="BF38" s="1627"/>
      <c r="BG38" s="1627"/>
      <c r="BH38" s="1627"/>
      <c r="BI38" s="1628"/>
      <c r="BJ38" s="1741"/>
      <c r="BK38" s="1628"/>
      <c r="BL38" s="1628"/>
      <c r="BM38" s="1628"/>
      <c r="BN38" s="1628"/>
      <c r="BO38" s="1741"/>
      <c r="BP38" s="1741"/>
      <c r="BQ38" s="1741"/>
      <c r="BR38" s="1741"/>
      <c r="BS38" s="1741"/>
      <c r="BT38" s="2492"/>
      <c r="BU38" s="1741"/>
      <c r="BV38" s="1741"/>
      <c r="BW38" s="1741"/>
      <c r="BX38" s="1741"/>
      <c r="BY38" s="1741"/>
      <c r="BZ38" s="1741"/>
      <c r="CA38" s="1628"/>
      <c r="CB38" s="1628"/>
      <c r="CC38" s="1628"/>
      <c r="CD38" s="1577"/>
      <c r="CE38" s="1577"/>
      <c r="CF38" s="1577"/>
      <c r="CG38" s="1577"/>
      <c r="CH38" s="1577"/>
    </row>
    <row r="39" spans="1:92">
      <c r="A39" s="483" t="s">
        <v>749</v>
      </c>
      <c r="B39" s="76">
        <v>100</v>
      </c>
      <c r="C39" s="76">
        <f>+B39*1.03</f>
        <v>103</v>
      </c>
      <c r="D39" s="76">
        <f>+C39*1.03</f>
        <v>106.09</v>
      </c>
      <c r="E39" s="76">
        <f>+D39*1.03</f>
        <v>109.2727</v>
      </c>
      <c r="F39" s="76">
        <f>+E39*1.03</f>
        <v>112.550881</v>
      </c>
      <c r="G39" s="76">
        <f>+F39*1.03</f>
        <v>115.92740743</v>
      </c>
      <c r="H39" s="76">
        <f>+G39*1.01</f>
        <v>117.0866815043</v>
      </c>
      <c r="I39" s="76">
        <f>+H39*1.04+8</f>
        <v>129.77014876447203</v>
      </c>
      <c r="J39" s="76">
        <f>+I39</f>
        <v>129.77014876447203</v>
      </c>
      <c r="K39" s="76">
        <f>+J39</f>
        <v>129.77014876447203</v>
      </c>
      <c r="L39" s="76">
        <f>+K39*1.02</f>
        <v>132.36555173976146</v>
      </c>
      <c r="M39" s="76">
        <f>+L39*1.02</f>
        <v>135.01286277455668</v>
      </c>
      <c r="N39" s="76">
        <f>+M39*1.04</f>
        <v>140.41337728553896</v>
      </c>
      <c r="O39" s="76">
        <f>+N39*0.97</f>
        <v>136.20097596697278</v>
      </c>
      <c r="P39" s="76">
        <f>+O39*0.85</f>
        <v>115.77082957192685</v>
      </c>
      <c r="Q39" s="76">
        <f>P39*1.03</f>
        <v>119.24395445908466</v>
      </c>
      <c r="R39" s="76">
        <f>Q39*0.99</f>
        <v>118.05151491449381</v>
      </c>
      <c r="S39" s="76">
        <f>R39*1.05</f>
        <v>123.9540906602185</v>
      </c>
      <c r="T39" s="76">
        <f>S39*1.03</f>
        <v>127.67271338002506</v>
      </c>
      <c r="U39" s="166">
        <f>SUM(AV39:AY39)</f>
        <v>155.1547450499607</v>
      </c>
      <c r="V39" s="166">
        <f>SUM(BA39:BD39)</f>
        <v>205.97881803300612</v>
      </c>
      <c r="W39" s="1121">
        <f>SUM(BF39:BI39)</f>
        <v>199.25593390770675</v>
      </c>
      <c r="X39" s="1121">
        <f>SUM(BK39:BN39)</f>
        <v>217.94879185305913</v>
      </c>
      <c r="Y39" s="2152">
        <f>SUM(BP39:BS39)</f>
        <v>224.03190057957383</v>
      </c>
      <c r="Z39" s="2152">
        <f>SUM(BU39:BX39)</f>
        <v>229.63269809406313</v>
      </c>
      <c r="AA39" s="886">
        <f t="shared" ref="AA39:AJ39" si="76">Z39*1.025</f>
        <v>235.37351554641469</v>
      </c>
      <c r="AB39" s="886">
        <f t="shared" si="76"/>
        <v>241.25785343507505</v>
      </c>
      <c r="AC39" s="886">
        <f t="shared" si="76"/>
        <v>247.28929977095191</v>
      </c>
      <c r="AD39" s="886">
        <f t="shared" si="76"/>
        <v>253.47153226522568</v>
      </c>
      <c r="AE39" s="886">
        <f t="shared" si="76"/>
        <v>259.80832057185631</v>
      </c>
      <c r="AF39" s="886">
        <f t="shared" si="76"/>
        <v>266.30352858615271</v>
      </c>
      <c r="AG39" s="886">
        <f t="shared" si="76"/>
        <v>272.96111680080651</v>
      </c>
      <c r="AH39" s="1373">
        <f t="shared" si="76"/>
        <v>279.78514472082662</v>
      </c>
      <c r="AI39" s="1373">
        <f t="shared" si="76"/>
        <v>286.77977333884724</v>
      </c>
      <c r="AJ39" s="1373">
        <f t="shared" si="76"/>
        <v>293.9492676723184</v>
      </c>
      <c r="AK39" s="13"/>
      <c r="AL39" s="13"/>
      <c r="AM39" s="13"/>
      <c r="AN39" s="13"/>
      <c r="AO39" s="13"/>
      <c r="AP39" s="13"/>
      <c r="AQ39" s="166">
        <f>AQ33-AQ36-AQ42</f>
        <v>47.778647435648722</v>
      </c>
      <c r="AR39" s="166">
        <f>AR33-AR36-AR42</f>
        <v>55.506588393472157</v>
      </c>
      <c r="AS39" s="166">
        <f>AS33-AS36-AS42</f>
        <v>47.686409652369505</v>
      </c>
      <c r="AT39" s="166">
        <f>AT33-AT36-AT42</f>
        <v>-23.298932101465027</v>
      </c>
      <c r="AU39" s="1120">
        <f>T39-SUM(AQ39:AT39)</f>
        <v>-2.9842794901924208E-13</v>
      </c>
      <c r="AV39" s="166">
        <f>AV33-AV36-AV42</f>
        <v>59.54097278925741</v>
      </c>
      <c r="AW39" s="166">
        <f>AW33-AW36-AW42</f>
        <v>50.731451514800753</v>
      </c>
      <c r="AX39" s="166">
        <f>AX33-AX36-AX42</f>
        <v>27.380677031707933</v>
      </c>
      <c r="AY39" s="166">
        <f>AY33-AY36-AY42</f>
        <v>17.501643714194586</v>
      </c>
      <c r="AZ39" s="1120">
        <f>U39-SUM(AV39:AY39)</f>
        <v>0</v>
      </c>
      <c r="BA39" s="166">
        <f>BA33-BA36-BA42</f>
        <v>73.440611577945575</v>
      </c>
      <c r="BB39" s="166">
        <f>BB33-BB36-BB42</f>
        <v>59.712872782802663</v>
      </c>
      <c r="BC39" s="166">
        <f>BC33-BC36-BC42</f>
        <v>40.686001112472766</v>
      </c>
      <c r="BD39" s="166">
        <f>BD33-BD36-BD42</f>
        <v>32.139332559785153</v>
      </c>
      <c r="BE39" s="1120">
        <f>$V39-SUM(BA39:BD39)</f>
        <v>0</v>
      </c>
      <c r="BF39" s="1693">
        <f>BF33-BF36-BF42</f>
        <v>90.775189908235319</v>
      </c>
      <c r="BG39" s="1693">
        <f>BG33-BG36-BG42</f>
        <v>59.951928543065847</v>
      </c>
      <c r="BH39" s="1693">
        <f>BH33-BH36-BH42</f>
        <v>28.297372509865454</v>
      </c>
      <c r="BI39" s="1693">
        <f>BI33-BI36-BI42</f>
        <v>20.231442946540113</v>
      </c>
      <c r="BJ39" s="1741">
        <f>$W39-SUM(BF39:BI39)</f>
        <v>0</v>
      </c>
      <c r="BK39" s="1693">
        <f>BK33-BK36-BK42</f>
        <v>106.34628724497895</v>
      </c>
      <c r="BL39" s="1693">
        <f>BL33-BL36-BL42</f>
        <v>67.448093325946616</v>
      </c>
      <c r="BM39" s="1693">
        <f>BM33-BM36-BM42</f>
        <v>23.144273348905216</v>
      </c>
      <c r="BN39" s="1693">
        <f>BN33-BN36-BN42</f>
        <v>21.01013793322835</v>
      </c>
      <c r="BO39" s="1741">
        <f t="shared" si="15"/>
        <v>0</v>
      </c>
      <c r="BP39" s="1693">
        <f t="shared" ref="BP39:BR39" si="77">BP33-BP36-BP42</f>
        <v>118.13159562654718</v>
      </c>
      <c r="BQ39" s="1693">
        <f t="shared" si="77"/>
        <v>63.656149663639454</v>
      </c>
      <c r="BR39" s="1693">
        <f t="shared" si="77"/>
        <v>20.708763907828114</v>
      </c>
      <c r="BS39" s="1437">
        <f>BN39*1.025</f>
        <v>21.535391381559055</v>
      </c>
      <c r="BT39" s="2492">
        <f>Y39-SUM(BP39:BS39)</f>
        <v>0</v>
      </c>
      <c r="BU39" s="1437">
        <f t="shared" ref="BU39:BV39" si="78">BP39*1.025</f>
        <v>121.08488551721085</v>
      </c>
      <c r="BV39" s="1437">
        <f t="shared" si="78"/>
        <v>65.247553405230434</v>
      </c>
      <c r="BW39" s="1437">
        <f>BR39*1.025</f>
        <v>21.226483005523814</v>
      </c>
      <c r="BX39" s="1437">
        <f>BS39*1.025</f>
        <v>22.073776166098028</v>
      </c>
      <c r="BY39" s="1741">
        <f t="shared" ref="BY39" si="79">Z39-SUM(BU39:BX39)</f>
        <v>0</v>
      </c>
      <c r="BZ39" s="1741"/>
      <c r="CA39" s="1628"/>
      <c r="CB39" s="1628"/>
      <c r="CC39" s="1628"/>
      <c r="CD39" s="1577"/>
      <c r="CE39" s="1577"/>
      <c r="CF39" s="1577"/>
      <c r="CG39" s="1577"/>
      <c r="CH39" s="1577"/>
    </row>
    <row r="40" spans="1:92">
      <c r="A40" s="508" t="s">
        <v>1099</v>
      </c>
      <c r="B40" s="260">
        <f t="shared" ref="B40:R40" si="80">+B39/B14</f>
        <v>3.5063113604488078E-2</v>
      </c>
      <c r="C40" s="260">
        <f t="shared" si="80"/>
        <v>4.08406026962728E-2</v>
      </c>
      <c r="D40" s="260">
        <f t="shared" si="80"/>
        <v>4.1104223169314218E-2</v>
      </c>
      <c r="E40" s="260">
        <f t="shared" si="80"/>
        <v>3.8804225852272729E-2</v>
      </c>
      <c r="F40" s="260">
        <f t="shared" si="80"/>
        <v>3.4631040307692311E-2</v>
      </c>
      <c r="G40" s="260">
        <f t="shared" si="80"/>
        <v>3.7395937880645165E-2</v>
      </c>
      <c r="H40" s="260">
        <f t="shared" si="80"/>
        <v>3.4136058747609332E-2</v>
      </c>
      <c r="I40" s="260">
        <f t="shared" si="80"/>
        <v>3.7290272633468971E-2</v>
      </c>
      <c r="J40" s="260">
        <f t="shared" si="80"/>
        <v>3.6559090817126445E-2</v>
      </c>
      <c r="K40" s="260">
        <f t="shared" si="80"/>
        <v>3.4363147396553786E-2</v>
      </c>
      <c r="L40" s="260">
        <f t="shared" si="80"/>
        <v>3.1205822271684728E-2</v>
      </c>
      <c r="M40" s="260">
        <f t="shared" si="80"/>
        <v>3.1013578049501229E-2</v>
      </c>
      <c r="N40" s="260">
        <f t="shared" si="80"/>
        <v>3.2716867294968623E-2</v>
      </c>
      <c r="O40" s="260">
        <f t="shared" si="80"/>
        <v>3.0984865156919623E-2</v>
      </c>
      <c r="P40" s="260">
        <f t="shared" si="80"/>
        <v>2.9798084331539344E-2</v>
      </c>
      <c r="Q40" s="260">
        <f t="shared" si="80"/>
        <v>3.0995306930951486E-2</v>
      </c>
      <c r="R40" s="260">
        <f t="shared" si="80"/>
        <v>2.7349192081899086E-2</v>
      </c>
      <c r="S40" s="260">
        <v>2.9000000000000001E-2</v>
      </c>
      <c r="T40" s="260">
        <f t="shared" ref="T40:AH40" si="81">T39/T14</f>
        <v>3.08112179510346E-2</v>
      </c>
      <c r="U40" s="260">
        <f t="shared" si="81"/>
        <v>3.3272817549291379E-2</v>
      </c>
      <c r="V40" s="260">
        <f t="shared" si="81"/>
        <v>4.6834571903901293E-2</v>
      </c>
      <c r="W40" s="3271">
        <f t="shared" si="81"/>
        <v>4.2824362759370981E-2</v>
      </c>
      <c r="X40" s="3271">
        <f t="shared" si="81"/>
        <v>4.1274394454814026E-2</v>
      </c>
      <c r="Y40" s="3271">
        <f t="shared" si="81"/>
        <v>4.3388906018477905E-2</v>
      </c>
      <c r="Z40" s="3271">
        <f t="shared" si="81"/>
        <v>4.2415549667869923E-2</v>
      </c>
      <c r="AA40" s="3271">
        <f t="shared" si="81"/>
        <v>3.8249211259635672E-2</v>
      </c>
      <c r="AB40" s="3271">
        <f t="shared" si="81"/>
        <v>3.9765958247835791E-2</v>
      </c>
      <c r="AC40" s="3271">
        <f t="shared" si="81"/>
        <v>3.8470964922379378E-2</v>
      </c>
      <c r="AD40" s="3271">
        <f t="shared" si="81"/>
        <v>3.5804879529557722E-2</v>
      </c>
      <c r="AE40" s="3271">
        <f t="shared" si="81"/>
        <v>3.8154137237739298E-2</v>
      </c>
      <c r="AF40" s="3271">
        <f t="shared" si="81"/>
        <v>3.8409750376388455E-2</v>
      </c>
      <c r="AG40" s="3271">
        <f t="shared" si="81"/>
        <v>3.5311500109845233E-2</v>
      </c>
      <c r="AH40" s="3272">
        <f t="shared" si="81"/>
        <v>3.8634381598562653E-2</v>
      </c>
      <c r="AI40" s="3272">
        <f>AI39/AI14</f>
        <v>3.8488664951237483E-2</v>
      </c>
      <c r="AJ40" s="3272">
        <f>AJ39/AJ14</f>
        <v>3.560216010271991E-2</v>
      </c>
      <c r="AK40" s="260"/>
      <c r="AL40" s="260"/>
      <c r="AM40" s="260"/>
      <c r="AN40" s="260"/>
      <c r="AO40" s="260"/>
      <c r="AP40" s="260"/>
      <c r="AQ40" s="260"/>
      <c r="AR40" s="260"/>
      <c r="AS40" s="260"/>
      <c r="AT40" s="260"/>
      <c r="AU40" s="260"/>
      <c r="AV40" s="260"/>
      <c r="AW40" s="260"/>
      <c r="AX40" s="260"/>
      <c r="AY40" s="260"/>
      <c r="AZ40" s="314"/>
      <c r="BA40" s="1423"/>
      <c r="BB40" s="1423"/>
      <c r="BC40" s="1423"/>
      <c r="BD40" s="260"/>
      <c r="BE40" s="314"/>
      <c r="BF40" s="1693"/>
      <c r="BG40" s="1611"/>
      <c r="BH40" s="1611"/>
      <c r="BI40" s="260"/>
      <c r="BJ40" s="1741"/>
      <c r="BK40" s="1628"/>
      <c r="BL40" s="1628"/>
      <c r="BM40" s="1628"/>
      <c r="BN40" s="1628"/>
      <c r="BO40" s="1741"/>
      <c r="BP40" s="1741"/>
      <c r="BQ40" s="1741"/>
      <c r="BR40" s="1741"/>
      <c r="BS40" s="1741"/>
      <c r="BT40" s="2492"/>
      <c r="BU40" s="1741"/>
      <c r="BV40" s="1741"/>
      <c r="BW40" s="1741"/>
      <c r="BX40" s="1741"/>
      <c r="BY40" s="1741"/>
      <c r="BZ40" s="1741"/>
      <c r="CA40" s="1628"/>
      <c r="CB40" s="1628"/>
      <c r="CC40" s="1628"/>
      <c r="CD40" s="1577"/>
      <c r="CE40" s="1577"/>
      <c r="CF40" s="1577"/>
      <c r="CG40" s="1577"/>
      <c r="CH40" s="1577"/>
    </row>
    <row r="41" spans="1:92">
      <c r="A41" s="508"/>
      <c r="B41" s="889"/>
      <c r="C41" s="889"/>
      <c r="D41" s="332"/>
      <c r="E41" s="332"/>
      <c r="F41" s="332"/>
      <c r="G41" s="332"/>
      <c r="H41" s="332"/>
      <c r="I41" s="332"/>
      <c r="J41" s="332"/>
      <c r="K41" s="332"/>
      <c r="L41" s="332"/>
      <c r="M41" s="332"/>
      <c r="N41" s="332"/>
      <c r="O41" s="890"/>
      <c r="P41" s="477"/>
      <c r="Q41" s="314"/>
      <c r="R41" s="314"/>
      <c r="S41" s="314"/>
      <c r="T41" s="314"/>
      <c r="U41" s="314"/>
      <c r="V41" s="314"/>
      <c r="W41" s="314"/>
      <c r="X41" s="314"/>
      <c r="Y41" s="314"/>
      <c r="Z41" s="314"/>
      <c r="AA41" s="314"/>
      <c r="AB41" s="314"/>
      <c r="AC41" s="314"/>
      <c r="AD41" s="314"/>
      <c r="AE41" s="314"/>
      <c r="AF41" s="314"/>
      <c r="AG41" s="314"/>
      <c r="AH41" s="314"/>
      <c r="AI41" s="314"/>
      <c r="AJ41" s="314"/>
      <c r="AK41" s="314"/>
      <c r="AL41" s="476"/>
      <c r="AM41" s="476"/>
      <c r="AN41" s="476"/>
      <c r="AO41" s="476"/>
      <c r="AP41" s="476"/>
      <c r="AQ41" s="476"/>
      <c r="AR41" s="476"/>
      <c r="AS41" s="476"/>
      <c r="AT41" s="476"/>
      <c r="AU41" s="476"/>
      <c r="AV41" s="476"/>
      <c r="AW41" s="476"/>
      <c r="AX41" s="476"/>
      <c r="AY41" s="476"/>
      <c r="AZ41" s="314"/>
      <c r="BA41" s="1424"/>
      <c r="BB41" s="1424"/>
      <c r="BC41" s="1424"/>
      <c r="BD41" s="476"/>
      <c r="BE41" s="314"/>
      <c r="BF41" s="2050"/>
      <c r="BG41" s="1424"/>
      <c r="BH41" s="1424"/>
      <c r="BI41" s="476"/>
      <c r="BJ41" s="1120"/>
      <c r="BK41" s="1120"/>
      <c r="BL41" s="1741"/>
      <c r="BM41" s="1741"/>
      <c r="BN41" s="1120"/>
      <c r="BO41" s="1741"/>
      <c r="BP41" s="1741"/>
      <c r="BQ41" s="1741"/>
      <c r="BR41" s="1741"/>
      <c r="BS41" s="1741"/>
      <c r="BT41" s="2492"/>
      <c r="BU41" s="1741"/>
      <c r="BV41" s="1741"/>
      <c r="BW41" s="1741"/>
      <c r="BX41" s="1741"/>
      <c r="BY41" s="1741"/>
      <c r="BZ41" s="1741"/>
      <c r="CA41" s="314"/>
      <c r="CB41" s="314"/>
      <c r="CC41" s="314"/>
      <c r="CE41" s="1577"/>
    </row>
    <row r="42" spans="1:92">
      <c r="A42" s="479" t="s">
        <v>745</v>
      </c>
      <c r="B42" s="503">
        <f t="shared" ref="B42:I42" si="82">+B46+B49</f>
        <v>205</v>
      </c>
      <c r="C42" s="503">
        <f t="shared" si="82"/>
        <v>54</v>
      </c>
      <c r="D42" s="503">
        <f t="shared" si="82"/>
        <v>55</v>
      </c>
      <c r="E42" s="503">
        <f t="shared" si="82"/>
        <v>-77</v>
      </c>
      <c r="F42" s="503">
        <f t="shared" si="82"/>
        <v>-70.548387096774192</v>
      </c>
      <c r="G42" s="503">
        <f t="shared" si="82"/>
        <v>24</v>
      </c>
      <c r="H42" s="503">
        <f t="shared" si="82"/>
        <v>227</v>
      </c>
      <c r="I42" s="2485">
        <f t="shared" si="82"/>
        <v>259.2</v>
      </c>
      <c r="J42" s="10">
        <f t="shared" ref="J42:S42" si="83">+J33-J36-J39</f>
        <v>308.95987930356449</v>
      </c>
      <c r="K42" s="10">
        <f t="shared" si="83"/>
        <v>512.66356084176778</v>
      </c>
      <c r="L42" s="10">
        <f t="shared" si="83"/>
        <v>423.63819981996971</v>
      </c>
      <c r="M42" s="10">
        <f>+M33-M36-M39</f>
        <v>395.31906754648992</v>
      </c>
      <c r="N42" s="10">
        <f t="shared" si="83"/>
        <v>401.73898738906161</v>
      </c>
      <c r="O42" s="10">
        <f t="shared" si="83"/>
        <v>456.64742313755028</v>
      </c>
      <c r="P42" s="1485">
        <f t="shared" si="83"/>
        <v>198.90165783132676</v>
      </c>
      <c r="Q42" s="1485">
        <f>+Q33-Q36-Q39</f>
        <v>30.114225020536296</v>
      </c>
      <c r="R42" s="1485">
        <f t="shared" si="83"/>
        <v>182.08407635205407</v>
      </c>
      <c r="S42" s="1485">
        <f t="shared" si="83"/>
        <v>598.38836646660877</v>
      </c>
      <c r="T42" s="1485">
        <f>+T33-T36-T39</f>
        <v>374.0472761089049</v>
      </c>
      <c r="U42" s="1486">
        <f>+U33-U36-U39</f>
        <v>553.47493661637714</v>
      </c>
      <c r="V42" s="1486">
        <f>+V33-V36-V39</f>
        <v>287.28743914900042</v>
      </c>
      <c r="W42" s="2259">
        <f t="shared" ref="W42:AG42" si="84">+W33-W36-W39</f>
        <v>334.24855144778314</v>
      </c>
      <c r="X42" s="2259">
        <f t="shared" si="84"/>
        <v>576.55054226253287</v>
      </c>
      <c r="Y42" s="2259">
        <f>+Y33-Y36-Y39</f>
        <v>574.05729983471656</v>
      </c>
      <c r="Z42" s="1486">
        <f>+Z33-Z36-Z39</f>
        <v>589.66937121918875</v>
      </c>
      <c r="AA42" s="1486">
        <f t="shared" si="84"/>
        <v>676.22691593801301</v>
      </c>
      <c r="AB42" s="1486">
        <f t="shared" si="84"/>
        <v>738.00136905085594</v>
      </c>
      <c r="AC42" s="1486">
        <f t="shared" si="84"/>
        <v>824.33599257280866</v>
      </c>
      <c r="AD42" s="1486">
        <f t="shared" si="84"/>
        <v>854.54674295481459</v>
      </c>
      <c r="AE42" s="1486">
        <f t="shared" si="84"/>
        <v>712.55071153684071</v>
      </c>
      <c r="AF42" s="1486">
        <f t="shared" si="84"/>
        <v>613.41145555873004</v>
      </c>
      <c r="AG42" s="1486">
        <f t="shared" si="84"/>
        <v>638.66510921232214</v>
      </c>
      <c r="AH42" s="2259">
        <f>+AH33-AH36-AH39</f>
        <v>457.29356523796645</v>
      </c>
      <c r="AI42" s="2259">
        <f>+AI33-AI36-AI39</f>
        <v>417.46576137970226</v>
      </c>
      <c r="AJ42" s="2259">
        <f>+AJ33-AJ36-AJ39</f>
        <v>355.28717804672732</v>
      </c>
      <c r="AK42" s="37"/>
      <c r="AL42" s="37"/>
      <c r="AM42" s="37"/>
      <c r="AN42" s="37"/>
      <c r="AO42" s="37"/>
      <c r="AP42" s="37"/>
      <c r="AQ42" s="1131">
        <f>Drivers!CA49</f>
        <v>90.417282116664566</v>
      </c>
      <c r="AR42" s="1131">
        <f>Drivers!CB49</f>
        <v>89.280347166334991</v>
      </c>
      <c r="AS42" s="1131">
        <f>Drivers!CC49</f>
        <v>69.298120223810585</v>
      </c>
      <c r="AT42" s="1131">
        <f>Drivers!CD49</f>
        <v>125.05152660209473</v>
      </c>
      <c r="AU42" s="1120">
        <f>T42-SUM(AQ42:AT42)</f>
        <v>0</v>
      </c>
      <c r="AV42" s="1131">
        <f>Drivers!CF49</f>
        <v>127.90816230861012</v>
      </c>
      <c r="AW42" s="1131">
        <f>Drivers!CG49</f>
        <v>101.77959576962191</v>
      </c>
      <c r="AX42" s="1131">
        <f>Drivers!CH49</f>
        <v>136.65589308135449</v>
      </c>
      <c r="AY42" s="1131">
        <f>Drivers!CI49</f>
        <v>187.13128545679064</v>
      </c>
      <c r="AZ42" s="1120">
        <f>U42-SUM(AV42:AY42)</f>
        <v>0</v>
      </c>
      <c r="BA42" s="1131">
        <f>Drivers!CK49</f>
        <v>122.6413556253144</v>
      </c>
      <c r="BB42" s="1131">
        <f>Drivers!CL49</f>
        <v>72.517961985855607</v>
      </c>
      <c r="BC42" s="1131">
        <f>Drivers!CM49</f>
        <v>40.594838827108248</v>
      </c>
      <c r="BD42" s="1131">
        <f>Drivers!CN49</f>
        <v>51.533282710722183</v>
      </c>
      <c r="BE42" s="1120">
        <f>$V42-SUM(BA42:BD42)</f>
        <v>0</v>
      </c>
      <c r="BF42" s="1131">
        <f>Drivers!CP49</f>
        <v>73.658398188563808</v>
      </c>
      <c r="BG42" s="1131">
        <f>Drivers!CQ49</f>
        <v>30.370522479676325</v>
      </c>
      <c r="BH42" s="1131">
        <f>Drivers!CR49</f>
        <v>77.027894777661345</v>
      </c>
      <c r="BI42" s="1131">
        <f>Drivers!CS49</f>
        <v>153.19173600188168</v>
      </c>
      <c r="BJ42" s="1120">
        <f>$W42-SUM(BF42:BI42)</f>
        <v>0</v>
      </c>
      <c r="BK42" s="1131">
        <f>Drivers!CU49</f>
        <v>269.43137181403813</v>
      </c>
      <c r="BL42" s="2465">
        <f>Drivers!CV49</f>
        <v>77.28629819583071</v>
      </c>
      <c r="BM42" s="2465">
        <f>Drivers!CW49</f>
        <v>81.51541875993297</v>
      </c>
      <c r="BN42" s="2465">
        <f>Drivers!CX49</f>
        <v>148.31745349273089</v>
      </c>
      <c r="BO42" s="1741">
        <f t="shared" si="15"/>
        <v>0</v>
      </c>
      <c r="BP42" s="2465">
        <f>Drivers!CZ49</f>
        <v>228.83796156062718</v>
      </c>
      <c r="BQ42" s="2465">
        <f>Drivers!DA49</f>
        <v>89.66598633395553</v>
      </c>
      <c r="BR42" s="2465">
        <f>Drivers!DB49</f>
        <v>141.28614670221626</v>
      </c>
      <c r="BS42" s="1626">
        <f>BS33-BS36-BS39</f>
        <v>114.26720523791762</v>
      </c>
      <c r="BT42" s="2492">
        <f>Y42-SUM(BP42:BS42)</f>
        <v>0</v>
      </c>
      <c r="BU42" s="1626">
        <f t="shared" ref="BU42:BV42" si="85">BU33-BU36-BU39</f>
        <v>218.8129853481185</v>
      </c>
      <c r="BV42" s="1626">
        <f t="shared" si="85"/>
        <v>99.880094223960157</v>
      </c>
      <c r="BW42" s="1626">
        <f>BW33-BW36-BW39</f>
        <v>167.03172511573834</v>
      </c>
      <c r="BX42" s="1626">
        <f>BX33-BX36-BX39</f>
        <v>103.94456653137189</v>
      </c>
      <c r="BY42" s="1741">
        <f t="shared" ref="BY42" si="86">Z42-SUM(BU42:BX42)</f>
        <v>0</v>
      </c>
      <c r="BZ42" s="1741"/>
      <c r="CA42" s="314"/>
      <c r="CB42" s="314"/>
      <c r="CC42" s="314"/>
      <c r="CE42" s="1577"/>
    </row>
    <row r="43" spans="1:92">
      <c r="A43" s="314" t="s">
        <v>680</v>
      </c>
      <c r="B43" s="260">
        <f t="shared" ref="B43:AI43" si="87">+B42/B14</f>
        <v>7.1879382889200566E-2</v>
      </c>
      <c r="C43" s="260">
        <f t="shared" si="87"/>
        <v>2.1411578112609041E-2</v>
      </c>
      <c r="D43" s="260">
        <f t="shared" si="87"/>
        <v>2.1309569934134055E-2</v>
      </c>
      <c r="E43" s="260">
        <f t="shared" si="87"/>
        <v>-2.734375E-2</v>
      </c>
      <c r="F43" s="260">
        <f t="shared" si="87"/>
        <v>-2.1707196029776676E-2</v>
      </c>
      <c r="G43" s="260">
        <f t="shared" si="87"/>
        <v>7.7419354838709677E-3</v>
      </c>
      <c r="H43" s="260">
        <f t="shared" si="87"/>
        <v>6.6180758017492708E-2</v>
      </c>
      <c r="I43" s="260">
        <f t="shared" si="87"/>
        <v>7.4482758620689649E-2</v>
      </c>
      <c r="J43" s="260">
        <f t="shared" si="87"/>
        <v>8.7040759325998557E-2</v>
      </c>
      <c r="K43" s="260">
        <f t="shared" si="87"/>
        <v>0.13575335833221167</v>
      </c>
      <c r="L43" s="260">
        <f t="shared" si="87"/>
        <v>9.9874764977142233E-2</v>
      </c>
      <c r="M43" s="260">
        <f t="shared" si="87"/>
        <v>9.0808079347826198E-2</v>
      </c>
      <c r="N43" s="260">
        <f t="shared" si="87"/>
        <v>9.3606758784062466E-2</v>
      </c>
      <c r="O43" s="260">
        <f t="shared" si="87"/>
        <v>0.10388441587674692</v>
      </c>
      <c r="P43" s="260">
        <f t="shared" si="87"/>
        <v>5.119500651119168E-2</v>
      </c>
      <c r="Q43" s="260">
        <f t="shared" si="87"/>
        <v>7.8276475460190495E-3</v>
      </c>
      <c r="R43" s="260">
        <f t="shared" si="87"/>
        <v>4.218372278250284E-2</v>
      </c>
      <c r="S43" s="260">
        <f t="shared" si="87"/>
        <v>0.13807738017654911</v>
      </c>
      <c r="T43" s="260">
        <f t="shared" si="87"/>
        <v>9.0268717904333329E-2</v>
      </c>
      <c r="U43" s="260">
        <f t="shared" si="87"/>
        <v>0.11869228091098587</v>
      </c>
      <c r="V43" s="770">
        <f t="shared" si="87"/>
        <v>6.5322174165284783E-2</v>
      </c>
      <c r="W43" s="770">
        <f t="shared" si="87"/>
        <v>7.1837164084780664E-2</v>
      </c>
      <c r="X43" s="770">
        <f t="shared" si="87"/>
        <v>0.10918516364396491</v>
      </c>
      <c r="Y43" s="770">
        <f>+Y42/Y14</f>
        <v>0.11117933726095736</v>
      </c>
      <c r="Z43" s="770">
        <f>+Z42/Z14</f>
        <v>0.10891807094616791</v>
      </c>
      <c r="AA43" s="770">
        <f t="shared" si="87"/>
        <v>0.10988978988192259</v>
      </c>
      <c r="AB43" s="770">
        <f t="shared" si="87"/>
        <v>0.12164301062398228</v>
      </c>
      <c r="AC43" s="770">
        <f t="shared" si="87"/>
        <v>0.12824251224738398</v>
      </c>
      <c r="AD43" s="770">
        <f t="shared" si="87"/>
        <v>0.12071155648302651</v>
      </c>
      <c r="AE43" s="770">
        <f t="shared" si="87"/>
        <v>0.10464159722439006</v>
      </c>
      <c r="AF43" s="770">
        <f t="shared" si="87"/>
        <v>8.8474159584429363E-2</v>
      </c>
      <c r="AG43" s="770">
        <f t="shared" si="87"/>
        <v>8.2620643329807036E-2</v>
      </c>
      <c r="AH43" s="1632">
        <f t="shared" si="87"/>
        <v>6.3145790387118039E-2</v>
      </c>
      <c r="AI43" s="1632">
        <f t="shared" si="87"/>
        <v>5.6028009337226452E-2</v>
      </c>
      <c r="AJ43" s="1632">
        <f>+AJ42/AJ14</f>
        <v>4.3031204314356968E-2</v>
      </c>
      <c r="AK43" s="770"/>
      <c r="AL43" s="770"/>
      <c r="AM43" s="770"/>
      <c r="AN43" s="770"/>
      <c r="AO43" s="770"/>
      <c r="AP43" s="770"/>
      <c r="AQ43" s="770">
        <f>AQ42/AQ14</f>
        <v>7.0000000000000007E-2</v>
      </c>
      <c r="AR43" s="770">
        <f>AR42/AR14</f>
        <v>0.1</v>
      </c>
      <c r="AS43" s="770">
        <f>AS42/AS14</f>
        <v>9.9999999999999992E-2</v>
      </c>
      <c r="AT43" s="770">
        <f>AT42/AT14</f>
        <v>9.8757483347867117E-2</v>
      </c>
      <c r="AU43" s="770"/>
      <c r="AV43" s="770">
        <f>AV42/AV14</f>
        <v>8.5000000000000006E-2</v>
      </c>
      <c r="AW43" s="770">
        <f>AW42/AW14</f>
        <v>0.1</v>
      </c>
      <c r="AX43" s="770">
        <f>AX42/AX14</f>
        <v>0.17</v>
      </c>
      <c r="AY43" s="770">
        <f>AY42/AY14</f>
        <v>0.14000000000000001</v>
      </c>
      <c r="AZ43" s="314"/>
      <c r="BA43" s="1422">
        <f>BA42/BA14</f>
        <v>0.1</v>
      </c>
      <c r="BB43" s="1422">
        <f>BB42/BB14</f>
        <v>7.4999999999999997E-2</v>
      </c>
      <c r="BC43" s="1422">
        <f>BC42/BC14</f>
        <v>5.000000000000001E-2</v>
      </c>
      <c r="BD43" s="1422">
        <f>BD42/BD14</f>
        <v>3.6999999999999998E-2</v>
      </c>
      <c r="BE43" s="314"/>
      <c r="BF43" s="1610">
        <f>BF42/BF14</f>
        <v>0.06</v>
      </c>
      <c r="BG43" s="1610">
        <f>BG42/BG14</f>
        <v>0.03</v>
      </c>
      <c r="BH43" s="1610">
        <f>BH42/BH14</f>
        <v>8.8999999999999996E-2</v>
      </c>
      <c r="BI43" s="770">
        <f>BI42/BI14</f>
        <v>9.9000000000000005E-2</v>
      </c>
      <c r="BJ43" s="1120"/>
      <c r="BK43" s="770">
        <f>BK42/BK14</f>
        <v>0.14699999999999999</v>
      </c>
      <c r="BL43" s="1632">
        <f>BL42/BL14</f>
        <v>7.2999999999999995E-2</v>
      </c>
      <c r="BM43" s="1632">
        <f>BM42/BM14</f>
        <v>0.09</v>
      </c>
      <c r="BN43" s="770">
        <f>BN42/BN14</f>
        <v>9.9999999999999992E-2</v>
      </c>
      <c r="BO43" s="1628"/>
      <c r="BP43" s="1632">
        <f>BP42/BP14</f>
        <v>0.155</v>
      </c>
      <c r="BQ43" s="1632">
        <f>BQ42/BQ14</f>
        <v>7.5886484134496154E-2</v>
      </c>
      <c r="BR43" s="1632">
        <f>BR42/BR14</f>
        <v>0.14799999999999999</v>
      </c>
      <c r="BS43" s="1632">
        <f>BS42/BS14</f>
        <v>7.3684900315704085E-2</v>
      </c>
      <c r="BT43" s="2494"/>
      <c r="BU43" s="1632">
        <f t="shared" ref="BU43:BV43" si="88">BU42/BU14</f>
        <v>0.13903068146276507</v>
      </c>
      <c r="BV43" s="1632">
        <f t="shared" si="88"/>
        <v>8.4642859344052093E-2</v>
      </c>
      <c r="BW43" s="1632">
        <f>BW42/BW14</f>
        <v>0.16146715898604314</v>
      </c>
      <c r="BX43" s="1632">
        <f>BX42/BX14</f>
        <v>6.3944133557325838E-2</v>
      </c>
      <c r="BY43" s="1628"/>
      <c r="BZ43" s="1628"/>
      <c r="CA43" s="314"/>
      <c r="CB43" s="314"/>
      <c r="CC43" s="314"/>
      <c r="CE43" s="1577"/>
    </row>
    <row r="44" spans="1:92">
      <c r="A44" s="482" t="s">
        <v>676</v>
      </c>
      <c r="B44" s="260"/>
      <c r="C44" s="260">
        <f t="shared" ref="C44:AB44" si="89">+C42/B42-1</f>
        <v>-0.73658536585365852</v>
      </c>
      <c r="D44" s="260">
        <f t="shared" si="89"/>
        <v>1.8518518518518601E-2</v>
      </c>
      <c r="E44" s="260">
        <f t="shared" si="89"/>
        <v>-2.4</v>
      </c>
      <c r="F44" s="260">
        <f t="shared" si="89"/>
        <v>-8.3787180561374131E-2</v>
      </c>
      <c r="G44" s="260">
        <f t="shared" si="89"/>
        <v>-1.3401920438957475</v>
      </c>
      <c r="H44" s="260">
        <f t="shared" si="89"/>
        <v>8.4583333333333339</v>
      </c>
      <c r="I44" s="260">
        <f t="shared" si="89"/>
        <v>0.14185022026431704</v>
      </c>
      <c r="J44" s="260">
        <f t="shared" si="89"/>
        <v>0.19197484299214707</v>
      </c>
      <c r="K44" s="260">
        <f t="shared" si="89"/>
        <v>0.6593208218406148</v>
      </c>
      <c r="L44" s="260">
        <f t="shared" si="89"/>
        <v>-0.17365260147536699</v>
      </c>
      <c r="M44" s="260">
        <f t="shared" si="89"/>
        <v>-6.6847447386742642E-2</v>
      </c>
      <c r="N44" s="260">
        <f t="shared" si="89"/>
        <v>1.6239843634197282E-2</v>
      </c>
      <c r="O44" s="260">
        <f t="shared" si="89"/>
        <v>0.13667689089710611</v>
      </c>
      <c r="P44" s="260">
        <f t="shared" si="89"/>
        <v>-0.56443056994670904</v>
      </c>
      <c r="Q44" s="260">
        <f t="shared" si="89"/>
        <v>-0.84859741568331293</v>
      </c>
      <c r="R44" s="260">
        <f t="shared" si="89"/>
        <v>5.0464473592756391</v>
      </c>
      <c r="S44" s="260">
        <f t="shared" si="89"/>
        <v>2.2863300210263469</v>
      </c>
      <c r="T44" s="260">
        <f t="shared" si="89"/>
        <v>-0.37490884336940489</v>
      </c>
      <c r="U44" s="260">
        <f t="shared" si="89"/>
        <v>0.47969246661545362</v>
      </c>
      <c r="V44" s="770">
        <f t="shared" si="89"/>
        <v>-0.48093866561454757</v>
      </c>
      <c r="W44" s="770">
        <f t="shared" si="89"/>
        <v>0.16346385500838601</v>
      </c>
      <c r="X44" s="770">
        <f t="shared" si="89"/>
        <v>0.72491560476546302</v>
      </c>
      <c r="Y44" s="770">
        <f>+Y42/X42-1</f>
        <v>-4.3244125970850478E-3</v>
      </c>
      <c r="Z44" s="770">
        <f>+Z42/Y42-1</f>
        <v>2.7196015779203941E-2</v>
      </c>
      <c r="AA44" s="770">
        <f t="shared" si="89"/>
        <v>0.14678996221197593</v>
      </c>
      <c r="AB44" s="770">
        <f t="shared" si="89"/>
        <v>9.1351662669554967E-2</v>
      </c>
      <c r="AC44" s="770">
        <f t="shared" ref="AC44:AI44" si="90">+AC42/AB42-1</f>
        <v>0.11698436770244447</v>
      </c>
      <c r="AD44" s="770">
        <f t="shared" si="90"/>
        <v>3.6648588262798265E-2</v>
      </c>
      <c r="AE44" s="770">
        <f t="shared" si="90"/>
        <v>-0.16616531815098401</v>
      </c>
      <c r="AF44" s="770">
        <f t="shared" si="90"/>
        <v>-0.13913291274986661</v>
      </c>
      <c r="AG44" s="770">
        <f t="shared" si="90"/>
        <v>4.1169191453377163E-2</v>
      </c>
      <c r="AH44" s="1632">
        <f t="shared" si="90"/>
        <v>-0.2839853647211833</v>
      </c>
      <c r="AI44" s="1632">
        <f t="shared" si="90"/>
        <v>-8.7094608115770411E-2</v>
      </c>
      <c r="AJ44" s="1632">
        <f>+AJ42/AI42-1</f>
        <v>-0.14894295313579253</v>
      </c>
      <c r="AK44" s="770"/>
      <c r="AL44" s="770"/>
      <c r="AM44" s="770"/>
      <c r="AN44" s="770"/>
      <c r="AO44" s="770"/>
      <c r="AP44" s="770"/>
      <c r="AQ44" s="770"/>
      <c r="AR44" s="770"/>
      <c r="AS44" s="770"/>
      <c r="AT44" s="770"/>
      <c r="AU44" s="770"/>
      <c r="AV44" s="770"/>
      <c r="AW44" s="770"/>
      <c r="AX44" s="770"/>
      <c r="AY44" s="770"/>
      <c r="AZ44" s="314"/>
      <c r="BA44" s="1422"/>
      <c r="BB44" s="1422"/>
      <c r="BC44" s="1422"/>
      <c r="BD44" s="770"/>
      <c r="BE44" s="314"/>
      <c r="BF44" s="1610"/>
      <c r="BG44" s="1610"/>
      <c r="BH44" s="1610"/>
      <c r="BI44" s="770"/>
      <c r="BJ44" s="314"/>
      <c r="BK44" s="314"/>
      <c r="BL44" s="314"/>
      <c r="BM44" s="314"/>
      <c r="BN44" s="314"/>
      <c r="BO44" s="1628"/>
      <c r="BP44" s="1628"/>
      <c r="BQ44" s="1628"/>
      <c r="BR44" s="1628"/>
      <c r="BS44" s="1628"/>
      <c r="BT44" s="2494"/>
      <c r="BU44" s="1628"/>
      <c r="BV44" s="1628"/>
      <c r="BW44" s="1628"/>
      <c r="BX44" s="1628"/>
      <c r="BY44" s="1628"/>
      <c r="BZ44" s="1628"/>
      <c r="CA44" s="314"/>
      <c r="CB44" s="314"/>
      <c r="CC44" s="314"/>
      <c r="CE44" s="1577"/>
    </row>
    <row r="45" spans="1:92">
      <c r="A45" s="314"/>
      <c r="B45" s="314"/>
      <c r="C45" s="314"/>
      <c r="D45" s="314"/>
      <c r="E45" s="314"/>
      <c r="F45" s="314"/>
      <c r="G45" s="314"/>
      <c r="H45" s="314"/>
      <c r="I45" s="314"/>
      <c r="J45" s="510"/>
      <c r="K45" s="510"/>
      <c r="L45" s="510"/>
      <c r="M45" s="510"/>
      <c r="N45" s="510"/>
      <c r="O45" s="510"/>
      <c r="P45" s="510"/>
      <c r="Q45" s="510"/>
      <c r="R45" s="510"/>
      <c r="S45" s="510"/>
      <c r="T45" s="37"/>
      <c r="U45" s="37"/>
      <c r="V45" s="37"/>
      <c r="W45" s="37"/>
      <c r="X45" s="37"/>
      <c r="Y45" s="37"/>
      <c r="Z45" s="37"/>
      <c r="AA45" s="37"/>
      <c r="AB45" s="37"/>
      <c r="AC45" s="37"/>
      <c r="AD45" s="37"/>
      <c r="AE45" s="37"/>
      <c r="AF45" s="37"/>
      <c r="AG45" s="37"/>
      <c r="AH45" s="37"/>
      <c r="AI45" s="37"/>
      <c r="AJ45" s="37"/>
      <c r="AK45" s="314"/>
      <c r="AL45" s="314"/>
      <c r="AM45" s="314"/>
      <c r="AN45" s="314"/>
      <c r="AO45" s="314"/>
      <c r="AP45" s="314"/>
      <c r="AQ45" s="314"/>
      <c r="AR45" s="314"/>
      <c r="AS45" s="314"/>
      <c r="AT45" s="314"/>
      <c r="AU45" s="314"/>
      <c r="AV45" s="314"/>
      <c r="AW45" s="314"/>
      <c r="AX45" s="314"/>
      <c r="AY45" s="314"/>
      <c r="AZ45" s="314"/>
      <c r="BA45" s="997"/>
      <c r="BB45" s="997"/>
      <c r="BC45" s="997"/>
      <c r="BD45" s="314"/>
      <c r="BE45" s="314"/>
      <c r="BF45" s="997"/>
      <c r="BG45" s="997"/>
      <c r="BH45" s="997"/>
      <c r="BI45" s="314"/>
      <c r="BJ45" s="314"/>
      <c r="BK45" s="314"/>
      <c r="BL45" s="314"/>
      <c r="BM45" s="314"/>
      <c r="BN45" s="314"/>
      <c r="BO45" s="1628"/>
      <c r="BP45" s="1628"/>
      <c r="BQ45" s="1628"/>
      <c r="BR45" s="1628"/>
      <c r="BS45" s="1628"/>
      <c r="BT45" s="1628"/>
      <c r="BU45" s="1628"/>
      <c r="BV45" s="1628"/>
      <c r="BW45" s="1628"/>
      <c r="BX45" s="1628"/>
      <c r="BY45" s="1628"/>
      <c r="BZ45" s="1628"/>
      <c r="CA45" s="1628"/>
      <c r="CB45" s="1628"/>
      <c r="CC45" s="1628"/>
      <c r="CD45" s="1628"/>
      <c r="CE45" s="1577"/>
      <c r="CF45" s="1628"/>
      <c r="CG45" s="1628"/>
    </row>
    <row r="46" spans="1:92">
      <c r="A46" s="483" t="s">
        <v>692</v>
      </c>
      <c r="B46" s="13">
        <v>30</v>
      </c>
      <c r="C46" s="13">
        <f>+B46</f>
        <v>30</v>
      </c>
      <c r="D46" s="13">
        <f>+C46</f>
        <v>30</v>
      </c>
      <c r="E46" s="13">
        <f>+D46</f>
        <v>30</v>
      </c>
      <c r="F46" s="13">
        <f>+F47*F14</f>
        <v>31.451612903225808</v>
      </c>
      <c r="G46" s="76">
        <v>30</v>
      </c>
      <c r="H46" s="13">
        <f>+G46</f>
        <v>30</v>
      </c>
      <c r="I46" s="13">
        <f>+H46</f>
        <v>30</v>
      </c>
      <c r="J46" s="13">
        <f t="shared" ref="J46:U46" si="91">+J47*J14</f>
        <v>64.542811031811496</v>
      </c>
      <c r="K46" s="13">
        <f t="shared" si="91"/>
        <v>70.912815777881633</v>
      </c>
      <c r="L46" s="13">
        <f t="shared" si="91"/>
        <v>73.265012926097029</v>
      </c>
      <c r="M46" s="13">
        <f t="shared" si="91"/>
        <v>74.553842742481379</v>
      </c>
      <c r="N46" s="13">
        <f t="shared" si="91"/>
        <v>69.440313738428031</v>
      </c>
      <c r="O46" s="13">
        <f t="shared" si="91"/>
        <v>82.387283195710367</v>
      </c>
      <c r="P46" s="13">
        <f t="shared" si="91"/>
        <v>74.760861181350677</v>
      </c>
      <c r="Q46" s="13">
        <f t="shared" si="91"/>
        <v>75.95292868174478</v>
      </c>
      <c r="R46" s="13">
        <f t="shared" si="91"/>
        <v>68.631610086308413</v>
      </c>
      <c r="S46" s="13">
        <f t="shared" si="91"/>
        <v>64.35570569681434</v>
      </c>
      <c r="T46" s="13">
        <f t="shared" si="91"/>
        <v>77.338018062958639</v>
      </c>
      <c r="U46" s="13">
        <f t="shared" si="91"/>
        <v>73.595101555966778</v>
      </c>
      <c r="V46" s="14">
        <f t="shared" ref="V46:AI46" si="92">+V47*V14</f>
        <v>69.56203694299991</v>
      </c>
      <c r="W46" s="14">
        <f t="shared" si="92"/>
        <v>66.718280105298433</v>
      </c>
      <c r="X46" s="14">
        <f t="shared" ca="1" si="92"/>
        <v>66.750037024628213</v>
      </c>
      <c r="Y46" s="14">
        <f t="shared" ca="1" si="92"/>
        <v>61.628238726110609</v>
      </c>
      <c r="Z46" s="14">
        <f t="shared" ca="1" si="92"/>
        <v>60.728623137895774</v>
      </c>
      <c r="AA46" s="14">
        <f t="shared" ca="1" si="92"/>
        <v>62.873462863595634</v>
      </c>
      <c r="AB46" s="14">
        <f t="shared" ca="1" si="92"/>
        <v>60.669442926904743</v>
      </c>
      <c r="AC46" s="14">
        <f t="shared" ca="1" si="92"/>
        <v>64.279463816385459</v>
      </c>
      <c r="AD46" s="14">
        <f t="shared" ca="1" si="92"/>
        <v>70.792454993733273</v>
      </c>
      <c r="AE46" s="14">
        <f t="shared" ca="1" si="92"/>
        <v>68.094403223688374</v>
      </c>
      <c r="AF46" s="14">
        <f t="shared" ca="1" si="92"/>
        <v>69.332272659042573</v>
      </c>
      <c r="AG46" s="14">
        <f t="shared" ca="1" si="92"/>
        <v>77.300912153743909</v>
      </c>
      <c r="AH46" s="1357">
        <f t="shared" ca="1" si="92"/>
        <v>72.41869369826685</v>
      </c>
      <c r="AI46" s="1357">
        <f t="shared" ca="1" si="92"/>
        <v>74.510189870752242</v>
      </c>
      <c r="AJ46" s="1357">
        <f ca="1">+AJ47*AJ14</f>
        <v>82.565009208489428</v>
      </c>
      <c r="AK46" s="14"/>
      <c r="AL46" s="14"/>
      <c r="AM46" s="14"/>
      <c r="AN46" s="14"/>
      <c r="AO46" s="14"/>
      <c r="AP46" s="14"/>
      <c r="AQ46" s="14"/>
      <c r="AR46" s="14"/>
      <c r="AS46" s="14"/>
      <c r="AT46" s="14"/>
      <c r="AU46" s="14"/>
      <c r="AV46" s="14"/>
      <c r="AW46" s="14"/>
      <c r="AX46" s="14"/>
      <c r="AY46" s="14"/>
      <c r="AZ46" s="314"/>
      <c r="BA46" s="1328"/>
      <c r="BB46" s="1328"/>
      <c r="BC46" s="1328"/>
      <c r="BD46" s="14"/>
      <c r="BE46" s="314"/>
      <c r="BF46" s="1328"/>
      <c r="BG46" s="1328"/>
      <c r="BH46" s="1328"/>
      <c r="BI46" s="14"/>
      <c r="BJ46" s="314"/>
      <c r="BK46" s="314"/>
      <c r="BL46" s="314"/>
      <c r="BM46" s="314"/>
      <c r="BN46" s="314"/>
      <c r="BO46" s="1628"/>
      <c r="BP46" s="1628"/>
      <c r="BQ46" s="1628"/>
      <c r="BR46" s="1628"/>
      <c r="BS46" s="1628"/>
      <c r="BT46" s="1628"/>
      <c r="BU46" s="1628"/>
      <c r="BV46" s="1628"/>
      <c r="BW46" s="1628"/>
      <c r="BX46" s="1628"/>
      <c r="BY46" s="1628"/>
      <c r="BZ46" s="1628"/>
      <c r="CA46" s="1628"/>
      <c r="CB46" s="1628"/>
      <c r="CC46" s="1628"/>
      <c r="CD46" s="1628"/>
      <c r="CE46" s="1628"/>
      <c r="CF46" s="1628"/>
      <c r="CG46" s="1628"/>
    </row>
    <row r="47" spans="1:92">
      <c r="A47" s="508" t="s">
        <v>836</v>
      </c>
      <c r="B47" s="130">
        <f>C47</f>
        <v>9.6774193548387101E-3</v>
      </c>
      <c r="C47" s="130">
        <f>D47</f>
        <v>9.6774193548387101E-3</v>
      </c>
      <c r="D47" s="130">
        <f>E47</f>
        <v>9.6774193548387101E-3</v>
      </c>
      <c r="E47" s="130">
        <f>F47</f>
        <v>9.6774193548387101E-3</v>
      </c>
      <c r="F47" s="130">
        <f>G47</f>
        <v>9.6774193548387101E-3</v>
      </c>
      <c r="G47" s="38">
        <f>+G46/G14</f>
        <v>9.6774193548387101E-3</v>
      </c>
      <c r="H47" s="38">
        <f>+H46/H14</f>
        <v>8.7463556851311956E-3</v>
      </c>
      <c r="I47" s="38">
        <f>+I46/I14</f>
        <v>8.6206896551724137E-3</v>
      </c>
      <c r="J47" s="511">
        <f>'Segment Detail'!Y152</f>
        <v>1.8183122332604097E-2</v>
      </c>
      <c r="K47" s="511">
        <f>'Segment Detail'!Z152</f>
        <v>1.8777720177409134E-2</v>
      </c>
      <c r="L47" s="511">
        <f>'Segment Detail'!AA152</f>
        <v>1.7272582949674549E-2</v>
      </c>
      <c r="M47" s="511">
        <f>'Segment Detail'!AB152</f>
        <v>1.7125638056020246E-2</v>
      </c>
      <c r="N47" s="511">
        <f>'Segment Detail'!AC152</f>
        <v>1.6179865290763245E-2</v>
      </c>
      <c r="O47" s="511">
        <f>'Segment Detail'!AD152</f>
        <v>1.8742588607316965E-2</v>
      </c>
      <c r="P47" s="511">
        <f>'Segment Detail'!AE152</f>
        <v>1.9242588607316966E-2</v>
      </c>
      <c r="Q47" s="511">
        <f>'Segment Detail'!AF152</f>
        <v>1.9742588607316966E-2</v>
      </c>
      <c r="R47" s="511">
        <f>'Segment Detail'!AG152</f>
        <v>1.5900000000000001E-2</v>
      </c>
      <c r="S47" s="511">
        <f>'Segment Detail'!AH152</f>
        <v>1.485E-2</v>
      </c>
      <c r="T47" s="511">
        <f>'Segment Detail'!AI152</f>
        <v>1.8663960899351267E-2</v>
      </c>
      <c r="U47" s="511">
        <f>'Segment Detail'!AJ152</f>
        <v>1.5782413781832792E-2</v>
      </c>
      <c r="V47" s="514">
        <f>'Segment Detail'!AK152</f>
        <v>1.5816714806406545E-2</v>
      </c>
      <c r="W47" s="514">
        <f>'Segment Detail'!AL152</f>
        <v>1.4339185658751996E-2</v>
      </c>
      <c r="X47" s="514">
        <f ca="1">'Segment Detail'!AM152</f>
        <v>1.2640893003368469E-2</v>
      </c>
      <c r="Y47" s="514">
        <f ca="1">'Segment Detail'!AN152</f>
        <v>1.1935719204514639E-2</v>
      </c>
      <c r="Z47" s="514">
        <f ca="1">'Segment Detail'!AO152</f>
        <v>1.1217208839795311E-2</v>
      </c>
      <c r="AA47" s="514">
        <f ca="1">'Segment Detail'!AP152</f>
        <v>1.0217208839795312E-2</v>
      </c>
      <c r="AB47" s="514">
        <f ca="1">'Segment Detail'!AQ152</f>
        <v>0.01</v>
      </c>
      <c r="AC47" s="514">
        <f ca="1">'Segment Detail'!AR152</f>
        <v>0.01</v>
      </c>
      <c r="AD47" s="514">
        <f ca="1">'Segment Detail'!AS152</f>
        <v>0.01</v>
      </c>
      <c r="AE47" s="514">
        <f ca="1">'Segment Detail'!AT152</f>
        <v>0.01</v>
      </c>
      <c r="AF47" s="514">
        <f ca="1">'Segment Detail'!AU152</f>
        <v>0.01</v>
      </c>
      <c r="AG47" s="514">
        <f ca="1">'Segment Detail'!AV152</f>
        <v>0.01</v>
      </c>
      <c r="AH47" s="1551">
        <f ca="1">'Segment Detail'!AW152</f>
        <v>0.01</v>
      </c>
      <c r="AI47" s="1551">
        <f ca="1">'Segment Detail'!AX152</f>
        <v>0.01</v>
      </c>
      <c r="AJ47" s="1551">
        <f ca="1">'Segment Detail'!AY152</f>
        <v>0.01</v>
      </c>
      <c r="AK47" s="514"/>
      <c r="AL47" s="514"/>
      <c r="AM47" s="514"/>
      <c r="AN47" s="514"/>
      <c r="AO47" s="514"/>
      <c r="AP47" s="514"/>
      <c r="AQ47" s="514"/>
      <c r="AR47" s="514"/>
      <c r="AS47" s="514"/>
      <c r="AT47" s="514"/>
      <c r="AU47" s="514"/>
      <c r="AV47" s="514"/>
      <c r="AW47" s="514"/>
      <c r="AX47" s="514"/>
      <c r="AY47" s="514"/>
      <c r="AZ47" s="314"/>
      <c r="BA47" s="514"/>
      <c r="BB47" s="514"/>
      <c r="BC47" s="514"/>
      <c r="BD47" s="514"/>
      <c r="BE47" s="314"/>
      <c r="BF47" s="1612"/>
      <c r="BG47" s="1612"/>
      <c r="BH47" s="1612"/>
      <c r="BI47" s="514"/>
      <c r="BJ47" s="314"/>
      <c r="BK47" s="514"/>
      <c r="BL47" s="314"/>
      <c r="BM47" s="514"/>
      <c r="BN47" s="314"/>
      <c r="BO47" s="514"/>
      <c r="BP47" s="314"/>
      <c r="BQ47" s="514"/>
      <c r="BR47" s="314"/>
      <c r="BS47" s="514"/>
      <c r="BT47" s="314"/>
      <c r="BU47" s="514"/>
      <c r="BV47" s="514"/>
      <c r="BW47" s="514"/>
      <c r="BX47" s="514"/>
      <c r="BY47" s="514"/>
      <c r="BZ47" s="514"/>
      <c r="CA47" s="314"/>
      <c r="CB47" s="514"/>
      <c r="CC47" s="314"/>
      <c r="CD47" s="514"/>
      <c r="CE47" s="314"/>
      <c r="CF47" s="514"/>
      <c r="CG47" s="314"/>
    </row>
    <row r="48" spans="1:92">
      <c r="A48" s="483"/>
      <c r="B48" s="483"/>
      <c r="C48" s="483"/>
      <c r="D48" s="483"/>
      <c r="E48" s="483"/>
      <c r="F48" s="314"/>
      <c r="G48" s="314"/>
      <c r="H48" s="314"/>
      <c r="I48" s="314"/>
      <c r="J48" s="314"/>
      <c r="K48" s="314"/>
      <c r="L48" s="314"/>
      <c r="M48" s="314"/>
      <c r="N48" s="314"/>
      <c r="O48" s="314"/>
      <c r="P48" s="314"/>
      <c r="Q48" s="314"/>
      <c r="R48" s="314"/>
      <c r="S48" s="314"/>
      <c r="T48" s="314"/>
      <c r="U48" s="314"/>
      <c r="V48" s="513"/>
      <c r="W48" s="513"/>
      <c r="X48" s="513"/>
      <c r="Y48" s="513"/>
      <c r="Z48" s="513"/>
      <c r="AA48" s="513"/>
      <c r="AB48" s="513"/>
      <c r="AC48" s="513"/>
      <c r="AD48" s="513"/>
      <c r="AE48" s="513"/>
      <c r="AF48" s="513"/>
      <c r="AG48" s="513"/>
      <c r="AH48" s="1628"/>
      <c r="AI48" s="513"/>
      <c r="AJ48" s="513"/>
      <c r="AK48" s="513"/>
      <c r="AL48" s="513"/>
      <c r="AM48" s="513"/>
      <c r="AN48" s="513"/>
      <c r="AO48" s="513"/>
      <c r="AP48" s="513"/>
      <c r="AQ48" s="513"/>
      <c r="AR48" s="513"/>
      <c r="AS48" s="513"/>
      <c r="AT48" s="513"/>
      <c r="AU48" s="513"/>
      <c r="AV48" s="513"/>
      <c r="AW48" s="513"/>
      <c r="AX48" s="513"/>
      <c r="AY48" s="513"/>
      <c r="AZ48" s="314"/>
      <c r="BA48" s="1249"/>
      <c r="BB48" s="1249"/>
      <c r="BC48" s="1249"/>
      <c r="BD48" s="513"/>
      <c r="BE48" s="314"/>
      <c r="BF48" s="1249"/>
      <c r="BG48" s="1249"/>
      <c r="BH48" s="1249"/>
      <c r="BI48" s="513"/>
      <c r="BJ48" s="314"/>
      <c r="BK48" s="513"/>
      <c r="BL48" s="314"/>
      <c r="BM48" s="513"/>
      <c r="BN48" s="314"/>
      <c r="BO48" s="513"/>
      <c r="BP48" s="314"/>
      <c r="BQ48" s="513"/>
      <c r="BR48" s="314"/>
      <c r="BS48" s="513"/>
      <c r="BT48" s="314"/>
      <c r="BU48" s="513"/>
      <c r="BV48" s="513"/>
      <c r="BW48" s="513"/>
      <c r="BX48" s="513"/>
      <c r="BY48" s="513"/>
      <c r="BZ48" s="513"/>
      <c r="CA48" s="314"/>
      <c r="CB48" s="513"/>
      <c r="CC48" s="314"/>
      <c r="CD48" s="513"/>
      <c r="CE48" s="314"/>
      <c r="CF48" s="513"/>
      <c r="CG48" s="314"/>
    </row>
    <row r="49" spans="1:85">
      <c r="A49" s="483" t="s">
        <v>1100</v>
      </c>
      <c r="B49" s="512">
        <v>175</v>
      </c>
      <c r="C49" s="512">
        <v>24</v>
      </c>
      <c r="D49" s="512">
        <v>25</v>
      </c>
      <c r="E49" s="512">
        <v>-107</v>
      </c>
      <c r="F49" s="512">
        <f>-235+63+70</f>
        <v>-102</v>
      </c>
      <c r="G49" s="512">
        <f>48-24-G46</f>
        <v>-6</v>
      </c>
      <c r="H49" s="499">
        <v>197</v>
      </c>
      <c r="I49" s="499">
        <f>199.2+30</f>
        <v>229.2</v>
      </c>
      <c r="J49" s="10">
        <f t="shared" ref="J49:U49" si="93">+J42-J46</f>
        <v>244.41706827175301</v>
      </c>
      <c r="K49" s="10">
        <f t="shared" si="93"/>
        <v>441.75074506388614</v>
      </c>
      <c r="L49" s="10">
        <f t="shared" si="93"/>
        <v>350.37318689387268</v>
      </c>
      <c r="M49" s="10">
        <f t="shared" si="93"/>
        <v>320.76522480400854</v>
      </c>
      <c r="N49" s="10">
        <f t="shared" si="93"/>
        <v>332.29867365063359</v>
      </c>
      <c r="O49" s="10">
        <f t="shared" si="93"/>
        <v>374.2601399418399</v>
      </c>
      <c r="P49" s="10">
        <f t="shared" si="93"/>
        <v>124.14079664997608</v>
      </c>
      <c r="Q49" s="10">
        <f t="shared" si="93"/>
        <v>-45.838703661208484</v>
      </c>
      <c r="R49" s="10">
        <f t="shared" si="93"/>
        <v>113.45246626574566</v>
      </c>
      <c r="S49" s="10">
        <f t="shared" si="93"/>
        <v>534.03266076979446</v>
      </c>
      <c r="T49" s="10">
        <f t="shared" si="93"/>
        <v>296.70925804594629</v>
      </c>
      <c r="U49" s="10">
        <f t="shared" si="93"/>
        <v>479.87983506041036</v>
      </c>
      <c r="V49" s="37">
        <f t="shared" ref="V49:AI49" si="94">+V42-V46</f>
        <v>217.72540220600052</v>
      </c>
      <c r="W49" s="37">
        <f t="shared" si="94"/>
        <v>267.5302713424847</v>
      </c>
      <c r="X49" s="37">
        <f t="shared" ca="1" si="94"/>
        <v>509.80050523790464</v>
      </c>
      <c r="Y49" s="37">
        <f t="shared" ca="1" si="94"/>
        <v>512.42906110860599</v>
      </c>
      <c r="Z49" s="37">
        <f t="shared" ca="1" si="94"/>
        <v>528.94074808129301</v>
      </c>
      <c r="AA49" s="37">
        <f t="shared" ca="1" si="94"/>
        <v>613.35345307441742</v>
      </c>
      <c r="AB49" s="37">
        <f t="shared" ca="1" si="94"/>
        <v>677.33192612395123</v>
      </c>
      <c r="AC49" s="37">
        <f t="shared" ca="1" si="94"/>
        <v>760.05652875642318</v>
      </c>
      <c r="AD49" s="37">
        <f t="shared" ca="1" si="94"/>
        <v>783.75428796108133</v>
      </c>
      <c r="AE49" s="37">
        <f t="shared" ca="1" si="94"/>
        <v>644.45630831315236</v>
      </c>
      <c r="AF49" s="37">
        <f t="shared" ca="1" si="94"/>
        <v>544.07918289968745</v>
      </c>
      <c r="AG49" s="37">
        <f t="shared" ca="1" si="94"/>
        <v>561.36419705857827</v>
      </c>
      <c r="AH49" s="1626">
        <f t="shared" ca="1" si="94"/>
        <v>384.8748715396996</v>
      </c>
      <c r="AI49" s="1626">
        <f t="shared" ca="1" si="94"/>
        <v>342.95557150895002</v>
      </c>
      <c r="AJ49" s="1626">
        <f t="shared" ref="AJ49" ca="1" si="95">+AJ42-AJ46</f>
        <v>272.72216883823791</v>
      </c>
      <c r="AK49" s="37"/>
      <c r="AL49" s="37"/>
      <c r="AM49" s="37"/>
      <c r="AN49" s="37"/>
      <c r="AO49" s="37"/>
      <c r="AP49" s="37"/>
      <c r="AQ49" s="37"/>
      <c r="AR49" s="37"/>
      <c r="AS49" s="37"/>
      <c r="AT49" s="37"/>
      <c r="AU49" s="37"/>
      <c r="AV49" s="37"/>
      <c r="AW49" s="37"/>
      <c r="AX49" s="37"/>
      <c r="AY49" s="37"/>
      <c r="AZ49" s="314"/>
      <c r="BA49" s="869"/>
      <c r="BB49" s="869"/>
      <c r="BC49" s="869"/>
      <c r="BD49" s="37"/>
      <c r="BE49" s="314"/>
      <c r="BF49" s="869"/>
      <c r="BG49" s="869"/>
      <c r="BH49" s="869"/>
      <c r="BI49" s="37"/>
      <c r="BJ49" s="314"/>
      <c r="BK49" s="37"/>
      <c r="BL49" s="314"/>
      <c r="BM49" s="37"/>
      <c r="BN49" s="314"/>
      <c r="BO49" s="37"/>
      <c r="BP49" s="314"/>
      <c r="BQ49" s="37"/>
      <c r="BR49" s="314"/>
      <c r="BS49" s="37"/>
      <c r="BT49" s="314"/>
      <c r="BU49" s="37"/>
      <c r="BV49" s="37"/>
      <c r="BW49" s="37"/>
      <c r="BX49" s="37"/>
      <c r="BY49" s="37"/>
      <c r="BZ49" s="37"/>
      <c r="CA49" s="314"/>
      <c r="CB49" s="37"/>
      <c r="CC49" s="314"/>
      <c r="CD49" s="37"/>
      <c r="CE49" s="314"/>
      <c r="CF49" s="37"/>
      <c r="CG49" s="314"/>
    </row>
    <row r="50" spans="1:85">
      <c r="A50" s="314" t="s">
        <v>1101</v>
      </c>
      <c r="B50" s="314"/>
      <c r="C50" s="314"/>
      <c r="D50" s="314"/>
      <c r="E50" s="314"/>
      <c r="F50" s="314"/>
      <c r="G50" s="38">
        <f t="shared" ref="G50:AI50" si="96">+G49/G14</f>
        <v>-1.9354838709677419E-3</v>
      </c>
      <c r="H50" s="38">
        <f t="shared" si="96"/>
        <v>5.7434402332361516E-2</v>
      </c>
      <c r="I50" s="38">
        <f t="shared" si="96"/>
        <v>6.5862068965517231E-2</v>
      </c>
      <c r="J50" s="38">
        <f t="shared" si="96"/>
        <v>6.8857636993394478E-2</v>
      </c>
      <c r="K50" s="38">
        <f t="shared" si="96"/>
        <v>0.11697563815480252</v>
      </c>
      <c r="L50" s="38">
        <f t="shared" si="96"/>
        <v>8.2602182027467677E-2</v>
      </c>
      <c r="M50" s="38">
        <f t="shared" si="96"/>
        <v>7.3682441291805956E-2</v>
      </c>
      <c r="N50" s="38">
        <f t="shared" si="96"/>
        <v>7.7426893493299218E-2</v>
      </c>
      <c r="O50" s="38">
        <f t="shared" si="96"/>
        <v>8.5141827269429954E-2</v>
      </c>
      <c r="P50" s="38">
        <f t="shared" si="96"/>
        <v>3.1952417903874715E-2</v>
      </c>
      <c r="Q50" s="38">
        <f t="shared" si="96"/>
        <v>-1.1914941061297916E-2</v>
      </c>
      <c r="R50" s="38">
        <f t="shared" si="96"/>
        <v>2.6283722782502839E-2</v>
      </c>
      <c r="S50" s="38">
        <f t="shared" si="96"/>
        <v>0.12322738017654912</v>
      </c>
      <c r="T50" s="38">
        <f t="shared" si="96"/>
        <v>7.1604757004982075E-2</v>
      </c>
      <c r="U50" s="38">
        <f t="shared" si="96"/>
        <v>0.10290986712915307</v>
      </c>
      <c r="V50" s="39">
        <f t="shared" si="96"/>
        <v>4.9505459358878241E-2</v>
      </c>
      <c r="W50" s="39">
        <f t="shared" si="96"/>
        <v>5.7497978426028662E-2</v>
      </c>
      <c r="X50" s="39">
        <f t="shared" ca="1" si="96"/>
        <v>9.6544270640596438E-2</v>
      </c>
      <c r="Y50" s="39">
        <f t="shared" ca="1" si="96"/>
        <v>9.9243618056442731E-2</v>
      </c>
      <c r="Z50" s="39">
        <f t="shared" ca="1" si="96"/>
        <v>9.7700862106372618E-2</v>
      </c>
      <c r="AA50" s="39">
        <f t="shared" ca="1" si="96"/>
        <v>9.9672581042127298E-2</v>
      </c>
      <c r="AB50" s="39">
        <f t="shared" ca="1" si="96"/>
        <v>0.11164301062398228</v>
      </c>
      <c r="AC50" s="39">
        <f t="shared" ca="1" si="96"/>
        <v>0.11824251224738398</v>
      </c>
      <c r="AD50" s="39">
        <f t="shared" ca="1" si="96"/>
        <v>0.11071155648302651</v>
      </c>
      <c r="AE50" s="39">
        <f t="shared" ca="1" si="96"/>
        <v>9.464159722439007E-2</v>
      </c>
      <c r="AF50" s="39">
        <f t="shared" ca="1" si="96"/>
        <v>7.8474159584429354E-2</v>
      </c>
      <c r="AG50" s="39">
        <f t="shared" ca="1" si="96"/>
        <v>7.2620643329807041E-2</v>
      </c>
      <c r="AH50" s="1110">
        <f t="shared" ca="1" si="96"/>
        <v>5.3145790387118037E-2</v>
      </c>
      <c r="AI50" s="1110">
        <f t="shared" ca="1" si="96"/>
        <v>4.602800933722645E-2</v>
      </c>
      <c r="AJ50" s="1110">
        <f t="shared" ref="AJ50" ca="1" si="97">+AJ49/AJ14</f>
        <v>3.3031204314356973E-2</v>
      </c>
      <c r="AK50" s="39"/>
      <c r="AL50" s="39"/>
      <c r="AM50" s="39"/>
      <c r="AN50" s="39"/>
      <c r="AO50" s="39"/>
      <c r="AP50" s="39"/>
      <c r="AQ50" s="39"/>
      <c r="AR50" s="39"/>
      <c r="AS50" s="39"/>
      <c r="AT50" s="39"/>
      <c r="AU50" s="39"/>
      <c r="AV50" s="39"/>
      <c r="AW50" s="39"/>
      <c r="AX50" s="39"/>
      <c r="AY50" s="39"/>
      <c r="AZ50" s="314"/>
      <c r="BA50" s="1174"/>
      <c r="BB50" s="1174"/>
      <c r="BC50" s="1174"/>
      <c r="BD50" s="39"/>
      <c r="BE50" s="314"/>
      <c r="BF50" s="1609"/>
      <c r="BG50" s="1609"/>
      <c r="BH50" s="1609"/>
      <c r="BI50" s="39"/>
      <c r="BJ50" s="314"/>
      <c r="BK50" s="39"/>
      <c r="BL50" s="314"/>
      <c r="BM50" s="39"/>
      <c r="BN50" s="314"/>
      <c r="BO50" s="39"/>
      <c r="BP50" s="314"/>
      <c r="BQ50" s="39"/>
      <c r="BR50" s="314"/>
      <c r="BS50" s="39"/>
      <c r="BT50" s="314"/>
      <c r="BU50" s="39"/>
      <c r="BV50" s="39"/>
      <c r="BW50" s="39"/>
      <c r="BX50" s="39"/>
      <c r="BY50" s="39"/>
      <c r="BZ50" s="39"/>
      <c r="CA50" s="314"/>
      <c r="CB50" s="39"/>
      <c r="CC50" s="314"/>
      <c r="CD50" s="39"/>
      <c r="CE50" s="314"/>
      <c r="CF50" s="39"/>
      <c r="CG50" s="314"/>
    </row>
    <row r="51" spans="1:85">
      <c r="A51" s="483"/>
      <c r="B51" s="483"/>
      <c r="C51" s="483"/>
      <c r="D51" s="483"/>
      <c r="E51" s="483"/>
      <c r="F51" s="314"/>
      <c r="G51" s="314"/>
      <c r="H51" s="314"/>
      <c r="I51" s="314"/>
      <c r="J51" s="314"/>
      <c r="K51" s="314"/>
      <c r="L51" s="314"/>
      <c r="M51" s="314"/>
      <c r="N51" s="314"/>
      <c r="O51" s="314"/>
      <c r="P51" s="52"/>
      <c r="Q51" s="314"/>
      <c r="R51" s="314"/>
      <c r="S51" s="314"/>
      <c r="T51" s="314"/>
      <c r="U51" s="314"/>
      <c r="V51" s="513"/>
      <c r="W51" s="513"/>
      <c r="X51" s="513"/>
      <c r="Y51" s="513"/>
      <c r="Z51" s="513"/>
      <c r="AA51" s="513"/>
      <c r="AB51" s="513"/>
      <c r="AC51" s="513"/>
      <c r="AD51" s="513"/>
      <c r="AE51" s="513"/>
      <c r="AF51" s="513"/>
      <c r="AG51" s="513"/>
      <c r="AH51" s="1628"/>
      <c r="AI51" s="1628"/>
      <c r="AJ51" s="513"/>
      <c r="AK51" s="513"/>
      <c r="AL51" s="513"/>
      <c r="AM51" s="513"/>
      <c r="AN51" s="513"/>
      <c r="AO51" s="513"/>
      <c r="AP51" s="513"/>
      <c r="AQ51" s="513"/>
      <c r="AR51" s="513"/>
      <c r="AS51" s="513"/>
      <c r="AT51" s="513"/>
      <c r="AU51" s="513"/>
      <c r="AV51" s="513"/>
      <c r="AW51" s="513"/>
      <c r="AX51" s="513"/>
      <c r="AY51" s="513"/>
      <c r="AZ51" s="314"/>
      <c r="BA51" s="1249"/>
      <c r="BB51" s="1249"/>
      <c r="BC51" s="1249"/>
      <c r="BD51" s="513"/>
      <c r="BE51" s="314"/>
      <c r="BF51" s="1249"/>
      <c r="BG51" s="1249"/>
      <c r="BH51" s="1249"/>
      <c r="BI51" s="513"/>
      <c r="BJ51" s="314"/>
      <c r="BK51" s="513"/>
      <c r="BL51" s="314"/>
      <c r="BM51" s="513"/>
      <c r="BN51" s="314"/>
      <c r="BO51" s="513"/>
      <c r="BP51" s="314"/>
      <c r="BQ51" s="513"/>
      <c r="BR51" s="314"/>
      <c r="BS51" s="513"/>
      <c r="BT51" s="314"/>
      <c r="BU51" s="513"/>
      <c r="BV51" s="513"/>
      <c r="BW51" s="513"/>
      <c r="BX51" s="513"/>
      <c r="BY51" s="513"/>
      <c r="BZ51" s="513"/>
      <c r="CA51" s="314"/>
      <c r="CB51" s="513"/>
      <c r="CC51" s="314"/>
      <c r="CD51" s="513"/>
      <c r="CE51" s="314"/>
      <c r="CF51" s="513"/>
      <c r="CG51" s="314"/>
    </row>
    <row r="52" spans="1:85">
      <c r="A52" s="484" t="s">
        <v>686</v>
      </c>
      <c r="B52" s="484"/>
      <c r="C52" s="484"/>
      <c r="D52" s="484"/>
      <c r="E52" s="484"/>
      <c r="F52" s="513"/>
      <c r="G52" s="54">
        <f t="shared" ref="G52:AI52" si="98">G53*G14</f>
        <v>66.381156316916488</v>
      </c>
      <c r="H52" s="54">
        <f t="shared" si="98"/>
        <v>56.495949607729081</v>
      </c>
      <c r="I52" s="54">
        <f t="shared" si="98"/>
        <v>57.776488625533503</v>
      </c>
      <c r="J52" s="54">
        <f t="shared" si="98"/>
        <v>62.251350285119962</v>
      </c>
      <c r="K52" s="54">
        <f t="shared" si="98"/>
        <v>57.513338931508912</v>
      </c>
      <c r="L52" s="54">
        <f t="shared" si="98"/>
        <v>60.515464108075257</v>
      </c>
      <c r="M52" s="54">
        <f t="shared" si="98"/>
        <v>95.683365943730593</v>
      </c>
      <c r="N52" s="54">
        <f t="shared" si="98"/>
        <v>97.940247064297523</v>
      </c>
      <c r="O52" s="54">
        <f t="shared" si="98"/>
        <v>104.63715873948453</v>
      </c>
      <c r="P52" s="54">
        <f t="shared" si="98"/>
        <v>79.823184387714846</v>
      </c>
      <c r="Q52" s="54">
        <f t="shared" si="98"/>
        <v>40.89344366538684</v>
      </c>
      <c r="R52" s="54">
        <f t="shared" si="98"/>
        <v>54.143814727332412</v>
      </c>
      <c r="S52" s="54">
        <f t="shared" si="98"/>
        <v>52.817343712257895</v>
      </c>
      <c r="T52" s="54">
        <f t="shared" si="98"/>
        <v>50.501604321397643</v>
      </c>
      <c r="U52" s="54">
        <f t="shared" si="98"/>
        <v>52.168695121581571</v>
      </c>
      <c r="V52" s="54">
        <f t="shared" si="98"/>
        <v>48.323275385522379</v>
      </c>
      <c r="W52" s="54">
        <f t="shared" si="98"/>
        <v>48.79708359859746</v>
      </c>
      <c r="X52" s="54">
        <f t="shared" si="98"/>
        <v>54.323178402769919</v>
      </c>
      <c r="Y52" s="54">
        <f t="shared" si="98"/>
        <v>53.118105800540242</v>
      </c>
      <c r="Z52" s="54">
        <f t="shared" si="98"/>
        <v>55.154104131140983</v>
      </c>
      <c r="AA52" s="54">
        <f t="shared" si="98"/>
        <v>62.075504422003768</v>
      </c>
      <c r="AB52" s="54">
        <f t="shared" si="98"/>
        <v>60.593831522730682</v>
      </c>
      <c r="AC52" s="54">
        <f t="shared" si="98"/>
        <v>64.199353298071188</v>
      </c>
      <c r="AD52" s="54">
        <f t="shared" si="98"/>
        <v>70.704227433551878</v>
      </c>
      <c r="AE52" s="54">
        <f t="shared" si="98"/>
        <v>68.009538204401139</v>
      </c>
      <c r="AF52" s="54">
        <f t="shared" si="98"/>
        <v>69.245864901901214</v>
      </c>
      <c r="AG52" s="54">
        <f t="shared" si="98"/>
        <v>77.204573202372259</v>
      </c>
      <c r="AH52" s="1146">
        <f t="shared" si="98"/>
        <v>72.328439381516759</v>
      </c>
      <c r="AI52" s="1146">
        <f t="shared" si="98"/>
        <v>74.417328954125878</v>
      </c>
      <c r="AJ52" s="1146">
        <f t="shared" ref="AJ52" si="99">AJ53*AJ14</f>
        <v>82.462109693004848</v>
      </c>
      <c r="AK52" s="54"/>
      <c r="AL52" s="54"/>
      <c r="AM52" s="54"/>
      <c r="AN52" s="54"/>
      <c r="AO52" s="54"/>
      <c r="AP52" s="54"/>
      <c r="AQ52" s="54"/>
      <c r="AR52" s="54"/>
      <c r="AS52" s="54"/>
      <c r="AT52" s="54"/>
      <c r="AU52" s="54"/>
      <c r="AV52" s="54"/>
      <c r="AW52" s="54"/>
      <c r="AX52" s="54"/>
      <c r="AY52" s="54"/>
      <c r="AZ52" s="513"/>
      <c r="BA52" s="1011"/>
      <c r="BB52" s="1011"/>
      <c r="BC52" s="1011"/>
      <c r="BD52" s="54"/>
      <c r="BE52" s="513"/>
      <c r="BF52" s="1011"/>
      <c r="BG52" s="1011"/>
      <c r="BH52" s="1011"/>
      <c r="BI52" s="54"/>
      <c r="BJ52" s="513"/>
      <c r="BK52" s="54"/>
      <c r="BL52" s="513"/>
      <c r="BM52" s="54"/>
      <c r="BN52" s="513"/>
      <c r="BO52" s="54"/>
      <c r="BP52" s="513"/>
      <c r="BQ52" s="54"/>
      <c r="BR52" s="513"/>
      <c r="BS52" s="54"/>
      <c r="BT52" s="513"/>
      <c r="BU52" s="54"/>
      <c r="BV52" s="54"/>
      <c r="BW52" s="54"/>
      <c r="BX52" s="54"/>
      <c r="BY52" s="54"/>
      <c r="BZ52" s="54"/>
      <c r="CA52" s="513"/>
      <c r="CB52" s="54"/>
      <c r="CC52" s="513"/>
      <c r="CD52" s="54"/>
      <c r="CE52" s="513"/>
      <c r="CF52" s="54"/>
      <c r="CG52" s="513"/>
    </row>
    <row r="53" spans="1:85">
      <c r="A53" s="484" t="s">
        <v>1102</v>
      </c>
      <c r="B53" s="484"/>
      <c r="C53" s="484"/>
      <c r="D53" s="484"/>
      <c r="E53" s="484"/>
      <c r="F53" s="513"/>
      <c r="G53" s="514">
        <f>'Segment Detail'!I161</f>
        <v>2.1413276231263382E-2</v>
      </c>
      <c r="H53" s="514">
        <f>'Segment Detail'!N161</f>
        <v>1.6471122334614893E-2</v>
      </c>
      <c r="I53" s="514">
        <f>'Segment Detail'!R161</f>
        <v>1.6602439260210777E-2</v>
      </c>
      <c r="J53" s="514">
        <f>'Segment Detail'!Y161</f>
        <v>1.7537567693576731E-2</v>
      </c>
      <c r="K53" s="514">
        <f>'Segment Detail'!Z161</f>
        <v>1.5229537469039801E-2</v>
      </c>
      <c r="L53" s="514">
        <f>'Segment Detail'!AA161</f>
        <v>1.4266814838334129E-2</v>
      </c>
      <c r="M53" s="514">
        <f>'Segment Detail'!AB161</f>
        <v>2.1979265358515916E-2</v>
      </c>
      <c r="N53" s="514">
        <f>'Segment Detail'!AC161</f>
        <v>2.2820461468731224E-2</v>
      </c>
      <c r="O53" s="514">
        <f>'Segment Detail'!AD161</f>
        <v>2.3804295313803858E-2</v>
      </c>
      <c r="P53" s="514">
        <f>'Segment Detail'!AE161</f>
        <v>2.0545572566009501E-2</v>
      </c>
      <c r="Q53" s="514">
        <f>'Segment Detail'!AF161</f>
        <v>1.0629510264246972E-2</v>
      </c>
      <c r="R53" s="514">
        <f>'Segment Detail'!AG161</f>
        <v>1.2543588196196595E-2</v>
      </c>
      <c r="S53" s="514">
        <f>'Segment Detail'!AH161</f>
        <v>1.218753715206102E-2</v>
      </c>
      <c r="T53" s="514">
        <f>'Segment Detail'!AI161</f>
        <v>1.218753715206102E-2</v>
      </c>
      <c r="U53" s="514">
        <f>'Segment Detail'!AJ161</f>
        <v>1.1187537152061021E-2</v>
      </c>
      <c r="V53" s="514">
        <f>'Segment Detail'!AK161</f>
        <v>1.098753715206102E-2</v>
      </c>
      <c r="W53" s="514">
        <f>'Segment Detail'!AL161</f>
        <v>1.048753715206102E-2</v>
      </c>
      <c r="X53" s="514">
        <f>'Segment Detail'!AM161</f>
        <v>1.0287537152061019E-2</v>
      </c>
      <c r="Y53" s="514">
        <f>'Segment Detail'!AN161</f>
        <v>1.0287537152061019E-2</v>
      </c>
      <c r="Z53" s="514">
        <f>'Segment Detail'!AO161</f>
        <v>1.018753715206102E-2</v>
      </c>
      <c r="AA53" s="514">
        <f>'Segment Detail'!AP161</f>
        <v>1.0087537152061021E-2</v>
      </c>
      <c r="AB53" s="514">
        <f>'Segment Detail'!AQ161</f>
        <v>9.9875371520610212E-3</v>
      </c>
      <c r="AC53" s="514">
        <f>'Segment Detail'!AR161</f>
        <v>9.9875371520610212E-3</v>
      </c>
      <c r="AD53" s="514">
        <f>'Segment Detail'!AS161</f>
        <v>9.9875371520610212E-3</v>
      </c>
      <c r="AE53" s="514">
        <f>'Segment Detail'!AT161</f>
        <v>9.9875371520610212E-3</v>
      </c>
      <c r="AF53" s="514">
        <f>'Segment Detail'!AU161</f>
        <v>9.9875371520610212E-3</v>
      </c>
      <c r="AG53" s="514">
        <f>'Segment Detail'!AV161</f>
        <v>9.9875371520610212E-3</v>
      </c>
      <c r="AH53" s="1551">
        <f>'Segment Detail'!AW161</f>
        <v>9.9875371520610212E-3</v>
      </c>
      <c r="AI53" s="1551">
        <f>'Segment Detail'!AX161</f>
        <v>9.9875371520610212E-3</v>
      </c>
      <c r="AJ53" s="1551">
        <f>'Segment Detail'!AY161</f>
        <v>9.9875371520610212E-3</v>
      </c>
      <c r="AK53" s="54"/>
      <c r="AL53" s="514"/>
      <c r="AM53" s="514"/>
      <c r="AN53" s="514"/>
      <c r="AO53" s="514"/>
      <c r="AP53" s="514"/>
      <c r="AQ53" s="514"/>
      <c r="AR53" s="514"/>
      <c r="AS53" s="514"/>
      <c r="AT53" s="514"/>
      <c r="AU53" s="514"/>
      <c r="AV53" s="514"/>
      <c r="AW53" s="514"/>
      <c r="AX53" s="514"/>
      <c r="AY53" s="514"/>
      <c r="AZ53" s="513"/>
      <c r="BA53" s="514"/>
      <c r="BB53" s="514"/>
      <c r="BC53" s="514"/>
      <c r="BD53" s="514"/>
      <c r="BE53" s="513"/>
      <c r="BF53" s="1612"/>
      <c r="BG53" s="1612"/>
      <c r="BH53" s="1612"/>
      <c r="BI53" s="514"/>
      <c r="BJ53" s="513"/>
      <c r="BK53" s="514"/>
      <c r="BL53" s="513"/>
      <c r="BM53" s="514"/>
      <c r="BN53" s="513"/>
      <c r="BO53" s="514"/>
      <c r="BP53" s="513"/>
      <c r="BQ53" s="514"/>
      <c r="BR53" s="513"/>
      <c r="BS53" s="514"/>
      <c r="BT53" s="513"/>
      <c r="BU53" s="514"/>
      <c r="BV53" s="514"/>
      <c r="BW53" s="514"/>
      <c r="BX53" s="514"/>
      <c r="BY53" s="514"/>
      <c r="BZ53" s="514"/>
      <c r="CA53" s="513"/>
      <c r="CB53" s="514"/>
      <c r="CC53" s="513"/>
      <c r="CD53" s="514"/>
      <c r="CE53" s="513"/>
      <c r="CF53" s="514"/>
      <c r="CG53" s="513"/>
    </row>
    <row r="54" spans="1:85" s="2807" customFormat="1">
      <c r="A54" s="3477" t="s">
        <v>1827</v>
      </c>
      <c r="B54" s="3350"/>
      <c r="C54" s="3350"/>
      <c r="D54" s="3350"/>
      <c r="E54" s="3350"/>
      <c r="F54" s="3350"/>
      <c r="G54" s="3350"/>
      <c r="H54" s="3350"/>
      <c r="I54" s="3350"/>
      <c r="J54" s="3350"/>
      <c r="K54" s="3350"/>
      <c r="L54" s="3350"/>
      <c r="M54" s="3350"/>
      <c r="N54" s="3350"/>
      <c r="O54" s="3350"/>
      <c r="P54" s="3350"/>
      <c r="Q54" s="3350"/>
      <c r="R54" s="3350"/>
      <c r="S54" s="3350"/>
      <c r="T54" s="2862"/>
      <c r="U54" s="2862"/>
      <c r="V54" s="2862"/>
      <c r="W54" s="2862"/>
      <c r="X54" s="2862"/>
      <c r="Y54" s="2862"/>
      <c r="Z54" s="2862"/>
      <c r="AA54" s="2862"/>
      <c r="AB54" s="2862"/>
      <c r="AC54" s="2862"/>
      <c r="AD54" s="2862"/>
      <c r="AE54" s="2862"/>
      <c r="AF54" s="2862"/>
      <c r="AG54" s="2862"/>
      <c r="AH54" s="2862"/>
      <c r="AI54" s="2862"/>
      <c r="AJ54" s="2862"/>
      <c r="AK54" s="3097"/>
      <c r="AL54" s="2862"/>
      <c r="AM54" s="2862"/>
      <c r="AN54" s="2862"/>
      <c r="AO54" s="2862"/>
      <c r="AP54" s="2862"/>
      <c r="AQ54" s="2862"/>
      <c r="AR54" s="2862"/>
      <c r="AS54" s="2862"/>
      <c r="AT54" s="2862"/>
      <c r="AU54" s="2862"/>
      <c r="AV54" s="2862"/>
      <c r="AW54" s="2862"/>
      <c r="AX54" s="2862"/>
      <c r="AY54" s="2862"/>
      <c r="AZ54" s="2862"/>
      <c r="BA54" s="2867"/>
      <c r="BB54" s="2867"/>
      <c r="BC54" s="2867"/>
      <c r="BD54" s="2862"/>
      <c r="BE54" s="2862"/>
      <c r="BF54" s="2867"/>
      <c r="BG54" s="2867"/>
      <c r="BH54" s="2867"/>
      <c r="BI54" s="2862"/>
      <c r="BJ54" s="2862"/>
      <c r="BK54" s="2862"/>
      <c r="BL54" s="2862"/>
      <c r="BM54" s="2862"/>
      <c r="BN54" s="2862"/>
      <c r="BO54" s="2862"/>
      <c r="BP54" s="2862"/>
      <c r="BQ54" s="2862"/>
      <c r="BR54" s="2862"/>
      <c r="BS54" s="2862"/>
      <c r="BT54" s="2862"/>
      <c r="BU54" s="2862"/>
      <c r="BV54" s="2862"/>
      <c r="BW54" s="2862"/>
      <c r="BX54" s="2862"/>
      <c r="BY54" s="2862"/>
      <c r="BZ54" s="2862"/>
      <c r="CA54" s="2862"/>
      <c r="CB54" s="2862"/>
      <c r="CC54" s="2862"/>
      <c r="CD54" s="2862"/>
      <c r="CE54" s="2862"/>
      <c r="CF54" s="2862"/>
      <c r="CG54" s="2862"/>
    </row>
    <row r="55" spans="1:85" s="2807" customFormat="1">
      <c r="A55" s="2806" t="s">
        <v>74</v>
      </c>
      <c r="B55" s="2878"/>
      <c r="C55" s="2878"/>
      <c r="D55" s="2878"/>
      <c r="E55" s="2878"/>
      <c r="F55" s="2878"/>
      <c r="G55" s="2878"/>
      <c r="H55" s="2878"/>
      <c r="I55" s="2804"/>
      <c r="J55" s="2804"/>
      <c r="K55" s="2804"/>
      <c r="L55" s="2804"/>
      <c r="M55" s="2804">
        <f>M65*M49</f>
        <v>78.587480076982089</v>
      </c>
      <c r="N55" s="2804">
        <f t="shared" ref="N55:U55" si="100">N65*N49</f>
        <v>81.413175044405222</v>
      </c>
      <c r="O55" s="2804">
        <f t="shared" si="100"/>
        <v>91.693734285750779</v>
      </c>
      <c r="P55" s="2804">
        <f t="shared" si="100"/>
        <v>30.414495179244138</v>
      </c>
      <c r="Q55" s="2804">
        <f t="shared" si="100"/>
        <v>-11.230482396996079</v>
      </c>
      <c r="R55" s="2804">
        <f t="shared" si="100"/>
        <v>27.795854235107686</v>
      </c>
      <c r="S55" s="2804">
        <f t="shared" si="100"/>
        <v>130.83800188859965</v>
      </c>
      <c r="T55" s="2804">
        <f t="shared" si="100"/>
        <v>72.693768221256832</v>
      </c>
      <c r="U55" s="2804">
        <f t="shared" si="100"/>
        <v>117.57055958980054</v>
      </c>
      <c r="V55" s="2804">
        <f>V65*V49</f>
        <v>53.342723540470125</v>
      </c>
      <c r="W55" s="2804">
        <f t="shared" ref="W55:AI55" si="101">W65*W49</f>
        <v>65.544916478908746</v>
      </c>
      <c r="X55" s="2804">
        <f t="shared" ca="1" si="101"/>
        <v>124.90112378328664</v>
      </c>
      <c r="Y55" s="2804">
        <f t="shared" ca="1" si="101"/>
        <v>125.54511997160847</v>
      </c>
      <c r="Z55" s="2804">
        <f t="shared" ca="1" si="101"/>
        <v>129.59048327991678</v>
      </c>
      <c r="AA55" s="2804">
        <f t="shared" ca="1" si="101"/>
        <v>150.27159600323228</v>
      </c>
      <c r="AB55" s="2804">
        <f t="shared" ca="1" si="101"/>
        <v>165.94632190036805</v>
      </c>
      <c r="AC55" s="2804">
        <f t="shared" ca="1" si="101"/>
        <v>186.21384954532368</v>
      </c>
      <c r="AD55" s="2804">
        <f t="shared" ca="1" si="101"/>
        <v>192.01980055046494</v>
      </c>
      <c r="AE55" s="2804">
        <f t="shared" ca="1" si="101"/>
        <v>157.89179553672233</v>
      </c>
      <c r="AF55" s="2804">
        <f t="shared" ca="1" si="101"/>
        <v>133.29939981042341</v>
      </c>
      <c r="AG55" s="2804">
        <f t="shared" ca="1" si="101"/>
        <v>137.53422827935168</v>
      </c>
      <c r="AH55" s="2804">
        <f t="shared" ca="1" si="101"/>
        <v>94.294343527226403</v>
      </c>
      <c r="AI55" s="2804">
        <f t="shared" ca="1" si="101"/>
        <v>84.024115019692758</v>
      </c>
      <c r="AJ55" s="2804">
        <f t="shared" ref="AJ55" ca="1" si="102">AJ65*AJ49</f>
        <v>66.816931365368291</v>
      </c>
      <c r="AK55" s="3097"/>
      <c r="AL55" s="2804"/>
      <c r="AM55" s="2804"/>
      <c r="AN55" s="2804"/>
      <c r="AO55" s="2804"/>
      <c r="AP55" s="2804"/>
      <c r="AQ55" s="2804"/>
      <c r="AR55" s="2804"/>
      <c r="AS55" s="2804"/>
      <c r="AT55" s="2804"/>
      <c r="AU55" s="2804"/>
      <c r="AV55" s="2804"/>
      <c r="AW55" s="2804"/>
      <c r="AX55" s="2804"/>
      <c r="AY55" s="2804"/>
      <c r="AZ55" s="2806"/>
      <c r="BA55" s="2896"/>
      <c r="BB55" s="2896"/>
      <c r="BC55" s="2896"/>
      <c r="BD55" s="2804"/>
      <c r="BE55" s="2806"/>
      <c r="BF55" s="2896"/>
      <c r="BG55" s="2896"/>
      <c r="BH55" s="2896"/>
      <c r="BI55" s="2804"/>
      <c r="BJ55" s="2806"/>
      <c r="BK55" s="2804"/>
      <c r="BL55" s="2806"/>
      <c r="BM55" s="2804"/>
      <c r="BN55" s="2806"/>
      <c r="BO55" s="2804"/>
      <c r="BP55" s="2806"/>
      <c r="BQ55" s="2804"/>
      <c r="BR55" s="2806"/>
      <c r="BS55" s="2804"/>
      <c r="BT55" s="2806"/>
      <c r="BU55" s="2804"/>
      <c r="BV55" s="2804"/>
      <c r="BW55" s="2804"/>
      <c r="BX55" s="2804"/>
      <c r="BY55" s="2804"/>
      <c r="BZ55" s="2804"/>
      <c r="CA55" s="2806"/>
      <c r="CB55" s="2804"/>
      <c r="CC55" s="2806"/>
      <c r="CD55" s="2804"/>
      <c r="CE55" s="2806"/>
      <c r="CF55" s="2804"/>
      <c r="CG55" s="2806"/>
    </row>
    <row r="56" spans="1:85" s="2807" customFormat="1">
      <c r="A56" s="3478"/>
      <c r="B56" s="3478"/>
      <c r="C56" s="3478"/>
      <c r="D56" s="3478"/>
      <c r="E56" s="3478"/>
      <c r="F56" s="2932"/>
      <c r="G56" s="2932"/>
      <c r="H56" s="2932"/>
      <c r="I56" s="2932"/>
      <c r="J56" s="2932"/>
      <c r="K56" s="2932"/>
      <c r="L56" s="2932"/>
      <c r="M56" s="2932"/>
      <c r="N56" s="2932"/>
      <c r="O56" s="2932"/>
      <c r="P56" s="2932"/>
      <c r="Q56" s="2932"/>
      <c r="R56" s="2932"/>
      <c r="S56" s="2932"/>
      <c r="T56" s="2932"/>
      <c r="U56" s="2932"/>
      <c r="V56" s="2932"/>
      <c r="W56" s="2932"/>
      <c r="X56" s="2932"/>
      <c r="Y56" s="2932"/>
      <c r="Z56" s="2932"/>
      <c r="AA56" s="2932"/>
      <c r="AB56" s="2932"/>
      <c r="AC56" s="2932"/>
      <c r="AD56" s="2932"/>
      <c r="AE56" s="2932"/>
      <c r="AF56" s="2932"/>
      <c r="AG56" s="2932"/>
      <c r="AH56" s="2932"/>
      <c r="AI56" s="2932"/>
      <c r="AJ56" s="2932"/>
      <c r="AK56" s="3097"/>
      <c r="AL56" s="2932"/>
      <c r="AM56" s="2932"/>
      <c r="AN56" s="2932"/>
      <c r="AO56" s="2932"/>
      <c r="AP56" s="2932"/>
      <c r="AQ56" s="2932"/>
      <c r="AR56" s="2932"/>
      <c r="AS56" s="2932"/>
      <c r="AT56" s="2932"/>
      <c r="AU56" s="2932"/>
      <c r="AV56" s="2932"/>
      <c r="AW56" s="2932"/>
      <c r="AX56" s="2932"/>
      <c r="AY56" s="2932"/>
      <c r="AZ56" s="2932"/>
      <c r="BA56" s="3162"/>
      <c r="BB56" s="3162"/>
      <c r="BC56" s="3162"/>
      <c r="BD56" s="2932"/>
      <c r="BE56" s="2932"/>
      <c r="BF56" s="3162"/>
      <c r="BG56" s="3162"/>
      <c r="BH56" s="3162"/>
      <c r="BI56" s="2932"/>
      <c r="BJ56" s="2932"/>
      <c r="BK56" s="2932"/>
      <c r="BL56" s="2932"/>
      <c r="BM56" s="2932"/>
      <c r="BN56" s="2932"/>
      <c r="BO56" s="2932"/>
      <c r="BP56" s="2932"/>
      <c r="BQ56" s="2932"/>
      <c r="BR56" s="2932"/>
      <c r="BS56" s="2932"/>
      <c r="BT56" s="2932"/>
      <c r="BU56" s="2932"/>
      <c r="BV56" s="2932"/>
      <c r="BW56" s="2932"/>
      <c r="BX56" s="2932"/>
      <c r="BY56" s="2932"/>
      <c r="BZ56" s="2932"/>
      <c r="CA56" s="2932"/>
      <c r="CB56" s="2932"/>
      <c r="CC56" s="2932"/>
      <c r="CD56" s="2932"/>
      <c r="CE56" s="2932"/>
      <c r="CF56" s="2932"/>
      <c r="CG56" s="2932"/>
    </row>
    <row r="57" spans="1:85" s="2807" customFormat="1">
      <c r="A57" s="3479" t="s">
        <v>75</v>
      </c>
      <c r="B57" s="2806"/>
      <c r="C57" s="2806"/>
      <c r="D57" s="2806"/>
      <c r="E57" s="2806"/>
      <c r="F57" s="2806"/>
      <c r="G57" s="2806"/>
      <c r="H57" s="2806"/>
      <c r="I57" s="2806"/>
      <c r="J57" s="2806"/>
      <c r="K57" s="2806"/>
      <c r="L57" s="2806"/>
      <c r="M57" s="2806">
        <f t="shared" ref="M57:S57" si="103">M42-M52-M55</f>
        <v>221.04822152577725</v>
      </c>
      <c r="N57" s="2806">
        <f t="shared" si="103"/>
        <v>222.38556528035886</v>
      </c>
      <c r="O57" s="2806">
        <f t="shared" si="103"/>
        <v>260.31653011231492</v>
      </c>
      <c r="P57" s="2806">
        <f t="shared" si="103"/>
        <v>88.663978264367771</v>
      </c>
      <c r="Q57" s="2806">
        <f t="shared" si="103"/>
        <v>0.45126375214553427</v>
      </c>
      <c r="R57" s="2806">
        <f t="shared" si="103"/>
        <v>100.14440738961397</v>
      </c>
      <c r="S57" s="2806">
        <f t="shared" si="103"/>
        <v>414.73302086575126</v>
      </c>
      <c r="T57" s="2806">
        <f t="shared" ref="T57:U57" si="104">T42-T52-T55</f>
        <v>250.85190356625043</v>
      </c>
      <c r="U57" s="2806">
        <f t="shared" si="104"/>
        <v>383.73568190499503</v>
      </c>
      <c r="V57" s="2806">
        <f>V42-V52-V55</f>
        <v>185.62144022300791</v>
      </c>
      <c r="W57" s="2806">
        <f t="shared" ref="W57" si="105">W42-W52-W55</f>
        <v>219.90655137027693</v>
      </c>
      <c r="X57" s="2806">
        <f ca="1">X42-X52-X54-X55</f>
        <v>397.32624007647632</v>
      </c>
      <c r="Y57" s="2806">
        <f t="shared" ref="Y57:AJ57" ca="1" si="106">Y42-Y52-Y54-Y55</f>
        <v>395.39407406256788</v>
      </c>
      <c r="Z57" s="2806">
        <f t="shared" ca="1" si="106"/>
        <v>404.92478380813094</v>
      </c>
      <c r="AA57" s="2806">
        <f t="shared" ca="1" si="106"/>
        <v>463.87981551277699</v>
      </c>
      <c r="AB57" s="2806">
        <f ca="1">AB42-AB52-AB54-AB55</f>
        <v>511.46121562775716</v>
      </c>
      <c r="AC57" s="2806">
        <f t="shared" ca="1" si="106"/>
        <v>573.92278972941381</v>
      </c>
      <c r="AD57" s="2806">
        <f t="shared" ca="1" si="106"/>
        <v>591.82271497079773</v>
      </c>
      <c r="AE57" s="2806">
        <f t="shared" ca="1" si="106"/>
        <v>486.64937779571727</v>
      </c>
      <c r="AF57" s="2806">
        <f t="shared" ca="1" si="106"/>
        <v>410.8661908464054</v>
      </c>
      <c r="AG57" s="2806">
        <f t="shared" ca="1" si="106"/>
        <v>423.92630773059824</v>
      </c>
      <c r="AH57" s="2806">
        <f t="shared" ca="1" si="106"/>
        <v>290.67078232922324</v>
      </c>
      <c r="AI57" s="2806">
        <f t="shared" ca="1" si="106"/>
        <v>259.02431740588361</v>
      </c>
      <c r="AJ57" s="2806">
        <f t="shared" ca="1" si="106"/>
        <v>206.00813698835418</v>
      </c>
      <c r="AK57" s="3097"/>
      <c r="AL57" s="2806"/>
      <c r="AM57" s="2806"/>
      <c r="AN57" s="2806"/>
      <c r="AO57" s="2806"/>
      <c r="AP57" s="2806"/>
      <c r="AQ57" s="2806"/>
      <c r="AR57" s="2806"/>
      <c r="AS57" s="2806"/>
      <c r="AT57" s="2806"/>
      <c r="AU57" s="2806"/>
      <c r="AV57" s="2806"/>
      <c r="AW57" s="2806"/>
      <c r="AX57" s="2806"/>
      <c r="AY57" s="2806"/>
      <c r="AZ57" s="2806"/>
      <c r="BA57" s="2851"/>
      <c r="BB57" s="2851"/>
      <c r="BC57" s="2851"/>
      <c r="BD57" s="2806"/>
      <c r="BE57" s="2806"/>
      <c r="BF57" s="2851"/>
      <c r="BG57" s="2851"/>
      <c r="BH57" s="2851"/>
      <c r="BI57" s="2806"/>
      <c r="BJ57" s="2806"/>
      <c r="BK57" s="2806"/>
      <c r="BL57" s="2806"/>
      <c r="BM57" s="2806"/>
      <c r="BN57" s="2806"/>
      <c r="BO57" s="2806"/>
      <c r="BP57" s="2806"/>
      <c r="BQ57" s="2806"/>
      <c r="BR57" s="2806"/>
      <c r="BS57" s="2806"/>
      <c r="BT57" s="3480"/>
      <c r="BU57" s="2806"/>
      <c r="BV57" s="2806"/>
      <c r="BW57" s="2806"/>
      <c r="BX57" s="2806"/>
      <c r="BY57" s="2806"/>
      <c r="BZ57" s="2806"/>
      <c r="CA57" s="2806"/>
      <c r="CB57" s="2806"/>
      <c r="CC57" s="2806"/>
    </row>
    <row r="58" spans="1:85" s="2807" customFormat="1">
      <c r="A58" s="3478" t="s">
        <v>1103</v>
      </c>
      <c r="B58" s="2802"/>
      <c r="C58" s="2802"/>
      <c r="D58" s="2802"/>
      <c r="E58" s="2802"/>
      <c r="F58" s="2802"/>
      <c r="G58" s="2802"/>
      <c r="H58" s="2802"/>
      <c r="I58" s="2802"/>
      <c r="J58" s="2802"/>
      <c r="K58" s="2802"/>
      <c r="L58" s="2802"/>
      <c r="M58" s="2802">
        <f t="shared" ref="M58:U58" si="107">M57/M14</f>
        <v>5.0776615872817829E-2</v>
      </c>
      <c r="N58" s="2802">
        <f t="shared" si="107"/>
        <v>5.1816708409472931E-2</v>
      </c>
      <c r="O58" s="2802">
        <f t="shared" si="107"/>
        <v>5.9220372881932715E-2</v>
      </c>
      <c r="P58" s="2802">
        <f t="shared" si="107"/>
        <v>2.2821091558732874E-2</v>
      </c>
      <c r="Q58" s="2802">
        <f t="shared" si="107"/>
        <v>1.1729784179006686E-4</v>
      </c>
      <c r="R58" s="2802">
        <f t="shared" si="107"/>
        <v>2.3200622504593049E-2</v>
      </c>
      <c r="S58" s="2802">
        <f t="shared" si="107"/>
        <v>9.5699134881233563E-2</v>
      </c>
      <c r="T58" s="2802">
        <f t="shared" si="107"/>
        <v>6.0538015286051704E-2</v>
      </c>
      <c r="U58" s="2802">
        <f t="shared" si="107"/>
        <v>8.2291826312282337E-2</v>
      </c>
      <c r="V58" s="2802">
        <f t="shared" ref="V58:AI58" si="108">V57/V14</f>
        <v>4.2205799470298594E-2</v>
      </c>
      <c r="W58" s="2802">
        <f t="shared" si="108"/>
        <v>4.7262622218342619E-2</v>
      </c>
      <c r="X58" s="2802">
        <f t="shared" ca="1" si="108"/>
        <v>7.5244280184957768E-2</v>
      </c>
      <c r="Y58" s="2802">
        <f t="shared" ca="1" si="108"/>
        <v>7.657711368506788E-2</v>
      </c>
      <c r="Z58" s="2802">
        <f t="shared" ca="1" si="108"/>
        <v>7.4793822578045593E-2</v>
      </c>
      <c r="AA58" s="2802">
        <f t="shared" ca="1" si="108"/>
        <v>7.5382470374540392E-2</v>
      </c>
      <c r="AB58" s="2802">
        <f t="shared" ca="1" si="108"/>
        <v>8.4302935869045581E-2</v>
      </c>
      <c r="AC58" s="2802">
        <f t="shared" ca="1" si="108"/>
        <v>8.928555959471389E-2</v>
      </c>
      <c r="AD58" s="2802">
        <f t="shared" ca="1" si="108"/>
        <v>8.3599687992623989E-2</v>
      </c>
      <c r="AE58" s="2802">
        <f t="shared" ca="1" si="108"/>
        <v>7.1466868752353488E-2</v>
      </c>
      <c r="AF58" s="2802">
        <f t="shared" ca="1" si="108"/>
        <v>5.9260453334183144E-2</v>
      </c>
      <c r="AG58" s="2802">
        <f t="shared" ca="1" si="108"/>
        <v>5.4841048561943294E-2</v>
      </c>
      <c r="AH58" s="2802">
        <f t="shared" ca="1" si="108"/>
        <v>4.0137534590213089E-2</v>
      </c>
      <c r="AI58" s="2802">
        <f t="shared" ca="1" si="108"/>
        <v>3.4763609897544949E-2</v>
      </c>
      <c r="AJ58" s="2802">
        <f t="shared" ref="AJ58" ca="1" si="109">AJ57/AJ14</f>
        <v>2.4951022105278491E-2</v>
      </c>
      <c r="AK58" s="3097"/>
      <c r="AL58" s="2802"/>
      <c r="AM58" s="2802"/>
      <c r="AN58" s="2802"/>
      <c r="AO58" s="2802"/>
      <c r="AP58" s="2802"/>
      <c r="AQ58" s="2802"/>
      <c r="AR58" s="2802"/>
      <c r="AS58" s="2802"/>
      <c r="AT58" s="2802"/>
      <c r="AU58" s="2802"/>
      <c r="AV58" s="2802"/>
      <c r="AW58" s="2802"/>
      <c r="AX58" s="2802"/>
      <c r="AY58" s="2802"/>
      <c r="AZ58" s="2862"/>
      <c r="BA58" s="2866"/>
      <c r="BB58" s="2866"/>
      <c r="BC58" s="2866"/>
      <c r="BD58" s="2802"/>
      <c r="BE58" s="2862"/>
      <c r="BF58" s="3003"/>
      <c r="BG58" s="3003"/>
      <c r="BH58" s="3003"/>
      <c r="BI58" s="2802"/>
      <c r="BJ58" s="2862"/>
      <c r="BK58" s="2862"/>
      <c r="BL58" s="2862"/>
      <c r="BM58" s="2862"/>
      <c r="BN58" s="2862"/>
      <c r="BO58" s="2862"/>
      <c r="BP58" s="2862"/>
      <c r="BQ58" s="2862"/>
      <c r="BR58" s="2862"/>
      <c r="BS58" s="2862"/>
      <c r="BT58" s="3442"/>
      <c r="BU58" s="2862"/>
      <c r="BV58" s="2862"/>
      <c r="BW58" s="2862"/>
      <c r="BX58" s="2862"/>
      <c r="BY58" s="2862"/>
      <c r="BZ58" s="2862"/>
      <c r="CA58" s="2862"/>
      <c r="CB58" s="2862"/>
      <c r="CC58" s="2862"/>
    </row>
    <row r="59" spans="1:85" s="2807" customFormat="1">
      <c r="A59" s="3478"/>
      <c r="B59" s="3478"/>
      <c r="C59" s="3478"/>
      <c r="D59" s="3478"/>
      <c r="E59" s="3478"/>
      <c r="F59" s="2932"/>
      <c r="G59" s="2932"/>
      <c r="H59" s="2932"/>
      <c r="I59" s="2932"/>
      <c r="J59" s="2932"/>
      <c r="K59" s="2932"/>
      <c r="L59" s="2932"/>
      <c r="M59" s="2932"/>
      <c r="N59" s="2932"/>
      <c r="O59" s="2932"/>
      <c r="P59" s="2932"/>
      <c r="Q59" s="2932"/>
      <c r="R59" s="2932"/>
      <c r="S59" s="2932"/>
      <c r="T59" s="2932"/>
      <c r="U59" s="2932"/>
      <c r="V59" s="2932"/>
      <c r="W59" s="2932"/>
      <c r="X59" s="2932"/>
      <c r="Y59" s="2932"/>
      <c r="Z59" s="2932"/>
      <c r="AA59" s="2932"/>
      <c r="AB59" s="2932"/>
      <c r="AC59" s="2932"/>
      <c r="AD59" s="2932"/>
      <c r="AE59" s="2932"/>
      <c r="AF59" s="2932"/>
      <c r="AG59" s="2932"/>
      <c r="AH59" s="2932"/>
      <c r="AI59" s="2932"/>
      <c r="AJ59" s="2932"/>
      <c r="AK59" s="3097"/>
      <c r="AL59" s="2932"/>
      <c r="AM59" s="2932"/>
      <c r="AN59" s="2932"/>
      <c r="AO59" s="2932"/>
      <c r="AP59" s="2932"/>
      <c r="AQ59" s="2932"/>
      <c r="AR59" s="2932"/>
      <c r="AS59" s="2932"/>
      <c r="AT59" s="2932"/>
      <c r="AU59" s="2932"/>
      <c r="AV59" s="2932"/>
      <c r="AW59" s="2932"/>
      <c r="AX59" s="2932"/>
      <c r="AY59" s="2932"/>
      <c r="AZ59" s="2932"/>
      <c r="BA59" s="3162"/>
      <c r="BB59" s="3162"/>
      <c r="BC59" s="3162"/>
      <c r="BD59" s="2932"/>
      <c r="BE59" s="2932"/>
      <c r="BF59" s="3162"/>
      <c r="BG59" s="3162"/>
      <c r="BH59" s="3162"/>
      <c r="BI59" s="2932"/>
      <c r="BJ59" s="2932"/>
      <c r="BK59" s="2932"/>
      <c r="BL59" s="2932"/>
      <c r="BM59" s="2932"/>
      <c r="BN59" s="2932"/>
      <c r="BO59" s="2932"/>
      <c r="BP59" s="2932"/>
      <c r="BQ59" s="2932"/>
      <c r="BR59" s="2932"/>
      <c r="BS59" s="2932"/>
      <c r="BT59" s="3481"/>
      <c r="BU59" s="2932"/>
      <c r="BV59" s="2932"/>
      <c r="BW59" s="2932"/>
      <c r="BX59" s="2932"/>
      <c r="BY59" s="2932"/>
      <c r="BZ59" s="2932"/>
      <c r="CA59" s="2932"/>
      <c r="CB59" s="2932"/>
      <c r="CC59" s="2932"/>
    </row>
    <row r="60" spans="1:85" s="2807" customFormat="1">
      <c r="A60" s="2862"/>
      <c r="B60" s="2862"/>
      <c r="C60" s="2862"/>
      <c r="D60" s="2862"/>
      <c r="E60" s="2862"/>
      <c r="F60" s="2862"/>
      <c r="G60" s="2862"/>
      <c r="H60" s="2862"/>
      <c r="I60" s="2862"/>
      <c r="J60" s="2862"/>
      <c r="K60" s="2862"/>
      <c r="L60" s="2862"/>
      <c r="M60" s="2862"/>
      <c r="N60" s="2862"/>
      <c r="O60" s="2862"/>
      <c r="P60" s="2862"/>
      <c r="Q60" s="2862"/>
      <c r="R60" s="2862"/>
      <c r="S60" s="2862"/>
      <c r="T60" s="2862"/>
      <c r="U60" s="2862"/>
      <c r="V60" s="2862"/>
      <c r="W60" s="2862"/>
      <c r="X60" s="2862"/>
      <c r="Y60" s="2862"/>
      <c r="Z60" s="2862"/>
      <c r="AA60" s="2862"/>
      <c r="AB60" s="2862"/>
      <c r="AC60" s="2862"/>
      <c r="AD60" s="2862"/>
      <c r="AE60" s="2862"/>
      <c r="AF60" s="2862"/>
      <c r="AG60" s="2862"/>
      <c r="AH60" s="2862"/>
      <c r="AI60" s="2862"/>
      <c r="AJ60" s="2862"/>
      <c r="AK60" s="3097"/>
      <c r="AL60" s="2862"/>
      <c r="AM60" s="2862"/>
      <c r="AN60" s="2862"/>
      <c r="AO60" s="2862"/>
      <c r="AP60" s="2862"/>
      <c r="AQ60" s="2862"/>
      <c r="AR60" s="2862"/>
      <c r="AS60" s="2862"/>
      <c r="AT60" s="2862"/>
      <c r="AU60" s="2862"/>
      <c r="AV60" s="2862"/>
      <c r="AW60" s="2862"/>
      <c r="AX60" s="2862"/>
      <c r="AY60" s="2862"/>
      <c r="AZ60" s="2862"/>
      <c r="BA60" s="2867"/>
      <c r="BB60" s="2867"/>
      <c r="BC60" s="2867"/>
      <c r="BD60" s="2862"/>
      <c r="BE60" s="2862"/>
      <c r="BF60" s="2867"/>
      <c r="BG60" s="2867"/>
      <c r="BH60" s="2867"/>
      <c r="BI60" s="2862"/>
      <c r="BJ60" s="2862"/>
      <c r="BK60" s="2862"/>
      <c r="BL60" s="2862"/>
      <c r="BM60" s="2862"/>
      <c r="BN60" s="2862"/>
      <c r="BO60" s="2862"/>
      <c r="BP60" s="2862"/>
      <c r="BQ60" s="2862"/>
      <c r="BR60" s="2862"/>
      <c r="BS60" s="2862"/>
      <c r="BT60" s="3442"/>
      <c r="BU60" s="2862"/>
      <c r="BV60" s="2862"/>
      <c r="BW60" s="2862"/>
      <c r="BX60" s="2862"/>
      <c r="BY60" s="2862"/>
      <c r="BZ60" s="2862"/>
      <c r="CA60" s="2862"/>
      <c r="CB60" s="2862"/>
      <c r="CC60" s="2862"/>
    </row>
    <row r="61" spans="1:85" s="2807" customFormat="1">
      <c r="A61" s="2894" t="s">
        <v>65</v>
      </c>
      <c r="B61" s="2862"/>
      <c r="C61" s="2862"/>
      <c r="D61" s="2862"/>
      <c r="E61" s="2862"/>
      <c r="F61" s="2862"/>
      <c r="G61" s="2862"/>
      <c r="H61" s="2862"/>
      <c r="I61" s="2862"/>
      <c r="J61" s="2862"/>
      <c r="K61" s="2862"/>
      <c r="L61" s="2862"/>
      <c r="M61" s="2862"/>
      <c r="N61" s="2862"/>
      <c r="O61" s="2862"/>
      <c r="P61" s="2862"/>
      <c r="Q61" s="2862"/>
      <c r="R61" s="2862"/>
      <c r="S61" s="2862"/>
      <c r="T61" s="2862"/>
      <c r="U61" s="2862"/>
      <c r="V61" s="2862"/>
      <c r="W61" s="2862"/>
      <c r="X61" s="2862"/>
      <c r="Y61" s="2862"/>
      <c r="Z61" s="2862"/>
      <c r="AA61" s="2862"/>
      <c r="AB61" s="2862"/>
      <c r="AC61" s="2862"/>
      <c r="AD61" s="2862"/>
      <c r="AE61" s="2862"/>
      <c r="AF61" s="2862"/>
      <c r="AG61" s="2862"/>
      <c r="AH61" s="2862"/>
      <c r="AI61" s="2862"/>
      <c r="AJ61" s="2862"/>
      <c r="AK61" s="2862"/>
      <c r="AL61" s="2862"/>
      <c r="AM61" s="2862"/>
      <c r="AN61" s="2862"/>
      <c r="AO61" s="2862"/>
      <c r="AP61" s="2862"/>
      <c r="AQ61" s="2862"/>
      <c r="AR61" s="2862"/>
      <c r="AS61" s="2862"/>
      <c r="AT61" s="2862"/>
      <c r="AU61" s="2862"/>
      <c r="AV61" s="2862"/>
      <c r="AW61" s="2862"/>
      <c r="AX61" s="2862"/>
      <c r="AY61" s="2862"/>
      <c r="AZ61" s="2862"/>
      <c r="BA61" s="2867"/>
      <c r="BB61" s="2867"/>
      <c r="BC61" s="2867"/>
      <c r="BD61" s="2862"/>
      <c r="BE61" s="2862"/>
      <c r="BF61" s="2867"/>
      <c r="BG61" s="2867"/>
      <c r="BH61" s="2867"/>
      <c r="BI61" s="2862"/>
      <c r="BJ61" s="2862"/>
      <c r="BK61" s="2862"/>
      <c r="BL61" s="2862"/>
      <c r="BM61" s="2862"/>
      <c r="BN61" s="2862"/>
      <c r="BO61" s="2862"/>
      <c r="BP61" s="2862"/>
      <c r="BQ61" s="2862"/>
      <c r="BR61" s="2862"/>
      <c r="BS61" s="2862"/>
      <c r="BT61" s="3442"/>
      <c r="BU61" s="2862"/>
      <c r="BV61" s="2862"/>
      <c r="BW61" s="2862"/>
      <c r="BX61" s="2862"/>
      <c r="BY61" s="2862"/>
      <c r="BZ61" s="2862"/>
      <c r="CA61" s="2862"/>
      <c r="CB61" s="2862"/>
      <c r="CC61" s="2862"/>
    </row>
    <row r="62" spans="1:85" s="2807" customFormat="1">
      <c r="A62" s="3482" t="s">
        <v>246</v>
      </c>
      <c r="B62" s="2862"/>
      <c r="C62" s="2862"/>
      <c r="D62" s="2862"/>
      <c r="E62" s="2862"/>
      <c r="F62" s="2862"/>
      <c r="G62" s="2862"/>
      <c r="H62" s="2862"/>
      <c r="I62" s="2862"/>
      <c r="J62" s="2862"/>
      <c r="K62" s="2862"/>
      <c r="L62" s="3483"/>
      <c r="M62" s="3484">
        <f ca="1">FMV!B65</f>
        <v>4.6359932385549224E-2</v>
      </c>
      <c r="N62" s="3485">
        <f t="shared" ref="N62:W65" ca="1" si="110">+M62</f>
        <v>4.6359932385549224E-2</v>
      </c>
      <c r="O62" s="3485">
        <f t="shared" ca="1" si="110"/>
        <v>4.6359932385549224E-2</v>
      </c>
      <c r="P62" s="3485">
        <f t="shared" ca="1" si="110"/>
        <v>4.6359932385549224E-2</v>
      </c>
      <c r="Q62" s="3485">
        <f t="shared" ca="1" si="110"/>
        <v>4.6359932385549224E-2</v>
      </c>
      <c r="R62" s="3485">
        <f t="shared" ca="1" si="110"/>
        <v>4.6359932385549224E-2</v>
      </c>
      <c r="S62" s="3485">
        <f t="shared" ca="1" si="110"/>
        <v>4.6359932385549224E-2</v>
      </c>
      <c r="T62" s="3485">
        <f t="shared" ca="1" si="110"/>
        <v>4.6359932385549224E-2</v>
      </c>
      <c r="U62" s="3485">
        <f t="shared" ca="1" si="110"/>
        <v>4.6359932385549224E-2</v>
      </c>
      <c r="V62" s="3485">
        <f t="shared" ca="1" si="110"/>
        <v>4.6359932385549224E-2</v>
      </c>
      <c r="W62" s="3485">
        <f t="shared" ca="1" si="110"/>
        <v>4.6359932385549224E-2</v>
      </c>
      <c r="X62" s="3485">
        <f t="shared" ref="X62:Y65" ca="1" si="111">+W62</f>
        <v>4.6359932385549224E-2</v>
      </c>
      <c r="Y62" s="3485">
        <f t="shared" ca="1" si="111"/>
        <v>4.6359932385549224E-2</v>
      </c>
      <c r="Z62" s="3485">
        <f t="shared" ref="Z62:AA65" ca="1" si="112">+Y62</f>
        <v>4.6359932385549224E-2</v>
      </c>
      <c r="AA62" s="3485">
        <f t="shared" ca="1" si="112"/>
        <v>4.6359932385549224E-2</v>
      </c>
      <c r="AB62" s="3485">
        <f t="shared" ref="AB62:AD65" ca="1" si="113">+AA62</f>
        <v>4.6359932385549224E-2</v>
      </c>
      <c r="AC62" s="3485">
        <f t="shared" ca="1" si="113"/>
        <v>4.6359932385549224E-2</v>
      </c>
      <c r="AD62" s="3485">
        <f t="shared" ca="1" si="113"/>
        <v>4.6359932385549224E-2</v>
      </c>
      <c r="AE62" s="3485">
        <f t="shared" ref="AE62:AJ65" ca="1" si="114">+AD62</f>
        <v>4.6359932385549224E-2</v>
      </c>
      <c r="AF62" s="3485">
        <f t="shared" ca="1" si="114"/>
        <v>4.6359932385549224E-2</v>
      </c>
      <c r="AG62" s="3485">
        <f t="shared" ca="1" si="114"/>
        <v>4.6359932385549224E-2</v>
      </c>
      <c r="AH62" s="3485">
        <f t="shared" ca="1" si="114"/>
        <v>4.6359932385549224E-2</v>
      </c>
      <c r="AI62" s="3485">
        <f t="shared" ca="1" si="114"/>
        <v>4.6359932385549224E-2</v>
      </c>
      <c r="AJ62" s="3485">
        <f t="shared" ca="1" si="114"/>
        <v>4.6359932385549224E-2</v>
      </c>
      <c r="AK62" s="3485"/>
      <c r="AL62" s="3485"/>
      <c r="AM62" s="3485"/>
      <c r="AN62" s="3485"/>
      <c r="AO62" s="3485"/>
      <c r="AP62" s="3485"/>
      <c r="AQ62" s="3485"/>
      <c r="AR62" s="3485"/>
      <c r="AS62" s="3485"/>
      <c r="AT62" s="3485"/>
      <c r="AU62" s="3485"/>
      <c r="AV62" s="3485"/>
      <c r="AW62" s="3485"/>
      <c r="AX62" s="3485"/>
      <c r="AY62" s="3485"/>
      <c r="AZ62" s="2862"/>
      <c r="BA62" s="3486"/>
      <c r="BB62" s="3486"/>
      <c r="BC62" s="3486"/>
      <c r="BD62" s="3485"/>
      <c r="BE62" s="2862"/>
      <c r="BF62" s="3486"/>
      <c r="BG62" s="3486"/>
      <c r="BH62" s="3486"/>
      <c r="BI62" s="3485"/>
      <c r="BJ62" s="2862"/>
      <c r="BK62" s="2862"/>
      <c r="BL62" s="2862"/>
      <c r="BM62" s="2862"/>
      <c r="BN62" s="2862"/>
      <c r="BO62" s="2862"/>
      <c r="BP62" s="2862"/>
      <c r="BQ62" s="2862"/>
      <c r="BR62" s="2862"/>
      <c r="BS62" s="2862"/>
      <c r="BT62" s="3442"/>
      <c r="BU62" s="2862"/>
      <c r="BV62" s="2862"/>
      <c r="BW62" s="2862"/>
      <c r="BX62" s="2862"/>
      <c r="BY62" s="2862"/>
      <c r="BZ62" s="2862"/>
      <c r="CA62" s="2862"/>
      <c r="CB62" s="2862"/>
      <c r="CC62" s="2862"/>
    </row>
    <row r="63" spans="1:85" s="2807" customFormat="1">
      <c r="A63" s="3482" t="s">
        <v>247</v>
      </c>
      <c r="B63" s="2862"/>
      <c r="C63" s="2862"/>
      <c r="D63" s="2862"/>
      <c r="E63" s="2862"/>
      <c r="F63" s="2862"/>
      <c r="G63" s="2862"/>
      <c r="H63" s="2862"/>
      <c r="I63" s="2862"/>
      <c r="J63" s="2862"/>
      <c r="K63" s="2862"/>
      <c r="L63" s="3483"/>
      <c r="M63" s="3484">
        <f>FMV!B66</f>
        <v>0.1</v>
      </c>
      <c r="N63" s="3485">
        <f t="shared" si="110"/>
        <v>0.1</v>
      </c>
      <c r="O63" s="3485">
        <f t="shared" si="110"/>
        <v>0.1</v>
      </c>
      <c r="P63" s="3485">
        <f t="shared" si="110"/>
        <v>0.1</v>
      </c>
      <c r="Q63" s="3485">
        <f t="shared" si="110"/>
        <v>0.1</v>
      </c>
      <c r="R63" s="3485">
        <f t="shared" si="110"/>
        <v>0.1</v>
      </c>
      <c r="S63" s="3485">
        <f t="shared" si="110"/>
        <v>0.1</v>
      </c>
      <c r="T63" s="3485">
        <f t="shared" si="110"/>
        <v>0.1</v>
      </c>
      <c r="U63" s="3485">
        <f t="shared" si="110"/>
        <v>0.1</v>
      </c>
      <c r="V63" s="3485">
        <f t="shared" si="110"/>
        <v>0.1</v>
      </c>
      <c r="W63" s="3485">
        <f t="shared" si="110"/>
        <v>0.1</v>
      </c>
      <c r="X63" s="3485">
        <f t="shared" si="111"/>
        <v>0.1</v>
      </c>
      <c r="Y63" s="3485">
        <f t="shared" si="111"/>
        <v>0.1</v>
      </c>
      <c r="Z63" s="3485">
        <f t="shared" si="112"/>
        <v>0.1</v>
      </c>
      <c r="AA63" s="3485">
        <f t="shared" si="112"/>
        <v>0.1</v>
      </c>
      <c r="AB63" s="3485">
        <f t="shared" si="113"/>
        <v>0.1</v>
      </c>
      <c r="AC63" s="3485">
        <f t="shared" si="113"/>
        <v>0.1</v>
      </c>
      <c r="AD63" s="3485">
        <f t="shared" si="113"/>
        <v>0.1</v>
      </c>
      <c r="AE63" s="3485">
        <f t="shared" si="114"/>
        <v>0.1</v>
      </c>
      <c r="AF63" s="3485">
        <f t="shared" si="114"/>
        <v>0.1</v>
      </c>
      <c r="AG63" s="3485">
        <f t="shared" si="114"/>
        <v>0.1</v>
      </c>
      <c r="AH63" s="3485">
        <f t="shared" si="114"/>
        <v>0.1</v>
      </c>
      <c r="AI63" s="3485">
        <f t="shared" si="114"/>
        <v>0.1</v>
      </c>
      <c r="AJ63" s="3485">
        <f t="shared" si="114"/>
        <v>0.1</v>
      </c>
      <c r="AK63" s="3485"/>
      <c r="AL63" s="3485"/>
      <c r="AM63" s="3485"/>
      <c r="AN63" s="3485"/>
      <c r="AO63" s="3485"/>
      <c r="AP63" s="3485"/>
      <c r="AQ63" s="3485"/>
      <c r="AR63" s="3485"/>
      <c r="AS63" s="3485"/>
      <c r="AT63" s="3485"/>
      <c r="AU63" s="3485"/>
      <c r="AV63" s="3485"/>
      <c r="AW63" s="3485"/>
      <c r="AX63" s="3485"/>
      <c r="AY63" s="3485"/>
      <c r="AZ63" s="2862"/>
      <c r="BA63" s="3486"/>
      <c r="BB63" s="3486"/>
      <c r="BC63" s="3486"/>
      <c r="BD63" s="3485"/>
      <c r="BE63" s="2862"/>
      <c r="BF63" s="3486"/>
      <c r="BG63" s="3486"/>
      <c r="BH63" s="3486"/>
      <c r="BI63" s="3485"/>
      <c r="BJ63" s="2862"/>
      <c r="BK63" s="2862"/>
      <c r="BL63" s="2862"/>
      <c r="BM63" s="2862"/>
      <c r="BN63" s="2862"/>
      <c r="BO63" s="2862"/>
      <c r="BP63" s="2862"/>
      <c r="BQ63" s="2862"/>
      <c r="BR63" s="2862"/>
      <c r="BS63" s="2862"/>
      <c r="BT63" s="3442"/>
      <c r="BU63" s="2862"/>
      <c r="BV63" s="2862"/>
      <c r="BW63" s="2862"/>
      <c r="BX63" s="2862"/>
      <c r="BY63" s="2862"/>
      <c r="BZ63" s="2862"/>
      <c r="CA63" s="2862"/>
      <c r="CB63" s="2862"/>
      <c r="CC63" s="2862"/>
    </row>
    <row r="64" spans="1:85" s="2807" customFormat="1">
      <c r="A64" s="3482" t="s">
        <v>248</v>
      </c>
      <c r="B64" s="2862"/>
      <c r="C64" s="2862"/>
      <c r="D64" s="2862"/>
      <c r="E64" s="2862"/>
      <c r="F64" s="2862"/>
      <c r="G64" s="2862"/>
      <c r="H64" s="2862"/>
      <c r="I64" s="2862"/>
      <c r="J64" s="2862"/>
      <c r="K64" s="2862"/>
      <c r="L64" s="3483"/>
      <c r="M64" s="3484">
        <f>FMV!B67</f>
        <v>0.3</v>
      </c>
      <c r="N64" s="3485">
        <f t="shared" si="110"/>
        <v>0.3</v>
      </c>
      <c r="O64" s="3485">
        <f t="shared" si="110"/>
        <v>0.3</v>
      </c>
      <c r="P64" s="3485">
        <f t="shared" si="110"/>
        <v>0.3</v>
      </c>
      <c r="Q64" s="3485">
        <f t="shared" si="110"/>
        <v>0.3</v>
      </c>
      <c r="R64" s="3485">
        <f t="shared" si="110"/>
        <v>0.3</v>
      </c>
      <c r="S64" s="3485">
        <f t="shared" si="110"/>
        <v>0.3</v>
      </c>
      <c r="T64" s="3485">
        <f t="shared" si="110"/>
        <v>0.3</v>
      </c>
      <c r="U64" s="3485">
        <f t="shared" si="110"/>
        <v>0.3</v>
      </c>
      <c r="V64" s="3485">
        <f t="shared" si="110"/>
        <v>0.3</v>
      </c>
      <c r="W64" s="3485">
        <f t="shared" si="110"/>
        <v>0.3</v>
      </c>
      <c r="X64" s="3485">
        <f t="shared" si="111"/>
        <v>0.3</v>
      </c>
      <c r="Y64" s="3485">
        <f t="shared" si="111"/>
        <v>0.3</v>
      </c>
      <c r="Z64" s="3485">
        <f t="shared" si="112"/>
        <v>0.3</v>
      </c>
      <c r="AA64" s="3485">
        <f t="shared" si="112"/>
        <v>0.3</v>
      </c>
      <c r="AB64" s="3485">
        <f t="shared" si="113"/>
        <v>0.3</v>
      </c>
      <c r="AC64" s="3485">
        <f t="shared" si="113"/>
        <v>0.3</v>
      </c>
      <c r="AD64" s="3485">
        <f t="shared" si="113"/>
        <v>0.3</v>
      </c>
      <c r="AE64" s="3485">
        <f t="shared" si="114"/>
        <v>0.3</v>
      </c>
      <c r="AF64" s="3485">
        <f t="shared" si="114"/>
        <v>0.3</v>
      </c>
      <c r="AG64" s="3485">
        <f t="shared" si="114"/>
        <v>0.3</v>
      </c>
      <c r="AH64" s="3485">
        <f t="shared" si="114"/>
        <v>0.3</v>
      </c>
      <c r="AI64" s="3485">
        <f t="shared" si="114"/>
        <v>0.3</v>
      </c>
      <c r="AJ64" s="3485">
        <f t="shared" si="114"/>
        <v>0.3</v>
      </c>
      <c r="AK64" s="3485"/>
      <c r="AL64" s="3485"/>
      <c r="AM64" s="3485"/>
      <c r="AN64" s="3485"/>
      <c r="AO64" s="3485"/>
      <c r="AP64" s="3485"/>
      <c r="AQ64" s="3485"/>
      <c r="AR64" s="3485"/>
      <c r="AS64" s="3485"/>
      <c r="AT64" s="3485"/>
      <c r="AU64" s="3485"/>
      <c r="AV64" s="3485"/>
      <c r="AW64" s="3485"/>
      <c r="AX64" s="3485"/>
      <c r="AY64" s="3485"/>
      <c r="AZ64" s="2862"/>
      <c r="BA64" s="3486"/>
      <c r="BB64" s="3486"/>
      <c r="BC64" s="3486"/>
      <c r="BD64" s="3485"/>
      <c r="BE64" s="2862"/>
      <c r="BF64" s="3486"/>
      <c r="BG64" s="3486"/>
      <c r="BH64" s="3486"/>
      <c r="BI64" s="3485"/>
      <c r="BJ64" s="2862"/>
      <c r="BK64" s="2862"/>
      <c r="BL64" s="2862"/>
      <c r="BM64" s="2862"/>
      <c r="BN64" s="2862"/>
      <c r="BO64" s="2862"/>
      <c r="BP64" s="2862"/>
      <c r="BQ64" s="2862"/>
      <c r="BR64" s="2862"/>
      <c r="BS64" s="2862"/>
      <c r="BT64" s="3442"/>
      <c r="BU64" s="2862"/>
      <c r="BV64" s="2862"/>
      <c r="BW64" s="2862"/>
      <c r="BX64" s="2862"/>
      <c r="BY64" s="2862"/>
      <c r="BZ64" s="2862"/>
      <c r="CA64" s="2862"/>
      <c r="CB64" s="2862"/>
      <c r="CC64" s="2862"/>
    </row>
    <row r="65" spans="1:81" s="2807" customFormat="1">
      <c r="A65" s="3482" t="s">
        <v>249</v>
      </c>
      <c r="B65" s="2862"/>
      <c r="C65" s="2862"/>
      <c r="D65" s="2862"/>
      <c r="E65" s="2862"/>
      <c r="F65" s="2862"/>
      <c r="G65" s="2862"/>
      <c r="H65" s="2862"/>
      <c r="I65" s="2862"/>
      <c r="J65" s="2862"/>
      <c r="K65" s="2862"/>
      <c r="L65" s="3483"/>
      <c r="M65" s="3484">
        <f>FMV!B68</f>
        <v>0.245</v>
      </c>
      <c r="N65" s="3485">
        <f t="shared" si="110"/>
        <v>0.245</v>
      </c>
      <c r="O65" s="3485">
        <f t="shared" si="110"/>
        <v>0.245</v>
      </c>
      <c r="P65" s="3485">
        <f t="shared" si="110"/>
        <v>0.245</v>
      </c>
      <c r="Q65" s="3485">
        <f t="shared" si="110"/>
        <v>0.245</v>
      </c>
      <c r="R65" s="3485">
        <f t="shared" si="110"/>
        <v>0.245</v>
      </c>
      <c r="S65" s="3485">
        <f t="shared" si="110"/>
        <v>0.245</v>
      </c>
      <c r="T65" s="3485">
        <f t="shared" si="110"/>
        <v>0.245</v>
      </c>
      <c r="U65" s="3485">
        <f t="shared" si="110"/>
        <v>0.245</v>
      </c>
      <c r="V65" s="3485">
        <f t="shared" si="110"/>
        <v>0.245</v>
      </c>
      <c r="W65" s="3485">
        <f t="shared" si="110"/>
        <v>0.245</v>
      </c>
      <c r="X65" s="3485">
        <f t="shared" si="111"/>
        <v>0.245</v>
      </c>
      <c r="Y65" s="3485">
        <f t="shared" si="111"/>
        <v>0.245</v>
      </c>
      <c r="Z65" s="3485">
        <f t="shared" si="112"/>
        <v>0.245</v>
      </c>
      <c r="AA65" s="3485">
        <f t="shared" si="112"/>
        <v>0.245</v>
      </c>
      <c r="AB65" s="3485">
        <f t="shared" si="113"/>
        <v>0.245</v>
      </c>
      <c r="AC65" s="3485">
        <f t="shared" si="113"/>
        <v>0.245</v>
      </c>
      <c r="AD65" s="3485">
        <f t="shared" si="113"/>
        <v>0.245</v>
      </c>
      <c r="AE65" s="3485">
        <f t="shared" si="114"/>
        <v>0.245</v>
      </c>
      <c r="AF65" s="3485">
        <f t="shared" si="114"/>
        <v>0.245</v>
      </c>
      <c r="AG65" s="3485">
        <f t="shared" si="114"/>
        <v>0.245</v>
      </c>
      <c r="AH65" s="3485">
        <f t="shared" si="114"/>
        <v>0.245</v>
      </c>
      <c r="AI65" s="3485">
        <f t="shared" si="114"/>
        <v>0.245</v>
      </c>
      <c r="AJ65" s="3485">
        <f t="shared" si="114"/>
        <v>0.245</v>
      </c>
      <c r="AK65" s="3485"/>
      <c r="AL65" s="3485"/>
      <c r="AM65" s="3485"/>
      <c r="AN65" s="3485"/>
      <c r="AO65" s="3485"/>
      <c r="AP65" s="3485"/>
      <c r="AQ65" s="3485"/>
      <c r="AR65" s="3485"/>
      <c r="AS65" s="3485"/>
      <c r="AT65" s="3485"/>
      <c r="AU65" s="3485"/>
      <c r="AV65" s="3485"/>
      <c r="AW65" s="3485"/>
      <c r="AX65" s="3485"/>
      <c r="AY65" s="3485"/>
      <c r="AZ65" s="2862"/>
      <c r="BA65" s="3486"/>
      <c r="BB65" s="3486"/>
      <c r="BC65" s="3486"/>
      <c r="BD65" s="3485"/>
      <c r="BE65" s="2862"/>
      <c r="BF65" s="3486"/>
      <c r="BG65" s="3486"/>
      <c r="BH65" s="3486"/>
      <c r="BI65" s="3485"/>
      <c r="BJ65" s="2862"/>
      <c r="BK65" s="2862"/>
      <c r="BL65" s="2862"/>
      <c r="BM65" s="2862"/>
      <c r="BN65" s="2862"/>
      <c r="BO65" s="2862"/>
      <c r="BP65" s="2862"/>
      <c r="BQ65" s="2862"/>
      <c r="BR65" s="2862"/>
      <c r="BS65" s="2862"/>
      <c r="BT65" s="3442"/>
      <c r="BU65" s="2862"/>
      <c r="BV65" s="2862"/>
      <c r="BW65" s="2862"/>
      <c r="BX65" s="2862"/>
      <c r="BY65" s="2862"/>
      <c r="BZ65" s="2862"/>
      <c r="CA65" s="2862"/>
      <c r="CB65" s="2862"/>
      <c r="CC65" s="2862"/>
    </row>
    <row r="66" spans="1:81" s="2807" customFormat="1">
      <c r="A66" s="3482" t="s">
        <v>250</v>
      </c>
      <c r="B66" s="2862"/>
      <c r="C66" s="2862"/>
      <c r="D66" s="2862"/>
      <c r="E66" s="2862"/>
      <c r="F66" s="2862"/>
      <c r="G66" s="2862"/>
      <c r="H66" s="2862"/>
      <c r="I66" s="2862"/>
      <c r="J66" s="2862"/>
      <c r="K66" s="2862"/>
      <c r="L66" s="3485"/>
      <c r="M66" s="3485">
        <f ca="1">((M62*(1-M65)*M64))+(M63*(1-M64))</f>
        <v>8.0500524685326896E-2</v>
      </c>
      <c r="N66" s="3485">
        <f t="shared" ref="N66:AB66" ca="1" si="115">((N62*(1-N65)*N64))+(N63*(1-N64))</f>
        <v>8.0500524685326896E-2</v>
      </c>
      <c r="O66" s="3485">
        <f t="shared" ca="1" si="115"/>
        <v>8.0500524685326896E-2</v>
      </c>
      <c r="P66" s="3485">
        <f t="shared" ca="1" si="115"/>
        <v>8.0500524685326896E-2</v>
      </c>
      <c r="Q66" s="3485">
        <f t="shared" ca="1" si="115"/>
        <v>8.0500524685326896E-2</v>
      </c>
      <c r="R66" s="3485">
        <f t="shared" ca="1" si="115"/>
        <v>8.0500524685326896E-2</v>
      </c>
      <c r="S66" s="3485">
        <f t="shared" ca="1" si="115"/>
        <v>8.0500524685326896E-2</v>
      </c>
      <c r="T66" s="3485">
        <f t="shared" ca="1" si="115"/>
        <v>8.0500524685326896E-2</v>
      </c>
      <c r="U66" s="3485">
        <f t="shared" ca="1" si="115"/>
        <v>8.0500524685326896E-2</v>
      </c>
      <c r="V66" s="3485">
        <f t="shared" ca="1" si="115"/>
        <v>8.0500524685326896E-2</v>
      </c>
      <c r="W66" s="3485">
        <f t="shared" ca="1" si="115"/>
        <v>8.0500524685326896E-2</v>
      </c>
      <c r="X66" s="3485">
        <f t="shared" ca="1" si="115"/>
        <v>8.0500524685326896E-2</v>
      </c>
      <c r="Y66" s="3485">
        <f t="shared" ca="1" si="115"/>
        <v>8.0500524685326896E-2</v>
      </c>
      <c r="Z66" s="3485">
        <f t="shared" ca="1" si="115"/>
        <v>8.0500524685326896E-2</v>
      </c>
      <c r="AA66" s="3485">
        <f t="shared" ca="1" si="115"/>
        <v>8.0500524685326896E-2</v>
      </c>
      <c r="AB66" s="3485">
        <f t="shared" ca="1" si="115"/>
        <v>8.0500524685326896E-2</v>
      </c>
      <c r="AC66" s="3485">
        <f t="shared" ref="AC66:AH66" ca="1" si="116">((AC62*(1-AC65)*AC64))+(AC63*(1-AC64))</f>
        <v>8.0500524685326896E-2</v>
      </c>
      <c r="AD66" s="3485">
        <f t="shared" ca="1" si="116"/>
        <v>8.0500524685326896E-2</v>
      </c>
      <c r="AE66" s="3485">
        <f t="shared" ca="1" si="116"/>
        <v>8.0500524685326896E-2</v>
      </c>
      <c r="AF66" s="3485">
        <f t="shared" ca="1" si="116"/>
        <v>8.0500524685326896E-2</v>
      </c>
      <c r="AG66" s="3485">
        <f t="shared" ca="1" si="116"/>
        <v>8.0500524685326896E-2</v>
      </c>
      <c r="AH66" s="3485">
        <f t="shared" ca="1" si="116"/>
        <v>8.0500524685326896E-2</v>
      </c>
      <c r="AI66" s="3485">
        <f ca="1">((AI62*(1-AI65)*AI64))+(AI63*(1-AI64))</f>
        <v>8.0500524685326896E-2</v>
      </c>
      <c r="AJ66" s="3485">
        <f ca="1">((AJ62*(1-AJ65)*AJ64))+(AJ63*(1-AJ64))</f>
        <v>8.0500524685326896E-2</v>
      </c>
      <c r="AK66" s="3485"/>
      <c r="AL66" s="3485"/>
      <c r="AM66" s="3485"/>
      <c r="AN66" s="3485"/>
      <c r="AO66" s="3485"/>
      <c r="AP66" s="3485"/>
      <c r="AQ66" s="3485"/>
      <c r="AR66" s="3485"/>
      <c r="AS66" s="3485"/>
      <c r="AT66" s="3485"/>
      <c r="AU66" s="3485"/>
      <c r="AV66" s="3485"/>
      <c r="AW66" s="3485"/>
      <c r="AX66" s="3485"/>
      <c r="AY66" s="3485"/>
      <c r="AZ66" s="2862"/>
      <c r="BA66" s="3486"/>
      <c r="BB66" s="3486"/>
      <c r="BC66" s="3486"/>
      <c r="BD66" s="3485"/>
      <c r="BE66" s="2862"/>
      <c r="BF66" s="3486"/>
      <c r="BG66" s="3486"/>
      <c r="BH66" s="3486"/>
      <c r="BI66" s="3485"/>
      <c r="BJ66" s="2862"/>
      <c r="BK66" s="2862"/>
      <c r="BL66" s="2862"/>
      <c r="BM66" s="2862"/>
      <c r="BN66" s="2862"/>
      <c r="BO66" s="2862"/>
      <c r="BP66" s="2862"/>
      <c r="BQ66" s="2862"/>
      <c r="BR66" s="2862"/>
      <c r="BS66" s="2862"/>
      <c r="BT66" s="3442"/>
      <c r="BU66" s="2862"/>
      <c r="BV66" s="2862"/>
      <c r="BW66" s="2862"/>
      <c r="BX66" s="2862"/>
      <c r="BY66" s="2862"/>
      <c r="BZ66" s="2862"/>
      <c r="CA66" s="2862"/>
      <c r="CB66" s="2862"/>
      <c r="CC66" s="2862"/>
    </row>
    <row r="67" spans="1:81" s="2807" customFormat="1">
      <c r="A67" s="3482" t="s">
        <v>251</v>
      </c>
      <c r="B67" s="2862"/>
      <c r="C67" s="2862"/>
      <c r="D67" s="2862"/>
      <c r="E67" s="2862"/>
      <c r="F67" s="2862"/>
      <c r="G67" s="2862"/>
      <c r="H67" s="2862"/>
      <c r="I67" s="2862"/>
      <c r="J67" s="2862"/>
      <c r="K67" s="2862"/>
      <c r="L67" s="3483"/>
      <c r="M67" s="3484">
        <f>FMV!B70</f>
        <v>0.02</v>
      </c>
      <c r="N67" s="3485">
        <f t="shared" ref="N67:W67" si="117">+M67</f>
        <v>0.02</v>
      </c>
      <c r="O67" s="3485">
        <f t="shared" si="117"/>
        <v>0.02</v>
      </c>
      <c r="P67" s="3485">
        <f t="shared" si="117"/>
        <v>0.02</v>
      </c>
      <c r="Q67" s="3485">
        <f t="shared" si="117"/>
        <v>0.02</v>
      </c>
      <c r="R67" s="3485">
        <f t="shared" si="117"/>
        <v>0.02</v>
      </c>
      <c r="S67" s="3485">
        <f t="shared" si="117"/>
        <v>0.02</v>
      </c>
      <c r="T67" s="3485">
        <f t="shared" si="117"/>
        <v>0.02</v>
      </c>
      <c r="U67" s="3485">
        <f t="shared" si="117"/>
        <v>0.02</v>
      </c>
      <c r="V67" s="3485">
        <f t="shared" si="117"/>
        <v>0.02</v>
      </c>
      <c r="W67" s="3485">
        <f t="shared" si="117"/>
        <v>0.02</v>
      </c>
      <c r="X67" s="3485">
        <f t="shared" ref="X67:AD67" si="118">+W67</f>
        <v>0.02</v>
      </c>
      <c r="Y67" s="3485">
        <f t="shared" si="118"/>
        <v>0.02</v>
      </c>
      <c r="Z67" s="3485">
        <f t="shared" si="118"/>
        <v>0.02</v>
      </c>
      <c r="AA67" s="3485">
        <f t="shared" si="118"/>
        <v>0.02</v>
      </c>
      <c r="AB67" s="3485">
        <f t="shared" si="118"/>
        <v>0.02</v>
      </c>
      <c r="AC67" s="3485">
        <f t="shared" si="118"/>
        <v>0.02</v>
      </c>
      <c r="AD67" s="3485">
        <f t="shared" si="118"/>
        <v>0.02</v>
      </c>
      <c r="AE67" s="3485">
        <f t="shared" ref="AE67:AJ67" si="119">+AD67</f>
        <v>0.02</v>
      </c>
      <c r="AF67" s="3485">
        <f t="shared" si="119"/>
        <v>0.02</v>
      </c>
      <c r="AG67" s="3485">
        <f t="shared" si="119"/>
        <v>0.02</v>
      </c>
      <c r="AH67" s="3485">
        <f t="shared" si="119"/>
        <v>0.02</v>
      </c>
      <c r="AI67" s="3485">
        <f t="shared" si="119"/>
        <v>0.02</v>
      </c>
      <c r="AJ67" s="3485">
        <f t="shared" si="119"/>
        <v>0.02</v>
      </c>
      <c r="AK67" s="3485"/>
      <c r="AL67" s="3485"/>
      <c r="AM67" s="3485"/>
      <c r="AN67" s="3485"/>
      <c r="AO67" s="3485"/>
      <c r="AP67" s="3485"/>
      <c r="AQ67" s="3485"/>
      <c r="AR67" s="3485"/>
      <c r="AS67" s="3485"/>
      <c r="AT67" s="3485"/>
      <c r="AU67" s="3485"/>
      <c r="AV67" s="3485"/>
      <c r="AW67" s="3485"/>
      <c r="AX67" s="3485"/>
      <c r="AY67" s="3485"/>
      <c r="AZ67" s="2862"/>
      <c r="BA67" s="3486"/>
      <c r="BB67" s="3486"/>
      <c r="BC67" s="3486"/>
      <c r="BD67" s="3485"/>
      <c r="BE67" s="2862"/>
      <c r="BF67" s="3486"/>
      <c r="BG67" s="3486"/>
      <c r="BH67" s="3486"/>
      <c r="BI67" s="3485"/>
      <c r="BJ67" s="2862"/>
      <c r="BK67" s="2862"/>
      <c r="BL67" s="2862"/>
      <c r="BM67" s="2862"/>
      <c r="BN67" s="2862"/>
      <c r="BO67" s="2862"/>
      <c r="BP67" s="2862"/>
      <c r="BQ67" s="2862"/>
      <c r="BR67" s="2862"/>
      <c r="BS67" s="2862"/>
      <c r="BT67" s="3442"/>
      <c r="BU67" s="2862"/>
      <c r="BV67" s="2862"/>
      <c r="BW67" s="2862"/>
      <c r="BX67" s="2862"/>
      <c r="BY67" s="2862"/>
      <c r="BZ67" s="2862"/>
      <c r="CA67" s="2862"/>
      <c r="CB67" s="2862"/>
      <c r="CC67" s="2862"/>
    </row>
    <row r="68" spans="1:81" s="2807" customFormat="1">
      <c r="A68" s="3482"/>
      <c r="B68" s="2862"/>
      <c r="C68" s="2862"/>
      <c r="D68" s="2862"/>
      <c r="E68" s="2862"/>
      <c r="F68" s="2862"/>
      <c r="G68" s="2862"/>
      <c r="H68" s="2862"/>
      <c r="I68" s="2862"/>
      <c r="J68" s="2862"/>
      <c r="K68" s="2862"/>
      <c r="L68" s="3483"/>
      <c r="M68" s="2862"/>
      <c r="N68" s="2862"/>
      <c r="O68" s="2862"/>
      <c r="P68" s="2862"/>
      <c r="Q68" s="2862"/>
      <c r="R68" s="2862"/>
      <c r="S68" s="2862"/>
      <c r="T68" s="2862"/>
      <c r="U68" s="2862"/>
      <c r="V68" s="2862"/>
      <c r="W68" s="2862"/>
      <c r="X68" s="2862"/>
      <c r="Y68" s="2862"/>
      <c r="Z68" s="2862"/>
      <c r="AA68" s="2862"/>
      <c r="AB68" s="2862"/>
      <c r="AC68" s="2862"/>
      <c r="AD68" s="2862"/>
      <c r="AE68" s="2862"/>
      <c r="AF68" s="2862"/>
      <c r="AG68" s="2862"/>
      <c r="AH68" s="2862"/>
      <c r="AI68" s="2862"/>
      <c r="AJ68" s="2862"/>
      <c r="AK68" s="2862"/>
      <c r="AL68" s="2862"/>
      <c r="AM68" s="2862"/>
      <c r="AN68" s="2862"/>
      <c r="AO68" s="2862"/>
      <c r="AP68" s="2862"/>
      <c r="AQ68" s="2862"/>
      <c r="AR68" s="2862"/>
      <c r="AS68" s="2862"/>
      <c r="AT68" s="2862"/>
      <c r="AU68" s="2862"/>
      <c r="AV68" s="2862"/>
      <c r="AW68" s="2862"/>
      <c r="AX68" s="2862"/>
      <c r="AY68" s="2862"/>
      <c r="AZ68" s="2862"/>
      <c r="BA68" s="2867"/>
      <c r="BB68" s="2867"/>
      <c r="BC68" s="2867"/>
      <c r="BD68" s="2862"/>
      <c r="BE68" s="2862"/>
      <c r="BF68" s="2867"/>
      <c r="BG68" s="2867"/>
      <c r="BH68" s="2867"/>
      <c r="BI68" s="2862"/>
      <c r="BJ68" s="2862"/>
      <c r="BK68" s="2862"/>
      <c r="BL68" s="2862"/>
      <c r="BM68" s="2862"/>
      <c r="BN68" s="2862"/>
      <c r="BO68" s="2862"/>
      <c r="BP68" s="2862"/>
      <c r="BQ68" s="2862"/>
      <c r="BR68" s="2862"/>
      <c r="BS68" s="2862"/>
      <c r="BT68" s="3442"/>
      <c r="BU68" s="2862"/>
      <c r="BV68" s="2862"/>
      <c r="BW68" s="2862"/>
      <c r="BX68" s="2862"/>
      <c r="BY68" s="2862"/>
      <c r="BZ68" s="2862"/>
      <c r="CA68" s="2862"/>
      <c r="CB68" s="2862"/>
      <c r="CC68" s="2862"/>
    </row>
    <row r="69" spans="1:81" s="2807" customFormat="1">
      <c r="A69" s="3482" t="s">
        <v>1009</v>
      </c>
      <c r="B69" s="2862"/>
      <c r="C69" s="2862"/>
      <c r="D69" s="2862"/>
      <c r="E69" s="2862"/>
      <c r="F69" s="2862"/>
      <c r="G69" s="2862"/>
      <c r="H69" s="2862"/>
      <c r="I69" s="2862"/>
      <c r="J69" s="2862"/>
      <c r="K69" s="2862"/>
      <c r="L69" s="3483"/>
      <c r="M69" s="2887">
        <f>AJ42*(1+M67)</f>
        <v>362.39292160766189</v>
      </c>
      <c r="N69" s="2887">
        <f t="shared" ref="N69:W71" si="120">+M69</f>
        <v>362.39292160766189</v>
      </c>
      <c r="O69" s="2887">
        <f t="shared" si="120"/>
        <v>362.39292160766189</v>
      </c>
      <c r="P69" s="2887">
        <f t="shared" si="120"/>
        <v>362.39292160766189</v>
      </c>
      <c r="Q69" s="2887">
        <f>+P69</f>
        <v>362.39292160766189</v>
      </c>
      <c r="R69" s="2887">
        <f t="shared" si="120"/>
        <v>362.39292160766189</v>
      </c>
      <c r="S69" s="2887">
        <f t="shared" si="120"/>
        <v>362.39292160766189</v>
      </c>
      <c r="T69" s="2887">
        <f t="shared" si="120"/>
        <v>362.39292160766189</v>
      </c>
      <c r="U69" s="2887">
        <f t="shared" si="120"/>
        <v>362.39292160766189</v>
      </c>
      <c r="V69" s="2887">
        <f t="shared" si="120"/>
        <v>362.39292160766189</v>
      </c>
      <c r="W69" s="2887">
        <f t="shared" si="120"/>
        <v>362.39292160766189</v>
      </c>
      <c r="X69" s="2887">
        <f t="shared" ref="X69:Y71" si="121">+W69</f>
        <v>362.39292160766189</v>
      </c>
      <c r="Y69" s="2887">
        <f t="shared" si="121"/>
        <v>362.39292160766189</v>
      </c>
      <c r="Z69" s="2887">
        <f t="shared" ref="Z69:AA71" si="122">+Y69</f>
        <v>362.39292160766189</v>
      </c>
      <c r="AA69" s="2887">
        <f t="shared" si="122"/>
        <v>362.39292160766189</v>
      </c>
      <c r="AB69" s="2887">
        <f t="shared" ref="AB69:AD71" si="123">+AA69</f>
        <v>362.39292160766189</v>
      </c>
      <c r="AC69" s="2887">
        <f t="shared" si="123"/>
        <v>362.39292160766189</v>
      </c>
      <c r="AD69" s="2887">
        <f t="shared" si="123"/>
        <v>362.39292160766189</v>
      </c>
      <c r="AE69" s="2887">
        <f t="shared" ref="AE69:AI71" si="124">+AD69</f>
        <v>362.39292160766189</v>
      </c>
      <c r="AF69" s="2887">
        <f t="shared" si="124"/>
        <v>362.39292160766189</v>
      </c>
      <c r="AG69" s="2887">
        <f t="shared" si="124"/>
        <v>362.39292160766189</v>
      </c>
      <c r="AH69" s="2887">
        <f t="shared" si="124"/>
        <v>362.39292160766189</v>
      </c>
      <c r="AI69" s="2887">
        <f t="shared" si="124"/>
        <v>362.39292160766189</v>
      </c>
      <c r="AJ69" s="2887">
        <f>+AI69</f>
        <v>362.39292160766189</v>
      </c>
      <c r="AK69" s="2887"/>
      <c r="AL69" s="2887"/>
      <c r="AM69" s="2887"/>
      <c r="AN69" s="2887"/>
      <c r="AO69" s="2887"/>
      <c r="AP69" s="2887"/>
      <c r="AQ69" s="2887"/>
      <c r="AR69" s="2887"/>
      <c r="AS69" s="2887"/>
      <c r="AT69" s="2887"/>
      <c r="AU69" s="2887"/>
      <c r="AV69" s="2887"/>
      <c r="AW69" s="2887"/>
      <c r="AX69" s="2887"/>
      <c r="AY69" s="2887"/>
      <c r="AZ69" s="2862"/>
      <c r="BA69" s="3036"/>
      <c r="BB69" s="3036"/>
      <c r="BC69" s="3036"/>
      <c r="BD69" s="2887"/>
      <c r="BE69" s="2862"/>
      <c r="BF69" s="3036"/>
      <c r="BG69" s="3036"/>
      <c r="BH69" s="3036"/>
      <c r="BI69" s="2887"/>
      <c r="BJ69" s="2862"/>
      <c r="BK69" s="2862"/>
      <c r="BL69" s="2862"/>
      <c r="BM69" s="2862"/>
      <c r="BN69" s="2862"/>
      <c r="BO69" s="2862"/>
      <c r="BP69" s="2862"/>
      <c r="BQ69" s="2862"/>
      <c r="BR69" s="2862"/>
      <c r="BS69" s="2862"/>
      <c r="BT69" s="3442"/>
      <c r="BU69" s="2862"/>
      <c r="BV69" s="2862"/>
      <c r="BW69" s="2862"/>
      <c r="BX69" s="2862"/>
      <c r="BY69" s="2862"/>
      <c r="BZ69" s="2862"/>
      <c r="CA69" s="2862"/>
      <c r="CB69" s="2862"/>
      <c r="CC69" s="2862"/>
    </row>
    <row r="70" spans="1:81" s="2807" customFormat="1">
      <c r="A70" s="3487" t="s">
        <v>54</v>
      </c>
      <c r="B70" s="2862"/>
      <c r="C70" s="2862"/>
      <c r="D70" s="2862"/>
      <c r="E70" s="2862"/>
      <c r="F70" s="2862"/>
      <c r="G70" s="2862"/>
      <c r="H70" s="2862"/>
      <c r="I70" s="2862"/>
      <c r="J70" s="2862"/>
      <c r="K70" s="2862"/>
      <c r="L70" s="3483"/>
      <c r="M70" s="2887">
        <f ca="1">AJ55*(1+M67)</f>
        <v>68.153269992675661</v>
      </c>
      <c r="N70" s="2887">
        <f t="shared" ref="N70:AH70" ca="1" si="125">+M70</f>
        <v>68.153269992675661</v>
      </c>
      <c r="O70" s="2887">
        <f t="shared" ca="1" si="125"/>
        <v>68.153269992675661</v>
      </c>
      <c r="P70" s="2887">
        <f t="shared" ca="1" si="125"/>
        <v>68.153269992675661</v>
      </c>
      <c r="Q70" s="2887">
        <f t="shared" ca="1" si="125"/>
        <v>68.153269992675661</v>
      </c>
      <c r="R70" s="2887">
        <f t="shared" ca="1" si="125"/>
        <v>68.153269992675661</v>
      </c>
      <c r="S70" s="2887">
        <f t="shared" ca="1" si="125"/>
        <v>68.153269992675661</v>
      </c>
      <c r="T70" s="2887">
        <f t="shared" ca="1" si="125"/>
        <v>68.153269992675661</v>
      </c>
      <c r="U70" s="2887">
        <f t="shared" ca="1" si="125"/>
        <v>68.153269992675661</v>
      </c>
      <c r="V70" s="2887">
        <f t="shared" ca="1" si="125"/>
        <v>68.153269992675661</v>
      </c>
      <c r="W70" s="2887">
        <f t="shared" ca="1" si="125"/>
        <v>68.153269992675661</v>
      </c>
      <c r="X70" s="2887">
        <f t="shared" ca="1" si="125"/>
        <v>68.153269992675661</v>
      </c>
      <c r="Y70" s="2887">
        <f t="shared" ca="1" si="125"/>
        <v>68.153269992675661</v>
      </c>
      <c r="Z70" s="2887">
        <f t="shared" ca="1" si="125"/>
        <v>68.153269992675661</v>
      </c>
      <c r="AA70" s="2887">
        <f t="shared" ca="1" si="125"/>
        <v>68.153269992675661</v>
      </c>
      <c r="AB70" s="2887">
        <f t="shared" ca="1" si="125"/>
        <v>68.153269992675661</v>
      </c>
      <c r="AC70" s="2887">
        <f t="shared" ca="1" si="125"/>
        <v>68.153269992675661</v>
      </c>
      <c r="AD70" s="2887">
        <f t="shared" ca="1" si="125"/>
        <v>68.153269992675661</v>
      </c>
      <c r="AE70" s="2887">
        <f t="shared" ca="1" si="125"/>
        <v>68.153269992675661</v>
      </c>
      <c r="AF70" s="2887">
        <f t="shared" ca="1" si="125"/>
        <v>68.153269992675661</v>
      </c>
      <c r="AG70" s="2887">
        <f t="shared" ca="1" si="125"/>
        <v>68.153269992675661</v>
      </c>
      <c r="AH70" s="2887">
        <f t="shared" ca="1" si="125"/>
        <v>68.153269992675661</v>
      </c>
      <c r="AI70" s="2887">
        <f ca="1">+AH70</f>
        <v>68.153269992675661</v>
      </c>
      <c r="AJ70" s="2887">
        <f ca="1">+AI70</f>
        <v>68.153269992675661</v>
      </c>
      <c r="AK70" s="2887"/>
      <c r="AL70" s="2887"/>
      <c r="AM70" s="2887"/>
      <c r="AN70" s="2887"/>
      <c r="AO70" s="2887"/>
      <c r="AP70" s="2887"/>
      <c r="AQ70" s="2887"/>
      <c r="AR70" s="2887"/>
      <c r="AS70" s="2887"/>
      <c r="AT70" s="2887"/>
      <c r="AU70" s="2887"/>
      <c r="AV70" s="2887"/>
      <c r="AW70" s="2887"/>
      <c r="AX70" s="2887"/>
      <c r="AY70" s="2887"/>
      <c r="AZ70" s="2862"/>
      <c r="BA70" s="3036"/>
      <c r="BB70" s="3036"/>
      <c r="BC70" s="3036"/>
      <c r="BD70" s="2887"/>
      <c r="BE70" s="2862"/>
      <c r="BF70" s="3036"/>
      <c r="BG70" s="3036"/>
      <c r="BH70" s="3036"/>
      <c r="BI70" s="2887"/>
      <c r="BJ70" s="2862"/>
      <c r="BK70" s="2862"/>
      <c r="BL70" s="2862"/>
      <c r="BM70" s="2862"/>
      <c r="BN70" s="2862"/>
      <c r="BO70" s="2862"/>
      <c r="BP70" s="2862"/>
      <c r="BQ70" s="2862"/>
      <c r="BR70" s="2862"/>
      <c r="BS70" s="2862"/>
      <c r="BT70" s="3442"/>
      <c r="BU70" s="2862"/>
      <c r="BV70" s="2862"/>
      <c r="BW70" s="2862"/>
      <c r="BX70" s="2862"/>
      <c r="BY70" s="2862"/>
      <c r="BZ70" s="2862"/>
      <c r="CA70" s="2862"/>
      <c r="CB70" s="2862"/>
      <c r="CC70" s="2862"/>
    </row>
    <row r="71" spans="1:81" s="3491" customFormat="1">
      <c r="A71" s="3488" t="s">
        <v>67</v>
      </c>
      <c r="B71" s="2867"/>
      <c r="C71" s="2867"/>
      <c r="D71" s="2867"/>
      <c r="E71" s="2867"/>
      <c r="F71" s="2867"/>
      <c r="G71" s="2867"/>
      <c r="H71" s="2867"/>
      <c r="I71" s="2867"/>
      <c r="J71" s="2867"/>
      <c r="K71" s="2867"/>
      <c r="L71" s="3489"/>
      <c r="M71" s="3036">
        <f>AJ52*(1+M67)</f>
        <v>84.111351886864952</v>
      </c>
      <c r="N71" s="3036">
        <f>+M71</f>
        <v>84.111351886864952</v>
      </c>
      <c r="O71" s="3036">
        <f t="shared" si="120"/>
        <v>84.111351886864952</v>
      </c>
      <c r="P71" s="3036">
        <f t="shared" si="120"/>
        <v>84.111351886864952</v>
      </c>
      <c r="Q71" s="3036">
        <f t="shared" si="120"/>
        <v>84.111351886864952</v>
      </c>
      <c r="R71" s="3036">
        <f t="shared" si="120"/>
        <v>84.111351886864952</v>
      </c>
      <c r="S71" s="3036">
        <f t="shared" si="120"/>
        <v>84.111351886864952</v>
      </c>
      <c r="T71" s="3036">
        <f t="shared" si="120"/>
        <v>84.111351886864952</v>
      </c>
      <c r="U71" s="3036">
        <f t="shared" si="120"/>
        <v>84.111351886864952</v>
      </c>
      <c r="V71" s="3036">
        <f t="shared" si="120"/>
        <v>84.111351886864952</v>
      </c>
      <c r="W71" s="3036">
        <f>+V71</f>
        <v>84.111351886864952</v>
      </c>
      <c r="X71" s="3036">
        <f t="shared" si="121"/>
        <v>84.111351886864952</v>
      </c>
      <c r="Y71" s="3036">
        <f>+X71</f>
        <v>84.111351886864952</v>
      </c>
      <c r="Z71" s="3036">
        <f t="shared" si="122"/>
        <v>84.111351886864952</v>
      </c>
      <c r="AA71" s="3036">
        <f t="shared" si="122"/>
        <v>84.111351886864952</v>
      </c>
      <c r="AB71" s="3036">
        <f t="shared" si="123"/>
        <v>84.111351886864952</v>
      </c>
      <c r="AC71" s="3036">
        <f t="shared" si="123"/>
        <v>84.111351886864952</v>
      </c>
      <c r="AD71" s="3036">
        <f t="shared" si="123"/>
        <v>84.111351886864952</v>
      </c>
      <c r="AE71" s="3036">
        <f t="shared" si="124"/>
        <v>84.111351886864952</v>
      </c>
      <c r="AF71" s="3036">
        <f t="shared" si="124"/>
        <v>84.111351886864952</v>
      </c>
      <c r="AG71" s="3036">
        <f t="shared" si="124"/>
        <v>84.111351886864952</v>
      </c>
      <c r="AH71" s="3036">
        <f t="shared" si="124"/>
        <v>84.111351886864952</v>
      </c>
      <c r="AI71" s="3036">
        <f t="shared" si="124"/>
        <v>84.111351886864952</v>
      </c>
      <c r="AJ71" s="3036">
        <f>+AI71</f>
        <v>84.111351886864952</v>
      </c>
      <c r="AK71" s="3036"/>
      <c r="AL71" s="3036"/>
      <c r="AM71" s="3036"/>
      <c r="AN71" s="3036"/>
      <c r="AO71" s="3036"/>
      <c r="AP71" s="3036"/>
      <c r="AQ71" s="3036"/>
      <c r="AR71" s="3036"/>
      <c r="AS71" s="3036"/>
      <c r="AT71" s="3036"/>
      <c r="AU71" s="3036"/>
      <c r="AV71" s="3036"/>
      <c r="AW71" s="3036"/>
      <c r="AX71" s="3036"/>
      <c r="AY71" s="3036"/>
      <c r="AZ71" s="2867"/>
      <c r="BA71" s="3036"/>
      <c r="BB71" s="3036"/>
      <c r="BC71" s="3036"/>
      <c r="BD71" s="3036"/>
      <c r="BE71" s="2867"/>
      <c r="BF71" s="3036"/>
      <c r="BG71" s="3036"/>
      <c r="BH71" s="3036"/>
      <c r="BI71" s="3036"/>
      <c r="BJ71" s="2867"/>
      <c r="BK71" s="2867"/>
      <c r="BL71" s="2867"/>
      <c r="BM71" s="2867"/>
      <c r="BN71" s="2867"/>
      <c r="BO71" s="2867"/>
      <c r="BP71" s="2867"/>
      <c r="BQ71" s="2867"/>
      <c r="BR71" s="2867"/>
      <c r="BS71" s="2867"/>
      <c r="BT71" s="3490"/>
      <c r="BU71" s="2867"/>
      <c r="BV71" s="2867"/>
      <c r="BW71" s="2867"/>
      <c r="BX71" s="2867"/>
      <c r="BY71" s="2867"/>
      <c r="BZ71" s="2867"/>
      <c r="CA71" s="2867"/>
      <c r="CB71" s="2867"/>
      <c r="CC71" s="2867"/>
    </row>
    <row r="72" spans="1:81" s="2807" customFormat="1">
      <c r="A72" s="3443" t="s">
        <v>1828</v>
      </c>
      <c r="B72" s="2862"/>
      <c r="C72" s="2862"/>
      <c r="D72" s="2862"/>
      <c r="E72" s="2862"/>
      <c r="F72" s="2862"/>
      <c r="G72" s="2862"/>
      <c r="H72" s="2862"/>
      <c r="I72" s="2862"/>
      <c r="J72" s="2862"/>
      <c r="K72" s="2862"/>
      <c r="L72" s="3441"/>
      <c r="M72" s="3303">
        <f>AJ54*(1+M67)</f>
        <v>0</v>
      </c>
      <c r="N72" s="3303">
        <f>M72</f>
        <v>0</v>
      </c>
      <c r="O72" s="3303">
        <f t="shared" ref="O72:AI72" si="126">N72</f>
        <v>0</v>
      </c>
      <c r="P72" s="3303">
        <f t="shared" si="126"/>
        <v>0</v>
      </c>
      <c r="Q72" s="3303">
        <f t="shared" si="126"/>
        <v>0</v>
      </c>
      <c r="R72" s="3303">
        <f t="shared" si="126"/>
        <v>0</v>
      </c>
      <c r="S72" s="3303">
        <f t="shared" si="126"/>
        <v>0</v>
      </c>
      <c r="T72" s="3303">
        <f t="shared" si="126"/>
        <v>0</v>
      </c>
      <c r="U72" s="3303">
        <f t="shared" si="126"/>
        <v>0</v>
      </c>
      <c r="V72" s="3303">
        <f t="shared" si="126"/>
        <v>0</v>
      </c>
      <c r="W72" s="3303">
        <f t="shared" si="126"/>
        <v>0</v>
      </c>
      <c r="X72" s="3303">
        <f t="shared" si="126"/>
        <v>0</v>
      </c>
      <c r="Y72" s="3303">
        <f t="shared" si="126"/>
        <v>0</v>
      </c>
      <c r="Z72" s="3303">
        <f t="shared" si="126"/>
        <v>0</v>
      </c>
      <c r="AA72" s="3303">
        <f t="shared" si="126"/>
        <v>0</v>
      </c>
      <c r="AB72" s="3303">
        <f t="shared" si="126"/>
        <v>0</v>
      </c>
      <c r="AC72" s="3303">
        <f t="shared" si="126"/>
        <v>0</v>
      </c>
      <c r="AD72" s="3303">
        <f t="shared" si="126"/>
        <v>0</v>
      </c>
      <c r="AE72" s="3303">
        <f t="shared" si="126"/>
        <v>0</v>
      </c>
      <c r="AF72" s="3303">
        <f t="shared" si="126"/>
        <v>0</v>
      </c>
      <c r="AG72" s="3303">
        <f t="shared" si="126"/>
        <v>0</v>
      </c>
      <c r="AH72" s="3303">
        <f t="shared" si="126"/>
        <v>0</v>
      </c>
      <c r="AI72" s="3303">
        <f t="shared" si="126"/>
        <v>0</v>
      </c>
      <c r="AJ72" s="3303">
        <f>AI72</f>
        <v>0</v>
      </c>
      <c r="AK72" s="3303"/>
      <c r="AL72" s="3303"/>
      <c r="AM72" s="3303"/>
      <c r="AN72" s="3303"/>
      <c r="AO72" s="3303"/>
      <c r="AP72" s="3303"/>
      <c r="AQ72" s="3303"/>
      <c r="AR72" s="3303"/>
      <c r="AS72" s="3303"/>
      <c r="AT72" s="3303"/>
      <c r="AU72" s="3303"/>
      <c r="AV72" s="3303"/>
      <c r="AW72" s="3303"/>
      <c r="AX72" s="3303"/>
      <c r="AY72" s="3303"/>
      <c r="AZ72" s="2862"/>
      <c r="BA72" s="3303"/>
      <c r="BB72" s="3303"/>
      <c r="BC72" s="3303"/>
      <c r="BD72" s="3303"/>
      <c r="BE72" s="2862"/>
      <c r="BF72" s="3303"/>
      <c r="BG72" s="3303"/>
      <c r="BH72" s="3303"/>
      <c r="BI72" s="3303"/>
      <c r="BJ72" s="2862"/>
      <c r="BK72" s="2862"/>
      <c r="BL72" s="2862"/>
      <c r="BM72" s="2862"/>
      <c r="BN72" s="2862"/>
      <c r="BO72" s="2862"/>
      <c r="BP72" s="2862"/>
      <c r="BQ72" s="2862"/>
      <c r="BR72" s="2862"/>
      <c r="BS72" s="2862"/>
      <c r="BT72" s="3442"/>
      <c r="BU72" s="2862"/>
      <c r="BV72" s="2862"/>
      <c r="BW72" s="2862"/>
      <c r="BX72" s="2862"/>
      <c r="BY72" s="2862"/>
      <c r="BZ72" s="2862"/>
      <c r="CA72" s="2862"/>
      <c r="CB72" s="2862"/>
      <c r="CC72" s="2862"/>
    </row>
    <row r="73" spans="1:81" s="2807" customFormat="1">
      <c r="A73" s="3482" t="s">
        <v>56</v>
      </c>
      <c r="B73" s="2862"/>
      <c r="C73" s="2862"/>
      <c r="D73" s="2862"/>
      <c r="E73" s="2862"/>
      <c r="F73" s="2862"/>
      <c r="G73" s="2862"/>
      <c r="H73" s="2862"/>
      <c r="I73" s="2862"/>
      <c r="J73" s="2862"/>
      <c r="K73" s="2862"/>
      <c r="L73" s="2862"/>
      <c r="M73" s="2887">
        <f t="shared" ref="M73:W73" ca="1" si="127">+M69-M70-M71-M72</f>
        <v>210.12829972812125</v>
      </c>
      <c r="N73" s="2887">
        <f t="shared" ca="1" si="127"/>
        <v>210.12829972812125</v>
      </c>
      <c r="O73" s="2887">
        <f t="shared" ca="1" si="127"/>
        <v>210.12829972812125</v>
      </c>
      <c r="P73" s="2887">
        <f t="shared" ca="1" si="127"/>
        <v>210.12829972812125</v>
      </c>
      <c r="Q73" s="2887">
        <f t="shared" ca="1" si="127"/>
        <v>210.12829972812125</v>
      </c>
      <c r="R73" s="2887">
        <f t="shared" ca="1" si="127"/>
        <v>210.12829972812125</v>
      </c>
      <c r="S73" s="2887">
        <f t="shared" ca="1" si="127"/>
        <v>210.12829972812125</v>
      </c>
      <c r="T73" s="2887">
        <f t="shared" ca="1" si="127"/>
        <v>210.12829972812125</v>
      </c>
      <c r="U73" s="2887">
        <f t="shared" ca="1" si="127"/>
        <v>210.12829972812125</v>
      </c>
      <c r="V73" s="2887">
        <f t="shared" ca="1" si="127"/>
        <v>210.12829972812125</v>
      </c>
      <c r="W73" s="2887">
        <f t="shared" ca="1" si="127"/>
        <v>210.12829972812125</v>
      </c>
      <c r="X73" s="2887">
        <f ca="1">+X69-X70-X71-X72</f>
        <v>210.12829972812125</v>
      </c>
      <c r="Y73" s="2887">
        <f t="shared" ref="Y73:AI73" ca="1" si="128">+Y69-Y70-Y71-Y72</f>
        <v>210.12829972812125</v>
      </c>
      <c r="Z73" s="2887">
        <f t="shared" ca="1" si="128"/>
        <v>210.12829972812125</v>
      </c>
      <c r="AA73" s="2887">
        <f t="shared" ca="1" si="128"/>
        <v>210.12829972812125</v>
      </c>
      <c r="AB73" s="2887">
        <f t="shared" ca="1" si="128"/>
        <v>210.12829972812125</v>
      </c>
      <c r="AC73" s="2887">
        <f t="shared" ca="1" si="128"/>
        <v>210.12829972812125</v>
      </c>
      <c r="AD73" s="2887">
        <f t="shared" ca="1" si="128"/>
        <v>210.12829972812125</v>
      </c>
      <c r="AE73" s="2887">
        <f t="shared" ca="1" si="128"/>
        <v>210.12829972812125</v>
      </c>
      <c r="AF73" s="2887">
        <f t="shared" ca="1" si="128"/>
        <v>210.12829972812125</v>
      </c>
      <c r="AG73" s="2887">
        <f t="shared" ca="1" si="128"/>
        <v>210.12829972812125</v>
      </c>
      <c r="AH73" s="2887">
        <f t="shared" ca="1" si="128"/>
        <v>210.12829972812125</v>
      </c>
      <c r="AI73" s="2887">
        <f t="shared" ca="1" si="128"/>
        <v>210.12829972812125</v>
      </c>
      <c r="AJ73" s="2887">
        <f ca="1">+AJ69-AJ70-AJ71-AJ72</f>
        <v>210.12829972812125</v>
      </c>
      <c r="AK73" s="2887"/>
      <c r="AL73" s="2887"/>
      <c r="AM73" s="2887"/>
      <c r="AN73" s="2887"/>
      <c r="AO73" s="2887"/>
      <c r="AP73" s="2887"/>
      <c r="AQ73" s="2887"/>
      <c r="AR73" s="2887"/>
      <c r="AS73" s="2887"/>
      <c r="AT73" s="2887"/>
      <c r="AU73" s="2887"/>
      <c r="AV73" s="2887"/>
      <c r="AW73" s="2887"/>
      <c r="AX73" s="2887"/>
      <c r="AY73" s="2887"/>
      <c r="AZ73" s="2862"/>
      <c r="BA73" s="3036"/>
      <c r="BB73" s="3036"/>
      <c r="BC73" s="3036"/>
      <c r="BD73" s="2887"/>
      <c r="BE73" s="2862"/>
      <c r="BF73" s="3036"/>
      <c r="BG73" s="3036"/>
      <c r="BH73" s="3036"/>
      <c r="BI73" s="2887"/>
      <c r="BJ73" s="2862"/>
      <c r="BK73" s="2862"/>
      <c r="BL73" s="2862"/>
      <c r="BM73" s="2862"/>
      <c r="BN73" s="2862"/>
      <c r="BO73" s="2862"/>
      <c r="BP73" s="2862"/>
      <c r="BQ73" s="2862"/>
      <c r="BR73" s="2862"/>
      <c r="BS73" s="2862"/>
      <c r="BT73" s="3442"/>
      <c r="BU73" s="2862"/>
      <c r="BV73" s="2862"/>
      <c r="BW73" s="2862"/>
      <c r="BX73" s="2862"/>
      <c r="BY73" s="2862"/>
      <c r="BZ73" s="2862"/>
      <c r="CA73" s="2862"/>
      <c r="CB73" s="2862"/>
      <c r="CC73" s="2862"/>
    </row>
    <row r="74" spans="1:81" s="2807" customFormat="1">
      <c r="A74" s="3487" t="s">
        <v>57</v>
      </c>
      <c r="B74" s="2862"/>
      <c r="C74" s="2862"/>
      <c r="D74" s="2862"/>
      <c r="E74" s="2862"/>
      <c r="F74" s="2862"/>
      <c r="G74" s="2862"/>
      <c r="H74" s="2862"/>
      <c r="I74" s="2862"/>
      <c r="J74" s="2862"/>
      <c r="K74" s="2862"/>
      <c r="L74" s="2862"/>
      <c r="M74" s="2887">
        <f ca="1">1/(M66-M67)</f>
        <v>16.528782274222632</v>
      </c>
      <c r="N74" s="2887">
        <f t="shared" ref="N74:W74" ca="1" si="129">1/(N66-N67)</f>
        <v>16.528782274222632</v>
      </c>
      <c r="O74" s="2887">
        <f t="shared" ca="1" si="129"/>
        <v>16.528782274222632</v>
      </c>
      <c r="P74" s="2887">
        <f t="shared" ca="1" si="129"/>
        <v>16.528782274222632</v>
      </c>
      <c r="Q74" s="2887">
        <f t="shared" ca="1" si="129"/>
        <v>16.528782274222632</v>
      </c>
      <c r="R74" s="2887">
        <f t="shared" ca="1" si="129"/>
        <v>16.528782274222632</v>
      </c>
      <c r="S74" s="2887">
        <f t="shared" ca="1" si="129"/>
        <v>16.528782274222632</v>
      </c>
      <c r="T74" s="2887">
        <f t="shared" ca="1" si="129"/>
        <v>16.528782274222632</v>
      </c>
      <c r="U74" s="2887">
        <f t="shared" ca="1" si="129"/>
        <v>16.528782274222632</v>
      </c>
      <c r="V74" s="2887">
        <f t="shared" ca="1" si="129"/>
        <v>16.528782274222632</v>
      </c>
      <c r="W74" s="2887">
        <f t="shared" ca="1" si="129"/>
        <v>16.528782274222632</v>
      </c>
      <c r="X74" s="2887">
        <f t="shared" ref="X74:AD74" ca="1" si="130">1/(X66-X67)</f>
        <v>16.528782274222632</v>
      </c>
      <c r="Y74" s="2887">
        <f t="shared" ca="1" si="130"/>
        <v>16.528782274222632</v>
      </c>
      <c r="Z74" s="2887">
        <f t="shared" ca="1" si="130"/>
        <v>16.528782274222632</v>
      </c>
      <c r="AA74" s="2887">
        <f t="shared" ca="1" si="130"/>
        <v>16.528782274222632</v>
      </c>
      <c r="AB74" s="2887">
        <f t="shared" ca="1" si="130"/>
        <v>16.528782274222632</v>
      </c>
      <c r="AC74" s="2887">
        <f t="shared" ca="1" si="130"/>
        <v>16.528782274222632</v>
      </c>
      <c r="AD74" s="2887">
        <f t="shared" ca="1" si="130"/>
        <v>16.528782274222632</v>
      </c>
      <c r="AE74" s="2887">
        <f t="shared" ref="AE74:AJ74" ca="1" si="131">1/(AE66-AE67)</f>
        <v>16.528782274222632</v>
      </c>
      <c r="AF74" s="2887">
        <f t="shared" ca="1" si="131"/>
        <v>16.528782274222632</v>
      </c>
      <c r="AG74" s="2887">
        <f t="shared" ca="1" si="131"/>
        <v>16.528782274222632</v>
      </c>
      <c r="AH74" s="2887">
        <f t="shared" ca="1" si="131"/>
        <v>16.528782274222632</v>
      </c>
      <c r="AI74" s="2887">
        <f t="shared" ca="1" si="131"/>
        <v>16.528782274222632</v>
      </c>
      <c r="AJ74" s="2887">
        <f t="shared" ca="1" si="131"/>
        <v>16.528782274222632</v>
      </c>
      <c r="AK74" s="2887"/>
      <c r="AL74" s="2887"/>
      <c r="AM74" s="2887"/>
      <c r="AN74" s="2887"/>
      <c r="AO74" s="2887"/>
      <c r="AP74" s="2887"/>
      <c r="AQ74" s="2887"/>
      <c r="AR74" s="2887"/>
      <c r="AS74" s="2887"/>
      <c r="AT74" s="2887"/>
      <c r="AU74" s="2887"/>
      <c r="AV74" s="2887"/>
      <c r="AW74" s="2887"/>
      <c r="AX74" s="2887"/>
      <c r="AY74" s="2887"/>
      <c r="AZ74" s="2862"/>
      <c r="BA74" s="3036"/>
      <c r="BB74" s="3036"/>
      <c r="BC74" s="3036"/>
      <c r="BD74" s="2887"/>
      <c r="BE74" s="2862"/>
      <c r="BF74" s="3036"/>
      <c r="BG74" s="3036"/>
      <c r="BH74" s="3036"/>
      <c r="BI74" s="2887"/>
      <c r="BJ74" s="2862"/>
      <c r="BK74" s="2862"/>
      <c r="BL74" s="2862"/>
      <c r="BM74" s="2862"/>
      <c r="BN74" s="2862"/>
      <c r="BO74" s="2862"/>
      <c r="BP74" s="2862"/>
      <c r="BQ74" s="2862"/>
      <c r="BR74" s="2862"/>
      <c r="BS74" s="2862"/>
      <c r="BT74" s="3442"/>
      <c r="BU74" s="2862"/>
      <c r="BV74" s="2862"/>
      <c r="BW74" s="2862"/>
      <c r="BX74" s="2862"/>
      <c r="BY74" s="2862"/>
      <c r="BZ74" s="2862"/>
      <c r="CA74" s="2862"/>
      <c r="CB74" s="2862"/>
      <c r="CC74" s="2862"/>
    </row>
    <row r="75" spans="1:81">
      <c r="A75" s="490" t="s">
        <v>627</v>
      </c>
      <c r="B75" s="6"/>
      <c r="C75" s="6"/>
      <c r="D75" s="6"/>
      <c r="E75" s="6"/>
      <c r="F75" s="6"/>
      <c r="G75" s="6"/>
      <c r="H75" s="6"/>
      <c r="I75" s="6"/>
      <c r="J75" s="6"/>
      <c r="K75" s="6"/>
      <c r="L75" s="6"/>
      <c r="M75" s="489">
        <f ca="1">+M76/M69</f>
        <v>9.5839755932619166</v>
      </c>
      <c r="N75" s="489">
        <f t="shared" ref="N75:AI75" ca="1" si="132">+N76/N69</f>
        <v>9.5839755932619166</v>
      </c>
      <c r="O75" s="489">
        <f t="shared" ca="1" si="132"/>
        <v>9.5839755932619166</v>
      </c>
      <c r="P75" s="489">
        <f t="shared" ca="1" si="132"/>
        <v>9.5839755932619166</v>
      </c>
      <c r="Q75" s="489">
        <f t="shared" ca="1" si="132"/>
        <v>9.5839755932619166</v>
      </c>
      <c r="R75" s="489">
        <f t="shared" ca="1" si="132"/>
        <v>9.5839755932619166</v>
      </c>
      <c r="S75" s="489">
        <f t="shared" ca="1" si="132"/>
        <v>9.5839755932619166</v>
      </c>
      <c r="T75" s="489">
        <f t="shared" ca="1" si="132"/>
        <v>9.5839755932619166</v>
      </c>
      <c r="U75" s="489">
        <f t="shared" ca="1" si="132"/>
        <v>9.5839755932619166</v>
      </c>
      <c r="V75" s="181">
        <f t="shared" ca="1" si="132"/>
        <v>9.5839755932619166</v>
      </c>
      <c r="W75" s="181">
        <f t="shared" ca="1" si="132"/>
        <v>9.5839755932619166</v>
      </c>
      <c r="X75" s="181">
        <f t="shared" ca="1" si="132"/>
        <v>9.5839755932619166</v>
      </c>
      <c r="Y75" s="181">
        <f t="shared" ca="1" si="132"/>
        <v>9.5839755932619166</v>
      </c>
      <c r="Z75" s="181">
        <f t="shared" ca="1" si="132"/>
        <v>9.5839755932619166</v>
      </c>
      <c r="AA75" s="181">
        <f t="shared" ca="1" si="132"/>
        <v>9.5839755932619166</v>
      </c>
      <c r="AB75" s="181">
        <f t="shared" ca="1" si="132"/>
        <v>9.5839755932619166</v>
      </c>
      <c r="AC75" s="181">
        <f t="shared" ca="1" si="132"/>
        <v>9.5839755932619166</v>
      </c>
      <c r="AD75" s="181">
        <f t="shared" ca="1" si="132"/>
        <v>9.5839755932619166</v>
      </c>
      <c r="AE75" s="181">
        <f t="shared" ca="1" si="132"/>
        <v>9.5839755932619166</v>
      </c>
      <c r="AF75" s="181">
        <f t="shared" ca="1" si="132"/>
        <v>9.5839755932619166</v>
      </c>
      <c r="AG75" s="181">
        <f t="shared" ca="1" si="132"/>
        <v>9.5839755932619166</v>
      </c>
      <c r="AH75" s="1683">
        <f t="shared" ca="1" si="132"/>
        <v>9.5839755932619166</v>
      </c>
      <c r="AI75" s="1683">
        <f t="shared" ca="1" si="132"/>
        <v>9.5839755932619166</v>
      </c>
      <c r="AJ75" s="1683">
        <f t="shared" ref="AJ75" ca="1" si="133">+AJ76/AJ69</f>
        <v>9.5839755932619166</v>
      </c>
      <c r="AK75" s="181"/>
      <c r="AL75" s="181"/>
      <c r="AM75" s="181"/>
      <c r="AN75" s="181"/>
      <c r="AO75" s="181"/>
      <c r="AP75" s="181"/>
      <c r="AQ75" s="181"/>
      <c r="AR75" s="181"/>
      <c r="AS75" s="181"/>
      <c r="AT75" s="181"/>
      <c r="AU75" s="181"/>
      <c r="AV75" s="181"/>
      <c r="AW75" s="181"/>
      <c r="AX75" s="181"/>
      <c r="AY75" s="181"/>
      <c r="AZ75" s="6"/>
      <c r="BA75" s="1009"/>
      <c r="BB75" s="1009"/>
      <c r="BC75" s="1009"/>
      <c r="BD75" s="181"/>
      <c r="BE75" s="6"/>
      <c r="BF75" s="1009"/>
      <c r="BG75" s="1009"/>
      <c r="BH75" s="1009"/>
      <c r="BI75" s="181"/>
      <c r="BJ75" s="6"/>
      <c r="BK75" s="6"/>
      <c r="BL75" s="6"/>
      <c r="BM75" s="6"/>
      <c r="BN75" s="6"/>
      <c r="BO75" s="6"/>
      <c r="BP75" s="6"/>
      <c r="BQ75" s="6"/>
      <c r="BR75" s="6"/>
      <c r="BS75" s="6"/>
      <c r="BT75" s="330"/>
      <c r="BU75" s="6"/>
      <c r="BV75" s="6"/>
      <c r="BW75" s="6"/>
      <c r="BX75" s="6"/>
      <c r="BY75" s="6"/>
      <c r="BZ75" s="6"/>
      <c r="CA75" s="6"/>
      <c r="CB75" s="6"/>
      <c r="CC75" s="6"/>
    </row>
    <row r="76" spans="1:81">
      <c r="A76" s="295" t="s">
        <v>59</v>
      </c>
      <c r="B76" s="6"/>
      <c r="C76" s="6"/>
      <c r="D76" s="6"/>
      <c r="E76" s="6"/>
      <c r="F76" s="6"/>
      <c r="G76" s="6"/>
      <c r="H76" s="6"/>
      <c r="I76" s="6"/>
      <c r="J76" s="6"/>
      <c r="K76" s="6"/>
      <c r="L76" s="6"/>
      <c r="M76" s="489">
        <f ca="1">M74*M73</f>
        <v>3473.1649158587106</v>
      </c>
      <c r="N76" s="489">
        <f t="shared" ref="N76:AI76" ca="1" si="134">N74*N73</f>
        <v>3473.1649158587106</v>
      </c>
      <c r="O76" s="489">
        <f t="shared" ca="1" si="134"/>
        <v>3473.1649158587106</v>
      </c>
      <c r="P76" s="489">
        <f t="shared" ca="1" si="134"/>
        <v>3473.1649158587106</v>
      </c>
      <c r="Q76" s="489">
        <f t="shared" ca="1" si="134"/>
        <v>3473.1649158587106</v>
      </c>
      <c r="R76" s="489">
        <f t="shared" ca="1" si="134"/>
        <v>3473.1649158587106</v>
      </c>
      <c r="S76" s="489">
        <f t="shared" ca="1" si="134"/>
        <v>3473.1649158587106</v>
      </c>
      <c r="T76" s="489">
        <f t="shared" ca="1" si="134"/>
        <v>3473.1649158587106</v>
      </c>
      <c r="U76" s="489">
        <f t="shared" ca="1" si="134"/>
        <v>3473.1649158587106</v>
      </c>
      <c r="V76" s="181">
        <f t="shared" ca="1" si="134"/>
        <v>3473.1649158587106</v>
      </c>
      <c r="W76" s="181">
        <f t="shared" ca="1" si="134"/>
        <v>3473.1649158587106</v>
      </c>
      <c r="X76" s="181">
        <f t="shared" ca="1" si="134"/>
        <v>3473.1649158587106</v>
      </c>
      <c r="Y76" s="181">
        <f t="shared" ca="1" si="134"/>
        <v>3473.1649158587106</v>
      </c>
      <c r="Z76" s="181">
        <f t="shared" ca="1" si="134"/>
        <v>3473.1649158587106</v>
      </c>
      <c r="AA76" s="181">
        <f t="shared" ca="1" si="134"/>
        <v>3473.1649158587106</v>
      </c>
      <c r="AB76" s="181">
        <f t="shared" ca="1" si="134"/>
        <v>3473.1649158587106</v>
      </c>
      <c r="AC76" s="181">
        <f t="shared" ca="1" si="134"/>
        <v>3473.1649158587106</v>
      </c>
      <c r="AD76" s="181">
        <f t="shared" ca="1" si="134"/>
        <v>3473.1649158587106</v>
      </c>
      <c r="AE76" s="181">
        <f t="shared" ca="1" si="134"/>
        <v>3473.1649158587106</v>
      </c>
      <c r="AF76" s="181">
        <f t="shared" ca="1" si="134"/>
        <v>3473.1649158587106</v>
      </c>
      <c r="AG76" s="181">
        <f t="shared" ca="1" si="134"/>
        <v>3473.1649158587106</v>
      </c>
      <c r="AH76" s="1683">
        <f t="shared" ca="1" si="134"/>
        <v>3473.1649158587106</v>
      </c>
      <c r="AI76" s="1683">
        <f t="shared" ca="1" si="134"/>
        <v>3473.1649158587106</v>
      </c>
      <c r="AJ76" s="1683">
        <f t="shared" ref="AJ76" ca="1" si="135">AJ74*AJ73</f>
        <v>3473.1649158587106</v>
      </c>
      <c r="AK76" s="181"/>
      <c r="AL76" s="181"/>
      <c r="AM76" s="181"/>
      <c r="AN76" s="181"/>
      <c r="AO76" s="181"/>
      <c r="AP76" s="181"/>
      <c r="AQ76" s="181"/>
      <c r="AR76" s="181"/>
      <c r="AS76" s="181"/>
      <c r="AT76" s="181"/>
      <c r="AU76" s="181"/>
      <c r="AV76" s="181"/>
      <c r="AW76" s="181"/>
      <c r="AX76" s="181"/>
      <c r="AY76" s="181"/>
      <c r="AZ76" s="6"/>
      <c r="BA76" s="1009"/>
      <c r="BB76" s="1009"/>
      <c r="BC76" s="1009"/>
      <c r="BD76" s="181"/>
      <c r="BE76" s="6"/>
      <c r="BF76" s="1009"/>
      <c r="BG76" s="1009"/>
      <c r="BH76" s="1009"/>
      <c r="BI76" s="181"/>
      <c r="BJ76" s="6"/>
      <c r="BK76" s="6"/>
      <c r="BL76" s="6"/>
      <c r="BM76" s="6"/>
      <c r="BN76" s="6"/>
      <c r="BO76" s="6"/>
      <c r="BP76" s="6"/>
      <c r="BQ76" s="6"/>
      <c r="BR76" s="6"/>
      <c r="BS76" s="6"/>
      <c r="BT76" s="330"/>
      <c r="BU76" s="6"/>
      <c r="BV76" s="6"/>
      <c r="BW76" s="6"/>
      <c r="BX76" s="6"/>
      <c r="BY76" s="6"/>
      <c r="BZ76" s="6"/>
      <c r="CA76" s="6"/>
      <c r="CB76" s="6"/>
      <c r="CC76" s="6"/>
    </row>
    <row r="77" spans="1:81">
      <c r="A77" s="295" t="s">
        <v>60</v>
      </c>
      <c r="B77" s="6"/>
      <c r="C77" s="6"/>
      <c r="D77" s="6"/>
      <c r="E77" s="6"/>
      <c r="F77" s="6"/>
      <c r="G77" s="6"/>
      <c r="H77" s="6"/>
      <c r="I77" s="6"/>
      <c r="J77" s="6"/>
      <c r="K77" s="6"/>
      <c r="L77" s="6"/>
      <c r="M77" s="489">
        <f ca="1">M76/((1+M66)^M83)</f>
        <v>585.26265997525093</v>
      </c>
      <c r="N77" s="489">
        <f t="shared" ref="N77:AI77" ca="1" si="136">N76/((1+N66)^N83)</f>
        <v>632.37661118198878</v>
      </c>
      <c r="O77" s="489">
        <f t="shared" ca="1" si="136"/>
        <v>683.28326018086784</v>
      </c>
      <c r="P77" s="489">
        <f t="shared" ca="1" si="136"/>
        <v>738.28792113412862</v>
      </c>
      <c r="Q77" s="489">
        <f t="shared" ca="1" si="136"/>
        <v>797.72048615426525</v>
      </c>
      <c r="R77" s="489">
        <f t="shared" ca="1" si="136"/>
        <v>861.93740384191779</v>
      </c>
      <c r="S77" s="489">
        <f t="shared" ca="1" si="136"/>
        <v>931.32381709710069</v>
      </c>
      <c r="T77" s="489">
        <f t="shared" ca="1" si="136"/>
        <v>1006.2958730253588</v>
      </c>
      <c r="U77" s="489">
        <f t="shared" ca="1" si="136"/>
        <v>1087.3032187925796</v>
      </c>
      <c r="V77" s="181">
        <f t="shared" ca="1" si="136"/>
        <v>1174.8316983974271</v>
      </c>
      <c r="W77" s="181">
        <f t="shared" ca="1" si="136"/>
        <v>1269.4062665353738</v>
      </c>
      <c r="X77" s="181">
        <f t="shared" ca="1" si="136"/>
        <v>1371.5941370303133</v>
      </c>
      <c r="Y77" s="181">
        <f t="shared" ca="1" si="136"/>
        <v>1482.0081847165718</v>
      </c>
      <c r="Z77" s="181">
        <f t="shared" ca="1" si="136"/>
        <v>1601.3106211742049</v>
      </c>
      <c r="AA77" s="181">
        <f t="shared" ca="1" si="136"/>
        <v>1730.2169663629154</v>
      </c>
      <c r="AB77" s="181">
        <f t="shared" ca="1" si="136"/>
        <v>1869.5003399745849</v>
      </c>
      <c r="AC77" s="181">
        <f t="shared" ca="1" si="136"/>
        <v>2019.9960982419364</v>
      </c>
      <c r="AD77" s="181">
        <f t="shared" ca="1" si="136"/>
        <v>2182.6068440127256</v>
      </c>
      <c r="AE77" s="181">
        <f t="shared" ca="1" si="136"/>
        <v>2358.3078401375355</v>
      </c>
      <c r="AF77" s="181">
        <f t="shared" ca="1" si="136"/>
        <v>2548.1528586381273</v>
      </c>
      <c r="AG77" s="181">
        <f t="shared" ca="1" si="136"/>
        <v>2753.2805007369125</v>
      </c>
      <c r="AH77" s="1683">
        <f t="shared" ca="1" si="136"/>
        <v>2974.9210256521137</v>
      </c>
      <c r="AI77" s="1683">
        <f t="shared" ca="1" si="136"/>
        <v>3214.40372911452</v>
      </c>
      <c r="AJ77" s="1683">
        <f t="shared" ref="AJ77" ca="1" si="137">AJ76/((1+AJ66)^AJ83)</f>
        <v>3473.1649158587106</v>
      </c>
      <c r="AK77" s="181"/>
      <c r="AL77" s="181"/>
      <c r="AM77" s="181"/>
      <c r="AN77" s="181"/>
      <c r="AO77" s="181"/>
      <c r="AP77" s="181"/>
      <c r="AQ77" s="181"/>
      <c r="AR77" s="181"/>
      <c r="AS77" s="181"/>
      <c r="AT77" s="181"/>
      <c r="AU77" s="181"/>
      <c r="AV77" s="181"/>
      <c r="AW77" s="181"/>
      <c r="AX77" s="181"/>
      <c r="AY77" s="181"/>
      <c r="AZ77" s="6"/>
      <c r="BA77" s="1009"/>
      <c r="BB77" s="1009"/>
      <c r="BC77" s="1009"/>
      <c r="BD77" s="181"/>
      <c r="BE77" s="6"/>
      <c r="BF77" s="1009"/>
      <c r="BG77" s="1009"/>
      <c r="BH77" s="1009"/>
      <c r="BI77" s="181"/>
      <c r="BJ77" s="6"/>
      <c r="BK77" s="6"/>
      <c r="BL77" s="6"/>
      <c r="BM77" s="6"/>
      <c r="BN77" s="6"/>
      <c r="BO77" s="6"/>
      <c r="BP77" s="6"/>
      <c r="BQ77" s="6"/>
      <c r="BR77" s="6"/>
      <c r="BS77" s="6"/>
      <c r="BT77" s="330"/>
      <c r="BU77" s="6"/>
      <c r="BV77" s="6"/>
      <c r="BW77" s="6"/>
      <c r="BX77" s="6"/>
      <c r="BY77" s="6"/>
      <c r="BZ77" s="6"/>
      <c r="CA77" s="6"/>
      <c r="CB77" s="6"/>
      <c r="CC77" s="6"/>
    </row>
    <row r="78" spans="1:81">
      <c r="A78" s="295" t="s">
        <v>63</v>
      </c>
      <c r="B78" s="6"/>
      <c r="C78" s="6"/>
      <c r="D78" s="6"/>
      <c r="E78" s="6"/>
      <c r="F78" s="6"/>
      <c r="G78" s="6"/>
      <c r="H78" s="6"/>
      <c r="I78" s="6"/>
      <c r="J78" s="6"/>
      <c r="K78" s="6"/>
      <c r="L78" s="6"/>
      <c r="M78" s="172">
        <f ca="1">NPV(M66,N57:$AJ57)</f>
        <v>2934.3480397100789</v>
      </c>
      <c r="N78" s="172">
        <f ca="1">NPV(N66,O57:$AJ57)</f>
        <v>2948.179031235743</v>
      </c>
      <c r="O78" s="172">
        <f ca="1">NPV(O66,P57:$AJ57)</f>
        <v>2925.1924600041839</v>
      </c>
      <c r="P78" s="172">
        <f ca="1">NPV(P66,Q57:$AJ57)</f>
        <v>3072.0080095757153</v>
      </c>
      <c r="Q78" s="172">
        <f ca="1">NPV(Q66,R57:$AJ57)</f>
        <v>3318.855002431942</v>
      </c>
      <c r="R78" s="172">
        <f ca="1">NPV(R66,S57:$AJ57)</f>
        <v>3485.8801640926213</v>
      </c>
      <c r="S78" s="172">
        <f ca="1">NPV(S66,T57:$AJ57)</f>
        <v>3351.7623254264995</v>
      </c>
      <c r="T78" s="172">
        <f ca="1">NPV(T66,U57:$AJ57)</f>
        <v>3370.7290476775938</v>
      </c>
      <c r="U78" s="172">
        <f ca="1">NPV(U66,V57:$AJ57)</f>
        <v>3258.3388226827178</v>
      </c>
      <c r="V78" s="172">
        <f ca="1">NPV(V66,W57:$AJ57)</f>
        <v>3335.0153672882398</v>
      </c>
      <c r="W78" s="172">
        <f ca="1">NPV(W66,X57:$AJ57)</f>
        <v>3383.5793028182952</v>
      </c>
      <c r="X78" s="172">
        <f ca="1">NPV(X66,Y57:$AJ57)</f>
        <v>3258.6329719331043</v>
      </c>
      <c r="Y78" s="172">
        <f ca="1">NPV(Y66,Z57:$AJ57)</f>
        <v>3125.5605618680574</v>
      </c>
      <c r="Z78" s="172">
        <f ca="1">NPV(Z66,AA57:$AJ57)</f>
        <v>2972.2450432260707</v>
      </c>
      <c r="AA78" s="172">
        <f ca="1">NPV(AA66,AB57:$AJ57)</f>
        <v>2747.6325131863546</v>
      </c>
      <c r="AB78" s="172">
        <f ca="1">NPV(AB66,AC57:$AJ57)</f>
        <v>2457.3571565125626</v>
      </c>
      <c r="AC78" s="172">
        <f ca="1">NPV(AC66,AD57:$AJ57)</f>
        <v>2081.252907221653</v>
      </c>
      <c r="AD78" s="172">
        <f ca="1">NPV(AD66,AE57:$AJ57)</f>
        <v>1656.9721432850606</v>
      </c>
      <c r="AE78" s="172">
        <f ca="1">NPV(AE66,AF57:$AJ57)</f>
        <v>1303.7098924127615</v>
      </c>
      <c r="AF78" s="172">
        <f ca="1">NPV(AF66,AG57:$AJ57)</f>
        <v>997.79303194303463</v>
      </c>
      <c r="AG78" s="172">
        <f ca="1">NPV(AG66,AH57:$AJ57)</f>
        <v>654.18958681121399</v>
      </c>
      <c r="AH78" s="172">
        <f ca="1">NPV(AH66,AI57:$AJ57)</f>
        <v>416.18140946397068</v>
      </c>
      <c r="AI78" s="172">
        <f ca="1">NPV(AI66,AJ57:$AJ57)</f>
        <v>190.65991388421557</v>
      </c>
      <c r="AJ78" s="771">
        <v>0</v>
      </c>
      <c r="AK78" s="1399"/>
      <c r="AL78" s="181"/>
      <c r="AM78" s="181"/>
      <c r="AN78" s="181"/>
      <c r="AO78" s="181"/>
      <c r="AP78" s="771"/>
      <c r="AQ78" s="771"/>
      <c r="AR78" s="771"/>
      <c r="AS78" s="771"/>
      <c r="AT78" s="771"/>
      <c r="AU78" s="771"/>
      <c r="AV78" s="771"/>
      <c r="AW78" s="771"/>
      <c r="AX78" s="771"/>
      <c r="AY78" s="771"/>
      <c r="AZ78" s="6"/>
      <c r="BA78" s="771"/>
      <c r="BB78" s="771"/>
      <c r="BC78" s="771"/>
      <c r="BD78" s="771"/>
      <c r="BE78" s="6"/>
      <c r="BF78" s="771"/>
      <c r="BG78" s="771"/>
      <c r="BH78" s="771"/>
      <c r="BI78" s="771"/>
      <c r="BJ78" s="6"/>
      <c r="BK78" s="6"/>
      <c r="BL78" s="6"/>
      <c r="BM78" s="6"/>
      <c r="BN78" s="6"/>
      <c r="BO78" s="6"/>
      <c r="BP78" s="6"/>
      <c r="BQ78" s="6"/>
      <c r="BR78" s="6"/>
      <c r="BS78" s="6"/>
      <c r="BT78" s="330"/>
      <c r="BU78" s="6"/>
      <c r="BV78" s="6"/>
      <c r="BW78" s="6"/>
      <c r="BX78" s="6"/>
      <c r="BY78" s="6"/>
      <c r="BZ78" s="6"/>
      <c r="CA78" s="6"/>
      <c r="CB78" s="6"/>
      <c r="CC78" s="6"/>
    </row>
    <row r="79" spans="1:81">
      <c r="A79" s="295"/>
      <c r="B79" s="6"/>
      <c r="C79" s="6"/>
      <c r="D79" s="6"/>
      <c r="E79" s="6"/>
      <c r="F79" s="6"/>
      <c r="G79" s="6"/>
      <c r="H79" s="6"/>
      <c r="I79" s="6"/>
      <c r="J79" s="6"/>
      <c r="K79" s="6"/>
      <c r="L79" s="6"/>
      <c r="M79" s="492"/>
      <c r="N79" s="492"/>
      <c r="O79" s="492"/>
      <c r="P79" s="492"/>
      <c r="Q79" s="492"/>
      <c r="R79" s="492"/>
      <c r="S79" s="492"/>
      <c r="T79" s="492"/>
      <c r="U79" s="492"/>
      <c r="V79" s="539"/>
      <c r="W79" s="539"/>
      <c r="X79" s="539"/>
      <c r="Y79" s="539"/>
      <c r="Z79" s="539"/>
      <c r="AA79" s="539"/>
      <c r="AB79" s="539"/>
      <c r="AC79" s="539"/>
      <c r="AD79" s="539"/>
      <c r="AE79" s="539"/>
      <c r="AF79" s="539"/>
      <c r="AG79" s="539"/>
      <c r="AH79" s="2268"/>
      <c r="AJ79" s="539"/>
      <c r="AK79" s="539"/>
      <c r="AL79" s="181"/>
      <c r="AM79" s="181"/>
      <c r="AN79" s="181"/>
      <c r="AO79" s="181"/>
      <c r="AP79" s="539"/>
      <c r="AQ79" s="539"/>
      <c r="AR79" s="539"/>
      <c r="AS79" s="539"/>
      <c r="AT79" s="539"/>
      <c r="AU79" s="539"/>
      <c r="AV79" s="539"/>
      <c r="AW79" s="539"/>
      <c r="AX79" s="539"/>
      <c r="AY79" s="539"/>
      <c r="AZ79" s="6"/>
      <c r="BA79" s="1426"/>
      <c r="BB79" s="1426"/>
      <c r="BC79" s="1426"/>
      <c r="BD79" s="539"/>
      <c r="BE79" s="6"/>
      <c r="BF79" s="1426"/>
      <c r="BG79" s="1426"/>
      <c r="BH79" s="1426"/>
      <c r="BI79" s="539"/>
      <c r="BJ79" s="6"/>
      <c r="BK79" s="6"/>
      <c r="BL79" s="6"/>
      <c r="BM79" s="6"/>
      <c r="BN79" s="6"/>
      <c r="BO79" s="6"/>
      <c r="BP79" s="6"/>
      <c r="BQ79" s="6"/>
      <c r="BR79" s="6"/>
      <c r="BS79" s="6"/>
      <c r="BT79" s="330"/>
      <c r="BU79" s="6"/>
      <c r="BV79" s="6"/>
      <c r="BW79" s="6"/>
      <c r="BX79" s="6"/>
      <c r="BY79" s="6"/>
      <c r="BZ79" s="6"/>
      <c r="CA79" s="6"/>
      <c r="CB79" s="6"/>
      <c r="CC79" s="6"/>
    </row>
    <row r="80" spans="1:81">
      <c r="A80" s="295" t="s">
        <v>64</v>
      </c>
      <c r="B80" s="6"/>
      <c r="C80" s="6"/>
      <c r="D80" s="6"/>
      <c r="E80" s="6"/>
      <c r="F80" s="6"/>
      <c r="G80" s="6"/>
      <c r="H80" s="6"/>
      <c r="I80" s="6"/>
      <c r="J80" s="6"/>
      <c r="K80" s="6"/>
      <c r="L80" s="6"/>
      <c r="M80" s="493">
        <f ca="1">M78+M77</f>
        <v>3519.6106996853296</v>
      </c>
      <c r="N80" s="493">
        <f t="shared" ref="N80:AI80" ca="1" si="138">N78+N77</f>
        <v>3580.5556424177316</v>
      </c>
      <c r="O80" s="493">
        <f t="shared" ca="1" si="138"/>
        <v>3608.4757201850516</v>
      </c>
      <c r="P80" s="493">
        <f t="shared" ca="1" si="138"/>
        <v>3810.295930709844</v>
      </c>
      <c r="Q80" s="493">
        <f ca="1">Q78+Q77</f>
        <v>4116.575488586207</v>
      </c>
      <c r="R80" s="493">
        <f t="shared" ca="1" si="138"/>
        <v>4347.8175679345386</v>
      </c>
      <c r="S80" s="493">
        <f t="shared" ca="1" si="138"/>
        <v>4283.0861425235998</v>
      </c>
      <c r="T80" s="493">
        <f t="shared" ca="1" si="138"/>
        <v>4377.0249207029528</v>
      </c>
      <c r="U80" s="493">
        <f t="shared" ca="1" si="138"/>
        <v>4345.6420414752974</v>
      </c>
      <c r="V80" s="540">
        <f t="shared" ca="1" si="138"/>
        <v>4509.8470656856671</v>
      </c>
      <c r="W80" s="540">
        <f t="shared" ca="1" si="138"/>
        <v>4652.9855693536692</v>
      </c>
      <c r="X80" s="540">
        <f t="shared" ca="1" si="138"/>
        <v>4630.2271089634178</v>
      </c>
      <c r="Y80" s="540">
        <f t="shared" ca="1" si="138"/>
        <v>4607.5687465846295</v>
      </c>
      <c r="Z80" s="540">
        <f t="shared" ca="1" si="138"/>
        <v>4573.5556644002754</v>
      </c>
      <c r="AA80" s="540">
        <f t="shared" ca="1" si="138"/>
        <v>4477.8494795492697</v>
      </c>
      <c r="AB80" s="540">
        <f t="shared" ca="1" si="138"/>
        <v>4326.8574964871477</v>
      </c>
      <c r="AC80" s="540">
        <f t="shared" ca="1" si="138"/>
        <v>4101.2490054635891</v>
      </c>
      <c r="AD80" s="540">
        <f t="shared" ca="1" si="138"/>
        <v>3839.5789872977862</v>
      </c>
      <c r="AE80" s="540">
        <f t="shared" ca="1" si="138"/>
        <v>3662.0177325502973</v>
      </c>
      <c r="AF80" s="540">
        <f t="shared" ca="1" si="138"/>
        <v>3545.9458905811621</v>
      </c>
      <c r="AG80" s="540">
        <f t="shared" ca="1" si="138"/>
        <v>3407.4700875481267</v>
      </c>
      <c r="AH80" s="2269">
        <f t="shared" ca="1" si="138"/>
        <v>3391.1024351160845</v>
      </c>
      <c r="AI80" s="2269">
        <f t="shared" ca="1" si="138"/>
        <v>3405.0636429987358</v>
      </c>
      <c r="AJ80" s="2269">
        <f t="shared" ref="AJ80" ca="1" si="139">AJ78+AJ77</f>
        <v>3473.1649158587106</v>
      </c>
      <c r="AK80" s="540"/>
      <c r="AL80" s="181"/>
      <c r="AM80" s="181"/>
      <c r="AN80" s="181"/>
      <c r="AO80" s="181"/>
      <c r="AP80" s="540"/>
      <c r="AQ80" s="540"/>
      <c r="AR80" s="540"/>
      <c r="AS80" s="540"/>
      <c r="AT80" s="540"/>
      <c r="AU80" s="540"/>
      <c r="AV80" s="540"/>
      <c r="AW80" s="540"/>
      <c r="AX80" s="540"/>
      <c r="AY80" s="540"/>
      <c r="AZ80" s="6"/>
      <c r="BA80" s="1427"/>
      <c r="BB80" s="1427"/>
      <c r="BC80" s="1427"/>
      <c r="BD80" s="540"/>
      <c r="BE80" s="6"/>
      <c r="BF80" s="1427"/>
      <c r="BG80" s="1427"/>
      <c r="BH80" s="1427"/>
      <c r="BI80" s="540"/>
      <c r="BJ80" s="6"/>
      <c r="BK80" s="6"/>
      <c r="BL80" s="6"/>
      <c r="BM80" s="6"/>
      <c r="BN80" s="6"/>
      <c r="BO80" s="6"/>
      <c r="BP80" s="6"/>
      <c r="BQ80" s="6"/>
      <c r="BR80" s="6"/>
      <c r="BS80" s="6"/>
      <c r="BT80" s="330"/>
      <c r="BU80" s="6"/>
      <c r="BV80" s="6"/>
      <c r="BW80" s="6"/>
      <c r="BX80" s="6"/>
      <c r="BY80" s="6"/>
      <c r="BZ80" s="6"/>
      <c r="CA80" s="6"/>
      <c r="CB80" s="6"/>
      <c r="CC80" s="6"/>
    </row>
    <row r="81" spans="1:81">
      <c r="A81" s="490" t="s">
        <v>72</v>
      </c>
      <c r="B81" s="6"/>
      <c r="C81" s="6"/>
      <c r="D81" s="6"/>
      <c r="E81" s="6"/>
      <c r="F81" s="6"/>
      <c r="G81" s="6"/>
      <c r="H81" s="6"/>
      <c r="I81" s="6"/>
      <c r="J81" s="6"/>
      <c r="K81" s="6"/>
      <c r="L81" s="6"/>
      <c r="M81" s="494">
        <f ca="1">M80/M42</f>
        <v>8.9032151207111205</v>
      </c>
      <c r="N81" s="494">
        <f t="shared" ref="N81:AI81" ca="1" si="140">N80/N42</f>
        <v>8.9126416773440145</v>
      </c>
      <c r="O81" s="494">
        <f t="shared" ca="1" si="140"/>
        <v>7.9021046377351718</v>
      </c>
      <c r="P81" s="494">
        <f t="shared" ca="1" si="140"/>
        <v>19.156682615189982</v>
      </c>
      <c r="Q81" s="494">
        <f t="shared" ca="1" si="140"/>
        <v>136.69870254934079</v>
      </c>
      <c r="R81" s="494">
        <f t="shared" ca="1" si="140"/>
        <v>23.878076848016981</v>
      </c>
      <c r="S81" s="494">
        <f t="shared" ca="1" si="140"/>
        <v>7.1577028942166177</v>
      </c>
      <c r="T81" s="494">
        <f t="shared" ca="1" si="140"/>
        <v>11.701796003531301</v>
      </c>
      <c r="U81" s="494">
        <f t="shared" ca="1" si="140"/>
        <v>7.8515606651351142</v>
      </c>
      <c r="V81" s="541">
        <f t="shared" ca="1" si="140"/>
        <v>15.698030791198825</v>
      </c>
      <c r="W81" s="541">
        <f t="shared" ca="1" si="140"/>
        <v>13.920735181048544</v>
      </c>
      <c r="X81" s="541">
        <f t="shared" ca="1" si="140"/>
        <v>8.0309127640279616</v>
      </c>
      <c r="Y81" s="541">
        <f t="shared" ca="1" si="140"/>
        <v>8.0263220203126888</v>
      </c>
      <c r="Z81" s="541">
        <f t="shared" ca="1" si="140"/>
        <v>7.7561357052411966</v>
      </c>
      <c r="AA81" s="541">
        <f t="shared" ca="1" si="140"/>
        <v>6.6218149174643859</v>
      </c>
      <c r="AB81" s="541">
        <f t="shared" ca="1" si="140"/>
        <v>5.8629396610089248</v>
      </c>
      <c r="AC81" s="541">
        <f t="shared" ca="1" si="140"/>
        <v>4.9752152549633459</v>
      </c>
      <c r="AD81" s="541">
        <f t="shared" ca="1" si="140"/>
        <v>4.4931175725056969</v>
      </c>
      <c r="AE81" s="541">
        <f t="shared" ca="1" si="140"/>
        <v>5.1393082250272393</v>
      </c>
      <c r="AF81" s="541">
        <f t="shared" ca="1" si="140"/>
        <v>5.7806972113869524</v>
      </c>
      <c r="AG81" s="541">
        <f t="shared" ca="1" si="140"/>
        <v>5.3353002041251703</v>
      </c>
      <c r="AH81" s="2270">
        <f t="shared" ca="1" si="140"/>
        <v>7.4155918493001804</v>
      </c>
      <c r="AI81" s="2270">
        <f t="shared" ca="1" si="140"/>
        <v>8.1565099656201276</v>
      </c>
      <c r="AJ81" s="2270">
        <f t="shared" ref="AJ81" ca="1" si="141">AJ80/AJ42</f>
        <v>9.7756551051271554</v>
      </c>
      <c r="AK81" s="541"/>
      <c r="AL81" s="181"/>
      <c r="AM81" s="181"/>
      <c r="AN81" s="181"/>
      <c r="AO81" s="181"/>
      <c r="AP81" s="541"/>
      <c r="AQ81" s="541"/>
      <c r="AR81" s="541"/>
      <c r="AS81" s="541"/>
      <c r="AT81" s="541"/>
      <c r="AU81" s="541"/>
      <c r="AV81" s="541"/>
      <c r="AW81" s="541"/>
      <c r="AX81" s="541"/>
      <c r="AY81" s="541"/>
      <c r="AZ81" s="6"/>
      <c r="BA81" s="1428"/>
      <c r="BB81" s="1428"/>
      <c r="BC81" s="1428"/>
      <c r="BD81" s="541"/>
      <c r="BE81" s="6"/>
      <c r="BF81" s="1428"/>
      <c r="BG81" s="1428"/>
      <c r="BH81" s="1428"/>
      <c r="BI81" s="541"/>
      <c r="BJ81" s="6"/>
      <c r="BK81" s="6"/>
      <c r="BL81" s="6"/>
      <c r="BM81" s="6"/>
      <c r="BN81" s="6"/>
      <c r="BO81" s="6"/>
      <c r="BP81" s="6"/>
      <c r="BQ81" s="6"/>
      <c r="BR81" s="6"/>
      <c r="BS81" s="6"/>
      <c r="BT81" s="330"/>
      <c r="BU81" s="6"/>
      <c r="BV81" s="6"/>
      <c r="BW81" s="6"/>
      <c r="BX81" s="6"/>
      <c r="BY81" s="6"/>
      <c r="BZ81" s="6"/>
      <c r="CA81" s="6"/>
      <c r="CB81" s="6"/>
      <c r="CC81" s="6"/>
    </row>
    <row r="82" spans="1:81">
      <c r="A82" s="490" t="s">
        <v>73</v>
      </c>
      <c r="B82" s="6"/>
      <c r="C82" s="6"/>
      <c r="D82" s="6"/>
      <c r="E82" s="6"/>
      <c r="F82" s="6"/>
      <c r="G82" s="6"/>
      <c r="H82" s="6"/>
      <c r="I82" s="6"/>
      <c r="J82" s="6"/>
      <c r="K82" s="6"/>
      <c r="L82" s="6"/>
      <c r="M82" s="494">
        <f t="shared" ref="M82:AI82" ca="1" si="142">M80/N42</f>
        <v>8.7609388437990567</v>
      </c>
      <c r="N82" s="494">
        <f t="shared" ca="1" si="142"/>
        <v>7.8409632048645221</v>
      </c>
      <c r="O82" s="494">
        <f t="shared" ca="1" si="142"/>
        <v>18.142009269953512</v>
      </c>
      <c r="P82" s="494">
        <f t="shared" ca="1" si="142"/>
        <v>126.52810849727746</v>
      </c>
      <c r="Q82" s="494">
        <f t="shared" ca="1" si="142"/>
        <v>22.608102647191028</v>
      </c>
      <c r="R82" s="494">
        <f t="shared" ca="1" si="142"/>
        <v>7.2658791707595061</v>
      </c>
      <c r="S82" s="494">
        <f t="shared" ca="1" si="142"/>
        <v>11.450654545808181</v>
      </c>
      <c r="T82" s="494">
        <f t="shared" ca="1" si="142"/>
        <v>7.9082622014675668</v>
      </c>
      <c r="U82" s="494">
        <f t="shared" ca="1" si="142"/>
        <v>15.126460294776232</v>
      </c>
      <c r="V82" s="541">
        <f t="shared" ca="1" si="142"/>
        <v>13.492495468271917</v>
      </c>
      <c r="W82" s="541">
        <f t="shared" ca="1" si="142"/>
        <v>8.0703862511240647</v>
      </c>
      <c r="X82" s="541">
        <f t="shared" ca="1" si="142"/>
        <v>8.0657925790623342</v>
      </c>
      <c r="Y82" s="541">
        <f t="shared" ca="1" si="142"/>
        <v>7.8138173211508537</v>
      </c>
      <c r="Z82" s="541">
        <f t="shared" ca="1" si="142"/>
        <v>6.7633446060871005</v>
      </c>
      <c r="AA82" s="541">
        <f t="shared" ca="1" si="142"/>
        <v>6.0675354644778441</v>
      </c>
      <c r="AB82" s="541">
        <f t="shared" ca="1" si="142"/>
        <v>5.2489003700817811</v>
      </c>
      <c r="AC82" s="541">
        <f t="shared" ca="1" si="142"/>
        <v>4.7993267065561191</v>
      </c>
      <c r="AD82" s="541">
        <f t="shared" ca="1" si="142"/>
        <v>5.388499267675309</v>
      </c>
      <c r="AE82" s="541">
        <f t="shared" ca="1" si="142"/>
        <v>5.9699206778176706</v>
      </c>
      <c r="AF82" s="541">
        <f t="shared" ca="1" si="142"/>
        <v>5.5521208837514937</v>
      </c>
      <c r="AG82" s="541">
        <f t="shared" ca="1" si="142"/>
        <v>7.4513842891599564</v>
      </c>
      <c r="AH82" s="541">
        <f t="shared" ca="1" si="142"/>
        <v>8.1230672041430907</v>
      </c>
      <c r="AI82" s="541">
        <f t="shared" ca="1" si="142"/>
        <v>9.5839755932619166</v>
      </c>
      <c r="AJ82" s="541"/>
      <c r="AK82" s="541"/>
      <c r="AL82" s="181"/>
      <c r="AM82" s="181"/>
      <c r="AN82" s="181"/>
      <c r="AO82" s="181"/>
      <c r="AP82" s="541"/>
      <c r="AQ82" s="541"/>
      <c r="AR82" s="541"/>
      <c r="AS82" s="541"/>
      <c r="AT82" s="541"/>
      <c r="AU82" s="541"/>
      <c r="AV82" s="541"/>
      <c r="AW82" s="541"/>
      <c r="AX82" s="541"/>
      <c r="AY82" s="541"/>
      <c r="AZ82" s="6"/>
      <c r="BA82" s="1428"/>
      <c r="BB82" s="1428"/>
      <c r="BC82" s="1428"/>
      <c r="BD82" s="541"/>
      <c r="BE82" s="6"/>
      <c r="BF82" s="1428"/>
      <c r="BG82" s="1428"/>
      <c r="BH82" s="1428"/>
      <c r="BI82" s="541"/>
      <c r="BJ82" s="6"/>
      <c r="BK82" s="6"/>
      <c r="BL82" s="6"/>
      <c r="BM82" s="6"/>
      <c r="BN82" s="6"/>
      <c r="BO82" s="6"/>
      <c r="BP82" s="6"/>
      <c r="BQ82" s="6"/>
      <c r="BR82" s="6"/>
      <c r="BS82" s="6"/>
      <c r="BT82" s="330"/>
      <c r="BU82" s="6"/>
      <c r="BV82" s="6"/>
      <c r="BW82" s="6"/>
      <c r="BX82" s="6"/>
      <c r="BY82" s="6"/>
      <c r="BZ82" s="6"/>
      <c r="CA82" s="6"/>
      <c r="CB82" s="6"/>
      <c r="CC82" s="6"/>
    </row>
    <row r="83" spans="1:81">
      <c r="A83" s="495" t="s">
        <v>61</v>
      </c>
      <c r="B83" s="6"/>
      <c r="C83" s="6"/>
      <c r="D83" s="6"/>
      <c r="E83" s="6"/>
      <c r="F83" s="6"/>
      <c r="G83" s="6"/>
      <c r="H83" s="6"/>
      <c r="I83" s="6"/>
      <c r="J83" s="6"/>
      <c r="K83" s="6"/>
      <c r="L83" s="6"/>
      <c r="M83" s="11">
        <f t="shared" ref="M83:AD83" si="143">N83+1</f>
        <v>23</v>
      </c>
      <c r="N83" s="11">
        <f t="shared" si="143"/>
        <v>22</v>
      </c>
      <c r="O83" s="11">
        <f t="shared" si="143"/>
        <v>21</v>
      </c>
      <c r="P83" s="11">
        <f t="shared" si="143"/>
        <v>20</v>
      </c>
      <c r="Q83" s="11">
        <f t="shared" si="143"/>
        <v>19</v>
      </c>
      <c r="R83" s="11">
        <f t="shared" si="143"/>
        <v>18</v>
      </c>
      <c r="S83" s="11">
        <f t="shared" si="143"/>
        <v>17</v>
      </c>
      <c r="T83" s="11">
        <f t="shared" si="143"/>
        <v>16</v>
      </c>
      <c r="U83" s="11">
        <f t="shared" si="143"/>
        <v>15</v>
      </c>
      <c r="V83" s="11">
        <f t="shared" si="143"/>
        <v>14</v>
      </c>
      <c r="W83" s="11">
        <f t="shared" si="143"/>
        <v>13</v>
      </c>
      <c r="X83" s="11">
        <f t="shared" si="143"/>
        <v>12</v>
      </c>
      <c r="Y83" s="11">
        <f t="shared" si="143"/>
        <v>11</v>
      </c>
      <c r="Z83" s="11">
        <f t="shared" si="143"/>
        <v>10</v>
      </c>
      <c r="AA83" s="11">
        <f t="shared" si="143"/>
        <v>9</v>
      </c>
      <c r="AB83" s="11">
        <f t="shared" si="143"/>
        <v>8</v>
      </c>
      <c r="AC83" s="11">
        <f t="shared" si="143"/>
        <v>7</v>
      </c>
      <c r="AD83" s="11">
        <f t="shared" si="143"/>
        <v>6</v>
      </c>
      <c r="AE83" s="11">
        <f>AF83+1</f>
        <v>5</v>
      </c>
      <c r="AF83" s="11">
        <f>AG83+1</f>
        <v>4</v>
      </c>
      <c r="AG83" s="11">
        <f>AH83+1</f>
        <v>3</v>
      </c>
      <c r="AH83" s="11">
        <f>AI83+1</f>
        <v>2</v>
      </c>
      <c r="AI83" s="11">
        <f>AJ83+1</f>
        <v>1</v>
      </c>
      <c r="AJ83" s="1401">
        <v>0</v>
      </c>
      <c r="AK83" s="1398"/>
      <c r="AL83" s="181"/>
      <c r="AM83" s="181"/>
      <c r="AN83" s="181"/>
      <c r="AO83" s="181"/>
      <c r="AP83" s="11"/>
      <c r="AQ83" s="11"/>
      <c r="AR83" s="11"/>
      <c r="AS83" s="11"/>
      <c r="AT83" s="11"/>
      <c r="AU83" s="11"/>
      <c r="AV83" s="11"/>
      <c r="AW83" s="11"/>
      <c r="AX83" s="11"/>
      <c r="AY83" s="11"/>
      <c r="AZ83" s="6"/>
      <c r="BA83" s="906"/>
      <c r="BB83" s="906"/>
      <c r="BC83" s="906"/>
      <c r="BD83" s="11"/>
      <c r="BE83" s="6"/>
      <c r="BF83" s="906"/>
      <c r="BG83" s="906"/>
      <c r="BH83" s="906"/>
      <c r="BI83" s="11"/>
      <c r="BJ83" s="6"/>
      <c r="BK83" s="6"/>
      <c r="BL83" s="6"/>
      <c r="BM83" s="6"/>
      <c r="BN83" s="6"/>
      <c r="BO83" s="6"/>
      <c r="BP83" s="6"/>
      <c r="BQ83" s="6"/>
      <c r="BR83" s="6"/>
      <c r="BS83" s="6"/>
      <c r="BT83" s="330"/>
      <c r="BU83" s="6"/>
      <c r="BV83" s="6"/>
      <c r="BW83" s="6"/>
      <c r="BX83" s="6"/>
      <c r="BY83" s="6"/>
      <c r="BZ83" s="6"/>
      <c r="CA83" s="6"/>
      <c r="CB83" s="6"/>
      <c r="CC83" s="6"/>
    </row>
    <row r="84" spans="1:81">
      <c r="A84" s="495"/>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11"/>
      <c r="AD84" s="11"/>
      <c r="AE84" s="11"/>
      <c r="AF84" s="11"/>
      <c r="AG84" s="11"/>
      <c r="AH84" s="1108"/>
      <c r="AI84" s="181"/>
      <c r="AJ84" s="6"/>
      <c r="AK84" s="6"/>
      <c r="AL84" s="181"/>
      <c r="AM84" s="181"/>
      <c r="AN84" s="181"/>
      <c r="AO84" s="181"/>
      <c r="AP84" s="6"/>
      <c r="AQ84" s="6"/>
      <c r="AR84" s="6"/>
      <c r="AS84" s="6"/>
      <c r="AT84" s="6"/>
      <c r="AU84" s="6"/>
      <c r="AV84" s="6"/>
      <c r="AW84" s="6"/>
      <c r="AX84" s="6"/>
      <c r="AY84" s="6"/>
      <c r="AZ84" s="6"/>
      <c r="BA84" s="862"/>
      <c r="BB84" s="862"/>
      <c r="BC84" s="862"/>
      <c r="BD84" s="6"/>
      <c r="BE84" s="6"/>
      <c r="BF84" s="862"/>
      <c r="BG84" s="862"/>
      <c r="BH84" s="862"/>
      <c r="BI84" s="6"/>
      <c r="BJ84" s="6"/>
      <c r="BK84" s="6"/>
      <c r="BL84" s="6"/>
      <c r="BM84" s="6"/>
      <c r="BN84" s="6"/>
      <c r="BO84" s="6"/>
      <c r="BP84" s="6"/>
      <c r="BQ84" s="6"/>
      <c r="BR84" s="6"/>
      <c r="BS84" s="6"/>
      <c r="BT84" s="330"/>
      <c r="BU84" s="6"/>
      <c r="BV84" s="6"/>
      <c r="BW84" s="6"/>
      <c r="BX84" s="6"/>
      <c r="BY84" s="6"/>
      <c r="BZ84" s="6"/>
      <c r="CA84" s="6"/>
      <c r="CB84" s="6"/>
      <c r="CC84" s="6"/>
    </row>
    <row r="85" spans="1:81">
      <c r="A85" s="515" t="s">
        <v>817</v>
      </c>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11"/>
      <c r="AD85" s="11"/>
      <c r="AE85" s="11"/>
      <c r="AF85" s="11"/>
      <c r="AG85" s="11"/>
      <c r="AH85" s="1108"/>
      <c r="AI85" s="181"/>
      <c r="AJ85" s="6"/>
      <c r="AK85" s="181"/>
      <c r="AL85" s="181"/>
      <c r="AM85" s="181"/>
      <c r="AN85" s="181"/>
      <c r="AO85" s="181"/>
      <c r="AP85" s="6"/>
      <c r="AQ85" s="6"/>
      <c r="AR85" s="6"/>
      <c r="AS85" s="6"/>
      <c r="AT85" s="6"/>
      <c r="AU85" s="6"/>
      <c r="AV85" s="6"/>
      <c r="AW85" s="6"/>
      <c r="AX85" s="6"/>
      <c r="AY85" s="6"/>
      <c r="AZ85" s="6"/>
      <c r="BA85" s="862"/>
      <c r="BB85" s="862"/>
      <c r="BC85" s="862"/>
      <c r="BD85" s="6"/>
      <c r="BE85" s="6"/>
      <c r="BF85" s="862"/>
      <c r="BG85" s="862"/>
      <c r="BH85" s="862"/>
      <c r="BI85" s="6"/>
      <c r="BJ85" s="6"/>
      <c r="BK85" s="6"/>
      <c r="BL85" s="6"/>
      <c r="BM85" s="6"/>
      <c r="BN85" s="6"/>
      <c r="BO85" s="6"/>
      <c r="BP85" s="6"/>
      <c r="BQ85" s="6"/>
      <c r="BR85" s="6"/>
      <c r="BS85" s="6"/>
      <c r="BT85" s="330"/>
      <c r="BU85" s="6"/>
      <c r="BV85" s="6"/>
      <c r="BW85" s="6"/>
      <c r="BX85" s="6"/>
      <c r="BY85" s="6"/>
      <c r="BZ85" s="6"/>
      <c r="CA85" s="38"/>
      <c r="CB85" s="38"/>
      <c r="CC85" s="6"/>
    </row>
    <row r="86" spans="1:81">
      <c r="A86" s="483" t="s">
        <v>837</v>
      </c>
      <c r="B86" s="515"/>
      <c r="C86" s="515"/>
      <c r="D86" s="515"/>
      <c r="E86" s="515"/>
      <c r="F86" s="314"/>
      <c r="G86" s="314"/>
      <c r="H86" s="314"/>
      <c r="I86" s="314"/>
      <c r="J86" s="314"/>
      <c r="K86" s="314"/>
      <c r="L86" s="314"/>
      <c r="M86" s="314"/>
      <c r="N86" s="314"/>
      <c r="O86" s="314"/>
      <c r="P86" s="314"/>
      <c r="Q86" s="314"/>
      <c r="R86" s="314"/>
      <c r="S86" s="314"/>
      <c r="T86" s="314"/>
      <c r="U86" s="314"/>
      <c r="V86" s="314"/>
      <c r="W86" s="314"/>
      <c r="X86" s="314"/>
      <c r="Y86" s="314"/>
      <c r="Z86" s="314"/>
      <c r="AA86" s="314"/>
      <c r="AB86" s="314"/>
      <c r="AC86" s="513"/>
      <c r="AD86" s="513"/>
      <c r="AE86" s="513"/>
      <c r="AF86" s="513"/>
      <c r="AG86" s="513"/>
      <c r="AH86" s="1628"/>
      <c r="AI86" s="181"/>
      <c r="AJ86" s="314"/>
      <c r="AK86" s="314"/>
      <c r="AL86" s="314"/>
      <c r="AM86" s="314"/>
      <c r="AN86" s="314"/>
      <c r="AO86" s="314"/>
      <c r="AP86" s="314"/>
      <c r="AQ86" s="314"/>
      <c r="AR86" s="314"/>
      <c r="AS86" s="314"/>
      <c r="AT86" s="314"/>
      <c r="AU86" s="314"/>
      <c r="AV86" s="314"/>
      <c r="AW86" s="314"/>
      <c r="AX86" s="314"/>
      <c r="AY86" s="314"/>
      <c r="AZ86" s="314"/>
      <c r="BA86" s="997"/>
      <c r="BB86" s="997"/>
      <c r="BC86" s="997"/>
      <c r="BD86" s="314"/>
      <c r="BE86" s="314"/>
      <c r="BF86" s="997"/>
      <c r="BG86" s="997"/>
      <c r="BH86" s="997"/>
      <c r="BI86" s="314"/>
      <c r="BJ86" s="314"/>
      <c r="BK86" s="314"/>
      <c r="BL86" s="314"/>
      <c r="BM86" s="314"/>
      <c r="BN86" s="314"/>
      <c r="BO86" s="314"/>
      <c r="BP86" s="314"/>
      <c r="BQ86" s="314"/>
      <c r="BR86" s="314"/>
      <c r="BS86" s="314"/>
      <c r="BT86" s="2489"/>
      <c r="BU86" s="314"/>
      <c r="BV86" s="314"/>
      <c r="BW86" s="314"/>
      <c r="BX86" s="314"/>
      <c r="BY86" s="314"/>
      <c r="BZ86" s="314"/>
      <c r="CA86" s="314"/>
      <c r="CB86" s="314"/>
      <c r="CC86" s="314"/>
    </row>
    <row r="87" spans="1:81">
      <c r="A87" s="314" t="s">
        <v>1091</v>
      </c>
      <c r="B87" s="130">
        <v>0.75</v>
      </c>
      <c r="C87" s="38">
        <f t="shared" ref="C87:M87" si="144">+C20/C8</f>
        <v>1.000443093385214</v>
      </c>
      <c r="D87" s="38">
        <f t="shared" si="144"/>
        <v>1.0292737360883426</v>
      </c>
      <c r="E87" s="38">
        <f t="shared" si="144"/>
        <v>1.0438067906976745</v>
      </c>
      <c r="F87" s="38">
        <f t="shared" si="144"/>
        <v>1.0607748738968554</v>
      </c>
      <c r="G87" s="38">
        <f t="shared" si="144"/>
        <v>1.0409538757922052</v>
      </c>
      <c r="H87" s="38">
        <f t="shared" si="144"/>
        <v>0.92653247980576769</v>
      </c>
      <c r="I87" s="38">
        <f t="shared" si="144"/>
        <v>0.90282862619360904</v>
      </c>
      <c r="J87" s="38">
        <f t="shared" si="144"/>
        <v>0.84715015861062692</v>
      </c>
      <c r="K87" s="38">
        <f t="shared" si="144"/>
        <v>0.79303646942313999</v>
      </c>
      <c r="L87" s="38">
        <f t="shared" si="144"/>
        <v>0.7672312351018894</v>
      </c>
      <c r="M87" s="38">
        <f t="shared" si="144"/>
        <v>0.78157475043797453</v>
      </c>
      <c r="N87" s="38">
        <v>0.78462501831051101</v>
      </c>
      <c r="O87" s="38">
        <v>0.75392267664933199</v>
      </c>
      <c r="P87" s="38">
        <f t="shared" ref="P87:AF87" si="145">+P20/P8</f>
        <v>0.88889142800946941</v>
      </c>
      <c r="Q87" s="38">
        <f t="shared" si="145"/>
        <v>0.91991911637769352</v>
      </c>
      <c r="R87" s="38">
        <f t="shared" si="145"/>
        <v>0.88984483757303812</v>
      </c>
      <c r="S87" s="38">
        <f t="shared" si="145"/>
        <v>0.81689085115068394</v>
      </c>
      <c r="T87" s="38">
        <f t="shared" si="145"/>
        <v>0.81844682167619576</v>
      </c>
      <c r="U87" s="38">
        <f t="shared" si="145"/>
        <v>0.83374044728023389</v>
      </c>
      <c r="V87" s="38">
        <f t="shared" si="145"/>
        <v>0.87212113118873025</v>
      </c>
      <c r="W87" s="38">
        <f t="shared" si="145"/>
        <v>0.89967783063978324</v>
      </c>
      <c r="X87" s="38">
        <f t="shared" si="145"/>
        <v>0.91678052209932215</v>
      </c>
      <c r="Y87" s="38">
        <f t="shared" si="145"/>
        <v>0.96240852408150335</v>
      </c>
      <c r="Z87" s="38">
        <f t="shared" si="145"/>
        <v>1.0353806308392652</v>
      </c>
      <c r="AA87" s="38">
        <f t="shared" si="145"/>
        <v>1.0934887274679994</v>
      </c>
      <c r="AB87" s="38">
        <f t="shared" si="145"/>
        <v>1.146775487791313</v>
      </c>
      <c r="AC87" s="39">
        <f t="shared" si="145"/>
        <v>1.1942682100129733</v>
      </c>
      <c r="AD87" s="39">
        <f t="shared" si="145"/>
        <v>1.2413151394983331</v>
      </c>
      <c r="AE87" s="39">
        <f t="shared" si="145"/>
        <v>1.2877077255199876</v>
      </c>
      <c r="AF87" s="39">
        <f t="shared" si="145"/>
        <v>1.3332327461191789</v>
      </c>
      <c r="AG87" s="39">
        <f t="shared" ref="AG87:AI88" si="146">+AG20/AG8</f>
        <v>1.3776738376564845</v>
      </c>
      <c r="AH87" s="1110">
        <f t="shared" si="146"/>
        <v>1.4208131194416875</v>
      </c>
      <c r="AI87" s="1110">
        <f t="shared" si="146"/>
        <v>1.463868062455072</v>
      </c>
      <c r="AJ87" s="1110">
        <f t="shared" ref="AJ87" si="147">+AJ20/AJ8</f>
        <v>1.5082277007112865</v>
      </c>
      <c r="AK87" s="38"/>
      <c r="AL87" s="38"/>
      <c r="AM87" s="38"/>
      <c r="AN87" s="38"/>
      <c r="AO87" s="38"/>
      <c r="AP87" s="38"/>
      <c r="AQ87" s="38"/>
      <c r="AR87" s="38"/>
      <c r="AS87" s="38"/>
      <c r="AT87" s="38"/>
      <c r="AU87" s="38"/>
      <c r="AV87" s="38"/>
      <c r="AW87" s="38"/>
      <c r="AX87" s="38"/>
      <c r="AY87" s="38"/>
      <c r="AZ87" s="314"/>
      <c r="BA87" s="877"/>
      <c r="BB87" s="877"/>
      <c r="BC87" s="877"/>
      <c r="BD87" s="38"/>
      <c r="BE87" s="314"/>
      <c r="BF87" s="1613"/>
      <c r="BG87" s="1613"/>
      <c r="BH87" s="1613"/>
      <c r="BI87" s="38"/>
      <c r="BJ87" s="314"/>
      <c r="BK87" s="314"/>
      <c r="BL87" s="314"/>
      <c r="BM87" s="314"/>
      <c r="BN87" s="314"/>
      <c r="BO87" s="314"/>
      <c r="BP87" s="314"/>
      <c r="BQ87" s="314"/>
      <c r="BR87" s="314"/>
      <c r="BS87" s="314"/>
      <c r="BT87" s="2489"/>
      <c r="BU87" s="314"/>
      <c r="BV87" s="314"/>
      <c r="BW87" s="314"/>
      <c r="BX87" s="314"/>
      <c r="BY87" s="314"/>
      <c r="BZ87" s="314"/>
      <c r="CA87" s="314"/>
      <c r="CB87" s="314"/>
      <c r="CC87" s="314"/>
    </row>
    <row r="88" spans="1:81">
      <c r="A88" s="314" t="s">
        <v>1092</v>
      </c>
      <c r="B88" s="130">
        <v>1</v>
      </c>
      <c r="C88" s="38">
        <f t="shared" ref="C88:M88" si="148">+C21/C9</f>
        <v>1</v>
      </c>
      <c r="D88" s="38">
        <f t="shared" si="148"/>
        <v>1</v>
      </c>
      <c r="E88" s="38">
        <f t="shared" si="148"/>
        <v>1</v>
      </c>
      <c r="F88" s="38">
        <f t="shared" si="148"/>
        <v>0.90805313644882701</v>
      </c>
      <c r="G88" s="38">
        <f t="shared" si="148"/>
        <v>0.91351872094048336</v>
      </c>
      <c r="H88" s="38">
        <f t="shared" si="148"/>
        <v>0.88835091505929342</v>
      </c>
      <c r="I88" s="38">
        <f t="shared" si="148"/>
        <v>1.0023538067450799</v>
      </c>
      <c r="J88" s="38">
        <f t="shared" si="148"/>
        <v>0.9620708847412871</v>
      </c>
      <c r="K88" s="38">
        <f t="shared" si="148"/>
        <v>1.080045844591871</v>
      </c>
      <c r="L88" s="38">
        <f t="shared" si="148"/>
        <v>1.1615629661310793</v>
      </c>
      <c r="M88" s="38">
        <f t="shared" si="148"/>
        <v>1.1419758378414098</v>
      </c>
      <c r="N88" s="38">
        <f t="shared" ref="N88:AF88" si="149">+N21/N9</f>
        <v>1.0740065528101559</v>
      </c>
      <c r="O88" s="38">
        <f t="shared" si="149"/>
        <v>1.0614849924348329</v>
      </c>
      <c r="P88" s="38">
        <f t="shared" si="149"/>
        <v>0.98225523763851386</v>
      </c>
      <c r="Q88" s="38">
        <f t="shared" si="149"/>
        <v>1.0842573267115834</v>
      </c>
      <c r="R88" s="38">
        <f t="shared" si="149"/>
        <v>1.0243351906311893</v>
      </c>
      <c r="S88" s="38">
        <f t="shared" si="149"/>
        <v>0.91394418409546063</v>
      </c>
      <c r="T88" s="38">
        <f t="shared" si="149"/>
        <v>1.069053200668922</v>
      </c>
      <c r="U88" s="38">
        <f t="shared" si="149"/>
        <v>1.015027970964508</v>
      </c>
      <c r="V88" s="38">
        <f t="shared" si="149"/>
        <v>1.1787269062023984</v>
      </c>
      <c r="W88" s="38">
        <f t="shared" si="149"/>
        <v>1.2371837059861988</v>
      </c>
      <c r="X88" s="38">
        <f t="shared" si="149"/>
        <v>1.2001308581116563</v>
      </c>
      <c r="Y88" s="38">
        <f t="shared" si="149"/>
        <v>1.2448216001412009</v>
      </c>
      <c r="Z88" s="38">
        <f t="shared" si="149"/>
        <v>1.3052174928761844</v>
      </c>
      <c r="AA88" s="38">
        <f t="shared" si="149"/>
        <v>1.3426161261625094</v>
      </c>
      <c r="AB88" s="38">
        <f t="shared" si="149"/>
        <v>1.4172136361208192</v>
      </c>
      <c r="AC88" s="38">
        <f t="shared" si="149"/>
        <v>1.4512417434992275</v>
      </c>
      <c r="AD88" s="38">
        <f t="shared" si="149"/>
        <v>1.5205332821676667</v>
      </c>
      <c r="AE88" s="38">
        <f t="shared" si="149"/>
        <v>1.5959878584015583</v>
      </c>
      <c r="AF88" s="38">
        <f t="shared" si="149"/>
        <v>1.7014218608640779</v>
      </c>
      <c r="AG88" s="38">
        <f t="shared" si="146"/>
        <v>1.7264948774326101</v>
      </c>
      <c r="AH88" s="1110">
        <f t="shared" si="146"/>
        <v>1.8454810666365229</v>
      </c>
      <c r="AI88" s="1110">
        <f t="shared" si="146"/>
        <v>1.8661793589746221</v>
      </c>
      <c r="AJ88" s="1110">
        <f t="shared" ref="AJ88" si="150">+AJ21/AJ9</f>
        <v>2.0002876497972442</v>
      </c>
      <c r="AK88" s="130"/>
      <c r="AL88" s="130"/>
      <c r="AM88" s="130"/>
      <c r="AN88" s="130"/>
      <c r="AO88" s="130"/>
      <c r="AP88" s="130"/>
      <c r="AQ88" s="130"/>
      <c r="AR88" s="130"/>
      <c r="AS88" s="130"/>
      <c r="AT88" s="130"/>
      <c r="AU88" s="130"/>
      <c r="AV88" s="130"/>
      <c r="AW88" s="130"/>
      <c r="AX88" s="130"/>
      <c r="AY88" s="130"/>
      <c r="AZ88" s="314"/>
      <c r="BA88" s="130"/>
      <c r="BB88" s="130"/>
      <c r="BC88" s="130"/>
      <c r="BD88" s="130"/>
      <c r="BE88" s="314"/>
      <c r="BF88" s="1575"/>
      <c r="BG88" s="1575"/>
      <c r="BH88" s="1575"/>
      <c r="BI88" s="130"/>
      <c r="BJ88" s="314"/>
      <c r="BK88" s="314"/>
      <c r="BL88" s="314"/>
      <c r="BM88" s="314"/>
      <c r="BN88" s="314"/>
      <c r="BO88" s="314"/>
      <c r="BP88" s="314"/>
      <c r="BQ88" s="314"/>
      <c r="BR88" s="314"/>
      <c r="BS88" s="314"/>
      <c r="BT88" s="2489"/>
      <c r="BU88" s="314"/>
      <c r="BV88" s="314"/>
      <c r="BW88" s="314"/>
      <c r="BX88" s="314"/>
      <c r="BY88" s="314"/>
      <c r="BZ88" s="314"/>
      <c r="CA88" s="314"/>
      <c r="CB88" s="314"/>
      <c r="CC88" s="314"/>
    </row>
    <row r="89" spans="1:81">
      <c r="A89" s="314" t="s">
        <v>677</v>
      </c>
      <c r="B89" s="130">
        <v>0.75</v>
      </c>
      <c r="C89" s="130">
        <v>0.7</v>
      </c>
      <c r="D89" s="130">
        <v>0.66</v>
      </c>
      <c r="E89" s="130">
        <v>0.8</v>
      </c>
      <c r="F89" s="130">
        <v>0.85</v>
      </c>
      <c r="G89" s="38">
        <f>+G23/G11</f>
        <v>0.75555033108088798</v>
      </c>
      <c r="H89" s="38">
        <f>+H23/H11</f>
        <v>0.75138826518497348</v>
      </c>
      <c r="I89" s="38">
        <f>+I23/I11</f>
        <v>0.64732093207794372</v>
      </c>
      <c r="J89" s="130">
        <f>AVERAGE(G89:I89)</f>
        <v>0.71808650944793506</v>
      </c>
      <c r="K89" s="130">
        <v>0.58499999999999996</v>
      </c>
      <c r="L89" s="130">
        <v>0.67</v>
      </c>
      <c r="M89" s="38">
        <v>0.7</v>
      </c>
      <c r="N89" s="38">
        <v>0.72</v>
      </c>
      <c r="O89" s="38">
        <v>0.69016129032258078</v>
      </c>
      <c r="P89" s="38">
        <f t="shared" ref="P89:AF89" si="151">+P23/P11</f>
        <v>0.74568110677897548</v>
      </c>
      <c r="Q89" s="38">
        <f t="shared" si="151"/>
        <v>0.727999007079699</v>
      </c>
      <c r="R89" s="38">
        <f t="shared" si="151"/>
        <v>0.70857610866946985</v>
      </c>
      <c r="S89" s="38">
        <f t="shared" si="151"/>
        <v>0.71036155242155197</v>
      </c>
      <c r="T89" s="38">
        <f t="shared" si="151"/>
        <v>0.73707319310160113</v>
      </c>
      <c r="U89" s="38">
        <f t="shared" si="151"/>
        <v>0.668559132168982</v>
      </c>
      <c r="V89" s="38">
        <f t="shared" si="151"/>
        <v>0.57749352385122599</v>
      </c>
      <c r="W89" s="38">
        <f t="shared" si="151"/>
        <v>0.55577162478459863</v>
      </c>
      <c r="X89" s="38">
        <f t="shared" si="151"/>
        <v>0.5562274625605611</v>
      </c>
      <c r="Y89" s="38">
        <f t="shared" si="151"/>
        <v>0.58109965625195736</v>
      </c>
      <c r="Z89" s="38">
        <f t="shared" si="151"/>
        <v>0.63228460006689668</v>
      </c>
      <c r="AA89" s="38">
        <f t="shared" si="151"/>
        <v>0.66776996027473268</v>
      </c>
      <c r="AB89" s="38">
        <f t="shared" si="151"/>
        <v>0.70031103448101395</v>
      </c>
      <c r="AC89" s="39">
        <f t="shared" si="151"/>
        <v>0.72931381469689438</v>
      </c>
      <c r="AD89" s="39">
        <f t="shared" si="151"/>
        <v>0.75804435891222666</v>
      </c>
      <c r="AE89" s="39">
        <f t="shared" si="151"/>
        <v>0.78637530969985536</v>
      </c>
      <c r="AF89" s="39">
        <f t="shared" si="151"/>
        <v>0.81417645701247632</v>
      </c>
      <c r="AG89" s="39">
        <f>+AG23/AG11</f>
        <v>0.84131567224622539</v>
      </c>
      <c r="AH89" s="1110">
        <f>+AH23/AH11</f>
        <v>0.86765990036706686</v>
      </c>
      <c r="AI89" s="1110">
        <f>+AI23/AI11</f>
        <v>0.89395262462061431</v>
      </c>
      <c r="AJ89" s="1110">
        <f>+AJ23/AJ11</f>
        <v>0.9210420980939662</v>
      </c>
      <c r="AK89" s="38"/>
      <c r="AL89" s="38"/>
      <c r="AM89" s="38"/>
      <c r="AN89" s="38"/>
      <c r="AO89" s="38"/>
      <c r="AP89" s="38"/>
      <c r="AQ89" s="38"/>
      <c r="AR89" s="38"/>
      <c r="AS89" s="38"/>
      <c r="AT89" s="38"/>
      <c r="AU89" s="38"/>
      <c r="AV89" s="38"/>
      <c r="AW89" s="38"/>
      <c r="AX89" s="38"/>
      <c r="AY89" s="38"/>
      <c r="AZ89" s="314"/>
      <c r="BA89" s="877"/>
      <c r="BB89" s="877"/>
      <c r="BC89" s="877"/>
      <c r="BD89" s="38"/>
      <c r="BE89" s="314"/>
      <c r="BF89" s="1613"/>
      <c r="BG89" s="1613"/>
      <c r="BH89" s="1613"/>
      <c r="BI89" s="38"/>
      <c r="BJ89" s="314"/>
      <c r="BK89" s="314"/>
      <c r="BL89" s="314"/>
      <c r="BM89" s="314"/>
      <c r="BN89" s="314"/>
      <c r="BO89" s="314"/>
      <c r="BP89" s="314"/>
      <c r="BQ89" s="314"/>
      <c r="BR89" s="314"/>
      <c r="BS89" s="314"/>
      <c r="BT89" s="2489"/>
      <c r="BU89" s="314"/>
      <c r="BV89" s="314"/>
      <c r="BW89" s="314"/>
      <c r="BX89" s="314"/>
      <c r="BY89" s="314"/>
      <c r="BZ89" s="314"/>
      <c r="CA89" s="314"/>
      <c r="CB89" s="314"/>
      <c r="CC89" s="314"/>
    </row>
    <row r="90" spans="1:81" s="875" customFormat="1">
      <c r="A90" s="2074" t="s">
        <v>732</v>
      </c>
      <c r="B90" s="2075">
        <f t="shared" ref="B90:AI90" si="152">+B24/B14</f>
        <v>0.84026034361851332</v>
      </c>
      <c r="C90" s="2075">
        <f t="shared" si="152"/>
        <v>0.86835844567803333</v>
      </c>
      <c r="D90" s="2075">
        <f t="shared" si="152"/>
        <v>0.86819683338346676</v>
      </c>
      <c r="E90" s="2075">
        <f t="shared" si="152"/>
        <v>0.92853952414772722</v>
      </c>
      <c r="F90" s="2075">
        <f t="shared" si="152"/>
        <v>0.93707615572208436</v>
      </c>
      <c r="G90" s="2075">
        <f t="shared" si="152"/>
        <v>0.90186212663548393</v>
      </c>
      <c r="H90" s="2075">
        <f t="shared" si="152"/>
        <v>0.8530359529141982</v>
      </c>
      <c r="I90" s="2075">
        <f t="shared" si="152"/>
        <v>0.84224995725158847</v>
      </c>
      <c r="J90" s="2075">
        <f t="shared" si="152"/>
        <v>0.83357842346516886</v>
      </c>
      <c r="K90" s="2075">
        <f t="shared" si="152"/>
        <v>0.79164636091425356</v>
      </c>
      <c r="L90" s="2075">
        <f t="shared" si="152"/>
        <v>0.83657856089837324</v>
      </c>
      <c r="M90" s="2075">
        <f t="shared" si="152"/>
        <v>0.84824252447445558</v>
      </c>
      <c r="N90" s="2075">
        <f t="shared" si="152"/>
        <v>0.84376654965069331</v>
      </c>
      <c r="O90" s="2075">
        <f t="shared" si="152"/>
        <v>0.83738834443883547</v>
      </c>
      <c r="P90" s="2075">
        <f t="shared" si="152"/>
        <v>0.88918832321353369</v>
      </c>
      <c r="Q90" s="2075">
        <f t="shared" si="152"/>
        <v>0.92607117473517175</v>
      </c>
      <c r="R90" s="2075">
        <f t="shared" si="152"/>
        <v>0.89374923421985564</v>
      </c>
      <c r="S90" s="2075">
        <f t="shared" si="152"/>
        <v>0.80640161568417223</v>
      </c>
      <c r="T90" s="2075">
        <f t="shared" si="152"/>
        <v>0.84653079165672673</v>
      </c>
      <c r="U90" s="2075">
        <f t="shared" si="152"/>
        <v>0.81630688667801055</v>
      </c>
      <c r="V90" s="2075">
        <f t="shared" si="152"/>
        <v>0.8494444901732856</v>
      </c>
      <c r="W90" s="2075">
        <f t="shared" si="152"/>
        <v>0.83596526201991916</v>
      </c>
      <c r="X90" s="2075">
        <f t="shared" si="152"/>
        <v>0.79613253090550051</v>
      </c>
      <c r="Y90" s="2075">
        <f t="shared" si="152"/>
        <v>0.77971189094663751</v>
      </c>
      <c r="Z90" s="2075">
        <f t="shared" si="152"/>
        <v>0.77273004065779827</v>
      </c>
      <c r="AA90" s="2075">
        <f t="shared" si="152"/>
        <v>0.77428767426945411</v>
      </c>
      <c r="AB90" s="2075">
        <f t="shared" si="152"/>
        <v>0.74564774230777775</v>
      </c>
      <c r="AC90" s="1313">
        <f t="shared" si="152"/>
        <v>0.73452395053741348</v>
      </c>
      <c r="AD90" s="1313">
        <f t="shared" si="152"/>
        <v>0.74715539517566365</v>
      </c>
      <c r="AE90" s="1313">
        <f t="shared" si="152"/>
        <v>0.75062364292464778</v>
      </c>
      <c r="AF90" s="1313">
        <f t="shared" si="152"/>
        <v>0.76264746496248215</v>
      </c>
      <c r="AG90" s="1313">
        <f t="shared" si="152"/>
        <v>0.77795916738050863</v>
      </c>
      <c r="AH90" s="1920">
        <f t="shared" si="152"/>
        <v>0.78194104199797088</v>
      </c>
      <c r="AI90" s="1920">
        <f t="shared" si="152"/>
        <v>0.78727620709393509</v>
      </c>
      <c r="AJ90" s="1920">
        <f t="shared" ref="AJ90" si="153">+AJ24/AJ14</f>
        <v>0.81013000905745247</v>
      </c>
      <c r="AK90" s="2075"/>
      <c r="AL90" s="2075"/>
      <c r="AM90" s="2075"/>
      <c r="AN90" s="2075"/>
      <c r="AO90" s="2075"/>
      <c r="AP90" s="2075"/>
      <c r="AQ90" s="2075"/>
      <c r="AR90" s="2075"/>
      <c r="AS90" s="2075"/>
      <c r="AT90" s="2075"/>
      <c r="AU90" s="2075"/>
      <c r="AV90" s="2075"/>
      <c r="AW90" s="2075"/>
      <c r="AX90" s="2075"/>
      <c r="AY90" s="2075"/>
      <c r="AZ90" s="914"/>
      <c r="BA90" s="2075"/>
      <c r="BB90" s="2075"/>
      <c r="BC90" s="2075"/>
      <c r="BD90" s="2075"/>
      <c r="BE90" s="914"/>
      <c r="BF90" s="2076"/>
      <c r="BG90" s="2076"/>
      <c r="BH90" s="2076"/>
      <c r="BI90" s="2075"/>
      <c r="BJ90" s="914"/>
      <c r="BK90" s="914"/>
      <c r="BL90" s="914"/>
      <c r="BM90" s="914"/>
      <c r="BN90" s="914"/>
      <c r="BO90" s="914"/>
      <c r="BP90" s="914"/>
      <c r="BQ90" s="914"/>
      <c r="BR90" s="914"/>
      <c r="BS90" s="914"/>
      <c r="BT90" s="2496"/>
      <c r="BU90" s="914"/>
      <c r="BV90" s="914"/>
      <c r="BW90" s="914"/>
      <c r="BX90" s="914"/>
      <c r="BY90" s="914"/>
      <c r="BZ90" s="914"/>
      <c r="CA90" s="914"/>
      <c r="CB90" s="914"/>
      <c r="CC90" s="914"/>
    </row>
    <row r="91" spans="1:81">
      <c r="A91" s="504"/>
      <c r="B91" s="504"/>
      <c r="C91" s="504"/>
      <c r="D91" s="504"/>
      <c r="E91" s="504"/>
      <c r="F91" s="314"/>
      <c r="G91" s="314"/>
      <c r="H91" s="314"/>
      <c r="I91" s="314"/>
      <c r="J91" s="314"/>
      <c r="K91" s="314"/>
      <c r="L91" s="314"/>
      <c r="M91" s="314"/>
      <c r="N91" s="314"/>
      <c r="O91" s="314"/>
      <c r="P91" s="314"/>
      <c r="Q91" s="314"/>
      <c r="R91" s="314"/>
      <c r="S91" s="314"/>
      <c r="T91" s="314"/>
      <c r="U91" s="314"/>
      <c r="V91" s="314"/>
      <c r="W91" s="314"/>
      <c r="X91" s="314"/>
      <c r="Y91" s="314"/>
      <c r="Z91" s="314"/>
      <c r="AA91" s="314"/>
      <c r="AB91" s="314"/>
      <c r="AC91" s="513"/>
      <c r="AD91" s="513"/>
      <c r="AE91" s="513"/>
      <c r="AF91" s="513"/>
      <c r="AG91" s="513"/>
      <c r="AH91" s="1628"/>
      <c r="AI91" s="1628"/>
      <c r="AJ91" s="1628"/>
      <c r="AK91" s="314"/>
      <c r="AL91" s="314"/>
      <c r="AM91" s="314"/>
      <c r="AN91" s="314"/>
      <c r="AO91" s="314"/>
      <c r="AP91" s="314"/>
      <c r="AQ91" s="314"/>
      <c r="AR91" s="314"/>
      <c r="AS91" s="314"/>
      <c r="AT91" s="314"/>
      <c r="AU91" s="314"/>
      <c r="AV91" s="314"/>
      <c r="AW91" s="314"/>
      <c r="AX91" s="314"/>
      <c r="AY91" s="314"/>
      <c r="AZ91" s="314"/>
      <c r="BA91" s="997"/>
      <c r="BB91" s="997"/>
      <c r="BC91" s="997"/>
      <c r="BD91" s="314"/>
      <c r="BE91" s="314"/>
      <c r="BF91" s="997"/>
      <c r="BG91" s="997"/>
      <c r="BH91" s="997"/>
      <c r="BI91" s="314"/>
      <c r="BJ91" s="314"/>
      <c r="BK91" s="314"/>
      <c r="BL91" s="314"/>
      <c r="BM91" s="314"/>
      <c r="BN91" s="314"/>
      <c r="BO91" s="314"/>
      <c r="BP91" s="314"/>
      <c r="BQ91" s="314"/>
      <c r="BR91" s="314"/>
      <c r="BS91" s="314"/>
      <c r="BT91" s="2489"/>
      <c r="BU91" s="314"/>
      <c r="BV91" s="314"/>
      <c r="BW91" s="314"/>
      <c r="BX91" s="314"/>
      <c r="BY91" s="314"/>
      <c r="BZ91" s="314"/>
      <c r="CA91" s="314"/>
      <c r="CB91" s="314"/>
      <c r="CC91" s="314"/>
    </row>
    <row r="92" spans="1:81">
      <c r="A92" s="483" t="s">
        <v>812</v>
      </c>
      <c r="B92" s="504"/>
      <c r="C92" s="504"/>
      <c r="D92" s="504"/>
      <c r="E92" s="504"/>
      <c r="F92" s="314"/>
      <c r="G92" s="314"/>
      <c r="H92" s="314"/>
      <c r="I92" s="314"/>
      <c r="J92" s="314"/>
      <c r="K92" s="314"/>
      <c r="L92" s="314"/>
      <c r="M92" s="314"/>
      <c r="N92" s="314"/>
      <c r="O92" s="314"/>
      <c r="P92" s="314"/>
      <c r="Q92" s="314"/>
      <c r="R92" s="314"/>
      <c r="S92" s="314"/>
      <c r="T92" s="314"/>
      <c r="U92" s="314"/>
      <c r="V92" s="314"/>
      <c r="W92" s="314"/>
      <c r="X92" s="314"/>
      <c r="Y92" s="314"/>
      <c r="Z92" s="314"/>
      <c r="AA92" s="314"/>
      <c r="AB92" s="314"/>
      <c r="AC92" s="513"/>
      <c r="AD92" s="513"/>
      <c r="AE92" s="513"/>
      <c r="AF92" s="513"/>
      <c r="AG92" s="513"/>
      <c r="AH92" s="1628"/>
      <c r="AI92" s="1628"/>
      <c r="AJ92" s="1628"/>
      <c r="AK92" s="314"/>
      <c r="AL92" s="314"/>
      <c r="AM92" s="314"/>
      <c r="AN92" s="314"/>
      <c r="AO92" s="314"/>
      <c r="AP92" s="314"/>
      <c r="AQ92" s="314"/>
      <c r="AR92" s="314"/>
      <c r="AS92" s="314"/>
      <c r="AT92" s="314"/>
      <c r="AU92" s="314"/>
      <c r="AV92" s="314"/>
      <c r="AW92" s="314"/>
      <c r="AX92" s="314"/>
      <c r="AY92" s="314"/>
      <c r="AZ92" s="314"/>
      <c r="BA92" s="997"/>
      <c r="BB92" s="997"/>
      <c r="BC92" s="997"/>
      <c r="BD92" s="314"/>
      <c r="BE92" s="314"/>
      <c r="BF92" s="997"/>
      <c r="BG92" s="997"/>
      <c r="BH92" s="997"/>
      <c r="BI92" s="314"/>
      <c r="BJ92" s="314"/>
      <c r="BK92" s="314"/>
      <c r="BL92" s="314"/>
      <c r="BM92" s="314"/>
      <c r="BN92" s="314"/>
      <c r="BO92" s="314"/>
      <c r="BP92" s="314"/>
      <c r="BQ92" s="314"/>
      <c r="BR92" s="314"/>
      <c r="BS92" s="314"/>
      <c r="BT92" s="2489"/>
      <c r="BU92" s="314"/>
      <c r="BV92" s="314"/>
      <c r="BW92" s="314"/>
      <c r="BX92" s="314"/>
      <c r="BY92" s="314"/>
      <c r="BZ92" s="314"/>
      <c r="CA92" s="314"/>
      <c r="CB92" s="314"/>
      <c r="CC92" s="314"/>
    </row>
    <row r="93" spans="1:81">
      <c r="A93" s="314" t="str">
        <f>+A87</f>
        <v>Primetime</v>
      </c>
      <c r="B93" s="504"/>
      <c r="C93" s="38">
        <f t="shared" ref="C93:AJ93" si="154">+C8/B8-1</f>
        <v>-3.6551077788191222E-2</v>
      </c>
      <c r="D93" s="38">
        <f t="shared" si="154"/>
        <v>-9.7276264591439343E-4</v>
      </c>
      <c r="E93" s="38">
        <f t="shared" si="154"/>
        <v>4.6738072054527846E-2</v>
      </c>
      <c r="F93" s="38">
        <f t="shared" si="154"/>
        <v>2.3255813953488413E-2</v>
      </c>
      <c r="G93" s="38">
        <f t="shared" si="154"/>
        <v>0.10584226503468575</v>
      </c>
      <c r="H93" s="38">
        <f t="shared" si="154"/>
        <v>0.16299554743907452</v>
      </c>
      <c r="I93" s="38">
        <f t="shared" si="154"/>
        <v>5.0170394180132361E-2</v>
      </c>
      <c r="J93" s="38">
        <f t="shared" si="154"/>
        <v>0.19537958259789678</v>
      </c>
      <c r="K93" s="38">
        <f t="shared" si="154"/>
        <v>0.10349262678384918</v>
      </c>
      <c r="L93" s="38">
        <f t="shared" si="154"/>
        <v>9.2184428602843038E-2</v>
      </c>
      <c r="M93" s="38">
        <f t="shared" si="154"/>
        <v>3.2844328162960013E-2</v>
      </c>
      <c r="N93" s="38">
        <f t="shared" si="154"/>
        <v>-3.2299999999999884E-2</v>
      </c>
      <c r="O93" s="38">
        <f t="shared" si="154"/>
        <v>-6.1799999999999966E-2</v>
      </c>
      <c r="P93" s="38">
        <f t="shared" si="154"/>
        <v>-0.16700000000000004</v>
      </c>
      <c r="Q93" s="38">
        <f t="shared" si="154"/>
        <v>4.2000000000000037E-2</v>
      </c>
      <c r="R93" s="38">
        <f t="shared" si="154"/>
        <v>4.0000000000000036E-2</v>
      </c>
      <c r="S93" s="38">
        <f t="shared" si="154"/>
        <v>3.8999999999999924E-2</v>
      </c>
      <c r="T93" s="38">
        <f t="shared" si="154"/>
        <v>-2.6499999999999968E-2</v>
      </c>
      <c r="U93" s="38">
        <f t="shared" si="154"/>
        <v>2.4999999999999911E-2</v>
      </c>
      <c r="V93" s="38">
        <f t="shared" si="154"/>
        <v>-0.10279366891320296</v>
      </c>
      <c r="W93" s="38">
        <f t="shared" si="154"/>
        <v>1.1219753457210935E-2</v>
      </c>
      <c r="X93" s="38">
        <f t="shared" si="154"/>
        <v>8.4236510168684831E-3</v>
      </c>
      <c r="Y93" s="38">
        <f t="shared" si="154"/>
        <v>-2.2548075792186095E-2</v>
      </c>
      <c r="Z93" s="38">
        <f t="shared" si="154"/>
        <v>-2.4002458432646145E-2</v>
      </c>
      <c r="AA93" s="38">
        <f t="shared" si="154"/>
        <v>-2.0000000000000018E-2</v>
      </c>
      <c r="AB93" s="38">
        <f t="shared" si="154"/>
        <v>-1.5000000000000013E-2</v>
      </c>
      <c r="AC93" s="39">
        <f t="shared" si="154"/>
        <v>-1.0000000000000009E-2</v>
      </c>
      <c r="AD93" s="39">
        <f t="shared" si="154"/>
        <v>-1.000000000000012E-2</v>
      </c>
      <c r="AE93" s="39">
        <f t="shared" si="154"/>
        <v>-9.9999999999998979E-3</v>
      </c>
      <c r="AF93" s="39">
        <f t="shared" si="154"/>
        <v>-9.9999999999998979E-3</v>
      </c>
      <c r="AG93" s="39">
        <f t="shared" si="154"/>
        <v>-1.0000000000000009E-2</v>
      </c>
      <c r="AH93" s="1110">
        <f t="shared" si="154"/>
        <v>-1.0000000000000009E-2</v>
      </c>
      <c r="AI93" s="1110">
        <f t="shared" si="154"/>
        <v>-1.0000000000000009E-2</v>
      </c>
      <c r="AJ93" s="1110">
        <f t="shared" si="154"/>
        <v>-1.000000000000012E-2</v>
      </c>
      <c r="AK93" s="38"/>
      <c r="AL93" s="38"/>
      <c r="AM93" s="38"/>
      <c r="AN93" s="38"/>
      <c r="AO93" s="38"/>
      <c r="AP93" s="38"/>
      <c r="AQ93" s="38"/>
      <c r="AR93" s="38"/>
      <c r="AS93" s="38"/>
      <c r="AT93" s="38"/>
      <c r="AU93" s="38"/>
      <c r="AV93" s="38"/>
      <c r="AW93" s="38"/>
      <c r="AX93" s="38"/>
      <c r="AY93" s="38"/>
      <c r="AZ93" s="314"/>
      <c r="BA93" s="877"/>
      <c r="BB93" s="877"/>
      <c r="BC93" s="877"/>
      <c r="BD93" s="38"/>
      <c r="BE93" s="314"/>
      <c r="BF93" s="1613"/>
      <c r="BG93" s="1613"/>
      <c r="BH93" s="1613"/>
      <c r="BI93" s="38"/>
      <c r="BJ93" s="314"/>
      <c r="BK93" s="314"/>
      <c r="BL93" s="314"/>
      <c r="BM93" s="314"/>
      <c r="BN93" s="314"/>
      <c r="BO93" s="314"/>
      <c r="BP93" s="314"/>
      <c r="BQ93" s="314"/>
      <c r="BR93" s="314"/>
      <c r="BS93" s="314"/>
      <c r="BT93" s="2489"/>
      <c r="BU93" s="314"/>
      <c r="BV93" s="314"/>
      <c r="BW93" s="314"/>
      <c r="BX93" s="314"/>
      <c r="BY93" s="314"/>
      <c r="BZ93" s="314"/>
      <c r="CA93" s="314"/>
      <c r="CB93" s="314"/>
      <c r="CC93" s="314"/>
    </row>
    <row r="94" spans="1:81">
      <c r="A94" s="314" t="str">
        <f>+A88</f>
        <v>Sports</v>
      </c>
      <c r="B94" s="504"/>
      <c r="C94" s="38">
        <f t="shared" ref="C94:AJ94" si="155">+C9/B9-1</f>
        <v>-0.62530955918771669</v>
      </c>
      <c r="D94" s="38">
        <f t="shared" si="155"/>
        <v>0.2053315708305794</v>
      </c>
      <c r="E94" s="38">
        <f t="shared" si="155"/>
        <v>7.3843904222262724E-2</v>
      </c>
      <c r="F94" s="38">
        <f t="shared" si="155"/>
        <v>0.76421669484447774</v>
      </c>
      <c r="G94" s="38">
        <f t="shared" si="155"/>
        <v>-0.23551535492565556</v>
      </c>
      <c r="H94" s="38">
        <f t="shared" si="155"/>
        <v>9.354126566652865E-2</v>
      </c>
      <c r="I94" s="38">
        <f t="shared" si="155"/>
        <v>0.14250781792984601</v>
      </c>
      <c r="J94" s="38">
        <f t="shared" si="155"/>
        <v>-0.11965932011345659</v>
      </c>
      <c r="K94" s="38">
        <f t="shared" si="155"/>
        <v>1.6267093715553127E-2</v>
      </c>
      <c r="L94" s="38">
        <f t="shared" si="155"/>
        <v>0.34695173765665799</v>
      </c>
      <c r="M94" s="38">
        <f t="shared" si="155"/>
        <v>3.7563829220716549E-2</v>
      </c>
      <c r="N94" s="38">
        <f t="shared" si="155"/>
        <v>5.4950695021979357E-2</v>
      </c>
      <c r="O94" s="38">
        <f t="shared" si="155"/>
        <v>0.25973295853829947</v>
      </c>
      <c r="P94" s="38">
        <f t="shared" si="155"/>
        <v>-3.8294898972127678E-2</v>
      </c>
      <c r="Q94" s="38">
        <f t="shared" si="155"/>
        <v>-6.9276550681461657E-2</v>
      </c>
      <c r="R94" s="38">
        <f t="shared" si="155"/>
        <v>0.28823086658868213</v>
      </c>
      <c r="S94" s="38">
        <f t="shared" si="155"/>
        <v>-8.0975923813635275E-2</v>
      </c>
      <c r="T94" s="38">
        <f t="shared" si="155"/>
        <v>-0.11617240432124387</v>
      </c>
      <c r="U94" s="38">
        <f t="shared" si="155"/>
        <v>8.7575911792617811E-2</v>
      </c>
      <c r="V94" s="38">
        <f t="shared" si="155"/>
        <v>6.2486854925486446E-2</v>
      </c>
      <c r="W94" s="38">
        <f t="shared" si="155"/>
        <v>-2.8734822950073902E-3</v>
      </c>
      <c r="X94" s="38">
        <f t="shared" si="155"/>
        <v>-1.2394334921817074E-2</v>
      </c>
      <c r="Y94" s="38">
        <f t="shared" si="155"/>
        <v>2.5515949748399658E-2</v>
      </c>
      <c r="Z94" s="38">
        <f t="shared" si="155"/>
        <v>-2.0519754132337087E-2</v>
      </c>
      <c r="AA94" s="38">
        <f t="shared" si="155"/>
        <v>3.1094792942616856E-2</v>
      </c>
      <c r="AB94" s="38">
        <f t="shared" si="155"/>
        <v>-2.1701544678934259E-2</v>
      </c>
      <c r="AC94" s="39">
        <f t="shared" si="155"/>
        <v>3.3038501454711655E-2</v>
      </c>
      <c r="AD94" s="39">
        <f t="shared" si="155"/>
        <v>-2.4002184452780906E-2</v>
      </c>
      <c r="AE94" s="39">
        <f t="shared" si="155"/>
        <v>3.4679335957854107E-2</v>
      </c>
      <c r="AF94" s="39">
        <f t="shared" si="155"/>
        <v>-2.0421148892803553E-2</v>
      </c>
      <c r="AG94" s="39">
        <f t="shared" si="155"/>
        <v>3.592610380229222E-2</v>
      </c>
      <c r="AH94" s="1110">
        <f t="shared" si="155"/>
        <v>-2.3019999763722154E-2</v>
      </c>
      <c r="AI94" s="1110">
        <f t="shared" si="155"/>
        <v>3.9583257434347763E-2</v>
      </c>
      <c r="AJ94" s="1110">
        <f t="shared" si="155"/>
        <v>-2.5683072820579245E-2</v>
      </c>
      <c r="AK94" s="38"/>
      <c r="AL94" s="38"/>
      <c r="AM94" s="38"/>
      <c r="AN94" s="38"/>
      <c r="AO94" s="38"/>
      <c r="AP94" s="38"/>
      <c r="AQ94" s="38"/>
      <c r="AR94" s="38"/>
      <c r="AS94" s="38"/>
      <c r="AT94" s="38"/>
      <c r="AU94" s="38"/>
      <c r="AV94" s="38"/>
      <c r="AW94" s="38"/>
      <c r="AX94" s="38"/>
      <c r="AY94" s="38"/>
      <c r="AZ94" s="314"/>
      <c r="BA94" s="877"/>
      <c r="BB94" s="877"/>
      <c r="BC94" s="877"/>
      <c r="BD94" s="38"/>
      <c r="BE94" s="314"/>
      <c r="BF94" s="1613"/>
      <c r="BG94" s="1613"/>
      <c r="BH94" s="1613"/>
      <c r="BI94" s="38"/>
      <c r="BJ94" s="314"/>
      <c r="BK94" s="314"/>
      <c r="BL94" s="314"/>
      <c r="BM94" s="314"/>
      <c r="BN94" s="314"/>
      <c r="BO94" s="314"/>
      <c r="BP94" s="314"/>
      <c r="BQ94" s="314"/>
      <c r="BR94" s="314"/>
      <c r="BS94" s="314"/>
      <c r="BT94" s="2489"/>
      <c r="BU94" s="314"/>
      <c r="BV94" s="314"/>
      <c r="BW94" s="314"/>
      <c r="BX94" s="314"/>
      <c r="BY94" s="314"/>
      <c r="BZ94" s="314"/>
      <c r="CA94" s="314"/>
      <c r="CB94" s="314"/>
      <c r="CC94" s="314"/>
    </row>
    <row r="95" spans="1:81">
      <c r="A95" s="314" t="str">
        <f>+A89</f>
        <v>Other</v>
      </c>
      <c r="B95" s="504"/>
      <c r="C95" s="38">
        <f t="shared" ref="C95:AJ95" si="156">+C11/B11-1</f>
        <v>0.4671922786670375</v>
      </c>
      <c r="D95" s="38">
        <f t="shared" si="156"/>
        <v>-1.7343674566972167E-2</v>
      </c>
      <c r="E95" s="38">
        <f t="shared" si="156"/>
        <v>0.14018816031736558</v>
      </c>
      <c r="F95" s="38">
        <f t="shared" si="156"/>
        <v>2.204311930900138E-2</v>
      </c>
      <c r="G95" s="38">
        <f t="shared" si="156"/>
        <v>-4.644317089882799E-2</v>
      </c>
      <c r="H95" s="38">
        <f t="shared" si="156"/>
        <v>5.6795964499498863E-2</v>
      </c>
      <c r="I95" s="38">
        <f t="shared" si="156"/>
        <v>-9.8480534874951231E-2</v>
      </c>
      <c r="J95" s="38">
        <f t="shared" si="156"/>
        <v>-0.10407259404561919</v>
      </c>
      <c r="K95" s="38">
        <f t="shared" si="156"/>
        <v>3.0000000000000027E-2</v>
      </c>
      <c r="L95" s="38">
        <f t="shared" si="156"/>
        <v>2.200000000000002E-2</v>
      </c>
      <c r="M95" s="38">
        <f t="shared" si="156"/>
        <v>2.9999999999998916E-3</v>
      </c>
      <c r="N95" s="38">
        <f t="shared" si="156"/>
        <v>-4.400000000000015E-2</v>
      </c>
      <c r="O95" s="38">
        <f t="shared" si="156"/>
        <v>-5.0000000000000044E-2</v>
      </c>
      <c r="P95" s="38">
        <f t="shared" si="156"/>
        <v>-0.123</v>
      </c>
      <c r="Q95" s="38">
        <f t="shared" si="156"/>
        <v>-4.6143955424941652E-2</v>
      </c>
      <c r="R95" s="38">
        <f t="shared" si="156"/>
        <v>1.2000000000000011E-2</v>
      </c>
      <c r="S95" s="38">
        <f t="shared" si="156"/>
        <v>1.2000000000000011E-2</v>
      </c>
      <c r="T95" s="38">
        <f t="shared" si="156"/>
        <v>-2.8000000000000025E-2</v>
      </c>
      <c r="U95" s="38">
        <f t="shared" si="156"/>
        <v>2.0000000000000018E-2</v>
      </c>
      <c r="V95" s="38">
        <f t="shared" si="156"/>
        <v>-7.1245098039214305E-3</v>
      </c>
      <c r="W95" s="38">
        <f t="shared" si="156"/>
        <v>5.4670480768376217E-2</v>
      </c>
      <c r="X95" s="38">
        <f t="shared" si="156"/>
        <v>1.416819040097006E-2</v>
      </c>
      <c r="Y95" s="38">
        <f t="shared" si="156"/>
        <v>-2.3657980679004598E-2</v>
      </c>
      <c r="Z95" s="38">
        <f t="shared" si="156"/>
        <v>-3.499999999999992E-2</v>
      </c>
      <c r="AA95" s="38">
        <f t="shared" si="156"/>
        <v>-1.9999999999999907E-2</v>
      </c>
      <c r="AB95" s="38">
        <f t="shared" si="156"/>
        <v>-1.5000000000000013E-2</v>
      </c>
      <c r="AC95" s="39">
        <f t="shared" si="156"/>
        <v>-1.0000000000000009E-2</v>
      </c>
      <c r="AD95" s="39">
        <f t="shared" si="156"/>
        <v>-1.000000000000012E-2</v>
      </c>
      <c r="AE95" s="39">
        <f t="shared" si="156"/>
        <v>-1.0000000000000009E-2</v>
      </c>
      <c r="AF95" s="39">
        <f t="shared" si="156"/>
        <v>-1.0000000000000009E-2</v>
      </c>
      <c r="AG95" s="39">
        <f t="shared" si="156"/>
        <v>-1.0000000000000009E-2</v>
      </c>
      <c r="AH95" s="1110">
        <f t="shared" si="156"/>
        <v>-1.000000000000012E-2</v>
      </c>
      <c r="AI95" s="1110">
        <f t="shared" si="156"/>
        <v>-9.9999999999998979E-3</v>
      </c>
      <c r="AJ95" s="1110">
        <f t="shared" si="156"/>
        <v>-1.0000000000000009E-2</v>
      </c>
      <c r="AK95" s="38"/>
      <c r="AL95" s="38"/>
      <c r="AM95" s="38"/>
      <c r="AN95" s="38"/>
      <c r="AO95" s="38"/>
      <c r="AP95" s="38"/>
      <c r="AQ95" s="38"/>
      <c r="AR95" s="38"/>
      <c r="AS95" s="38"/>
      <c r="AT95" s="38"/>
      <c r="AU95" s="38"/>
      <c r="AV95" s="38"/>
      <c r="AW95" s="38"/>
      <c r="AX95" s="38"/>
      <c r="AY95" s="38"/>
      <c r="AZ95" s="314"/>
      <c r="BA95" s="877"/>
      <c r="BB95" s="877"/>
      <c r="BC95" s="877"/>
      <c r="BD95" s="38"/>
      <c r="BE95" s="314"/>
      <c r="BF95" s="1613"/>
      <c r="BG95" s="1613"/>
      <c r="BH95" s="1613"/>
      <c r="BI95" s="38"/>
      <c r="BJ95" s="314"/>
      <c r="BK95" s="314"/>
      <c r="BL95" s="314"/>
      <c r="BM95" s="314"/>
      <c r="BN95" s="314"/>
      <c r="BO95" s="314"/>
      <c r="BP95" s="314"/>
      <c r="BQ95" s="314"/>
      <c r="BR95" s="314"/>
      <c r="BS95" s="314"/>
      <c r="BT95" s="2489"/>
      <c r="BU95" s="314"/>
      <c r="BV95" s="314"/>
      <c r="BW95" s="314"/>
      <c r="BX95" s="314"/>
      <c r="BY95" s="314"/>
      <c r="BZ95" s="314"/>
      <c r="CA95" s="314"/>
      <c r="CB95" s="314"/>
      <c r="CC95" s="314"/>
    </row>
    <row r="96" spans="1:81">
      <c r="A96" s="314" t="str">
        <f>+A90</f>
        <v>Total</v>
      </c>
      <c r="B96" s="504"/>
      <c r="C96" s="38">
        <f t="shared" ref="C96:AJ96" si="157">+C14/B14-1</f>
        <v>-0.11570827489481061</v>
      </c>
      <c r="D96" s="38">
        <f t="shared" si="157"/>
        <v>2.3394131641554239E-2</v>
      </c>
      <c r="E96" s="38">
        <f t="shared" si="157"/>
        <v>9.1049980627663674E-2</v>
      </c>
      <c r="F96" s="38">
        <f t="shared" si="157"/>
        <v>0.15411931818181812</v>
      </c>
      <c r="G96" s="38">
        <f t="shared" si="157"/>
        <v>-4.6153846153846101E-2</v>
      </c>
      <c r="H96" s="38">
        <f t="shared" si="157"/>
        <v>0.1064516129032258</v>
      </c>
      <c r="I96" s="38">
        <f t="shared" si="157"/>
        <v>1.4577259475218707E-2</v>
      </c>
      <c r="J96" s="38">
        <f t="shared" si="157"/>
        <v>2.0000000000000018E-2</v>
      </c>
      <c r="K96" s="38">
        <f t="shared" si="157"/>
        <v>6.3904024716690655E-2</v>
      </c>
      <c r="L96" s="38">
        <f t="shared" si="157"/>
        <v>0.12320098599960949</v>
      </c>
      <c r="M96" s="38">
        <f t="shared" si="157"/>
        <v>2.6322685706053894E-2</v>
      </c>
      <c r="N96" s="38">
        <f t="shared" si="157"/>
        <v>-1.414396186882183E-2</v>
      </c>
      <c r="O96" s="38">
        <f t="shared" si="157"/>
        <v>2.422137761126697E-2</v>
      </c>
      <c r="P96" s="38">
        <f t="shared" si="157"/>
        <v>-0.11614669284275014</v>
      </c>
      <c r="Q96" s="38">
        <f t="shared" si="157"/>
        <v>-9.7847093478241609E-3</v>
      </c>
      <c r="R96" s="38">
        <f t="shared" si="157"/>
        <v>0.12198392441548211</v>
      </c>
      <c r="S96" s="38">
        <f t="shared" si="157"/>
        <v>3.9996008146800932E-3</v>
      </c>
      <c r="T96" s="38">
        <f t="shared" si="157"/>
        <v>-4.3844298635616785E-2</v>
      </c>
      <c r="U96" s="38">
        <f t="shared" si="157"/>
        <v>0.12534649118630803</v>
      </c>
      <c r="V96" s="38">
        <f t="shared" si="157"/>
        <v>-5.6850533556629168E-2</v>
      </c>
      <c r="W96" s="38">
        <f t="shared" si="157"/>
        <v>5.7948062679338275E-2</v>
      </c>
      <c r="X96" s="38">
        <f t="shared" si="157"/>
        <v>0.13488903800149576</v>
      </c>
      <c r="Y96" s="38">
        <f t="shared" si="157"/>
        <v>-2.2183396437058023E-2</v>
      </c>
      <c r="Z96" s="38">
        <f t="shared" si="157"/>
        <v>4.8521804319063833E-2</v>
      </c>
      <c r="AA96" s="38">
        <f t="shared" si="157"/>
        <v>0.13664927923485704</v>
      </c>
      <c r="AB96" s="38">
        <f t="shared" si="157"/>
        <v>-1.4095390414481823E-2</v>
      </c>
      <c r="AC96" s="39">
        <f t="shared" si="157"/>
        <v>5.9503115824387942E-2</v>
      </c>
      <c r="AD96" s="39">
        <f t="shared" si="157"/>
        <v>0.10132304768366152</v>
      </c>
      <c r="AE96" s="39">
        <f t="shared" si="157"/>
        <v>-3.8112137377969701E-2</v>
      </c>
      <c r="AF96" s="39">
        <f t="shared" si="157"/>
        <v>1.8178725075067126E-2</v>
      </c>
      <c r="AG96" s="39">
        <f t="shared" si="157"/>
        <v>0.11493405868705575</v>
      </c>
      <c r="AH96" s="1110">
        <f t="shared" si="157"/>
        <v>-6.3158613778926731E-2</v>
      </c>
      <c r="AI96" s="1110">
        <f t="shared" si="157"/>
        <v>2.888061169950995E-2</v>
      </c>
      <c r="AJ96" s="1110">
        <f t="shared" si="157"/>
        <v>0.10810359430984318</v>
      </c>
      <c r="AK96" s="38"/>
      <c r="AL96" s="38"/>
      <c r="AM96" s="38"/>
      <c r="AN96" s="38"/>
      <c r="AO96" s="38"/>
      <c r="AP96" s="38"/>
      <c r="AQ96" s="38"/>
      <c r="AR96" s="38"/>
      <c r="AS96" s="38"/>
      <c r="AT96" s="38"/>
      <c r="AU96" s="38"/>
      <c r="AV96" s="38"/>
      <c r="AW96" s="38"/>
      <c r="AX96" s="38"/>
      <c r="AY96" s="38"/>
      <c r="AZ96" s="314"/>
      <c r="BA96" s="877"/>
      <c r="BB96" s="877"/>
      <c r="BC96" s="877"/>
      <c r="BD96" s="38"/>
      <c r="BE96" s="314"/>
      <c r="BF96" s="1613"/>
      <c r="BG96" s="1613"/>
      <c r="BH96" s="1613"/>
      <c r="BI96" s="38"/>
      <c r="BJ96" s="314"/>
      <c r="BK96" s="314"/>
      <c r="BL96" s="314"/>
      <c r="BM96" s="314"/>
      <c r="BN96" s="314"/>
      <c r="BO96" s="314"/>
      <c r="BP96" s="314"/>
      <c r="BQ96" s="314"/>
      <c r="BR96" s="314"/>
      <c r="BS96" s="314"/>
      <c r="BT96" s="2489"/>
      <c r="BU96" s="314"/>
      <c r="BV96" s="314"/>
      <c r="BW96" s="314"/>
      <c r="BX96" s="314"/>
      <c r="BY96" s="314"/>
      <c r="BZ96" s="314"/>
      <c r="CA96" s="314"/>
      <c r="CB96" s="314"/>
      <c r="CC96" s="314"/>
    </row>
    <row r="97" spans="1:81" hidden="1" outlineLevel="1">
      <c r="A97" s="907"/>
      <c r="B97" s="907"/>
      <c r="C97" s="907"/>
      <c r="D97" s="907"/>
      <c r="E97" s="907"/>
      <c r="F97" s="890">
        <f>F101/E101-1</f>
        <v>4.2176039119804498E-2</v>
      </c>
      <c r="G97" s="890">
        <f>F101*1.04</f>
        <v>8.8660000000000014</v>
      </c>
      <c r="H97" s="890">
        <f>G97*1.04</f>
        <v>9.2206400000000013</v>
      </c>
      <c r="I97" s="890">
        <f t="shared" ref="I97:Q97" si="158">H97*1.03</f>
        <v>9.497259200000002</v>
      </c>
      <c r="J97" s="890">
        <f t="shared" si="158"/>
        <v>9.7821769760000024</v>
      </c>
      <c r="K97" s="890">
        <f t="shared" si="158"/>
        <v>10.075642285280002</v>
      </c>
      <c r="L97" s="890">
        <f t="shared" si="158"/>
        <v>10.377911553838404</v>
      </c>
      <c r="M97" s="890">
        <f t="shared" si="158"/>
        <v>10.689248900453556</v>
      </c>
      <c r="N97" s="890">
        <f t="shared" si="158"/>
        <v>11.009926367467163</v>
      </c>
      <c r="O97" s="890">
        <f t="shared" si="158"/>
        <v>11.340224158491178</v>
      </c>
      <c r="P97" s="890">
        <f t="shared" si="158"/>
        <v>11.680430883245915</v>
      </c>
      <c r="Q97" s="890">
        <f t="shared" si="158"/>
        <v>12.030843809743292</v>
      </c>
      <c r="R97" s="890"/>
      <c r="S97" s="890"/>
      <c r="T97" s="890"/>
      <c r="U97" s="890"/>
      <c r="V97" s="890"/>
      <c r="W97" s="890"/>
      <c r="X97" s="890"/>
      <c r="Y97" s="890"/>
      <c r="Z97" s="890"/>
      <c r="AA97" s="890"/>
      <c r="AB97" s="890"/>
      <c r="AC97" s="891"/>
      <c r="AD97" s="891"/>
      <c r="AE97" s="891"/>
      <c r="AF97" s="891"/>
      <c r="AG97" s="891"/>
      <c r="AH97" s="2271"/>
      <c r="AI97" s="891"/>
      <c r="AJ97" s="38"/>
      <c r="AK97" s="477"/>
      <c r="AL97" s="477"/>
      <c r="AM97" s="477"/>
      <c r="AN97" s="477"/>
      <c r="AO97" s="477"/>
      <c r="AP97" s="477"/>
      <c r="AQ97" s="477"/>
      <c r="AR97" s="477"/>
      <c r="AS97" s="477"/>
      <c r="AT97" s="477"/>
      <c r="AU97" s="477"/>
      <c r="AV97" s="477"/>
      <c r="AW97" s="477"/>
      <c r="AX97" s="477"/>
      <c r="AY97" s="477"/>
      <c r="AZ97" s="314"/>
      <c r="BA97" s="1429"/>
      <c r="BB97" s="877"/>
      <c r="BC97" s="877"/>
      <c r="BD97" s="38"/>
      <c r="BE97" s="314"/>
      <c r="BF97" s="1429"/>
      <c r="BG97" s="1429"/>
      <c r="BH97" s="1429"/>
      <c r="BI97" s="477"/>
      <c r="BJ97" s="314"/>
      <c r="BK97" s="314"/>
      <c r="BL97" s="314"/>
      <c r="BM97" s="314"/>
      <c r="BN97" s="314"/>
      <c r="BO97" s="314"/>
      <c r="BP97" s="314"/>
      <c r="BQ97" s="314"/>
      <c r="BR97" s="314"/>
      <c r="BS97" s="314"/>
      <c r="BT97" s="2489"/>
      <c r="BU97" s="314"/>
      <c r="BV97" s="314"/>
      <c r="BW97" s="314"/>
      <c r="BX97" s="314"/>
      <c r="BY97" s="314"/>
      <c r="BZ97" s="314"/>
      <c r="CA97" s="314"/>
      <c r="CB97" s="314"/>
      <c r="CC97" s="314"/>
    </row>
    <row r="98" spans="1:81" hidden="1" outlineLevel="1">
      <c r="A98" s="498" t="s">
        <v>1091</v>
      </c>
      <c r="B98" s="498"/>
      <c r="C98" s="498"/>
      <c r="D98" s="498"/>
      <c r="E98" s="498"/>
      <c r="F98" s="314"/>
      <c r="G98" s="314"/>
      <c r="H98" s="38"/>
      <c r="I98" s="38"/>
      <c r="J98" s="38"/>
      <c r="K98" s="314"/>
      <c r="L98" s="314"/>
      <c r="M98" s="314"/>
      <c r="N98" s="314"/>
      <c r="O98" s="314"/>
      <c r="P98" s="314"/>
      <c r="Q98" s="38"/>
      <c r="R98" s="314"/>
      <c r="S98" s="314"/>
      <c r="T98" s="314"/>
      <c r="U98" s="51"/>
      <c r="V98" s="314"/>
      <c r="W98" s="314"/>
      <c r="X98" s="314"/>
      <c r="Y98" s="314"/>
      <c r="Z98" s="314"/>
      <c r="AA98" s="314"/>
      <c r="AB98" s="314"/>
      <c r="AC98" s="513"/>
      <c r="AD98" s="513"/>
      <c r="AE98" s="513"/>
      <c r="AF98" s="513"/>
      <c r="AG98" s="513"/>
      <c r="AH98" s="1628"/>
      <c r="AI98" s="513"/>
      <c r="AJ98" s="38"/>
      <c r="AK98" s="314"/>
      <c r="AL98" s="314"/>
      <c r="AM98" s="314"/>
      <c r="AN98" s="314"/>
      <c r="AO98" s="314"/>
      <c r="AP98" s="314"/>
      <c r="AQ98" s="314"/>
      <c r="AR98" s="314"/>
      <c r="AS98" s="314"/>
      <c r="AT98" s="314"/>
      <c r="AU98" s="314"/>
      <c r="AV98" s="314"/>
      <c r="AW98" s="314"/>
      <c r="AX98" s="314"/>
      <c r="AY98" s="314"/>
      <c r="AZ98" s="314"/>
      <c r="BA98" s="997"/>
      <c r="BB98" s="877"/>
      <c r="BC98" s="877"/>
      <c r="BD98" s="38"/>
      <c r="BE98" s="314"/>
      <c r="BF98" s="997"/>
      <c r="BG98" s="997"/>
      <c r="BH98" s="997"/>
      <c r="BI98" s="314"/>
      <c r="BJ98" s="314"/>
      <c r="BK98" s="314"/>
      <c r="BL98" s="314"/>
      <c r="BM98" s="314"/>
      <c r="BN98" s="314"/>
      <c r="BO98" s="314"/>
      <c r="BP98" s="314"/>
      <c r="BQ98" s="314"/>
      <c r="BR98" s="314"/>
      <c r="BS98" s="314"/>
      <c r="BT98" s="2489"/>
      <c r="BU98" s="314"/>
      <c r="BV98" s="314"/>
      <c r="BW98" s="314"/>
      <c r="BX98" s="314"/>
      <c r="BY98" s="314"/>
      <c r="BZ98" s="314"/>
      <c r="CA98" s="314"/>
      <c r="CB98" s="314"/>
      <c r="CC98" s="314"/>
    </row>
    <row r="99" spans="1:81" hidden="1" outlineLevel="1">
      <c r="A99" s="483" t="s">
        <v>738</v>
      </c>
      <c r="B99" s="516">
        <f t="shared" ref="B99:AH99" si="159">+B8</f>
        <v>1067</v>
      </c>
      <c r="C99" s="516">
        <f t="shared" si="159"/>
        <v>1028</v>
      </c>
      <c r="D99" s="517">
        <f t="shared" si="159"/>
        <v>1027</v>
      </c>
      <c r="E99" s="517">
        <f t="shared" si="159"/>
        <v>1075</v>
      </c>
      <c r="F99" s="517">
        <f t="shared" si="159"/>
        <v>1100</v>
      </c>
      <c r="G99" s="517">
        <f t="shared" si="159"/>
        <v>1216.4264915381543</v>
      </c>
      <c r="H99" s="517">
        <f t="shared" si="159"/>
        <v>1414.6985934458085</v>
      </c>
      <c r="I99" s="517">
        <f t="shared" si="159"/>
        <v>1485.6745795250636</v>
      </c>
      <c r="J99" s="517">
        <f t="shared" si="159"/>
        <v>1775.9450587489762</v>
      </c>
      <c r="K99" s="517">
        <f t="shared" si="159"/>
        <v>1959.7422779027052</v>
      </c>
      <c r="L99" s="517">
        <f t="shared" si="159"/>
        <v>2140.4</v>
      </c>
      <c r="M99" s="517">
        <f t="shared" si="159"/>
        <v>2210.6999999999998</v>
      </c>
      <c r="N99" s="517">
        <f t="shared" si="159"/>
        <v>2139.29439</v>
      </c>
      <c r="O99" s="517">
        <f t="shared" si="159"/>
        <v>2007.0859966980001</v>
      </c>
      <c r="P99" s="517">
        <f t="shared" si="159"/>
        <v>1671.9026352494341</v>
      </c>
      <c r="Q99" s="517">
        <f t="shared" si="159"/>
        <v>1742.1225459299103</v>
      </c>
      <c r="R99" s="517">
        <f t="shared" si="159"/>
        <v>1811.8074477671069</v>
      </c>
      <c r="S99" s="517">
        <f t="shared" si="159"/>
        <v>1882.4679382300239</v>
      </c>
      <c r="T99" s="517">
        <f t="shared" si="159"/>
        <v>1832.5825378669283</v>
      </c>
      <c r="U99" s="517">
        <f t="shared" si="159"/>
        <v>1878.3971013136015</v>
      </c>
      <c r="V99" s="517">
        <f t="shared" si="159"/>
        <v>1685.309771593651</v>
      </c>
      <c r="W99" s="517">
        <f t="shared" si="159"/>
        <v>1704.2185317299604</v>
      </c>
      <c r="X99" s="517">
        <f t="shared" si="159"/>
        <v>1718.5742738977337</v>
      </c>
      <c r="Y99" s="517">
        <f t="shared" si="159"/>
        <v>1679.8237309153865</v>
      </c>
      <c r="Z99" s="517">
        <f t="shared" si="159"/>
        <v>1639.5038316399173</v>
      </c>
      <c r="AA99" s="517">
        <f t="shared" si="159"/>
        <v>1606.7137550071188</v>
      </c>
      <c r="AB99" s="517">
        <f t="shared" si="159"/>
        <v>1582.613048682012</v>
      </c>
      <c r="AC99" s="527">
        <f t="shared" si="159"/>
        <v>1566.7869181951919</v>
      </c>
      <c r="AD99" s="527">
        <f t="shared" si="159"/>
        <v>1551.1190490132399</v>
      </c>
      <c r="AE99" s="527">
        <f t="shared" si="159"/>
        <v>1535.6078585231076</v>
      </c>
      <c r="AF99" s="527">
        <f t="shared" si="159"/>
        <v>1520.2517799378766</v>
      </c>
      <c r="AG99" s="527">
        <f t="shared" si="159"/>
        <v>1505.0492621384979</v>
      </c>
      <c r="AH99" s="2221">
        <f t="shared" si="159"/>
        <v>1489.9987695171128</v>
      </c>
      <c r="AI99" s="517"/>
      <c r="AJ99" s="38"/>
      <c r="AK99" s="517"/>
      <c r="AL99" s="517"/>
      <c r="AM99" s="517"/>
      <c r="AN99" s="517"/>
      <c r="AO99" s="517"/>
      <c r="AP99" s="517"/>
      <c r="AQ99" s="517"/>
      <c r="AR99" s="517"/>
      <c r="AS99" s="517"/>
      <c r="AT99" s="517"/>
      <c r="AU99" s="517"/>
      <c r="AV99" s="517"/>
      <c r="AW99" s="517"/>
      <c r="AX99" s="517"/>
      <c r="AY99" s="517"/>
      <c r="AZ99" s="314"/>
      <c r="BA99" s="1430"/>
      <c r="BB99" s="877"/>
      <c r="BC99" s="877"/>
      <c r="BD99" s="38"/>
      <c r="BE99" s="314"/>
      <c r="BF99" s="1430"/>
      <c r="BG99" s="1430"/>
      <c r="BH99" s="1430"/>
      <c r="BI99" s="517"/>
      <c r="BJ99" s="314"/>
      <c r="BK99" s="314"/>
      <c r="BL99" s="314"/>
      <c r="BM99" s="314"/>
      <c r="BN99" s="314"/>
      <c r="BO99" s="314"/>
      <c r="BP99" s="314"/>
      <c r="BQ99" s="314"/>
      <c r="BR99" s="314"/>
      <c r="BS99" s="314"/>
      <c r="BT99" s="2489"/>
      <c r="BU99" s="314"/>
      <c r="BV99" s="314"/>
      <c r="BW99" s="314"/>
      <c r="BX99" s="314"/>
      <c r="BY99" s="314"/>
      <c r="BZ99" s="314"/>
      <c r="CA99" s="314"/>
      <c r="CB99" s="314"/>
      <c r="CC99" s="314"/>
    </row>
    <row r="100" spans="1:81" hidden="1" outlineLevel="1">
      <c r="A100" s="483" t="s">
        <v>1104</v>
      </c>
      <c r="B100" s="483">
        <f>+C100</f>
        <v>22</v>
      </c>
      <c r="C100" s="483">
        <f>+D100</f>
        <v>22</v>
      </c>
      <c r="D100" s="483">
        <v>22</v>
      </c>
      <c r="E100" s="483">
        <v>22</v>
      </c>
      <c r="F100" s="314">
        <v>22</v>
      </c>
      <c r="G100" s="314">
        <f t="shared" ref="G100:W100" si="160">+F100</f>
        <v>22</v>
      </c>
      <c r="H100" s="314">
        <f t="shared" si="160"/>
        <v>22</v>
      </c>
      <c r="I100" s="314">
        <f t="shared" si="160"/>
        <v>22</v>
      </c>
      <c r="J100" s="314">
        <f t="shared" si="160"/>
        <v>22</v>
      </c>
      <c r="K100" s="314">
        <f t="shared" si="160"/>
        <v>22</v>
      </c>
      <c r="L100" s="314">
        <f t="shared" si="160"/>
        <v>22</v>
      </c>
      <c r="M100" s="314">
        <f t="shared" si="160"/>
        <v>22</v>
      </c>
      <c r="N100" s="314">
        <f t="shared" si="160"/>
        <v>22</v>
      </c>
      <c r="O100" s="314">
        <f t="shared" si="160"/>
        <v>22</v>
      </c>
      <c r="P100" s="314">
        <f t="shared" si="160"/>
        <v>22</v>
      </c>
      <c r="Q100" s="314">
        <f t="shared" si="160"/>
        <v>22</v>
      </c>
      <c r="R100" s="314">
        <f t="shared" si="160"/>
        <v>22</v>
      </c>
      <c r="S100" s="314">
        <f t="shared" si="160"/>
        <v>22</v>
      </c>
      <c r="T100" s="314">
        <f t="shared" si="160"/>
        <v>22</v>
      </c>
      <c r="U100" s="314">
        <f t="shared" si="160"/>
        <v>22</v>
      </c>
      <c r="V100" s="314">
        <f t="shared" si="160"/>
        <v>22</v>
      </c>
      <c r="W100" s="314">
        <f t="shared" si="160"/>
        <v>22</v>
      </c>
      <c r="X100" s="314">
        <f t="shared" ref="X100:Z101" si="161">+W100</f>
        <v>22</v>
      </c>
      <c r="Y100" s="314">
        <f t="shared" si="161"/>
        <v>22</v>
      </c>
      <c r="Z100" s="314">
        <f t="shared" si="161"/>
        <v>22</v>
      </c>
      <c r="AA100" s="314">
        <f t="shared" ref="AA100:AD101" si="162">+Z100</f>
        <v>22</v>
      </c>
      <c r="AB100" s="314">
        <f t="shared" si="162"/>
        <v>22</v>
      </c>
      <c r="AC100" s="513">
        <f t="shared" si="162"/>
        <v>22</v>
      </c>
      <c r="AD100" s="513">
        <f t="shared" si="162"/>
        <v>22</v>
      </c>
      <c r="AE100" s="513">
        <f t="shared" ref="AE100:AH101" si="163">+AD100</f>
        <v>22</v>
      </c>
      <c r="AF100" s="513">
        <f t="shared" si="163"/>
        <v>22</v>
      </c>
      <c r="AG100" s="513">
        <f t="shared" si="163"/>
        <v>22</v>
      </c>
      <c r="AH100" s="1628">
        <f t="shared" si="163"/>
        <v>22</v>
      </c>
      <c r="AI100" s="314"/>
      <c r="AJ100" s="314"/>
      <c r="AK100" s="314"/>
      <c r="AL100" s="314"/>
      <c r="AM100" s="314"/>
      <c r="AN100" s="314"/>
      <c r="AO100" s="314"/>
      <c r="AP100" s="314"/>
      <c r="AQ100" s="314"/>
      <c r="AR100" s="314"/>
      <c r="AS100" s="314"/>
      <c r="AT100" s="314"/>
      <c r="AU100" s="314"/>
      <c r="AV100" s="314"/>
      <c r="AW100" s="314"/>
      <c r="AX100" s="314"/>
      <c r="AY100" s="314"/>
      <c r="AZ100" s="314"/>
      <c r="BA100" s="997"/>
      <c r="BB100" s="877"/>
      <c r="BC100" s="877"/>
      <c r="BD100" s="38"/>
      <c r="BE100" s="314"/>
      <c r="BF100" s="997"/>
      <c r="BG100" s="997"/>
      <c r="BH100" s="997"/>
      <c r="BI100" s="314"/>
      <c r="BJ100" s="314"/>
      <c r="BK100" s="314"/>
      <c r="BL100" s="314"/>
      <c r="BM100" s="314"/>
      <c r="BN100" s="314"/>
      <c r="BO100" s="314"/>
      <c r="BP100" s="314"/>
      <c r="BQ100" s="314"/>
      <c r="BR100" s="314"/>
      <c r="BS100" s="314"/>
      <c r="BT100" s="2489"/>
      <c r="BU100" s="314"/>
      <c r="BV100" s="314"/>
      <c r="BW100" s="314"/>
      <c r="BX100" s="314"/>
      <c r="BY100" s="314"/>
      <c r="BZ100" s="314"/>
      <c r="CA100" s="314"/>
      <c r="CB100" s="314"/>
      <c r="CC100" s="314"/>
    </row>
    <row r="101" spans="1:81" hidden="1" outlineLevel="1">
      <c r="A101" s="483" t="s">
        <v>1105</v>
      </c>
      <c r="B101" s="518">
        <v>8</v>
      </c>
      <c r="C101" s="518">
        <v>8.1999999999999993</v>
      </c>
      <c r="D101" s="518">
        <v>8.11</v>
      </c>
      <c r="E101" s="518">
        <v>8.18</v>
      </c>
      <c r="F101" s="333">
        <v>8.5250000000000004</v>
      </c>
      <c r="G101" s="2220">
        <f>F101*1.055</f>
        <v>8.9938749999999992</v>
      </c>
      <c r="H101" s="2220">
        <f>G101*1.0525</f>
        <v>9.4660534374999994</v>
      </c>
      <c r="I101" s="2220">
        <f>H101*1.05</f>
        <v>9.9393561093749998</v>
      </c>
      <c r="J101" s="2220">
        <f>I101*1.0475</f>
        <v>10.411475524570314</v>
      </c>
      <c r="K101" s="2220">
        <f>J101*1.045</f>
        <v>10.879991923175977</v>
      </c>
      <c r="L101" s="2220">
        <f>K101*1.045</f>
        <v>11.369591559718895</v>
      </c>
      <c r="M101" s="2220">
        <f>L101*1.0425</f>
        <v>11.852799201006947</v>
      </c>
      <c r="N101" s="2220">
        <f>M101*1.04</f>
        <v>12.326911169047225</v>
      </c>
      <c r="O101" s="2220">
        <f>N101*1.0375</f>
        <v>12.789170337886498</v>
      </c>
      <c r="P101" s="2220">
        <f>O101*1.035</f>
        <v>13.236791299712523</v>
      </c>
      <c r="Q101" s="333">
        <v>13.5</v>
      </c>
      <c r="R101" s="2220">
        <f>Q101*1.015</f>
        <v>13.702499999999999</v>
      </c>
      <c r="S101" s="2220">
        <f>R101*1.014</f>
        <v>13.894334999999998</v>
      </c>
      <c r="T101" s="2220">
        <f>S101*1.013</f>
        <v>14.074961354999997</v>
      </c>
      <c r="U101" s="333">
        <v>14.25</v>
      </c>
      <c r="V101" s="997">
        <f>U101</f>
        <v>14.25</v>
      </c>
      <c r="W101" s="314">
        <f>+V101</f>
        <v>14.25</v>
      </c>
      <c r="X101" s="314">
        <f t="shared" si="161"/>
        <v>14.25</v>
      </c>
      <c r="Y101" s="314">
        <f t="shared" si="161"/>
        <v>14.25</v>
      </c>
      <c r="Z101" s="314">
        <f t="shared" si="161"/>
        <v>14.25</v>
      </c>
      <c r="AA101" s="314">
        <f t="shared" si="162"/>
        <v>14.25</v>
      </c>
      <c r="AB101" s="314">
        <f t="shared" si="162"/>
        <v>14.25</v>
      </c>
      <c r="AC101" s="513">
        <f t="shared" si="162"/>
        <v>14.25</v>
      </c>
      <c r="AD101" s="513">
        <f t="shared" si="162"/>
        <v>14.25</v>
      </c>
      <c r="AE101" s="513">
        <f t="shared" si="163"/>
        <v>14.25</v>
      </c>
      <c r="AF101" s="513">
        <f t="shared" si="163"/>
        <v>14.25</v>
      </c>
      <c r="AG101" s="513">
        <f t="shared" si="163"/>
        <v>14.25</v>
      </c>
      <c r="AH101" s="1628">
        <f t="shared" si="163"/>
        <v>14.25</v>
      </c>
      <c r="AI101" s="314"/>
      <c r="AJ101" s="314"/>
      <c r="AK101" s="314"/>
      <c r="AL101" s="314"/>
      <c r="AM101" s="314"/>
      <c r="AN101" s="314"/>
      <c r="AO101" s="314"/>
      <c r="AP101" s="314"/>
      <c r="AQ101" s="314"/>
      <c r="AR101" s="314"/>
      <c r="AS101" s="314"/>
      <c r="AT101" s="314"/>
      <c r="AU101" s="314"/>
      <c r="AV101" s="314"/>
      <c r="AW101" s="314"/>
      <c r="AX101" s="314"/>
      <c r="AY101" s="314"/>
      <c r="AZ101" s="314"/>
      <c r="BA101" s="997"/>
      <c r="BB101" s="877"/>
      <c r="BC101" s="877"/>
      <c r="BD101" s="38"/>
      <c r="BE101" s="314"/>
      <c r="BF101" s="997"/>
      <c r="BG101" s="997"/>
      <c r="BH101" s="997"/>
      <c r="BI101" s="314"/>
      <c r="BJ101" s="314"/>
      <c r="BK101" s="314"/>
      <c r="BL101" s="314"/>
      <c r="BM101" s="314"/>
      <c r="BN101" s="314"/>
      <c r="BO101" s="314"/>
      <c r="BP101" s="314"/>
      <c r="BQ101" s="314"/>
      <c r="BR101" s="314"/>
      <c r="BS101" s="314"/>
      <c r="BT101" s="2489"/>
      <c r="BU101" s="314"/>
      <c r="BV101" s="314"/>
      <c r="BW101" s="314"/>
      <c r="BX101" s="314"/>
      <c r="BY101" s="314"/>
      <c r="BZ101" s="314"/>
      <c r="CA101" s="314"/>
      <c r="CB101" s="314"/>
      <c r="CC101" s="314"/>
    </row>
    <row r="102" spans="1:81" hidden="1" outlineLevel="1">
      <c r="A102" s="508" t="s">
        <v>1107</v>
      </c>
      <c r="B102" s="517">
        <f t="shared" ref="B102:AB102" si="164">B101*B100*52*2</f>
        <v>18304</v>
      </c>
      <c r="C102" s="517">
        <f t="shared" si="164"/>
        <v>18761.599999999999</v>
      </c>
      <c r="D102" s="517">
        <f t="shared" si="164"/>
        <v>18555.68</v>
      </c>
      <c r="E102" s="517">
        <f t="shared" si="164"/>
        <v>18715.839999999997</v>
      </c>
      <c r="F102" s="517">
        <f t="shared" si="164"/>
        <v>19505.2</v>
      </c>
      <c r="G102" s="517">
        <f t="shared" si="164"/>
        <v>20577.985999999997</v>
      </c>
      <c r="H102" s="517">
        <f t="shared" si="164"/>
        <v>21658.330264999997</v>
      </c>
      <c r="I102" s="517">
        <f t="shared" si="164"/>
        <v>22741.246778249999</v>
      </c>
      <c r="J102" s="517">
        <f t="shared" si="164"/>
        <v>23821.45600021688</v>
      </c>
      <c r="K102" s="517">
        <f t="shared" si="164"/>
        <v>24893.421520226635</v>
      </c>
      <c r="L102" s="517">
        <f t="shared" si="164"/>
        <v>26013.62548863683</v>
      </c>
      <c r="M102" s="517">
        <f t="shared" si="164"/>
        <v>27119.204571903898</v>
      </c>
      <c r="N102" s="517">
        <f t="shared" si="164"/>
        <v>28203.97275478005</v>
      </c>
      <c r="O102" s="517">
        <f t="shared" si="164"/>
        <v>29261.621733084306</v>
      </c>
      <c r="P102" s="517">
        <f t="shared" si="164"/>
        <v>30285.778493742251</v>
      </c>
      <c r="Q102" s="517">
        <f t="shared" si="164"/>
        <v>30888</v>
      </c>
      <c r="R102" s="517">
        <f t="shared" si="164"/>
        <v>31351.32</v>
      </c>
      <c r="S102" s="517">
        <f t="shared" si="164"/>
        <v>31790.238479999993</v>
      </c>
      <c r="T102" s="517">
        <f t="shared" si="164"/>
        <v>32203.511580239992</v>
      </c>
      <c r="U102" s="517">
        <f t="shared" si="164"/>
        <v>32604</v>
      </c>
      <c r="V102" s="517">
        <f t="shared" si="164"/>
        <v>32604</v>
      </c>
      <c r="W102" s="517">
        <f t="shared" si="164"/>
        <v>32604</v>
      </c>
      <c r="X102" s="517">
        <f t="shared" si="164"/>
        <v>32604</v>
      </c>
      <c r="Y102" s="517">
        <f t="shared" si="164"/>
        <v>32604</v>
      </c>
      <c r="Z102" s="517">
        <f t="shared" si="164"/>
        <v>32604</v>
      </c>
      <c r="AA102" s="517">
        <f t="shared" si="164"/>
        <v>32604</v>
      </c>
      <c r="AB102" s="517">
        <f t="shared" si="164"/>
        <v>32604</v>
      </c>
      <c r="AC102" s="527">
        <f t="shared" ref="AC102:AH102" si="165">AC101*AC100*52*2</f>
        <v>32604</v>
      </c>
      <c r="AD102" s="527">
        <f t="shared" si="165"/>
        <v>32604</v>
      </c>
      <c r="AE102" s="527">
        <f t="shared" si="165"/>
        <v>32604</v>
      </c>
      <c r="AF102" s="527">
        <f t="shared" si="165"/>
        <v>32604</v>
      </c>
      <c r="AG102" s="527">
        <f t="shared" si="165"/>
        <v>32604</v>
      </c>
      <c r="AH102" s="2221">
        <f t="shared" si="165"/>
        <v>32604</v>
      </c>
      <c r="AI102" s="517"/>
      <c r="AJ102" s="517"/>
      <c r="AK102" s="517"/>
      <c r="AL102" s="517"/>
      <c r="AM102" s="517"/>
      <c r="AN102" s="517"/>
      <c r="AO102" s="517"/>
      <c r="AP102" s="517"/>
      <c r="AQ102" s="517"/>
      <c r="AR102" s="517"/>
      <c r="AS102" s="517"/>
      <c r="AT102" s="517"/>
      <c r="AU102" s="517"/>
      <c r="AV102" s="517"/>
      <c r="AW102" s="517"/>
      <c r="AX102" s="517"/>
      <c r="AY102" s="517"/>
      <c r="AZ102" s="314"/>
      <c r="BA102" s="1430"/>
      <c r="BB102" s="877"/>
      <c r="BC102" s="877"/>
      <c r="BD102" s="38"/>
      <c r="BE102" s="314"/>
      <c r="BF102" s="1430"/>
      <c r="BG102" s="1430"/>
      <c r="BH102" s="1430"/>
      <c r="BI102" s="517"/>
      <c r="BJ102" s="314"/>
      <c r="BK102" s="314"/>
      <c r="BL102" s="314"/>
      <c r="BM102" s="314"/>
      <c r="BN102" s="314"/>
      <c r="BO102" s="314"/>
      <c r="BP102" s="314"/>
      <c r="BQ102" s="314"/>
      <c r="BR102" s="314"/>
      <c r="BS102" s="314"/>
      <c r="BT102" s="2489"/>
      <c r="BU102" s="314"/>
      <c r="BV102" s="314"/>
      <c r="BW102" s="314"/>
      <c r="BX102" s="314"/>
      <c r="BY102" s="314"/>
      <c r="BZ102" s="314"/>
      <c r="CA102" s="314"/>
      <c r="CB102" s="314"/>
      <c r="CC102" s="314"/>
    </row>
    <row r="103" spans="1:81" hidden="1" outlineLevel="1">
      <c r="A103" s="483" t="s">
        <v>1108</v>
      </c>
      <c r="B103" s="517">
        <f>B99*1000000/B102</f>
        <v>58293.269230769234</v>
      </c>
      <c r="C103" s="517">
        <f>C99*1000000/C102</f>
        <v>54792.768207402361</v>
      </c>
      <c r="D103" s="517">
        <f t="shared" ref="D103:AB103" si="166">+D99/D102*1000000</f>
        <v>55346.934200201773</v>
      </c>
      <c r="E103" s="517">
        <f t="shared" si="166"/>
        <v>57437.977670251523</v>
      </c>
      <c r="F103" s="517">
        <f t="shared" si="166"/>
        <v>56395.217685540258</v>
      </c>
      <c r="G103" s="517">
        <f t="shared" si="166"/>
        <v>59113.000248817087</v>
      </c>
      <c r="H103" s="517">
        <f t="shared" si="166"/>
        <v>65318.913145025348</v>
      </c>
      <c r="I103" s="517">
        <f t="shared" si="166"/>
        <v>65329.513109456268</v>
      </c>
      <c r="J103" s="517">
        <f t="shared" si="166"/>
        <v>74552.330417284626</v>
      </c>
      <c r="K103" s="517">
        <f t="shared" si="166"/>
        <v>78725.308062226686</v>
      </c>
      <c r="L103" s="517">
        <f t="shared" si="166"/>
        <v>82279.957514378824</v>
      </c>
      <c r="M103" s="517">
        <f t="shared" si="166"/>
        <v>81517.877640494451</v>
      </c>
      <c r="N103" s="517">
        <f t="shared" si="166"/>
        <v>75850.817492987029</v>
      </c>
      <c r="O103" s="517">
        <f t="shared" si="166"/>
        <v>68591.07178016426</v>
      </c>
      <c r="P103" s="517">
        <f t="shared" si="166"/>
        <v>55204.2152588182</v>
      </c>
      <c r="Q103" s="517">
        <f t="shared" si="166"/>
        <v>56401.273825754673</v>
      </c>
      <c r="R103" s="517">
        <f t="shared" si="166"/>
        <v>57790.467762349617</v>
      </c>
      <c r="S103" s="517">
        <f t="shared" si="166"/>
        <v>59215.282056293159</v>
      </c>
      <c r="T103" s="517">
        <f t="shared" si="166"/>
        <v>56906.295243634151</v>
      </c>
      <c r="U103" s="517">
        <f t="shared" si="166"/>
        <v>57612.47396986877</v>
      </c>
      <c r="V103" s="517">
        <f t="shared" si="166"/>
        <v>51690.276395339562</v>
      </c>
      <c r="W103" s="517">
        <f t="shared" si="166"/>
        <v>52270.228552630368</v>
      </c>
      <c r="X103" s="517">
        <f t="shared" si="166"/>
        <v>52710.534716529677</v>
      </c>
      <c r="Y103" s="517">
        <f t="shared" si="166"/>
        <v>51522.013584694716</v>
      </c>
      <c r="Z103" s="517">
        <f t="shared" si="166"/>
        <v>50285.358595261852</v>
      </c>
      <c r="AA103" s="517">
        <f t="shared" si="166"/>
        <v>49279.651423356605</v>
      </c>
      <c r="AB103" s="517">
        <f t="shared" si="166"/>
        <v>48540.456652006258</v>
      </c>
      <c r="AC103" s="527">
        <f t="shared" ref="AC103:AH103" si="167">+AC99/AC102*1000000</f>
        <v>48055.052085486197</v>
      </c>
      <c r="AD103" s="527">
        <f t="shared" si="167"/>
        <v>47574.501564631333</v>
      </c>
      <c r="AE103" s="527">
        <f t="shared" si="167"/>
        <v>47098.756548985017</v>
      </c>
      <c r="AF103" s="527">
        <f t="shared" si="167"/>
        <v>46627.768983495174</v>
      </c>
      <c r="AG103" s="527">
        <f t="shared" si="167"/>
        <v>46161.49129366022</v>
      </c>
      <c r="AH103" s="2221">
        <f t="shared" si="167"/>
        <v>45699.876380723617</v>
      </c>
      <c r="AI103" s="517"/>
      <c r="AJ103" s="517"/>
      <c r="AK103" s="517"/>
      <c r="AL103" s="517"/>
      <c r="AM103" s="517"/>
      <c r="AN103" s="517"/>
      <c r="AO103" s="517"/>
      <c r="AP103" s="517"/>
      <c r="AQ103" s="517"/>
      <c r="AR103" s="517"/>
      <c r="AS103" s="517"/>
      <c r="AT103" s="517"/>
      <c r="AU103" s="517"/>
      <c r="AV103" s="517"/>
      <c r="AW103" s="517"/>
      <c r="AX103" s="517"/>
      <c r="AY103" s="517"/>
      <c r="AZ103" s="314"/>
      <c r="BA103" s="1430"/>
      <c r="BB103" s="877"/>
      <c r="BC103" s="877"/>
      <c r="BD103" s="38"/>
      <c r="BE103" s="314"/>
      <c r="BF103" s="1430"/>
      <c r="BG103" s="1430"/>
      <c r="BH103" s="1430"/>
      <c r="BI103" s="517"/>
      <c r="BJ103" s="314"/>
      <c r="BK103" s="314"/>
      <c r="BL103" s="314"/>
      <c r="BM103" s="314"/>
      <c r="BN103" s="314"/>
      <c r="BO103" s="314"/>
      <c r="BP103" s="314"/>
      <c r="BQ103" s="314"/>
      <c r="BR103" s="314"/>
      <c r="BS103" s="314"/>
      <c r="BT103" s="2489"/>
      <c r="BU103" s="314"/>
      <c r="BV103" s="314"/>
      <c r="BW103" s="314"/>
      <c r="BX103" s="314"/>
      <c r="BY103" s="314"/>
      <c r="BZ103" s="314"/>
      <c r="CA103" s="314"/>
      <c r="CB103" s="314"/>
      <c r="CC103" s="314"/>
    </row>
    <row r="104" spans="1:81" hidden="1" outlineLevel="1">
      <c r="A104" s="508" t="s">
        <v>676</v>
      </c>
      <c r="B104" s="508"/>
      <c r="C104" s="38">
        <f t="shared" ref="C104:AB104" si="168">+C103/B103-1</f>
        <v>-6.004983198847913E-2</v>
      </c>
      <c r="D104" s="38">
        <f t="shared" si="168"/>
        <v>1.0113852811775681E-2</v>
      </c>
      <c r="E104" s="38">
        <f t="shared" si="168"/>
        <v>3.7780655790002671E-2</v>
      </c>
      <c r="F104" s="38">
        <f t="shared" si="168"/>
        <v>-1.8154538634659101E-2</v>
      </c>
      <c r="G104" s="38">
        <f t="shared" si="168"/>
        <v>4.8191720412024797E-2</v>
      </c>
      <c r="H104" s="38">
        <f t="shared" si="168"/>
        <v>0.10498389305375255</v>
      </c>
      <c r="I104" s="38">
        <f t="shared" si="168"/>
        <v>1.6228017155439645E-4</v>
      </c>
      <c r="J104" s="38">
        <f t="shared" si="168"/>
        <v>0.14117382586911376</v>
      </c>
      <c r="K104" s="38">
        <f t="shared" si="168"/>
        <v>5.5973805534784038E-2</v>
      </c>
      <c r="L104" s="38">
        <f t="shared" si="168"/>
        <v>4.5152563256309453E-2</v>
      </c>
      <c r="M104" s="38">
        <f t="shared" si="168"/>
        <v>-9.2620353352904639E-3</v>
      </c>
      <c r="N104" s="38">
        <f t="shared" si="168"/>
        <v>-6.9519230769230389E-2</v>
      </c>
      <c r="O104" s="38">
        <f t="shared" si="168"/>
        <v>-9.5710843373494114E-2</v>
      </c>
      <c r="P104" s="38">
        <f t="shared" si="168"/>
        <v>-0.1951690821256038</v>
      </c>
      <c r="Q104" s="38">
        <f t="shared" si="168"/>
        <v>2.1684187725959259E-2</v>
      </c>
      <c r="R104" s="38">
        <f t="shared" si="168"/>
        <v>2.4630541871921263E-2</v>
      </c>
      <c r="S104" s="38">
        <f t="shared" si="168"/>
        <v>2.4654832347140276E-2</v>
      </c>
      <c r="T104" s="38">
        <f t="shared" si="168"/>
        <v>-3.8993089832181527E-2</v>
      </c>
      <c r="U104" s="38">
        <f t="shared" si="168"/>
        <v>1.2409500973683762E-2</v>
      </c>
      <c r="V104" s="38">
        <f t="shared" si="168"/>
        <v>-0.10279366891320285</v>
      </c>
      <c r="W104" s="38">
        <f t="shared" si="168"/>
        <v>1.1219753457210935E-2</v>
      </c>
      <c r="X104" s="38">
        <f t="shared" si="168"/>
        <v>8.4236510168684831E-3</v>
      </c>
      <c r="Y104" s="38">
        <f t="shared" si="168"/>
        <v>-2.2548075792185984E-2</v>
      </c>
      <c r="Z104" s="38">
        <f t="shared" si="168"/>
        <v>-2.4002458432646145E-2</v>
      </c>
      <c r="AA104" s="38">
        <f t="shared" si="168"/>
        <v>-2.000000000000024E-2</v>
      </c>
      <c r="AB104" s="38">
        <f t="shared" si="168"/>
        <v>-1.4999999999999902E-2</v>
      </c>
      <c r="AC104" s="39">
        <f t="shared" ref="AC104:AH104" si="169">+AC103/AB103-1</f>
        <v>-1.0000000000000009E-2</v>
      </c>
      <c r="AD104" s="39">
        <f t="shared" si="169"/>
        <v>-1.0000000000000009E-2</v>
      </c>
      <c r="AE104" s="39">
        <f t="shared" si="169"/>
        <v>-1.000000000000012E-2</v>
      </c>
      <c r="AF104" s="39">
        <f t="shared" si="169"/>
        <v>-9.9999999999997868E-3</v>
      </c>
      <c r="AG104" s="39">
        <f t="shared" si="169"/>
        <v>-1.000000000000012E-2</v>
      </c>
      <c r="AH104" s="1110">
        <f t="shared" si="169"/>
        <v>-1.0000000000000009E-2</v>
      </c>
      <c r="AI104" s="38"/>
      <c r="AJ104" s="38"/>
      <c r="AK104" s="38"/>
      <c r="AL104" s="38"/>
      <c r="AM104" s="38"/>
      <c r="AN104" s="38"/>
      <c r="AO104" s="38"/>
      <c r="AP104" s="38"/>
      <c r="AQ104" s="38"/>
      <c r="AR104" s="38"/>
      <c r="AS104" s="38"/>
      <c r="AT104" s="38"/>
      <c r="AU104" s="38"/>
      <c r="AV104" s="38"/>
      <c r="AW104" s="38"/>
      <c r="AX104" s="38"/>
      <c r="AY104" s="38"/>
      <c r="AZ104" s="314"/>
      <c r="BA104" s="877"/>
      <c r="BB104" s="877"/>
      <c r="BC104" s="877"/>
      <c r="BD104" s="38"/>
      <c r="BE104" s="314"/>
      <c r="BF104" s="1613"/>
      <c r="BG104" s="1613"/>
      <c r="BH104" s="1613"/>
      <c r="BI104" s="38"/>
      <c r="BJ104" s="314"/>
      <c r="BK104" s="314"/>
      <c r="BL104" s="314"/>
      <c r="BM104" s="314"/>
      <c r="BN104" s="314"/>
      <c r="BO104" s="314"/>
      <c r="BP104" s="314"/>
      <c r="BQ104" s="314"/>
      <c r="BR104" s="314"/>
      <c r="BS104" s="314"/>
      <c r="BT104" s="2489"/>
      <c r="BU104" s="314"/>
      <c r="BV104" s="314"/>
      <c r="BW104" s="314"/>
      <c r="BX104" s="314"/>
      <c r="BY104" s="314"/>
      <c r="BZ104" s="314"/>
      <c r="CA104" s="314"/>
      <c r="CB104" s="314"/>
      <c r="CC104" s="314"/>
    </row>
    <row r="105" spans="1:81" hidden="1" outlineLevel="1">
      <c r="A105" s="483"/>
      <c r="B105" s="483"/>
      <c r="C105" s="483"/>
      <c r="D105" s="483"/>
      <c r="E105" s="483"/>
      <c r="F105" s="314"/>
      <c r="G105" s="314"/>
      <c r="H105" s="314"/>
      <c r="I105" s="314"/>
      <c r="J105" s="314"/>
      <c r="K105" s="314"/>
      <c r="L105" s="314"/>
      <c r="M105" s="314"/>
      <c r="N105" s="314"/>
      <c r="O105" s="314"/>
      <c r="P105" s="314"/>
      <c r="Q105" s="314"/>
      <c r="R105" s="314"/>
      <c r="S105" s="314"/>
      <c r="T105" s="314"/>
      <c r="U105" s="314"/>
      <c r="V105" s="314"/>
      <c r="W105" s="314"/>
      <c r="X105" s="314"/>
      <c r="Y105" s="314"/>
      <c r="Z105" s="314"/>
      <c r="AA105" s="314"/>
      <c r="AB105" s="314"/>
      <c r="AC105" s="513"/>
      <c r="AD105" s="513"/>
      <c r="AE105" s="513"/>
      <c r="AF105" s="513"/>
      <c r="AG105" s="513"/>
      <c r="AH105" s="1628"/>
      <c r="AI105" s="314"/>
      <c r="AJ105" s="314"/>
      <c r="AK105" s="314"/>
      <c r="AL105" s="314"/>
      <c r="AM105" s="314"/>
      <c r="AN105" s="314"/>
      <c r="AO105" s="314"/>
      <c r="AP105" s="314"/>
      <c r="AQ105" s="314"/>
      <c r="AR105" s="314"/>
      <c r="AS105" s="314"/>
      <c r="AT105" s="314"/>
      <c r="AU105" s="314"/>
      <c r="AV105" s="314"/>
      <c r="AW105" s="314"/>
      <c r="AX105" s="314"/>
      <c r="AY105" s="314"/>
      <c r="AZ105" s="314"/>
      <c r="BA105" s="997"/>
      <c r="BB105" s="877"/>
      <c r="BC105" s="877"/>
      <c r="BD105" s="38"/>
      <c r="BE105" s="314"/>
      <c r="BF105" s="997"/>
      <c r="BG105" s="997"/>
      <c r="BH105" s="997"/>
      <c r="BI105" s="314"/>
      <c r="BJ105" s="314"/>
      <c r="BK105" s="314"/>
      <c r="BL105" s="314"/>
      <c r="BM105" s="314"/>
      <c r="BN105" s="314"/>
      <c r="BO105" s="314"/>
      <c r="BP105" s="314"/>
      <c r="BQ105" s="314"/>
      <c r="BR105" s="314"/>
      <c r="BS105" s="314"/>
      <c r="BT105" s="2489"/>
      <c r="BU105" s="314"/>
      <c r="BV105" s="314"/>
      <c r="BW105" s="314"/>
      <c r="BX105" s="314"/>
      <c r="BY105" s="314"/>
      <c r="BZ105" s="314"/>
      <c r="CA105" s="314"/>
      <c r="CB105" s="314"/>
      <c r="CC105" s="314"/>
    </row>
    <row r="106" spans="1:81" hidden="1" outlineLevel="1">
      <c r="A106" s="483" t="s">
        <v>1109</v>
      </c>
      <c r="B106" s="518">
        <v>11.1</v>
      </c>
      <c r="C106" s="518">
        <v>9.6999999999999993</v>
      </c>
      <c r="D106" s="518">
        <v>9.6</v>
      </c>
      <c r="E106" s="519">
        <v>9.6999999999999993</v>
      </c>
      <c r="F106" s="519">
        <f>34.6/4</f>
        <v>8.65</v>
      </c>
      <c r="G106" s="145">
        <f>+F106-0.1</f>
        <v>8.5500000000000007</v>
      </c>
      <c r="H106" s="472">
        <v>8.6999999999999993</v>
      </c>
      <c r="I106" s="472">
        <v>8.8000000000000007</v>
      </c>
      <c r="J106" s="472">
        <v>8.6</v>
      </c>
      <c r="K106" s="145">
        <f>J106</f>
        <v>8.6</v>
      </c>
      <c r="L106" s="145">
        <f>K106*0.97</f>
        <v>8.3419999999999987</v>
      </c>
      <c r="M106" s="145">
        <f>L106*0.97</f>
        <v>8.0917399999999979</v>
      </c>
      <c r="N106" s="145">
        <f t="shared" ref="N106:W106" si="170">M106</f>
        <v>8.0917399999999979</v>
      </c>
      <c r="O106" s="145">
        <f t="shared" si="170"/>
        <v>8.0917399999999979</v>
      </c>
      <c r="P106" s="145">
        <f t="shared" si="170"/>
        <v>8.0917399999999979</v>
      </c>
      <c r="Q106" s="145">
        <f t="shared" si="170"/>
        <v>8.0917399999999979</v>
      </c>
      <c r="R106" s="145">
        <f t="shared" si="170"/>
        <v>8.0917399999999979</v>
      </c>
      <c r="S106" s="145">
        <f t="shared" si="170"/>
        <v>8.0917399999999979</v>
      </c>
      <c r="T106" s="145">
        <f t="shared" si="170"/>
        <v>8.0917399999999979</v>
      </c>
      <c r="U106" s="145">
        <f t="shared" si="170"/>
        <v>8.0917399999999979</v>
      </c>
      <c r="V106" s="145">
        <f t="shared" si="170"/>
        <v>8.0917399999999979</v>
      </c>
      <c r="W106" s="145">
        <f t="shared" si="170"/>
        <v>8.0917399999999979</v>
      </c>
      <c r="X106" s="145">
        <f t="shared" ref="X106:AD106" si="171">W106</f>
        <v>8.0917399999999979</v>
      </c>
      <c r="Y106" s="145">
        <f t="shared" si="171"/>
        <v>8.0917399999999979</v>
      </c>
      <c r="Z106" s="145">
        <f t="shared" si="171"/>
        <v>8.0917399999999979</v>
      </c>
      <c r="AA106" s="145">
        <f t="shared" si="171"/>
        <v>8.0917399999999979</v>
      </c>
      <c r="AB106" s="145">
        <f t="shared" si="171"/>
        <v>8.0917399999999979</v>
      </c>
      <c r="AC106" s="54">
        <f t="shared" si="171"/>
        <v>8.0917399999999979</v>
      </c>
      <c r="AD106" s="54">
        <f t="shared" si="171"/>
        <v>8.0917399999999979</v>
      </c>
      <c r="AE106" s="54">
        <f>AD106</f>
        <v>8.0917399999999979</v>
      </c>
      <c r="AF106" s="54">
        <f>AE106</f>
        <v>8.0917399999999979</v>
      </c>
      <c r="AG106" s="54">
        <f>AF106</f>
        <v>8.0917399999999979</v>
      </c>
      <c r="AH106" s="1146">
        <f>AG106</f>
        <v>8.0917399999999979</v>
      </c>
      <c r="AI106" s="145"/>
      <c r="AJ106" s="145"/>
      <c r="AK106" s="145"/>
      <c r="AL106" s="145"/>
      <c r="AM106" s="145"/>
      <c r="AN106" s="145"/>
      <c r="AO106" s="145"/>
      <c r="AP106" s="145"/>
      <c r="AQ106" s="145"/>
      <c r="AR106" s="145"/>
      <c r="AS106" s="145"/>
      <c r="AT106" s="145"/>
      <c r="AU106" s="145"/>
      <c r="AV106" s="145"/>
      <c r="AW106" s="145"/>
      <c r="AX106" s="145"/>
      <c r="AY106" s="145"/>
      <c r="AZ106" s="314"/>
      <c r="BA106" s="915"/>
      <c r="BB106" s="877"/>
      <c r="BC106" s="877"/>
      <c r="BD106" s="38"/>
      <c r="BE106" s="314"/>
      <c r="BF106" s="915"/>
      <c r="BG106" s="915"/>
      <c r="BH106" s="915"/>
      <c r="BI106" s="145"/>
      <c r="BJ106" s="314"/>
      <c r="BK106" s="314"/>
      <c r="BL106" s="314"/>
      <c r="BM106" s="314"/>
      <c r="BN106" s="314"/>
      <c r="BO106" s="314"/>
      <c r="BP106" s="314"/>
      <c r="BQ106" s="314"/>
      <c r="BR106" s="314"/>
      <c r="BS106" s="314"/>
      <c r="BT106" s="2489"/>
      <c r="BU106" s="314"/>
      <c r="BV106" s="314"/>
      <c r="BW106" s="314"/>
      <c r="BX106" s="314"/>
      <c r="BY106" s="314"/>
      <c r="BZ106" s="314"/>
      <c r="CA106" s="314"/>
      <c r="CB106" s="314"/>
      <c r="CC106" s="314"/>
    </row>
    <row r="107" spans="1:81" hidden="1" outlineLevel="1">
      <c r="A107" s="508" t="s">
        <v>1110</v>
      </c>
      <c r="B107" s="508"/>
      <c r="C107" s="508"/>
      <c r="D107" s="508"/>
      <c r="E107" s="517">
        <f t="shared" ref="E107:Z107" si="172">E106/100*E133</f>
        <v>9166.4999999999982</v>
      </c>
      <c r="F107" s="517">
        <f t="shared" si="172"/>
        <v>8295.35</v>
      </c>
      <c r="G107" s="517">
        <f t="shared" si="172"/>
        <v>8322.44175</v>
      </c>
      <c r="H107" s="517">
        <f t="shared" si="172"/>
        <v>8595.4762424999972</v>
      </c>
      <c r="I107" s="517">
        <f t="shared" si="172"/>
        <v>8824.6889422999975</v>
      </c>
      <c r="J107" s="517">
        <f t="shared" si="172"/>
        <v>8753.4897474246191</v>
      </c>
      <c r="K107" s="517">
        <f t="shared" si="172"/>
        <v>8884.7920936359878</v>
      </c>
      <c r="L107" s="517">
        <f t="shared" si="172"/>
        <v>8747.5220557893117</v>
      </c>
      <c r="M107" s="517">
        <f t="shared" si="172"/>
        <v>8612.3728400273631</v>
      </c>
      <c r="N107" s="517">
        <f t="shared" si="172"/>
        <v>8741.5584326277731</v>
      </c>
      <c r="O107" s="517">
        <f t="shared" si="172"/>
        <v>8872.6818091171899</v>
      </c>
      <c r="P107" s="517">
        <f t="shared" si="172"/>
        <v>9005.7720362539476</v>
      </c>
      <c r="Q107" s="517">
        <f t="shared" si="172"/>
        <v>9140.8586167977555</v>
      </c>
      <c r="R107" s="517">
        <f t="shared" si="172"/>
        <v>9277.9714960497204</v>
      </c>
      <c r="S107" s="517">
        <f t="shared" si="172"/>
        <v>9417.1410684904658</v>
      </c>
      <c r="T107" s="517">
        <f t="shared" si="172"/>
        <v>9558.3981845178223</v>
      </c>
      <c r="U107" s="517">
        <f t="shared" si="172"/>
        <v>9701.7741572855884</v>
      </c>
      <c r="V107" s="517">
        <f t="shared" si="172"/>
        <v>9847.3007696448713</v>
      </c>
      <c r="W107" s="517">
        <f t="shared" si="172"/>
        <v>9995.0102811895431</v>
      </c>
      <c r="X107" s="517">
        <f t="shared" si="172"/>
        <v>10144.935435407386</v>
      </c>
      <c r="Y107" s="517">
        <f t="shared" si="172"/>
        <v>10297.109466938495</v>
      </c>
      <c r="Z107" s="517">
        <f t="shared" si="172"/>
        <v>10451.56610894257</v>
      </c>
      <c r="AA107" s="517">
        <f t="shared" ref="AA107:AF107" si="173">AA106/100*AA133</f>
        <v>10608.339600576708</v>
      </c>
      <c r="AB107" s="517">
        <f t="shared" si="173"/>
        <v>10767.464694585358</v>
      </c>
      <c r="AC107" s="527">
        <f t="shared" si="173"/>
        <v>10928.976665004138</v>
      </c>
      <c r="AD107" s="527">
        <f t="shared" si="173"/>
        <v>11092.911314979199</v>
      </c>
      <c r="AE107" s="527">
        <f t="shared" si="173"/>
        <v>11259.304984703886</v>
      </c>
      <c r="AF107" s="527">
        <f t="shared" si="173"/>
        <v>11428.194559474441</v>
      </c>
      <c r="AG107" s="527">
        <f>AG106/100*AG133</f>
        <v>11599.617477866557</v>
      </c>
      <c r="AH107" s="2221">
        <f>AH106/100*AH133</f>
        <v>11773.611740034554</v>
      </c>
      <c r="AI107" s="517"/>
      <c r="AJ107" s="517"/>
      <c r="AK107" s="517"/>
      <c r="AL107" s="517"/>
      <c r="AM107" s="517"/>
      <c r="AN107" s="517"/>
      <c r="AO107" s="517"/>
      <c r="AP107" s="517"/>
      <c r="AQ107" s="517"/>
      <c r="AR107" s="517"/>
      <c r="AS107" s="517"/>
      <c r="AT107" s="517"/>
      <c r="AU107" s="517"/>
      <c r="AV107" s="517"/>
      <c r="AW107" s="517"/>
      <c r="AX107" s="517"/>
      <c r="AY107" s="517"/>
      <c r="AZ107" s="314"/>
      <c r="BA107" s="1430"/>
      <c r="BB107" s="877"/>
      <c r="BC107" s="877"/>
      <c r="BD107" s="38"/>
      <c r="BE107" s="314"/>
      <c r="BF107" s="1430"/>
      <c r="BG107" s="1430"/>
      <c r="BH107" s="1430"/>
      <c r="BI107" s="517"/>
      <c r="BJ107" s="314"/>
      <c r="BK107" s="314"/>
      <c r="BL107" s="314"/>
      <c r="BM107" s="314"/>
      <c r="BN107" s="314"/>
      <c r="BO107" s="314"/>
      <c r="BP107" s="314"/>
      <c r="BQ107" s="314"/>
      <c r="BR107" s="314"/>
      <c r="BS107" s="314"/>
      <c r="BT107" s="2489"/>
      <c r="BU107" s="314"/>
      <c r="BV107" s="314"/>
      <c r="BW107" s="314"/>
      <c r="BX107" s="314"/>
      <c r="BY107" s="314"/>
      <c r="BZ107" s="314"/>
      <c r="CA107" s="314"/>
      <c r="CB107" s="314"/>
      <c r="CC107" s="314"/>
    </row>
    <row r="108" spans="1:81" hidden="1" outlineLevel="1">
      <c r="A108" s="483" t="s">
        <v>1111</v>
      </c>
      <c r="B108" s="483"/>
      <c r="C108" s="483"/>
      <c r="D108" s="483"/>
      <c r="E108" s="520">
        <f t="shared" ref="E108:AB108" si="174">+E103/E107</f>
        <v>6.2660751290297858</v>
      </c>
      <c r="F108" s="520">
        <f t="shared" si="174"/>
        <v>6.7984132900408367</v>
      </c>
      <c r="G108" s="520">
        <f t="shared" si="174"/>
        <v>7.1028433751208997</v>
      </c>
      <c r="H108" s="520">
        <f t="shared" si="174"/>
        <v>7.5992197875038645</v>
      </c>
      <c r="I108" s="520">
        <f t="shared" si="174"/>
        <v>7.4030386268129806</v>
      </c>
      <c r="J108" s="520">
        <f t="shared" si="174"/>
        <v>8.5168695649890722</v>
      </c>
      <c r="K108" s="520">
        <f t="shared" si="174"/>
        <v>8.8606809515122098</v>
      </c>
      <c r="L108" s="520">
        <f t="shared" si="174"/>
        <v>9.4060874599251854</v>
      </c>
      <c r="M108" s="520">
        <f t="shared" si="174"/>
        <v>9.4652053684470374</v>
      </c>
      <c r="N108" s="520">
        <f t="shared" si="174"/>
        <v>8.6770360316845405</v>
      </c>
      <c r="O108" s="520">
        <f t="shared" si="174"/>
        <v>7.7305907340983415</v>
      </c>
      <c r="P108" s="520">
        <f t="shared" si="174"/>
        <v>6.1298703805277546</v>
      </c>
      <c r="Q108" s="520">
        <f t="shared" si="174"/>
        <v>6.1702380695516421</v>
      </c>
      <c r="R108" s="520">
        <f t="shared" si="174"/>
        <v>6.2287826371265584</v>
      </c>
      <c r="S108" s="520">
        <f t="shared" si="174"/>
        <v>6.2880317524844251</v>
      </c>
      <c r="T108" s="520">
        <f t="shared" si="174"/>
        <v>5.9535388822583162</v>
      </c>
      <c r="U108" s="520">
        <f t="shared" si="174"/>
        <v>5.9383441663197694</v>
      </c>
      <c r="V108" s="520">
        <f t="shared" si="174"/>
        <v>5.2491822484674344</v>
      </c>
      <c r="W108" s="520">
        <f t="shared" si="174"/>
        <v>5.2296322947263141</v>
      </c>
      <c r="X108" s="520">
        <f t="shared" si="174"/>
        <v>5.1957486621907716</v>
      </c>
      <c r="Y108" s="520">
        <f t="shared" si="174"/>
        <v>5.0035414064616219</v>
      </c>
      <c r="Z108" s="520">
        <f t="shared" si="174"/>
        <v>4.8112749870315312</v>
      </c>
      <c r="AA108" s="520">
        <f t="shared" si="174"/>
        <v>4.6453689529959599</v>
      </c>
      <c r="AB108" s="520">
        <f t="shared" si="174"/>
        <v>4.5080674075872134</v>
      </c>
      <c r="AC108" s="528">
        <f t="shared" ref="AC108:AH108" si="175">+AC103/AC107</f>
        <v>4.3970312645431928</v>
      </c>
      <c r="AD108" s="528">
        <f t="shared" si="175"/>
        <v>4.2887300018697161</v>
      </c>
      <c r="AE108" s="528">
        <f t="shared" si="175"/>
        <v>4.1830962579812994</v>
      </c>
      <c r="AF108" s="528">
        <f t="shared" si="175"/>
        <v>4.0800643304448156</v>
      </c>
      <c r="AG108" s="528">
        <f t="shared" si="175"/>
        <v>3.9795701351136628</v>
      </c>
      <c r="AH108" s="2222">
        <f t="shared" si="175"/>
        <v>3.8815511662684994</v>
      </c>
      <c r="AI108" s="520"/>
      <c r="AJ108" s="520"/>
      <c r="AK108" s="520"/>
      <c r="AL108" s="520"/>
      <c r="AM108" s="520"/>
      <c r="AN108" s="520"/>
      <c r="AO108" s="520"/>
      <c r="AP108" s="520"/>
      <c r="AQ108" s="520"/>
      <c r="AR108" s="520"/>
      <c r="AS108" s="520"/>
      <c r="AT108" s="520"/>
      <c r="AU108" s="520"/>
      <c r="AV108" s="520"/>
      <c r="AW108" s="520"/>
      <c r="AX108" s="520"/>
      <c r="AY108" s="520"/>
      <c r="AZ108" s="314"/>
      <c r="BA108" s="1431"/>
      <c r="BB108" s="877"/>
      <c r="BC108" s="877"/>
      <c r="BD108" s="38"/>
      <c r="BE108" s="314"/>
      <c r="BF108" s="1431"/>
      <c r="BG108" s="1431"/>
      <c r="BH108" s="1431"/>
      <c r="BI108" s="520"/>
      <c r="BJ108" s="314"/>
      <c r="BK108" s="314"/>
      <c r="BL108" s="314"/>
      <c r="BM108" s="314"/>
      <c r="BN108" s="314"/>
      <c r="BO108" s="314"/>
      <c r="BP108" s="314"/>
      <c r="BQ108" s="314"/>
      <c r="BR108" s="314"/>
      <c r="BS108" s="314"/>
      <c r="BT108" s="2489"/>
      <c r="BU108" s="314"/>
      <c r="BV108" s="314"/>
      <c r="BW108" s="314"/>
      <c r="BX108" s="314"/>
      <c r="BY108" s="314"/>
      <c r="BZ108" s="314"/>
      <c r="CA108" s="314"/>
      <c r="CB108" s="314"/>
      <c r="CC108" s="314"/>
    </row>
    <row r="109" spans="1:81" hidden="1" outlineLevel="1">
      <c r="A109" s="508" t="s">
        <v>676</v>
      </c>
      <c r="B109" s="508"/>
      <c r="C109" s="508"/>
      <c r="D109" s="508"/>
      <c r="E109" s="508"/>
      <c r="F109" s="38">
        <f t="shared" ref="F109:AB109" si="176">+F108/E108-1</f>
        <v>8.4955598209285332E-2</v>
      </c>
      <c r="G109" s="38">
        <f t="shared" si="176"/>
        <v>4.4779579012360182E-2</v>
      </c>
      <c r="H109" s="38">
        <f t="shared" si="176"/>
        <v>6.9884183863833993E-2</v>
      </c>
      <c r="I109" s="38">
        <f t="shared" si="176"/>
        <v>-2.5815960871862664E-2</v>
      </c>
      <c r="J109" s="38">
        <f t="shared" si="176"/>
        <v>0.15045591335183905</v>
      </c>
      <c r="K109" s="38">
        <f t="shared" si="176"/>
        <v>4.0368281315058319E-2</v>
      </c>
      <c r="L109" s="38">
        <f t="shared" si="176"/>
        <v>6.1553565848671443E-2</v>
      </c>
      <c r="M109" s="38">
        <f t="shared" si="176"/>
        <v>6.2850689804581084E-3</v>
      </c>
      <c r="N109" s="38">
        <f t="shared" si="176"/>
        <v>-8.3270178097764047E-2</v>
      </c>
      <c r="O109" s="38">
        <f t="shared" si="176"/>
        <v>-0.10907472253546213</v>
      </c>
      <c r="P109" s="38">
        <f t="shared" si="176"/>
        <v>-0.207063135099117</v>
      </c>
      <c r="Q109" s="38">
        <f t="shared" si="176"/>
        <v>6.5854066265609301E-3</v>
      </c>
      <c r="R109" s="38">
        <f t="shared" si="176"/>
        <v>9.4882185930258434E-3</v>
      </c>
      <c r="S109" s="38">
        <f t="shared" si="176"/>
        <v>9.5121500957047189E-3</v>
      </c>
      <c r="T109" s="38">
        <f t="shared" si="176"/>
        <v>-5.3195162396237783E-2</v>
      </c>
      <c r="U109" s="38">
        <f t="shared" si="176"/>
        <v>-2.552215789473955E-3</v>
      </c>
      <c r="V109" s="38">
        <f t="shared" si="176"/>
        <v>-0.11605287577655443</v>
      </c>
      <c r="W109" s="38">
        <f t="shared" si="176"/>
        <v>-3.7243808303337733E-3</v>
      </c>
      <c r="X109" s="38">
        <f t="shared" si="176"/>
        <v>-6.4791615597356023E-3</v>
      </c>
      <c r="Y109" s="38">
        <f t="shared" si="176"/>
        <v>-3.6993178120380055E-2</v>
      </c>
      <c r="Z109" s="38">
        <f t="shared" si="176"/>
        <v>-3.8426067421326038E-2</v>
      </c>
      <c r="AA109" s="38">
        <f t="shared" si="176"/>
        <v>-3.4482758620689946E-2</v>
      </c>
      <c r="AB109" s="38">
        <f t="shared" si="176"/>
        <v>-2.9556650246305161E-2</v>
      </c>
      <c r="AC109" s="39">
        <f t="shared" ref="AC109:AH109" si="177">+AC108/AB108-1</f>
        <v>-2.4630541871921263E-2</v>
      </c>
      <c r="AD109" s="39">
        <f t="shared" si="177"/>
        <v>-2.463054187192093E-2</v>
      </c>
      <c r="AE109" s="39">
        <f t="shared" si="177"/>
        <v>-2.4630541871921152E-2</v>
      </c>
      <c r="AF109" s="39">
        <f t="shared" si="177"/>
        <v>-2.4630541871920819E-2</v>
      </c>
      <c r="AG109" s="39">
        <f t="shared" si="177"/>
        <v>-2.4630541871921152E-2</v>
      </c>
      <c r="AH109" s="1110">
        <f t="shared" si="177"/>
        <v>-2.4630541871921041E-2</v>
      </c>
      <c r="AI109" s="38"/>
      <c r="AJ109" s="38"/>
      <c r="AK109" s="38"/>
      <c r="AL109" s="38"/>
      <c r="AM109" s="38"/>
      <c r="AN109" s="38"/>
      <c r="AO109" s="38"/>
      <c r="AP109" s="38"/>
      <c r="AQ109" s="38"/>
      <c r="AR109" s="38"/>
      <c r="AS109" s="38"/>
      <c r="AT109" s="38"/>
      <c r="AU109" s="38"/>
      <c r="AV109" s="38"/>
      <c r="AW109" s="38"/>
      <c r="AX109" s="38"/>
      <c r="AY109" s="38"/>
      <c r="AZ109" s="314"/>
      <c r="BA109" s="877"/>
      <c r="BB109" s="877"/>
      <c r="BC109" s="877"/>
      <c r="BD109" s="38"/>
      <c r="BE109" s="314"/>
      <c r="BF109" s="1613"/>
      <c r="BG109" s="1613"/>
      <c r="BH109" s="1613"/>
      <c r="BI109" s="38"/>
      <c r="BJ109" s="314"/>
      <c r="BK109" s="314"/>
      <c r="BL109" s="314"/>
      <c r="BM109" s="314"/>
      <c r="BN109" s="314"/>
      <c r="BO109" s="314"/>
      <c r="BP109" s="314"/>
      <c r="BQ109" s="314"/>
      <c r="BR109" s="314"/>
      <c r="BS109" s="314"/>
      <c r="BT109" s="2489"/>
      <c r="BU109" s="314"/>
      <c r="BV109" s="314"/>
      <c r="BW109" s="314"/>
      <c r="BX109" s="314"/>
      <c r="BY109" s="314"/>
      <c r="BZ109" s="314"/>
      <c r="CA109" s="314"/>
      <c r="CB109" s="314"/>
      <c r="CC109" s="314"/>
    </row>
    <row r="110" spans="1:81" hidden="1" outlineLevel="1">
      <c r="A110" s="483"/>
      <c r="B110" s="483"/>
      <c r="C110" s="483"/>
      <c r="D110" s="483"/>
      <c r="E110" s="483"/>
      <c r="F110" s="314"/>
      <c r="G110" s="314"/>
      <c r="H110" s="314"/>
      <c r="I110" s="314"/>
      <c r="J110" s="314"/>
      <c r="K110" s="314"/>
      <c r="L110" s="314"/>
      <c r="M110" s="314"/>
      <c r="N110" s="314"/>
      <c r="O110" s="314"/>
      <c r="P110" s="314"/>
      <c r="Q110" s="314"/>
      <c r="R110" s="314"/>
      <c r="S110" s="314"/>
      <c r="T110" s="314"/>
      <c r="U110" s="314"/>
      <c r="V110" s="314"/>
      <c r="W110" s="314"/>
      <c r="X110" s="314"/>
      <c r="Y110" s="314"/>
      <c r="Z110" s="314"/>
      <c r="AA110" s="314"/>
      <c r="AB110" s="314"/>
      <c r="AC110" s="513"/>
      <c r="AD110" s="513"/>
      <c r="AE110" s="513"/>
      <c r="AF110" s="513"/>
      <c r="AG110" s="513"/>
      <c r="AH110" s="1628"/>
      <c r="AI110" s="314"/>
      <c r="AJ110" s="314"/>
      <c r="AK110" s="314"/>
      <c r="AL110" s="314"/>
      <c r="AM110" s="314"/>
      <c r="AN110" s="314"/>
      <c r="AO110" s="314"/>
      <c r="AP110" s="314"/>
      <c r="AQ110" s="314"/>
      <c r="AR110" s="314"/>
      <c r="AS110" s="314"/>
      <c r="AT110" s="314"/>
      <c r="AU110" s="314"/>
      <c r="AV110" s="314"/>
      <c r="AW110" s="314"/>
      <c r="AX110" s="314"/>
      <c r="AY110" s="314"/>
      <c r="AZ110" s="314"/>
      <c r="BA110" s="997"/>
      <c r="BB110" s="877"/>
      <c r="BC110" s="877"/>
      <c r="BD110" s="38"/>
      <c r="BE110" s="314"/>
      <c r="BF110" s="997"/>
      <c r="BG110" s="997"/>
      <c r="BH110" s="997"/>
      <c r="BI110" s="314"/>
      <c r="BJ110" s="314"/>
      <c r="BK110" s="314"/>
      <c r="BL110" s="314"/>
      <c r="BM110" s="314"/>
      <c r="BN110" s="314"/>
      <c r="BO110" s="314"/>
      <c r="BP110" s="314"/>
      <c r="BQ110" s="314"/>
      <c r="BR110" s="314"/>
      <c r="BS110" s="314"/>
      <c r="BT110" s="2489"/>
      <c r="BU110" s="314"/>
      <c r="BV110" s="314"/>
      <c r="BW110" s="314"/>
      <c r="BX110" s="314"/>
      <c r="BY110" s="314"/>
      <c r="BZ110" s="314"/>
      <c r="CA110" s="314"/>
      <c r="CB110" s="314"/>
      <c r="CC110" s="314"/>
    </row>
    <row r="111" spans="1:81" hidden="1" outlineLevel="1">
      <c r="A111" s="508" t="s">
        <v>1112</v>
      </c>
      <c r="B111" s="508"/>
      <c r="C111" s="508"/>
      <c r="D111" s="521" t="s">
        <v>1114</v>
      </c>
      <c r="E111" s="519">
        <f>15.1/4</f>
        <v>3.7749999999999999</v>
      </c>
      <c r="F111" s="519">
        <f>15.1/4</f>
        <v>3.7749999999999999</v>
      </c>
      <c r="G111" s="145">
        <f>+F111</f>
        <v>3.7749999999999999</v>
      </c>
      <c r="H111" s="145">
        <v>3.9</v>
      </c>
      <c r="I111" s="145">
        <f>+H111-0.1</f>
        <v>3.8</v>
      </c>
      <c r="J111" s="145">
        <f>+I111*1.12</f>
        <v>4.2560000000000002</v>
      </c>
      <c r="K111" s="145">
        <f>+J111-0.02</f>
        <v>4.2360000000000007</v>
      </c>
      <c r="L111" s="145">
        <f>+K111-0.1</f>
        <v>4.136000000000001</v>
      </c>
      <c r="M111" s="145">
        <f t="shared" ref="M111:W111" si="178">+L111</f>
        <v>4.136000000000001</v>
      </c>
      <c r="N111" s="145">
        <f t="shared" si="178"/>
        <v>4.136000000000001</v>
      </c>
      <c r="O111" s="145">
        <f t="shared" si="178"/>
        <v>4.136000000000001</v>
      </c>
      <c r="P111" s="145">
        <f t="shared" si="178"/>
        <v>4.136000000000001</v>
      </c>
      <c r="Q111" s="145">
        <f t="shared" si="178"/>
        <v>4.136000000000001</v>
      </c>
      <c r="R111" s="145">
        <f t="shared" si="178"/>
        <v>4.136000000000001</v>
      </c>
      <c r="S111" s="145">
        <f t="shared" si="178"/>
        <v>4.136000000000001</v>
      </c>
      <c r="T111" s="145">
        <f t="shared" si="178"/>
        <v>4.136000000000001</v>
      </c>
      <c r="U111" s="145">
        <f t="shared" si="178"/>
        <v>4.136000000000001</v>
      </c>
      <c r="V111" s="145">
        <f t="shared" si="178"/>
        <v>4.136000000000001</v>
      </c>
      <c r="W111" s="145">
        <f t="shared" si="178"/>
        <v>4.136000000000001</v>
      </c>
      <c r="X111" s="145">
        <f t="shared" ref="X111:AD111" si="179">+W111</f>
        <v>4.136000000000001</v>
      </c>
      <c r="Y111" s="145">
        <f t="shared" si="179"/>
        <v>4.136000000000001</v>
      </c>
      <c r="Z111" s="145">
        <f t="shared" si="179"/>
        <v>4.136000000000001</v>
      </c>
      <c r="AA111" s="145">
        <f t="shared" si="179"/>
        <v>4.136000000000001</v>
      </c>
      <c r="AB111" s="145">
        <f t="shared" si="179"/>
        <v>4.136000000000001</v>
      </c>
      <c r="AC111" s="54">
        <f t="shared" si="179"/>
        <v>4.136000000000001</v>
      </c>
      <c r="AD111" s="54">
        <f t="shared" si="179"/>
        <v>4.136000000000001</v>
      </c>
      <c r="AE111" s="54">
        <f>+AD111</f>
        <v>4.136000000000001</v>
      </c>
      <c r="AF111" s="54">
        <f>+AE111</f>
        <v>4.136000000000001</v>
      </c>
      <c r="AG111" s="54">
        <f>+AF111</f>
        <v>4.136000000000001</v>
      </c>
      <c r="AH111" s="1146">
        <f>+AG111</f>
        <v>4.136000000000001</v>
      </c>
      <c r="AI111" s="145"/>
      <c r="AJ111" s="145"/>
      <c r="AK111" s="145"/>
      <c r="AL111" s="145"/>
      <c r="AM111" s="145"/>
      <c r="AN111" s="145"/>
      <c r="AO111" s="145"/>
      <c r="AP111" s="145"/>
      <c r="AQ111" s="145"/>
      <c r="AR111" s="145"/>
      <c r="AS111" s="145"/>
      <c r="AT111" s="145"/>
      <c r="AU111" s="145"/>
      <c r="AV111" s="145"/>
      <c r="AW111" s="145"/>
      <c r="AX111" s="145"/>
      <c r="AY111" s="145"/>
      <c r="AZ111" s="314"/>
      <c r="BA111" s="915"/>
      <c r="BB111" s="877"/>
      <c r="BC111" s="877"/>
      <c r="BD111" s="38"/>
      <c r="BE111" s="314"/>
      <c r="BF111" s="915"/>
      <c r="BG111" s="915"/>
      <c r="BH111" s="915"/>
      <c r="BI111" s="145"/>
      <c r="BJ111" s="314"/>
      <c r="BK111" s="314"/>
      <c r="BL111" s="314"/>
      <c r="BM111" s="314"/>
      <c r="BN111" s="314"/>
      <c r="BO111" s="314"/>
      <c r="BP111" s="314"/>
      <c r="BQ111" s="314"/>
      <c r="BR111" s="314"/>
      <c r="BS111" s="314"/>
      <c r="BT111" s="2489"/>
      <c r="BU111" s="314"/>
      <c r="BV111" s="314"/>
      <c r="BW111" s="314"/>
      <c r="BX111" s="314"/>
      <c r="BY111" s="314"/>
      <c r="BZ111" s="314"/>
      <c r="CA111" s="314"/>
      <c r="CB111" s="314"/>
      <c r="CC111" s="314"/>
    </row>
    <row r="112" spans="1:81" hidden="1" outlineLevel="1">
      <c r="A112" s="508" t="s">
        <v>1115</v>
      </c>
      <c r="B112" s="508"/>
      <c r="C112" s="508"/>
      <c r="D112" s="508"/>
      <c r="E112" s="517">
        <f t="shared" ref="E112:AB112" si="180">E111/100*E135</f>
        <v>4573.3747499999999</v>
      </c>
      <c r="F112" s="517">
        <f t="shared" si="180"/>
        <v>4641.1284500000002</v>
      </c>
      <c r="G112" s="517">
        <f t="shared" si="180"/>
        <v>4710.7453767500001</v>
      </c>
      <c r="H112" s="517">
        <f t="shared" si="180"/>
        <v>4939.7312778449987</v>
      </c>
      <c r="I112" s="517">
        <f t="shared" si="180"/>
        <v>4885.2675740123477</v>
      </c>
      <c r="J112" s="517">
        <f t="shared" si="180"/>
        <v>5553.5721781372367</v>
      </c>
      <c r="K112" s="517">
        <f t="shared" si="180"/>
        <v>5610.3866829859435</v>
      </c>
      <c r="L112" s="517">
        <f t="shared" si="180"/>
        <v>5560.1104132772207</v>
      </c>
      <c r="M112" s="517">
        <f t="shared" si="180"/>
        <v>5643.51206947638</v>
      </c>
      <c r="N112" s="517">
        <f t="shared" si="180"/>
        <v>5728.1647505185247</v>
      </c>
      <c r="O112" s="517">
        <f t="shared" si="180"/>
        <v>5814.0872217763017</v>
      </c>
      <c r="P112" s="517">
        <f t="shared" si="180"/>
        <v>5901.2985301029466</v>
      </c>
      <c r="Q112" s="517">
        <f t="shared" si="180"/>
        <v>5989.8180080544907</v>
      </c>
      <c r="R112" s="517">
        <f t="shared" si="180"/>
        <v>6079.6652781753064</v>
      </c>
      <c r="S112" s="517">
        <f t="shared" si="180"/>
        <v>6170.8602573479347</v>
      </c>
      <c r="T112" s="517">
        <f t="shared" si="180"/>
        <v>6263.4231612081549</v>
      </c>
      <c r="U112" s="517">
        <f t="shared" si="180"/>
        <v>6357.3745086262752</v>
      </c>
      <c r="V112" s="517">
        <f t="shared" si="180"/>
        <v>6452.7351262556695</v>
      </c>
      <c r="W112" s="517">
        <f t="shared" si="180"/>
        <v>6549.5261531495025</v>
      </c>
      <c r="X112" s="517">
        <f t="shared" si="180"/>
        <v>6647.7690454467456</v>
      </c>
      <c r="Y112" s="517">
        <f t="shared" si="180"/>
        <v>6747.4855811284469</v>
      </c>
      <c r="Z112" s="517">
        <f t="shared" si="180"/>
        <v>6848.6978648453714</v>
      </c>
      <c r="AA112" s="517">
        <f t="shared" si="180"/>
        <v>6951.4283328180509</v>
      </c>
      <c r="AB112" s="517">
        <f t="shared" si="180"/>
        <v>7055.6997578103228</v>
      </c>
      <c r="AC112" s="527">
        <f t="shared" ref="AC112:AH112" si="181">AC111/100*AC135</f>
        <v>7161.5352541774773</v>
      </c>
      <c r="AD112" s="527">
        <f t="shared" si="181"/>
        <v>7268.9582829901374</v>
      </c>
      <c r="AE112" s="527">
        <f t="shared" si="181"/>
        <v>7377.9926572349896</v>
      </c>
      <c r="AF112" s="527">
        <f t="shared" si="181"/>
        <v>7488.6625470935132</v>
      </c>
      <c r="AG112" s="527">
        <f t="shared" si="181"/>
        <v>7600.9924852999138</v>
      </c>
      <c r="AH112" s="2221">
        <f t="shared" si="181"/>
        <v>7715.0073725794127</v>
      </c>
      <c r="AI112" s="517"/>
      <c r="AJ112" s="517"/>
      <c r="AK112" s="517"/>
      <c r="AL112" s="517"/>
      <c r="AM112" s="517"/>
      <c r="AN112" s="517"/>
      <c r="AO112" s="517"/>
      <c r="AP112" s="517"/>
      <c r="AQ112" s="517"/>
      <c r="AR112" s="517"/>
      <c r="AS112" s="517"/>
      <c r="AT112" s="517"/>
      <c r="AU112" s="517"/>
      <c r="AV112" s="517"/>
      <c r="AW112" s="517"/>
      <c r="AX112" s="517"/>
      <c r="AY112" s="517"/>
      <c r="AZ112" s="314"/>
      <c r="BA112" s="1430"/>
      <c r="BB112" s="877"/>
      <c r="BC112" s="877"/>
      <c r="BD112" s="38"/>
      <c r="BE112" s="314"/>
      <c r="BF112" s="1430"/>
      <c r="BG112" s="1430"/>
      <c r="BH112" s="1430"/>
      <c r="BI112" s="517"/>
      <c r="BJ112" s="314"/>
      <c r="BK112" s="314"/>
      <c r="BL112" s="314"/>
      <c r="BM112" s="314"/>
      <c r="BN112" s="314"/>
      <c r="BO112" s="314"/>
      <c r="BP112" s="314"/>
      <c r="BQ112" s="314"/>
      <c r="BR112" s="314"/>
      <c r="BS112" s="314"/>
      <c r="BT112" s="2489"/>
      <c r="BU112" s="314"/>
      <c r="BV112" s="314"/>
      <c r="BW112" s="314"/>
      <c r="BX112" s="314"/>
      <c r="BY112" s="314"/>
      <c r="BZ112" s="314"/>
      <c r="CA112" s="314"/>
      <c r="CB112" s="314"/>
      <c r="CC112" s="314"/>
    </row>
    <row r="113" spans="1:81" hidden="1" outlineLevel="1">
      <c r="A113" s="508" t="s">
        <v>1117</v>
      </c>
      <c r="B113" s="508"/>
      <c r="C113" s="508"/>
      <c r="D113" s="508"/>
      <c r="E113" s="520">
        <f t="shared" ref="E113:AB113" si="182">E103/E112</f>
        <v>12.559210825714976</v>
      </c>
      <c r="F113" s="520">
        <f t="shared" si="182"/>
        <v>12.151186568762228</v>
      </c>
      <c r="G113" s="520">
        <f t="shared" si="182"/>
        <v>12.548544979860461</v>
      </c>
      <c r="H113" s="520">
        <f t="shared" si="182"/>
        <v>13.223171357111008</v>
      </c>
      <c r="I113" s="520">
        <f t="shared" si="182"/>
        <v>13.372760472114756</v>
      </c>
      <c r="J113" s="520">
        <f t="shared" si="182"/>
        <v>13.424212025329389</v>
      </c>
      <c r="K113" s="520">
        <f t="shared" si="182"/>
        <v>14.032064545741388</v>
      </c>
      <c r="L113" s="520">
        <f t="shared" si="182"/>
        <v>14.7982596384955</v>
      </c>
      <c r="M113" s="520">
        <f t="shared" si="182"/>
        <v>14.444529689480738</v>
      </c>
      <c r="N113" s="520">
        <f t="shared" si="182"/>
        <v>13.241731129699239</v>
      </c>
      <c r="O113" s="520">
        <f t="shared" si="182"/>
        <v>11.797392980838104</v>
      </c>
      <c r="P113" s="520">
        <f t="shared" si="182"/>
        <v>9.3545878042294497</v>
      </c>
      <c r="Q113" s="520">
        <f t="shared" si="182"/>
        <v>9.416191568744166</v>
      </c>
      <c r="R113" s="520">
        <f t="shared" si="182"/>
        <v>9.5055344526622196</v>
      </c>
      <c r="S113" s="520">
        <f t="shared" si="182"/>
        <v>9.5959525231158374</v>
      </c>
      <c r="T113" s="520">
        <f t="shared" si="182"/>
        <v>9.0854942703020996</v>
      </c>
      <c r="U113" s="520">
        <f t="shared" si="182"/>
        <v>9.0623061283702615</v>
      </c>
      <c r="V113" s="520">
        <f t="shared" si="182"/>
        <v>8.0105994410053984</v>
      </c>
      <c r="W113" s="520">
        <f t="shared" si="182"/>
        <v>7.9807649180078357</v>
      </c>
      <c r="X113" s="520">
        <f t="shared" si="182"/>
        <v>7.9290562527337931</v>
      </c>
      <c r="Y113" s="520">
        <f t="shared" si="182"/>
        <v>7.6357352624498969</v>
      </c>
      <c r="Z113" s="520">
        <f t="shared" si="182"/>
        <v>7.3423239844436017</v>
      </c>
      <c r="AA113" s="520">
        <f t="shared" si="182"/>
        <v>7.0891403987731323</v>
      </c>
      <c r="AB113" s="520">
        <f t="shared" si="182"/>
        <v>6.8796091554596392</v>
      </c>
      <c r="AC113" s="528">
        <f t="shared" ref="AC113:AH113" si="183">AC103/AC112</f>
        <v>6.7101606540936389</v>
      </c>
      <c r="AD113" s="528">
        <f t="shared" si="183"/>
        <v>6.544885761135669</v>
      </c>
      <c r="AE113" s="528">
        <f t="shared" si="183"/>
        <v>6.3836816783490757</v>
      </c>
      <c r="AF113" s="528">
        <f t="shared" si="183"/>
        <v>6.2264481394734847</v>
      </c>
      <c r="AG113" s="528">
        <f t="shared" si="183"/>
        <v>6.0730873478608389</v>
      </c>
      <c r="AH113" s="2222">
        <f t="shared" si="183"/>
        <v>5.9235039156475171</v>
      </c>
      <c r="AI113" s="520"/>
      <c r="AJ113" s="520"/>
      <c r="AK113" s="520"/>
      <c r="AL113" s="520"/>
      <c r="AM113" s="520"/>
      <c r="AN113" s="520"/>
      <c r="AO113" s="520"/>
      <c r="AP113" s="520"/>
      <c r="AQ113" s="520"/>
      <c r="AR113" s="520"/>
      <c r="AS113" s="520"/>
      <c r="AT113" s="520"/>
      <c r="AU113" s="520"/>
      <c r="AV113" s="520"/>
      <c r="AW113" s="520"/>
      <c r="AX113" s="520"/>
      <c r="AY113" s="520"/>
      <c r="AZ113" s="314"/>
      <c r="BA113" s="1431"/>
      <c r="BB113" s="877"/>
      <c r="BC113" s="877"/>
      <c r="BD113" s="38"/>
      <c r="BE113" s="314"/>
      <c r="BF113" s="1431"/>
      <c r="BG113" s="1431"/>
      <c r="BH113" s="1431"/>
      <c r="BI113" s="520"/>
      <c r="BJ113" s="314"/>
      <c r="BK113" s="314"/>
      <c r="BL113" s="314"/>
      <c r="BM113" s="314"/>
      <c r="BN113" s="314"/>
      <c r="BO113" s="314"/>
      <c r="BP113" s="314"/>
      <c r="BQ113" s="314"/>
      <c r="BR113" s="314"/>
      <c r="BS113" s="314"/>
      <c r="BT113" s="2489"/>
      <c r="BU113" s="314"/>
      <c r="BV113" s="314"/>
      <c r="BW113" s="314"/>
      <c r="BX113" s="314"/>
      <c r="BY113" s="314"/>
      <c r="BZ113" s="314"/>
      <c r="CA113" s="314"/>
      <c r="CB113" s="314"/>
      <c r="CC113" s="314"/>
    </row>
    <row r="114" spans="1:81" hidden="1" outlineLevel="1">
      <c r="A114" s="508" t="s">
        <v>676</v>
      </c>
      <c r="B114" s="508"/>
      <c r="C114" s="508"/>
      <c r="D114" s="508"/>
      <c r="E114" s="508"/>
      <c r="F114" s="38">
        <f t="shared" ref="F114:AH114" si="184">F113/E113-1</f>
        <v>-3.2488049019554488E-2</v>
      </c>
      <c r="G114" s="38">
        <f t="shared" si="184"/>
        <v>3.2701202376379079E-2</v>
      </c>
      <c r="H114" s="38">
        <f t="shared" si="184"/>
        <v>5.3761322793461241E-2</v>
      </c>
      <c r="I114" s="38">
        <f t="shared" si="184"/>
        <v>1.1312650419772696E-2</v>
      </c>
      <c r="J114" s="38">
        <f t="shared" si="184"/>
        <v>3.8474893289177636E-3</v>
      </c>
      <c r="K114" s="38">
        <f t="shared" si="184"/>
        <v>4.5280312860455085E-2</v>
      </c>
      <c r="L114" s="38">
        <f t="shared" si="184"/>
        <v>5.4603161940745659E-2</v>
      </c>
      <c r="M114" s="38">
        <f t="shared" si="184"/>
        <v>-2.390348308895629E-2</v>
      </c>
      <c r="N114" s="38">
        <f t="shared" si="184"/>
        <v>-8.3270178097763825E-2</v>
      </c>
      <c r="O114" s="38">
        <f t="shared" si="184"/>
        <v>-0.10907472253546202</v>
      </c>
      <c r="P114" s="38">
        <f t="shared" si="184"/>
        <v>-0.207063135099117</v>
      </c>
      <c r="Q114" s="38">
        <f t="shared" si="184"/>
        <v>6.5854066265607081E-3</v>
      </c>
      <c r="R114" s="38">
        <f t="shared" si="184"/>
        <v>9.4882185930260654E-3</v>
      </c>
      <c r="S114" s="38">
        <f t="shared" si="184"/>
        <v>9.512150095704941E-3</v>
      </c>
      <c r="T114" s="38">
        <f t="shared" si="184"/>
        <v>-5.3195162396238116E-2</v>
      </c>
      <c r="U114" s="38">
        <f t="shared" si="184"/>
        <v>-2.552215789473733E-3</v>
      </c>
      <c r="V114" s="38">
        <f t="shared" si="184"/>
        <v>-0.11605287577655454</v>
      </c>
      <c r="W114" s="38">
        <f t="shared" si="184"/>
        <v>-3.7243808303337733E-3</v>
      </c>
      <c r="X114" s="38">
        <f t="shared" si="184"/>
        <v>-6.4791615597356023E-3</v>
      </c>
      <c r="Y114" s="38">
        <f t="shared" si="184"/>
        <v>-3.6993178120380277E-2</v>
      </c>
      <c r="Z114" s="38">
        <f t="shared" si="184"/>
        <v>-3.8426067421325927E-2</v>
      </c>
      <c r="AA114" s="38">
        <f t="shared" si="184"/>
        <v>-3.4482758620689724E-2</v>
      </c>
      <c r="AB114" s="38">
        <f t="shared" si="184"/>
        <v>-2.9556650246305605E-2</v>
      </c>
      <c r="AC114" s="38">
        <f t="shared" si="184"/>
        <v>-2.4630541871921041E-2</v>
      </c>
      <c r="AD114" s="38">
        <f t="shared" si="184"/>
        <v>-2.463054187192093E-2</v>
      </c>
      <c r="AE114" s="38">
        <f t="shared" si="184"/>
        <v>-2.4630541871921263E-2</v>
      </c>
      <c r="AF114" s="38">
        <f t="shared" si="184"/>
        <v>-2.4630541871920819E-2</v>
      </c>
      <c r="AG114" s="38">
        <f t="shared" si="184"/>
        <v>-2.463054187192093E-2</v>
      </c>
      <c r="AH114" s="1110">
        <f t="shared" si="184"/>
        <v>-2.4630541871921263E-2</v>
      </c>
      <c r="AI114" s="314"/>
      <c r="AJ114" s="314"/>
      <c r="AK114" s="314"/>
      <c r="AL114" s="314"/>
      <c r="AM114" s="314"/>
      <c r="AN114" s="314"/>
      <c r="AO114" s="314"/>
      <c r="AP114" s="314"/>
      <c r="AQ114" s="314"/>
      <c r="AR114" s="314"/>
      <c r="AS114" s="314"/>
      <c r="AT114" s="314"/>
      <c r="AU114" s="314"/>
      <c r="AV114" s="314"/>
      <c r="AW114" s="314"/>
      <c r="AX114" s="314"/>
      <c r="AY114" s="314"/>
      <c r="AZ114" s="314"/>
      <c r="BA114" s="997"/>
      <c r="BB114" s="877"/>
      <c r="BC114" s="877"/>
      <c r="BD114" s="38"/>
      <c r="BE114" s="314"/>
      <c r="BF114" s="997"/>
      <c r="BG114" s="997"/>
      <c r="BH114" s="997"/>
      <c r="BI114" s="314"/>
      <c r="BJ114" s="314"/>
      <c r="BK114" s="314"/>
      <c r="BL114" s="314"/>
      <c r="BM114" s="314"/>
      <c r="BN114" s="314"/>
      <c r="BO114" s="314"/>
      <c r="BP114" s="314"/>
      <c r="BQ114" s="314"/>
      <c r="BR114" s="314"/>
      <c r="BS114" s="314"/>
      <c r="BT114" s="2489"/>
      <c r="BU114" s="314"/>
      <c r="BV114" s="314"/>
      <c r="BW114" s="314"/>
      <c r="BX114" s="314"/>
      <c r="BY114" s="314"/>
      <c r="BZ114" s="314"/>
      <c r="CA114" s="314"/>
      <c r="CB114" s="314"/>
      <c r="CC114" s="314"/>
    </row>
    <row r="115" spans="1:81" hidden="1" outlineLevel="1">
      <c r="A115" s="508"/>
      <c r="B115" s="508"/>
      <c r="C115" s="508"/>
      <c r="D115" s="508"/>
      <c r="E115" s="508"/>
      <c r="F115" s="314"/>
      <c r="G115" s="314"/>
      <c r="H115" s="314"/>
      <c r="I115" s="314"/>
      <c r="J115" s="314"/>
      <c r="K115" s="314"/>
      <c r="L115" s="314"/>
      <c r="M115" s="314"/>
      <c r="N115" s="314"/>
      <c r="O115" s="314"/>
      <c r="P115" s="314"/>
      <c r="Q115" s="314"/>
      <c r="R115" s="314"/>
      <c r="S115" s="314"/>
      <c r="T115" s="314"/>
      <c r="U115" s="314"/>
      <c r="V115" s="314"/>
      <c r="W115" s="314"/>
      <c r="X115" s="314"/>
      <c r="Y115" s="314"/>
      <c r="Z115" s="314"/>
      <c r="AA115" s="314"/>
      <c r="AB115" s="314"/>
      <c r="AC115" s="513"/>
      <c r="AD115" s="513"/>
      <c r="AE115" s="513"/>
      <c r="AF115" s="513"/>
      <c r="AG115" s="513"/>
      <c r="AH115" s="1628"/>
      <c r="AI115" s="314"/>
      <c r="AJ115" s="314"/>
      <c r="AK115" s="314"/>
      <c r="AL115" s="314"/>
      <c r="AM115" s="314"/>
      <c r="AN115" s="314"/>
      <c r="AO115" s="314"/>
      <c r="AP115" s="314"/>
      <c r="AQ115" s="314"/>
      <c r="AR115" s="314"/>
      <c r="AS115" s="314"/>
      <c r="AT115" s="314"/>
      <c r="AU115" s="314"/>
      <c r="AV115" s="314"/>
      <c r="AW115" s="314"/>
      <c r="AX115" s="314"/>
      <c r="AY115" s="314"/>
      <c r="AZ115" s="314"/>
      <c r="BA115" s="997"/>
      <c r="BB115" s="877"/>
      <c r="BC115" s="877"/>
      <c r="BD115" s="38"/>
      <c r="BE115" s="314"/>
      <c r="BF115" s="997"/>
      <c r="BG115" s="997"/>
      <c r="BH115" s="997"/>
      <c r="BI115" s="314"/>
      <c r="BJ115" s="314"/>
      <c r="BK115" s="314"/>
      <c r="BL115" s="314"/>
      <c r="BM115" s="314"/>
      <c r="BN115" s="314"/>
      <c r="BO115" s="314"/>
      <c r="BP115" s="314"/>
      <c r="BQ115" s="314"/>
      <c r="BR115" s="314"/>
      <c r="BS115" s="314"/>
      <c r="BT115" s="2489"/>
      <c r="BU115" s="314"/>
      <c r="BV115" s="314"/>
      <c r="BW115" s="314"/>
      <c r="BX115" s="314"/>
      <c r="BY115" s="314"/>
      <c r="BZ115" s="314"/>
      <c r="CA115" s="314"/>
      <c r="CB115" s="314"/>
      <c r="CC115" s="314"/>
    </row>
    <row r="116" spans="1:81" hidden="1" outlineLevel="1">
      <c r="A116" s="482" t="s">
        <v>1118</v>
      </c>
      <c r="B116" s="522">
        <v>9.3000000000000007</v>
      </c>
      <c r="C116" s="522">
        <v>9.5</v>
      </c>
      <c r="D116" s="522">
        <v>11</v>
      </c>
      <c r="E116" s="522">
        <v>11</v>
      </c>
      <c r="F116" s="333">
        <v>11.75</v>
      </c>
      <c r="G116" s="333">
        <v>12.455</v>
      </c>
      <c r="H116" s="314">
        <f t="shared" ref="H116:W116" si="185">+G116*(1+H117)</f>
        <v>13.700500000000002</v>
      </c>
      <c r="I116" s="314">
        <f t="shared" si="185"/>
        <v>13.837505000000002</v>
      </c>
      <c r="J116" s="314">
        <f t="shared" si="185"/>
        <v>15.013692925000001</v>
      </c>
      <c r="K116" s="314">
        <f t="shared" si="185"/>
        <v>16.06465142975</v>
      </c>
      <c r="L116" s="314">
        <f t="shared" si="185"/>
        <v>16.867884001237503</v>
      </c>
      <c r="M116" s="314">
        <f t="shared" si="185"/>
        <v>17.711278201299379</v>
      </c>
      <c r="N116" s="314">
        <f t="shared" si="185"/>
        <v>18.596842111364349</v>
      </c>
      <c r="O116" s="314">
        <f t="shared" si="185"/>
        <v>19.526684216932569</v>
      </c>
      <c r="P116" s="314">
        <f t="shared" si="185"/>
        <v>20.5030184277792</v>
      </c>
      <c r="Q116" s="314">
        <f t="shared" si="185"/>
        <v>21.528169349168159</v>
      </c>
      <c r="R116" s="314">
        <f t="shared" si="185"/>
        <v>22.60457781662657</v>
      </c>
      <c r="S116" s="314">
        <f t="shared" si="185"/>
        <v>23.734806707457899</v>
      </c>
      <c r="T116" s="314">
        <f t="shared" si="185"/>
        <v>24.921547042830795</v>
      </c>
      <c r="U116" s="314">
        <f t="shared" si="185"/>
        <v>26.167624394972336</v>
      </c>
      <c r="V116" s="314">
        <f t="shared" si="185"/>
        <v>27.476005614720954</v>
      </c>
      <c r="W116" s="314">
        <f t="shared" si="185"/>
        <v>28.849805895457003</v>
      </c>
      <c r="X116" s="314">
        <f t="shared" ref="X116:AD116" si="186">+W116*(1+X117)</f>
        <v>30.292296190229855</v>
      </c>
      <c r="Y116" s="314">
        <f t="shared" si="186"/>
        <v>31.806910999741348</v>
      </c>
      <c r="Z116" s="314">
        <f t="shared" si="186"/>
        <v>33.397256549728418</v>
      </c>
      <c r="AA116" s="314">
        <f t="shared" si="186"/>
        <v>35.067119377214837</v>
      </c>
      <c r="AB116" s="314">
        <f t="shared" si="186"/>
        <v>36.820475346075582</v>
      </c>
      <c r="AC116" s="513">
        <f t="shared" si="186"/>
        <v>38.661499113379364</v>
      </c>
      <c r="AD116" s="513">
        <f t="shared" si="186"/>
        <v>40.594574069048335</v>
      </c>
      <c r="AE116" s="513">
        <f>+AD116*(1+AE117)</f>
        <v>42.624302772500755</v>
      </c>
      <c r="AF116" s="513">
        <f>+AE116*(1+AF117)</f>
        <v>44.755517911125793</v>
      </c>
      <c r="AG116" s="513">
        <f>+AF116*(1+AG117)</f>
        <v>46.993293806682082</v>
      </c>
      <c r="AH116" s="1628">
        <f>+AG116*(1+AH117)</f>
        <v>49.342958497016191</v>
      </c>
      <c r="AI116" s="314"/>
      <c r="AJ116" s="314"/>
      <c r="AK116" s="314"/>
      <c r="AL116" s="314"/>
      <c r="AM116" s="314"/>
      <c r="AN116" s="314"/>
      <c r="AO116" s="314"/>
      <c r="AP116" s="314"/>
      <c r="AQ116" s="314"/>
      <c r="AR116" s="314"/>
      <c r="AS116" s="314"/>
      <c r="AT116" s="314"/>
      <c r="AU116" s="314"/>
      <c r="AV116" s="314"/>
      <c r="AW116" s="314"/>
      <c r="AX116" s="314"/>
      <c r="AY116" s="314"/>
      <c r="AZ116" s="314"/>
      <c r="BA116" s="997"/>
      <c r="BB116" s="877"/>
      <c r="BC116" s="877"/>
      <c r="BD116" s="38"/>
      <c r="BE116" s="314"/>
      <c r="BF116" s="997"/>
      <c r="BG116" s="997"/>
      <c r="BH116" s="997"/>
      <c r="BI116" s="314"/>
      <c r="BJ116" s="314"/>
      <c r="BK116" s="314"/>
      <c r="BL116" s="314"/>
      <c r="BM116" s="314"/>
      <c r="BN116" s="314"/>
      <c r="BO116" s="314"/>
      <c r="BP116" s="314"/>
      <c r="BQ116" s="314"/>
      <c r="BR116" s="314"/>
      <c r="BS116" s="314"/>
      <c r="BT116" s="2489"/>
      <c r="BU116" s="314"/>
      <c r="BV116" s="314"/>
      <c r="BW116" s="314"/>
      <c r="BX116" s="314"/>
      <c r="BY116" s="314"/>
      <c r="BZ116" s="314"/>
      <c r="CA116" s="314"/>
      <c r="CB116" s="314"/>
      <c r="CC116" s="314"/>
    </row>
    <row r="117" spans="1:81" hidden="1" outlineLevel="1">
      <c r="A117" s="508" t="s">
        <v>676</v>
      </c>
      <c r="B117" s="38"/>
      <c r="C117" s="38">
        <f>+C116/B116-1</f>
        <v>2.1505376344086002E-2</v>
      </c>
      <c r="D117" s="38">
        <f>+D116/C116-1</f>
        <v>0.15789473684210531</v>
      </c>
      <c r="E117" s="38">
        <f>+E116/D116-1</f>
        <v>0</v>
      </c>
      <c r="F117" s="38">
        <f>+F116/E116-1</f>
        <v>6.8181818181818121E-2</v>
      </c>
      <c r="G117" s="38">
        <f>+G116/F116-1</f>
        <v>6.0000000000000053E-2</v>
      </c>
      <c r="H117" s="130">
        <v>0.1</v>
      </c>
      <c r="I117" s="130">
        <v>0.01</v>
      </c>
      <c r="J117" s="130">
        <v>8.5000000000000006E-2</v>
      </c>
      <c r="K117" s="130">
        <v>7.0000000000000007E-2</v>
      </c>
      <c r="L117" s="130">
        <v>0.05</v>
      </c>
      <c r="M117" s="130">
        <v>0.05</v>
      </c>
      <c r="N117" s="130">
        <v>0.05</v>
      </c>
      <c r="O117" s="130">
        <v>0.05</v>
      </c>
      <c r="P117" s="130">
        <v>0.05</v>
      </c>
      <c r="Q117" s="130">
        <v>0.05</v>
      </c>
      <c r="R117" s="130">
        <v>0.05</v>
      </c>
      <c r="S117" s="130">
        <v>0.05</v>
      </c>
      <c r="T117" s="130">
        <v>0.05</v>
      </c>
      <c r="U117" s="130">
        <v>0.05</v>
      </c>
      <c r="V117" s="130">
        <v>0.05</v>
      </c>
      <c r="W117" s="130">
        <v>0.05</v>
      </c>
      <c r="X117" s="130">
        <v>0.05</v>
      </c>
      <c r="Y117" s="130">
        <v>0.05</v>
      </c>
      <c r="Z117" s="130">
        <v>0.05</v>
      </c>
      <c r="AA117" s="130">
        <v>0.05</v>
      </c>
      <c r="AB117" s="130">
        <v>0.05</v>
      </c>
      <c r="AC117" s="119">
        <v>0.05</v>
      </c>
      <c r="AD117" s="119">
        <v>0.05</v>
      </c>
      <c r="AE117" s="119">
        <v>0.05</v>
      </c>
      <c r="AF117" s="119">
        <v>0.05</v>
      </c>
      <c r="AG117" s="119">
        <v>0.05</v>
      </c>
      <c r="AH117" s="1482">
        <v>0.05</v>
      </c>
      <c r="AI117" s="130"/>
      <c r="AJ117" s="130"/>
      <c r="AK117" s="130"/>
      <c r="AL117" s="130"/>
      <c r="AM117" s="130"/>
      <c r="AN117" s="130"/>
      <c r="AO117" s="130"/>
      <c r="AP117" s="130"/>
      <c r="AQ117" s="130"/>
      <c r="AR117" s="130"/>
      <c r="AS117" s="130"/>
      <c r="AT117" s="130"/>
      <c r="AU117" s="130"/>
      <c r="AV117" s="130"/>
      <c r="AW117" s="130"/>
      <c r="AX117" s="130"/>
      <c r="AY117" s="130"/>
      <c r="AZ117" s="314"/>
      <c r="BA117" s="130"/>
      <c r="BB117" s="877"/>
      <c r="BC117" s="877"/>
      <c r="BD117" s="38"/>
      <c r="BE117" s="314"/>
      <c r="BF117" s="1575"/>
      <c r="BG117" s="1575"/>
      <c r="BH117" s="1575"/>
      <c r="BI117" s="130"/>
      <c r="BJ117" s="314"/>
      <c r="BK117" s="314"/>
      <c r="BL117" s="314"/>
      <c r="BM117" s="314"/>
      <c r="BN117" s="314"/>
      <c r="BO117" s="314"/>
      <c r="BP117" s="314"/>
      <c r="BQ117" s="314"/>
      <c r="BR117" s="314"/>
      <c r="BS117" s="314"/>
      <c r="BT117" s="2489"/>
      <c r="BU117" s="314"/>
      <c r="BV117" s="314"/>
      <c r="BW117" s="314"/>
      <c r="BX117" s="314"/>
      <c r="BY117" s="314"/>
      <c r="BZ117" s="314"/>
      <c r="CA117" s="314"/>
      <c r="CB117" s="314"/>
      <c r="CC117" s="314"/>
    </row>
    <row r="118" spans="1:81" hidden="1" outlineLevel="1">
      <c r="A118" s="508"/>
      <c r="B118" s="508"/>
      <c r="C118" s="508"/>
      <c r="D118" s="508"/>
      <c r="E118" s="508"/>
      <c r="F118" s="314"/>
      <c r="G118" s="314"/>
      <c r="H118" s="314"/>
      <c r="I118" s="314"/>
      <c r="J118" s="314"/>
      <c r="K118" s="314"/>
      <c r="L118" s="314"/>
      <c r="M118" s="314"/>
      <c r="N118" s="314"/>
      <c r="O118" s="314"/>
      <c r="P118" s="314"/>
      <c r="Q118" s="314"/>
      <c r="R118" s="314"/>
      <c r="S118" s="314"/>
      <c r="T118" s="314"/>
      <c r="U118" s="314"/>
      <c r="V118" s="314"/>
      <c r="W118" s="314"/>
      <c r="X118" s="314"/>
      <c r="Y118" s="314"/>
      <c r="Z118" s="314"/>
      <c r="AA118" s="314"/>
      <c r="AB118" s="314"/>
      <c r="AC118" s="513"/>
      <c r="AD118" s="513"/>
      <c r="AE118" s="513"/>
      <c r="AF118" s="513"/>
      <c r="AG118" s="513"/>
      <c r="AH118" s="1628"/>
      <c r="AI118" s="314"/>
      <c r="AJ118" s="314"/>
      <c r="AK118" s="314"/>
      <c r="AL118" s="314"/>
      <c r="AM118" s="314"/>
      <c r="AN118" s="314"/>
      <c r="AO118" s="314"/>
      <c r="AP118" s="314"/>
      <c r="AQ118" s="314"/>
      <c r="AR118" s="314"/>
      <c r="AS118" s="314"/>
      <c r="AT118" s="314"/>
      <c r="AU118" s="314"/>
      <c r="AV118" s="314"/>
      <c r="AW118" s="314"/>
      <c r="AX118" s="314"/>
      <c r="AY118" s="314"/>
      <c r="AZ118" s="314"/>
      <c r="BA118" s="997"/>
      <c r="BB118" s="877"/>
      <c r="BC118" s="877"/>
      <c r="BD118" s="38"/>
      <c r="BE118" s="314"/>
      <c r="BF118" s="997"/>
      <c r="BG118" s="997"/>
      <c r="BH118" s="997"/>
      <c r="BI118" s="314"/>
      <c r="BJ118" s="314"/>
      <c r="BK118" s="314"/>
      <c r="BL118" s="314"/>
      <c r="BM118" s="314"/>
      <c r="BN118" s="314"/>
      <c r="BO118" s="314"/>
      <c r="BP118" s="314"/>
      <c r="BQ118" s="314"/>
      <c r="BR118" s="314"/>
      <c r="BS118" s="314"/>
      <c r="BT118" s="2489"/>
      <c r="BU118" s="314"/>
      <c r="BV118" s="314"/>
      <c r="BW118" s="314"/>
      <c r="BX118" s="314"/>
      <c r="BY118" s="314"/>
      <c r="BZ118" s="314"/>
      <c r="CA118" s="314"/>
      <c r="CB118" s="314"/>
      <c r="CC118" s="314"/>
    </row>
    <row r="119" spans="1:81" hidden="1" outlineLevel="1">
      <c r="A119" s="498" t="s">
        <v>1092</v>
      </c>
      <c r="B119" s="498"/>
      <c r="C119" s="498"/>
      <c r="D119" s="498"/>
      <c r="E119" s="498"/>
      <c r="F119" s="314"/>
      <c r="G119" s="314"/>
      <c r="H119" s="38"/>
      <c r="I119" s="38"/>
      <c r="J119" s="38"/>
      <c r="K119" s="38"/>
      <c r="L119" s="38"/>
      <c r="M119" s="314"/>
      <c r="N119" s="314"/>
      <c r="O119" s="314"/>
      <c r="P119" s="314"/>
      <c r="Q119" s="314"/>
      <c r="R119" s="314"/>
      <c r="S119" s="314"/>
      <c r="T119" s="314"/>
      <c r="U119" s="314"/>
      <c r="V119" s="314"/>
      <c r="W119" s="314"/>
      <c r="X119" s="314"/>
      <c r="Y119" s="314"/>
      <c r="Z119" s="314"/>
      <c r="AA119" s="314"/>
      <c r="AB119" s="314"/>
      <c r="AC119" s="513"/>
      <c r="AD119" s="513"/>
      <c r="AE119" s="513"/>
      <c r="AF119" s="513"/>
      <c r="AG119" s="513"/>
      <c r="AH119" s="1628"/>
      <c r="AI119" s="314"/>
      <c r="AJ119" s="314"/>
      <c r="AK119" s="314"/>
      <c r="AL119" s="314"/>
      <c r="AM119" s="314"/>
      <c r="AN119" s="314"/>
      <c r="AO119" s="314"/>
      <c r="AP119" s="314"/>
      <c r="AQ119" s="314"/>
      <c r="AR119" s="314"/>
      <c r="AS119" s="314"/>
      <c r="AT119" s="314"/>
      <c r="AU119" s="314"/>
      <c r="AV119" s="314"/>
      <c r="AW119" s="314"/>
      <c r="AX119" s="314"/>
      <c r="AY119" s="314"/>
      <c r="AZ119" s="314"/>
      <c r="BA119" s="997"/>
      <c r="BB119" s="877"/>
      <c r="BC119" s="877"/>
      <c r="BD119" s="38"/>
      <c r="BE119" s="314"/>
      <c r="BF119" s="997"/>
      <c r="BG119" s="997"/>
      <c r="BH119" s="997"/>
      <c r="BI119" s="314"/>
      <c r="BJ119" s="314"/>
      <c r="BK119" s="314"/>
      <c r="BL119" s="314"/>
      <c r="BM119" s="314"/>
      <c r="BN119" s="314"/>
      <c r="BO119" s="314"/>
      <c r="BP119" s="314"/>
      <c r="BQ119" s="314"/>
      <c r="BR119" s="314"/>
      <c r="BS119" s="314"/>
      <c r="BT119" s="2489"/>
      <c r="BU119" s="314"/>
      <c r="BV119" s="314"/>
      <c r="BW119" s="314"/>
      <c r="BX119" s="314"/>
      <c r="BY119" s="314"/>
      <c r="BZ119" s="314"/>
      <c r="CA119" s="314"/>
      <c r="CB119" s="314"/>
      <c r="CC119" s="314"/>
    </row>
    <row r="120" spans="1:81" hidden="1" outlineLevel="1">
      <c r="A120" s="483" t="s">
        <v>738</v>
      </c>
      <c r="B120" s="484">
        <f t="shared" ref="B120:T120" si="187">+B9</f>
        <v>1029.69</v>
      </c>
      <c r="C120" s="484">
        <f t="shared" si="187"/>
        <v>385.815</v>
      </c>
      <c r="D120" s="484">
        <f t="shared" si="187"/>
        <v>465.03500000000003</v>
      </c>
      <c r="E120" s="484">
        <f t="shared" si="187"/>
        <v>499.375</v>
      </c>
      <c r="F120" s="484">
        <f t="shared" si="187"/>
        <v>881.00571198796104</v>
      </c>
      <c r="G120" s="484">
        <f t="shared" si="187"/>
        <v>673.5153390375865</v>
      </c>
      <c r="H120" s="48">
        <f t="shared" si="187"/>
        <v>736.51681629698351</v>
      </c>
      <c r="I120" s="48">
        <f t="shared" si="187"/>
        <v>841.47622065610381</v>
      </c>
      <c r="J120" s="48">
        <f t="shared" si="187"/>
        <v>740.78574820075346</v>
      </c>
      <c r="K120" s="48">
        <f t="shared" si="187"/>
        <v>752.83617938988118</v>
      </c>
      <c r="L120" s="48">
        <f t="shared" si="187"/>
        <v>1014.034</v>
      </c>
      <c r="M120" s="48">
        <f t="shared" si="187"/>
        <v>1052.125</v>
      </c>
      <c r="N120" s="48">
        <f t="shared" si="187"/>
        <v>1109.94</v>
      </c>
      <c r="O120" s="48">
        <f t="shared" si="187"/>
        <v>1398.2280000000001</v>
      </c>
      <c r="P120" s="48">
        <f t="shared" si="187"/>
        <v>1344.683</v>
      </c>
      <c r="Q120" s="48">
        <f t="shared" si="187"/>
        <v>1251.528</v>
      </c>
      <c r="R120" s="48">
        <f t="shared" si="187"/>
        <v>1612.2570000000001</v>
      </c>
      <c r="S120" s="48">
        <f t="shared" si="187"/>
        <v>1481.703</v>
      </c>
      <c r="T120" s="48">
        <f t="shared" si="187"/>
        <v>1309.57</v>
      </c>
      <c r="U120" s="523">
        <f t="shared" ref="U120:Z120" si="188">+U123*U124/1000000</f>
        <v>1342.5230060875365</v>
      </c>
      <c r="V120" s="523">
        <f t="shared" si="188"/>
        <v>1376.305216120036</v>
      </c>
      <c r="W120" s="523">
        <f t="shared" si="188"/>
        <v>1410.9374955439016</v>
      </c>
      <c r="X120" s="523">
        <f t="shared" si="188"/>
        <v>1446.4412348474839</v>
      </c>
      <c r="Y120" s="523">
        <f t="shared" si="188"/>
        <v>1482.8383627728281</v>
      </c>
      <c r="Z120" s="523">
        <f t="shared" si="188"/>
        <v>1520.1513598598763</v>
      </c>
      <c r="AA120" s="523">
        <f t="shared" ref="AA120:AF120" si="189">+AA123*AA124/1000000</f>
        <v>1558.4032723314813</v>
      </c>
      <c r="AB120" s="523">
        <f t="shared" si="189"/>
        <v>1597.617726327813</v>
      </c>
      <c r="AC120" s="1252">
        <f t="shared" si="189"/>
        <v>1637.8189424989507</v>
      </c>
      <c r="AD120" s="1252">
        <f t="shared" si="189"/>
        <v>1679.0317509646688</v>
      </c>
      <c r="AE120" s="1252">
        <f t="shared" si="189"/>
        <v>1721.2816066506618</v>
      </c>
      <c r="AF120" s="1252">
        <f t="shared" si="189"/>
        <v>1764.5946050106763</v>
      </c>
      <c r="AG120" s="1252">
        <f>+AG123*AG124/1000000</f>
        <v>1808.9974981442631</v>
      </c>
      <c r="AH120" s="2260">
        <f>+AH123*AH124/1000000</f>
        <v>1854.5177113201041</v>
      </c>
      <c r="AI120" s="523"/>
      <c r="AJ120" s="523"/>
      <c r="AK120" s="523"/>
      <c r="AL120" s="523"/>
      <c r="AM120" s="523"/>
      <c r="AN120" s="523"/>
      <c r="AO120" s="523"/>
      <c r="AP120" s="523"/>
      <c r="AQ120" s="523"/>
      <c r="AR120" s="523"/>
      <c r="AS120" s="523"/>
      <c r="AT120" s="523"/>
      <c r="AU120" s="523"/>
      <c r="AV120" s="523"/>
      <c r="AW120" s="523"/>
      <c r="AX120" s="523"/>
      <c r="AY120" s="523"/>
      <c r="AZ120" s="314"/>
      <c r="BA120" s="1432"/>
      <c r="BB120" s="877"/>
      <c r="BC120" s="877"/>
      <c r="BD120" s="38"/>
      <c r="BE120" s="314"/>
      <c r="BF120" s="1432"/>
      <c r="BG120" s="1432"/>
      <c r="BH120" s="1432"/>
      <c r="BI120" s="523"/>
      <c r="BJ120" s="314"/>
      <c r="BK120" s="314"/>
      <c r="BL120" s="314"/>
      <c r="BM120" s="314"/>
      <c r="BN120" s="314"/>
      <c r="BO120" s="314"/>
      <c r="BP120" s="314"/>
      <c r="BQ120" s="314"/>
      <c r="BR120" s="314"/>
      <c r="BS120" s="314"/>
      <c r="BT120" s="2489"/>
      <c r="BU120" s="314"/>
      <c r="BV120" s="314"/>
      <c r="BW120" s="314"/>
      <c r="BX120" s="314"/>
      <c r="BY120" s="314"/>
      <c r="BZ120" s="314"/>
      <c r="CA120" s="314"/>
      <c r="CB120" s="314"/>
      <c r="CC120" s="314"/>
    </row>
    <row r="121" spans="1:81" hidden="1" outlineLevel="1">
      <c r="A121" s="483" t="s">
        <v>1104</v>
      </c>
      <c r="B121" s="484">
        <f>+((B120/0.311)/52)/3.4</f>
        <v>18.726811773435568</v>
      </c>
      <c r="C121" s="484">
        <v>5</v>
      </c>
      <c r="D121" s="484">
        <v>5</v>
      </c>
      <c r="E121" s="484">
        <v>5</v>
      </c>
      <c r="F121" s="524">
        <v>7</v>
      </c>
      <c r="G121" s="524">
        <v>7</v>
      </c>
      <c r="H121" s="525">
        <v>6</v>
      </c>
      <c r="I121" s="525">
        <v>6</v>
      </c>
      <c r="J121" s="525">
        <f t="shared" ref="J121:W121" si="190">I121</f>
        <v>6</v>
      </c>
      <c r="K121" s="525">
        <f t="shared" si="190"/>
        <v>6</v>
      </c>
      <c r="L121" s="525">
        <f t="shared" si="190"/>
        <v>6</v>
      </c>
      <c r="M121" s="525">
        <f t="shared" si="190"/>
        <v>6</v>
      </c>
      <c r="N121" s="525">
        <f t="shared" si="190"/>
        <v>6</v>
      </c>
      <c r="O121" s="525">
        <f t="shared" si="190"/>
        <v>6</v>
      </c>
      <c r="P121" s="525">
        <f t="shared" si="190"/>
        <v>6</v>
      </c>
      <c r="Q121" s="525">
        <f t="shared" si="190"/>
        <v>6</v>
      </c>
      <c r="R121" s="525">
        <f t="shared" si="190"/>
        <v>6</v>
      </c>
      <c r="S121" s="525">
        <f t="shared" si="190"/>
        <v>6</v>
      </c>
      <c r="T121" s="525">
        <f t="shared" si="190"/>
        <v>6</v>
      </c>
      <c r="U121" s="525">
        <f t="shared" si="190"/>
        <v>6</v>
      </c>
      <c r="V121" s="525">
        <f t="shared" si="190"/>
        <v>6</v>
      </c>
      <c r="W121" s="525">
        <f t="shared" si="190"/>
        <v>6</v>
      </c>
      <c r="X121" s="525">
        <f t="shared" ref="X121:AD121" si="191">W121</f>
        <v>6</v>
      </c>
      <c r="Y121" s="525">
        <f t="shared" si="191"/>
        <v>6</v>
      </c>
      <c r="Z121" s="525">
        <f t="shared" si="191"/>
        <v>6</v>
      </c>
      <c r="AA121" s="525">
        <f t="shared" si="191"/>
        <v>6</v>
      </c>
      <c r="AB121" s="525">
        <f t="shared" si="191"/>
        <v>6</v>
      </c>
      <c r="AC121" s="524">
        <f t="shared" si="191"/>
        <v>6</v>
      </c>
      <c r="AD121" s="524">
        <f t="shared" si="191"/>
        <v>6</v>
      </c>
      <c r="AE121" s="524">
        <f>AD121</f>
        <v>6</v>
      </c>
      <c r="AF121" s="524">
        <f>AE121</f>
        <v>6</v>
      </c>
      <c r="AG121" s="524">
        <f>AF121</f>
        <v>6</v>
      </c>
      <c r="AH121" s="2261">
        <f>AG121</f>
        <v>6</v>
      </c>
      <c r="AI121" s="525"/>
      <c r="AJ121" s="525"/>
      <c r="AK121" s="525"/>
      <c r="AL121" s="525"/>
      <c r="AM121" s="525"/>
      <c r="AN121" s="525"/>
      <c r="AO121" s="525"/>
      <c r="AP121" s="525"/>
      <c r="AQ121" s="525"/>
      <c r="AR121" s="525"/>
      <c r="AS121" s="525"/>
      <c r="AT121" s="525"/>
      <c r="AU121" s="525"/>
      <c r="AV121" s="525"/>
      <c r="AW121" s="525"/>
      <c r="AX121" s="525"/>
      <c r="AY121" s="525"/>
      <c r="AZ121" s="314"/>
      <c r="BA121" s="1433"/>
      <c r="BB121" s="877"/>
      <c r="BC121" s="877"/>
      <c r="BD121" s="38"/>
      <c r="BE121" s="314"/>
      <c r="BF121" s="1433"/>
      <c r="BG121" s="1433"/>
      <c r="BH121" s="1433"/>
      <c r="BI121" s="525"/>
      <c r="BJ121" s="314"/>
      <c r="BK121" s="314"/>
      <c r="BL121" s="314"/>
      <c r="BM121" s="314"/>
      <c r="BN121" s="314"/>
      <c r="BO121" s="314"/>
      <c r="BP121" s="314"/>
      <c r="BQ121" s="314"/>
      <c r="BR121" s="314"/>
      <c r="BS121" s="314"/>
      <c r="BT121" s="2489"/>
      <c r="BU121" s="314"/>
      <c r="BV121" s="314"/>
      <c r="BW121" s="314"/>
      <c r="BX121" s="314"/>
      <c r="BY121" s="314"/>
      <c r="BZ121" s="314"/>
      <c r="CA121" s="314"/>
      <c r="CB121" s="314"/>
      <c r="CC121" s="314"/>
    </row>
    <row r="122" spans="1:81" hidden="1" outlineLevel="1">
      <c r="A122" s="483" t="s">
        <v>1105</v>
      </c>
      <c r="B122" s="518">
        <v>10.1</v>
      </c>
      <c r="C122" s="518">
        <v>13</v>
      </c>
      <c r="D122" s="518">
        <v>13</v>
      </c>
      <c r="E122" s="518">
        <v>13</v>
      </c>
      <c r="F122" s="518">
        <v>13</v>
      </c>
      <c r="G122" s="518">
        <v>13</v>
      </c>
      <c r="H122" s="518">
        <v>13</v>
      </c>
      <c r="I122" s="518">
        <v>13</v>
      </c>
      <c r="J122" s="518">
        <v>13</v>
      </c>
      <c r="K122" s="518">
        <v>13</v>
      </c>
      <c r="L122" s="518">
        <v>13</v>
      </c>
      <c r="M122" s="518">
        <v>13</v>
      </c>
      <c r="N122" s="518">
        <v>13</v>
      </c>
      <c r="O122" s="518">
        <v>13</v>
      </c>
      <c r="P122" s="518">
        <v>13</v>
      </c>
      <c r="Q122" s="518">
        <v>13</v>
      </c>
      <c r="R122" s="518">
        <v>13</v>
      </c>
      <c r="S122" s="518">
        <v>13</v>
      </c>
      <c r="T122" s="518">
        <v>13</v>
      </c>
      <c r="U122" s="518">
        <v>13</v>
      </c>
      <c r="V122" s="518">
        <v>13</v>
      </c>
      <c r="W122" s="518">
        <v>13</v>
      </c>
      <c r="X122" s="518">
        <v>13</v>
      </c>
      <c r="Y122" s="518">
        <v>13</v>
      </c>
      <c r="Z122" s="518">
        <v>13</v>
      </c>
      <c r="AA122" s="518">
        <v>13</v>
      </c>
      <c r="AB122" s="518">
        <v>13</v>
      </c>
      <c r="AC122" s="1253">
        <v>13</v>
      </c>
      <c r="AD122" s="1253">
        <v>13</v>
      </c>
      <c r="AE122" s="1253">
        <v>13</v>
      </c>
      <c r="AF122" s="1253">
        <v>13</v>
      </c>
      <c r="AG122" s="1253">
        <v>13</v>
      </c>
      <c r="AH122" s="2262">
        <v>13</v>
      </c>
      <c r="AI122" s="518"/>
      <c r="AJ122" s="518"/>
      <c r="AK122" s="518"/>
      <c r="AL122" s="518"/>
      <c r="AM122" s="518"/>
      <c r="AN122" s="518"/>
      <c r="AO122" s="518"/>
      <c r="AP122" s="518"/>
      <c r="AQ122" s="518"/>
      <c r="AR122" s="518"/>
      <c r="AS122" s="518"/>
      <c r="AT122" s="518"/>
      <c r="AU122" s="518"/>
      <c r="AV122" s="518"/>
      <c r="AW122" s="518"/>
      <c r="AX122" s="518"/>
      <c r="AY122" s="518"/>
      <c r="AZ122" s="314"/>
      <c r="BA122" s="518"/>
      <c r="BB122" s="877"/>
      <c r="BC122" s="877"/>
      <c r="BD122" s="38"/>
      <c r="BE122" s="314"/>
      <c r="BF122" s="518"/>
      <c r="BG122" s="518"/>
      <c r="BH122" s="518"/>
      <c r="BI122" s="518"/>
      <c r="BJ122" s="314"/>
      <c r="BK122" s="314"/>
      <c r="BL122" s="314"/>
      <c r="BM122" s="314"/>
      <c r="BN122" s="314"/>
      <c r="BO122" s="314"/>
      <c r="BP122" s="314"/>
      <c r="BQ122" s="314"/>
      <c r="BR122" s="314"/>
      <c r="BS122" s="314"/>
      <c r="BT122" s="2489"/>
      <c r="BU122" s="314"/>
      <c r="BV122" s="314"/>
      <c r="BW122" s="314"/>
      <c r="BX122" s="314"/>
      <c r="BY122" s="314"/>
      <c r="BZ122" s="314"/>
      <c r="CA122" s="314"/>
      <c r="CB122" s="314"/>
      <c r="CC122" s="314"/>
    </row>
    <row r="123" spans="1:81" hidden="1" outlineLevel="1">
      <c r="A123" s="483" t="s">
        <v>1119</v>
      </c>
      <c r="B123" s="517">
        <f t="shared" ref="B123:AB123" si="192">B122*B121*52*2</f>
        <v>19670.643086816719</v>
      </c>
      <c r="C123" s="517">
        <f t="shared" si="192"/>
        <v>6760</v>
      </c>
      <c r="D123" s="517">
        <f t="shared" si="192"/>
        <v>6760</v>
      </c>
      <c r="E123" s="517">
        <f t="shared" si="192"/>
        <v>6760</v>
      </c>
      <c r="F123" s="517">
        <f t="shared" si="192"/>
        <v>9464</v>
      </c>
      <c r="G123" s="517">
        <f t="shared" si="192"/>
        <v>9464</v>
      </c>
      <c r="H123" s="517">
        <f t="shared" si="192"/>
        <v>8112</v>
      </c>
      <c r="I123" s="517">
        <f t="shared" si="192"/>
        <v>8112</v>
      </c>
      <c r="J123" s="517">
        <f t="shared" si="192"/>
        <v>8112</v>
      </c>
      <c r="K123" s="517">
        <f t="shared" si="192"/>
        <v>8112</v>
      </c>
      <c r="L123" s="517">
        <f t="shared" si="192"/>
        <v>8112</v>
      </c>
      <c r="M123" s="517">
        <f t="shared" si="192"/>
        <v>8112</v>
      </c>
      <c r="N123" s="517">
        <f t="shared" si="192"/>
        <v>8112</v>
      </c>
      <c r="O123" s="517">
        <f t="shared" si="192"/>
        <v>8112</v>
      </c>
      <c r="P123" s="517">
        <f t="shared" si="192"/>
        <v>8112</v>
      </c>
      <c r="Q123" s="517">
        <f t="shared" si="192"/>
        <v>8112</v>
      </c>
      <c r="R123" s="517">
        <f t="shared" si="192"/>
        <v>8112</v>
      </c>
      <c r="S123" s="517">
        <f t="shared" si="192"/>
        <v>8112</v>
      </c>
      <c r="T123" s="517">
        <f t="shared" si="192"/>
        <v>8112</v>
      </c>
      <c r="U123" s="517">
        <f t="shared" si="192"/>
        <v>8112</v>
      </c>
      <c r="V123" s="517">
        <f t="shared" si="192"/>
        <v>8112</v>
      </c>
      <c r="W123" s="517">
        <f t="shared" si="192"/>
        <v>8112</v>
      </c>
      <c r="X123" s="517">
        <f t="shared" si="192"/>
        <v>8112</v>
      </c>
      <c r="Y123" s="517">
        <f t="shared" si="192"/>
        <v>8112</v>
      </c>
      <c r="Z123" s="517">
        <f t="shared" si="192"/>
        <v>8112</v>
      </c>
      <c r="AA123" s="517">
        <f t="shared" si="192"/>
        <v>8112</v>
      </c>
      <c r="AB123" s="517">
        <f t="shared" si="192"/>
        <v>8112</v>
      </c>
      <c r="AC123" s="527">
        <f t="shared" ref="AC123:AH123" si="193">AC122*AC121*52*2</f>
        <v>8112</v>
      </c>
      <c r="AD123" s="527">
        <f t="shared" si="193"/>
        <v>8112</v>
      </c>
      <c r="AE123" s="527">
        <f t="shared" si="193"/>
        <v>8112</v>
      </c>
      <c r="AF123" s="527">
        <f t="shared" si="193"/>
        <v>8112</v>
      </c>
      <c r="AG123" s="527">
        <f t="shared" si="193"/>
        <v>8112</v>
      </c>
      <c r="AH123" s="2221">
        <f t="shared" si="193"/>
        <v>8112</v>
      </c>
      <c r="AI123" s="517"/>
      <c r="AJ123" s="517"/>
      <c r="AK123" s="517"/>
      <c r="AL123" s="517"/>
      <c r="AM123" s="517"/>
      <c r="AN123" s="517"/>
      <c r="AO123" s="517"/>
      <c r="AP123" s="517"/>
      <c r="AQ123" s="517"/>
      <c r="AR123" s="517"/>
      <c r="AS123" s="517"/>
      <c r="AT123" s="517"/>
      <c r="AU123" s="517"/>
      <c r="AV123" s="517"/>
      <c r="AW123" s="517"/>
      <c r="AX123" s="517"/>
      <c r="AY123" s="517"/>
      <c r="AZ123" s="314"/>
      <c r="BA123" s="1430"/>
      <c r="BB123" s="877"/>
      <c r="BC123" s="877"/>
      <c r="BD123" s="38"/>
      <c r="BE123" s="314"/>
      <c r="BF123" s="1430"/>
      <c r="BG123" s="1430"/>
      <c r="BH123" s="1430"/>
      <c r="BI123" s="517"/>
      <c r="BJ123" s="314"/>
      <c r="BK123" s="314"/>
      <c r="BL123" s="314"/>
      <c r="BM123" s="314"/>
      <c r="BN123" s="314"/>
      <c r="BO123" s="314"/>
      <c r="BP123" s="314"/>
      <c r="BQ123" s="314"/>
      <c r="BR123" s="314"/>
      <c r="BS123" s="314"/>
      <c r="BT123" s="2489"/>
      <c r="BU123" s="314"/>
      <c r="BV123" s="314"/>
      <c r="BW123" s="314"/>
      <c r="BX123" s="314"/>
      <c r="BY123" s="314"/>
      <c r="BZ123" s="314"/>
      <c r="CA123" s="314"/>
      <c r="CB123" s="314"/>
      <c r="CC123" s="314"/>
    </row>
    <row r="124" spans="1:81" hidden="1" outlineLevel="1">
      <c r="A124" s="483" t="s">
        <v>1108</v>
      </c>
      <c r="B124" s="517">
        <f t="shared" ref="B124:M124" si="194">B120*1000000/B123</f>
        <v>52346.534653465351</v>
      </c>
      <c r="C124" s="517">
        <f t="shared" si="194"/>
        <v>57073.224852071005</v>
      </c>
      <c r="D124" s="517">
        <f t="shared" si="194"/>
        <v>68792.159763313612</v>
      </c>
      <c r="E124" s="517">
        <f t="shared" si="194"/>
        <v>73872.041420118345</v>
      </c>
      <c r="F124" s="517">
        <f t="shared" si="194"/>
        <v>93090.206254011107</v>
      </c>
      <c r="G124" s="517">
        <f t="shared" si="194"/>
        <v>71166.033287995189</v>
      </c>
      <c r="H124" s="517">
        <f t="shared" si="194"/>
        <v>90793.493133257332</v>
      </c>
      <c r="I124" s="517">
        <f t="shared" si="194"/>
        <v>103732.27572190629</v>
      </c>
      <c r="J124" s="517">
        <f t="shared" si="194"/>
        <v>91319.742135201363</v>
      </c>
      <c r="K124" s="517">
        <f t="shared" si="194"/>
        <v>92805.248938594814</v>
      </c>
      <c r="L124" s="517">
        <f t="shared" si="194"/>
        <v>125004.19132149902</v>
      </c>
      <c r="M124" s="517">
        <f t="shared" si="194"/>
        <v>129699.82741617358</v>
      </c>
      <c r="N124" s="517">
        <f t="shared" ref="N124:T124" si="195">N120*1000000/N123</f>
        <v>136826.92307692306</v>
      </c>
      <c r="O124" s="517">
        <f t="shared" si="195"/>
        <v>172365.38461538462</v>
      </c>
      <c r="P124" s="517">
        <f t="shared" si="195"/>
        <v>165764.66962524655</v>
      </c>
      <c r="Q124" s="517">
        <f t="shared" si="195"/>
        <v>154281.0650887574</v>
      </c>
      <c r="R124" s="517">
        <f t="shared" si="195"/>
        <v>198749.6301775148</v>
      </c>
      <c r="S124" s="517">
        <f t="shared" si="195"/>
        <v>182655.6952662722</v>
      </c>
      <c r="T124" s="517">
        <f t="shared" si="195"/>
        <v>161436.14398422089</v>
      </c>
      <c r="U124" s="517">
        <f t="shared" ref="U124:Z124" si="196">+T124*(1+U130)</f>
        <v>165498.39818633339</v>
      </c>
      <c r="V124" s="517">
        <f t="shared" si="196"/>
        <v>169662.87180966913</v>
      </c>
      <c r="W124" s="517">
        <f t="shared" si="196"/>
        <v>173932.13702464273</v>
      </c>
      <c r="X124" s="517">
        <f t="shared" si="196"/>
        <v>178308.83072577463</v>
      </c>
      <c r="Y124" s="517">
        <f t="shared" si="196"/>
        <v>182795.65616035849</v>
      </c>
      <c r="Z124" s="517">
        <f t="shared" si="196"/>
        <v>187395.38459811098</v>
      </c>
      <c r="AA124" s="517">
        <f t="shared" ref="AA124:AH124" si="197">+Z124*(1+AA130)</f>
        <v>192110.85704283544</v>
      </c>
      <c r="AB124" s="517">
        <f t="shared" si="197"/>
        <v>196944.98598715643</v>
      </c>
      <c r="AC124" s="527">
        <f t="shared" si="197"/>
        <v>201900.7572114091</v>
      </c>
      <c r="AD124" s="527">
        <f t="shared" si="197"/>
        <v>206981.23162779448</v>
      </c>
      <c r="AE124" s="527">
        <f t="shared" si="197"/>
        <v>212189.54717093959</v>
      </c>
      <c r="AF124" s="527">
        <f t="shared" si="197"/>
        <v>217528.92073603012</v>
      </c>
      <c r="AG124" s="527">
        <f t="shared" si="197"/>
        <v>223002.6501657129</v>
      </c>
      <c r="AH124" s="2221">
        <f t="shared" si="197"/>
        <v>228614.11628699509</v>
      </c>
      <c r="AI124" s="517"/>
      <c r="AJ124" s="517"/>
      <c r="AK124" s="517"/>
      <c r="AL124" s="517"/>
      <c r="AM124" s="517"/>
      <c r="AN124" s="517"/>
      <c r="AO124" s="517"/>
      <c r="AP124" s="517"/>
      <c r="AQ124" s="517"/>
      <c r="AR124" s="517"/>
      <c r="AS124" s="517"/>
      <c r="AT124" s="517"/>
      <c r="AU124" s="517"/>
      <c r="AV124" s="517"/>
      <c r="AW124" s="517"/>
      <c r="AX124" s="517"/>
      <c r="AY124" s="517"/>
      <c r="AZ124" s="314"/>
      <c r="BA124" s="1430"/>
      <c r="BB124" s="877"/>
      <c r="BC124" s="877"/>
      <c r="BD124" s="38"/>
      <c r="BE124" s="314"/>
      <c r="BF124" s="1430"/>
      <c r="BG124" s="1430"/>
      <c r="BH124" s="1430"/>
      <c r="BI124" s="517"/>
      <c r="BJ124" s="314"/>
      <c r="BK124" s="314"/>
      <c r="BL124" s="314"/>
      <c r="BM124" s="314"/>
      <c r="BN124" s="314"/>
      <c r="BO124" s="314"/>
      <c r="BP124" s="314"/>
      <c r="BQ124" s="314"/>
      <c r="BR124" s="314"/>
      <c r="BS124" s="314"/>
      <c r="BT124" s="2489"/>
      <c r="BU124" s="314"/>
      <c r="BV124" s="314"/>
      <c r="BW124" s="314"/>
      <c r="BX124" s="314"/>
      <c r="BY124" s="314"/>
      <c r="BZ124" s="314"/>
      <c r="CA124" s="314"/>
      <c r="CB124" s="314"/>
      <c r="CC124" s="314"/>
    </row>
    <row r="125" spans="1:81" hidden="1" outlineLevel="1">
      <c r="A125" s="508" t="s">
        <v>676</v>
      </c>
      <c r="B125" s="508"/>
      <c r="C125" s="260">
        <f>+C124/B124-1</f>
        <v>9.0296143381723315E-2</v>
      </c>
      <c r="D125" s="260">
        <f>+D124/C124-1</f>
        <v>0.2053315708305794</v>
      </c>
      <c r="E125" s="260">
        <f>+E124/D124-1</f>
        <v>7.3843904222262724E-2</v>
      </c>
      <c r="F125" s="314"/>
      <c r="G125" s="314"/>
      <c r="H125" s="314"/>
      <c r="I125" s="314"/>
      <c r="J125" s="314"/>
      <c r="K125" s="314"/>
      <c r="L125" s="314"/>
      <c r="M125" s="314"/>
      <c r="N125" s="314"/>
      <c r="O125" s="314"/>
      <c r="P125" s="314"/>
      <c r="Q125" s="314"/>
      <c r="R125" s="314"/>
      <c r="S125" s="314"/>
      <c r="T125" s="314"/>
      <c r="U125" s="314"/>
      <c r="V125" s="314"/>
      <c r="W125" s="314"/>
      <c r="X125" s="314"/>
      <c r="Y125" s="314"/>
      <c r="Z125" s="314"/>
      <c r="AA125" s="314"/>
      <c r="AB125" s="314"/>
      <c r="AC125" s="513"/>
      <c r="AD125" s="513"/>
      <c r="AE125" s="513"/>
      <c r="AF125" s="513"/>
      <c r="AG125" s="513"/>
      <c r="AH125" s="1628"/>
      <c r="AI125" s="314"/>
      <c r="AJ125" s="314"/>
      <c r="AK125" s="314"/>
      <c r="AL125" s="314"/>
      <c r="AM125" s="314"/>
      <c r="AN125" s="314"/>
      <c r="AO125" s="314"/>
      <c r="AP125" s="314"/>
      <c r="AQ125" s="314"/>
      <c r="AR125" s="314"/>
      <c r="AS125" s="314"/>
      <c r="AT125" s="314"/>
      <c r="AU125" s="314"/>
      <c r="AV125" s="314"/>
      <c r="AW125" s="314"/>
      <c r="AX125" s="314"/>
      <c r="AY125" s="314"/>
      <c r="AZ125" s="314"/>
      <c r="BA125" s="997"/>
      <c r="BB125" s="877"/>
      <c r="BC125" s="877"/>
      <c r="BD125" s="38"/>
      <c r="BE125" s="314"/>
      <c r="BF125" s="997"/>
      <c r="BG125" s="997"/>
      <c r="BH125" s="997"/>
      <c r="BI125" s="314"/>
      <c r="BJ125" s="314"/>
      <c r="BK125" s="314"/>
      <c r="BL125" s="314"/>
      <c r="BM125" s="314"/>
      <c r="BN125" s="314"/>
      <c r="BO125" s="314"/>
      <c r="BP125" s="314"/>
      <c r="BQ125" s="314"/>
      <c r="BR125" s="314"/>
      <c r="BS125" s="314"/>
      <c r="BT125" s="2489"/>
      <c r="BU125" s="314"/>
      <c r="BV125" s="314"/>
      <c r="BW125" s="314"/>
      <c r="BX125" s="314"/>
      <c r="BY125" s="314"/>
      <c r="BZ125" s="314"/>
      <c r="CA125" s="314"/>
      <c r="CB125" s="314"/>
      <c r="CC125" s="314"/>
    </row>
    <row r="126" spans="1:81" hidden="1" outlineLevel="1">
      <c r="A126" s="483"/>
      <c r="B126" s="483"/>
      <c r="C126" s="483"/>
      <c r="D126" s="483"/>
      <c r="E126" s="483"/>
      <c r="F126" s="314"/>
      <c r="G126" s="314"/>
      <c r="H126" s="314"/>
      <c r="I126" s="314"/>
      <c r="J126" s="314"/>
      <c r="K126" s="314"/>
      <c r="L126" s="314"/>
      <c r="M126" s="314"/>
      <c r="N126" s="314"/>
      <c r="O126" s="314"/>
      <c r="P126" s="314"/>
      <c r="Q126" s="314"/>
      <c r="R126" s="314"/>
      <c r="S126" s="314"/>
      <c r="T126" s="314"/>
      <c r="U126" s="314"/>
      <c r="V126" s="314"/>
      <c r="W126" s="314"/>
      <c r="X126" s="314"/>
      <c r="Y126" s="314"/>
      <c r="Z126" s="314"/>
      <c r="AA126" s="314"/>
      <c r="AB126" s="314"/>
      <c r="AC126" s="513"/>
      <c r="AD126" s="513"/>
      <c r="AE126" s="513"/>
      <c r="AF126" s="513"/>
      <c r="AG126" s="513"/>
      <c r="AH126" s="1628"/>
      <c r="AI126" s="314"/>
      <c r="AJ126" s="314"/>
      <c r="AK126" s="314"/>
      <c r="AL126" s="314"/>
      <c r="AM126" s="314"/>
      <c r="AN126" s="314"/>
      <c r="AO126" s="314"/>
      <c r="AP126" s="314"/>
      <c r="AQ126" s="314"/>
      <c r="AR126" s="314"/>
      <c r="AS126" s="314"/>
      <c r="AT126" s="314"/>
      <c r="AU126" s="314"/>
      <c r="AV126" s="314"/>
      <c r="AW126" s="314"/>
      <c r="AX126" s="314"/>
      <c r="AY126" s="314"/>
      <c r="AZ126" s="314"/>
      <c r="BA126" s="997"/>
      <c r="BB126" s="877"/>
      <c r="BC126" s="877"/>
      <c r="BD126" s="38"/>
      <c r="BE126" s="314"/>
      <c r="BF126" s="997"/>
      <c r="BG126" s="997"/>
      <c r="BH126" s="997"/>
      <c r="BI126" s="314"/>
      <c r="BJ126" s="314"/>
      <c r="BK126" s="314"/>
      <c r="BL126" s="314"/>
      <c r="BM126" s="314"/>
      <c r="BN126" s="314"/>
      <c r="BO126" s="314"/>
      <c r="BP126" s="314"/>
      <c r="BQ126" s="314"/>
      <c r="BR126" s="314"/>
      <c r="BS126" s="314"/>
      <c r="BT126" s="2489"/>
      <c r="BU126" s="314"/>
      <c r="BV126" s="314"/>
      <c r="BW126" s="314"/>
      <c r="BX126" s="314"/>
      <c r="BY126" s="314"/>
      <c r="BZ126" s="314"/>
      <c r="CA126" s="314"/>
      <c r="CB126" s="314"/>
      <c r="CC126" s="314"/>
    </row>
    <row r="127" spans="1:81" hidden="1" outlineLevel="1">
      <c r="A127" s="483" t="s">
        <v>1109</v>
      </c>
      <c r="B127" s="484">
        <v>7.1</v>
      </c>
      <c r="C127" s="484">
        <v>5</v>
      </c>
      <c r="D127" s="484">
        <v>5</v>
      </c>
      <c r="E127" s="484">
        <v>5</v>
      </c>
      <c r="F127" s="526">
        <v>7.1</v>
      </c>
      <c r="G127" s="526">
        <v>7.1</v>
      </c>
      <c r="H127" s="526">
        <v>7.1</v>
      </c>
      <c r="I127" s="526">
        <v>7.1</v>
      </c>
      <c r="J127" s="526">
        <f t="shared" ref="J127:W127" si="198">I127</f>
        <v>7.1</v>
      </c>
      <c r="K127" s="526">
        <f t="shared" si="198"/>
        <v>7.1</v>
      </c>
      <c r="L127" s="526">
        <f t="shared" si="198"/>
        <v>7.1</v>
      </c>
      <c r="M127" s="526">
        <f t="shared" si="198"/>
        <v>7.1</v>
      </c>
      <c r="N127" s="526">
        <f t="shared" si="198"/>
        <v>7.1</v>
      </c>
      <c r="O127" s="526">
        <f t="shared" si="198"/>
        <v>7.1</v>
      </c>
      <c r="P127" s="526">
        <f t="shared" si="198"/>
        <v>7.1</v>
      </c>
      <c r="Q127" s="526">
        <f t="shared" si="198"/>
        <v>7.1</v>
      </c>
      <c r="R127" s="526">
        <f t="shared" si="198"/>
        <v>7.1</v>
      </c>
      <c r="S127" s="526">
        <f t="shared" si="198"/>
        <v>7.1</v>
      </c>
      <c r="T127" s="526">
        <f t="shared" si="198"/>
        <v>7.1</v>
      </c>
      <c r="U127" s="526">
        <f t="shared" si="198"/>
        <v>7.1</v>
      </c>
      <c r="V127" s="526">
        <f t="shared" si="198"/>
        <v>7.1</v>
      </c>
      <c r="W127" s="526">
        <f t="shared" si="198"/>
        <v>7.1</v>
      </c>
      <c r="X127" s="526">
        <f t="shared" ref="X127:AD127" si="199">W127</f>
        <v>7.1</v>
      </c>
      <c r="Y127" s="526">
        <f t="shared" si="199"/>
        <v>7.1</v>
      </c>
      <c r="Z127" s="526">
        <f t="shared" si="199"/>
        <v>7.1</v>
      </c>
      <c r="AA127" s="526">
        <f t="shared" si="199"/>
        <v>7.1</v>
      </c>
      <c r="AB127" s="526">
        <f t="shared" si="199"/>
        <v>7.1</v>
      </c>
      <c r="AC127" s="1254">
        <f t="shared" si="199"/>
        <v>7.1</v>
      </c>
      <c r="AD127" s="1254">
        <f t="shared" si="199"/>
        <v>7.1</v>
      </c>
      <c r="AE127" s="1254">
        <f>AD127</f>
        <v>7.1</v>
      </c>
      <c r="AF127" s="1254">
        <f>AE127</f>
        <v>7.1</v>
      </c>
      <c r="AG127" s="1254">
        <f>AF127</f>
        <v>7.1</v>
      </c>
      <c r="AH127" s="2263">
        <f>AG127</f>
        <v>7.1</v>
      </c>
      <c r="AI127" s="526"/>
      <c r="AJ127" s="526"/>
      <c r="AK127" s="526"/>
      <c r="AL127" s="526"/>
      <c r="AM127" s="526"/>
      <c r="AN127" s="526"/>
      <c r="AO127" s="526"/>
      <c r="AP127" s="526"/>
      <c r="AQ127" s="526"/>
      <c r="AR127" s="526"/>
      <c r="AS127" s="526"/>
      <c r="AT127" s="526"/>
      <c r="AU127" s="526"/>
      <c r="AV127" s="526"/>
      <c r="AW127" s="526"/>
      <c r="AX127" s="526"/>
      <c r="AY127" s="526"/>
      <c r="AZ127" s="314"/>
      <c r="BA127" s="526"/>
      <c r="BB127" s="877"/>
      <c r="BC127" s="877"/>
      <c r="BD127" s="38"/>
      <c r="BE127" s="314"/>
      <c r="BF127" s="526"/>
      <c r="BG127" s="526"/>
      <c r="BH127" s="526"/>
      <c r="BI127" s="526"/>
      <c r="BJ127" s="314"/>
      <c r="BK127" s="314"/>
      <c r="BL127" s="314"/>
      <c r="BM127" s="314"/>
      <c r="BN127" s="314"/>
      <c r="BO127" s="314"/>
      <c r="BP127" s="314"/>
      <c r="BQ127" s="314"/>
      <c r="BR127" s="314"/>
      <c r="BS127" s="314"/>
      <c r="BT127" s="2489"/>
      <c r="BU127" s="314"/>
      <c r="BV127" s="314"/>
      <c r="BW127" s="314"/>
      <c r="BX127" s="314"/>
      <c r="BY127" s="314"/>
      <c r="BZ127" s="314"/>
      <c r="CA127" s="314"/>
      <c r="CB127" s="314"/>
      <c r="CC127" s="314"/>
    </row>
    <row r="128" spans="1:81" hidden="1" outlineLevel="1">
      <c r="A128" s="508" t="s">
        <v>1120</v>
      </c>
      <c r="B128" s="527">
        <f t="shared" ref="B128:AB128" si="200">B127/100*B133</f>
        <v>6631.4</v>
      </c>
      <c r="C128" s="527">
        <f t="shared" si="200"/>
        <v>4725</v>
      </c>
      <c r="D128" s="527">
        <f t="shared" si="200"/>
        <v>4775</v>
      </c>
      <c r="E128" s="527">
        <f t="shared" si="200"/>
        <v>4725</v>
      </c>
      <c r="F128" s="517">
        <f t="shared" si="200"/>
        <v>6808.9</v>
      </c>
      <c r="G128" s="517">
        <f t="shared" si="200"/>
        <v>6911.0334999999986</v>
      </c>
      <c r="H128" s="517">
        <f t="shared" si="200"/>
        <v>7014.6990024999968</v>
      </c>
      <c r="I128" s="517">
        <f t="shared" si="200"/>
        <v>7119.919487537496</v>
      </c>
      <c r="J128" s="517">
        <f t="shared" si="200"/>
        <v>7226.7182798505573</v>
      </c>
      <c r="K128" s="517">
        <f t="shared" si="200"/>
        <v>7335.1190540483158</v>
      </c>
      <c r="L128" s="517">
        <f t="shared" si="200"/>
        <v>7445.1458398590403</v>
      </c>
      <c r="M128" s="517">
        <f t="shared" si="200"/>
        <v>7556.823027456925</v>
      </c>
      <c r="N128" s="517">
        <f t="shared" si="200"/>
        <v>7670.1753728687781</v>
      </c>
      <c r="O128" s="517">
        <f t="shared" si="200"/>
        <v>7785.2280034618097</v>
      </c>
      <c r="P128" s="517">
        <f t="shared" si="200"/>
        <v>7902.0064235137361</v>
      </c>
      <c r="Q128" s="517">
        <f t="shared" si="200"/>
        <v>8020.5365198664422</v>
      </c>
      <c r="R128" s="517">
        <f t="shared" si="200"/>
        <v>8140.8445676644378</v>
      </c>
      <c r="S128" s="517">
        <f t="shared" si="200"/>
        <v>8262.9572361794035</v>
      </c>
      <c r="T128" s="517">
        <f t="shared" si="200"/>
        <v>8386.9015947220942</v>
      </c>
      <c r="U128" s="517">
        <f t="shared" si="200"/>
        <v>8512.7051186429235</v>
      </c>
      <c r="V128" s="517">
        <f t="shared" si="200"/>
        <v>8640.3956954225669</v>
      </c>
      <c r="W128" s="517">
        <f t="shared" si="200"/>
        <v>8770.0016308539052</v>
      </c>
      <c r="X128" s="517">
        <f t="shared" si="200"/>
        <v>8901.5516553167126</v>
      </c>
      <c r="Y128" s="517">
        <f t="shared" si="200"/>
        <v>9035.0749301464621</v>
      </c>
      <c r="Z128" s="517">
        <f t="shared" si="200"/>
        <v>9170.6010540986572</v>
      </c>
      <c r="AA128" s="517">
        <f t="shared" si="200"/>
        <v>9308.1600699101364</v>
      </c>
      <c r="AB128" s="517">
        <f t="shared" si="200"/>
        <v>9447.7824709587876</v>
      </c>
      <c r="AC128" s="527">
        <f t="shared" ref="AC128:AH128" si="201">AC127/100*AC133</f>
        <v>9589.4992080231696</v>
      </c>
      <c r="AD128" s="527">
        <f t="shared" si="201"/>
        <v>9733.3416961435159</v>
      </c>
      <c r="AE128" s="527">
        <f t="shared" si="201"/>
        <v>9879.3418215856673</v>
      </c>
      <c r="AF128" s="527">
        <f t="shared" si="201"/>
        <v>10027.531948909451</v>
      </c>
      <c r="AG128" s="527">
        <f t="shared" si="201"/>
        <v>10177.944928143092</v>
      </c>
      <c r="AH128" s="2221">
        <f t="shared" si="201"/>
        <v>10330.614102065236</v>
      </c>
      <c r="AI128" s="517"/>
      <c r="AJ128" s="517"/>
      <c r="AK128" s="517"/>
      <c r="AL128" s="517"/>
      <c r="AM128" s="517"/>
      <c r="AN128" s="517"/>
      <c r="AO128" s="517"/>
      <c r="AP128" s="517"/>
      <c r="AQ128" s="517"/>
      <c r="AR128" s="517"/>
      <c r="AS128" s="517"/>
      <c r="AT128" s="517"/>
      <c r="AU128" s="517"/>
      <c r="AV128" s="517"/>
      <c r="AW128" s="517"/>
      <c r="AX128" s="517"/>
      <c r="AY128" s="517"/>
      <c r="AZ128" s="314"/>
      <c r="BA128" s="1430"/>
      <c r="BB128" s="877"/>
      <c r="BC128" s="877"/>
      <c r="BD128" s="38"/>
      <c r="BE128" s="314"/>
      <c r="BF128" s="1430"/>
      <c r="BG128" s="1430"/>
      <c r="BH128" s="1430"/>
      <c r="BI128" s="517"/>
      <c r="BJ128" s="314"/>
      <c r="BK128" s="314"/>
      <c r="BL128" s="314"/>
      <c r="BM128" s="314"/>
      <c r="BN128" s="314"/>
      <c r="BO128" s="314"/>
      <c r="BP128" s="314"/>
      <c r="BQ128" s="314"/>
      <c r="BR128" s="314"/>
      <c r="BS128" s="314"/>
      <c r="BT128" s="2489"/>
      <c r="BU128" s="314"/>
      <c r="BV128" s="314"/>
      <c r="BW128" s="314"/>
      <c r="BX128" s="314"/>
      <c r="BY128" s="314"/>
      <c r="BZ128" s="314"/>
      <c r="CA128" s="314"/>
      <c r="CB128" s="314"/>
      <c r="CC128" s="314"/>
    </row>
    <row r="129" spans="1:81" hidden="1" outlineLevel="1">
      <c r="A129" s="483" t="s">
        <v>1111</v>
      </c>
      <c r="B129" s="528">
        <f t="shared" ref="B129:AB129" si="202">+B124/B128</f>
        <v>7.89373807242292</v>
      </c>
      <c r="C129" s="528">
        <f t="shared" si="202"/>
        <v>12.078989386681695</v>
      </c>
      <c r="D129" s="528">
        <f t="shared" si="202"/>
        <v>14.406735028966201</v>
      </c>
      <c r="E129" s="528">
        <f t="shared" si="202"/>
        <v>15.634294480448327</v>
      </c>
      <c r="F129" s="520">
        <f t="shared" si="202"/>
        <v>13.671842185082923</v>
      </c>
      <c r="G129" s="520">
        <f t="shared" si="202"/>
        <v>10.297451645690215</v>
      </c>
      <c r="H129" s="520">
        <f t="shared" si="202"/>
        <v>12.94331989168731</v>
      </c>
      <c r="I129" s="520">
        <f t="shared" si="202"/>
        <v>14.569304597260729</v>
      </c>
      <c r="J129" s="520">
        <f t="shared" si="202"/>
        <v>12.636405433129708</v>
      </c>
      <c r="K129" s="520">
        <f t="shared" si="202"/>
        <v>12.652180319742021</v>
      </c>
      <c r="L129" s="520">
        <f t="shared" si="202"/>
        <v>16.790025878642258</v>
      </c>
      <c r="M129" s="520">
        <f t="shared" si="202"/>
        <v>17.163274426954665</v>
      </c>
      <c r="N129" s="520">
        <f t="shared" si="202"/>
        <v>17.838825897112105</v>
      </c>
      <c r="O129" s="520">
        <f t="shared" si="202"/>
        <v>22.140056082974059</v>
      </c>
      <c r="P129" s="520">
        <f t="shared" si="202"/>
        <v>20.977541745851557</v>
      </c>
      <c r="Q129" s="520">
        <f t="shared" si="202"/>
        <v>19.235753706327678</v>
      </c>
      <c r="R129" s="520">
        <f t="shared" si="202"/>
        <v>24.41388341535858</v>
      </c>
      <c r="S129" s="520">
        <f t="shared" si="202"/>
        <v>22.105366159528607</v>
      </c>
      <c r="T129" s="520">
        <f t="shared" si="202"/>
        <v>19.248603570812516</v>
      </c>
      <c r="U129" s="520">
        <f t="shared" si="202"/>
        <v>19.441340429364807</v>
      </c>
      <c r="V129" s="520">
        <f t="shared" si="202"/>
        <v>19.636007167999452</v>
      </c>
      <c r="W129" s="520">
        <f t="shared" si="202"/>
        <v>19.832623110664979</v>
      </c>
      <c r="X129" s="520">
        <f t="shared" si="202"/>
        <v>20.031207774801199</v>
      </c>
      <c r="Y129" s="520">
        <f t="shared" si="202"/>
        <v>20.231780873276641</v>
      </c>
      <c r="Z129" s="520">
        <f t="shared" si="202"/>
        <v>20.434362316345396</v>
      </c>
      <c r="AA129" s="520">
        <f t="shared" si="202"/>
        <v>20.638972213623539</v>
      </c>
      <c r="AB129" s="520">
        <f t="shared" si="202"/>
        <v>20.845630876085348</v>
      </c>
      <c r="AC129" s="528">
        <f t="shared" ref="AC129:AH129" si="203">+AC124/AC128</f>
        <v>21.05435881807951</v>
      </c>
      <c r="AD129" s="528">
        <f t="shared" si="203"/>
        <v>21.26517675936552</v>
      </c>
      <c r="AE129" s="528">
        <f t="shared" si="203"/>
        <v>21.478105627170461</v>
      </c>
      <c r="AF129" s="528">
        <f t="shared" si="203"/>
        <v>21.693166558266373</v>
      </c>
      <c r="AG129" s="528">
        <f t="shared" si="203"/>
        <v>21.91038090106845</v>
      </c>
      <c r="AH129" s="2222">
        <f t="shared" si="203"/>
        <v>22.129770217754228</v>
      </c>
      <c r="AI129" s="520"/>
      <c r="AJ129" s="520"/>
      <c r="AK129" s="520"/>
      <c r="AL129" s="520"/>
      <c r="AM129" s="520"/>
      <c r="AN129" s="520"/>
      <c r="AO129" s="520"/>
      <c r="AP129" s="520"/>
      <c r="AQ129" s="520"/>
      <c r="AR129" s="520"/>
      <c r="AS129" s="520"/>
      <c r="AT129" s="520"/>
      <c r="AU129" s="520"/>
      <c r="AV129" s="520"/>
      <c r="AW129" s="520"/>
      <c r="AX129" s="520"/>
      <c r="AY129" s="520"/>
      <c r="AZ129" s="314"/>
      <c r="BA129" s="1431"/>
      <c r="BB129" s="877"/>
      <c r="BC129" s="877"/>
      <c r="BD129" s="38"/>
      <c r="BE129" s="314"/>
      <c r="BF129" s="1431"/>
      <c r="BG129" s="1431"/>
      <c r="BH129" s="1431"/>
      <c r="BI129" s="520"/>
      <c r="BJ129" s="314"/>
      <c r="BK129" s="314"/>
      <c r="BL129" s="314"/>
      <c r="BM129" s="314"/>
      <c r="BN129" s="314"/>
      <c r="BO129" s="314"/>
      <c r="BP129" s="314"/>
      <c r="BQ129" s="314"/>
      <c r="BR129" s="314"/>
      <c r="BS129" s="314"/>
      <c r="BT129" s="2489"/>
      <c r="BU129" s="314"/>
      <c r="BV129" s="314"/>
      <c r="BW129" s="314"/>
      <c r="BX129" s="314"/>
      <c r="BY129" s="314"/>
      <c r="BZ129" s="314"/>
      <c r="CA129" s="314"/>
      <c r="CB129" s="314"/>
      <c r="CC129" s="314"/>
    </row>
    <row r="130" spans="1:81" hidden="1" outlineLevel="1">
      <c r="A130" s="508" t="s">
        <v>676</v>
      </c>
      <c r="B130" s="529"/>
      <c r="C130" s="530">
        <f t="shared" ref="C130:N130" si="204">+C129/B129-1</f>
        <v>0.53019890904159994</v>
      </c>
      <c r="D130" s="530">
        <f t="shared" si="204"/>
        <v>0.19271029783758897</v>
      </c>
      <c r="E130" s="530">
        <f t="shared" si="204"/>
        <v>8.5207331780170481E-2</v>
      </c>
      <c r="F130" s="530">
        <f t="shared" si="204"/>
        <v>-0.1255222803830115</v>
      </c>
      <c r="G130" s="530">
        <f t="shared" si="204"/>
        <v>-0.24681315756222222</v>
      </c>
      <c r="H130" s="530">
        <f t="shared" si="204"/>
        <v>0.25694398352474601</v>
      </c>
      <c r="I130" s="530">
        <f t="shared" si="204"/>
        <v>0.12562346594073515</v>
      </c>
      <c r="J130" s="530">
        <f t="shared" si="204"/>
        <v>-0.13266928089995711</v>
      </c>
      <c r="K130" s="530">
        <f t="shared" si="204"/>
        <v>1.2483681926629409E-3</v>
      </c>
      <c r="L130" s="530">
        <f t="shared" si="204"/>
        <v>0.32704604695237283</v>
      </c>
      <c r="M130" s="530">
        <f t="shared" si="204"/>
        <v>2.223037361646929E-2</v>
      </c>
      <c r="N130" s="530">
        <f t="shared" si="204"/>
        <v>3.9360290662048492E-2</v>
      </c>
      <c r="O130" s="530">
        <f t="shared" ref="O130:T130" si="205">+O129/N129-1</f>
        <v>0.24111621530866967</v>
      </c>
      <c r="P130" s="530">
        <f t="shared" si="205"/>
        <v>-5.2507289627711784E-2</v>
      </c>
      <c r="Q130" s="530">
        <f t="shared" si="205"/>
        <v>-8.3031084415233214E-2</v>
      </c>
      <c r="R130" s="530">
        <f t="shared" si="205"/>
        <v>0.26919297200855374</v>
      </c>
      <c r="S130" s="530">
        <f t="shared" si="205"/>
        <v>-9.4557560407522168E-2</v>
      </c>
      <c r="T130" s="530">
        <f t="shared" si="205"/>
        <v>-0.12923389588299905</v>
      </c>
      <c r="U130" s="531">
        <f>+AVERAGE(O130:T130)</f>
        <v>2.5163226163959534E-2</v>
      </c>
      <c r="V130" s="531">
        <f t="shared" ref="V130:AA130" si="206">+U130</f>
        <v>2.5163226163959534E-2</v>
      </c>
      <c r="W130" s="531">
        <f t="shared" si="206"/>
        <v>2.5163226163959534E-2</v>
      </c>
      <c r="X130" s="531">
        <f t="shared" si="206"/>
        <v>2.5163226163959534E-2</v>
      </c>
      <c r="Y130" s="531">
        <f t="shared" si="206"/>
        <v>2.5163226163959534E-2</v>
      </c>
      <c r="Z130" s="531">
        <f t="shared" si="206"/>
        <v>2.5163226163959534E-2</v>
      </c>
      <c r="AA130" s="531">
        <f t="shared" si="206"/>
        <v>2.5163226163959534E-2</v>
      </c>
      <c r="AB130" s="531">
        <f t="shared" ref="AB130:AH130" si="207">+AA130</f>
        <v>2.5163226163959534E-2</v>
      </c>
      <c r="AC130" s="531">
        <f t="shared" si="207"/>
        <v>2.5163226163959534E-2</v>
      </c>
      <c r="AD130" s="531">
        <f t="shared" si="207"/>
        <v>2.5163226163959534E-2</v>
      </c>
      <c r="AE130" s="531">
        <f t="shared" si="207"/>
        <v>2.5163226163959534E-2</v>
      </c>
      <c r="AF130" s="531">
        <f t="shared" si="207"/>
        <v>2.5163226163959534E-2</v>
      </c>
      <c r="AG130" s="531">
        <f t="shared" si="207"/>
        <v>2.5163226163959534E-2</v>
      </c>
      <c r="AH130" s="2264">
        <f t="shared" si="207"/>
        <v>2.5163226163959534E-2</v>
      </c>
      <c r="AI130" s="531"/>
      <c r="AJ130" s="531"/>
      <c r="AK130" s="531"/>
      <c r="AL130" s="531"/>
      <c r="AM130" s="531"/>
      <c r="AN130" s="531"/>
      <c r="AO130" s="531"/>
      <c r="AP130" s="531"/>
      <c r="AQ130" s="531"/>
      <c r="AR130" s="531"/>
      <c r="AS130" s="531"/>
      <c r="AT130" s="531"/>
      <c r="AU130" s="531"/>
      <c r="AV130" s="531"/>
      <c r="AW130" s="531"/>
      <c r="AX130" s="531"/>
      <c r="AY130" s="531"/>
      <c r="AZ130" s="314"/>
      <c r="BA130" s="531"/>
      <c r="BB130" s="877"/>
      <c r="BC130" s="877"/>
      <c r="BD130" s="38"/>
      <c r="BE130" s="314"/>
      <c r="BF130" s="1614"/>
      <c r="BG130" s="1614"/>
      <c r="BH130" s="1614"/>
      <c r="BI130" s="531"/>
      <c r="BJ130" s="314"/>
      <c r="BK130" s="314"/>
      <c r="BL130" s="314"/>
      <c r="BM130" s="314"/>
      <c r="BN130" s="314"/>
      <c r="BO130" s="314"/>
      <c r="BP130" s="314"/>
      <c r="BQ130" s="314"/>
      <c r="BR130" s="314"/>
      <c r="BS130" s="314"/>
      <c r="BT130" s="2489"/>
      <c r="BU130" s="314"/>
      <c r="BV130" s="314"/>
      <c r="BW130" s="314"/>
      <c r="BX130" s="314"/>
      <c r="BY130" s="314"/>
      <c r="BZ130" s="314"/>
      <c r="CA130" s="314"/>
      <c r="CB130" s="314"/>
      <c r="CC130" s="314"/>
    </row>
    <row r="131" spans="1:81" hidden="1" outlineLevel="1">
      <c r="A131" s="483"/>
      <c r="B131" s="483"/>
      <c r="C131" s="483"/>
      <c r="D131" s="483"/>
      <c r="E131" s="483"/>
      <c r="F131" s="314"/>
      <c r="G131" s="314"/>
      <c r="H131" s="314"/>
      <c r="I131" s="314"/>
      <c r="J131" s="314"/>
      <c r="K131" s="314"/>
      <c r="L131" s="314"/>
      <c r="M131" s="314"/>
      <c r="N131" s="314"/>
      <c r="O131" s="314"/>
      <c r="P131" s="314"/>
      <c r="Q131" s="314"/>
      <c r="R131" s="314"/>
      <c r="S131" s="314"/>
      <c r="T131" s="314"/>
      <c r="U131" s="314"/>
      <c r="V131" s="314"/>
      <c r="W131" s="314"/>
      <c r="X131" s="314"/>
      <c r="Y131" s="314"/>
      <c r="Z131" s="314"/>
      <c r="AA131" s="314"/>
      <c r="AB131" s="314"/>
      <c r="AC131" s="513"/>
      <c r="AD131" s="513"/>
      <c r="AE131" s="513"/>
      <c r="AF131" s="513"/>
      <c r="AG131" s="513"/>
      <c r="AH131" s="1628"/>
      <c r="AI131" s="314"/>
      <c r="AJ131" s="314"/>
      <c r="AK131" s="314"/>
      <c r="AL131" s="314"/>
      <c r="AM131" s="314"/>
      <c r="AN131" s="314"/>
      <c r="AO131" s="314"/>
      <c r="AP131" s="314"/>
      <c r="AQ131" s="314"/>
      <c r="AR131" s="314"/>
      <c r="AS131" s="314"/>
      <c r="AT131" s="314"/>
      <c r="AU131" s="314"/>
      <c r="AV131" s="314"/>
      <c r="AW131" s="314"/>
      <c r="AX131" s="314"/>
      <c r="AY131" s="314"/>
      <c r="AZ131" s="314"/>
      <c r="BA131" s="997"/>
      <c r="BB131" s="877"/>
      <c r="BC131" s="877"/>
      <c r="BD131" s="38"/>
      <c r="BE131" s="314"/>
      <c r="BF131" s="997"/>
      <c r="BG131" s="997"/>
      <c r="BH131" s="997"/>
      <c r="BI131" s="314"/>
      <c r="BJ131" s="314"/>
      <c r="BK131" s="314"/>
      <c r="BL131" s="314"/>
      <c r="BM131" s="314"/>
      <c r="BN131" s="314"/>
      <c r="BO131" s="314"/>
      <c r="BP131" s="314"/>
      <c r="BQ131" s="314"/>
      <c r="BR131" s="314"/>
      <c r="BS131" s="314"/>
      <c r="BT131" s="2489"/>
      <c r="BU131" s="314"/>
      <c r="BV131" s="314"/>
      <c r="BW131" s="314"/>
      <c r="BX131" s="314"/>
      <c r="BY131" s="314"/>
      <c r="BZ131" s="314"/>
      <c r="CA131" s="314"/>
      <c r="CB131" s="314"/>
      <c r="CC131" s="314"/>
    </row>
    <row r="132" spans="1:81" hidden="1" outlineLevel="1">
      <c r="A132" s="498" t="s">
        <v>1121</v>
      </c>
      <c r="B132" s="498"/>
      <c r="C132" s="498"/>
      <c r="D132" s="498"/>
      <c r="E132" s="498"/>
      <c r="F132" s="314"/>
      <c r="G132" s="314"/>
      <c r="H132" s="314"/>
      <c r="I132" s="314"/>
      <c r="J132" s="314"/>
      <c r="K132" s="314"/>
      <c r="L132" s="314"/>
      <c r="M132" s="314"/>
      <c r="N132" s="314"/>
      <c r="O132" s="314"/>
      <c r="P132" s="314"/>
      <c r="Q132" s="314"/>
      <c r="R132" s="314"/>
      <c r="S132" s="314"/>
      <c r="T132" s="314"/>
      <c r="U132" s="314"/>
      <c r="V132" s="314"/>
      <c r="W132" s="314"/>
      <c r="X132" s="314"/>
      <c r="Y132" s="314"/>
      <c r="Z132" s="314"/>
      <c r="AA132" s="314"/>
      <c r="AB132" s="314"/>
      <c r="AC132" s="513"/>
      <c r="AD132" s="513"/>
      <c r="AE132" s="513"/>
      <c r="AF132" s="513"/>
      <c r="AG132" s="513"/>
      <c r="AH132" s="1628"/>
      <c r="AI132" s="314"/>
      <c r="AJ132" s="314"/>
      <c r="AK132" s="314"/>
      <c r="AL132" s="314"/>
      <c r="AM132" s="314"/>
      <c r="AN132" s="314"/>
      <c r="AO132" s="314"/>
      <c r="AP132" s="314"/>
      <c r="AQ132" s="314"/>
      <c r="AR132" s="314"/>
      <c r="AS132" s="314"/>
      <c r="AT132" s="314"/>
      <c r="AU132" s="314"/>
      <c r="AV132" s="314"/>
      <c r="AW132" s="314"/>
      <c r="AX132" s="314"/>
      <c r="AY132" s="314"/>
      <c r="AZ132" s="314"/>
      <c r="BA132" s="997"/>
      <c r="BB132" s="877"/>
      <c r="BC132" s="877"/>
      <c r="BD132" s="38"/>
      <c r="BE132" s="314"/>
      <c r="BF132" s="997"/>
      <c r="BG132" s="997"/>
      <c r="BH132" s="997"/>
      <c r="BI132" s="314"/>
      <c r="BJ132" s="314"/>
      <c r="BK132" s="314"/>
      <c r="BL132" s="314"/>
      <c r="BM132" s="314"/>
      <c r="BN132" s="314"/>
      <c r="BO132" s="314"/>
      <c r="BP132" s="314"/>
      <c r="BQ132" s="314"/>
      <c r="BR132" s="314"/>
      <c r="BS132" s="314"/>
      <c r="BT132" s="2489"/>
      <c r="BU132" s="314"/>
      <c r="BV132" s="314"/>
      <c r="BW132" s="314"/>
      <c r="BX132" s="314"/>
      <c r="BY132" s="314"/>
      <c r="BZ132" s="314"/>
      <c r="CA132" s="314"/>
      <c r="CB132" s="314"/>
      <c r="CC132" s="314"/>
    </row>
    <row r="133" spans="1:81" hidden="1" outlineLevel="1">
      <c r="A133" s="529" t="s">
        <v>1124</v>
      </c>
      <c r="B133" s="527">
        <f>B134</f>
        <v>93400</v>
      </c>
      <c r="C133" s="527">
        <f>C134</f>
        <v>94500</v>
      </c>
      <c r="D133" s="527">
        <f>D134</f>
        <v>95500</v>
      </c>
      <c r="E133" s="1066">
        <f>C133</f>
        <v>94500</v>
      </c>
      <c r="F133" s="527">
        <f t="shared" ref="F133:AH133" si="208">F134</f>
        <v>95900</v>
      </c>
      <c r="G133" s="527">
        <f t="shared" si="208"/>
        <v>97338.499999999985</v>
      </c>
      <c r="H133" s="527">
        <f t="shared" si="208"/>
        <v>98798.57749999997</v>
      </c>
      <c r="I133" s="527">
        <f t="shared" si="208"/>
        <v>100280.55616249995</v>
      </c>
      <c r="J133" s="527">
        <f t="shared" si="208"/>
        <v>101784.76450493744</v>
      </c>
      <c r="K133" s="527">
        <f t="shared" si="208"/>
        <v>103311.5359725115</v>
      </c>
      <c r="L133" s="527">
        <f t="shared" si="208"/>
        <v>104861.20901209916</v>
      </c>
      <c r="M133" s="527">
        <f t="shared" si="208"/>
        <v>106434.12714728064</v>
      </c>
      <c r="N133" s="527">
        <f t="shared" si="208"/>
        <v>108030.63905448985</v>
      </c>
      <c r="O133" s="527">
        <f t="shared" si="208"/>
        <v>109651.09864030719</v>
      </c>
      <c r="P133" s="527">
        <f t="shared" si="208"/>
        <v>111295.86511991179</v>
      </c>
      <c r="Q133" s="527">
        <f t="shared" si="208"/>
        <v>112965.30309671046</v>
      </c>
      <c r="R133" s="527">
        <f t="shared" si="208"/>
        <v>114659.7826431611</v>
      </c>
      <c r="S133" s="527">
        <f t="shared" si="208"/>
        <v>116379.67938280851</v>
      </c>
      <c r="T133" s="527">
        <f t="shared" si="208"/>
        <v>118125.37457355062</v>
      </c>
      <c r="U133" s="527">
        <f t="shared" si="208"/>
        <v>119897.25519215387</v>
      </c>
      <c r="V133" s="527">
        <f t="shared" si="208"/>
        <v>121695.71402003616</v>
      </c>
      <c r="W133" s="527">
        <f t="shared" si="208"/>
        <v>123521.14973033669</v>
      </c>
      <c r="X133" s="527">
        <f t="shared" si="208"/>
        <v>125373.96697629173</v>
      </c>
      <c r="Y133" s="527">
        <f t="shared" si="208"/>
        <v>127254.5764809361</v>
      </c>
      <c r="Z133" s="527">
        <f t="shared" si="208"/>
        <v>129163.39512815012</v>
      </c>
      <c r="AA133" s="527">
        <f t="shared" si="208"/>
        <v>131100.84605507235</v>
      </c>
      <c r="AB133" s="527">
        <f t="shared" si="208"/>
        <v>133067.35874589844</v>
      </c>
      <c r="AC133" s="527">
        <f t="shared" si="208"/>
        <v>135063.36912708692</v>
      </c>
      <c r="AD133" s="527">
        <f t="shared" si="208"/>
        <v>137089.3196639932</v>
      </c>
      <c r="AE133" s="527">
        <f t="shared" si="208"/>
        <v>139145.65945895307</v>
      </c>
      <c r="AF133" s="527">
        <f t="shared" si="208"/>
        <v>141232.84435083735</v>
      </c>
      <c r="AG133" s="527">
        <f t="shared" si="208"/>
        <v>143351.33701609989</v>
      </c>
      <c r="AH133" s="2221">
        <f t="shared" si="208"/>
        <v>145501.60707134136</v>
      </c>
      <c r="AI133" s="527"/>
      <c r="AJ133" s="527"/>
      <c r="AK133" s="527"/>
      <c r="AL133" s="527"/>
      <c r="AM133" s="527"/>
      <c r="AN133" s="527"/>
      <c r="AO133" s="527"/>
      <c r="AP133" s="527"/>
      <c r="AQ133" s="527"/>
      <c r="AR133" s="527"/>
      <c r="AS133" s="527"/>
      <c r="AT133" s="527"/>
      <c r="AU133" s="527"/>
      <c r="AV133" s="527"/>
      <c r="AW133" s="527"/>
      <c r="AX133" s="527"/>
      <c r="AY133" s="527"/>
      <c r="AZ133" s="513"/>
      <c r="BA133" s="1434"/>
      <c r="BB133" s="877"/>
      <c r="BC133" s="877"/>
      <c r="BD133" s="38"/>
      <c r="BE133" s="513"/>
      <c r="BF133" s="1434"/>
      <c r="BG133" s="1434"/>
      <c r="BH133" s="1434"/>
      <c r="BI133" s="527"/>
      <c r="BJ133" s="513"/>
      <c r="BK133" s="513"/>
      <c r="BL133" s="513"/>
      <c r="BM133" s="513"/>
      <c r="BN133" s="513"/>
      <c r="BO133" s="513"/>
      <c r="BP133" s="513"/>
      <c r="BQ133" s="513"/>
      <c r="BR133" s="513"/>
      <c r="BS133" s="513"/>
      <c r="BT133" s="2495"/>
      <c r="BU133" s="513"/>
      <c r="BV133" s="513"/>
      <c r="BW133" s="513"/>
      <c r="BX133" s="513"/>
      <c r="BY133" s="513"/>
      <c r="BZ133" s="513"/>
      <c r="CA133" s="513"/>
      <c r="CB133" s="513"/>
      <c r="CC133" s="513"/>
    </row>
    <row r="134" spans="1:81" hidden="1" outlineLevel="1">
      <c r="A134" s="529" t="s">
        <v>1125</v>
      </c>
      <c r="B134" s="1067">
        <v>93400</v>
      </c>
      <c r="C134" s="1067">
        <v>94500</v>
      </c>
      <c r="D134" s="1067">
        <v>95500</v>
      </c>
      <c r="E134" s="1066">
        <f>C134</f>
        <v>94500</v>
      </c>
      <c r="F134" s="1067">
        <v>95900</v>
      </c>
      <c r="G134" s="1067">
        <f t="shared" ref="G134:W134" si="209">+F134*1.015</f>
        <v>97338.499999999985</v>
      </c>
      <c r="H134" s="1067">
        <f t="shared" si="209"/>
        <v>98798.57749999997</v>
      </c>
      <c r="I134" s="1067">
        <f t="shared" si="209"/>
        <v>100280.55616249995</v>
      </c>
      <c r="J134" s="1067">
        <f t="shared" si="209"/>
        <v>101784.76450493744</v>
      </c>
      <c r="K134" s="1067">
        <f t="shared" si="209"/>
        <v>103311.5359725115</v>
      </c>
      <c r="L134" s="1067">
        <f t="shared" si="209"/>
        <v>104861.20901209916</v>
      </c>
      <c r="M134" s="1067">
        <f t="shared" si="209"/>
        <v>106434.12714728064</v>
      </c>
      <c r="N134" s="1067">
        <f t="shared" si="209"/>
        <v>108030.63905448985</v>
      </c>
      <c r="O134" s="1067">
        <f t="shared" si="209"/>
        <v>109651.09864030719</v>
      </c>
      <c r="P134" s="1067">
        <f t="shared" si="209"/>
        <v>111295.86511991179</v>
      </c>
      <c r="Q134" s="1067">
        <f t="shared" si="209"/>
        <v>112965.30309671046</v>
      </c>
      <c r="R134" s="1067">
        <f t="shared" si="209"/>
        <v>114659.7826431611</v>
      </c>
      <c r="S134" s="1067">
        <f t="shared" si="209"/>
        <v>116379.67938280851</v>
      </c>
      <c r="T134" s="1067">
        <f t="shared" si="209"/>
        <v>118125.37457355062</v>
      </c>
      <c r="U134" s="1067">
        <f t="shared" si="209"/>
        <v>119897.25519215387</v>
      </c>
      <c r="V134" s="1067">
        <f t="shared" si="209"/>
        <v>121695.71402003616</v>
      </c>
      <c r="W134" s="1067">
        <f t="shared" si="209"/>
        <v>123521.14973033669</v>
      </c>
      <c r="X134" s="1067">
        <f t="shared" ref="X134:AD134" si="210">+W134*1.015</f>
        <v>125373.96697629173</v>
      </c>
      <c r="Y134" s="1067">
        <f t="shared" si="210"/>
        <v>127254.5764809361</v>
      </c>
      <c r="Z134" s="1067">
        <f t="shared" si="210"/>
        <v>129163.39512815012</v>
      </c>
      <c r="AA134" s="1067">
        <f t="shared" si="210"/>
        <v>131100.84605507235</v>
      </c>
      <c r="AB134" s="1067">
        <f t="shared" si="210"/>
        <v>133067.35874589844</v>
      </c>
      <c r="AC134" s="1067">
        <f t="shared" si="210"/>
        <v>135063.36912708692</v>
      </c>
      <c r="AD134" s="1067">
        <f t="shared" si="210"/>
        <v>137089.3196639932</v>
      </c>
      <c r="AE134" s="1067">
        <f>+AD134*1.015</f>
        <v>139145.65945895307</v>
      </c>
      <c r="AF134" s="1067">
        <f>+AE134*1.015</f>
        <v>141232.84435083735</v>
      </c>
      <c r="AG134" s="1067">
        <f>+AF134*1.015</f>
        <v>143351.33701609989</v>
      </c>
      <c r="AH134" s="2265">
        <f>+AG134*1.015</f>
        <v>145501.60707134136</v>
      </c>
      <c r="AI134" s="1067"/>
      <c r="AJ134" s="1067"/>
      <c r="AK134" s="1067"/>
      <c r="AL134" s="1067"/>
      <c r="AM134" s="1067"/>
      <c r="AN134" s="1067"/>
      <c r="AO134" s="1067"/>
      <c r="AP134" s="1067"/>
      <c r="AQ134" s="1067"/>
      <c r="AR134" s="1067"/>
      <c r="AS134" s="1067"/>
      <c r="AT134" s="1067"/>
      <c r="AU134" s="1067"/>
      <c r="AV134" s="1067"/>
      <c r="AW134" s="1067"/>
      <c r="AX134" s="1067"/>
      <c r="AY134" s="1067"/>
      <c r="AZ134" s="513"/>
      <c r="BA134" s="1067"/>
      <c r="BB134" s="877"/>
      <c r="BC134" s="877"/>
      <c r="BD134" s="38"/>
      <c r="BE134" s="513"/>
      <c r="BF134" s="1067"/>
      <c r="BG134" s="1067"/>
      <c r="BH134" s="1067"/>
      <c r="BI134" s="1067"/>
      <c r="BJ134" s="513"/>
      <c r="BK134" s="513"/>
      <c r="BL134" s="513"/>
      <c r="BM134" s="513"/>
      <c r="BN134" s="513"/>
      <c r="BO134" s="513"/>
      <c r="BP134" s="513"/>
      <c r="BQ134" s="513"/>
      <c r="BR134" s="513"/>
      <c r="BS134" s="513"/>
      <c r="BT134" s="2495"/>
      <c r="BU134" s="513"/>
      <c r="BV134" s="513"/>
      <c r="BW134" s="513"/>
      <c r="BX134" s="513"/>
      <c r="BY134" s="513"/>
      <c r="BZ134" s="513"/>
      <c r="CA134" s="513"/>
      <c r="CB134" s="513"/>
      <c r="CC134" s="513"/>
    </row>
    <row r="135" spans="1:81" hidden="1" outlineLevel="1">
      <c r="A135" s="484" t="s">
        <v>1126</v>
      </c>
      <c r="B135" s="527">
        <f t="shared" ref="B135:W135" si="211">(B136/1000*B133)+(B137/1000*B133)</f>
        <v>119738.8</v>
      </c>
      <c r="C135" s="527">
        <f t="shared" si="211"/>
        <v>121149</v>
      </c>
      <c r="D135" s="527">
        <f t="shared" si="211"/>
        <v>122431</v>
      </c>
      <c r="E135" s="527">
        <f t="shared" si="211"/>
        <v>121149</v>
      </c>
      <c r="F135" s="527">
        <f t="shared" si="211"/>
        <v>122943.8</v>
      </c>
      <c r="G135" s="527">
        <f t="shared" si="211"/>
        <v>124787.95699999999</v>
      </c>
      <c r="H135" s="527">
        <f t="shared" si="211"/>
        <v>126659.77635499997</v>
      </c>
      <c r="I135" s="527">
        <f t="shared" si="211"/>
        <v>128559.67300032494</v>
      </c>
      <c r="J135" s="527">
        <f t="shared" si="211"/>
        <v>130488.0680953298</v>
      </c>
      <c r="K135" s="527">
        <f t="shared" si="211"/>
        <v>132445.38911675973</v>
      </c>
      <c r="L135" s="527">
        <f t="shared" si="211"/>
        <v>134432.06995351112</v>
      </c>
      <c r="M135" s="527">
        <f t="shared" si="211"/>
        <v>136448.55100281379</v>
      </c>
      <c r="N135" s="527">
        <f t="shared" si="211"/>
        <v>138495.27926785598</v>
      </c>
      <c r="O135" s="527">
        <f t="shared" si="211"/>
        <v>140572.70845687381</v>
      </c>
      <c r="P135" s="527">
        <f t="shared" si="211"/>
        <v>142681.29908372692</v>
      </c>
      <c r="Q135" s="527">
        <f t="shared" si="211"/>
        <v>144821.51856998281</v>
      </c>
      <c r="R135" s="527">
        <f t="shared" si="211"/>
        <v>146993.84134853253</v>
      </c>
      <c r="S135" s="527">
        <f t="shared" si="211"/>
        <v>149198.74896876048</v>
      </c>
      <c r="T135" s="527">
        <f t="shared" si="211"/>
        <v>151436.73020329193</v>
      </c>
      <c r="U135" s="527">
        <f t="shared" si="211"/>
        <v>153708.28115634125</v>
      </c>
      <c r="V135" s="527">
        <f t="shared" si="211"/>
        <v>156013.90537368637</v>
      </c>
      <c r="W135" s="527">
        <f t="shared" si="211"/>
        <v>158354.11395429162</v>
      </c>
      <c r="X135" s="527">
        <f t="shared" ref="X135:AD135" si="212">(X136/1000*X133)+(X137/1000*X133)</f>
        <v>160729.425663606</v>
      </c>
      <c r="Y135" s="527">
        <f t="shared" si="212"/>
        <v>163140.36704856009</v>
      </c>
      <c r="Z135" s="527">
        <f t="shared" si="212"/>
        <v>165587.47255428846</v>
      </c>
      <c r="AA135" s="527">
        <f t="shared" si="212"/>
        <v>168071.28464260275</v>
      </c>
      <c r="AB135" s="527">
        <f t="shared" si="212"/>
        <v>170592.35391224182</v>
      </c>
      <c r="AC135" s="527">
        <f t="shared" si="212"/>
        <v>173151.23922092543</v>
      </c>
      <c r="AD135" s="527">
        <f t="shared" si="212"/>
        <v>175748.50780923927</v>
      </c>
      <c r="AE135" s="527">
        <f>(AE136/1000*AE133)+(AE137/1000*AE133)</f>
        <v>178384.73542637785</v>
      </c>
      <c r="AF135" s="527">
        <f>(AF136/1000*AF133)+(AF137/1000*AF133)</f>
        <v>181060.5064577735</v>
      </c>
      <c r="AG135" s="527">
        <f>(AG136/1000*AG133)+(AG137/1000*AG133)</f>
        <v>183776.41405464004</v>
      </c>
      <c r="AH135" s="2221">
        <f>(AH136/1000*AH133)+(AH137/1000*AH133)</f>
        <v>186533.06026545964</v>
      </c>
      <c r="AI135" s="527"/>
      <c r="AJ135" s="527"/>
      <c r="AK135" s="527"/>
      <c r="AL135" s="527"/>
      <c r="AM135" s="527"/>
      <c r="AN135" s="527"/>
      <c r="AO135" s="527"/>
      <c r="AP135" s="527"/>
      <c r="AQ135" s="527"/>
      <c r="AR135" s="527"/>
      <c r="AS135" s="527"/>
      <c r="AT135" s="527"/>
      <c r="AU135" s="527"/>
      <c r="AV135" s="527"/>
      <c r="AW135" s="527"/>
      <c r="AX135" s="527"/>
      <c r="AY135" s="527"/>
      <c r="AZ135" s="513"/>
      <c r="BA135" s="1434"/>
      <c r="BB135" s="877"/>
      <c r="BC135" s="877"/>
      <c r="BD135" s="38"/>
      <c r="BE135" s="513"/>
      <c r="BF135" s="1434"/>
      <c r="BG135" s="1434"/>
      <c r="BH135" s="1434"/>
      <c r="BI135" s="527"/>
      <c r="BJ135" s="513"/>
      <c r="BK135" s="513"/>
      <c r="BL135" s="513"/>
      <c r="BM135" s="513"/>
      <c r="BN135" s="513"/>
      <c r="BO135" s="513"/>
      <c r="BP135" s="513"/>
      <c r="BQ135" s="513"/>
      <c r="BR135" s="513"/>
      <c r="BS135" s="513"/>
      <c r="BT135" s="2495"/>
      <c r="BU135" s="513"/>
      <c r="BV135" s="513"/>
      <c r="BW135" s="513"/>
      <c r="BX135" s="513"/>
      <c r="BY135" s="513"/>
      <c r="BZ135" s="513"/>
      <c r="CA135" s="513"/>
      <c r="CB135" s="513"/>
      <c r="CC135" s="513"/>
    </row>
    <row r="136" spans="1:81" hidden="1" outlineLevel="1">
      <c r="A136" s="484" t="s">
        <v>1127</v>
      </c>
      <c r="B136" s="1067">
        <v>650</v>
      </c>
      <c r="C136" s="1067">
        <v>650</v>
      </c>
      <c r="D136" s="1067">
        <v>650</v>
      </c>
      <c r="E136" s="1066">
        <f>C136</f>
        <v>650</v>
      </c>
      <c r="F136" s="1067">
        <v>650</v>
      </c>
      <c r="G136" s="1067">
        <v>650</v>
      </c>
      <c r="H136" s="1067">
        <v>650</v>
      </c>
      <c r="I136" s="1067">
        <v>650</v>
      </c>
      <c r="J136" s="1067">
        <v>650</v>
      </c>
      <c r="K136" s="1067">
        <v>650</v>
      </c>
      <c r="L136" s="1067">
        <v>650</v>
      </c>
      <c r="M136" s="1067">
        <v>650</v>
      </c>
      <c r="N136" s="1067">
        <v>650</v>
      </c>
      <c r="O136" s="1067">
        <v>650</v>
      </c>
      <c r="P136" s="1067">
        <v>650</v>
      </c>
      <c r="Q136" s="1067">
        <v>650</v>
      </c>
      <c r="R136" s="1067">
        <v>650</v>
      </c>
      <c r="S136" s="1067">
        <v>650</v>
      </c>
      <c r="T136" s="1067">
        <v>650</v>
      </c>
      <c r="U136" s="1067">
        <v>650</v>
      </c>
      <c r="V136" s="1067">
        <v>650</v>
      </c>
      <c r="W136" s="1067">
        <v>650</v>
      </c>
      <c r="X136" s="1067">
        <v>650</v>
      </c>
      <c r="Y136" s="1067">
        <v>650</v>
      </c>
      <c r="Z136" s="1067">
        <v>650</v>
      </c>
      <c r="AA136" s="1067">
        <v>650</v>
      </c>
      <c r="AB136" s="1067">
        <v>650</v>
      </c>
      <c r="AC136" s="1067">
        <v>650</v>
      </c>
      <c r="AD136" s="1067">
        <v>650</v>
      </c>
      <c r="AE136" s="1067">
        <v>650</v>
      </c>
      <c r="AF136" s="1067">
        <v>650</v>
      </c>
      <c r="AG136" s="1067">
        <v>650</v>
      </c>
      <c r="AH136" s="2265">
        <v>650</v>
      </c>
      <c r="AI136" s="1067"/>
      <c r="AJ136" s="1067"/>
      <c r="AK136" s="1067"/>
      <c r="AL136" s="1067"/>
      <c r="AM136" s="1067"/>
      <c r="AN136" s="1067"/>
      <c r="AO136" s="1067"/>
      <c r="AP136" s="1067"/>
      <c r="AQ136" s="1067"/>
      <c r="AR136" s="1067"/>
      <c r="AS136" s="1067"/>
      <c r="AT136" s="1067"/>
      <c r="AU136" s="1067"/>
      <c r="AV136" s="1067"/>
      <c r="AW136" s="1067"/>
      <c r="AX136" s="1067"/>
      <c r="AY136" s="1067"/>
      <c r="AZ136" s="513"/>
      <c r="BA136" s="1067"/>
      <c r="BB136" s="877"/>
      <c r="BC136" s="877"/>
      <c r="BD136" s="38"/>
      <c r="BE136" s="513"/>
      <c r="BF136" s="1067"/>
      <c r="BG136" s="1067"/>
      <c r="BH136" s="1067"/>
      <c r="BI136" s="1067"/>
      <c r="BJ136" s="513"/>
      <c r="BK136" s="513"/>
      <c r="BL136" s="513"/>
      <c r="BM136" s="513"/>
      <c r="BN136" s="513"/>
      <c r="BO136" s="513"/>
      <c r="BP136" s="513"/>
      <c r="BQ136" s="513"/>
      <c r="BR136" s="513"/>
      <c r="BS136" s="513"/>
      <c r="BT136" s="2495"/>
      <c r="BU136" s="513"/>
      <c r="BV136" s="513"/>
      <c r="BW136" s="513"/>
      <c r="BX136" s="513"/>
      <c r="BY136" s="513"/>
      <c r="BZ136" s="513"/>
      <c r="CA136" s="513"/>
      <c r="CB136" s="513"/>
      <c r="CC136" s="513"/>
    </row>
    <row r="137" spans="1:81" hidden="1" outlineLevel="1">
      <c r="A137" s="529" t="s">
        <v>1128</v>
      </c>
      <c r="B137" s="1067">
        <v>632</v>
      </c>
      <c r="C137" s="1067">
        <v>632</v>
      </c>
      <c r="D137" s="1067">
        <v>632</v>
      </c>
      <c r="E137" s="1066">
        <f>C137</f>
        <v>632</v>
      </c>
      <c r="F137" s="1067">
        <v>632</v>
      </c>
      <c r="G137" s="1067">
        <v>632</v>
      </c>
      <c r="H137" s="1067">
        <v>632</v>
      </c>
      <c r="I137" s="1067">
        <v>632</v>
      </c>
      <c r="J137" s="1067">
        <v>632</v>
      </c>
      <c r="K137" s="1067">
        <v>632</v>
      </c>
      <c r="L137" s="1067">
        <v>632</v>
      </c>
      <c r="M137" s="1067">
        <v>632</v>
      </c>
      <c r="N137" s="1067">
        <v>632</v>
      </c>
      <c r="O137" s="1067">
        <v>632</v>
      </c>
      <c r="P137" s="1067">
        <v>632</v>
      </c>
      <c r="Q137" s="1067">
        <v>632</v>
      </c>
      <c r="R137" s="1067">
        <v>632</v>
      </c>
      <c r="S137" s="1067">
        <v>632</v>
      </c>
      <c r="T137" s="1067">
        <v>632</v>
      </c>
      <c r="U137" s="1067">
        <v>632</v>
      </c>
      <c r="V137" s="1067">
        <v>632</v>
      </c>
      <c r="W137" s="1067">
        <v>632</v>
      </c>
      <c r="X137" s="1067">
        <v>632</v>
      </c>
      <c r="Y137" s="1067">
        <v>632</v>
      </c>
      <c r="Z137" s="1067">
        <v>632</v>
      </c>
      <c r="AA137" s="1067">
        <v>632</v>
      </c>
      <c r="AB137" s="1067">
        <v>632</v>
      </c>
      <c r="AC137" s="1067">
        <v>632</v>
      </c>
      <c r="AD137" s="1067">
        <v>632</v>
      </c>
      <c r="AE137" s="1067">
        <v>632</v>
      </c>
      <c r="AF137" s="1067">
        <v>632</v>
      </c>
      <c r="AG137" s="1067">
        <v>632</v>
      </c>
      <c r="AH137" s="2265">
        <v>632</v>
      </c>
      <c r="AI137" s="1067"/>
      <c r="AJ137" s="1067"/>
      <c r="AK137" s="1067"/>
      <c r="AL137" s="1067"/>
      <c r="AM137" s="1067"/>
      <c r="AN137" s="1067"/>
      <c r="AO137" s="1067"/>
      <c r="AP137" s="1067"/>
      <c r="AQ137" s="1067"/>
      <c r="AR137" s="1067"/>
      <c r="AS137" s="1067"/>
      <c r="AT137" s="1067"/>
      <c r="AU137" s="1067"/>
      <c r="AV137" s="1067"/>
      <c r="AW137" s="1067"/>
      <c r="AX137" s="1067"/>
      <c r="AY137" s="1067"/>
      <c r="AZ137" s="513"/>
      <c r="BA137" s="1067"/>
      <c r="BB137" s="877"/>
      <c r="BC137" s="877"/>
      <c r="BD137" s="38"/>
      <c r="BE137" s="513"/>
      <c r="BF137" s="1067"/>
      <c r="BG137" s="1067"/>
      <c r="BH137" s="1067"/>
      <c r="BI137" s="1067"/>
      <c r="BJ137" s="513"/>
      <c r="BK137" s="513"/>
      <c r="BL137" s="513"/>
      <c r="BM137" s="513"/>
      <c r="BN137" s="513"/>
      <c r="BO137" s="513"/>
      <c r="BP137" s="513"/>
      <c r="BQ137" s="513"/>
      <c r="BR137" s="513"/>
      <c r="BS137" s="513"/>
      <c r="BT137" s="2495"/>
      <c r="BU137" s="513"/>
      <c r="BV137" s="513"/>
      <c r="BW137" s="513"/>
      <c r="BX137" s="513"/>
      <c r="BY137" s="513"/>
      <c r="BZ137" s="513"/>
      <c r="CA137" s="513"/>
      <c r="CB137" s="513"/>
      <c r="CC137" s="513"/>
    </row>
    <row r="138" spans="1:81" hidden="1" outlineLevel="1">
      <c r="A138" s="513"/>
      <c r="B138" s="513"/>
      <c r="C138" s="513"/>
      <c r="D138" s="513"/>
      <c r="E138" s="513"/>
      <c r="F138" s="513"/>
      <c r="G138" s="513"/>
      <c r="H138" s="513"/>
      <c r="I138" s="513"/>
      <c r="J138" s="513"/>
      <c r="K138" s="513"/>
      <c r="L138" s="513"/>
      <c r="M138" s="513"/>
      <c r="N138" s="513"/>
      <c r="O138" s="513"/>
      <c r="P138" s="513"/>
      <c r="Q138" s="513"/>
      <c r="R138" s="513"/>
      <c r="S138" s="513"/>
      <c r="T138" s="513"/>
      <c r="U138" s="513"/>
      <c r="V138" s="513"/>
      <c r="W138" s="513"/>
      <c r="X138" s="513"/>
      <c r="Y138" s="513"/>
      <c r="Z138" s="513"/>
      <c r="AA138" s="513"/>
      <c r="AB138" s="513"/>
      <c r="AC138" s="513"/>
      <c r="AD138" s="513"/>
      <c r="AE138" s="513"/>
      <c r="AF138" s="513"/>
      <c r="AG138" s="513"/>
      <c r="AH138" s="1628"/>
      <c r="AI138" s="513"/>
      <c r="AJ138" s="513"/>
      <c r="AK138" s="513"/>
      <c r="AL138" s="513"/>
      <c r="AM138" s="513"/>
      <c r="AN138" s="513"/>
      <c r="AO138" s="513"/>
      <c r="AP138" s="513"/>
      <c r="AQ138" s="513"/>
      <c r="AR138" s="513"/>
      <c r="AS138" s="513"/>
      <c r="AT138" s="513"/>
      <c r="AU138" s="513"/>
      <c r="AV138" s="513"/>
      <c r="AW138" s="513"/>
      <c r="AX138" s="513"/>
      <c r="AY138" s="513"/>
      <c r="AZ138" s="513"/>
      <c r="BA138" s="1249"/>
      <c r="BB138" s="877"/>
      <c r="BC138" s="877"/>
      <c r="BD138" s="38"/>
      <c r="BE138" s="513"/>
      <c r="BF138" s="1249"/>
      <c r="BG138" s="1249"/>
      <c r="BH138" s="1249"/>
      <c r="BI138" s="513"/>
      <c r="BJ138" s="513"/>
      <c r="BK138" s="513"/>
      <c r="BL138" s="513"/>
      <c r="BM138" s="513"/>
      <c r="BN138" s="513"/>
      <c r="BO138" s="513"/>
      <c r="BP138" s="513"/>
      <c r="BQ138" s="513"/>
      <c r="BR138" s="513"/>
      <c r="BS138" s="513"/>
      <c r="BT138" s="2495"/>
      <c r="BU138" s="513"/>
      <c r="BV138" s="513"/>
      <c r="BW138" s="513"/>
      <c r="BX138" s="513"/>
      <c r="BY138" s="513"/>
      <c r="BZ138" s="513"/>
      <c r="CA138" s="513"/>
      <c r="CB138" s="513"/>
      <c r="CC138" s="513"/>
    </row>
    <row r="139" spans="1:81" hidden="1" outlineLevel="1">
      <c r="A139" s="513"/>
      <c r="B139" s="88"/>
      <c r="C139" s="88"/>
      <c r="D139" s="88"/>
      <c r="E139" s="88"/>
      <c r="F139" s="88"/>
      <c r="G139" s="88"/>
      <c r="H139" s="513"/>
      <c r="I139" s="513"/>
      <c r="J139" s="513"/>
      <c r="K139" s="513"/>
      <c r="L139" s="513"/>
      <c r="M139" s="513"/>
      <c r="N139" s="513"/>
      <c r="O139" s="513"/>
      <c r="P139" s="513"/>
      <c r="Q139" s="513"/>
      <c r="R139" s="513"/>
      <c r="S139" s="513"/>
      <c r="T139" s="513"/>
      <c r="U139" s="513"/>
      <c r="V139" s="513"/>
      <c r="W139" s="513"/>
      <c r="X139" s="513"/>
      <c r="Y139" s="513"/>
      <c r="Z139" s="513"/>
      <c r="AA139" s="513"/>
      <c r="AB139" s="513"/>
      <c r="AC139" s="513"/>
      <c r="AD139" s="513"/>
      <c r="AE139" s="513"/>
      <c r="AF139" s="513"/>
      <c r="AG139" s="513"/>
      <c r="AH139" s="1628"/>
      <c r="AI139" s="513"/>
      <c r="AJ139" s="513"/>
      <c r="AK139" s="513"/>
      <c r="AL139" s="513"/>
      <c r="AM139" s="513"/>
      <c r="AN139" s="513"/>
      <c r="AO139" s="513"/>
      <c r="AP139" s="513"/>
      <c r="AQ139" s="513"/>
      <c r="AR139" s="513"/>
      <c r="AS139" s="513"/>
      <c r="AT139" s="513"/>
      <c r="AU139" s="513"/>
      <c r="AV139" s="513"/>
      <c r="AW139" s="513"/>
      <c r="AX139" s="513"/>
      <c r="AY139" s="513"/>
      <c r="AZ139" s="513"/>
      <c r="BA139" s="1249"/>
      <c r="BB139" s="877"/>
      <c r="BC139" s="877"/>
      <c r="BD139" s="38"/>
      <c r="BE139" s="513"/>
      <c r="BF139" s="1249"/>
      <c r="BG139" s="1249"/>
      <c r="BH139" s="1249"/>
      <c r="BI139" s="513"/>
      <c r="BJ139" s="513"/>
      <c r="BK139" s="513"/>
      <c r="BL139" s="513"/>
      <c r="BM139" s="513"/>
      <c r="BN139" s="513"/>
      <c r="BO139" s="513"/>
      <c r="BP139" s="513"/>
      <c r="BQ139" s="513"/>
      <c r="BR139" s="513"/>
      <c r="BS139" s="513"/>
      <c r="BT139" s="2495"/>
      <c r="BU139" s="513"/>
      <c r="BV139" s="513"/>
      <c r="BW139" s="513"/>
      <c r="BX139" s="513"/>
      <c r="BY139" s="513"/>
      <c r="BZ139" s="513"/>
      <c r="CA139" s="513"/>
      <c r="CB139" s="513"/>
      <c r="CC139" s="513"/>
    </row>
    <row r="140" spans="1:81" hidden="1" outlineLevel="1">
      <c r="A140" s="906" t="s">
        <v>1266</v>
      </c>
      <c r="B140" s="510"/>
      <c r="C140" s="510"/>
      <c r="D140" s="510"/>
      <c r="E140" s="510"/>
      <c r="F140" s="510"/>
      <c r="G140" s="510"/>
      <c r="H140" s="513"/>
      <c r="I140" s="513"/>
      <c r="J140" s="513"/>
      <c r="K140" s="513"/>
      <c r="L140" s="513"/>
      <c r="M140" s="510">
        <v>110.2</v>
      </c>
      <c r="N140" s="510">
        <v>111.4</v>
      </c>
      <c r="O140" s="510">
        <v>112.8</v>
      </c>
      <c r="P140" s="510">
        <v>114.5</v>
      </c>
      <c r="Q140" s="510">
        <v>114.9</v>
      </c>
      <c r="R140" s="510">
        <v>115.9</v>
      </c>
      <c r="S140" s="510">
        <v>114.7</v>
      </c>
      <c r="T140" s="510">
        <v>114.2</v>
      </c>
      <c r="U140" s="510">
        <v>115.6</v>
      </c>
      <c r="V140" s="510">
        <v>116.3</v>
      </c>
      <c r="W140" s="510">
        <v>116.4</v>
      </c>
      <c r="X140" s="510">
        <v>118.4</v>
      </c>
      <c r="Y140" s="510">
        <v>119.6</v>
      </c>
      <c r="Z140" s="510"/>
      <c r="AA140" s="510"/>
      <c r="AB140" s="510"/>
      <c r="AC140" s="510"/>
      <c r="AD140" s="510"/>
      <c r="AE140" s="510"/>
      <c r="AF140" s="510"/>
      <c r="AG140" s="510"/>
      <c r="AH140" s="2266"/>
      <c r="AI140" s="510"/>
      <c r="AJ140" s="510"/>
      <c r="AK140" s="510"/>
      <c r="AL140" s="510"/>
      <c r="AM140" s="510"/>
      <c r="AN140" s="510"/>
      <c r="AO140" s="510"/>
      <c r="AP140" s="510"/>
      <c r="AQ140" s="510"/>
      <c r="AR140" s="510"/>
      <c r="AS140" s="510"/>
      <c r="AT140" s="510"/>
      <c r="AU140" s="510"/>
      <c r="AV140" s="510"/>
      <c r="AW140" s="510"/>
      <c r="AX140" s="510"/>
      <c r="AY140" s="510"/>
      <c r="AZ140" s="513"/>
      <c r="BA140" s="1435"/>
      <c r="BB140" s="877"/>
      <c r="BC140" s="877"/>
      <c r="BD140" s="38"/>
      <c r="BE140" s="513"/>
      <c r="BF140" s="1435"/>
      <c r="BG140" s="1435"/>
      <c r="BH140" s="1435"/>
      <c r="BI140" s="510"/>
      <c r="BJ140" s="513"/>
      <c r="BK140" s="513"/>
      <c r="BL140" s="513"/>
      <c r="BM140" s="513"/>
      <c r="BN140" s="513"/>
      <c r="BO140" s="513"/>
      <c r="BP140" s="513"/>
      <c r="BQ140" s="513"/>
      <c r="BR140" s="513"/>
      <c r="BS140" s="513"/>
      <c r="BT140" s="2495"/>
      <c r="BU140" s="513"/>
      <c r="BV140" s="513"/>
      <c r="BW140" s="513"/>
      <c r="BX140" s="513"/>
      <c r="BY140" s="513"/>
      <c r="BZ140" s="513"/>
      <c r="CA140" s="513"/>
      <c r="CB140" s="513"/>
      <c r="CC140" s="513"/>
    </row>
    <row r="141" spans="1:81" hidden="1" outlineLevel="1">
      <c r="A141" s="862" t="s">
        <v>698</v>
      </c>
      <c r="B141" s="314"/>
      <c r="C141" s="314"/>
      <c r="D141" s="314"/>
      <c r="E141" s="314"/>
      <c r="F141" s="314"/>
      <c r="G141" s="314"/>
      <c r="H141" s="314"/>
      <c r="I141" s="314"/>
      <c r="J141" s="314"/>
      <c r="K141" s="314"/>
      <c r="L141" s="314"/>
      <c r="M141" s="314"/>
      <c r="N141" s="314"/>
      <c r="O141" s="314"/>
      <c r="P141" s="314"/>
      <c r="Q141" s="314"/>
      <c r="R141" s="263">
        <v>70</v>
      </c>
      <c r="S141" s="263">
        <f>+R141*1.01</f>
        <v>70.7</v>
      </c>
      <c r="T141" s="263">
        <f t="shared" ref="T141:Y141" si="213">+S141*1.01</f>
        <v>71.406999999999996</v>
      </c>
      <c r="U141" s="263">
        <f t="shared" si="213"/>
        <v>72.121070000000003</v>
      </c>
      <c r="V141" s="263">
        <f t="shared" si="213"/>
        <v>72.842280700000003</v>
      </c>
      <c r="W141" s="263">
        <f t="shared" si="213"/>
        <v>73.570703507000005</v>
      </c>
      <c r="X141" s="263">
        <f t="shared" si="213"/>
        <v>74.306410542070012</v>
      </c>
      <c r="Y141" s="263">
        <f t="shared" si="213"/>
        <v>75.049474647490712</v>
      </c>
      <c r="Z141" s="263">
        <f t="shared" ref="Z141:AH141" si="214">+Y141*1.01</f>
        <v>75.799969393965625</v>
      </c>
      <c r="AA141" s="263">
        <f t="shared" si="214"/>
        <v>76.557969087905278</v>
      </c>
      <c r="AB141" s="263">
        <f t="shared" si="214"/>
        <v>77.323548778784328</v>
      </c>
      <c r="AC141" s="510">
        <f t="shared" si="214"/>
        <v>78.096784266572172</v>
      </c>
      <c r="AD141" s="510">
        <f t="shared" si="214"/>
        <v>78.877752109237889</v>
      </c>
      <c r="AE141" s="510">
        <f t="shared" si="214"/>
        <v>79.666529630330274</v>
      </c>
      <c r="AF141" s="510">
        <f t="shared" si="214"/>
        <v>80.463194926633577</v>
      </c>
      <c r="AG141" s="510">
        <f t="shared" si="214"/>
        <v>81.267826875899914</v>
      </c>
      <c r="AH141" s="2266">
        <f t="shared" si="214"/>
        <v>82.080505144658915</v>
      </c>
      <c r="AI141" s="263"/>
      <c r="AJ141" s="263"/>
      <c r="AK141" s="263"/>
      <c r="AL141" s="263"/>
      <c r="AM141" s="263"/>
      <c r="AN141" s="263"/>
      <c r="AO141" s="263"/>
      <c r="AP141" s="263"/>
      <c r="AQ141" s="263"/>
      <c r="AR141" s="263"/>
      <c r="AS141" s="263"/>
      <c r="AT141" s="263"/>
      <c r="AU141" s="263"/>
      <c r="AV141" s="263"/>
      <c r="AW141" s="263"/>
      <c r="AX141" s="263"/>
      <c r="AY141" s="263"/>
      <c r="AZ141" s="314"/>
      <c r="BA141" s="1436"/>
      <c r="BB141" s="877"/>
      <c r="BC141" s="877"/>
      <c r="BD141" s="38"/>
      <c r="BE141" s="314"/>
      <c r="BF141" s="1436"/>
      <c r="BG141" s="1436"/>
      <c r="BH141" s="1436"/>
      <c r="BI141" s="263"/>
      <c r="BJ141" s="314"/>
      <c r="BK141" s="314"/>
      <c r="BL141" s="314"/>
      <c r="BM141" s="314"/>
      <c r="BN141" s="314"/>
      <c r="BO141" s="314"/>
      <c r="BP141" s="314"/>
      <c r="BQ141" s="314"/>
      <c r="BR141" s="314"/>
      <c r="BS141" s="314"/>
      <c r="BT141" s="2489"/>
      <c r="BU141" s="314"/>
      <c r="BV141" s="314"/>
      <c r="BW141" s="314"/>
      <c r="BX141" s="314"/>
      <c r="BY141" s="314"/>
      <c r="BZ141" s="314"/>
      <c r="CA141" s="314"/>
      <c r="CB141" s="314"/>
      <c r="CC141" s="314"/>
    </row>
    <row r="142" spans="1:81" hidden="1" outlineLevel="1">
      <c r="A142" s="862" t="s">
        <v>1337</v>
      </c>
      <c r="B142" s="314"/>
      <c r="C142" s="314"/>
      <c r="D142" s="314"/>
      <c r="E142" s="314"/>
      <c r="F142" s="314"/>
      <c r="G142" s="314"/>
      <c r="H142" s="314"/>
      <c r="I142" s="314"/>
      <c r="J142" s="314"/>
      <c r="K142" s="314"/>
      <c r="L142" s="314"/>
      <c r="M142" s="314"/>
      <c r="N142" s="314"/>
      <c r="O142" s="314"/>
      <c r="P142" s="314"/>
      <c r="Q142" s="314"/>
      <c r="R142" s="314"/>
      <c r="S142" s="314"/>
      <c r="T142" s="314"/>
      <c r="U142" s="314"/>
      <c r="V142" s="314"/>
      <c r="W142" s="314"/>
      <c r="X142" s="314"/>
      <c r="Y142" s="314"/>
      <c r="Z142" s="314"/>
      <c r="AA142" s="314"/>
      <c r="AB142" s="314"/>
      <c r="AC142" s="513"/>
      <c r="AD142" s="513"/>
      <c r="AE142" s="513"/>
      <c r="AF142" s="513"/>
      <c r="AG142" s="513"/>
      <c r="AH142" s="1628"/>
      <c r="AI142" s="314"/>
      <c r="AJ142" s="314"/>
      <c r="AK142" s="314"/>
      <c r="AL142" s="314"/>
      <c r="AM142" s="314"/>
      <c r="AN142" s="314"/>
      <c r="AO142" s="314"/>
      <c r="AP142" s="314"/>
      <c r="AQ142" s="314"/>
      <c r="AR142" s="314"/>
      <c r="AS142" s="314"/>
      <c r="AT142" s="314"/>
      <c r="AU142" s="314"/>
      <c r="AV142" s="314"/>
      <c r="AW142" s="314"/>
      <c r="AX142" s="314"/>
      <c r="AY142" s="314"/>
      <c r="AZ142" s="314"/>
      <c r="BA142" s="997"/>
      <c r="BB142" s="877"/>
      <c r="BC142" s="877"/>
      <c r="BD142" s="38"/>
      <c r="BE142" s="314"/>
      <c r="BF142" s="997"/>
      <c r="BG142" s="997"/>
      <c r="BH142" s="997"/>
      <c r="BI142" s="314"/>
      <c r="BJ142" s="314"/>
      <c r="BK142" s="314"/>
      <c r="BL142" s="314"/>
      <c r="BM142" s="314"/>
      <c r="BN142" s="314"/>
      <c r="BO142" s="314"/>
      <c r="BP142" s="314"/>
      <c r="BQ142" s="314"/>
      <c r="BR142" s="314"/>
      <c r="BS142" s="314"/>
      <c r="BT142" s="2489"/>
      <c r="BU142" s="314"/>
      <c r="BV142" s="314"/>
      <c r="BW142" s="314"/>
      <c r="BX142" s="314"/>
      <c r="BY142" s="314"/>
      <c r="BZ142" s="314"/>
      <c r="CA142" s="314"/>
      <c r="CB142" s="314"/>
      <c r="CC142" s="314"/>
    </row>
    <row r="143" spans="1:81" hidden="1" outlineLevel="1">
      <c r="A143" s="862" t="s">
        <v>1338</v>
      </c>
      <c r="B143" s="314"/>
      <c r="C143" s="314"/>
      <c r="D143" s="314"/>
      <c r="E143" s="314"/>
      <c r="F143" s="314"/>
      <c r="G143" s="314"/>
      <c r="H143" s="314"/>
      <c r="I143" s="314"/>
      <c r="J143" s="314"/>
      <c r="K143" s="314"/>
      <c r="L143" s="314"/>
      <c r="M143" s="314"/>
      <c r="N143" s="314"/>
      <c r="O143" s="314"/>
      <c r="P143" s="314"/>
      <c r="Q143" s="314"/>
      <c r="R143" s="314"/>
      <c r="S143" s="314"/>
      <c r="T143" s="314"/>
      <c r="U143" s="314"/>
      <c r="V143" s="314"/>
      <c r="W143" s="314"/>
      <c r="X143" s="314"/>
      <c r="Y143" s="314"/>
      <c r="Z143" s="314"/>
      <c r="AA143" s="314"/>
      <c r="AB143" s="314"/>
      <c r="AC143" s="513"/>
      <c r="AD143" s="513"/>
      <c r="AE143" s="513"/>
      <c r="AF143" s="513"/>
      <c r="AG143" s="513"/>
      <c r="AH143" s="1628"/>
      <c r="AI143" s="314"/>
      <c r="AJ143" s="314"/>
      <c r="AK143" s="314"/>
      <c r="AL143" s="314"/>
      <c r="AM143" s="314"/>
      <c r="AN143" s="314"/>
      <c r="AO143" s="314"/>
      <c r="AP143" s="314"/>
      <c r="AQ143" s="314"/>
      <c r="AR143" s="314"/>
      <c r="AS143" s="314"/>
      <c r="AT143" s="314"/>
      <c r="AU143" s="314"/>
      <c r="AV143" s="314"/>
      <c r="AW143" s="314"/>
      <c r="AX143" s="314"/>
      <c r="AY143" s="314"/>
      <c r="AZ143" s="314"/>
      <c r="BA143" s="997"/>
      <c r="BB143" s="877"/>
      <c r="BC143" s="877"/>
      <c r="BD143" s="38"/>
      <c r="BE143" s="314"/>
      <c r="BF143" s="997"/>
      <c r="BG143" s="997"/>
      <c r="BH143" s="997"/>
      <c r="BI143" s="314"/>
      <c r="BJ143" s="314"/>
      <c r="BK143" s="314"/>
      <c r="BL143" s="314"/>
      <c r="BM143" s="314"/>
      <c r="BN143" s="314"/>
      <c r="BO143" s="314"/>
      <c r="BP143" s="314"/>
      <c r="BQ143" s="314"/>
      <c r="BR143" s="314"/>
      <c r="BS143" s="314"/>
      <c r="BT143" s="2489"/>
      <c r="BU143" s="314"/>
      <c r="BV143" s="314"/>
      <c r="BW143" s="314"/>
      <c r="BX143" s="314"/>
      <c r="BY143" s="314"/>
      <c r="BZ143" s="314"/>
      <c r="CA143" s="314"/>
      <c r="CB143" s="314"/>
      <c r="CC143" s="314"/>
    </row>
    <row r="144" spans="1:81" hidden="1" outlineLevel="1">
      <c r="A144" s="862" t="s">
        <v>741</v>
      </c>
      <c r="B144" s="314"/>
      <c r="C144" s="314"/>
      <c r="D144" s="314"/>
      <c r="E144" s="314"/>
      <c r="F144" s="314"/>
      <c r="G144" s="314"/>
      <c r="H144" s="314"/>
      <c r="I144" s="314"/>
      <c r="J144" s="314"/>
      <c r="K144" s="314"/>
      <c r="L144" s="314"/>
      <c r="M144" s="314"/>
      <c r="N144" s="314"/>
      <c r="O144" s="314"/>
      <c r="P144" s="314"/>
      <c r="Q144" s="314"/>
      <c r="R144" s="314"/>
      <c r="S144" s="314"/>
      <c r="T144" s="314"/>
      <c r="U144" s="314"/>
      <c r="V144" s="314"/>
      <c r="W144" s="314"/>
      <c r="X144" s="314"/>
      <c r="Y144" s="314"/>
      <c r="Z144" s="314"/>
      <c r="AA144" s="314"/>
      <c r="AB144" s="314"/>
      <c r="AC144" s="513"/>
      <c r="AD144" s="513"/>
      <c r="AE144" s="513"/>
      <c r="AF144" s="513"/>
      <c r="AG144" s="513"/>
      <c r="AH144" s="1628"/>
      <c r="AI144" s="314"/>
      <c r="AJ144" s="314"/>
      <c r="AK144" s="314"/>
      <c r="AL144" s="314"/>
      <c r="AM144" s="314"/>
      <c r="AN144" s="314"/>
      <c r="AO144" s="314"/>
      <c r="AP144" s="314"/>
      <c r="AQ144" s="314"/>
      <c r="AR144" s="314"/>
      <c r="AS144" s="314"/>
      <c r="AT144" s="314"/>
      <c r="AU144" s="314"/>
      <c r="AV144" s="314"/>
      <c r="AW144" s="314"/>
      <c r="AX144" s="314"/>
      <c r="AY144" s="314"/>
      <c r="AZ144" s="314"/>
      <c r="BA144" s="997"/>
      <c r="BB144" s="877"/>
      <c r="BC144" s="877"/>
      <c r="BD144" s="38"/>
      <c r="BE144" s="314"/>
      <c r="BF144" s="997"/>
      <c r="BG144" s="997"/>
      <c r="BH144" s="997"/>
      <c r="BI144" s="314"/>
      <c r="BJ144" s="314"/>
      <c r="BK144" s="314"/>
      <c r="BL144" s="314"/>
      <c r="BM144" s="314"/>
      <c r="BN144" s="314"/>
      <c r="BO144" s="314"/>
      <c r="BP144" s="314"/>
      <c r="BQ144" s="314"/>
      <c r="BR144" s="314"/>
      <c r="BS144" s="314"/>
      <c r="BT144" s="2489"/>
      <c r="BU144" s="314"/>
      <c r="BV144" s="314"/>
      <c r="BW144" s="314"/>
      <c r="BX144" s="314"/>
      <c r="BY144" s="314"/>
      <c r="BZ144" s="314"/>
      <c r="CA144" s="314"/>
      <c r="CB144" s="314"/>
      <c r="CC144" s="314"/>
    </row>
    <row r="145" spans="1:81" hidden="1" outlineLevel="1">
      <c r="A145" s="862" t="s">
        <v>866</v>
      </c>
      <c r="B145" s="314"/>
      <c r="C145" s="314"/>
      <c r="D145" s="314"/>
      <c r="E145" s="314"/>
      <c r="F145" s="314"/>
      <c r="G145" s="314"/>
      <c r="H145" s="314"/>
      <c r="I145" s="314"/>
      <c r="J145" s="314"/>
      <c r="K145" s="314"/>
      <c r="L145" s="314"/>
      <c r="M145" s="13">
        <v>18683.969090033886</v>
      </c>
      <c r="N145" s="13">
        <v>19678.123983754445</v>
      </c>
      <c r="O145" s="13">
        <v>20875.753625709283</v>
      </c>
      <c r="P145" s="13">
        <v>21580.627796682187</v>
      </c>
      <c r="Q145" s="13">
        <v>20783.436621033383</v>
      </c>
      <c r="R145" s="13">
        <v>23416.468903409219</v>
      </c>
      <c r="S145" s="13">
        <v>25357.666632020901</v>
      </c>
      <c r="T145" s="13">
        <v>26884.330403353466</v>
      </c>
      <c r="U145" s="13">
        <v>27998.348372679218</v>
      </c>
      <c r="V145" s="13">
        <v>29136.237287813354</v>
      </c>
      <c r="W145" s="13">
        <v>29699.335180219481</v>
      </c>
      <c r="X145" s="13">
        <v>30842.261634776762</v>
      </c>
      <c r="Y145" s="314"/>
      <c r="Z145" s="314"/>
      <c r="AA145" s="314"/>
      <c r="AB145" s="314"/>
      <c r="AC145" s="513"/>
      <c r="AD145" s="513"/>
      <c r="AE145" s="513"/>
      <c r="AF145" s="513"/>
      <c r="AG145" s="513"/>
      <c r="AH145" s="1628"/>
      <c r="AI145" s="314"/>
      <c r="AJ145" s="314"/>
      <c r="AK145" s="314"/>
      <c r="AL145" s="314"/>
      <c r="AM145" s="314"/>
      <c r="AN145" s="314"/>
      <c r="AO145" s="314"/>
      <c r="AP145" s="314"/>
      <c r="AQ145" s="314"/>
      <c r="AR145" s="314"/>
      <c r="AS145" s="314"/>
      <c r="AT145" s="314"/>
      <c r="AU145" s="314"/>
      <c r="AV145" s="314"/>
      <c r="AW145" s="314"/>
      <c r="AX145" s="314"/>
      <c r="AY145" s="314"/>
      <c r="AZ145" s="314"/>
      <c r="BA145" s="997"/>
      <c r="BB145" s="877"/>
      <c r="BC145" s="877"/>
      <c r="BD145" s="38"/>
      <c r="BE145" s="314"/>
      <c r="BF145" s="997"/>
      <c r="BG145" s="997"/>
      <c r="BH145" s="997"/>
      <c r="BI145" s="314"/>
      <c r="BJ145" s="314"/>
      <c r="BK145" s="314"/>
      <c r="BL145" s="314"/>
      <c r="BM145" s="314"/>
      <c r="BN145" s="314"/>
      <c r="BO145" s="314"/>
      <c r="BP145" s="314"/>
      <c r="BQ145" s="314"/>
      <c r="BR145" s="314"/>
      <c r="BS145" s="314"/>
      <c r="BT145" s="2489"/>
      <c r="BU145" s="314"/>
      <c r="BV145" s="314"/>
      <c r="BW145" s="314"/>
      <c r="BX145" s="314"/>
      <c r="BY145" s="314"/>
      <c r="BZ145" s="314"/>
      <c r="CA145" s="314"/>
      <c r="CB145" s="314"/>
      <c r="CC145" s="314"/>
    </row>
    <row r="146" spans="1:81" hidden="1" outlineLevel="1">
      <c r="A146" s="862" t="s">
        <v>1339</v>
      </c>
      <c r="B146" s="314"/>
      <c r="C146" s="314"/>
      <c r="D146" s="314"/>
      <c r="E146" s="314"/>
      <c r="F146" s="314"/>
      <c r="G146" s="314"/>
      <c r="H146" s="314"/>
      <c r="I146" s="314"/>
      <c r="J146" s="314"/>
      <c r="K146" s="314"/>
      <c r="L146" s="314"/>
      <c r="M146" s="314"/>
      <c r="N146" s="245">
        <f>N145/M145-1</f>
        <v>5.3208977649767508E-2</v>
      </c>
      <c r="O146" s="245">
        <f t="shared" ref="O146:X146" si="215">O145/N145-1</f>
        <v>6.0860966367706437E-2</v>
      </c>
      <c r="P146" s="245">
        <f t="shared" si="215"/>
        <v>3.3765208366170141E-2</v>
      </c>
      <c r="Q146" s="245">
        <f t="shared" si="215"/>
        <v>-3.6940129043482428E-2</v>
      </c>
      <c r="R146" s="245">
        <f t="shared" si="215"/>
        <v>0.1266889749942095</v>
      </c>
      <c r="S146" s="245">
        <f t="shared" si="215"/>
        <v>8.2898823756004436E-2</v>
      </c>
      <c r="T146" s="245">
        <f t="shared" si="215"/>
        <v>6.0205214994219602E-2</v>
      </c>
      <c r="U146" s="245">
        <f t="shared" si="215"/>
        <v>4.1437445255723793E-2</v>
      </c>
      <c r="V146" s="245">
        <f t="shared" si="215"/>
        <v>4.0641287121224945E-2</v>
      </c>
      <c r="W146" s="245">
        <f t="shared" si="215"/>
        <v>1.9326376527062816E-2</v>
      </c>
      <c r="X146" s="245">
        <f t="shared" si="215"/>
        <v>3.8483233635428382E-2</v>
      </c>
      <c r="Y146" s="314"/>
      <c r="Z146" s="314"/>
      <c r="AA146" s="314"/>
      <c r="AB146" s="314"/>
      <c r="AC146" s="513"/>
      <c r="AD146" s="513"/>
      <c r="AE146" s="513"/>
      <c r="AF146" s="513"/>
      <c r="AG146" s="513"/>
      <c r="AH146" s="1628"/>
      <c r="AI146" s="314"/>
      <c r="AJ146" s="314"/>
      <c r="AK146" s="314"/>
      <c r="AL146" s="314"/>
      <c r="AM146" s="314"/>
      <c r="AN146" s="314"/>
      <c r="AO146" s="314"/>
      <c r="AP146" s="314"/>
      <c r="AQ146" s="314"/>
      <c r="AR146" s="314"/>
      <c r="AS146" s="314"/>
      <c r="AT146" s="314"/>
      <c r="AU146" s="314"/>
      <c r="AV146" s="314"/>
      <c r="AW146" s="314"/>
      <c r="AX146" s="314"/>
      <c r="AY146" s="314"/>
      <c r="AZ146" s="314"/>
      <c r="BA146" s="997"/>
      <c r="BB146" s="877"/>
      <c r="BC146" s="877"/>
      <c r="BD146" s="38"/>
      <c r="BE146" s="314"/>
      <c r="BF146" s="997"/>
      <c r="BG146" s="997"/>
      <c r="BH146" s="997"/>
      <c r="BI146" s="314"/>
      <c r="BJ146" s="314"/>
      <c r="BK146" s="314"/>
      <c r="BL146" s="314"/>
      <c r="BM146" s="314"/>
      <c r="BN146" s="314"/>
      <c r="BO146" s="314"/>
      <c r="BP146" s="314"/>
      <c r="BQ146" s="314"/>
      <c r="BR146" s="314"/>
      <c r="BS146" s="314"/>
      <c r="BT146" s="2489"/>
      <c r="BU146" s="314"/>
      <c r="BV146" s="314"/>
      <c r="BW146" s="314"/>
      <c r="BX146" s="314"/>
      <c r="BY146" s="314"/>
      <c r="BZ146" s="314"/>
      <c r="CA146" s="314"/>
      <c r="CB146" s="314"/>
      <c r="CC146" s="314"/>
    </row>
    <row r="147" spans="1:81" hidden="1" outlineLevel="1">
      <c r="A147" s="862" t="s">
        <v>1340</v>
      </c>
      <c r="B147" s="314"/>
      <c r="C147" s="314"/>
      <c r="D147" s="314"/>
      <c r="E147" s="314"/>
      <c r="F147" s="314"/>
      <c r="G147" s="314"/>
      <c r="H147" s="314"/>
      <c r="I147" s="314"/>
      <c r="J147" s="314"/>
      <c r="K147" s="314"/>
      <c r="L147" s="314"/>
      <c r="M147" s="888">
        <v>0.34</v>
      </c>
      <c r="N147" s="888">
        <v>0.34</v>
      </c>
      <c r="O147" s="888">
        <v>0.34</v>
      </c>
      <c r="P147" s="888">
        <v>0.34</v>
      </c>
      <c r="Q147" s="888">
        <v>0.34</v>
      </c>
      <c r="R147" s="888">
        <v>0.34</v>
      </c>
      <c r="S147" s="888">
        <v>0.34</v>
      </c>
      <c r="T147" s="888">
        <v>0.34</v>
      </c>
      <c r="U147" s="888">
        <v>0.34</v>
      </c>
      <c r="V147" s="888">
        <v>0.34</v>
      </c>
      <c r="W147" s="888">
        <v>0.34</v>
      </c>
      <c r="X147" s="888">
        <v>0.34</v>
      </c>
      <c r="Y147" s="314"/>
      <c r="Z147" s="314"/>
      <c r="AA147" s="314"/>
      <c r="AB147" s="314"/>
      <c r="AC147" s="513"/>
      <c r="AD147" s="513"/>
      <c r="AE147" s="513"/>
      <c r="AF147" s="513"/>
      <c r="AG147" s="513"/>
      <c r="AH147" s="1628"/>
      <c r="AI147" s="314"/>
      <c r="AJ147" s="314"/>
      <c r="AK147" s="314"/>
      <c r="AL147" s="314"/>
      <c r="AM147" s="314"/>
      <c r="AN147" s="314"/>
      <c r="AO147" s="314"/>
      <c r="AP147" s="314"/>
      <c r="AQ147" s="314"/>
      <c r="AR147" s="314"/>
      <c r="AS147" s="314"/>
      <c r="AT147" s="314"/>
      <c r="AU147" s="314"/>
      <c r="AV147" s="314"/>
      <c r="AW147" s="314"/>
      <c r="AX147" s="314"/>
      <c r="AY147" s="314"/>
      <c r="AZ147" s="314"/>
      <c r="BA147" s="997"/>
      <c r="BB147" s="877"/>
      <c r="BC147" s="877"/>
      <c r="BD147" s="38"/>
      <c r="BE147" s="314"/>
      <c r="BF147" s="997"/>
      <c r="BG147" s="997"/>
      <c r="BH147" s="997"/>
      <c r="BI147" s="314"/>
      <c r="BJ147" s="314"/>
      <c r="BK147" s="314"/>
      <c r="BL147" s="314"/>
      <c r="BM147" s="314"/>
      <c r="BN147" s="314"/>
      <c r="BO147" s="314"/>
      <c r="BP147" s="314"/>
      <c r="BQ147" s="314"/>
      <c r="BR147" s="314"/>
      <c r="BS147" s="314"/>
      <c r="BT147" s="2489"/>
      <c r="BU147" s="314"/>
      <c r="BV147" s="314"/>
      <c r="BW147" s="314"/>
      <c r="BX147" s="314"/>
      <c r="BY147" s="314"/>
      <c r="BZ147" s="314"/>
      <c r="CA147" s="314"/>
      <c r="CB147" s="314"/>
      <c r="CC147" s="314"/>
    </row>
    <row r="148" spans="1:81" hidden="1" outlineLevel="1">
      <c r="A148" s="862" t="s">
        <v>1341</v>
      </c>
      <c r="B148" s="314"/>
      <c r="C148" s="314"/>
      <c r="D148" s="314"/>
      <c r="E148" s="314"/>
      <c r="F148" s="314"/>
      <c r="G148" s="314"/>
      <c r="H148" s="314"/>
      <c r="I148" s="314"/>
      <c r="J148" s="314"/>
      <c r="K148" s="314"/>
      <c r="L148" s="314"/>
      <c r="M148" s="888">
        <v>0.3</v>
      </c>
      <c r="N148" s="888">
        <v>0.3</v>
      </c>
      <c r="O148" s="888">
        <v>0.3</v>
      </c>
      <c r="P148" s="888">
        <v>0.3</v>
      </c>
      <c r="Q148" s="888">
        <v>0.3</v>
      </c>
      <c r="R148" s="888">
        <v>0.3</v>
      </c>
      <c r="S148" s="888">
        <v>0.3</v>
      </c>
      <c r="T148" s="888">
        <v>0.3</v>
      </c>
      <c r="U148" s="888">
        <v>0.3</v>
      </c>
      <c r="V148" s="888">
        <v>0.3</v>
      </c>
      <c r="W148" s="888">
        <v>0.3</v>
      </c>
      <c r="X148" s="888">
        <v>0.3</v>
      </c>
      <c r="Y148" s="314"/>
      <c r="Z148" s="314"/>
      <c r="AA148" s="314"/>
      <c r="AB148" s="314"/>
      <c r="AC148" s="513"/>
      <c r="AD148" s="513"/>
      <c r="AE148" s="513"/>
      <c r="AF148" s="513"/>
      <c r="AG148" s="513"/>
      <c r="AH148" s="1628"/>
      <c r="AI148" s="314"/>
      <c r="AJ148" s="314"/>
      <c r="AK148" s="314"/>
      <c r="AL148" s="314"/>
      <c r="AM148" s="314"/>
      <c r="AN148" s="314"/>
      <c r="AO148" s="314"/>
      <c r="AP148" s="314"/>
      <c r="AQ148" s="314"/>
      <c r="AR148" s="314"/>
      <c r="AS148" s="314"/>
      <c r="AT148" s="314"/>
      <c r="AU148" s="314"/>
      <c r="AV148" s="314"/>
      <c r="AW148" s="314"/>
      <c r="AX148" s="314"/>
      <c r="AY148" s="314"/>
      <c r="AZ148" s="314"/>
      <c r="BA148" s="997"/>
      <c r="BB148" s="877"/>
      <c r="BC148" s="877"/>
      <c r="BD148" s="38"/>
      <c r="BE148" s="314"/>
      <c r="BF148" s="997"/>
      <c r="BG148" s="997"/>
      <c r="BH148" s="997"/>
      <c r="BI148" s="314"/>
      <c r="BJ148" s="314"/>
      <c r="BK148" s="314"/>
      <c r="BL148" s="314"/>
      <c r="BM148" s="314"/>
      <c r="BN148" s="314"/>
      <c r="BO148" s="314"/>
      <c r="BP148" s="314"/>
      <c r="BQ148" s="314"/>
      <c r="BR148" s="314"/>
      <c r="BS148" s="314"/>
      <c r="BT148" s="2489"/>
      <c r="BU148" s="314"/>
      <c r="BV148" s="314"/>
      <c r="BW148" s="314"/>
      <c r="BX148" s="314"/>
      <c r="BY148" s="314"/>
      <c r="BZ148" s="314"/>
      <c r="CA148" s="314"/>
      <c r="CB148" s="314"/>
      <c r="CC148" s="314"/>
    </row>
    <row r="149" spans="1:81" hidden="1" outlineLevel="1">
      <c r="A149" s="862" t="s">
        <v>1342</v>
      </c>
      <c r="B149" s="314"/>
      <c r="C149" s="314"/>
      <c r="D149" s="314"/>
      <c r="E149" s="314"/>
      <c r="F149" s="314"/>
      <c r="G149" s="314"/>
      <c r="H149" s="314"/>
      <c r="I149" s="314"/>
      <c r="J149" s="314"/>
      <c r="K149" s="314"/>
      <c r="L149" s="314"/>
      <c r="M149" s="245">
        <f>M147*M148</f>
        <v>0.10200000000000001</v>
      </c>
      <c r="N149" s="245">
        <f t="shared" ref="N149:X149" si="216">N147*N148</f>
        <v>0.10200000000000001</v>
      </c>
      <c r="O149" s="245">
        <f t="shared" si="216"/>
        <v>0.10200000000000001</v>
      </c>
      <c r="P149" s="245">
        <f t="shared" si="216"/>
        <v>0.10200000000000001</v>
      </c>
      <c r="Q149" s="245">
        <f t="shared" si="216"/>
        <v>0.10200000000000001</v>
      </c>
      <c r="R149" s="245">
        <f t="shared" si="216"/>
        <v>0.10200000000000001</v>
      </c>
      <c r="S149" s="245">
        <f t="shared" si="216"/>
        <v>0.10200000000000001</v>
      </c>
      <c r="T149" s="245">
        <f t="shared" si="216"/>
        <v>0.10200000000000001</v>
      </c>
      <c r="U149" s="245">
        <f t="shared" si="216"/>
        <v>0.10200000000000001</v>
      </c>
      <c r="V149" s="245">
        <f t="shared" si="216"/>
        <v>0.10200000000000001</v>
      </c>
      <c r="W149" s="245">
        <f t="shared" si="216"/>
        <v>0.10200000000000001</v>
      </c>
      <c r="X149" s="245">
        <f t="shared" si="216"/>
        <v>0.10200000000000001</v>
      </c>
      <c r="Y149" s="314"/>
      <c r="Z149" s="314"/>
      <c r="AA149" s="314"/>
      <c r="AB149" s="314"/>
      <c r="AC149" s="513"/>
      <c r="AD149" s="513"/>
      <c r="AE149" s="513"/>
      <c r="AF149" s="513"/>
      <c r="AG149" s="513"/>
      <c r="AH149" s="1628"/>
      <c r="AI149" s="314"/>
      <c r="AJ149" s="314"/>
      <c r="AK149" s="314"/>
      <c r="AL149" s="314"/>
      <c r="AM149" s="314"/>
      <c r="AN149" s="314"/>
      <c r="AO149" s="314"/>
      <c r="AP149" s="314"/>
      <c r="AQ149" s="314"/>
      <c r="AR149" s="314"/>
      <c r="AS149" s="314"/>
      <c r="AT149" s="314"/>
      <c r="AU149" s="314"/>
      <c r="AV149" s="314"/>
      <c r="AW149" s="314"/>
      <c r="AX149" s="314"/>
      <c r="AY149" s="314"/>
      <c r="AZ149" s="314"/>
      <c r="BA149" s="997"/>
      <c r="BB149" s="877"/>
      <c r="BC149" s="877"/>
      <c r="BD149" s="38"/>
      <c r="BE149" s="314"/>
      <c r="BF149" s="997"/>
      <c r="BG149" s="997"/>
      <c r="BH149" s="997"/>
      <c r="BI149" s="314"/>
      <c r="BJ149" s="314"/>
      <c r="BK149" s="314"/>
      <c r="BL149" s="314"/>
      <c r="BM149" s="314"/>
      <c r="BN149" s="314"/>
      <c r="BO149" s="314"/>
      <c r="BP149" s="314"/>
      <c r="BQ149" s="314"/>
      <c r="BR149" s="314"/>
      <c r="BS149" s="314"/>
      <c r="BT149" s="2489"/>
      <c r="BU149" s="314"/>
      <c r="BV149" s="314"/>
      <c r="BW149" s="314"/>
      <c r="BX149" s="314"/>
      <c r="BY149" s="314"/>
      <c r="BZ149" s="314"/>
      <c r="CA149" s="314"/>
      <c r="CB149" s="314"/>
      <c r="CC149" s="314"/>
    </row>
    <row r="150" spans="1:81" hidden="1" outlineLevel="1">
      <c r="A150" s="915" t="s">
        <v>1343</v>
      </c>
      <c r="B150" s="145"/>
      <c r="C150" s="145"/>
      <c r="D150" s="145"/>
      <c r="E150" s="145"/>
      <c r="F150" s="145"/>
      <c r="G150" s="145"/>
      <c r="H150" s="145"/>
      <c r="I150" s="145"/>
      <c r="J150" s="145"/>
      <c r="K150" s="145"/>
      <c r="L150" s="145"/>
      <c r="M150" s="145">
        <f>M140*M149</f>
        <v>11.240400000000001</v>
      </c>
      <c r="N150" s="145">
        <f t="shared" ref="N150:X150" si="217">N140*N149</f>
        <v>11.362800000000002</v>
      </c>
      <c r="O150" s="145">
        <f t="shared" si="217"/>
        <v>11.505600000000001</v>
      </c>
      <c r="P150" s="145">
        <f t="shared" si="217"/>
        <v>11.679</v>
      </c>
      <c r="Q150" s="145">
        <f t="shared" si="217"/>
        <v>11.719800000000001</v>
      </c>
      <c r="R150" s="145">
        <f t="shared" si="217"/>
        <v>11.821800000000001</v>
      </c>
      <c r="S150" s="145">
        <f t="shared" si="217"/>
        <v>11.699400000000001</v>
      </c>
      <c r="T150" s="145">
        <f t="shared" si="217"/>
        <v>11.648400000000001</v>
      </c>
      <c r="U150" s="145">
        <f t="shared" si="217"/>
        <v>11.7912</v>
      </c>
      <c r="V150" s="145">
        <f t="shared" si="217"/>
        <v>11.8626</v>
      </c>
      <c r="W150" s="145">
        <f t="shared" si="217"/>
        <v>11.872800000000002</v>
      </c>
      <c r="X150" s="145">
        <f t="shared" si="217"/>
        <v>12.076800000000002</v>
      </c>
      <c r="Y150" s="145"/>
      <c r="Z150" s="145"/>
      <c r="AA150" s="145"/>
      <c r="AB150" s="145"/>
      <c r="AC150" s="54"/>
      <c r="AD150" s="54"/>
      <c r="AE150" s="54"/>
      <c r="AF150" s="54"/>
      <c r="AG150" s="54"/>
      <c r="AH150" s="1146"/>
      <c r="AI150" s="145"/>
      <c r="AJ150" s="145"/>
      <c r="AK150" s="145"/>
      <c r="AL150" s="145"/>
      <c r="AM150" s="145"/>
      <c r="AN150" s="145"/>
      <c r="AO150" s="145"/>
      <c r="AP150" s="145"/>
      <c r="AQ150" s="145"/>
      <c r="AR150" s="145"/>
      <c r="AS150" s="145"/>
      <c r="AT150" s="145"/>
      <c r="AU150" s="145"/>
      <c r="AV150" s="145"/>
      <c r="AW150" s="145"/>
      <c r="AX150" s="145"/>
      <c r="AY150" s="145"/>
      <c r="AZ150" s="145"/>
      <c r="BA150" s="915"/>
      <c r="BB150" s="877"/>
      <c r="BC150" s="877"/>
      <c r="BD150" s="38"/>
      <c r="BE150" s="145"/>
      <c r="BF150" s="915"/>
      <c r="BG150" s="915"/>
      <c r="BH150" s="915"/>
      <c r="BI150" s="145"/>
      <c r="BJ150" s="145"/>
      <c r="BK150" s="145"/>
      <c r="BL150" s="145"/>
      <c r="BM150" s="145"/>
      <c r="BN150" s="145"/>
      <c r="BO150" s="145"/>
      <c r="BP150" s="145"/>
      <c r="BQ150" s="145"/>
      <c r="BR150" s="145"/>
      <c r="BS150" s="145"/>
      <c r="BT150" s="669"/>
      <c r="BU150" s="145"/>
      <c r="BV150" s="145"/>
      <c r="BW150" s="145"/>
      <c r="BX150" s="145"/>
      <c r="BY150" s="145"/>
      <c r="BZ150" s="145"/>
      <c r="CA150" s="145"/>
      <c r="CB150" s="145"/>
      <c r="CC150" s="145"/>
    </row>
    <row r="151" spans="1:81" hidden="1" outlineLevel="1">
      <c r="A151" s="862"/>
      <c r="B151" s="314"/>
      <c r="C151" s="314"/>
      <c r="D151" s="314"/>
      <c r="E151" s="314"/>
      <c r="F151" s="314"/>
      <c r="G151" s="314"/>
      <c r="H151" s="314"/>
      <c r="I151" s="314"/>
      <c r="J151" s="314"/>
      <c r="K151" s="314"/>
      <c r="L151" s="314"/>
      <c r="M151" s="314"/>
      <c r="N151" s="314"/>
      <c r="O151" s="314"/>
      <c r="P151" s="314"/>
      <c r="Q151" s="314"/>
      <c r="R151" s="314"/>
      <c r="S151" s="314"/>
      <c r="T151" s="314"/>
      <c r="U151" s="314"/>
      <c r="V151" s="314"/>
      <c r="W151" s="314"/>
      <c r="X151" s="314"/>
      <c r="Y151" s="314"/>
      <c r="Z151" s="314"/>
      <c r="AA151" s="314"/>
      <c r="AB151" s="314"/>
      <c r="AC151" s="513"/>
      <c r="AD151" s="513"/>
      <c r="AE151" s="513"/>
      <c r="AF151" s="513"/>
      <c r="AG151" s="513"/>
      <c r="AH151" s="1628"/>
      <c r="AI151" s="314"/>
      <c r="AJ151" s="314"/>
      <c r="AK151" s="314"/>
      <c r="AL151" s="314"/>
      <c r="AM151" s="314"/>
      <c r="AN151" s="314"/>
      <c r="AO151" s="314"/>
      <c r="AP151" s="314"/>
      <c r="AQ151" s="314"/>
      <c r="AR151" s="314"/>
      <c r="AS151" s="314"/>
      <c r="AT151" s="314"/>
      <c r="AU151" s="314"/>
      <c r="AV151" s="314"/>
      <c r="AW151" s="314"/>
      <c r="AX151" s="314"/>
      <c r="AY151" s="314"/>
      <c r="AZ151" s="314"/>
      <c r="BA151" s="997"/>
      <c r="BB151" s="877"/>
      <c r="BC151" s="877"/>
      <c r="BD151" s="38"/>
      <c r="BE151" s="314"/>
      <c r="BF151" s="997"/>
      <c r="BG151" s="997"/>
      <c r="BH151" s="997"/>
      <c r="BI151" s="314"/>
      <c r="BJ151" s="314"/>
      <c r="BK151" s="314"/>
      <c r="BL151" s="314"/>
      <c r="BM151" s="314"/>
      <c r="BN151" s="314"/>
      <c r="BO151" s="314"/>
      <c r="BP151" s="314"/>
      <c r="BQ151" s="314"/>
      <c r="BR151" s="314"/>
      <c r="BS151" s="314"/>
      <c r="BT151" s="2489"/>
      <c r="BU151" s="314"/>
      <c r="BV151" s="314"/>
      <c r="BW151" s="314"/>
      <c r="BX151" s="314"/>
      <c r="BY151" s="314"/>
      <c r="BZ151" s="314"/>
      <c r="CA151" s="314"/>
      <c r="CB151" s="314"/>
      <c r="CC151" s="314"/>
    </row>
    <row r="152" spans="1:81" hidden="1" outlineLevel="1">
      <c r="A152" s="862" t="s">
        <v>1347</v>
      </c>
      <c r="B152" s="314"/>
      <c r="C152" s="314"/>
      <c r="D152" s="314"/>
      <c r="E152" s="314"/>
      <c r="F152" s="314"/>
      <c r="G152" s="314"/>
      <c r="H152" s="314"/>
      <c r="I152" s="314"/>
      <c r="J152" s="314"/>
      <c r="K152" s="314"/>
      <c r="L152" s="314"/>
      <c r="M152" s="314"/>
      <c r="N152" s="314"/>
      <c r="O152" s="314"/>
      <c r="P152" s="314"/>
      <c r="Q152" s="314"/>
      <c r="R152" s="314"/>
      <c r="S152" s="314"/>
      <c r="T152" s="314"/>
      <c r="U152" s="314"/>
      <c r="V152" s="314"/>
      <c r="W152" s="314"/>
      <c r="X152" s="314"/>
      <c r="Y152" s="314"/>
      <c r="Z152" s="314"/>
      <c r="AA152" s="314"/>
      <c r="AB152" s="314"/>
      <c r="AC152" s="513"/>
      <c r="AD152" s="513"/>
      <c r="AE152" s="513"/>
      <c r="AF152" s="513"/>
      <c r="AG152" s="513"/>
      <c r="AH152" s="1628"/>
      <c r="AI152" s="314"/>
      <c r="AJ152" s="314"/>
      <c r="AK152" s="314"/>
      <c r="AL152" s="314"/>
      <c r="AM152" s="314"/>
      <c r="AN152" s="314"/>
      <c r="AO152" s="314"/>
      <c r="AP152" s="314"/>
      <c r="AQ152" s="314"/>
      <c r="AR152" s="314"/>
      <c r="AS152" s="314"/>
      <c r="AT152" s="314"/>
      <c r="AU152" s="314"/>
      <c r="AV152" s="314"/>
      <c r="AW152" s="314"/>
      <c r="AX152" s="314"/>
      <c r="AY152" s="314"/>
      <c r="AZ152" s="314"/>
      <c r="BA152" s="997"/>
      <c r="BB152" s="877"/>
      <c r="BC152" s="877"/>
      <c r="BD152" s="38"/>
      <c r="BE152" s="314"/>
      <c r="BF152" s="997"/>
      <c r="BG152" s="997"/>
      <c r="BH152" s="997"/>
      <c r="BI152" s="314"/>
      <c r="BJ152" s="314"/>
      <c r="BK152" s="314"/>
      <c r="BL152" s="314"/>
      <c r="BM152" s="314"/>
      <c r="BN152" s="314"/>
      <c r="BO152" s="314"/>
      <c r="BP152" s="314"/>
      <c r="BQ152" s="314"/>
      <c r="BR152" s="314"/>
      <c r="BS152" s="314"/>
      <c r="BT152" s="2489"/>
      <c r="BU152" s="314"/>
      <c r="BV152" s="314"/>
      <c r="BW152" s="314"/>
      <c r="BX152" s="314"/>
      <c r="BY152" s="314"/>
      <c r="BZ152" s="314"/>
      <c r="CA152" s="314"/>
      <c r="CB152" s="314"/>
      <c r="CC152" s="314"/>
    </row>
    <row r="153" spans="1:81" hidden="1" outlineLevel="1">
      <c r="A153" s="862" t="s">
        <v>1338</v>
      </c>
      <c r="B153" s="314"/>
      <c r="C153" s="314"/>
      <c r="D153" s="314"/>
      <c r="E153" s="314"/>
      <c r="F153" s="314"/>
      <c r="G153" s="314"/>
      <c r="H153" s="314"/>
      <c r="I153" s="314"/>
      <c r="J153" s="314"/>
      <c r="K153" s="314"/>
      <c r="L153" s="314"/>
      <c r="M153" s="314"/>
      <c r="N153" s="314"/>
      <c r="O153" s="314"/>
      <c r="P153" s="314"/>
      <c r="Q153" s="314"/>
      <c r="R153" s="314"/>
      <c r="S153" s="314"/>
      <c r="T153" s="314"/>
      <c r="U153" s="314"/>
      <c r="V153" s="314"/>
      <c r="W153" s="314"/>
      <c r="X153" s="314"/>
      <c r="Y153" s="314"/>
      <c r="Z153" s="314"/>
      <c r="AA153" s="314"/>
      <c r="AB153" s="314"/>
      <c r="AC153" s="513"/>
      <c r="AD153" s="513"/>
      <c r="AE153" s="513"/>
      <c r="AF153" s="513"/>
      <c r="AG153" s="513"/>
      <c r="AH153" s="1628"/>
      <c r="AI153" s="314"/>
      <c r="AJ153" s="314"/>
      <c r="AK153" s="314"/>
      <c r="AL153" s="314"/>
      <c r="AM153" s="314"/>
      <c r="AN153" s="314"/>
      <c r="AO153" s="314"/>
      <c r="AP153" s="314"/>
      <c r="AQ153" s="314"/>
      <c r="AR153" s="314"/>
      <c r="AS153" s="314"/>
      <c r="AT153" s="314"/>
      <c r="AU153" s="314"/>
      <c r="AV153" s="314"/>
      <c r="AW153" s="314"/>
      <c r="AX153" s="314"/>
      <c r="AY153" s="314"/>
      <c r="AZ153" s="314"/>
      <c r="BA153" s="997"/>
      <c r="BB153" s="877"/>
      <c r="BC153" s="877"/>
      <c r="BD153" s="38"/>
      <c r="BE153" s="314"/>
      <c r="BF153" s="997"/>
      <c r="BG153" s="997"/>
      <c r="BH153" s="997"/>
      <c r="BI153" s="314"/>
      <c r="BJ153" s="314"/>
      <c r="BK153" s="314"/>
      <c r="BL153" s="314"/>
      <c r="BM153" s="314"/>
      <c r="BN153" s="314"/>
      <c r="BO153" s="314"/>
      <c r="BP153" s="314"/>
      <c r="BQ153" s="314"/>
      <c r="BR153" s="314"/>
      <c r="BS153" s="314"/>
      <c r="BT153" s="2489"/>
      <c r="BU153" s="314"/>
      <c r="BV153" s="314"/>
      <c r="BW153" s="314"/>
      <c r="BX153" s="314"/>
      <c r="BY153" s="314"/>
      <c r="BZ153" s="314"/>
      <c r="CA153" s="314"/>
      <c r="CB153" s="314"/>
      <c r="CC153" s="314"/>
    </row>
    <row r="154" spans="1:81" hidden="1" outlineLevel="1">
      <c r="A154" s="862" t="s">
        <v>741</v>
      </c>
      <c r="B154" s="314"/>
      <c r="C154" s="314"/>
      <c r="D154" s="314"/>
      <c r="E154" s="314"/>
      <c r="F154" s="314"/>
      <c r="G154" s="314"/>
      <c r="H154" s="314"/>
      <c r="I154" s="314"/>
      <c r="J154" s="314"/>
      <c r="K154" s="314"/>
      <c r="L154" s="314"/>
      <c r="M154" s="314"/>
      <c r="N154" s="314"/>
      <c r="O154" s="314"/>
      <c r="P154" s="314"/>
      <c r="Q154" s="314"/>
      <c r="R154" s="314"/>
      <c r="S154" s="314"/>
      <c r="T154" s="314"/>
      <c r="U154" s="314"/>
      <c r="V154" s="314"/>
      <c r="W154" s="314"/>
      <c r="X154" s="314"/>
      <c r="Y154" s="314"/>
      <c r="Z154" s="314"/>
      <c r="AA154" s="314"/>
      <c r="AB154" s="314"/>
      <c r="AC154" s="513"/>
      <c r="AD154" s="513"/>
      <c r="AE154" s="513"/>
      <c r="AF154" s="513"/>
      <c r="AG154" s="513"/>
      <c r="AH154" s="1628"/>
      <c r="AI154" s="314"/>
      <c r="AJ154" s="314"/>
      <c r="AK154" s="314"/>
      <c r="AL154" s="314"/>
      <c r="AM154" s="314"/>
      <c r="AN154" s="314"/>
      <c r="AO154" s="314"/>
      <c r="AP154" s="314"/>
      <c r="AQ154" s="314"/>
      <c r="AR154" s="314"/>
      <c r="AS154" s="314"/>
      <c r="AT154" s="314"/>
      <c r="AU154" s="314"/>
      <c r="AV154" s="314"/>
      <c r="AW154" s="314"/>
      <c r="AX154" s="314"/>
      <c r="AY154" s="314"/>
      <c r="AZ154" s="314"/>
      <c r="BA154" s="997"/>
      <c r="BB154" s="877"/>
      <c r="BC154" s="877"/>
      <c r="BD154" s="38"/>
      <c r="BE154" s="314"/>
      <c r="BF154" s="997"/>
      <c r="BG154" s="997"/>
      <c r="BH154" s="997"/>
      <c r="BI154" s="314"/>
      <c r="BJ154" s="314"/>
      <c r="BK154" s="314"/>
      <c r="BL154" s="314"/>
      <c r="BM154" s="314"/>
      <c r="BN154" s="314"/>
      <c r="BO154" s="314"/>
      <c r="BP154" s="314"/>
      <c r="BQ154" s="314"/>
      <c r="BR154" s="314"/>
      <c r="BS154" s="314"/>
      <c r="BT154" s="2489"/>
      <c r="BU154" s="314"/>
      <c r="BV154" s="314"/>
      <c r="BW154" s="314"/>
      <c r="BX154" s="314"/>
      <c r="BY154" s="314"/>
      <c r="BZ154" s="314"/>
      <c r="CA154" s="314"/>
      <c r="CB154" s="314"/>
      <c r="CC154" s="314"/>
    </row>
    <row r="155" spans="1:81" hidden="1" outlineLevel="1">
      <c r="A155" s="862" t="s">
        <v>1348</v>
      </c>
      <c r="B155" s="314"/>
      <c r="C155" s="314"/>
      <c r="D155" s="314"/>
      <c r="E155" s="314"/>
      <c r="F155" s="314"/>
      <c r="G155" s="314"/>
      <c r="H155" s="314"/>
      <c r="I155" s="314"/>
      <c r="J155" s="314"/>
      <c r="K155" s="314"/>
      <c r="L155" s="314"/>
      <c r="M155" s="314">
        <v>3.38</v>
      </c>
      <c r="N155" s="314">
        <v>3.08</v>
      </c>
      <c r="O155" s="314">
        <v>2.75</v>
      </c>
      <c r="P155" s="314">
        <v>2.8</v>
      </c>
      <c r="Q155" s="314">
        <v>2.8</v>
      </c>
      <c r="R155" s="314">
        <v>2.8</v>
      </c>
      <c r="S155" s="314">
        <v>2.8</v>
      </c>
      <c r="T155" s="314">
        <v>2.8</v>
      </c>
      <c r="U155" s="314">
        <v>2.8</v>
      </c>
      <c r="V155" s="314">
        <v>2.8</v>
      </c>
      <c r="W155" s="314">
        <v>2.8</v>
      </c>
      <c r="X155" s="314">
        <v>2.8</v>
      </c>
      <c r="Y155" s="314"/>
      <c r="Z155" s="314"/>
      <c r="AA155" s="314"/>
      <c r="AB155" s="314"/>
      <c r="AC155" s="513"/>
      <c r="AD155" s="513"/>
      <c r="AE155" s="513"/>
      <c r="AF155" s="513"/>
      <c r="AG155" s="513"/>
      <c r="AH155" s="1628"/>
      <c r="AI155" s="314"/>
      <c r="AJ155" s="314"/>
      <c r="AK155" s="314"/>
      <c r="AL155" s="314"/>
      <c r="AM155" s="314"/>
      <c r="AN155" s="314"/>
      <c r="AO155" s="314"/>
      <c r="AP155" s="314"/>
      <c r="AQ155" s="314"/>
      <c r="AR155" s="314"/>
      <c r="AS155" s="314"/>
      <c r="AT155" s="314"/>
      <c r="AU155" s="314"/>
      <c r="AV155" s="314"/>
      <c r="AW155" s="314"/>
      <c r="AX155" s="314"/>
      <c r="AY155" s="314"/>
      <c r="AZ155" s="314"/>
      <c r="BA155" s="997"/>
      <c r="BB155" s="877"/>
      <c r="BC155" s="877"/>
      <c r="BD155" s="38"/>
      <c r="BE155" s="314"/>
      <c r="BF155" s="997"/>
      <c r="BG155" s="997"/>
      <c r="BH155" s="997"/>
      <c r="BI155" s="314"/>
      <c r="BJ155" s="314"/>
      <c r="BK155" s="314"/>
      <c r="BL155" s="314"/>
      <c r="BM155" s="314"/>
      <c r="BN155" s="314"/>
      <c r="BO155" s="314"/>
      <c r="BP155" s="314"/>
      <c r="BQ155" s="314"/>
      <c r="BR155" s="314"/>
      <c r="BS155" s="314"/>
      <c r="BT155" s="2489"/>
      <c r="BU155" s="314"/>
      <c r="BV155" s="314"/>
      <c r="BW155" s="314"/>
      <c r="BX155" s="314"/>
      <c r="BY155" s="314"/>
      <c r="BZ155" s="314"/>
      <c r="CA155" s="314"/>
      <c r="CB155" s="314"/>
      <c r="CC155" s="314"/>
    </row>
    <row r="156" spans="1:81" hidden="1" outlineLevel="1">
      <c r="A156" s="862" t="s">
        <v>1349</v>
      </c>
      <c r="B156" s="314"/>
      <c r="C156" s="314"/>
      <c r="D156" s="314"/>
      <c r="E156" s="314"/>
      <c r="F156" s="314"/>
      <c r="G156" s="314"/>
      <c r="H156" s="314"/>
      <c r="I156" s="314"/>
      <c r="J156" s="314"/>
      <c r="K156" s="314"/>
      <c r="L156" s="314"/>
      <c r="M156" s="314">
        <f>M155*(M140/100)</f>
        <v>3.7247600000000003</v>
      </c>
      <c r="N156" s="314">
        <f t="shared" ref="N156:X156" si="218">N155*(N140/100)</f>
        <v>3.4311200000000004</v>
      </c>
      <c r="O156" s="314">
        <f t="shared" si="218"/>
        <v>3.1019999999999999</v>
      </c>
      <c r="P156" s="314">
        <f t="shared" si="218"/>
        <v>3.206</v>
      </c>
      <c r="Q156" s="314">
        <f t="shared" si="218"/>
        <v>3.2172000000000001</v>
      </c>
      <c r="R156" s="314">
        <f t="shared" si="218"/>
        <v>3.2452000000000001</v>
      </c>
      <c r="S156" s="314">
        <f t="shared" si="218"/>
        <v>3.2115999999999998</v>
      </c>
      <c r="T156" s="314">
        <f t="shared" si="218"/>
        <v>3.1976</v>
      </c>
      <c r="U156" s="314">
        <f t="shared" si="218"/>
        <v>3.2367999999999997</v>
      </c>
      <c r="V156" s="314">
        <f t="shared" si="218"/>
        <v>3.2563999999999997</v>
      </c>
      <c r="W156" s="314">
        <f t="shared" si="218"/>
        <v>3.2592000000000003</v>
      </c>
      <c r="X156" s="314">
        <f t="shared" si="218"/>
        <v>3.3152000000000004</v>
      </c>
      <c r="Y156" s="314"/>
      <c r="Z156" s="314"/>
      <c r="AA156" s="314"/>
      <c r="AB156" s="314"/>
      <c r="AC156" s="513"/>
      <c r="AD156" s="513"/>
      <c r="AE156" s="513"/>
      <c r="AF156" s="513"/>
      <c r="AG156" s="513"/>
      <c r="AH156" s="1628"/>
      <c r="AI156" s="314"/>
      <c r="AJ156" s="314"/>
      <c r="AK156" s="314"/>
      <c r="AL156" s="314"/>
      <c r="AM156" s="314"/>
      <c r="AN156" s="314"/>
      <c r="AO156" s="314"/>
      <c r="AP156" s="314"/>
      <c r="AQ156" s="314"/>
      <c r="AR156" s="314"/>
      <c r="AS156" s="314"/>
      <c r="AT156" s="314"/>
      <c r="AU156" s="314"/>
      <c r="AV156" s="314"/>
      <c r="AW156" s="314"/>
      <c r="AX156" s="314"/>
      <c r="AY156" s="314"/>
      <c r="AZ156" s="314"/>
      <c r="BA156" s="997"/>
      <c r="BB156" s="877"/>
      <c r="BC156" s="877"/>
      <c r="BD156" s="38"/>
      <c r="BE156" s="314"/>
      <c r="BF156" s="997"/>
      <c r="BG156" s="997"/>
      <c r="BH156" s="997"/>
      <c r="BI156" s="314"/>
      <c r="BJ156" s="314"/>
      <c r="BK156" s="314"/>
      <c r="BL156" s="314"/>
      <c r="BM156" s="314"/>
      <c r="BN156" s="314"/>
      <c r="BO156" s="314"/>
      <c r="BP156" s="314"/>
      <c r="BQ156" s="314"/>
      <c r="BR156" s="314"/>
      <c r="BS156" s="314"/>
      <c r="BT156" s="2489"/>
      <c r="BU156" s="314"/>
      <c r="BV156" s="314"/>
      <c r="BW156" s="314"/>
      <c r="BX156" s="314"/>
      <c r="BY156" s="314"/>
      <c r="BZ156" s="314"/>
      <c r="CA156" s="314"/>
      <c r="CB156" s="314"/>
      <c r="CC156" s="314"/>
    </row>
    <row r="157" spans="1:81" hidden="1" outlineLevel="1">
      <c r="A157" s="862" t="s">
        <v>1344</v>
      </c>
      <c r="B157" s="314"/>
      <c r="C157" s="314"/>
      <c r="D157" s="314"/>
      <c r="E157" s="314"/>
      <c r="F157" s="314"/>
      <c r="G157" s="314"/>
      <c r="H157" s="314"/>
      <c r="I157" s="314"/>
      <c r="J157" s="314"/>
      <c r="K157" s="314"/>
      <c r="L157" s="314"/>
      <c r="M157" s="245">
        <f>M156/M150</f>
        <v>0.33137254901960783</v>
      </c>
      <c r="N157" s="245">
        <f t="shared" ref="N157:X157" si="219">N156/N150</f>
        <v>0.30196078431372547</v>
      </c>
      <c r="O157" s="245">
        <f t="shared" si="219"/>
        <v>0.26960784313725489</v>
      </c>
      <c r="P157" s="245">
        <f t="shared" si="219"/>
        <v>0.2745098039215686</v>
      </c>
      <c r="Q157" s="245">
        <f t="shared" si="219"/>
        <v>0.2745098039215686</v>
      </c>
      <c r="R157" s="245">
        <f t="shared" si="219"/>
        <v>0.2745098039215686</v>
      </c>
      <c r="S157" s="245">
        <f t="shared" si="219"/>
        <v>0.2745098039215686</v>
      </c>
      <c r="T157" s="245">
        <f t="shared" si="219"/>
        <v>0.2745098039215686</v>
      </c>
      <c r="U157" s="245">
        <f t="shared" si="219"/>
        <v>0.2745098039215686</v>
      </c>
      <c r="V157" s="245">
        <f t="shared" si="219"/>
        <v>0.2745098039215686</v>
      </c>
      <c r="W157" s="245">
        <f t="shared" si="219"/>
        <v>0.2745098039215686</v>
      </c>
      <c r="X157" s="245">
        <f t="shared" si="219"/>
        <v>0.2745098039215686</v>
      </c>
      <c r="Y157" s="314"/>
      <c r="Z157" s="314"/>
      <c r="AA157" s="314"/>
      <c r="AB157" s="314"/>
      <c r="AC157" s="513"/>
      <c r="AD157" s="513"/>
      <c r="AE157" s="513"/>
      <c r="AF157" s="513"/>
      <c r="AG157" s="513"/>
      <c r="AH157" s="1628"/>
      <c r="AI157" s="314"/>
      <c r="AJ157" s="314"/>
      <c r="AK157" s="314"/>
      <c r="AL157" s="314"/>
      <c r="AM157" s="314"/>
      <c r="AN157" s="314"/>
      <c r="AO157" s="314"/>
      <c r="AP157" s="314"/>
      <c r="AQ157" s="314"/>
      <c r="AR157" s="314"/>
      <c r="AS157" s="314"/>
      <c r="AT157" s="314"/>
      <c r="AU157" s="314"/>
      <c r="AV157" s="314"/>
      <c r="AW157" s="314"/>
      <c r="AX157" s="314"/>
      <c r="AY157" s="314"/>
      <c r="AZ157" s="314"/>
      <c r="BA157" s="997"/>
      <c r="BB157" s="877"/>
      <c r="BC157" s="877"/>
      <c r="BD157" s="38"/>
      <c r="BE157" s="314"/>
      <c r="BF157" s="997"/>
      <c r="BG157" s="997"/>
      <c r="BH157" s="997"/>
      <c r="BI157" s="314"/>
      <c r="BJ157" s="314"/>
      <c r="BK157" s="314"/>
      <c r="BL157" s="314"/>
      <c r="BM157" s="314"/>
      <c r="BN157" s="314"/>
      <c r="BO157" s="314"/>
      <c r="BP157" s="314"/>
      <c r="BQ157" s="314"/>
      <c r="BR157" s="314"/>
      <c r="BS157" s="314"/>
      <c r="BT157" s="2489"/>
      <c r="BU157" s="314"/>
      <c r="BV157" s="314"/>
      <c r="BW157" s="314"/>
      <c r="BX157" s="314"/>
      <c r="BY157" s="314"/>
      <c r="BZ157" s="314"/>
      <c r="CA157" s="314"/>
      <c r="CB157" s="314"/>
      <c r="CC157" s="314"/>
    </row>
    <row r="158" spans="1:81" hidden="1" outlineLevel="1">
      <c r="A158" s="862" t="s">
        <v>1345</v>
      </c>
      <c r="B158" s="314"/>
      <c r="C158" s="314"/>
      <c r="D158" s="314"/>
      <c r="E158" s="314"/>
      <c r="F158" s="314"/>
      <c r="G158" s="314"/>
      <c r="H158" s="314"/>
      <c r="I158" s="314"/>
      <c r="J158" s="314"/>
      <c r="K158" s="314"/>
      <c r="L158" s="314"/>
      <c r="M158" s="245">
        <f t="shared" ref="M158:X158" si="220">(M14-M11)/M145</f>
        <v>0.17463232701130965</v>
      </c>
      <c r="N158" s="245">
        <f t="shared" si="220"/>
        <v>0.1651191136249803</v>
      </c>
      <c r="O158" s="245">
        <f t="shared" si="220"/>
        <v>0.16312292517690122</v>
      </c>
      <c r="P158" s="245">
        <f t="shared" si="220"/>
        <v>0.13978210753040302</v>
      </c>
      <c r="Q158" s="245">
        <f t="shared" si="220"/>
        <v>0.14524308953192838</v>
      </c>
      <c r="R158" s="245">
        <f t="shared" si="220"/>
        <v>0.14852795683834247</v>
      </c>
      <c r="S158" s="245">
        <f t="shared" si="220"/>
        <v>0.13744178381148084</v>
      </c>
      <c r="T158" s="245">
        <f t="shared" si="220"/>
        <v>0.12345304822815796</v>
      </c>
      <c r="U158" s="245">
        <f t="shared" si="220"/>
        <v>0.13650293634895627</v>
      </c>
      <c r="V158" s="245">
        <f t="shared" si="220"/>
        <v>0.12227900433471148</v>
      </c>
      <c r="W158" s="245">
        <f t="shared" si="220"/>
        <v>0.1270042630232931</v>
      </c>
      <c r="X158" s="245">
        <f t="shared" si="220"/>
        <v>0.14224253409939558</v>
      </c>
      <c r="Y158" s="314"/>
      <c r="Z158" s="314"/>
      <c r="AA158" s="314"/>
      <c r="AB158" s="314"/>
      <c r="AC158" s="513"/>
      <c r="AD158" s="513"/>
      <c r="AE158" s="513"/>
      <c r="AF158" s="513"/>
      <c r="AG158" s="513"/>
      <c r="AH158" s="1628"/>
      <c r="AI158" s="314"/>
      <c r="AJ158" s="314"/>
      <c r="AK158" s="314"/>
      <c r="AL158" s="314"/>
      <c r="AM158" s="314"/>
      <c r="AN158" s="314"/>
      <c r="AO158" s="314"/>
      <c r="AP158" s="314"/>
      <c r="AQ158" s="314"/>
      <c r="AR158" s="314"/>
      <c r="AS158" s="314"/>
      <c r="AT158" s="314"/>
      <c r="AU158" s="314"/>
      <c r="AV158" s="314"/>
      <c r="AW158" s="314"/>
      <c r="AX158" s="314"/>
      <c r="AY158" s="314"/>
      <c r="AZ158" s="314"/>
      <c r="BA158" s="997"/>
      <c r="BB158" s="877"/>
      <c r="BC158" s="877"/>
      <c r="BD158" s="38"/>
      <c r="BE158" s="314"/>
      <c r="BF158" s="997"/>
      <c r="BG158" s="997"/>
      <c r="BH158" s="997"/>
      <c r="BI158" s="314"/>
      <c r="BJ158" s="314"/>
      <c r="BK158" s="314"/>
      <c r="BL158" s="314"/>
      <c r="BM158" s="314"/>
      <c r="BN158" s="314"/>
      <c r="BO158" s="314"/>
      <c r="BP158" s="314"/>
      <c r="BQ158" s="314"/>
      <c r="BR158" s="314"/>
      <c r="BS158" s="314"/>
      <c r="BT158" s="2489"/>
      <c r="BU158" s="314"/>
      <c r="BV158" s="314"/>
      <c r="BW158" s="314"/>
      <c r="BX158" s="314"/>
      <c r="BY158" s="314"/>
      <c r="BZ158" s="314"/>
      <c r="CA158" s="314"/>
      <c r="CB158" s="314"/>
      <c r="CC158" s="314"/>
    </row>
    <row r="159" spans="1:81" hidden="1" outlineLevel="1">
      <c r="A159" s="36" t="s">
        <v>1346</v>
      </c>
      <c r="B159" s="914"/>
      <c r="C159" s="914"/>
      <c r="D159" s="914"/>
      <c r="E159" s="914"/>
      <c r="F159" s="914"/>
      <c r="G159" s="914"/>
      <c r="H159" s="914"/>
      <c r="I159" s="914"/>
      <c r="J159" s="914"/>
      <c r="K159" s="914"/>
      <c r="L159" s="914"/>
      <c r="M159" s="914">
        <f>M158/M157</f>
        <v>0.52699696317022438</v>
      </c>
      <c r="N159" s="914">
        <f t="shared" ref="N159:X159" si="221">N158/N157</f>
        <v>0.5468230386281816</v>
      </c>
      <c r="O159" s="914">
        <f t="shared" si="221"/>
        <v>0.60503775883796096</v>
      </c>
      <c r="P159" s="914">
        <f t="shared" si="221"/>
        <v>0.50920624886075394</v>
      </c>
      <c r="Q159" s="914">
        <f t="shared" si="221"/>
        <v>0.52909982615202489</v>
      </c>
      <c r="R159" s="914">
        <f t="shared" si="221"/>
        <v>0.54106612848253333</v>
      </c>
      <c r="S159" s="914">
        <f t="shared" si="221"/>
        <v>0.50068078388468029</v>
      </c>
      <c r="T159" s="914">
        <f t="shared" si="221"/>
        <v>0.44972181854543264</v>
      </c>
      <c r="U159" s="914">
        <f t="shared" si="221"/>
        <v>0.49726069669976936</v>
      </c>
      <c r="V159" s="914">
        <f t="shared" si="221"/>
        <v>0.44544494436216331</v>
      </c>
      <c r="W159" s="914">
        <f t="shared" si="221"/>
        <v>0.46265838672771059</v>
      </c>
      <c r="X159" s="914">
        <f t="shared" si="221"/>
        <v>0.51816923136208393</v>
      </c>
      <c r="Y159" s="914"/>
      <c r="Z159" s="914"/>
      <c r="AA159" s="914"/>
      <c r="AB159" s="914"/>
      <c r="AC159" s="1255"/>
      <c r="AD159" s="1255"/>
      <c r="AE159" s="1255"/>
      <c r="AF159" s="1255"/>
      <c r="AG159" s="1255"/>
      <c r="AH159" s="2073"/>
      <c r="AI159" s="914"/>
      <c r="AJ159" s="914"/>
      <c r="AK159" s="914"/>
      <c r="AL159" s="914"/>
      <c r="AM159" s="914"/>
      <c r="AN159" s="914"/>
      <c r="AO159" s="914"/>
      <c r="AP159" s="914"/>
      <c r="AQ159" s="914"/>
      <c r="AR159" s="914"/>
      <c r="AS159" s="914"/>
      <c r="AT159" s="914"/>
      <c r="AU159" s="914"/>
      <c r="AV159" s="914"/>
      <c r="AW159" s="914"/>
      <c r="AX159" s="914"/>
      <c r="AY159" s="914"/>
      <c r="AZ159" s="914"/>
      <c r="BA159" s="914"/>
      <c r="BB159" s="877"/>
      <c r="BC159" s="877"/>
      <c r="BD159" s="38"/>
      <c r="BE159" s="914"/>
      <c r="BF159" s="914"/>
      <c r="BG159" s="914"/>
      <c r="BH159" s="914"/>
      <c r="BI159" s="914"/>
      <c r="BJ159" s="914"/>
      <c r="BK159" s="914"/>
      <c r="BL159" s="914"/>
      <c r="BM159" s="914"/>
      <c r="BN159" s="914"/>
      <c r="BO159" s="914"/>
      <c r="BP159" s="914"/>
      <c r="BQ159" s="914"/>
      <c r="BR159" s="914"/>
      <c r="BS159" s="914"/>
      <c r="BT159" s="2496"/>
      <c r="BU159" s="914"/>
      <c r="BV159" s="914"/>
      <c r="BW159" s="914"/>
      <c r="BX159" s="914"/>
      <c r="BY159" s="914"/>
      <c r="BZ159" s="914"/>
      <c r="CA159" s="914"/>
      <c r="CB159" s="914"/>
      <c r="CC159" s="914"/>
    </row>
    <row r="160" spans="1:81" hidden="1" outlineLevel="1">
      <c r="AC160" s="1048"/>
      <c r="AD160" s="1048"/>
      <c r="AE160" s="1048"/>
      <c r="AF160" s="1048"/>
      <c r="AG160" s="1048"/>
      <c r="BB160" s="877"/>
      <c r="BC160" s="877"/>
      <c r="BD160" s="38"/>
    </row>
    <row r="161" spans="1:72" collapsed="1">
      <c r="AC161" s="1048"/>
      <c r="AD161" s="1048"/>
      <c r="AE161" s="1048"/>
      <c r="AF161" s="1048"/>
      <c r="AG161" s="1048"/>
      <c r="BB161" s="877"/>
      <c r="BC161" s="877"/>
      <c r="BD161" s="38"/>
    </row>
    <row r="162" spans="1:72">
      <c r="U162" s="1577"/>
      <c r="V162" s="1577"/>
      <c r="W162" s="1577"/>
      <c r="X162" s="1577"/>
      <c r="Y162" s="1577"/>
      <c r="Z162" s="1577"/>
      <c r="AA162" s="1577"/>
      <c r="AB162" s="1577"/>
      <c r="AC162" s="1577"/>
      <c r="AD162" s="1577"/>
      <c r="AE162" s="1577"/>
      <c r="AF162" s="1577"/>
      <c r="AG162" s="1577"/>
      <c r="AI162" s="1577"/>
      <c r="AJ162" s="1577"/>
      <c r="AK162" s="1577"/>
      <c r="AP162" s="637" t="s">
        <v>542</v>
      </c>
      <c r="BB162" s="877"/>
      <c r="BC162" s="877"/>
      <c r="BD162" s="38"/>
    </row>
    <row r="163" spans="1:72">
      <c r="A163" s="726" t="s">
        <v>537</v>
      </c>
      <c r="U163" s="1577"/>
      <c r="V163" s="1470"/>
      <c r="W163" s="1470"/>
      <c r="X163" s="1470"/>
      <c r="Y163" s="1470"/>
      <c r="Z163" s="1470"/>
      <c r="AA163" s="1470"/>
      <c r="AB163" s="1470"/>
      <c r="AC163" s="1470"/>
      <c r="AD163" s="1470"/>
      <c r="AE163" s="1470"/>
      <c r="AF163" s="1470"/>
      <c r="AG163" s="1470"/>
      <c r="AH163" s="1470"/>
      <c r="AI163" s="1470"/>
      <c r="AJ163" s="1470"/>
      <c r="AK163" s="1470"/>
      <c r="AL163" s="1470"/>
      <c r="AP163" s="1487" t="s">
        <v>543</v>
      </c>
      <c r="BB163" s="877"/>
      <c r="BC163" s="877"/>
      <c r="BD163" s="38"/>
      <c r="BJ163" s="2153"/>
      <c r="BK163" s="2154" t="s">
        <v>1625</v>
      </c>
    </row>
    <row r="164" spans="1:72">
      <c r="A164" s="997" t="s">
        <v>530</v>
      </c>
      <c r="T164" s="128"/>
      <c r="U164" s="1922">
        <v>782.13418959293449</v>
      </c>
      <c r="V164" s="1922">
        <v>811.65948996879797</v>
      </c>
      <c r="W164" s="1922">
        <v>747.03479085602066</v>
      </c>
      <c r="X164" s="1922">
        <v>812.7107116149831</v>
      </c>
      <c r="Y164" s="1922">
        <v>781.45111384762515</v>
      </c>
      <c r="Z164" s="1922">
        <v>824.85952936184958</v>
      </c>
      <c r="AA164" s="1922">
        <v>779.40603303816204</v>
      </c>
      <c r="AB164" s="1922">
        <v>820.72736264100354</v>
      </c>
      <c r="AC164" s="1922">
        <v>775.5088703150293</v>
      </c>
      <c r="AD164" s="1922">
        <v>816.61240896377615</v>
      </c>
      <c r="AE164" s="1437">
        <v>771.42142157129524</v>
      </c>
      <c r="AF164" s="1437">
        <v>812.30831716946739</v>
      </c>
      <c r="AG164" s="1437">
        <v>767.35551640736048</v>
      </c>
      <c r="AH164" s="1437">
        <v>808.0269108082606</v>
      </c>
      <c r="AI164" s="1437">
        <v>763.31104127419724</v>
      </c>
      <c r="AJ164" s="1437">
        <v>803.76807031280009</v>
      </c>
      <c r="AP164" s="1395">
        <v>2022</v>
      </c>
      <c r="BB164" s="877"/>
      <c r="BC164" s="877"/>
      <c r="BD164" s="38"/>
      <c r="BJ164" s="2153" t="s">
        <v>1623</v>
      </c>
      <c r="BK164" s="2153">
        <v>369.8177390149043</v>
      </c>
    </row>
    <row r="165" spans="1:72">
      <c r="A165" s="997" t="s">
        <v>1535</v>
      </c>
      <c r="T165" s="128"/>
      <c r="U165" s="1922"/>
      <c r="V165" s="1922">
        <v>164.66666666666663</v>
      </c>
      <c r="W165" s="1922">
        <v>177.84000000000003</v>
      </c>
      <c r="X165" s="1922">
        <v>116.70750000000001</v>
      </c>
      <c r="Y165" s="1922">
        <v>120.20872499999999</v>
      </c>
      <c r="Z165" s="1922">
        <v>119.00663775</v>
      </c>
      <c r="AA165" s="1922">
        <v>117.81657137249999</v>
      </c>
      <c r="AB165" s="1922">
        <v>116.63840565877499</v>
      </c>
      <c r="AC165" s="1922">
        <v>115.47202160218724</v>
      </c>
      <c r="AD165" s="1922">
        <v>114.31730138616537</v>
      </c>
      <c r="AE165" s="1922">
        <v>113.17412837230371</v>
      </c>
      <c r="AF165" s="1437">
        <v>112.04238708858067</v>
      </c>
      <c r="AG165" s="1437">
        <v>110.92196321769487</v>
      </c>
      <c r="AH165" s="1437">
        <v>109.81274358551792</v>
      </c>
      <c r="AI165" s="1437">
        <v>108.71461614966275</v>
      </c>
      <c r="AJ165" s="1437">
        <v>107.62746998816611</v>
      </c>
      <c r="AP165" s="1395"/>
      <c r="BB165" s="877"/>
      <c r="BC165" s="877"/>
      <c r="BD165" s="38"/>
      <c r="BJ165" s="2153" t="s">
        <v>1624</v>
      </c>
      <c r="BK165" s="2153">
        <v>343.03500000000003</v>
      </c>
    </row>
    <row r="166" spans="1:72">
      <c r="A166" s="997" t="s">
        <v>531</v>
      </c>
      <c r="T166" s="128"/>
      <c r="U166" s="1922">
        <v>378.12405200357591</v>
      </c>
      <c r="V166" s="1922">
        <v>332.27126203931647</v>
      </c>
      <c r="W166" s="1922">
        <v>357.5674189862458</v>
      </c>
      <c r="X166" s="1922">
        <v>299.28883261702498</v>
      </c>
      <c r="Y166" s="1922">
        <v>387.90777002007445</v>
      </c>
      <c r="Z166" s="1922">
        <v>316.71537846837703</v>
      </c>
      <c r="AA166" s="1922">
        <v>408.60522238064658</v>
      </c>
      <c r="AB166" s="1922">
        <v>333.83579712988632</v>
      </c>
      <c r="AC166" s="1922">
        <v>429.02454694209047</v>
      </c>
      <c r="AD166" s="1922">
        <v>350.49153113457049</v>
      </c>
      <c r="AE166" s="1922">
        <v>448.52958487090825</v>
      </c>
      <c r="AF166" s="1437">
        <v>375.44652815135197</v>
      </c>
      <c r="AG166" s="1437">
        <v>475.84503658954657</v>
      </c>
      <c r="AH166" s="1437">
        <v>398.31122171576931</v>
      </c>
      <c r="AI166" s="1437">
        <v>504.82399931784994</v>
      </c>
      <c r="AJ166" s="1437">
        <v>422.56837511825967</v>
      </c>
      <c r="AP166" s="1395">
        <v>2024</v>
      </c>
      <c r="BB166" s="877"/>
      <c r="BC166" s="877"/>
      <c r="BD166" s="38"/>
    </row>
    <row r="167" spans="1:72">
      <c r="A167" s="997" t="s">
        <v>536</v>
      </c>
      <c r="T167" s="166"/>
      <c r="U167" s="1693">
        <v>48.76341695472405</v>
      </c>
      <c r="V167" s="1693">
        <v>-19.692833998583978</v>
      </c>
      <c r="W167" s="1693">
        <v>18.77109621991886</v>
      </c>
      <c r="X167" s="1693">
        <v>47.38966203820064</v>
      </c>
      <c r="Y167" s="1693">
        <v>18.696387314215059</v>
      </c>
      <c r="Z167" s="1437">
        <v>15.123951115658244</v>
      </c>
      <c r="AA167" s="1437">
        <v>15.123951115658244</v>
      </c>
      <c r="AB167" s="1437">
        <v>15.123951115658244</v>
      </c>
      <c r="AC167" s="1437">
        <v>15.123951115658244</v>
      </c>
      <c r="AD167" s="1437">
        <v>15.123951115658244</v>
      </c>
      <c r="AE167" s="1437">
        <v>15.123951115658244</v>
      </c>
      <c r="AF167" s="1437">
        <v>15.123951115658244</v>
      </c>
      <c r="AG167" s="1437">
        <v>15.123951115658244</v>
      </c>
      <c r="AH167" s="1437">
        <v>15.123951115658244</v>
      </c>
      <c r="AI167" s="1437">
        <v>15.123951115658244</v>
      </c>
      <c r="AJ167" s="1437">
        <v>15.123951115658244</v>
      </c>
      <c r="AP167" s="1395" t="s">
        <v>544</v>
      </c>
      <c r="BB167" s="877"/>
      <c r="BC167" s="877"/>
      <c r="BD167" s="38"/>
    </row>
    <row r="168" spans="1:72">
      <c r="A168" s="997" t="s">
        <v>532</v>
      </c>
      <c r="T168" s="128"/>
      <c r="U168" s="1922">
        <v>192.23512825502388</v>
      </c>
      <c r="V168" s="1922">
        <v>200.42952934386327</v>
      </c>
      <c r="W168" s="1922">
        <v>207.69249905339129</v>
      </c>
      <c r="X168" s="1922">
        <v>214.10721493129145</v>
      </c>
      <c r="Y168" s="1922">
        <v>219.96389338783126</v>
      </c>
      <c r="Z168" s="1922">
        <v>222.16353232170951</v>
      </c>
      <c r="AA168" s="1922">
        <v>223.49317842308815</v>
      </c>
      <c r="AB168" s="1922">
        <v>224.60259856078039</v>
      </c>
      <c r="AC168" s="1922">
        <v>225.71752586003612</v>
      </c>
      <c r="AD168" s="1922">
        <v>226.8379876584053</v>
      </c>
      <c r="AE168" s="1922">
        <v>227.96401142914155</v>
      </c>
      <c r="AF168" s="1437">
        <v>229.10383148628722</v>
      </c>
      <c r="AG168" s="1437">
        <v>230.24935064371863</v>
      </c>
      <c r="AH168" s="1437">
        <v>231.4005973969372</v>
      </c>
      <c r="AI168" s="1437">
        <v>232.55760038392185</v>
      </c>
      <c r="AJ168" s="1437">
        <v>233.72038838584143</v>
      </c>
      <c r="AP168" s="1395" t="s">
        <v>544</v>
      </c>
      <c r="BB168" s="877"/>
      <c r="BC168" s="877"/>
      <c r="BD168" s="38"/>
    </row>
    <row r="169" spans="1:72">
      <c r="A169" s="997" t="s">
        <v>533</v>
      </c>
      <c r="T169" s="128"/>
      <c r="U169" s="1922">
        <v>23</v>
      </c>
      <c r="V169" s="1437">
        <v>23.92</v>
      </c>
      <c r="W169" s="1437">
        <v>0</v>
      </c>
      <c r="X169" s="1437">
        <v>0</v>
      </c>
      <c r="Y169" s="1437">
        <v>0</v>
      </c>
      <c r="Z169" s="1437">
        <v>0</v>
      </c>
      <c r="AA169" s="1437">
        <v>0</v>
      </c>
      <c r="AB169" s="1437">
        <v>0</v>
      </c>
      <c r="AC169" s="1437">
        <v>0</v>
      </c>
      <c r="AD169" s="1437">
        <v>0</v>
      </c>
      <c r="AE169" s="1437">
        <v>0</v>
      </c>
      <c r="AF169" s="1437">
        <v>0</v>
      </c>
      <c r="AG169" s="1437">
        <v>0</v>
      </c>
      <c r="AH169" s="1437">
        <v>0</v>
      </c>
      <c r="AI169" s="1437">
        <v>0</v>
      </c>
      <c r="AJ169" s="1437">
        <v>0</v>
      </c>
      <c r="AP169" s="1395">
        <v>2014</v>
      </c>
      <c r="BB169" s="877"/>
      <c r="BC169" s="877"/>
      <c r="BD169" s="38"/>
    </row>
    <row r="170" spans="1:72">
      <c r="A170" s="1483" t="s">
        <v>545</v>
      </c>
      <c r="B170" s="2039"/>
      <c r="C170" s="2039">
        <f t="shared" ref="C170:Z170" si="222">+C9</f>
        <v>385.815</v>
      </c>
      <c r="D170" s="2039">
        <f t="shared" si="222"/>
        <v>465.03500000000003</v>
      </c>
      <c r="E170" s="2039">
        <f t="shared" si="222"/>
        <v>499.375</v>
      </c>
      <c r="F170" s="2039">
        <f t="shared" si="222"/>
        <v>881.00571198796104</v>
      </c>
      <c r="G170" s="2039">
        <f t="shared" si="222"/>
        <v>673.5153390375865</v>
      </c>
      <c r="H170" s="2039">
        <f t="shared" si="222"/>
        <v>736.51681629698351</v>
      </c>
      <c r="I170" s="2039">
        <f t="shared" si="222"/>
        <v>841.47622065610381</v>
      </c>
      <c r="J170" s="2039">
        <f t="shared" si="222"/>
        <v>740.78574820075346</v>
      </c>
      <c r="K170" s="2039">
        <f t="shared" si="222"/>
        <v>752.83617938988118</v>
      </c>
      <c r="L170" s="2039">
        <f t="shared" si="222"/>
        <v>1014.034</v>
      </c>
      <c r="M170" s="2039">
        <f t="shared" si="222"/>
        <v>1052.125</v>
      </c>
      <c r="N170" s="2039">
        <f t="shared" si="222"/>
        <v>1109.94</v>
      </c>
      <c r="O170" s="2039">
        <f t="shared" si="222"/>
        <v>1398.2280000000001</v>
      </c>
      <c r="P170" s="2039">
        <f t="shared" si="222"/>
        <v>1344.683</v>
      </c>
      <c r="Q170" s="2039">
        <f t="shared" si="222"/>
        <v>1251.528</v>
      </c>
      <c r="R170" s="2039">
        <f t="shared" si="222"/>
        <v>1612.2570000000001</v>
      </c>
      <c r="S170" s="2039">
        <f t="shared" si="222"/>
        <v>1481.703</v>
      </c>
      <c r="T170" s="2039">
        <f t="shared" si="222"/>
        <v>1309.57</v>
      </c>
      <c r="U170" s="2039">
        <f t="shared" si="222"/>
        <v>1424.2567868062583</v>
      </c>
      <c r="V170" s="2039">
        <f t="shared" si="222"/>
        <v>1513.2541140200603</v>
      </c>
      <c r="W170" s="2039">
        <f>+W9</f>
        <v>1508.9058051155766</v>
      </c>
      <c r="X170" s="2039">
        <f t="shared" si="222"/>
        <v>1490.2039212015002</v>
      </c>
      <c r="Y170" s="2039">
        <f t="shared" si="222"/>
        <v>1528.2278895697459</v>
      </c>
      <c r="Z170" s="2039">
        <f t="shared" si="222"/>
        <v>1496.8690290175944</v>
      </c>
      <c r="AA170" s="2040">
        <f>+SUM(AA164:AA169)</f>
        <v>1544.444956330055</v>
      </c>
      <c r="AB170" s="2040">
        <f t="shared" ref="AB170:AF170" si="223">+SUM(AB164:AB169)</f>
        <v>1510.9281151061036</v>
      </c>
      <c r="AC170" s="2040">
        <f t="shared" si="223"/>
        <v>1560.8469158350015</v>
      </c>
      <c r="AD170" s="2040">
        <f t="shared" si="223"/>
        <v>1523.3831802585755</v>
      </c>
      <c r="AE170" s="2040">
        <f t="shared" si="223"/>
        <v>1576.2130973593069</v>
      </c>
      <c r="AF170" s="2040">
        <f t="shared" si="223"/>
        <v>1544.0250150113454</v>
      </c>
      <c r="AG170" s="2040">
        <f>+SUM(AG164:AG169)</f>
        <v>1599.4958179739788</v>
      </c>
      <c r="AH170" s="2040">
        <f>+SUM(AH164:AH169)</f>
        <v>1562.6754246221433</v>
      </c>
      <c r="AI170" s="2040">
        <f>+SUM(AI164:AI169)</f>
        <v>1624.5312082412902</v>
      </c>
      <c r="AJ170" s="2040">
        <f>+SUM(AJ164:AJ169)</f>
        <v>1582.8082549207256</v>
      </c>
      <c r="AK170" s="1577"/>
      <c r="AL170" s="1577"/>
      <c r="AM170" s="1577"/>
      <c r="AN170" s="1577"/>
      <c r="AO170" s="1577"/>
      <c r="AP170" s="1577"/>
      <c r="BB170" s="877"/>
      <c r="BC170" s="877"/>
      <c r="BD170" s="38"/>
    </row>
    <row r="171" spans="1:72">
      <c r="A171" s="997" t="s">
        <v>534</v>
      </c>
      <c r="C171" s="1737"/>
      <c r="D171" s="1737">
        <f t="shared" ref="D171:V171" si="224">+D170/C170-1</f>
        <v>0.2053315708305794</v>
      </c>
      <c r="E171" s="1737">
        <f t="shared" si="224"/>
        <v>7.3843904222262724E-2</v>
      </c>
      <c r="F171" s="1737">
        <f t="shared" si="224"/>
        <v>0.76421669484447774</v>
      </c>
      <c r="G171" s="1737">
        <f t="shared" si="224"/>
        <v>-0.23551535492565556</v>
      </c>
      <c r="H171" s="1737">
        <f t="shared" si="224"/>
        <v>9.354126566652865E-2</v>
      </c>
      <c r="I171" s="1737">
        <f t="shared" si="224"/>
        <v>0.14250781792984601</v>
      </c>
      <c r="J171" s="1737">
        <f t="shared" si="224"/>
        <v>-0.11965932011345659</v>
      </c>
      <c r="K171" s="1737">
        <f t="shared" si="224"/>
        <v>1.6267093715553127E-2</v>
      </c>
      <c r="L171" s="1737">
        <f t="shared" si="224"/>
        <v>0.34695173765665799</v>
      </c>
      <c r="M171" s="1737">
        <f t="shared" si="224"/>
        <v>3.7563829220716549E-2</v>
      </c>
      <c r="N171" s="1737">
        <f t="shared" si="224"/>
        <v>5.4950695021979357E-2</v>
      </c>
      <c r="O171" s="1737">
        <f t="shared" si="224"/>
        <v>0.25973295853829947</v>
      </c>
      <c r="P171" s="1737">
        <f t="shared" si="224"/>
        <v>-3.8294898972127678E-2</v>
      </c>
      <c r="Q171" s="1737">
        <f t="shared" si="224"/>
        <v>-6.9276550681461657E-2</v>
      </c>
      <c r="R171" s="1737">
        <f t="shared" si="224"/>
        <v>0.28823086658868213</v>
      </c>
      <c r="S171" s="1737">
        <f t="shared" si="224"/>
        <v>-8.0975923813635275E-2</v>
      </c>
      <c r="T171" s="1737">
        <f t="shared" si="224"/>
        <v>-0.11617240432124387</v>
      </c>
      <c r="U171" s="1737">
        <f t="shared" si="224"/>
        <v>8.7575911792617811E-2</v>
      </c>
      <c r="V171" s="1737">
        <f t="shared" si="224"/>
        <v>6.2486854925486446E-2</v>
      </c>
      <c r="W171" s="1737">
        <f t="shared" ref="W171:AI171" si="225">+W170/V170-1</f>
        <v>-2.8734822950073902E-3</v>
      </c>
      <c r="X171" s="1737">
        <f>+X170/W170-1</f>
        <v>-1.2394334921817074E-2</v>
      </c>
      <c r="Y171" s="1737">
        <f t="shared" si="225"/>
        <v>2.5515949748399658E-2</v>
      </c>
      <c r="Z171" s="1737">
        <f t="shared" si="225"/>
        <v>-2.0519754132337087E-2</v>
      </c>
      <c r="AA171" s="1737">
        <f t="shared" si="225"/>
        <v>3.1783627284803329E-2</v>
      </c>
      <c r="AB171" s="1737">
        <f t="shared" si="225"/>
        <v>-2.1701544678934259E-2</v>
      </c>
      <c r="AC171" s="1737">
        <f t="shared" si="225"/>
        <v>3.3038501454711655E-2</v>
      </c>
      <c r="AD171" s="1737">
        <f t="shared" si="225"/>
        <v>-2.4002184452780906E-2</v>
      </c>
      <c r="AE171" s="1737">
        <f t="shared" si="225"/>
        <v>3.4679335957854107E-2</v>
      </c>
      <c r="AF171" s="1737">
        <f t="shared" si="225"/>
        <v>-2.0421148892803553E-2</v>
      </c>
      <c r="AG171" s="1737">
        <f t="shared" si="225"/>
        <v>3.592610380229222E-2</v>
      </c>
      <c r="AH171" s="1737">
        <f t="shared" si="225"/>
        <v>-2.3019999763722154E-2</v>
      </c>
      <c r="AI171" s="1737">
        <f t="shared" si="225"/>
        <v>3.9583257434347763E-2</v>
      </c>
      <c r="AJ171" s="1737">
        <f>+AJ170/AI170-1</f>
        <v>-2.5683072820579245E-2</v>
      </c>
      <c r="AK171" s="1577"/>
      <c r="AL171" s="1577"/>
      <c r="AM171" s="1577"/>
      <c r="AN171" s="1577"/>
      <c r="AO171" s="1577"/>
      <c r="AP171" s="1577"/>
      <c r="BB171" s="877"/>
      <c r="BC171" s="877"/>
      <c r="BD171" s="38"/>
    </row>
    <row r="172" spans="1:72">
      <c r="A172" s="997" t="s">
        <v>538</v>
      </c>
      <c r="D172" s="1482">
        <v>0.2053315708305794</v>
      </c>
      <c r="E172" s="1482">
        <v>7.3843904222262724E-2</v>
      </c>
      <c r="F172" s="1482">
        <v>0.76421669484447774</v>
      </c>
      <c r="G172" s="1482">
        <v>-0.23551535492565556</v>
      </c>
      <c r="H172" s="1482">
        <v>9.354126566652865E-2</v>
      </c>
      <c r="I172" s="1482">
        <v>0.14250781792984601</v>
      </c>
      <c r="J172" s="1482">
        <v>-0.11965932011345659</v>
      </c>
      <c r="K172" s="1482">
        <v>1.6267093715553127E-2</v>
      </c>
      <c r="L172" s="1482">
        <v>0.34695173765665799</v>
      </c>
      <c r="M172" s="1482">
        <v>3.7563829220716549E-2</v>
      </c>
      <c r="N172" s="1482">
        <v>5.4950695021979357E-2</v>
      </c>
      <c r="O172" s="1482">
        <v>0.25973295853829947</v>
      </c>
      <c r="P172" s="1482">
        <v>-3.8294898972127678E-2</v>
      </c>
      <c r="Q172" s="1482">
        <v>-6.9276550681461657E-2</v>
      </c>
      <c r="R172" s="1482">
        <v>0.28823086658868213</v>
      </c>
      <c r="S172" s="1482">
        <v>-8.0975923813635275E-2</v>
      </c>
      <c r="T172" s="1482">
        <v>-0.11617240432124387</v>
      </c>
      <c r="U172" s="1482">
        <v>8.7575911792617811E-2</v>
      </c>
      <c r="V172" s="1482">
        <v>6.2486854925486446E-2</v>
      </c>
      <c r="W172" s="1482">
        <v>-2.8734822950073902E-3</v>
      </c>
      <c r="X172" s="1482">
        <v>-1.2394334921817074E-2</v>
      </c>
      <c r="Y172" s="1482">
        <v>2.5515949748399658E-2</v>
      </c>
      <c r="Z172" s="1482">
        <v>-1.986540146227711E-2</v>
      </c>
      <c r="AA172" s="1482">
        <v>3.1094792942616856E-2</v>
      </c>
      <c r="AB172" s="1482">
        <v>-2.1701544678934259E-2</v>
      </c>
      <c r="AC172" s="1482">
        <v>3.3038501454711655E-2</v>
      </c>
      <c r="AD172" s="1482">
        <v>-2.4002184452780906E-2</v>
      </c>
      <c r="AE172" s="1482">
        <v>3.4679335957854107E-2</v>
      </c>
      <c r="AF172" s="1482">
        <v>-2.0421148892803553E-2</v>
      </c>
      <c r="AG172" s="1482">
        <v>3.592610380229222E-2</v>
      </c>
      <c r="AH172" s="1482">
        <v>-2.3019999763722154E-2</v>
      </c>
      <c r="AI172" s="1482">
        <v>3.9583257434347763E-2</v>
      </c>
      <c r="AJ172" s="1482">
        <v>-2.5683072820579245E-2</v>
      </c>
      <c r="AK172" s="1493" t="s">
        <v>1633</v>
      </c>
      <c r="AL172" s="1577"/>
      <c r="AM172" s="1577"/>
      <c r="AN172" s="1577"/>
      <c r="AO172" s="1577"/>
      <c r="AP172" s="2135"/>
      <c r="BB172" s="877"/>
      <c r="BC172" s="877"/>
      <c r="BD172" s="38"/>
    </row>
    <row r="173" spans="1:72">
      <c r="A173" s="997" t="s">
        <v>539</v>
      </c>
      <c r="D173" s="1493">
        <f t="shared" ref="D173:V173" si="226">+D9</f>
        <v>465.03500000000003</v>
      </c>
      <c r="E173" s="1493">
        <f t="shared" si="226"/>
        <v>499.375</v>
      </c>
      <c r="F173" s="1493">
        <f t="shared" si="226"/>
        <v>881.00571198796104</v>
      </c>
      <c r="G173" s="1493">
        <f t="shared" si="226"/>
        <v>673.5153390375865</v>
      </c>
      <c r="H173" s="1493">
        <f t="shared" si="226"/>
        <v>736.51681629698351</v>
      </c>
      <c r="I173" s="1493">
        <f t="shared" si="226"/>
        <v>841.47622065610381</v>
      </c>
      <c r="J173" s="1493">
        <f t="shared" si="226"/>
        <v>740.78574820075346</v>
      </c>
      <c r="K173" s="1493">
        <f t="shared" si="226"/>
        <v>752.83617938988118</v>
      </c>
      <c r="L173" s="1493">
        <f t="shared" si="226"/>
        <v>1014.034</v>
      </c>
      <c r="M173" s="1493">
        <f t="shared" si="226"/>
        <v>1052.125</v>
      </c>
      <c r="N173" s="1493">
        <f t="shared" si="226"/>
        <v>1109.94</v>
      </c>
      <c r="O173" s="1493">
        <f t="shared" si="226"/>
        <v>1398.2280000000001</v>
      </c>
      <c r="P173" s="1493">
        <f t="shared" si="226"/>
        <v>1344.683</v>
      </c>
      <c r="Q173" s="1493">
        <f t="shared" si="226"/>
        <v>1251.528</v>
      </c>
      <c r="R173" s="1493">
        <f t="shared" si="226"/>
        <v>1612.2570000000001</v>
      </c>
      <c r="S173" s="1493">
        <f t="shared" si="226"/>
        <v>1481.703</v>
      </c>
      <c r="T173" s="1493">
        <f t="shared" si="226"/>
        <v>1309.57</v>
      </c>
      <c r="U173" s="1493">
        <f t="shared" si="226"/>
        <v>1424.2567868062583</v>
      </c>
      <c r="V173" s="1493">
        <f t="shared" si="226"/>
        <v>1513.2541140200603</v>
      </c>
      <c r="W173" s="1493">
        <f t="shared" ref="W173:AF173" si="227">+W9</f>
        <v>1508.9058051155766</v>
      </c>
      <c r="X173" s="1493">
        <f>+X9</f>
        <v>1490.2039212015002</v>
      </c>
      <c r="Y173" s="1493">
        <f>+Y9</f>
        <v>1528.2278895697459</v>
      </c>
      <c r="Z173" s="1493">
        <f>+Z9</f>
        <v>1496.8690290175944</v>
      </c>
      <c r="AA173" s="1493">
        <f t="shared" si="227"/>
        <v>1543.4138615371123</v>
      </c>
      <c r="AB173" s="1493">
        <f t="shared" si="227"/>
        <v>1509.9193966628782</v>
      </c>
      <c r="AC173" s="1493">
        <f t="shared" si="227"/>
        <v>1559.8048708460219</v>
      </c>
      <c r="AD173" s="1493">
        <f t="shared" si="227"/>
        <v>1522.3661466256297</v>
      </c>
      <c r="AE173" s="1493">
        <f t="shared" si="227"/>
        <v>1575.1607936753237</v>
      </c>
      <c r="AF173" s="1493">
        <f t="shared" si="227"/>
        <v>1542.9942005775733</v>
      </c>
      <c r="AG173" s="1493">
        <f>+AG9</f>
        <v>1598.4279703938582</v>
      </c>
      <c r="AH173" s="1493">
        <f>+AH9</f>
        <v>1561.6321588930648</v>
      </c>
      <c r="AI173" s="1493">
        <f>+AI9</f>
        <v>1623.4466466562853</v>
      </c>
      <c r="AJ173" s="1493">
        <f>+AJ9</f>
        <v>1581.7515482098868</v>
      </c>
      <c r="AK173" s="1577"/>
      <c r="AL173" s="1577"/>
      <c r="AM173" s="1577"/>
      <c r="AN173" s="1577"/>
      <c r="AO173" s="1577"/>
      <c r="AP173" s="1577"/>
      <c r="BB173" s="877"/>
      <c r="BC173" s="877"/>
      <c r="BD173" s="38"/>
    </row>
    <row r="174" spans="1:72">
      <c r="A174" s="997" t="s">
        <v>782</v>
      </c>
      <c r="T174" s="1394"/>
      <c r="U174" s="1493">
        <f t="shared" ref="U174:X174" si="228">+U173-U170</f>
        <v>0</v>
      </c>
      <c r="V174" s="1493">
        <f t="shared" si="228"/>
        <v>0</v>
      </c>
      <c r="W174" s="1493">
        <f t="shared" si="228"/>
        <v>0</v>
      </c>
      <c r="X174" s="1493">
        <f t="shared" si="228"/>
        <v>0</v>
      </c>
      <c r="Y174" s="1493">
        <f>+Y173-Y170</f>
        <v>0</v>
      </c>
      <c r="Z174" s="1493">
        <f>+Z173-Z170</f>
        <v>0</v>
      </c>
      <c r="AA174" s="1493">
        <f t="shared" ref="AA174:AF174" si="229">+AA173-AA170</f>
        <v>-1.0310947929426675</v>
      </c>
      <c r="AB174" s="1493">
        <f t="shared" si="229"/>
        <v>-1.0087184432254617</v>
      </c>
      <c r="AC174" s="1493">
        <f t="shared" si="229"/>
        <v>-1.0420449889795691</v>
      </c>
      <c r="AD174" s="1493">
        <f t="shared" si="229"/>
        <v>-1.0170336329458678</v>
      </c>
      <c r="AE174" s="1493">
        <f t="shared" si="229"/>
        <v>-1.0523036839831548</v>
      </c>
      <c r="AF174" s="1493">
        <f t="shared" si="229"/>
        <v>-1.0308144337720933</v>
      </c>
      <c r="AG174" s="1493">
        <f>+AG173-AG170</f>
        <v>-1.0678475801205423</v>
      </c>
      <c r="AH174" s="1493">
        <f>+AH173-AH170</f>
        <v>-1.0432657290784846</v>
      </c>
      <c r="AI174" s="1493">
        <f>+AI173-AI170</f>
        <v>-1.0845615850048489</v>
      </c>
      <c r="AJ174" s="1493">
        <f>+AJ173-AJ170</f>
        <v>-1.0567067108388528</v>
      </c>
      <c r="AK174" s="1577"/>
      <c r="AL174" s="1577"/>
      <c r="AM174" s="1577"/>
      <c r="AN174" s="1577"/>
      <c r="AO174" s="1577"/>
      <c r="AP174" s="1577"/>
      <c r="BB174" s="877"/>
      <c r="BC174" s="877"/>
      <c r="BD174" s="38"/>
    </row>
    <row r="175" spans="1:72" s="862" customFormat="1">
      <c r="A175" s="997"/>
      <c r="W175" s="1470"/>
      <c r="X175" s="1470"/>
      <c r="Y175" s="1470"/>
      <c r="Z175" s="1470"/>
      <c r="AA175" s="1470"/>
      <c r="AB175" s="1470"/>
      <c r="AC175" s="1470"/>
      <c r="AD175" s="1470"/>
      <c r="AE175" s="1470"/>
      <c r="AF175" s="1470"/>
      <c r="AG175" s="1470"/>
      <c r="AH175" s="1470"/>
      <c r="AI175" s="1470"/>
      <c r="AJ175" s="1470"/>
      <c r="AK175" s="1470"/>
      <c r="AL175" s="1470"/>
      <c r="AM175" s="1470"/>
      <c r="AN175" s="1470"/>
      <c r="AO175" s="1470"/>
      <c r="AP175" s="1470"/>
      <c r="BA175"/>
      <c r="BB175" s="877"/>
      <c r="BC175" s="877"/>
      <c r="BD175" s="38"/>
      <c r="BT175" s="1395"/>
    </row>
    <row r="176" spans="1:72">
      <c r="A176" s="726" t="s">
        <v>541</v>
      </c>
      <c r="U176" s="2028"/>
      <c r="V176" s="2028"/>
      <c r="W176" s="2028"/>
      <c r="X176" s="2216"/>
      <c r="Y176" s="2028"/>
      <c r="Z176" s="2028"/>
      <c r="AA176" s="2028"/>
      <c r="AB176" s="2028"/>
      <c r="AC176" s="2028"/>
      <c r="AD176" s="1577"/>
      <c r="AE176" s="1577"/>
      <c r="AF176" s="1577"/>
      <c r="AG176" s="1577"/>
      <c r="AI176" s="1577"/>
      <c r="AJ176" s="1577"/>
      <c r="AK176" s="1577"/>
      <c r="AL176" s="1577"/>
      <c r="AM176" s="1577"/>
      <c r="AN176" s="1577"/>
      <c r="AO176" s="1577"/>
      <c r="AP176" s="1577"/>
      <c r="BB176" s="877"/>
      <c r="BC176" s="877"/>
      <c r="BD176" s="38"/>
    </row>
    <row r="177" spans="1:56">
      <c r="A177" s="997" t="s">
        <v>530</v>
      </c>
      <c r="T177" s="128"/>
      <c r="U177" s="1922">
        <v>711.09049725490217</v>
      </c>
      <c r="V177" s="1922">
        <v>833.20011502757325</v>
      </c>
      <c r="W177" s="1922">
        <v>830.19212192922771</v>
      </c>
      <c r="X177" s="1922">
        <v>933.00364924498137</v>
      </c>
      <c r="Y177" s="1922">
        <v>932.80386819968032</v>
      </c>
      <c r="Z177" s="1922">
        <v>1044.9521002916613</v>
      </c>
      <c r="AA177" s="1922">
        <v>1048.0984263091609</v>
      </c>
      <c r="AB177" s="1922">
        <v>1170.5351318877106</v>
      </c>
      <c r="AC177" s="1922">
        <v>1177.6433918009734</v>
      </c>
      <c r="AD177" s="1922">
        <v>1311.4258433090315</v>
      </c>
      <c r="AE177" s="1437">
        <v>1387.4876677859888</v>
      </c>
      <c r="AF177" s="1437">
        <v>1530.532316079888</v>
      </c>
      <c r="AG177" s="1437">
        <v>1529.7051537340528</v>
      </c>
      <c r="AH177" s="1437">
        <v>1687.4118784780767</v>
      </c>
      <c r="AI177" s="1437">
        <v>1686.4999319917933</v>
      </c>
      <c r="AJ177" s="1437">
        <v>1860.3715960220795</v>
      </c>
      <c r="BB177" s="877"/>
      <c r="BC177" s="877"/>
      <c r="BD177" s="38"/>
    </row>
    <row r="178" spans="1:56">
      <c r="A178" s="997" t="s">
        <v>1535</v>
      </c>
      <c r="T178" s="128"/>
      <c r="U178" s="1922"/>
      <c r="V178" s="1922">
        <v>299.75728155339806</v>
      </c>
      <c r="W178" s="1922">
        <v>326.5</v>
      </c>
      <c r="X178" s="1922">
        <v>237.36</v>
      </c>
      <c r="Y178" s="1922">
        <v>237.73079999999999</v>
      </c>
      <c r="Z178" s="1922">
        <v>271.86272400000001</v>
      </c>
      <c r="AA178" s="1922">
        <v>285.45586020000002</v>
      </c>
      <c r="AB178" s="1922">
        <v>299.72865321</v>
      </c>
      <c r="AC178" s="1922">
        <v>314.71508587049999</v>
      </c>
      <c r="AD178" s="1922">
        <v>330.45084016402501</v>
      </c>
      <c r="AE178" s="1922">
        <v>346.97338217222625</v>
      </c>
      <c r="AF178" s="1437">
        <v>364.32205128083757</v>
      </c>
      <c r="AG178" s="1437">
        <v>382.53815384487945</v>
      </c>
      <c r="AH178" s="1437">
        <v>401.66506153712345</v>
      </c>
      <c r="AI178" s="1437">
        <v>421.74831461397963</v>
      </c>
      <c r="AJ178" s="1437">
        <v>442.83573034467861</v>
      </c>
      <c r="BB178" s="877"/>
      <c r="BC178" s="877"/>
      <c r="BD178" s="38"/>
    </row>
    <row r="179" spans="1:56">
      <c r="A179" s="997" t="s">
        <v>531</v>
      </c>
      <c r="T179" s="128"/>
      <c r="U179" s="1922">
        <v>448.12405200357591</v>
      </c>
      <c r="V179" s="1922">
        <v>392.27126203931647</v>
      </c>
      <c r="W179" s="1922">
        <v>407.5674189862458</v>
      </c>
      <c r="X179" s="1922">
        <v>339.28883261702498</v>
      </c>
      <c r="Y179" s="1922">
        <v>417.90777002007445</v>
      </c>
      <c r="Z179" s="1922">
        <v>346.71537846837703</v>
      </c>
      <c r="AA179" s="1922">
        <v>438.60522238064658</v>
      </c>
      <c r="AB179" s="1922">
        <v>359.42304807438478</v>
      </c>
      <c r="AC179" s="1922">
        <v>450.66108229457762</v>
      </c>
      <c r="AD179" s="1922">
        <v>341.54118904725868</v>
      </c>
      <c r="AE179" s="1922">
        <v>437.00710573578277</v>
      </c>
      <c r="AF179" s="1437">
        <v>376.54916092460269</v>
      </c>
      <c r="AG179" s="1437">
        <v>481.80033407370053</v>
      </c>
      <c r="AH179" s="1437">
        <v>415.14544991937447</v>
      </c>
      <c r="AI179" s="1437">
        <v>531.18486831625489</v>
      </c>
      <c r="AJ179" s="1437">
        <v>457.69785853611035</v>
      </c>
    </row>
    <row r="180" spans="1:56">
      <c r="A180" s="997" t="s">
        <v>536</v>
      </c>
      <c r="T180" s="128"/>
      <c r="U180" s="1693">
        <v>-16.587300606491794</v>
      </c>
      <c r="V180" s="1693">
        <v>-54.039543129542551</v>
      </c>
      <c r="W180" s="1693">
        <v>2.2641836765475318</v>
      </c>
      <c r="X180" s="1693">
        <v>-30.490821055000652</v>
      </c>
      <c r="Y180" s="1437">
        <v>-4.6277427482161215</v>
      </c>
      <c r="Z180" s="1437">
        <v>-37.90364468686073</v>
      </c>
      <c r="AA180" s="1437">
        <v>-37.90364468686073</v>
      </c>
      <c r="AB180" s="1437">
        <v>-37.90364468686073</v>
      </c>
      <c r="AC180" s="1437">
        <v>-37.90364468686073</v>
      </c>
      <c r="AD180" s="1437">
        <v>-37.90364468686073</v>
      </c>
      <c r="AE180" s="1437">
        <v>-37.90364468686073</v>
      </c>
      <c r="AF180" s="1437">
        <v>-37.90364468686073</v>
      </c>
      <c r="AG180" s="1437">
        <v>-37.90364468686073</v>
      </c>
      <c r="AH180" s="1437">
        <v>-37.90364468686073</v>
      </c>
      <c r="AI180" s="1437">
        <v>-37.90364468686073</v>
      </c>
      <c r="AJ180" s="1437">
        <v>-37.90364468686073</v>
      </c>
    </row>
    <row r="181" spans="1:56">
      <c r="A181" s="997" t="s">
        <v>532</v>
      </c>
      <c r="T181" s="128"/>
      <c r="U181" s="1922">
        <v>283.03322779239988</v>
      </c>
      <c r="V181" s="1922">
        <v>291.52422462617187</v>
      </c>
      <c r="W181" s="1922">
        <v>300.26995136495702</v>
      </c>
      <c r="X181" s="1922">
        <v>309.27804990590573</v>
      </c>
      <c r="Y181" s="1922">
        <v>318.5563914030829</v>
      </c>
      <c r="Z181" s="1922">
        <v>328.11308314517538</v>
      </c>
      <c r="AA181" s="1922">
        <v>337.95647563953065</v>
      </c>
      <c r="AB181" s="1922">
        <v>348.09516990871657</v>
      </c>
      <c r="AC181" s="1922">
        <v>358.53802500597806</v>
      </c>
      <c r="AD181" s="1437">
        <v>369.29416575615738</v>
      </c>
      <c r="AE181" s="1437">
        <v>380.37299072884213</v>
      </c>
      <c r="AF181" s="1437">
        <v>391.78418045070742</v>
      </c>
      <c r="AG181" s="1437">
        <v>403.53770586422866</v>
      </c>
      <c r="AH181" s="1437">
        <v>415.64383704015552</v>
      </c>
      <c r="AI181" s="1437">
        <v>428.11315215136017</v>
      </c>
      <c r="AJ181" s="1437">
        <v>440.95654671590097</v>
      </c>
    </row>
    <row r="182" spans="1:56">
      <c r="A182" s="997" t="s">
        <v>533</v>
      </c>
      <c r="T182" s="128"/>
      <c r="U182" s="1922">
        <v>20</v>
      </c>
      <c r="V182" s="1922">
        <v>21</v>
      </c>
      <c r="W182" s="1437">
        <v>0</v>
      </c>
      <c r="X182" s="1437">
        <v>0</v>
      </c>
      <c r="Y182" s="1437">
        <v>0</v>
      </c>
      <c r="Z182" s="1437">
        <v>0</v>
      </c>
      <c r="AA182" s="1437">
        <v>0</v>
      </c>
      <c r="AB182" s="1437">
        <v>0</v>
      </c>
      <c r="AC182" s="1437">
        <v>0</v>
      </c>
      <c r="AD182" s="1437">
        <v>0</v>
      </c>
      <c r="AE182" s="1437">
        <v>0</v>
      </c>
      <c r="AF182" s="1437">
        <v>0</v>
      </c>
      <c r="AG182" s="1437">
        <v>0</v>
      </c>
      <c r="AH182" s="1437">
        <v>0</v>
      </c>
      <c r="AI182" s="1437">
        <v>0</v>
      </c>
      <c r="AJ182" s="1437">
        <v>0</v>
      </c>
    </row>
    <row r="183" spans="1:56">
      <c r="A183" s="1483" t="s">
        <v>546</v>
      </c>
      <c r="B183" s="1356"/>
      <c r="C183" s="1356"/>
      <c r="D183" s="1356"/>
      <c r="E183" s="1356"/>
      <c r="F183" s="1356"/>
      <c r="G183" s="1356"/>
      <c r="H183" s="1356"/>
      <c r="I183" s="1356"/>
      <c r="J183" s="1356"/>
      <c r="K183" s="1356"/>
      <c r="L183" s="1356"/>
      <c r="M183" s="1356"/>
      <c r="N183" s="1356"/>
      <c r="O183" s="1356"/>
      <c r="P183" s="1356"/>
      <c r="Q183" s="1356"/>
      <c r="R183" s="1356"/>
      <c r="S183" s="1356"/>
      <c r="T183" s="1484"/>
      <c r="U183" s="2039">
        <f>+U21</f>
        <v>1445.6604764443862</v>
      </c>
      <c r="V183" s="2039">
        <f t="shared" ref="V183:AI183" si="230">+V21</f>
        <v>1783.7133401169172</v>
      </c>
      <c r="W183" s="2039">
        <f t="shared" si="230"/>
        <v>1866.7936759569782</v>
      </c>
      <c r="X183" s="2039">
        <f t="shared" si="230"/>
        <v>1788.4397107129114</v>
      </c>
      <c r="Y183" s="2039">
        <f t="shared" si="230"/>
        <v>1902.3710868746216</v>
      </c>
      <c r="Z183" s="2039">
        <f t="shared" si="230"/>
        <v>1953.739641218353</v>
      </c>
      <c r="AA183" s="2039">
        <f t="shared" si="230"/>
        <v>2072.2123398424774</v>
      </c>
      <c r="AB183" s="2039">
        <f t="shared" si="230"/>
        <v>2139.8783583939512</v>
      </c>
      <c r="AC183" s="2039">
        <f t="shared" si="230"/>
        <v>2263.6539402851681</v>
      </c>
      <c r="AD183" s="2039">
        <f t="shared" si="230"/>
        <v>2314.808393589612</v>
      </c>
      <c r="AE183" s="2039">
        <f t="shared" si="230"/>
        <v>2513.9375017359789</v>
      </c>
      <c r="AF183" s="2039">
        <f t="shared" si="230"/>
        <v>2625.284064049175</v>
      </c>
      <c r="AG183" s="2039">
        <f t="shared" si="230"/>
        <v>2759.6777028299998</v>
      </c>
      <c r="AH183" s="2039">
        <f>+AH21</f>
        <v>2881.9625822878693</v>
      </c>
      <c r="AI183" s="2039">
        <f t="shared" si="230"/>
        <v>3029.6426223865265</v>
      </c>
      <c r="AJ183" s="2039">
        <f>+AJ21</f>
        <v>3163.958086931907</v>
      </c>
    </row>
    <row r="184" spans="1:56">
      <c r="A184" s="997" t="s">
        <v>534</v>
      </c>
      <c r="B184" s="1101"/>
      <c r="C184" s="1101"/>
      <c r="D184" s="1101"/>
      <c r="E184" s="1101"/>
      <c r="F184" s="1101"/>
      <c r="G184" s="1101"/>
      <c r="H184" s="1101"/>
      <c r="I184" s="1101"/>
      <c r="J184" s="1101"/>
      <c r="K184" s="1101"/>
      <c r="L184" s="1101"/>
      <c r="M184" s="1101"/>
      <c r="N184" s="1101"/>
      <c r="O184" s="1101"/>
      <c r="P184" s="1101"/>
      <c r="Q184" s="1101"/>
      <c r="R184" s="1101"/>
      <c r="S184" s="1101"/>
      <c r="U184" s="1737"/>
      <c r="V184" s="1737">
        <f t="shared" ref="V184:AJ184" si="231">+V183/U183-1</f>
        <v>0.23383973566461114</v>
      </c>
      <c r="W184" s="1737">
        <f t="shared" si="231"/>
        <v>4.6577179175335104E-2</v>
      </c>
      <c r="X184" s="1737">
        <f t="shared" si="231"/>
        <v>-4.1972482686872259E-2</v>
      </c>
      <c r="Y184" s="1737">
        <f>+Y183/X183-1</f>
        <v>6.3704342662070923E-2</v>
      </c>
      <c r="Z184" s="1737">
        <f t="shared" si="231"/>
        <v>2.7002383866191026E-2</v>
      </c>
      <c r="AA184" s="1737">
        <f t="shared" si="231"/>
        <v>6.0638938845630763E-2</v>
      </c>
      <c r="AB184" s="1737">
        <f t="shared" si="231"/>
        <v>3.2653998458776368E-2</v>
      </c>
      <c r="AC184" s="1737">
        <f t="shared" si="231"/>
        <v>5.7842344825672409E-2</v>
      </c>
      <c r="AD184" s="1737">
        <f t="shared" si="231"/>
        <v>2.2598177395436903E-2</v>
      </c>
      <c r="AE184" s="1737">
        <f t="shared" si="231"/>
        <v>8.6024013347201445E-2</v>
      </c>
      <c r="AF184" s="1737">
        <f t="shared" si="231"/>
        <v>4.4291698674412849E-2</v>
      </c>
      <c r="AG184" s="1737">
        <f t="shared" si="231"/>
        <v>5.1192036938486396E-2</v>
      </c>
      <c r="AH184" s="1737">
        <f>+AH183/AG183-1</f>
        <v>4.4311290167133865E-2</v>
      </c>
      <c r="AI184" s="1737">
        <f t="shared" si="231"/>
        <v>5.1242872133829165E-2</v>
      </c>
      <c r="AJ184" s="1737">
        <f t="shared" si="231"/>
        <v>4.4333765161904459E-2</v>
      </c>
      <c r="AK184" s="1577"/>
      <c r="AL184" s="1577"/>
      <c r="AM184" s="1577"/>
      <c r="AN184" s="1577"/>
      <c r="AO184" s="1577"/>
      <c r="AP184" s="1577"/>
      <c r="AQ184" s="1577"/>
      <c r="AR184" s="1577"/>
      <c r="AS184" s="1577"/>
      <c r="AT184" s="1577"/>
      <c r="AU184" s="1577"/>
      <c r="AV184" s="1577"/>
    </row>
    <row r="185" spans="1:56">
      <c r="A185" s="997" t="s">
        <v>538</v>
      </c>
      <c r="U185" s="1482"/>
      <c r="V185" s="1482">
        <v>0.23383973566461114</v>
      </c>
      <c r="W185" s="1482">
        <v>4.6577179175335104E-2</v>
      </c>
      <c r="X185" s="1482">
        <v>-4.1972482686872259E-2</v>
      </c>
      <c r="Y185" s="1482">
        <v>6.3704342662070923E-2</v>
      </c>
      <c r="Z185" s="1482">
        <v>2.7002383866191026E-2</v>
      </c>
      <c r="AA185" s="1482">
        <v>6.0638938845630763E-2</v>
      </c>
      <c r="AB185" s="1482">
        <v>3.2653998458776368E-2</v>
      </c>
      <c r="AC185" s="1482">
        <v>5.7842344825672409E-2</v>
      </c>
      <c r="AD185" s="1482">
        <v>2.2598177395436903E-2</v>
      </c>
      <c r="AE185" s="1482">
        <v>8.6024013347201445E-2</v>
      </c>
      <c r="AF185" s="1482">
        <v>4.4291698674412849E-2</v>
      </c>
      <c r="AG185" s="1482">
        <v>5.1192036938486396E-2</v>
      </c>
      <c r="AH185" s="1482">
        <v>4.4311290167133865E-2</v>
      </c>
      <c r="AI185" s="1482">
        <v>5.1242872133829165E-2</v>
      </c>
      <c r="AJ185" s="1482">
        <v>4.4333765161904459E-2</v>
      </c>
      <c r="AK185" s="1493" t="s">
        <v>1633</v>
      </c>
      <c r="AL185" s="1577"/>
      <c r="AM185" s="1577"/>
      <c r="AN185" s="1577"/>
      <c r="AO185" s="1577"/>
      <c r="AP185" s="2135"/>
      <c r="AQ185" s="1577"/>
      <c r="AR185" s="1577"/>
      <c r="AS185" s="1577"/>
      <c r="AT185" s="1577"/>
      <c r="AU185" s="1577"/>
      <c r="AV185" s="1577"/>
    </row>
    <row r="186" spans="1:56">
      <c r="A186" s="997" t="s">
        <v>540</v>
      </c>
      <c r="T186" s="1394"/>
      <c r="U186" s="1493">
        <f t="shared" ref="U186:AF186" si="232">+U21</f>
        <v>1445.6604764443862</v>
      </c>
      <c r="V186" s="1493">
        <f t="shared" si="232"/>
        <v>1783.7133401169172</v>
      </c>
      <c r="W186" s="1493">
        <f t="shared" si="232"/>
        <v>1866.7936759569782</v>
      </c>
      <c r="X186" s="1493">
        <f t="shared" si="232"/>
        <v>1788.4397107129114</v>
      </c>
      <c r="Y186" s="1493">
        <f t="shared" si="232"/>
        <v>1902.3710868746216</v>
      </c>
      <c r="Z186" s="1493">
        <f t="shared" si="232"/>
        <v>1953.739641218353</v>
      </c>
      <c r="AA186" s="1493">
        <f t="shared" si="232"/>
        <v>2072.2123398424774</v>
      </c>
      <c r="AB186" s="1493">
        <f t="shared" si="232"/>
        <v>2139.8783583939512</v>
      </c>
      <c r="AC186" s="1493">
        <f t="shared" si="232"/>
        <v>2263.6539402851681</v>
      </c>
      <c r="AD186" s="1493">
        <f t="shared" si="232"/>
        <v>2314.808393589612</v>
      </c>
      <c r="AE186" s="1493">
        <f t="shared" si="232"/>
        <v>2513.9375017359789</v>
      </c>
      <c r="AF186" s="1493">
        <f t="shared" si="232"/>
        <v>2625.284064049175</v>
      </c>
      <c r="AG186" s="1493">
        <f>+AG21</f>
        <v>2759.6777028299998</v>
      </c>
      <c r="AH186" s="1493">
        <f>+AH21</f>
        <v>2881.9625822878693</v>
      </c>
      <c r="AI186" s="1493">
        <f>+AI21</f>
        <v>3029.6426223865265</v>
      </c>
      <c r="AJ186" s="1493">
        <f>+AJ21</f>
        <v>3163.958086931907</v>
      </c>
      <c r="AK186" s="1577"/>
      <c r="AL186" s="1577"/>
      <c r="AM186" s="1577"/>
      <c r="AN186" s="1577"/>
      <c r="AO186" s="1577"/>
      <c r="AP186" s="1577"/>
      <c r="AQ186" s="1577"/>
      <c r="AR186" s="1577"/>
      <c r="AS186" s="1577"/>
      <c r="AT186" s="1577"/>
      <c r="AU186" s="1577"/>
      <c r="AV186" s="1577"/>
    </row>
    <row r="187" spans="1:56">
      <c r="A187" s="997" t="s">
        <v>782</v>
      </c>
      <c r="T187" s="1394"/>
      <c r="U187" s="1493">
        <f t="shared" ref="U187:AF187" si="233">+U186-U183</f>
        <v>0</v>
      </c>
      <c r="V187" s="1493">
        <f t="shared" si="233"/>
        <v>0</v>
      </c>
      <c r="W187" s="1493">
        <f t="shared" si="233"/>
        <v>0</v>
      </c>
      <c r="X187" s="1493">
        <f t="shared" si="233"/>
        <v>0</v>
      </c>
      <c r="Y187" s="1493">
        <f t="shared" si="233"/>
        <v>0</v>
      </c>
      <c r="Z187" s="1493">
        <f t="shared" si="233"/>
        <v>0</v>
      </c>
      <c r="AA187" s="1493">
        <f t="shared" si="233"/>
        <v>0</v>
      </c>
      <c r="AB187" s="1493">
        <f t="shared" si="233"/>
        <v>0</v>
      </c>
      <c r="AC187" s="1493">
        <f t="shared" si="233"/>
        <v>0</v>
      </c>
      <c r="AD187" s="1493">
        <f t="shared" si="233"/>
        <v>0</v>
      </c>
      <c r="AE187" s="1493">
        <f t="shared" si="233"/>
        <v>0</v>
      </c>
      <c r="AF187" s="1493">
        <f t="shared" si="233"/>
        <v>0</v>
      </c>
      <c r="AG187" s="1493">
        <f>+AG186-AG183</f>
        <v>0</v>
      </c>
      <c r="AH187" s="1493">
        <f>+AH186-AH183</f>
        <v>0</v>
      </c>
      <c r="AI187" s="1493">
        <f>+AI186-AI183</f>
        <v>0</v>
      </c>
      <c r="AJ187" s="1493">
        <f>+AJ186-AJ183</f>
        <v>0</v>
      </c>
      <c r="AK187" s="1577"/>
      <c r="AL187" s="1577"/>
      <c r="AM187" s="1577"/>
      <c r="AN187" s="1577"/>
      <c r="AO187" s="1577"/>
      <c r="AP187" s="1577"/>
      <c r="AQ187" s="1577"/>
      <c r="AR187" s="1577"/>
      <c r="AS187" s="1577"/>
      <c r="AT187" s="1577"/>
      <c r="AU187" s="1577"/>
      <c r="AV187" s="1577"/>
    </row>
    <row r="188" spans="1:56">
      <c r="U188" s="1577"/>
      <c r="V188" s="1577"/>
      <c r="W188" s="1577"/>
      <c r="X188" s="1577"/>
      <c r="Y188" s="2028"/>
      <c r="Z188" s="2028"/>
      <c r="AA188" s="1577"/>
      <c r="AB188" s="1577"/>
      <c r="AC188" s="1577"/>
      <c r="AD188" s="1577"/>
      <c r="AE188" s="1577"/>
      <c r="AF188" s="1577"/>
      <c r="AG188" s="1577"/>
      <c r="AI188" s="1577"/>
      <c r="AJ188" s="1577"/>
      <c r="AK188" s="1577"/>
      <c r="AL188" s="1577"/>
      <c r="AM188" s="1577"/>
      <c r="AN188" s="1577"/>
      <c r="AO188" s="1577"/>
      <c r="AP188" s="1577"/>
      <c r="AQ188" s="1577"/>
      <c r="AR188" s="1577"/>
      <c r="AS188" s="1577"/>
      <c r="AT188" s="1577"/>
      <c r="AU188" s="1577"/>
      <c r="AV188" s="1577"/>
    </row>
    <row r="189" spans="1:56">
      <c r="A189" s="726" t="s">
        <v>547</v>
      </c>
      <c r="U189" s="2028"/>
      <c r="V189" s="2028"/>
      <c r="W189" s="2041"/>
      <c r="X189" s="2041"/>
      <c r="Y189" s="2041"/>
      <c r="Z189" s="2041"/>
      <c r="AA189" s="2041"/>
      <c r="AB189" s="2041"/>
      <c r="AC189" s="2041"/>
      <c r="AD189" s="2041"/>
      <c r="AE189" s="2041"/>
      <c r="AF189" s="2041"/>
      <c r="AG189" s="2041"/>
      <c r="AH189" s="2041"/>
      <c r="AI189" s="1577"/>
      <c r="AJ189" s="1577"/>
      <c r="AK189" s="1577"/>
      <c r="AL189" s="1577"/>
      <c r="AM189" s="1577"/>
      <c r="AN189" s="1577"/>
      <c r="AO189" s="1577"/>
      <c r="AP189" s="1577"/>
      <c r="AQ189" s="1577"/>
      <c r="AR189" s="1577"/>
      <c r="AS189" s="1577"/>
      <c r="AT189" s="1577"/>
      <c r="AU189" s="1577"/>
      <c r="AV189" s="1577"/>
    </row>
    <row r="190" spans="1:56">
      <c r="A190" s="314" t="s">
        <v>530</v>
      </c>
      <c r="T190" s="128"/>
      <c r="U190" s="1489">
        <f t="shared" ref="U190:AG190" si="234">+(U218-U231)/U218</f>
        <v>9.0833124652187042E-2</v>
      </c>
      <c r="V190" s="1489">
        <f t="shared" si="234"/>
        <v>-2.653899242846695E-2</v>
      </c>
      <c r="W190" s="1489">
        <f t="shared" si="234"/>
        <v>-0.11131654387597903</v>
      </c>
      <c r="X190" s="1489">
        <f t="shared" si="234"/>
        <v>-0.14801446063256313</v>
      </c>
      <c r="Y190" s="1489">
        <f t="shared" si="234"/>
        <v>-0.19368166692711042</v>
      </c>
      <c r="Z190" s="1489">
        <f t="shared" si="234"/>
        <v>-0.26682430534576684</v>
      </c>
      <c r="AA190" s="1489">
        <f t="shared" si="234"/>
        <v>-0.34473994539614106</v>
      </c>
      <c r="AB190" s="1489">
        <f t="shared" si="234"/>
        <v>-0.4262167744975226</v>
      </c>
      <c r="AC190" s="1489">
        <f t="shared" si="234"/>
        <v>-0.51854277478810518</v>
      </c>
      <c r="AD190" s="1489">
        <f t="shared" si="234"/>
        <v>-0.60593425830148584</v>
      </c>
      <c r="AE190" s="1489">
        <f t="shared" si="234"/>
        <v>-0.79861179504172786</v>
      </c>
      <c r="AF190" s="1489">
        <f t="shared" si="234"/>
        <v>-0.88417659123953241</v>
      </c>
      <c r="AG190" s="1489">
        <f t="shared" si="234"/>
        <v>-0.99347645390743411</v>
      </c>
      <c r="AH190" s="1489">
        <f>+(AH218-AH231)/AH218</f>
        <v>-1.0883114855545799</v>
      </c>
      <c r="AI190" s="1489">
        <f>+(AI218-AI231)/AI218</f>
        <v>-1.2094530811142392</v>
      </c>
      <c r="AJ190" s="1489">
        <f>+(AJ218-AJ231)/AJ218</f>
        <v>-1.3145627012753618</v>
      </c>
    </row>
    <row r="191" spans="1:56">
      <c r="A191" s="997" t="s">
        <v>535</v>
      </c>
      <c r="T191" s="128"/>
      <c r="U191" s="1489">
        <f t="shared" ref="U191:AG191" si="235">+(U220-U233)/U220</f>
        <v>-0.18512443106723614</v>
      </c>
      <c r="V191" s="1489">
        <f t="shared" si="235"/>
        <v>-0.18057535169231823</v>
      </c>
      <c r="W191" s="1489">
        <f t="shared" si="235"/>
        <v>-0.1398337693679057</v>
      </c>
      <c r="X191" s="1489">
        <f t="shared" si="235"/>
        <v>-0.13365015877884315</v>
      </c>
      <c r="Y191" s="1489">
        <f t="shared" si="235"/>
        <v>-7.7337971339031142E-2</v>
      </c>
      <c r="Z191" s="1489">
        <f t="shared" si="235"/>
        <v>-9.4722271286853219E-2</v>
      </c>
      <c r="AA191" s="1489">
        <f t="shared" si="235"/>
        <v>-7.3420500661278226E-2</v>
      </c>
      <c r="AB191" s="1489">
        <f t="shared" si="235"/>
        <v>-7.664621698596083E-2</v>
      </c>
      <c r="AC191" s="1489">
        <f t="shared" si="235"/>
        <v>-5.0431928677982261E-2</v>
      </c>
      <c r="AD191" s="1489">
        <f t="shared" si="235"/>
        <v>2.5536543089468674E-2</v>
      </c>
      <c r="AE191" s="1489">
        <f t="shared" si="235"/>
        <v>2.5689451763681932E-2</v>
      </c>
      <c r="AF191" s="1489">
        <f t="shared" si="235"/>
        <v>-2.9368570237682935E-3</v>
      </c>
      <c r="AG191" s="1489">
        <f t="shared" si="235"/>
        <v>-1.2515203535244327E-2</v>
      </c>
      <c r="AH191" s="1489">
        <f t="shared" ref="AH191:AI193" si="236">+(AH220-AH233)/AH220</f>
        <v>-4.226400685145118E-2</v>
      </c>
      <c r="AI191" s="1489">
        <f t="shared" si="236"/>
        <v>-5.221793938882744E-2</v>
      </c>
      <c r="AJ191" s="1489">
        <f t="shared" ref="AJ191" si="237">+(AJ220-AJ233)/AJ220</f>
        <v>-8.3133252477825312E-2</v>
      </c>
    </row>
    <row r="192" spans="1:56">
      <c r="A192" s="997" t="s">
        <v>536</v>
      </c>
      <c r="T192" s="128"/>
      <c r="U192" s="1489">
        <f t="shared" ref="U192:AG192" si="238">+(U221-U234)/U221</f>
        <v>1.3401587017967342</v>
      </c>
      <c r="V192" s="1489">
        <f t="shared" si="238"/>
        <v>-1.7441222087906842</v>
      </c>
      <c r="W192" s="1489">
        <f t="shared" si="238"/>
        <v>0.87937925148213214</v>
      </c>
      <c r="X192" s="1489">
        <f t="shared" si="238"/>
        <v>1.6434065942572476</v>
      </c>
      <c r="Y192" s="1489">
        <f t="shared" si="238"/>
        <v>1.2475206931928289</v>
      </c>
      <c r="Z192" s="1489">
        <f t="shared" si="238"/>
        <v>3.6836431517268275</v>
      </c>
      <c r="AA192" s="1489">
        <f t="shared" si="238"/>
        <v>3.6836431517268275</v>
      </c>
      <c r="AB192" s="1489">
        <f t="shared" si="238"/>
        <v>3.6836431517268275</v>
      </c>
      <c r="AC192" s="1489">
        <f t="shared" si="238"/>
        <v>3.6836431517268275</v>
      </c>
      <c r="AD192" s="1489">
        <f t="shared" si="238"/>
        <v>3.6836431517268275</v>
      </c>
      <c r="AE192" s="1489">
        <f t="shared" si="238"/>
        <v>3.6836431517268275</v>
      </c>
      <c r="AF192" s="1489">
        <f t="shared" si="238"/>
        <v>3.6836431517268275</v>
      </c>
      <c r="AG192" s="1489">
        <f t="shared" si="238"/>
        <v>3.6836431517268275</v>
      </c>
      <c r="AH192" s="1489">
        <f t="shared" si="236"/>
        <v>3.6836431517268275</v>
      </c>
      <c r="AI192" s="1489">
        <f t="shared" si="236"/>
        <v>3.6836431517268275</v>
      </c>
      <c r="AJ192" s="1489">
        <f t="shared" ref="AJ192" si="239">+(AJ221-AJ234)/AJ221</f>
        <v>3.6836431517268275</v>
      </c>
    </row>
    <row r="193" spans="1:81">
      <c r="A193" s="314" t="s">
        <v>532</v>
      </c>
      <c r="T193" s="128"/>
      <c r="U193" s="1489">
        <f t="shared" ref="U193:AG193" si="240">+(U222-U235)/U222</f>
        <v>-0.4723283426997848</v>
      </c>
      <c r="V193" s="1489">
        <f t="shared" si="240"/>
        <v>-0.45449737661172496</v>
      </c>
      <c r="W193" s="1489">
        <f t="shared" si="240"/>
        <v>-0.44574287821423414</v>
      </c>
      <c r="X193" s="1489">
        <f t="shared" si="240"/>
        <v>-0.44450083106800153</v>
      </c>
      <c r="Y193" s="1489">
        <f t="shared" si="240"/>
        <v>-0.44822128076000822</v>
      </c>
      <c r="Z193" s="1489">
        <f t="shared" si="240"/>
        <v>-0.4768989298839692</v>
      </c>
      <c r="AA193" s="1489">
        <f t="shared" si="240"/>
        <v>-0.51215566409707369</v>
      </c>
      <c r="AB193" s="1489">
        <f t="shared" si="240"/>
        <v>-0.54982699282758951</v>
      </c>
      <c r="AC193" s="1489">
        <f t="shared" si="240"/>
        <v>-0.58843680232567241</v>
      </c>
      <c r="AD193" s="1489">
        <f t="shared" si="240"/>
        <v>-0.62800847233875334</v>
      </c>
      <c r="AE193" s="1489">
        <f t="shared" si="240"/>
        <v>-0.66856596505836674</v>
      </c>
      <c r="AF193" s="1489">
        <f t="shared" si="240"/>
        <v>-0.71007258110459526</v>
      </c>
      <c r="AG193" s="1489">
        <f t="shared" si="240"/>
        <v>-0.75261170003754563</v>
      </c>
      <c r="AH193" s="1489">
        <f t="shared" si="236"/>
        <v>-0.79620900600862898</v>
      </c>
      <c r="AI193" s="1489">
        <f t="shared" si="236"/>
        <v>-0.84089082207849564</v>
      </c>
      <c r="AJ193" s="1489">
        <f t="shared" ref="AJ193" si="241">+(AJ222-AJ235)/AJ222</f>
        <v>-0.88668412611029923</v>
      </c>
    </row>
    <row r="194" spans="1:81">
      <c r="A194" s="314" t="s">
        <v>533</v>
      </c>
      <c r="T194" s="128"/>
      <c r="U194" s="1489">
        <f>+(U223-U236)/U223</f>
        <v>0.13043478260869565</v>
      </c>
      <c r="V194" s="1489">
        <f>+(V223-V236)/V223</f>
        <v>0.12207357859531778</v>
      </c>
      <c r="W194" s="1489"/>
      <c r="X194" s="1489"/>
      <c r="Y194" s="1489"/>
      <c r="Z194" s="1489"/>
      <c r="AA194" s="1489"/>
      <c r="AB194" s="1489"/>
      <c r="AC194" s="1489"/>
      <c r="AD194" s="1489"/>
      <c r="AE194" s="1489"/>
      <c r="AF194" s="1489"/>
      <c r="AG194" s="1489"/>
      <c r="AH194" s="1489"/>
      <c r="AI194" s="1489"/>
      <c r="AJ194" s="1489"/>
    </row>
    <row r="195" spans="1:81">
      <c r="A195" s="1483" t="s">
        <v>548</v>
      </c>
      <c r="B195" s="1356"/>
      <c r="C195" s="1356"/>
      <c r="D195" s="1356"/>
      <c r="E195" s="1356"/>
      <c r="F195" s="1356"/>
      <c r="G195" s="1356"/>
      <c r="H195" s="1356"/>
      <c r="I195" s="1356"/>
      <c r="J195" s="1356"/>
      <c r="K195" s="1356"/>
      <c r="L195" s="1356"/>
      <c r="M195" s="1356"/>
      <c r="N195" s="1356"/>
      <c r="O195" s="1356"/>
      <c r="P195" s="1356"/>
      <c r="Q195" s="1356"/>
      <c r="R195" s="1356"/>
      <c r="S195" s="1356"/>
      <c r="T195" s="1484"/>
      <c r="U195" s="1490">
        <f>+(U224-U237)/U224</f>
        <v>-1.5027970964507953E-2</v>
      </c>
      <c r="V195" s="1490">
        <f>+(V224-V237)/V224</f>
        <v>-0.17872690620239839</v>
      </c>
      <c r="W195" s="1490">
        <f t="shared" ref="W195:AG195" si="242">+(W224-W237)/W224</f>
        <v>-0.23718370598619881</v>
      </c>
      <c r="X195" s="1490">
        <f t="shared" si="242"/>
        <v>-0.20013085811165626</v>
      </c>
      <c r="Y195" s="1490">
        <f t="shared" si="242"/>
        <v>-0.24482160014120091</v>
      </c>
      <c r="Z195" s="1490">
        <f t="shared" si="242"/>
        <v>-0.30521749287618438</v>
      </c>
      <c r="AA195" s="1490">
        <f t="shared" si="242"/>
        <v>-0.34258907733885469</v>
      </c>
      <c r="AB195" s="1490">
        <f t="shared" si="242"/>
        <v>-0.41720545301825879</v>
      </c>
      <c r="AC195" s="1490">
        <f t="shared" si="242"/>
        <v>-0.45120262591499999</v>
      </c>
      <c r="AD195" s="1490">
        <f t="shared" si="242"/>
        <v>-0.52051626923285088</v>
      </c>
      <c r="AE195" s="1490">
        <f t="shared" si="242"/>
        <v>-0.59593486490834358</v>
      </c>
      <c r="AF195" s="1490">
        <f t="shared" si="242"/>
        <v>-0.70138788322227685</v>
      </c>
      <c r="AG195" s="1490">
        <f t="shared" si="242"/>
        <v>-0.72642159697844377</v>
      </c>
      <c r="AH195" s="1490">
        <f>+(AH224-AH237)/AH224</f>
        <v>-0.8454299381609196</v>
      </c>
      <c r="AI195" s="1490">
        <f>+(AI224-AI237)/AI224</f>
        <v>-0.86608215906636277</v>
      </c>
      <c r="AJ195" s="1490">
        <f>+(AJ224-AJ237)/AJ224</f>
        <v>-1.0002159408951081</v>
      </c>
    </row>
    <row r="196" spans="1:81">
      <c r="AC196" s="1048"/>
      <c r="AD196" s="1048"/>
      <c r="AE196" s="1048"/>
      <c r="AF196" s="1048"/>
      <c r="AG196" s="1048"/>
    </row>
    <row r="197" spans="1:81" hidden="1" outlineLevel="1">
      <c r="AC197" s="1048"/>
      <c r="AD197" s="1048"/>
      <c r="AE197" s="1048"/>
      <c r="AF197" s="1048"/>
      <c r="AG197" s="1048"/>
    </row>
    <row r="198" spans="1:81" hidden="1" outlineLevel="1">
      <c r="AC198" s="1048"/>
      <c r="AD198" s="1048"/>
      <c r="AE198" s="1048"/>
      <c r="AF198" s="1048"/>
      <c r="AG198" s="1048"/>
    </row>
    <row r="199" spans="1:81" hidden="1" outlineLevel="1">
      <c r="A199" s="36" t="s">
        <v>1092</v>
      </c>
      <c r="AC199" s="1048"/>
      <c r="AD199" s="1048"/>
      <c r="AE199" s="1048"/>
      <c r="AF199" s="1048"/>
      <c r="AG199" s="1048"/>
    </row>
    <row r="200" spans="1:81" hidden="1" outlineLevel="1">
      <c r="A200" s="314" t="s">
        <v>325</v>
      </c>
      <c r="B200" s="76">
        <f>1211.4*0.85</f>
        <v>1029.69</v>
      </c>
      <c r="C200" s="76">
        <f>453.9*0.85</f>
        <v>385.815</v>
      </c>
      <c r="D200" s="76">
        <f>547.1*0.85</f>
        <v>465.03500000000003</v>
      </c>
      <c r="E200" s="76">
        <f>587.5*0.85</f>
        <v>499.375</v>
      </c>
      <c r="F200" s="128">
        <v>881.00571198796104</v>
      </c>
      <c r="G200" s="128">
        <v>673.5153390375865</v>
      </c>
      <c r="H200" s="128">
        <v>736.51681629698351</v>
      </c>
      <c r="I200" s="128">
        <v>841.47622065610381</v>
      </c>
      <c r="J200" s="128">
        <v>740.78574820075346</v>
      </c>
      <c r="K200" s="128">
        <v>752.83617938988118</v>
      </c>
      <c r="L200" s="128">
        <v>1013.4754399316652</v>
      </c>
      <c r="M200" s="128">
        <v>1049.0028888466711</v>
      </c>
      <c r="N200" s="128">
        <v>1106.2968785972548</v>
      </c>
      <c r="O200" s="128">
        <v>1351.1839915658591</v>
      </c>
      <c r="P200" s="128">
        <v>1304.959983411085</v>
      </c>
      <c r="Q200" s="128">
        <v>1216.6443035070381</v>
      </c>
      <c r="R200" s="128">
        <v>1564.2781659973064</v>
      </c>
      <c r="S200" s="128">
        <v>1361.7343251639463</v>
      </c>
      <c r="T200" s="128">
        <v>1311.2027758978663</v>
      </c>
      <c r="U200" s="166">
        <f>SUM(AV200:AY200)</f>
        <v>1720.9880730798272</v>
      </c>
      <c r="V200" s="166">
        <f>SUM(BA200:BD200)</f>
        <v>0</v>
      </c>
      <c r="W200" s="76"/>
      <c r="X200" s="76"/>
      <c r="Y200" s="76"/>
      <c r="Z200" s="76"/>
      <c r="AA200" s="76"/>
      <c r="AB200" s="76"/>
      <c r="AC200" s="76"/>
      <c r="AD200" s="76"/>
      <c r="AE200" s="76"/>
      <c r="AF200" s="76"/>
      <c r="AG200" s="76"/>
      <c r="AH200" s="1437"/>
      <c r="AI200" s="76"/>
      <c r="AJ200" s="76"/>
      <c r="AK200" s="76"/>
      <c r="AL200" s="76"/>
      <c r="AM200" s="76"/>
      <c r="AN200" s="76"/>
      <c r="AO200" s="76"/>
      <c r="AP200" s="76"/>
      <c r="AQ200" s="356">
        <v>502.4122052905729</v>
      </c>
      <c r="AR200" s="356">
        <v>301.47275355091608</v>
      </c>
      <c r="AS200" s="356">
        <v>269.77543350195663</v>
      </c>
      <c r="AT200" s="356">
        <v>455.78697744639641</v>
      </c>
      <c r="AU200" s="1120">
        <v>0</v>
      </c>
      <c r="AV200" s="76">
        <v>673.41220529057296</v>
      </c>
      <c r="AW200" s="76">
        <v>307.50220862193441</v>
      </c>
      <c r="AX200" s="76">
        <v>275.17094217199576</v>
      </c>
      <c r="AY200" s="76">
        <v>464.90271699532434</v>
      </c>
      <c r="AZ200" s="1120">
        <f>U200-SUM(AV200:AY200)</f>
        <v>0</v>
      </c>
      <c r="BA200" s="1437"/>
      <c r="BB200" s="1437"/>
      <c r="BC200" s="1437"/>
      <c r="BD200" s="1437"/>
      <c r="BE200" s="1120"/>
      <c r="BF200" s="1437"/>
      <c r="BG200" s="1437"/>
      <c r="BH200" s="1437"/>
      <c r="BI200" s="1437"/>
      <c r="BJ200" s="1120"/>
      <c r="BK200" s="1120"/>
      <c r="BL200" s="1120"/>
      <c r="BM200" s="1120"/>
      <c r="BN200" s="1120"/>
      <c r="BO200" s="1120"/>
      <c r="BP200" s="1120"/>
      <c r="BQ200" s="1120"/>
      <c r="BR200" s="1120"/>
      <c r="BS200" s="1120"/>
      <c r="BT200" s="2493"/>
      <c r="BU200" s="1120"/>
      <c r="BV200" s="1120"/>
      <c r="BW200" s="1120"/>
      <c r="BX200" s="1120"/>
      <c r="BY200" s="1120"/>
      <c r="BZ200" s="1120"/>
      <c r="CA200" s="314"/>
      <c r="CB200" s="314"/>
      <c r="CC200" s="314"/>
    </row>
    <row r="201" spans="1:81" hidden="1" outlineLevel="1">
      <c r="A201" s="314" t="s">
        <v>281</v>
      </c>
      <c r="B201" s="13">
        <f>+B$9*B$88</f>
        <v>1029.69</v>
      </c>
      <c r="C201" s="76">
        <v>385.815</v>
      </c>
      <c r="D201" s="76">
        <v>465.03500000000003</v>
      </c>
      <c r="E201" s="76">
        <v>499.375</v>
      </c>
      <c r="F201" s="128">
        <v>800</v>
      </c>
      <c r="G201" s="128">
        <v>615.26887105141202</v>
      </c>
      <c r="H201" s="128">
        <v>654.2853877139828</v>
      </c>
      <c r="I201" s="128">
        <v>843.45689306010843</v>
      </c>
      <c r="J201" s="128">
        <v>712.68840017523519</v>
      </c>
      <c r="K201" s="128">
        <v>813.0975872084615</v>
      </c>
      <c r="L201" s="128">
        <v>1283.8843407977629</v>
      </c>
      <c r="M201" s="128">
        <v>1328.1679950555597</v>
      </c>
      <c r="N201" s="128">
        <v>1152.1931220431188</v>
      </c>
      <c r="O201" s="128">
        <v>1436.2895251865</v>
      </c>
      <c r="P201" s="128">
        <v>1297.4629843429568</v>
      </c>
      <c r="Q201" s="128">
        <v>1333.4271993119864</v>
      </c>
      <c r="R201" s="128">
        <v>1653.4979821007978</v>
      </c>
      <c r="S201" s="128">
        <v>1347.8828610452772</v>
      </c>
      <c r="T201" s="128">
        <v>1371.2287944473078</v>
      </c>
      <c r="U201" s="166">
        <f>SUM(AV201:AY201)</f>
        <v>1665.1389843649245</v>
      </c>
      <c r="V201" s="166">
        <f>SUM(BA201:BD201)</f>
        <v>0</v>
      </c>
      <c r="W201" s="76"/>
      <c r="X201" s="76"/>
      <c r="Y201" s="76"/>
      <c r="Z201" s="76"/>
      <c r="AA201" s="76"/>
      <c r="AB201" s="76"/>
      <c r="AC201" s="76"/>
      <c r="AD201" s="76"/>
      <c r="AE201" s="76"/>
      <c r="AF201" s="76"/>
      <c r="AG201" s="76"/>
      <c r="AH201" s="1437"/>
      <c r="AI201" s="76"/>
      <c r="AJ201" s="76"/>
      <c r="AK201" s="76"/>
      <c r="AL201" s="76"/>
      <c r="AM201" s="76"/>
      <c r="AN201" s="76"/>
      <c r="AO201" s="76"/>
      <c r="AP201" s="88"/>
      <c r="AQ201" s="354">
        <v>475.36141430270948</v>
      </c>
      <c r="AR201" s="354">
        <v>273.18199959822806</v>
      </c>
      <c r="AS201" s="354">
        <v>241.76145963536138</v>
      </c>
      <c r="AT201" s="355">
        <v>441.49978202435852</v>
      </c>
      <c r="AU201" s="1120">
        <v>0</v>
      </c>
      <c r="AV201" s="76">
        <v>675.36141430270948</v>
      </c>
      <c r="AW201" s="76">
        <v>292.85110356930051</v>
      </c>
      <c r="AX201" s="76">
        <v>246.59668882806861</v>
      </c>
      <c r="AY201" s="76">
        <v>450.32977766484572</v>
      </c>
      <c r="AZ201" s="1120">
        <f>U201-SUM(AV201:AY201)</f>
        <v>0</v>
      </c>
      <c r="BA201" s="1437"/>
      <c r="BB201" s="1437"/>
      <c r="BC201" s="1437"/>
      <c r="BD201" s="1437"/>
      <c r="BE201" s="1120"/>
      <c r="BF201" s="1437"/>
      <c r="BG201" s="1437"/>
      <c r="BH201" s="1437"/>
      <c r="BI201" s="1437"/>
      <c r="BJ201" s="1120"/>
      <c r="BK201" s="1120"/>
      <c r="BL201" s="1120"/>
      <c r="BM201" s="1120"/>
      <c r="BN201" s="1120"/>
      <c r="BO201" s="1120"/>
      <c r="BP201" s="1120"/>
      <c r="BQ201" s="1120"/>
      <c r="BR201" s="1120"/>
      <c r="BS201" s="1120"/>
      <c r="BT201" s="2493"/>
      <c r="BU201" s="1120"/>
      <c r="BV201" s="1120"/>
      <c r="BW201" s="1120"/>
      <c r="BX201" s="1120"/>
      <c r="BY201" s="1120"/>
      <c r="BZ201" s="1120"/>
      <c r="CA201" s="130"/>
      <c r="CB201" s="314"/>
      <c r="CC201" s="314"/>
    </row>
    <row r="202" spans="1:81" hidden="1" outlineLevel="1">
      <c r="A202" s="314" t="s">
        <v>779</v>
      </c>
      <c r="B202" s="13"/>
      <c r="C202" s="76"/>
      <c r="D202" s="76"/>
      <c r="E202" s="76"/>
      <c r="F202" s="128"/>
      <c r="G202" s="128"/>
      <c r="H202" s="128"/>
      <c r="I202" s="128"/>
      <c r="J202" s="128"/>
      <c r="K202" s="128"/>
      <c r="L202" s="128"/>
      <c r="M202" s="128"/>
      <c r="N202" s="128"/>
      <c r="O202" s="128"/>
      <c r="P202" s="128"/>
      <c r="Q202" s="511">
        <v>0</v>
      </c>
      <c r="R202" s="511"/>
      <c r="S202" s="511"/>
      <c r="T202" s="511">
        <v>-6.563790008063064E-3</v>
      </c>
      <c r="U202" s="511">
        <v>4.5648447668076741E-2</v>
      </c>
      <c r="V202" s="511">
        <v>0.11278048739898239</v>
      </c>
    </row>
    <row r="203" spans="1:81" hidden="1" outlineLevel="1">
      <c r="A203" s="314" t="s">
        <v>783</v>
      </c>
      <c r="B203" s="13"/>
      <c r="C203" s="76"/>
      <c r="D203" s="76"/>
      <c r="E203" s="76"/>
      <c r="F203" s="128"/>
      <c r="G203" s="128"/>
      <c r="H203" s="128"/>
      <c r="I203" s="128"/>
      <c r="J203" s="128"/>
      <c r="K203" s="128"/>
      <c r="L203" s="128"/>
      <c r="M203" s="128"/>
      <c r="N203" s="128"/>
      <c r="O203" s="128"/>
      <c r="P203" s="128"/>
      <c r="Q203" s="128"/>
      <c r="R203" s="128"/>
      <c r="S203" s="128"/>
      <c r="T203" s="128"/>
      <c r="U203" s="128"/>
      <c r="V203" s="128"/>
    </row>
    <row r="204" spans="1:81" hidden="1" outlineLevel="1"/>
    <row r="205" spans="1:81" hidden="1" outlineLevel="1"/>
    <row r="206" spans="1:81" hidden="1" outlineLevel="1"/>
    <row r="207" spans="1:81" hidden="1" outlineLevel="1"/>
    <row r="208" spans="1:81" hidden="1" outlineLevel="1">
      <c r="A208" s="314" t="s">
        <v>780</v>
      </c>
    </row>
    <row r="209" spans="1:72" hidden="1" outlineLevel="1">
      <c r="A209" s="314" t="s">
        <v>781</v>
      </c>
    </row>
    <row r="210" spans="1:72" hidden="1" outlineLevel="1"/>
    <row r="211" spans="1:72" hidden="1" outlineLevel="1"/>
    <row r="212" spans="1:72" hidden="1" outlineLevel="1"/>
    <row r="213" spans="1:72" collapsed="1">
      <c r="AH213"/>
    </row>
    <row r="214" spans="1:72">
      <c r="AH214"/>
    </row>
    <row r="215" spans="1:72">
      <c r="AH215"/>
    </row>
    <row r="216" spans="1:72">
      <c r="A216" s="2199" t="s">
        <v>1832</v>
      </c>
      <c r="B216" s="2198"/>
      <c r="C216" s="2198"/>
      <c r="D216" s="2198"/>
      <c r="E216" s="2198"/>
      <c r="F216" s="2198"/>
      <c r="G216" s="2198"/>
      <c r="H216" s="2198"/>
      <c r="I216" s="2198"/>
      <c r="J216" s="2198"/>
      <c r="K216" s="2198"/>
      <c r="L216" s="2198"/>
      <c r="M216" s="2198"/>
      <c r="N216" s="2198"/>
      <c r="O216" s="2198"/>
      <c r="P216" s="2198"/>
      <c r="Q216" s="2198"/>
      <c r="R216" s="2198"/>
      <c r="S216" s="2198"/>
      <c r="T216" s="2198"/>
      <c r="U216" s="2524">
        <f t="shared" ref="U216:W216" si="243">U6</f>
        <v>2013</v>
      </c>
      <c r="V216" s="2524">
        <f t="shared" si="243"/>
        <v>2014</v>
      </c>
      <c r="W216" s="2524">
        <f t="shared" si="243"/>
        <v>2015</v>
      </c>
      <c r="X216" s="2524">
        <f t="shared" ref="X216:AJ216" si="244">X6</f>
        <v>2016</v>
      </c>
      <c r="Y216" s="2524" t="str">
        <f t="shared" si="244"/>
        <v>2017E</v>
      </c>
      <c r="Z216" s="2524" t="str">
        <f t="shared" si="244"/>
        <v>2018E</v>
      </c>
      <c r="AA216" s="2524" t="str">
        <f t="shared" si="244"/>
        <v>2019E</v>
      </c>
      <c r="AB216" s="2524" t="str">
        <f t="shared" si="244"/>
        <v>2020E</v>
      </c>
      <c r="AC216" s="2524" t="str">
        <f t="shared" si="244"/>
        <v>2021E</v>
      </c>
      <c r="AD216" s="2524" t="str">
        <f t="shared" si="244"/>
        <v>2022E</v>
      </c>
      <c r="AE216" s="2524" t="str">
        <f t="shared" si="244"/>
        <v>2023E</v>
      </c>
      <c r="AF216" s="2524" t="str">
        <f t="shared" si="244"/>
        <v>2024E</v>
      </c>
      <c r="AG216" s="2524" t="str">
        <f t="shared" si="244"/>
        <v>2025E</v>
      </c>
      <c r="AH216" s="2524" t="str">
        <f t="shared" si="244"/>
        <v>2026E</v>
      </c>
      <c r="AI216" s="2524" t="str">
        <f t="shared" si="244"/>
        <v>2027E</v>
      </c>
      <c r="AJ216" s="2524" t="str">
        <f t="shared" si="244"/>
        <v>2028E</v>
      </c>
    </row>
    <row r="217" spans="1:72" s="1577" customFormat="1">
      <c r="A217" s="2372" t="s">
        <v>537</v>
      </c>
      <c r="V217" s="2867"/>
      <c r="W217" s="2867"/>
      <c r="X217" s="2867"/>
      <c r="Y217" s="2851"/>
      <c r="Z217" s="2851"/>
      <c r="AA217" s="2851"/>
      <c r="AB217" s="2851"/>
      <c r="AC217" s="2851"/>
      <c r="AD217" s="2851"/>
      <c r="AE217" s="2851"/>
      <c r="AF217" s="2851"/>
      <c r="AG217" s="2851"/>
      <c r="AH217" s="2851"/>
      <c r="AI217" s="2867"/>
      <c r="AJ217" s="2867"/>
      <c r="AK217" s="2867"/>
      <c r="AP217" s="2488" t="s">
        <v>543</v>
      </c>
      <c r="BT217" s="2497"/>
    </row>
    <row r="218" spans="1:72">
      <c r="A218" s="314" t="s">
        <v>530</v>
      </c>
      <c r="T218" s="128"/>
      <c r="U218" s="1922">
        <v>782.13418959293449</v>
      </c>
      <c r="V218" s="3008">
        <v>811.65948996879797</v>
      </c>
      <c r="W218" s="3008">
        <v>747.03479085602066</v>
      </c>
      <c r="X218" s="3008">
        <v>812.7107116149831</v>
      </c>
      <c r="Y218" s="3008">
        <v>781.45111384762515</v>
      </c>
      <c r="Z218" s="3008">
        <v>824.85952936184958</v>
      </c>
      <c r="AA218" s="3008">
        <v>779.40603303816204</v>
      </c>
      <c r="AB218" s="3008">
        <v>820.72736264100354</v>
      </c>
      <c r="AC218" s="3008">
        <v>775.5088703150293</v>
      </c>
      <c r="AD218" s="3008">
        <v>816.61240896377615</v>
      </c>
      <c r="AE218" s="2878">
        <f>AC218*(1+AD248)*(1+AE248)</f>
        <v>771.42142157129524</v>
      </c>
      <c r="AF218" s="2878">
        <f t="shared" ref="AF218:AJ218" si="245">AD218*(1+AF248)^2</f>
        <v>812.30831716946739</v>
      </c>
      <c r="AG218" s="2878">
        <f t="shared" si="245"/>
        <v>767.35551640736048</v>
      </c>
      <c r="AH218" s="2878">
        <f t="shared" si="245"/>
        <v>808.0269108082606</v>
      </c>
      <c r="AI218" s="2878">
        <f t="shared" si="245"/>
        <v>763.31104127419724</v>
      </c>
      <c r="AJ218" s="2878">
        <f t="shared" si="245"/>
        <v>803.76807031280009</v>
      </c>
      <c r="AK218" s="1577"/>
      <c r="AL218" s="1577"/>
      <c r="AM218" s="1577"/>
      <c r="AP218" s="1395">
        <v>2022</v>
      </c>
      <c r="AR218">
        <f>64*1.02*1.02</f>
        <v>66.585599999999999</v>
      </c>
    </row>
    <row r="219" spans="1:72">
      <c r="A219" s="997" t="s">
        <v>1535</v>
      </c>
      <c r="T219" s="128"/>
      <c r="U219" s="1922"/>
      <c r="V219" s="3008">
        <v>164.66666666666663</v>
      </c>
      <c r="W219" s="3008">
        <v>177.84000000000003</v>
      </c>
      <c r="X219" s="3008">
        <v>116.70750000000001</v>
      </c>
      <c r="Y219" s="3008">
        <v>120.20872499999999</v>
      </c>
      <c r="Z219" s="3008">
        <v>119.00663775</v>
      </c>
      <c r="AA219" s="2878">
        <f>Z219*0.99</f>
        <v>117.81657137249999</v>
      </c>
      <c r="AB219" s="2878">
        <f t="shared" ref="AB219:AJ219" si="246">AA219*0.99</f>
        <v>116.63840565877499</v>
      </c>
      <c r="AC219" s="2878">
        <f t="shared" si="246"/>
        <v>115.47202160218724</v>
      </c>
      <c r="AD219" s="2878">
        <f t="shared" si="246"/>
        <v>114.31730138616537</v>
      </c>
      <c r="AE219" s="2878">
        <f t="shared" si="246"/>
        <v>113.17412837230371</v>
      </c>
      <c r="AF219" s="2878">
        <f t="shared" si="246"/>
        <v>112.04238708858067</v>
      </c>
      <c r="AG219" s="2878">
        <f t="shared" si="246"/>
        <v>110.92196321769487</v>
      </c>
      <c r="AH219" s="2878">
        <f t="shared" si="246"/>
        <v>109.81274358551792</v>
      </c>
      <c r="AI219" s="2878">
        <f t="shared" si="246"/>
        <v>108.71461614966275</v>
      </c>
      <c r="AJ219" s="2878">
        <f t="shared" si="246"/>
        <v>107.62746998816611</v>
      </c>
      <c r="AK219" s="1577"/>
      <c r="AL219" s="1577"/>
      <c r="AM219" s="1577"/>
      <c r="AP219" s="1395"/>
      <c r="AR219">
        <f>64*1.02^2</f>
        <v>66.585599999999999</v>
      </c>
    </row>
    <row r="220" spans="1:72">
      <c r="A220" s="314" t="s">
        <v>531</v>
      </c>
      <c r="T220" s="128"/>
      <c r="U220" s="1922">
        <v>378.12405200357591</v>
      </c>
      <c r="V220" s="3008">
        <v>332.27126203931647</v>
      </c>
      <c r="W220" s="3008">
        <v>357.5674189862458</v>
      </c>
      <c r="X220" s="3008">
        <v>299.28883261702498</v>
      </c>
      <c r="Y220" s="3008">
        <v>387.90777002007445</v>
      </c>
      <c r="Z220" s="3008">
        <v>316.71537846837703</v>
      </c>
      <c r="AA220" s="3008">
        <v>408.60522238064658</v>
      </c>
      <c r="AB220" s="3008">
        <v>333.83579712988632</v>
      </c>
      <c r="AC220" s="3008">
        <v>429.02454694209047</v>
      </c>
      <c r="AD220" s="3008">
        <v>350.49153113457049</v>
      </c>
      <c r="AE220" s="3008">
        <v>448.52958487090825</v>
      </c>
      <c r="AF220" s="2878">
        <f>+AD220*1.04*1.03</f>
        <v>375.44652815135197</v>
      </c>
      <c r="AG220" s="2878">
        <f>+AE220*1.03^2</f>
        <v>475.84503658954657</v>
      </c>
      <c r="AH220" s="2878">
        <f t="shared" ref="AH220:AJ220" si="247">+AF220*1.03^2</f>
        <v>398.31122171576931</v>
      </c>
      <c r="AI220" s="2878">
        <f t="shared" si="247"/>
        <v>504.82399931784994</v>
      </c>
      <c r="AJ220" s="2878">
        <f t="shared" si="247"/>
        <v>422.56837511825967</v>
      </c>
      <c r="AK220" s="1577"/>
      <c r="AL220" s="1577"/>
      <c r="AM220" s="1577"/>
      <c r="AP220" s="1395">
        <v>2024</v>
      </c>
    </row>
    <row r="221" spans="1:72">
      <c r="A221" s="997" t="s">
        <v>536</v>
      </c>
      <c r="T221" s="1488"/>
      <c r="U221" s="2038">
        <f>+U224-U218-U220-U222-U223</f>
        <v>48.76341695472405</v>
      </c>
      <c r="V221" s="3177">
        <f>+V224-V218-V220-V222-V223-V219</f>
        <v>-19.692833998583978</v>
      </c>
      <c r="W221" s="3177">
        <f>+W224-W218-W220-W222-W223-W219</f>
        <v>18.77109621991886</v>
      </c>
      <c r="X221" s="3177">
        <f>+X224-X218-X220-X222-X223-X219</f>
        <v>47.38966203820064</v>
      </c>
      <c r="Y221" s="3177">
        <f>+Y224-Y218-Y220-Y222-Y223-Y219</f>
        <v>18.696387314215059</v>
      </c>
      <c r="Z221" s="3177">
        <f>+Z224-Z218-Z220-Z222-Z223-Z219</f>
        <v>14.123951115658244</v>
      </c>
      <c r="AA221" s="2878">
        <f>Z221*1</f>
        <v>14.123951115658244</v>
      </c>
      <c r="AB221" s="2878">
        <f t="shared" ref="AB221:AJ221" si="248">AA221*1</f>
        <v>14.123951115658244</v>
      </c>
      <c r="AC221" s="2878">
        <f t="shared" si="248"/>
        <v>14.123951115658244</v>
      </c>
      <c r="AD221" s="2878">
        <f t="shared" si="248"/>
        <v>14.123951115658244</v>
      </c>
      <c r="AE221" s="2878">
        <f>AD221*1</f>
        <v>14.123951115658244</v>
      </c>
      <c r="AF221" s="2878">
        <f t="shared" si="248"/>
        <v>14.123951115658244</v>
      </c>
      <c r="AG221" s="2878">
        <f t="shared" si="248"/>
        <v>14.123951115658244</v>
      </c>
      <c r="AH221" s="2878">
        <f t="shared" si="248"/>
        <v>14.123951115658244</v>
      </c>
      <c r="AI221" s="2878">
        <f t="shared" si="248"/>
        <v>14.123951115658244</v>
      </c>
      <c r="AJ221" s="2878">
        <f t="shared" si="248"/>
        <v>14.123951115658244</v>
      </c>
      <c r="AK221" s="1577"/>
      <c r="AL221" s="1577"/>
      <c r="AM221" s="1577"/>
      <c r="AP221" s="1395" t="s">
        <v>544</v>
      </c>
    </row>
    <row r="222" spans="1:72">
      <c r="A222" s="314" t="s">
        <v>532</v>
      </c>
      <c r="T222" s="128"/>
      <c r="U222" s="1922">
        <v>192.23512825502388</v>
      </c>
      <c r="V222" s="3008">
        <v>200.42952934386327</v>
      </c>
      <c r="W222" s="3008">
        <v>207.69249905339129</v>
      </c>
      <c r="X222" s="3008">
        <v>214.10721493129145</v>
      </c>
      <c r="Y222" s="3008">
        <v>219.96389338783126</v>
      </c>
      <c r="Z222" s="3008">
        <v>222.16353232170951</v>
      </c>
      <c r="AA222" s="3008">
        <v>223.49317842308815</v>
      </c>
      <c r="AB222" s="3008">
        <v>224.60259856078039</v>
      </c>
      <c r="AC222" s="3008">
        <v>225.71752586003612</v>
      </c>
      <c r="AD222" s="3008">
        <v>226.8379876584053</v>
      </c>
      <c r="AE222" s="3008">
        <v>227.96401142914155</v>
      </c>
      <c r="AF222" s="2878">
        <f>AE222*(1+AF252)</f>
        <v>229.10383148628722</v>
      </c>
      <c r="AG222" s="2878">
        <f>AF222*(1+AG252)</f>
        <v>230.24935064371863</v>
      </c>
      <c r="AH222" s="2878">
        <f>AG222*(1+AH252)</f>
        <v>231.4005973969372</v>
      </c>
      <c r="AI222" s="2878">
        <f>AH222*(1+AI252)</f>
        <v>232.55760038392185</v>
      </c>
      <c r="AJ222" s="2878">
        <f>AI222*(1+AJ252)</f>
        <v>233.72038838584143</v>
      </c>
      <c r="AK222" s="1577"/>
      <c r="AL222" s="1577"/>
      <c r="AM222" s="1577"/>
      <c r="AP222" s="1395" t="s">
        <v>544</v>
      </c>
    </row>
    <row r="223" spans="1:72">
      <c r="A223" s="314" t="s">
        <v>533</v>
      </c>
      <c r="T223" s="128"/>
      <c r="U223" s="1922">
        <v>23</v>
      </c>
      <c r="V223" s="2878">
        <f>+U223*1.04</f>
        <v>23.92</v>
      </c>
      <c r="W223" s="2878">
        <v>0</v>
      </c>
      <c r="X223" s="2878">
        <v>0</v>
      </c>
      <c r="Y223" s="2878">
        <v>0</v>
      </c>
      <c r="Z223" s="2878">
        <v>0</v>
      </c>
      <c r="AA223" s="2878">
        <v>0</v>
      </c>
      <c r="AB223" s="2878">
        <v>0</v>
      </c>
      <c r="AC223" s="2878">
        <v>0</v>
      </c>
      <c r="AD223" s="2878">
        <v>0</v>
      </c>
      <c r="AE223" s="2878">
        <v>0</v>
      </c>
      <c r="AF223" s="2878">
        <v>0</v>
      </c>
      <c r="AG223" s="1437">
        <v>0</v>
      </c>
      <c r="AH223" s="1437">
        <v>0</v>
      </c>
      <c r="AI223" s="1437">
        <v>0</v>
      </c>
      <c r="AJ223" s="1437">
        <v>0</v>
      </c>
      <c r="AK223" s="1577"/>
      <c r="AL223" s="1577"/>
      <c r="AM223" s="1577"/>
      <c r="AP223" s="1395">
        <v>2014</v>
      </c>
    </row>
    <row r="224" spans="1:72">
      <c r="A224" s="1483" t="s">
        <v>545</v>
      </c>
      <c r="B224" s="2039"/>
      <c r="C224" s="2039">
        <f t="shared" ref="C224:Z224" si="249">+C9</f>
        <v>385.815</v>
      </c>
      <c r="D224" s="2039">
        <f t="shared" si="249"/>
        <v>465.03500000000003</v>
      </c>
      <c r="E224" s="2039">
        <f t="shared" si="249"/>
        <v>499.375</v>
      </c>
      <c r="F224" s="2039">
        <f t="shared" si="249"/>
        <v>881.00571198796104</v>
      </c>
      <c r="G224" s="2039">
        <f t="shared" si="249"/>
        <v>673.5153390375865</v>
      </c>
      <c r="H224" s="2039">
        <f t="shared" si="249"/>
        <v>736.51681629698351</v>
      </c>
      <c r="I224" s="2039">
        <f t="shared" si="249"/>
        <v>841.47622065610381</v>
      </c>
      <c r="J224" s="2039">
        <f t="shared" si="249"/>
        <v>740.78574820075346</v>
      </c>
      <c r="K224" s="2039">
        <f t="shared" si="249"/>
        <v>752.83617938988118</v>
      </c>
      <c r="L224" s="2039">
        <f t="shared" si="249"/>
        <v>1014.034</v>
      </c>
      <c r="M224" s="2039">
        <f t="shared" si="249"/>
        <v>1052.125</v>
      </c>
      <c r="N224" s="2039">
        <f t="shared" si="249"/>
        <v>1109.94</v>
      </c>
      <c r="O224" s="2039">
        <f t="shared" si="249"/>
        <v>1398.2280000000001</v>
      </c>
      <c r="P224" s="2039">
        <f t="shared" si="249"/>
        <v>1344.683</v>
      </c>
      <c r="Q224" s="2039">
        <f t="shared" si="249"/>
        <v>1251.528</v>
      </c>
      <c r="R224" s="2039">
        <f t="shared" si="249"/>
        <v>1612.2570000000001</v>
      </c>
      <c r="S224" s="2039">
        <f t="shared" si="249"/>
        <v>1481.703</v>
      </c>
      <c r="T224" s="2039">
        <f t="shared" si="249"/>
        <v>1309.57</v>
      </c>
      <c r="U224" s="2039">
        <f t="shared" si="249"/>
        <v>1424.2567868062583</v>
      </c>
      <c r="V224" s="3178">
        <f t="shared" si="249"/>
        <v>1513.2541140200603</v>
      </c>
      <c r="W224" s="3178">
        <f t="shared" si="249"/>
        <v>1508.9058051155766</v>
      </c>
      <c r="X224" s="3178">
        <f t="shared" si="249"/>
        <v>1490.2039212015002</v>
      </c>
      <c r="Y224" s="3178">
        <f t="shared" si="249"/>
        <v>1528.2278895697459</v>
      </c>
      <c r="Z224" s="3178">
        <f t="shared" si="249"/>
        <v>1496.8690290175944</v>
      </c>
      <c r="AA224" s="3179">
        <f t="shared" ref="AA224:AF224" si="250">+SUM(AA218:AA223)</f>
        <v>1543.444956330055</v>
      </c>
      <c r="AB224" s="3179">
        <f t="shared" si="250"/>
        <v>1509.9281151061036</v>
      </c>
      <c r="AC224" s="3179">
        <f t="shared" si="250"/>
        <v>1559.8469158350015</v>
      </c>
      <c r="AD224" s="3179">
        <f t="shared" si="250"/>
        <v>1522.3831802585755</v>
      </c>
      <c r="AE224" s="3179">
        <f t="shared" si="250"/>
        <v>1575.2130973593069</v>
      </c>
      <c r="AF224" s="3179">
        <f t="shared" si="250"/>
        <v>1543.0250150113454</v>
      </c>
      <c r="AG224" s="2040">
        <f>+SUM(AG218:AG223)</f>
        <v>1598.4958179739788</v>
      </c>
      <c r="AH224" s="2040">
        <f>+SUM(AH218:AH223)</f>
        <v>1561.6754246221433</v>
      </c>
      <c r="AI224" s="2040">
        <f>+SUM(AI218:AI223)</f>
        <v>1623.5312082412902</v>
      </c>
      <c r="AJ224" s="2040">
        <f>+SUM(AJ218:AJ223)</f>
        <v>1581.8082549207256</v>
      </c>
      <c r="AK224" s="1577"/>
      <c r="AL224" s="1577"/>
      <c r="AM224" s="1577"/>
    </row>
    <row r="225" spans="1:72">
      <c r="A225" s="997" t="s">
        <v>534</v>
      </c>
      <c r="C225" s="1737"/>
      <c r="D225" s="1737">
        <f t="shared" ref="D225:L225" si="251">+D224/C224-1</f>
        <v>0.2053315708305794</v>
      </c>
      <c r="E225" s="1737">
        <f t="shared" si="251"/>
        <v>7.3843904222262724E-2</v>
      </c>
      <c r="F225" s="1737">
        <f t="shared" si="251"/>
        <v>0.76421669484447774</v>
      </c>
      <c r="G225" s="1737">
        <f t="shared" si="251"/>
        <v>-0.23551535492565556</v>
      </c>
      <c r="H225" s="1737">
        <f t="shared" si="251"/>
        <v>9.354126566652865E-2</v>
      </c>
      <c r="I225" s="1737">
        <f t="shared" si="251"/>
        <v>0.14250781792984601</v>
      </c>
      <c r="J225" s="1737">
        <f t="shared" si="251"/>
        <v>-0.11965932011345659</v>
      </c>
      <c r="K225" s="1737">
        <f t="shared" si="251"/>
        <v>1.6267093715553127E-2</v>
      </c>
      <c r="L225" s="1737">
        <f t="shared" si="251"/>
        <v>0.34695173765665799</v>
      </c>
      <c r="M225" s="1737">
        <f t="shared" ref="M225:U225" si="252">+M224/L224-1</f>
        <v>3.7563829220716549E-2</v>
      </c>
      <c r="N225" s="1737">
        <f t="shared" si="252"/>
        <v>5.4950695021979357E-2</v>
      </c>
      <c r="O225" s="1737">
        <f t="shared" si="252"/>
        <v>0.25973295853829947</v>
      </c>
      <c r="P225" s="1737">
        <f t="shared" si="252"/>
        <v>-3.8294898972127678E-2</v>
      </c>
      <c r="Q225" s="1737">
        <f t="shared" si="252"/>
        <v>-6.9276550681461657E-2</v>
      </c>
      <c r="R225" s="1737">
        <f t="shared" si="252"/>
        <v>0.28823086658868213</v>
      </c>
      <c r="S225" s="1737">
        <f t="shared" si="252"/>
        <v>-8.0975923813635275E-2</v>
      </c>
      <c r="T225" s="1737">
        <f t="shared" si="252"/>
        <v>-0.11617240432124387</v>
      </c>
      <c r="U225" s="1737">
        <f t="shared" si="252"/>
        <v>8.7575911792617811E-2</v>
      </c>
      <c r="V225" s="2866">
        <f>+V224/U224-1</f>
        <v>6.2486854925486446E-2</v>
      </c>
      <c r="W225" s="2866">
        <f t="shared" ref="W225:AH225" si="253">+W224/V224-1</f>
        <v>-2.8734822950073902E-3</v>
      </c>
      <c r="X225" s="2866">
        <f t="shared" si="253"/>
        <v>-1.2394334921817074E-2</v>
      </c>
      <c r="Y225" s="2866">
        <f t="shared" si="253"/>
        <v>2.5515949748399658E-2</v>
      </c>
      <c r="Z225" s="2866">
        <f t="shared" si="253"/>
        <v>-2.0519754132337087E-2</v>
      </c>
      <c r="AA225" s="2866">
        <f t="shared" si="253"/>
        <v>3.1115566164815922E-2</v>
      </c>
      <c r="AB225" s="2866">
        <f t="shared" si="253"/>
        <v>-2.1715605138032501E-2</v>
      </c>
      <c r="AC225" s="2866">
        <f t="shared" si="253"/>
        <v>3.3060382298656599E-2</v>
      </c>
      <c r="AD225" s="2866">
        <f t="shared" si="253"/>
        <v>-2.4017571978447116E-2</v>
      </c>
      <c r="AE225" s="2866">
        <f t="shared" si="253"/>
        <v>3.4702115594681171E-2</v>
      </c>
      <c r="AF225" s="2866">
        <f t="shared" si="253"/>
        <v>-2.0434112947588901E-2</v>
      </c>
      <c r="AG225" s="1737">
        <f t="shared" si="253"/>
        <v>3.5949386706621622E-2</v>
      </c>
      <c r="AH225" s="1737">
        <f t="shared" si="253"/>
        <v>-2.3034400802188992E-2</v>
      </c>
      <c r="AI225" s="1737">
        <f>+AI224/AH224-1</f>
        <v>3.9608604095254574E-2</v>
      </c>
      <c r="AJ225" s="1737">
        <f>+AJ224/AI224-1</f>
        <v>-2.5698892087058445E-2</v>
      </c>
      <c r="AK225" s="1577"/>
      <c r="AL225" s="1577"/>
      <c r="AM225" s="1577"/>
    </row>
    <row r="226" spans="1:72" hidden="1" outlineLevel="1">
      <c r="A226" s="997" t="s">
        <v>538</v>
      </c>
      <c r="D226" s="1482">
        <v>0.2053315708305794</v>
      </c>
      <c r="E226" s="1482">
        <v>7.3843904222262724E-2</v>
      </c>
      <c r="F226" s="1482">
        <v>0.76421669484447774</v>
      </c>
      <c r="G226" s="1482">
        <v>-0.23551535492565556</v>
      </c>
      <c r="H226" s="1482">
        <v>9.354126566652865E-2</v>
      </c>
      <c r="I226" s="1482">
        <v>0.14250781792984601</v>
      </c>
      <c r="J226" s="1482">
        <v>-0.11965932011345659</v>
      </c>
      <c r="K226" s="1482">
        <v>1.6267093715553127E-2</v>
      </c>
      <c r="L226" s="1482">
        <v>0.34620979660277906</v>
      </c>
      <c r="M226" s="1482">
        <v>3.505506647245582E-2</v>
      </c>
      <c r="N226" s="1482">
        <v>5.4617570990272313E-2</v>
      </c>
      <c r="O226" s="1482">
        <v>0.25844703726902041</v>
      </c>
      <c r="P226" s="1482">
        <v>-3.6543226697351328E-2</v>
      </c>
      <c r="Q226" s="1482">
        <v>-7.0358009563960766E-2</v>
      </c>
      <c r="R226" s="1482">
        <v>0.2849107432782465</v>
      </c>
      <c r="S226" s="1482">
        <v>-8.8330140043250016E-2</v>
      </c>
      <c r="T226" s="1482">
        <v>-0.11617240432124387</v>
      </c>
      <c r="U226" s="1482">
        <v>8.7575911792617811E-2</v>
      </c>
      <c r="V226" s="2897">
        <v>6.2486854925486446E-2</v>
      </c>
      <c r="W226" s="2897">
        <v>-2.8734822950073902E-3</v>
      </c>
      <c r="X226" s="2897">
        <v>-1.2394334921817074E-2</v>
      </c>
      <c r="Y226" s="2897">
        <v>2.5515949748399658E-2</v>
      </c>
      <c r="Z226" s="2897">
        <v>-1.986540146227711E-2</v>
      </c>
      <c r="AA226" s="2897">
        <v>3.139380581517881E-2</v>
      </c>
      <c r="AB226" s="2897">
        <v>-2.1693814032242464E-2</v>
      </c>
      <c r="AC226" s="2897">
        <v>3.3030140552881448E-2</v>
      </c>
      <c r="AD226" s="2897">
        <v>-2.3993792367764444E-2</v>
      </c>
      <c r="AE226" s="2897">
        <v>3.4670471398496439E-2</v>
      </c>
      <c r="AF226" s="2897">
        <v>-2.0413783089252902E-2</v>
      </c>
      <c r="AG226" s="1482">
        <v>3.5916910457198359E-2</v>
      </c>
      <c r="AH226" s="1482">
        <v>-2.3011918903030892E-2</v>
      </c>
      <c r="AI226" s="1482">
        <v>3.9572997792829856E-2</v>
      </c>
      <c r="AJ226" s="1482">
        <v>-2.5674272951500821E-2</v>
      </c>
      <c r="AK226" s="1577"/>
      <c r="AL226" s="1577"/>
      <c r="AM226" s="1577"/>
    </row>
    <row r="227" spans="1:72" hidden="1" outlineLevel="1">
      <c r="A227" s="997" t="s">
        <v>539</v>
      </c>
      <c r="D227" s="1493">
        <f t="shared" ref="D227:AI227" si="254">+D9</f>
        <v>465.03500000000003</v>
      </c>
      <c r="E227" s="1493">
        <f t="shared" si="254"/>
        <v>499.375</v>
      </c>
      <c r="F227" s="1493">
        <f t="shared" si="254"/>
        <v>881.00571198796104</v>
      </c>
      <c r="G227" s="1493">
        <f t="shared" si="254"/>
        <v>673.5153390375865</v>
      </c>
      <c r="H227" s="1493">
        <f t="shared" si="254"/>
        <v>736.51681629698351</v>
      </c>
      <c r="I227" s="1493">
        <f t="shared" si="254"/>
        <v>841.47622065610381</v>
      </c>
      <c r="J227" s="1493">
        <f t="shared" si="254"/>
        <v>740.78574820075346</v>
      </c>
      <c r="K227" s="1493">
        <f t="shared" si="254"/>
        <v>752.83617938988118</v>
      </c>
      <c r="L227" s="1493">
        <f t="shared" si="254"/>
        <v>1014.034</v>
      </c>
      <c r="M227" s="1493">
        <f t="shared" si="254"/>
        <v>1052.125</v>
      </c>
      <c r="N227" s="1493">
        <f t="shared" si="254"/>
        <v>1109.94</v>
      </c>
      <c r="O227" s="1493">
        <f t="shared" si="254"/>
        <v>1398.2280000000001</v>
      </c>
      <c r="P227" s="1493">
        <f t="shared" si="254"/>
        <v>1344.683</v>
      </c>
      <c r="Q227" s="1493">
        <f t="shared" si="254"/>
        <v>1251.528</v>
      </c>
      <c r="R227" s="1493">
        <f t="shared" si="254"/>
        <v>1612.2570000000001</v>
      </c>
      <c r="S227" s="1493">
        <f t="shared" si="254"/>
        <v>1481.703</v>
      </c>
      <c r="T227" s="1493">
        <f t="shared" si="254"/>
        <v>1309.57</v>
      </c>
      <c r="U227" s="1493">
        <f t="shared" si="254"/>
        <v>1424.2567868062583</v>
      </c>
      <c r="V227" s="2927">
        <f t="shared" si="254"/>
        <v>1513.2541140200603</v>
      </c>
      <c r="W227" s="2927">
        <f t="shared" si="254"/>
        <v>1508.9058051155766</v>
      </c>
      <c r="X227" s="2927">
        <f t="shared" si="254"/>
        <v>1490.2039212015002</v>
      </c>
      <c r="Y227" s="2927">
        <f t="shared" si="254"/>
        <v>1528.2278895697459</v>
      </c>
      <c r="Z227" s="2927">
        <f t="shared" si="254"/>
        <v>1496.8690290175944</v>
      </c>
      <c r="AA227" s="2927">
        <f t="shared" si="254"/>
        <v>1543.4138615371123</v>
      </c>
      <c r="AB227" s="2927">
        <f t="shared" si="254"/>
        <v>1509.9193966628782</v>
      </c>
      <c r="AC227" s="2927">
        <f t="shared" si="254"/>
        <v>1559.8048708460219</v>
      </c>
      <c r="AD227" s="2927">
        <f t="shared" si="254"/>
        <v>1522.3661466256297</v>
      </c>
      <c r="AE227" s="2927">
        <f t="shared" si="254"/>
        <v>1575.1607936753237</v>
      </c>
      <c r="AF227" s="2927">
        <f t="shared" si="254"/>
        <v>1542.9942005775733</v>
      </c>
      <c r="AG227" s="1493">
        <f t="shared" si="254"/>
        <v>1598.4279703938582</v>
      </c>
      <c r="AH227" s="1493">
        <f t="shared" si="254"/>
        <v>1561.6321588930648</v>
      </c>
      <c r="AI227" s="1493">
        <f t="shared" si="254"/>
        <v>1623.4466466562853</v>
      </c>
      <c r="AJ227" s="1493">
        <f t="shared" ref="AJ227" si="255">+AJ9</f>
        <v>1581.7515482098868</v>
      </c>
      <c r="AK227" s="1577"/>
      <c r="AL227" s="1577"/>
      <c r="AM227" s="1577"/>
    </row>
    <row r="228" spans="1:72" hidden="1" outlineLevel="1">
      <c r="A228" s="997" t="s">
        <v>782</v>
      </c>
      <c r="T228" s="1394"/>
      <c r="U228" s="1493">
        <f>+U227-U224</f>
        <v>0</v>
      </c>
      <c r="V228" s="2927">
        <f>+V227-V224</f>
        <v>0</v>
      </c>
      <c r="W228" s="2927">
        <f t="shared" ref="W228:AF228" si="256">+W227-W224</f>
        <v>0</v>
      </c>
      <c r="X228" s="2927">
        <f t="shared" si="256"/>
        <v>0</v>
      </c>
      <c r="Y228" s="2927">
        <f>+Y227-Y224</f>
        <v>0</v>
      </c>
      <c r="Z228" s="2927">
        <f t="shared" si="256"/>
        <v>0</v>
      </c>
      <c r="AA228" s="2927">
        <f t="shared" si="256"/>
        <v>-3.1094792942667482E-2</v>
      </c>
      <c r="AB228" s="2927">
        <f t="shared" si="256"/>
        <v>-8.7184432254616695E-3</v>
      </c>
      <c r="AC228" s="2927">
        <f t="shared" si="256"/>
        <v>-4.2044988979569098E-2</v>
      </c>
      <c r="AD228" s="2927">
        <f t="shared" si="256"/>
        <v>-1.7033632945867794E-2</v>
      </c>
      <c r="AE228" s="2927">
        <f t="shared" si="256"/>
        <v>-5.230368398315477E-2</v>
      </c>
      <c r="AF228" s="2927">
        <f t="shared" si="256"/>
        <v>-3.0814433772093253E-2</v>
      </c>
      <c r="AG228" s="1493">
        <f>+AG227-AG224</f>
        <v>-6.7847580120542261E-2</v>
      </c>
      <c r="AH228" s="1493">
        <f>+AH227-AH224</f>
        <v>-4.3265729078484583E-2</v>
      </c>
      <c r="AI228" s="1493">
        <f>+AI227-AI224</f>
        <v>-8.4561585004848894E-2</v>
      </c>
      <c r="AJ228" s="1493">
        <f>+AJ227-AJ224</f>
        <v>-5.6706710838852814E-2</v>
      </c>
      <c r="AK228" s="1577"/>
      <c r="AL228" s="1577"/>
      <c r="AM228" s="1577"/>
    </row>
    <row r="229" spans="1:72" s="862" customFormat="1" collapsed="1">
      <c r="A229" s="997"/>
      <c r="U229" s="1470"/>
      <c r="V229" s="2867"/>
      <c r="W229" s="2867"/>
      <c r="X229" s="2867"/>
      <c r="Y229" s="2867"/>
      <c r="Z229" s="2867"/>
      <c r="AA229" s="2867"/>
      <c r="AB229" s="2867"/>
      <c r="AC229" s="2867"/>
      <c r="AD229" s="2867"/>
      <c r="AE229" s="2867"/>
      <c r="AF229" s="2867"/>
      <c r="AG229" s="2867"/>
      <c r="AH229" s="2867"/>
      <c r="AI229" s="2867"/>
      <c r="AJ229" s="2867"/>
      <c r="AK229" s="2867"/>
      <c r="AL229" s="2867"/>
      <c r="AM229" s="2867"/>
      <c r="AN229"/>
      <c r="AO229"/>
      <c r="BB229"/>
      <c r="BC229"/>
      <c r="BD229"/>
      <c r="BE229"/>
      <c r="BT229" s="1395"/>
    </row>
    <row r="230" spans="1:72">
      <c r="A230" s="726" t="s">
        <v>541</v>
      </c>
      <c r="U230" s="2028"/>
      <c r="V230" s="3180"/>
      <c r="W230" s="3180"/>
      <c r="X230" s="3180"/>
      <c r="Y230" s="3180"/>
      <c r="Z230" s="3180"/>
      <c r="AA230" s="3180"/>
      <c r="AB230" s="3180"/>
      <c r="AC230" s="3180"/>
      <c r="AD230" s="3180"/>
      <c r="AE230" s="3180"/>
      <c r="AF230" s="3180"/>
      <c r="AG230" s="3180"/>
      <c r="AH230" s="3180"/>
      <c r="AI230" s="3180"/>
      <c r="AJ230" s="3180"/>
      <c r="AK230" s="3180"/>
      <c r="AL230" s="3180"/>
      <c r="AM230" s="3180"/>
    </row>
    <row r="231" spans="1:72">
      <c r="A231" s="314" t="s">
        <v>530</v>
      </c>
      <c r="T231" s="128"/>
      <c r="U231" s="1922">
        <v>711.09049725490217</v>
      </c>
      <c r="V231" s="3008">
        <v>833.20011502757325</v>
      </c>
      <c r="W231" s="3008">
        <v>830.19212192922771</v>
      </c>
      <c r="X231" s="3008">
        <v>933.00364924498137</v>
      </c>
      <c r="Y231" s="3008">
        <v>932.80386819968032</v>
      </c>
      <c r="Z231" s="3008">
        <v>1044.9521002916613</v>
      </c>
      <c r="AA231" s="3008">
        <v>1048.0984263091609</v>
      </c>
      <c r="AB231" s="3008">
        <v>1170.5351318877106</v>
      </c>
      <c r="AC231" s="3008">
        <v>1177.6433918009734</v>
      </c>
      <c r="AD231" s="3008">
        <v>1311.4258433090315</v>
      </c>
      <c r="AE231" s="2878">
        <f>AC231*1.06*(1+AE256)</f>
        <v>1387.4876677859888</v>
      </c>
      <c r="AF231" s="2878">
        <f>AD231*(1+AE256)*(1+AF256)</f>
        <v>1530.532316079888</v>
      </c>
      <c r="AG231" s="2878">
        <f>AE231*(1+AG256)^2</f>
        <v>1529.7051537340528</v>
      </c>
      <c r="AH231" s="2878">
        <f>AF231*(1+AH256)^2</f>
        <v>1687.4118784780767</v>
      </c>
      <c r="AI231" s="2878">
        <f>AG231*(1+AI256)^2</f>
        <v>1686.4999319917933</v>
      </c>
      <c r="AJ231" s="2878">
        <f>AH231*(1+AJ256)^2</f>
        <v>1860.3715960220795</v>
      </c>
      <c r="AK231" s="1577"/>
      <c r="AL231" s="1577"/>
      <c r="AM231" s="1577"/>
    </row>
    <row r="232" spans="1:72">
      <c r="A232" s="997" t="s">
        <v>1535</v>
      </c>
      <c r="T232" s="128"/>
      <c r="U232" s="1922"/>
      <c r="V232" s="3008">
        <v>299.75728155339806</v>
      </c>
      <c r="W232" s="3008">
        <v>326.5</v>
      </c>
      <c r="X232" s="3008">
        <v>237.36</v>
      </c>
      <c r="Y232" s="3008">
        <v>237.73079999999999</v>
      </c>
      <c r="Z232" s="3008">
        <v>271.86272400000001</v>
      </c>
      <c r="AA232" s="2878">
        <f>Z232*1.05</f>
        <v>285.45586020000002</v>
      </c>
      <c r="AB232" s="2878">
        <f t="shared" ref="AB232:AJ232" si="257">AA232*1.05</f>
        <v>299.72865321</v>
      </c>
      <c r="AC232" s="2878">
        <f t="shared" si="257"/>
        <v>314.71508587049999</v>
      </c>
      <c r="AD232" s="2878">
        <f t="shared" si="257"/>
        <v>330.45084016402501</v>
      </c>
      <c r="AE232" s="2878">
        <f t="shared" si="257"/>
        <v>346.97338217222625</v>
      </c>
      <c r="AF232" s="2878">
        <f t="shared" si="257"/>
        <v>364.32205128083757</v>
      </c>
      <c r="AG232" s="2878">
        <f t="shared" si="257"/>
        <v>382.53815384487945</v>
      </c>
      <c r="AH232" s="2878">
        <f t="shared" si="257"/>
        <v>401.66506153712345</v>
      </c>
      <c r="AI232" s="2878">
        <f t="shared" si="257"/>
        <v>421.74831461397963</v>
      </c>
      <c r="AJ232" s="2878">
        <f t="shared" si="257"/>
        <v>442.83573034467861</v>
      </c>
      <c r="AK232" s="1577"/>
      <c r="AL232" s="1577"/>
      <c r="AM232" s="1577"/>
    </row>
    <row r="233" spans="1:72">
      <c r="A233" s="997" t="s">
        <v>531</v>
      </c>
      <c r="T233" s="128"/>
      <c r="U233" s="1922">
        <v>448.12405200357591</v>
      </c>
      <c r="V233" s="3008">
        <v>392.27126203931647</v>
      </c>
      <c r="W233" s="3008">
        <v>407.5674189862458</v>
      </c>
      <c r="X233" s="3008">
        <v>339.28883261702498</v>
      </c>
      <c r="Y233" s="3008">
        <v>417.90777002007445</v>
      </c>
      <c r="Z233" s="3008">
        <v>346.71537846837703</v>
      </c>
      <c r="AA233" s="3008">
        <v>438.60522238064658</v>
      </c>
      <c r="AB233" s="3008">
        <v>359.42304807438478</v>
      </c>
      <c r="AC233" s="3008">
        <v>450.66108229457762</v>
      </c>
      <c r="AD233" s="3008">
        <v>341.54118904725868</v>
      </c>
      <c r="AE233" s="3008">
        <v>437.00710573578277</v>
      </c>
      <c r="AF233" s="2878">
        <f>+AD233*1.05^2</f>
        <v>376.54916092460269</v>
      </c>
      <c r="AG233" s="2878">
        <f t="shared" ref="AG233:AJ233" si="258">+AE233*1.05^2</f>
        <v>481.80033407370053</v>
      </c>
      <c r="AH233" s="2878">
        <f t="shared" si="258"/>
        <v>415.14544991937447</v>
      </c>
      <c r="AI233" s="2878">
        <f t="shared" si="258"/>
        <v>531.18486831625489</v>
      </c>
      <c r="AJ233" s="2878">
        <f t="shared" si="258"/>
        <v>457.69785853611035</v>
      </c>
      <c r="AK233" s="1577"/>
      <c r="AL233" s="1577"/>
      <c r="AM233" s="1577"/>
    </row>
    <row r="234" spans="1:72">
      <c r="A234" s="997" t="s">
        <v>536</v>
      </c>
      <c r="T234" s="128"/>
      <c r="U234" s="2038">
        <f t="shared" ref="U234:Z234" si="259">+U237-U231-U233-U235-U236-U232</f>
        <v>-16.587300606491794</v>
      </c>
      <c r="V234" s="3177">
        <f t="shared" si="259"/>
        <v>-54.039543129542551</v>
      </c>
      <c r="W234" s="3177">
        <f t="shared" si="259"/>
        <v>2.2641836765475318</v>
      </c>
      <c r="X234" s="3177">
        <f t="shared" si="259"/>
        <v>-30.490821055000652</v>
      </c>
      <c r="Y234" s="3177">
        <f t="shared" si="259"/>
        <v>-4.6277427482161215</v>
      </c>
      <c r="Z234" s="3177">
        <f t="shared" si="259"/>
        <v>-37.90364468686073</v>
      </c>
      <c r="AA234" s="2878">
        <f>Z234*(AA221/Z221)</f>
        <v>-37.90364468686073</v>
      </c>
      <c r="AB234" s="2878">
        <f t="shared" ref="AB234:AI234" si="260">AA234*(AB221/AA221)</f>
        <v>-37.90364468686073</v>
      </c>
      <c r="AC234" s="2878">
        <f t="shared" si="260"/>
        <v>-37.90364468686073</v>
      </c>
      <c r="AD234" s="2878">
        <f t="shared" si="260"/>
        <v>-37.90364468686073</v>
      </c>
      <c r="AE234" s="2878">
        <f t="shared" si="260"/>
        <v>-37.90364468686073</v>
      </c>
      <c r="AF234" s="2878">
        <f t="shared" si="260"/>
        <v>-37.90364468686073</v>
      </c>
      <c r="AG234" s="1437">
        <f t="shared" si="260"/>
        <v>-37.90364468686073</v>
      </c>
      <c r="AH234" s="1437">
        <f t="shared" si="260"/>
        <v>-37.90364468686073</v>
      </c>
      <c r="AI234" s="1437">
        <f t="shared" si="260"/>
        <v>-37.90364468686073</v>
      </c>
      <c r="AJ234" s="1437">
        <f>AI234*(AJ221/AI221)</f>
        <v>-37.90364468686073</v>
      </c>
      <c r="AK234" s="1577"/>
      <c r="AL234" s="1577"/>
      <c r="AM234" s="1577"/>
    </row>
    <row r="235" spans="1:72">
      <c r="A235" s="314" t="s">
        <v>532</v>
      </c>
      <c r="T235" s="128"/>
      <c r="U235" s="1922">
        <v>283.03322779239988</v>
      </c>
      <c r="V235" s="3008">
        <v>291.52422462617187</v>
      </c>
      <c r="W235" s="3008">
        <v>300.26995136495702</v>
      </c>
      <c r="X235" s="3008">
        <v>309.27804990590573</v>
      </c>
      <c r="Y235" s="3008">
        <v>318.5563914030829</v>
      </c>
      <c r="Z235" s="3008">
        <v>328.11308314517538</v>
      </c>
      <c r="AA235" s="3008">
        <v>337.95647563953065</v>
      </c>
      <c r="AB235" s="3008">
        <v>348.09516990871657</v>
      </c>
      <c r="AC235" s="3008">
        <v>358.53802500597806</v>
      </c>
      <c r="AD235" s="2878">
        <f t="shared" ref="AD235:AJ235" si="261">+AC235*(1+AD259)</f>
        <v>369.29416575615738</v>
      </c>
      <c r="AE235" s="2878">
        <f t="shared" si="261"/>
        <v>380.37299072884213</v>
      </c>
      <c r="AF235" s="2878">
        <f t="shared" si="261"/>
        <v>391.78418045070742</v>
      </c>
      <c r="AG235" s="2878">
        <f t="shared" si="261"/>
        <v>403.53770586422866</v>
      </c>
      <c r="AH235" s="2878">
        <f t="shared" si="261"/>
        <v>415.64383704015552</v>
      </c>
      <c r="AI235" s="2878">
        <f t="shared" si="261"/>
        <v>428.11315215136017</v>
      </c>
      <c r="AJ235" s="2878">
        <f t="shared" si="261"/>
        <v>440.95654671590097</v>
      </c>
      <c r="AK235" s="1577"/>
      <c r="AL235" s="1577"/>
      <c r="AM235" s="1577"/>
    </row>
    <row r="236" spans="1:72">
      <c r="A236" s="314" t="s">
        <v>533</v>
      </c>
      <c r="T236" s="128"/>
      <c r="U236" s="1922">
        <v>20</v>
      </c>
      <c r="V236" s="3008">
        <v>21</v>
      </c>
      <c r="W236" s="2878">
        <v>0</v>
      </c>
      <c r="X236" s="2878">
        <f t="shared" ref="X236:AF236" si="262">+W236*1.06</f>
        <v>0</v>
      </c>
      <c r="Y236" s="2878">
        <f t="shared" si="262"/>
        <v>0</v>
      </c>
      <c r="Z236" s="2878">
        <f t="shared" si="262"/>
        <v>0</v>
      </c>
      <c r="AA236" s="2878">
        <f t="shared" si="262"/>
        <v>0</v>
      </c>
      <c r="AB236" s="2878">
        <f t="shared" si="262"/>
        <v>0</v>
      </c>
      <c r="AC236" s="2878">
        <f t="shared" si="262"/>
        <v>0</v>
      </c>
      <c r="AD236" s="2878">
        <f t="shared" si="262"/>
        <v>0</v>
      </c>
      <c r="AE236" s="2878">
        <f t="shared" si="262"/>
        <v>0</v>
      </c>
      <c r="AF236" s="2878">
        <f t="shared" si="262"/>
        <v>0</v>
      </c>
      <c r="AG236" s="2878">
        <f t="shared" ref="AG236" si="263">+AF236*1.06</f>
        <v>0</v>
      </c>
      <c r="AH236" s="2878">
        <f t="shared" ref="AH236" si="264">+AG236*1.06</f>
        <v>0</v>
      </c>
      <c r="AI236" s="2878">
        <f t="shared" ref="AI236" si="265">+AH236*1.06</f>
        <v>0</v>
      </c>
      <c r="AJ236" s="2878">
        <f t="shared" ref="AJ236" si="266">+AI236*1.06</f>
        <v>0</v>
      </c>
      <c r="AK236" s="1577"/>
      <c r="AL236" s="1577"/>
      <c r="AM236" s="1577"/>
    </row>
    <row r="237" spans="1:72">
      <c r="A237" s="1483" t="s">
        <v>546</v>
      </c>
      <c r="B237" s="1356"/>
      <c r="C237" s="1356"/>
      <c r="D237" s="1356"/>
      <c r="E237" s="1356"/>
      <c r="F237" s="1356"/>
      <c r="G237" s="1356"/>
      <c r="H237" s="1356"/>
      <c r="I237" s="1356"/>
      <c r="J237" s="1356"/>
      <c r="K237" s="1356"/>
      <c r="L237" s="1356"/>
      <c r="M237" s="1356"/>
      <c r="N237" s="1356"/>
      <c r="O237" s="1356"/>
      <c r="P237" s="1356"/>
      <c r="Q237" s="1356"/>
      <c r="R237" s="1356"/>
      <c r="S237" s="1356"/>
      <c r="T237" s="1484"/>
      <c r="U237" s="2039">
        <f t="shared" ref="U237:Z237" si="267">+U21</f>
        <v>1445.6604764443862</v>
      </c>
      <c r="V237" s="3178">
        <f t="shared" si="267"/>
        <v>1783.7133401169172</v>
      </c>
      <c r="W237" s="3178">
        <f t="shared" si="267"/>
        <v>1866.7936759569782</v>
      </c>
      <c r="X237" s="3178">
        <f>+X21</f>
        <v>1788.4397107129114</v>
      </c>
      <c r="Y237" s="3178">
        <f t="shared" si="267"/>
        <v>1902.3710868746216</v>
      </c>
      <c r="Z237" s="3178">
        <f t="shared" si="267"/>
        <v>1953.739641218353</v>
      </c>
      <c r="AA237" s="3179">
        <f t="shared" ref="AA237:AF237" si="268">+SUM(AA231:AA236)</f>
        <v>2072.2123398424774</v>
      </c>
      <c r="AB237" s="3179">
        <f t="shared" si="268"/>
        <v>2139.8783583939512</v>
      </c>
      <c r="AC237" s="3179">
        <f t="shared" si="268"/>
        <v>2263.6539402851681</v>
      </c>
      <c r="AD237" s="3179">
        <f t="shared" si="268"/>
        <v>2314.808393589612</v>
      </c>
      <c r="AE237" s="3179">
        <f t="shared" si="268"/>
        <v>2513.9375017359789</v>
      </c>
      <c r="AF237" s="3179">
        <f t="shared" si="268"/>
        <v>2625.284064049175</v>
      </c>
      <c r="AG237" s="2040">
        <f>+SUM(AG231:AG236)</f>
        <v>2759.6777028300003</v>
      </c>
      <c r="AH237" s="2040">
        <f>+SUM(AH231:AH236)</f>
        <v>2881.9625822878697</v>
      </c>
      <c r="AI237" s="2040">
        <f>+SUM(AI231:AI236)</f>
        <v>3029.6426223865274</v>
      </c>
      <c r="AJ237" s="2040">
        <f>+SUM(AJ231:AJ236)</f>
        <v>3163.9580869319084</v>
      </c>
      <c r="AK237" s="1577"/>
      <c r="AL237" s="1577"/>
      <c r="AM237" s="1577"/>
    </row>
    <row r="238" spans="1:72">
      <c r="A238" s="997" t="s">
        <v>534</v>
      </c>
      <c r="B238" s="1101"/>
      <c r="C238" s="1101"/>
      <c r="D238" s="1101"/>
      <c r="E238" s="1101"/>
      <c r="F238" s="1101"/>
      <c r="G238" s="1101"/>
      <c r="H238" s="1101"/>
      <c r="I238" s="1101"/>
      <c r="J238" s="1101"/>
      <c r="K238" s="1101"/>
      <c r="L238" s="1101"/>
      <c r="M238" s="1101"/>
      <c r="N238" s="1101"/>
      <c r="O238" s="1101"/>
      <c r="P238" s="1101"/>
      <c r="Q238" s="1101"/>
      <c r="R238" s="1101"/>
      <c r="S238" s="1101"/>
      <c r="U238" s="1737"/>
      <c r="V238" s="2866">
        <f t="shared" ref="V238:AI238" si="269">+V237/U237-1</f>
        <v>0.23383973566461114</v>
      </c>
      <c r="W238" s="2866">
        <f t="shared" si="269"/>
        <v>4.6577179175335104E-2</v>
      </c>
      <c r="X238" s="2866">
        <f t="shared" si="269"/>
        <v>-4.1972482686872259E-2</v>
      </c>
      <c r="Y238" s="2866">
        <f t="shared" si="269"/>
        <v>6.3704342662070923E-2</v>
      </c>
      <c r="Z238" s="2866">
        <f t="shared" si="269"/>
        <v>2.7002383866191026E-2</v>
      </c>
      <c r="AA238" s="2866">
        <f t="shared" si="269"/>
        <v>6.0638938845630763E-2</v>
      </c>
      <c r="AB238" s="2866">
        <f t="shared" si="269"/>
        <v>3.2653998458776368E-2</v>
      </c>
      <c r="AC238" s="2866">
        <f t="shared" si="269"/>
        <v>5.7842344825672409E-2</v>
      </c>
      <c r="AD238" s="2866">
        <f t="shared" si="269"/>
        <v>2.2598177395436903E-2</v>
      </c>
      <c r="AE238" s="2866">
        <f t="shared" si="269"/>
        <v>8.6024013347201445E-2</v>
      </c>
      <c r="AF238" s="2866">
        <f t="shared" si="269"/>
        <v>4.4291698674412849E-2</v>
      </c>
      <c r="AG238" s="1737">
        <f t="shared" si="269"/>
        <v>5.1192036938486396E-2</v>
      </c>
      <c r="AH238" s="1737">
        <f t="shared" si="269"/>
        <v>4.4311290167133865E-2</v>
      </c>
      <c r="AI238" s="1737">
        <f t="shared" si="269"/>
        <v>5.1242872133829165E-2</v>
      </c>
      <c r="AJ238" s="1737">
        <f>+AJ237/AI237-1</f>
        <v>4.4333765161904459E-2</v>
      </c>
      <c r="AK238" s="1577"/>
      <c r="AL238" s="1577"/>
      <c r="AM238" s="1577"/>
    </row>
    <row r="239" spans="1:72" hidden="1" outlineLevel="1">
      <c r="A239" s="997" t="s">
        <v>538</v>
      </c>
      <c r="U239" s="1482"/>
      <c r="V239" s="2897">
        <v>0.23383973566461114</v>
      </c>
      <c r="W239" s="2897">
        <v>4.6577179175335104E-2</v>
      </c>
      <c r="X239" s="2897">
        <v>-4.1972482686872259E-2</v>
      </c>
      <c r="Y239" s="2897">
        <v>6.3704342662070923E-2</v>
      </c>
      <c r="Z239" s="2897">
        <v>2.7002383866191026E-2</v>
      </c>
      <c r="AA239" s="2897">
        <v>6.0638938845630763E-2</v>
      </c>
      <c r="AB239" s="2897">
        <v>3.2653998458776368E-2</v>
      </c>
      <c r="AC239" s="2897">
        <v>5.7842344825672409E-2</v>
      </c>
      <c r="AD239" s="2897">
        <v>2.2598177395436903E-2</v>
      </c>
      <c r="AE239" s="2897">
        <v>8.6024013347201445E-2</v>
      </c>
      <c r="AF239" s="2897">
        <v>4.4291698674412849E-2</v>
      </c>
      <c r="AG239" s="1482">
        <v>5.1192036938486396E-2</v>
      </c>
      <c r="AH239" s="1482">
        <v>4.4311290167133865E-2</v>
      </c>
      <c r="AI239" s="1482">
        <v>5.1242872133829165E-2</v>
      </c>
      <c r="AJ239" s="1482">
        <v>4.4333765161904501E-2</v>
      </c>
      <c r="AK239" s="1577"/>
      <c r="AL239" s="1577"/>
      <c r="AM239" s="1577"/>
    </row>
    <row r="240" spans="1:72" hidden="1" outlineLevel="1">
      <c r="A240" s="997" t="s">
        <v>540</v>
      </c>
      <c r="T240" s="1394"/>
      <c r="U240" s="1493">
        <f t="shared" ref="U240:AG240" si="270">+U21</f>
        <v>1445.6604764443862</v>
      </c>
      <c r="V240" s="2927">
        <f t="shared" si="270"/>
        <v>1783.7133401169172</v>
      </c>
      <c r="W240" s="2927">
        <f>+W21</f>
        <v>1866.7936759569782</v>
      </c>
      <c r="X240" s="2927">
        <f t="shared" si="270"/>
        <v>1788.4397107129114</v>
      </c>
      <c r="Y240" s="2927">
        <f t="shared" si="270"/>
        <v>1902.3710868746216</v>
      </c>
      <c r="Z240" s="2927">
        <f t="shared" si="270"/>
        <v>1953.739641218353</v>
      </c>
      <c r="AA240" s="2927">
        <f t="shared" si="270"/>
        <v>2072.2123398424774</v>
      </c>
      <c r="AB240" s="2927">
        <f t="shared" si="270"/>
        <v>2139.8783583939512</v>
      </c>
      <c r="AC240" s="2927">
        <f t="shared" si="270"/>
        <v>2263.6539402851681</v>
      </c>
      <c r="AD240" s="2927">
        <f t="shared" si="270"/>
        <v>2314.808393589612</v>
      </c>
      <c r="AE240" s="2927">
        <f t="shared" si="270"/>
        <v>2513.9375017359789</v>
      </c>
      <c r="AF240" s="2927">
        <f t="shared" si="270"/>
        <v>2625.284064049175</v>
      </c>
      <c r="AG240" s="1493">
        <f t="shared" si="270"/>
        <v>2759.6777028299998</v>
      </c>
      <c r="AH240" s="1493">
        <f>+AH21</f>
        <v>2881.9625822878693</v>
      </c>
      <c r="AI240" s="1493">
        <f>+AI21</f>
        <v>3029.6426223865265</v>
      </c>
      <c r="AJ240" s="1493">
        <f>+AJ21</f>
        <v>3163.958086931907</v>
      </c>
      <c r="AK240" s="1577"/>
      <c r="AL240" s="1577"/>
      <c r="AM240" s="1577"/>
    </row>
    <row r="241" spans="1:65" hidden="1" outlineLevel="1">
      <c r="A241" s="997" t="s">
        <v>782</v>
      </c>
      <c r="T241" s="1394"/>
      <c r="U241" s="1493">
        <f t="shared" ref="U241:AF241" si="271">+U240-U237</f>
        <v>0</v>
      </c>
      <c r="V241" s="2927">
        <f t="shared" si="271"/>
        <v>0</v>
      </c>
      <c r="W241" s="2927">
        <f t="shared" si="271"/>
        <v>0</v>
      </c>
      <c r="X241" s="2927">
        <f t="shared" si="271"/>
        <v>0</v>
      </c>
      <c r="Y241" s="2927">
        <f t="shared" si="271"/>
        <v>0</v>
      </c>
      <c r="Z241" s="2927">
        <f t="shared" si="271"/>
        <v>0</v>
      </c>
      <c r="AA241" s="2927">
        <f t="shared" si="271"/>
        <v>0</v>
      </c>
      <c r="AB241" s="2927">
        <f t="shared" si="271"/>
        <v>0</v>
      </c>
      <c r="AC241" s="2927">
        <f t="shared" si="271"/>
        <v>0</v>
      </c>
      <c r="AD241" s="2927">
        <f t="shared" si="271"/>
        <v>0</v>
      </c>
      <c r="AE241" s="2927">
        <f t="shared" si="271"/>
        <v>0</v>
      </c>
      <c r="AF241" s="2927">
        <f t="shared" si="271"/>
        <v>0</v>
      </c>
      <c r="AG241" s="1493">
        <f>+AG240-AG237</f>
        <v>0</v>
      </c>
      <c r="AH241" s="1493">
        <f>+AH240-AH237</f>
        <v>0</v>
      </c>
      <c r="AI241" s="1493">
        <f>+AI240-AI237</f>
        <v>0</v>
      </c>
      <c r="AJ241" s="1493">
        <f>+AJ240-AJ237</f>
        <v>0</v>
      </c>
      <c r="AK241" s="1577"/>
      <c r="AL241" s="1577"/>
      <c r="AM241" s="1577"/>
      <c r="AP241" s="1577"/>
      <c r="AQ241" s="1577"/>
      <c r="AR241" s="1577"/>
      <c r="AS241" s="1577"/>
      <c r="AT241" s="1577"/>
      <c r="AU241" s="1577"/>
      <c r="AV241" s="1577"/>
      <c r="AW241" s="1577"/>
      <c r="AX241" s="1577"/>
      <c r="AY241" s="1577"/>
      <c r="AZ241" s="1577"/>
      <c r="BA241" s="1577"/>
    </row>
    <row r="242" spans="1:65" collapsed="1">
      <c r="A242" s="997"/>
      <c r="T242" s="1394"/>
      <c r="U242" s="1493"/>
      <c r="V242" s="2927"/>
      <c r="W242" s="2927"/>
      <c r="X242" s="2927"/>
      <c r="Y242" s="2927"/>
      <c r="Z242" s="2927"/>
      <c r="AA242" s="2927"/>
      <c r="AB242" s="2927"/>
      <c r="AC242" s="2927"/>
      <c r="AD242" s="2927"/>
      <c r="AE242" s="2927"/>
      <c r="AF242" s="2927"/>
      <c r="AG242" s="2927"/>
      <c r="AH242" s="2927"/>
      <c r="AI242" s="2927"/>
      <c r="AJ242" s="2927"/>
      <c r="AK242" s="2927"/>
      <c r="AL242" s="2927"/>
      <c r="AM242" s="1577"/>
      <c r="AP242" s="1577"/>
      <c r="AQ242" s="1577"/>
      <c r="AR242" s="1577"/>
      <c r="AS242" s="1577"/>
      <c r="AT242" s="1577"/>
      <c r="AU242" s="1577"/>
      <c r="AV242" s="1577"/>
      <c r="AW242" s="1577"/>
      <c r="AX242" s="1577"/>
      <c r="AY242" s="1577"/>
      <c r="AZ242" s="1577"/>
      <c r="BA242" s="1577"/>
    </row>
    <row r="243" spans="1:65">
      <c r="AH243"/>
      <c r="AM243" s="1577"/>
      <c r="AP243" s="1577"/>
      <c r="AQ243" s="1577"/>
      <c r="AR243" s="1577"/>
      <c r="AS243" s="1577"/>
      <c r="AT243" s="1577"/>
      <c r="AU243" s="1577"/>
      <c r="AV243" s="1577"/>
      <c r="AW243" s="1577"/>
      <c r="AX243" s="1577"/>
      <c r="AY243" s="1577"/>
      <c r="AZ243" s="1577"/>
      <c r="BA243" s="1577"/>
    </row>
    <row r="244" spans="1:65">
      <c r="AH244"/>
      <c r="AM244" s="1577"/>
      <c r="AP244" s="1577"/>
      <c r="AQ244" s="1577"/>
      <c r="AR244" s="1577"/>
      <c r="AS244" s="1577"/>
      <c r="AT244" s="1577"/>
      <c r="AU244" s="1577"/>
      <c r="AV244" s="1577"/>
      <c r="AW244" s="1577"/>
      <c r="AX244" s="1577"/>
      <c r="AY244" s="1577"/>
      <c r="AZ244" s="1577"/>
      <c r="BA244" s="1577"/>
      <c r="BB244" s="1577"/>
      <c r="BC244" s="1577"/>
      <c r="BD244" s="1577"/>
      <c r="BE244" s="1577"/>
      <c r="BF244" s="1577"/>
      <c r="BG244" s="1577"/>
      <c r="BH244" s="1577"/>
      <c r="BI244" s="1577"/>
      <c r="BJ244" s="1577"/>
      <c r="BK244" s="1577"/>
      <c r="BL244" s="1577"/>
      <c r="BM244" s="1577"/>
    </row>
    <row r="245" spans="1:65">
      <c r="W245" s="1577"/>
      <c r="X245" s="1577"/>
      <c r="Y245" s="1577"/>
      <c r="Z245" s="1577"/>
      <c r="AA245" s="1577"/>
      <c r="AB245" s="1577"/>
      <c r="AC245" s="1577"/>
      <c r="AD245" s="1577"/>
      <c r="AE245" s="1577"/>
      <c r="AF245" s="1577"/>
      <c r="AG245" s="1577"/>
      <c r="AI245" s="1577"/>
      <c r="AJ245" s="1577"/>
      <c r="AK245" s="1577"/>
      <c r="AL245" s="1577"/>
      <c r="AM245" s="1577"/>
      <c r="AP245" s="1577"/>
      <c r="AQ245" s="1577"/>
      <c r="AR245" s="1577"/>
      <c r="AS245" s="1577"/>
      <c r="AT245" s="1577"/>
      <c r="AU245" s="1577"/>
      <c r="AV245" s="1577"/>
      <c r="AW245" s="1577"/>
      <c r="AX245" s="1577"/>
      <c r="AY245" s="1577"/>
      <c r="AZ245" s="1577"/>
      <c r="BA245" s="1577"/>
      <c r="BB245" s="1577"/>
      <c r="BC245" s="1577"/>
      <c r="BD245" s="1577"/>
      <c r="BE245" s="1577"/>
      <c r="BF245" s="1577"/>
      <c r="BG245" s="1577"/>
      <c r="BH245" s="1577"/>
      <c r="BI245" s="1577"/>
      <c r="BJ245" s="1577"/>
      <c r="BK245" s="1577"/>
      <c r="BL245" s="1577"/>
      <c r="BM245" s="1577"/>
    </row>
    <row r="246" spans="1:65">
      <c r="W246" s="1577"/>
      <c r="X246" s="1577"/>
      <c r="Y246" s="1577"/>
      <c r="Z246" s="1577"/>
      <c r="AA246" s="1577"/>
      <c r="AB246" s="1577"/>
      <c r="AC246" s="1577"/>
      <c r="AD246" s="1577"/>
      <c r="AE246" s="1577"/>
      <c r="AF246" s="1577"/>
      <c r="AG246" s="1577"/>
      <c r="AI246" s="1577"/>
      <c r="AJ246" s="1577"/>
      <c r="AK246" s="1577"/>
      <c r="AL246" s="1577"/>
      <c r="AM246" s="1577"/>
      <c r="AP246" s="1577"/>
      <c r="AQ246" s="1577"/>
      <c r="AR246" s="1577"/>
      <c r="AS246" s="1577"/>
      <c r="AT246" s="1577"/>
      <c r="AU246" s="1577"/>
      <c r="AV246" s="1577"/>
      <c r="AW246" s="1577"/>
      <c r="AX246" s="1577"/>
      <c r="AY246" s="1577"/>
      <c r="AZ246" s="1577"/>
      <c r="BA246" s="1577"/>
    </row>
    <row r="247" spans="1:65" hidden="1" outlineLevel="1">
      <c r="V247" s="2372" t="s">
        <v>537</v>
      </c>
      <c r="W247" s="1577"/>
      <c r="X247" s="1577"/>
      <c r="Y247" s="1577"/>
      <c r="Z247" s="2146" t="str">
        <f>Z6</f>
        <v>2018E</v>
      </c>
      <c r="AA247" s="2146" t="str">
        <f t="shared" ref="AA247:AJ247" si="272">AA6</f>
        <v>2019E</v>
      </c>
      <c r="AB247" s="2146" t="str">
        <f t="shared" si="272"/>
        <v>2020E</v>
      </c>
      <c r="AC247" s="2146" t="str">
        <f t="shared" si="272"/>
        <v>2021E</v>
      </c>
      <c r="AD247" s="2146" t="str">
        <f t="shared" si="272"/>
        <v>2022E</v>
      </c>
      <c r="AE247" s="2146" t="str">
        <f t="shared" si="272"/>
        <v>2023E</v>
      </c>
      <c r="AF247" s="2146" t="str">
        <f t="shared" si="272"/>
        <v>2024E</v>
      </c>
      <c r="AG247" s="2146" t="str">
        <f t="shared" si="272"/>
        <v>2025E</v>
      </c>
      <c r="AH247" s="2146" t="str">
        <f t="shared" si="272"/>
        <v>2026E</v>
      </c>
      <c r="AI247" s="2146" t="str">
        <f t="shared" si="272"/>
        <v>2027E</v>
      </c>
      <c r="AJ247" s="2146" t="str">
        <f t="shared" si="272"/>
        <v>2028E</v>
      </c>
      <c r="AK247" s="1577"/>
      <c r="AL247" s="1577"/>
      <c r="AM247" s="1577"/>
      <c r="AP247" s="1577"/>
      <c r="AQ247" s="1577"/>
      <c r="AR247" s="1577"/>
      <c r="AS247" s="1577"/>
      <c r="AT247" s="1577"/>
      <c r="AU247" s="1577"/>
      <c r="AV247" s="1577"/>
      <c r="AW247" s="1577"/>
      <c r="AX247" s="1577"/>
      <c r="AY247" s="1577"/>
      <c r="AZ247" s="1577"/>
      <c r="BA247" s="1577"/>
    </row>
    <row r="248" spans="1:65" hidden="1" outlineLevel="1">
      <c r="V248" s="314" t="s">
        <v>530</v>
      </c>
      <c r="W248" s="1577"/>
      <c r="X248" s="1577"/>
      <c r="Y248" s="1577"/>
      <c r="Z248" s="2866">
        <v>-2.6157803292082837E-3</v>
      </c>
      <c r="AA248" s="2866">
        <v>-2.6388150000001831E-3</v>
      </c>
      <c r="AB248" s="2866">
        <v>-2.6388150000002941E-3</v>
      </c>
      <c r="AC248" s="2866">
        <v>-2.6388149999999611E-3</v>
      </c>
      <c r="AD248" s="2866">
        <v>-2.6388150000006272E-3</v>
      </c>
      <c r="AE248" s="2897">
        <f>AD248</f>
        <v>-2.6388150000006272E-3</v>
      </c>
      <c r="AF248" s="2866">
        <f>AE248</f>
        <v>-2.6388150000006272E-3</v>
      </c>
      <c r="AG248" s="2866">
        <f t="shared" ref="AG248:AJ248" si="273">AF248</f>
        <v>-2.6388150000006272E-3</v>
      </c>
      <c r="AH248" s="2866">
        <f t="shared" si="273"/>
        <v>-2.6388150000006272E-3</v>
      </c>
      <c r="AI248" s="2866">
        <f t="shared" si="273"/>
        <v>-2.6388150000006272E-3</v>
      </c>
      <c r="AJ248" s="2866">
        <f t="shared" si="273"/>
        <v>-2.6388150000006272E-3</v>
      </c>
      <c r="AK248" s="1577"/>
      <c r="AL248" s="1577"/>
      <c r="AM248" s="1577"/>
      <c r="AP248" s="1577"/>
      <c r="AQ248" s="1577"/>
      <c r="AR248" s="1577"/>
      <c r="AS248" s="1577"/>
      <c r="AT248" s="1577"/>
      <c r="AU248" s="1577"/>
      <c r="AV248" s="1577"/>
      <c r="AW248" s="1577"/>
      <c r="AX248" s="1577"/>
      <c r="AY248" s="1577"/>
      <c r="AZ248" s="1577"/>
      <c r="BA248" s="1577"/>
    </row>
    <row r="249" spans="1:65" hidden="1" outlineLevel="1">
      <c r="V249" s="997" t="s">
        <v>1535</v>
      </c>
      <c r="W249" s="1577"/>
      <c r="X249" s="1577"/>
      <c r="Y249" s="1577"/>
      <c r="Z249" s="2866">
        <f>Z219/Y219-1</f>
        <v>-9.9999999999998979E-3</v>
      </c>
      <c r="AA249" s="2866">
        <f>AA219/Z219-1</f>
        <v>-1.0000000000000009E-2</v>
      </c>
      <c r="AB249" s="2866">
        <f t="shared" ref="AB249:AJ249" si="274">AB219/AA219-1</f>
        <v>-1.000000000000012E-2</v>
      </c>
      <c r="AC249" s="2866">
        <f t="shared" si="274"/>
        <v>-1.0000000000000009E-2</v>
      </c>
      <c r="AD249" s="2866">
        <f t="shared" si="274"/>
        <v>-1.0000000000000009E-2</v>
      </c>
      <c r="AE249" s="2866">
        <f t="shared" si="274"/>
        <v>-1.0000000000000009E-2</v>
      </c>
      <c r="AF249" s="2866">
        <f t="shared" si="274"/>
        <v>-1.000000000000012E-2</v>
      </c>
      <c r="AG249" s="2866">
        <f t="shared" si="274"/>
        <v>-9.9999999999998979E-3</v>
      </c>
      <c r="AH249" s="2866">
        <f t="shared" si="274"/>
        <v>-1.0000000000000009E-2</v>
      </c>
      <c r="AI249" s="2866">
        <f t="shared" si="274"/>
        <v>-1.0000000000000009E-2</v>
      </c>
      <c r="AJ249" s="2866">
        <f t="shared" si="274"/>
        <v>-1.0000000000000009E-2</v>
      </c>
      <c r="AK249" s="1577"/>
      <c r="AL249" s="1577"/>
      <c r="AM249" s="1577"/>
      <c r="AP249" s="1577"/>
      <c r="AQ249" s="1577"/>
      <c r="AR249" s="1577"/>
      <c r="AS249" s="1577"/>
      <c r="AT249" s="1577"/>
      <c r="AU249" s="1577"/>
      <c r="AV249" s="1577"/>
      <c r="AW249" s="1577"/>
      <c r="AX249" s="1577"/>
      <c r="AY249" s="1577"/>
      <c r="AZ249" s="1577"/>
      <c r="BA249" s="1577"/>
    </row>
    <row r="250" spans="1:65" hidden="1" outlineLevel="1">
      <c r="V250" s="314" t="s">
        <v>531</v>
      </c>
      <c r="Z250" s="2866">
        <v>2.717999999999976E-2</v>
      </c>
      <c r="AA250" s="2866">
        <v>2.6164999999999772E-2</v>
      </c>
      <c r="AB250" s="2866">
        <v>2.5150000000000006E-2</v>
      </c>
      <c r="AC250" s="2866">
        <v>2.4134999999999796E-2</v>
      </c>
      <c r="AD250" s="2866">
        <v>2.3119999999999807E-2</v>
      </c>
      <c r="AE250" s="2866">
        <v>2.2104999999999597E-2</v>
      </c>
      <c r="AF250" s="2897">
        <f>MAX(AE250-0.05%, 2%)</f>
        <v>2.1604999999999597E-2</v>
      </c>
      <c r="AG250" s="2866">
        <f>MAX(AF250-0.05%, 2%)</f>
        <v>2.1104999999999596E-2</v>
      </c>
      <c r="AH250" s="2866">
        <f t="shared" ref="AH250:AJ250" si="275">MAX(AG250-0.05%, 2%)</f>
        <v>2.0604999999999596E-2</v>
      </c>
      <c r="AI250" s="2866">
        <f t="shared" si="275"/>
        <v>2.0104999999999595E-2</v>
      </c>
      <c r="AJ250" s="2866">
        <f t="shared" si="275"/>
        <v>0.02</v>
      </c>
      <c r="AK250" s="1577"/>
      <c r="AL250" s="1577"/>
      <c r="AM250" s="1577"/>
    </row>
    <row r="251" spans="1:65" hidden="1" outlineLevel="1">
      <c r="V251" s="997" t="s">
        <v>1833</v>
      </c>
      <c r="Z251" s="3571" t="s">
        <v>348</v>
      </c>
      <c r="AA251" s="2866">
        <f t="shared" ref="AA251:AJ251" si="276">AA221/Z221-1</f>
        <v>0</v>
      </c>
      <c r="AB251" s="2866">
        <f t="shared" si="276"/>
        <v>0</v>
      </c>
      <c r="AC251" s="2866">
        <f t="shared" si="276"/>
        <v>0</v>
      </c>
      <c r="AD251" s="2866">
        <f t="shared" si="276"/>
        <v>0</v>
      </c>
      <c r="AE251" s="2866">
        <f t="shared" si="276"/>
        <v>0</v>
      </c>
      <c r="AF251" s="2866">
        <f>AF221/AE221-1</f>
        <v>0</v>
      </c>
      <c r="AG251" s="2866">
        <f t="shared" si="276"/>
        <v>0</v>
      </c>
      <c r="AH251" s="2866">
        <f t="shared" si="276"/>
        <v>0</v>
      </c>
      <c r="AI251" s="2866">
        <f t="shared" si="276"/>
        <v>0</v>
      </c>
      <c r="AJ251" s="2866">
        <f t="shared" si="276"/>
        <v>0</v>
      </c>
      <c r="AK251" s="1577"/>
      <c r="AL251" s="1577"/>
      <c r="AM251" s="1577"/>
    </row>
    <row r="252" spans="1:65" hidden="1" outlineLevel="1">
      <c r="V252" s="314" t="s">
        <v>532</v>
      </c>
      <c r="Z252" s="2866">
        <f t="shared" ref="Z252" si="277">Z222/Y222-1</f>
        <v>9.9999999999997868E-3</v>
      </c>
      <c r="AA252" s="2866">
        <f>AA222/Z222-1</f>
        <v>5.9849881188116516E-3</v>
      </c>
      <c r="AB252" s="2866">
        <f t="shared" ref="AB252:AE252" si="278">AB222/AA222-1</f>
        <v>4.9640000000001905E-3</v>
      </c>
      <c r="AC252" s="2866">
        <f t="shared" si="278"/>
        <v>4.9639999999999684E-3</v>
      </c>
      <c r="AD252" s="2866">
        <f t="shared" si="278"/>
        <v>4.9639999999997464E-3</v>
      </c>
      <c r="AE252" s="2866">
        <f t="shared" si="278"/>
        <v>4.9639999999997464E-3</v>
      </c>
      <c r="AF252" s="2897">
        <v>5.0000000000000001E-3</v>
      </c>
      <c r="AG252" s="2866">
        <f>AF252</f>
        <v>5.0000000000000001E-3</v>
      </c>
      <c r="AH252" s="2866">
        <f t="shared" ref="AH252:AJ252" si="279">AG252</f>
        <v>5.0000000000000001E-3</v>
      </c>
      <c r="AI252" s="2866">
        <f t="shared" si="279"/>
        <v>5.0000000000000001E-3</v>
      </c>
      <c r="AJ252" s="2866">
        <f t="shared" si="279"/>
        <v>5.0000000000000001E-3</v>
      </c>
      <c r="AK252" s="1577"/>
      <c r="AL252" s="1577"/>
      <c r="AM252" s="1577"/>
      <c r="AP252" s="2866"/>
    </row>
    <row r="253" spans="1:65" hidden="1" outlineLevel="1">
      <c r="V253" s="3569" t="s">
        <v>1834</v>
      </c>
      <c r="W253" s="3570"/>
      <c r="X253" s="3570"/>
      <c r="Y253" s="3570"/>
      <c r="Z253" s="3572">
        <f>Z218/Z224*Z248+Z219/Z224*Z249+Z220/Z224*Z250+Z222/Z224*Z252</f>
        <v>4.9985947041294521E-3</v>
      </c>
      <c r="AA253" s="3572">
        <f t="shared" ref="AA253:AJ253" si="280">AA218/AA224*AA248+AA219/AA224*AA249+AA220/AA224*AA250+AA222/AA224*AA252</f>
        <v>5.6975699588278084E-3</v>
      </c>
      <c r="AB253" s="3572">
        <f>AB218/AB224*AB248+AB219/AB224*AB249+AB220/AB224*AB250+AB222/AB224*AB252</f>
        <v>4.0920927315819195E-3</v>
      </c>
      <c r="AC253" s="3572">
        <f t="shared" si="280"/>
        <v>5.3042542182706563E-3</v>
      </c>
      <c r="AD253" s="3572">
        <f>AD218/AD224*AD248+AD219/AD224*AD249+AD220/AD224*AD250+AD222/AD224*AD252</f>
        <v>3.8960794888302204E-3</v>
      </c>
      <c r="AE253" s="3572">
        <f t="shared" si="280"/>
        <v>5.0018503129682064E-3</v>
      </c>
      <c r="AF253" s="3572">
        <f t="shared" si="280"/>
        <v>3.8839850922567838E-3</v>
      </c>
      <c r="AG253" s="3572">
        <f t="shared" si="280"/>
        <v>5.0421322849942395E-3</v>
      </c>
      <c r="AH253" s="3572">
        <f t="shared" si="280"/>
        <v>3.9277334106873618E-3</v>
      </c>
      <c r="AI253" s="3572">
        <f t="shared" si="280"/>
        <v>5.0574277104425032E-3</v>
      </c>
      <c r="AJ253" s="3572">
        <f t="shared" si="280"/>
        <v>4.0603527538624739E-3</v>
      </c>
      <c r="AK253" s="1577"/>
      <c r="AL253" s="1577"/>
      <c r="AM253" s="1577"/>
    </row>
    <row r="254" spans="1:65" hidden="1" outlineLevel="1">
      <c r="AH254"/>
      <c r="AK254" s="1577"/>
      <c r="AL254" s="1577"/>
      <c r="AM254" s="1577"/>
    </row>
    <row r="255" spans="1:65" hidden="1" outlineLevel="1">
      <c r="V255" s="726" t="s">
        <v>541</v>
      </c>
      <c r="AH255"/>
      <c r="AK255" s="1577"/>
      <c r="AL255" s="1577"/>
      <c r="AM255" s="1577"/>
    </row>
    <row r="256" spans="1:65" hidden="1" outlineLevel="1">
      <c r="V256" s="314" t="s">
        <v>530</v>
      </c>
      <c r="W256" s="1577"/>
      <c r="X256" s="1577"/>
      <c r="Z256" s="2866">
        <v>6.0000000000000053E-2</v>
      </c>
      <c r="AA256" s="2866">
        <v>6.0000000000000053E-2</v>
      </c>
      <c r="AB256" s="2866">
        <v>6.0000000000000053E-2</v>
      </c>
      <c r="AC256" s="2866">
        <v>6.0000000000000053E-2</v>
      </c>
      <c r="AD256" s="2866">
        <v>5.9999999999999831E-2</v>
      </c>
      <c r="AE256" s="2897">
        <v>0.11149999999999993</v>
      </c>
      <c r="AF256" s="2866">
        <v>5.0000000000000044E-2</v>
      </c>
      <c r="AG256" s="2866">
        <v>5.0000000000000044E-2</v>
      </c>
      <c r="AH256" s="2866">
        <v>5.0000000000000044E-2</v>
      </c>
      <c r="AI256" s="2866">
        <v>5.0000000000000044E-2</v>
      </c>
      <c r="AJ256" s="2866">
        <v>5.0000000000000044E-2</v>
      </c>
      <c r="AK256" s="1577"/>
      <c r="AL256" s="1577"/>
      <c r="AM256" s="1577"/>
    </row>
    <row r="257" spans="22:39" hidden="1" outlineLevel="1">
      <c r="V257" s="997" t="s">
        <v>1535</v>
      </c>
      <c r="W257" s="1577"/>
      <c r="X257" s="1577"/>
      <c r="Z257" s="2866">
        <f>Z232/Y232-1</f>
        <v>0.14357384066347323</v>
      </c>
      <c r="AA257" s="2866">
        <f t="shared" ref="AA257:AJ257" si="281">AA232/Z232-1</f>
        <v>5.0000000000000044E-2</v>
      </c>
      <c r="AB257" s="2866">
        <f t="shared" si="281"/>
        <v>5.0000000000000044E-2</v>
      </c>
      <c r="AC257" s="2866">
        <f t="shared" si="281"/>
        <v>5.0000000000000044E-2</v>
      </c>
      <c r="AD257" s="2866">
        <f t="shared" si="281"/>
        <v>5.0000000000000044E-2</v>
      </c>
      <c r="AE257" s="2866">
        <f t="shared" si="281"/>
        <v>5.0000000000000044E-2</v>
      </c>
      <c r="AF257" s="2866">
        <f t="shared" si="281"/>
        <v>5.0000000000000044E-2</v>
      </c>
      <c r="AG257" s="2866">
        <f t="shared" si="281"/>
        <v>5.0000000000000044E-2</v>
      </c>
      <c r="AH257" s="2866">
        <f t="shared" si="281"/>
        <v>5.0000000000000044E-2</v>
      </c>
      <c r="AI257" s="2866">
        <f t="shared" si="281"/>
        <v>5.0000000000000044E-2</v>
      </c>
      <c r="AJ257" s="2866">
        <f t="shared" si="281"/>
        <v>5.0000000000000044E-2</v>
      </c>
      <c r="AK257" s="1577"/>
      <c r="AL257" s="1577"/>
      <c r="AM257" s="1577"/>
    </row>
    <row r="258" spans="22:39" hidden="1" outlineLevel="1">
      <c r="V258" s="3574" t="s">
        <v>531</v>
      </c>
      <c r="W258" s="3039"/>
      <c r="X258" s="3039"/>
      <c r="Y258" s="3039"/>
      <c r="Z258" s="3575" t="s">
        <v>1835</v>
      </c>
      <c r="AA258" s="3575"/>
      <c r="AB258" s="3575"/>
      <c r="AC258" s="3276"/>
      <c r="AD258" s="3276"/>
      <c r="AE258" s="3276"/>
      <c r="AF258" s="3276"/>
      <c r="AG258" s="3276"/>
      <c r="AH258" s="3276"/>
      <c r="AI258" s="3276"/>
      <c r="AJ258" s="3276"/>
      <c r="AK258" s="1577"/>
      <c r="AL258" s="1577"/>
      <c r="AM258" s="1577"/>
    </row>
    <row r="259" spans="22:39" hidden="1" outlineLevel="1">
      <c r="V259" s="314" t="s">
        <v>532</v>
      </c>
      <c r="Z259" s="2866">
        <v>3.0000000000000027E-2</v>
      </c>
      <c r="AA259" s="2866">
        <v>3.0000000000000027E-2</v>
      </c>
      <c r="AB259" s="2866">
        <v>3.0000000000000027E-2</v>
      </c>
      <c r="AC259" s="2866">
        <v>3.0000000000000027E-2</v>
      </c>
      <c r="AD259" s="2897">
        <v>0.03</v>
      </c>
      <c r="AE259" s="2866">
        <f t="shared" ref="AE259:AJ259" si="282">AD259</f>
        <v>0.03</v>
      </c>
      <c r="AF259" s="2866">
        <f t="shared" si="282"/>
        <v>0.03</v>
      </c>
      <c r="AG259" s="2866">
        <f t="shared" si="282"/>
        <v>0.03</v>
      </c>
      <c r="AH259" s="2866">
        <f t="shared" si="282"/>
        <v>0.03</v>
      </c>
      <c r="AI259" s="2866">
        <f t="shared" si="282"/>
        <v>0.03</v>
      </c>
      <c r="AJ259" s="2866">
        <f t="shared" si="282"/>
        <v>0.03</v>
      </c>
      <c r="AK259" s="1577"/>
      <c r="AL259" s="1577"/>
      <c r="AM259" s="1577"/>
    </row>
    <row r="260" spans="22:39" hidden="1" outlineLevel="1">
      <c r="V260" s="1101"/>
      <c r="W260" s="1101"/>
      <c r="X260" s="1101"/>
      <c r="Y260" s="1101"/>
    </row>
    <row r="261" spans="22:39" collapsed="1">
      <c r="V261" s="3573"/>
      <c r="W261" s="703"/>
      <c r="X261" s="703"/>
      <c r="Y261" s="1101"/>
      <c r="AH261"/>
    </row>
    <row r="262" spans="22:39">
      <c r="AH262"/>
    </row>
    <row r="263" spans="22:39">
      <c r="AH263"/>
    </row>
    <row r="264" spans="22:39">
      <c r="AH264"/>
    </row>
    <row r="265" spans="22:39">
      <c r="AH265"/>
    </row>
    <row r="266" spans="22:39">
      <c r="AH266"/>
    </row>
    <row r="267" spans="22:39">
      <c r="AH267"/>
    </row>
    <row r="268" spans="22:39">
      <c r="AH268"/>
    </row>
    <row r="269" spans="22:39">
      <c r="AH269"/>
    </row>
    <row r="270" spans="22:39">
      <c r="AH270"/>
    </row>
    <row r="271" spans="22:39">
      <c r="AH271"/>
    </row>
    <row r="272" spans="22:39">
      <c r="AH272"/>
    </row>
    <row r="273" spans="34:34">
      <c r="AH273"/>
    </row>
  </sheetData>
  <phoneticPr fontId="3" type="noConversion"/>
  <pageMargins left="0.75" right="0.75" top="1" bottom="1" header="0.5" footer="0.5"/>
  <pageSetup scale="77" orientation="landscape" horizontalDpi="300" r:id="rId1"/>
  <headerFooter alignWithMargins="0"/>
  <ignoredErrors>
    <ignoredError sqref="AZ9:AZ12 BE28:BE36 T66:AG66 BE24 BE10:BF11 BE39 AZ20:AZ39 BJ20:BJ22 BE9 BJ25:BJ36 BJ15:BJ17 AZ14:AZ17 BJ9 BH17 AD16 BO24:BS25 BJ23:BJ24 BJ39 AI234 AF234:AH234 N66:S66 BO28:BS36 BO26:BO27 BS26:BS27 BO39 BT24:BT42 BT14 BO23 BO9 AF250 AG249:AJ249 AG251:AJ251 AF220:AJ220 AG250:AJ250" formula="1"/>
    <ignoredError sqref="AB170:AI170" formulaRange="1"/>
  </ignoredErrors>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A1:AG136"/>
  <sheetViews>
    <sheetView showGridLines="0" zoomScaleNormal="100" workbookViewId="0">
      <pane xSplit="1" ySplit="3" topLeftCell="I4" activePane="bottomRight" state="frozen"/>
      <selection pane="topRight" activeCell="B1" sqref="B1"/>
      <selection pane="bottomLeft" activeCell="A4" sqref="A4"/>
      <selection pane="bottomRight" activeCell="AA116" sqref="AA116"/>
    </sheetView>
  </sheetViews>
  <sheetFormatPr defaultRowHeight="12.75" outlineLevelRow="1" outlineLevelCol="1"/>
  <cols>
    <col min="1" max="1" width="35.85546875" customWidth="1"/>
    <col min="2" max="2" width="8.42578125" hidden="1" customWidth="1" outlineLevel="1"/>
    <col min="3" max="3" width="8.42578125" hidden="1" customWidth="1" outlineLevel="1" collapsed="1"/>
    <col min="4" max="6" width="8.42578125" hidden="1" customWidth="1" outlineLevel="1"/>
    <col min="7" max="7" width="8.7109375" customWidth="1" collapsed="1"/>
    <col min="8" max="20" width="8.7109375" customWidth="1"/>
    <col min="21" max="21" width="9.7109375" customWidth="1"/>
  </cols>
  <sheetData>
    <row r="1" spans="1:33" s="1577" customFormat="1">
      <c r="A1" s="1494" t="s">
        <v>1825</v>
      </c>
      <c r="B1" s="2144"/>
      <c r="C1" s="2144"/>
      <c r="D1" s="2144"/>
      <c r="E1" s="2144"/>
      <c r="F1" s="2144"/>
      <c r="G1" s="2144"/>
      <c r="H1" s="2144"/>
      <c r="I1" s="2144"/>
      <c r="J1" s="2144"/>
      <c r="K1" s="2144"/>
      <c r="L1" s="2144"/>
      <c r="M1" s="2144"/>
      <c r="N1" s="2144"/>
      <c r="O1" s="2144"/>
      <c r="P1" s="2144"/>
      <c r="Q1" s="2144"/>
      <c r="R1" s="2144"/>
      <c r="S1" s="2144"/>
      <c r="T1" s="2144"/>
      <c r="U1" s="2144"/>
    </row>
    <row r="2" spans="1:33" s="1577" customFormat="1">
      <c r="A2" s="2004" t="s">
        <v>1304</v>
      </c>
      <c r="B2" s="2145"/>
      <c r="C2" s="2145"/>
      <c r="D2" s="2145"/>
      <c r="E2" s="2145"/>
      <c r="F2" s="2145"/>
      <c r="G2" s="2145"/>
      <c r="H2" s="2145"/>
      <c r="I2" s="2145"/>
      <c r="J2" s="2145"/>
      <c r="K2" s="2145"/>
      <c r="L2" s="2145"/>
      <c r="M2" s="2145"/>
      <c r="N2" s="2145"/>
      <c r="O2" s="2145"/>
      <c r="P2" s="2145"/>
      <c r="Q2" s="2145"/>
      <c r="R2" s="2145"/>
      <c r="S2" s="2145"/>
      <c r="T2" s="2145"/>
      <c r="U2" s="2145"/>
    </row>
    <row r="3" spans="1:33" s="1577" customFormat="1">
      <c r="A3" s="2450" t="s">
        <v>1752</v>
      </c>
      <c r="B3" s="101">
        <v>2010</v>
      </c>
      <c r="C3" s="101">
        <v>2011</v>
      </c>
      <c r="D3" s="2525">
        <f>'CBS Network'!T6</f>
        <v>2012</v>
      </c>
      <c r="E3" s="2525">
        <f>'CBS Network'!U6</f>
        <v>2013</v>
      </c>
      <c r="F3" s="2525">
        <f>'CBS Network'!V6</f>
        <v>2014</v>
      </c>
      <c r="G3" s="2525">
        <f>'CBS Network'!W6</f>
        <v>2015</v>
      </c>
      <c r="H3" s="2525">
        <f>'CBS Network'!X6</f>
        <v>2016</v>
      </c>
      <c r="I3" s="2525" t="str">
        <f>'CBS Network'!Y6</f>
        <v>2017E</v>
      </c>
      <c r="J3" s="2525" t="str">
        <f>'CBS Network'!Z6</f>
        <v>2018E</v>
      </c>
      <c r="K3" s="2525" t="str">
        <f>'CBS Network'!AA6</f>
        <v>2019E</v>
      </c>
      <c r="L3" s="2525" t="str">
        <f>'CBS Network'!AB6</f>
        <v>2020E</v>
      </c>
      <c r="M3" s="2525" t="str">
        <f>'CBS Network'!AC6</f>
        <v>2021E</v>
      </c>
      <c r="N3" s="2525" t="str">
        <f>'CBS Network'!AD6</f>
        <v>2022E</v>
      </c>
      <c r="O3" s="2525" t="str">
        <f>'CBS Network'!AE6</f>
        <v>2023E</v>
      </c>
      <c r="P3" s="2525" t="str">
        <f>'CBS Network'!AF6</f>
        <v>2024E</v>
      </c>
      <c r="Q3" s="2525" t="str">
        <f>'CBS Network'!AG6</f>
        <v>2025E</v>
      </c>
      <c r="R3" s="2525" t="str">
        <f>'CBS Network'!AH6</f>
        <v>2026E</v>
      </c>
      <c r="S3" s="2525" t="str">
        <f>'CBS Network'!AI6</f>
        <v>2027E</v>
      </c>
      <c r="T3" s="2525" t="str">
        <f>'CBS Network'!AJ6</f>
        <v>2028E</v>
      </c>
      <c r="X3" s="2524" t="str">
        <f>Scenarios!BW5</f>
        <v>1Q17</v>
      </c>
      <c r="Y3" s="2524" t="str">
        <f>Scenarios!BX5</f>
        <v>2Q17</v>
      </c>
      <c r="Z3" s="2524" t="str">
        <f>Scenarios!BY5</f>
        <v>3Q17</v>
      </c>
      <c r="AA3" s="2524" t="str">
        <f>Scenarios!BZ5</f>
        <v>4Q17E</v>
      </c>
      <c r="AB3" s="2146"/>
      <c r="AC3" s="2524" t="str">
        <f>Scenarios!CB5</f>
        <v>1Q18E</v>
      </c>
      <c r="AD3" s="2524" t="str">
        <f>Scenarios!CC5</f>
        <v>2Q18E</v>
      </c>
      <c r="AE3" s="2524" t="str">
        <f>Scenarios!CD5</f>
        <v>3Q18E</v>
      </c>
      <c r="AF3" s="2524" t="str">
        <f>Scenarios!CE5</f>
        <v>4Q18E</v>
      </c>
    </row>
    <row r="4" spans="1:33" s="1577" customFormat="1">
      <c r="A4" s="1470" t="s">
        <v>1305</v>
      </c>
      <c r="B4" s="1648">
        <v>35</v>
      </c>
      <c r="C4" s="1648">
        <f>B4*1.01</f>
        <v>35.35</v>
      </c>
      <c r="D4" s="1648">
        <f>C4*1.01</f>
        <v>35.703499999999998</v>
      </c>
      <c r="E4" s="1648">
        <f>+D4</f>
        <v>35.703499999999998</v>
      </c>
      <c r="F4" s="1648">
        <f t="shared" ref="F4:T4" si="0">+E4*(F11/E11)</f>
        <v>35.735043373112163</v>
      </c>
      <c r="G4" s="1648">
        <f t="shared" si="0"/>
        <v>35.391938286951984</v>
      </c>
      <c r="H4" s="1648">
        <f t="shared" si="0"/>
        <v>34.795932362097467</v>
      </c>
      <c r="I4" s="1648">
        <f>+H4*(I11/H11)</f>
        <v>33.435554104371668</v>
      </c>
      <c r="J4" s="1648">
        <f t="shared" si="0"/>
        <v>32.323815772332772</v>
      </c>
      <c r="K4" s="1648">
        <f t="shared" si="0"/>
        <v>31.240736716778027</v>
      </c>
      <c r="L4" s="1648">
        <f t="shared" si="0"/>
        <v>30.559254978639462</v>
      </c>
      <c r="M4" s="1648">
        <f t="shared" si="0"/>
        <v>30.026677969281618</v>
      </c>
      <c r="N4" s="1648">
        <f t="shared" si="0"/>
        <v>29.557323974241307</v>
      </c>
      <c r="O4" s="1648">
        <f t="shared" si="0"/>
        <v>29.148147894210286</v>
      </c>
      <c r="P4" s="1648">
        <f t="shared" si="0"/>
        <v>28.783328884154489</v>
      </c>
      <c r="Q4" s="1648">
        <f t="shared" si="0"/>
        <v>28.437136627785208</v>
      </c>
      <c r="R4" s="1648">
        <f t="shared" si="0"/>
        <v>28.142193022104472</v>
      </c>
      <c r="S4" s="1648">
        <f t="shared" si="0"/>
        <v>27.856814780663225</v>
      </c>
      <c r="T4" s="1648">
        <f t="shared" si="0"/>
        <v>27.577118455476157</v>
      </c>
    </row>
    <row r="5" spans="1:33" s="1577" customFormat="1">
      <c r="A5" s="1470" t="s">
        <v>1306</v>
      </c>
      <c r="B5" s="2020">
        <v>0.4</v>
      </c>
      <c r="C5" s="2020">
        <v>0.6</v>
      </c>
      <c r="D5" s="2020">
        <v>0.75</v>
      </c>
      <c r="E5" s="2020">
        <v>0.9</v>
      </c>
      <c r="F5" s="2020">
        <v>0.95</v>
      </c>
      <c r="G5" s="2147">
        <v>1</v>
      </c>
      <c r="H5" s="2147">
        <f t="shared" ref="H5:N5" si="1">G5</f>
        <v>1</v>
      </c>
      <c r="I5" s="2147">
        <f t="shared" si="1"/>
        <v>1</v>
      </c>
      <c r="J5" s="2147">
        <f t="shared" si="1"/>
        <v>1</v>
      </c>
      <c r="K5" s="2147">
        <f t="shared" si="1"/>
        <v>1</v>
      </c>
      <c r="L5" s="2147">
        <f t="shared" si="1"/>
        <v>1</v>
      </c>
      <c r="M5" s="2147">
        <f t="shared" si="1"/>
        <v>1</v>
      </c>
      <c r="N5" s="2147">
        <f t="shared" si="1"/>
        <v>1</v>
      </c>
      <c r="O5" s="2147">
        <f t="shared" ref="O5:T5" si="2">N5</f>
        <v>1</v>
      </c>
      <c r="P5" s="2147">
        <f t="shared" si="2"/>
        <v>1</v>
      </c>
      <c r="Q5" s="2147">
        <f t="shared" si="2"/>
        <v>1</v>
      </c>
      <c r="R5" s="2147">
        <f t="shared" si="2"/>
        <v>1</v>
      </c>
      <c r="S5" s="2147">
        <f t="shared" si="2"/>
        <v>1</v>
      </c>
      <c r="T5" s="2147">
        <f t="shared" si="2"/>
        <v>1</v>
      </c>
    </row>
    <row r="6" spans="1:33" s="1577" customFormat="1">
      <c r="A6" s="1470" t="s">
        <v>464</v>
      </c>
      <c r="B6" s="1648">
        <f t="shared" ref="B6:K6" si="3">B4*B5</f>
        <v>14</v>
      </c>
      <c r="C6" s="1648">
        <f t="shared" si="3"/>
        <v>21.21</v>
      </c>
      <c r="D6" s="1648">
        <f>D4*D5</f>
        <v>26.777625</v>
      </c>
      <c r="E6" s="1648">
        <f>E4*E5</f>
        <v>32.133150000000001</v>
      </c>
      <c r="F6" s="1648">
        <f>F4*F5</f>
        <v>33.948291204456552</v>
      </c>
      <c r="G6" s="1648">
        <f t="shared" si="3"/>
        <v>35.391938286951984</v>
      </c>
      <c r="H6" s="1648">
        <f t="shared" si="3"/>
        <v>34.795932362097467</v>
      </c>
      <c r="I6" s="1648">
        <f t="shared" si="3"/>
        <v>33.435554104371668</v>
      </c>
      <c r="J6" s="3034">
        <f t="shared" si="3"/>
        <v>32.323815772332772</v>
      </c>
      <c r="K6" s="1648">
        <f t="shared" si="3"/>
        <v>31.240736716778027</v>
      </c>
      <c r="L6" s="1648">
        <f t="shared" ref="L6:Q6" si="4">L4*L5</f>
        <v>30.559254978639462</v>
      </c>
      <c r="M6" s="1648">
        <f t="shared" si="4"/>
        <v>30.026677969281618</v>
      </c>
      <c r="N6" s="1648">
        <f t="shared" si="4"/>
        <v>29.557323974241307</v>
      </c>
      <c r="O6" s="1648">
        <f t="shared" si="4"/>
        <v>29.148147894210286</v>
      </c>
      <c r="P6" s="1648">
        <f t="shared" si="4"/>
        <v>28.783328884154489</v>
      </c>
      <c r="Q6" s="1648">
        <f t="shared" si="4"/>
        <v>28.437136627785208</v>
      </c>
      <c r="R6" s="1648">
        <f>R4*R5</f>
        <v>28.142193022104472</v>
      </c>
      <c r="S6" s="1648">
        <f>S4*S5</f>
        <v>27.856814780663225</v>
      </c>
      <c r="T6" s="1648">
        <f>T4*T5</f>
        <v>27.577118455476157</v>
      </c>
    </row>
    <row r="7" spans="1:33" s="1577" customFormat="1">
      <c r="A7" s="1470" t="s">
        <v>465</v>
      </c>
      <c r="B7" s="2473">
        <v>0.5</v>
      </c>
      <c r="C7" s="2473">
        <f>B7*1.2</f>
        <v>0.6</v>
      </c>
      <c r="D7" s="2148">
        <f>Scenarios!G85</f>
        <v>0.64730659770361754</v>
      </c>
      <c r="E7" s="2148">
        <f>Scenarios!H85</f>
        <v>0.74798144595223315</v>
      </c>
      <c r="F7" s="2148">
        <f>Scenarios!I85</f>
        <v>0.88084845920240173</v>
      </c>
      <c r="G7" s="2148">
        <f>Scenarios!J85</f>
        <v>0.98971478447799177</v>
      </c>
      <c r="H7" s="2148">
        <f>Scenarios!K85</f>
        <v>1.1604093499304449</v>
      </c>
      <c r="I7" s="2148">
        <f>Scenarios!L85</f>
        <v>1.3540240443031821</v>
      </c>
      <c r="J7" s="3426">
        <f>Scenarios!M85</f>
        <v>1.6229618844845295</v>
      </c>
      <c r="K7" s="2148">
        <f>Scenarios!N85</f>
        <v>1.9881283084935488</v>
      </c>
      <c r="L7" s="2148">
        <f>Scenarios!O85</f>
        <v>2.783379631890968</v>
      </c>
      <c r="M7" s="2148">
        <f>Scenarios!P85</f>
        <v>3.3400555582691616</v>
      </c>
      <c r="N7" s="2148">
        <f>Scenarios!Q85</f>
        <v>3.5738594473480032</v>
      </c>
      <c r="O7" s="2148">
        <f>Scenarios!R85</f>
        <v>3.7882910141888835</v>
      </c>
      <c r="P7" s="2148">
        <f>Scenarios!S85</f>
        <v>3.9777055648983279</v>
      </c>
      <c r="Q7" s="2148">
        <f>Scenarios!T85</f>
        <v>4.1567023153187526</v>
      </c>
      <c r="R7" s="2148">
        <f>Scenarios!U85</f>
        <v>4.3437539195080959</v>
      </c>
      <c r="S7" s="2148">
        <f>Scenarios!V85</f>
        <v>4.53922284588596</v>
      </c>
      <c r="T7" s="2148">
        <f>Scenarios!W85</f>
        <v>4.7207917597213989</v>
      </c>
      <c r="AG7" s="2807"/>
    </row>
    <row r="8" spans="1:33" s="1577" customFormat="1">
      <c r="A8" s="1494" t="s">
        <v>1308</v>
      </c>
      <c r="B8" s="2007">
        <f>B6*B7*12</f>
        <v>84</v>
      </c>
      <c r="C8" s="2007">
        <f>C6*C7*12</f>
        <v>152.71200000000002</v>
      </c>
      <c r="D8" s="2007">
        <f t="shared" ref="D8:K8" si="5">D6*D7*12</f>
        <v>208</v>
      </c>
      <c r="E8" s="2007">
        <f>E6*E7*12</f>
        <v>288.42</v>
      </c>
      <c r="F8" s="2007">
        <f>F6*F7*12</f>
        <v>358.83960000000002</v>
      </c>
      <c r="G8" s="2007">
        <f>G6*G7*12</f>
        <v>420.33509488714884</v>
      </c>
      <c r="H8" s="2007">
        <f>H6*H7*12</f>
        <v>484.530303030303</v>
      </c>
      <c r="I8" s="2007">
        <f t="shared" si="5"/>
        <v>543.27053030303023</v>
      </c>
      <c r="J8" s="3262">
        <f t="shared" si="5"/>
        <v>629.52385151515148</v>
      </c>
      <c r="K8" s="2007">
        <f t="shared" si="5"/>
        <v>745.32711653784247</v>
      </c>
      <c r="L8" s="2007">
        <f t="shared" ref="L8:R8" si="6">L6*L7*12</f>
        <v>1020.6960944796929</v>
      </c>
      <c r="M8" s="2007">
        <f t="shared" si="6"/>
        <v>1203.4892717718869</v>
      </c>
      <c r="N8" s="2007">
        <f t="shared" si="6"/>
        <v>1267.6046582840149</v>
      </c>
      <c r="O8" s="2007">
        <f t="shared" si="6"/>
        <v>1325.0600009746254</v>
      </c>
      <c r="P8" s="2007">
        <f t="shared" si="6"/>
        <v>1373.899289745601</v>
      </c>
      <c r="Q8" s="2007">
        <f t="shared" si="6"/>
        <v>1418.4565399410058</v>
      </c>
      <c r="R8" s="2007">
        <f t="shared" si="6"/>
        <v>1466.9131349198362</v>
      </c>
      <c r="S8" s="2007">
        <f>S6*S7*12</f>
        <v>1517.3794807920024</v>
      </c>
      <c r="T8" s="2007">
        <f>T6*T7*12</f>
        <v>1562.230002737673</v>
      </c>
      <c r="X8" s="2578">
        <f>Scenarios!BW85</f>
        <v>135.75757575757575</v>
      </c>
      <c r="Y8" s="2578">
        <f>Scenarios!BX85</f>
        <v>134.23295454545453</v>
      </c>
      <c r="Z8" s="2578">
        <f>Scenarios!BY85</f>
        <v>134.4</v>
      </c>
      <c r="AA8" s="2578">
        <f>Scenarios!BZ85</f>
        <v>138.88</v>
      </c>
      <c r="AB8" s="1741">
        <f>I8-SUM(X8:AA8)</f>
        <v>0</v>
      </c>
      <c r="AC8" s="2578">
        <f>Scenarios!CB85</f>
        <v>155.44242424242424</v>
      </c>
      <c r="AD8" s="2578">
        <f>Scenarios!CC85</f>
        <v>155.71022727272725</v>
      </c>
      <c r="AE8" s="2578">
        <f>Scenarios!CD85</f>
        <v>156.57600000000002</v>
      </c>
      <c r="AF8" s="2578">
        <f>Scenarios!CE85</f>
        <v>161.79519999999999</v>
      </c>
      <c r="AG8" s="2835">
        <f>J8-SUM(AC8:AF8)</f>
        <v>0</v>
      </c>
    </row>
    <row r="9" spans="1:33" s="1577" customFormat="1">
      <c r="A9" s="2149" t="s">
        <v>1522</v>
      </c>
      <c r="B9" s="1470"/>
      <c r="C9" s="1364">
        <f t="shared" ref="C9:I9" si="7">C8/B8-1</f>
        <v>0.81800000000000028</v>
      </c>
      <c r="D9" s="1364">
        <f t="shared" si="7"/>
        <v>0.36204096600136193</v>
      </c>
      <c r="E9" s="1364">
        <f t="shared" si="7"/>
        <v>0.38663461538461541</v>
      </c>
      <c r="F9" s="1364">
        <f t="shared" si="7"/>
        <v>0.24415643852714797</v>
      </c>
      <c r="G9" s="1364">
        <f t="shared" si="7"/>
        <v>0.17137321211802936</v>
      </c>
      <c r="H9" s="1364">
        <f t="shared" si="7"/>
        <v>0.1527238836918654</v>
      </c>
      <c r="I9" s="1364">
        <f t="shared" si="7"/>
        <v>0.12123127677538381</v>
      </c>
      <c r="J9" s="2827">
        <f t="shared" ref="J9:T9" si="8">J8/I8-1</f>
        <v>0.15876679554845374</v>
      </c>
      <c r="K9" s="1364">
        <f>K8/J8-1</f>
        <v>0.18395373700928608</v>
      </c>
      <c r="L9" s="1364">
        <f>L8/K8-1</f>
        <v>0.36946056547758666</v>
      </c>
      <c r="M9" s="1364">
        <f>M8/L8-1</f>
        <v>0.17908678036568193</v>
      </c>
      <c r="N9" s="1364">
        <f t="shared" si="8"/>
        <v>5.327458085083836E-2</v>
      </c>
      <c r="O9" s="1364">
        <f t="shared" si="8"/>
        <v>4.5325916337660921E-2</v>
      </c>
      <c r="P9" s="1364">
        <f t="shared" si="8"/>
        <v>3.6858171505480986E-2</v>
      </c>
      <c r="Q9" s="1364">
        <f t="shared" si="8"/>
        <v>3.2431234609383353E-2</v>
      </c>
      <c r="R9" s="1364">
        <f t="shared" si="8"/>
        <v>3.4161494282261007E-2</v>
      </c>
      <c r="S9" s="1364">
        <f t="shared" si="8"/>
        <v>3.4403090865311459E-2</v>
      </c>
      <c r="T9" s="1364">
        <f t="shared" si="8"/>
        <v>2.9557880881755816E-2</v>
      </c>
      <c r="X9" s="1364">
        <f>X8/Scenarios!BR85-1</f>
        <v>0.12000000000000011</v>
      </c>
      <c r="Y9" s="1364">
        <f>Y8/Scenarios!BS85-1</f>
        <v>0.125</v>
      </c>
      <c r="Z9" s="1364">
        <f>Z8/Scenarios!BT85-1</f>
        <v>0.12000000000000011</v>
      </c>
      <c r="AA9" s="1364">
        <f>AA8/Scenarios!BU85-1</f>
        <v>0.12000000000000011</v>
      </c>
      <c r="AC9" s="1364">
        <f>AC8/Scenarios!BW85-1</f>
        <v>0.14500000000000002</v>
      </c>
      <c r="AD9" s="1364">
        <f>AD8/Scenarios!BX85-1</f>
        <v>0.15999999999999992</v>
      </c>
      <c r="AE9" s="1364">
        <f>AE8/Scenarios!BY85-1</f>
        <v>0.16500000000000004</v>
      </c>
      <c r="AF9" s="1364">
        <f>AF8/Scenarios!BZ85-1</f>
        <v>0.16500000000000004</v>
      </c>
      <c r="AG9" s="2807"/>
    </row>
    <row r="10" spans="1:33" s="1577" customFormat="1">
      <c r="A10" s="1470"/>
      <c r="B10" s="2045">
        <f>B8*1.044</f>
        <v>87.695999999999998</v>
      </c>
      <c r="J10" s="2807"/>
      <c r="AG10" s="2807"/>
    </row>
    <row r="11" spans="1:33" s="1577" customFormat="1">
      <c r="A11" s="1470" t="s">
        <v>1309</v>
      </c>
      <c r="B11" s="2010">
        <f t="shared" ref="B11:S11" si="9">B79</f>
        <v>97.165806379406575</v>
      </c>
      <c r="C11" s="2010">
        <f t="shared" si="9"/>
        <v>97.3999957941585</v>
      </c>
      <c r="D11" s="2010">
        <f t="shared" si="9"/>
        <v>97.736457427763696</v>
      </c>
      <c r="E11" s="2010">
        <f t="shared" si="9"/>
        <v>97.60156757801812</v>
      </c>
      <c r="F11" s="2010">
        <f t="shared" si="9"/>
        <v>97.68779673377162</v>
      </c>
      <c r="G11" s="2010">
        <f t="shared" si="9"/>
        <v>96.749860838040817</v>
      </c>
      <c r="H11" s="2010">
        <f t="shared" si="9"/>
        <v>95.120577643071485</v>
      </c>
      <c r="I11" s="2010">
        <f t="shared" si="9"/>
        <v>91.401753145386635</v>
      </c>
      <c r="J11" s="3427">
        <f t="shared" si="9"/>
        <v>88.362628019178629</v>
      </c>
      <c r="K11" s="2010">
        <f t="shared" si="9"/>
        <v>85.40184788185141</v>
      </c>
      <c r="L11" s="2010">
        <f t="shared" si="9"/>
        <v>83.538902066507916</v>
      </c>
      <c r="M11" s="2010">
        <f t="shared" si="9"/>
        <v>82.083012560735696</v>
      </c>
      <c r="N11" s="2010">
        <f t="shared" si="9"/>
        <v>80.799953878395314</v>
      </c>
      <c r="O11" s="2010">
        <f t="shared" si="9"/>
        <v>79.68140172450407</v>
      </c>
      <c r="P11" s="2010">
        <f t="shared" si="9"/>
        <v>78.684107138155213</v>
      </c>
      <c r="Q11" s="2010">
        <f t="shared" si="9"/>
        <v>77.737731939504854</v>
      </c>
      <c r="R11" s="2010">
        <f t="shared" si="9"/>
        <v>76.931453612126518</v>
      </c>
      <c r="S11" s="2010">
        <f t="shared" si="9"/>
        <v>76.151323828846898</v>
      </c>
      <c r="T11" s="2010">
        <f t="shared" ref="T11" si="10">T79</f>
        <v>75.386726526507658</v>
      </c>
      <c r="AG11" s="2807"/>
    </row>
    <row r="12" spans="1:33" s="1577" customFormat="1">
      <c r="A12" s="1470" t="s">
        <v>1310</v>
      </c>
      <c r="B12" s="2150">
        <f t="shared" ref="B12:K12" si="11">-B4</f>
        <v>-35</v>
      </c>
      <c r="C12" s="2150">
        <f t="shared" si="11"/>
        <v>-35.35</v>
      </c>
      <c r="D12" s="2150">
        <f t="shared" si="11"/>
        <v>-35.703499999999998</v>
      </c>
      <c r="E12" s="2150">
        <f t="shared" si="11"/>
        <v>-35.703499999999998</v>
      </c>
      <c r="F12" s="2150">
        <f t="shared" si="11"/>
        <v>-35.735043373112163</v>
      </c>
      <c r="G12" s="2150">
        <f>-G4</f>
        <v>-35.391938286951984</v>
      </c>
      <c r="H12" s="2150">
        <f t="shared" si="11"/>
        <v>-34.795932362097467</v>
      </c>
      <c r="I12" s="2150">
        <f>-I4</f>
        <v>-33.435554104371668</v>
      </c>
      <c r="J12" s="2150">
        <f t="shared" si="11"/>
        <v>-32.323815772332772</v>
      </c>
      <c r="K12" s="2150">
        <f t="shared" si="11"/>
        <v>-31.240736716778027</v>
      </c>
      <c r="L12" s="2150">
        <f t="shared" ref="L12:Q12" si="12">-L4</f>
        <v>-30.559254978639462</v>
      </c>
      <c r="M12" s="2150">
        <f t="shared" si="12"/>
        <v>-30.026677969281618</v>
      </c>
      <c r="N12" s="2150">
        <f t="shared" si="12"/>
        <v>-29.557323974241307</v>
      </c>
      <c r="O12" s="2150">
        <f t="shared" si="12"/>
        <v>-29.148147894210286</v>
      </c>
      <c r="P12" s="2150">
        <f t="shared" si="12"/>
        <v>-28.783328884154489</v>
      </c>
      <c r="Q12" s="2150">
        <f t="shared" si="12"/>
        <v>-28.437136627785208</v>
      </c>
      <c r="R12" s="2150">
        <f>-R4</f>
        <v>-28.142193022104472</v>
      </c>
      <c r="S12" s="2150">
        <f>-S4</f>
        <v>-27.856814780663225</v>
      </c>
      <c r="T12" s="2150">
        <f>-T4</f>
        <v>-27.577118455476157</v>
      </c>
    </row>
    <row r="13" spans="1:33" s="1577" customFormat="1">
      <c r="A13" s="1470" t="s">
        <v>466</v>
      </c>
      <c r="B13" s="2017">
        <f t="shared" ref="B13:K13" si="13">B11+B12</f>
        <v>62.165806379406575</v>
      </c>
      <c r="C13" s="2017">
        <f t="shared" si="13"/>
        <v>62.049995794158498</v>
      </c>
      <c r="D13" s="2018">
        <f>D11+D12</f>
        <v>62.032957427763698</v>
      </c>
      <c r="E13" s="2017">
        <f t="shared" si="13"/>
        <v>61.898067578018122</v>
      </c>
      <c r="F13" s="2017">
        <f t="shared" si="13"/>
        <v>61.952753360659457</v>
      </c>
      <c r="G13" s="2017">
        <f t="shared" si="13"/>
        <v>61.357922551088834</v>
      </c>
      <c r="H13" s="2017">
        <f t="shared" si="13"/>
        <v>60.324645280974018</v>
      </c>
      <c r="I13" s="2017">
        <f t="shared" si="13"/>
        <v>57.966199041014967</v>
      </c>
      <c r="J13" s="2017">
        <f t="shared" si="13"/>
        <v>56.038812246845858</v>
      </c>
      <c r="K13" s="2017">
        <f t="shared" si="13"/>
        <v>54.161111165073379</v>
      </c>
      <c r="L13" s="2017">
        <f t="shared" ref="L13:Q13" si="14">L11+L12</f>
        <v>52.979647087868457</v>
      </c>
      <c r="M13" s="2017">
        <f t="shared" si="14"/>
        <v>52.056334591454075</v>
      </c>
      <c r="N13" s="2017">
        <f t="shared" si="14"/>
        <v>51.242629904154008</v>
      </c>
      <c r="O13" s="2017">
        <f t="shared" si="14"/>
        <v>50.533253830293788</v>
      </c>
      <c r="P13" s="2017">
        <f t="shared" si="14"/>
        <v>49.900778254000727</v>
      </c>
      <c r="Q13" s="2017">
        <f t="shared" si="14"/>
        <v>49.300595311719647</v>
      </c>
      <c r="R13" s="2017">
        <f>R11+R12</f>
        <v>48.789260590022046</v>
      </c>
      <c r="S13" s="2017">
        <f>S11+S12</f>
        <v>48.29450904818367</v>
      </c>
      <c r="T13" s="2017">
        <f>T11+T12</f>
        <v>47.809608071031505</v>
      </c>
    </row>
    <row r="14" spans="1:33" s="1577" customFormat="1">
      <c r="A14" s="1470" t="s">
        <v>1306</v>
      </c>
      <c r="B14" s="2020">
        <v>0.1</v>
      </c>
      <c r="C14" s="2020">
        <v>0.25</v>
      </c>
      <c r="D14" s="2020">
        <v>0.39</v>
      </c>
      <c r="E14" s="2020">
        <v>0.45</v>
      </c>
      <c r="F14" s="2020">
        <v>0.6</v>
      </c>
      <c r="G14" s="2020">
        <v>0.75</v>
      </c>
      <c r="H14" s="3038">
        <v>0.95</v>
      </c>
      <c r="I14" s="3038">
        <v>1</v>
      </c>
      <c r="J14" s="2020">
        <v>1</v>
      </c>
      <c r="K14" s="2151">
        <f t="shared" ref="K14:T14" si="15">J14</f>
        <v>1</v>
      </c>
      <c r="L14" s="2151">
        <f t="shared" si="15"/>
        <v>1</v>
      </c>
      <c r="M14" s="2151">
        <f t="shared" si="15"/>
        <v>1</v>
      </c>
      <c r="N14" s="2151">
        <f t="shared" si="15"/>
        <v>1</v>
      </c>
      <c r="O14" s="2151">
        <f t="shared" si="15"/>
        <v>1</v>
      </c>
      <c r="P14" s="2151">
        <f t="shared" si="15"/>
        <v>1</v>
      </c>
      <c r="Q14" s="2151">
        <f t="shared" si="15"/>
        <v>1</v>
      </c>
      <c r="R14" s="2151">
        <f t="shared" si="15"/>
        <v>1</v>
      </c>
      <c r="S14" s="2151">
        <f t="shared" si="15"/>
        <v>1</v>
      </c>
      <c r="T14" s="2151">
        <f t="shared" si="15"/>
        <v>1</v>
      </c>
    </row>
    <row r="15" spans="1:33" s="1577" customFormat="1">
      <c r="A15" s="1470" t="s">
        <v>1307</v>
      </c>
      <c r="B15" s="2017">
        <f t="shared" ref="B15:K15" si="16">B13*B14</f>
        <v>6.2165806379406581</v>
      </c>
      <c r="C15" s="2017">
        <f t="shared" si="16"/>
        <v>15.512498948539625</v>
      </c>
      <c r="D15" s="2017">
        <f t="shared" si="16"/>
        <v>24.192853396827843</v>
      </c>
      <c r="E15" s="2017">
        <f t="shared" si="16"/>
        <v>27.854130410108155</v>
      </c>
      <c r="F15" s="2017">
        <f t="shared" si="16"/>
        <v>37.171652016395676</v>
      </c>
      <c r="G15" s="2017">
        <f t="shared" si="16"/>
        <v>46.018441913316622</v>
      </c>
      <c r="H15" s="2017">
        <f t="shared" si="16"/>
        <v>57.308413016925314</v>
      </c>
      <c r="I15" s="2017">
        <f t="shared" si="16"/>
        <v>57.966199041014967</v>
      </c>
      <c r="J15" s="2017">
        <f t="shared" si="16"/>
        <v>56.038812246845858</v>
      </c>
      <c r="K15" s="2017">
        <f t="shared" si="16"/>
        <v>54.161111165073379</v>
      </c>
      <c r="L15" s="2017">
        <f t="shared" ref="L15:R15" si="17">L13*L14</f>
        <v>52.979647087868457</v>
      </c>
      <c r="M15" s="2017">
        <f t="shared" si="17"/>
        <v>52.056334591454075</v>
      </c>
      <c r="N15" s="2017">
        <f t="shared" si="17"/>
        <v>51.242629904154008</v>
      </c>
      <c r="O15" s="2017">
        <f t="shared" si="17"/>
        <v>50.533253830293788</v>
      </c>
      <c r="P15" s="2017">
        <f t="shared" si="17"/>
        <v>49.900778254000727</v>
      </c>
      <c r="Q15" s="2017">
        <f t="shared" si="17"/>
        <v>49.300595311719647</v>
      </c>
      <c r="R15" s="2017">
        <f t="shared" si="17"/>
        <v>48.789260590022046</v>
      </c>
      <c r="S15" s="2017">
        <f>S13*S14</f>
        <v>48.29450904818367</v>
      </c>
      <c r="T15" s="2017">
        <f>T13*T14</f>
        <v>47.809608071031505</v>
      </c>
    </row>
    <row r="16" spans="1:33" s="1577" customFormat="1">
      <c r="A16" s="1470"/>
      <c r="B16" s="2017"/>
      <c r="C16" s="2017"/>
      <c r="D16" s="2017"/>
      <c r="E16" s="2017"/>
      <c r="F16" s="2017"/>
      <c r="G16" s="2017"/>
      <c r="H16" s="2017"/>
      <c r="I16" s="2017"/>
      <c r="J16" s="2017"/>
      <c r="K16" s="2017"/>
      <c r="L16" s="2017"/>
      <c r="M16" s="2017"/>
      <c r="N16" s="2017"/>
      <c r="O16" s="2017"/>
      <c r="P16" s="2017"/>
      <c r="Q16" s="2017"/>
      <c r="R16" s="2017"/>
      <c r="S16" s="2017"/>
    </row>
    <row r="17" spans="1:33" s="1577" customFormat="1">
      <c r="A17" s="1470" t="s">
        <v>700</v>
      </c>
      <c r="B17" s="2019">
        <f>B7/1.25</f>
        <v>0.4</v>
      </c>
      <c r="C17" s="2019">
        <f>C7/1.2</f>
        <v>0.5</v>
      </c>
      <c r="D17" s="2019">
        <f>D19/D18</f>
        <v>0.51176073272017453</v>
      </c>
      <c r="E17" s="2019">
        <f>E19/E18</f>
        <v>0.61419975235671231</v>
      </c>
      <c r="F17" s="2019">
        <f>F19/F18</f>
        <v>0.76707199671288939</v>
      </c>
      <c r="G17" s="2019">
        <f>G19/G18</f>
        <v>1.0672190665038117</v>
      </c>
      <c r="H17" s="2019">
        <f t="shared" ref="H17:N17" si="18">H19/H18</f>
        <v>1.2848533472489636</v>
      </c>
      <c r="I17" s="2019">
        <f t="shared" si="18"/>
        <v>1.6829800691561969</v>
      </c>
      <c r="J17" s="3424">
        <f t="shared" si="18"/>
        <v>2.1996750655185346</v>
      </c>
      <c r="K17" s="2019">
        <f t="shared" si="18"/>
        <v>2.6176133279670561</v>
      </c>
      <c r="L17" s="2019">
        <f t="shared" si="18"/>
        <v>3.0102553271621142</v>
      </c>
      <c r="M17" s="2019">
        <f t="shared" si="18"/>
        <v>3.3413834131499471</v>
      </c>
      <c r="N17" s="2019">
        <f t="shared" si="18"/>
        <v>3.5752802520704439</v>
      </c>
      <c r="O17" s="2019">
        <f t="shared" ref="O17:T17" si="19">O19/O18</f>
        <v>3.7897970671946704</v>
      </c>
      <c r="P17" s="2019">
        <f t="shared" si="19"/>
        <v>3.9792869205544044</v>
      </c>
      <c r="Q17" s="2019">
        <f t="shared" si="19"/>
        <v>4.1583548319793522</v>
      </c>
      <c r="R17" s="2019">
        <f t="shared" si="19"/>
        <v>4.3454807994184232</v>
      </c>
      <c r="S17" s="2019">
        <f t="shared" si="19"/>
        <v>4.5410274353922517</v>
      </c>
      <c r="T17" s="2019">
        <f t="shared" si="19"/>
        <v>4.7226685328079423</v>
      </c>
      <c r="AG17" s="2807"/>
    </row>
    <row r="18" spans="1:33" s="1577" customFormat="1">
      <c r="A18" s="1470" t="s">
        <v>1313</v>
      </c>
      <c r="B18" s="2020">
        <v>0.4</v>
      </c>
      <c r="C18" s="2020">
        <v>0.48</v>
      </c>
      <c r="D18" s="2020">
        <v>0.49</v>
      </c>
      <c r="E18" s="2020">
        <f>+MIN(D18+1%,65%)</f>
        <v>0.5</v>
      </c>
      <c r="F18" s="2020">
        <f>+MIN(E18+4%,65%)</f>
        <v>0.54</v>
      </c>
      <c r="G18" s="2020">
        <f>+MIN(F18+4%,65%)</f>
        <v>0.58000000000000007</v>
      </c>
      <c r="H18" s="2020">
        <f>+MIN(G18+4%,65%)</f>
        <v>0.62000000000000011</v>
      </c>
      <c r="I18" s="2020">
        <f>+MIN(H18+3%,65%)</f>
        <v>0.65</v>
      </c>
      <c r="J18" s="3038">
        <f t="shared" ref="J18:T18" si="20">+MIN(I18+2%,65%)</f>
        <v>0.65</v>
      </c>
      <c r="K18" s="2020">
        <f t="shared" si="20"/>
        <v>0.65</v>
      </c>
      <c r="L18" s="2020">
        <f t="shared" si="20"/>
        <v>0.65</v>
      </c>
      <c r="M18" s="2020">
        <f t="shared" si="20"/>
        <v>0.65</v>
      </c>
      <c r="N18" s="2020">
        <f t="shared" si="20"/>
        <v>0.65</v>
      </c>
      <c r="O18" s="2020">
        <f t="shared" si="20"/>
        <v>0.65</v>
      </c>
      <c r="P18" s="2020">
        <f t="shared" si="20"/>
        <v>0.65</v>
      </c>
      <c r="Q18" s="2020">
        <f t="shared" si="20"/>
        <v>0.65</v>
      </c>
      <c r="R18" s="2020">
        <f t="shared" si="20"/>
        <v>0.65</v>
      </c>
      <c r="S18" s="2020">
        <f t="shared" si="20"/>
        <v>0.65</v>
      </c>
      <c r="T18" s="2020">
        <f t="shared" si="20"/>
        <v>0.65</v>
      </c>
      <c r="AG18" s="2807"/>
    </row>
    <row r="19" spans="1:33" s="1577" customFormat="1">
      <c r="A19" s="1470" t="s">
        <v>1314</v>
      </c>
      <c r="B19" s="2019">
        <f>B17*B18</f>
        <v>0.16000000000000003</v>
      </c>
      <c r="C19" s="2019">
        <f>C17*C18</f>
        <v>0.24</v>
      </c>
      <c r="D19" s="2021">
        <f>Scenarios!G91</f>
        <v>0.25076275903288553</v>
      </c>
      <c r="E19" s="2021">
        <f>Scenarios!H91</f>
        <v>0.30709987617835616</v>
      </c>
      <c r="F19" s="2021">
        <f>Scenarios!I91</f>
        <v>0.41421887822496029</v>
      </c>
      <c r="G19" s="2021">
        <f>Scenarios!J91</f>
        <v>0.61898705857221092</v>
      </c>
      <c r="H19" s="2021">
        <f>Scenarios!K91</f>
        <v>0.79660907529435754</v>
      </c>
      <c r="I19" s="2021">
        <f>Scenarios!L91</f>
        <v>1.093937044951528</v>
      </c>
      <c r="J19" s="3425">
        <f>Scenarios!M91</f>
        <v>1.4297887925870476</v>
      </c>
      <c r="K19" s="2021">
        <f>Scenarios!N91</f>
        <v>1.7014486631785866</v>
      </c>
      <c r="L19" s="2021">
        <f>Scenarios!O91</f>
        <v>1.9566659626553744</v>
      </c>
      <c r="M19" s="2021">
        <f>Scenarios!P91</f>
        <v>2.1718992185474657</v>
      </c>
      <c r="N19" s="2021">
        <f>Scenarios!Q91</f>
        <v>2.3239321638457886</v>
      </c>
      <c r="O19" s="2021">
        <f>Scenarios!R91</f>
        <v>2.4633680936765359</v>
      </c>
      <c r="P19" s="2021">
        <f>Scenarios!S91</f>
        <v>2.5865364983603629</v>
      </c>
      <c r="Q19" s="2021">
        <f>Scenarios!T91</f>
        <v>2.7029306407865792</v>
      </c>
      <c r="R19" s="2021">
        <f>Scenarios!U91</f>
        <v>2.824562519621975</v>
      </c>
      <c r="S19" s="2021">
        <f>Scenarios!V91</f>
        <v>2.9516678330049637</v>
      </c>
      <c r="T19" s="2021">
        <f>Scenarios!W91</f>
        <v>3.0697345463251624</v>
      </c>
      <c r="AG19" s="2807"/>
    </row>
    <row r="20" spans="1:33" s="1577" customFormat="1">
      <c r="A20" s="1494" t="s">
        <v>1311</v>
      </c>
      <c r="B20" s="2007">
        <f>B15*B19*12</f>
        <v>11.935834824846065</v>
      </c>
      <c r="C20" s="2007">
        <f>C15*C19*12</f>
        <v>44.675996971794113</v>
      </c>
      <c r="D20" s="2007">
        <f t="shared" ref="D20:K20" si="21">D15*D19*12</f>
        <v>72.8</v>
      </c>
      <c r="E20" s="2007">
        <f t="shared" si="21"/>
        <v>102.64799999999998</v>
      </c>
      <c r="F20" s="2007">
        <f t="shared" si="21"/>
        <v>184.7664</v>
      </c>
      <c r="G20" s="3262">
        <f t="shared" si="21"/>
        <v>341.81784000000005</v>
      </c>
      <c r="H20" s="3262">
        <f>H15*H19*12</f>
        <v>547.8288227999999</v>
      </c>
      <c r="I20" s="3262">
        <f t="shared" si="21"/>
        <v>760.93646983200017</v>
      </c>
      <c r="J20" s="3262">
        <f t="shared" si="21"/>
        <v>961.48398840515995</v>
      </c>
      <c r="K20" s="3262">
        <f t="shared" si="21"/>
        <v>1105.8282022569711</v>
      </c>
      <c r="L20" s="3262">
        <f t="shared" ref="L20:Q20" si="22">L15*L19*12</f>
        <v>1243.9616660439137</v>
      </c>
      <c r="M20" s="3262">
        <f t="shared" si="22"/>
        <v>1356.733349035494</v>
      </c>
      <c r="N20" s="3262">
        <f t="shared" si="22"/>
        <v>1429.0127495317145</v>
      </c>
      <c r="O20" s="3262">
        <f t="shared" si="22"/>
        <v>1493.7840618624398</v>
      </c>
      <c r="P20" s="3262">
        <f t="shared" si="22"/>
        <v>1548.8422110067197</v>
      </c>
      <c r="Q20" s="3262">
        <f t="shared" si="22"/>
        <v>1599.0730761247944</v>
      </c>
      <c r="R20" s="3262">
        <f>R15*R19*12</f>
        <v>1653.6998018717495</v>
      </c>
      <c r="S20" s="3262">
        <f>S15*S19*12</f>
        <v>1710.5921864194909</v>
      </c>
      <c r="T20" s="3262">
        <f>T15*T19*12</f>
        <v>1761.1536665029407</v>
      </c>
      <c r="X20" s="2578">
        <f>Scenarios!BW91</f>
        <v>195.36072771599999</v>
      </c>
      <c r="Y20" s="2578">
        <f>Scenarios!BX91</f>
        <v>193.3242822</v>
      </c>
      <c r="Z20" s="2578">
        <f>Scenarios!BY91</f>
        <v>188.20945714499999</v>
      </c>
      <c r="AA20" s="2578">
        <f>Scenarios!BZ91</f>
        <v>184.04200277100006</v>
      </c>
      <c r="AB20" s="1741">
        <f>I20-SUM(X20:AA20)</f>
        <v>0</v>
      </c>
      <c r="AC20" s="2578">
        <f>Scenarios!CB91</f>
        <v>245.17771328357995</v>
      </c>
      <c r="AD20" s="2578">
        <f>Scenarios!CC91</f>
        <v>243.588595572</v>
      </c>
      <c r="AE20" s="2578">
        <f>Scenarios!CD91</f>
        <v>237.1439160027</v>
      </c>
      <c r="AF20" s="2578">
        <f>Scenarios!CE91</f>
        <v>235.57376354688009</v>
      </c>
      <c r="AG20" s="2835">
        <f>J20-SUM(AC20:AF20)</f>
        <v>0</v>
      </c>
    </row>
    <row r="21" spans="1:33" s="1577" customFormat="1">
      <c r="A21" s="2149" t="s">
        <v>1522</v>
      </c>
      <c r="B21" s="1649"/>
      <c r="C21" s="1364">
        <f t="shared" ref="C21:T21" si="23">C20/B20-1</f>
        <v>2.743014010113054</v>
      </c>
      <c r="D21" s="1364">
        <f t="shared" si="23"/>
        <v>0.62951036203986188</v>
      </c>
      <c r="E21" s="1364">
        <f t="shared" si="23"/>
        <v>0.4099999999999997</v>
      </c>
      <c r="F21" s="1364">
        <f t="shared" si="23"/>
        <v>0.80000000000000027</v>
      </c>
      <c r="G21" s="2827">
        <f t="shared" si="23"/>
        <v>0.85000000000000031</v>
      </c>
      <c r="H21" s="2827">
        <f t="shared" si="23"/>
        <v>0.60269230769230719</v>
      </c>
      <c r="I21" s="2827">
        <f t="shared" si="23"/>
        <v>0.38900407967362671</v>
      </c>
      <c r="J21" s="2827">
        <f t="shared" si="23"/>
        <v>0.26355356396235918</v>
      </c>
      <c r="K21" s="2827">
        <f t="shared" si="23"/>
        <v>0.15012648738044909</v>
      </c>
      <c r="L21" s="2827">
        <f t="shared" si="23"/>
        <v>0.12491403592801786</v>
      </c>
      <c r="M21" s="2827">
        <f t="shared" si="23"/>
        <v>9.0655271838255613E-2</v>
      </c>
      <c r="N21" s="2827">
        <f t="shared" si="23"/>
        <v>5.3274580850838582E-2</v>
      </c>
      <c r="O21" s="2827">
        <f t="shared" si="23"/>
        <v>4.5325916337660921E-2</v>
      </c>
      <c r="P21" s="2827">
        <f t="shared" si="23"/>
        <v>3.6858171505480986E-2</v>
      </c>
      <c r="Q21" s="2827">
        <f t="shared" si="23"/>
        <v>3.2431234609383131E-2</v>
      </c>
      <c r="R21" s="2827">
        <f t="shared" si="23"/>
        <v>3.4161494282261229E-2</v>
      </c>
      <c r="S21" s="2827">
        <f t="shared" si="23"/>
        <v>3.4403090865311459E-2</v>
      </c>
      <c r="T21" s="2827">
        <f t="shared" si="23"/>
        <v>2.9557880881756038E-2</v>
      </c>
      <c r="X21" s="1364">
        <f>X20/Scenarios!BR91-1</f>
        <v>0.42199999999999993</v>
      </c>
      <c r="Y21" s="1364">
        <f>Y20/Scenarios!BS91-1</f>
        <v>0.3600000000000001</v>
      </c>
      <c r="Z21" s="1364">
        <f>Z20/Scenarios!BT91-1</f>
        <v>0.40500000000000003</v>
      </c>
      <c r="AA21" s="1364">
        <f>AA20/Scenarios!BU91-1</f>
        <v>0.37000000000000011</v>
      </c>
      <c r="AC21" s="1364">
        <f>AC20/Scenarios!BW91-1</f>
        <v>0.25499999999999989</v>
      </c>
      <c r="AD21" s="1364">
        <f>AD20/Scenarios!BX91-1</f>
        <v>0.26</v>
      </c>
      <c r="AE21" s="1364">
        <f>AE20/Scenarios!BY91-1</f>
        <v>0.26</v>
      </c>
      <c r="AF21" s="1364">
        <f>AF20/Scenarios!BZ91-1</f>
        <v>0.28000000000000003</v>
      </c>
      <c r="AG21" s="2807"/>
    </row>
    <row r="22" spans="1:33" s="1577" customFormat="1">
      <c r="A22" s="1470"/>
      <c r="G22" s="2807"/>
      <c r="H22" s="2807"/>
      <c r="I22" s="2807"/>
      <c r="J22" s="2807"/>
      <c r="K22" s="2807"/>
      <c r="L22" s="2807"/>
      <c r="M22" s="2807"/>
      <c r="N22" s="2807"/>
      <c r="O22" s="2807"/>
      <c r="P22" s="2807"/>
      <c r="Q22" s="2807"/>
      <c r="R22" s="2807"/>
      <c r="S22" s="2807"/>
      <c r="T22" s="2807"/>
      <c r="AG22" s="2807"/>
    </row>
    <row r="23" spans="1:33" s="1577" customFormat="1">
      <c r="A23" s="1494" t="s">
        <v>1312</v>
      </c>
      <c r="B23" s="2007">
        <f t="shared" ref="B23:I23" si="24">B8+B20</f>
        <v>95.935834824846069</v>
      </c>
      <c r="C23" s="2007">
        <f>C8+C20</f>
        <v>197.38799697179414</v>
      </c>
      <c r="D23" s="2007">
        <f t="shared" si="24"/>
        <v>280.8</v>
      </c>
      <c r="E23" s="2007">
        <f t="shared" si="24"/>
        <v>391.06799999999998</v>
      </c>
      <c r="F23" s="2007">
        <f>F8+F20</f>
        <v>543.60599999999999</v>
      </c>
      <c r="G23" s="3262">
        <f t="shared" si="24"/>
        <v>762.15293488714883</v>
      </c>
      <c r="H23" s="3262">
        <f>H8+H20</f>
        <v>1032.3591258303029</v>
      </c>
      <c r="I23" s="3262">
        <f t="shared" si="24"/>
        <v>1304.2070001350303</v>
      </c>
      <c r="J23" s="3262">
        <f>J8+J20</f>
        <v>1591.0078399203114</v>
      </c>
      <c r="K23" s="3262">
        <f>K8+K20</f>
        <v>1851.1553187948134</v>
      </c>
      <c r="L23" s="3262">
        <f t="shared" ref="L23:Q23" si="25">L8+L20</f>
        <v>2264.6577605236066</v>
      </c>
      <c r="M23" s="3262">
        <f t="shared" si="25"/>
        <v>2560.2226208073807</v>
      </c>
      <c r="N23" s="3262">
        <f t="shared" si="25"/>
        <v>2696.6174078157292</v>
      </c>
      <c r="O23" s="3262">
        <f t="shared" si="25"/>
        <v>2818.8440628370654</v>
      </c>
      <c r="P23" s="3262">
        <f t="shared" si="25"/>
        <v>2922.7415007523205</v>
      </c>
      <c r="Q23" s="3262">
        <f t="shared" si="25"/>
        <v>3017.5296160657999</v>
      </c>
      <c r="R23" s="3262">
        <f>R8+R20</f>
        <v>3120.6129367915855</v>
      </c>
      <c r="S23" s="3262">
        <f>S8+S20</f>
        <v>3227.9716672114932</v>
      </c>
      <c r="T23" s="3262">
        <f>T8+T20</f>
        <v>3323.3836692406139</v>
      </c>
      <c r="X23" s="2007">
        <f>X8+X20</f>
        <v>331.11830347357574</v>
      </c>
      <c r="Y23" s="2007">
        <f>Y8+Y20</f>
        <v>327.55723674545453</v>
      </c>
      <c r="Z23" s="2007">
        <f>Z8+Z20</f>
        <v>322.60945714499996</v>
      </c>
      <c r="AA23" s="2007">
        <f>AA8+AA20</f>
        <v>322.92200277100005</v>
      </c>
      <c r="AB23" s="1741">
        <f>I23-SUM(X23:AA23)</f>
        <v>0</v>
      </c>
      <c r="AC23" s="2007">
        <f>AC8+AC20</f>
        <v>400.62013752600421</v>
      </c>
      <c r="AD23" s="2007">
        <f>AD8+AD20</f>
        <v>399.29882284472728</v>
      </c>
      <c r="AE23" s="2007">
        <f>AE8+AE20</f>
        <v>393.71991600270002</v>
      </c>
      <c r="AF23" s="2007">
        <f>AF8+AF20</f>
        <v>397.36896354688008</v>
      </c>
      <c r="AG23" s="2835">
        <f>J23-SUM(AC23:AF23)</f>
        <v>0</v>
      </c>
    </row>
    <row r="24" spans="1:33" s="1577" customFormat="1">
      <c r="A24" s="2149" t="s">
        <v>1522</v>
      </c>
      <c r="B24" s="1649"/>
      <c r="C24" s="1364">
        <f t="shared" ref="C24:I24" si="26">+C23/B23-1</f>
        <v>1.0575001753221138</v>
      </c>
      <c r="D24" s="1364">
        <f t="shared" si="26"/>
        <v>0.42257890199942127</v>
      </c>
      <c r="E24" s="1364">
        <f t="shared" si="26"/>
        <v>0.39269230769230767</v>
      </c>
      <c r="F24" s="1364">
        <f t="shared" si="26"/>
        <v>0.3900549265089448</v>
      </c>
      <c r="G24" s="1364">
        <f t="shared" si="26"/>
        <v>0.40203186662242296</v>
      </c>
      <c r="H24" s="1364">
        <f t="shared" si="26"/>
        <v>0.35453014555820506</v>
      </c>
      <c r="I24" s="2827">
        <f t="shared" si="26"/>
        <v>0.26332684770533343</v>
      </c>
      <c r="J24" s="2827">
        <f>+J23/I23-1</f>
        <v>0.21990438615617558</v>
      </c>
      <c r="K24" s="2827">
        <f t="shared" ref="K24:T24" si="27">+K23/J23-1</f>
        <v>0.16351112316802419</v>
      </c>
      <c r="L24" s="1364">
        <f t="shared" si="27"/>
        <v>0.22337533621868211</v>
      </c>
      <c r="M24" s="1364">
        <f t="shared" si="27"/>
        <v>0.13051193228218172</v>
      </c>
      <c r="N24" s="1364">
        <f t="shared" si="27"/>
        <v>5.3274580850838582E-2</v>
      </c>
      <c r="O24" s="1364">
        <f t="shared" si="27"/>
        <v>4.5325916337661143E-2</v>
      </c>
      <c r="P24" s="1364">
        <f t="shared" si="27"/>
        <v>3.6858171505480986E-2</v>
      </c>
      <c r="Q24" s="1364">
        <f t="shared" si="27"/>
        <v>3.2431234609383353E-2</v>
      </c>
      <c r="R24" s="1364">
        <f t="shared" si="27"/>
        <v>3.4161494282261229E-2</v>
      </c>
      <c r="S24" s="1364">
        <f t="shared" si="27"/>
        <v>3.4403090865311681E-2</v>
      </c>
      <c r="T24" s="1364">
        <f t="shared" si="27"/>
        <v>2.9557880881756038E-2</v>
      </c>
      <c r="X24" s="1364">
        <f>X23/(Scenarios!BR85+Scenarios!BR91)-1</f>
        <v>0.2804433796979926</v>
      </c>
      <c r="Y24" s="1364">
        <f>Y23/(Scenarios!BS85+Scenarios!BS91)-1</f>
        <v>0.25276037229436921</v>
      </c>
      <c r="Z24" s="1364">
        <f>Z23/(Scenarios!BT85+Scenarios!BT91)-1</f>
        <v>0.27033148424798314</v>
      </c>
      <c r="AA24" s="1364">
        <f>AA23/(Scenarios!BU85+Scenarios!BU91)-1</f>
        <v>0.25000180924756044</v>
      </c>
      <c r="AC24" s="1364">
        <f>AC23/(Scenarios!BW85+Scenarios!BW91)-1</f>
        <v>0.2099003085100517</v>
      </c>
      <c r="AD24" s="1364">
        <f>AD23/(Scenarios!BX85+Scenarios!BX91)-1</f>
        <v>0.21902000032752533</v>
      </c>
      <c r="AE24" s="1364">
        <f>AE23/(Scenarios!BY85+Scenarios!BY91)-1</f>
        <v>0.22042273492850128</v>
      </c>
      <c r="AF24" s="1364">
        <f>AF23/(Scenarios!BZ85+Scenarios!BZ91)-1</f>
        <v>0.23054161728544109</v>
      </c>
      <c r="AG24" s="2807"/>
    </row>
    <row r="25" spans="1:33" s="1577" customFormat="1">
      <c r="A25" s="1470"/>
      <c r="B25" s="1364"/>
      <c r="C25" s="1364"/>
      <c r="D25" s="1364"/>
      <c r="E25" s="1364"/>
      <c r="AG25" s="2807"/>
    </row>
    <row r="26" spans="1:33">
      <c r="A26" s="2450" t="s">
        <v>1746</v>
      </c>
      <c r="B26" s="2561"/>
      <c r="C26" s="2561"/>
      <c r="D26" s="2561"/>
      <c r="E26" s="2561"/>
      <c r="F26" s="2562"/>
      <c r="G26" s="2562"/>
      <c r="H26" s="3067" t="s">
        <v>1766</v>
      </c>
      <c r="I26" s="2562" t="str">
        <f t="shared" ref="I26:S26" si="28">I3</f>
        <v>2017E</v>
      </c>
      <c r="J26" s="2562" t="str">
        <f t="shared" si="28"/>
        <v>2018E</v>
      </c>
      <c r="K26" s="2562" t="str">
        <f t="shared" si="28"/>
        <v>2019E</v>
      </c>
      <c r="L26" s="2562" t="str">
        <f t="shared" si="28"/>
        <v>2020E</v>
      </c>
      <c r="M26" s="2562" t="str">
        <f t="shared" si="28"/>
        <v>2021E</v>
      </c>
      <c r="N26" s="2562" t="str">
        <f t="shared" si="28"/>
        <v>2022E</v>
      </c>
      <c r="O26" s="2562" t="str">
        <f t="shared" si="28"/>
        <v>2023E</v>
      </c>
      <c r="P26" s="2562" t="str">
        <f t="shared" si="28"/>
        <v>2024E</v>
      </c>
      <c r="Q26" s="2562" t="str">
        <f t="shared" si="28"/>
        <v>2025E</v>
      </c>
      <c r="R26" s="2562" t="str">
        <f t="shared" si="28"/>
        <v>2026E</v>
      </c>
      <c r="S26" s="2562" t="str">
        <f t="shared" si="28"/>
        <v>2027E</v>
      </c>
      <c r="T26" s="2562" t="str">
        <f t="shared" ref="T26" si="29">T3</f>
        <v>2028E</v>
      </c>
      <c r="X26" s="2562"/>
      <c r="Y26" s="2562"/>
      <c r="Z26" s="2562"/>
      <c r="AA26" s="2562"/>
      <c r="AC26" s="2562"/>
      <c r="AD26" s="2562"/>
      <c r="AE26" s="2562"/>
      <c r="AF26" s="2562"/>
      <c r="AG26" s="2807"/>
    </row>
    <row r="27" spans="1:33">
      <c r="A27" s="938" t="s">
        <v>1732</v>
      </c>
      <c r="B27" s="1098"/>
      <c r="C27" s="1098"/>
      <c r="D27" s="1098"/>
      <c r="E27" s="1098"/>
      <c r="F27" s="1098"/>
      <c r="G27" s="1098"/>
      <c r="H27" s="2185">
        <f t="shared" ref="H27:S27" si="30">H78</f>
        <v>1.5573680568218518</v>
      </c>
      <c r="I27" s="2185">
        <f t="shared" si="30"/>
        <v>4.2530479553532636</v>
      </c>
      <c r="J27" s="2185">
        <f t="shared" si="30"/>
        <v>7.654165880043716</v>
      </c>
      <c r="K27" s="2185">
        <f t="shared" si="30"/>
        <v>10.809463041771444</v>
      </c>
      <c r="L27" s="2185">
        <f t="shared" si="30"/>
        <v>13.544826092831066</v>
      </c>
      <c r="M27" s="2185">
        <f t="shared" si="30"/>
        <v>15.728408120175407</v>
      </c>
      <c r="N27" s="2185">
        <f t="shared" si="30"/>
        <v>17.460104738856312</v>
      </c>
      <c r="O27" s="2185">
        <f t="shared" si="30"/>
        <v>18.883004872566708</v>
      </c>
      <c r="P27" s="2185">
        <f t="shared" si="30"/>
        <v>20.105072428562888</v>
      </c>
      <c r="Q27" s="2185">
        <f t="shared" si="30"/>
        <v>21.193425889087688</v>
      </c>
      <c r="R27" s="2185">
        <f t="shared" si="30"/>
        <v>22.217620496957252</v>
      </c>
      <c r="S27" s="2185">
        <f t="shared" si="30"/>
        <v>23.183405372098871</v>
      </c>
      <c r="T27" s="2185">
        <f t="shared" ref="T27" si="31">T78</f>
        <v>24.212992961644982</v>
      </c>
      <c r="X27" s="2185"/>
      <c r="Y27" s="2185"/>
      <c r="Z27" s="2185"/>
      <c r="AA27" s="2185"/>
    </row>
    <row r="28" spans="1:33">
      <c r="A28" s="2535" t="s">
        <v>1731</v>
      </c>
      <c r="B28" s="1174"/>
      <c r="C28" s="1174"/>
      <c r="D28" s="1174"/>
      <c r="E28" s="1174"/>
      <c r="F28" s="1174"/>
      <c r="G28" s="1174"/>
      <c r="H28" s="2573">
        <f>Scenarios!K97</f>
        <v>0.32</v>
      </c>
      <c r="I28" s="2573">
        <f>Scenarios!L97</f>
        <v>2.6720000000000002</v>
      </c>
      <c r="J28" s="2573">
        <f>Scenarios!M97</f>
        <v>5.5924999999999994</v>
      </c>
      <c r="K28" s="2573">
        <f>Scenarios!N97</f>
        <v>8.3777249999999999</v>
      </c>
      <c r="L28" s="2573">
        <f>Scenarios!O97</f>
        <v>10.811173125000002</v>
      </c>
      <c r="M28" s="2573">
        <f>Scenarios!P97</f>
        <v>12.74972569921875</v>
      </c>
      <c r="N28" s="2573">
        <f>Scenarios!Q97</f>
        <v>14.281282613415527</v>
      </c>
      <c r="O28" s="2573">
        <f>Scenarios!R97</f>
        <v>15.538173970985468</v>
      </c>
      <c r="P28" s="2573">
        <f>Scenarios!S97</f>
        <v>16.620363930214797</v>
      </c>
      <c r="Q28" s="2573">
        <f>Scenarios!T97</f>
        <v>17.589012916838559</v>
      </c>
      <c r="R28" s="2573">
        <f>Scenarios!U97</f>
        <v>18.50922945413113</v>
      </c>
      <c r="S28" s="2573">
        <f>Scenarios!V97</f>
        <v>19.383435164559081</v>
      </c>
      <c r="T28" s="2573">
        <f>Scenarios!W97</f>
        <v>20.31668807568672</v>
      </c>
      <c r="X28" s="2573">
        <f>Scenarios!BW97</f>
        <v>0.2</v>
      </c>
      <c r="Y28" s="2573">
        <f>Scenarios!BX97</f>
        <v>0.8</v>
      </c>
      <c r="Z28" s="2573">
        <f>Scenarios!BY97</f>
        <v>1.5</v>
      </c>
      <c r="AA28" s="2573">
        <f>Scenarios!BZ97</f>
        <v>2.6720000000000002</v>
      </c>
      <c r="AC28" s="2573">
        <f>Scenarios!CB97</f>
        <v>3.3</v>
      </c>
      <c r="AD28" s="2573">
        <f>Scenarios!CC97</f>
        <v>4</v>
      </c>
      <c r="AE28" s="2573">
        <f>Scenarios!CD97</f>
        <v>4.7</v>
      </c>
      <c r="AF28" s="2573">
        <f>Scenarios!CE97</f>
        <v>5.5924999999999994</v>
      </c>
    </row>
    <row r="29" spans="1:33">
      <c r="A29" s="2149" t="s">
        <v>1730</v>
      </c>
      <c r="B29" s="1174"/>
      <c r="C29" s="1174"/>
      <c r="D29" s="1174"/>
      <c r="E29" s="1174"/>
      <c r="F29" s="1174"/>
      <c r="G29" s="1174"/>
      <c r="H29" s="2297">
        <f t="shared" ref="H29:S29" si="32">H28/H78</f>
        <v>0.20547487063079334</v>
      </c>
      <c r="I29" s="2297">
        <f t="shared" si="32"/>
        <v>0.62825531902051179</v>
      </c>
      <c r="J29" s="2297">
        <f t="shared" si="32"/>
        <v>0.73064787040754053</v>
      </c>
      <c r="K29" s="2297">
        <f t="shared" si="32"/>
        <v>0.77503618520416961</v>
      </c>
      <c r="L29" s="2297">
        <f t="shared" si="32"/>
        <v>0.7981773299195094</v>
      </c>
      <c r="M29" s="2297">
        <f t="shared" si="32"/>
        <v>0.81061767992046241</v>
      </c>
      <c r="N29" s="2297">
        <f t="shared" si="32"/>
        <v>0.81793796927423201</v>
      </c>
      <c r="O29" s="2297">
        <f t="shared" si="32"/>
        <v>0.82286553839528886</v>
      </c>
      <c r="P29" s="2297">
        <f t="shared" si="32"/>
        <v>0.82667515818558146</v>
      </c>
      <c r="Q29" s="2297">
        <f t="shared" si="32"/>
        <v>0.82992778085467489</v>
      </c>
      <c r="R29" s="2297">
        <f t="shared" si="32"/>
        <v>0.83308783929701236</v>
      </c>
      <c r="S29" s="2297">
        <f t="shared" si="32"/>
        <v>0.8360909389043838</v>
      </c>
      <c r="T29" s="2297">
        <f t="shared" ref="T29" si="33">T28/T78</f>
        <v>0.83908206258803808</v>
      </c>
      <c r="V29" s="769" t="s">
        <v>337</v>
      </c>
      <c r="X29" s="2297"/>
      <c r="Y29" s="2297"/>
      <c r="Z29" s="2297"/>
      <c r="AA29" s="2297"/>
    </row>
    <row r="30" spans="1:33">
      <c r="A30" s="2149" t="s">
        <v>1734</v>
      </c>
      <c r="B30" s="1174"/>
      <c r="C30" s="1174"/>
      <c r="D30" s="1174"/>
      <c r="E30" s="1174"/>
      <c r="F30" s="2579"/>
      <c r="G30" s="2579"/>
      <c r="H30" s="2579">
        <f>H28-G28</f>
        <v>0.32</v>
      </c>
      <c r="I30" s="1637">
        <f>SUM(X30:AA30)</f>
        <v>2.3520000000000003</v>
      </c>
      <c r="J30" s="1637">
        <f>SUM(AC30:AF30)</f>
        <v>2.9204999999999992</v>
      </c>
      <c r="K30" s="2579">
        <f t="shared" ref="K30:T30" si="34">K28-J28</f>
        <v>2.7852250000000005</v>
      </c>
      <c r="L30" s="2579">
        <f t="shared" si="34"/>
        <v>2.4334481250000017</v>
      </c>
      <c r="M30" s="2579">
        <f t="shared" si="34"/>
        <v>1.9385525742187486</v>
      </c>
      <c r="N30" s="2579">
        <f t="shared" si="34"/>
        <v>1.5315569141967771</v>
      </c>
      <c r="O30" s="2579">
        <f t="shared" si="34"/>
        <v>1.2568913575699412</v>
      </c>
      <c r="P30" s="2579">
        <f t="shared" si="34"/>
        <v>1.0821899592293285</v>
      </c>
      <c r="Q30" s="2579">
        <f t="shared" si="34"/>
        <v>0.9686489866237622</v>
      </c>
      <c r="R30" s="2579">
        <f t="shared" si="34"/>
        <v>0.92021653729257125</v>
      </c>
      <c r="S30" s="2579">
        <f t="shared" si="34"/>
        <v>0.87420571042795103</v>
      </c>
      <c r="T30" s="2579">
        <f t="shared" si="34"/>
        <v>0.93325291112763864</v>
      </c>
      <c r="X30" s="2018">
        <f>X28-H28</f>
        <v>-0.12</v>
      </c>
      <c r="Y30" s="2018">
        <f>Y28-X28</f>
        <v>0.60000000000000009</v>
      </c>
      <c r="Z30" s="2018">
        <f>Z28-Y28</f>
        <v>0.7</v>
      </c>
      <c r="AA30" s="2018">
        <f>AA28-Z28</f>
        <v>1.1720000000000002</v>
      </c>
      <c r="AC30" s="2018">
        <f>AC28-AA28</f>
        <v>0.62799999999999967</v>
      </c>
      <c r="AD30" s="2018">
        <f>AD28-AC28</f>
        <v>0.70000000000000018</v>
      </c>
      <c r="AE30" s="2018">
        <f>AE28-AD28</f>
        <v>0.70000000000000018</v>
      </c>
      <c r="AF30" s="2018">
        <f>AF28-AE28</f>
        <v>0.89249999999999918</v>
      </c>
    </row>
    <row r="31" spans="1:33">
      <c r="A31" s="2149" t="s">
        <v>1733</v>
      </c>
      <c r="H31" s="2185">
        <f>AVERAGE(G28:H28)*(8/12)</f>
        <v>0.21333333333333332</v>
      </c>
      <c r="I31" s="2211">
        <f>AVERAGE(X31:AA31)</f>
        <v>0.99900000000000011</v>
      </c>
      <c r="J31" s="2211">
        <f>AVERAGE(AC31:AF31)</f>
        <v>4.0330624999999998</v>
      </c>
      <c r="K31" s="2185">
        <f t="shared" ref="K31:T31" si="35">AVERAGE(J28:K28)</f>
        <v>6.9851124999999996</v>
      </c>
      <c r="L31" s="2185">
        <f t="shared" si="35"/>
        <v>9.5944490625000007</v>
      </c>
      <c r="M31" s="2185">
        <f t="shared" si="35"/>
        <v>11.780449412109377</v>
      </c>
      <c r="N31" s="2185">
        <f t="shared" si="35"/>
        <v>13.515504156317139</v>
      </c>
      <c r="O31" s="2185">
        <f t="shared" si="35"/>
        <v>14.909728292200498</v>
      </c>
      <c r="P31" s="2185">
        <f t="shared" si="35"/>
        <v>16.079268950600131</v>
      </c>
      <c r="Q31" s="2185">
        <f t="shared" si="35"/>
        <v>17.104688423526678</v>
      </c>
      <c r="R31" s="2185">
        <f t="shared" si="35"/>
        <v>18.049121185484843</v>
      </c>
      <c r="S31" s="2185">
        <f t="shared" si="35"/>
        <v>18.946332309345106</v>
      </c>
      <c r="T31" s="2185">
        <f t="shared" si="35"/>
        <v>19.850061620122901</v>
      </c>
      <c r="X31" s="2574">
        <f>AVERAGE(H28,X28)</f>
        <v>0.26</v>
      </c>
      <c r="Y31" s="2574">
        <f>AVERAGE(X28:Y28)</f>
        <v>0.5</v>
      </c>
      <c r="Z31" s="2574">
        <f>AVERAGE(Y28:Z28)</f>
        <v>1.1499999999999999</v>
      </c>
      <c r="AA31" s="2574">
        <f>AVERAGE(Z28:AA28)</f>
        <v>2.0860000000000003</v>
      </c>
      <c r="AC31" s="2574">
        <f>AVERAGE(AA28, AC28)</f>
        <v>2.9859999999999998</v>
      </c>
      <c r="AD31" s="2574">
        <f>AVERAGE(AC28, AD28)</f>
        <v>3.65</v>
      </c>
      <c r="AE31" s="2574">
        <f t="shared" ref="AE31:AF31" si="36">AVERAGE(AD28, AE28)</f>
        <v>4.3499999999999996</v>
      </c>
      <c r="AF31" s="2574">
        <f t="shared" si="36"/>
        <v>5.1462500000000002</v>
      </c>
    </row>
    <row r="32" spans="1:33">
      <c r="A32" s="2149" t="s">
        <v>1522</v>
      </c>
      <c r="B32" s="1174"/>
      <c r="C32" s="1174"/>
      <c r="D32" s="1174"/>
      <c r="E32" s="1174"/>
      <c r="F32" s="1174"/>
      <c r="G32" s="1098"/>
      <c r="H32" s="1802"/>
      <c r="I32" s="1802"/>
      <c r="J32" s="2380" t="s">
        <v>348</v>
      </c>
      <c r="K32" s="1476">
        <f t="shared" ref="K32:T32" si="37">K31/J31-1</f>
        <v>0.73196237350648552</v>
      </c>
      <c r="L32" s="1476">
        <f t="shared" si="37"/>
        <v>0.3735568414252457</v>
      </c>
      <c r="M32" s="1476">
        <f t="shared" si="37"/>
        <v>0.22784011206577559</v>
      </c>
      <c r="N32" s="1476">
        <f t="shared" si="37"/>
        <v>0.14728255973191162</v>
      </c>
      <c r="O32" s="1476">
        <f t="shared" si="37"/>
        <v>0.10315739019115311</v>
      </c>
      <c r="P32" s="1476">
        <f t="shared" si="37"/>
        <v>7.8441446784207169E-2</v>
      </c>
      <c r="Q32" s="1476">
        <f t="shared" si="37"/>
        <v>6.3772767037911571E-2</v>
      </c>
      <c r="R32" s="1476">
        <f t="shared" si="37"/>
        <v>5.5214847448442406E-2</v>
      </c>
      <c r="S32" s="1476">
        <f t="shared" si="37"/>
        <v>4.9709407712426712E-2</v>
      </c>
      <c r="T32" s="1476">
        <f t="shared" si="37"/>
        <v>4.7699433115719003E-2</v>
      </c>
      <c r="X32" s="2380"/>
      <c r="Y32" s="1476"/>
      <c r="Z32" s="1476"/>
      <c r="AA32" s="1476"/>
      <c r="AB32" s="1476"/>
      <c r="AC32" s="1476"/>
      <c r="AD32" s="1476"/>
      <c r="AE32" s="1476"/>
      <c r="AF32" s="1476"/>
      <c r="AG32" s="2833"/>
    </row>
    <row r="33" spans="1:33" ht="6" customHeight="1">
      <c r="A33" s="2149"/>
      <c r="B33" s="1174"/>
      <c r="C33" s="1174"/>
      <c r="D33" s="1174"/>
      <c r="E33" s="1174"/>
      <c r="F33" s="1174"/>
      <c r="G33" s="1098"/>
      <c r="H33" s="1802"/>
      <c r="I33" s="1802"/>
      <c r="J33" s="1364"/>
      <c r="K33" s="1364"/>
      <c r="L33" s="1364"/>
      <c r="M33" s="1364"/>
      <c r="N33" s="1364"/>
      <c r="O33" s="1364"/>
      <c r="P33" s="1364"/>
      <c r="Q33" s="1364"/>
      <c r="R33" s="1364"/>
      <c r="S33" s="1364"/>
      <c r="X33" s="1364"/>
      <c r="Y33" s="1364"/>
      <c r="Z33" s="1364"/>
      <c r="AA33" s="1364"/>
      <c r="AG33" s="2807"/>
    </row>
    <row r="34" spans="1:33">
      <c r="A34" s="1470" t="s">
        <v>1747</v>
      </c>
      <c r="B34" s="1174"/>
      <c r="C34" s="1174"/>
      <c r="D34" s="1174"/>
      <c r="E34" s="1174"/>
      <c r="F34" s="1174"/>
      <c r="G34" s="1098"/>
      <c r="H34" s="2211">
        <f>H31*H4/H11</f>
        <v>7.8039183751615435E-2</v>
      </c>
      <c r="I34" s="2211">
        <f>I37/I35/12</f>
        <v>0.3654428651618617</v>
      </c>
      <c r="J34" s="2211">
        <f>J37/J35/12</f>
        <v>1.4753292446214823</v>
      </c>
      <c r="K34" s="2185">
        <f t="shared" ref="K34:S34" si="38">K31*K4/K11</f>
        <v>2.5552147402181529</v>
      </c>
      <c r="L34" s="2185">
        <f t="shared" si="38"/>
        <v>3.5097326877372756</v>
      </c>
      <c r="M34" s="2185">
        <f t="shared" si="38"/>
        <v>4.3093905766322527</v>
      </c>
      <c r="N34" s="2185">
        <f t="shared" si="38"/>
        <v>4.944088651643229</v>
      </c>
      <c r="O34" s="2185">
        <f t="shared" si="38"/>
        <v>5.4541079338204419</v>
      </c>
      <c r="P34" s="2185">
        <f t="shared" si="38"/>
        <v>5.8819360510665399</v>
      </c>
      <c r="Q34" s="2185">
        <f t="shared" si="38"/>
        <v>6.2570433885831003</v>
      </c>
      <c r="R34" s="2185">
        <f t="shared" si="38"/>
        <v>6.6025250847620001</v>
      </c>
      <c r="S34" s="2185">
        <f t="shared" si="38"/>
        <v>6.9307326961319582</v>
      </c>
      <c r="T34" s="2185">
        <f t="shared" ref="T34" si="39">T31*T4/T11</f>
        <v>7.2613247168140331</v>
      </c>
      <c r="X34" s="2185">
        <f>X31*($I$4/$I$11)</f>
        <v>9.5110255197281321E-2</v>
      </c>
      <c r="Y34" s="2185">
        <f>Y31*($I$4/$I$11)</f>
        <v>0.18290433691784869</v>
      </c>
      <c r="Z34" s="2185">
        <f>Z31*($I$4/$I$11)</f>
        <v>0.42067997491105197</v>
      </c>
      <c r="AA34" s="2185">
        <f>AA31*($I$4/$I$11)</f>
        <v>0.76307689362126485</v>
      </c>
      <c r="AC34" s="2185">
        <f>AC31*($I$4/$I$11)</f>
        <v>1.0923047000733923</v>
      </c>
      <c r="AD34" s="2185">
        <f>AD31*($I$4/$I$11)</f>
        <v>1.3352016595002953</v>
      </c>
      <c r="AE34" s="2185">
        <f>AE31*($I$4/$I$11)</f>
        <v>1.5912677311852834</v>
      </c>
      <c r="AF34" s="2185">
        <f>AF31*($I$4/$I$11)</f>
        <v>1.8825428877269577</v>
      </c>
      <c r="AG34" s="2807"/>
    </row>
    <row r="35" spans="1:33">
      <c r="A35" s="1470" t="s">
        <v>465</v>
      </c>
      <c r="B35" s="1174"/>
      <c r="C35" s="1174"/>
      <c r="D35" s="1174"/>
      <c r="E35" s="1174"/>
      <c r="F35" s="1174"/>
      <c r="G35" s="1098"/>
      <c r="H35" s="2575">
        <f>I35/(1+I36)</f>
        <v>3.1132075471698109</v>
      </c>
      <c r="I35" s="2576">
        <v>3.3</v>
      </c>
      <c r="J35" s="2575">
        <f t="shared" ref="J35:T35" si="40">I35*(1+J36)</f>
        <v>3.4979999999999998</v>
      </c>
      <c r="K35" s="2575">
        <f t="shared" si="40"/>
        <v>3.6903899999999994</v>
      </c>
      <c r="L35" s="2575">
        <f t="shared" si="40"/>
        <v>3.8749094999999993</v>
      </c>
      <c r="M35" s="2575">
        <f t="shared" si="40"/>
        <v>4.0492804274999994</v>
      </c>
      <c r="N35" s="2575">
        <f t="shared" si="40"/>
        <v>4.2112516445999999</v>
      </c>
      <c r="O35" s="2575">
        <f t="shared" si="40"/>
        <v>4.3586454521609994</v>
      </c>
      <c r="P35" s="2575">
        <f t="shared" si="40"/>
        <v>4.4894048157258295</v>
      </c>
      <c r="Q35" s="2575">
        <f t="shared" si="40"/>
        <v>4.6240869601976042</v>
      </c>
      <c r="R35" s="2575">
        <f t="shared" si="40"/>
        <v>4.7628095690035321</v>
      </c>
      <c r="S35" s="2575">
        <f t="shared" si="40"/>
        <v>4.9056938560736381</v>
      </c>
      <c r="T35" s="2575">
        <f t="shared" si="40"/>
        <v>5.052864671755847</v>
      </c>
      <c r="U35" s="2577"/>
      <c r="V35" s="2577"/>
      <c r="W35" s="2577"/>
      <c r="X35" s="2576">
        <f>$I$35</f>
        <v>3.3</v>
      </c>
      <c r="Y35" s="2576">
        <f>$I$35</f>
        <v>3.3</v>
      </c>
      <c r="Z35" s="2576">
        <f>$I$35</f>
        <v>3.3</v>
      </c>
      <c r="AA35" s="2576">
        <f>$I$35</f>
        <v>3.3</v>
      </c>
      <c r="AC35" s="2575">
        <f>X35*(1+AC36)</f>
        <v>3.4979999999999998</v>
      </c>
      <c r="AD35" s="2575">
        <f t="shared" ref="AD35:AF35" si="41">Y35*(1+AD36)</f>
        <v>3.4979999999999998</v>
      </c>
      <c r="AE35" s="2575">
        <f t="shared" si="41"/>
        <v>3.4979999999999998</v>
      </c>
      <c r="AF35" s="2575">
        <f t="shared" si="41"/>
        <v>3.4979999999999998</v>
      </c>
      <c r="AG35" s="2807"/>
    </row>
    <row r="36" spans="1:33">
      <c r="A36" s="2149" t="s">
        <v>1522</v>
      </c>
      <c r="B36" s="1174"/>
      <c r="C36" s="1174"/>
      <c r="D36" s="1174"/>
      <c r="E36" s="1174"/>
      <c r="F36" s="1034"/>
      <c r="G36" s="1034"/>
      <c r="H36" s="2473"/>
      <c r="I36" s="2581">
        <v>0.06</v>
      </c>
      <c r="J36" s="2581">
        <v>0.06</v>
      </c>
      <c r="K36" s="2581">
        <f t="shared" ref="K36:L36" si="42">MAX(J36-0.5%, 3%)</f>
        <v>5.5E-2</v>
      </c>
      <c r="L36" s="2581">
        <f t="shared" si="42"/>
        <v>0.05</v>
      </c>
      <c r="M36" s="2581">
        <f>MAX(L36-0.5%, 3%)</f>
        <v>4.5000000000000005E-2</v>
      </c>
      <c r="N36" s="2581">
        <f t="shared" ref="N36:T36" si="43">MAX(M36-0.5%, 3%)</f>
        <v>4.0000000000000008E-2</v>
      </c>
      <c r="O36" s="2581">
        <f t="shared" si="43"/>
        <v>3.500000000000001E-2</v>
      </c>
      <c r="P36" s="2581">
        <f t="shared" si="43"/>
        <v>3.0000000000000009E-2</v>
      </c>
      <c r="Q36" s="2581">
        <f t="shared" si="43"/>
        <v>0.03</v>
      </c>
      <c r="R36" s="2581">
        <f t="shared" si="43"/>
        <v>0.03</v>
      </c>
      <c r="S36" s="2581">
        <f t="shared" si="43"/>
        <v>0.03</v>
      </c>
      <c r="T36" s="2581">
        <f t="shared" si="43"/>
        <v>0.03</v>
      </c>
      <c r="X36" s="2536"/>
      <c r="Y36" s="2536"/>
      <c r="Z36" s="2536"/>
      <c r="AA36" s="2536"/>
      <c r="AC36" s="2581">
        <v>0.06</v>
      </c>
      <c r="AD36" s="2581">
        <v>0.06</v>
      </c>
      <c r="AE36" s="2581">
        <v>0.06</v>
      </c>
      <c r="AF36" s="2581">
        <v>0.06</v>
      </c>
      <c r="AG36" s="2807"/>
    </row>
    <row r="37" spans="1:33">
      <c r="A37" s="1494" t="s">
        <v>1308</v>
      </c>
      <c r="B37" s="1174"/>
      <c r="C37" s="1174"/>
      <c r="D37" s="1174"/>
      <c r="E37" s="1174"/>
      <c r="F37" s="1174"/>
      <c r="G37" s="1098"/>
      <c r="H37" s="2007">
        <f>H34*H35*12</f>
        <v>2.9154261099660101</v>
      </c>
      <c r="I37" s="2580">
        <f>SUM(X37:AA37)</f>
        <v>14.471537460409721</v>
      </c>
      <c r="J37" s="2580">
        <f>SUM(AC37:AF37)</f>
        <v>61.928420372231329</v>
      </c>
      <c r="K37" s="2007">
        <f t="shared" ref="K37:S37" si="44">K34*K35*12</f>
        <v>113.15686710184401</v>
      </c>
      <c r="L37" s="2007">
        <f t="shared" si="44"/>
        <v>163.19875841008439</v>
      </c>
      <c r="M37" s="2007">
        <f t="shared" si="44"/>
        <v>209.399170996919</v>
      </c>
      <c r="N37" s="2007">
        <f t="shared" si="44"/>
        <v>249.84961758336894</v>
      </c>
      <c r="O37" s="2007">
        <f t="shared" si="44"/>
        <v>285.27027289610032</v>
      </c>
      <c r="P37" s="2007">
        <f t="shared" si="44"/>
        <v>316.87670440139391</v>
      </c>
      <c r="Q37" s="2007">
        <f t="shared" si="44"/>
        <v>347.19735291045293</v>
      </c>
      <c r="R37" s="2007">
        <f t="shared" si="44"/>
        <v>377.35883583948373</v>
      </c>
      <c r="S37" s="2007">
        <f t="shared" si="44"/>
        <v>408.00063366603877</v>
      </c>
      <c r="T37" s="2007">
        <f t="shared" ref="T37" si="45">T34*T35*12</f>
        <v>440.28589358084594</v>
      </c>
      <c r="X37" s="2559">
        <f>X34*X35*3</f>
        <v>0.94159152645308508</v>
      </c>
      <c r="Y37" s="2559">
        <f>Y34*Y35*3</f>
        <v>1.8107529354867018</v>
      </c>
      <c r="Z37" s="2559">
        <f>Z34*Z35*3</f>
        <v>4.1647317516194136</v>
      </c>
      <c r="AA37" s="2559">
        <f>AA34*AA35*3</f>
        <v>7.5544612468505212</v>
      </c>
      <c r="AB37" s="1741">
        <f>I37-SUM(X37:AA37)</f>
        <v>0</v>
      </c>
      <c r="AC37" s="2559">
        <f>AC34*AC35*3</f>
        <v>11.462645522570178</v>
      </c>
      <c r="AD37" s="2559">
        <f>AD34*AD35*3</f>
        <v>14.0116062147961</v>
      </c>
      <c r="AE37" s="2559">
        <f>AE34*AE35*3</f>
        <v>16.698763571058365</v>
      </c>
      <c r="AF37" s="2559">
        <f>AF34*AF35*3</f>
        <v>19.755405063806691</v>
      </c>
      <c r="AG37" s="2835">
        <f>J37-SUM(AC37:AF37)</f>
        <v>0</v>
      </c>
    </row>
    <row r="38" spans="1:33">
      <c r="A38" s="2149" t="s">
        <v>1522</v>
      </c>
      <c r="B38" s="1174"/>
      <c r="C38" s="1174"/>
      <c r="D38" s="1174"/>
      <c r="E38" s="1174"/>
      <c r="F38" s="1174"/>
      <c r="G38" s="1098"/>
      <c r="H38" s="1802"/>
      <c r="I38" s="1848" t="s">
        <v>348</v>
      </c>
      <c r="J38" s="1848" t="s">
        <v>348</v>
      </c>
      <c r="K38" s="2560">
        <f t="shared" ref="K38:T38" si="46">K37/J37-1</f>
        <v>0.82722030404934221</v>
      </c>
      <c r="L38" s="2560">
        <f t="shared" si="46"/>
        <v>0.44223468349650785</v>
      </c>
      <c r="M38" s="2560">
        <f t="shared" si="46"/>
        <v>0.28309291710873574</v>
      </c>
      <c r="N38" s="2560">
        <f t="shared" si="46"/>
        <v>0.19317386212118826</v>
      </c>
      <c r="O38" s="2560">
        <f t="shared" si="46"/>
        <v>0.14176789884784324</v>
      </c>
      <c r="P38" s="2560">
        <f t="shared" si="46"/>
        <v>0.11079469018773347</v>
      </c>
      <c r="Q38" s="2560">
        <f t="shared" si="46"/>
        <v>9.5685950049049007E-2</v>
      </c>
      <c r="R38" s="2560">
        <f t="shared" si="46"/>
        <v>8.6871292871895545E-2</v>
      </c>
      <c r="S38" s="2560">
        <f t="shared" si="46"/>
        <v>8.1200689943799365E-2</v>
      </c>
      <c r="T38" s="2560">
        <f t="shared" si="46"/>
        <v>7.9130416109190804E-2</v>
      </c>
      <c r="X38" s="1848"/>
      <c r="Y38" s="2560"/>
      <c r="Z38" s="2560"/>
      <c r="AA38" s="2560"/>
      <c r="AG38" s="2807"/>
    </row>
    <row r="39" spans="1:33" ht="6" customHeight="1">
      <c r="A39" s="2535"/>
      <c r="B39" s="1174"/>
      <c r="C39" s="1174"/>
      <c r="D39" s="1174"/>
      <c r="E39" s="1174"/>
      <c r="F39" s="1174"/>
      <c r="G39" s="1098"/>
      <c r="AG39" s="2807"/>
    </row>
    <row r="40" spans="1:33">
      <c r="A40" s="1470" t="s">
        <v>1748</v>
      </c>
      <c r="B40" s="1174"/>
      <c r="C40" s="1174"/>
      <c r="D40" s="1174"/>
      <c r="E40" s="1174"/>
      <c r="F40" s="1174"/>
      <c r="G40" s="1098"/>
      <c r="H40" s="2185">
        <f>H31-H34</f>
        <v>0.13529414958171787</v>
      </c>
      <c r="I40" s="2185">
        <f>I31-I34</f>
        <v>0.63355713483813836</v>
      </c>
      <c r="J40" s="2185">
        <f t="shared" ref="J40:S40" si="47">J31-J34</f>
        <v>2.5577332553785173</v>
      </c>
      <c r="K40" s="2185">
        <f t="shared" si="47"/>
        <v>4.4298977597818467</v>
      </c>
      <c r="L40" s="2185">
        <f t="shared" si="47"/>
        <v>6.0847163747627251</v>
      </c>
      <c r="M40" s="2185">
        <f t="shared" si="47"/>
        <v>7.4710588354771241</v>
      </c>
      <c r="N40" s="2185">
        <f t="shared" si="47"/>
        <v>8.5714155046739098</v>
      </c>
      <c r="O40" s="2185">
        <f t="shared" si="47"/>
        <v>9.455620358380056</v>
      </c>
      <c r="P40" s="2185">
        <f t="shared" si="47"/>
        <v>10.197332899533592</v>
      </c>
      <c r="Q40" s="2185">
        <f t="shared" si="47"/>
        <v>10.847645034943579</v>
      </c>
      <c r="R40" s="2185">
        <f t="shared" si="47"/>
        <v>11.446596100722843</v>
      </c>
      <c r="S40" s="2185">
        <f t="shared" si="47"/>
        <v>12.015599613213148</v>
      </c>
      <c r="T40" s="2185">
        <f t="shared" ref="T40" si="48">T31-T34</f>
        <v>12.588736903308867</v>
      </c>
      <c r="X40" s="2185">
        <f>X31-X34</f>
        <v>0.16488974480271867</v>
      </c>
      <c r="Y40" s="2185">
        <f>Y31-Y34</f>
        <v>0.31709566308215131</v>
      </c>
      <c r="Z40" s="2185">
        <f>Z31-Z34</f>
        <v>0.729320025088948</v>
      </c>
      <c r="AA40" s="2185">
        <f>AA31-AA34</f>
        <v>1.3229231063787354</v>
      </c>
      <c r="AC40" s="2185">
        <f>AC31-AC34</f>
        <v>1.8936952999266075</v>
      </c>
      <c r="AD40" s="2185">
        <f>AD31-AD34</f>
        <v>2.3147983404997046</v>
      </c>
      <c r="AE40" s="2185">
        <f>AE31-AE34</f>
        <v>2.7587322688147164</v>
      </c>
      <c r="AF40" s="2185">
        <f>AF31-AF34</f>
        <v>3.2637071122730426</v>
      </c>
      <c r="AG40" s="2807"/>
    </row>
    <row r="41" spans="1:33">
      <c r="A41" s="1470" t="s">
        <v>1741</v>
      </c>
      <c r="B41" s="1174"/>
      <c r="C41" s="1174"/>
      <c r="D41" s="1174"/>
      <c r="E41" s="1174"/>
      <c r="F41" s="1174"/>
      <c r="G41" s="1098"/>
      <c r="H41" s="2575">
        <f>H35*0.65</f>
        <v>2.023584905660377</v>
      </c>
      <c r="I41" s="2575">
        <f t="shared" ref="I41:S41" si="49">I35*0.65</f>
        <v>2.145</v>
      </c>
      <c r="J41" s="2575">
        <f t="shared" si="49"/>
        <v>2.2736999999999998</v>
      </c>
      <c r="K41" s="2575">
        <f t="shared" si="49"/>
        <v>2.3987534999999998</v>
      </c>
      <c r="L41" s="2575">
        <f t="shared" si="49"/>
        <v>2.5186911749999998</v>
      </c>
      <c r="M41" s="2575">
        <f t="shared" si="49"/>
        <v>2.6320322778749996</v>
      </c>
      <c r="N41" s="2575">
        <f t="shared" si="49"/>
        <v>2.7373135689899999</v>
      </c>
      <c r="O41" s="2575">
        <f t="shared" si="49"/>
        <v>2.8331195439046497</v>
      </c>
      <c r="P41" s="2575">
        <f t="shared" si="49"/>
        <v>2.9181131302217893</v>
      </c>
      <c r="Q41" s="2575">
        <f t="shared" si="49"/>
        <v>3.005656524128443</v>
      </c>
      <c r="R41" s="2575">
        <f t="shared" si="49"/>
        <v>3.0958262198522961</v>
      </c>
      <c r="S41" s="2575">
        <f t="shared" si="49"/>
        <v>3.1887010064478649</v>
      </c>
      <c r="T41" s="2575">
        <f t="shared" ref="T41" si="50">T35*0.65</f>
        <v>3.2843620366413004</v>
      </c>
      <c r="X41" s="2575">
        <f>X35*0.65</f>
        <v>2.145</v>
      </c>
      <c r="Y41" s="2575">
        <f>Y35*0.65</f>
        <v>2.145</v>
      </c>
      <c r="Z41" s="2575">
        <f>Z35*0.65</f>
        <v>2.145</v>
      </c>
      <c r="AA41" s="2575">
        <f>AA35*0.65</f>
        <v>2.145</v>
      </c>
      <c r="AC41" s="2575">
        <f>AC35*0.65</f>
        <v>2.2736999999999998</v>
      </c>
      <c r="AD41" s="2575">
        <f>AD35*0.65</f>
        <v>2.2736999999999998</v>
      </c>
      <c r="AE41" s="2575">
        <f>AE35*0.65</f>
        <v>2.2736999999999998</v>
      </c>
      <c r="AF41" s="2575">
        <f>AF35*0.65</f>
        <v>2.2736999999999998</v>
      </c>
      <c r="AG41" s="2807"/>
    </row>
    <row r="42" spans="1:33">
      <c r="A42" s="2149" t="s">
        <v>1522</v>
      </c>
      <c r="B42" s="1174"/>
      <c r="C42" s="1174"/>
      <c r="D42" s="1174"/>
      <c r="E42" s="1174"/>
      <c r="F42" s="1034"/>
      <c r="G42" s="1034"/>
      <c r="H42" s="1116"/>
      <c r="I42" s="1782">
        <f>I41/H41-1</f>
        <v>6.0000000000000275E-2</v>
      </c>
      <c r="J42" s="1782">
        <f t="shared" ref="J42:T42" si="51">J41/I41-1</f>
        <v>5.9999999999999831E-2</v>
      </c>
      <c r="K42" s="1782">
        <f t="shared" si="51"/>
        <v>5.4999999999999938E-2</v>
      </c>
      <c r="L42" s="1782">
        <f t="shared" si="51"/>
        <v>5.0000000000000044E-2</v>
      </c>
      <c r="M42" s="1782">
        <f t="shared" si="51"/>
        <v>4.4999999999999929E-2</v>
      </c>
      <c r="N42" s="1782">
        <f t="shared" si="51"/>
        <v>4.0000000000000036E-2</v>
      </c>
      <c r="O42" s="1782">
        <f t="shared" si="51"/>
        <v>3.499999999999992E-2</v>
      </c>
      <c r="P42" s="1782">
        <f t="shared" si="51"/>
        <v>3.0000000000000027E-2</v>
      </c>
      <c r="Q42" s="1782">
        <f t="shared" si="51"/>
        <v>3.0000000000000027E-2</v>
      </c>
      <c r="R42" s="1782">
        <f t="shared" si="51"/>
        <v>3.0000000000000027E-2</v>
      </c>
      <c r="S42" s="1782">
        <f t="shared" si="51"/>
        <v>3.0000000000000027E-2</v>
      </c>
      <c r="T42" s="1782">
        <f t="shared" si="51"/>
        <v>2.9999999999999805E-2</v>
      </c>
      <c r="AG42" s="2807"/>
    </row>
    <row r="43" spans="1:33">
      <c r="A43" s="1494" t="s">
        <v>1311</v>
      </c>
      <c r="B43" s="1174"/>
      <c r="C43" s="1174"/>
      <c r="D43" s="1174"/>
      <c r="E43" s="1174"/>
      <c r="F43" s="1174"/>
      <c r="G43" s="1098"/>
      <c r="H43" s="2007">
        <f>H40*H41*12</f>
        <v>3.2853503870126581</v>
      </c>
      <c r="I43" s="2580">
        <f>SUM(X43:AA43)</f>
        <v>16.307760650733684</v>
      </c>
      <c r="J43" s="2580">
        <f>SUM(AC43:AF43)</f>
        <v>69.786217233049626</v>
      </c>
      <c r="K43" s="2007">
        <f t="shared" ref="K43:S43" si="52">K40*K41*12</f>
        <v>127.51479307102636</v>
      </c>
      <c r="L43" s="2007">
        <f t="shared" si="52"/>
        <v>183.9062572259144</v>
      </c>
      <c r="M43" s="2007">
        <f t="shared" si="52"/>
        <v>235.96881605854793</v>
      </c>
      <c r="N43" s="2007">
        <f t="shared" si="52"/>
        <v>281.55182359674194</v>
      </c>
      <c r="O43" s="2007">
        <f t="shared" si="52"/>
        <v>321.46683404483065</v>
      </c>
      <c r="P43" s="2007">
        <f t="shared" si="52"/>
        <v>357.08365232845927</v>
      </c>
      <c r="Q43" s="2007">
        <f t="shared" si="52"/>
        <v>391.25154084849214</v>
      </c>
      <c r="R43" s="2007">
        <f t="shared" si="52"/>
        <v>425.24006804012197</v>
      </c>
      <c r="S43" s="2007">
        <f t="shared" si="52"/>
        <v>459.76985495672812</v>
      </c>
      <c r="T43" s="2007">
        <f t="shared" ref="T43" si="53">T40*T41*12</f>
        <v>496.15163489391603</v>
      </c>
      <c r="X43" s="2559">
        <f>X40*X41*3</f>
        <v>1.0610655078054947</v>
      </c>
      <c r="Y43" s="2559">
        <f>Y40*Y41*3</f>
        <v>2.0405105919336437</v>
      </c>
      <c r="Z43" s="2559">
        <f>Z40*Z41*3</f>
        <v>4.6931743614473804</v>
      </c>
      <c r="AA43" s="2559">
        <f>AA40*AA41*3</f>
        <v>8.5130101895471633</v>
      </c>
      <c r="AB43" s="1741">
        <f>I43-SUM(X43:AA43)</f>
        <v>0</v>
      </c>
      <c r="AC43" s="2559">
        <f>AC40*AC41*3</f>
        <v>12.91708501032938</v>
      </c>
      <c r="AD43" s="2559">
        <f>AD40*AD41*3</f>
        <v>15.789470960382534</v>
      </c>
      <c r="AE43" s="2559">
        <f>AE40*AE41*3</f>
        <v>18.817588678812061</v>
      </c>
      <c r="AF43" s="2559">
        <f>AF40*AF41*3</f>
        <v>22.262072583525647</v>
      </c>
      <c r="AG43" s="2835">
        <f>J43-SUM(AC43:AF43)</f>
        <v>0</v>
      </c>
    </row>
    <row r="44" spans="1:33">
      <c r="A44" s="2149" t="s">
        <v>1522</v>
      </c>
      <c r="B44" s="1174"/>
      <c r="C44" s="1174"/>
      <c r="D44" s="1174"/>
      <c r="E44" s="1174"/>
      <c r="F44" s="1174"/>
      <c r="G44" s="1098"/>
      <c r="H44" s="1802"/>
      <c r="I44" s="1848" t="s">
        <v>348</v>
      </c>
      <c r="J44" s="1848" t="s">
        <v>348</v>
      </c>
      <c r="K44" s="2560">
        <f t="shared" ref="K44:T44" si="54">K43/J43-1</f>
        <v>0.82722030404934199</v>
      </c>
      <c r="L44" s="2560">
        <f t="shared" si="54"/>
        <v>0.44223468349650785</v>
      </c>
      <c r="M44" s="2560">
        <f t="shared" si="54"/>
        <v>0.2830929171087353</v>
      </c>
      <c r="N44" s="2560">
        <f t="shared" si="54"/>
        <v>0.19317386212118848</v>
      </c>
      <c r="O44" s="2560">
        <f t="shared" si="54"/>
        <v>0.14176789884784324</v>
      </c>
      <c r="P44" s="2560">
        <f t="shared" si="54"/>
        <v>0.11079469018773369</v>
      </c>
      <c r="Q44" s="2560">
        <f t="shared" si="54"/>
        <v>9.5685950049048785E-2</v>
      </c>
      <c r="R44" s="2560">
        <f t="shared" si="54"/>
        <v>8.6871292871895767E-2</v>
      </c>
      <c r="S44" s="2560">
        <f t="shared" si="54"/>
        <v>8.1200689943799587E-2</v>
      </c>
      <c r="T44" s="2560">
        <f t="shared" si="54"/>
        <v>7.9130416109190138E-2</v>
      </c>
      <c r="X44" s="1848"/>
      <c r="Y44" s="2560"/>
      <c r="Z44" s="2560"/>
      <c r="AA44" s="2560"/>
      <c r="AC44" s="1848"/>
      <c r="AD44" s="2560"/>
      <c r="AE44" s="2560"/>
      <c r="AF44" s="2560"/>
      <c r="AG44" s="2807"/>
    </row>
    <row r="45" spans="1:33" ht="6" customHeight="1">
      <c r="A45" s="2149"/>
      <c r="B45" s="1174"/>
      <c r="C45" s="1174"/>
      <c r="D45" s="1174"/>
      <c r="E45" s="1174"/>
      <c r="F45" s="1174"/>
      <c r="G45" s="1098"/>
      <c r="H45" s="1802"/>
      <c r="I45" s="1802"/>
      <c r="J45" s="1802"/>
      <c r="K45" s="1802"/>
      <c r="L45" s="1802"/>
      <c r="M45" s="1737"/>
      <c r="N45" s="1737"/>
      <c r="O45" s="1737"/>
      <c r="P45" s="1737"/>
      <c r="Q45" s="1737"/>
      <c r="R45" s="1737"/>
      <c r="S45" s="1737"/>
      <c r="X45" s="1802"/>
      <c r="Y45" s="1802"/>
      <c r="Z45" s="1802"/>
      <c r="AA45" s="1737"/>
      <c r="AC45" s="1802"/>
      <c r="AD45" s="1802"/>
      <c r="AE45" s="1802"/>
      <c r="AF45" s="1737"/>
      <c r="AG45" s="2807"/>
    </row>
    <row r="46" spans="1:33">
      <c r="A46" s="2570" t="s">
        <v>1742</v>
      </c>
      <c r="B46" s="1313"/>
      <c r="C46" s="1313"/>
      <c r="D46" s="1313"/>
      <c r="E46" s="1313"/>
      <c r="F46" s="1313"/>
      <c r="G46" s="2537"/>
      <c r="H46" s="2007">
        <f>H37+H43</f>
        <v>6.2007764969786683</v>
      </c>
      <c r="I46" s="2007">
        <f t="shared" ref="I46:S46" si="55">I37+I43</f>
        <v>30.779298111143405</v>
      </c>
      <c r="J46" s="2007">
        <f t="shared" si="55"/>
        <v>131.71463760528096</v>
      </c>
      <c r="K46" s="2007">
        <f t="shared" si="55"/>
        <v>240.67166017287036</v>
      </c>
      <c r="L46" s="2007">
        <f t="shared" si="55"/>
        <v>347.10501563599883</v>
      </c>
      <c r="M46" s="2007">
        <f t="shared" si="55"/>
        <v>445.36798705546693</v>
      </c>
      <c r="N46" s="2007">
        <f t="shared" si="55"/>
        <v>531.40144118011085</v>
      </c>
      <c r="O46" s="2007">
        <f t="shared" si="55"/>
        <v>606.73710694093097</v>
      </c>
      <c r="P46" s="2007">
        <f t="shared" si="55"/>
        <v>673.96035672985317</v>
      </c>
      <c r="Q46" s="2007">
        <f t="shared" si="55"/>
        <v>738.44889375894513</v>
      </c>
      <c r="R46" s="2007">
        <f t="shared" si="55"/>
        <v>802.5989038796057</v>
      </c>
      <c r="S46" s="2007">
        <f t="shared" si="55"/>
        <v>867.77048862276683</v>
      </c>
      <c r="T46" s="2007">
        <f t="shared" ref="T46" si="56">T37+T43</f>
        <v>936.43752847476196</v>
      </c>
      <c r="X46" s="2007">
        <f>X37+X43</f>
        <v>2.0026570342585797</v>
      </c>
      <c r="Y46" s="2007">
        <f>Y37+Y43</f>
        <v>3.8512635274203455</v>
      </c>
      <c r="Z46" s="2007">
        <f>Z37+Z43</f>
        <v>8.8579061130667931</v>
      </c>
      <c r="AA46" s="2007">
        <f>AA37+AA43</f>
        <v>16.067471436397685</v>
      </c>
      <c r="AB46" s="1741">
        <f>I46-SUM(X46:AA46)</f>
        <v>0</v>
      </c>
      <c r="AC46" s="2007">
        <f>AC37+AC43</f>
        <v>24.379730532899558</v>
      </c>
      <c r="AD46" s="2007">
        <f>AD37+AD43</f>
        <v>29.801077175178634</v>
      </c>
      <c r="AE46" s="2007">
        <f>AE37+AE43</f>
        <v>35.516352249870422</v>
      </c>
      <c r="AF46" s="2007">
        <f>AF37+AF43</f>
        <v>42.017477647332342</v>
      </c>
      <c r="AG46" s="2835">
        <f>J46-SUM(AC46:AF46)</f>
        <v>0</v>
      </c>
    </row>
    <row r="47" spans="1:33">
      <c r="A47" s="2149" t="s">
        <v>1522</v>
      </c>
      <c r="B47" s="1174"/>
      <c r="C47" s="1174"/>
      <c r="D47" s="1174"/>
      <c r="E47" s="1174"/>
      <c r="F47" s="1174"/>
      <c r="G47" s="1098"/>
      <c r="H47" s="1802"/>
      <c r="I47" s="2380" t="s">
        <v>348</v>
      </c>
      <c r="J47" s="2380" t="s">
        <v>348</v>
      </c>
      <c r="K47" s="1476">
        <f>K46/J46-1</f>
        <v>0.82722030404934199</v>
      </c>
      <c r="L47" s="1476">
        <f>L46/K46-1</f>
        <v>0.44223468349650807</v>
      </c>
      <c r="M47" s="1476">
        <f t="shared" ref="M47:T47" si="57">M46/L46-1</f>
        <v>0.2830929171087353</v>
      </c>
      <c r="N47" s="1476">
        <f t="shared" si="57"/>
        <v>0.19317386212118826</v>
      </c>
      <c r="O47" s="1476">
        <f t="shared" si="57"/>
        <v>0.14176789884784324</v>
      </c>
      <c r="P47" s="1476">
        <f t="shared" si="57"/>
        <v>0.11079469018773347</v>
      </c>
      <c r="Q47" s="1476">
        <f t="shared" si="57"/>
        <v>9.5685950049049007E-2</v>
      </c>
      <c r="R47" s="1476">
        <f t="shared" si="57"/>
        <v>8.6871292871895545E-2</v>
      </c>
      <c r="S47" s="1476">
        <f t="shared" si="57"/>
        <v>8.1200689943799365E-2</v>
      </c>
      <c r="T47" s="1476">
        <f t="shared" si="57"/>
        <v>7.9130416109190582E-2</v>
      </c>
      <c r="X47" s="2380" t="s">
        <v>348</v>
      </c>
      <c r="Y47" s="2380" t="s">
        <v>348</v>
      </c>
      <c r="Z47" s="2380" t="s">
        <v>348</v>
      </c>
      <c r="AA47" s="2380" t="s">
        <v>348</v>
      </c>
      <c r="AC47" s="2380" t="s">
        <v>348</v>
      </c>
      <c r="AD47" s="2380" t="s">
        <v>348</v>
      </c>
      <c r="AE47" s="2380" t="s">
        <v>348</v>
      </c>
      <c r="AF47" s="2380" t="s">
        <v>348</v>
      </c>
      <c r="AG47" s="2807"/>
    </row>
    <row r="48" spans="1:33">
      <c r="A48" s="2149"/>
      <c r="B48" s="1174"/>
      <c r="C48" s="1174"/>
      <c r="D48" s="1174"/>
      <c r="E48" s="1174"/>
      <c r="F48" s="1174"/>
      <c r="G48" s="1098"/>
      <c r="H48" s="1098"/>
      <c r="I48" s="1098"/>
      <c r="J48" s="1098"/>
      <c r="K48" s="1098"/>
      <c r="L48" s="1098"/>
      <c r="M48" s="1098"/>
      <c r="N48" s="1098"/>
      <c r="O48" s="1098"/>
      <c r="P48" s="1098"/>
      <c r="Q48" s="1098"/>
      <c r="R48" s="1098"/>
      <c r="S48" s="1098"/>
      <c r="T48" s="1098"/>
      <c r="AG48" s="2807"/>
    </row>
    <row r="49" spans="1:33">
      <c r="A49" s="2450" t="s">
        <v>1749</v>
      </c>
      <c r="B49" s="2561"/>
      <c r="C49" s="2561"/>
      <c r="D49" s="2561"/>
      <c r="E49" s="2561"/>
      <c r="F49" s="2561"/>
      <c r="G49" s="2562"/>
      <c r="H49" s="2562"/>
      <c r="I49" s="2562"/>
      <c r="J49" s="2562"/>
      <c r="K49" s="2562"/>
      <c r="L49" s="2562"/>
      <c r="M49" s="2562"/>
      <c r="N49" s="2562"/>
      <c r="O49" s="2562"/>
      <c r="P49" s="2562"/>
      <c r="Q49" s="2562"/>
      <c r="R49" s="2562"/>
      <c r="S49" s="2562"/>
      <c r="T49" s="2562"/>
      <c r="X49" s="2562"/>
      <c r="Y49" s="2562"/>
      <c r="Z49" s="2562"/>
      <c r="AA49" s="2562"/>
      <c r="AC49" s="2562"/>
      <c r="AD49" s="2562"/>
      <c r="AE49" s="2562"/>
      <c r="AF49" s="2562"/>
      <c r="AG49" s="2807"/>
    </row>
    <row r="50" spans="1:33">
      <c r="A50" s="1494" t="s">
        <v>1750</v>
      </c>
      <c r="E50" s="1101"/>
      <c r="F50" s="2007">
        <f>'CBS Interactive'!S125+'CBS Interactive'!S131</f>
        <v>0.40432500000000005</v>
      </c>
      <c r="G50" s="2007">
        <f>'CBS Interactive'!T125+'CBS Interactive'!T131</f>
        <v>17.143380000000001</v>
      </c>
      <c r="H50" s="2007">
        <f>'CBS Interactive'!U125+'CBS Interactive'!U131</f>
        <v>60.450299999999999</v>
      </c>
      <c r="I50" s="2007">
        <f>'CBS Interactive'!V125+'CBS Interactive'!V131</f>
        <v>112.40248500000001</v>
      </c>
      <c r="J50" s="2007">
        <f>'CBS Interactive'!W125+'CBS Interactive'!W131</f>
        <v>185.71572000000003</v>
      </c>
      <c r="K50" s="2007">
        <f>'CBS Interactive'!X125+'CBS Interactive'!X131</f>
        <v>238.61250000000004</v>
      </c>
      <c r="L50" s="2007">
        <f>'CBS Interactive'!Y125+'CBS Interactive'!Y131</f>
        <v>275.66460000000006</v>
      </c>
      <c r="M50" s="2007">
        <f>'CBS Interactive'!Z125+'CBS Interactive'!Z131</f>
        <v>305.94888000000003</v>
      </c>
      <c r="N50" s="2007">
        <f>'CBS Interactive'!AA125+'CBS Interactive'!AA131</f>
        <v>341.41332492000009</v>
      </c>
      <c r="O50" s="2007">
        <f>'CBS Interactive'!AB125+'CBS Interactive'!AB131</f>
        <v>380.37026444022013</v>
      </c>
      <c r="P50" s="2007">
        <f>'CBS Interactive'!AC125+'CBS Interactive'!AC131</f>
        <v>419.87854954093541</v>
      </c>
      <c r="Q50" s="2007">
        <f>'CBS Interactive'!AD125+'CBS Interactive'!AD131</f>
        <v>459.96799388557065</v>
      </c>
      <c r="R50" s="2007">
        <f>'CBS Interactive'!AE125+'CBS Interactive'!AE131</f>
        <v>500.66902017158918</v>
      </c>
      <c r="S50" s="2007">
        <f>'CBS Interactive'!AF125+'CBS Interactive'!AF131</f>
        <v>542.01268453709508</v>
      </c>
      <c r="T50" s="2007">
        <f>'CBS Interactive'!AG125+'CBS Interactive'!AG131</f>
        <v>584.03070156771855</v>
      </c>
      <c r="X50" s="2578">
        <f>'CBS Interactive'!CV125+'CBS Interactive'!CV131</f>
        <v>21.22119</v>
      </c>
      <c r="Y50" s="2578">
        <f>'CBS Interactive'!CW125+'CBS Interactive'!CW131</f>
        <v>24.999165000000001</v>
      </c>
      <c r="Z50" s="2578">
        <f>'CBS Interactive'!CX125+'CBS Interactive'!CX131</f>
        <v>30.432780000000001</v>
      </c>
      <c r="AA50" s="2578">
        <f>'CBS Interactive'!CY125+'CBS Interactive'!CY131</f>
        <v>35.749350000000007</v>
      </c>
      <c r="AB50" s="1741">
        <f>I50-SUM(X50:AA50)</f>
        <v>0</v>
      </c>
      <c r="AC50" s="2578">
        <f>'CBS Interactive'!DA125+'CBS Interactive'!DA131</f>
        <v>40.8078</v>
      </c>
      <c r="AD50" s="2578">
        <f>'CBS Interactive'!DB125+'CBS Interactive'!DB131</f>
        <v>44.496945000000004</v>
      </c>
      <c r="AE50" s="2578">
        <f>'CBS Interactive'!DC125+'CBS Interactive'!DC131</f>
        <v>48.03840000000001</v>
      </c>
      <c r="AF50" s="2578">
        <f>'CBS Interactive'!DD125+'CBS Interactive'!DD131</f>
        <v>52.372575000000005</v>
      </c>
      <c r="AG50" s="2835">
        <f>J50-SUM(AC50:AF50)</f>
        <v>0</v>
      </c>
    </row>
    <row r="51" spans="1:33">
      <c r="A51" s="2149" t="s">
        <v>1522</v>
      </c>
      <c r="G51" s="2380" t="s">
        <v>348</v>
      </c>
      <c r="H51" s="2380" t="s">
        <v>348</v>
      </c>
      <c r="I51" s="1476">
        <f t="shared" ref="I51:T51" si="58">I50/H50-1</f>
        <v>0.85941980436821686</v>
      </c>
      <c r="J51" s="1476">
        <f t="shared" si="58"/>
        <v>0.65223856038414119</v>
      </c>
      <c r="K51" s="1476">
        <f t="shared" si="58"/>
        <v>0.28482661564675293</v>
      </c>
      <c r="L51" s="1476">
        <f t="shared" si="58"/>
        <v>0.15528147100424339</v>
      </c>
      <c r="M51" s="1476">
        <f t="shared" si="58"/>
        <v>0.10985915492957732</v>
      </c>
      <c r="N51" s="1476">
        <f t="shared" si="58"/>
        <v>0.11591624365482245</v>
      </c>
      <c r="O51" s="1476">
        <f t="shared" si="58"/>
        <v>0.11410491822294411</v>
      </c>
      <c r="P51" s="1476">
        <f t="shared" si="58"/>
        <v>0.10386796443948754</v>
      </c>
      <c r="Q51" s="1476">
        <f t="shared" si="58"/>
        <v>9.547866731574195E-2</v>
      </c>
      <c r="R51" s="1476">
        <f t="shared" si="58"/>
        <v>8.8486648695265568E-2</v>
      </c>
      <c r="S51" s="1476">
        <f t="shared" si="58"/>
        <v>8.2576837590903063E-2</v>
      </c>
      <c r="T51" s="1476">
        <f t="shared" si="58"/>
        <v>7.7522202393674355E-2</v>
      </c>
      <c r="AG51" s="2807"/>
    </row>
    <row r="52" spans="1:33">
      <c r="H52" s="1101"/>
      <c r="I52" s="1101"/>
      <c r="J52" s="1101"/>
      <c r="K52" s="1101"/>
      <c r="L52" s="1101"/>
      <c r="M52" s="1101"/>
      <c r="N52" s="1101"/>
      <c r="O52" s="1101"/>
      <c r="P52" s="1101"/>
      <c r="Q52" s="1101"/>
      <c r="R52" s="1101"/>
      <c r="S52" s="1101"/>
      <c r="T52" s="1101"/>
      <c r="AG52" s="2807"/>
    </row>
    <row r="53" spans="1:33">
      <c r="A53" s="2571" t="s">
        <v>1744</v>
      </c>
      <c r="B53" s="2572">
        <f t="shared" ref="B53:S53" si="59">B23+B46+B50</f>
        <v>95.935834824846069</v>
      </c>
      <c r="C53" s="2572">
        <f t="shared" si="59"/>
        <v>197.38799697179414</v>
      </c>
      <c r="D53" s="2572">
        <f t="shared" si="59"/>
        <v>280.8</v>
      </c>
      <c r="E53" s="2572">
        <f t="shared" si="59"/>
        <v>391.06799999999998</v>
      </c>
      <c r="F53" s="2572">
        <f t="shared" si="59"/>
        <v>544.01032499999997</v>
      </c>
      <c r="G53" s="3541">
        <f t="shared" si="59"/>
        <v>779.29631488714881</v>
      </c>
      <c r="H53" s="3541">
        <f t="shared" si="59"/>
        <v>1099.0102023272816</v>
      </c>
      <c r="I53" s="3541">
        <f t="shared" si="59"/>
        <v>1447.3887832461737</v>
      </c>
      <c r="J53" s="3541">
        <f t="shared" si="59"/>
        <v>1908.4381975255924</v>
      </c>
      <c r="K53" s="3541">
        <f t="shared" si="59"/>
        <v>2330.439478967684</v>
      </c>
      <c r="L53" s="3541">
        <f t="shared" si="59"/>
        <v>2887.4273761596055</v>
      </c>
      <c r="M53" s="3541">
        <f t="shared" si="59"/>
        <v>3311.5394878628476</v>
      </c>
      <c r="N53" s="3541">
        <f t="shared" si="59"/>
        <v>3569.4321739158399</v>
      </c>
      <c r="O53" s="3541">
        <f t="shared" si="59"/>
        <v>3805.9514342182165</v>
      </c>
      <c r="P53" s="3541">
        <f t="shared" si="59"/>
        <v>4016.5804070231088</v>
      </c>
      <c r="Q53" s="3541">
        <f t="shared" si="59"/>
        <v>4215.9465037103155</v>
      </c>
      <c r="R53" s="3541">
        <f t="shared" si="59"/>
        <v>4423.8808608427807</v>
      </c>
      <c r="S53" s="3541">
        <f t="shared" si="59"/>
        <v>4637.7548403713554</v>
      </c>
      <c r="T53" s="3541">
        <f t="shared" ref="T53" si="60">T23+T46+T50</f>
        <v>4843.8518992830941</v>
      </c>
      <c r="X53" s="2572">
        <f>X23+X46+X50</f>
        <v>354.34215050783428</v>
      </c>
      <c r="Y53" s="2572">
        <f>Y23+Y46+Y50</f>
        <v>356.40766527287491</v>
      </c>
      <c r="Z53" s="2572">
        <f>Z23+Z46+Z50</f>
        <v>361.90014325806675</v>
      </c>
      <c r="AA53" s="2572">
        <f>AA23+AA46+AA50</f>
        <v>374.73882420739773</v>
      </c>
      <c r="AB53" s="1741">
        <f>I53-SUM(X53:AA53)</f>
        <v>0</v>
      </c>
      <c r="AC53" s="2572">
        <f>AC23+AC46+AC50</f>
        <v>465.80766805890374</v>
      </c>
      <c r="AD53" s="2572">
        <f>AD23+AD46+AD50</f>
        <v>473.59684501990591</v>
      </c>
      <c r="AE53" s="2572">
        <f>AE23+AE46+AE50</f>
        <v>477.27466825257045</v>
      </c>
      <c r="AF53" s="2572">
        <f>AF23+AF46+AF50</f>
        <v>491.75901619421239</v>
      </c>
      <c r="AG53" s="2835">
        <f>J53-SUM(AC53:AF53)</f>
        <v>0</v>
      </c>
    </row>
    <row r="54" spans="1:33">
      <c r="A54" s="2149" t="s">
        <v>1522</v>
      </c>
      <c r="B54" s="1476"/>
      <c r="C54" s="2569">
        <f t="shared" ref="C54:T54" si="61">C53/B53-1</f>
        <v>1.0575001753221138</v>
      </c>
      <c r="D54" s="1476">
        <f t="shared" si="61"/>
        <v>0.42257890199942127</v>
      </c>
      <c r="E54" s="1476">
        <f t="shared" si="61"/>
        <v>0.39269230769230767</v>
      </c>
      <c r="F54" s="1476">
        <f t="shared" si="61"/>
        <v>0.39108882598422778</v>
      </c>
      <c r="G54" s="1476">
        <f t="shared" si="61"/>
        <v>0.43250280201418767</v>
      </c>
      <c r="H54" s="1476">
        <f t="shared" si="61"/>
        <v>0.41025971935518668</v>
      </c>
      <c r="I54" s="1476">
        <f t="shared" si="61"/>
        <v>0.31699303626222952</v>
      </c>
      <c r="J54" s="1476">
        <f t="shared" si="61"/>
        <v>0.31853875034556123</v>
      </c>
      <c r="K54" s="1476">
        <f t="shared" si="61"/>
        <v>0.22112389177141933</v>
      </c>
      <c r="L54" s="1476">
        <f t="shared" si="61"/>
        <v>0.23900551900993827</v>
      </c>
      <c r="M54" s="1476">
        <f t="shared" si="61"/>
        <v>0.14688234765832564</v>
      </c>
      <c r="N54" s="1476">
        <f t="shared" si="61"/>
        <v>7.7876977459636842E-2</v>
      </c>
      <c r="O54" s="1476">
        <f t="shared" si="61"/>
        <v>6.6262433008470234E-2</v>
      </c>
      <c r="P54" s="1476">
        <f t="shared" si="61"/>
        <v>5.5342002241854038E-2</v>
      </c>
      <c r="Q54" s="1476">
        <f t="shared" si="61"/>
        <v>4.9635778817874288E-2</v>
      </c>
      <c r="R54" s="1476">
        <f t="shared" si="61"/>
        <v>4.9320919264385532E-2</v>
      </c>
      <c r="S54" s="1476">
        <f t="shared" si="61"/>
        <v>4.8345329871254838E-2</v>
      </c>
      <c r="T54" s="1476">
        <f t="shared" si="61"/>
        <v>4.4438972305667734E-2</v>
      </c>
      <c r="AG54" s="2807"/>
    </row>
    <row r="55" spans="1:33">
      <c r="A55" s="2149" t="s">
        <v>1745</v>
      </c>
      <c r="B55" s="1476">
        <f>B53/(Drivers!J250-Drivers!J222-Drivers!J128)</f>
        <v>8.798023928366823E-3</v>
      </c>
      <c r="C55" s="1476">
        <f>C53/(Drivers!K250-Drivers!K222-Drivers!K128)</f>
        <v>1.792676253966961E-2</v>
      </c>
      <c r="D55" s="1476">
        <f>D53/(Drivers!L250-Drivers!L222-Drivers!L128)</f>
        <v>2.4460782605665705E-2</v>
      </c>
      <c r="E55" s="1476">
        <f>E53/(Drivers!O250-Drivers!O128)</f>
        <v>3.0796150756776334E-2</v>
      </c>
      <c r="F55" s="1476">
        <f>F53/(Drivers!P250-Drivers!P128)</f>
        <v>4.3510383507958085E-2</v>
      </c>
      <c r="G55" s="1476">
        <f>G53/(Drivers!Q250-Drivers!Q128)</f>
        <v>6.1584978258823204E-2</v>
      </c>
      <c r="H55" s="1476">
        <f>H53/(Drivers!R250-Drivers!R128)</f>
        <v>8.3473355789706938E-2</v>
      </c>
      <c r="I55" s="1476">
        <f>I53/(Drivers!T250-Drivers!T128)</f>
        <v>0.1067561102139364</v>
      </c>
      <c r="J55" s="1476">
        <f>J53/(Drivers!U250-Drivers!U128)</f>
        <v>0.13230707670521524</v>
      </c>
      <c r="K55" s="1476">
        <f>K53/(Drivers!V250-Drivers!V128)</f>
        <v>0.1506097591080067</v>
      </c>
      <c r="L55" s="1476">
        <f>L53/(Drivers!W250-Drivers!W128)</f>
        <v>0.18187391742673656</v>
      </c>
      <c r="M55" s="1476">
        <f>M53/(Drivers!X250-Drivers!X128)</f>
        <v>0.20121513749152617</v>
      </c>
      <c r="N55" s="1476">
        <f>N53/(Drivers!Y250-Drivers!Y128)</f>
        <v>0.20360337023696376</v>
      </c>
      <c r="O55" s="1476">
        <f>O53/(Drivers!Z250-Drivers!Z128)</f>
        <v>0.218370054639238</v>
      </c>
      <c r="P55" s="1476">
        <f>P53/(Drivers!AA250-Drivers!AA128)</f>
        <v>0.22368039982550533</v>
      </c>
      <c r="Q55" s="1476">
        <f>Q53/(Drivers!AB250-Drivers!AB128)</f>
        <v>0.22283994274775998</v>
      </c>
      <c r="R55" s="1476">
        <f>R53/(Drivers!AC250-Drivers!AC128)</f>
        <v>0.23587993010603853</v>
      </c>
      <c r="S55" s="1476">
        <f>S53/(Drivers!AD250-Drivers!AD128)</f>
        <v>0.24232386509137932</v>
      </c>
      <c r="T55" s="1476">
        <f>T53/(Drivers!AE250-Drivers!AE128)</f>
        <v>0.23766414699595292</v>
      </c>
      <c r="AG55" s="2807"/>
    </row>
    <row r="56" spans="1:33">
      <c r="AG56" s="2807"/>
    </row>
    <row r="57" spans="1:33">
      <c r="I57" s="3256"/>
      <c r="J57" s="3256"/>
      <c r="K57" s="3256"/>
      <c r="L57" s="3256"/>
      <c r="M57" s="3256"/>
      <c r="N57" s="3256"/>
      <c r="O57" s="3256"/>
      <c r="P57" s="3256"/>
      <c r="Q57" s="3256"/>
      <c r="R57" s="3256"/>
      <c r="S57" s="3256"/>
      <c r="T57" s="3256"/>
      <c r="AG57" s="2807"/>
    </row>
    <row r="58" spans="1:33">
      <c r="AG58" s="2807"/>
    </row>
    <row r="59" spans="1:33">
      <c r="AG59" s="2807"/>
    </row>
    <row r="60" spans="1:33">
      <c r="A60" s="1296" t="s">
        <v>1824</v>
      </c>
      <c r="B60" s="138">
        <v>2010</v>
      </c>
      <c r="C60" s="138">
        <v>2011</v>
      </c>
      <c r="D60" s="138">
        <v>2012</v>
      </c>
      <c r="E60" s="138">
        <v>2013</v>
      </c>
      <c r="F60" s="138">
        <v>2014</v>
      </c>
      <c r="G60" s="138">
        <v>2015</v>
      </c>
      <c r="H60" s="138" t="s">
        <v>221</v>
      </c>
      <c r="I60" s="138" t="s">
        <v>469</v>
      </c>
      <c r="J60" s="138" t="s">
        <v>618</v>
      </c>
      <c r="K60" s="138" t="s">
        <v>385</v>
      </c>
      <c r="L60" s="138" t="s">
        <v>1080</v>
      </c>
      <c r="M60" s="138" t="s">
        <v>345</v>
      </c>
      <c r="N60" s="138" t="s">
        <v>346</v>
      </c>
      <c r="O60" s="138" t="s">
        <v>1122</v>
      </c>
      <c r="P60" s="138" t="s">
        <v>1123</v>
      </c>
      <c r="Q60" s="138" t="s">
        <v>1519</v>
      </c>
      <c r="R60" s="138" t="s">
        <v>1609</v>
      </c>
      <c r="S60" s="138" t="s">
        <v>1698</v>
      </c>
      <c r="T60" s="138" t="s">
        <v>1803</v>
      </c>
      <c r="AG60" s="2807"/>
    </row>
    <row r="61" spans="1:33">
      <c r="A61" s="906" t="s">
        <v>1266</v>
      </c>
      <c r="B61" s="1356"/>
      <c r="C61" s="1356"/>
      <c r="D61" s="1679">
        <v>114.2</v>
      </c>
      <c r="E61" s="1679">
        <v>115.6</v>
      </c>
      <c r="F61" s="1679">
        <v>116.3</v>
      </c>
      <c r="G61" s="1679">
        <v>116.4</v>
      </c>
      <c r="H61" s="1679">
        <v>118.4</v>
      </c>
      <c r="I61" s="1679">
        <v>119.6</v>
      </c>
      <c r="J61" s="1679">
        <v>120.80008094594592</v>
      </c>
      <c r="K61" s="1679">
        <v>122.00000242969429</v>
      </c>
      <c r="L61" s="1679">
        <v>123.19952169109521</v>
      </c>
      <c r="M61" s="1679">
        <v>124.3983936922138</v>
      </c>
      <c r="N61" s="1679">
        <v>125.59637119342894</v>
      </c>
      <c r="O61" s="1679">
        <v>126.67907953450511</v>
      </c>
      <c r="P61" s="1679">
        <v>127.64335028300971</v>
      </c>
      <c r="Q61" s="1679">
        <v>128.48634602026937</v>
      </c>
      <c r="R61" s="1679">
        <v>129.20557425012984</v>
      </c>
      <c r="S61" s="1679">
        <v>129.7988996765273</v>
      </c>
      <c r="T61" s="1679">
        <v>130.39494971495216</v>
      </c>
      <c r="AG61" s="2807"/>
    </row>
    <row r="62" spans="1:33">
      <c r="A62" s="906" t="s">
        <v>1267</v>
      </c>
      <c r="B62" s="1101"/>
      <c r="C62" s="1101"/>
      <c r="D62" s="1679">
        <v>54.907868552249695</v>
      </c>
      <c r="E62" s="1679">
        <v>53.055869609998993</v>
      </c>
      <c r="F62" s="1679">
        <v>52.037877948785322</v>
      </c>
      <c r="G62" s="1679">
        <v>51.549588083636777</v>
      </c>
      <c r="H62" s="1679">
        <v>51.141802408914565</v>
      </c>
      <c r="I62" s="1679">
        <v>50.287640992984066</v>
      </c>
      <c r="J62" s="1679">
        <v>49.649444832570175</v>
      </c>
      <c r="K62" s="1679">
        <v>49.132980356535896</v>
      </c>
      <c r="L62" s="1679">
        <v>48.663573948634024</v>
      </c>
      <c r="M62" s="1679">
        <v>48.230268875097401</v>
      </c>
      <c r="N62" s="1679">
        <v>47.816951883035919</v>
      </c>
      <c r="O62" s="1679">
        <v>47.4184021511537</v>
      </c>
      <c r="P62" s="1679">
        <v>47.03478742030628</v>
      </c>
      <c r="Q62" s="1679">
        <v>46.678966126535087</v>
      </c>
      <c r="R62" s="1679">
        <v>46.345837083540651</v>
      </c>
      <c r="S62" s="1679">
        <v>46.026730254685432</v>
      </c>
      <c r="T62" s="1679">
        <v>45.709820584725819</v>
      </c>
      <c r="AG62" s="2807"/>
    </row>
    <row r="63" spans="1:33">
      <c r="A63" s="906" t="s">
        <v>1283</v>
      </c>
      <c r="B63" s="1101"/>
      <c r="C63" s="1101"/>
      <c r="D63" s="1679">
        <v>33.405000000000001</v>
      </c>
      <c r="E63" s="1679">
        <v>33.575000000000003</v>
      </c>
      <c r="F63" s="1679">
        <v>33.594999999999999</v>
      </c>
      <c r="G63" s="1679">
        <v>33.680999999999997</v>
      </c>
      <c r="H63" s="1679">
        <v>34.950000000000003</v>
      </c>
      <c r="I63" s="1679">
        <v>34.638949613013367</v>
      </c>
      <c r="J63" s="1679">
        <v>34.641363695173226</v>
      </c>
      <c r="K63" s="1679">
        <v>34.77470826272819</v>
      </c>
      <c r="L63" s="1679">
        <v>34.780482870356352</v>
      </c>
      <c r="M63" s="1679">
        <v>34.605063119055686</v>
      </c>
      <c r="N63" s="1679">
        <v>34.311600142927375</v>
      </c>
      <c r="O63" s="1679">
        <v>33.971335614027701</v>
      </c>
      <c r="P63" s="1679">
        <v>33.633979402371942</v>
      </c>
      <c r="Q63" s="1679">
        <v>33.320191530056881</v>
      </c>
      <c r="R63" s="1679">
        <v>33.062190537998369</v>
      </c>
      <c r="S63" s="1679">
        <v>32.825321260994059</v>
      </c>
      <c r="T63" s="1679">
        <v>32.590148999628326</v>
      </c>
      <c r="AG63" s="2807"/>
    </row>
    <row r="64" spans="1:33">
      <c r="A64" s="906" t="s">
        <v>1284</v>
      </c>
      <c r="B64" s="1101"/>
      <c r="C64" s="1101"/>
      <c r="D64" s="939">
        <v>6.9692350783023176E-3</v>
      </c>
      <c r="E64" s="939">
        <v>5.9692350783023176E-3</v>
      </c>
      <c r="F64" s="939">
        <v>4.9692350783023176E-3</v>
      </c>
      <c r="G64" s="939">
        <v>3.9692350783023175E-3</v>
      </c>
      <c r="H64" s="939">
        <v>2.9692350783023175E-3</v>
      </c>
      <c r="I64" s="939">
        <v>2.5000000000000001E-3</v>
      </c>
      <c r="J64" s="939">
        <v>2.5000000000000001E-3</v>
      </c>
      <c r="K64" s="939">
        <v>2.5000000000000001E-3</v>
      </c>
      <c r="L64" s="939">
        <v>2.5000000000000001E-3</v>
      </c>
      <c r="M64" s="939">
        <v>2.5000000000000001E-3</v>
      </c>
      <c r="N64" s="1561">
        <v>2.5000000000000001E-3</v>
      </c>
      <c r="O64" s="1561">
        <v>2.5000000000000001E-3</v>
      </c>
      <c r="P64" s="1561">
        <v>2.5000000000000001E-3</v>
      </c>
      <c r="Q64" s="1561">
        <v>2.5000000000000001E-3</v>
      </c>
      <c r="R64" s="1561">
        <v>2.5000000000000001E-3</v>
      </c>
      <c r="S64" s="1561">
        <v>2.5000000000000001E-3</v>
      </c>
      <c r="T64" s="1561">
        <v>2.5000000000000001E-3</v>
      </c>
      <c r="AG64" s="2807"/>
    </row>
    <row r="65" spans="1:33">
      <c r="A65" s="906" t="s">
        <v>1285</v>
      </c>
      <c r="B65" s="1101"/>
      <c r="C65" s="1101"/>
      <c r="D65" s="1679">
        <v>-0.68837076315708134</v>
      </c>
      <c r="E65" s="1679">
        <v>-0.65772607163441599</v>
      </c>
      <c r="F65" s="1679">
        <v>-0.62810270192492434</v>
      </c>
      <c r="G65" s="1679">
        <v>-0.52361441126001151</v>
      </c>
      <c r="H65" s="1679">
        <v>-0.44041191014556369</v>
      </c>
      <c r="I65" s="1679">
        <v>-0.34999801171001688</v>
      </c>
      <c r="J65" s="1679">
        <v>-0.23986435902519582</v>
      </c>
      <c r="K65" s="1679">
        <v>-0.18054219056204332</v>
      </c>
      <c r="L65" s="1679">
        <v>-0.17433215361892687</v>
      </c>
      <c r="M65" s="1679">
        <v>-0.17433215361892687</v>
      </c>
      <c r="N65" s="1679">
        <v>-0.17433215361892687</v>
      </c>
      <c r="O65" s="1679">
        <v>-0.17433215361892687</v>
      </c>
      <c r="P65" s="1679">
        <v>-0.17433215361892687</v>
      </c>
      <c r="Q65" s="1679">
        <v>-0.17433215361892687</v>
      </c>
      <c r="R65" s="1679">
        <v>-0.17433215361892687</v>
      </c>
      <c r="S65" s="1679">
        <v>-0.17433215361892687</v>
      </c>
      <c r="T65" s="1679">
        <v>-0.17433215361892687</v>
      </c>
      <c r="AG65" s="2807"/>
    </row>
    <row r="66" spans="1:33">
      <c r="A66" s="906" t="s">
        <v>1520</v>
      </c>
      <c r="B66" s="1101"/>
      <c r="C66" s="1101"/>
      <c r="D66" s="1679">
        <v>9.8460000000000001</v>
      </c>
      <c r="E66" s="1679">
        <v>11.387940474273366</v>
      </c>
      <c r="F66" s="1679">
        <v>12.466586278069062</v>
      </c>
      <c r="G66" s="1679">
        <v>12.30740214074306</v>
      </c>
      <c r="H66" s="1679">
        <v>10.676173244614855</v>
      </c>
      <c r="I66" s="1679">
        <v>9.6506130173251137</v>
      </c>
      <c r="J66" s="1679">
        <v>9.256950858222293</v>
      </c>
      <c r="K66" s="1679">
        <v>8.8860397768503194</v>
      </c>
      <c r="L66" s="1679">
        <v>8.5349923144499371</v>
      </c>
      <c r="M66" s="1679">
        <v>8.2011620454975507</v>
      </c>
      <c r="N66" s="1679">
        <v>7.8821183461874069</v>
      </c>
      <c r="O66" s="1679">
        <v>7.5759854708283605</v>
      </c>
      <c r="P66" s="1679">
        <v>7.2799098747388076</v>
      </c>
      <c r="Q66" s="1679">
        <v>6.9920364828520283</v>
      </c>
      <c r="R66" s="1679">
        <v>6.7810746977861616</v>
      </c>
      <c r="S66" s="1679">
        <v>6.5711314569894901</v>
      </c>
      <c r="T66" s="1679">
        <v>6.3676880950941088</v>
      </c>
    </row>
    <row r="67" spans="1:33">
      <c r="A67" s="948" t="s">
        <v>1521</v>
      </c>
      <c r="B67" s="1116"/>
      <c r="C67" s="1116"/>
      <c r="D67" s="1467">
        <v>0.26595963867107092</v>
      </c>
      <c r="E67" s="1467">
        <v>0.24048356538017834</v>
      </c>
      <c r="F67" s="1467">
        <v>0.21643520884216377</v>
      </c>
      <c r="G67" s="1467">
        <v>0.24396992751583457</v>
      </c>
      <c r="H67" s="1467">
        <v>0.35038195650949272</v>
      </c>
      <c r="I67" s="1467">
        <v>1.4275954891273632</v>
      </c>
      <c r="J67" s="1467">
        <v>2.7088988722818521</v>
      </c>
      <c r="K67" s="1467">
        <v>3.5981247180704852</v>
      </c>
      <c r="L67" s="1467">
        <v>5.2790111795176031</v>
      </c>
      <c r="M67" s="1467">
        <v>6.9492587948793876</v>
      </c>
      <c r="N67" s="1467">
        <v>8.4237203987198406</v>
      </c>
      <c r="O67" s="1467">
        <v>9.7730155146799511</v>
      </c>
      <c r="P67" s="1467">
        <v>11.014835022919989</v>
      </c>
      <c r="Q67" s="1467">
        <v>12.114295842767479</v>
      </c>
      <c r="R67" s="1467">
        <v>13.1343039433775</v>
      </c>
      <c r="S67" s="1467">
        <v>14.085878381895716</v>
      </c>
      <c r="T67" s="1467">
        <v>15.106393962323308</v>
      </c>
    </row>
    <row r="68" spans="1:33">
      <c r="A68" s="906" t="s">
        <v>586</v>
      </c>
      <c r="B68" s="1680">
        <v>97.165806379406575</v>
      </c>
      <c r="C68" s="1680">
        <v>97.3999957941585</v>
      </c>
      <c r="D68" s="1680">
        <f>SUM(D62:D63,D65:D67)</f>
        <v>97.736457427763696</v>
      </c>
      <c r="E68" s="1680">
        <f t="shared" ref="E68:R68" si="62">SUM(E62:E63,E65:E67)</f>
        <v>97.60156757801812</v>
      </c>
      <c r="F68" s="1680">
        <f>SUM(F62:F63,F65:F67)</f>
        <v>97.68779673377162</v>
      </c>
      <c r="G68" s="1680">
        <f t="shared" si="62"/>
        <v>97.258345740635662</v>
      </c>
      <c r="H68" s="1680">
        <f t="shared" si="62"/>
        <v>96.677945699893343</v>
      </c>
      <c r="I68" s="1680">
        <f t="shared" si="62"/>
        <v>95.654801100739903</v>
      </c>
      <c r="J68" s="1680">
        <f t="shared" si="62"/>
        <v>96.01679389922235</v>
      </c>
      <c r="K68" s="1680">
        <f t="shared" si="62"/>
        <v>96.211310923622861</v>
      </c>
      <c r="L68" s="1680">
        <f t="shared" si="62"/>
        <v>97.083728159338989</v>
      </c>
      <c r="M68" s="1680">
        <f t="shared" si="62"/>
        <v>97.811420680911098</v>
      </c>
      <c r="N68" s="1680">
        <f t="shared" si="62"/>
        <v>98.26005861725163</v>
      </c>
      <c r="O68" s="1680">
        <f t="shared" si="62"/>
        <v>98.564406597070786</v>
      </c>
      <c r="P68" s="1680">
        <f t="shared" si="62"/>
        <v>98.789179566718104</v>
      </c>
      <c r="Q68" s="1680">
        <f t="shared" si="62"/>
        <v>98.931157828592546</v>
      </c>
      <c r="R68" s="1680">
        <f t="shared" si="62"/>
        <v>99.14907410908377</v>
      </c>
      <c r="S68" s="1680">
        <f>SUM(S62:S63,S65:S67)</f>
        <v>99.334729200945773</v>
      </c>
      <c r="T68" s="1680">
        <f>SUM(T62:T63,T65:T67)</f>
        <v>99.599719488152644</v>
      </c>
    </row>
    <row r="69" spans="1:33" s="2068" customFormat="1">
      <c r="A69" s="2149" t="s">
        <v>1522</v>
      </c>
      <c r="E69" s="1104">
        <f>E68/D68-1</f>
        <v>-1.3801385204212924E-3</v>
      </c>
      <c r="F69" s="1104">
        <f t="shared" ref="F69:T69" si="63">F68/E68-1</f>
        <v>8.8348125848058956E-4</v>
      </c>
      <c r="G69" s="1104">
        <f t="shared" si="63"/>
        <v>-4.3961580411762124E-3</v>
      </c>
      <c r="H69" s="1104">
        <f t="shared" si="63"/>
        <v>-5.9676116874340934E-3</v>
      </c>
      <c r="I69" s="1104">
        <f t="shared" si="63"/>
        <v>-1.0583019650929226E-2</v>
      </c>
      <c r="J69" s="1104">
        <f t="shared" si="63"/>
        <v>3.7843662243488563E-3</v>
      </c>
      <c r="K69" s="1104">
        <f t="shared" si="63"/>
        <v>2.0258646066091401E-3</v>
      </c>
      <c r="L69" s="1104">
        <f t="shared" si="63"/>
        <v>9.06772007720269E-3</v>
      </c>
      <c r="M69" s="1104">
        <f t="shared" si="63"/>
        <v>7.4955148032405106E-3</v>
      </c>
      <c r="N69" s="1104">
        <f t="shared" si="63"/>
        <v>4.5867643391472868E-3</v>
      </c>
      <c r="O69" s="1104">
        <f t="shared" si="63"/>
        <v>3.097372259919684E-3</v>
      </c>
      <c r="P69" s="1104">
        <f t="shared" si="63"/>
        <v>2.280467943830633E-3</v>
      </c>
      <c r="Q69" s="1104">
        <f t="shared" si="63"/>
        <v>1.4371843404019646E-3</v>
      </c>
      <c r="R69" s="1104">
        <f t="shared" si="63"/>
        <v>2.2027062583134249E-3</v>
      </c>
      <c r="S69" s="1104">
        <f t="shared" si="63"/>
        <v>1.8724843729529539E-3</v>
      </c>
      <c r="T69" s="1104">
        <f t="shared" si="63"/>
        <v>2.6676499683289112E-3</v>
      </c>
    </row>
    <row r="70" spans="1:33">
      <c r="A70" s="2149"/>
      <c r="E70" s="1174"/>
      <c r="F70" s="1174"/>
      <c r="G70" s="1174"/>
      <c r="H70" s="1174"/>
      <c r="I70" s="1174"/>
      <c r="J70" s="1174"/>
      <c r="K70" s="1174"/>
      <c r="L70" s="1174"/>
      <c r="M70" s="1174"/>
      <c r="N70" s="1174"/>
      <c r="O70" s="1174"/>
      <c r="P70" s="1174"/>
      <c r="Q70" s="1174"/>
      <c r="R70" s="1174"/>
      <c r="S70" s="2482"/>
    </row>
    <row r="71" spans="1:33">
      <c r="A71" s="1681"/>
      <c r="Q71" s="3418"/>
      <c r="T71" s="1089"/>
    </row>
    <row r="72" spans="1:33" s="2068" customFormat="1" hidden="1" outlineLevel="1">
      <c r="A72" s="3258" t="s">
        <v>1790</v>
      </c>
      <c r="G72" s="2552">
        <v>0.4484849025948473</v>
      </c>
      <c r="H72" s="2552">
        <v>0.97036805682185168</v>
      </c>
      <c r="I72" s="2552">
        <v>1.4060479553532641</v>
      </c>
      <c r="J72" s="2552">
        <v>1.7616658800437168</v>
      </c>
      <c r="K72" s="2552">
        <v>2.0317380417714426</v>
      </c>
      <c r="L72" s="2552">
        <v>2.2386529678310665</v>
      </c>
      <c r="M72" s="2552">
        <v>2.3934324209566578</v>
      </c>
      <c r="N72" s="2552">
        <v>2.5078346254407906</v>
      </c>
      <c r="O72" s="2552">
        <v>2.592392776581236</v>
      </c>
      <c r="P72" s="2552">
        <v>2.654892279598088</v>
      </c>
      <c r="Q72" s="2552">
        <v>2.7010875644366292</v>
      </c>
      <c r="R72" s="2552">
        <v>2.7352319054042482</v>
      </c>
      <c r="S72" s="2552">
        <v>2.7604690269890084</v>
      </c>
      <c r="T72" s="2552">
        <v>2.7859390035300979</v>
      </c>
    </row>
    <row r="73" spans="1:33" s="2068" customFormat="1" hidden="1" outlineLevel="1">
      <c r="A73" s="3261" t="s">
        <v>1794</v>
      </c>
      <c r="B73" s="3259"/>
      <c r="C73" s="3259"/>
      <c r="D73" s="3259"/>
      <c r="E73" s="3259"/>
      <c r="F73" s="3259"/>
      <c r="G73" s="3260">
        <v>0</v>
      </c>
      <c r="H73" s="3260">
        <v>0.26700000000000002</v>
      </c>
      <c r="I73" s="3260">
        <v>1.1120000000000001</v>
      </c>
      <c r="J73" s="3260">
        <v>2.5019999999999998</v>
      </c>
      <c r="K73" s="3260">
        <v>4.0657500000000004</v>
      </c>
      <c r="L73" s="3260">
        <v>5.3362968750000004</v>
      </c>
      <c r="M73" s="3260">
        <v>6.1700932617187503</v>
      </c>
      <c r="N73" s="3260">
        <v>6.6521317977905277</v>
      </c>
      <c r="O73" s="3260">
        <v>6.9119806961417201</v>
      </c>
      <c r="P73" s="3260">
        <v>7.0469803191132376</v>
      </c>
      <c r="Q73" s="3260">
        <v>7.1157984862920785</v>
      </c>
      <c r="R73" s="3260">
        <v>7.1811757451119771</v>
      </c>
      <c r="S73" s="3260">
        <v>7.2432841409908804</v>
      </c>
      <c r="T73" s="3260">
        <v>7.305929698607021</v>
      </c>
    </row>
    <row r="74" spans="1:33" s="2068" customFormat="1" hidden="1" outlineLevel="1">
      <c r="A74" s="3261" t="s">
        <v>1795</v>
      </c>
      <c r="B74" s="3259"/>
      <c r="C74" s="3259"/>
      <c r="D74" s="3259"/>
      <c r="E74" s="3259"/>
      <c r="F74" s="3259"/>
      <c r="G74" s="3260">
        <v>0.06</v>
      </c>
      <c r="H74" s="3260">
        <v>0.32</v>
      </c>
      <c r="I74" s="3260">
        <v>0.51</v>
      </c>
      <c r="J74" s="3260">
        <v>0.6905</v>
      </c>
      <c r="K74" s="3260">
        <v>0.86197499999999994</v>
      </c>
      <c r="L74" s="3260">
        <v>1.0248762499999999</v>
      </c>
      <c r="M74" s="3260">
        <v>1.1796324375</v>
      </c>
      <c r="N74" s="3260">
        <v>1.3266508156250001</v>
      </c>
      <c r="O74" s="3260">
        <v>1.4663182748437502</v>
      </c>
      <c r="P74" s="3260">
        <v>1.5990023611015629</v>
      </c>
      <c r="Q74" s="3260">
        <v>1.725052243046485</v>
      </c>
      <c r="R74" s="3260">
        <v>1.844799630894161</v>
      </c>
      <c r="S74" s="3260">
        <v>1.9585596493494533</v>
      </c>
      <c r="T74" s="3260">
        <v>2.0793347070438175</v>
      </c>
    </row>
    <row r="75" spans="1:33" s="2068" customFormat="1" hidden="1" outlineLevel="1">
      <c r="A75" s="3261" t="s">
        <v>1791</v>
      </c>
      <c r="B75" s="3259"/>
      <c r="C75" s="3259"/>
      <c r="D75" s="3259"/>
      <c r="E75" s="3259"/>
      <c r="F75" s="3259"/>
      <c r="G75" s="3260">
        <v>0</v>
      </c>
      <c r="H75" s="3260">
        <v>0</v>
      </c>
      <c r="I75" s="3260">
        <v>0.4</v>
      </c>
      <c r="J75" s="3260">
        <v>1</v>
      </c>
      <c r="K75" s="3260">
        <v>1.55</v>
      </c>
      <c r="L75" s="3260">
        <v>2.0499999999999998</v>
      </c>
      <c r="M75" s="3260">
        <v>2.5249999999999995</v>
      </c>
      <c r="N75" s="3260">
        <v>2.976249999999999</v>
      </c>
      <c r="O75" s="3260">
        <v>3.4049374999999986</v>
      </c>
      <c r="P75" s="3260">
        <v>3.8121906249999982</v>
      </c>
      <c r="Q75" s="3260">
        <v>4.1990810937499976</v>
      </c>
      <c r="R75" s="3260">
        <v>4.5666270390624968</v>
      </c>
      <c r="S75" s="3260">
        <v>4.9157956871093713</v>
      </c>
      <c r="T75" s="3260">
        <v>5.2916621021812302</v>
      </c>
    </row>
    <row r="76" spans="1:33" s="2068" customFormat="1" hidden="1" outlineLevel="1">
      <c r="A76" s="3261" t="s">
        <v>1793</v>
      </c>
      <c r="B76" s="3259"/>
      <c r="C76" s="3259"/>
      <c r="D76" s="3259"/>
      <c r="E76" s="3259"/>
      <c r="F76" s="3259"/>
      <c r="G76" s="3260">
        <v>0</v>
      </c>
      <c r="H76" s="3260">
        <v>0</v>
      </c>
      <c r="I76" s="3260">
        <v>0.65</v>
      </c>
      <c r="J76" s="3260">
        <v>1.4</v>
      </c>
      <c r="K76" s="3260">
        <v>1.9</v>
      </c>
      <c r="L76" s="3260">
        <v>2.4</v>
      </c>
      <c r="M76" s="3260">
        <v>2.875</v>
      </c>
      <c r="N76" s="3260">
        <v>3.3262499999999999</v>
      </c>
      <c r="O76" s="3260">
        <v>3.7549374999999996</v>
      </c>
      <c r="P76" s="3260">
        <v>4.1621906249999991</v>
      </c>
      <c r="Q76" s="3260">
        <v>4.549081093749999</v>
      </c>
      <c r="R76" s="3260">
        <v>4.9166270390624991</v>
      </c>
      <c r="S76" s="3260">
        <v>5.2657956871093745</v>
      </c>
      <c r="T76" s="3260">
        <v>5.6397615678546513</v>
      </c>
    </row>
    <row r="77" spans="1:33" s="2068" customFormat="1" hidden="1" outlineLevel="1">
      <c r="A77" s="2550" t="s">
        <v>677</v>
      </c>
      <c r="G77" s="2552">
        <v>0</v>
      </c>
      <c r="H77" s="2552">
        <v>0</v>
      </c>
      <c r="I77" s="2552">
        <v>0.17499999999999999</v>
      </c>
      <c r="J77" s="2552">
        <v>0.3</v>
      </c>
      <c r="K77" s="2552">
        <v>0.4</v>
      </c>
      <c r="L77" s="2552">
        <v>0.49500000000000005</v>
      </c>
      <c r="M77" s="2552">
        <v>0.58525000000000005</v>
      </c>
      <c r="N77" s="2552">
        <v>0.67098750000000007</v>
      </c>
      <c r="O77" s="2552">
        <v>0.75243812500000007</v>
      </c>
      <c r="P77" s="2552">
        <v>0.82981621875000011</v>
      </c>
      <c r="Q77" s="2552">
        <v>0.90332540781250015</v>
      </c>
      <c r="R77" s="2552">
        <v>0.97315913742187521</v>
      </c>
      <c r="S77" s="2552">
        <v>1.0395011805507814</v>
      </c>
      <c r="T77" s="2552">
        <v>1.1103658824281608</v>
      </c>
    </row>
    <row r="78" spans="1:33" ht="13.5" hidden="1" outlineLevel="1" thickBot="1">
      <c r="A78" s="2547" t="s">
        <v>1700</v>
      </c>
      <c r="B78" s="2548"/>
      <c r="C78" s="2548"/>
      <c r="D78" s="2548"/>
      <c r="E78" s="2553">
        <f t="shared" ref="E78:T78" si="64">SUM(E72:E77)</f>
        <v>0</v>
      </c>
      <c r="F78" s="2553">
        <f t="shared" si="64"/>
        <v>0</v>
      </c>
      <c r="G78" s="2553">
        <f t="shared" si="64"/>
        <v>0.50848490259484724</v>
      </c>
      <c r="H78" s="2553">
        <f t="shared" si="64"/>
        <v>1.5573680568218518</v>
      </c>
      <c r="I78" s="2553">
        <f>SUM(I72:I77)</f>
        <v>4.2530479553532636</v>
      </c>
      <c r="J78" s="2553">
        <f t="shared" si="64"/>
        <v>7.654165880043716</v>
      </c>
      <c r="K78" s="2553">
        <f t="shared" si="64"/>
        <v>10.809463041771444</v>
      </c>
      <c r="L78" s="2553">
        <f t="shared" si="64"/>
        <v>13.544826092831066</v>
      </c>
      <c r="M78" s="2553">
        <f t="shared" si="64"/>
        <v>15.728408120175407</v>
      </c>
      <c r="N78" s="2553">
        <f t="shared" si="64"/>
        <v>17.460104738856312</v>
      </c>
      <c r="O78" s="2553">
        <f t="shared" si="64"/>
        <v>18.883004872566708</v>
      </c>
      <c r="P78" s="2553">
        <f t="shared" si="64"/>
        <v>20.105072428562888</v>
      </c>
      <c r="Q78" s="2553">
        <f t="shared" si="64"/>
        <v>21.193425889087688</v>
      </c>
      <c r="R78" s="2553">
        <f t="shared" si="64"/>
        <v>22.217620496957252</v>
      </c>
      <c r="S78" s="2553">
        <f t="shared" si="64"/>
        <v>23.183405372098871</v>
      </c>
      <c r="T78" s="2553">
        <f t="shared" si="64"/>
        <v>24.212992961644982</v>
      </c>
    </row>
    <row r="79" spans="1:33" s="875" customFormat="1" collapsed="1">
      <c r="A79" s="1392" t="s">
        <v>1699</v>
      </c>
      <c r="B79" s="2499">
        <v>97.165806379406575</v>
      </c>
      <c r="C79" s="2499">
        <v>97.3999957941585</v>
      </c>
      <c r="D79" s="2499">
        <v>97.736457427763696</v>
      </c>
      <c r="E79" s="2499">
        <v>97.60156757801812</v>
      </c>
      <c r="F79" s="2499">
        <f t="shared" ref="F79:S79" si="65">F68-F78</f>
        <v>97.68779673377162</v>
      </c>
      <c r="G79" s="2499">
        <f t="shared" si="65"/>
        <v>96.749860838040817</v>
      </c>
      <c r="H79" s="2499">
        <f t="shared" si="65"/>
        <v>95.120577643071485</v>
      </c>
      <c r="I79" s="2499">
        <f t="shared" si="65"/>
        <v>91.401753145386635</v>
      </c>
      <c r="J79" s="2499">
        <f t="shared" si="65"/>
        <v>88.362628019178629</v>
      </c>
      <c r="K79" s="2499">
        <f t="shared" si="65"/>
        <v>85.40184788185141</v>
      </c>
      <c r="L79" s="2499">
        <f t="shared" si="65"/>
        <v>83.538902066507916</v>
      </c>
      <c r="M79" s="2499">
        <f t="shared" si="65"/>
        <v>82.083012560735696</v>
      </c>
      <c r="N79" s="2499">
        <f t="shared" si="65"/>
        <v>80.799953878395314</v>
      </c>
      <c r="O79" s="2499">
        <f t="shared" si="65"/>
        <v>79.68140172450407</v>
      </c>
      <c r="P79" s="2499">
        <f t="shared" si="65"/>
        <v>78.684107138155213</v>
      </c>
      <c r="Q79" s="2499">
        <f t="shared" si="65"/>
        <v>77.737731939504854</v>
      </c>
      <c r="R79" s="2499">
        <f t="shared" si="65"/>
        <v>76.931453612126518</v>
      </c>
      <c r="S79" s="2499">
        <f t="shared" si="65"/>
        <v>76.151323828846898</v>
      </c>
      <c r="T79" s="2499">
        <f t="shared" ref="T79" si="66">T68-T78</f>
        <v>75.386726526507658</v>
      </c>
    </row>
    <row r="80" spans="1:33" s="2068" customFormat="1">
      <c r="A80" s="2149" t="s">
        <v>1522</v>
      </c>
      <c r="B80" s="1104"/>
      <c r="C80" s="1104">
        <v>2.4102039954001508E-3</v>
      </c>
      <c r="D80" s="1104">
        <v>3.4544317056877105E-3</v>
      </c>
      <c r="E80" s="1104">
        <v>-1.3801385204212924E-3</v>
      </c>
      <c r="F80" s="1104">
        <v>1.0320368398053503E-3</v>
      </c>
      <c r="G80" s="1104">
        <f>G79/F79-1</f>
        <v>-9.6013619622004054E-3</v>
      </c>
      <c r="H80" s="1104">
        <f t="shared" ref="H80:T80" si="67">H79/G79-1</f>
        <v>-1.6840160604434828E-2</v>
      </c>
      <c r="I80" s="1104">
        <f t="shared" si="67"/>
        <v>-3.9095899013978808E-2</v>
      </c>
      <c r="J80" s="1104">
        <f t="shared" si="67"/>
        <v>-3.3250184177253894E-2</v>
      </c>
      <c r="K80" s="1104">
        <f t="shared" si="67"/>
        <v>-3.3507153461807437E-2</v>
      </c>
      <c r="L80" s="1104">
        <f t="shared" si="67"/>
        <v>-2.1813881801723722E-2</v>
      </c>
      <c r="M80" s="1104">
        <f t="shared" si="67"/>
        <v>-1.7427683028598318E-2</v>
      </c>
      <c r="N80" s="1104">
        <f t="shared" si="67"/>
        <v>-1.5631232849683818E-2</v>
      </c>
      <c r="O80" s="1104">
        <f t="shared" si="67"/>
        <v>-1.3843475153150209E-2</v>
      </c>
      <c r="P80" s="1104">
        <f t="shared" si="67"/>
        <v>-1.2516027137637109E-2</v>
      </c>
      <c r="Q80" s="1104">
        <f t="shared" si="67"/>
        <v>-1.2027526689585399E-2</v>
      </c>
      <c r="R80" s="1104">
        <f t="shared" si="67"/>
        <v>-1.0371775806448547E-2</v>
      </c>
      <c r="S80" s="1104">
        <f t="shared" si="67"/>
        <v>-1.01405829040081E-2</v>
      </c>
      <c r="T80" s="1104">
        <f t="shared" si="67"/>
        <v>-1.0040499152157878E-2</v>
      </c>
    </row>
    <row r="81" spans="1:21">
      <c r="A81" s="2149"/>
      <c r="B81" s="1174"/>
      <c r="C81" s="1174"/>
      <c r="D81" s="1174"/>
      <c r="E81" s="1174"/>
      <c r="F81" s="1174"/>
      <c r="G81" s="1174"/>
      <c r="H81" s="1174"/>
      <c r="I81" s="1174"/>
      <c r="J81" s="1174"/>
      <c r="K81" s="1174"/>
      <c r="L81" s="1174"/>
      <c r="M81" s="1174"/>
      <c r="N81" s="1174"/>
      <c r="O81" s="1174"/>
      <c r="P81" s="1174"/>
      <c r="Q81" s="1174"/>
      <c r="R81" s="1174"/>
      <c r="S81" s="1174"/>
    </row>
    <row r="82" spans="1:21" s="2068" customFormat="1">
      <c r="A82" s="1745" t="s">
        <v>1523</v>
      </c>
      <c r="B82" s="2565"/>
      <c r="C82" s="2565"/>
      <c r="D82" s="2565"/>
      <c r="E82" s="2565"/>
      <c r="F82" s="2565"/>
      <c r="G82" s="2565"/>
      <c r="H82" s="2566">
        <v>0</v>
      </c>
      <c r="I82" s="2566">
        <v>0</v>
      </c>
      <c r="J82" s="2566">
        <v>0</v>
      </c>
      <c r="K82" s="2566">
        <v>0</v>
      </c>
      <c r="L82" s="2566">
        <v>0</v>
      </c>
      <c r="M82" s="2566">
        <v>0</v>
      </c>
      <c r="N82" s="2566">
        <v>0</v>
      </c>
      <c r="O82" s="2566">
        <v>0</v>
      </c>
      <c r="P82" s="2566">
        <v>0</v>
      </c>
      <c r="Q82" s="2566">
        <v>0</v>
      </c>
      <c r="R82" s="2566">
        <v>0</v>
      </c>
      <c r="S82" s="2566">
        <v>0</v>
      </c>
      <c r="T82" s="2566">
        <v>0</v>
      </c>
    </row>
    <row r="83" spans="1:21" s="2068" customFormat="1">
      <c r="A83" s="2564" t="s">
        <v>1524</v>
      </c>
      <c r="B83" s="2567"/>
      <c r="C83" s="2567"/>
      <c r="D83" s="2567"/>
      <c r="E83" s="2567"/>
      <c r="F83" s="2567"/>
      <c r="G83" s="2567"/>
      <c r="H83" s="2568">
        <f t="shared" ref="H83:S83" si="68">H69+H82</f>
        <v>-5.9676116874340934E-3</v>
      </c>
      <c r="I83" s="2568">
        <f t="shared" si="68"/>
        <v>-1.0583019650929226E-2</v>
      </c>
      <c r="J83" s="2568">
        <f t="shared" si="68"/>
        <v>3.7843662243488563E-3</v>
      </c>
      <c r="K83" s="2568">
        <f t="shared" si="68"/>
        <v>2.0258646066091401E-3</v>
      </c>
      <c r="L83" s="2568">
        <f t="shared" si="68"/>
        <v>9.06772007720269E-3</v>
      </c>
      <c r="M83" s="2568">
        <f>M69+M82</f>
        <v>7.4955148032405106E-3</v>
      </c>
      <c r="N83" s="2568">
        <f t="shared" si="68"/>
        <v>4.5867643391472868E-3</v>
      </c>
      <c r="O83" s="2568">
        <f t="shared" si="68"/>
        <v>3.097372259919684E-3</v>
      </c>
      <c r="P83" s="2568">
        <f t="shared" si="68"/>
        <v>2.280467943830633E-3</v>
      </c>
      <c r="Q83" s="2568">
        <f t="shared" si="68"/>
        <v>1.4371843404019646E-3</v>
      </c>
      <c r="R83" s="2568">
        <f t="shared" si="68"/>
        <v>2.2027062583134249E-3</v>
      </c>
      <c r="S83" s="2568">
        <f t="shared" si="68"/>
        <v>1.8724843729529539E-3</v>
      </c>
      <c r="T83" s="2568">
        <f t="shared" ref="T83" si="69">T69+T82</f>
        <v>2.6676499683289112E-3</v>
      </c>
    </row>
    <row r="84" spans="1:21">
      <c r="A84" s="2175"/>
      <c r="B84" s="1101"/>
      <c r="C84" s="1101"/>
      <c r="D84" s="1101"/>
      <c r="E84" s="1101"/>
      <c r="F84" s="1101"/>
      <c r="G84" s="1101"/>
      <c r="H84" s="1101"/>
      <c r="I84" s="1101"/>
      <c r="J84" s="1101"/>
      <c r="K84" s="1101"/>
      <c r="L84" s="1101"/>
      <c r="M84" s="1101"/>
      <c r="N84" s="1101"/>
      <c r="O84" s="1101"/>
      <c r="P84" s="1101"/>
      <c r="Q84" s="1101"/>
      <c r="R84" s="1101"/>
      <c r="S84" s="1101"/>
      <c r="T84" s="1101"/>
      <c r="U84" s="1101"/>
    </row>
    <row r="85" spans="1:21">
      <c r="A85" s="2175"/>
      <c r="B85" s="1101"/>
      <c r="C85" s="1101"/>
      <c r="D85" s="1101"/>
      <c r="E85" s="1101"/>
      <c r="F85" s="1101"/>
      <c r="G85" s="1101"/>
      <c r="H85" s="1101"/>
      <c r="I85" s="1101"/>
      <c r="J85" s="1101"/>
      <c r="K85" s="1101"/>
      <c r="L85" s="1101"/>
      <c r="M85" s="1101"/>
      <c r="N85" s="1101"/>
      <c r="O85" s="1101"/>
      <c r="P85" s="1101"/>
      <c r="Q85" s="1101"/>
      <c r="R85" s="1101"/>
      <c r="S85" s="1101"/>
      <c r="T85" s="1101"/>
      <c r="U85" s="1101"/>
    </row>
    <row r="87" spans="1:21" hidden="1" outlineLevel="1">
      <c r="A87" s="1296" t="s">
        <v>1696</v>
      </c>
      <c r="B87" s="138">
        <f t="shared" ref="B87:S87" si="70">B60</f>
        <v>2010</v>
      </c>
      <c r="C87" s="138">
        <f t="shared" si="70"/>
        <v>2011</v>
      </c>
      <c r="D87" s="138">
        <f t="shared" si="70"/>
        <v>2012</v>
      </c>
      <c r="E87" s="138">
        <f t="shared" si="70"/>
        <v>2013</v>
      </c>
      <c r="F87" s="138">
        <f t="shared" si="70"/>
        <v>2014</v>
      </c>
      <c r="G87" s="138">
        <f t="shared" si="70"/>
        <v>2015</v>
      </c>
      <c r="H87" s="138" t="str">
        <f t="shared" si="70"/>
        <v>2016E</v>
      </c>
      <c r="I87" s="138" t="str">
        <f t="shared" si="70"/>
        <v>2017E</v>
      </c>
      <c r="J87" s="138" t="str">
        <f t="shared" si="70"/>
        <v>2018E</v>
      </c>
      <c r="K87" s="138" t="str">
        <f t="shared" si="70"/>
        <v>2019E</v>
      </c>
      <c r="L87" s="138" t="str">
        <f t="shared" si="70"/>
        <v>2020E</v>
      </c>
      <c r="M87" s="138" t="str">
        <f t="shared" si="70"/>
        <v>2021E</v>
      </c>
      <c r="N87" s="138" t="str">
        <f t="shared" si="70"/>
        <v>2022E</v>
      </c>
      <c r="O87" s="138" t="str">
        <f t="shared" si="70"/>
        <v>2023E</v>
      </c>
      <c r="P87" s="138" t="str">
        <f t="shared" si="70"/>
        <v>2024E</v>
      </c>
      <c r="Q87" s="138" t="str">
        <f t="shared" si="70"/>
        <v>2025E</v>
      </c>
      <c r="R87" s="138" t="str">
        <f t="shared" si="70"/>
        <v>2026E</v>
      </c>
      <c r="S87" s="138" t="str">
        <f t="shared" si="70"/>
        <v>2027E</v>
      </c>
      <c r="T87" s="138" t="str">
        <f>T60</f>
        <v>2028E</v>
      </c>
    </row>
    <row r="88" spans="1:21" hidden="1" outlineLevel="1">
      <c r="A88" s="906" t="s">
        <v>1266</v>
      </c>
      <c r="B88" s="1356"/>
      <c r="C88" s="1356"/>
      <c r="D88" s="1679">
        <v>114.2</v>
      </c>
      <c r="E88" s="1679">
        <v>115.6</v>
      </c>
      <c r="F88" s="1679">
        <v>116.3</v>
      </c>
      <c r="G88" s="1679">
        <v>116.4</v>
      </c>
      <c r="H88" s="1679">
        <v>118.4</v>
      </c>
      <c r="I88" s="1679">
        <v>119.6</v>
      </c>
      <c r="J88" s="1679">
        <v>120.80008094594592</v>
      </c>
      <c r="K88" s="1679">
        <v>122.00000242969429</v>
      </c>
      <c r="L88" s="1679">
        <v>123.19952169109521</v>
      </c>
      <c r="M88" s="1679">
        <v>124.3983936922138</v>
      </c>
      <c r="N88" s="1679">
        <v>125.59637119342894</v>
      </c>
      <c r="O88" s="1679">
        <v>126.67907953450511</v>
      </c>
      <c r="P88" s="1679">
        <v>127.64335028300971</v>
      </c>
      <c r="Q88" s="1679">
        <v>128.48634602026937</v>
      </c>
      <c r="R88" s="1679">
        <v>129.20557425012984</v>
      </c>
      <c r="S88" s="1679">
        <v>129.7988996765273</v>
      </c>
      <c r="T88" s="1679">
        <f>S88*S88/R88</f>
        <v>130.39494971495216</v>
      </c>
    </row>
    <row r="89" spans="1:21" hidden="1" outlineLevel="1">
      <c r="A89" s="906" t="s">
        <v>1267</v>
      </c>
      <c r="B89" s="1101"/>
      <c r="C89" s="1101"/>
      <c r="D89" s="1679">
        <v>54.907868552249695</v>
      </c>
      <c r="E89" s="1679">
        <v>53.055869609998993</v>
      </c>
      <c r="F89" s="1679">
        <v>52.037877948785322</v>
      </c>
      <c r="G89" s="1679">
        <v>51.549588083636777</v>
      </c>
      <c r="H89" s="1679">
        <v>51.141802408914565</v>
      </c>
      <c r="I89" s="1679">
        <v>50.287640992984066</v>
      </c>
      <c r="J89" s="1679">
        <v>49.649444832570175</v>
      </c>
      <c r="K89" s="1679">
        <v>49.132980356535896</v>
      </c>
      <c r="L89" s="1679">
        <v>48.663573948634024</v>
      </c>
      <c r="M89" s="1679">
        <v>48.230268875097401</v>
      </c>
      <c r="N89" s="1679">
        <v>47.816951883035919</v>
      </c>
      <c r="O89" s="1679">
        <v>47.4184021511537</v>
      </c>
      <c r="P89" s="1679">
        <v>47.03478742030628</v>
      </c>
      <c r="Q89" s="1679">
        <v>46.678966126535087</v>
      </c>
      <c r="R89" s="1679">
        <v>46.345837083540651</v>
      </c>
      <c r="S89" s="1679">
        <v>46.026730254685432</v>
      </c>
      <c r="T89" s="1679">
        <f t="shared" ref="T89:T94" si="71">S89*S89/R89</f>
        <v>45.709820584725819</v>
      </c>
    </row>
    <row r="90" spans="1:21" hidden="1" outlineLevel="1">
      <c r="A90" s="906" t="s">
        <v>1283</v>
      </c>
      <c r="B90" s="1101"/>
      <c r="C90" s="1101"/>
      <c r="D90" s="1679">
        <v>33.405000000000001</v>
      </c>
      <c r="E90" s="1679">
        <v>33.575000000000003</v>
      </c>
      <c r="F90" s="1679">
        <v>33.594999999999999</v>
      </c>
      <c r="G90" s="1679">
        <v>33.680999999999997</v>
      </c>
      <c r="H90" s="1679">
        <v>34.950000000000003</v>
      </c>
      <c r="I90" s="1679">
        <v>34.638949613013367</v>
      </c>
      <c r="J90" s="1679">
        <v>34.641363695173226</v>
      </c>
      <c r="K90" s="1679">
        <v>34.77470826272819</v>
      </c>
      <c r="L90" s="1679">
        <v>34.780482870356352</v>
      </c>
      <c r="M90" s="1679">
        <v>34.605063119055686</v>
      </c>
      <c r="N90" s="1679">
        <v>34.311600142927375</v>
      </c>
      <c r="O90" s="1679">
        <v>33.971335614027701</v>
      </c>
      <c r="P90" s="1679">
        <v>33.633979402371942</v>
      </c>
      <c r="Q90" s="1679">
        <v>33.320191530056881</v>
      </c>
      <c r="R90" s="1679">
        <v>33.062190537998369</v>
      </c>
      <c r="S90" s="1679">
        <v>32.825321260994059</v>
      </c>
      <c r="T90" s="1679">
        <f t="shared" si="71"/>
        <v>32.590148999628326</v>
      </c>
    </row>
    <row r="91" spans="1:21" hidden="1" outlineLevel="1">
      <c r="A91" s="906" t="s">
        <v>1284</v>
      </c>
      <c r="B91" s="1101"/>
      <c r="C91" s="1101"/>
      <c r="D91" s="939">
        <v>6.9692350783023176E-3</v>
      </c>
      <c r="E91" s="939">
        <v>5.9692350783023176E-3</v>
      </c>
      <c r="F91" s="939">
        <v>4.9692350783023176E-3</v>
      </c>
      <c r="G91" s="939">
        <v>3.9692350783023175E-3</v>
      </c>
      <c r="H91" s="939">
        <v>2.9692350783023175E-3</v>
      </c>
      <c r="I91" s="939">
        <v>2.5000000000000001E-3</v>
      </c>
      <c r="J91" s="939">
        <v>2.5000000000000001E-3</v>
      </c>
      <c r="K91" s="939">
        <v>2.5000000000000001E-3</v>
      </c>
      <c r="L91" s="939">
        <v>2.5000000000000001E-3</v>
      </c>
      <c r="M91" s="939">
        <v>2.5000000000000001E-3</v>
      </c>
      <c r="N91" s="939">
        <v>2.5000000000000001E-3</v>
      </c>
      <c r="O91" s="939">
        <v>2.5000000000000001E-3</v>
      </c>
      <c r="P91" s="939">
        <v>2.5000000000000001E-3</v>
      </c>
      <c r="Q91" s="939">
        <v>2.5000000000000001E-3</v>
      </c>
      <c r="R91" s="939">
        <v>2.5000000000000001E-3</v>
      </c>
      <c r="S91" s="939">
        <v>2.5000000000000001E-3</v>
      </c>
      <c r="T91" s="939">
        <f t="shared" si="71"/>
        <v>2.5000000000000001E-3</v>
      </c>
    </row>
    <row r="92" spans="1:21" hidden="1" outlineLevel="1">
      <c r="A92" s="906" t="s">
        <v>1285</v>
      </c>
      <c r="B92" s="1101"/>
      <c r="C92" s="1101"/>
      <c r="D92" s="1679">
        <v>-0.68837076315708134</v>
      </c>
      <c r="E92" s="1679">
        <v>-0.65772607163441599</v>
      </c>
      <c r="F92" s="1679">
        <v>-0.62810270192492434</v>
      </c>
      <c r="G92" s="1679">
        <v>-0.52361441126001151</v>
      </c>
      <c r="H92" s="1679">
        <v>-0.44041191014556369</v>
      </c>
      <c r="I92" s="1679">
        <v>-0.34999801171001688</v>
      </c>
      <c r="J92" s="1679">
        <v>-0.23986435902519582</v>
      </c>
      <c r="K92" s="1679">
        <v>-0.18054219056204332</v>
      </c>
      <c r="L92" s="1679">
        <v>-0.17433215361892687</v>
      </c>
      <c r="M92" s="1679">
        <v>-0.17433215361892687</v>
      </c>
      <c r="N92" s="1679">
        <v>-0.17433215361892687</v>
      </c>
      <c r="O92" s="1679">
        <v>-0.17433215361892687</v>
      </c>
      <c r="P92" s="1679">
        <v>-0.17433215361892687</v>
      </c>
      <c r="Q92" s="1679">
        <v>-0.17433215361892687</v>
      </c>
      <c r="R92" s="1679">
        <v>-0.17433215361892687</v>
      </c>
      <c r="S92" s="1679">
        <v>-0.17433215361892687</v>
      </c>
      <c r="T92" s="1679">
        <f t="shared" si="71"/>
        <v>-0.17433215361892687</v>
      </c>
    </row>
    <row r="93" spans="1:21" hidden="1" outlineLevel="1">
      <c r="A93" s="906" t="s">
        <v>1520</v>
      </c>
      <c r="B93" s="1101"/>
      <c r="C93" s="1101"/>
      <c r="D93" s="1679">
        <v>9.8460000000000001</v>
      </c>
      <c r="E93" s="1679">
        <v>11.387940474273366</v>
      </c>
      <c r="F93" s="1679">
        <v>12.466586278069062</v>
      </c>
      <c r="G93" s="1679">
        <v>12.30740214074306</v>
      </c>
      <c r="H93" s="1679">
        <v>10.676173244614855</v>
      </c>
      <c r="I93" s="1679">
        <v>9.6506130173251137</v>
      </c>
      <c r="J93" s="1679">
        <v>9.256950858222293</v>
      </c>
      <c r="K93" s="1679">
        <v>8.8860397768503194</v>
      </c>
      <c r="L93" s="1679">
        <v>8.5349923144499371</v>
      </c>
      <c r="M93" s="1679">
        <v>8.2011620454975507</v>
      </c>
      <c r="N93" s="1679">
        <v>7.8821183461874069</v>
      </c>
      <c r="O93" s="1679">
        <v>7.5759854708283605</v>
      </c>
      <c r="P93" s="1679">
        <v>7.2799098747388076</v>
      </c>
      <c r="Q93" s="1679">
        <v>6.9920364828520283</v>
      </c>
      <c r="R93" s="1679">
        <v>6.7810746977861616</v>
      </c>
      <c r="S93" s="1679">
        <v>6.5711314569894901</v>
      </c>
      <c r="T93" s="1679">
        <f t="shared" si="71"/>
        <v>6.3676880950941088</v>
      </c>
    </row>
    <row r="94" spans="1:21" hidden="1" outlineLevel="1">
      <c r="A94" s="948" t="s">
        <v>1521</v>
      </c>
      <c r="B94" s="1116"/>
      <c r="C94" s="1116"/>
      <c r="D94" s="1467">
        <v>0.26595963867107092</v>
      </c>
      <c r="E94" s="1467">
        <v>0.24048356538017834</v>
      </c>
      <c r="F94" s="1467">
        <v>0.21643520884216377</v>
      </c>
      <c r="G94" s="1467">
        <v>0.24396992751583457</v>
      </c>
      <c r="H94" s="1467">
        <v>0.35038195650949272</v>
      </c>
      <c r="I94" s="1467">
        <v>1.4275954891273632</v>
      </c>
      <c r="J94" s="1467">
        <v>2.7088988722818521</v>
      </c>
      <c r="K94" s="1467">
        <v>3.5981247180704852</v>
      </c>
      <c r="L94" s="1467">
        <v>5.2790111795176031</v>
      </c>
      <c r="M94" s="1467">
        <v>6.9492587948793876</v>
      </c>
      <c r="N94" s="1467">
        <v>8.4237203987198406</v>
      </c>
      <c r="O94" s="1467">
        <v>9.7730155146799511</v>
      </c>
      <c r="P94" s="1467">
        <v>11.014835022919989</v>
      </c>
      <c r="Q94" s="1467">
        <v>12.114295842767479</v>
      </c>
      <c r="R94" s="1467">
        <v>13.1343039433775</v>
      </c>
      <c r="S94" s="1467">
        <v>14.085878381895716</v>
      </c>
      <c r="T94" s="1467">
        <f t="shared" si="71"/>
        <v>15.106393962323308</v>
      </c>
    </row>
    <row r="95" spans="1:21" hidden="1" outlineLevel="1">
      <c r="A95" s="862" t="s">
        <v>586</v>
      </c>
      <c r="B95" s="1281">
        <v>97.165806379406575</v>
      </c>
      <c r="C95" s="1010">
        <v>97.3999957941585</v>
      </c>
      <c r="D95" s="1680">
        <f>SUM(D89:D90,D92:D94)</f>
        <v>97.736457427763696</v>
      </c>
      <c r="E95" s="1680">
        <f t="shared" ref="E95:Q95" si="72">SUM(E89:E90,E92:E94)</f>
        <v>97.60156757801812</v>
      </c>
      <c r="F95" s="1680">
        <f t="shared" si="72"/>
        <v>97.68779673377162</v>
      </c>
      <c r="G95" s="3419">
        <f>SUM(G89:G90,G92:G94)</f>
        <v>97.258345740635662</v>
      </c>
      <c r="H95" s="1680">
        <f t="shared" si="72"/>
        <v>96.677945699893343</v>
      </c>
      <c r="I95" s="1680">
        <f t="shared" si="72"/>
        <v>95.654801100739903</v>
      </c>
      <c r="J95" s="1680">
        <f t="shared" si="72"/>
        <v>96.01679389922235</v>
      </c>
      <c r="K95" s="1680">
        <f t="shared" si="72"/>
        <v>96.211310923622861</v>
      </c>
      <c r="L95" s="1680">
        <f>SUM(L89:L90,L92:L94)</f>
        <v>97.083728159338989</v>
      </c>
      <c r="M95" s="1680">
        <f t="shared" si="72"/>
        <v>97.811420680911098</v>
      </c>
      <c r="N95" s="1680">
        <f t="shared" si="72"/>
        <v>98.26005861725163</v>
      </c>
      <c r="O95" s="1680">
        <f t="shared" si="72"/>
        <v>98.564406597070786</v>
      </c>
      <c r="P95" s="1680">
        <f>SUM(P89:P90,P92:P94)</f>
        <v>98.789179566718104</v>
      </c>
      <c r="Q95" s="1680">
        <f t="shared" si="72"/>
        <v>98.931157828592546</v>
      </c>
      <c r="R95" s="1680">
        <f>SUM(R89:R90,R92:R94)</f>
        <v>99.14907410908377</v>
      </c>
      <c r="S95" s="1680">
        <f>SUM(S89:S90,S92:S94)</f>
        <v>99.334729200945773</v>
      </c>
      <c r="T95" s="1680">
        <f>SUM(T89:T90,T92:T94)</f>
        <v>99.599719488152644</v>
      </c>
    </row>
    <row r="96" spans="1:21" hidden="1" outlineLevel="1">
      <c r="A96" s="2149" t="s">
        <v>1522</v>
      </c>
      <c r="E96" s="1174">
        <f>E95/D95-1</f>
        <v>-1.3801385204212924E-3</v>
      </c>
      <c r="F96" s="1174">
        <f t="shared" ref="F96:O96" si="73">F95/E95-1</f>
        <v>8.8348125848058956E-4</v>
      </c>
      <c r="G96" s="1174">
        <f t="shared" si="73"/>
        <v>-4.3961580411762124E-3</v>
      </c>
      <c r="H96" s="1174">
        <f t="shared" si="73"/>
        <v>-5.9676116874340934E-3</v>
      </c>
      <c r="I96" s="1174">
        <f t="shared" si="73"/>
        <v>-1.0583019650929226E-2</v>
      </c>
      <c r="J96" s="1174">
        <f t="shared" si="73"/>
        <v>3.7843662243488563E-3</v>
      </c>
      <c r="K96" s="1174">
        <f t="shared" si="73"/>
        <v>2.0258646066091401E-3</v>
      </c>
      <c r="L96" s="1174">
        <f t="shared" si="73"/>
        <v>9.06772007720269E-3</v>
      </c>
      <c r="M96" s="1174">
        <f t="shared" si="73"/>
        <v>7.4955148032405106E-3</v>
      </c>
      <c r="N96" s="1174">
        <f t="shared" si="73"/>
        <v>4.5867643391472868E-3</v>
      </c>
      <c r="O96" s="1174">
        <f t="shared" si="73"/>
        <v>3.097372259919684E-3</v>
      </c>
      <c r="P96" s="1174">
        <f>P95/O95-1</f>
        <v>2.280467943830633E-3</v>
      </c>
      <c r="Q96" s="1174">
        <f>Q95/P95-1</f>
        <v>1.4371843404019646E-3</v>
      </c>
      <c r="R96" s="1174">
        <f>R95/Q95-1</f>
        <v>2.2027062583134249E-3</v>
      </c>
      <c r="S96" s="1174">
        <f>S95/R95-1</f>
        <v>1.8724843729529539E-3</v>
      </c>
      <c r="T96" s="1174">
        <f>T95/S95-1</f>
        <v>2.6676499683289112E-3</v>
      </c>
    </row>
    <row r="97" spans="1:20" hidden="1" outlineLevel="1">
      <c r="A97" s="862" t="s">
        <v>1691</v>
      </c>
      <c r="D97" s="2463">
        <v>97.736457427763682</v>
      </c>
      <c r="E97" s="2463">
        <v>97.60156757801812</v>
      </c>
      <c r="F97" s="1741">
        <f t="shared" ref="F97:R97" si="74">F95-F68</f>
        <v>0</v>
      </c>
      <c r="G97" s="1741">
        <f t="shared" si="74"/>
        <v>0</v>
      </c>
      <c r="H97" s="1741">
        <f t="shared" si="74"/>
        <v>0</v>
      </c>
      <c r="I97" s="1741">
        <f t="shared" si="74"/>
        <v>0</v>
      </c>
      <c r="J97" s="1741">
        <f t="shared" si="74"/>
        <v>0</v>
      </c>
      <c r="K97" s="1741">
        <f t="shared" si="74"/>
        <v>0</v>
      </c>
      <c r="L97" s="1741">
        <f t="shared" si="74"/>
        <v>0</v>
      </c>
      <c r="M97" s="1741">
        <f t="shared" si="74"/>
        <v>0</v>
      </c>
      <c r="N97" s="1741">
        <f t="shared" si="74"/>
        <v>0</v>
      </c>
      <c r="O97" s="1741">
        <f t="shared" si="74"/>
        <v>0</v>
      </c>
      <c r="P97" s="1741">
        <f t="shared" si="74"/>
        <v>0</v>
      </c>
      <c r="Q97" s="1741">
        <f t="shared" si="74"/>
        <v>0</v>
      </c>
      <c r="R97" s="1741">
        <f t="shared" si="74"/>
        <v>0</v>
      </c>
      <c r="S97" s="1741">
        <f>S95-S68</f>
        <v>0</v>
      </c>
      <c r="T97" s="1741">
        <f>T95-T68</f>
        <v>0</v>
      </c>
    </row>
    <row r="98" spans="1:20" hidden="1" outlineLevel="1">
      <c r="A98" s="1745" t="s">
        <v>1523</v>
      </c>
      <c r="B98" s="1356"/>
      <c r="C98" s="1356"/>
      <c r="D98" s="1356"/>
      <c r="E98" s="1356"/>
      <c r="F98" s="1356"/>
      <c r="G98" s="1356"/>
      <c r="H98" s="2566">
        <v>0</v>
      </c>
      <c r="I98" s="2651">
        <f>H98</f>
        <v>0</v>
      </c>
      <c r="J98" s="2651">
        <f t="shared" ref="J98:Q98" si="75">I98</f>
        <v>0</v>
      </c>
      <c r="K98" s="2651">
        <f t="shared" si="75"/>
        <v>0</v>
      </c>
      <c r="L98" s="2651">
        <f t="shared" si="75"/>
        <v>0</v>
      </c>
      <c r="M98" s="2651">
        <f t="shared" si="75"/>
        <v>0</v>
      </c>
      <c r="N98" s="2651">
        <f t="shared" si="75"/>
        <v>0</v>
      </c>
      <c r="O98" s="2651">
        <f t="shared" si="75"/>
        <v>0</v>
      </c>
      <c r="P98" s="2651">
        <f t="shared" si="75"/>
        <v>0</v>
      </c>
      <c r="Q98" s="2651">
        <f t="shared" si="75"/>
        <v>0</v>
      </c>
      <c r="R98" s="2651">
        <f>Q98</f>
        <v>0</v>
      </c>
      <c r="S98" s="2651">
        <f>R98</f>
        <v>0</v>
      </c>
      <c r="T98" s="2651">
        <f>S98</f>
        <v>0</v>
      </c>
    </row>
    <row r="99" spans="1:20" hidden="1" outlineLevel="1">
      <c r="A99" s="1744" t="s">
        <v>1524</v>
      </c>
      <c r="B99" s="1116"/>
      <c r="C99" s="1116"/>
      <c r="D99" s="1116"/>
      <c r="E99" s="1116"/>
      <c r="F99" s="1116"/>
      <c r="G99" s="1116"/>
      <c r="H99" s="1289">
        <f t="shared" ref="H99:R99" si="76">H96+H98</f>
        <v>-5.9676116874340934E-3</v>
      </c>
      <c r="I99" s="1289">
        <f t="shared" si="76"/>
        <v>-1.0583019650929226E-2</v>
      </c>
      <c r="J99" s="1289">
        <f t="shared" si="76"/>
        <v>3.7843662243488563E-3</v>
      </c>
      <c r="K99" s="1289">
        <f t="shared" si="76"/>
        <v>2.0258646066091401E-3</v>
      </c>
      <c r="L99" s="1289">
        <f t="shared" si="76"/>
        <v>9.06772007720269E-3</v>
      </c>
      <c r="M99" s="1289">
        <f t="shared" si="76"/>
        <v>7.4955148032405106E-3</v>
      </c>
      <c r="N99" s="1289">
        <f t="shared" si="76"/>
        <v>4.5867643391472868E-3</v>
      </c>
      <c r="O99" s="1289">
        <f t="shared" si="76"/>
        <v>3.097372259919684E-3</v>
      </c>
      <c r="P99" s="1289">
        <f t="shared" si="76"/>
        <v>2.280467943830633E-3</v>
      </c>
      <c r="Q99" s="1289">
        <f t="shared" si="76"/>
        <v>1.4371843404019646E-3</v>
      </c>
      <c r="R99" s="1289">
        <f t="shared" si="76"/>
        <v>2.2027062583134249E-3</v>
      </c>
      <c r="S99" s="1289">
        <f>S96+S98</f>
        <v>1.8724843729529539E-3</v>
      </c>
      <c r="T99" s="1289">
        <f>T96+T98</f>
        <v>2.6676499683289112E-3</v>
      </c>
    </row>
    <row r="100" spans="1:20" hidden="1" outlineLevel="1"/>
    <row r="101" spans="1:20" hidden="1" outlineLevel="1"/>
    <row r="102" spans="1:20" s="2068" customFormat="1" hidden="1" outlineLevel="1">
      <c r="A102" s="2550" t="s">
        <v>1737</v>
      </c>
      <c r="G102" s="2551">
        <v>0.4484849025948473</v>
      </c>
      <c r="H102" s="2551">
        <v>0.97036805682185168</v>
      </c>
      <c r="I102" s="2551">
        <v>1.4060479553532641</v>
      </c>
      <c r="J102" s="2551">
        <v>1.7616658800437168</v>
      </c>
      <c r="K102" s="2551">
        <v>2.0317380417714426</v>
      </c>
      <c r="L102" s="2551">
        <v>2.2386529678310665</v>
      </c>
      <c r="M102" s="2551">
        <v>2.3934324209566578</v>
      </c>
      <c r="N102" s="2551">
        <v>2.5078346254407906</v>
      </c>
      <c r="O102" s="2551">
        <v>2.592392776581236</v>
      </c>
      <c r="P102" s="2551">
        <v>2.654892279598088</v>
      </c>
      <c r="Q102" s="2551">
        <v>2.7010875644366292</v>
      </c>
      <c r="R102" s="2551">
        <v>2.7352319054042482</v>
      </c>
      <c r="S102" s="2551">
        <v>2.7604690269890084</v>
      </c>
      <c r="T102" s="2552">
        <f>S102*S102/R102</f>
        <v>2.7859390035300979</v>
      </c>
    </row>
    <row r="103" spans="1:20" s="2068" customFormat="1" hidden="1" outlineLevel="1">
      <c r="A103" s="2550" t="s">
        <v>1738</v>
      </c>
      <c r="G103" s="2551">
        <v>0</v>
      </c>
      <c r="H103" s="2551">
        <v>0.26700000000000002</v>
      </c>
      <c r="I103" s="2551">
        <v>1.1120000000000001</v>
      </c>
      <c r="J103" s="2551">
        <v>2.5019999999999998</v>
      </c>
      <c r="K103" s="2551">
        <v>4.0657500000000004</v>
      </c>
      <c r="L103" s="2551">
        <v>5.3362968750000004</v>
      </c>
      <c r="M103" s="2551">
        <v>6.1700932617187503</v>
      </c>
      <c r="N103" s="2551">
        <v>6.6521317977905277</v>
      </c>
      <c r="O103" s="2551">
        <v>6.9119806961417201</v>
      </c>
      <c r="P103" s="2551">
        <v>7.0469803191132376</v>
      </c>
      <c r="Q103" s="2551">
        <v>7.1157984862920785</v>
      </c>
      <c r="R103" s="2551">
        <v>7.1811757451119771</v>
      </c>
      <c r="S103" s="2551">
        <v>7.2432841409908804</v>
      </c>
      <c r="T103" s="2552">
        <f t="shared" ref="T103:T107" si="77">S103*S103/R103</f>
        <v>7.305929698607021</v>
      </c>
    </row>
    <row r="104" spans="1:20" s="2068" customFormat="1" hidden="1" outlineLevel="1">
      <c r="A104" s="2550" t="s">
        <v>1739</v>
      </c>
      <c r="G104" s="2551">
        <v>0.06</v>
      </c>
      <c r="H104" s="2551">
        <v>0.32</v>
      </c>
      <c r="I104" s="2551">
        <v>0.51</v>
      </c>
      <c r="J104" s="2551">
        <v>0.6905</v>
      </c>
      <c r="K104" s="2551">
        <v>0.86197499999999994</v>
      </c>
      <c r="L104" s="2551">
        <v>1.0248762499999999</v>
      </c>
      <c r="M104" s="2551">
        <v>1.1796324375</v>
      </c>
      <c r="N104" s="2551">
        <v>1.3266508156250001</v>
      </c>
      <c r="O104" s="2551">
        <v>1.4663182748437502</v>
      </c>
      <c r="P104" s="2551">
        <v>1.5990023611015629</v>
      </c>
      <c r="Q104" s="2551">
        <v>1.725052243046485</v>
      </c>
      <c r="R104" s="2551">
        <v>1.844799630894161</v>
      </c>
      <c r="S104" s="2551">
        <v>1.9585596493494533</v>
      </c>
      <c r="T104" s="2552">
        <f t="shared" si="77"/>
        <v>2.0793347070438175</v>
      </c>
    </row>
    <row r="105" spans="1:20" s="2068" customFormat="1" hidden="1" outlineLevel="1">
      <c r="A105" s="2550" t="s">
        <v>1740</v>
      </c>
      <c r="G105" s="2551">
        <v>0</v>
      </c>
      <c r="H105" s="2551">
        <v>0</v>
      </c>
      <c r="I105" s="2551">
        <v>0.4</v>
      </c>
      <c r="J105" s="2551">
        <v>1</v>
      </c>
      <c r="K105" s="2551">
        <v>1.55</v>
      </c>
      <c r="L105" s="2551">
        <v>2.0499999999999998</v>
      </c>
      <c r="M105" s="2551">
        <v>2.5249999999999995</v>
      </c>
      <c r="N105" s="2551">
        <v>2.976249999999999</v>
      </c>
      <c r="O105" s="2551">
        <v>3.4049374999999986</v>
      </c>
      <c r="P105" s="2551">
        <v>3.8121906249999982</v>
      </c>
      <c r="Q105" s="2551">
        <v>4.1990810937499976</v>
      </c>
      <c r="R105" s="2551">
        <v>4.5666270390624968</v>
      </c>
      <c r="S105" s="2551">
        <v>4.9157956871093713</v>
      </c>
      <c r="T105" s="2552">
        <f t="shared" si="77"/>
        <v>5.2916621021812302</v>
      </c>
    </row>
    <row r="106" spans="1:20" s="2068" customFormat="1" hidden="1" outlineLevel="1">
      <c r="A106" s="2550" t="s">
        <v>1792</v>
      </c>
      <c r="G106" s="2551">
        <v>0</v>
      </c>
      <c r="H106" s="2551">
        <v>0</v>
      </c>
      <c r="I106" s="2551">
        <v>0.65</v>
      </c>
      <c r="J106" s="2551">
        <v>1.4</v>
      </c>
      <c r="K106" s="2551">
        <v>1.9</v>
      </c>
      <c r="L106" s="2551">
        <v>2.4</v>
      </c>
      <c r="M106" s="2551">
        <v>2.875</v>
      </c>
      <c r="N106" s="2551">
        <v>3.3262499999999999</v>
      </c>
      <c r="O106" s="2551">
        <v>3.7549374999999996</v>
      </c>
      <c r="P106" s="2551">
        <v>4.1621906249999991</v>
      </c>
      <c r="Q106" s="2551">
        <v>4.549081093749999</v>
      </c>
      <c r="R106" s="2551">
        <v>4.9166270390624991</v>
      </c>
      <c r="S106" s="2551">
        <v>5.2657956871093745</v>
      </c>
      <c r="T106" s="2552">
        <f t="shared" si="77"/>
        <v>5.6397615678546513</v>
      </c>
    </row>
    <row r="107" spans="1:20" s="2068" customFormat="1" hidden="1" outlineLevel="1">
      <c r="A107" s="3258" t="s">
        <v>677</v>
      </c>
      <c r="G107" s="2551">
        <v>0</v>
      </c>
      <c r="H107" s="2551">
        <v>0</v>
      </c>
      <c r="I107" s="2551">
        <v>0.17499999999999999</v>
      </c>
      <c r="J107" s="2551">
        <v>0.3</v>
      </c>
      <c r="K107" s="2551">
        <v>0.4</v>
      </c>
      <c r="L107" s="2551">
        <v>0.49500000000000005</v>
      </c>
      <c r="M107" s="2551">
        <v>0.58525000000000005</v>
      </c>
      <c r="N107" s="2551">
        <v>0.67098750000000007</v>
      </c>
      <c r="O107" s="2551">
        <v>0.75243812500000007</v>
      </c>
      <c r="P107" s="2551">
        <v>0.82981621875000011</v>
      </c>
      <c r="Q107" s="2551">
        <v>0.90332540781250015</v>
      </c>
      <c r="R107" s="2551">
        <v>0.97315913742187521</v>
      </c>
      <c r="S107" s="2551">
        <v>1.0395011805507814</v>
      </c>
      <c r="T107" s="2552">
        <f t="shared" si="77"/>
        <v>1.1103658824281608</v>
      </c>
    </row>
    <row r="108" spans="1:20" ht="13.5" hidden="1" outlineLevel="1" thickBot="1">
      <c r="A108" s="2547" t="s">
        <v>1700</v>
      </c>
      <c r="B108" s="2548"/>
      <c r="C108" s="2548"/>
      <c r="D108" s="2548"/>
      <c r="E108" s="2549"/>
      <c r="F108" s="2864">
        <v>0</v>
      </c>
      <c r="G108" s="2864">
        <v>0.50848490259484724</v>
      </c>
      <c r="H108" s="2864">
        <v>1.5573680568218518</v>
      </c>
      <c r="I108" s="2864">
        <v>4.2530479553532645</v>
      </c>
      <c r="J108" s="2864">
        <v>7.6541658800437169</v>
      </c>
      <c r="K108" s="2864">
        <v>10.809463041771444</v>
      </c>
      <c r="L108" s="2864">
        <v>13.544826092831066</v>
      </c>
      <c r="M108" s="2864">
        <v>15.728408120175407</v>
      </c>
      <c r="N108" s="2864">
        <v>17.460104738856316</v>
      </c>
      <c r="O108" s="2864">
        <v>18.883004872566705</v>
      </c>
      <c r="P108" s="2864">
        <v>20.105072428562885</v>
      </c>
      <c r="Q108" s="2864">
        <v>21.193425889087692</v>
      </c>
      <c r="R108" s="2864">
        <v>22.217620496957259</v>
      </c>
      <c r="S108" s="2864">
        <v>23.183405372098868</v>
      </c>
      <c r="T108" s="2553">
        <f>SUM(T102:T107)</f>
        <v>24.212992961644982</v>
      </c>
    </row>
    <row r="109" spans="1:20" s="875" customFormat="1" ht="13.5" hidden="1" outlineLevel="1" thickTop="1">
      <c r="A109" s="143" t="s">
        <v>1699</v>
      </c>
      <c r="B109" s="1680">
        <f t="shared" ref="B109:R109" si="78">B95-B108</f>
        <v>97.165806379406575</v>
      </c>
      <c r="C109" s="1680">
        <f t="shared" si="78"/>
        <v>97.3999957941585</v>
      </c>
      <c r="D109" s="1680">
        <f t="shared" si="78"/>
        <v>97.736457427763696</v>
      </c>
      <c r="E109" s="1680">
        <f t="shared" si="78"/>
        <v>97.60156757801812</v>
      </c>
      <c r="F109" s="1680">
        <f t="shared" si="78"/>
        <v>97.68779673377162</v>
      </c>
      <c r="G109" s="1680">
        <f t="shared" si="78"/>
        <v>96.749860838040817</v>
      </c>
      <c r="H109" s="1680">
        <f t="shared" si="78"/>
        <v>95.120577643071485</v>
      </c>
      <c r="I109" s="1680">
        <f t="shared" si="78"/>
        <v>91.401753145386635</v>
      </c>
      <c r="J109" s="1680">
        <f t="shared" si="78"/>
        <v>88.362628019178629</v>
      </c>
      <c r="K109" s="1680">
        <f t="shared" si="78"/>
        <v>85.40184788185141</v>
      </c>
      <c r="L109" s="1680">
        <f t="shared" si="78"/>
        <v>83.538902066507916</v>
      </c>
      <c r="M109" s="1680">
        <f t="shared" si="78"/>
        <v>82.083012560735696</v>
      </c>
      <c r="N109" s="1680">
        <f t="shared" si="78"/>
        <v>80.799953878395314</v>
      </c>
      <c r="O109" s="1680">
        <f t="shared" si="78"/>
        <v>79.681401724504084</v>
      </c>
      <c r="P109" s="1680">
        <f t="shared" si="78"/>
        <v>78.684107138155213</v>
      </c>
      <c r="Q109" s="1680">
        <f t="shared" si="78"/>
        <v>77.737731939504854</v>
      </c>
      <c r="R109" s="1680">
        <f t="shared" si="78"/>
        <v>76.931453612126518</v>
      </c>
      <c r="S109" s="1680">
        <f>S95-S108</f>
        <v>76.151323828846898</v>
      </c>
      <c r="T109" s="1680">
        <f>T95-T108</f>
        <v>75.386726526507658</v>
      </c>
    </row>
    <row r="110" spans="1:20" hidden="1" outlineLevel="1">
      <c r="A110" s="2149" t="s">
        <v>1522</v>
      </c>
      <c r="B110" s="1174"/>
      <c r="C110" s="1174">
        <f>C109/B109-1</f>
        <v>2.4102039954001508E-3</v>
      </c>
      <c r="D110" s="1174">
        <f>D109/C109-1</f>
        <v>3.4544317056877105E-3</v>
      </c>
      <c r="E110" s="1174">
        <f t="shared" ref="E110:Q110" si="79">E109/D109-1</f>
        <v>-1.3801385204212924E-3</v>
      </c>
      <c r="F110" s="1174">
        <f t="shared" si="79"/>
        <v>8.8348125848058956E-4</v>
      </c>
      <c r="G110" s="1174">
        <f t="shared" si="79"/>
        <v>-9.6013619622004054E-3</v>
      </c>
      <c r="H110" s="1174">
        <f t="shared" si="79"/>
        <v>-1.6840160604434828E-2</v>
      </c>
      <c r="I110" s="1174">
        <f t="shared" si="79"/>
        <v>-3.9095899013978808E-2</v>
      </c>
      <c r="J110" s="1174">
        <f t="shared" si="79"/>
        <v>-3.3250184177253894E-2</v>
      </c>
      <c r="K110" s="1174">
        <f t="shared" si="79"/>
        <v>-3.3507153461807437E-2</v>
      </c>
      <c r="L110" s="1174">
        <f t="shared" si="79"/>
        <v>-2.1813881801723722E-2</v>
      </c>
      <c r="M110" s="1174">
        <f t="shared" si="79"/>
        <v>-1.7427683028598318E-2</v>
      </c>
      <c r="N110" s="1174">
        <f t="shared" si="79"/>
        <v>-1.5631232849683818E-2</v>
      </c>
      <c r="O110" s="1174">
        <f t="shared" si="79"/>
        <v>-1.3843475153149987E-2</v>
      </c>
      <c r="P110" s="1174">
        <f t="shared" si="79"/>
        <v>-1.2516027137637331E-2</v>
      </c>
      <c r="Q110" s="1174">
        <f t="shared" si="79"/>
        <v>-1.2027526689585399E-2</v>
      </c>
      <c r="R110" s="1174">
        <f>R109/Q109-1</f>
        <v>-1.0371775806448547E-2</v>
      </c>
      <c r="S110" s="1174">
        <f>S109/R109-1</f>
        <v>-1.01405829040081E-2</v>
      </c>
      <c r="T110" s="1174">
        <f>T109/S109-1</f>
        <v>-1.0040499152157878E-2</v>
      </c>
    </row>
    <row r="111" spans="1:20" collapsed="1">
      <c r="T111" s="2068"/>
    </row>
    <row r="113" spans="1:20" hidden="1" outlineLevel="1">
      <c r="A113" s="2563" t="s">
        <v>1743</v>
      </c>
      <c r="B113" s="1577"/>
      <c r="C113" s="1577"/>
      <c r="D113" s="1577"/>
      <c r="E113" s="1577"/>
      <c r="F113" s="1577"/>
      <c r="G113" s="1577"/>
      <c r="H113" s="1577"/>
      <c r="I113" s="1577"/>
      <c r="J113" s="1577"/>
      <c r="K113" s="1577"/>
      <c r="L113" s="1577"/>
      <c r="M113" s="1577"/>
      <c r="N113" s="1577"/>
      <c r="O113" s="1577"/>
      <c r="P113" s="1577"/>
      <c r="Q113" s="1577"/>
      <c r="R113" s="1577"/>
      <c r="S113" s="1577"/>
      <c r="T113" s="1577"/>
    </row>
    <row r="114" spans="1:20" hidden="1" outlineLevel="1">
      <c r="A114" s="862" t="s">
        <v>283</v>
      </c>
      <c r="D114" s="2009">
        <v>15.43214536260232</v>
      </c>
      <c r="E114" s="2009">
        <v>23.757042406283976</v>
      </c>
      <c r="F114" s="2009">
        <v>30.631279585148064</v>
      </c>
      <c r="G114" s="2009">
        <v>44.504282006902812</v>
      </c>
      <c r="H114" s="2009">
        <v>54.645020186534254</v>
      </c>
      <c r="I114" s="2009">
        <v>61.561279987155551</v>
      </c>
      <c r="J114" s="2009">
        <v>61.898067578018122</v>
      </c>
    </row>
    <row r="115" spans="1:20" hidden="1" outlineLevel="1">
      <c r="A115" s="2006" t="s">
        <v>1533</v>
      </c>
      <c r="D115" s="2278">
        <v>0.24931546276709199</v>
      </c>
      <c r="E115" s="2278">
        <v>0.38380911288288461</v>
      </c>
      <c r="F115" s="2278">
        <v>0.4948664923430689</v>
      </c>
      <c r="G115" s="2278">
        <v>0.71899307600852524</v>
      </c>
      <c r="H115" s="2278">
        <v>0.88282271684262326</v>
      </c>
      <c r="I115" s="2278">
        <v>0.99455899668534764</v>
      </c>
      <c r="J115" s="2278">
        <v>1</v>
      </c>
      <c r="K115" s="2010"/>
      <c r="L115" s="2010"/>
      <c r="M115" s="2010"/>
      <c r="N115" s="2010"/>
      <c r="O115" s="2010"/>
      <c r="P115" s="2010"/>
      <c r="Q115" s="2010"/>
      <c r="R115" s="2010"/>
      <c r="S115" s="2010"/>
      <c r="T115" s="2010"/>
    </row>
    <row r="116" spans="1:20" collapsed="1">
      <c r="A116" s="2006"/>
      <c r="D116" s="2278"/>
      <c r="E116" s="2278"/>
      <c r="F116" s="2278"/>
      <c r="G116" s="2278"/>
      <c r="H116" s="2278"/>
      <c r="I116" s="2278"/>
      <c r="J116" s="2278"/>
      <c r="K116" s="2010"/>
      <c r="L116" s="2010"/>
      <c r="M116" s="2010"/>
      <c r="N116" s="2010"/>
      <c r="O116" s="2010"/>
      <c r="P116" s="2010"/>
      <c r="Q116" s="2010"/>
      <c r="R116" s="2010"/>
      <c r="S116" s="2010"/>
      <c r="T116" s="2010"/>
    </row>
    <row r="117" spans="1:20">
      <c r="A117" s="2006"/>
      <c r="D117" s="2278"/>
      <c r="E117" s="2278"/>
      <c r="F117" s="2278"/>
      <c r="G117" s="2278"/>
      <c r="H117" s="2278"/>
      <c r="I117" s="2278"/>
      <c r="J117" s="2278"/>
      <c r="K117" s="2010"/>
      <c r="L117" s="2010"/>
      <c r="M117" s="2010"/>
      <c r="N117" s="2010"/>
      <c r="O117" s="2010"/>
      <c r="P117" s="2010"/>
      <c r="Q117" s="2010"/>
      <c r="R117" s="2010"/>
      <c r="S117" s="2010"/>
      <c r="T117" s="2010"/>
    </row>
    <row r="118" spans="1:20">
      <c r="A118" s="2006"/>
      <c r="D118" s="2278"/>
      <c r="E118" s="2278"/>
      <c r="F118" s="2278"/>
      <c r="G118" s="2278"/>
      <c r="H118" s="2278"/>
      <c r="I118" s="2278"/>
      <c r="J118" s="2278"/>
      <c r="K118" s="2010"/>
      <c r="L118" s="2010"/>
      <c r="M118" s="2010"/>
      <c r="N118" s="2010"/>
      <c r="O118" s="2010"/>
      <c r="P118" s="2010"/>
      <c r="Q118" s="2010"/>
      <c r="R118" s="2010"/>
      <c r="S118" s="2010"/>
      <c r="T118" s="2010"/>
    </row>
    <row r="119" spans="1:20">
      <c r="A119" s="2006"/>
      <c r="D119" s="2278"/>
      <c r="E119" s="2278"/>
      <c r="F119" s="2278"/>
      <c r="G119" s="2278"/>
      <c r="H119" s="2278"/>
      <c r="I119" s="2278"/>
      <c r="J119" s="2278"/>
      <c r="K119" s="2010"/>
      <c r="L119" s="2010"/>
      <c r="M119" s="2010"/>
      <c r="N119" s="2010"/>
      <c r="O119" s="2010"/>
      <c r="P119" s="2010"/>
      <c r="Q119" s="2010"/>
      <c r="R119" s="2010"/>
      <c r="S119" s="2010"/>
      <c r="T119" s="2010"/>
    </row>
    <row r="120" spans="1:20">
      <c r="A120" s="2006"/>
      <c r="D120" s="2278"/>
      <c r="E120" s="2278"/>
      <c r="F120" s="2278"/>
      <c r="G120" s="2278"/>
      <c r="H120" s="2278"/>
      <c r="I120" s="2278"/>
      <c r="J120" s="2278"/>
      <c r="K120" s="2010"/>
      <c r="L120" s="2010"/>
      <c r="M120" s="2010"/>
      <c r="N120" s="2010"/>
      <c r="O120" s="2010"/>
      <c r="P120" s="2010"/>
      <c r="Q120" s="2010"/>
      <c r="R120" s="2010"/>
      <c r="S120" s="2010"/>
      <c r="T120" s="2010"/>
    </row>
    <row r="121" spans="1:20">
      <c r="A121" s="2006"/>
      <c r="D121" s="2278"/>
      <c r="E121" s="2278"/>
      <c r="F121" s="2278"/>
      <c r="G121" s="2278"/>
      <c r="H121" s="2278"/>
      <c r="I121" s="2278"/>
      <c r="J121" s="2278"/>
      <c r="K121" s="2010"/>
      <c r="L121" s="2010"/>
      <c r="M121" s="2010"/>
      <c r="N121" s="2010"/>
      <c r="O121" s="2010"/>
      <c r="P121" s="2010"/>
      <c r="Q121" s="2010"/>
      <c r="R121" s="2010"/>
      <c r="S121" s="2010"/>
      <c r="T121" s="2010"/>
    </row>
    <row r="122" spans="1:20">
      <c r="A122" s="2006"/>
      <c r="D122" s="2278"/>
      <c r="E122" s="2278"/>
      <c r="F122" s="2278"/>
      <c r="G122" s="2278"/>
      <c r="H122" s="2278"/>
      <c r="I122" s="2278"/>
      <c r="J122" s="2278"/>
      <c r="K122" s="2010"/>
      <c r="L122" s="2010"/>
      <c r="M122" s="2010"/>
      <c r="N122" s="2010"/>
      <c r="O122" s="2010"/>
      <c r="P122" s="2010"/>
      <c r="Q122" s="2010"/>
      <c r="R122" s="2010"/>
      <c r="S122" s="2010"/>
      <c r="T122" s="2010"/>
    </row>
    <row r="123" spans="1:20">
      <c r="A123" s="2006"/>
      <c r="D123" s="2278"/>
      <c r="E123" s="2278"/>
      <c r="F123" s="2278"/>
      <c r="G123" s="2278"/>
      <c r="H123" s="2278"/>
      <c r="I123" s="2278"/>
      <c r="J123" s="2278"/>
      <c r="K123" s="2010"/>
      <c r="L123" s="2010"/>
      <c r="M123" s="2010"/>
      <c r="N123" s="2010"/>
      <c r="O123" s="2010"/>
      <c r="P123" s="2010"/>
      <c r="Q123" s="2010"/>
      <c r="R123" s="2010"/>
      <c r="S123" s="2010"/>
      <c r="T123" s="2010"/>
    </row>
    <row r="124" spans="1:20">
      <c r="A124" s="2006"/>
      <c r="D124" s="2278"/>
      <c r="E124" s="2278"/>
      <c r="F124" s="2278"/>
      <c r="G124" s="2278"/>
      <c r="H124" s="2278"/>
      <c r="I124" s="2278"/>
      <c r="J124" s="2278"/>
      <c r="K124" s="2010"/>
      <c r="L124" s="2010"/>
      <c r="M124" s="2010"/>
      <c r="N124" s="2010"/>
      <c r="O124" s="2010"/>
      <c r="P124" s="2010"/>
      <c r="Q124" s="2010"/>
      <c r="R124" s="2010"/>
      <c r="S124" s="2010"/>
      <c r="T124" s="2010"/>
    </row>
    <row r="125" spans="1:20">
      <c r="A125" s="2006"/>
      <c r="D125" s="2278"/>
      <c r="E125" s="2278"/>
      <c r="F125" s="2278"/>
      <c r="G125" s="2278"/>
      <c r="H125" s="2278"/>
      <c r="I125" s="2278"/>
      <c r="J125" s="2278"/>
      <c r="K125" s="2010"/>
      <c r="L125" s="2010"/>
      <c r="M125" s="2010"/>
      <c r="N125" s="2010"/>
      <c r="O125" s="2010"/>
      <c r="P125" s="2010"/>
      <c r="Q125" s="2010"/>
      <c r="R125" s="2010"/>
      <c r="S125" s="2010"/>
      <c r="T125" s="2010"/>
    </row>
    <row r="126" spans="1:20">
      <c r="A126" s="2006"/>
      <c r="D126" s="2278"/>
      <c r="E126" s="2278"/>
      <c r="F126" s="2278"/>
      <c r="G126" s="2278"/>
      <c r="H126" s="2278"/>
      <c r="I126" s="2278"/>
      <c r="J126" s="2278"/>
      <c r="K126" s="2010"/>
      <c r="L126" s="2010"/>
      <c r="M126" s="2010"/>
      <c r="N126" s="2010"/>
      <c r="O126" s="2010"/>
      <c r="P126" s="2010"/>
      <c r="Q126" s="2010"/>
      <c r="R126" s="2010"/>
      <c r="S126" s="2010"/>
      <c r="T126" s="2010"/>
    </row>
    <row r="127" spans="1:20">
      <c r="A127" s="2006"/>
      <c r="D127" s="2278"/>
      <c r="E127" s="2278"/>
      <c r="F127" s="2278"/>
      <c r="G127" s="2278"/>
      <c r="H127" s="2278"/>
      <c r="I127" s="2278"/>
      <c r="J127" s="2278"/>
      <c r="K127" s="2010"/>
      <c r="L127" s="2010"/>
      <c r="M127" s="2010"/>
      <c r="N127" s="2010"/>
      <c r="O127" s="2010"/>
      <c r="P127" s="2010"/>
      <c r="Q127" s="2010"/>
      <c r="R127" s="2010"/>
      <c r="S127" s="2010"/>
      <c r="T127" s="2010"/>
    </row>
    <row r="128" spans="1:20">
      <c r="A128" s="2006"/>
      <c r="D128" s="2278"/>
      <c r="E128" s="2278"/>
      <c r="F128" s="2278"/>
      <c r="G128" s="2278"/>
      <c r="H128" s="2278"/>
      <c r="I128" s="2278"/>
      <c r="J128" s="2278"/>
      <c r="K128" s="2010"/>
      <c r="L128" s="2010"/>
      <c r="M128" s="2010"/>
      <c r="N128" s="2010"/>
      <c r="O128" s="2010"/>
      <c r="P128" s="2010"/>
      <c r="Q128" s="2010"/>
      <c r="R128" s="2010"/>
      <c r="S128" s="2010"/>
      <c r="T128" s="2010"/>
    </row>
    <row r="129" spans="1:20">
      <c r="A129" s="2006"/>
      <c r="D129" s="2278"/>
      <c r="E129" s="2278"/>
      <c r="F129" s="2278"/>
      <c r="G129" s="2278"/>
      <c r="H129" s="2278"/>
      <c r="I129" s="2278"/>
      <c r="J129" s="2278"/>
      <c r="K129" s="2010"/>
      <c r="L129" s="2010"/>
      <c r="M129" s="2010"/>
      <c r="N129" s="2010"/>
      <c r="O129" s="2010"/>
      <c r="P129" s="2010"/>
      <c r="Q129" s="2010"/>
      <c r="R129" s="2010"/>
      <c r="S129" s="2010"/>
      <c r="T129" s="2010"/>
    </row>
    <row r="130" spans="1:20">
      <c r="A130" s="2006"/>
      <c r="D130" s="2278"/>
      <c r="E130" s="2278"/>
      <c r="F130" s="2278"/>
      <c r="G130" s="2278"/>
      <c r="H130" s="2278"/>
      <c r="I130" s="2278"/>
      <c r="J130" s="2278"/>
      <c r="K130" s="2010"/>
      <c r="L130" s="2010"/>
      <c r="M130" s="2010"/>
      <c r="N130" s="2010"/>
      <c r="O130" s="2010"/>
      <c r="P130" s="2010"/>
      <c r="Q130" s="2010"/>
      <c r="R130" s="2010"/>
      <c r="S130" s="2010"/>
      <c r="T130" s="2010"/>
    </row>
    <row r="131" spans="1:20">
      <c r="A131" s="2006"/>
      <c r="D131" s="2278"/>
      <c r="E131" s="2278"/>
      <c r="F131" s="2278"/>
      <c r="G131" s="2278"/>
      <c r="H131" s="2278"/>
      <c r="I131" s="2278"/>
      <c r="J131" s="2278"/>
      <c r="K131" s="2010"/>
      <c r="L131" s="2010"/>
      <c r="M131" s="2010"/>
      <c r="N131" s="2010"/>
      <c r="O131" s="2010"/>
      <c r="P131" s="2010"/>
      <c r="Q131" s="2010"/>
      <c r="R131" s="2010"/>
      <c r="S131" s="2010"/>
      <c r="T131" s="2010"/>
    </row>
    <row r="132" spans="1:20">
      <c r="A132" s="2006"/>
      <c r="D132" s="2278"/>
      <c r="E132" s="2278"/>
      <c r="F132" s="2278"/>
      <c r="G132" s="2278"/>
      <c r="H132" s="2278"/>
      <c r="I132" s="2278"/>
      <c r="J132" s="2278"/>
      <c r="K132" s="2010"/>
      <c r="L132" s="2010"/>
      <c r="M132" s="2010"/>
      <c r="N132" s="2010"/>
      <c r="O132" s="2010"/>
      <c r="P132" s="2010"/>
      <c r="Q132" s="2010"/>
      <c r="R132" s="2010"/>
      <c r="S132" s="2010"/>
      <c r="T132" s="2010"/>
    </row>
    <row r="133" spans="1:20">
      <c r="A133" s="2006"/>
      <c r="D133" s="2278"/>
      <c r="E133" s="2278"/>
      <c r="F133" s="2278"/>
      <c r="G133" s="2278"/>
      <c r="H133" s="2278"/>
      <c r="I133" s="2278"/>
      <c r="J133" s="2278"/>
      <c r="K133" s="2010"/>
      <c r="L133" s="2010"/>
      <c r="M133" s="2010"/>
      <c r="N133" s="2010"/>
      <c r="O133" s="2010"/>
      <c r="P133" s="2010"/>
      <c r="Q133" s="2010"/>
      <c r="R133" s="2010"/>
      <c r="S133" s="2010"/>
      <c r="T133" s="2010"/>
    </row>
    <row r="134" spans="1:20">
      <c r="A134" s="2006"/>
      <c r="D134" s="2278"/>
      <c r="E134" s="2278"/>
      <c r="F134" s="2278"/>
      <c r="G134" s="2278"/>
      <c r="H134" s="2278"/>
      <c r="I134" s="2278"/>
      <c r="J134" s="2278"/>
      <c r="K134" s="2010"/>
      <c r="L134" s="2010"/>
      <c r="M134" s="2010"/>
      <c r="N134" s="2010"/>
      <c r="O134" s="2010"/>
      <c r="P134" s="2010"/>
      <c r="Q134" s="2010"/>
      <c r="R134" s="2010"/>
      <c r="S134" s="2010"/>
      <c r="T134" s="2010"/>
    </row>
    <row r="135" spans="1:20">
      <c r="A135" s="2006"/>
      <c r="D135" s="2278"/>
      <c r="E135" s="2278"/>
      <c r="F135" s="2278"/>
      <c r="G135" s="2278"/>
      <c r="H135" s="2278"/>
      <c r="I135" s="2278"/>
      <c r="J135" s="2278"/>
      <c r="K135" s="2010"/>
      <c r="L135" s="2010"/>
      <c r="M135" s="2010"/>
      <c r="N135" s="2010"/>
      <c r="O135" s="2010"/>
      <c r="P135" s="2010"/>
      <c r="Q135" s="2010"/>
      <c r="R135" s="2010"/>
      <c r="S135" s="2010"/>
      <c r="T135" s="2010"/>
    </row>
    <row r="136" spans="1:20">
      <c r="A136" s="2006"/>
      <c r="D136" s="2278"/>
      <c r="E136" s="2278"/>
      <c r="F136" s="2278"/>
      <c r="G136" s="2278"/>
      <c r="H136" s="2278"/>
      <c r="I136" s="2278"/>
      <c r="J136" s="2278"/>
      <c r="K136" s="2010"/>
      <c r="L136" s="2010"/>
      <c r="M136" s="2010"/>
      <c r="N136" s="2010"/>
      <c r="O136" s="2010"/>
      <c r="P136" s="2010"/>
      <c r="Q136" s="2010"/>
      <c r="R136" s="2010"/>
      <c r="S136" s="2010"/>
      <c r="T136" s="2010"/>
    </row>
  </sheetData>
  <phoneticPr fontId="3" type="noConversion"/>
  <pageMargins left="0" right="0" top="0" bottom="0" header="0" footer="0"/>
  <pageSetup paperSize="5" scale="60" orientation="landscape" r:id="rId1"/>
  <headerFooter alignWithMargins="0"/>
  <ignoredErrors>
    <ignoredError sqref="I43 K43:T43 I32:I33 AB37:AB46 AB23 J35:J36 I37 J38" formula="1"/>
    <ignoredError sqref="H26" numberStoredAsText="1"/>
  </ignoredErrors>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EN184"/>
  <sheetViews>
    <sheetView showGridLines="0" zoomScaleNormal="100" zoomScaleSheetLayoutView="100" workbookViewId="0">
      <pane xSplit="1" ySplit="6" topLeftCell="Z7" activePane="bottomRight" state="frozen"/>
      <selection pane="topRight" activeCell="B1" sqref="B1"/>
      <selection pane="bottomLeft" activeCell="A7" sqref="A7"/>
      <selection pane="bottomRight" activeCell="AH91" sqref="AH91"/>
    </sheetView>
  </sheetViews>
  <sheetFormatPr defaultRowHeight="12.75" outlineLevelCol="1"/>
  <cols>
    <col min="1" max="1" width="30.7109375" customWidth="1"/>
    <col min="2" max="5" width="9.140625" hidden="1" customWidth="1" outlineLevel="1"/>
    <col min="6" max="11" width="8.7109375" hidden="1" customWidth="1" outlineLevel="1"/>
    <col min="12" max="12" width="8.85546875" hidden="1" customWidth="1" outlineLevel="1"/>
    <col min="13" max="17" width="8.7109375" hidden="1" customWidth="1" outlineLevel="1"/>
    <col min="18" max="20" width="9.140625" hidden="1" customWidth="1" outlineLevel="1"/>
    <col min="21" max="21" width="9.140625" hidden="1" customWidth="1" outlineLevel="1" collapsed="1"/>
    <col min="22" max="22" width="9.140625" hidden="1" customWidth="1" outlineLevel="1"/>
    <col min="23" max="23" width="9.140625" hidden="1" customWidth="1" outlineLevel="1" collapsed="1"/>
    <col min="24" max="24" width="9.7109375" hidden="1" customWidth="1" outlineLevel="1" collapsed="1"/>
    <col min="25" max="25" width="9.7109375" hidden="1" customWidth="1" outlineLevel="1"/>
    <col min="26" max="26" width="9.7109375" customWidth="1" collapsed="1"/>
    <col min="27" max="38" width="9.7109375" customWidth="1"/>
    <col min="39" max="39" width="9" customWidth="1"/>
    <col min="41" max="46" width="9.140625" hidden="1" customWidth="1" outlineLevel="1"/>
    <col min="47" max="47" width="9.140625" collapsed="1"/>
    <col min="48" max="48" width="10.42578125" hidden="1" customWidth="1" outlineLevel="1"/>
    <col min="49" max="51" width="9.140625" hidden="1" customWidth="1" outlineLevel="1"/>
    <col min="52" max="52" width="2.140625" hidden="1" customWidth="1" outlineLevel="1"/>
    <col min="53" max="53" width="10.42578125" hidden="1" customWidth="1" outlineLevel="1"/>
    <col min="54" max="56" width="9.140625" hidden="1" customWidth="1" outlineLevel="1"/>
    <col min="57" max="57" width="3.5703125" hidden="1" customWidth="1" outlineLevel="1"/>
    <col min="58" max="58" width="11" hidden="1" customWidth="1" outlineLevel="1"/>
    <col min="59" max="61" width="9.140625" hidden="1" customWidth="1" outlineLevel="1"/>
    <col min="62" max="62" width="3.42578125" hidden="1" customWidth="1" outlineLevel="1"/>
    <col min="63" max="63" width="11" hidden="1" customWidth="1" outlineLevel="1"/>
    <col min="64" max="66" width="9.140625" hidden="1" customWidth="1" outlineLevel="1"/>
    <col min="67" max="67" width="3.5703125" hidden="1" customWidth="1" outlineLevel="1"/>
    <col min="68" max="68" width="10.42578125" hidden="1" customWidth="1" outlineLevel="1"/>
    <col min="69" max="71" width="9.140625" hidden="1" customWidth="1" outlineLevel="1"/>
    <col min="72" max="72" width="4.5703125" hidden="1" customWidth="1" outlineLevel="1"/>
    <col min="73" max="76" width="9.140625" hidden="1" customWidth="1" outlineLevel="1"/>
    <col min="77" max="77" width="5.42578125" hidden="1" customWidth="1" outlineLevel="1"/>
    <col min="78" max="81" width="9.140625" hidden="1" customWidth="1" outlineLevel="1"/>
    <col min="82" max="82" width="7.140625" hidden="1" customWidth="1" outlineLevel="1"/>
    <col min="83" max="86" width="9.140625" hidden="1" customWidth="1" outlineLevel="1"/>
    <col min="87" max="87" width="5.7109375" hidden="1" customWidth="1" outlineLevel="1"/>
    <col min="88" max="91" width="8.140625" hidden="1" customWidth="1" outlineLevel="1"/>
    <col min="92" max="92" width="7.140625" hidden="1" customWidth="1" outlineLevel="1"/>
    <col min="93" max="96" width="9.140625" hidden="1" customWidth="1" outlineLevel="1"/>
    <col min="97" max="97" width="6.140625" hidden="1" customWidth="1" outlineLevel="1"/>
    <col min="98" max="101" width="9.140625" hidden="1" customWidth="1" outlineLevel="1"/>
    <col min="102" max="102" width="8.85546875" hidden="1" customWidth="1" outlineLevel="1"/>
    <col min="103" max="111" width="9.140625" hidden="1" customWidth="1" outlineLevel="1"/>
    <col min="112" max="112" width="8.140625" hidden="1" customWidth="1" outlineLevel="1"/>
    <col min="113" max="113" width="5.7109375" hidden="1" customWidth="1" outlineLevel="1"/>
    <col min="114" max="114" width="4.7109375" hidden="1" customWidth="1" outlineLevel="1"/>
    <col min="115" max="118" width="8.7109375" hidden="1" customWidth="1" outlineLevel="1"/>
    <col min="119" max="119" width="4.7109375" hidden="1" customWidth="1" outlineLevel="1"/>
    <col min="120" max="123" width="8.7109375" hidden="1" customWidth="1" outlineLevel="1"/>
    <col min="124" max="124" width="4.7109375" hidden="1" customWidth="1" outlineLevel="1"/>
    <col min="125" max="125" width="8.7109375" hidden="1" customWidth="1" outlineLevel="1" collapsed="1"/>
    <col min="126" max="128" width="8.7109375" hidden="1" customWidth="1" outlineLevel="1"/>
    <col min="129" max="129" width="4.7109375" hidden="1" customWidth="1" outlineLevel="1"/>
    <col min="130" max="130" width="8.7109375" customWidth="1" collapsed="1"/>
    <col min="131" max="133" width="8.7109375" customWidth="1"/>
    <col min="134" max="134" width="4.7109375" customWidth="1"/>
    <col min="135" max="138" width="8.7109375" customWidth="1"/>
    <col min="139" max="139" width="4.7109375" customWidth="1"/>
  </cols>
  <sheetData>
    <row r="1" spans="1:144">
      <c r="A1" s="727" t="s">
        <v>638</v>
      </c>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254"/>
      <c r="BU1" s="6"/>
      <c r="BV1" s="6"/>
      <c r="BW1" s="6"/>
      <c r="BX1" s="6"/>
      <c r="BY1" s="254"/>
      <c r="BZ1" s="6"/>
      <c r="CA1" s="6"/>
      <c r="CB1" s="6"/>
      <c r="CC1" s="6"/>
      <c r="CD1" s="6"/>
      <c r="CE1" s="6"/>
      <c r="CF1" s="6"/>
      <c r="CG1" s="6"/>
      <c r="CH1" s="6"/>
      <c r="CI1" s="6"/>
      <c r="CJ1" s="6"/>
      <c r="CK1" s="6"/>
      <c r="CL1" s="6"/>
      <c r="CM1" s="6"/>
      <c r="CN1" s="254"/>
      <c r="CO1" s="6"/>
      <c r="CP1" s="6"/>
      <c r="CQ1" s="11"/>
      <c r="CR1" s="6"/>
      <c r="CS1" s="6"/>
      <c r="CT1" s="6"/>
      <c r="CU1" s="6"/>
      <c r="CV1" s="6"/>
      <c r="CW1" s="6"/>
      <c r="CX1" s="6"/>
      <c r="CY1" s="6"/>
      <c r="CZ1" s="6"/>
      <c r="DA1" s="6"/>
      <c r="DB1" s="6"/>
      <c r="DC1" s="6"/>
      <c r="DD1" s="6"/>
      <c r="DE1" s="6"/>
      <c r="DF1" s="6"/>
      <c r="DG1" s="6"/>
      <c r="DH1" s="6"/>
    </row>
    <row r="2" spans="1:144">
      <c r="A2" s="215" t="s">
        <v>755</v>
      </c>
      <c r="B2" s="728"/>
      <c r="C2" s="303"/>
      <c r="D2" s="303"/>
      <c r="E2" s="303"/>
      <c r="F2" s="303"/>
      <c r="G2" s="303"/>
      <c r="H2" s="48"/>
      <c r="I2" s="48"/>
      <c r="J2" s="48"/>
      <c r="K2" s="48"/>
      <c r="L2" s="48"/>
      <c r="M2" s="48"/>
      <c r="N2" s="48"/>
      <c r="O2" s="48"/>
      <c r="P2" s="48"/>
      <c r="Q2" s="48"/>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254"/>
      <c r="BU2" s="6"/>
      <c r="BV2" s="6"/>
      <c r="BW2" s="6"/>
      <c r="BX2" s="6"/>
      <c r="BY2" s="254"/>
      <c r="BZ2" s="6"/>
      <c r="CA2" s="6"/>
      <c r="CB2" s="6"/>
      <c r="CC2" s="6"/>
      <c r="CD2" s="6"/>
      <c r="CE2" s="6"/>
      <c r="CF2" s="6"/>
      <c r="CG2" s="6"/>
      <c r="CH2" s="6"/>
      <c r="CI2" s="6"/>
      <c r="CJ2" s="6"/>
      <c r="CK2" s="6"/>
      <c r="CL2" s="6"/>
      <c r="CM2" s="6"/>
      <c r="CN2" s="254"/>
      <c r="CO2" s="6"/>
      <c r="CP2" s="6"/>
      <c r="CQ2" s="11"/>
      <c r="CR2" s="6"/>
      <c r="CS2" s="6"/>
      <c r="CT2" s="6" t="s">
        <v>337</v>
      </c>
      <c r="CU2" s="6"/>
      <c r="CV2" s="6"/>
      <c r="CW2" s="6"/>
      <c r="CX2" s="6"/>
      <c r="CY2" s="6"/>
      <c r="CZ2" s="6"/>
      <c r="DA2" s="6"/>
      <c r="DB2" s="6"/>
      <c r="DC2" s="6"/>
      <c r="DD2" s="6"/>
      <c r="DE2" s="6"/>
      <c r="DF2" s="6"/>
      <c r="DG2" s="6"/>
      <c r="DH2" s="6"/>
    </row>
    <row r="3" spans="1:144">
      <c r="A3" s="542"/>
      <c r="B3" s="303"/>
      <c r="C3" s="303"/>
      <c r="D3" s="303"/>
      <c r="E3" s="303"/>
      <c r="F3" s="303"/>
      <c r="G3" s="542"/>
      <c r="H3" s="48"/>
      <c r="I3" s="48"/>
      <c r="J3" s="48"/>
      <c r="K3" s="48"/>
      <c r="L3" s="48"/>
      <c r="M3" s="48"/>
      <c r="N3" s="48"/>
      <c r="O3" s="48"/>
      <c r="P3" s="48"/>
      <c r="Q3" s="48"/>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254"/>
      <c r="BU3" s="6"/>
      <c r="BV3" s="6"/>
      <c r="BW3" s="6"/>
      <c r="BX3" s="6"/>
      <c r="BY3" s="254"/>
      <c r="BZ3" s="6"/>
      <c r="CA3" s="6"/>
      <c r="CB3" s="6"/>
      <c r="CC3" s="6"/>
      <c r="CD3" s="6"/>
      <c r="CE3" s="6"/>
      <c r="CF3" s="6"/>
      <c r="CG3" s="6"/>
      <c r="CH3" s="6"/>
      <c r="CI3" s="6"/>
      <c r="CJ3" s="6"/>
      <c r="CK3" s="6"/>
      <c r="CL3" s="6"/>
      <c r="CM3" s="6"/>
      <c r="CN3" s="254"/>
      <c r="CO3" s="6"/>
      <c r="CP3" s="6"/>
      <c r="CQ3" s="11"/>
      <c r="CR3" s="6"/>
      <c r="CS3" s="6"/>
      <c r="CT3" s="6"/>
      <c r="CU3" s="6"/>
      <c r="CV3" s="6"/>
      <c r="CW3" s="6"/>
      <c r="CX3" s="6"/>
      <c r="CY3" s="6"/>
      <c r="CZ3" s="6"/>
      <c r="DA3" s="6"/>
      <c r="DB3" s="6"/>
      <c r="DC3" s="6"/>
      <c r="DD3" s="6"/>
      <c r="DE3" s="6"/>
      <c r="DF3" s="6"/>
      <c r="DG3" s="6"/>
      <c r="DH3" s="6"/>
    </row>
    <row r="4" spans="1:144">
      <c r="A4" s="543"/>
      <c r="B4" s="48"/>
      <c r="C4" s="48"/>
      <c r="D4" s="48"/>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48"/>
      <c r="AK4" s="48"/>
      <c r="AL4" s="48"/>
      <c r="AM4" s="48"/>
      <c r="AN4" s="48"/>
      <c r="AO4" s="48"/>
      <c r="AP4" s="48"/>
      <c r="AQ4" s="48"/>
      <c r="AR4" s="48"/>
      <c r="AS4" s="48"/>
      <c r="AT4" s="48"/>
      <c r="AU4" s="48"/>
      <c r="AV4" s="6"/>
      <c r="AW4" s="6"/>
      <c r="AX4" s="6"/>
      <c r="AY4" s="6"/>
      <c r="AZ4" s="6"/>
      <c r="BA4" s="6"/>
      <c r="BB4" s="6"/>
      <c r="BC4" s="6"/>
      <c r="BD4" s="6"/>
      <c r="BE4" s="6"/>
      <c r="BF4" s="6"/>
      <c r="BG4" s="6"/>
      <c r="BH4" s="6"/>
      <c r="BI4" s="6"/>
      <c r="BJ4" s="6"/>
      <c r="BK4" s="6"/>
      <c r="BL4" s="6"/>
      <c r="BM4" s="6"/>
      <c r="BN4" s="6"/>
      <c r="BO4" s="6"/>
      <c r="BP4" s="6"/>
      <c r="BQ4" s="6"/>
      <c r="BR4" s="6"/>
      <c r="BS4" s="6"/>
      <c r="BT4" s="254"/>
      <c r="BU4" s="6"/>
      <c r="BV4" s="6"/>
      <c r="BW4" s="6"/>
      <c r="BX4" s="6"/>
      <c r="BY4" s="254"/>
      <c r="BZ4" s="6"/>
      <c r="CA4" s="6"/>
      <c r="CB4" s="6"/>
      <c r="CC4" s="6"/>
      <c r="CD4" s="6"/>
      <c r="CE4" s="6"/>
      <c r="CF4" s="6"/>
      <c r="CG4" s="6"/>
      <c r="CH4" s="6"/>
      <c r="CI4" s="6"/>
      <c r="CJ4" s="6"/>
      <c r="CK4" s="6"/>
      <c r="CL4" s="6"/>
      <c r="CM4" s="6"/>
      <c r="CN4" s="254"/>
      <c r="CO4" s="6"/>
      <c r="CP4" s="6"/>
      <c r="CQ4" s="11"/>
      <c r="CR4" s="6"/>
      <c r="CS4" s="6"/>
      <c r="CT4" s="6"/>
      <c r="CU4" s="6"/>
      <c r="CV4" s="6"/>
      <c r="CW4" s="6"/>
      <c r="CX4" s="6"/>
      <c r="CY4" s="6"/>
      <c r="CZ4" s="6"/>
      <c r="DA4" s="6"/>
      <c r="DB4" s="6"/>
      <c r="DC4" s="6"/>
      <c r="DD4" s="6"/>
      <c r="DE4" s="6"/>
      <c r="DF4" s="6"/>
      <c r="DG4" s="6"/>
      <c r="DH4" s="6"/>
    </row>
    <row r="5" spans="1:144">
      <c r="A5" s="729" t="s">
        <v>741</v>
      </c>
      <c r="B5" s="568"/>
      <c r="C5" s="568"/>
      <c r="D5" s="568"/>
      <c r="E5" s="568"/>
      <c r="F5" s="568"/>
      <c r="G5" s="568"/>
      <c r="H5" s="568"/>
      <c r="I5" s="730"/>
      <c r="J5" s="568"/>
      <c r="K5" s="568"/>
      <c r="L5" s="568"/>
      <c r="M5" s="568"/>
      <c r="N5" s="568"/>
      <c r="O5" s="568"/>
      <c r="P5" s="568"/>
      <c r="Q5" s="568"/>
      <c r="R5" s="568"/>
      <c r="S5" s="568"/>
      <c r="T5" s="568"/>
      <c r="U5" s="568"/>
      <c r="V5" s="568"/>
      <c r="W5" s="568"/>
      <c r="X5" s="568"/>
      <c r="Y5" s="568"/>
      <c r="Z5" s="568"/>
      <c r="AA5" s="568"/>
      <c r="AB5" s="568"/>
      <c r="AC5" s="568"/>
      <c r="AD5" s="568"/>
      <c r="AE5" s="568"/>
      <c r="AF5" s="568"/>
      <c r="AG5" s="1258"/>
      <c r="AH5" s="1258"/>
      <c r="AI5" s="1258"/>
      <c r="AJ5" s="1258"/>
      <c r="AK5" s="1258"/>
      <c r="AL5" s="1258"/>
      <c r="AM5" s="1258"/>
      <c r="AN5" s="1258"/>
      <c r="AO5" s="87"/>
      <c r="AP5" s="87"/>
      <c r="AQ5" s="87"/>
      <c r="AR5" s="87"/>
      <c r="AS5" s="87"/>
      <c r="AT5" s="87"/>
      <c r="AU5" s="87"/>
      <c r="AV5" s="384">
        <v>1997</v>
      </c>
      <c r="AW5" s="384"/>
      <c r="AX5" s="384"/>
      <c r="AY5" s="384"/>
      <c r="AZ5" s="731"/>
      <c r="BA5" s="384">
        <v>1998</v>
      </c>
      <c r="BB5" s="384"/>
      <c r="BC5" s="384"/>
      <c r="BD5" s="384"/>
      <c r="BE5" s="731"/>
      <c r="BF5" s="384">
        <v>1999</v>
      </c>
      <c r="BG5" s="384"/>
      <c r="BH5" s="384"/>
      <c r="BI5" s="384"/>
      <c r="BJ5" s="731"/>
      <c r="BK5" s="384">
        <v>2000</v>
      </c>
      <c r="BL5" s="384"/>
      <c r="BM5" s="384"/>
      <c r="BN5" s="384"/>
      <c r="BO5" s="731"/>
      <c r="BP5" s="3597">
        <v>2001</v>
      </c>
      <c r="BQ5" s="3597"/>
      <c r="BR5" s="3597"/>
      <c r="BS5" s="3597"/>
      <c r="BT5" s="732"/>
      <c r="BU5" s="3597">
        <v>2002</v>
      </c>
      <c r="BV5" s="3597"/>
      <c r="BW5" s="3597"/>
      <c r="BX5" s="3597"/>
      <c r="BY5" s="254"/>
      <c r="BZ5" s="384">
        <v>2003</v>
      </c>
      <c r="CA5" s="384"/>
      <c r="CB5" s="384"/>
      <c r="CC5" s="384"/>
      <c r="CD5" s="6"/>
      <c r="CE5" s="384">
        <v>2004</v>
      </c>
      <c r="CF5" s="384"/>
      <c r="CG5" s="384"/>
      <c r="CH5" s="384"/>
      <c r="CI5" s="6"/>
      <c r="CJ5" s="384">
        <v>2005</v>
      </c>
      <c r="CK5" s="384"/>
      <c r="CL5" s="384"/>
      <c r="CM5" s="384"/>
      <c r="CN5" s="254"/>
      <c r="CO5" s="384">
        <v>2006</v>
      </c>
      <c r="CP5" s="384"/>
      <c r="CQ5" s="92"/>
      <c r="CR5" s="384"/>
      <c r="CS5" s="6"/>
      <c r="CT5" s="384">
        <v>2007</v>
      </c>
      <c r="CU5" s="384"/>
      <c r="CV5" s="92"/>
      <c r="CW5" s="384"/>
      <c r="CX5" s="6"/>
      <c r="CY5" s="384">
        <v>2008</v>
      </c>
      <c r="CZ5" s="384"/>
      <c r="DA5" s="92"/>
      <c r="DB5" s="384"/>
      <c r="DC5" s="6"/>
      <c r="DD5" s="384">
        <f>'Segment Detail'!DN4</f>
        <v>2009</v>
      </c>
      <c r="DE5" s="384"/>
      <c r="DF5" s="92"/>
      <c r="DG5" s="384"/>
      <c r="DH5" s="6"/>
      <c r="DK5" s="384">
        <v>2013</v>
      </c>
      <c r="DL5" s="384"/>
      <c r="DM5" s="92"/>
      <c r="DN5" s="384"/>
      <c r="DP5" s="384">
        <v>2014</v>
      </c>
      <c r="DQ5" s="384"/>
      <c r="DR5" s="92"/>
      <c r="DS5" s="384"/>
      <c r="DU5" s="384">
        <v>2015</v>
      </c>
      <c r="DV5" s="384"/>
      <c r="DW5" s="92"/>
      <c r="DX5" s="384"/>
      <c r="DZ5" s="2309">
        <v>2016</v>
      </c>
      <c r="EA5" s="384"/>
      <c r="EB5" s="92"/>
      <c r="EC5" s="384"/>
      <c r="EE5" s="2309" t="s">
        <v>469</v>
      </c>
      <c r="EF5" s="384"/>
      <c r="EG5" s="92"/>
      <c r="EH5" s="384"/>
      <c r="EJ5" s="2309" t="s">
        <v>618</v>
      </c>
      <c r="EK5" s="384"/>
      <c r="EL5" s="92"/>
      <c r="EM5" s="384"/>
    </row>
    <row r="6" spans="1:144">
      <c r="A6" s="545"/>
      <c r="B6" s="733">
        <v>1990</v>
      </c>
      <c r="C6" s="733">
        <v>1991</v>
      </c>
      <c r="D6" s="733">
        <v>1992</v>
      </c>
      <c r="E6" s="733">
        <v>1993</v>
      </c>
      <c r="F6" s="733">
        <v>1994</v>
      </c>
      <c r="G6" s="570" t="s">
        <v>742</v>
      </c>
      <c r="H6" s="569">
        <v>1996</v>
      </c>
      <c r="I6" s="569">
        <v>1997</v>
      </c>
      <c r="J6" s="569">
        <v>1998</v>
      </c>
      <c r="K6" s="569">
        <v>1999</v>
      </c>
      <c r="L6" s="569">
        <v>2000</v>
      </c>
      <c r="M6" s="570" t="s">
        <v>756</v>
      </c>
      <c r="N6" s="570" t="s">
        <v>757</v>
      </c>
      <c r="O6" s="570" t="s">
        <v>758</v>
      </c>
      <c r="P6" s="570" t="s">
        <v>759</v>
      </c>
      <c r="Q6" s="570" t="s">
        <v>367</v>
      </c>
      <c r="R6" s="570" t="s">
        <v>832</v>
      </c>
      <c r="S6" s="570" t="s">
        <v>833</v>
      </c>
      <c r="T6" s="570" t="s">
        <v>1244</v>
      </c>
      <c r="U6" s="570" t="s">
        <v>437</v>
      </c>
      <c r="V6" s="569">
        <v>2010</v>
      </c>
      <c r="W6" s="569">
        <v>2011</v>
      </c>
      <c r="X6" s="569">
        <f>Retrans!D3</f>
        <v>2012</v>
      </c>
      <c r="Y6" s="569">
        <f>Retrans!E3</f>
        <v>2013</v>
      </c>
      <c r="Z6" s="569">
        <f>Retrans!F3</f>
        <v>2014</v>
      </c>
      <c r="AA6" s="569">
        <f>Retrans!G3</f>
        <v>2015</v>
      </c>
      <c r="AB6" s="569">
        <f>Retrans!H3</f>
        <v>2016</v>
      </c>
      <c r="AC6" s="569" t="str">
        <f>Retrans!I3</f>
        <v>2017E</v>
      </c>
      <c r="AD6" s="569" t="str">
        <f>Retrans!J3</f>
        <v>2018E</v>
      </c>
      <c r="AE6" s="569" t="str">
        <f>Retrans!K3</f>
        <v>2019E</v>
      </c>
      <c r="AF6" s="569" t="str">
        <f>Retrans!L3</f>
        <v>2020E</v>
      </c>
      <c r="AG6" s="569" t="str">
        <f>Retrans!M3</f>
        <v>2021E</v>
      </c>
      <c r="AH6" s="569" t="str">
        <f>Retrans!N3</f>
        <v>2022E</v>
      </c>
      <c r="AI6" s="569" t="str">
        <f>Retrans!O3</f>
        <v>2023E</v>
      </c>
      <c r="AJ6" s="569" t="str">
        <f>Retrans!P3</f>
        <v>2024E</v>
      </c>
      <c r="AK6" s="569" t="str">
        <f>Retrans!Q3</f>
        <v>2025E</v>
      </c>
      <c r="AL6" s="569" t="str">
        <f>Retrans!R3</f>
        <v>2026E</v>
      </c>
      <c r="AM6" s="569" t="str">
        <f>Retrans!S3</f>
        <v>2027E</v>
      </c>
      <c r="AN6" s="569" t="str">
        <f>Retrans!T3</f>
        <v>2028E</v>
      </c>
      <c r="AO6" s="759"/>
      <c r="AP6" s="759"/>
      <c r="AQ6" s="759"/>
      <c r="AR6" s="759"/>
      <c r="AS6" s="759"/>
      <c r="AT6" s="759"/>
      <c r="AU6" s="6"/>
      <c r="AV6" s="734" t="s">
        <v>670</v>
      </c>
      <c r="AW6" s="734" t="s">
        <v>671</v>
      </c>
      <c r="AX6" s="734" t="s">
        <v>672</v>
      </c>
      <c r="AY6" s="734" t="s">
        <v>673</v>
      </c>
      <c r="AZ6" s="735"/>
      <c r="BA6" s="734" t="s">
        <v>670</v>
      </c>
      <c r="BB6" s="734" t="s">
        <v>671</v>
      </c>
      <c r="BC6" s="734" t="s">
        <v>672</v>
      </c>
      <c r="BD6" s="734" t="s">
        <v>673</v>
      </c>
      <c r="BE6" s="735"/>
      <c r="BF6" s="734" t="s">
        <v>670</v>
      </c>
      <c r="BG6" s="734" t="s">
        <v>671</v>
      </c>
      <c r="BH6" s="734" t="s">
        <v>672</v>
      </c>
      <c r="BI6" s="734" t="s">
        <v>673</v>
      </c>
      <c r="BJ6" s="735"/>
      <c r="BK6" s="734" t="s">
        <v>670</v>
      </c>
      <c r="BL6" s="734" t="s">
        <v>671</v>
      </c>
      <c r="BM6" s="734" t="s">
        <v>672</v>
      </c>
      <c r="BN6" s="734" t="s">
        <v>673</v>
      </c>
      <c r="BO6" s="735"/>
      <c r="BP6" s="734" t="s">
        <v>670</v>
      </c>
      <c r="BQ6" s="734" t="s">
        <v>671</v>
      </c>
      <c r="BR6" s="734" t="s">
        <v>672</v>
      </c>
      <c r="BS6" s="734" t="s">
        <v>673</v>
      </c>
      <c r="BT6" s="736"/>
      <c r="BU6" s="734" t="s">
        <v>670</v>
      </c>
      <c r="BV6" s="734" t="s">
        <v>671</v>
      </c>
      <c r="BW6" s="734" t="s">
        <v>672</v>
      </c>
      <c r="BX6" s="734" t="s">
        <v>673</v>
      </c>
      <c r="BY6" s="254"/>
      <c r="BZ6" s="734" t="s">
        <v>670</v>
      </c>
      <c r="CA6" s="734" t="s">
        <v>671</v>
      </c>
      <c r="CB6" s="734" t="s">
        <v>672</v>
      </c>
      <c r="CC6" s="734" t="s">
        <v>673</v>
      </c>
      <c r="CD6" s="6"/>
      <c r="CE6" s="734" t="s">
        <v>670</v>
      </c>
      <c r="CF6" s="734" t="s">
        <v>671</v>
      </c>
      <c r="CG6" s="734" t="s">
        <v>672</v>
      </c>
      <c r="CH6" s="734" t="s">
        <v>673</v>
      </c>
      <c r="CI6" s="6"/>
      <c r="CJ6" s="734" t="s">
        <v>670</v>
      </c>
      <c r="CK6" s="734" t="s">
        <v>671</v>
      </c>
      <c r="CL6" s="734" t="s">
        <v>672</v>
      </c>
      <c r="CM6" s="734" t="s">
        <v>673</v>
      </c>
      <c r="CN6" s="254"/>
      <c r="CO6" s="734" t="s">
        <v>670</v>
      </c>
      <c r="CP6" s="734" t="s">
        <v>671</v>
      </c>
      <c r="CQ6" s="737" t="s">
        <v>672</v>
      </c>
      <c r="CR6" s="734" t="s">
        <v>673</v>
      </c>
      <c r="CS6" s="6"/>
      <c r="CT6" s="734" t="s">
        <v>670</v>
      </c>
      <c r="CU6" s="734" t="s">
        <v>671</v>
      </c>
      <c r="CV6" s="737" t="s">
        <v>672</v>
      </c>
      <c r="CW6" s="734" t="s">
        <v>673</v>
      </c>
      <c r="CX6" s="6"/>
      <c r="CY6" s="734" t="s">
        <v>670</v>
      </c>
      <c r="CZ6" s="734" t="str">
        <f>'Revenue and OCF'!CZ5</f>
        <v>2Q</v>
      </c>
      <c r="DA6" s="734" t="str">
        <f>'Revenue and OCF'!DA5</f>
        <v>3Q</v>
      </c>
      <c r="DB6" s="734" t="str">
        <f>'Revenue and OCF'!DB5</f>
        <v>4Q</v>
      </c>
      <c r="DC6" s="6"/>
      <c r="DD6" s="734" t="str">
        <f>'Segment Detail'!DN5</f>
        <v>1Q</v>
      </c>
      <c r="DE6" s="734" t="str">
        <f>'Segment Detail'!DO5</f>
        <v>2Q</v>
      </c>
      <c r="DF6" s="734" t="str">
        <f>'Segment Detail'!DP5</f>
        <v>3Q</v>
      </c>
      <c r="DG6" s="734" t="str">
        <f>'Segment Detail'!DQ5</f>
        <v>4Q</v>
      </c>
      <c r="DH6" s="6"/>
      <c r="DK6" s="734" t="s">
        <v>670</v>
      </c>
      <c r="DL6" s="734" t="s">
        <v>671</v>
      </c>
      <c r="DM6" s="734" t="s">
        <v>672</v>
      </c>
      <c r="DN6" s="734" t="s">
        <v>673</v>
      </c>
      <c r="DP6" s="734" t="s">
        <v>670</v>
      </c>
      <c r="DQ6" s="734" t="s">
        <v>671</v>
      </c>
      <c r="DR6" s="734" t="s">
        <v>672</v>
      </c>
      <c r="DS6" s="734" t="s">
        <v>673</v>
      </c>
      <c r="DU6" s="734" t="s">
        <v>670</v>
      </c>
      <c r="DV6" s="734" t="s">
        <v>671</v>
      </c>
      <c r="DW6" s="734" t="s">
        <v>672</v>
      </c>
      <c r="DX6" s="734" t="s">
        <v>673</v>
      </c>
      <c r="DZ6" s="2310" t="s">
        <v>670</v>
      </c>
      <c r="EA6" s="2310" t="s">
        <v>671</v>
      </c>
      <c r="EB6" s="2310" t="s">
        <v>672</v>
      </c>
      <c r="EC6" s="2310" t="s">
        <v>673</v>
      </c>
      <c r="EE6" s="2310" t="s">
        <v>670</v>
      </c>
      <c r="EF6" s="2310" t="s">
        <v>671</v>
      </c>
      <c r="EG6" s="2310" t="s">
        <v>672</v>
      </c>
      <c r="EH6" s="2310" t="s">
        <v>674</v>
      </c>
      <c r="EJ6" s="2310" t="s">
        <v>1797</v>
      </c>
      <c r="EK6" s="2310" t="s">
        <v>1798</v>
      </c>
      <c r="EL6" s="2310" t="s">
        <v>1223</v>
      </c>
      <c r="EM6" s="2310" t="s">
        <v>674</v>
      </c>
    </row>
    <row r="7" spans="1:144">
      <c r="A7" s="560"/>
      <c r="B7" s="1366"/>
      <c r="C7" s="1366"/>
      <c r="D7" s="1366"/>
      <c r="E7" s="1366"/>
      <c r="F7" s="1366"/>
      <c r="G7" s="1366"/>
      <c r="H7" s="1366"/>
      <c r="I7" s="1366"/>
      <c r="J7" s="1366"/>
      <c r="K7" s="1366"/>
      <c r="L7" s="1366"/>
      <c r="M7" s="1366"/>
      <c r="N7" s="1366"/>
      <c r="O7" s="1366"/>
      <c r="P7" s="1366"/>
      <c r="Q7" s="1366"/>
      <c r="R7" s="1366"/>
      <c r="S7" s="1366"/>
      <c r="T7" s="1366"/>
      <c r="U7" s="1366"/>
      <c r="V7" s="1366"/>
      <c r="W7" s="1366"/>
      <c r="X7" s="1366"/>
      <c r="Y7" s="1366"/>
      <c r="Z7" s="1366"/>
      <c r="AA7" s="1366"/>
      <c r="AB7" s="1366"/>
      <c r="AC7" s="6"/>
      <c r="AD7" s="6"/>
      <c r="AE7" s="6"/>
      <c r="AF7" s="6"/>
      <c r="AG7" s="11"/>
      <c r="AH7" s="11"/>
      <c r="AI7" s="11"/>
      <c r="AJ7" s="11"/>
      <c r="AK7" s="11"/>
      <c r="AL7" s="11"/>
      <c r="AM7" s="11"/>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565"/>
      <c r="BU7" s="6"/>
      <c r="BV7" s="6"/>
      <c r="BW7" s="6"/>
      <c r="BX7" s="6"/>
      <c r="BY7" s="254"/>
      <c r="BZ7" s="6"/>
      <c r="CA7" s="6"/>
      <c r="CB7" s="6"/>
      <c r="CC7" s="6"/>
      <c r="CD7" s="6"/>
      <c r="CE7" s="6"/>
      <c r="CF7" s="6"/>
      <c r="CG7" s="6"/>
      <c r="CH7" s="6"/>
      <c r="CI7" s="6"/>
      <c r="CJ7" s="6"/>
      <c r="CK7" s="6"/>
      <c r="CL7" s="6"/>
      <c r="CM7" s="6"/>
      <c r="CN7" s="254"/>
      <c r="CO7" s="6"/>
      <c r="CP7" s="6"/>
      <c r="CQ7" s="11"/>
      <c r="CR7" s="6"/>
      <c r="CS7" s="6"/>
      <c r="CT7" s="6"/>
      <c r="CU7" s="6"/>
      <c r="CV7" s="11"/>
      <c r="CW7" s="6"/>
      <c r="CX7" s="6"/>
      <c r="CY7" s="6"/>
      <c r="CZ7" s="6"/>
      <c r="DA7" s="6"/>
      <c r="DB7" s="6"/>
      <c r="DC7" s="6"/>
      <c r="DD7" s="6"/>
      <c r="DE7" s="6"/>
      <c r="DF7" s="6"/>
      <c r="DG7" s="6"/>
      <c r="DH7" s="6"/>
      <c r="EB7" s="2807"/>
      <c r="EC7" s="2807"/>
      <c r="ED7" s="2807"/>
      <c r="EE7" s="2807"/>
      <c r="EF7" s="2807"/>
      <c r="EG7" s="2807"/>
    </row>
    <row r="8" spans="1:144">
      <c r="A8" s="576"/>
      <c r="B8" s="221"/>
      <c r="C8" s="221"/>
      <c r="D8" s="221"/>
      <c r="E8" s="221"/>
      <c r="F8" s="221"/>
      <c r="G8" s="221"/>
      <c r="H8" s="221"/>
      <c r="I8" s="221"/>
      <c r="J8" s="221"/>
      <c r="K8" s="221"/>
      <c r="L8" s="221"/>
      <c r="M8" s="221"/>
      <c r="N8" s="221"/>
      <c r="O8" s="221"/>
      <c r="P8" s="221"/>
      <c r="Q8" s="221"/>
      <c r="R8" s="221"/>
      <c r="S8" s="221"/>
      <c r="T8" s="221"/>
      <c r="U8" s="221"/>
      <c r="V8" s="221"/>
      <c r="W8" s="221"/>
      <c r="X8" s="221"/>
      <c r="Y8" s="221"/>
      <c r="Z8" s="221"/>
      <c r="AA8" s="221"/>
      <c r="AB8" s="221"/>
      <c r="AC8" s="257"/>
      <c r="AD8" s="257"/>
      <c r="AE8" s="257"/>
      <c r="AF8" s="257"/>
      <c r="AG8" s="258"/>
      <c r="AH8" s="258"/>
      <c r="AI8" s="258"/>
      <c r="AJ8" s="258"/>
      <c r="AK8" s="258"/>
      <c r="AL8" s="258"/>
      <c r="AM8" s="258"/>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738"/>
      <c r="BM8" s="738"/>
      <c r="BN8" s="738"/>
      <c r="BO8" s="257"/>
      <c r="BP8" s="722"/>
      <c r="BQ8" s="722"/>
      <c r="BR8" s="722"/>
      <c r="BS8" s="722"/>
      <c r="BT8" s="254"/>
      <c r="BU8" s="696"/>
      <c r="BV8" s="696"/>
      <c r="BW8" s="696"/>
      <c r="BX8" s="582"/>
      <c r="BY8" s="254"/>
      <c r="BZ8" s="6"/>
      <c r="CA8" s="6"/>
      <c r="CB8" s="6"/>
      <c r="CC8" s="6"/>
      <c r="CD8" s="6"/>
      <c r="CE8" s="6"/>
      <c r="CF8" s="6"/>
      <c r="CG8" s="6"/>
      <c r="CH8" s="6"/>
      <c r="CI8" s="6"/>
      <c r="CJ8" s="6"/>
      <c r="CK8" s="6"/>
      <c r="CL8" s="6"/>
      <c r="CM8" s="6"/>
      <c r="CN8" s="254"/>
      <c r="CO8" s="6"/>
      <c r="CP8" s="6"/>
      <c r="CQ8" s="11"/>
      <c r="CR8" s="6"/>
      <c r="CS8" s="6"/>
      <c r="CT8" s="6"/>
      <c r="CU8" s="6"/>
      <c r="CV8" s="11"/>
      <c r="CW8" s="6"/>
      <c r="CX8" s="6"/>
      <c r="CY8" s="6"/>
      <c r="CZ8" s="6"/>
      <c r="DA8" s="6"/>
      <c r="DB8" s="6"/>
      <c r="DC8" s="6"/>
      <c r="DD8" s="6"/>
      <c r="DE8" s="6"/>
      <c r="DF8" s="6"/>
      <c r="DG8" s="6"/>
      <c r="DH8" s="6"/>
      <c r="EB8" s="2807"/>
      <c r="EC8" s="3203"/>
      <c r="ED8" s="2807"/>
      <c r="EE8" s="2807"/>
      <c r="EF8" s="2807"/>
      <c r="EG8" s="2807"/>
    </row>
    <row r="9" spans="1:144">
      <c r="A9" s="556" t="s">
        <v>761</v>
      </c>
      <c r="B9" s="122">
        <v>10.4</v>
      </c>
      <c r="C9" s="122">
        <v>10.199999999999999</v>
      </c>
      <c r="D9" s="122">
        <v>10.7</v>
      </c>
      <c r="E9" s="122">
        <v>11.9</v>
      </c>
      <c r="F9" s="122">
        <v>13.5</v>
      </c>
      <c r="G9" s="122">
        <v>14.8</v>
      </c>
      <c r="H9" s="122">
        <v>15.9</v>
      </c>
      <c r="I9" s="122">
        <v>18.2</v>
      </c>
      <c r="J9" s="122">
        <v>19.7</v>
      </c>
      <c r="K9" s="122">
        <v>23.2</v>
      </c>
      <c r="L9" s="122">
        <v>28.2</v>
      </c>
      <c r="M9" s="122">
        <v>31.3</v>
      </c>
      <c r="N9" s="636">
        <f>+BX9</f>
        <v>35.4</v>
      </c>
      <c r="O9" s="439">
        <f>+CC9</f>
        <v>34.799999999999997</v>
      </c>
      <c r="P9" s="439">
        <f>CH9</f>
        <v>39.5</v>
      </c>
      <c r="Q9" s="439">
        <f>CM9</f>
        <v>40.1</v>
      </c>
      <c r="R9" s="439">
        <f>CR9</f>
        <v>49</v>
      </c>
      <c r="S9" s="439">
        <f>CW9</f>
        <v>54.8</v>
      </c>
      <c r="T9" s="739">
        <f>+DB9</f>
        <v>58.7</v>
      </c>
      <c r="U9" s="122">
        <v>61.3</v>
      </c>
      <c r="V9" s="122">
        <v>67.099999999999994</v>
      </c>
      <c r="W9" s="122">
        <v>73.3</v>
      </c>
      <c r="X9" s="122">
        <v>76.099999999999994</v>
      </c>
      <c r="Y9" s="739">
        <f>+Y124</f>
        <v>76</v>
      </c>
      <c r="Z9" s="739">
        <f t="shared" ref="Z9:AH9" si="0">+Z124</f>
        <v>76</v>
      </c>
      <c r="AA9" s="739">
        <f t="shared" si="0"/>
        <v>77</v>
      </c>
      <c r="AB9" s="739">
        <f t="shared" si="0"/>
        <v>76</v>
      </c>
      <c r="AC9" s="739">
        <f t="shared" si="0"/>
        <v>74.17340999999999</v>
      </c>
      <c r="AD9" s="739">
        <f t="shared" si="0"/>
        <v>74.485963499999997</v>
      </c>
      <c r="AE9" s="739">
        <f t="shared" si="0"/>
        <v>74.739131834999995</v>
      </c>
      <c r="AF9" s="739">
        <f t="shared" si="0"/>
        <v>74.994831853349993</v>
      </c>
      <c r="AG9" s="739">
        <f t="shared" si="0"/>
        <v>75.253088871883492</v>
      </c>
      <c r="AH9" s="739">
        <f t="shared" si="0"/>
        <v>75.435676583986677</v>
      </c>
      <c r="AI9" s="739">
        <f t="shared" ref="AI9:AN9" si="1">+AI124</f>
        <v>75.540742770322623</v>
      </c>
      <c r="AJ9" s="739">
        <f t="shared" si="1"/>
        <v>75.580300189478109</v>
      </c>
      <c r="AK9" s="739">
        <f t="shared" si="1"/>
        <v>75.619916944762323</v>
      </c>
      <c r="AL9" s="739">
        <f t="shared" si="1"/>
        <v>75.65959312517947</v>
      </c>
      <c r="AM9" s="739">
        <f t="shared" si="1"/>
        <v>75.699328819867247</v>
      </c>
      <c r="AN9" s="739">
        <f t="shared" si="1"/>
        <v>75.739124118097052</v>
      </c>
      <c r="AO9" s="739"/>
      <c r="AP9" s="739"/>
      <c r="AQ9" s="739"/>
      <c r="AR9" s="739"/>
      <c r="AS9" s="739"/>
      <c r="AT9" s="739"/>
      <c r="AU9" s="739"/>
      <c r="AV9" s="337">
        <v>16.399999999999999</v>
      </c>
      <c r="AW9" s="337">
        <v>17.100000000000001</v>
      </c>
      <c r="AX9" s="337">
        <v>17.600000000000001</v>
      </c>
      <c r="AY9" s="337">
        <v>18.2</v>
      </c>
      <c r="AZ9" s="740"/>
      <c r="BA9" s="337">
        <v>18.600000000000001</v>
      </c>
      <c r="BB9" s="337">
        <v>18.8</v>
      </c>
      <c r="BC9" s="337">
        <v>18.8</v>
      </c>
      <c r="BD9" s="337">
        <f>+J9</f>
        <v>19.7</v>
      </c>
      <c r="BE9" s="126"/>
      <c r="BF9" s="337">
        <v>21.2</v>
      </c>
      <c r="BG9" s="337">
        <v>22.3</v>
      </c>
      <c r="BH9" s="740">
        <v>22.3</v>
      </c>
      <c r="BI9" s="740">
        <f>+K9</f>
        <v>23.2</v>
      </c>
      <c r="BJ9" s="126"/>
      <c r="BK9" s="740">
        <v>23.4</v>
      </c>
      <c r="BL9" s="740">
        <v>24.2</v>
      </c>
      <c r="BM9" s="740">
        <v>25.5</v>
      </c>
      <c r="BN9" s="740">
        <v>28.4</v>
      </c>
      <c r="BO9" s="126"/>
      <c r="BP9" s="740">
        <v>29.6</v>
      </c>
      <c r="BQ9" s="740">
        <v>29.2</v>
      </c>
      <c r="BR9" s="740">
        <v>29.6</v>
      </c>
      <c r="BS9" s="740">
        <f>+M9</f>
        <v>31.3</v>
      </c>
      <c r="BT9" s="254"/>
      <c r="BU9" s="740">
        <v>32.1</v>
      </c>
      <c r="BV9" s="740">
        <v>32</v>
      </c>
      <c r="BW9" s="740">
        <v>32.25</v>
      </c>
      <c r="BX9" s="740">
        <v>35.4</v>
      </c>
      <c r="BY9" s="254"/>
      <c r="BZ9" s="740">
        <v>35</v>
      </c>
      <c r="CA9" s="740">
        <v>33.299999999999997</v>
      </c>
      <c r="CB9" s="740">
        <v>33.799999999999997</v>
      </c>
      <c r="CC9" s="740">
        <v>34.799999999999997</v>
      </c>
      <c r="CD9" s="6"/>
      <c r="CE9" s="122">
        <v>35.200000000000003</v>
      </c>
      <c r="CF9" s="122">
        <v>35.9</v>
      </c>
      <c r="CG9" s="740">
        <v>37.799999999999997</v>
      </c>
      <c r="CH9" s="740">
        <v>39.5</v>
      </c>
      <c r="CI9" s="6"/>
      <c r="CJ9" s="740">
        <v>39.6</v>
      </c>
      <c r="CK9" s="740">
        <f>CJ9+($Q9-$P9)/4</f>
        <v>39.75</v>
      </c>
      <c r="CL9" s="740">
        <f>CK9+($Q9-$P9)/4</f>
        <v>39.9</v>
      </c>
      <c r="CM9" s="740">
        <v>40.1</v>
      </c>
      <c r="CN9" s="254"/>
      <c r="CO9" s="469">
        <v>48.2</v>
      </c>
      <c r="CP9" s="469">
        <v>48.4</v>
      </c>
      <c r="CQ9" s="469">
        <v>46.9</v>
      </c>
      <c r="CR9" s="78">
        <v>49</v>
      </c>
      <c r="CS9" s="6"/>
      <c r="CT9" s="78">
        <v>49.8</v>
      </c>
      <c r="CU9" s="78">
        <v>50.6</v>
      </c>
      <c r="CV9" s="78">
        <v>52</v>
      </c>
      <c r="CW9" s="78">
        <v>54.8</v>
      </c>
      <c r="CX9" s="6"/>
      <c r="CY9" s="78">
        <f>+CW9+1</f>
        <v>55.8</v>
      </c>
      <c r="CZ9" s="78">
        <v>56.4</v>
      </c>
      <c r="DA9" s="78">
        <v>57.7</v>
      </c>
      <c r="DB9" s="78">
        <v>58.7</v>
      </c>
      <c r="DC9" s="6"/>
      <c r="DD9" s="740">
        <v>60.6</v>
      </c>
      <c r="DE9" s="740">
        <v>61.5</v>
      </c>
      <c r="DF9" s="740">
        <f>DE9+0.3</f>
        <v>61.8</v>
      </c>
      <c r="DG9" s="740">
        <v>61.3</v>
      </c>
      <c r="DH9" s="6"/>
      <c r="DK9" s="740">
        <v>77</v>
      </c>
      <c r="DL9" s="740">
        <v>77</v>
      </c>
      <c r="DM9" s="740">
        <v>77</v>
      </c>
      <c r="DN9" s="740">
        <v>76</v>
      </c>
      <c r="DP9" s="740">
        <v>76</v>
      </c>
      <c r="DQ9" s="740">
        <v>76</v>
      </c>
      <c r="DR9" s="740">
        <v>75</v>
      </c>
      <c r="DS9" s="740">
        <v>76</v>
      </c>
      <c r="DU9" s="740">
        <v>77</v>
      </c>
      <c r="DV9" s="740">
        <v>77</v>
      </c>
      <c r="DW9" s="740">
        <v>76</v>
      </c>
      <c r="DX9" s="740">
        <v>77</v>
      </c>
      <c r="DZ9" s="2030">
        <v>78</v>
      </c>
      <c r="EA9" s="2030">
        <v>77</v>
      </c>
      <c r="EB9" s="2848">
        <v>75</v>
      </c>
      <c r="EC9" s="2848">
        <v>76</v>
      </c>
      <c r="ED9" s="2807"/>
      <c r="EE9" s="2848">
        <v>74</v>
      </c>
      <c r="EF9" s="2030">
        <v>73</v>
      </c>
      <c r="EG9" s="2030">
        <v>73</v>
      </c>
      <c r="EH9" s="2319">
        <f>AC124</f>
        <v>74.17340999999999</v>
      </c>
      <c r="EJ9" s="2030">
        <v>73.5</v>
      </c>
      <c r="EK9" s="2030">
        <v>73.5</v>
      </c>
      <c r="EL9" s="2030">
        <v>73.5</v>
      </c>
      <c r="EM9" s="2319">
        <f>AD124</f>
        <v>74.485963499999997</v>
      </c>
    </row>
    <row r="10" spans="1:144">
      <c r="A10" s="556" t="s">
        <v>762</v>
      </c>
      <c r="B10" s="122">
        <v>10.4</v>
      </c>
      <c r="C10" s="739">
        <f t="shared" ref="C10:M10" si="2">(C9+B9)/2</f>
        <v>10.3</v>
      </c>
      <c r="D10" s="739">
        <f t="shared" si="2"/>
        <v>10.45</v>
      </c>
      <c r="E10" s="739">
        <f t="shared" si="2"/>
        <v>11.3</v>
      </c>
      <c r="F10" s="739">
        <f t="shared" si="2"/>
        <v>12.7</v>
      </c>
      <c r="G10" s="739">
        <f t="shared" si="2"/>
        <v>14.15</v>
      </c>
      <c r="H10" s="739">
        <f t="shared" si="2"/>
        <v>15.350000000000001</v>
      </c>
      <c r="I10" s="739">
        <f t="shared" si="2"/>
        <v>17.05</v>
      </c>
      <c r="J10" s="739">
        <f>(J9+I9)/2</f>
        <v>18.95</v>
      </c>
      <c r="K10" s="739">
        <v>21.5</v>
      </c>
      <c r="L10" s="739">
        <f t="shared" si="2"/>
        <v>25.7</v>
      </c>
      <c r="M10" s="739">
        <f t="shared" si="2"/>
        <v>29.75</v>
      </c>
      <c r="N10" s="739">
        <f>+AVERAGE(BU10:BX10)</f>
        <v>32.424999999999997</v>
      </c>
      <c r="O10" s="665">
        <f>+AVERAGE(BZ9:CC9)</f>
        <v>34.224999999999994</v>
      </c>
      <c r="P10" s="665">
        <f>+AVERAGE(CE9:CH9)</f>
        <v>37.099999999999994</v>
      </c>
      <c r="Q10" s="665">
        <f t="shared" ref="Q10:AF10" si="3">(Q9+P9)/2</f>
        <v>39.799999999999997</v>
      </c>
      <c r="R10" s="665">
        <f t="shared" si="3"/>
        <v>44.55</v>
      </c>
      <c r="S10" s="739">
        <f t="shared" si="3"/>
        <v>51.9</v>
      </c>
      <c r="T10" s="739">
        <f>(T9+S9)/2</f>
        <v>56.75</v>
      </c>
      <c r="U10" s="739">
        <f>(U9+T9)/2</f>
        <v>60</v>
      </c>
      <c r="V10" s="739">
        <f t="shared" si="3"/>
        <v>64.199999999999989</v>
      </c>
      <c r="W10" s="739">
        <f>(W9+V9)/2</f>
        <v>70.199999999999989</v>
      </c>
      <c r="X10" s="739">
        <f t="shared" si="3"/>
        <v>74.699999999999989</v>
      </c>
      <c r="Y10" s="739">
        <f t="shared" si="3"/>
        <v>76.05</v>
      </c>
      <c r="Z10" s="739">
        <f t="shared" si="3"/>
        <v>76</v>
      </c>
      <c r="AA10" s="739">
        <f t="shared" si="3"/>
        <v>76.5</v>
      </c>
      <c r="AB10" s="739">
        <f t="shared" si="3"/>
        <v>76.5</v>
      </c>
      <c r="AC10" s="739">
        <f t="shared" si="3"/>
        <v>75.086704999999995</v>
      </c>
      <c r="AD10" s="739">
        <f t="shared" si="3"/>
        <v>74.329686749999993</v>
      </c>
      <c r="AE10" s="739">
        <f t="shared" si="3"/>
        <v>74.612547667499996</v>
      </c>
      <c r="AF10" s="739">
        <f t="shared" si="3"/>
        <v>74.866981844175001</v>
      </c>
      <c r="AG10" s="665">
        <f t="shared" ref="AG10:AN10" si="4">(AG9+AF9)/2</f>
        <v>75.123960362616742</v>
      </c>
      <c r="AH10" s="665">
        <f t="shared" si="4"/>
        <v>75.344382727935084</v>
      </c>
      <c r="AI10" s="665">
        <f t="shared" si="4"/>
        <v>75.488209677154657</v>
      </c>
      <c r="AJ10" s="665">
        <f t="shared" si="4"/>
        <v>75.560521479900359</v>
      </c>
      <c r="AK10" s="665">
        <f t="shared" si="4"/>
        <v>75.600108567120216</v>
      </c>
      <c r="AL10" s="665">
        <f t="shared" si="4"/>
        <v>75.639755034970904</v>
      </c>
      <c r="AM10" s="665">
        <f t="shared" si="4"/>
        <v>75.679460972523358</v>
      </c>
      <c r="AN10" s="665">
        <f t="shared" si="4"/>
        <v>75.719226468982157</v>
      </c>
      <c r="AO10" s="739"/>
      <c r="AP10" s="739"/>
      <c r="AQ10" s="739"/>
      <c r="AR10" s="739"/>
      <c r="AS10" s="739"/>
      <c r="AT10" s="739"/>
      <c r="AU10" s="739"/>
      <c r="AV10" s="145">
        <f>+(H9+AV9)/2</f>
        <v>16.149999999999999</v>
      </c>
      <c r="AW10" s="145">
        <f>+(AW9+AV9)/2</f>
        <v>16.75</v>
      </c>
      <c r="AX10" s="145">
        <f>+(AX9+AW9)/2</f>
        <v>17.350000000000001</v>
      </c>
      <c r="AY10" s="145">
        <f>+(AY9+AX9)/2</f>
        <v>17.899999999999999</v>
      </c>
      <c r="AZ10" s="126"/>
      <c r="BA10" s="6">
        <f>+(BA9+AY9)/2</f>
        <v>18.399999999999999</v>
      </c>
      <c r="BB10" s="6">
        <f>+(BB9+BA9)/2</f>
        <v>18.700000000000003</v>
      </c>
      <c r="BC10" s="145">
        <f>+(BC9+BB9)/2</f>
        <v>18.8</v>
      </c>
      <c r="BD10" s="145">
        <f>+(BD9+BC9)/2</f>
        <v>19.25</v>
      </c>
      <c r="BE10" s="145"/>
      <c r="BF10" s="126">
        <f>+(BF9+BD9)/2</f>
        <v>20.45</v>
      </c>
      <c r="BG10" s="126">
        <f>+(BG9+BF9)/2</f>
        <v>21.75</v>
      </c>
      <c r="BH10" s="126">
        <f>+(BH9+BG9)/2</f>
        <v>22.3</v>
      </c>
      <c r="BI10" s="126">
        <f>+(BI9+BH9)/2</f>
        <v>22.75</v>
      </c>
      <c r="BJ10" s="126"/>
      <c r="BK10" s="126">
        <f>+(BK9+BI9)/2</f>
        <v>23.299999999999997</v>
      </c>
      <c r="BL10" s="126">
        <f>+(BL9+BK9)/2</f>
        <v>23.799999999999997</v>
      </c>
      <c r="BM10" s="126">
        <f>+(BM9+BL9)/2</f>
        <v>24.85</v>
      </c>
      <c r="BN10" s="126">
        <f>+(BN9+BM9)/2</f>
        <v>26.95</v>
      </c>
      <c r="BO10" s="126"/>
      <c r="BP10" s="126">
        <f>+(BP9+BN9)/2</f>
        <v>29</v>
      </c>
      <c r="BQ10" s="126">
        <f>+(BQ9+BP9)/2</f>
        <v>29.4</v>
      </c>
      <c r="BR10" s="126">
        <f>+(BR9+BQ9)/2</f>
        <v>29.4</v>
      </c>
      <c r="BS10" s="126">
        <f>+(BS9+BR9)/2</f>
        <v>30.450000000000003</v>
      </c>
      <c r="BT10" s="254"/>
      <c r="BU10" s="126">
        <f>+(BU9+BS9)/2</f>
        <v>31.700000000000003</v>
      </c>
      <c r="BV10" s="126">
        <f>+(BV9+BU9)/2</f>
        <v>32.049999999999997</v>
      </c>
      <c r="BW10" s="126">
        <f>+(BW9+BV9)/2</f>
        <v>32.125</v>
      </c>
      <c r="BX10" s="126">
        <f>+(BX9+BW9)/2</f>
        <v>33.825000000000003</v>
      </c>
      <c r="BY10" s="254"/>
      <c r="BZ10" s="126">
        <f>+(BZ9+BX9)/2</f>
        <v>35.200000000000003</v>
      </c>
      <c r="CA10" s="126">
        <f>+(CA9+BZ9)/2</f>
        <v>34.15</v>
      </c>
      <c r="CB10" s="126">
        <f>+(CB9+CA9)/2</f>
        <v>33.549999999999997</v>
      </c>
      <c r="CC10" s="126">
        <f>+(CC9+CB9)/2</f>
        <v>34.299999999999997</v>
      </c>
      <c r="CD10" s="6"/>
      <c r="CE10" s="126">
        <f>+(CE9+CC9)/2</f>
        <v>35</v>
      </c>
      <c r="CF10" s="126">
        <f>+(CF9+CE9)/2</f>
        <v>35.549999999999997</v>
      </c>
      <c r="CG10" s="126">
        <f>+(CG9+CF9)/2</f>
        <v>36.849999999999994</v>
      </c>
      <c r="CH10" s="126">
        <f>+(CH9+CG9)/2</f>
        <v>38.65</v>
      </c>
      <c r="CI10" s="6"/>
      <c r="CJ10" s="126">
        <f>+(CJ9+CH9)/2</f>
        <v>39.549999999999997</v>
      </c>
      <c r="CK10" s="126">
        <f>+(CK9+CJ9)/2</f>
        <v>39.674999999999997</v>
      </c>
      <c r="CL10" s="126">
        <f>+(CL9+CK9)/2</f>
        <v>39.825000000000003</v>
      </c>
      <c r="CM10" s="126">
        <f>+(CM9+CL9)/2</f>
        <v>40</v>
      </c>
      <c r="CN10" s="254"/>
      <c r="CO10" s="126">
        <f>+(CO9+CM9)/2</f>
        <v>44.150000000000006</v>
      </c>
      <c r="CP10" s="124">
        <f>+(CP9+CO9)/2</f>
        <v>48.3</v>
      </c>
      <c r="CQ10" s="124">
        <f>+(CQ9+CP9)/2</f>
        <v>47.65</v>
      </c>
      <c r="CR10" s="124">
        <f>+(CR9+CQ9)/2</f>
        <v>47.95</v>
      </c>
      <c r="CS10" s="6" t="s">
        <v>337</v>
      </c>
      <c r="CT10" s="126">
        <f>+(CT9+CR9)/2</f>
        <v>49.4</v>
      </c>
      <c r="CU10" s="124">
        <f>+(CU9+CT9)/2</f>
        <v>50.2</v>
      </c>
      <c r="CV10" s="124">
        <f>+(CV9+CU9)/2</f>
        <v>51.3</v>
      </c>
      <c r="CW10" s="124">
        <f>+(CW9+CV9)/2</f>
        <v>53.4</v>
      </c>
      <c r="CX10" s="6"/>
      <c r="CY10" s="126">
        <f>+(CY9+CW9)/2</f>
        <v>55.3</v>
      </c>
      <c r="CZ10" s="124">
        <f>+(CZ9+CY9)/2</f>
        <v>56.099999999999994</v>
      </c>
      <c r="DA10" s="124">
        <f>+(DA9+CZ9)/2</f>
        <v>57.05</v>
      </c>
      <c r="DB10" s="124">
        <f>+(DB9+DA9)/2</f>
        <v>58.2</v>
      </c>
      <c r="DC10" s="6"/>
      <c r="DD10" s="126">
        <f>+(DD9+DB9)/2</f>
        <v>59.650000000000006</v>
      </c>
      <c r="DE10" s="124">
        <f>+(DE9+DD9)/2</f>
        <v>61.05</v>
      </c>
      <c r="DF10" s="124">
        <f>+(DF9+DE9)/2</f>
        <v>61.65</v>
      </c>
      <c r="DG10" s="124">
        <f>+(DG9+DF9)/2</f>
        <v>61.55</v>
      </c>
      <c r="DH10" s="6"/>
      <c r="DK10" s="740">
        <f>DK9</f>
        <v>77</v>
      </c>
      <c r="DL10" s="124">
        <f>+(DL9+DK9)/2</f>
        <v>77</v>
      </c>
      <c r="DM10" s="124">
        <f>+(DM9+DL9)/2</f>
        <v>77</v>
      </c>
      <c r="DN10" s="124">
        <f>+(DN9+DM9)/2</f>
        <v>76.5</v>
      </c>
      <c r="DO10" s="124"/>
      <c r="DP10" s="124">
        <f>+(DP9+DN9)/2</f>
        <v>76</v>
      </c>
      <c r="DQ10" s="124">
        <f>+(DQ9+DP9)/2</f>
        <v>76</v>
      </c>
      <c r="DR10" s="124">
        <f>+(DR9+DQ9)/2</f>
        <v>75.5</v>
      </c>
      <c r="DS10" s="124">
        <f>+(DS9+DR9)/2</f>
        <v>75.5</v>
      </c>
      <c r="DU10" s="124">
        <f>+(DU9+DS9)/2</f>
        <v>76.5</v>
      </c>
      <c r="DV10" s="124">
        <f>+(DV9+DU9)/2</f>
        <v>77</v>
      </c>
      <c r="DW10" s="124">
        <f>+(DW9+DV9)/2</f>
        <v>76.5</v>
      </c>
      <c r="DX10" s="124">
        <f>+(DX9+DW9)/2</f>
        <v>76.5</v>
      </c>
      <c r="DZ10" s="2815">
        <f>AVERAGE(DX9,DZ9)</f>
        <v>77.5</v>
      </c>
      <c r="EA10" s="2815">
        <f>AVERAGE(DZ9,EA9)</f>
        <v>77.5</v>
      </c>
      <c r="EB10" s="2815">
        <f>AVERAGE(EA9,EB9)</f>
        <v>76</v>
      </c>
      <c r="EC10" s="2815">
        <f>AVERAGE(EB9,EC9)</f>
        <v>75.5</v>
      </c>
      <c r="ED10" s="2807"/>
      <c r="EE10" s="2815">
        <f>AVERAGE(EC9,EE9)</f>
        <v>75</v>
      </c>
      <c r="EF10" s="2815">
        <f>AVERAGE(EE9,EF9)</f>
        <v>73.5</v>
      </c>
      <c r="EG10" s="2815">
        <f>AVERAGE(EF9,EG9)</f>
        <v>73</v>
      </c>
      <c r="EH10" s="2815">
        <f>AVERAGE(EG9,EH9)</f>
        <v>73.586704999999995</v>
      </c>
      <c r="EJ10" s="2815">
        <f>AVERAGE(EH9,EJ9)</f>
        <v>73.836704999999995</v>
      </c>
      <c r="EK10" s="2815">
        <f>AVERAGE(EJ9,EK9)</f>
        <v>73.5</v>
      </c>
      <c r="EL10" s="2815">
        <f>AVERAGE(EK9,EL9)</f>
        <v>73.5</v>
      </c>
      <c r="EM10" s="2815">
        <f>AVERAGE(EL9,EM9)</f>
        <v>73.992981749999998</v>
      </c>
    </row>
    <row r="11" spans="1:144">
      <c r="A11" s="556" t="s">
        <v>764</v>
      </c>
      <c r="B11" s="741">
        <f t="shared" ref="B11:L11" si="5">B16/B10/12</f>
        <v>3.8798076923076921</v>
      </c>
      <c r="C11" s="741">
        <f t="shared" si="5"/>
        <v>4.0473867313915859</v>
      </c>
      <c r="D11" s="741">
        <f t="shared" si="5"/>
        <v>4.1021212121212125</v>
      </c>
      <c r="E11" s="741">
        <f t="shared" si="5"/>
        <v>3.9212665929203538</v>
      </c>
      <c r="F11" s="741">
        <f t="shared" si="5"/>
        <v>3.7863841043307094</v>
      </c>
      <c r="G11" s="741">
        <f t="shared" si="5"/>
        <v>3.5885582118669022</v>
      </c>
      <c r="H11" s="741">
        <f t="shared" si="5"/>
        <v>3.7258362844394681</v>
      </c>
      <c r="I11" s="741">
        <f t="shared" si="5"/>
        <v>3.4703274475730077</v>
      </c>
      <c r="J11" s="741">
        <f t="shared" si="5"/>
        <v>3.2283440877841225</v>
      </c>
      <c r="K11" s="741">
        <f t="shared" si="5"/>
        <v>3.0352713178294572</v>
      </c>
      <c r="L11" s="741">
        <f t="shared" si="5"/>
        <v>2.7889915693904022</v>
      </c>
      <c r="M11" s="741">
        <f>L11*(1+M12)</f>
        <v>2.696954847600519</v>
      </c>
      <c r="N11" s="741">
        <f>M11*(1+N12)</f>
        <v>2.5648040600680932</v>
      </c>
      <c r="O11" s="742">
        <f t="shared" ref="O11:AN11" si="6">+O16/O10/12</f>
        <v>2.4430991960125206</v>
      </c>
      <c r="P11" s="742">
        <f t="shared" si="6"/>
        <v>2.1999101527403417</v>
      </c>
      <c r="Q11" s="742">
        <f t="shared" si="6"/>
        <v>2.1320833333333336</v>
      </c>
      <c r="R11" s="742">
        <f t="shared" si="6"/>
        <v>2.0564193836513285</v>
      </c>
      <c r="S11" s="742">
        <f t="shared" si="6"/>
        <v>1.8508960832129098</v>
      </c>
      <c r="T11" s="742">
        <f t="shared" si="6"/>
        <v>1.6944741543832598</v>
      </c>
      <c r="U11" s="742">
        <f t="shared" si="6"/>
        <v>1.6846931381723615</v>
      </c>
      <c r="V11" s="742">
        <f t="shared" si="6"/>
        <v>1.7058020091412738</v>
      </c>
      <c r="W11" s="742">
        <f t="shared" si="6"/>
        <v>1.6708051844721339</v>
      </c>
      <c r="X11" s="742">
        <f t="shared" si="6"/>
        <v>1.6496104919486116</v>
      </c>
      <c r="Y11" s="742">
        <f t="shared" si="6"/>
        <v>1.709721809914613</v>
      </c>
      <c r="Z11" s="742">
        <f t="shared" si="6"/>
        <v>1.7855010655599035</v>
      </c>
      <c r="AA11" s="742">
        <f t="shared" si="6"/>
        <v>1.8105888901439349</v>
      </c>
      <c r="AB11" s="742">
        <f t="shared" si="6"/>
        <v>1.8962599280215759</v>
      </c>
      <c r="AC11" s="742">
        <f t="shared" si="6"/>
        <v>2.034620065916128</v>
      </c>
      <c r="AD11" s="742">
        <f t="shared" si="6"/>
        <v>2.1572970088910064</v>
      </c>
      <c r="AE11" s="742">
        <f t="shared" si="6"/>
        <v>2.2616205466048007</v>
      </c>
      <c r="AF11" s="742">
        <f t="shared" si="6"/>
        <v>2.3641067802576918</v>
      </c>
      <c r="AG11" s="742">
        <f t="shared" si="6"/>
        <v>2.4696413626128222</v>
      </c>
      <c r="AH11" s="742">
        <f t="shared" si="6"/>
        <v>2.5761207134709472</v>
      </c>
      <c r="AI11" s="742">
        <f t="shared" si="6"/>
        <v>2.6810638597678782</v>
      </c>
      <c r="AJ11" s="742">
        <f t="shared" si="6"/>
        <v>2.7841732654866078</v>
      </c>
      <c r="AK11" s="742">
        <f t="shared" si="6"/>
        <v>2.8871392398860789</v>
      </c>
      <c r="AL11" s="742">
        <f t="shared" si="6"/>
        <v>2.9916122264677298</v>
      </c>
      <c r="AM11" s="742">
        <f t="shared" si="6"/>
        <v>3.0974492069996189</v>
      </c>
      <c r="AN11" s="742">
        <f t="shared" si="6"/>
        <v>3.2044973485015587</v>
      </c>
      <c r="AO11" s="741"/>
      <c r="AP11" s="741"/>
      <c r="AQ11" s="741"/>
      <c r="AR11" s="741"/>
      <c r="AS11" s="741"/>
      <c r="AT11" s="741"/>
      <c r="AU11" s="741"/>
      <c r="AV11" s="741">
        <f>AV16/AV10/3</f>
        <v>3.4960216500177377</v>
      </c>
      <c r="AW11" s="741">
        <f>AW16/AW10/3</f>
        <v>3.3767611730021763</v>
      </c>
      <c r="AX11" s="741">
        <f>AX16/AX10/3</f>
        <v>3.3771805752806792</v>
      </c>
      <c r="AY11" s="741">
        <f>AY16/AY10/3</f>
        <v>3.6346787512729861</v>
      </c>
      <c r="AZ11" s="741"/>
      <c r="BA11" s="741">
        <f>BA16/BA10/3</f>
        <v>3.2954050976544811</v>
      </c>
      <c r="BB11" s="741">
        <f>BB16/BB10/3</f>
        <v>3.2086695435031607</v>
      </c>
      <c r="BC11" s="741">
        <f>BC16/BC10/3</f>
        <v>3.1561411594065127</v>
      </c>
      <c r="BD11" s="741">
        <f>BD16/BD10/3</f>
        <v>3.3628807167190882</v>
      </c>
      <c r="BE11" s="741"/>
      <c r="BF11" s="741">
        <f>BF16/BF10/3</f>
        <v>3.1120619396903018</v>
      </c>
      <c r="BG11" s="741">
        <f>BG16/BG10/3</f>
        <v>2.972030651340996</v>
      </c>
      <c r="BH11" s="741">
        <f>BH16/BH10/3</f>
        <v>2.910687593423019</v>
      </c>
      <c r="BI11" s="741">
        <f>BI16/BI10/3</f>
        <v>2.9820512820512817</v>
      </c>
      <c r="BJ11" s="741"/>
      <c r="BK11" s="741">
        <f>BK16/BK10/3</f>
        <v>2.9317775393419172</v>
      </c>
      <c r="BL11" s="741">
        <f>BL16/BL10/3</f>
        <v>2.9262079831932777</v>
      </c>
      <c r="BM11" s="741">
        <f>BM16/BM10/3</f>
        <v>3.0024312541918174</v>
      </c>
      <c r="BN11" s="741">
        <f>BN16/BN10/3</f>
        <v>2.7511595547309837</v>
      </c>
      <c r="BO11" s="743"/>
      <c r="BP11" s="744">
        <f>+BK11*(1+BP12)</f>
        <v>2.6972353361945638</v>
      </c>
      <c r="BQ11" s="744">
        <f>+BL11*(1+BQ12)</f>
        <v>2.6921113445378158</v>
      </c>
      <c r="BR11" s="744">
        <f>+BM11*(1+BR12)</f>
        <v>2.762236753856472</v>
      </c>
      <c r="BS11" s="744">
        <f>+BS16/3/BS10</f>
        <v>2.7047608545821795</v>
      </c>
      <c r="BT11" s="743"/>
      <c r="BU11" s="83">
        <f>+BP11*(1+BU12)</f>
        <v>2.6028320994277538</v>
      </c>
      <c r="BV11" s="83">
        <f>+BQ11*(1+BV12)</f>
        <v>2.5978874474789921</v>
      </c>
      <c r="BW11" s="83">
        <f>+BR11*(1+BW12)</f>
        <v>2.6655584674714956</v>
      </c>
      <c r="BX11" s="83">
        <f>+BX16/3/BX10</f>
        <v>2.4021271420472554</v>
      </c>
      <c r="BY11" s="254"/>
      <c r="BZ11" s="83">
        <f>+BU11*(1+BZ12)</f>
        <v>2.4726904944563661</v>
      </c>
      <c r="CA11" s="83">
        <f>+BV11*(1+CA12)</f>
        <v>2.5459296985294122</v>
      </c>
      <c r="CB11" s="83">
        <f>+BW11*(1+CB12)</f>
        <v>2.4256582053990612</v>
      </c>
      <c r="CC11" s="83">
        <f>+BX11*(1+CC12)</f>
        <v>2.306042056365365</v>
      </c>
      <c r="CD11" s="6"/>
      <c r="CE11" s="745">
        <f>(CE16/CE9)/3</f>
        <v>2.2443181818181817</v>
      </c>
      <c r="CF11" s="745">
        <f>(CF16/CF9)/3</f>
        <v>2.1819870009285052</v>
      </c>
      <c r="CG11" s="745">
        <f>(CG16/CG9)/3</f>
        <v>2.1428571428571428</v>
      </c>
      <c r="CH11" s="745">
        <f>(CH16/CH9)/3</f>
        <v>2.2312236286919829</v>
      </c>
      <c r="CI11" s="745"/>
      <c r="CJ11" s="745">
        <f>(CJ16/CJ9)/3</f>
        <v>2.0622895622895623</v>
      </c>
      <c r="CK11" s="745">
        <f>(CK16/CK9)/3</f>
        <v>2.1417190775681338</v>
      </c>
      <c r="CL11" s="745">
        <f>(CL16/CL9)/3</f>
        <v>2.1691750208855476</v>
      </c>
      <c r="CM11" s="745">
        <f>(CM16/CM9)/3</f>
        <v>2.1465731504571903</v>
      </c>
      <c r="CN11" s="254"/>
      <c r="CO11" s="745">
        <f>(CO16/CO9)/3</f>
        <v>1.7603107883817426</v>
      </c>
      <c r="CP11" s="745">
        <f>(CP16/CP9)/3</f>
        <v>1.9511359504132233</v>
      </c>
      <c r="CQ11" s="745">
        <f>(CQ16/CQ9)/3</f>
        <v>1.9523113361762618</v>
      </c>
      <c r="CR11" s="745">
        <f>(CR16/CR9)/3</f>
        <v>1.9511953571428571</v>
      </c>
      <c r="CS11" s="302"/>
      <c r="CT11" s="745">
        <f>(CT16/CT9)/3</f>
        <v>1.7862786746987951</v>
      </c>
      <c r="CU11" s="745">
        <f>(CU16/CU9)/3</f>
        <v>1.9569975889328062</v>
      </c>
      <c r="CV11" s="745">
        <f>(CV16/CV9)/3</f>
        <v>1.8463253990384618</v>
      </c>
      <c r="CW11" s="745">
        <f>(CW16/CW9)/3</f>
        <v>1.8294954402372265</v>
      </c>
      <c r="CX11" s="6"/>
      <c r="CY11" s="745">
        <f>(CY16/CY9)/3</f>
        <v>1.7397761989247316</v>
      </c>
      <c r="CZ11" s="745">
        <f>(CZ16/CZ9)/3</f>
        <v>1.7170091117021276</v>
      </c>
      <c r="DA11" s="745">
        <f>(DA16/DA9)/3</f>
        <v>1.6185411365901217</v>
      </c>
      <c r="DB11" s="745">
        <f>(DB16/DB9)/3</f>
        <v>1.6582109653109025</v>
      </c>
      <c r="DC11" s="6"/>
      <c r="DD11" s="745">
        <f>(DD16/DD9)/3</f>
        <v>1.7107429326732675</v>
      </c>
      <c r="DE11" s="745">
        <f>(DE16/DE9)/3</f>
        <v>1.6311511993170733</v>
      </c>
      <c r="DF11" s="745">
        <f>(DF16/DF9)/3</f>
        <v>1.59305346238653</v>
      </c>
      <c r="DG11" s="745">
        <f>(DG16/DG9)/3</f>
        <v>1.6621342366701333</v>
      </c>
      <c r="DH11" s="6"/>
      <c r="DK11" s="745">
        <f>(DK16/DK10)/3</f>
        <v>1.6845328321451392</v>
      </c>
      <c r="DL11" s="745">
        <f>(DL16/DL10)/3</f>
        <v>1.6889253267126367</v>
      </c>
      <c r="DM11" s="745">
        <f>(DM16/DM10)/3</f>
        <v>1.6957153598009944</v>
      </c>
      <c r="DN11" s="745">
        <f>(DN16/DN10)/3</f>
        <v>1.6963531194679742</v>
      </c>
      <c r="DP11" s="745">
        <f>(DP16/DP10)/3</f>
        <v>1.7873306901443058</v>
      </c>
      <c r="DQ11" s="745">
        <f>(DQ16/DQ10)/3</f>
        <v>1.794785130951958</v>
      </c>
      <c r="DR11" s="745">
        <f>(DR16/DR10)/3</f>
        <v>1.8253838005797169</v>
      </c>
      <c r="DS11" s="745">
        <f>(DS16/DS10)/3</f>
        <v>1.7580800607036562</v>
      </c>
      <c r="DU11" s="745">
        <f>(DU16/DU10)/3</f>
        <v>1.8375933267814955</v>
      </c>
      <c r="DV11" s="745">
        <f>(DV16/DV10)/3</f>
        <v>1.8148670733115075</v>
      </c>
      <c r="DW11" s="745">
        <f>(DW16/DW10)/3</f>
        <v>1.8229733291612262</v>
      </c>
      <c r="DX11" s="745">
        <f>(DX16/DX10)/3</f>
        <v>1.7550599550253569</v>
      </c>
      <c r="DZ11" s="745">
        <f>(DZ16/DZ10)/3</f>
        <v>1.8509985688018551</v>
      </c>
      <c r="EA11" s="745">
        <f>(EA16/EA10)/3</f>
        <v>1.8931593053016258</v>
      </c>
      <c r="EB11" s="3090">
        <f>(EB16/EB10)/3</f>
        <v>1.9406539260753159</v>
      </c>
      <c r="EC11" s="3090">
        <f>(EC16/EC10)/3</f>
        <v>1.8886570112564025</v>
      </c>
      <c r="ED11" s="2807"/>
      <c r="EE11" s="3090">
        <f>(EE16/EE10)/3</f>
        <v>2.0062731286057267</v>
      </c>
      <c r="EF11" s="3090">
        <f>(EF16/EF10)/3</f>
        <v>2.1066364471043095</v>
      </c>
      <c r="EG11" s="3090">
        <f>(EG16/EG10)/3</f>
        <v>2.1383820999632408</v>
      </c>
      <c r="EH11" s="3090">
        <f>EC11*(1+EH12)</f>
        <v>2.0340836011231453</v>
      </c>
      <c r="EI11" s="2807"/>
      <c r="EJ11" s="3090">
        <f t="shared" ref="EJ11:EM11" si="7">EE11*(1+EJ12)</f>
        <v>2.1366808819650989</v>
      </c>
      <c r="EK11" s="3090">
        <f t="shared" si="7"/>
        <v>2.2119682694595251</v>
      </c>
      <c r="EL11" s="3090">
        <f>EG11*(1+EL12)</f>
        <v>2.2303325302616601</v>
      </c>
      <c r="EM11" s="3090">
        <f t="shared" si="7"/>
        <v>2.1235832795725638</v>
      </c>
    </row>
    <row r="12" spans="1:144" s="2068" customFormat="1" ht="12" customHeight="1">
      <c r="A12" s="543" t="s">
        <v>747</v>
      </c>
      <c r="B12" s="2321"/>
      <c r="C12" s="2066">
        <f t="shared" ref="C12:L12" si="8">C11/B11-1</f>
        <v>4.3192614782465721E-2</v>
      </c>
      <c r="D12" s="2066">
        <f t="shared" si="8"/>
        <v>1.3523412602286067E-2</v>
      </c>
      <c r="E12" s="2066">
        <f t="shared" si="8"/>
        <v>-4.4088072938083256E-2</v>
      </c>
      <c r="F12" s="2066">
        <f t="shared" si="8"/>
        <v>-3.4397683858875538E-2</v>
      </c>
      <c r="G12" s="2066">
        <f t="shared" si="8"/>
        <v>-5.2246651954180323E-2</v>
      </c>
      <c r="H12" s="2066">
        <f t="shared" si="8"/>
        <v>3.8254380859311432E-2</v>
      </c>
      <c r="I12" s="2066">
        <f t="shared" si="8"/>
        <v>-6.8577580269311378E-2</v>
      </c>
      <c r="J12" s="2066">
        <f>J11/I11-1</f>
        <v>-6.9729258533835936E-2</v>
      </c>
      <c r="K12" s="2066">
        <f>K11/J11-1</f>
        <v>-5.9805511650769194E-2</v>
      </c>
      <c r="L12" s="2066">
        <f t="shared" si="8"/>
        <v>-8.1139286294568014E-2</v>
      </c>
      <c r="M12" s="2322">
        <v>-3.3000000000000002E-2</v>
      </c>
      <c r="N12" s="2322">
        <v>-4.9000000000000002E-2</v>
      </c>
      <c r="O12" s="2066">
        <f t="shared" ref="O12:U12" si="9">+O11/N11-1</f>
        <v>-4.7451914924191763E-2</v>
      </c>
      <c r="P12" s="2066">
        <f t="shared" si="9"/>
        <v>-9.9541207196620296E-2</v>
      </c>
      <c r="Q12" s="2066">
        <f t="shared" si="9"/>
        <v>-3.0831631611190513E-2</v>
      </c>
      <c r="R12" s="2066">
        <f t="shared" si="9"/>
        <v>-3.548827032183155E-2</v>
      </c>
      <c r="S12" s="2066">
        <f t="shared" si="9"/>
        <v>-9.9942308496186461E-2</v>
      </c>
      <c r="T12" s="2066">
        <f t="shared" si="9"/>
        <v>-8.4511459205274364E-2</v>
      </c>
      <c r="U12" s="2066">
        <f t="shared" si="9"/>
        <v>-5.7723017997038939E-3</v>
      </c>
      <c r="V12" s="2066">
        <f t="shared" ref="V12:AH12" si="10">+V11/U11-1</f>
        <v>1.2529801713214272E-2</v>
      </c>
      <c r="W12" s="2066">
        <f t="shared" si="10"/>
        <v>-2.0516346259175644E-2</v>
      </c>
      <c r="X12" s="2066">
        <f t="shared" si="10"/>
        <v>-1.2685316469267738E-2</v>
      </c>
      <c r="Y12" s="2066">
        <f t="shared" si="10"/>
        <v>3.6439703953988767E-2</v>
      </c>
      <c r="Z12" s="2066">
        <f t="shared" si="10"/>
        <v>4.4322564762202532E-2</v>
      </c>
      <c r="AA12" s="2066">
        <f t="shared" si="10"/>
        <v>1.4050859485857714E-2</v>
      </c>
      <c r="AB12" s="2066">
        <f t="shared" si="10"/>
        <v>4.7316670473345646E-2</v>
      </c>
      <c r="AC12" s="2066">
        <f t="shared" si="10"/>
        <v>7.2964753328362164E-2</v>
      </c>
      <c r="AD12" s="2066">
        <f t="shared" si="10"/>
        <v>6.0294767082050171E-2</v>
      </c>
      <c r="AE12" s="2066">
        <f t="shared" si="10"/>
        <v>4.8358449153657945E-2</v>
      </c>
      <c r="AF12" s="2066">
        <f t="shared" si="10"/>
        <v>4.5315397318416606E-2</v>
      </c>
      <c r="AG12" s="2066">
        <f t="shared" si="10"/>
        <v>4.4640361948298679E-2</v>
      </c>
      <c r="AH12" s="2066">
        <f t="shared" si="10"/>
        <v>4.3115309157873982E-2</v>
      </c>
      <c r="AI12" s="2066">
        <f t="shared" ref="AI12:AN12" si="11">+AI11/AH11-1</f>
        <v>4.0736890064260844E-2</v>
      </c>
      <c r="AJ12" s="2066">
        <f t="shared" si="11"/>
        <v>3.845839230687198E-2</v>
      </c>
      <c r="AK12" s="2066">
        <f t="shared" si="11"/>
        <v>3.6982602942089216E-2</v>
      </c>
      <c r="AL12" s="2066">
        <f t="shared" si="11"/>
        <v>3.6185641876341768E-2</v>
      </c>
      <c r="AM12" s="2066">
        <f t="shared" si="11"/>
        <v>3.5377907469262171E-2</v>
      </c>
      <c r="AN12" s="2066">
        <f t="shared" si="11"/>
        <v>3.4560095855658446E-2</v>
      </c>
      <c r="AO12" s="2322"/>
      <c r="AP12" s="2322"/>
      <c r="AQ12" s="2322"/>
      <c r="AR12" s="2322"/>
      <c r="AS12" s="2322"/>
      <c r="AT12" s="2322"/>
      <c r="AU12" s="2322"/>
      <c r="AV12" s="43"/>
      <c r="AW12" s="43"/>
      <c r="AX12" s="43"/>
      <c r="AY12" s="43"/>
      <c r="AZ12" s="2323"/>
      <c r="BA12" s="2066">
        <f>+BA11/AV11-1</f>
        <v>-5.7384241988958751E-2</v>
      </c>
      <c r="BB12" s="2066">
        <f>+BB11/AW11-1</f>
        <v>-4.9778951156788653E-2</v>
      </c>
      <c r="BC12" s="2066">
        <f>+BC11/AX11-1</f>
        <v>-6.5450872687136563E-2</v>
      </c>
      <c r="BD12" s="2066">
        <f>+BD11/AY11-1</f>
        <v>-7.4779107908423903E-2</v>
      </c>
      <c r="BE12" s="2066"/>
      <c r="BF12" s="2066">
        <f>+BF11/BA11-1</f>
        <v>-5.563599998515345E-2</v>
      </c>
      <c r="BG12" s="2066">
        <f>+BG11/BB11-1</f>
        <v>-7.3749848326171707E-2</v>
      </c>
      <c r="BH12" s="2066">
        <f>+BH11/BC11-1</f>
        <v>-7.7770148287552909E-2</v>
      </c>
      <c r="BI12" s="2066">
        <f>+BI11/BD11-1</f>
        <v>-0.11324500235005464</v>
      </c>
      <c r="BJ12" s="2066"/>
      <c r="BK12" s="2066">
        <f>+BK11/BF11-1</f>
        <v>-5.7930852226651286E-2</v>
      </c>
      <c r="BL12" s="2066">
        <f>+BL11/BG11-1</f>
        <v>-1.5417966206722311E-2</v>
      </c>
      <c r="BM12" s="2066">
        <f>+BM11/BH11-1</f>
        <v>3.1519583543112795E-2</v>
      </c>
      <c r="BN12" s="2066">
        <f>+BN11/BI11-1</f>
        <v>-7.7427148456505779E-2</v>
      </c>
      <c r="BO12" s="2066"/>
      <c r="BP12" s="2066">
        <v>-0.08</v>
      </c>
      <c r="BQ12" s="2066">
        <v>-0.08</v>
      </c>
      <c r="BR12" s="2066">
        <v>-0.08</v>
      </c>
      <c r="BS12" s="2066">
        <f>+BS11/BN11-1</f>
        <v>-1.6865143306216246E-2</v>
      </c>
      <c r="BT12" s="2067"/>
      <c r="BU12" s="2322">
        <v>-3.5000000000000003E-2</v>
      </c>
      <c r="BV12" s="2322">
        <v>-3.5000000000000003E-2</v>
      </c>
      <c r="BW12" s="2322">
        <v>-3.5000000000000003E-2</v>
      </c>
      <c r="BX12" s="2066">
        <f>+BX11/BS11-1</f>
        <v>-0.11188926814813493</v>
      </c>
      <c r="BY12" s="2067"/>
      <c r="BZ12" s="2318">
        <v>-0.05</v>
      </c>
      <c r="CA12" s="2318">
        <v>-0.02</v>
      </c>
      <c r="CB12" s="2318">
        <v>-0.09</v>
      </c>
      <c r="CC12" s="2318">
        <v>-0.04</v>
      </c>
      <c r="CD12" s="43"/>
      <c r="CE12" s="2324">
        <f>CE11/BZ11-1</f>
        <v>-9.235782365410572E-2</v>
      </c>
      <c r="CF12" s="2324">
        <f>CF11/CA11-1</f>
        <v>-0.1429508041055213</v>
      </c>
      <c r="CG12" s="2324">
        <f>CG11/CB11-1</f>
        <v>-0.11658735015199428</v>
      </c>
      <c r="CH12" s="2324">
        <f>CH11/CC11-1</f>
        <v>-3.2444520023761414E-2</v>
      </c>
      <c r="CI12" s="43"/>
      <c r="CJ12" s="2324">
        <f>CJ11/CE11-1</f>
        <v>-8.1106422878574724E-2</v>
      </c>
      <c r="CK12" s="2324">
        <f>CK11/CF11-1</f>
        <v>-1.8454703599625533E-2</v>
      </c>
      <c r="CL12" s="2324">
        <f>CL11/CG11-1</f>
        <v>1.2281676413255616E-2</v>
      </c>
      <c r="CM12" s="2324">
        <f>CM11/CH11-1</f>
        <v>-3.79390380893454E-2</v>
      </c>
      <c r="CN12" s="2067"/>
      <c r="CO12" s="2324">
        <f>CO11/CJ11-1</f>
        <v>-0.14642889118468971</v>
      </c>
      <c r="CP12" s="2324">
        <f>CP11/CK11-1</f>
        <v>-8.8986052910035585E-2</v>
      </c>
      <c r="CQ12" s="2324">
        <f>CQ11/CL11-1</f>
        <v>-9.9975189932231867E-2</v>
      </c>
      <c r="CR12" s="2324">
        <f>CR11/CM11-1</f>
        <v>-9.1018465069648613E-2</v>
      </c>
      <c r="CS12" s="43"/>
      <c r="CT12" s="2324">
        <f>CT11/CO11-1</f>
        <v>1.4751875912164758E-2</v>
      </c>
      <c r="CU12" s="2324">
        <f>CU11/CP11-1</f>
        <v>3.004218398180436E-3</v>
      </c>
      <c r="CV12" s="2324">
        <f>CV11/CQ11-1</f>
        <v>-5.4287415728159871E-2</v>
      </c>
      <c r="CW12" s="2324">
        <f>CW11/CR11-1</f>
        <v>-6.2371979545828848E-2</v>
      </c>
      <c r="CX12" s="43"/>
      <c r="CY12" s="2324">
        <f>CY11/CT11-1</f>
        <v>-2.6033158449873306E-2</v>
      </c>
      <c r="CZ12" s="2324">
        <f>CZ11/CU11-1</f>
        <v>-0.12263095191729367</v>
      </c>
      <c r="DA12" s="2324">
        <f>DA11/CV11-1</f>
        <v>-0.12337167791060377</v>
      </c>
      <c r="DB12" s="2324">
        <f>DB11/CW11-1</f>
        <v>-9.3623887307482945E-2</v>
      </c>
      <c r="DC12" s="43"/>
      <c r="DD12" s="2324">
        <f>DD11/CY11-1</f>
        <v>-1.6687931625578134E-2</v>
      </c>
      <c r="DE12" s="2324">
        <f>DE11/CZ11-1</f>
        <v>-5.0004342900627052E-2</v>
      </c>
      <c r="DF12" s="2324">
        <f>DF11/DA11-1</f>
        <v>-1.5747313199149238E-2</v>
      </c>
      <c r="DG12" s="2324">
        <f>DG11/DB11-1</f>
        <v>2.3659663585056112E-3</v>
      </c>
      <c r="DH12" s="43"/>
      <c r="DP12" s="2315">
        <f>DP11/DK11-1</f>
        <v>6.1024549974642239E-2</v>
      </c>
      <c r="DQ12" s="2315">
        <f>DQ11/DL11-1</f>
        <v>6.2678794950259409E-2</v>
      </c>
      <c r="DR12" s="2315">
        <f>DR11/DM11-1</f>
        <v>7.6468282267573517E-2</v>
      </c>
      <c r="DS12" s="2315">
        <f>DS11/DN11-1</f>
        <v>3.6388025893477449E-2</v>
      </c>
      <c r="DT12" s="2316"/>
      <c r="DU12" s="2315">
        <f>DU11/DP11-1</f>
        <v>2.8121621205492442E-2</v>
      </c>
      <c r="DV12" s="3047">
        <f>DV11/DQ11-1</f>
        <v>1.1189050997373773E-2</v>
      </c>
      <c r="DW12" s="3047">
        <f>DW11/DR11-1</f>
        <v>-1.3205285473253392E-3</v>
      </c>
      <c r="DX12" s="3047">
        <f>DX11/DS11-1</f>
        <v>-1.7178430867877958E-3</v>
      </c>
      <c r="DY12" s="2807"/>
      <c r="DZ12" s="3047">
        <f>DZ11/DU11-1</f>
        <v>7.2949992933630803E-3</v>
      </c>
      <c r="EA12" s="3047">
        <f>EA11/DV11-1</f>
        <v>4.3139375407402092E-2</v>
      </c>
      <c r="EB12" s="3047">
        <f>EB11/DW11-1</f>
        <v>6.455420659842348E-2</v>
      </c>
      <c r="EC12" s="3047">
        <f>EC11/DX11-1</f>
        <v>7.6121078284824284E-2</v>
      </c>
      <c r="ED12" s="2915"/>
      <c r="EE12" s="3047">
        <f>EE11/DZ11-1</f>
        <v>8.388691510679025E-2</v>
      </c>
      <c r="EF12" s="3047">
        <f>EF11/EA11-1</f>
        <v>0.11276237620619667</v>
      </c>
      <c r="EG12" s="3047">
        <f>EG11/EB11-1</f>
        <v>0.10188739539346958</v>
      </c>
      <c r="EH12" s="3048">
        <v>7.6999999999999999E-2</v>
      </c>
      <c r="EI12" s="2915"/>
      <c r="EJ12" s="3048">
        <v>6.5000000000000002E-2</v>
      </c>
      <c r="EK12" s="3048">
        <v>0.05</v>
      </c>
      <c r="EL12" s="3048">
        <v>4.2999999999999997E-2</v>
      </c>
      <c r="EM12" s="3048">
        <v>4.3999999999999997E-2</v>
      </c>
    </row>
    <row r="13" spans="1:144">
      <c r="A13" s="556"/>
      <c r="B13" s="122"/>
      <c r="C13" s="122"/>
      <c r="D13" s="122"/>
      <c r="E13" s="122"/>
      <c r="F13" s="739"/>
      <c r="G13" s="739"/>
      <c r="H13" s="48"/>
      <c r="I13" s="48"/>
      <c r="J13" s="48"/>
      <c r="K13" s="48"/>
      <c r="L13" s="48"/>
      <c r="M13" s="48"/>
      <c r="N13" s="48"/>
      <c r="AB13" s="48"/>
      <c r="AC13" s="48"/>
      <c r="AD13" s="48"/>
      <c r="AE13" s="48"/>
      <c r="AF13" s="48"/>
      <c r="AG13" s="49"/>
      <c r="AH13" s="49"/>
      <c r="AI13" s="49"/>
      <c r="AJ13" s="49"/>
      <c r="AK13" s="49"/>
      <c r="AL13" s="49"/>
      <c r="AM13" s="48"/>
      <c r="AN13" s="48"/>
      <c r="AO13" s="48"/>
      <c r="AP13" s="48"/>
      <c r="AQ13" s="48"/>
      <c r="AR13" s="48"/>
      <c r="AS13" s="48"/>
      <c r="AT13" s="48"/>
      <c r="AU13" s="48"/>
      <c r="AV13" s="6"/>
      <c r="AW13" s="6"/>
      <c r="AX13" s="6"/>
      <c r="AY13" s="6"/>
      <c r="AZ13" s="6"/>
      <c r="BA13" s="6"/>
      <c r="BB13" s="6"/>
      <c r="BC13" s="38"/>
      <c r="BD13" s="6"/>
      <c r="BE13" s="6"/>
      <c r="BF13" s="6"/>
      <c r="BG13" s="6"/>
      <c r="BH13" s="6"/>
      <c r="BI13" s="6"/>
      <c r="BJ13" s="6"/>
      <c r="BK13" s="6"/>
      <c r="BL13" s="6"/>
      <c r="BM13" s="6"/>
      <c r="BN13" s="6"/>
      <c r="BO13" s="6"/>
      <c r="BP13" s="6"/>
      <c r="BQ13" s="6"/>
      <c r="BR13" s="6"/>
      <c r="BS13" s="6"/>
      <c r="BT13" s="254"/>
      <c r="BU13" s="6"/>
      <c r="BV13" s="6"/>
      <c r="BW13" s="6"/>
      <c r="BX13" s="6"/>
      <c r="BY13" s="254"/>
      <c r="BZ13" s="6"/>
      <c r="CA13" s="6"/>
      <c r="CB13" s="6"/>
      <c r="CC13" s="6"/>
      <c r="CD13" s="6"/>
      <c r="CE13" s="6"/>
      <c r="CF13" s="6"/>
      <c r="CG13" s="6"/>
      <c r="CH13" s="6"/>
      <c r="CI13" s="6"/>
      <c r="CJ13" s="6"/>
      <c r="CK13" s="6"/>
      <c r="CL13" s="6"/>
      <c r="CM13" s="6"/>
      <c r="CN13" s="254"/>
      <c r="CO13" s="6"/>
      <c r="CP13" s="6"/>
      <c r="CQ13" s="11" t="s">
        <v>337</v>
      </c>
      <c r="CR13" s="11"/>
      <c r="CS13" s="6"/>
      <c r="CT13" s="6"/>
      <c r="CU13" s="6"/>
      <c r="CV13" s="11" t="s">
        <v>337</v>
      </c>
      <c r="CW13" s="11"/>
      <c r="CX13" s="6"/>
      <c r="CY13" s="6"/>
      <c r="CZ13" s="6"/>
      <c r="DA13" s="11" t="s">
        <v>337</v>
      </c>
      <c r="DB13" s="11"/>
      <c r="DC13" s="6"/>
      <c r="DD13" s="6"/>
      <c r="DE13" s="6"/>
      <c r="DF13" s="6"/>
      <c r="DG13" s="6"/>
      <c r="DH13" s="6"/>
      <c r="DJ13" s="1577"/>
      <c r="DK13" s="1577"/>
      <c r="DL13" s="1577"/>
      <c r="DM13" s="1577"/>
      <c r="DN13" s="1577"/>
      <c r="DO13" s="1379"/>
      <c r="DP13" s="1577"/>
      <c r="DQ13" s="1577"/>
      <c r="DR13" s="1577"/>
      <c r="DS13" s="1577"/>
      <c r="DT13" s="1577"/>
      <c r="DU13" s="1577"/>
      <c r="DV13" s="2807"/>
      <c r="DW13" s="2807"/>
      <c r="DX13" s="2807"/>
      <c r="DY13" s="2807"/>
      <c r="DZ13" s="2807"/>
      <c r="EA13" s="2807"/>
      <c r="EB13" s="2807"/>
      <c r="EC13" s="2807"/>
      <c r="ED13" s="2807"/>
      <c r="EE13" s="2807"/>
      <c r="EF13" s="2807"/>
      <c r="EG13" s="2807"/>
      <c r="EH13" s="2807"/>
      <c r="EI13" s="2807"/>
      <c r="EJ13" s="2807"/>
      <c r="EK13" s="2807"/>
      <c r="EL13" s="2807"/>
      <c r="EM13" s="2807"/>
      <c r="EN13" s="2483"/>
    </row>
    <row r="14" spans="1:144">
      <c r="A14" s="556" t="s">
        <v>1003</v>
      </c>
      <c r="B14" s="48">
        <v>0.125</v>
      </c>
      <c r="C14" s="48">
        <v>0.13125000000000001</v>
      </c>
      <c r="D14" s="48">
        <v>0.1378125</v>
      </c>
      <c r="E14" s="48">
        <v>0.14470312500000002</v>
      </c>
      <c r="F14" s="48">
        <v>0.15193828125000003</v>
      </c>
      <c r="G14" s="48">
        <v>0.15953519531250002</v>
      </c>
      <c r="H14" s="48">
        <v>0.16751195507812505</v>
      </c>
      <c r="I14" s="48">
        <v>0.17588755283203131</v>
      </c>
      <c r="J14" s="48">
        <v>0.18468193047363288</v>
      </c>
      <c r="K14" s="48">
        <v>0.19375000000000001</v>
      </c>
      <c r="L14" s="48">
        <v>0.20343749999999999</v>
      </c>
      <c r="M14" s="48">
        <v>0.25</v>
      </c>
      <c r="N14" s="48">
        <v>0.375</v>
      </c>
      <c r="O14" s="48">
        <v>0.375</v>
      </c>
      <c r="P14" s="48">
        <v>0.31517500000000209</v>
      </c>
      <c r="Q14" s="48">
        <v>0.21249999999999999</v>
      </c>
      <c r="R14" s="48">
        <v>0.2</v>
      </c>
      <c r="S14" s="48">
        <v>0.2</v>
      </c>
      <c r="T14" s="48">
        <v>0.20800000000000002</v>
      </c>
      <c r="U14" s="122">
        <v>0.21632000000000001</v>
      </c>
      <c r="V14" s="122">
        <f>U14*1.06</f>
        <v>0.22929920000000004</v>
      </c>
      <c r="W14" s="122">
        <f t="shared" ref="W14:AE14" si="12">V14*1.03</f>
        <v>0.23617817600000005</v>
      </c>
      <c r="X14" s="122">
        <f t="shared" si="12"/>
        <v>0.24326352128000006</v>
      </c>
      <c r="Y14" s="122">
        <f>77+28</f>
        <v>105</v>
      </c>
      <c r="Z14" s="122">
        <f>40+30</f>
        <v>70</v>
      </c>
      <c r="AA14" s="1379">
        <f>435*60%*0.5+15</f>
        <v>145.5</v>
      </c>
      <c r="AB14" s="1379">
        <v>0</v>
      </c>
      <c r="AC14" s="1379">
        <f>SUM(EE14:EH14)</f>
        <v>270</v>
      </c>
      <c r="AD14" s="1379">
        <v>0</v>
      </c>
      <c r="AE14" s="1379">
        <f t="shared" si="12"/>
        <v>0</v>
      </c>
      <c r="AF14" s="1379">
        <f t="shared" ref="AF14:AN14" si="13">AE14*1.03</f>
        <v>0</v>
      </c>
      <c r="AG14" s="1379">
        <f t="shared" si="13"/>
        <v>0</v>
      </c>
      <c r="AH14" s="1379">
        <f t="shared" si="13"/>
        <v>0</v>
      </c>
      <c r="AI14" s="1379">
        <f t="shared" si="13"/>
        <v>0</v>
      </c>
      <c r="AJ14" s="1379">
        <f t="shared" si="13"/>
        <v>0</v>
      </c>
      <c r="AK14" s="1379">
        <f t="shared" si="13"/>
        <v>0</v>
      </c>
      <c r="AL14" s="1379">
        <f t="shared" si="13"/>
        <v>0</v>
      </c>
      <c r="AM14" s="1379">
        <f t="shared" si="13"/>
        <v>0</v>
      </c>
      <c r="AN14" s="1379">
        <f t="shared" si="13"/>
        <v>0</v>
      </c>
      <c r="AO14" s="122"/>
      <c r="AP14" s="122"/>
      <c r="AQ14" s="122"/>
      <c r="AR14" s="122"/>
      <c r="AS14" s="122"/>
      <c r="AT14" s="122"/>
      <c r="AU14" s="48"/>
      <c r="AV14" s="6"/>
      <c r="AW14" s="6"/>
      <c r="AX14" s="6"/>
      <c r="AY14" s="6"/>
      <c r="AZ14" s="6"/>
      <c r="BA14" s="6"/>
      <c r="BB14" s="6"/>
      <c r="BC14" s="6"/>
      <c r="BD14" s="6"/>
      <c r="BE14" s="6"/>
      <c r="BF14" s="6"/>
      <c r="BG14" s="6"/>
      <c r="BH14" s="6"/>
      <c r="BI14" s="6"/>
      <c r="BJ14" s="6"/>
      <c r="BK14" s="6"/>
      <c r="BL14" s="6"/>
      <c r="BM14" s="6"/>
      <c r="BN14" s="6"/>
      <c r="BO14" s="6"/>
      <c r="BP14" s="6"/>
      <c r="BQ14" s="6"/>
      <c r="BR14" s="6"/>
      <c r="BS14" s="6"/>
      <c r="BT14" s="254"/>
      <c r="BU14" s="6"/>
      <c r="BV14" s="6"/>
      <c r="BW14" s="6"/>
      <c r="BX14" s="6"/>
      <c r="BY14" s="254"/>
      <c r="BZ14" s="6"/>
      <c r="CA14" s="6"/>
      <c r="CB14" s="6"/>
      <c r="CC14" s="6"/>
      <c r="CD14" s="6"/>
      <c r="CE14" s="6"/>
      <c r="CF14" s="6"/>
      <c r="CG14" s="38"/>
      <c r="CH14" s="6"/>
      <c r="CI14" s="6"/>
      <c r="CJ14" s="6"/>
      <c r="CK14" s="6"/>
      <c r="CL14" s="38"/>
      <c r="CM14" s="6"/>
      <c r="CN14" s="254"/>
      <c r="CO14" s="6"/>
      <c r="CP14" s="6"/>
      <c r="CQ14" s="11"/>
      <c r="CR14" s="11"/>
      <c r="CS14" s="6"/>
      <c r="CT14" s="6"/>
      <c r="CU14" s="6"/>
      <c r="CV14" s="11"/>
      <c r="CW14" s="11"/>
      <c r="CX14" s="6"/>
      <c r="DE14" s="6"/>
      <c r="DF14" s="6"/>
      <c r="DG14" s="6"/>
      <c r="DH14" s="6"/>
      <c r="DJ14" s="1577"/>
      <c r="DK14" s="1379"/>
      <c r="DL14" s="1379">
        <v>28</v>
      </c>
      <c r="DM14" s="1379">
        <v>77</v>
      </c>
      <c r="DN14" s="1379"/>
      <c r="DO14" s="1379">
        <f>Y14-SUM(DK14:DN14)</f>
        <v>0</v>
      </c>
      <c r="DP14" s="1379">
        <v>20</v>
      </c>
      <c r="DQ14" s="1379">
        <v>10</v>
      </c>
      <c r="DR14" s="1379">
        <f>40</f>
        <v>40</v>
      </c>
      <c r="DS14" s="1379"/>
      <c r="DT14" s="1379">
        <f>Z14-SUM(DP14:DS14)</f>
        <v>0</v>
      </c>
      <c r="DU14" s="1379"/>
      <c r="DV14" s="3049">
        <f>435*60%*0.5</f>
        <v>130.5</v>
      </c>
      <c r="DW14" s="3049">
        <f>AA14-DV14</f>
        <v>15</v>
      </c>
      <c r="DX14" s="3049"/>
      <c r="DY14" s="2927">
        <f>AA14-SUM(DU14:DX14)</f>
        <v>0</v>
      </c>
      <c r="DZ14" s="2807"/>
      <c r="EA14" s="2807"/>
      <c r="EB14" s="2807"/>
      <c r="EC14" s="2807"/>
      <c r="ED14" s="2807"/>
      <c r="EE14" s="2807"/>
      <c r="EF14" s="2807"/>
      <c r="EG14" s="3049">
        <f>8*75*0.45</f>
        <v>270</v>
      </c>
      <c r="EH14" s="2807"/>
      <c r="EI14" s="3558">
        <f>AC14-SUM(EE14:EH14)</f>
        <v>0</v>
      </c>
      <c r="EJ14" s="3049"/>
      <c r="EK14" s="1379"/>
      <c r="EL14" s="1379"/>
      <c r="EM14" s="1379"/>
      <c r="EN14" s="2483">
        <f t="shared" ref="EN14" si="14">AD14-SUM(EJ14:EM14)</f>
        <v>0</v>
      </c>
    </row>
    <row r="15" spans="1:144">
      <c r="A15" s="556"/>
      <c r="AA15" s="1390"/>
      <c r="AB15" s="505"/>
      <c r="AC15" s="505"/>
      <c r="AD15" s="505"/>
      <c r="AE15" s="505"/>
      <c r="AF15" s="48"/>
      <c r="AG15" s="48"/>
      <c r="AH15" s="48"/>
      <c r="AI15" s="48"/>
      <c r="AJ15" s="48"/>
      <c r="AK15" s="48"/>
      <c r="AL15" s="48"/>
      <c r="AM15" s="48"/>
      <c r="AN15" s="122"/>
      <c r="AO15" s="122"/>
      <c r="AP15" s="122"/>
      <c r="AQ15" s="122"/>
      <c r="AR15" s="122"/>
      <c r="AS15" s="122"/>
      <c r="AT15" s="122"/>
      <c r="AU15" s="48"/>
      <c r="AV15" s="6"/>
      <c r="AW15" s="6"/>
      <c r="AX15" s="6"/>
      <c r="AY15" s="6"/>
      <c r="AZ15" s="6"/>
      <c r="BA15" s="6"/>
      <c r="BB15" s="6"/>
      <c r="BC15" s="6"/>
      <c r="BD15" s="6"/>
      <c r="BE15" s="6"/>
      <c r="BF15" s="6"/>
      <c r="BG15" s="6"/>
      <c r="BH15" s="6"/>
      <c r="BI15" s="6"/>
      <c r="BJ15" s="6"/>
      <c r="BK15" s="6"/>
      <c r="BL15" s="6"/>
      <c r="BM15" s="6"/>
      <c r="BN15" s="6"/>
      <c r="BO15" s="6"/>
      <c r="BP15" s="6"/>
      <c r="BQ15" s="6"/>
      <c r="BR15" s="6"/>
      <c r="BS15" s="6"/>
      <c r="BT15" s="254"/>
      <c r="BU15" s="6"/>
      <c r="BV15" s="6"/>
      <c r="BW15" s="6"/>
      <c r="BX15" s="6"/>
      <c r="BY15" s="254"/>
      <c r="BZ15" s="6"/>
      <c r="CA15" s="6"/>
      <c r="CB15" s="6"/>
      <c r="CC15" s="6"/>
      <c r="CD15" s="6"/>
      <c r="CE15" s="6"/>
      <c r="CF15" s="6"/>
      <c r="CG15" s="38"/>
      <c r="CH15" s="6"/>
      <c r="CI15" s="6"/>
      <c r="CJ15" s="6"/>
      <c r="CK15" s="6"/>
      <c r="CL15" s="38"/>
      <c r="CM15" s="6"/>
      <c r="CN15" s="254"/>
      <c r="CO15" s="6"/>
      <c r="CP15" s="6"/>
      <c r="CQ15" s="11"/>
      <c r="CR15" s="11"/>
      <c r="CS15" s="6"/>
      <c r="CT15" s="6"/>
      <c r="CU15" s="6"/>
      <c r="CV15" s="11"/>
      <c r="CW15" s="11"/>
      <c r="CX15" s="6"/>
      <c r="CY15" s="6"/>
      <c r="CZ15" s="6"/>
      <c r="DA15" s="11"/>
      <c r="DB15" s="11"/>
      <c r="DC15" s="6"/>
      <c r="DD15" s="6"/>
      <c r="DE15" s="6"/>
      <c r="DF15" s="6"/>
      <c r="DG15" s="6"/>
      <c r="DH15" s="6"/>
      <c r="DJ15" s="1577"/>
      <c r="DK15" s="1577"/>
      <c r="DL15" s="1577"/>
      <c r="DM15" s="1577"/>
      <c r="DN15" s="1577"/>
      <c r="DO15" s="1379"/>
      <c r="DP15" s="1577"/>
      <c r="DQ15" s="1577"/>
      <c r="DR15" s="1577"/>
      <c r="DS15" s="1577"/>
      <c r="DT15" s="1379"/>
      <c r="DU15" s="1577"/>
      <c r="DV15" s="2807"/>
      <c r="DW15" s="2807"/>
      <c r="DX15" s="2807"/>
      <c r="DY15" s="2807"/>
      <c r="DZ15" s="2807"/>
      <c r="EA15" s="2807"/>
      <c r="EB15" s="2807"/>
      <c r="EC15" s="2807"/>
      <c r="ED15" s="2807"/>
      <c r="EE15" s="2807"/>
      <c r="EF15" s="2807"/>
      <c r="EG15" s="2807"/>
      <c r="EH15" s="2807"/>
      <c r="EI15" s="2807"/>
      <c r="EJ15" s="2807"/>
      <c r="EK15" s="2807"/>
      <c r="EL15" s="2807"/>
      <c r="EM15" s="2807"/>
      <c r="EN15" s="2807"/>
    </row>
    <row r="16" spans="1:144">
      <c r="A16" s="556" t="s">
        <v>765</v>
      </c>
      <c r="B16" s="746">
        <f>+B18-B17</f>
        <v>484.2</v>
      </c>
      <c r="C16" s="746">
        <f t="shared" ref="C16:L16" si="15">+C18-C17</f>
        <v>500.25700000000006</v>
      </c>
      <c r="D16" s="746">
        <f t="shared" si="15"/>
        <v>514.40599999999995</v>
      </c>
      <c r="E16" s="746">
        <f t="shared" si="15"/>
        <v>531.72375</v>
      </c>
      <c r="F16" s="746">
        <f t="shared" si="15"/>
        <v>577.04493750000006</v>
      </c>
      <c r="G16" s="746">
        <f>+G18-G17</f>
        <v>609.33718437499999</v>
      </c>
      <c r="H16" s="746">
        <f t="shared" si="15"/>
        <v>686.29904359375007</v>
      </c>
      <c r="I16" s="746">
        <f t="shared" si="15"/>
        <v>710.02899577343749</v>
      </c>
      <c r="J16" s="746">
        <f>+J18-J17</f>
        <v>734.12544556210935</v>
      </c>
      <c r="K16" s="746">
        <f t="shared" si="15"/>
        <v>783.1</v>
      </c>
      <c r="L16" s="746">
        <f t="shared" si="15"/>
        <v>860.125</v>
      </c>
      <c r="M16" s="746">
        <f>M10*M11*12</f>
        <v>962.81288059338533</v>
      </c>
      <c r="N16" s="746">
        <f>N10*N11*12</f>
        <v>997.96525977249507</v>
      </c>
      <c r="O16" s="2301">
        <f>+SUM(BZ16:CC16)</f>
        <v>1003.3808398023421</v>
      </c>
      <c r="P16" s="2301">
        <f>+SUM(CE16:CH16)</f>
        <v>979.4</v>
      </c>
      <c r="Q16" s="746">
        <f>SUM(CJ16:CM16)</f>
        <v>1018.283</v>
      </c>
      <c r="R16" s="746">
        <f>SUM(CO16:CR16)</f>
        <v>1099.3618025000001</v>
      </c>
      <c r="S16" s="2301">
        <f>SUM(CT16:CW16)</f>
        <v>1152.7380806250001</v>
      </c>
      <c r="T16" s="2319">
        <f>T18-T17</f>
        <v>1153.936899135</v>
      </c>
      <c r="U16" s="2319">
        <f>U18-U17</f>
        <v>1212.9790594841002</v>
      </c>
      <c r="V16" s="2319">
        <f>V18-V17</f>
        <v>1314.1498678424371</v>
      </c>
      <c r="W16" s="2319">
        <f>W18-W17</f>
        <v>1407.4862873993254</v>
      </c>
      <c r="X16" s="2319">
        <f>X18-X17</f>
        <v>1478.7108449827354</v>
      </c>
      <c r="Y16" s="2319">
        <f>Y18-Y17-Y14</f>
        <v>1560.2921237280759</v>
      </c>
      <c r="Z16" s="2319">
        <f>Z18-Z17-Z14</f>
        <v>1628.3769717906321</v>
      </c>
      <c r="AA16" s="2319">
        <f>AA18-AA17-AA14</f>
        <v>1662.1206011521322</v>
      </c>
      <c r="AB16" s="2319">
        <f>SUM(DZ16:EC16)</f>
        <v>1740.7666139238067</v>
      </c>
      <c r="AC16" s="2319">
        <f>SUM(EE16:EH16)</f>
        <v>1833.2750001182981</v>
      </c>
      <c r="AD16" s="2319">
        <f>SUM(EJ16:EM16)</f>
        <v>1924.2145307709652</v>
      </c>
      <c r="AE16" s="2301">
        <f t="shared" ref="AE16:AM16" si="16">+AE136</f>
        <v>2024.9432500721773</v>
      </c>
      <c r="AF16" s="2301">
        <f t="shared" si="16"/>
        <v>2123.9224727429237</v>
      </c>
      <c r="AG16" s="2301">
        <f t="shared" si="16"/>
        <v>2226.3508780176535</v>
      </c>
      <c r="AH16" s="2301">
        <f t="shared" si="16"/>
        <v>2329.1546998693948</v>
      </c>
      <c r="AI16" s="1260">
        <f t="shared" si="16"/>
        <v>2428.6645296479901</v>
      </c>
      <c r="AJ16" s="1260">
        <f t="shared" si="16"/>
        <v>2524.483005966782</v>
      </c>
      <c r="AK16" s="1260">
        <f t="shared" si="16"/>
        <v>2619.2164798053659</v>
      </c>
      <c r="AL16" s="1260">
        <f t="shared" si="16"/>
        <v>2715.4177916357157</v>
      </c>
      <c r="AM16" s="1260">
        <f t="shared" si="16"/>
        <v>2812.9594365060129</v>
      </c>
      <c r="AN16" s="1260">
        <f t="shared" ref="AN16" si="17">+AN136</f>
        <v>2911.7047254053082</v>
      </c>
      <c r="AO16" s="122"/>
      <c r="AP16" s="746"/>
      <c r="AQ16" s="746"/>
      <c r="AR16" s="746"/>
      <c r="AS16" s="746"/>
      <c r="AT16" s="746"/>
      <c r="AU16" s="746"/>
      <c r="AV16" s="746">
        <f>+AV18-AV17</f>
        <v>169.38224894335937</v>
      </c>
      <c r="AW16" s="746">
        <f>+AW18-AW17</f>
        <v>169.68224894335935</v>
      </c>
      <c r="AX16" s="746">
        <f>+AX18-AX17</f>
        <v>175.78224894335938</v>
      </c>
      <c r="AY16" s="746">
        <f>+AY18-AY17</f>
        <v>195.18224894335935</v>
      </c>
      <c r="AZ16" s="746"/>
      <c r="BA16" s="746">
        <f>+BA18-BA17</f>
        <v>181.90636139052734</v>
      </c>
      <c r="BB16" s="746">
        <f>+BB18-BB17</f>
        <v>180.00636139052733</v>
      </c>
      <c r="BC16" s="746">
        <f>+BC18-BC17</f>
        <v>178.00636139052733</v>
      </c>
      <c r="BD16" s="746">
        <f>+J16-BC16-BB16-BA16</f>
        <v>194.20636139052735</v>
      </c>
      <c r="BE16" s="145"/>
      <c r="BF16" s="746">
        <f>+BF18-BF17</f>
        <v>190.92500000000001</v>
      </c>
      <c r="BG16" s="746">
        <f>+BG18-BG17</f>
        <v>193.92500000000001</v>
      </c>
      <c r="BH16" s="746">
        <f>+BH18-BH17</f>
        <v>194.72499999999999</v>
      </c>
      <c r="BI16" s="746">
        <f>+K16-BH16-BG16-BF16</f>
        <v>203.52499999999998</v>
      </c>
      <c r="BJ16" s="145"/>
      <c r="BK16" s="746">
        <f>+BK18-BK17</f>
        <v>204.93125000000001</v>
      </c>
      <c r="BL16" s="746">
        <f>+BL18-BL17</f>
        <v>208.93125000000001</v>
      </c>
      <c r="BM16" s="746">
        <f>+BM18-BM17</f>
        <v>223.83125000000001</v>
      </c>
      <c r="BN16" s="746">
        <f>+BN18-BN17</f>
        <v>222.43125000000001</v>
      </c>
      <c r="BO16" s="746"/>
      <c r="BP16" s="746">
        <f>BP10*BP11*3</f>
        <v>234.65947424892707</v>
      </c>
      <c r="BQ16" s="746">
        <f>BQ10*BQ11*3</f>
        <v>237.44422058823534</v>
      </c>
      <c r="BR16" s="746">
        <f>BR10*BR11*3</f>
        <v>243.62928169014083</v>
      </c>
      <c r="BS16" s="746">
        <f>+M16-SUM(BP16:BR16)</f>
        <v>247.07990406608212</v>
      </c>
      <c r="BT16" s="254">
        <f>+M16-SUM(BP16:BS16)</f>
        <v>0</v>
      </c>
      <c r="BU16" s="746">
        <f>BU10*BU11*3</f>
        <v>247.5293326555794</v>
      </c>
      <c r="BV16" s="746">
        <f>BV10*BV11*3</f>
        <v>249.78687807510505</v>
      </c>
      <c r="BW16" s="746">
        <f>BW10*BW11*3</f>
        <v>256.89319730256534</v>
      </c>
      <c r="BX16" s="462">
        <f>+N16-SUM(BU16:BW16)</f>
        <v>243.75585173924526</v>
      </c>
      <c r="BY16" s="254">
        <f>+N16-SUM(BU16:BX16)</f>
        <v>0</v>
      </c>
      <c r="BZ16" s="746">
        <f>BZ10*BZ11*3</f>
        <v>261.11611621459224</v>
      </c>
      <c r="CA16" s="746">
        <f>CA10*CA11*3</f>
        <v>260.8304976143383</v>
      </c>
      <c r="CB16" s="746">
        <f>CB10*CB11*3</f>
        <v>244.14249837341549</v>
      </c>
      <c r="CC16" s="746">
        <f>CC10*CC11*3</f>
        <v>237.29172759999602</v>
      </c>
      <c r="CD16" s="4">
        <f>+O16-SUM(BZ16:CC16)</f>
        <v>0</v>
      </c>
      <c r="CE16" s="746">
        <f>CE18-CE17</f>
        <v>237</v>
      </c>
      <c r="CF16" s="746">
        <f>CF18-CF17</f>
        <v>235</v>
      </c>
      <c r="CG16" s="746">
        <f>CG18-CG17</f>
        <v>243</v>
      </c>
      <c r="CH16" s="746">
        <f>CH18-CH17</f>
        <v>264.39999999999998</v>
      </c>
      <c r="CI16" s="83">
        <f>P16-SUM(CE16:CH16)</f>
        <v>0</v>
      </c>
      <c r="CJ16" s="746">
        <f>CJ18-CJ17</f>
        <v>245</v>
      </c>
      <c r="CK16" s="746">
        <f>CK18-CK17</f>
        <v>255.39999999999998</v>
      </c>
      <c r="CL16" s="746">
        <f>CL18-CL17</f>
        <v>259.65025000000003</v>
      </c>
      <c r="CM16" s="746">
        <f>CM18-CM17</f>
        <v>258.23275000000001</v>
      </c>
      <c r="CN16" s="254">
        <f>Q16-SUM(CJ16:CM16)</f>
        <v>0</v>
      </c>
      <c r="CO16" s="746">
        <f>CO18-CO17</f>
        <v>254.54094000000001</v>
      </c>
      <c r="CP16" s="746">
        <f>CP18-CP17</f>
        <v>283.30493999999999</v>
      </c>
      <c r="CQ16" s="746">
        <f>CQ18-CQ17</f>
        <v>274.69020500000005</v>
      </c>
      <c r="CR16" s="746">
        <f>CR18-CR17</f>
        <v>286.8257175</v>
      </c>
      <c r="CS16" s="42">
        <f>R16-SUM(CO16:CR16)</f>
        <v>0</v>
      </c>
      <c r="CT16" s="746">
        <f>CT18-CT17</f>
        <v>266.87003399999998</v>
      </c>
      <c r="CU16" s="746">
        <f>CU18-CU17</f>
        <v>297.07223399999998</v>
      </c>
      <c r="CV16" s="746">
        <f>CV18-CV17</f>
        <v>288.02676225000005</v>
      </c>
      <c r="CW16" s="746">
        <f>CW18-CW17</f>
        <v>300.76905037500001</v>
      </c>
      <c r="CX16" s="42">
        <f>S16-SUM(CT16:CW16)</f>
        <v>0</v>
      </c>
      <c r="CY16" s="746">
        <f>CY18-CY17</f>
        <v>291.23853570000006</v>
      </c>
      <c r="CZ16" s="746">
        <f>CZ18-CZ17</f>
        <v>290.51794169999999</v>
      </c>
      <c r="DA16" s="746">
        <f>DA18-DA17</f>
        <v>280.16947074375008</v>
      </c>
      <c r="DB16" s="2308">
        <f>T16-SUM(CY16:DA16)</f>
        <v>292.01095099124996</v>
      </c>
      <c r="DC16" s="42">
        <f>T16-SUM(CY16:DB16)</f>
        <v>0</v>
      </c>
      <c r="DD16" s="746">
        <f>DD18-DD17</f>
        <v>311.01306516000005</v>
      </c>
      <c r="DE16" s="746">
        <f>DE18-DE17</f>
        <v>300.94739627400003</v>
      </c>
      <c r="DF16" s="746">
        <f>DF18-DF17</f>
        <v>295.35211192646261</v>
      </c>
      <c r="DG16" s="2308">
        <f>U16-SUM(DD16:DF16)</f>
        <v>305.66648612363747</v>
      </c>
      <c r="DH16" s="42">
        <f>U16-SUM(DD16:DG16)</f>
        <v>0</v>
      </c>
      <c r="DJ16" s="1577"/>
      <c r="DK16" s="2301">
        <f>DK18-DK17-DK14</f>
        <v>389.12708422552714</v>
      </c>
      <c r="DL16" s="2301">
        <f>DL18-DL17-DL14</f>
        <v>390.14175047061906</v>
      </c>
      <c r="DM16" s="2301">
        <f>DM18-DM17-DM14</f>
        <v>391.71024811402975</v>
      </c>
      <c r="DN16" s="2301">
        <f>DN18-DN17-DN14</f>
        <v>389.31304091790003</v>
      </c>
      <c r="DO16" s="1379">
        <f>Y16-SUM(DK16:DN16)</f>
        <v>0</v>
      </c>
      <c r="DP16" s="2301">
        <f>DP18-DP17-DP14</f>
        <v>407.51139735290172</v>
      </c>
      <c r="DQ16" s="2301">
        <f>DQ18-DQ17-DQ14</f>
        <v>409.21100985704646</v>
      </c>
      <c r="DR16" s="2301">
        <f>DR18-DR17-DR14</f>
        <v>413.4494308313059</v>
      </c>
      <c r="DS16" s="2301">
        <f>DS18-DS17-DS14</f>
        <v>398.20513374937815</v>
      </c>
      <c r="DT16" s="1379">
        <f>Z16-SUM(DP16:DS16)</f>
        <v>0</v>
      </c>
      <c r="DU16" s="2301">
        <f>DU18-DU17-DU14</f>
        <v>421.7276684963532</v>
      </c>
      <c r="DV16" s="3050">
        <f>DV18-DV17-DV14</f>
        <v>419.23429393495826</v>
      </c>
      <c r="DW16" s="3050">
        <f>DW18-DW17-DW14</f>
        <v>418.37237904250139</v>
      </c>
      <c r="DX16" s="3050">
        <f>DX18-DX17-DX14</f>
        <v>402.78625967831942</v>
      </c>
      <c r="DY16" s="2927"/>
      <c r="DZ16" s="3050">
        <f>DZ18-DZ17-DZ14</f>
        <v>430.35716724643129</v>
      </c>
      <c r="EA16" s="3050">
        <f>EA18-EA17-EA14</f>
        <v>440.15953848262802</v>
      </c>
      <c r="EB16" s="3050">
        <f>EB18-EB17-EB14</f>
        <v>442.46909514517205</v>
      </c>
      <c r="EC16" s="3050">
        <f>EC18-EC17-EC14</f>
        <v>427.78081304957516</v>
      </c>
      <c r="ED16" s="2927">
        <f>AB16-SUM(DZ16:EC16)</f>
        <v>0</v>
      </c>
      <c r="EE16" s="3050">
        <f>EE18-EE17-EE14</f>
        <v>451.41145393628852</v>
      </c>
      <c r="EF16" s="3050">
        <f>EF18-EF17-EF14</f>
        <v>464.5133365865002</v>
      </c>
      <c r="EG16" s="3050">
        <f>EG18-EG17-EG14</f>
        <v>468.30567989194969</v>
      </c>
      <c r="EH16" s="3050">
        <f>EH10*EH11*3</f>
        <v>449.04452970355965</v>
      </c>
      <c r="EI16" s="3558">
        <f>AC16-SUM(EE16:EH16)</f>
        <v>0</v>
      </c>
      <c r="EJ16" s="3050">
        <f>EJ10*EJ11*3</f>
        <v>473.29642788239039</v>
      </c>
      <c r="EK16" s="3050">
        <f>EK10*EK11*3</f>
        <v>487.73900341582521</v>
      </c>
      <c r="EL16" s="3050">
        <f>EL10*EL11*3</f>
        <v>491.78832292269607</v>
      </c>
      <c r="EM16" s="3050">
        <f>EM10*EM11*3</f>
        <v>471.3907765500536</v>
      </c>
      <c r="EN16" s="2483">
        <f>AD16-SUM(EJ16:EM16)</f>
        <v>0</v>
      </c>
    </row>
    <row r="17" spans="1:144">
      <c r="A17" s="556" t="s">
        <v>766</v>
      </c>
      <c r="B17" s="1029">
        <f t="shared" ref="B17:M17" si="18">B14*B56</f>
        <v>10</v>
      </c>
      <c r="C17" s="1029">
        <f t="shared" si="18"/>
        <v>10.5</v>
      </c>
      <c r="D17" s="1029">
        <f t="shared" si="18"/>
        <v>11.025</v>
      </c>
      <c r="E17" s="1029">
        <f t="shared" si="18"/>
        <v>11.576250000000002</v>
      </c>
      <c r="F17" s="1029">
        <f t="shared" si="18"/>
        <v>12.155062500000003</v>
      </c>
      <c r="G17" s="1029">
        <f>G14*G56</f>
        <v>12.762815625000002</v>
      </c>
      <c r="H17" s="1029">
        <f>H14*H56</f>
        <v>13.400956406250003</v>
      </c>
      <c r="I17" s="1029">
        <f t="shared" si="18"/>
        <v>14.071004226562504</v>
      </c>
      <c r="J17" s="1029">
        <f t="shared" si="18"/>
        <v>14.774554437890631</v>
      </c>
      <c r="K17" s="1029">
        <f t="shared" si="18"/>
        <v>15.5</v>
      </c>
      <c r="L17" s="1029">
        <f t="shared" si="18"/>
        <v>16.274999999999999</v>
      </c>
      <c r="M17" s="1029">
        <f t="shared" si="18"/>
        <v>20</v>
      </c>
      <c r="N17" s="1029">
        <f>N14*N56</f>
        <v>30</v>
      </c>
      <c r="O17" s="2302">
        <f>O14*O56</f>
        <v>30</v>
      </c>
      <c r="P17" s="2302">
        <f>O17*1.02</f>
        <v>30.6</v>
      </c>
      <c r="Q17" s="1029">
        <f>P17*1.02</f>
        <v>31.212000000000003</v>
      </c>
      <c r="R17" s="1029">
        <f>Q17*1.02</f>
        <v>31.836240000000004</v>
      </c>
      <c r="S17" s="2302">
        <f>R17*1.1</f>
        <v>35.019864000000005</v>
      </c>
      <c r="T17" s="2302">
        <f>S17*1.05</f>
        <v>36.770857200000009</v>
      </c>
      <c r="U17" s="2302">
        <f>T17*1.3</f>
        <v>47.802114360000012</v>
      </c>
      <c r="V17" s="2302">
        <f>U17*1.28</f>
        <v>61.186706380800018</v>
      </c>
      <c r="W17" s="2302">
        <f>V17*1.3+20</f>
        <v>99.542718295040032</v>
      </c>
      <c r="X17" s="2302">
        <f>W17*1.28-20+60</f>
        <v>167.41467941765126</v>
      </c>
      <c r="Y17" s="2302">
        <f>X17*1.22+(4*12*1)+11+5</f>
        <v>268.24590888953452</v>
      </c>
      <c r="Z17" s="2302">
        <f>(Y17-11-5)*1.24+(7*12*0.25)</f>
        <v>333.78492702302282</v>
      </c>
      <c r="AA17" s="2302">
        <f>(Z17-(4*12*1)-(7*12*0.25)-65)*1.05+(17.5+10*3)+(4*12*0.25)+15</f>
        <v>284.27417337417398</v>
      </c>
      <c r="AB17" s="3346">
        <f>(AA17-45)*0.842+(58*0.5)+(27*1.2)</f>
        <v>262.86885398105449</v>
      </c>
      <c r="AC17" s="2319">
        <f>SUM(EE17:EH17)</f>
        <v>218.52265892726763</v>
      </c>
      <c r="AD17" s="2301">
        <f>AC17*(1+AD20)</f>
        <v>229.44879187363102</v>
      </c>
      <c r="AE17" s="2301">
        <f t="shared" ref="AE17:AN17" si="19">AD17*(1+AE20)</f>
        <v>239.77398750794441</v>
      </c>
      <c r="AF17" s="2301">
        <f t="shared" si="19"/>
        <v>249.36494700826219</v>
      </c>
      <c r="AG17" s="2301">
        <f t="shared" si="19"/>
        <v>258.09272015355134</v>
      </c>
      <c r="AH17" s="2301">
        <f t="shared" si="19"/>
        <v>265.83550175815787</v>
      </c>
      <c r="AI17" s="2301">
        <f t="shared" si="19"/>
        <v>272.48138930211178</v>
      </c>
      <c r="AJ17" s="2301">
        <f t="shared" si="19"/>
        <v>277.93101708815402</v>
      </c>
      <c r="AK17" s="2301">
        <f t="shared" si="19"/>
        <v>283.48963742991708</v>
      </c>
      <c r="AL17" s="2301">
        <f t="shared" si="19"/>
        <v>289.15943017851544</v>
      </c>
      <c r="AM17" s="2301">
        <f t="shared" si="19"/>
        <v>294.94261878208573</v>
      </c>
      <c r="AN17" s="2301">
        <f t="shared" si="19"/>
        <v>300.84147115772743</v>
      </c>
      <c r="AO17" s="122"/>
      <c r="AP17" s="746"/>
      <c r="AQ17" s="746"/>
      <c r="AR17" s="1221"/>
      <c r="AS17" s="1221"/>
      <c r="AT17" s="1221"/>
      <c r="AU17" s="747"/>
      <c r="AV17" s="580">
        <f>+$I$17/4</f>
        <v>3.517751056640626</v>
      </c>
      <c r="AW17" s="580">
        <f>+$I$17/4</f>
        <v>3.517751056640626</v>
      </c>
      <c r="AX17" s="580">
        <f>+$I$17/4</f>
        <v>3.517751056640626</v>
      </c>
      <c r="AY17" s="580">
        <f>+$I$17/4</f>
        <v>3.517751056640626</v>
      </c>
      <c r="AZ17" s="747"/>
      <c r="BA17" s="580">
        <f>+$J$17/4</f>
        <v>3.6936386094726577</v>
      </c>
      <c r="BB17" s="580">
        <f>+$J$17/4</f>
        <v>3.6936386094726577</v>
      </c>
      <c r="BC17" s="580">
        <f>+$J$17/4</f>
        <v>3.6936386094726577</v>
      </c>
      <c r="BD17" s="580">
        <f>+$J$17/4</f>
        <v>3.6936386094726577</v>
      </c>
      <c r="BE17" s="747"/>
      <c r="BF17" s="580">
        <f>+$K$17/4</f>
        <v>3.875</v>
      </c>
      <c r="BG17" s="580">
        <f>+$K$17/4</f>
        <v>3.875</v>
      </c>
      <c r="BH17" s="580">
        <f>+$K$17/4</f>
        <v>3.875</v>
      </c>
      <c r="BI17" s="580">
        <f>+$K$17/4</f>
        <v>3.875</v>
      </c>
      <c r="BJ17" s="747"/>
      <c r="BK17" s="580">
        <f>+$L$17/4</f>
        <v>4.0687499999999996</v>
      </c>
      <c r="BL17" s="580">
        <f>+$L$17/4</f>
        <v>4.0687499999999996</v>
      </c>
      <c r="BM17" s="580">
        <f>+$L$17/4</f>
        <v>4.0687499999999996</v>
      </c>
      <c r="BN17" s="580">
        <f>+$L$17/4</f>
        <v>4.0687499999999996</v>
      </c>
      <c r="BO17" s="580"/>
      <c r="BP17" s="580">
        <f>+$M$17/4</f>
        <v>5</v>
      </c>
      <c r="BQ17" s="580">
        <f>+$M$17/4</f>
        <v>5</v>
      </c>
      <c r="BR17" s="580">
        <f>+$M$17/4</f>
        <v>5</v>
      </c>
      <c r="BS17" s="580">
        <f>+M17-SUM(BP17:BR17)</f>
        <v>5</v>
      </c>
      <c r="BT17" s="254">
        <f>+M17-SUM(BP17:BS17)</f>
        <v>0</v>
      </c>
      <c r="BU17" s="580">
        <f>+$N$17/4</f>
        <v>7.5</v>
      </c>
      <c r="BV17" s="580">
        <f>+$N$17/4</f>
        <v>7.5</v>
      </c>
      <c r="BW17" s="580">
        <f>+$N$17/4</f>
        <v>7.5</v>
      </c>
      <c r="BX17" s="580">
        <f>+N17-SUM(BU17:BW17)</f>
        <v>7.5</v>
      </c>
      <c r="BY17" s="254">
        <f>+N17-SUM(BU17:BX17)</f>
        <v>0</v>
      </c>
      <c r="BZ17" s="580">
        <f>+$O$17/4</f>
        <v>7.5</v>
      </c>
      <c r="CA17" s="580">
        <f>+$O$17/4</f>
        <v>7.5</v>
      </c>
      <c r="CB17" s="580">
        <f>+$O$17/4</f>
        <v>7.5</v>
      </c>
      <c r="CC17" s="580">
        <f>+$O$17/4</f>
        <v>7.5</v>
      </c>
      <c r="CD17" s="4">
        <f>+O17-SUM(BZ17:CC17)</f>
        <v>0</v>
      </c>
      <c r="CE17" s="1063">
        <v>8</v>
      </c>
      <c r="CF17" s="1063">
        <v>5</v>
      </c>
      <c r="CG17" s="1063">
        <v>7</v>
      </c>
      <c r="CH17" s="766">
        <f>P17-SUM(CE17:CG17)</f>
        <v>10.600000000000001</v>
      </c>
      <c r="CI17" s="83">
        <f>P17-SUM(CE17:CH17)</f>
        <v>0</v>
      </c>
      <c r="CJ17" s="1063">
        <v>5</v>
      </c>
      <c r="CK17" s="1063">
        <v>7</v>
      </c>
      <c r="CL17" s="1063">
        <v>7</v>
      </c>
      <c r="CM17" s="755">
        <f>Q17-SUM(CJ17:CL17)</f>
        <v>12.212000000000003</v>
      </c>
      <c r="CN17" s="254">
        <f>Q17-SUM(CJ17:CM17)</f>
        <v>0</v>
      </c>
      <c r="CO17" s="755">
        <f>$R17/4</f>
        <v>7.9590600000000009</v>
      </c>
      <c r="CP17" s="755">
        <f>$R17/4</f>
        <v>7.9590600000000009</v>
      </c>
      <c r="CQ17" s="755">
        <f>$R17/4</f>
        <v>7.9590600000000009</v>
      </c>
      <c r="CR17" s="755">
        <f>$R17/4</f>
        <v>7.9590600000000009</v>
      </c>
      <c r="CS17" s="42">
        <f t="shared" ref="CS17:CS28" si="20">R17-SUM(CO17:CR17)</f>
        <v>0</v>
      </c>
      <c r="CT17" s="755">
        <f>$S17/4</f>
        <v>8.7549660000000014</v>
      </c>
      <c r="CU17" s="755">
        <f>$S17/4</f>
        <v>8.7549660000000014</v>
      </c>
      <c r="CV17" s="755">
        <f>$S17/4</f>
        <v>8.7549660000000014</v>
      </c>
      <c r="CW17" s="755">
        <f>$S17/4</f>
        <v>8.7549660000000014</v>
      </c>
      <c r="CX17" s="42">
        <f t="shared" ref="CX17:CX28" si="21">S17-SUM(CT17:CW17)</f>
        <v>0</v>
      </c>
      <c r="CY17" s="1064">
        <f>T17/4</f>
        <v>9.1927143000000022</v>
      </c>
      <c r="CZ17" s="1075">
        <f>CY17</f>
        <v>9.1927143000000022</v>
      </c>
      <c r="DA17" s="1075">
        <f>CZ17</f>
        <v>9.1927143000000022</v>
      </c>
      <c r="DB17" s="1075">
        <f>DA17</f>
        <v>9.1927143000000022</v>
      </c>
      <c r="DC17" s="42">
        <f t="shared" ref="DC17:DC28" si="22">T17-SUM(CY17:DB17)</f>
        <v>0</v>
      </c>
      <c r="DD17" s="1075">
        <f>$U$17/4</f>
        <v>11.950528590000003</v>
      </c>
      <c r="DE17" s="1075">
        <f>$U$17/4</f>
        <v>11.950528590000003</v>
      </c>
      <c r="DF17" s="1075">
        <f>$U$17/4</f>
        <v>11.950528590000003</v>
      </c>
      <c r="DG17" s="1075">
        <f>$U$17/4</f>
        <v>11.950528590000003</v>
      </c>
      <c r="DH17" s="42">
        <f>U17-SUM(DD17:DG17)</f>
        <v>0</v>
      </c>
      <c r="DJ17" s="1577"/>
      <c r="DK17" s="2301">
        <f>$X17/4*1.35</f>
        <v>56.502454303457306</v>
      </c>
      <c r="DL17" s="2301">
        <f>$X17/4*1.1+20</f>
        <v>66.039036839854106</v>
      </c>
      <c r="DM17" s="2301">
        <f>$X17/4*0.7+(4*12*1)+11+5</f>
        <v>93.297568898088969</v>
      </c>
      <c r="DN17" s="2319">
        <f>Y17-SUM(DK17:DM17)</f>
        <v>52.406848848134132</v>
      </c>
      <c r="DO17" s="1379">
        <f>Y17-SUM(DK17:DN17)</f>
        <v>0</v>
      </c>
      <c r="DP17" s="2301">
        <f>DK17*0.9+(4*12*1)*0.5</f>
        <v>74.852208873111579</v>
      </c>
      <c r="DQ17" s="2301">
        <f>(DL17-20)*1.32</f>
        <v>60.77152862860742</v>
      </c>
      <c r="DR17" s="2301">
        <f>(DM17-(4*12*1)-11-5)*1.3 + 50 + (7*12*0.25) + 25.5</f>
        <v>134.58683956751565</v>
      </c>
      <c r="DS17" s="2319">
        <f>Z17-SUM(DP17:DR17)</f>
        <v>63.574349953788158</v>
      </c>
      <c r="DT17" s="1379">
        <f>Z17-SUM(DP17:DS17)</f>
        <v>0</v>
      </c>
      <c r="DU17" s="2301">
        <f>(DP17-(4*12*1))*1.35+20 + 25</f>
        <v>81.250481978700634</v>
      </c>
      <c r="DV17" s="3050">
        <f>DQ17*1 +10 - 43</f>
        <v>27.771528628607427</v>
      </c>
      <c r="DW17" s="3050">
        <f>(DR17-50)*1.1 -38</f>
        <v>55.045523524267225</v>
      </c>
      <c r="DX17" s="3051">
        <f>AA17-SUM(DU17:DW17)</f>
        <v>120.2066392425987</v>
      </c>
      <c r="DY17" s="2927">
        <f>AA17-SUM(DU17:DX17)</f>
        <v>0</v>
      </c>
      <c r="DZ17" s="3049">
        <v>57</v>
      </c>
      <c r="EA17" s="3050">
        <f>DV17*1+(58*0.5)</f>
        <v>56.771528628607427</v>
      </c>
      <c r="EB17" s="3050">
        <f>DW17*1+(27*1.2)+29</f>
        <v>116.44552352426723</v>
      </c>
      <c r="EC17" s="3051">
        <f>AB17-SUM(DZ17:EB17)</f>
        <v>32.651801828179828</v>
      </c>
      <c r="ED17" s="2927">
        <f>AB17-SUM(DZ17:EC17)</f>
        <v>0</v>
      </c>
      <c r="EE17" s="3049">
        <f>DZ17*0.92</f>
        <v>52.440000000000005</v>
      </c>
      <c r="EF17" s="3049">
        <f>EA17*1.16</f>
        <v>65.854973209184607</v>
      </c>
      <c r="EG17" s="3049">
        <f>(EB17-27*1.2)-23</f>
        <v>61.045523524267225</v>
      </c>
      <c r="EH17" s="3051">
        <f>EC17*1.2</f>
        <v>39.182162193815792</v>
      </c>
      <c r="EI17" s="3558">
        <f>AC17-SUM(EE17:EH17)</f>
        <v>0</v>
      </c>
      <c r="EJ17" s="3050">
        <f>EE17*1.05</f>
        <v>55.062000000000005</v>
      </c>
      <c r="EK17" s="3050">
        <f t="shared" ref="EK17:EL17" si="23">EF17*1.05</f>
        <v>69.147721869643846</v>
      </c>
      <c r="EL17" s="3050">
        <f t="shared" si="23"/>
        <v>64.097799700480593</v>
      </c>
      <c r="EM17" s="3050">
        <f>AD17-SUM(EJ17:EL17)</f>
        <v>41.141270303506587</v>
      </c>
      <c r="EN17" s="2483">
        <f t="shared" ref="EN17:EN18" si="24">AD17-SUM(EJ17:EM17)</f>
        <v>0</v>
      </c>
    </row>
    <row r="18" spans="1:144" s="875" customFormat="1">
      <c r="A18" s="542" t="s">
        <v>748</v>
      </c>
      <c r="B18" s="3366">
        <v>494.2</v>
      </c>
      <c r="C18" s="3366">
        <v>510.75700000000006</v>
      </c>
      <c r="D18" s="3366">
        <v>525.43099999999993</v>
      </c>
      <c r="E18" s="3366">
        <v>543.29999999999995</v>
      </c>
      <c r="F18" s="3366">
        <v>589.20000000000005</v>
      </c>
      <c r="G18" s="3366">
        <v>622.1</v>
      </c>
      <c r="H18" s="3366">
        <v>699.7</v>
      </c>
      <c r="I18" s="3366">
        <v>724.1</v>
      </c>
      <c r="J18" s="3366">
        <v>748.9</v>
      </c>
      <c r="K18" s="3367">
        <v>798.6</v>
      </c>
      <c r="L18" s="3367">
        <v>876.4</v>
      </c>
      <c r="M18" s="303">
        <f>M17+M16</f>
        <v>982.81288059338533</v>
      </c>
      <c r="N18" s="303">
        <f>N17+N16</f>
        <v>1027.9652597724951</v>
      </c>
      <c r="O18" s="1495">
        <f>O17+O16</f>
        <v>1033.3808398023421</v>
      </c>
      <c r="P18" s="1495">
        <f>SUM(CE18:CH18)</f>
        <v>1010</v>
      </c>
      <c r="Q18" s="303">
        <f>Q17+Q16</f>
        <v>1049.4950000000001</v>
      </c>
      <c r="R18" s="303">
        <f>R17+R16</f>
        <v>1131.1980425000002</v>
      </c>
      <c r="S18" s="1495">
        <f>S17+S16</f>
        <v>1187.7579446250002</v>
      </c>
      <c r="T18" s="2094">
        <f>Drivers!H30</f>
        <v>1190.7077563349999</v>
      </c>
      <c r="U18" s="2094">
        <f>Drivers!I30</f>
        <v>1260.7811738441001</v>
      </c>
      <c r="V18" s="2094">
        <f>Drivers!J30</f>
        <v>1375.336574223237</v>
      </c>
      <c r="W18" s="2094">
        <f>Drivers!K30</f>
        <v>1507.0290056943654</v>
      </c>
      <c r="X18" s="2094">
        <f>Drivers!L30</f>
        <v>1646.1255244003867</v>
      </c>
      <c r="Y18" s="2094">
        <f>Drivers!M30</f>
        <v>1933.5380326176105</v>
      </c>
      <c r="Z18" s="2094">
        <f>Drivers!N30</f>
        <v>2032.1618988136549</v>
      </c>
      <c r="AA18" s="2094">
        <f>Drivers!Q30</f>
        <v>2091.8947745263063</v>
      </c>
      <c r="AB18" s="1523">
        <f t="shared" ref="AB18:AK18" si="25">AB17+AB16+AB14</f>
        <v>2003.6354679048613</v>
      </c>
      <c r="AC18" s="1523">
        <f t="shared" si="25"/>
        <v>2321.7976590455655</v>
      </c>
      <c r="AD18" s="1523">
        <f t="shared" si="25"/>
        <v>2153.6633226445961</v>
      </c>
      <c r="AE18" s="1523">
        <f t="shared" si="25"/>
        <v>2264.7172375801219</v>
      </c>
      <c r="AF18" s="1523">
        <f t="shared" si="25"/>
        <v>2373.287419751186</v>
      </c>
      <c r="AG18" s="1523">
        <f t="shared" si="25"/>
        <v>2484.4435981712049</v>
      </c>
      <c r="AH18" s="1523">
        <f t="shared" si="25"/>
        <v>2594.9902016275528</v>
      </c>
      <c r="AI18" s="3396">
        <f t="shared" si="25"/>
        <v>2701.145918950102</v>
      </c>
      <c r="AJ18" s="3396">
        <f t="shared" si="25"/>
        <v>2802.414023054936</v>
      </c>
      <c r="AK18" s="3396">
        <f t="shared" si="25"/>
        <v>2902.7061172352828</v>
      </c>
      <c r="AL18" s="3396">
        <f>AL17+AL16+AL14</f>
        <v>3004.5772218142311</v>
      </c>
      <c r="AM18" s="3396">
        <f>AM17+AM16+AM14</f>
        <v>3107.9020552880988</v>
      </c>
      <c r="AN18" s="3396">
        <f>AN17+AN16+AN14</f>
        <v>3212.5461965630357</v>
      </c>
      <c r="AO18" s="122"/>
      <c r="AP18" s="746"/>
      <c r="AQ18" s="746"/>
      <c r="AR18" s="303"/>
      <c r="AS18" s="303"/>
      <c r="AT18" s="303"/>
      <c r="AU18" s="303"/>
      <c r="AV18" s="3368">
        <v>172.9</v>
      </c>
      <c r="AW18" s="3368">
        <v>173.2</v>
      </c>
      <c r="AX18" s="3368">
        <v>179.3</v>
      </c>
      <c r="AY18" s="3368">
        <v>198.7</v>
      </c>
      <c r="AZ18" s="3369"/>
      <c r="BA18" s="3368">
        <v>185.6</v>
      </c>
      <c r="BB18" s="3368">
        <v>183.7</v>
      </c>
      <c r="BC18" s="3368">
        <v>181.7</v>
      </c>
      <c r="BD18" s="3368">
        <f>+BD17+BD16</f>
        <v>197.9</v>
      </c>
      <c r="BE18" s="3370"/>
      <c r="BF18" s="3368">
        <v>194.8</v>
      </c>
      <c r="BG18" s="3368">
        <v>197.8</v>
      </c>
      <c r="BH18" s="3368">
        <v>198.6</v>
      </c>
      <c r="BI18" s="3368">
        <f>+BI17+BI16</f>
        <v>207.39999999999998</v>
      </c>
      <c r="BJ18" s="3370"/>
      <c r="BK18" s="3367">
        <v>209</v>
      </c>
      <c r="BL18" s="3371">
        <v>213</v>
      </c>
      <c r="BM18" s="3371">
        <v>227.9</v>
      </c>
      <c r="BN18" s="3372">
        <f>L18-SUM(BK18:BM18)</f>
        <v>226.5</v>
      </c>
      <c r="BO18" s="3373"/>
      <c r="BP18" s="3373">
        <f>+BP16+BP17</f>
        <v>239.65947424892707</v>
      </c>
      <c r="BQ18" s="3373">
        <f>+BQ16+BQ17</f>
        <v>242.44422058823534</v>
      </c>
      <c r="BR18" s="3373">
        <f>+BR16+BR17</f>
        <v>248.62928169014083</v>
      </c>
      <c r="BS18" s="3373">
        <f>+BS16+BS17</f>
        <v>252.07990406608212</v>
      </c>
      <c r="BT18" s="2070">
        <f>+M18-SUM(BP18:BS18)</f>
        <v>0</v>
      </c>
      <c r="BU18" s="3373">
        <f>+BU16+BU17</f>
        <v>255.0293326555794</v>
      </c>
      <c r="BV18" s="3373">
        <f>+BV16+BV17</f>
        <v>257.28687807510505</v>
      </c>
      <c r="BW18" s="3373">
        <f>+BW16+BW17</f>
        <v>264.39319730256534</v>
      </c>
      <c r="BX18" s="3373">
        <f>+BX16+BX17</f>
        <v>251.25585173924526</v>
      </c>
      <c r="BY18" s="2070">
        <f>+N18-SUM(BU18:BX18)</f>
        <v>0</v>
      </c>
      <c r="BZ18" s="3370">
        <f>+BZ16+BZ17</f>
        <v>268.61611621459224</v>
      </c>
      <c r="CA18" s="3370">
        <f>+CA16+CA17</f>
        <v>268.3304976143383</v>
      </c>
      <c r="CB18" s="3370">
        <f>+CB16+CB17</f>
        <v>251.64249837341549</v>
      </c>
      <c r="CC18" s="3370">
        <f>+CC16+CC17</f>
        <v>244.79172759999602</v>
      </c>
      <c r="CD18" s="3309">
        <f>+O18-SUM(BZ18:CC18)</f>
        <v>0</v>
      </c>
      <c r="CE18" s="3374">
        <v>245</v>
      </c>
      <c r="CF18" s="3374">
        <v>240</v>
      </c>
      <c r="CG18" s="3374">
        <v>250</v>
      </c>
      <c r="CH18" s="3374">
        <v>275</v>
      </c>
      <c r="CI18" s="3375">
        <f>P18-SUM(CE18:CH18)</f>
        <v>0</v>
      </c>
      <c r="CJ18" s="3374">
        <v>250</v>
      </c>
      <c r="CK18" s="3374">
        <v>262.39999999999998</v>
      </c>
      <c r="CL18" s="3376">
        <f>CG18*(1+CL21)</f>
        <v>266.65025000000003</v>
      </c>
      <c r="CM18" s="3376">
        <f>CH18*(1+CM21)</f>
        <v>270.44475</v>
      </c>
      <c r="CN18" s="2070">
        <f>Q18-SUM(CJ18:CM18)</f>
        <v>0</v>
      </c>
      <c r="CO18" s="3370">
        <f>CJ18*(1+CO21)</f>
        <v>262.5</v>
      </c>
      <c r="CP18" s="3370">
        <f>CK18*(1+CP21)</f>
        <v>291.26400000000001</v>
      </c>
      <c r="CQ18" s="3370">
        <f>CL18*(1+CQ21)</f>
        <v>282.64926500000007</v>
      </c>
      <c r="CR18" s="3370">
        <f>CM18*(1+CR21)</f>
        <v>294.78477750000002</v>
      </c>
      <c r="CS18" s="3377">
        <f t="shared" si="20"/>
        <v>0</v>
      </c>
      <c r="CT18" s="3370">
        <f>CO18*(1+CT21)</f>
        <v>275.625</v>
      </c>
      <c r="CU18" s="3370">
        <f>CP18*(1+CU21)</f>
        <v>305.8272</v>
      </c>
      <c r="CV18" s="3370">
        <f>CQ18*(1+CV21)</f>
        <v>296.78172825000007</v>
      </c>
      <c r="CW18" s="3370">
        <f>CR18*(1+CW21)</f>
        <v>309.52401637500003</v>
      </c>
      <c r="CX18" s="3377">
        <f t="shared" si="21"/>
        <v>0</v>
      </c>
      <c r="CY18" s="3370">
        <f>CT18*(1+CY21)</f>
        <v>300.43125000000003</v>
      </c>
      <c r="CZ18" s="3370">
        <f>CU18*(1+CZ21)</f>
        <v>299.71065599999997</v>
      </c>
      <c r="DA18" s="3370">
        <f>CV18*(1+DA21)</f>
        <v>289.36218504375006</v>
      </c>
      <c r="DB18" s="3378">
        <f>DB17+DB16</f>
        <v>301.20366529124993</v>
      </c>
      <c r="DC18" s="3377">
        <f t="shared" si="22"/>
        <v>0</v>
      </c>
      <c r="DD18" s="3378">
        <f>CY18*(1+DD21)</f>
        <v>322.96359375000003</v>
      </c>
      <c r="DE18" s="3378">
        <f>CZ18*(1+DE21)</f>
        <v>312.897924864</v>
      </c>
      <c r="DF18" s="3378">
        <f>DA18*(1+DF21)</f>
        <v>307.30264051646259</v>
      </c>
      <c r="DG18" s="3378">
        <f>DG17+DG16</f>
        <v>317.61701471363745</v>
      </c>
      <c r="DH18" s="3377">
        <f>U18-SUM(DD18:DG18)</f>
        <v>0</v>
      </c>
      <c r="DJ18" s="2368"/>
      <c r="DK18" s="3379">
        <f>Drivers!CF30</f>
        <v>445.62953852898443</v>
      </c>
      <c r="DL18" s="3379">
        <f>Drivers!CG30</f>
        <v>484.18078731047314</v>
      </c>
      <c r="DM18" s="3379">
        <f>Drivers!CH30</f>
        <v>562.00781701211872</v>
      </c>
      <c r="DN18" s="3379">
        <f>Drivers!CI30</f>
        <v>441.71988976603416</v>
      </c>
      <c r="DO18" s="3380">
        <f>Y18-SUM(DK18:DN18)</f>
        <v>0</v>
      </c>
      <c r="DP18" s="3379">
        <f>Drivers!CK30</f>
        <v>502.3636062260133</v>
      </c>
      <c r="DQ18" s="3379">
        <f>Drivers!CL30</f>
        <v>479.98253848565389</v>
      </c>
      <c r="DR18" s="3379">
        <f>Drivers!CM30</f>
        <v>588.03627039882156</v>
      </c>
      <c r="DS18" s="3379">
        <f>Drivers!CN30</f>
        <v>461.77948370316631</v>
      </c>
      <c r="DT18" s="3380">
        <f>Z18-SUM(DP18:DS18)</f>
        <v>0</v>
      </c>
      <c r="DU18" s="3379">
        <f>Drivers!CP30</f>
        <v>502.97815047505384</v>
      </c>
      <c r="DV18" s="3381">
        <f>Drivers!CQ30</f>
        <v>577.50582256356574</v>
      </c>
      <c r="DW18" s="3381">
        <f>Drivers!CR30</f>
        <v>488.41790256676859</v>
      </c>
      <c r="DX18" s="3381">
        <f>Drivers!CS30</f>
        <v>522.99289892091815</v>
      </c>
      <c r="DY18" s="3382">
        <f>AA18-SUM(DU18:DX18)</f>
        <v>0</v>
      </c>
      <c r="DZ18" s="3381">
        <f>Drivers!CU30</f>
        <v>487.35716724643129</v>
      </c>
      <c r="EA18" s="3381">
        <f>Drivers!CV30</f>
        <v>496.93106711123545</v>
      </c>
      <c r="EB18" s="3381">
        <f>Drivers!CW30</f>
        <v>558.91461866943928</v>
      </c>
      <c r="EC18" s="3381">
        <f>Drivers!CX30</f>
        <v>460.43261487775499</v>
      </c>
      <c r="ED18" s="3382">
        <f>AB18-SUM(DZ18:EC18)</f>
        <v>0</v>
      </c>
      <c r="EE18" s="3381">
        <f>Drivers!CZ30</f>
        <v>503.85145393628852</v>
      </c>
      <c r="EF18" s="3381">
        <f>Drivers!DA30</f>
        <v>530.36830979568481</v>
      </c>
      <c r="EG18" s="3381">
        <f>Drivers!DB30</f>
        <v>799.35120341621689</v>
      </c>
      <c r="EH18" s="3384">
        <f>EH14+EH16+EH17</f>
        <v>488.22669189737542</v>
      </c>
      <c r="EI18" s="3559">
        <f>AC18-SUM(EE18:EH18)</f>
        <v>0</v>
      </c>
      <c r="EJ18" s="3384">
        <f t="shared" ref="EJ18:EL18" si="26">EJ14+EJ16+EJ17</f>
        <v>528.3584278823904</v>
      </c>
      <c r="EK18" s="3384">
        <f t="shared" si="26"/>
        <v>556.88672528546908</v>
      </c>
      <c r="EL18" s="3384">
        <f t="shared" si="26"/>
        <v>555.88612262317668</v>
      </c>
      <c r="EM18" s="3384">
        <f t="shared" ref="EM18" si="27">EM14+EM16+EM17</f>
        <v>512.53204685356013</v>
      </c>
      <c r="EN18" s="3383">
        <f t="shared" si="24"/>
        <v>0</v>
      </c>
    </row>
    <row r="19" spans="1:144" s="2068" customFormat="1" ht="12" customHeight="1">
      <c r="A19" s="543" t="s">
        <v>1627</v>
      </c>
      <c r="B19" s="2321"/>
      <c r="C19" s="2066">
        <f t="shared" ref="C19:AN19" si="28">C16/B16-1</f>
        <v>3.3161916563403615E-2</v>
      </c>
      <c r="D19" s="2066">
        <f t="shared" si="28"/>
        <v>2.8283462300377371E-2</v>
      </c>
      <c r="E19" s="2066">
        <f t="shared" si="28"/>
        <v>3.3665528784656562E-2</v>
      </c>
      <c r="F19" s="2066">
        <f t="shared" si="28"/>
        <v>8.5234461503741477E-2</v>
      </c>
      <c r="G19" s="2066">
        <f t="shared" si="28"/>
        <v>5.596140746837408E-2</v>
      </c>
      <c r="H19" s="2066">
        <f t="shared" si="28"/>
        <v>0.12630422234561345</v>
      </c>
      <c r="I19" s="2066">
        <f t="shared" si="28"/>
        <v>3.457669422854992E-2</v>
      </c>
      <c r="J19" s="2066">
        <f t="shared" si="28"/>
        <v>3.3937275705794967E-2</v>
      </c>
      <c r="K19" s="2066">
        <f t="shared" si="28"/>
        <v>6.6711424776172423E-2</v>
      </c>
      <c r="L19" s="2066">
        <f t="shared" si="28"/>
        <v>9.8359085685097547E-2</v>
      </c>
      <c r="M19" s="2066">
        <f t="shared" si="28"/>
        <v>0.11938715953307399</v>
      </c>
      <c r="N19" s="2066">
        <f t="shared" si="28"/>
        <v>3.6510084033613222E-2</v>
      </c>
      <c r="O19" s="2066">
        <f t="shared" si="28"/>
        <v>5.4266217955136753E-3</v>
      </c>
      <c r="P19" s="2066">
        <f t="shared" si="28"/>
        <v>-2.3900037603933222E-2</v>
      </c>
      <c r="Q19" s="2066">
        <f t="shared" si="28"/>
        <v>3.9700837247294229E-2</v>
      </c>
      <c r="R19" s="2066">
        <f t="shared" si="28"/>
        <v>7.9623054200060439E-2</v>
      </c>
      <c r="S19" s="2066">
        <f t="shared" si="28"/>
        <v>4.8552058115553853E-2</v>
      </c>
      <c r="T19" s="2066">
        <f t="shared" si="28"/>
        <v>1.0399747610922994E-3</v>
      </c>
      <c r="U19" s="2066">
        <f t="shared" si="28"/>
        <v>5.116584831749349E-2</v>
      </c>
      <c r="V19" s="2066">
        <f t="shared" si="28"/>
        <v>8.3406887833139098E-2</v>
      </c>
      <c r="W19" s="2066">
        <f t="shared" si="28"/>
        <v>7.1024182127817248E-2</v>
      </c>
      <c r="X19" s="2066">
        <f t="shared" si="28"/>
        <v>5.0604086321163866E-2</v>
      </c>
      <c r="Y19" s="2066">
        <f t="shared" si="28"/>
        <v>5.5170541977253906E-2</v>
      </c>
      <c r="Z19" s="2066">
        <f t="shared" si="28"/>
        <v>4.3635962155521124E-2</v>
      </c>
      <c r="AA19" s="2066">
        <f t="shared" si="28"/>
        <v>2.0722246719317106E-2</v>
      </c>
      <c r="AB19" s="2066">
        <f t="shared" si="28"/>
        <v>4.7316670473345646E-2</v>
      </c>
      <c r="AC19" s="2066">
        <f t="shared" si="28"/>
        <v>5.3142325602150153E-2</v>
      </c>
      <c r="AD19" s="2066">
        <f t="shared" si="28"/>
        <v>4.9604958692394119E-2</v>
      </c>
      <c r="AE19" s="2066">
        <f t="shared" si="28"/>
        <v>5.2347967282449392E-2</v>
      </c>
      <c r="AF19" s="2066">
        <f t="shared" si="28"/>
        <v>4.8879998324505403E-2</v>
      </c>
      <c r="AG19" s="2066">
        <f t="shared" si="28"/>
        <v>4.8226056548311469E-2</v>
      </c>
      <c r="AH19" s="2066">
        <f t="shared" si="28"/>
        <v>4.6175929799204818E-2</v>
      </c>
      <c r="AI19" s="2066">
        <f t="shared" si="28"/>
        <v>4.2723581127597665E-2</v>
      </c>
      <c r="AJ19" s="2066">
        <f t="shared" si="28"/>
        <v>3.9453154253741074E-2</v>
      </c>
      <c r="AK19" s="2066">
        <f t="shared" si="28"/>
        <v>3.7525890891194402E-2</v>
      </c>
      <c r="AL19" s="2066">
        <f t="shared" si="28"/>
        <v>3.672904189939219E-2</v>
      </c>
      <c r="AM19" s="2066">
        <f t="shared" si="28"/>
        <v>3.5921413334903507E-2</v>
      </c>
      <c r="AN19" s="2066">
        <f t="shared" si="28"/>
        <v>3.5103701680798904E-2</v>
      </c>
      <c r="AO19" s="2322"/>
      <c r="AP19" s="2322"/>
      <c r="AQ19" s="2322"/>
      <c r="AR19" s="2322"/>
      <c r="AS19" s="2322"/>
      <c r="AT19" s="2322"/>
      <c r="AU19" s="2322"/>
      <c r="AV19" s="43"/>
      <c r="AW19" s="43"/>
      <c r="AX19" s="43"/>
      <c r="AY19" s="43"/>
      <c r="AZ19" s="2323"/>
      <c r="BA19" s="2066"/>
      <c r="BB19" s="2066"/>
      <c r="BC19" s="2066"/>
      <c r="BD19" s="2066"/>
      <c r="BE19" s="2066"/>
      <c r="BF19" s="2066"/>
      <c r="BG19" s="2066"/>
      <c r="BH19" s="2066"/>
      <c r="BI19" s="2066"/>
      <c r="BJ19" s="2066"/>
      <c r="BK19" s="2066"/>
      <c r="BL19" s="2066"/>
      <c r="BM19" s="2066"/>
      <c r="BN19" s="2066"/>
      <c r="BO19" s="2066"/>
      <c r="BP19" s="2066"/>
      <c r="BQ19" s="2066"/>
      <c r="BR19" s="2066"/>
      <c r="BS19" s="2066"/>
      <c r="BT19" s="2067"/>
      <c r="BU19" s="2322"/>
      <c r="BV19" s="2322"/>
      <c r="BW19" s="2322"/>
      <c r="BX19" s="2066"/>
      <c r="BY19" s="2067"/>
      <c r="BZ19" s="2318"/>
      <c r="CA19" s="2318"/>
      <c r="CB19" s="2318"/>
      <c r="CC19" s="2318"/>
      <c r="CD19" s="43"/>
      <c r="CE19" s="2324"/>
      <c r="CF19" s="2324"/>
      <c r="CG19" s="2324"/>
      <c r="CH19" s="2324"/>
      <c r="CI19" s="43"/>
      <c r="CJ19" s="2324"/>
      <c r="CK19" s="2324"/>
      <c r="CL19" s="2324"/>
      <c r="CM19" s="2324"/>
      <c r="CN19" s="2067"/>
      <c r="CO19" s="2324"/>
      <c r="CP19" s="2324"/>
      <c r="CQ19" s="2324"/>
      <c r="CR19" s="2324"/>
      <c r="CS19" s="43"/>
      <c r="CT19" s="2324"/>
      <c r="CU19" s="2324"/>
      <c r="CV19" s="2324"/>
      <c r="CW19" s="2324"/>
      <c r="CX19" s="43"/>
      <c r="CY19" s="2324"/>
      <c r="CZ19" s="2324"/>
      <c r="DA19" s="2324"/>
      <c r="DB19" s="2324"/>
      <c r="DC19" s="43"/>
      <c r="DD19" s="2324"/>
      <c r="DE19" s="2324"/>
      <c r="DF19" s="2324"/>
      <c r="DG19" s="2324"/>
      <c r="DH19" s="43"/>
      <c r="DP19" s="2317">
        <f>DP16/DK16-1</f>
        <v>4.7245010364581841E-2</v>
      </c>
      <c r="DQ19" s="2317">
        <f>DQ16/DL16-1</f>
        <v>4.8877771639217249E-2</v>
      </c>
      <c r="DR19" s="2317">
        <f>DR16/DM16-1</f>
        <v>5.5498120924698746E-2</v>
      </c>
      <c r="DS19" s="2317">
        <f>DS16/DN16-1</f>
        <v>2.2840469999445334E-2</v>
      </c>
      <c r="DT19" s="2316"/>
      <c r="DU19" s="2317">
        <f>DU16/DP16-1</f>
        <v>3.4885579239739117E-2</v>
      </c>
      <c r="DV19" s="2917">
        <f>DV16/DQ16-1</f>
        <v>2.4494170089444323E-2</v>
      </c>
      <c r="DW19" s="2917">
        <f>DW16/DR16-1</f>
        <v>1.1907014120921877E-2</v>
      </c>
      <c r="DX19" s="2917">
        <f>DX16/DS16-1</f>
        <v>1.1504437137228152E-2</v>
      </c>
      <c r="DY19" s="2807"/>
      <c r="DZ19" s="2917">
        <f>DZ16/DU16-1</f>
        <v>2.0462254186086604E-2</v>
      </c>
      <c r="EA19" s="2917">
        <f>EA16/DV16-1</f>
        <v>4.9913007715242319E-2</v>
      </c>
      <c r="EB19" s="2917">
        <f>EB16/DW16-1</f>
        <v>5.7596335967061263E-2</v>
      </c>
      <c r="EC19" s="2917">
        <f>EC16/DX16-1</f>
        <v>6.2054136085022638E-2</v>
      </c>
      <c r="ED19" s="2915"/>
      <c r="EE19" s="2917">
        <f t="shared" ref="EE19:EH21" si="29">EE16/DZ16-1</f>
        <v>4.8922821071087474E-2</v>
      </c>
      <c r="EF19" s="2917">
        <f t="shared" si="29"/>
        <v>5.5329479369747636E-2</v>
      </c>
      <c r="EG19" s="2917">
        <f t="shared" si="29"/>
        <v>5.8391840312148391E-2</v>
      </c>
      <c r="EH19" s="2917">
        <f t="shared" si="29"/>
        <v>4.9707036887417066E-2</v>
      </c>
      <c r="EI19" s="2915"/>
      <c r="EJ19" s="2917">
        <f t="shared" ref="EJ19:EM21" si="30">EJ16/EE16-1</f>
        <v>4.8481210999999691E-2</v>
      </c>
      <c r="EK19" s="2917">
        <f t="shared" si="30"/>
        <v>5.0000000000000044E-2</v>
      </c>
      <c r="EL19" s="2917">
        <f t="shared" si="30"/>
        <v>5.0143835616438537E-2</v>
      </c>
      <c r="EM19" s="2917">
        <f t="shared" si="30"/>
        <v>4.9763988576469353E-2</v>
      </c>
    </row>
    <row r="20" spans="1:144" s="2068" customFormat="1">
      <c r="A20" s="543" t="s">
        <v>1814</v>
      </c>
      <c r="B20" s="2321"/>
      <c r="C20" s="2066">
        <f t="shared" ref="C20:Z20" si="31">C17/B17-1</f>
        <v>5.0000000000000044E-2</v>
      </c>
      <c r="D20" s="2066">
        <f t="shared" si="31"/>
        <v>5.0000000000000044E-2</v>
      </c>
      <c r="E20" s="2066">
        <f t="shared" si="31"/>
        <v>5.0000000000000044E-2</v>
      </c>
      <c r="F20" s="2066">
        <f t="shared" si="31"/>
        <v>5.0000000000000044E-2</v>
      </c>
      <c r="G20" s="2066">
        <f t="shared" si="31"/>
        <v>4.9999999999999822E-2</v>
      </c>
      <c r="H20" s="2066">
        <f t="shared" si="31"/>
        <v>5.0000000000000044E-2</v>
      </c>
      <c r="I20" s="2066">
        <f t="shared" si="31"/>
        <v>5.0000000000000044E-2</v>
      </c>
      <c r="J20" s="2066">
        <f t="shared" si="31"/>
        <v>5.0000000000000044E-2</v>
      </c>
      <c r="K20" s="2066">
        <f t="shared" si="31"/>
        <v>4.9101011144464746E-2</v>
      </c>
      <c r="L20" s="2066">
        <f t="shared" si="31"/>
        <v>4.9999999999999822E-2</v>
      </c>
      <c r="M20" s="2066">
        <f t="shared" si="31"/>
        <v>0.22887864823348703</v>
      </c>
      <c r="N20" s="2066">
        <f t="shared" si="31"/>
        <v>0.5</v>
      </c>
      <c r="O20" s="2066">
        <f t="shared" si="31"/>
        <v>0</v>
      </c>
      <c r="P20" s="2066">
        <f t="shared" si="31"/>
        <v>2.0000000000000018E-2</v>
      </c>
      <c r="Q20" s="2066">
        <f t="shared" si="31"/>
        <v>2.0000000000000018E-2</v>
      </c>
      <c r="R20" s="2066">
        <f t="shared" si="31"/>
        <v>2.0000000000000018E-2</v>
      </c>
      <c r="S20" s="1364">
        <f t="shared" si="31"/>
        <v>0.10000000000000009</v>
      </c>
      <c r="T20" s="1364">
        <f t="shared" si="31"/>
        <v>5.0000000000000044E-2</v>
      </c>
      <c r="U20" s="1364">
        <f t="shared" si="31"/>
        <v>0.30000000000000004</v>
      </c>
      <c r="V20" s="1364">
        <f t="shared" si="31"/>
        <v>0.28000000000000003</v>
      </c>
      <c r="W20" s="1364">
        <f t="shared" si="31"/>
        <v>0.62686838666439271</v>
      </c>
      <c r="X20" s="1364">
        <f t="shared" si="31"/>
        <v>0.68183752950609455</v>
      </c>
      <c r="Y20" s="1364">
        <f t="shared" si="31"/>
        <v>0.60228427890924952</v>
      </c>
      <c r="Z20" s="1364">
        <f t="shared" si="31"/>
        <v>0.24432439027607944</v>
      </c>
      <c r="AA20" s="1364">
        <f t="shared" ref="AA20" si="32">AA17/Z17-1</f>
        <v>-0.14833130450325527</v>
      </c>
      <c r="AB20" s="2827">
        <f>AB17/AA17-1</f>
        <v>-7.5298150159229915E-2</v>
      </c>
      <c r="AC20" s="2827">
        <f>AC17/AB17-1</f>
        <v>-0.16870083458796903</v>
      </c>
      <c r="AD20" s="3048">
        <v>0.05</v>
      </c>
      <c r="AE20" s="3048">
        <f>MAX(AD20-0.005, 2%)</f>
        <v>4.5000000000000005E-2</v>
      </c>
      <c r="AF20" s="3048">
        <f t="shared" ref="AF20:AN20" si="33">MAX(AE20-0.005, 2%)</f>
        <v>4.0000000000000008E-2</v>
      </c>
      <c r="AG20" s="3048">
        <f t="shared" si="33"/>
        <v>3.500000000000001E-2</v>
      </c>
      <c r="AH20" s="3048">
        <f t="shared" si="33"/>
        <v>3.0000000000000009E-2</v>
      </c>
      <c r="AI20" s="3048">
        <f t="shared" si="33"/>
        <v>2.5000000000000008E-2</v>
      </c>
      <c r="AJ20" s="3048">
        <f t="shared" si="33"/>
        <v>2.0000000000000007E-2</v>
      </c>
      <c r="AK20" s="3048">
        <f t="shared" si="33"/>
        <v>0.02</v>
      </c>
      <c r="AL20" s="3048">
        <f t="shared" si="33"/>
        <v>0.02</v>
      </c>
      <c r="AM20" s="3048">
        <f t="shared" si="33"/>
        <v>0.02</v>
      </c>
      <c r="AN20" s="3048">
        <f t="shared" si="33"/>
        <v>0.02</v>
      </c>
      <c r="AO20" s="2322"/>
      <c r="AP20" s="746"/>
      <c r="AQ20" s="746"/>
      <c r="AR20" s="2066"/>
      <c r="AS20" s="2066"/>
      <c r="AT20" s="2066"/>
      <c r="AU20" s="2066"/>
      <c r="AV20" s="43"/>
      <c r="AW20" s="43"/>
      <c r="AX20" s="43"/>
      <c r="AY20" s="43"/>
      <c r="AZ20" s="43"/>
      <c r="BA20" s="2066"/>
      <c r="BB20" s="2066"/>
      <c r="BC20" s="2066"/>
      <c r="BD20" s="2066"/>
      <c r="BE20" s="2066"/>
      <c r="BF20" s="2066"/>
      <c r="BG20" s="2066"/>
      <c r="BH20" s="2066"/>
      <c r="BI20" s="2066"/>
      <c r="BJ20" s="2066"/>
      <c r="BK20" s="2317"/>
      <c r="BL20" s="2317"/>
      <c r="BM20" s="2317"/>
      <c r="BN20" s="2317"/>
      <c r="BO20" s="2066"/>
      <c r="BP20" s="2066"/>
      <c r="BQ20" s="2066"/>
      <c r="BR20" s="2066"/>
      <c r="BS20" s="2066"/>
      <c r="BT20" s="2067"/>
      <c r="BU20" s="2066"/>
      <c r="BV20" s="2066"/>
      <c r="BW20" s="2066"/>
      <c r="BX20" s="2066"/>
      <c r="BY20" s="2067"/>
      <c r="BZ20" s="2066"/>
      <c r="CA20" s="2066"/>
      <c r="CB20" s="2066"/>
      <c r="CC20" s="2066"/>
      <c r="CD20" s="43"/>
      <c r="CE20" s="2066"/>
      <c r="CF20" s="2066"/>
      <c r="CG20" s="2066"/>
      <c r="CH20" s="2066"/>
      <c r="CI20" s="43"/>
      <c r="CJ20" s="2066"/>
      <c r="CK20" s="2066"/>
      <c r="CL20" s="2322"/>
      <c r="CM20" s="2322"/>
      <c r="CN20" s="2067"/>
      <c r="CO20" s="2322"/>
      <c r="CP20" s="2322"/>
      <c r="CQ20" s="1288"/>
      <c r="CR20" s="1288"/>
      <c r="CS20" s="3365"/>
      <c r="CT20" s="2322"/>
      <c r="CU20" s="2322"/>
      <c r="CV20" s="1288"/>
      <c r="CW20" s="1288"/>
      <c r="CX20" s="3365"/>
      <c r="CY20" s="2322"/>
      <c r="CZ20" s="2322"/>
      <c r="DA20" s="2322"/>
      <c r="DB20" s="2066"/>
      <c r="DC20" s="3365"/>
      <c r="DD20" s="2322"/>
      <c r="DE20" s="2322"/>
      <c r="DF20" s="2322"/>
      <c r="DG20" s="2066"/>
      <c r="DH20" s="43"/>
      <c r="DJ20" s="2258"/>
      <c r="DK20" s="2258"/>
      <c r="DL20" s="2258"/>
      <c r="DM20" s="2258"/>
      <c r="DN20" s="2258"/>
      <c r="DO20" s="2258"/>
      <c r="DP20" s="2258"/>
      <c r="DQ20" s="2258"/>
      <c r="DR20" s="2258"/>
      <c r="DS20" s="2258"/>
      <c r="DT20" s="2258"/>
      <c r="DU20" s="1364"/>
      <c r="DV20" s="1364"/>
      <c r="DW20" s="1364"/>
      <c r="DX20" s="1364"/>
      <c r="DZ20" s="1364">
        <f t="shared" ref="DZ20:EC20" si="34">DZ17/DU17-1</f>
        <v>-0.29846569999495831</v>
      </c>
      <c r="EA20" s="1364">
        <f t="shared" si="34"/>
        <v>1.0442349208724191</v>
      </c>
      <c r="EB20" s="2827">
        <f t="shared" si="34"/>
        <v>1.1154403858640998</v>
      </c>
      <c r="EC20" s="2827">
        <f t="shared" si="34"/>
        <v>-0.72836939761469743</v>
      </c>
      <c r="ED20" s="2915"/>
      <c r="EE20" s="2827">
        <f t="shared" si="29"/>
        <v>-7.999999999999996E-2</v>
      </c>
      <c r="EF20" s="2827">
        <f t="shared" si="29"/>
        <v>0.15999999999999992</v>
      </c>
      <c r="EG20" s="2827">
        <f t="shared" si="29"/>
        <v>-0.47575894996474166</v>
      </c>
      <c r="EH20" s="2827">
        <f t="shared" si="29"/>
        <v>0.19999999999999996</v>
      </c>
      <c r="EI20" s="2915"/>
      <c r="EJ20" s="2827">
        <f t="shared" si="30"/>
        <v>5.0000000000000044E-2</v>
      </c>
      <c r="EK20" s="1364">
        <f t="shared" si="30"/>
        <v>5.0000000000000044E-2</v>
      </c>
      <c r="EL20" s="2827">
        <f t="shared" si="30"/>
        <v>5.0000000000000044E-2</v>
      </c>
      <c r="EM20" s="2827">
        <f t="shared" si="30"/>
        <v>5.0000000000000044E-2</v>
      </c>
    </row>
    <row r="21" spans="1:144" s="3393" customFormat="1">
      <c r="A21" s="3385" t="s">
        <v>1815</v>
      </c>
      <c r="B21" s="3386"/>
      <c r="C21" s="2096">
        <f t="shared" ref="C21:AA21" si="35">C18/B18-1</f>
        <v>3.3502630513962073E-2</v>
      </c>
      <c r="D21" s="2096">
        <f t="shared" si="35"/>
        <v>2.8729904827540009E-2</v>
      </c>
      <c r="E21" s="2096">
        <f t="shared" si="35"/>
        <v>3.4008271304890814E-2</v>
      </c>
      <c r="F21" s="2096">
        <f t="shared" si="35"/>
        <v>8.4483710657095701E-2</v>
      </c>
      <c r="G21" s="2096">
        <f t="shared" si="35"/>
        <v>5.5838424983027712E-2</v>
      </c>
      <c r="H21" s="2096">
        <f t="shared" si="35"/>
        <v>0.12473878797620963</v>
      </c>
      <c r="I21" s="2096">
        <f t="shared" si="35"/>
        <v>3.4872088037730453E-2</v>
      </c>
      <c r="J21" s="2096">
        <f t="shared" si="35"/>
        <v>3.4249413064493694E-2</v>
      </c>
      <c r="K21" s="2096">
        <f t="shared" si="35"/>
        <v>6.636400053411684E-2</v>
      </c>
      <c r="L21" s="2096">
        <f t="shared" si="35"/>
        <v>9.7420485850237881E-2</v>
      </c>
      <c r="M21" s="2096">
        <f t="shared" si="35"/>
        <v>0.12142044796141649</v>
      </c>
      <c r="N21" s="2096">
        <f t="shared" si="35"/>
        <v>4.5941989640844394E-2</v>
      </c>
      <c r="O21" s="2096">
        <f t="shared" si="35"/>
        <v>5.2682519942799377E-3</v>
      </c>
      <c r="P21" s="2096">
        <f t="shared" si="35"/>
        <v>-2.2625578975137728E-2</v>
      </c>
      <c r="Q21" s="2096">
        <f t="shared" si="35"/>
        <v>3.9103960396039694E-2</v>
      </c>
      <c r="R21" s="2096">
        <f t="shared" si="35"/>
        <v>7.784986350578138E-2</v>
      </c>
      <c r="S21" s="2005">
        <f t="shared" si="35"/>
        <v>5.0000000000000044E-2</v>
      </c>
      <c r="T21" s="2005">
        <f t="shared" si="35"/>
        <v>2.4835125063558117E-3</v>
      </c>
      <c r="U21" s="2005">
        <f t="shared" si="35"/>
        <v>5.8850223437517668E-2</v>
      </c>
      <c r="V21" s="2005">
        <f t="shared" si="35"/>
        <v>9.0860652709351175E-2</v>
      </c>
      <c r="W21" s="2005">
        <f t="shared" si="35"/>
        <v>9.5752875288367623E-2</v>
      </c>
      <c r="X21" s="2005">
        <f t="shared" si="35"/>
        <v>9.2298501342999995E-2</v>
      </c>
      <c r="Y21" s="2005">
        <f t="shared" si="35"/>
        <v>0.17459938744459724</v>
      </c>
      <c r="Z21" s="2005">
        <f t="shared" si="35"/>
        <v>5.1006944022987888E-2</v>
      </c>
      <c r="AA21" s="2005">
        <f t="shared" si="35"/>
        <v>2.939375831597002E-2</v>
      </c>
      <c r="AB21" s="3043">
        <f>AB18/AA18-1</f>
        <v>-4.2191083268722562E-2</v>
      </c>
      <c r="AC21" s="3043">
        <f>AC18/AB18-1</f>
        <v>0.15879245313689538</v>
      </c>
      <c r="AD21" s="3043">
        <f t="shared" ref="AD21:AN21" si="36">AD18/AC18-1</f>
        <v>-7.2415585288377549E-2</v>
      </c>
      <c r="AE21" s="3043">
        <f t="shared" si="36"/>
        <v>5.1565123372745658E-2</v>
      </c>
      <c r="AF21" s="3043">
        <f t="shared" si="36"/>
        <v>4.7939840068984774E-2</v>
      </c>
      <c r="AG21" s="3043">
        <f t="shared" si="36"/>
        <v>4.6836374513657741E-2</v>
      </c>
      <c r="AH21" s="3043">
        <f t="shared" si="36"/>
        <v>4.4495517442102894E-2</v>
      </c>
      <c r="AI21" s="3043">
        <f t="shared" si="36"/>
        <v>4.0907945338664264E-2</v>
      </c>
      <c r="AJ21" s="3043">
        <f t="shared" si="36"/>
        <v>3.7490793590372107E-2</v>
      </c>
      <c r="AK21" s="3043">
        <f t="shared" si="36"/>
        <v>3.5787750616169678E-2</v>
      </c>
      <c r="AL21" s="3043">
        <f t="shared" si="36"/>
        <v>3.5095218208303081E-2</v>
      </c>
      <c r="AM21" s="3043">
        <f t="shared" si="36"/>
        <v>3.4389142247266857E-2</v>
      </c>
      <c r="AN21" s="3043">
        <f t="shared" si="36"/>
        <v>3.3670347203150985E-2</v>
      </c>
      <c r="AO21" s="2322"/>
      <c r="AP21" s="746"/>
      <c r="AQ21" s="746"/>
      <c r="AR21" s="2096"/>
      <c r="AS21" s="2096"/>
      <c r="AT21" s="2096"/>
      <c r="AU21" s="2096"/>
      <c r="AV21" s="3387"/>
      <c r="AW21" s="3387"/>
      <c r="AX21" s="3387"/>
      <c r="AY21" s="3387"/>
      <c r="AZ21" s="3387"/>
      <c r="BA21" s="2096">
        <f>+BA18/AV18-1</f>
        <v>7.345286292654718E-2</v>
      </c>
      <c r="BB21" s="2096">
        <f>+BB18/AW18-1</f>
        <v>6.0623556581986149E-2</v>
      </c>
      <c r="BC21" s="2096">
        <f>+BC18/AX18-1</f>
        <v>1.3385387618516376E-2</v>
      </c>
      <c r="BD21" s="2096">
        <f>+BD18/AY18-1</f>
        <v>-4.0261701056868437E-3</v>
      </c>
      <c r="BE21" s="2096"/>
      <c r="BF21" s="2096">
        <f>+BF18/BA18-1</f>
        <v>4.9568965517241548E-2</v>
      </c>
      <c r="BG21" s="2096">
        <f>+BG18/BB18-1</f>
        <v>7.6755579749591796E-2</v>
      </c>
      <c r="BH21" s="2096">
        <f>+BH18/BC18-1</f>
        <v>9.3010456796918106E-2</v>
      </c>
      <c r="BI21" s="2096">
        <f>+BI18/BD18-1</f>
        <v>4.8004042445679573E-2</v>
      </c>
      <c r="BJ21" s="2096"/>
      <c r="BK21" s="3388">
        <v>0.22</v>
      </c>
      <c r="BL21" s="3388">
        <f>+BK21</f>
        <v>0.22</v>
      </c>
      <c r="BM21" s="3388">
        <f>+BL21</f>
        <v>0.22</v>
      </c>
      <c r="BN21" s="3388">
        <f>+BN18/BI18-1</f>
        <v>9.2092574734812027E-2</v>
      </c>
      <c r="BO21" s="2096"/>
      <c r="BP21" s="2096">
        <f>+BP18/BK18-1</f>
        <v>0.14669604903792854</v>
      </c>
      <c r="BQ21" s="2096">
        <f>+BQ18/BL18-1</f>
        <v>0.1382357774095555</v>
      </c>
      <c r="BR21" s="2096">
        <f>+BR18/BM18-1</f>
        <v>9.0957795919880846E-2</v>
      </c>
      <c r="BS21" s="2096">
        <f>+BS18/BN18-1</f>
        <v>0.11293555879064954</v>
      </c>
      <c r="BT21" s="3389"/>
      <c r="BU21" s="2096">
        <f>+BU18/BP18-1</f>
        <v>6.4132070951170128E-2</v>
      </c>
      <c r="BV21" s="2096">
        <f>+BV18/BQ18-1</f>
        <v>6.122091692207543E-2</v>
      </c>
      <c r="BW21" s="2096">
        <f>+BW18/BR18-1</f>
        <v>6.340329467737682E-2</v>
      </c>
      <c r="BX21" s="2096">
        <f>+BX18/BS18-1</f>
        <v>-3.2690123787925129E-3</v>
      </c>
      <c r="BY21" s="3389"/>
      <c r="BZ21" s="2096">
        <f>+BZ18/BU18-1</f>
        <v>5.3275375885337706E-2</v>
      </c>
      <c r="CA21" s="2096">
        <f>+CA18/BV18-1</f>
        <v>4.2923368738647882E-2</v>
      </c>
      <c r="CB21" s="2096">
        <f>+CB18/BW18-1</f>
        <v>-4.8226274576037009E-2</v>
      </c>
      <c r="CC21" s="2096">
        <f>+CC18/BX18-1</f>
        <v>-2.5727258069824899E-2</v>
      </c>
      <c r="CD21" s="3387"/>
      <c r="CE21" s="2096">
        <f>+CE18/BZ18-1</f>
        <v>-8.7917718964136138E-2</v>
      </c>
      <c r="CF21" s="2096">
        <f>+CF18/CA18-1</f>
        <v>-0.10558060997992369</v>
      </c>
      <c r="CG21" s="2096">
        <f>+CG18/CB18-1</f>
        <v>-6.5271104206657826E-3</v>
      </c>
      <c r="CH21" s="2096">
        <f>+CH18/CC18-1</f>
        <v>0.12340397568240569</v>
      </c>
      <c r="CI21" s="3387"/>
      <c r="CJ21" s="2096">
        <f>+CJ18/CE18-1</f>
        <v>2.0408163265306145E-2</v>
      </c>
      <c r="CK21" s="2096">
        <f>+CK18/CF18-1</f>
        <v>9.3333333333333268E-2</v>
      </c>
      <c r="CL21" s="3390">
        <v>6.6601000000000132E-2</v>
      </c>
      <c r="CM21" s="3390">
        <v>-1.6564545454545443E-2</v>
      </c>
      <c r="CN21" s="3389"/>
      <c r="CO21" s="3390">
        <v>0.05</v>
      </c>
      <c r="CP21" s="3390">
        <v>0.11</v>
      </c>
      <c r="CQ21" s="3391">
        <v>0.06</v>
      </c>
      <c r="CR21" s="3391">
        <v>0.09</v>
      </c>
      <c r="CS21" s="3392"/>
      <c r="CT21" s="3390">
        <v>0.05</v>
      </c>
      <c r="CU21" s="3390">
        <v>0.05</v>
      </c>
      <c r="CV21" s="3391">
        <v>0.05</v>
      </c>
      <c r="CW21" s="3391">
        <v>0.05</v>
      </c>
      <c r="CX21" s="3392"/>
      <c r="CY21" s="3390">
        <v>0.09</v>
      </c>
      <c r="CZ21" s="3390">
        <v>-0.02</v>
      </c>
      <c r="DA21" s="3390">
        <v>-2.5000000000000001E-2</v>
      </c>
      <c r="DB21" s="2096">
        <f>+DB18/CW18-1</f>
        <v>-2.6881116306237351E-2</v>
      </c>
      <c r="DC21" s="3392"/>
      <c r="DD21" s="3390">
        <v>7.4999999999999997E-2</v>
      </c>
      <c r="DE21" s="3390">
        <v>4.3999999999999997E-2</v>
      </c>
      <c r="DF21" s="3390">
        <v>6.2E-2</v>
      </c>
      <c r="DG21" s="2096">
        <f>+DG18/DB18-1</f>
        <v>5.4492528855904165E-2</v>
      </c>
      <c r="DH21" s="3387"/>
      <c r="DJ21" s="3394"/>
      <c r="DK21" s="3394"/>
      <c r="DL21" s="3394"/>
      <c r="DM21" s="3394"/>
      <c r="DN21" s="3394"/>
      <c r="DO21" s="3394"/>
      <c r="DP21" s="3394"/>
      <c r="DQ21" s="3394"/>
      <c r="DR21" s="3394"/>
      <c r="DS21" s="3394"/>
      <c r="DT21" s="3394"/>
      <c r="DU21" s="2005">
        <f>DU18/DP18-1</f>
        <v>1.2233056722743552E-3</v>
      </c>
      <c r="DV21" s="2005">
        <f>DV18/DQ18-1</f>
        <v>0.20318089984189447</v>
      </c>
      <c r="DW21" s="2005">
        <f>DW18/DR18-1</f>
        <v>-0.16940854305549757</v>
      </c>
      <c r="DX21" s="2005">
        <f>DX18/DS18-1</f>
        <v>0.1325598416085112</v>
      </c>
      <c r="DZ21" s="2005">
        <f>DZ18/DU18-1</f>
        <v>-3.1056981727474287E-2</v>
      </c>
      <c r="EA21" s="2005">
        <f>EA18/DV18-1</f>
        <v>-0.13952197935365662</v>
      </c>
      <c r="EB21" s="3043">
        <f>EB18/DW18-1</f>
        <v>0.144336879815812</v>
      </c>
      <c r="EC21" s="3043">
        <f>EC18/DX18-1</f>
        <v>-0.11961975807366154</v>
      </c>
      <c r="ED21" s="3395"/>
      <c r="EE21" s="3043">
        <f t="shared" si="29"/>
        <v>3.3844350300725079E-2</v>
      </c>
      <c r="EF21" s="3043">
        <f t="shared" si="29"/>
        <v>6.7287486932195772E-2</v>
      </c>
      <c r="EG21" s="3043">
        <f t="shared" si="29"/>
        <v>0.43018482021308491</v>
      </c>
      <c r="EH21" s="3043">
        <f t="shared" si="29"/>
        <v>6.0365135139264225E-2</v>
      </c>
      <c r="EI21" s="3395"/>
      <c r="EJ21" s="3043">
        <f t="shared" si="30"/>
        <v>4.8639283968803904E-2</v>
      </c>
      <c r="EK21" s="3043">
        <f t="shared" si="30"/>
        <v>5.0000000000000044E-2</v>
      </c>
      <c r="EL21" s="3043">
        <f t="shared" si="30"/>
        <v>-0.30457836274285255</v>
      </c>
      <c r="EM21" s="3043">
        <f t="shared" si="30"/>
        <v>4.9782929445597812E-2</v>
      </c>
    </row>
    <row r="22" spans="1:144">
      <c r="A22" s="556"/>
      <c r="B22" s="48"/>
      <c r="C22" s="38"/>
      <c r="D22" s="38"/>
      <c r="E22" s="38"/>
      <c r="F22" s="38"/>
      <c r="G22" s="38"/>
      <c r="H22" s="38"/>
      <c r="I22" s="38"/>
      <c r="J22" s="38"/>
      <c r="K22" s="4"/>
      <c r="L22" s="4"/>
      <c r="M22" s="4"/>
      <c r="N22" s="4"/>
      <c r="O22" s="38"/>
      <c r="P22" s="38"/>
      <c r="Q22" s="38"/>
      <c r="R22" s="38"/>
      <c r="S22" s="1110"/>
      <c r="T22" s="1110"/>
      <c r="U22" s="1110"/>
      <c r="V22" s="1690"/>
      <c r="W22" s="1690"/>
      <c r="X22" s="1135"/>
      <c r="Y22" s="1135"/>
      <c r="Z22" s="1135"/>
      <c r="AA22" s="1135"/>
      <c r="AB22" s="3304"/>
      <c r="AC22" s="3304"/>
      <c r="AD22" s="3304"/>
      <c r="AE22" s="3304"/>
      <c r="AF22" s="3304"/>
      <c r="AG22" s="3304"/>
      <c r="AH22" s="3304"/>
      <c r="AI22" s="3304"/>
      <c r="AJ22" s="3304"/>
      <c r="AK22" s="3304"/>
      <c r="AL22" s="3304"/>
      <c r="AM22" s="3304"/>
      <c r="AN22" s="3049"/>
      <c r="AO22" s="2322"/>
      <c r="AP22" s="746"/>
      <c r="AQ22" s="746"/>
      <c r="AR22" s="52"/>
      <c r="AS22" s="52"/>
      <c r="AT22" s="52"/>
      <c r="AU22" s="4"/>
      <c r="AV22" s="126"/>
      <c r="AW22" s="126"/>
      <c r="AX22" s="126"/>
      <c r="AY22" s="126"/>
      <c r="AZ22" s="126"/>
      <c r="BA22" s="6"/>
      <c r="BB22" s="6"/>
      <c r="BC22" s="6"/>
      <c r="BD22" s="6"/>
      <c r="BE22" s="6"/>
      <c r="BF22" s="6"/>
      <c r="BG22" s="6"/>
      <c r="BH22" s="6"/>
      <c r="BI22" s="6"/>
      <c r="BJ22" s="6"/>
      <c r="BK22" s="6"/>
      <c r="BL22" s="6"/>
      <c r="BM22" s="6"/>
      <c r="BN22" s="6"/>
      <c r="BO22" s="6"/>
      <c r="BP22" s="6"/>
      <c r="BQ22" s="6"/>
      <c r="BR22" s="6"/>
      <c r="BS22" s="6"/>
      <c r="BT22" s="254"/>
      <c r="BU22" s="6"/>
      <c r="BV22" s="6"/>
      <c r="BW22" s="6"/>
      <c r="BX22" s="6"/>
      <c r="BY22" s="254"/>
      <c r="BZ22" s="6"/>
      <c r="CA22" s="6"/>
      <c r="CB22" s="6"/>
      <c r="CC22" s="6"/>
      <c r="CD22" s="6"/>
      <c r="CE22" s="6"/>
      <c r="CF22" s="6"/>
      <c r="CG22" s="6"/>
      <c r="CH22" s="6"/>
      <c r="CI22" s="6"/>
      <c r="CJ22" s="6"/>
      <c r="CK22" s="6"/>
      <c r="CL22" s="6"/>
      <c r="CM22" s="6"/>
      <c r="CN22" s="254"/>
      <c r="CO22" s="6"/>
      <c r="CP22" s="6"/>
      <c r="CQ22" s="11"/>
      <c r="CR22" s="6"/>
      <c r="CS22" s="42"/>
      <c r="CT22" s="6"/>
      <c r="CU22" s="6"/>
      <c r="CV22" s="11"/>
      <c r="CW22" s="6"/>
      <c r="CX22" s="42"/>
      <c r="CY22" s="6"/>
      <c r="CZ22" s="6"/>
      <c r="DA22" s="11"/>
      <c r="DB22" s="6"/>
      <c r="DC22" s="42"/>
      <c r="DD22" s="6"/>
      <c r="DE22" s="6"/>
      <c r="DF22" s="6"/>
      <c r="DG22" s="6"/>
      <c r="DH22" s="6"/>
      <c r="DJ22" s="1577"/>
      <c r="DK22" s="1577"/>
      <c r="DL22" s="1577"/>
      <c r="DM22" s="1577"/>
      <c r="DN22" s="1577"/>
      <c r="DO22" s="1577"/>
      <c r="DP22" s="1577"/>
      <c r="DQ22" s="1577"/>
      <c r="DR22" s="1577"/>
      <c r="DS22" s="1577"/>
      <c r="DT22" s="1577"/>
      <c r="DU22" s="1577"/>
      <c r="DV22" s="1577"/>
      <c r="DW22" s="1577"/>
      <c r="DX22" s="1577"/>
      <c r="DY22" s="1577"/>
      <c r="DZ22" s="1577"/>
      <c r="EA22" s="1577"/>
      <c r="EB22" s="2807"/>
      <c r="EC22" s="2807"/>
      <c r="ED22" s="2807"/>
      <c r="EE22" s="2807"/>
      <c r="EF22" s="2807"/>
      <c r="EG22" s="2807"/>
      <c r="EH22" s="2807"/>
      <c r="EI22" s="2807"/>
      <c r="EJ22" s="2807"/>
    </row>
    <row r="23" spans="1:144">
      <c r="A23" s="556" t="s">
        <v>767</v>
      </c>
      <c r="B23" s="750">
        <f>0.2*B18</f>
        <v>98.84</v>
      </c>
      <c r="C23" s="750">
        <f>0.2*C18</f>
        <v>102.15140000000002</v>
      </c>
      <c r="D23" s="750">
        <f>0.2*D18</f>
        <v>105.08619999999999</v>
      </c>
      <c r="E23" s="751">
        <f>+E72</f>
        <v>112.32200829509358</v>
      </c>
      <c r="F23" s="751">
        <f t="shared" ref="F23:AB23" si="37">+F72</f>
        <v>117.90154472673423</v>
      </c>
      <c r="G23" s="751">
        <f t="shared" si="37"/>
        <v>123.78675931324912</v>
      </c>
      <c r="H23" s="751">
        <f t="shared" si="37"/>
        <v>184.15337777777779</v>
      </c>
      <c r="I23" s="751">
        <f t="shared" si="37"/>
        <v>152.12645476190477</v>
      </c>
      <c r="J23" s="751">
        <f t="shared" si="37"/>
        <v>240.95850999999999</v>
      </c>
      <c r="K23" s="751">
        <f t="shared" si="37"/>
        <v>273.70878718750004</v>
      </c>
      <c r="L23" s="751">
        <f t="shared" si="37"/>
        <v>304.06488167187501</v>
      </c>
      <c r="M23" s="751">
        <f t="shared" si="37"/>
        <v>313.77143876250005</v>
      </c>
      <c r="N23" s="751">
        <f t="shared" si="37"/>
        <v>309.45444949835939</v>
      </c>
      <c r="O23" s="751">
        <f t="shared" si="37"/>
        <v>322.92300404330706</v>
      </c>
      <c r="P23" s="751">
        <f t="shared" si="37"/>
        <v>339.94008251797896</v>
      </c>
      <c r="Q23" s="751">
        <f t="shared" si="37"/>
        <v>358.20053353777507</v>
      </c>
      <c r="R23" s="751">
        <f t="shared" si="37"/>
        <v>381.55431536737524</v>
      </c>
      <c r="S23" s="2356">
        <f t="shared" si="37"/>
        <v>400.52150967110583</v>
      </c>
      <c r="T23" s="2356">
        <f t="shared" si="37"/>
        <v>372.61873047389929</v>
      </c>
      <c r="U23" s="2356">
        <f>+U72</f>
        <v>342.49428136832933</v>
      </c>
      <c r="V23" s="2356">
        <f>+V72</f>
        <v>339.86614052441143</v>
      </c>
      <c r="W23" s="2356">
        <f t="shared" si="37"/>
        <v>328.99099999999999</v>
      </c>
      <c r="X23" s="2356">
        <f t="shared" si="37"/>
        <v>326.99199999999996</v>
      </c>
      <c r="Y23" s="2356">
        <f t="shared" si="37"/>
        <v>330.97239999999994</v>
      </c>
      <c r="Z23" s="2356">
        <f t="shared" si="37"/>
        <v>338.4335099999999</v>
      </c>
      <c r="AA23" s="2356">
        <f t="shared" si="37"/>
        <v>346.89434774999984</v>
      </c>
      <c r="AB23" s="2356">
        <f t="shared" si="37"/>
        <v>355.56670644374981</v>
      </c>
      <c r="AC23" s="3253">
        <f>+AC72</f>
        <v>364.45587410484359</v>
      </c>
      <c r="AD23" s="3253">
        <f>+AD72</f>
        <v>373.56727095746464</v>
      </c>
      <c r="AE23" s="2356">
        <f t="shared" ref="AE23:AJ23" si="38">+AE72</f>
        <v>382.9064527314012</v>
      </c>
      <c r="AF23" s="2356">
        <f t="shared" si="38"/>
        <v>391.66713707558449</v>
      </c>
      <c r="AG23" s="2356">
        <f t="shared" si="38"/>
        <v>399.84375463541562</v>
      </c>
      <c r="AH23" s="2356">
        <f t="shared" si="38"/>
        <v>407.91796086851457</v>
      </c>
      <c r="AI23" s="373">
        <f t="shared" si="38"/>
        <v>416.07632008588484</v>
      </c>
      <c r="AJ23" s="373">
        <f t="shared" si="38"/>
        <v>424.39784648760252</v>
      </c>
      <c r="AK23" s="373">
        <f>+AK72</f>
        <v>432.88580341735462</v>
      </c>
      <c r="AL23" s="373">
        <f>+AL72</f>
        <v>441.54351948570172</v>
      </c>
      <c r="AM23" s="373">
        <f>+AM72</f>
        <v>450.37438987541577</v>
      </c>
      <c r="AN23" s="373">
        <f>+AN72</f>
        <v>459.38187767292413</v>
      </c>
      <c r="AO23" s="2322"/>
      <c r="AP23" s="751"/>
      <c r="AQ23" s="751"/>
      <c r="AR23" s="751"/>
      <c r="AS23" s="751"/>
      <c r="AT23" s="751"/>
      <c r="AU23" s="751"/>
      <c r="AV23" s="751">
        <f>+AV113*AV18</f>
        <v>31.122</v>
      </c>
      <c r="AW23" s="751">
        <f>+AW113*AW18</f>
        <v>30.309999999999995</v>
      </c>
      <c r="AX23" s="751">
        <f>+AX113*AX18</f>
        <v>30.481000000000005</v>
      </c>
      <c r="AY23" s="751">
        <f>+I23-AX23-AW23-AV23</f>
        <v>60.213454761904771</v>
      </c>
      <c r="AZ23" s="739"/>
      <c r="BA23" s="751">
        <f>+BA113*BA18</f>
        <v>30.623999999999999</v>
      </c>
      <c r="BB23" s="751">
        <f>+BB113*BB18</f>
        <v>29.391999999999999</v>
      </c>
      <c r="BC23" s="751">
        <f>+BC113*BC18</f>
        <v>29.071999999999999</v>
      </c>
      <c r="BD23" s="751">
        <f>+J23-BC23-BB23-BA23</f>
        <v>151.87051</v>
      </c>
      <c r="BE23" s="145"/>
      <c r="BF23" s="751">
        <f>+BF113*BF18</f>
        <v>32.142000000000003</v>
      </c>
      <c r="BG23" s="751">
        <f>+BG113*BG18</f>
        <v>33.626000000000005</v>
      </c>
      <c r="BH23" s="751">
        <f>+BH113*BH18</f>
        <v>34.754999999999995</v>
      </c>
      <c r="BI23" s="751">
        <f>+K23-BH23-BG23-BF23</f>
        <v>173.18578718750004</v>
      </c>
      <c r="BJ23" s="145"/>
      <c r="BK23" s="751">
        <f>+BK113*BK18</f>
        <v>72.512049599979335</v>
      </c>
      <c r="BL23" s="751">
        <f>+BL113*BL18</f>
        <v>73.89984002294544</v>
      </c>
      <c r="BM23" s="751">
        <f>+BM113*BM18</f>
        <v>79.069359348494203</v>
      </c>
      <c r="BN23" s="751">
        <f>+L23-BM23-BL23-BK23</f>
        <v>78.58363270045605</v>
      </c>
      <c r="BO23" s="145"/>
      <c r="BP23" s="750">
        <v>82</v>
      </c>
      <c r="BQ23" s="750">
        <v>82</v>
      </c>
      <c r="BR23" s="750">
        <v>82</v>
      </c>
      <c r="BS23" s="751">
        <f>+M23-SUM(BP23:BR23)</f>
        <v>67.771438762500054</v>
      </c>
      <c r="BT23" s="254">
        <f t="shared" ref="BT23:BT28" si="39">+M23-SUM(BP23:BS23)</f>
        <v>0</v>
      </c>
      <c r="BU23" s="751">
        <v>86</v>
      </c>
      <c r="BV23" s="751">
        <v>86</v>
      </c>
      <c r="BW23" s="751">
        <v>86</v>
      </c>
      <c r="BX23" s="751">
        <f>+N23-SUM(BU23:BW23)</f>
        <v>51.454449498359395</v>
      </c>
      <c r="BY23" s="254">
        <f t="shared" ref="BY23:BY28" si="40">+N23-SUM(BU23:BX23)</f>
        <v>0</v>
      </c>
      <c r="BZ23" s="751">
        <f>+BZ113*BZ18</f>
        <v>83.270996026523591</v>
      </c>
      <c r="CA23" s="751">
        <f>+CA113*CA18</f>
        <v>83.182454260444871</v>
      </c>
      <c r="CB23" s="751">
        <f>+CB113*CB18</f>
        <v>78.009174495758799</v>
      </c>
      <c r="CC23" s="126">
        <f>+O23-CB23-CA23-BZ23</f>
        <v>78.460379260579799</v>
      </c>
      <c r="CD23" s="83"/>
      <c r="CE23" s="751">
        <f>+CE113*CE18</f>
        <v>78.400000000000006</v>
      </c>
      <c r="CF23" s="751">
        <f>+CF113*CF18</f>
        <v>76.8</v>
      </c>
      <c r="CG23" s="751">
        <f>+CG113*CG18</f>
        <v>80</v>
      </c>
      <c r="CH23" s="126">
        <f>+P23-SUM(CE23:CG23)</f>
        <v>104.74008251797898</v>
      </c>
      <c r="CI23" s="83">
        <f t="shared" ref="CI23:CI28" si="41">P23-SUM(CE23:CH23)</f>
        <v>0</v>
      </c>
      <c r="CJ23" s="751">
        <f>+CJ113*CJ18</f>
        <v>85.326879484365108</v>
      </c>
      <c r="CK23" s="751">
        <f>+CK113*CK18</f>
        <v>89.559092706789613</v>
      </c>
      <c r="CL23" s="751">
        <f>+CL113*CL18</f>
        <v>91.009734984903318</v>
      </c>
      <c r="CM23" s="752">
        <f>Q23-SUM(CJ23:CL23)</f>
        <v>92.304826361717005</v>
      </c>
      <c r="CN23" s="254">
        <f t="shared" ref="CN23:CN28" si="42">Q23-SUM(CJ23:CM23)</f>
        <v>0</v>
      </c>
      <c r="CO23" s="751">
        <f>+CO113*CO18</f>
        <v>89.593223458583367</v>
      </c>
      <c r="CP23" s="751">
        <f>+CP113*CP18</f>
        <v>99.410592904536486</v>
      </c>
      <c r="CQ23" s="373">
        <f>+CQ113*CQ18</f>
        <v>96.470319083997538</v>
      </c>
      <c r="CR23" s="752">
        <f>R23-SUM(CO23:CQ23)</f>
        <v>96.08017992025782</v>
      </c>
      <c r="CS23" s="42">
        <f t="shared" si="20"/>
        <v>0</v>
      </c>
      <c r="CT23" s="751">
        <f>+CT113*CT18</f>
        <v>96.46875</v>
      </c>
      <c r="CU23" s="751">
        <f>+CU113*CU18</f>
        <v>107.03952</v>
      </c>
      <c r="CV23" s="373">
        <f>+CV113*CV18</f>
        <v>100.90578760500003</v>
      </c>
      <c r="CW23" s="752">
        <f>S23-SUM(CT23:CV23)</f>
        <v>96.107452066105793</v>
      </c>
      <c r="CX23" s="42">
        <f t="shared" si="21"/>
        <v>0</v>
      </c>
      <c r="CY23" s="751">
        <f>+CY113*CY18</f>
        <v>94.635843750000006</v>
      </c>
      <c r="CZ23" s="751">
        <f>+CZ113*CZ18</f>
        <v>94.408856639999996</v>
      </c>
      <c r="DA23" s="373">
        <f>+DA113*DA18</f>
        <v>89.702277363562516</v>
      </c>
      <c r="DB23" s="752">
        <f>T23-SUM(CY23:DA23)</f>
        <v>93.871752720336758</v>
      </c>
      <c r="DC23" s="42">
        <f t="shared" si="22"/>
        <v>0</v>
      </c>
      <c r="DD23" s="751">
        <f>+DD113*DD18</f>
        <v>103.34835000000001</v>
      </c>
      <c r="DE23" s="751">
        <f>+DE113*DE18</f>
        <v>90.740398210559988</v>
      </c>
      <c r="DF23" s="373">
        <f>+DF113*DF18</f>
        <v>70.679607318786395</v>
      </c>
      <c r="DG23" s="764">
        <f>U23-SUM(DD23:DF23)</f>
        <v>77.725925838982903</v>
      </c>
      <c r="DH23" s="6"/>
      <c r="DJ23" s="1577"/>
      <c r="DK23" s="1577"/>
      <c r="DL23" s="1577"/>
      <c r="DM23" s="1577"/>
      <c r="DN23" s="1577"/>
      <c r="DO23" s="1577"/>
      <c r="DP23" s="1577"/>
      <c r="DQ23" s="1577"/>
      <c r="DR23" s="1577"/>
      <c r="DS23" s="1577"/>
      <c r="DT23" s="1577"/>
      <c r="DU23" s="1577"/>
      <c r="DV23" s="1577"/>
      <c r="DW23" s="1577"/>
      <c r="DX23" s="1577"/>
      <c r="DY23" s="1577"/>
      <c r="DZ23" s="1577"/>
      <c r="EA23" s="1577"/>
      <c r="EB23" s="2807"/>
      <c r="EC23" s="2807"/>
      <c r="ED23" s="2807"/>
      <c r="EE23" s="2807"/>
      <c r="EF23" s="2807"/>
      <c r="EG23" s="2807"/>
      <c r="EH23" s="2807"/>
      <c r="EI23" s="2807"/>
      <c r="EJ23" s="1577"/>
    </row>
    <row r="24" spans="1:144">
      <c r="A24" s="556" t="s">
        <v>768</v>
      </c>
      <c r="B24" s="122">
        <v>20</v>
      </c>
      <c r="C24" s="122">
        <v>20</v>
      </c>
      <c r="D24" s="122">
        <v>20</v>
      </c>
      <c r="E24" s="48">
        <f>+E76</f>
        <v>19.047619047619047</v>
      </c>
      <c r="F24" s="48">
        <f t="shared" ref="F24:X24" si="43">+F76</f>
        <v>20</v>
      </c>
      <c r="G24" s="48">
        <f t="shared" si="43"/>
        <v>28</v>
      </c>
      <c r="H24" s="48">
        <f t="shared" si="43"/>
        <v>36.75</v>
      </c>
      <c r="I24" s="48">
        <f t="shared" si="43"/>
        <v>40.902750000000005</v>
      </c>
      <c r="J24" s="48">
        <f t="shared" si="43"/>
        <v>42.9478875</v>
      </c>
      <c r="K24" s="48">
        <f t="shared" si="43"/>
        <v>63.814078125000002</v>
      </c>
      <c r="L24" s="48">
        <f t="shared" si="43"/>
        <v>75</v>
      </c>
      <c r="M24" s="48">
        <f t="shared" si="43"/>
        <v>95</v>
      </c>
      <c r="N24" s="48">
        <f t="shared" si="43"/>
        <v>102.60000000000001</v>
      </c>
      <c r="O24" s="48">
        <f t="shared" si="43"/>
        <v>108.83808000000001</v>
      </c>
      <c r="P24" s="48">
        <f t="shared" si="43"/>
        <v>114.3013248</v>
      </c>
      <c r="Q24" s="48">
        <f>+Q76</f>
        <v>122.4167188608</v>
      </c>
      <c r="R24" s="48">
        <f t="shared" si="43"/>
        <v>155.96</v>
      </c>
      <c r="S24" s="1366">
        <f t="shared" si="43"/>
        <v>168.75040000000001</v>
      </c>
      <c r="T24" s="1366">
        <f t="shared" si="43"/>
        <v>175.44800000000001</v>
      </c>
      <c r="U24" s="1366">
        <f t="shared" si="43"/>
        <v>191.53097600000001</v>
      </c>
      <c r="V24" s="1366">
        <f>+V76</f>
        <v>214.27701568000001</v>
      </c>
      <c r="W24" s="1366">
        <f t="shared" si="43"/>
        <v>238.17639285440001</v>
      </c>
      <c r="X24" s="1366">
        <f t="shared" si="43"/>
        <v>261.99403213984004</v>
      </c>
      <c r="Y24" s="1366">
        <f>+Y76+Y14*0.95</f>
        <v>390.73517504056002</v>
      </c>
      <c r="Z24" s="1366">
        <f>+Z76+Z14*0.9</f>
        <v>376.10112208967598</v>
      </c>
      <c r="AA24" s="1366">
        <f>+AA76+(AA14-37.5)*0.7+(400*0.6*0.5*0.95)-30</f>
        <v>491.71818439921333</v>
      </c>
      <c r="AB24" s="1366">
        <f t="shared" ref="AB24:AK24" si="44">+AB76+AB14*0.98</f>
        <v>352.0020496691011</v>
      </c>
      <c r="AC24" s="2796">
        <f>+AC76+AC14*0.99</f>
        <v>640.60876399362769</v>
      </c>
      <c r="AD24" s="2796">
        <f>+AD76+AD14*0.98</f>
        <v>421.49339413761368</v>
      </c>
      <c r="AE24" s="1366">
        <f t="shared" si="44"/>
        <v>449.13805754054829</v>
      </c>
      <c r="AF24" s="1366">
        <f t="shared" si="44"/>
        <v>476.31091002175151</v>
      </c>
      <c r="AG24" s="1366">
        <f t="shared" si="44"/>
        <v>504.64664605894546</v>
      </c>
      <c r="AH24" s="1366">
        <f t="shared" si="44"/>
        <v>534.15838192047261</v>
      </c>
      <c r="AI24" s="49">
        <f t="shared" si="44"/>
        <v>564.8564641294422</v>
      </c>
      <c r="AJ24" s="49">
        <f t="shared" si="44"/>
        <v>596.74826009419053</v>
      </c>
      <c r="AK24" s="49">
        <f t="shared" si="44"/>
        <v>629.83795111641336</v>
      </c>
      <c r="AL24" s="49">
        <f>+AL76+AL14*0.98</f>
        <v>664.12632917519102</v>
      </c>
      <c r="AM24" s="49">
        <f>+AM76+AM14*0.98</f>
        <v>699.61059894302139</v>
      </c>
      <c r="AN24" s="49">
        <f>+AN76+AN14*0.98</f>
        <v>736.28418653961455</v>
      </c>
      <c r="AO24" s="2322"/>
      <c r="AP24" s="48"/>
      <c r="AQ24" s="48"/>
      <c r="AR24" s="48"/>
      <c r="AS24" s="48"/>
      <c r="AT24" s="48"/>
      <c r="AU24" s="48"/>
      <c r="AV24" s="48">
        <f>+AV114*AV18</f>
        <v>9.6824000000000012</v>
      </c>
      <c r="AW24" s="48">
        <f>+AW114*AW18</f>
        <v>9.6991999999999994</v>
      </c>
      <c r="AX24" s="48">
        <f>+AX114*AX18</f>
        <v>10.040800000000001</v>
      </c>
      <c r="AY24" s="48">
        <f>+I24-AX24-AW24-AV24</f>
        <v>11.480350000000001</v>
      </c>
      <c r="AZ24" s="739"/>
      <c r="BA24" s="48">
        <f>+BA114*BA18</f>
        <v>10.393599999999999</v>
      </c>
      <c r="BB24" s="48">
        <f>+BB114*BB18</f>
        <v>10.2872</v>
      </c>
      <c r="BC24" s="48">
        <f>+BC114*BC18</f>
        <v>10.1752</v>
      </c>
      <c r="BD24" s="48">
        <f>+J24-BC24-BB24-BA24</f>
        <v>12.091887500000006</v>
      </c>
      <c r="BE24" s="145"/>
      <c r="BF24" s="48">
        <f>+BF114*BF18</f>
        <v>17.532</v>
      </c>
      <c r="BG24" s="48">
        <f>+BG114*BG18</f>
        <v>18.791</v>
      </c>
      <c r="BH24" s="48">
        <f>+BH114*BH18</f>
        <v>18.867000000000001</v>
      </c>
      <c r="BI24" s="48">
        <f>+K24-BH24-BG24-BF24</f>
        <v>8.624078125000004</v>
      </c>
      <c r="BJ24" s="145"/>
      <c r="BK24" s="48">
        <f>+BK114*BK18</f>
        <v>17.885668644454586</v>
      </c>
      <c r="BL24" s="48">
        <f>+BL114*BL18</f>
        <v>18.227978092195347</v>
      </c>
      <c r="BM24" s="48">
        <f>+BM114*BM18</f>
        <v>19.503080785029667</v>
      </c>
      <c r="BN24" s="48">
        <f>+L24-BM24-BL24-BK24</f>
        <v>19.383272478320404</v>
      </c>
      <c r="BO24" s="145"/>
      <c r="BP24" s="48">
        <f>+BP114*BP18</f>
        <v>23.165803484282605</v>
      </c>
      <c r="BQ24" s="48">
        <f>+BQ114*BQ18</f>
        <v>23.434980768644774</v>
      </c>
      <c r="BR24" s="48">
        <f>+BR114*BR18</f>
        <v>24.032836999757926</v>
      </c>
      <c r="BS24" s="48">
        <f>+M24-SUM(BP24:BR24)</f>
        <v>24.366378747314684</v>
      </c>
      <c r="BT24" s="254">
        <f t="shared" si="39"/>
        <v>0</v>
      </c>
      <c r="BU24" s="48">
        <f>+BU114*BU18</f>
        <v>25.454176862215554</v>
      </c>
      <c r="BV24" s="48">
        <f>+BV114*BV18</f>
        <v>25.679499807559637</v>
      </c>
      <c r="BW24" s="48">
        <f>+BW114*BW18</f>
        <v>26.388773147106917</v>
      </c>
      <c r="BX24" s="48">
        <f>+N24-SUM(BU24:BW24)</f>
        <v>25.077550183117907</v>
      </c>
      <c r="BY24" s="254">
        <f t="shared" si="40"/>
        <v>0</v>
      </c>
      <c r="BZ24" s="751">
        <f>+BZ114*BZ18</f>
        <v>27.398843853888408</v>
      </c>
      <c r="CA24" s="751">
        <f>+CA114*CA18</f>
        <v>26.833049761433831</v>
      </c>
      <c r="CB24" s="751">
        <f>+CB114*CB18</f>
        <v>25.164249837341551</v>
      </c>
      <c r="CC24" s="126">
        <f>+O24-CB24-CA24-BZ24</f>
        <v>29.441936547336212</v>
      </c>
      <c r="CD24" s="83"/>
      <c r="CE24" s="751">
        <f>+CE114*CE18</f>
        <v>27.726558986138613</v>
      </c>
      <c r="CF24" s="751">
        <f>+CF114*CF18</f>
        <v>27.160710843564356</v>
      </c>
      <c r="CG24" s="751">
        <f>+CG114*CG18</f>
        <v>28.292407128712874</v>
      </c>
      <c r="CH24" s="126">
        <f>+P24-SUM(CE24:CG24)</f>
        <v>31.121647841584149</v>
      </c>
      <c r="CI24" s="83">
        <f t="shared" si="41"/>
        <v>0</v>
      </c>
      <c r="CJ24" s="751">
        <f>+CJ114*CJ18</f>
        <v>29.160862810399284</v>
      </c>
      <c r="CK24" s="751">
        <f>+CK114*CK18</f>
        <v>30.607241605795085</v>
      </c>
      <c r="CL24" s="751">
        <f>+CL114*CL18</f>
        <v>31.103005434434692</v>
      </c>
      <c r="CM24" s="752">
        <f>Q24-SUM(CJ24:CL24)</f>
        <v>31.545609010170935</v>
      </c>
      <c r="CN24" s="254">
        <f t="shared" si="42"/>
        <v>0</v>
      </c>
      <c r="CO24" s="751">
        <f>+CO114*CO18</f>
        <v>39.375</v>
      </c>
      <c r="CP24" s="751">
        <f>+CP114*CP18</f>
        <v>43.689599999999999</v>
      </c>
      <c r="CQ24" s="373">
        <f>+CQ114*CQ18</f>
        <v>42.397389750000009</v>
      </c>
      <c r="CR24" s="752">
        <f>R24-SUM(CO24:CQ24)</f>
        <v>30.498010249999993</v>
      </c>
      <c r="CS24" s="42">
        <f t="shared" si="20"/>
        <v>0</v>
      </c>
      <c r="CT24" s="751">
        <f>+CT114*CT18</f>
        <v>36.3825</v>
      </c>
      <c r="CU24" s="751">
        <f>+CU114*CU18</f>
        <v>40.675017600000004</v>
      </c>
      <c r="CV24" s="373">
        <f>+CV114*CV18</f>
        <v>39.471969857250009</v>
      </c>
      <c r="CW24" s="752">
        <f>S24-SUM(CT24:CV24)</f>
        <v>52.22091254275</v>
      </c>
      <c r="CX24" s="42">
        <f t="shared" si="21"/>
        <v>0</v>
      </c>
      <c r="CY24" s="751">
        <f>+CY114*CY18</f>
        <v>45.064687500000005</v>
      </c>
      <c r="CZ24" s="751">
        <f>+CZ114*CZ18</f>
        <v>41.959491839999998</v>
      </c>
      <c r="DA24" s="373">
        <f>+DA114*DA18</f>
        <v>40.510705906125011</v>
      </c>
      <c r="DB24" s="752">
        <f>T24-SUM(CY24:DA24)</f>
        <v>47.913114753874993</v>
      </c>
      <c r="DC24" s="42">
        <f t="shared" si="22"/>
        <v>0</v>
      </c>
      <c r="DD24" s="751">
        <f>+DD114*DD18</f>
        <v>51.674175000000005</v>
      </c>
      <c r="DE24" s="751">
        <f>+DE114*DE18</f>
        <v>56.321626475519999</v>
      </c>
      <c r="DF24" s="373">
        <f>+DF114*DF18</f>
        <v>46.095396077469388</v>
      </c>
      <c r="DG24" s="764">
        <f>U24-SUM(DD24:DF24)</f>
        <v>37.43977844701061</v>
      </c>
      <c r="DH24" s="6"/>
      <c r="DK24" s="2311"/>
      <c r="DL24" s="2311"/>
    </row>
    <row r="25" spans="1:144">
      <c r="A25" s="556" t="s">
        <v>769</v>
      </c>
      <c r="B25" s="739">
        <f t="shared" ref="B25:U25" si="45">B115*B18</f>
        <v>98.84</v>
      </c>
      <c r="C25" s="739">
        <f t="shared" si="45"/>
        <v>102.15140000000002</v>
      </c>
      <c r="D25" s="739">
        <f t="shared" si="45"/>
        <v>105.08619999999999</v>
      </c>
      <c r="E25" s="739">
        <f t="shared" si="45"/>
        <v>108.66</v>
      </c>
      <c r="F25" s="739">
        <f t="shared" si="45"/>
        <v>117.84000000000002</v>
      </c>
      <c r="G25" s="739">
        <f t="shared" si="45"/>
        <v>124.42000000000002</v>
      </c>
      <c r="H25" s="739">
        <f t="shared" si="45"/>
        <v>139.94000000000003</v>
      </c>
      <c r="I25" s="739">
        <f t="shared" si="45"/>
        <v>144.82000000000002</v>
      </c>
      <c r="J25" s="739">
        <f t="shared" si="45"/>
        <v>149.78</v>
      </c>
      <c r="K25" s="739">
        <f t="shared" si="45"/>
        <v>159.72000000000003</v>
      </c>
      <c r="L25" s="739">
        <f t="shared" si="45"/>
        <v>176.15640000000002</v>
      </c>
      <c r="M25" s="739">
        <f t="shared" si="45"/>
        <v>186.73444731274321</v>
      </c>
      <c r="N25" s="739">
        <f t="shared" si="45"/>
        <v>185.03374675904911</v>
      </c>
      <c r="O25" s="739">
        <f t="shared" si="45"/>
        <v>175.67474276639817</v>
      </c>
      <c r="P25" s="739">
        <f t="shared" si="45"/>
        <v>161.6</v>
      </c>
      <c r="Q25" s="739">
        <f>Q115*Q18</f>
        <v>167.07960400000002</v>
      </c>
      <c r="R25" s="739">
        <f t="shared" si="45"/>
        <v>180.08672836600005</v>
      </c>
      <c r="S25" s="739">
        <f t="shared" si="45"/>
        <v>185.30924348861404</v>
      </c>
      <c r="T25" s="739">
        <f t="shared" si="45"/>
        <v>166.69908588690001</v>
      </c>
      <c r="U25" s="739">
        <f t="shared" si="45"/>
        <v>189.11717607661501</v>
      </c>
      <c r="V25" s="739">
        <f>V115*V18</f>
        <v>192.5471203912532</v>
      </c>
      <c r="W25" s="739">
        <f>W115*W18</f>
        <v>195.91377074026752</v>
      </c>
      <c r="X25" s="665">
        <f>X115*X18</f>
        <v>207.14843599054467</v>
      </c>
      <c r="Y25" s="665">
        <f>X25*1.06</f>
        <v>219.57734214997737</v>
      </c>
      <c r="Z25" s="665">
        <f>Y25*1.02</f>
        <v>223.96888899297693</v>
      </c>
      <c r="AA25" s="739">
        <f>Z25*1.03</f>
        <v>230.68795566276626</v>
      </c>
      <c r="AB25" s="2652">
        <f>AA25*1.03</f>
        <v>237.60859433264926</v>
      </c>
      <c r="AC25" s="3254">
        <f>AB25*1.03</f>
        <v>244.73685216262874</v>
      </c>
      <c r="AD25" s="3254">
        <f>AC25*1.05</f>
        <v>256.97369477076018</v>
      </c>
      <c r="AE25" s="2652">
        <f>AD25*1.05</f>
        <v>269.82237950929817</v>
      </c>
      <c r="AF25" s="2652">
        <f>AE25*1.05</f>
        <v>283.3134984847631</v>
      </c>
      <c r="AG25" s="2652">
        <f>AF25*1.05</f>
        <v>297.47917340900125</v>
      </c>
      <c r="AH25" s="2652">
        <f>AG25*1.05</f>
        <v>312.35313207945131</v>
      </c>
      <c r="AI25" s="2652">
        <f>AH25*1.045</f>
        <v>326.40902302302658</v>
      </c>
      <c r="AJ25" s="2652">
        <f>AI25*1.045</f>
        <v>341.09742905906273</v>
      </c>
      <c r="AK25" s="2652">
        <f>AJ25*1.04</f>
        <v>354.74132622142525</v>
      </c>
      <c r="AL25" s="2652">
        <f>AK25*1.04</f>
        <v>368.93097927028225</v>
      </c>
      <c r="AM25" s="2652">
        <f t="shared" ref="AM25:AN25" si="46">AL25*1.04</f>
        <v>383.68821844109357</v>
      </c>
      <c r="AN25" s="2652">
        <f t="shared" si="46"/>
        <v>399.03574717873732</v>
      </c>
      <c r="AO25" s="122"/>
      <c r="AP25" s="739"/>
      <c r="AQ25" s="739"/>
      <c r="AR25" s="739"/>
      <c r="AS25" s="739"/>
      <c r="AT25" s="739"/>
      <c r="AU25" s="739"/>
      <c r="AV25" s="739">
        <f>AV115*AV18</f>
        <v>34.580000000000005</v>
      </c>
      <c r="AW25" s="739">
        <f>AW115*AW18</f>
        <v>34.64</v>
      </c>
      <c r="AX25" s="739">
        <f>AX115*AX18</f>
        <v>35.860000000000007</v>
      </c>
      <c r="AY25" s="739">
        <f>+I25-AX25-AW25-AV25</f>
        <v>39.74</v>
      </c>
      <c r="AZ25" s="739"/>
      <c r="BA25" s="739">
        <f>BA115*BA18</f>
        <v>37.119999999999997</v>
      </c>
      <c r="BB25" s="739">
        <f>BB115*BB18</f>
        <v>36.74</v>
      </c>
      <c r="BC25" s="739">
        <f>BC115*BC18</f>
        <v>36.339999999999996</v>
      </c>
      <c r="BD25" s="739">
        <f>+J25-BC25-BB25-BA25</f>
        <v>39.579999999999991</v>
      </c>
      <c r="BE25" s="145"/>
      <c r="BF25" s="739">
        <f>BF115*BF18</f>
        <v>38.960000000000008</v>
      </c>
      <c r="BG25" s="739">
        <f>BG115*BG18</f>
        <v>39.56</v>
      </c>
      <c r="BH25" s="739">
        <f>BH115*BH18</f>
        <v>39.72</v>
      </c>
      <c r="BI25" s="739">
        <f>+K25-BH25-BG25-BF25</f>
        <v>41.480000000000018</v>
      </c>
      <c r="BJ25" s="145"/>
      <c r="BK25" s="739">
        <f>BK115*BK18</f>
        <v>42.009</v>
      </c>
      <c r="BL25" s="739">
        <f>BL115*BL18</f>
        <v>40.47</v>
      </c>
      <c r="BM25" s="739">
        <f>BM115*BM18</f>
        <v>41.021999999999998</v>
      </c>
      <c r="BN25" s="739">
        <f>+L25-BM25-BL25-BK25</f>
        <v>52.655400000000029</v>
      </c>
      <c r="BO25" s="145"/>
      <c r="BP25" s="739">
        <f>BP115*BP18</f>
        <v>45.535300107296145</v>
      </c>
      <c r="BQ25" s="739">
        <f>BQ115*BQ18</f>
        <v>46.064401911764712</v>
      </c>
      <c r="BR25" s="739">
        <f>BR115*BR18</f>
        <v>47.239563521126755</v>
      </c>
      <c r="BS25" s="739">
        <f>+M25-SUM(BP25:BR25)</f>
        <v>47.895181772555588</v>
      </c>
      <c r="BT25" s="254">
        <f t="shared" si="39"/>
        <v>0</v>
      </c>
      <c r="BU25" s="739">
        <f>BU115*BU18</f>
        <v>45.905279878004286</v>
      </c>
      <c r="BV25" s="739">
        <f>BV115*BV18</f>
        <v>46.311638053518905</v>
      </c>
      <c r="BW25" s="739">
        <f>BW115*BW18</f>
        <v>47.590775514461761</v>
      </c>
      <c r="BX25" s="739">
        <f>+N25-SUM(BU25:BW25)</f>
        <v>45.226053313064142</v>
      </c>
      <c r="BY25" s="254">
        <f t="shared" si="40"/>
        <v>0</v>
      </c>
      <c r="BZ25" s="739">
        <f>BZ115*BZ18</f>
        <v>45.664739756480685</v>
      </c>
      <c r="CA25" s="739">
        <f>CA115*CA18</f>
        <v>45.616184594437513</v>
      </c>
      <c r="CB25" s="739">
        <f>CB115*CB18</f>
        <v>42.779224723480638</v>
      </c>
      <c r="CC25" s="126">
        <f>+O25-CB25-CA25-BZ25</f>
        <v>41.614593691999332</v>
      </c>
      <c r="CD25" s="83"/>
      <c r="CE25" s="739">
        <f>CE115*CE18</f>
        <v>39.200000000000003</v>
      </c>
      <c r="CF25" s="739">
        <f>CF115*CF18</f>
        <v>38.4</v>
      </c>
      <c r="CG25" s="739">
        <f>CG115*CG18</f>
        <v>40</v>
      </c>
      <c r="CH25" s="126">
        <f>+P25-SUM(CE25:CG25)</f>
        <v>44</v>
      </c>
      <c r="CI25" s="83">
        <f t="shared" si="41"/>
        <v>0</v>
      </c>
      <c r="CJ25" s="739">
        <f>CJ115*CJ18</f>
        <v>39.800000000000004</v>
      </c>
      <c r="CK25" s="739">
        <f>CK115*CK18</f>
        <v>41.774079999999998</v>
      </c>
      <c r="CL25" s="739">
        <f>CL115*CL18</f>
        <v>42.450719800000009</v>
      </c>
      <c r="CM25" s="752">
        <f>Q25-SUM(CJ25:CL25)</f>
        <v>43.054804200000007</v>
      </c>
      <c r="CN25" s="254">
        <f t="shared" si="42"/>
        <v>0</v>
      </c>
      <c r="CO25" s="739">
        <f>CO115*CO18</f>
        <v>41.79</v>
      </c>
      <c r="CP25" s="739">
        <f>CP115*CP18</f>
        <v>46.369228800000002</v>
      </c>
      <c r="CQ25" s="665">
        <f>CQ115*CQ18</f>
        <v>44.997762988000012</v>
      </c>
      <c r="CR25" s="752">
        <f>R25-SUM(CO25:CQ25)</f>
        <v>46.929736578000046</v>
      </c>
      <c r="CS25" s="42">
        <f t="shared" si="20"/>
        <v>0</v>
      </c>
      <c r="CT25" s="739">
        <f>CT115*CT18</f>
        <v>43.824375000000003</v>
      </c>
      <c r="CU25" s="739">
        <f>CU115*CU18</f>
        <v>47.403216</v>
      </c>
      <c r="CV25" s="665">
        <f>CV115*CV18</f>
        <v>46.00116787875001</v>
      </c>
      <c r="CW25" s="752">
        <f>S25-SUM(CT25:CV25)</f>
        <v>48.080484609864044</v>
      </c>
      <c r="CX25" s="42">
        <f t="shared" si="21"/>
        <v>0</v>
      </c>
      <c r="CY25" s="739">
        <f>CY115*CY18</f>
        <v>45.064687500000005</v>
      </c>
      <c r="CZ25" s="739">
        <f>CZ115*CZ18</f>
        <v>41.959491839999998</v>
      </c>
      <c r="DA25" s="665">
        <f>DA115*DA18</f>
        <v>40.510705906125011</v>
      </c>
      <c r="DB25" s="752">
        <f>T25-SUM(CY25:DA25)</f>
        <v>39.164200640774993</v>
      </c>
      <c r="DC25" s="42">
        <f t="shared" si="22"/>
        <v>0</v>
      </c>
      <c r="DD25" s="739">
        <f>DD115*DD18</f>
        <v>48.444539062500006</v>
      </c>
      <c r="DE25" s="739">
        <f>DE115*DE18</f>
        <v>43.805709480960004</v>
      </c>
      <c r="DF25" s="665">
        <f>DF115*DF18</f>
        <v>46.095396077469388</v>
      </c>
      <c r="DG25" s="764">
        <f>U25-SUM(DD25:DF25)</f>
        <v>50.771531455685619</v>
      </c>
      <c r="DH25" s="6"/>
    </row>
    <row r="26" spans="1:144">
      <c r="A26" s="576" t="s">
        <v>770</v>
      </c>
      <c r="B26" s="1030">
        <f>Showtime!B3</f>
        <v>0</v>
      </c>
      <c r="C26" s="1031">
        <f t="shared" ref="C26:L26" si="47">C27-SUM(C23:C25)</f>
        <v>238.43520000000001</v>
      </c>
      <c r="D26" s="1031">
        <f t="shared" si="47"/>
        <v>251.62859999999995</v>
      </c>
      <c r="E26" s="1031">
        <f t="shared" si="47"/>
        <v>259.13637265728732</v>
      </c>
      <c r="F26" s="1031">
        <f t="shared" si="47"/>
        <v>280.85845527326575</v>
      </c>
      <c r="G26" s="1031">
        <f t="shared" si="47"/>
        <v>269.99324068675094</v>
      </c>
      <c r="H26" s="1031">
        <f t="shared" si="47"/>
        <v>248.77062222222219</v>
      </c>
      <c r="I26" s="1031">
        <f t="shared" si="47"/>
        <v>281.25079523809524</v>
      </c>
      <c r="J26" s="1031">
        <f t="shared" si="47"/>
        <v>194.61360249999996</v>
      </c>
      <c r="K26" s="1031">
        <f t="shared" si="47"/>
        <v>163.35713468749998</v>
      </c>
      <c r="L26" s="1031">
        <f t="shared" si="47"/>
        <v>154.77871832812502</v>
      </c>
      <c r="M26" s="1032">
        <v>150</v>
      </c>
      <c r="N26" s="1032">
        <v>150</v>
      </c>
      <c r="O26" s="1032">
        <v>150</v>
      </c>
      <c r="P26" s="1031">
        <f>P27-SUM(P23:P25)</f>
        <v>88.158592682020981</v>
      </c>
      <c r="Q26" s="1032">
        <f>+P26*1.02</f>
        <v>89.921764535661396</v>
      </c>
      <c r="R26" s="1320">
        <f t="shared" ref="R26:AA26" ca="1" si="48">-(R28-R18+SUM(R23:R25))</f>
        <v>81.204958026374698</v>
      </c>
      <c r="S26" s="1320">
        <f t="shared" ca="1" si="48"/>
        <v>79.51541016637475</v>
      </c>
      <c r="T26" s="1320">
        <f t="shared" si="48"/>
        <v>104.89000089045066</v>
      </c>
      <c r="U26" s="1320">
        <f t="shared" si="48"/>
        <v>101.70019998436669</v>
      </c>
      <c r="V26" s="1320">
        <f t="shared" si="48"/>
        <v>92.268228133904131</v>
      </c>
      <c r="W26" s="1320">
        <f t="shared" si="48"/>
        <v>79.11710999278273</v>
      </c>
      <c r="X26" s="1320">
        <f t="shared" si="48"/>
        <v>90.599591265843515</v>
      </c>
      <c r="Y26" s="1320">
        <f t="shared" si="48"/>
        <v>152.50176140150052</v>
      </c>
      <c r="Z26" s="1320">
        <f t="shared" si="48"/>
        <v>159.94714225299413</v>
      </c>
      <c r="AA26" s="1320">
        <f t="shared" si="48"/>
        <v>120.19027024633101</v>
      </c>
      <c r="AB26" s="2653">
        <f>-(AB28-AB18+SUM(AB23:AB25))</f>
        <v>144.16690085736673</v>
      </c>
      <c r="AC26" s="3255">
        <f>-(AC28-AC18+SUM(AC23:AC25))</f>
        <v>99.48333952855296</v>
      </c>
      <c r="AD26" s="3255">
        <f>-(AD28-AD18+SUM(AD23:AD25))</f>
        <v>99.709341585923312</v>
      </c>
      <c r="AE26" s="2654">
        <f>+AD26*1.025</f>
        <v>102.20207512557138</v>
      </c>
      <c r="AF26" s="2654">
        <f>+AE26*1.025</f>
        <v>104.75712700371066</v>
      </c>
      <c r="AG26" s="2654">
        <f>+AF26*1.025</f>
        <v>107.37605517880343</v>
      </c>
      <c r="AH26" s="2654">
        <f>+AG26*1.024</f>
        <v>109.95308050309471</v>
      </c>
      <c r="AI26" s="2654">
        <f>+AH26*1.023</f>
        <v>112.48200135466588</v>
      </c>
      <c r="AJ26" s="2654">
        <f>+AI26*1.022</f>
        <v>114.95660538446853</v>
      </c>
      <c r="AK26" s="2654">
        <f>+AJ26*1.021</f>
        <v>117.37069409754235</v>
      </c>
      <c r="AL26" s="2654">
        <f>+AK26*1.02</f>
        <v>119.7181079794932</v>
      </c>
      <c r="AM26" s="2654">
        <f>+AL26*1.02</f>
        <v>122.11247013908306</v>
      </c>
      <c r="AN26" s="2654">
        <f>+AM26*1.02</f>
        <v>124.55471954186473</v>
      </c>
      <c r="AO26" s="122"/>
      <c r="AP26" s="1222"/>
      <c r="AQ26" s="1222"/>
      <c r="AR26" s="1222"/>
      <c r="AS26" s="1222"/>
      <c r="AT26" s="1222"/>
      <c r="AU26" s="219"/>
      <c r="AV26" s="221">
        <f>+AV27-SUM(AV23:AV25)</f>
        <v>79.015600000000006</v>
      </c>
      <c r="AW26" s="221">
        <f>+AW27-SUM(AW23:AW25)</f>
        <v>71.450800000000001</v>
      </c>
      <c r="AX26" s="221">
        <f>+AX27-SUM(AX23:AX25)</f>
        <v>74.918199999999999</v>
      </c>
      <c r="AY26" s="221">
        <f>+AY27-SUM(AY23:AY25)</f>
        <v>55.866195238095202</v>
      </c>
      <c r="AZ26" s="221"/>
      <c r="BA26" s="221">
        <f>+BA27-SUM(BA23:BA25)</f>
        <v>86.962400000000002</v>
      </c>
      <c r="BB26" s="221">
        <f>+BB27-SUM(BB23:BB25)</f>
        <v>76.380799999999979</v>
      </c>
      <c r="BC26" s="221">
        <f>+BC27-SUM(BC23:BC25)</f>
        <v>74.812799999999982</v>
      </c>
      <c r="BD26" s="221">
        <f>+J26-BC26-BB26-BA26</f>
        <v>-43.542397500000007</v>
      </c>
      <c r="BE26" s="753"/>
      <c r="BF26" s="748">
        <f>+BF27-SUM(BF23:BF25)</f>
        <v>76.665999999999997</v>
      </c>
      <c r="BG26" s="748">
        <f>+BG27-SUM(BG23:BG25)</f>
        <v>74.423000000000002</v>
      </c>
      <c r="BH26" s="748">
        <f>+BH27-SUM(BH23:BH25)</f>
        <v>71.158000000000001</v>
      </c>
      <c r="BI26" s="748">
        <f>+K26-BH26-BG26-BF26</f>
        <v>-58.889865312500021</v>
      </c>
      <c r="BJ26" s="753"/>
      <c r="BK26" s="748">
        <f>+BK27-SUM(BK23:BK25)</f>
        <v>39.793281755566056</v>
      </c>
      <c r="BL26" s="748">
        <f>+BL27-SUM(BL23:BL25)</f>
        <v>43.802181884859209</v>
      </c>
      <c r="BM26" s="748">
        <f>+BM27-SUM(BM23:BM25)</f>
        <v>46.705559866476136</v>
      </c>
      <c r="BN26" s="748">
        <f>+L26-BM26-BL26-BK26</f>
        <v>24.477694821223622</v>
      </c>
      <c r="BO26" s="221"/>
      <c r="BP26" s="219">
        <v>40</v>
      </c>
      <c r="BQ26" s="219">
        <v>40</v>
      </c>
      <c r="BR26" s="219">
        <v>35</v>
      </c>
      <c r="BS26" s="754">
        <f>+M26-SUM(BP26:BR26)</f>
        <v>35</v>
      </c>
      <c r="BT26" s="254">
        <f t="shared" si="39"/>
        <v>0</v>
      </c>
      <c r="BU26" s="219">
        <v>44</v>
      </c>
      <c r="BV26" s="219">
        <v>44</v>
      </c>
      <c r="BW26" s="219">
        <v>39</v>
      </c>
      <c r="BX26" s="754">
        <f>+N26-SUM(BU26:BW26)</f>
        <v>23</v>
      </c>
      <c r="BY26" s="254">
        <f t="shared" si="40"/>
        <v>0</v>
      </c>
      <c r="BZ26" s="754">
        <v>42</v>
      </c>
      <c r="CA26" s="754">
        <v>40</v>
      </c>
      <c r="CB26" s="754">
        <v>40</v>
      </c>
      <c r="CC26" s="754">
        <f>+O26-CB26-CA26-BZ26</f>
        <v>28</v>
      </c>
      <c r="CD26" s="83"/>
      <c r="CE26" s="766">
        <f>CE27-SUM(CE23:CE25)</f>
        <v>29.673441013861378</v>
      </c>
      <c r="CF26" s="766">
        <f>CF27-SUM(CF23:CF25)</f>
        <v>27.639289156435638</v>
      </c>
      <c r="CG26" s="766">
        <f>CG27-SUM(CG23:CG25)</f>
        <v>11.707592871287119</v>
      </c>
      <c r="CH26" s="1065">
        <f>+P26-SUM(CE26:CG26)</f>
        <v>19.138269640436846</v>
      </c>
      <c r="CI26" s="83">
        <f t="shared" si="41"/>
        <v>0</v>
      </c>
      <c r="CJ26" s="766">
        <f>CJ27-SUM(CJ23:CJ25)</f>
        <v>23.712257705235601</v>
      </c>
      <c r="CK26" s="766">
        <f>CK27-SUM(CK23:CK25)</f>
        <v>28.459585687415284</v>
      </c>
      <c r="CL26" s="1063">
        <v>22</v>
      </c>
      <c r="CM26" s="1064">
        <f>Q26-SUM(CJ26:CL26)</f>
        <v>15.749921143010511</v>
      </c>
      <c r="CN26" s="254">
        <f t="shared" si="42"/>
        <v>0</v>
      </c>
      <c r="CO26" s="766">
        <f>CO27-SUM(CO23:CO25)</f>
        <v>19.741776541416641</v>
      </c>
      <c r="CP26" s="766">
        <f>CP27-SUM(CP23:CP25)</f>
        <v>23.794578295463538</v>
      </c>
      <c r="CQ26" s="1062">
        <f>CQ27-SUM(CQ23:CQ25)</f>
        <v>15.783793178002526</v>
      </c>
      <c r="CR26" s="766">
        <f ca="1">R26-SUM(CO26:CQ26)</f>
        <v>21.884810011491993</v>
      </c>
      <c r="CS26" s="42">
        <f t="shared" ca="1" si="20"/>
        <v>0</v>
      </c>
      <c r="CT26" s="766">
        <v>23.5</v>
      </c>
      <c r="CU26" s="766">
        <v>25</v>
      </c>
      <c r="CV26" s="766">
        <v>20</v>
      </c>
      <c r="CW26" s="755">
        <f ca="1">S26-SUM(CT26:CV26)</f>
        <v>11.01541016637475</v>
      </c>
      <c r="CX26" s="42">
        <f t="shared" ca="1" si="21"/>
        <v>0</v>
      </c>
      <c r="CY26" s="766">
        <v>20</v>
      </c>
      <c r="CZ26" s="766">
        <v>25</v>
      </c>
      <c r="DA26" s="766">
        <v>18</v>
      </c>
      <c r="DB26" s="755">
        <f>T26-SUM(CY26:DA26)</f>
        <v>41.890000890450665</v>
      </c>
      <c r="DC26" s="42">
        <f t="shared" si="22"/>
        <v>0</v>
      </c>
      <c r="DD26" s="1065">
        <f>$U$26/4</f>
        <v>25.425049996091673</v>
      </c>
      <c r="DE26" s="1065">
        <f>$U$26/4</f>
        <v>25.425049996091673</v>
      </c>
      <c r="DF26" s="1065">
        <f>$U$26/4</f>
        <v>25.425049996091673</v>
      </c>
      <c r="DG26" s="1065">
        <f>$U$26/4</f>
        <v>25.425049996091673</v>
      </c>
      <c r="DH26" s="6"/>
    </row>
    <row r="27" spans="1:144">
      <c r="A27" s="556" t="s">
        <v>750</v>
      </c>
      <c r="B27" s="48">
        <f t="shared" ref="B27:L27" si="49">B18-B28</f>
        <v>456.12699999999995</v>
      </c>
      <c r="C27" s="48">
        <f t="shared" si="49"/>
        <v>462.73800000000006</v>
      </c>
      <c r="D27" s="48">
        <f t="shared" si="49"/>
        <v>481.80099999999993</v>
      </c>
      <c r="E27" s="48">
        <f t="shared" si="49"/>
        <v>499.16599999999994</v>
      </c>
      <c r="F27" s="48">
        <f t="shared" si="49"/>
        <v>536.6</v>
      </c>
      <c r="G27" s="48">
        <f t="shared" si="49"/>
        <v>546.20000000000005</v>
      </c>
      <c r="H27" s="48">
        <f t="shared" si="49"/>
        <v>609.61400000000003</v>
      </c>
      <c r="I27" s="48">
        <f t="shared" si="49"/>
        <v>619.1</v>
      </c>
      <c r="J27" s="48">
        <f t="shared" si="49"/>
        <v>628.29999999999995</v>
      </c>
      <c r="K27" s="48">
        <f t="shared" si="49"/>
        <v>660.6</v>
      </c>
      <c r="L27" s="48">
        <f t="shared" si="49"/>
        <v>710</v>
      </c>
      <c r="M27" s="48">
        <f>SUM(M23:M26)</f>
        <v>745.50588607524332</v>
      </c>
      <c r="N27" s="48">
        <f>SUM(N23:N26)</f>
        <v>747.08819625740853</v>
      </c>
      <c r="O27" s="48">
        <f>SUM(O23:O26)</f>
        <v>757.43582680970519</v>
      </c>
      <c r="P27" s="72">
        <f>P18-P28</f>
        <v>704</v>
      </c>
      <c r="Q27" s="48">
        <f t="shared" ref="Q27:AF27" si="50">SUM(Q23:Q26)</f>
        <v>737.61862093423656</v>
      </c>
      <c r="R27" s="48">
        <f t="shared" ca="1" si="50"/>
        <v>798.80600175974996</v>
      </c>
      <c r="S27" s="48">
        <f t="shared" ca="1" si="50"/>
        <v>834.09656332609461</v>
      </c>
      <c r="T27" s="48">
        <f t="shared" si="50"/>
        <v>819.65581725124991</v>
      </c>
      <c r="U27" s="48">
        <f t="shared" si="50"/>
        <v>824.84263342931104</v>
      </c>
      <c r="V27" s="48">
        <f t="shared" si="50"/>
        <v>838.95850472956874</v>
      </c>
      <c r="W27" s="48">
        <f t="shared" si="50"/>
        <v>842.19827358745022</v>
      </c>
      <c r="X27" s="49">
        <f t="shared" si="50"/>
        <v>886.73405939622819</v>
      </c>
      <c r="Y27" s="49">
        <f>SUM(Y23:Y26)</f>
        <v>1093.7866785920378</v>
      </c>
      <c r="Z27" s="49">
        <f>SUM(Z23:Z26)</f>
        <v>1098.4506633356468</v>
      </c>
      <c r="AA27" s="1366">
        <f>SUM(AA23:AA26)</f>
        <v>1189.4907580583103</v>
      </c>
      <c r="AB27" s="1366">
        <f>SUM(AB23:AB26)</f>
        <v>1089.344251302867</v>
      </c>
      <c r="AC27" s="1366">
        <f t="shared" si="50"/>
        <v>1349.284829789653</v>
      </c>
      <c r="AD27" s="1366">
        <f t="shared" si="50"/>
        <v>1151.7437014517618</v>
      </c>
      <c r="AE27" s="1366">
        <f t="shared" si="50"/>
        <v>1204.068964906819</v>
      </c>
      <c r="AF27" s="1366">
        <f t="shared" si="50"/>
        <v>1256.0486725858098</v>
      </c>
      <c r="AG27" s="1366">
        <f t="shared" ref="AG27:AL27" si="51">SUM(AG23:AG26)</f>
        <v>1309.3456292821659</v>
      </c>
      <c r="AH27" s="1366">
        <f t="shared" si="51"/>
        <v>1364.3825553715333</v>
      </c>
      <c r="AI27" s="1366">
        <f t="shared" si="51"/>
        <v>1419.8238085930195</v>
      </c>
      <c r="AJ27" s="1366">
        <f t="shared" si="51"/>
        <v>1477.2001410253242</v>
      </c>
      <c r="AK27" s="1366">
        <f t="shared" si="51"/>
        <v>1534.8357748527355</v>
      </c>
      <c r="AL27" s="1366">
        <f t="shared" si="51"/>
        <v>1594.3189359106682</v>
      </c>
      <c r="AM27" s="1366">
        <f>SUM(AM23:AM26)</f>
        <v>1655.7856773986139</v>
      </c>
      <c r="AN27" s="1366">
        <f>SUM(AN23:AN26)</f>
        <v>1719.2565309331405</v>
      </c>
      <c r="AO27" s="122"/>
      <c r="AP27" s="48"/>
      <c r="AQ27" s="48"/>
      <c r="AR27" s="48"/>
      <c r="AS27" s="48"/>
      <c r="AT27" s="48"/>
      <c r="AU27" s="48"/>
      <c r="AV27" s="48">
        <f>AV18-AV28</f>
        <v>154.4</v>
      </c>
      <c r="AW27" s="48">
        <f>AW18-AW28</f>
        <v>146.1</v>
      </c>
      <c r="AX27" s="48">
        <f>AX18-AX28</f>
        <v>151.30000000000001</v>
      </c>
      <c r="AY27" s="48">
        <f>AY18-AY28</f>
        <v>167.29999999999998</v>
      </c>
      <c r="AZ27" s="48"/>
      <c r="BA27" s="48">
        <f>BA18-BA28</f>
        <v>165.1</v>
      </c>
      <c r="BB27" s="48">
        <f>BB18-BB28</f>
        <v>152.79999999999998</v>
      </c>
      <c r="BC27" s="48">
        <f>BC18-BC28</f>
        <v>150.39999999999998</v>
      </c>
      <c r="BD27" s="48">
        <f>SUM(BD23:BD26)</f>
        <v>160</v>
      </c>
      <c r="BE27" s="126"/>
      <c r="BF27" s="72">
        <f>BF18-BF28</f>
        <v>165.3</v>
      </c>
      <c r="BG27" s="72">
        <f>BG18-BG28</f>
        <v>166.4</v>
      </c>
      <c r="BH27" s="72">
        <f>BH18-BH28</f>
        <v>164.5</v>
      </c>
      <c r="BI27" s="72">
        <f>SUM(BI23:BI26)</f>
        <v>164.40000000000003</v>
      </c>
      <c r="BJ27" s="126"/>
      <c r="BK27" s="72">
        <f>BK18-BK28</f>
        <v>172.2</v>
      </c>
      <c r="BL27" s="72">
        <f>BL18-BL28</f>
        <v>176.4</v>
      </c>
      <c r="BM27" s="72">
        <f>BM18-BM28</f>
        <v>186.3</v>
      </c>
      <c r="BN27" s="72">
        <f>SUM(BN23:BN26)</f>
        <v>175.10000000000011</v>
      </c>
      <c r="BO27" s="126"/>
      <c r="BP27" s="126">
        <f>SUM(BP23:BP26)</f>
        <v>190.70110359157874</v>
      </c>
      <c r="BQ27" s="126">
        <f>SUM(BQ23:BQ26)</f>
        <v>191.4993826804095</v>
      </c>
      <c r="BR27" s="126">
        <f>SUM(BR23:BR26)</f>
        <v>188.27240052088467</v>
      </c>
      <c r="BS27" s="126">
        <f>SUM(BS23:BS26)</f>
        <v>175.03299928237033</v>
      </c>
      <c r="BT27" s="254">
        <f t="shared" si="39"/>
        <v>0</v>
      </c>
      <c r="BU27" s="126">
        <f>SUM(BU23:BU26)</f>
        <v>201.35945674021983</v>
      </c>
      <c r="BV27" s="126">
        <f>SUM(BV23:BV26)</f>
        <v>201.99113786107853</v>
      </c>
      <c r="BW27" s="126">
        <f>SUM(BW23:BW26)</f>
        <v>198.97954866156869</v>
      </c>
      <c r="BX27" s="126">
        <f>SUM(BX23:BX26)</f>
        <v>144.75805299454146</v>
      </c>
      <c r="BY27" s="254">
        <f t="shared" si="40"/>
        <v>0</v>
      </c>
      <c r="BZ27" s="126">
        <f>SUM(BZ23:BZ26)</f>
        <v>198.33457963689267</v>
      </c>
      <c r="CA27" s="126">
        <f>SUM(CA23:CA26)</f>
        <v>195.63168861631621</v>
      </c>
      <c r="CB27" s="126">
        <f>SUM(CB23:CB26)</f>
        <v>185.95264905658098</v>
      </c>
      <c r="CC27" s="126">
        <f>SUM(CC23:CC26)</f>
        <v>177.51690949991536</v>
      </c>
      <c r="CD27" s="6"/>
      <c r="CE27" s="72">
        <f>CE18-CE28</f>
        <v>175</v>
      </c>
      <c r="CF27" s="72">
        <f>CF18-CF28</f>
        <v>170</v>
      </c>
      <c r="CG27" s="72">
        <f>CG18-CG28</f>
        <v>160</v>
      </c>
      <c r="CH27" s="72">
        <f>CH18-CH28</f>
        <v>199</v>
      </c>
      <c r="CI27" s="83">
        <f t="shared" si="41"/>
        <v>0</v>
      </c>
      <c r="CJ27" s="72">
        <f>CJ18-CJ28</f>
        <v>178</v>
      </c>
      <c r="CK27" s="72">
        <f>CK18-CK28</f>
        <v>190.39999999999998</v>
      </c>
      <c r="CL27" s="126">
        <f>SUM(CL23:CL26)</f>
        <v>186.56346021933803</v>
      </c>
      <c r="CM27" s="126">
        <f>SUM(CM23:CM26)</f>
        <v>182.65516071489844</v>
      </c>
      <c r="CN27" s="254">
        <f t="shared" si="42"/>
        <v>0</v>
      </c>
      <c r="CO27" s="72">
        <f>CO18-CO28</f>
        <v>190.5</v>
      </c>
      <c r="CP27" s="72">
        <f>CP18-CP28</f>
        <v>213.26400000000001</v>
      </c>
      <c r="CQ27" s="73">
        <f>CQ18-CQ28</f>
        <v>199.64926500000007</v>
      </c>
      <c r="CR27" s="126">
        <f ca="1">SUM(CR23:CR26)</f>
        <v>195.39273675974985</v>
      </c>
      <c r="CS27" s="42">
        <f t="shared" ca="1" si="20"/>
        <v>0</v>
      </c>
      <c r="CT27" s="126">
        <f>SUM(CT23:CT26)</f>
        <v>200.175625</v>
      </c>
      <c r="CU27" s="126">
        <f>SUM(CU23:CU26)</f>
        <v>220.11775360000001</v>
      </c>
      <c r="CV27" s="126">
        <f>SUM(CV23:CV26)</f>
        <v>206.37892534100004</v>
      </c>
      <c r="CW27" s="126">
        <f ca="1">SUM(CW23:CW26)</f>
        <v>207.42425938509459</v>
      </c>
      <c r="CX27" s="42">
        <f t="shared" ca="1" si="21"/>
        <v>0</v>
      </c>
      <c r="CY27" s="126">
        <f>SUM(CY23:CY26)</f>
        <v>204.76521875000003</v>
      </c>
      <c r="CZ27" s="126">
        <f>SUM(CZ23:CZ26)</f>
        <v>203.32784032000001</v>
      </c>
      <c r="DA27" s="126">
        <f>SUM(DA23:DA26)</f>
        <v>188.72368917581252</v>
      </c>
      <c r="DB27" s="126">
        <f>SUM(DB23:DB26)</f>
        <v>222.83906900543741</v>
      </c>
      <c r="DC27" s="42">
        <f t="shared" si="22"/>
        <v>0</v>
      </c>
      <c r="DD27" s="126">
        <f>SUM(DD23:DD26)</f>
        <v>228.89211405859172</v>
      </c>
      <c r="DE27" s="126">
        <f>SUM(DE23:DE26)</f>
        <v>216.29278416313167</v>
      </c>
      <c r="DF27" s="126">
        <f>SUM(DF23:DF26)</f>
        <v>188.29544946981684</v>
      </c>
      <c r="DG27" s="126">
        <f>SUM(DG23:DG26)</f>
        <v>191.3622857377708</v>
      </c>
      <c r="DH27" s="42">
        <f>U27-SUM(DD27:DG27)</f>
        <v>0</v>
      </c>
    </row>
    <row r="28" spans="1:144">
      <c r="A28" s="36" t="s">
        <v>745</v>
      </c>
      <c r="B28" s="122">
        <v>38.073000000000022</v>
      </c>
      <c r="C28" s="122">
        <v>48.018999999999977</v>
      </c>
      <c r="D28" s="122">
        <v>43.63</v>
      </c>
      <c r="E28" s="122">
        <v>44.134000000000015</v>
      </c>
      <c r="F28" s="122">
        <v>52.6</v>
      </c>
      <c r="G28" s="122">
        <v>75.900000000000006</v>
      </c>
      <c r="H28" s="756">
        <v>90.086000000000013</v>
      </c>
      <c r="I28" s="756">
        <v>105</v>
      </c>
      <c r="J28" s="756">
        <v>120.6</v>
      </c>
      <c r="K28" s="122">
        <v>138</v>
      </c>
      <c r="L28" s="122">
        <v>166.4</v>
      </c>
      <c r="M28" s="739">
        <f>M18-M27</f>
        <v>237.30699451814201</v>
      </c>
      <c r="N28" s="739">
        <f>N18-N27</f>
        <v>280.87706351508655</v>
      </c>
      <c r="O28" s="739">
        <f>O18-O27</f>
        <v>275.94501299263686</v>
      </c>
      <c r="P28" s="739">
        <f>SUM(CE28:CH28)</f>
        <v>306</v>
      </c>
      <c r="Q28" s="225">
        <f>'Segment Detail'!AB143</f>
        <v>311.87637906576356</v>
      </c>
      <c r="R28" s="225">
        <f ca="1">'Segment Detail'!AC143</f>
        <v>332.3920407402502</v>
      </c>
      <c r="S28" s="225">
        <f ca="1">'Segment Detail'!AD143</f>
        <v>353.66138129890555</v>
      </c>
      <c r="T28" s="225">
        <f>'Segment Detail'!AE143</f>
        <v>371.05193908374997</v>
      </c>
      <c r="U28" s="225">
        <f>'Segment Detail'!AF143</f>
        <v>435.93854041478903</v>
      </c>
      <c r="V28" s="225">
        <f>'Segment Detail'!AG143</f>
        <v>536.37806949366825</v>
      </c>
      <c r="W28" s="225">
        <f>'Segment Detail'!AH143</f>
        <v>664.83073210691521</v>
      </c>
      <c r="X28" s="225">
        <f>'Segment Detail'!AI143</f>
        <v>759.39146500415848</v>
      </c>
      <c r="Y28" s="225">
        <f>'Segment Detail'!AJ143</f>
        <v>839.7513540255726</v>
      </c>
      <c r="Z28" s="225">
        <f>'Segment Detail'!AK143</f>
        <v>933.71123547800812</v>
      </c>
      <c r="AA28" s="2011">
        <f>'Segment Detail'!AL143</f>
        <v>902.40401646799592</v>
      </c>
      <c r="AB28" s="3349">
        <f>'Segment Detail'!AM143</f>
        <v>914.29121660199439</v>
      </c>
      <c r="AC28" s="3349">
        <f>'Segment Detail'!AN143</f>
        <v>972.51282925591249</v>
      </c>
      <c r="AD28" s="3349">
        <f>'Segment Detail'!AO143</f>
        <v>1001.9196211928344</v>
      </c>
      <c r="AE28" s="3254">
        <f>AE18-AE27</f>
        <v>1060.6482726733029</v>
      </c>
      <c r="AF28" s="3254">
        <f>AF18-AF27</f>
        <v>1117.2387471653763</v>
      </c>
      <c r="AG28" s="3254">
        <f t="shared" ref="AG28:AL28" si="52">AG18-AG27</f>
        <v>1175.0979688890391</v>
      </c>
      <c r="AH28" s="3254">
        <f t="shared" si="52"/>
        <v>1230.6076462560195</v>
      </c>
      <c r="AI28" s="3254">
        <f t="shared" si="52"/>
        <v>1281.3221103570825</v>
      </c>
      <c r="AJ28" s="3254">
        <f t="shared" si="52"/>
        <v>1325.2138820296118</v>
      </c>
      <c r="AK28" s="3254">
        <f t="shared" si="52"/>
        <v>1367.8703423825473</v>
      </c>
      <c r="AL28" s="3254">
        <f t="shared" si="52"/>
        <v>1410.2582859035629</v>
      </c>
      <c r="AM28" s="3254">
        <f>AM18-AM27</f>
        <v>1452.116377889485</v>
      </c>
      <c r="AN28" s="3254">
        <f>AN18-AN27</f>
        <v>1493.2896656298951</v>
      </c>
      <c r="AO28" s="122"/>
      <c r="AP28" s="739"/>
      <c r="AQ28" s="739"/>
      <c r="AR28" s="739"/>
      <c r="AS28" s="739"/>
      <c r="AT28" s="739"/>
      <c r="AU28" s="739"/>
      <c r="AV28" s="122">
        <v>18.5</v>
      </c>
      <c r="AW28" s="122">
        <v>27.1</v>
      </c>
      <c r="AX28" s="122">
        <v>28</v>
      </c>
      <c r="AY28" s="122">
        <v>31.4</v>
      </c>
      <c r="AZ28" s="122"/>
      <c r="BA28" s="122">
        <v>20.5</v>
      </c>
      <c r="BB28" s="122">
        <v>30.9</v>
      </c>
      <c r="BC28" s="122">
        <v>31.3</v>
      </c>
      <c r="BD28" s="122">
        <f>+BD18-BD27</f>
        <v>37.900000000000006</v>
      </c>
      <c r="BE28" s="126"/>
      <c r="BF28" s="122">
        <v>29.5</v>
      </c>
      <c r="BG28" s="122">
        <v>31.4</v>
      </c>
      <c r="BH28" s="122">
        <v>34.1</v>
      </c>
      <c r="BI28" s="122">
        <f>+K28-BH28-BG28-BF28</f>
        <v>43</v>
      </c>
      <c r="BJ28" s="145"/>
      <c r="BK28" s="619">
        <v>36.799999999999997</v>
      </c>
      <c r="BL28" s="619">
        <v>36.6</v>
      </c>
      <c r="BM28" s="619">
        <v>41.6</v>
      </c>
      <c r="BN28" s="462">
        <f>+BN18-BN27</f>
        <v>51.399999999999892</v>
      </c>
      <c r="BO28" s="462"/>
      <c r="BP28" s="462">
        <f>+BP18-BP27</f>
        <v>48.958370657348325</v>
      </c>
      <c r="BQ28" s="462">
        <f>+BQ18-BQ27</f>
        <v>50.944837907825843</v>
      </c>
      <c r="BR28" s="462">
        <f>+BR18-BR27</f>
        <v>60.356881169256155</v>
      </c>
      <c r="BS28" s="462">
        <f>+BS18-BS27</f>
        <v>77.046904783711796</v>
      </c>
      <c r="BT28" s="254">
        <f t="shared" si="39"/>
        <v>0</v>
      </c>
      <c r="BU28" s="462">
        <f>+BU18-BU27</f>
        <v>53.669875915359569</v>
      </c>
      <c r="BV28" s="462">
        <f>+BV18-BV27</f>
        <v>55.295740214026523</v>
      </c>
      <c r="BW28" s="462">
        <f>+BW18-BW27</f>
        <v>65.413648640996655</v>
      </c>
      <c r="BX28" s="462">
        <f>+BX18-BX27</f>
        <v>106.4977987447038</v>
      </c>
      <c r="BY28" s="254">
        <f t="shared" si="40"/>
        <v>0</v>
      </c>
      <c r="BZ28" s="126">
        <f>+BZ18-BZ27</f>
        <v>70.281536577699569</v>
      </c>
      <c r="CA28" s="126">
        <f>+CA18-CA27</f>
        <v>72.698808998022088</v>
      </c>
      <c r="CB28" s="126">
        <f>+CB18-CB27</f>
        <v>65.689849316834511</v>
      </c>
      <c r="CC28" s="126">
        <f>+CC18-CC27</f>
        <v>67.274818100080665</v>
      </c>
      <c r="CD28" s="6"/>
      <c r="CE28" s="740">
        <v>70</v>
      </c>
      <c r="CF28" s="740">
        <v>70</v>
      </c>
      <c r="CG28" s="740">
        <v>90</v>
      </c>
      <c r="CH28" s="740">
        <v>76</v>
      </c>
      <c r="CI28" s="83">
        <f t="shared" si="41"/>
        <v>0</v>
      </c>
      <c r="CJ28" s="740">
        <v>72</v>
      </c>
      <c r="CK28" s="740">
        <v>72</v>
      </c>
      <c r="CL28" s="126">
        <f>+CL18-CL27</f>
        <v>80.086789780662002</v>
      </c>
      <c r="CM28" s="126">
        <f>+CM18-CM27</f>
        <v>87.789589285101556</v>
      </c>
      <c r="CN28" s="254">
        <f t="shared" si="42"/>
        <v>0</v>
      </c>
      <c r="CO28" s="740">
        <v>72</v>
      </c>
      <c r="CP28" s="78">
        <v>78</v>
      </c>
      <c r="CQ28" s="757">
        <v>83</v>
      </c>
      <c r="CR28" s="126">
        <f ca="1">+CR18-CR27</f>
        <v>99.392040740250167</v>
      </c>
      <c r="CS28" s="42">
        <f t="shared" ca="1" si="20"/>
        <v>0</v>
      </c>
      <c r="CT28" s="126">
        <f>+CT18-CT27</f>
        <v>75.449375000000003</v>
      </c>
      <c r="CU28" s="126">
        <f>+CU18-CU27</f>
        <v>85.70944639999999</v>
      </c>
      <c r="CV28" s="126">
        <f>+CV18-CV27</f>
        <v>90.40280290900003</v>
      </c>
      <c r="CW28" s="126">
        <f ca="1">+CW18-CW27</f>
        <v>102.09975698990544</v>
      </c>
      <c r="CX28" s="42">
        <f t="shared" ca="1" si="21"/>
        <v>0</v>
      </c>
      <c r="CY28" s="126">
        <f>+CY18-CY27</f>
        <v>95.666031250000003</v>
      </c>
      <c r="CZ28" s="126">
        <f>+CZ18-CZ27</f>
        <v>96.382815679999965</v>
      </c>
      <c r="DA28" s="126">
        <f>+DA18-DA27</f>
        <v>100.63849586793754</v>
      </c>
      <c r="DB28" s="126">
        <f>+DB18-DB27</f>
        <v>78.364596285812524</v>
      </c>
      <c r="DC28" s="42">
        <f t="shared" si="22"/>
        <v>0</v>
      </c>
      <c r="DD28" s="126">
        <f>+DD18-DD27</f>
        <v>94.071479691408314</v>
      </c>
      <c r="DE28" s="126">
        <f>+DE18-DE27</f>
        <v>96.605140700868333</v>
      </c>
      <c r="DF28" s="126">
        <f>+DF18-DF27</f>
        <v>119.00719104664574</v>
      </c>
      <c r="DG28" s="126">
        <f>+DG18-DG27</f>
        <v>126.25472897586664</v>
      </c>
      <c r="DH28" s="42">
        <f>U28-SUM(DD28:DG28)</f>
        <v>0</v>
      </c>
    </row>
    <row r="29" spans="1:144">
      <c r="A29" s="6" t="s">
        <v>680</v>
      </c>
      <c r="B29" s="122"/>
      <c r="C29" s="122"/>
      <c r="D29" s="122"/>
      <c r="E29" s="122"/>
      <c r="F29" s="122"/>
      <c r="G29" s="122"/>
      <c r="H29" s="756"/>
      <c r="I29" s="756"/>
      <c r="J29" s="756"/>
      <c r="K29" s="122"/>
      <c r="L29" s="122"/>
      <c r="M29" s="739"/>
      <c r="N29" s="739"/>
      <c r="O29" s="739"/>
      <c r="P29" s="758">
        <f>P28/P18</f>
        <v>0.30297029702970296</v>
      </c>
      <c r="Q29" s="758">
        <f t="shared" ref="Q29:AF29" si="53">Q28/Q18</f>
        <v>0.29716804659932972</v>
      </c>
      <c r="R29" s="758">
        <f t="shared" ca="1" si="53"/>
        <v>0.29384071422688141</v>
      </c>
      <c r="S29" s="758">
        <f t="shared" ca="1" si="53"/>
        <v>0.29775543316661529</v>
      </c>
      <c r="T29" s="758">
        <f t="shared" si="53"/>
        <v>0.31162301337974679</v>
      </c>
      <c r="U29" s="758">
        <f t="shared" si="53"/>
        <v>0.34576859922933328</v>
      </c>
      <c r="V29" s="758">
        <f t="shared" si="53"/>
        <v>0.38999767732971402</v>
      </c>
      <c r="W29" s="758">
        <f t="shared" si="53"/>
        <v>0.4411532423031192</v>
      </c>
      <c r="X29" s="758">
        <f t="shared" si="53"/>
        <v>0.4613205091274995</v>
      </c>
      <c r="Y29" s="758">
        <f t="shared" si="53"/>
        <v>0.43430816454575916</v>
      </c>
      <c r="Z29" s="758">
        <f t="shared" si="53"/>
        <v>0.45946695291506767</v>
      </c>
      <c r="AA29" s="2012">
        <f t="shared" si="53"/>
        <v>0.43138117053346459</v>
      </c>
      <c r="AB29" s="3600">
        <f t="shared" si="53"/>
        <v>0.4563161469476481</v>
      </c>
      <c r="AC29" s="3600">
        <f t="shared" si="53"/>
        <v>0.41886200783563921</v>
      </c>
      <c r="AD29" s="3600">
        <f t="shared" si="53"/>
        <v>0.46521645730704314</v>
      </c>
      <c r="AE29" s="3600">
        <f t="shared" si="53"/>
        <v>0.46833585008900208</v>
      </c>
      <c r="AF29" s="3600">
        <f t="shared" si="53"/>
        <v>0.47075577018922843</v>
      </c>
      <c r="AG29" s="3600">
        <f t="shared" ref="AG29:AL29" si="54">AG28/AG18</f>
        <v>0.47298234894687358</v>
      </c>
      <c r="AH29" s="3600">
        <f t="shared" si="54"/>
        <v>0.47422439032108649</v>
      </c>
      <c r="AI29" s="3600">
        <f t="shared" si="54"/>
        <v>0.47436241832322579</v>
      </c>
      <c r="AJ29" s="3600">
        <f t="shared" si="54"/>
        <v>0.47288297558009812</v>
      </c>
      <c r="AK29" s="3600">
        <f t="shared" si="54"/>
        <v>0.47123969397404647</v>
      </c>
      <c r="AL29" s="3600">
        <f t="shared" si="54"/>
        <v>0.46936995849686208</v>
      </c>
      <c r="AM29" s="3600">
        <f>AM28/AM18</f>
        <v>0.46723363608538027</v>
      </c>
      <c r="AN29" s="3600">
        <f>AN28/AN18</f>
        <v>0.46483056562034847</v>
      </c>
      <c r="AO29" s="122"/>
      <c r="AP29" s="758"/>
      <c r="AQ29" s="758"/>
      <c r="AR29" s="758"/>
      <c r="AS29" s="758"/>
      <c r="AT29" s="758"/>
      <c r="AU29" s="739"/>
      <c r="AV29" s="122"/>
      <c r="AW29" s="122"/>
      <c r="AX29" s="122"/>
      <c r="AY29" s="122"/>
      <c r="AZ29" s="122"/>
      <c r="BA29" s="122"/>
      <c r="BB29" s="122"/>
      <c r="BC29" s="122"/>
      <c r="BD29" s="122"/>
      <c r="BE29" s="126"/>
      <c r="BF29" s="122"/>
      <c r="BG29" s="122"/>
      <c r="BH29" s="122"/>
      <c r="BI29" s="122"/>
      <c r="BJ29" s="145"/>
      <c r="BK29" s="619"/>
      <c r="BL29" s="619"/>
      <c r="BM29" s="619"/>
      <c r="BN29" s="462"/>
      <c r="BO29" s="462"/>
      <c r="BP29" s="462"/>
      <c r="BQ29" s="462"/>
      <c r="BR29" s="462"/>
      <c r="BS29" s="462"/>
      <c r="BT29" s="254"/>
      <c r="BU29" s="462"/>
      <c r="BV29" s="462"/>
      <c r="BW29" s="462"/>
      <c r="BX29" s="462"/>
      <c r="BY29" s="254"/>
      <c r="BZ29" s="126"/>
      <c r="CA29" s="126"/>
      <c r="CB29" s="126"/>
      <c r="CC29" s="126"/>
      <c r="CD29" s="6"/>
      <c r="CE29" s="740"/>
      <c r="CF29" s="740"/>
      <c r="CG29" s="740"/>
      <c r="CH29" s="740"/>
      <c r="CI29" s="83"/>
      <c r="CJ29" s="245">
        <f>+CJ28/CJ18</f>
        <v>0.28799999999999998</v>
      </c>
      <c r="CK29" s="245">
        <f>+CK28/CK18</f>
        <v>0.27439024390243905</v>
      </c>
      <c r="CL29" s="245">
        <f>+CL28/CL18</f>
        <v>0.300343951602003</v>
      </c>
      <c r="CM29" s="245">
        <f>+CM28/CM18</f>
        <v>0.32461191901525749</v>
      </c>
      <c r="CN29" s="254"/>
      <c r="CO29" s="245">
        <f>+CO28/CO18</f>
        <v>0.2742857142857143</v>
      </c>
      <c r="CP29" s="245">
        <f>+CP28/CP18</f>
        <v>0.26779828609096901</v>
      </c>
      <c r="CQ29" s="245">
        <f>+CQ28/CQ18</f>
        <v>0.29365015330926114</v>
      </c>
      <c r="CR29" s="245">
        <f ca="1">+CR28/CR18</f>
        <v>0.33716815903171987</v>
      </c>
      <c r="CS29" s="6"/>
      <c r="CT29" s="245">
        <f>+CT28/CT18</f>
        <v>0.2737392290249433</v>
      </c>
      <c r="CU29" s="245">
        <f>+CU28/CU18</f>
        <v>0.28025449142522307</v>
      </c>
      <c r="CV29" s="245">
        <f>+CV28/CV18</f>
        <v>0.30461040658422006</v>
      </c>
      <c r="CW29" s="245">
        <f ca="1">+CW28/CW18</f>
        <v>0.3298605329100141</v>
      </c>
      <c r="CX29" s="6"/>
      <c r="CY29" s="245">
        <f>+CY28/CY18</f>
        <v>0.31842902910399629</v>
      </c>
      <c r="CZ29" s="245">
        <f>+CZ28/CZ18</f>
        <v>0.3215862157400235</v>
      </c>
      <c r="DA29" s="245">
        <f>+DA28/DA18</f>
        <v>0.347794221462357</v>
      </c>
      <c r="DB29" s="245">
        <f>+DB28/DB18</f>
        <v>0.26017145644638023</v>
      </c>
      <c r="DC29" s="6"/>
      <c r="DD29" s="245">
        <f>+DD28/DD18</f>
        <v>0.29127580170608103</v>
      </c>
      <c r="DE29" s="245">
        <f>+DE28/DE18</f>
        <v>0.3087433089971991</v>
      </c>
      <c r="DF29" s="245">
        <f>+DF28/DF18</f>
        <v>0.38726380888442247</v>
      </c>
      <c r="DG29" s="245">
        <f>+DG28/DG18</f>
        <v>0.39750618867096127</v>
      </c>
      <c r="DH29" s="6"/>
      <c r="DX29" s="3130"/>
      <c r="DY29" s="3130"/>
      <c r="DZ29" s="3130"/>
      <c r="EA29" s="3130"/>
      <c r="EB29" s="3130"/>
      <c r="EC29" s="3130"/>
      <c r="ED29" s="3130"/>
      <c r="EE29" s="3130"/>
      <c r="EF29" s="3130"/>
      <c r="EG29" s="3130"/>
      <c r="EH29" s="3130"/>
      <c r="EI29" s="3130"/>
      <c r="EJ29" s="3130"/>
      <c r="EK29" s="3130"/>
      <c r="EL29" s="3130"/>
      <c r="EM29" s="3130"/>
      <c r="EN29" s="3130"/>
    </row>
    <row r="30" spans="1:144">
      <c r="A30" s="556" t="s">
        <v>752</v>
      </c>
      <c r="B30" s="38"/>
      <c r="C30" s="38">
        <f t="shared" ref="C30:AF30" si="55">C28/B28-1</f>
        <v>0.26123499592887223</v>
      </c>
      <c r="D30" s="38">
        <f t="shared" si="55"/>
        <v>-9.140132031070991E-2</v>
      </c>
      <c r="E30" s="38">
        <f t="shared" si="55"/>
        <v>1.1551684620674019E-2</v>
      </c>
      <c r="F30" s="38">
        <f t="shared" si="55"/>
        <v>0.19182489690488014</v>
      </c>
      <c r="G30" s="38">
        <f t="shared" si="55"/>
        <v>0.44296577946768068</v>
      </c>
      <c r="H30" s="38">
        <f t="shared" si="55"/>
        <v>0.1869038208168643</v>
      </c>
      <c r="I30" s="38">
        <f t="shared" si="55"/>
        <v>0.16555291610239098</v>
      </c>
      <c r="J30" s="38">
        <f>J28/I28-1</f>
        <v>0.14857142857142858</v>
      </c>
      <c r="K30" s="38">
        <f>K28/J28-1</f>
        <v>0.14427860696517425</v>
      </c>
      <c r="L30" s="38">
        <f t="shared" si="55"/>
        <v>0.20579710144927543</v>
      </c>
      <c r="M30" s="38">
        <f t="shared" si="55"/>
        <v>0.42612376513306494</v>
      </c>
      <c r="N30" s="38">
        <f t="shared" si="55"/>
        <v>0.18360212721675007</v>
      </c>
      <c r="O30" s="38">
        <f t="shared" si="55"/>
        <v>-1.7559463420496635E-2</v>
      </c>
      <c r="P30" s="38">
        <f t="shared" si="55"/>
        <v>0.10891657972512481</v>
      </c>
      <c r="Q30" s="38">
        <f t="shared" si="55"/>
        <v>1.9203853156090078E-2</v>
      </c>
      <c r="R30" s="38">
        <f t="shared" ca="1" si="55"/>
        <v>6.5781389844085103E-2</v>
      </c>
      <c r="S30" s="38">
        <f t="shared" ca="1" si="55"/>
        <v>6.398871799483441E-2</v>
      </c>
      <c r="T30" s="38">
        <f t="shared" ca="1" si="55"/>
        <v>4.9172905791900368E-2</v>
      </c>
      <c r="U30" s="38">
        <f t="shared" si="55"/>
        <v>0.17487201789395179</v>
      </c>
      <c r="V30" s="38">
        <f t="shared" si="55"/>
        <v>0.23039836987872753</v>
      </c>
      <c r="W30" s="38">
        <f t="shared" si="55"/>
        <v>0.23948157077805976</v>
      </c>
      <c r="X30" s="38">
        <f t="shared" si="55"/>
        <v>0.14223279450029458</v>
      </c>
      <c r="Y30" s="38">
        <f t="shared" si="55"/>
        <v>0.1058214277151166</v>
      </c>
      <c r="Z30" s="38">
        <f t="shared" si="55"/>
        <v>0.11189012200101112</v>
      </c>
      <c r="AA30" s="38">
        <f t="shared" si="55"/>
        <v>-3.3529872856231213E-2</v>
      </c>
      <c r="AB30" s="2802">
        <f t="shared" si="55"/>
        <v>1.3172813858392196E-2</v>
      </c>
      <c r="AC30" s="2802">
        <f t="shared" si="55"/>
        <v>6.3679505606869302E-2</v>
      </c>
      <c r="AD30" s="2802">
        <f t="shared" si="55"/>
        <v>3.0237947564580203E-2</v>
      </c>
      <c r="AE30" s="2802">
        <f t="shared" si="55"/>
        <v>5.8616130713708525E-2</v>
      </c>
      <c r="AF30" s="2802">
        <f t="shared" si="55"/>
        <v>5.3354609581779844E-2</v>
      </c>
      <c r="AG30" s="2802">
        <f t="shared" ref="AG30:AN30" si="56">AG28/AF28-1</f>
        <v>5.1787697007878997E-2</v>
      </c>
      <c r="AH30" s="2802">
        <f t="shared" si="56"/>
        <v>4.7238339982376365E-2</v>
      </c>
      <c r="AI30" s="2802">
        <f t="shared" si="56"/>
        <v>4.1210912556374657E-2</v>
      </c>
      <c r="AJ30" s="2802">
        <f t="shared" si="56"/>
        <v>3.4255064606898422E-2</v>
      </c>
      <c r="AK30" s="2802">
        <f t="shared" si="56"/>
        <v>3.2188359125551624E-2</v>
      </c>
      <c r="AL30" s="2802">
        <f t="shared" si="56"/>
        <v>3.0988275867714687E-2</v>
      </c>
      <c r="AM30" s="2802">
        <f t="shared" si="56"/>
        <v>2.9681153023045859E-2</v>
      </c>
      <c r="AN30" s="2802">
        <f t="shared" si="56"/>
        <v>2.8353986200645664E-2</v>
      </c>
      <c r="AO30" s="122"/>
      <c r="AP30" s="38"/>
      <c r="AQ30" s="38"/>
      <c r="AR30" s="38"/>
      <c r="AS30" s="38"/>
      <c r="AT30" s="38"/>
      <c r="AU30" s="38"/>
      <c r="AV30" s="126"/>
      <c r="AW30" s="126"/>
      <c r="AX30" s="6"/>
      <c r="AY30" s="6"/>
      <c r="AZ30" s="6"/>
      <c r="BA30" s="38">
        <f>+BA28/AV28-1</f>
        <v>0.10810810810810811</v>
      </c>
      <c r="BB30" s="38">
        <f>+BB28/AW28-1</f>
        <v>0.14022140221402202</v>
      </c>
      <c r="BC30" s="38">
        <f>+BC28/AX28-1</f>
        <v>0.11785714285714288</v>
      </c>
      <c r="BD30" s="38">
        <f>+BD28/AY28-1</f>
        <v>0.20700636942675188</v>
      </c>
      <c r="BE30" s="38"/>
      <c r="BF30" s="38">
        <f>+BF28/BA28-1</f>
        <v>0.43902439024390238</v>
      </c>
      <c r="BG30" s="38">
        <f>+BG28/BB28-1</f>
        <v>1.6181229773462702E-2</v>
      </c>
      <c r="BH30" s="38">
        <f>+BH28/BC28-1</f>
        <v>8.9456869009584716E-2</v>
      </c>
      <c r="BI30" s="38">
        <f>+BI28/BD28-1</f>
        <v>0.13456464379947208</v>
      </c>
      <c r="BJ30" s="38"/>
      <c r="BK30" s="38">
        <f>+BK28/BF28-1</f>
        <v>0.24745762711864394</v>
      </c>
      <c r="BL30" s="38">
        <f>+BL28/BG28-1</f>
        <v>0.16560509554140146</v>
      </c>
      <c r="BM30" s="38">
        <f>+BM28/BH28-1</f>
        <v>0.21994134897360706</v>
      </c>
      <c r="BN30" s="38">
        <f>+BN28/BI28-1</f>
        <v>0.19534883720929974</v>
      </c>
      <c r="BO30" s="38"/>
      <c r="BP30" s="38">
        <f>+BP28/BK28-1</f>
        <v>0.33039050699316119</v>
      </c>
      <c r="BQ30" s="38">
        <f>+BQ28/BL28-1</f>
        <v>0.39193546196245466</v>
      </c>
      <c r="BR30" s="38">
        <f>+BR28/BM28-1</f>
        <v>0.45088656656865744</v>
      </c>
      <c r="BS30" s="38">
        <f>+BS28/BN28-1</f>
        <v>0.49896701913836483</v>
      </c>
      <c r="BT30" s="254"/>
      <c r="BU30" s="38">
        <f>+BU28/BP28-1</f>
        <v>9.6234927648763069E-2</v>
      </c>
      <c r="BV30" s="38">
        <f>+BV28/BQ28-1</f>
        <v>8.5404183915016807E-2</v>
      </c>
      <c r="BW30" s="38">
        <f>+BW28/BR28-1</f>
        <v>8.3781126091655223E-2</v>
      </c>
      <c r="BX30" s="38">
        <f>+BX28/BS28-1</f>
        <v>0.3822462958592221</v>
      </c>
      <c r="BY30" s="254"/>
      <c r="BZ30" s="38">
        <f>+BZ28/BU28-1</f>
        <v>0.30951554068314846</v>
      </c>
      <c r="CA30" s="38">
        <f>+CA28/BV28-1</f>
        <v>0.31472711490316629</v>
      </c>
      <c r="CB30" s="38">
        <f>+CB28/BW28-1</f>
        <v>4.2223707372401886E-3</v>
      </c>
      <c r="CC30" s="38">
        <f>+CC28/BX28-1</f>
        <v>-0.36829851045699402</v>
      </c>
      <c r="CD30" s="6"/>
      <c r="CE30" s="38">
        <f>+CE28/BZ28-1</f>
        <v>-4.0058398180909949E-3</v>
      </c>
      <c r="CF30" s="38">
        <f>+CF28/CA28-1</f>
        <v>-3.7123152844161678E-2</v>
      </c>
      <c r="CG30" s="38">
        <f>+CG28/CB28-1</f>
        <v>0.37007469092999523</v>
      </c>
      <c r="CH30" s="38">
        <f>+CH28/CC28-1</f>
        <v>0.12969461897227896</v>
      </c>
      <c r="CI30" s="6"/>
      <c r="CJ30" s="38">
        <f>+CJ28/CE28-1</f>
        <v>2.857142857142847E-2</v>
      </c>
      <c r="CK30" s="38">
        <f>+CK28/CF28-1</f>
        <v>2.857142857142847E-2</v>
      </c>
      <c r="CL30" s="38">
        <f>+CL28/CG28-1</f>
        <v>-0.11014678021486668</v>
      </c>
      <c r="CM30" s="38">
        <f>+CM28/CH28-1</f>
        <v>0.15512617480396784</v>
      </c>
      <c r="CN30" s="254"/>
      <c r="CO30" s="38">
        <f>+CO28/CJ28-1</f>
        <v>0</v>
      </c>
      <c r="CP30" s="38">
        <f>+CP28/CK28-1</f>
        <v>8.3333333333333259E-2</v>
      </c>
      <c r="CQ30" s="39">
        <f>+CQ28/CL28-1</f>
        <v>3.6375664792115625E-2</v>
      </c>
      <c r="CR30" s="38">
        <f ca="1">+CR28/CM28-1</f>
        <v>0.13216204278469745</v>
      </c>
      <c r="CS30" s="6"/>
      <c r="CT30" s="38">
        <f>+CT28/CO28-1</f>
        <v>4.7907986111111134E-2</v>
      </c>
      <c r="CU30" s="38">
        <f>+CU28/CP28-1</f>
        <v>9.8839056410256365E-2</v>
      </c>
      <c r="CV30" s="39">
        <f>+CV28/CQ28-1</f>
        <v>8.9190396493976198E-2</v>
      </c>
      <c r="CW30" s="38">
        <f ca="1">+CW28/CR28-1</f>
        <v>2.7242787546053027E-2</v>
      </c>
      <c r="CX30" s="6"/>
      <c r="CY30" s="38">
        <f>+CY28/CT28-1</f>
        <v>0.26794994988361398</v>
      </c>
      <c r="CZ30" s="38">
        <f>+CZ28/CU28-1</f>
        <v>0.1245296723792626</v>
      </c>
      <c r="DA30" s="39">
        <f>+DA28/CV28-1</f>
        <v>0.11322318146751287</v>
      </c>
      <c r="DB30" s="38">
        <f ca="1">+DB28/CW28-1</f>
        <v>-0.23247029575633171</v>
      </c>
      <c r="DC30" s="6"/>
      <c r="DD30" s="38">
        <f>+DD28/CY28-1</f>
        <v>-1.6667897034682189E-2</v>
      </c>
      <c r="DE30" s="38">
        <f>+DE28/CZ28-1</f>
        <v>2.3066873415122924E-3</v>
      </c>
      <c r="DF30" s="38">
        <f>+DF28/DA28-1</f>
        <v>0.18252155917366308</v>
      </c>
      <c r="DG30" s="38">
        <f>+DG28/DB28-1</f>
        <v>0.61111949732234327</v>
      </c>
      <c r="DH30" s="6"/>
    </row>
    <row r="31" spans="1:144">
      <c r="A31" s="6"/>
      <c r="B31" s="6"/>
      <c r="C31" s="6"/>
      <c r="D31" s="6"/>
      <c r="E31" s="6"/>
      <c r="F31" s="6"/>
      <c r="G31" s="6"/>
      <c r="H31" s="6"/>
      <c r="I31" s="6"/>
      <c r="J31" s="551"/>
      <c r="K31" s="551"/>
      <c r="L31" s="6"/>
      <c r="M31" s="95"/>
      <c r="N31" s="95"/>
      <c r="O31" s="95"/>
      <c r="P31" s="95"/>
      <c r="Q31" s="95"/>
      <c r="R31" s="11"/>
      <c r="S31" s="6"/>
      <c r="T31" s="6"/>
      <c r="U31" s="6"/>
      <c r="V31" s="52"/>
      <c r="W31" s="6"/>
      <c r="X31" s="83"/>
      <c r="Y31" s="83"/>
      <c r="Z31" s="83"/>
      <c r="AA31" s="83"/>
      <c r="AB31" s="2936"/>
      <c r="AC31" s="2936"/>
      <c r="AD31" s="2936"/>
      <c r="AE31" s="2936"/>
      <c r="AF31" s="2936"/>
      <c r="AG31" s="2936"/>
      <c r="AH31" s="2936"/>
      <c r="AI31" s="2936"/>
      <c r="AJ31" s="2936"/>
      <c r="AK31" s="2936"/>
      <c r="AL31" s="2936"/>
      <c r="AM31" s="2936"/>
      <c r="AN31" s="3049"/>
      <c r="AO31" s="122"/>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c r="CD31" s="6"/>
      <c r="CE31" s="6"/>
      <c r="CF31" s="6"/>
      <c r="CG31" s="6"/>
      <c r="CH31" s="6"/>
      <c r="CI31" s="6"/>
      <c r="CJ31" s="6"/>
      <c r="CK31" s="6"/>
      <c r="CL31" s="6"/>
      <c r="CM31" s="6"/>
      <c r="CN31" s="6"/>
      <c r="CO31" s="6"/>
      <c r="CP31" s="6"/>
      <c r="CQ31" s="6"/>
      <c r="CR31" s="6"/>
      <c r="CS31" s="6"/>
      <c r="CT31" s="6"/>
      <c r="CU31" s="6"/>
      <c r="CV31" s="6"/>
      <c r="CW31" s="6"/>
      <c r="CX31" s="6"/>
      <c r="CY31" s="6"/>
      <c r="CZ31" s="6"/>
      <c r="DA31" s="6"/>
      <c r="DB31" s="6"/>
      <c r="DC31" s="6"/>
      <c r="DD31" s="6"/>
      <c r="DE31" s="6"/>
      <c r="DF31" s="6"/>
      <c r="DG31" s="6"/>
      <c r="DH31" s="6"/>
      <c r="DI31" s="6"/>
      <c r="DJ31" s="6"/>
      <c r="DK31" s="6"/>
      <c r="DL31" s="6"/>
      <c r="DM31" s="6"/>
      <c r="DN31" s="6"/>
      <c r="DO31" s="6"/>
      <c r="DP31" s="6"/>
      <c r="DQ31" s="6"/>
      <c r="DR31" s="6"/>
      <c r="DS31" s="6"/>
      <c r="DT31" s="6"/>
      <c r="DU31" s="6"/>
      <c r="DV31" s="6"/>
      <c r="DW31" s="6"/>
      <c r="DX31" s="6"/>
      <c r="DY31" s="6"/>
      <c r="DZ31" s="6"/>
      <c r="EA31" s="6"/>
      <c r="EB31" s="6"/>
      <c r="EC31" s="6"/>
      <c r="ED31" s="6"/>
      <c r="EE31" s="6"/>
      <c r="EF31" s="6"/>
      <c r="EG31" s="6"/>
      <c r="EH31" s="6"/>
      <c r="EI31" s="6"/>
    </row>
    <row r="32" spans="1:144">
      <c r="A32" s="552" t="s">
        <v>692</v>
      </c>
      <c r="B32" s="553"/>
      <c r="C32" s="553"/>
      <c r="D32" s="553"/>
      <c r="E32" s="553"/>
      <c r="F32" s="553"/>
      <c r="G32" s="553"/>
      <c r="H32" s="553"/>
      <c r="I32" s="553"/>
      <c r="J32" s="554"/>
      <c r="K32" s="554"/>
      <c r="L32" s="553"/>
      <c r="M32" s="553"/>
      <c r="N32" s="553">
        <f t="shared" ref="N32:Z32" si="57">+N33*N18</f>
        <v>18.691618072110426</v>
      </c>
      <c r="O32" s="553">
        <f t="shared" si="57"/>
        <v>19.404536246504435</v>
      </c>
      <c r="P32" s="553">
        <f t="shared" si="57"/>
        <v>17.445308779171295</v>
      </c>
      <c r="Q32" s="553">
        <f t="shared" si="57"/>
        <v>17.97327151160297</v>
      </c>
      <c r="R32" s="553">
        <f t="shared" si="57"/>
        <v>18.30263194482508</v>
      </c>
      <c r="S32" s="553">
        <f t="shared" si="57"/>
        <v>22.261658521178742</v>
      </c>
      <c r="T32" s="553">
        <f t="shared" si="57"/>
        <v>22.912299506695813</v>
      </c>
      <c r="U32" s="553">
        <f t="shared" si="57"/>
        <v>24.891084039054242</v>
      </c>
      <c r="V32" s="553">
        <f t="shared" si="57"/>
        <v>21.867851530149469</v>
      </c>
      <c r="W32" s="553">
        <f t="shared" si="57"/>
        <v>22.379380734561327</v>
      </c>
      <c r="X32" s="553">
        <f t="shared" si="57"/>
        <v>30.723222422832919</v>
      </c>
      <c r="Y32" s="553">
        <f t="shared" si="57"/>
        <v>30.515897293682038</v>
      </c>
      <c r="Z32" s="553">
        <f t="shared" si="57"/>
        <v>32.142125193981173</v>
      </c>
      <c r="AA32" s="553">
        <f t="shared" ref="AA32:AF32" si="58">+AA33*AA18</f>
        <v>29.996067550505852</v>
      </c>
      <c r="AB32" s="553">
        <f t="shared" ca="1" si="58"/>
        <v>25.327741567539469</v>
      </c>
      <c r="AC32" s="553">
        <f t="shared" ca="1" si="58"/>
        <v>27.712324908067288</v>
      </c>
      <c r="AD32" s="553">
        <f t="shared" ca="1" si="58"/>
        <v>24.158091260711902</v>
      </c>
      <c r="AE32" s="553">
        <f t="shared" ca="1" si="58"/>
        <v>23.139088979440441</v>
      </c>
      <c r="AF32" s="553">
        <f t="shared" ca="1" si="58"/>
        <v>23.732874197511862</v>
      </c>
      <c r="AG32" s="561">
        <f t="shared" ref="AG32:AL32" ca="1" si="59">+AG33*AG18</f>
        <v>24.844435981712049</v>
      </c>
      <c r="AH32" s="561">
        <f t="shared" ca="1" si="59"/>
        <v>25.94990201627553</v>
      </c>
      <c r="AI32" s="561">
        <f t="shared" ca="1" si="59"/>
        <v>27.011459189501021</v>
      </c>
      <c r="AJ32" s="561">
        <f t="shared" ca="1" si="59"/>
        <v>28.02414023054936</v>
      </c>
      <c r="AK32" s="561">
        <f t="shared" ca="1" si="59"/>
        <v>29.02706117235283</v>
      </c>
      <c r="AL32" s="561">
        <f t="shared" ca="1" si="59"/>
        <v>30.045772218142311</v>
      </c>
      <c r="AM32" s="561">
        <f ca="1">+AM33*AM18</f>
        <v>31.079020552880991</v>
      </c>
      <c r="AN32" s="561">
        <f ca="1">+AN33*AN18</f>
        <v>32.125461965630357</v>
      </c>
      <c r="AO32" s="122"/>
      <c r="AP32" s="553"/>
      <c r="AQ32" s="553"/>
      <c r="AR32" s="553"/>
      <c r="AS32" s="553"/>
      <c r="AT32" s="553"/>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c r="CD32" s="6"/>
      <c r="CE32" s="6"/>
      <c r="CF32" s="6"/>
      <c r="CG32" s="6"/>
      <c r="CH32" s="6"/>
      <c r="CI32" s="6"/>
      <c r="CJ32" s="6"/>
      <c r="CK32" s="6"/>
      <c r="CL32" s="6"/>
      <c r="CM32" s="6"/>
      <c r="CN32" s="6"/>
      <c r="CO32" s="6"/>
      <c r="CP32" s="6"/>
      <c r="CQ32" s="6"/>
      <c r="CR32" s="6"/>
      <c r="CS32" s="6"/>
      <c r="CT32" s="6"/>
      <c r="CU32" s="6"/>
      <c r="CV32" s="6"/>
      <c r="CW32" s="6"/>
      <c r="CX32" s="6"/>
      <c r="CY32" s="6"/>
      <c r="CZ32" s="6"/>
      <c r="DA32" s="6"/>
      <c r="DB32" s="6"/>
      <c r="DC32" s="6"/>
      <c r="DD32" s="6"/>
      <c r="DE32" s="6"/>
      <c r="DF32" s="6"/>
      <c r="DG32" s="6"/>
      <c r="DH32" s="6"/>
      <c r="DI32" s="6"/>
      <c r="DJ32" s="6"/>
      <c r="DK32" s="6"/>
      <c r="DL32" s="6"/>
      <c r="DM32" s="6"/>
      <c r="DN32" s="6"/>
      <c r="DO32" s="6"/>
      <c r="DP32" s="6"/>
      <c r="DQ32" s="6"/>
      <c r="DR32" s="6"/>
      <c r="DS32" s="6"/>
      <c r="DT32" s="6"/>
      <c r="DU32" s="6"/>
      <c r="DV32" s="6"/>
      <c r="DW32" s="6"/>
      <c r="DX32" s="6"/>
      <c r="DY32" s="6"/>
      <c r="DZ32" s="6"/>
      <c r="EA32" s="6"/>
      <c r="EB32" s="6"/>
      <c r="EC32" s="6"/>
      <c r="ED32" s="6"/>
      <c r="EE32" s="6"/>
      <c r="EF32" s="6"/>
      <c r="EG32" s="6"/>
      <c r="EH32" s="6"/>
      <c r="EI32" s="6"/>
    </row>
    <row r="33" spans="1:139">
      <c r="A33" s="552" t="s">
        <v>1130</v>
      </c>
      <c r="B33" s="130"/>
      <c r="C33" s="130"/>
      <c r="D33" s="130"/>
      <c r="E33" s="130"/>
      <c r="F33" s="130"/>
      <c r="G33" s="130"/>
      <c r="H33" s="130"/>
      <c r="I33" s="130"/>
      <c r="J33" s="38"/>
      <c r="K33" s="38"/>
      <c r="L33" s="38"/>
      <c r="M33" s="38"/>
      <c r="N33" s="511">
        <f>'Segment Detail'!Y152</f>
        <v>1.8183122332604097E-2</v>
      </c>
      <c r="O33" s="511">
        <f>'Segment Detail'!Z152</f>
        <v>1.8777720177409134E-2</v>
      </c>
      <c r="P33" s="511">
        <f>'Segment Detail'!AA152</f>
        <v>1.7272582949674549E-2</v>
      </c>
      <c r="Q33" s="511">
        <f>'Segment Detail'!AB152</f>
        <v>1.7125638056020246E-2</v>
      </c>
      <c r="R33" s="511">
        <f>'Segment Detail'!AC152</f>
        <v>1.6179865290763245E-2</v>
      </c>
      <c r="S33" s="511">
        <f>'Segment Detail'!AD152</f>
        <v>1.8742588607316965E-2</v>
      </c>
      <c r="T33" s="511">
        <f>'Segment Detail'!AE152</f>
        <v>1.9242588607316966E-2</v>
      </c>
      <c r="U33" s="511">
        <f>'Segment Detail'!AF152</f>
        <v>1.9742588607316966E-2</v>
      </c>
      <c r="V33" s="511">
        <f>'Segment Detail'!AG152</f>
        <v>1.5900000000000001E-2</v>
      </c>
      <c r="W33" s="511">
        <f>'Segment Detail'!AH152</f>
        <v>1.485E-2</v>
      </c>
      <c r="X33" s="511">
        <f>'Segment Detail'!AI152</f>
        <v>1.8663960899351267E-2</v>
      </c>
      <c r="Y33" s="511">
        <f>'Segment Detail'!AJ152</f>
        <v>1.5782413781832792E-2</v>
      </c>
      <c r="Z33" s="511">
        <f>'Segment Detail'!AK152</f>
        <v>1.5816714806406545E-2</v>
      </c>
      <c r="AA33" s="511">
        <f>'Segment Detail'!AL152</f>
        <v>1.4339185658751996E-2</v>
      </c>
      <c r="AB33" s="511">
        <f ca="1">'Segment Detail'!AM152</f>
        <v>1.2640893003368469E-2</v>
      </c>
      <c r="AC33" s="511">
        <f ca="1">'Segment Detail'!AN152</f>
        <v>1.1935719204514639E-2</v>
      </c>
      <c r="AD33" s="511">
        <f ca="1">'Segment Detail'!AO152</f>
        <v>1.1217208839795311E-2</v>
      </c>
      <c r="AE33" s="511">
        <f ca="1">'Segment Detail'!AP152</f>
        <v>1.0217208839795312E-2</v>
      </c>
      <c r="AF33" s="511">
        <f ca="1">'Segment Detail'!AQ152</f>
        <v>0.01</v>
      </c>
      <c r="AG33" s="514">
        <f ca="1">'Segment Detail'!AR152</f>
        <v>0.01</v>
      </c>
      <c r="AH33" s="514">
        <f ca="1">'Segment Detail'!AS152</f>
        <v>0.01</v>
      </c>
      <c r="AI33" s="514">
        <f ca="1">'Segment Detail'!AT152</f>
        <v>0.01</v>
      </c>
      <c r="AJ33" s="514">
        <f ca="1">'Segment Detail'!AU152</f>
        <v>0.01</v>
      </c>
      <c r="AK33" s="514">
        <f ca="1">'Segment Detail'!AV152</f>
        <v>0.01</v>
      </c>
      <c r="AL33" s="514">
        <f ca="1">'Segment Detail'!AW152</f>
        <v>0.01</v>
      </c>
      <c r="AM33" s="514">
        <f ca="1">'Segment Detail'!AX152</f>
        <v>0.01</v>
      </c>
      <c r="AN33" s="514">
        <f ca="1">'Segment Detail'!AY152</f>
        <v>0.01</v>
      </c>
      <c r="AO33" s="122"/>
      <c r="AP33" s="511"/>
      <c r="AQ33" s="511"/>
      <c r="AR33" s="511"/>
      <c r="AS33" s="511"/>
      <c r="AT33" s="511"/>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c r="CD33" s="6"/>
      <c r="CE33" s="6"/>
      <c r="CF33" s="6"/>
      <c r="CG33" s="6"/>
      <c r="CH33" s="6"/>
      <c r="CI33" s="6"/>
      <c r="CJ33" s="6"/>
      <c r="CK33" s="6"/>
      <c r="CL33" s="6"/>
      <c r="CM33" s="6"/>
      <c r="CN33" s="6"/>
      <c r="CO33" s="6"/>
      <c r="CP33" s="6"/>
      <c r="CQ33" s="6"/>
      <c r="CR33" s="6"/>
      <c r="CS33" s="6"/>
      <c r="CT33" s="6"/>
      <c r="CU33" s="6"/>
      <c r="CV33" s="6"/>
      <c r="CW33" s="6"/>
      <c r="CX33" s="6"/>
      <c r="CY33" s="6"/>
      <c r="CZ33" s="6"/>
      <c r="DA33" s="6"/>
      <c r="DB33" s="6"/>
      <c r="DC33" s="6"/>
      <c r="DD33" s="6"/>
      <c r="DE33" s="6"/>
      <c r="DF33" s="6"/>
      <c r="DG33" s="6"/>
      <c r="DH33" s="6"/>
      <c r="DI33" s="6"/>
      <c r="DJ33" s="6"/>
      <c r="DK33" s="6"/>
      <c r="DL33" s="6"/>
      <c r="DM33" s="6"/>
      <c r="DN33" s="6"/>
      <c r="DO33" s="6"/>
      <c r="DP33" s="6"/>
      <c r="DQ33" s="6"/>
      <c r="DR33" s="6"/>
      <c r="DS33" s="6"/>
      <c r="DT33" s="6"/>
      <c r="DU33" s="6"/>
      <c r="DV33" s="6"/>
      <c r="DW33" s="6"/>
      <c r="DX33" s="6"/>
      <c r="DY33" s="6"/>
      <c r="DZ33" s="6"/>
      <c r="EA33" s="6"/>
      <c r="EB33" s="6"/>
      <c r="EC33" s="6"/>
      <c r="ED33" s="6"/>
      <c r="EE33" s="6"/>
      <c r="EF33" s="6"/>
      <c r="EG33" s="6"/>
      <c r="EH33" s="6"/>
      <c r="EI33" s="6"/>
    </row>
    <row r="34" spans="1:139">
      <c r="A34" s="552"/>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c r="AL34" s="6"/>
      <c r="AM34" s="6"/>
      <c r="AN34" s="122"/>
      <c r="AO34" s="122"/>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c r="CD34" s="6"/>
      <c r="CE34" s="6"/>
      <c r="CF34" s="6"/>
      <c r="CG34" s="6"/>
      <c r="CH34" s="6"/>
      <c r="CI34" s="6"/>
      <c r="CJ34" s="6"/>
      <c r="CK34" s="6"/>
      <c r="CL34" s="6"/>
      <c r="CM34" s="6"/>
      <c r="CN34" s="6"/>
      <c r="CO34" s="6"/>
      <c r="CP34" s="6"/>
      <c r="CQ34" s="6"/>
      <c r="CR34" s="6"/>
      <c r="CS34" s="6"/>
      <c r="CT34" s="6"/>
      <c r="CU34" s="6"/>
      <c r="CV34" s="6"/>
      <c r="CW34" s="6"/>
      <c r="CX34" s="6"/>
      <c r="CY34" s="6"/>
      <c r="CZ34" s="6"/>
      <c r="DA34" s="6"/>
      <c r="DB34" s="6"/>
      <c r="DC34" s="6"/>
      <c r="DD34" s="6"/>
      <c r="DE34" s="6"/>
      <c r="DF34" s="6"/>
      <c r="DG34" s="6"/>
      <c r="DH34" s="6"/>
      <c r="DI34" s="6"/>
      <c r="DJ34" s="6"/>
      <c r="DK34" s="6"/>
      <c r="DL34" s="6"/>
      <c r="DM34" s="6"/>
      <c r="DN34" s="6"/>
      <c r="DO34" s="6"/>
      <c r="DP34" s="6"/>
      <c r="DQ34" s="6"/>
      <c r="DR34" s="6"/>
      <c r="DS34" s="6"/>
      <c r="DT34" s="6"/>
      <c r="DU34" s="6"/>
      <c r="DV34" s="6"/>
      <c r="DW34" s="6"/>
      <c r="DX34" s="6"/>
      <c r="DY34" s="6"/>
      <c r="DZ34" s="6"/>
      <c r="EA34" s="6"/>
      <c r="EB34" s="6"/>
      <c r="EC34" s="6"/>
      <c r="ED34" s="6"/>
      <c r="EE34" s="6"/>
      <c r="EF34" s="6"/>
      <c r="EG34" s="6"/>
      <c r="EH34" s="6"/>
      <c r="EI34" s="6"/>
    </row>
    <row r="35" spans="1:139">
      <c r="A35" s="555" t="s">
        <v>1100</v>
      </c>
      <c r="B35" s="501"/>
      <c r="C35" s="501"/>
      <c r="D35" s="501"/>
      <c r="E35" s="501"/>
      <c r="F35" s="501"/>
      <c r="G35" s="501"/>
      <c r="H35" s="501"/>
      <c r="I35" s="501"/>
      <c r="J35" s="549"/>
      <c r="K35" s="549"/>
      <c r="L35" s="549"/>
      <c r="M35" s="549"/>
      <c r="N35" s="549">
        <f t="shared" ref="N35:Z35" si="60">+N28-N32</f>
        <v>262.18544544297612</v>
      </c>
      <c r="O35" s="549">
        <f t="shared" si="60"/>
        <v>256.54047674613241</v>
      </c>
      <c r="P35" s="549">
        <f t="shared" si="60"/>
        <v>288.55469122082872</v>
      </c>
      <c r="Q35" s="549">
        <f t="shared" si="60"/>
        <v>293.90310755416061</v>
      </c>
      <c r="R35" s="549">
        <f t="shared" ca="1" si="60"/>
        <v>314.08940879542513</v>
      </c>
      <c r="S35" s="549">
        <f t="shared" ca="1" si="60"/>
        <v>331.39972277772682</v>
      </c>
      <c r="T35" s="549">
        <f t="shared" si="60"/>
        <v>348.13963957705414</v>
      </c>
      <c r="U35" s="549">
        <f t="shared" si="60"/>
        <v>411.04745637573478</v>
      </c>
      <c r="V35" s="549">
        <f t="shared" si="60"/>
        <v>514.51021796351881</v>
      </c>
      <c r="W35" s="549">
        <f t="shared" si="60"/>
        <v>642.45135137235388</v>
      </c>
      <c r="X35" s="549">
        <f t="shared" si="60"/>
        <v>728.66824258132556</v>
      </c>
      <c r="Y35" s="549">
        <f t="shared" si="60"/>
        <v>809.23545673189051</v>
      </c>
      <c r="Z35" s="549">
        <f t="shared" si="60"/>
        <v>901.56911028402692</v>
      </c>
      <c r="AA35" s="549">
        <f>+AA28-AA32</f>
        <v>872.4079489174901</v>
      </c>
      <c r="AB35" s="549">
        <f t="shared" ref="AB35:AH35" ca="1" si="61">+AB28-AB32</f>
        <v>888.96347503445497</v>
      </c>
      <c r="AC35" s="549">
        <f t="shared" ca="1" si="61"/>
        <v>944.80050434784516</v>
      </c>
      <c r="AD35" s="549">
        <f t="shared" ca="1" si="61"/>
        <v>977.76152993212247</v>
      </c>
      <c r="AE35" s="549">
        <f t="shared" ca="1" si="61"/>
        <v>1037.5091836938625</v>
      </c>
      <c r="AF35" s="549">
        <f t="shared" ca="1" si="61"/>
        <v>1093.5058729678644</v>
      </c>
      <c r="AG35" s="557">
        <f t="shared" ca="1" si="61"/>
        <v>1150.2535329073271</v>
      </c>
      <c r="AH35" s="557">
        <f t="shared" ca="1" si="61"/>
        <v>1204.657744239744</v>
      </c>
      <c r="AI35" s="557">
        <f t="shared" ref="AI35:AN35" ca="1" si="62">+AI28-AI32</f>
        <v>1254.3106511675815</v>
      </c>
      <c r="AJ35" s="557">
        <f t="shared" ca="1" si="62"/>
        <v>1297.1897417990624</v>
      </c>
      <c r="AK35" s="557">
        <f t="shared" ca="1" si="62"/>
        <v>1338.8432812101944</v>
      </c>
      <c r="AL35" s="557">
        <f t="shared" ca="1" si="62"/>
        <v>1380.2125136854206</v>
      </c>
      <c r="AM35" s="557">
        <f t="shared" ca="1" si="62"/>
        <v>1421.0373573366039</v>
      </c>
      <c r="AN35" s="557">
        <f t="shared" ca="1" si="62"/>
        <v>1461.1642036642647</v>
      </c>
      <c r="AO35" s="549"/>
      <c r="AP35" s="549"/>
      <c r="AQ35" s="549"/>
      <c r="AR35" s="549"/>
      <c r="AS35" s="549"/>
      <c r="AT35" s="549"/>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c r="CK35" s="6"/>
      <c r="CL35" s="6"/>
      <c r="CM35" s="6"/>
      <c r="CN35" s="6"/>
      <c r="CO35" s="6"/>
      <c r="CP35" s="6"/>
      <c r="CQ35" s="11"/>
      <c r="CR35" s="6"/>
      <c r="CS35" s="6"/>
      <c r="CT35" s="6"/>
      <c r="CU35" s="6"/>
      <c r="CV35" s="11"/>
      <c r="CW35" s="6"/>
      <c r="CX35" s="6"/>
      <c r="CY35" s="6"/>
      <c r="CZ35" s="6"/>
      <c r="DA35" s="6"/>
      <c r="DB35" s="6"/>
      <c r="DC35" s="6"/>
      <c r="DD35" s="6"/>
      <c r="DE35" s="6"/>
      <c r="DF35" s="6"/>
      <c r="DG35" s="6"/>
      <c r="DH35" s="6"/>
      <c r="DI35" s="6"/>
      <c r="DJ35" s="6"/>
      <c r="DK35" s="6"/>
    </row>
    <row r="36" spans="1:139">
      <c r="A36" s="6" t="s">
        <v>1101</v>
      </c>
      <c r="B36" s="38"/>
      <c r="C36" s="38"/>
      <c r="D36" s="38"/>
      <c r="E36" s="38"/>
      <c r="F36" s="38"/>
      <c r="G36" s="38"/>
      <c r="H36" s="38"/>
      <c r="I36" s="38"/>
      <c r="J36" s="38"/>
      <c r="K36" s="38"/>
      <c r="L36" s="38"/>
      <c r="M36" s="38"/>
      <c r="N36" s="38">
        <f>+N35/N18</f>
        <v>0.25505282688347064</v>
      </c>
      <c r="O36" s="38">
        <f t="shared" ref="O36:AF36" si="63">+O35/O18</f>
        <v>0.24825356428633</v>
      </c>
      <c r="P36" s="38">
        <f t="shared" si="63"/>
        <v>0.28569771408002842</v>
      </c>
      <c r="Q36" s="38">
        <f t="shared" si="63"/>
        <v>0.28004240854330947</v>
      </c>
      <c r="R36" s="38">
        <f t="shared" ca="1" si="63"/>
        <v>0.2776608489361182</v>
      </c>
      <c r="S36" s="38">
        <f t="shared" ca="1" si="63"/>
        <v>0.27901284455929831</v>
      </c>
      <c r="T36" s="38">
        <f t="shared" si="63"/>
        <v>0.29238042477242981</v>
      </c>
      <c r="U36" s="38">
        <f t="shared" si="63"/>
        <v>0.3260260106220163</v>
      </c>
      <c r="V36" s="38">
        <f t="shared" si="63"/>
        <v>0.37409767732971405</v>
      </c>
      <c r="W36" s="38">
        <f t="shared" si="63"/>
        <v>0.42630324230311922</v>
      </c>
      <c r="X36" s="38">
        <f t="shared" si="63"/>
        <v>0.44265654822814821</v>
      </c>
      <c r="Y36" s="38">
        <f t="shared" si="63"/>
        <v>0.41852575076392634</v>
      </c>
      <c r="Z36" s="38">
        <f t="shared" si="63"/>
        <v>0.44365023810866111</v>
      </c>
      <c r="AA36" s="38">
        <f t="shared" si="63"/>
        <v>0.41704198487471256</v>
      </c>
      <c r="AB36" s="38">
        <f t="shared" ca="1" si="63"/>
        <v>0.44367525394427965</v>
      </c>
      <c r="AC36" s="38">
        <f t="shared" ca="1" si="63"/>
        <v>0.40692628863112457</v>
      </c>
      <c r="AD36" s="38">
        <f t="shared" ca="1" si="63"/>
        <v>0.45399924846724782</v>
      </c>
      <c r="AE36" s="38">
        <f t="shared" ca="1" si="63"/>
        <v>0.45811864124920676</v>
      </c>
      <c r="AF36" s="38">
        <f t="shared" ca="1" si="63"/>
        <v>0.46075577018922848</v>
      </c>
      <c r="AG36" s="39">
        <f t="shared" ref="AG36:AL36" ca="1" si="64">+AG35/AG18</f>
        <v>0.46298234894687362</v>
      </c>
      <c r="AH36" s="39">
        <f t="shared" ca="1" si="64"/>
        <v>0.46422439032108653</v>
      </c>
      <c r="AI36" s="39">
        <f t="shared" ca="1" si="64"/>
        <v>0.46436241832322583</v>
      </c>
      <c r="AJ36" s="39">
        <f t="shared" ca="1" si="64"/>
        <v>0.46288297558009811</v>
      </c>
      <c r="AK36" s="39">
        <f t="shared" ca="1" si="64"/>
        <v>0.46123969397404641</v>
      </c>
      <c r="AL36" s="39">
        <f t="shared" ca="1" si="64"/>
        <v>0.45936995849686213</v>
      </c>
      <c r="AM36" s="39">
        <f ca="1">+AM35/AM18</f>
        <v>0.45723363608538026</v>
      </c>
      <c r="AN36" s="39">
        <f ca="1">+AN35/AN18</f>
        <v>0.45483056562034846</v>
      </c>
      <c r="AO36" s="38"/>
      <c r="AP36" s="38"/>
      <c r="AQ36" s="38"/>
      <c r="AR36" s="38"/>
      <c r="AS36" s="38"/>
      <c r="AT36" s="38"/>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c r="CD36" s="6"/>
      <c r="CE36" s="6"/>
      <c r="CF36" s="6"/>
      <c r="CG36" s="6"/>
      <c r="CH36" s="6"/>
      <c r="CI36" s="6"/>
      <c r="CJ36" s="6"/>
      <c r="CK36" s="6"/>
      <c r="CL36" s="6"/>
      <c r="CM36" s="6"/>
      <c r="CN36" s="6"/>
      <c r="CO36" s="6"/>
      <c r="CP36" s="6"/>
      <c r="CQ36" s="11"/>
      <c r="CR36" s="6"/>
      <c r="CS36" s="6"/>
      <c r="CT36" s="6"/>
      <c r="CU36" s="6"/>
      <c r="CV36" s="11"/>
      <c r="CW36" s="6"/>
      <c r="CX36" s="6"/>
      <c r="CY36" s="6"/>
      <c r="CZ36" s="6"/>
      <c r="DA36" s="11"/>
      <c r="DB36" s="6"/>
      <c r="DC36" s="126"/>
      <c r="DD36" s="6"/>
      <c r="DE36" s="6"/>
      <c r="DF36" s="6"/>
      <c r="DG36" s="6"/>
      <c r="DH36" s="6"/>
    </row>
    <row r="37" spans="1:139">
      <c r="A37" s="552" t="s">
        <v>746</v>
      </c>
      <c r="B37" s="6"/>
      <c r="C37" s="38"/>
      <c r="D37" s="38"/>
      <c r="E37" s="38"/>
      <c r="F37" s="38"/>
      <c r="G37" s="38"/>
      <c r="H37" s="38"/>
      <c r="I37" s="38"/>
      <c r="J37" s="38"/>
      <c r="K37" s="38"/>
      <c r="L37" s="38"/>
      <c r="M37" s="38"/>
      <c r="N37" s="38"/>
      <c r="O37" s="38">
        <f t="shared" ref="O37:AF37" si="65">+O35/N35-1</f>
        <v>-2.153044265026316E-2</v>
      </c>
      <c r="P37" s="38">
        <f t="shared" si="65"/>
        <v>0.12479205964202267</v>
      </c>
      <c r="Q37" s="38">
        <f t="shared" si="65"/>
        <v>1.853519106102075E-2</v>
      </c>
      <c r="R37" s="38">
        <f t="shared" ca="1" si="65"/>
        <v>6.868352433988667E-2</v>
      </c>
      <c r="S37" s="38">
        <f t="shared" ca="1" si="65"/>
        <v>5.5112695613293905E-2</v>
      </c>
      <c r="T37" s="38">
        <f t="shared" ca="1" si="65"/>
        <v>5.0512766453202351E-2</v>
      </c>
      <c r="U37" s="38">
        <f t="shared" si="65"/>
        <v>0.18069708142142549</v>
      </c>
      <c r="V37" s="38">
        <f t="shared" si="65"/>
        <v>0.2517051498141607</v>
      </c>
      <c r="W37" s="38">
        <f t="shared" si="65"/>
        <v>0.2486658747327477</v>
      </c>
      <c r="X37" s="38">
        <f t="shared" si="65"/>
        <v>0.13419987525094612</v>
      </c>
      <c r="Y37" s="38">
        <f t="shared" si="65"/>
        <v>0.11056775833286436</v>
      </c>
      <c r="Z37" s="38">
        <f t="shared" si="65"/>
        <v>0.11409986152241425</v>
      </c>
      <c r="AA37" s="38">
        <f t="shared" si="65"/>
        <v>-3.2344898504064745E-2</v>
      </c>
      <c r="AB37" s="38">
        <f t="shared" ca="1" si="65"/>
        <v>1.89768171387108E-2</v>
      </c>
      <c r="AC37" s="38">
        <f t="shared" ca="1" si="65"/>
        <v>6.2811387510860461E-2</v>
      </c>
      <c r="AD37" s="38">
        <f t="shared" ca="1" si="65"/>
        <v>3.4886756974191968E-2</v>
      </c>
      <c r="AE37" s="38">
        <f t="shared" ca="1" si="65"/>
        <v>6.110657039849765E-2</v>
      </c>
      <c r="AF37" s="38">
        <f t="shared" ca="1" si="65"/>
        <v>5.3972234804356978E-2</v>
      </c>
      <c r="AG37" s="39">
        <f t="shared" ref="AG37:AN37" ca="1" si="66">+AG35/AF35-1</f>
        <v>5.1895157897455801E-2</v>
      </c>
      <c r="AH37" s="39">
        <f t="shared" ca="1" si="66"/>
        <v>4.7297582468542654E-2</v>
      </c>
      <c r="AI37" s="39">
        <f t="shared" ca="1" si="66"/>
        <v>4.1217438866151257E-2</v>
      </c>
      <c r="AJ37" s="39">
        <f t="shared" ca="1" si="66"/>
        <v>3.4185383494564681E-2</v>
      </c>
      <c r="AK37" s="39">
        <f t="shared" ca="1" si="66"/>
        <v>3.2110598834495185E-2</v>
      </c>
      <c r="AL37" s="39">
        <f t="shared" ca="1" si="66"/>
        <v>3.0899234477863802E-2</v>
      </c>
      <c r="AM37" s="39">
        <f t="shared" ca="1" si="66"/>
        <v>2.9578665058015874E-2</v>
      </c>
      <c r="AN37" s="39">
        <f t="shared" ca="1" si="66"/>
        <v>2.8237713892947269E-2</v>
      </c>
      <c r="AO37" s="38"/>
      <c r="AP37" s="38"/>
      <c r="AQ37" s="38"/>
      <c r="AR37" s="38"/>
      <c r="AS37" s="38"/>
      <c r="AT37" s="38"/>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c r="CD37" s="6"/>
      <c r="CE37" s="6"/>
      <c r="CF37" s="6"/>
      <c r="CG37" s="6"/>
      <c r="CH37" s="6"/>
      <c r="CI37" s="6"/>
      <c r="CJ37" s="6"/>
      <c r="CK37" s="6"/>
      <c r="CL37" s="6"/>
      <c r="CM37" s="6"/>
      <c r="CN37" s="6"/>
      <c r="CO37" s="6"/>
      <c r="CP37" s="6"/>
      <c r="CQ37" s="11"/>
      <c r="CR37" s="6"/>
      <c r="CS37" s="6"/>
      <c r="CT37" s="6"/>
      <c r="CU37" s="6"/>
      <c r="CV37" s="11"/>
      <c r="CW37" s="6"/>
      <c r="CX37" s="6"/>
      <c r="CY37" s="6"/>
      <c r="CZ37" s="6"/>
      <c r="DA37" s="11"/>
      <c r="DB37" s="6"/>
      <c r="DC37" s="6"/>
      <c r="DD37" s="6"/>
      <c r="DE37" s="6"/>
      <c r="DF37" s="6"/>
      <c r="DG37" s="6"/>
      <c r="DH37" s="6"/>
    </row>
    <row r="38" spans="1:139">
      <c r="A38" s="552" t="s">
        <v>686</v>
      </c>
      <c r="B38" s="553"/>
      <c r="C38" s="553"/>
      <c r="D38" s="553"/>
      <c r="E38" s="553"/>
      <c r="F38" s="553"/>
      <c r="G38" s="553"/>
      <c r="H38" s="553"/>
      <c r="I38" s="553"/>
      <c r="J38" s="553"/>
      <c r="K38" s="553"/>
      <c r="L38" s="553"/>
      <c r="M38" s="553"/>
      <c r="N38" s="553">
        <f>+N39*N18</f>
        <v>18.028010329905321</v>
      </c>
      <c r="O38" s="553">
        <f t="shared" ref="O38:AA38" si="67">+O39*O18</f>
        <v>15.737912219557584</v>
      </c>
      <c r="P38" s="553">
        <f t="shared" si="67"/>
        <v>14.409482986717469</v>
      </c>
      <c r="Q38" s="553">
        <f t="shared" si="67"/>
        <v>23.067129097435664</v>
      </c>
      <c r="R38" s="553">
        <f t="shared" si="67"/>
        <v>25.814461342375438</v>
      </c>
      <c r="S38" s="553">
        <f t="shared" si="67"/>
        <v>28.273740875170194</v>
      </c>
      <c r="T38" s="553">
        <f t="shared" si="67"/>
        <v>24.463772612691098</v>
      </c>
      <c r="U38" s="553">
        <f t="shared" si="67"/>
        <v>13.401486428345207</v>
      </c>
      <c r="V38" s="553">
        <f t="shared" si="67"/>
        <v>17.251655618224056</v>
      </c>
      <c r="W38" s="553">
        <f t="shared" si="67"/>
        <v>18.366971996133657</v>
      </c>
      <c r="X38" s="553">
        <f t="shared" si="67"/>
        <v>20.062215985585642</v>
      </c>
      <c r="Y38" s="553">
        <f t="shared" si="67"/>
        <v>21.63152857483249</v>
      </c>
      <c r="Z38" s="553">
        <f t="shared" si="67"/>
        <v>22.328454362217901</v>
      </c>
      <c r="AA38" s="553">
        <f t="shared" si="67"/>
        <v>21.938824166046949</v>
      </c>
      <c r="AB38" s="553">
        <f t="shared" ref="AB38:AH38" si="68">+AB39*AB18</f>
        <v>20.612474315258424</v>
      </c>
      <c r="AC38" s="553">
        <f t="shared" si="68"/>
        <v>23.885579676999559</v>
      </c>
      <c r="AD38" s="553">
        <f t="shared" si="68"/>
        <v>21.940525112473001</v>
      </c>
      <c r="AE38" s="553">
        <f t="shared" si="68"/>
        <v>22.845419273002484</v>
      </c>
      <c r="AF38" s="553">
        <f t="shared" si="68"/>
        <v>23.703296277284011</v>
      </c>
      <c r="AG38" s="561">
        <f t="shared" si="68"/>
        <v>24.813472738935072</v>
      </c>
      <c r="AH38" s="561">
        <f t="shared" si="68"/>
        <v>25.917561047989505</v>
      </c>
      <c r="AI38" s="561">
        <f t="shared" ref="AI38:AN38" si="69">+AI39*AI18</f>
        <v>26.977795218652151</v>
      </c>
      <c r="AJ38" s="561">
        <f t="shared" si="69"/>
        <v>27.989214170717965</v>
      </c>
      <c r="AK38" s="561">
        <f t="shared" si="69"/>
        <v>28.990885187402181</v>
      </c>
      <c r="AL38" s="561">
        <f t="shared" si="69"/>
        <v>30.00832662910592</v>
      </c>
      <c r="AM38" s="561">
        <f t="shared" si="69"/>
        <v>31.040287242156694</v>
      </c>
      <c r="AN38" s="561">
        <f t="shared" si="69"/>
        <v>32.08542449088565</v>
      </c>
      <c r="AO38" s="38"/>
      <c r="AP38" s="553"/>
      <c r="AQ38" s="553"/>
      <c r="AR38" s="553"/>
      <c r="AS38" s="553"/>
      <c r="AT38" s="553"/>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c r="CD38" s="6"/>
      <c r="CE38" s="6"/>
      <c r="CF38" s="6"/>
      <c r="CG38" s="6"/>
      <c r="CH38" s="6"/>
      <c r="CI38" s="6"/>
      <c r="CJ38" s="6"/>
      <c r="CK38" s="6"/>
      <c r="CL38" s="6"/>
      <c r="CM38" s="6"/>
      <c r="CN38" s="6"/>
      <c r="CO38" s="6"/>
      <c r="CP38" s="6"/>
      <c r="CQ38" s="11"/>
      <c r="CR38" s="6"/>
      <c r="CS38" s="6"/>
      <c r="CT38" s="6"/>
      <c r="CU38" s="6"/>
      <c r="CV38" s="11"/>
      <c r="CW38" s="6"/>
      <c r="CX38" s="6"/>
      <c r="CY38" s="6"/>
      <c r="CZ38" s="6"/>
      <c r="DA38" s="11"/>
      <c r="DB38" s="6"/>
      <c r="DC38" s="6"/>
      <c r="DD38" s="6"/>
      <c r="DE38" s="6"/>
      <c r="DF38" s="6"/>
      <c r="DG38" s="6"/>
      <c r="DH38" s="6"/>
    </row>
    <row r="39" spans="1:139" s="2807" customFormat="1">
      <c r="A39" s="3551" t="s">
        <v>1102</v>
      </c>
      <c r="B39" s="2897"/>
      <c r="C39" s="3153"/>
      <c r="D39" s="3153"/>
      <c r="E39" s="3153"/>
      <c r="F39" s="3153"/>
      <c r="G39" s="3153"/>
      <c r="H39" s="3153"/>
      <c r="I39" s="3153"/>
      <c r="J39" s="3153"/>
      <c r="K39" s="3153"/>
      <c r="L39" s="3153"/>
      <c r="M39" s="3153"/>
      <c r="N39" s="3552">
        <f>'Segment Detail'!Y161</f>
        <v>1.7537567693576731E-2</v>
      </c>
      <c r="O39" s="3552">
        <f>'Segment Detail'!Z161</f>
        <v>1.5229537469039801E-2</v>
      </c>
      <c r="P39" s="3552">
        <f>'Segment Detail'!AA161</f>
        <v>1.4266814838334129E-2</v>
      </c>
      <c r="Q39" s="3552">
        <f>'Segment Detail'!AB161</f>
        <v>2.1979265358515916E-2</v>
      </c>
      <c r="R39" s="3552">
        <f>'Segment Detail'!AC161</f>
        <v>2.2820461468731224E-2</v>
      </c>
      <c r="S39" s="3552">
        <f>'Segment Detail'!AD161</f>
        <v>2.3804295313803858E-2</v>
      </c>
      <c r="T39" s="3552">
        <f>'Segment Detail'!AE161</f>
        <v>2.0545572566009501E-2</v>
      </c>
      <c r="U39" s="3552">
        <f>'Segment Detail'!AF161</f>
        <v>1.0629510264246972E-2</v>
      </c>
      <c r="V39" s="3552">
        <f>'Segment Detail'!AG161</f>
        <v>1.2543588196196595E-2</v>
      </c>
      <c r="W39" s="3552">
        <f>'Segment Detail'!AH161</f>
        <v>1.218753715206102E-2</v>
      </c>
      <c r="X39" s="3552">
        <f>'Segment Detail'!AI161</f>
        <v>1.218753715206102E-2</v>
      </c>
      <c r="Y39" s="3552">
        <f>'Segment Detail'!AJ161</f>
        <v>1.1187537152061021E-2</v>
      </c>
      <c r="Z39" s="3552">
        <f>'Segment Detail'!AK161</f>
        <v>1.098753715206102E-2</v>
      </c>
      <c r="AA39" s="3552">
        <f>'Segment Detail'!AL161</f>
        <v>1.048753715206102E-2</v>
      </c>
      <c r="AB39" s="3552">
        <f>'Segment Detail'!AM161</f>
        <v>1.0287537152061019E-2</v>
      </c>
      <c r="AC39" s="3552">
        <f>'Segment Detail'!AN161</f>
        <v>1.0287537152061019E-2</v>
      </c>
      <c r="AD39" s="3552">
        <f>'Segment Detail'!AO161</f>
        <v>1.018753715206102E-2</v>
      </c>
      <c r="AE39" s="3552">
        <f>'Segment Detail'!AP161</f>
        <v>1.0087537152061021E-2</v>
      </c>
      <c r="AF39" s="3552">
        <f>'Segment Detail'!AQ161</f>
        <v>9.9875371520610212E-3</v>
      </c>
      <c r="AG39" s="3552">
        <f>'Segment Detail'!AR161</f>
        <v>9.9875371520610212E-3</v>
      </c>
      <c r="AH39" s="3552">
        <f>'Segment Detail'!AS161</f>
        <v>9.9875371520610212E-3</v>
      </c>
      <c r="AI39" s="3552">
        <f>'Segment Detail'!AT161</f>
        <v>9.9875371520610212E-3</v>
      </c>
      <c r="AJ39" s="3552">
        <f>'Segment Detail'!AU161</f>
        <v>9.9875371520610212E-3</v>
      </c>
      <c r="AK39" s="3552">
        <f>'Segment Detail'!AV161</f>
        <v>9.9875371520610212E-3</v>
      </c>
      <c r="AL39" s="3552">
        <f>'Segment Detail'!AW161</f>
        <v>9.9875371520610212E-3</v>
      </c>
      <c r="AM39" s="3552">
        <f>'Segment Detail'!AX161</f>
        <v>9.9875371520610212E-3</v>
      </c>
      <c r="AN39" s="3552">
        <f>'Segment Detail'!AY161</f>
        <v>9.9875371520610212E-3</v>
      </c>
      <c r="AO39" s="38"/>
      <c r="AP39" s="3552"/>
      <c r="AQ39" s="3552"/>
      <c r="AR39" s="3552"/>
      <c r="AS39" s="3552"/>
      <c r="AT39" s="3552"/>
      <c r="AU39" s="2862"/>
      <c r="AV39" s="2862"/>
      <c r="AW39" s="2862"/>
      <c r="AX39" s="2862"/>
      <c r="AY39" s="2862"/>
      <c r="AZ39" s="2862"/>
      <c r="BA39" s="2862"/>
      <c r="BB39" s="2862"/>
      <c r="BC39" s="2862"/>
      <c r="BD39" s="2862"/>
      <c r="BE39" s="2862"/>
      <c r="BF39" s="2862"/>
      <c r="BG39" s="2862"/>
      <c r="BH39" s="2862"/>
      <c r="BI39" s="2862"/>
      <c r="BJ39" s="2862"/>
      <c r="BK39" s="2862"/>
      <c r="BL39" s="2862"/>
      <c r="BM39" s="2862"/>
      <c r="BN39" s="2862"/>
      <c r="BO39" s="2862"/>
      <c r="BP39" s="2862"/>
      <c r="BQ39" s="2862"/>
      <c r="BR39" s="2862"/>
      <c r="BS39" s="2862"/>
      <c r="BT39" s="2862"/>
      <c r="BU39" s="2862"/>
      <c r="BV39" s="2862"/>
      <c r="BW39" s="2862"/>
      <c r="BX39" s="2862"/>
      <c r="BY39" s="2862"/>
      <c r="BZ39" s="2862"/>
      <c r="CA39" s="2862"/>
      <c r="CB39" s="2862"/>
      <c r="CC39" s="2862"/>
      <c r="CD39" s="2862"/>
      <c r="CE39" s="2862"/>
      <c r="CF39" s="2862"/>
      <c r="CG39" s="2862"/>
      <c r="CH39" s="2862"/>
      <c r="CI39" s="2862"/>
      <c r="CJ39" s="2862"/>
      <c r="CK39" s="2862"/>
      <c r="CL39" s="2862"/>
      <c r="CM39" s="2862"/>
      <c r="CN39" s="2862"/>
      <c r="CO39" s="2862"/>
      <c r="CP39" s="2862"/>
      <c r="CQ39" s="2862"/>
      <c r="CR39" s="2862"/>
      <c r="CS39" s="2862"/>
      <c r="CT39" s="2862"/>
      <c r="CU39" s="2862"/>
      <c r="CV39" s="2862"/>
      <c r="CW39" s="2862"/>
      <c r="CX39" s="2862"/>
      <c r="CY39" s="2862"/>
      <c r="CZ39" s="2862"/>
      <c r="DA39" s="2862"/>
      <c r="DB39" s="2862"/>
      <c r="DC39" s="2862"/>
      <c r="DD39" s="2862"/>
      <c r="DE39" s="2862"/>
      <c r="DF39" s="2862"/>
      <c r="DG39" s="2862"/>
      <c r="DH39" s="2862"/>
    </row>
    <row r="40" spans="1:139" s="2807" customFormat="1">
      <c r="A40" s="3477" t="s">
        <v>1827</v>
      </c>
      <c r="B40" s="3350"/>
      <c r="C40" s="3350"/>
      <c r="D40" s="3350"/>
      <c r="E40" s="3350"/>
      <c r="F40" s="3350"/>
      <c r="G40" s="3350"/>
      <c r="H40" s="3350"/>
      <c r="I40" s="3350"/>
      <c r="J40" s="3350"/>
      <c r="K40" s="3350"/>
      <c r="L40" s="3350"/>
      <c r="M40" s="3350"/>
      <c r="N40" s="3350"/>
      <c r="O40" s="3350"/>
      <c r="P40" s="3350"/>
      <c r="Q40" s="3350"/>
      <c r="R40" s="3350"/>
      <c r="S40" s="3350"/>
      <c r="T40" s="2862"/>
      <c r="U40" s="2862"/>
      <c r="V40" s="2862"/>
      <c r="W40" s="2862"/>
      <c r="X40" s="2862"/>
      <c r="Y40" s="2862"/>
      <c r="Z40" s="2862"/>
      <c r="AA40" s="2862"/>
      <c r="AB40" s="2862"/>
      <c r="AC40" s="2932">
        <f>-'Free Cash Flow'!T11*1/3</f>
        <v>278.14892970929833</v>
      </c>
      <c r="AD40" s="2932">
        <f>-'Free Cash Flow'!U11*1/3</f>
        <v>294.08262470259325</v>
      </c>
      <c r="AE40" s="2932">
        <f>-'Free Cash Flow'!V11*1/3</f>
        <v>217.89524043125229</v>
      </c>
      <c r="AF40" s="2932">
        <f>-'Free Cash Flow'!W11*1/3</f>
        <v>181.66132240707657</v>
      </c>
      <c r="AG40" s="2932">
        <f>-'Free Cash Flow'!X11*1/3</f>
        <v>177.57483986208538</v>
      </c>
      <c r="AH40" s="2932">
        <f>-'Free Cash Flow'!Y11*1/3</f>
        <v>186.46306935658967</v>
      </c>
      <c r="AI40" s="2932">
        <f>-'Free Cash Flow'!Z11*1/3</f>
        <v>162.90027657622514</v>
      </c>
      <c r="AJ40" s="2932">
        <f>-'Free Cash Flow'!AA11*1/3</f>
        <v>153.70758698158696</v>
      </c>
      <c r="AK40" s="2932">
        <f>-'Free Cash Flow'!AB11*1/3</f>
        <v>149.30342340795175</v>
      </c>
      <c r="AL40" s="2932">
        <f>-'Free Cash Flow'!AC11*1/3</f>
        <v>135.59983323800176</v>
      </c>
      <c r="AM40" s="2932">
        <f>-'Free Cash Flow'!AD11*1/3</f>
        <v>134.14567589385561</v>
      </c>
      <c r="AN40" s="2932">
        <v>0</v>
      </c>
      <c r="AO40" s="38"/>
      <c r="AP40" s="2862"/>
      <c r="AQ40" s="2862"/>
      <c r="AR40" s="2862"/>
      <c r="AS40" s="2862"/>
      <c r="AT40" s="2862"/>
      <c r="AU40" s="2862"/>
      <c r="AV40" s="2862"/>
      <c r="AW40" s="2862"/>
      <c r="AX40" s="2862"/>
      <c r="AY40" s="2862"/>
      <c r="AZ40" s="2862"/>
      <c r="BA40" s="2862"/>
      <c r="BB40" s="2862"/>
      <c r="BC40" s="2862"/>
      <c r="BD40" s="2862"/>
      <c r="BE40" s="2862"/>
      <c r="BF40" s="2862"/>
      <c r="BG40" s="2862"/>
      <c r="BH40" s="2862"/>
      <c r="BI40" s="2862"/>
      <c r="BJ40" s="2862"/>
      <c r="BK40" s="2862"/>
      <c r="BL40" s="2862"/>
      <c r="BM40" s="2862"/>
      <c r="BN40" s="2862"/>
      <c r="BO40" s="2862"/>
      <c r="BP40" s="2862"/>
      <c r="BQ40" s="2862"/>
      <c r="BR40" s="2862"/>
      <c r="BS40" s="2862"/>
      <c r="BT40" s="2862"/>
      <c r="BU40" s="2862"/>
      <c r="BV40" s="2862"/>
      <c r="BW40" s="2862"/>
      <c r="BX40" s="2862"/>
      <c r="BY40" s="2862"/>
      <c r="BZ40" s="2862"/>
      <c r="CA40" s="2862"/>
      <c r="CB40" s="2862"/>
      <c r="CC40" s="2862"/>
      <c r="CD40" s="2862"/>
      <c r="CE40" s="2862"/>
      <c r="CF40" s="2862"/>
      <c r="CG40" s="2862"/>
      <c r="CH40" s="2862"/>
      <c r="CI40" s="2862"/>
      <c r="CJ40" s="2862"/>
      <c r="CK40" s="2862"/>
      <c r="CL40" s="2862"/>
      <c r="CM40" s="2862"/>
      <c r="CN40" s="2862"/>
      <c r="CO40" s="2862"/>
      <c r="CP40" s="2862"/>
      <c r="CQ40" s="2862"/>
      <c r="CR40" s="2862"/>
      <c r="CS40" s="2862"/>
      <c r="CT40" s="2862"/>
      <c r="CU40" s="2862"/>
      <c r="CV40" s="2862"/>
      <c r="CW40" s="2862"/>
      <c r="CX40" s="2862"/>
      <c r="CY40" s="2862"/>
      <c r="CZ40" s="2862"/>
      <c r="DA40" s="2862"/>
      <c r="DB40" s="2862"/>
      <c r="DC40" s="2862"/>
      <c r="DD40" s="2862"/>
      <c r="DE40" s="2862"/>
      <c r="DF40" s="2862"/>
      <c r="DG40" s="2862"/>
      <c r="DH40" s="2862"/>
    </row>
    <row r="41" spans="1:139" s="2807" customFormat="1">
      <c r="A41" s="2806" t="s">
        <v>74</v>
      </c>
      <c r="B41" s="2878"/>
      <c r="C41" s="2878"/>
      <c r="D41" s="2878"/>
      <c r="E41" s="2878"/>
      <c r="F41" s="2878"/>
      <c r="G41" s="2878"/>
      <c r="H41" s="2878"/>
      <c r="I41" s="2878"/>
      <c r="J41" s="2878"/>
      <c r="K41" s="2878"/>
      <c r="L41" s="2878"/>
      <c r="M41" s="2878"/>
      <c r="N41" s="2878"/>
      <c r="O41" s="2878"/>
      <c r="P41" s="2878"/>
      <c r="Q41" s="2804">
        <f t="shared" ref="Q41:AD41" si="70">Q90*Q35</f>
        <v>72.00626135076935</v>
      </c>
      <c r="R41" s="2804">
        <f t="shared" ca="1" si="70"/>
        <v>76.951905154879157</v>
      </c>
      <c r="S41" s="2804">
        <f t="shared" ca="1" si="70"/>
        <v>81.192932080543073</v>
      </c>
      <c r="T41" s="2804">
        <f t="shared" si="70"/>
        <v>85.294211696378269</v>
      </c>
      <c r="U41" s="2804">
        <f t="shared" si="70"/>
        <v>100.70662681205502</v>
      </c>
      <c r="V41" s="2804">
        <f>V90*V35</f>
        <v>126.05500340106211</v>
      </c>
      <c r="W41" s="2804">
        <f t="shared" si="70"/>
        <v>157.40058108622671</v>
      </c>
      <c r="X41" s="2804">
        <f t="shared" si="70"/>
        <v>178.52371943242477</v>
      </c>
      <c r="Y41" s="2804">
        <f t="shared" si="70"/>
        <v>198.26268689931317</v>
      </c>
      <c r="Z41" s="2804">
        <f t="shared" si="70"/>
        <v>220.8844320195866</v>
      </c>
      <c r="AA41" s="2804">
        <f t="shared" si="70"/>
        <v>213.73994748478506</v>
      </c>
      <c r="AB41" s="2804">
        <f t="shared" ca="1" si="70"/>
        <v>217.79605138344147</v>
      </c>
      <c r="AC41" s="2804">
        <f t="shared" ca="1" si="70"/>
        <v>231.47612356522205</v>
      </c>
      <c r="AD41" s="2804">
        <f t="shared" ca="1" si="70"/>
        <v>239.55157483337001</v>
      </c>
      <c r="AE41" s="2804">
        <f t="shared" ref="AE41:AJ41" ca="1" si="71">AE90*AE35</f>
        <v>254.18975000499631</v>
      </c>
      <c r="AF41" s="2804">
        <f t="shared" ca="1" si="71"/>
        <v>267.90893887712679</v>
      </c>
      <c r="AG41" s="2804">
        <f t="shared" ca="1" si="71"/>
        <v>281.81211556229516</v>
      </c>
      <c r="AH41" s="2804">
        <f t="shared" ca="1" si="71"/>
        <v>295.14114733873726</v>
      </c>
      <c r="AI41" s="2804">
        <f t="shared" ca="1" si="71"/>
        <v>307.30610953605748</v>
      </c>
      <c r="AJ41" s="2804">
        <f t="shared" ca="1" si="71"/>
        <v>317.81148674077031</v>
      </c>
      <c r="AK41" s="2804">
        <f ca="1">AK90*AK35</f>
        <v>328.0166038964976</v>
      </c>
      <c r="AL41" s="2804">
        <f ca="1">AL90*AL35</f>
        <v>338.15206585292805</v>
      </c>
      <c r="AM41" s="2804">
        <f ca="1">AM90*AM35</f>
        <v>348.15415254746796</v>
      </c>
      <c r="AN41" s="2804">
        <f ca="1">AN90*AN35</f>
        <v>357.98522989774483</v>
      </c>
      <c r="AO41" s="38"/>
      <c r="AP41" s="2804"/>
      <c r="AQ41" s="2804"/>
      <c r="AR41" s="2804"/>
      <c r="AS41" s="2804"/>
      <c r="AT41" s="2804"/>
      <c r="AU41" s="2806"/>
      <c r="AV41" s="2806"/>
      <c r="AW41" s="2806"/>
      <c r="AX41" s="2806"/>
      <c r="AY41" s="2806"/>
      <c r="AZ41" s="2806"/>
      <c r="BA41" s="2806"/>
      <c r="BB41" s="2806"/>
      <c r="BC41" s="2806"/>
      <c r="BD41" s="2806"/>
      <c r="BE41" s="2806"/>
      <c r="BF41" s="2806"/>
      <c r="BG41" s="2806"/>
      <c r="BH41" s="2806"/>
      <c r="BI41" s="2806"/>
      <c r="BJ41" s="2806"/>
      <c r="BK41" s="2806"/>
      <c r="BL41" s="2806"/>
      <c r="BM41" s="2806"/>
      <c r="BN41" s="2806"/>
      <c r="BO41" s="2806"/>
      <c r="BP41" s="2806"/>
      <c r="BQ41" s="2806"/>
      <c r="BR41" s="2806"/>
      <c r="BS41" s="2806"/>
      <c r="BT41" s="2806"/>
      <c r="BU41" s="2806"/>
      <c r="BV41" s="2806"/>
      <c r="BW41" s="2806"/>
      <c r="BX41" s="2806"/>
      <c r="BY41" s="2806"/>
      <c r="BZ41" s="2806"/>
      <c r="CA41" s="2806"/>
      <c r="CB41" s="2806"/>
      <c r="CC41" s="2806"/>
      <c r="CD41" s="2806"/>
      <c r="CE41" s="2806"/>
      <c r="CF41" s="2806"/>
      <c r="CG41" s="2806"/>
      <c r="CH41" s="2806"/>
      <c r="CI41" s="2806"/>
      <c r="CJ41" s="2806"/>
      <c r="CK41" s="2806"/>
      <c r="CL41" s="2806"/>
      <c r="CM41" s="2806"/>
      <c r="CN41" s="2806"/>
      <c r="CO41" s="2806"/>
      <c r="CP41" s="2806"/>
      <c r="CQ41" s="2806"/>
      <c r="CR41" s="2806"/>
      <c r="CS41" s="2806"/>
      <c r="CT41" s="2806"/>
      <c r="CU41" s="2806"/>
      <c r="CV41" s="2806"/>
      <c r="CW41" s="2806"/>
      <c r="CX41" s="2806"/>
      <c r="CY41" s="2806"/>
      <c r="CZ41" s="2806"/>
      <c r="DA41" s="2806"/>
      <c r="DB41" s="2806"/>
      <c r="DC41" s="2806"/>
      <c r="DD41" s="2806"/>
      <c r="DE41" s="2806"/>
      <c r="DF41" s="2806"/>
      <c r="DG41" s="2806"/>
      <c r="DH41" s="2806"/>
    </row>
    <row r="42" spans="1:139" s="2807" customFormat="1">
      <c r="A42" s="3478"/>
      <c r="B42" s="2862"/>
      <c r="C42" s="2862"/>
      <c r="D42" s="2862"/>
      <c r="E42" s="2862"/>
      <c r="F42" s="2862"/>
      <c r="G42" s="2862"/>
      <c r="H42" s="2862"/>
      <c r="I42" s="2862"/>
      <c r="J42" s="2862"/>
      <c r="K42" s="2862"/>
      <c r="L42" s="2862"/>
      <c r="M42" s="2862"/>
      <c r="N42" s="2862"/>
      <c r="O42" s="2862"/>
      <c r="P42" s="2862"/>
      <c r="Q42" s="2862"/>
      <c r="R42" s="2862"/>
      <c r="S42" s="2862"/>
      <c r="T42" s="2862"/>
      <c r="U42" s="2862"/>
      <c r="V42" s="2862"/>
      <c r="W42" s="2862"/>
      <c r="X42" s="2862"/>
      <c r="Y42" s="2862"/>
      <c r="Z42" s="2862"/>
      <c r="AA42" s="2862"/>
      <c r="AB42" s="2862"/>
      <c r="AC42" s="2862"/>
      <c r="AD42" s="2862"/>
      <c r="AE42" s="2862"/>
      <c r="AF42" s="2862"/>
      <c r="AG42" s="2862"/>
      <c r="AH42" s="2862"/>
      <c r="AI42" s="2862"/>
      <c r="AJ42" s="2862"/>
      <c r="AK42" s="2862"/>
      <c r="AL42" s="2862"/>
      <c r="AM42" s="2862"/>
      <c r="AN42" s="2862"/>
      <c r="AO42" s="38"/>
      <c r="AP42" s="2862"/>
      <c r="AQ42" s="2862"/>
      <c r="AR42" s="2862"/>
      <c r="AS42" s="2862"/>
      <c r="AT42" s="2862"/>
      <c r="AU42" s="2862"/>
      <c r="AV42" s="2862"/>
      <c r="AW42" s="2862"/>
      <c r="AX42" s="2862"/>
      <c r="AY42" s="2862"/>
      <c r="AZ42" s="2862"/>
      <c r="BA42" s="2862"/>
      <c r="BB42" s="2862"/>
      <c r="BC42" s="2862"/>
      <c r="BD42" s="2862"/>
      <c r="BE42" s="2862"/>
      <c r="BF42" s="2862"/>
      <c r="BG42" s="2862"/>
      <c r="BH42" s="2862"/>
      <c r="BI42" s="2862"/>
      <c r="BJ42" s="2862"/>
      <c r="BK42" s="2862"/>
      <c r="BL42" s="2862"/>
      <c r="BM42" s="2862"/>
      <c r="BN42" s="2862"/>
      <c r="BO42" s="2862"/>
      <c r="BP42" s="2862"/>
      <c r="BQ42" s="2862"/>
      <c r="BR42" s="2862"/>
      <c r="BS42" s="2862"/>
      <c r="BT42" s="2862"/>
      <c r="BU42" s="2862"/>
      <c r="BV42" s="2862"/>
      <c r="BW42" s="2862"/>
      <c r="BX42" s="2862"/>
      <c r="BY42" s="2862"/>
      <c r="BZ42" s="2862"/>
      <c r="CA42" s="2862"/>
      <c r="CB42" s="2862"/>
      <c r="CC42" s="2862"/>
      <c r="CD42" s="2862"/>
      <c r="CE42" s="2862"/>
      <c r="CF42" s="2862"/>
      <c r="CG42" s="2862"/>
      <c r="CH42" s="2862"/>
      <c r="CI42" s="2862"/>
      <c r="CJ42" s="2862"/>
      <c r="CK42" s="2862"/>
      <c r="CL42" s="2862"/>
      <c r="CM42" s="2862"/>
      <c r="CN42" s="2862"/>
      <c r="CO42" s="2862"/>
      <c r="CP42" s="2862"/>
      <c r="CQ42" s="2862"/>
      <c r="CR42" s="2862"/>
      <c r="CS42" s="2862"/>
      <c r="CT42" s="2862"/>
      <c r="CU42" s="2862"/>
      <c r="CV42" s="2862"/>
      <c r="CW42" s="2862"/>
      <c r="CX42" s="2862"/>
      <c r="CY42" s="2862"/>
      <c r="CZ42" s="2862"/>
      <c r="DA42" s="2862"/>
      <c r="DB42" s="2862"/>
      <c r="DC42" s="2862"/>
      <c r="DD42" s="2862"/>
      <c r="DE42" s="2862"/>
      <c r="DF42" s="2862"/>
      <c r="DG42" s="2862"/>
      <c r="DH42" s="2862"/>
    </row>
    <row r="43" spans="1:139" s="2807" customFormat="1">
      <c r="A43" s="3479" t="s">
        <v>75</v>
      </c>
      <c r="B43" s="2806"/>
      <c r="C43" s="2806"/>
      <c r="D43" s="2806"/>
      <c r="E43" s="2806"/>
      <c r="F43" s="2806"/>
      <c r="G43" s="2806"/>
      <c r="H43" s="2806"/>
      <c r="I43" s="2806"/>
      <c r="J43" s="2806"/>
      <c r="K43" s="2806"/>
      <c r="L43" s="2806"/>
      <c r="M43" s="2806"/>
      <c r="N43" s="2806"/>
      <c r="O43" s="2806"/>
      <c r="P43" s="2806"/>
      <c r="Q43" s="2806">
        <f>Q28-Q38-Q41</f>
        <v>216.80298861755853</v>
      </c>
      <c r="R43" s="2806">
        <f t="shared" ref="R43:AA43" ca="1" si="72">R28-R38-R41</f>
        <v>229.62567424299556</v>
      </c>
      <c r="S43" s="2806">
        <f t="shared" ca="1" si="72"/>
        <v>244.1947083431923</v>
      </c>
      <c r="T43" s="2806">
        <f t="shared" si="72"/>
        <v>261.29395477468057</v>
      </c>
      <c r="U43" s="2806">
        <f>U28-U38-U41</f>
        <v>321.83042717438877</v>
      </c>
      <c r="V43" s="2806">
        <f t="shared" si="72"/>
        <v>393.07141047438211</v>
      </c>
      <c r="W43" s="2806">
        <f t="shared" si="72"/>
        <v>489.06317902455487</v>
      </c>
      <c r="X43" s="2806">
        <f t="shared" si="72"/>
        <v>560.80552958614805</v>
      </c>
      <c r="Y43" s="2806">
        <f t="shared" si="72"/>
        <v>619.85713855142694</v>
      </c>
      <c r="Z43" s="2806">
        <f t="shared" si="72"/>
        <v>690.49834909620358</v>
      </c>
      <c r="AA43" s="2806">
        <f t="shared" si="72"/>
        <v>666.72524481716391</v>
      </c>
      <c r="AB43" s="2806">
        <f ca="1">AB28-AB38-AB40-AB41</f>
        <v>675.88269090329459</v>
      </c>
      <c r="AC43" s="2806">
        <f t="shared" ref="AC43:AN43" ca="1" si="73">AC28-AC38-AC40-AC41</f>
        <v>439.0021963043925</v>
      </c>
      <c r="AD43" s="2806">
        <f t="shared" ca="1" si="73"/>
        <v>446.34489654439818</v>
      </c>
      <c r="AE43" s="2806">
        <f t="shared" ca="1" si="73"/>
        <v>565.71786296405173</v>
      </c>
      <c r="AF43" s="2806">
        <f t="shared" ca="1" si="73"/>
        <v>643.96518960388903</v>
      </c>
      <c r="AG43" s="2806">
        <f t="shared" ca="1" si="73"/>
        <v>690.89754072572339</v>
      </c>
      <c r="AH43" s="2806">
        <f t="shared" ca="1" si="73"/>
        <v>723.08586851270309</v>
      </c>
      <c r="AI43" s="2806">
        <f t="shared" ca="1" si="73"/>
        <v>784.13792902614773</v>
      </c>
      <c r="AJ43" s="2806">
        <f t="shared" ca="1" si="73"/>
        <v>825.70559413653655</v>
      </c>
      <c r="AK43" s="2806">
        <f t="shared" ca="1" si="73"/>
        <v>861.55942989069581</v>
      </c>
      <c r="AL43" s="2806">
        <f t="shared" ca="1" si="73"/>
        <v>906.49806018352706</v>
      </c>
      <c r="AM43" s="2806">
        <f t="shared" ca="1" si="73"/>
        <v>938.77626220600473</v>
      </c>
      <c r="AN43" s="2806">
        <f t="shared" ca="1" si="73"/>
        <v>1103.2190112412648</v>
      </c>
      <c r="AO43" s="2802"/>
      <c r="AP43" s="2806"/>
      <c r="AQ43" s="2806"/>
      <c r="AR43" s="2806"/>
      <c r="AS43" s="2806"/>
      <c r="AT43" s="2806"/>
      <c r="AU43" s="2806"/>
      <c r="AV43" s="2806"/>
      <c r="AW43" s="2806"/>
      <c r="AX43" s="2806"/>
      <c r="AY43" s="2806"/>
      <c r="AZ43" s="2806"/>
      <c r="BA43" s="2806"/>
      <c r="BB43" s="2806"/>
      <c r="BC43" s="2806"/>
      <c r="BD43" s="2806"/>
      <c r="BE43" s="2806"/>
      <c r="BF43" s="2806"/>
      <c r="BG43" s="2806"/>
      <c r="BH43" s="2806"/>
      <c r="BI43" s="2806"/>
      <c r="BJ43" s="2806"/>
      <c r="BK43" s="2806"/>
      <c r="BL43" s="2806"/>
      <c r="BM43" s="2806"/>
      <c r="BN43" s="2806"/>
      <c r="BO43" s="2806"/>
      <c r="BP43" s="2806"/>
      <c r="BQ43" s="2806"/>
      <c r="BR43" s="2806"/>
      <c r="BS43" s="2806"/>
      <c r="BT43" s="2806"/>
      <c r="BU43" s="2806"/>
      <c r="BV43" s="2806"/>
      <c r="BW43" s="2806"/>
      <c r="BX43" s="2806"/>
      <c r="BY43" s="2806"/>
      <c r="BZ43" s="2806"/>
      <c r="CA43" s="2806"/>
      <c r="CB43" s="2806"/>
      <c r="CC43" s="2806"/>
      <c r="CD43" s="2806"/>
      <c r="CE43" s="2806"/>
      <c r="CF43" s="2806"/>
      <c r="CG43" s="2806"/>
      <c r="CH43" s="2806"/>
      <c r="CI43" s="2806"/>
      <c r="CJ43" s="2806"/>
      <c r="CK43" s="2806"/>
      <c r="CL43" s="2806"/>
      <c r="CM43" s="2806"/>
      <c r="CN43" s="2806"/>
      <c r="CO43" s="2806"/>
      <c r="CP43" s="2806"/>
      <c r="CQ43" s="2806"/>
      <c r="CR43" s="2806"/>
      <c r="CS43" s="2806"/>
      <c r="CT43" s="2806"/>
      <c r="CU43" s="2806"/>
      <c r="CV43" s="2806"/>
      <c r="CW43" s="2806"/>
      <c r="CX43" s="2806"/>
      <c r="CY43" s="2806"/>
      <c r="CZ43" s="2806"/>
      <c r="DA43" s="2806"/>
      <c r="DB43" s="2806"/>
      <c r="DC43" s="2806"/>
      <c r="DD43" s="2806"/>
      <c r="DE43" s="2806"/>
      <c r="DF43" s="2806"/>
      <c r="DG43" s="2806"/>
      <c r="DH43" s="2806"/>
    </row>
    <row r="44" spans="1:139">
      <c r="A44" s="483" t="s">
        <v>1103</v>
      </c>
      <c r="B44" s="38"/>
      <c r="C44" s="38"/>
      <c r="D44" s="38"/>
      <c r="E44" s="38"/>
      <c r="F44" s="38"/>
      <c r="G44" s="38"/>
      <c r="H44" s="38"/>
      <c r="I44" s="38"/>
      <c r="J44" s="38"/>
      <c r="K44" s="38"/>
      <c r="L44" s="38"/>
      <c r="M44" s="38"/>
      <c r="N44" s="38"/>
      <c r="O44" s="38"/>
      <c r="P44" s="38"/>
      <c r="Q44" s="38">
        <f>Q43/Q18</f>
        <v>0.20657839114770293</v>
      </c>
      <c r="R44" s="38">
        <f t="shared" ref="R44:AL44" ca="1" si="74">R43/R18</f>
        <v>0.20299334476880118</v>
      </c>
      <c r="S44" s="38">
        <f t="shared" ca="1" si="74"/>
        <v>0.20559299093578334</v>
      </c>
      <c r="T44" s="38">
        <f t="shared" si="74"/>
        <v>0.21944423674449196</v>
      </c>
      <c r="U44" s="38">
        <f t="shared" si="74"/>
        <v>0.25526271636269232</v>
      </c>
      <c r="V44" s="38">
        <f t="shared" si="74"/>
        <v>0.28580015818773752</v>
      </c>
      <c r="W44" s="38">
        <f t="shared" si="74"/>
        <v>0.32452141078679397</v>
      </c>
      <c r="X44" s="38">
        <f t="shared" si="74"/>
        <v>0.34068211765954215</v>
      </c>
      <c r="Y44" s="38">
        <f t="shared" si="74"/>
        <v>0.32058181845653616</v>
      </c>
      <c r="Z44" s="38">
        <f t="shared" si="74"/>
        <v>0.33978510742638468</v>
      </c>
      <c r="AA44" s="38">
        <f t="shared" si="74"/>
        <v>0.31871834708709895</v>
      </c>
      <c r="AB44" s="38">
        <f t="shared" ca="1" si="74"/>
        <v>0.33732817257923864</v>
      </c>
      <c r="AC44" s="38">
        <f t="shared" ca="1" si="74"/>
        <v>0.18907857650474832</v>
      </c>
      <c r="AD44" s="38">
        <f t="shared" ca="1" si="74"/>
        <v>0.20724915164377128</v>
      </c>
      <c r="AE44" s="38">
        <f t="shared" ca="1" si="74"/>
        <v>0.24979624545469889</v>
      </c>
      <c r="AF44" s="38">
        <f t="shared" ca="1" si="74"/>
        <v>0.27133889652160292</v>
      </c>
      <c r="AG44" s="38">
        <f t="shared" ca="1" si="74"/>
        <v>0.27808944474903435</v>
      </c>
      <c r="AH44" s="38">
        <f t="shared" ca="1" si="74"/>
        <v>0.27864685888185264</v>
      </c>
      <c r="AI44" s="38">
        <f t="shared" ca="1" si="74"/>
        <v>0.29029824843040369</v>
      </c>
      <c r="AJ44" s="38">
        <f t="shared" ca="1" si="74"/>
        <v>0.29464083013559417</v>
      </c>
      <c r="AK44" s="38">
        <f t="shared" ca="1" si="74"/>
        <v>0.29681248982632052</v>
      </c>
      <c r="AL44" s="38">
        <f t="shared" ca="1" si="74"/>
        <v>0.3017056954309742</v>
      </c>
      <c r="AM44" s="38">
        <f ca="1">AM43/AM18</f>
        <v>0.3020610834915714</v>
      </c>
      <c r="AN44" s="38">
        <f ca="1">AN43/AN18</f>
        <v>0.34340953989130213</v>
      </c>
      <c r="AO44" s="38"/>
      <c r="AP44" s="39"/>
      <c r="AQ44" s="39"/>
      <c r="AR44" s="39"/>
      <c r="AS44" s="39"/>
      <c r="AT44" s="39"/>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c r="CA44" s="6"/>
      <c r="CB44" s="6"/>
      <c r="CC44" s="6"/>
      <c r="CD44" s="6"/>
      <c r="CE44" s="6"/>
      <c r="CF44" s="6"/>
      <c r="CG44" s="6"/>
      <c r="CH44" s="6"/>
      <c r="CI44" s="6"/>
      <c r="CJ44" s="6"/>
      <c r="CK44" s="6"/>
      <c r="CL44" s="6"/>
      <c r="CM44" s="6"/>
      <c r="CN44" s="6"/>
      <c r="CO44" s="6"/>
      <c r="CP44" s="6"/>
      <c r="CQ44" s="11"/>
      <c r="CR44" s="6"/>
      <c r="CS44" s="6"/>
      <c r="CT44" s="6"/>
      <c r="CU44" s="6"/>
      <c r="CV44" s="11"/>
      <c r="CW44" s="6"/>
      <c r="CX44" s="6"/>
      <c r="CY44" s="6"/>
      <c r="CZ44" s="6"/>
      <c r="DA44" s="11"/>
      <c r="DB44" s="6"/>
      <c r="DC44" s="6"/>
      <c r="DD44" s="6"/>
      <c r="DE44" s="6"/>
      <c r="DF44" s="6"/>
      <c r="DG44" s="6"/>
      <c r="DH44" s="6"/>
    </row>
    <row r="45" spans="1:139">
      <c r="A45" s="483"/>
      <c r="B45" s="38"/>
      <c r="C45" s="38"/>
      <c r="D45" s="38"/>
      <c r="E45" s="38"/>
      <c r="F45" s="38"/>
      <c r="G45" s="38"/>
      <c r="H45" s="38"/>
      <c r="I45" s="38"/>
      <c r="J45" s="38"/>
      <c r="K45" s="38"/>
      <c r="L45" s="38"/>
      <c r="M45" s="38"/>
      <c r="N45" s="38"/>
      <c r="O45" s="38"/>
      <c r="P45" s="38"/>
      <c r="Q45" s="38"/>
      <c r="R45" s="38"/>
      <c r="S45" s="38"/>
      <c r="T45" s="38"/>
      <c r="U45" s="38"/>
      <c r="V45" s="38"/>
      <c r="W45" s="38"/>
      <c r="X45" s="38"/>
      <c r="Y45" s="38"/>
      <c r="Z45" s="39"/>
      <c r="AA45" s="39"/>
      <c r="AB45" s="39"/>
      <c r="AC45" s="39"/>
      <c r="AD45" s="39"/>
      <c r="AE45" s="39"/>
      <c r="AF45" s="39"/>
      <c r="AG45" s="39"/>
      <c r="AH45" s="39"/>
      <c r="AI45" s="39"/>
      <c r="AJ45" s="39"/>
      <c r="AK45" s="39"/>
      <c r="AL45" s="39"/>
      <c r="AM45" s="39"/>
      <c r="AN45" s="39"/>
      <c r="AO45" s="38"/>
      <c r="AP45" s="39"/>
      <c r="AQ45" s="39"/>
      <c r="AR45" s="39"/>
      <c r="AS45" s="39"/>
      <c r="AT45" s="39"/>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c r="CA45" s="6"/>
      <c r="CB45" s="6"/>
      <c r="CC45" s="6"/>
      <c r="CD45" s="6"/>
      <c r="CE45" s="6"/>
      <c r="CF45" s="6"/>
      <c r="CG45" s="6"/>
      <c r="CH45" s="6"/>
      <c r="CI45" s="6"/>
      <c r="CJ45" s="6"/>
      <c r="CK45" s="6"/>
      <c r="CL45" s="6"/>
      <c r="CM45" s="6"/>
      <c r="CN45" s="6"/>
      <c r="CO45" s="6"/>
      <c r="CP45" s="6"/>
      <c r="CQ45" s="11"/>
      <c r="CR45" s="6"/>
      <c r="CS45" s="6"/>
      <c r="CT45" s="6"/>
      <c r="CU45" s="6"/>
      <c r="CV45" s="11"/>
      <c r="CW45" s="6"/>
      <c r="CX45" s="6"/>
      <c r="CY45" s="6"/>
      <c r="CZ45" s="6"/>
      <c r="DA45" s="11"/>
      <c r="DB45" s="6"/>
      <c r="DC45" s="6"/>
      <c r="DD45" s="6"/>
      <c r="DE45" s="6"/>
      <c r="DF45" s="6"/>
      <c r="DG45" s="6"/>
      <c r="DH45" s="6"/>
    </row>
    <row r="46" spans="1:139">
      <c r="A46" s="933" t="s">
        <v>1004</v>
      </c>
      <c r="B46" s="6"/>
      <c r="C46" s="6"/>
      <c r="D46" s="6"/>
      <c r="E46" s="6"/>
      <c r="F46" s="6"/>
      <c r="G46" s="6"/>
      <c r="H46" s="6"/>
      <c r="I46" s="6"/>
      <c r="J46" s="6"/>
      <c r="K46" s="6"/>
      <c r="L46" s="6"/>
      <c r="M46" s="6"/>
      <c r="N46" s="6"/>
      <c r="O46" s="6"/>
      <c r="P46" s="6"/>
      <c r="Q46" s="6"/>
      <c r="R46" s="6"/>
      <c r="S46" s="6"/>
      <c r="T46" s="6"/>
      <c r="U46" s="6"/>
      <c r="V46" s="6"/>
      <c r="W46" s="6"/>
      <c r="X46" s="6"/>
      <c r="Y46" s="6"/>
      <c r="Z46" s="11"/>
      <c r="AA46" s="11"/>
      <c r="AB46" s="11"/>
      <c r="AC46" s="11"/>
      <c r="AD46" s="11"/>
      <c r="AE46" s="11"/>
      <c r="AF46" s="11"/>
      <c r="AG46" s="11"/>
      <c r="AH46" s="11"/>
      <c r="AI46" s="11"/>
      <c r="AJ46" s="11"/>
      <c r="AK46" s="11"/>
      <c r="AL46" s="11"/>
      <c r="AM46" s="11"/>
      <c r="AN46" s="11"/>
      <c r="AO46" s="11"/>
      <c r="AP46" s="11"/>
      <c r="AQ46" s="11"/>
      <c r="AR46" s="11"/>
      <c r="AS46" s="11"/>
      <c r="AT46" s="11"/>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c r="CD46" s="6"/>
      <c r="CE46" s="6"/>
      <c r="CF46" s="6"/>
      <c r="CG46" s="6"/>
      <c r="CH46" s="6"/>
      <c r="CI46" s="6"/>
      <c r="CJ46" s="6"/>
      <c r="CK46" s="6"/>
      <c r="CL46" s="6"/>
      <c r="CM46" s="6"/>
      <c r="CN46" s="6"/>
      <c r="CO46" s="6"/>
      <c r="CP46" s="6"/>
      <c r="CQ46" s="11"/>
      <c r="CR46" s="6"/>
      <c r="CS46" s="6"/>
      <c r="CT46" s="6"/>
      <c r="CU46" s="6"/>
      <c r="CV46" s="11"/>
      <c r="CW46" s="6"/>
      <c r="CX46" s="6"/>
      <c r="CY46" s="6"/>
      <c r="CZ46" s="6"/>
      <c r="DA46" s="11"/>
      <c r="DB46" s="6"/>
      <c r="DC46" s="6"/>
      <c r="DD46" s="6"/>
      <c r="DE46" s="6"/>
      <c r="DF46" s="6"/>
      <c r="DG46" s="6"/>
      <c r="DH46" s="6"/>
    </row>
    <row r="47" spans="1:139">
      <c r="A47" s="934"/>
      <c r="B47" s="6"/>
      <c r="C47" s="6"/>
      <c r="D47" s="6"/>
      <c r="E47" s="6"/>
      <c r="F47" s="6"/>
      <c r="G47" s="6"/>
      <c r="H47" s="6"/>
      <c r="I47" s="6"/>
      <c r="J47" s="6"/>
      <c r="K47" s="6"/>
      <c r="L47" s="6"/>
      <c r="M47" s="6"/>
      <c r="N47" s="6"/>
      <c r="O47" s="6"/>
      <c r="P47" s="6"/>
      <c r="Q47" s="6"/>
      <c r="R47" s="6"/>
      <c r="S47" s="6"/>
      <c r="T47" s="6"/>
      <c r="U47" s="6"/>
      <c r="V47" s="6"/>
      <c r="W47" s="6"/>
      <c r="X47" s="6"/>
      <c r="Y47" s="6"/>
      <c r="Z47" s="11"/>
      <c r="AA47" s="11"/>
      <c r="AB47" s="11"/>
      <c r="AC47" s="11"/>
      <c r="AD47" s="11"/>
      <c r="AE47" s="11"/>
      <c r="AF47" s="11"/>
      <c r="AG47" s="11"/>
      <c r="AH47" s="11"/>
      <c r="AI47" s="11"/>
      <c r="AJ47" s="11"/>
      <c r="AK47" s="11"/>
      <c r="AL47" s="11"/>
      <c r="AM47" s="11"/>
      <c r="AN47" s="11"/>
      <c r="AO47" s="11"/>
      <c r="AP47" s="11"/>
      <c r="AQ47" s="11"/>
      <c r="AR47" s="11"/>
      <c r="AS47" s="11"/>
      <c r="AT47" s="11"/>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c r="CD47" s="6"/>
      <c r="CE47" s="6"/>
      <c r="CF47" s="6"/>
      <c r="CG47" s="6"/>
      <c r="CH47" s="6"/>
      <c r="CI47" s="6"/>
      <c r="CJ47" s="6"/>
      <c r="CK47" s="6"/>
      <c r="CL47" s="6"/>
      <c r="CM47" s="6"/>
      <c r="CN47" s="6"/>
      <c r="CO47" s="6"/>
      <c r="CP47" s="6"/>
      <c r="CQ47" s="11"/>
      <c r="CR47" s="6"/>
      <c r="CS47" s="6"/>
      <c r="CT47" s="6"/>
      <c r="CU47" s="6"/>
      <c r="CV47" s="11"/>
      <c r="CW47" s="6"/>
      <c r="CX47" s="6"/>
      <c r="CY47" s="6"/>
      <c r="CZ47" s="6"/>
      <c r="DA47" s="11"/>
      <c r="DB47" s="6"/>
      <c r="DC47" s="6"/>
      <c r="DD47" s="6"/>
      <c r="DE47" s="6"/>
      <c r="DF47" s="6"/>
      <c r="DG47" s="6"/>
      <c r="DH47" s="6"/>
    </row>
    <row r="48" spans="1:139">
      <c r="A48" s="542" t="s">
        <v>990</v>
      </c>
      <c r="B48" s="122"/>
      <c r="C48" s="122"/>
      <c r="D48" s="122"/>
      <c r="E48" s="122"/>
      <c r="F48" s="122"/>
      <c r="G48" s="122"/>
      <c r="H48" s="122"/>
      <c r="I48" s="122"/>
      <c r="J48" s="122"/>
      <c r="K48" s="739"/>
      <c r="L48" s="739"/>
      <c r="M48" s="739"/>
      <c r="N48" s="739"/>
      <c r="O48" s="739"/>
      <c r="P48" s="739"/>
      <c r="Q48" s="739"/>
      <c r="R48" s="739"/>
      <c r="S48" s="739"/>
      <c r="T48" s="739"/>
      <c r="U48" s="739"/>
      <c r="V48" s="739"/>
      <c r="W48" s="739"/>
      <c r="X48" s="739"/>
      <c r="Y48" s="739"/>
      <c r="Z48" s="739"/>
      <c r="AA48" s="739"/>
      <c r="AB48" s="739"/>
      <c r="AC48" s="739"/>
      <c r="AD48" s="739"/>
      <c r="AE48" s="739"/>
      <c r="AF48" s="739"/>
      <c r="AG48" s="665"/>
      <c r="AH48" s="665"/>
      <c r="AI48" s="665"/>
      <c r="AJ48" s="665"/>
      <c r="AK48" s="665"/>
      <c r="AL48" s="665"/>
      <c r="AM48" s="739"/>
      <c r="AN48" s="739"/>
      <c r="AO48" s="739"/>
      <c r="AP48" s="739"/>
      <c r="AQ48" s="739"/>
      <c r="AR48" s="739"/>
      <c r="AS48" s="739"/>
      <c r="AT48" s="739"/>
      <c r="AU48" s="739"/>
      <c r="AV48" s="6"/>
      <c r="AW48" s="6"/>
      <c r="AX48" s="6"/>
      <c r="AY48" s="6"/>
      <c r="AZ48" s="6"/>
      <c r="BA48" s="6"/>
      <c r="BB48" s="6"/>
      <c r="BC48" s="6"/>
      <c r="BD48" s="6"/>
      <c r="BE48" s="6"/>
      <c r="BF48" s="6"/>
      <c r="BG48" s="6"/>
      <c r="BH48" s="6"/>
      <c r="BI48" s="6"/>
      <c r="BJ48" s="6"/>
      <c r="BK48" s="6"/>
      <c r="BL48" s="6"/>
      <c r="BM48" s="6"/>
      <c r="BN48" s="6"/>
      <c r="BO48" s="6"/>
      <c r="BP48" s="6"/>
      <c r="BQ48" s="6"/>
      <c r="BR48" s="6"/>
      <c r="BS48" s="6"/>
      <c r="BT48" s="254"/>
      <c r="BU48" s="6"/>
      <c r="BV48" s="6"/>
      <c r="BW48" s="6"/>
      <c r="BX48" s="6"/>
      <c r="BY48" s="254"/>
      <c r="BZ48" s="6"/>
      <c r="CA48" s="6"/>
      <c r="CB48" s="6"/>
      <c r="CC48" s="6"/>
      <c r="CD48" s="6"/>
      <c r="CE48" s="6"/>
      <c r="CF48" s="6"/>
      <c r="CG48" s="6"/>
      <c r="CH48" s="6"/>
      <c r="CI48" s="6"/>
      <c r="CJ48" s="6"/>
      <c r="CK48" s="6"/>
      <c r="CL48" s="6"/>
      <c r="CM48" s="6"/>
      <c r="CN48" s="254"/>
      <c r="CO48" s="6"/>
      <c r="CP48" s="6"/>
      <c r="CQ48" s="6"/>
      <c r="CR48" s="6"/>
      <c r="CS48" s="6"/>
      <c r="CT48" s="6"/>
      <c r="CU48" s="6"/>
      <c r="CV48" s="6"/>
      <c r="CW48" s="6"/>
      <c r="CX48" s="6"/>
      <c r="CY48" s="6"/>
      <c r="CZ48" s="6"/>
      <c r="DA48" s="6"/>
      <c r="DB48" s="6"/>
      <c r="DC48" s="6"/>
      <c r="DD48" s="6"/>
      <c r="DE48" s="6"/>
      <c r="DF48" s="6"/>
      <c r="DG48" s="6"/>
      <c r="DH48" s="6"/>
    </row>
    <row r="49" spans="1:112">
      <c r="A49" s="556" t="s">
        <v>991</v>
      </c>
      <c r="B49" s="928">
        <v>15</v>
      </c>
      <c r="C49" s="928">
        <v>15</v>
      </c>
      <c r="D49" s="928">
        <v>15</v>
      </c>
      <c r="E49" s="928">
        <v>15</v>
      </c>
      <c r="F49" s="928">
        <v>15</v>
      </c>
      <c r="G49" s="928">
        <v>15</v>
      </c>
      <c r="H49" s="928">
        <v>15</v>
      </c>
      <c r="I49" s="928">
        <v>15</v>
      </c>
      <c r="J49" s="928">
        <v>15</v>
      </c>
      <c r="K49" s="928">
        <v>15</v>
      </c>
      <c r="L49" s="928">
        <v>15</v>
      </c>
      <c r="M49" s="928">
        <v>15</v>
      </c>
      <c r="N49" s="928">
        <v>15</v>
      </c>
      <c r="O49" s="928">
        <v>15</v>
      </c>
      <c r="P49" s="928">
        <v>15</v>
      </c>
      <c r="Q49" s="928">
        <v>15</v>
      </c>
      <c r="R49" s="928">
        <v>15</v>
      </c>
      <c r="S49" s="928">
        <v>15</v>
      </c>
      <c r="T49" s="928">
        <v>15</v>
      </c>
      <c r="U49" s="928">
        <f>+T49</f>
        <v>15</v>
      </c>
      <c r="V49" s="928">
        <v>0</v>
      </c>
      <c r="W49" s="928">
        <v>0</v>
      </c>
      <c r="X49" s="928">
        <v>0</v>
      </c>
      <c r="Y49" s="928">
        <v>0</v>
      </c>
      <c r="Z49" s="928">
        <v>0</v>
      </c>
      <c r="AA49" s="928">
        <v>0</v>
      </c>
      <c r="AB49" s="928">
        <v>0</v>
      </c>
      <c r="AC49" s="928">
        <v>0</v>
      </c>
      <c r="AD49" s="928">
        <v>0</v>
      </c>
      <c r="AE49" s="928">
        <v>0</v>
      </c>
      <c r="AF49" s="928">
        <v>0</v>
      </c>
      <c r="AG49" s="1261">
        <v>0</v>
      </c>
      <c r="AH49" s="1261">
        <v>0</v>
      </c>
      <c r="AI49" s="1261">
        <v>0</v>
      </c>
      <c r="AJ49" s="1261">
        <v>0</v>
      </c>
      <c r="AK49" s="1261">
        <v>0</v>
      </c>
      <c r="AL49" s="1261">
        <v>0</v>
      </c>
      <c r="AM49" s="1261">
        <v>0</v>
      </c>
      <c r="AN49" s="1261">
        <v>0</v>
      </c>
      <c r="AO49" s="928"/>
      <c r="AP49" s="928"/>
      <c r="AQ49" s="928"/>
      <c r="AR49" s="928"/>
      <c r="AS49" s="928"/>
      <c r="AT49" s="928"/>
      <c r="AU49" s="739"/>
      <c r="AV49" s="6"/>
      <c r="AW49" s="6"/>
      <c r="AX49" s="6"/>
      <c r="AY49" s="6"/>
      <c r="AZ49" s="6"/>
      <c r="BA49" s="6"/>
      <c r="BB49" s="6"/>
      <c r="BC49" s="6"/>
      <c r="BD49" s="6"/>
      <c r="BE49" s="6"/>
      <c r="BF49" s="6"/>
      <c r="BG49" s="6"/>
      <c r="BH49" s="6"/>
      <c r="BI49" s="6"/>
      <c r="BJ49" s="6"/>
      <c r="BK49" s="6"/>
      <c r="BL49" s="6"/>
      <c r="BM49" s="6"/>
      <c r="BN49" s="6"/>
      <c r="BO49" s="6"/>
      <c r="BP49" s="6"/>
      <c r="BQ49" s="6"/>
      <c r="BR49" s="6"/>
      <c r="BS49" s="6"/>
      <c r="BT49" s="254"/>
      <c r="BU49" s="6"/>
      <c r="BV49" s="6"/>
      <c r="BW49" s="6"/>
      <c r="BX49" s="6"/>
      <c r="BY49" s="254"/>
      <c r="BZ49" s="6"/>
      <c r="CA49" s="6"/>
      <c r="CB49" s="6"/>
      <c r="CC49" s="6"/>
      <c r="CD49" s="6"/>
      <c r="CE49" s="6"/>
      <c r="CF49" s="6"/>
      <c r="CG49" s="6"/>
      <c r="CH49" s="6"/>
      <c r="CI49" s="6"/>
      <c r="CJ49" s="6"/>
      <c r="CK49" s="6"/>
      <c r="CL49" s="6"/>
      <c r="CM49" s="6"/>
      <c r="CN49" s="254"/>
      <c r="CO49" s="6"/>
      <c r="CP49" s="6"/>
      <c r="CQ49" s="6"/>
      <c r="CR49" s="6"/>
      <c r="CS49" s="6"/>
      <c r="CT49" s="6"/>
      <c r="CU49" s="6"/>
      <c r="CV49" s="6"/>
      <c r="CW49" s="6"/>
      <c r="CX49" s="6"/>
      <c r="CY49" s="6"/>
      <c r="CZ49" s="6"/>
      <c r="DA49" s="6"/>
      <c r="DB49" s="6"/>
      <c r="DC49" s="6"/>
      <c r="DD49" s="6"/>
      <c r="DE49" s="6"/>
      <c r="DF49" s="6"/>
      <c r="DG49" s="6"/>
      <c r="DH49" s="6"/>
    </row>
    <row r="50" spans="1:112">
      <c r="A50" s="556" t="s">
        <v>992</v>
      </c>
      <c r="B50" s="928">
        <v>0</v>
      </c>
      <c r="C50" s="928">
        <v>0</v>
      </c>
      <c r="D50" s="928">
        <v>0</v>
      </c>
      <c r="E50" s="928">
        <v>0</v>
      </c>
      <c r="F50" s="928">
        <v>0</v>
      </c>
      <c r="G50" s="928">
        <v>0</v>
      </c>
      <c r="H50" s="928">
        <v>0</v>
      </c>
      <c r="I50" s="928">
        <v>0</v>
      </c>
      <c r="J50" s="928">
        <v>5</v>
      </c>
      <c r="K50" s="928">
        <v>10</v>
      </c>
      <c r="L50" s="928">
        <v>10</v>
      </c>
      <c r="M50" s="928">
        <v>10</v>
      </c>
      <c r="N50" s="928">
        <v>10</v>
      </c>
      <c r="O50" s="928">
        <v>10</v>
      </c>
      <c r="P50" s="928">
        <v>10</v>
      </c>
      <c r="Q50" s="928">
        <v>10</v>
      </c>
      <c r="R50" s="928">
        <v>10</v>
      </c>
      <c r="S50" s="928">
        <v>10</v>
      </c>
      <c r="T50" s="928">
        <v>10</v>
      </c>
      <c r="U50" s="928">
        <f>+T50</f>
        <v>10</v>
      </c>
      <c r="V50" s="928">
        <v>0</v>
      </c>
      <c r="W50" s="928">
        <v>0</v>
      </c>
      <c r="X50" s="928">
        <v>0</v>
      </c>
      <c r="Y50" s="928">
        <v>0</v>
      </c>
      <c r="Z50" s="928">
        <v>0</v>
      </c>
      <c r="AA50" s="928">
        <v>0</v>
      </c>
      <c r="AB50" s="928">
        <v>0</v>
      </c>
      <c r="AC50" s="928">
        <v>0</v>
      </c>
      <c r="AD50" s="928">
        <v>0</v>
      </c>
      <c r="AE50" s="928">
        <v>0</v>
      </c>
      <c r="AF50" s="928">
        <v>0</v>
      </c>
      <c r="AG50" s="1261">
        <v>0</v>
      </c>
      <c r="AH50" s="1261">
        <v>0</v>
      </c>
      <c r="AI50" s="1261">
        <v>0</v>
      </c>
      <c r="AJ50" s="1261">
        <v>0</v>
      </c>
      <c r="AK50" s="1261">
        <v>0</v>
      </c>
      <c r="AL50" s="1261">
        <v>0</v>
      </c>
      <c r="AM50" s="1261">
        <v>0</v>
      </c>
      <c r="AN50" s="1261">
        <v>0</v>
      </c>
      <c r="AO50" s="928"/>
      <c r="AP50" s="928"/>
      <c r="AQ50" s="928"/>
      <c r="AR50" s="928"/>
      <c r="AS50" s="928"/>
      <c r="AT50" s="928"/>
      <c r="AU50" s="739"/>
      <c r="AV50" s="6"/>
      <c r="AW50" s="6"/>
      <c r="AX50" s="6"/>
      <c r="AY50" s="6"/>
      <c r="AZ50" s="6"/>
      <c r="BA50" s="6"/>
      <c r="BB50" s="6"/>
      <c r="BC50" s="6"/>
      <c r="BD50" s="6"/>
      <c r="BE50" s="6"/>
      <c r="BF50" s="6"/>
      <c r="BG50" s="6"/>
      <c r="BH50" s="6"/>
      <c r="BI50" s="6"/>
      <c r="BJ50" s="6"/>
      <c r="BK50" s="6"/>
      <c r="BL50" s="6"/>
      <c r="BM50" s="6"/>
      <c r="BN50" s="6"/>
      <c r="BO50" s="6"/>
      <c r="BP50" s="6"/>
      <c r="BQ50" s="6"/>
      <c r="BR50" s="6"/>
      <c r="BS50" s="6"/>
      <c r="BT50" s="254"/>
      <c r="BU50" s="6"/>
      <c r="BV50" s="6"/>
      <c r="BW50" s="6"/>
      <c r="BX50" s="6"/>
      <c r="BY50" s="254"/>
      <c r="BZ50" s="6"/>
      <c r="CA50" s="6"/>
      <c r="CB50" s="6"/>
      <c r="CC50" s="6"/>
      <c r="CD50" s="6"/>
      <c r="CE50" s="6"/>
      <c r="CF50" s="6"/>
      <c r="CG50" s="6"/>
      <c r="CH50" s="6"/>
      <c r="CI50" s="6"/>
      <c r="CJ50" s="6"/>
      <c r="CK50" s="6"/>
      <c r="CL50" s="6"/>
      <c r="CM50" s="6"/>
      <c r="CN50" s="254"/>
      <c r="CO50" s="6"/>
      <c r="CP50" s="6"/>
      <c r="CQ50" s="6"/>
      <c r="CR50" s="6"/>
      <c r="CS50" s="6"/>
      <c r="CT50" s="6"/>
      <c r="CU50" s="6"/>
      <c r="CV50" s="6"/>
      <c r="CW50" s="6"/>
      <c r="CX50" s="6"/>
      <c r="CY50" s="6"/>
      <c r="CZ50" s="6"/>
      <c r="DA50" s="6"/>
      <c r="DB50" s="6"/>
      <c r="DC50" s="6"/>
      <c r="DD50" s="6"/>
      <c r="DE50" s="6"/>
      <c r="DF50" s="6"/>
      <c r="DG50" s="6"/>
      <c r="DH50" s="6"/>
    </row>
    <row r="51" spans="1:112">
      <c r="A51" s="556" t="s">
        <v>1245</v>
      </c>
      <c r="B51" s="4">
        <v>15</v>
      </c>
      <c r="C51" s="4">
        <v>15</v>
      </c>
      <c r="D51" s="4">
        <v>15</v>
      </c>
      <c r="E51" s="4">
        <v>15</v>
      </c>
      <c r="F51" s="4">
        <v>20</v>
      </c>
      <c r="G51" s="4">
        <v>22</v>
      </c>
      <c r="H51" s="4">
        <v>22</v>
      </c>
      <c r="I51" s="4">
        <v>22</v>
      </c>
      <c r="J51" s="4">
        <v>22</v>
      </c>
      <c r="K51" s="4">
        <v>27</v>
      </c>
      <c r="L51" s="4">
        <v>24</v>
      </c>
      <c r="M51" s="4">
        <v>22</v>
      </c>
      <c r="N51" s="4">
        <v>22</v>
      </c>
      <c r="O51" s="4">
        <v>22</v>
      </c>
      <c r="P51" s="4">
        <v>22</v>
      </c>
      <c r="Q51" s="4">
        <v>22</v>
      </c>
      <c r="R51" s="4">
        <v>22</v>
      </c>
      <c r="S51" s="4">
        <v>22</v>
      </c>
      <c r="T51" s="4">
        <v>22</v>
      </c>
      <c r="U51" s="928">
        <v>0</v>
      </c>
      <c r="V51" s="928">
        <v>0</v>
      </c>
      <c r="W51" s="928">
        <v>0</v>
      </c>
      <c r="X51" s="928">
        <v>0</v>
      </c>
      <c r="Y51" s="928">
        <v>0</v>
      </c>
      <c r="Z51" s="928">
        <v>0</v>
      </c>
      <c r="AA51" s="928">
        <v>0</v>
      </c>
      <c r="AB51" s="928">
        <v>0</v>
      </c>
      <c r="AC51" s="928">
        <v>0</v>
      </c>
      <c r="AD51" s="928">
        <v>0</v>
      </c>
      <c r="AE51" s="928">
        <v>0</v>
      </c>
      <c r="AF51" s="928">
        <v>0</v>
      </c>
      <c r="AG51" s="1261">
        <v>0</v>
      </c>
      <c r="AH51" s="1261">
        <v>0</v>
      </c>
      <c r="AI51" s="1261">
        <v>0</v>
      </c>
      <c r="AJ51" s="1261">
        <v>0</v>
      </c>
      <c r="AK51" s="1261">
        <v>0</v>
      </c>
      <c r="AL51" s="1261">
        <v>0</v>
      </c>
      <c r="AM51" s="1261">
        <v>0</v>
      </c>
      <c r="AN51" s="1261">
        <v>0</v>
      </c>
      <c r="AO51" s="928"/>
      <c r="AP51" s="928"/>
      <c r="AQ51" s="928"/>
      <c r="AR51" s="928"/>
      <c r="AS51" s="928"/>
      <c r="AT51" s="928"/>
      <c r="AU51" s="739"/>
      <c r="AV51" s="6"/>
      <c r="AW51" s="6"/>
      <c r="AX51" s="6"/>
      <c r="AY51" s="6"/>
      <c r="AZ51" s="6"/>
      <c r="BA51" s="6"/>
      <c r="BB51" s="6"/>
      <c r="BC51" s="6"/>
      <c r="BD51" s="6"/>
      <c r="BE51" s="6"/>
      <c r="BF51" s="6"/>
      <c r="BG51" s="6"/>
      <c r="BH51" s="6"/>
      <c r="BI51" s="6"/>
      <c r="BJ51" s="6"/>
      <c r="BK51" s="6"/>
      <c r="BL51" s="6"/>
      <c r="BM51" s="6"/>
      <c r="BN51" s="6"/>
      <c r="BO51" s="6"/>
      <c r="BP51" s="6"/>
      <c r="BQ51" s="6"/>
      <c r="BR51" s="6"/>
      <c r="BS51" s="6"/>
      <c r="BT51" s="254"/>
      <c r="BU51" s="6"/>
      <c r="BV51" s="6"/>
      <c r="BW51" s="6"/>
      <c r="BX51" s="6"/>
      <c r="BY51" s="254"/>
      <c r="BZ51" s="6"/>
      <c r="CA51" s="6"/>
      <c r="CB51" s="6"/>
      <c r="CC51" s="6"/>
      <c r="CD51" s="6"/>
      <c r="CE51" s="6"/>
      <c r="CF51" s="6"/>
      <c r="CG51" s="6"/>
      <c r="CH51" s="6"/>
      <c r="CI51" s="6"/>
      <c r="CJ51" s="6"/>
      <c r="CK51" s="6"/>
      <c r="CL51" s="6"/>
      <c r="CM51" s="6"/>
      <c r="CN51" s="254"/>
      <c r="CO51" s="6"/>
      <c r="CP51" s="6"/>
      <c r="CQ51" s="6"/>
      <c r="CR51" s="6"/>
      <c r="CS51" s="6"/>
      <c r="CT51" s="6"/>
      <c r="CU51" s="6"/>
      <c r="CV51" s="6"/>
      <c r="CW51" s="6"/>
      <c r="CX51" s="6"/>
      <c r="CY51" s="6"/>
      <c r="CZ51" s="6"/>
      <c r="DA51" s="6"/>
      <c r="DB51" s="6"/>
      <c r="DC51" s="6"/>
      <c r="DD51" s="6"/>
      <c r="DE51" s="6"/>
      <c r="DF51" s="6"/>
      <c r="DG51" s="6"/>
      <c r="DH51" s="6"/>
    </row>
    <row r="52" spans="1:112">
      <c r="A52" s="556" t="s">
        <v>993</v>
      </c>
      <c r="B52" s="928">
        <v>0</v>
      </c>
      <c r="C52" s="928">
        <v>0</v>
      </c>
      <c r="D52" s="928">
        <v>0</v>
      </c>
      <c r="E52" s="928">
        <v>0</v>
      </c>
      <c r="F52" s="928">
        <v>0</v>
      </c>
      <c r="G52" s="928">
        <v>0</v>
      </c>
      <c r="H52" s="928">
        <v>0</v>
      </c>
      <c r="I52" s="928">
        <v>0</v>
      </c>
      <c r="J52" s="928">
        <v>0</v>
      </c>
      <c r="K52" s="928">
        <v>5</v>
      </c>
      <c r="L52" s="928">
        <v>5</v>
      </c>
      <c r="M52" s="928">
        <v>5</v>
      </c>
      <c r="N52" s="928">
        <v>5</v>
      </c>
      <c r="O52" s="928">
        <v>5</v>
      </c>
      <c r="P52" s="928">
        <v>5</v>
      </c>
      <c r="Q52" s="928">
        <v>5</v>
      </c>
      <c r="R52" s="928">
        <v>5</v>
      </c>
      <c r="S52" s="928">
        <v>5</v>
      </c>
      <c r="T52" s="928">
        <v>5</v>
      </c>
      <c r="U52" s="928">
        <v>0</v>
      </c>
      <c r="V52" s="928">
        <v>0</v>
      </c>
      <c r="W52" s="928">
        <v>0</v>
      </c>
      <c r="X52" s="928">
        <v>0</v>
      </c>
      <c r="Y52" s="928">
        <v>0</v>
      </c>
      <c r="Z52" s="928">
        <v>0</v>
      </c>
      <c r="AA52" s="928">
        <v>0</v>
      </c>
      <c r="AB52" s="928">
        <v>0</v>
      </c>
      <c r="AC52" s="928">
        <v>0</v>
      </c>
      <c r="AD52" s="928">
        <v>0</v>
      </c>
      <c r="AE52" s="928">
        <v>0</v>
      </c>
      <c r="AF52" s="928">
        <v>0</v>
      </c>
      <c r="AG52" s="1261">
        <v>0</v>
      </c>
      <c r="AH52" s="1261">
        <v>0</v>
      </c>
      <c r="AI52" s="1261">
        <v>0</v>
      </c>
      <c r="AJ52" s="1261">
        <v>0</v>
      </c>
      <c r="AK52" s="1261">
        <v>0</v>
      </c>
      <c r="AL52" s="1261">
        <v>0</v>
      </c>
      <c r="AM52" s="1261">
        <v>0</v>
      </c>
      <c r="AN52" s="1261">
        <v>0</v>
      </c>
      <c r="AO52" s="928"/>
      <c r="AP52" s="928"/>
      <c r="AQ52" s="928"/>
      <c r="AR52" s="928"/>
      <c r="AS52" s="928"/>
      <c r="AT52" s="928"/>
      <c r="AU52" s="739"/>
      <c r="AV52" s="6"/>
      <c r="AW52" s="6"/>
      <c r="AX52" s="6"/>
      <c r="AY52" s="6"/>
      <c r="AZ52" s="6"/>
      <c r="BA52" s="6"/>
      <c r="BB52" s="6"/>
      <c r="BC52" s="6"/>
      <c r="BD52" s="6"/>
      <c r="BE52" s="6"/>
      <c r="BF52" s="6"/>
      <c r="BG52" s="6"/>
      <c r="BH52" s="6"/>
      <c r="BI52" s="6"/>
      <c r="BJ52" s="6"/>
      <c r="BK52" s="6"/>
      <c r="BL52" s="6"/>
      <c r="BM52" s="6"/>
      <c r="BN52" s="6"/>
      <c r="BO52" s="6"/>
      <c r="BP52" s="6"/>
      <c r="BQ52" s="6"/>
      <c r="BR52" s="6"/>
      <c r="BS52" s="6"/>
      <c r="BT52" s="254"/>
      <c r="BU52" s="6"/>
      <c r="BV52" s="6"/>
      <c r="BW52" s="6"/>
      <c r="BX52" s="6"/>
      <c r="BY52" s="254"/>
      <c r="BZ52" s="6"/>
      <c r="CA52" s="6"/>
      <c r="CB52" s="6"/>
      <c r="CC52" s="6"/>
      <c r="CD52" s="6"/>
      <c r="CE52" s="6"/>
      <c r="CF52" s="6"/>
      <c r="CG52" s="6"/>
      <c r="CH52" s="6"/>
      <c r="CI52" s="6"/>
      <c r="CJ52" s="6"/>
      <c r="CK52" s="6"/>
      <c r="CL52" s="6"/>
      <c r="CM52" s="6"/>
      <c r="CN52" s="254"/>
      <c r="CO52" s="6"/>
      <c r="CP52" s="6"/>
      <c r="CQ52" s="6"/>
      <c r="CR52" s="6"/>
      <c r="CS52" s="6"/>
      <c r="CT52" s="6"/>
      <c r="CU52" s="6"/>
      <c r="CV52" s="6"/>
      <c r="CW52" s="6"/>
      <c r="CX52" s="6"/>
      <c r="CY52" s="6"/>
      <c r="CZ52" s="6"/>
      <c r="DA52" s="6"/>
      <c r="DB52" s="6"/>
      <c r="DC52" s="6"/>
      <c r="DD52" s="6"/>
      <c r="DE52" s="6"/>
      <c r="DF52" s="6"/>
      <c r="DG52" s="6"/>
      <c r="DH52" s="6"/>
    </row>
    <row r="53" spans="1:112">
      <c r="A53" s="556" t="s">
        <v>994</v>
      </c>
      <c r="B53" s="928">
        <v>0</v>
      </c>
      <c r="C53" s="928">
        <v>0</v>
      </c>
      <c r="D53" s="928">
        <v>0</v>
      </c>
      <c r="E53" s="928">
        <v>0</v>
      </c>
      <c r="F53" s="928">
        <v>0</v>
      </c>
      <c r="G53" s="928">
        <v>0</v>
      </c>
      <c r="H53" s="928">
        <v>0</v>
      </c>
      <c r="I53" s="928">
        <v>0</v>
      </c>
      <c r="J53" s="928">
        <v>0</v>
      </c>
      <c r="K53" s="928">
        <v>0</v>
      </c>
      <c r="L53" s="928">
        <v>0</v>
      </c>
      <c r="M53" s="928">
        <v>0</v>
      </c>
      <c r="N53" s="928">
        <v>0</v>
      </c>
      <c r="O53" s="928">
        <v>0</v>
      </c>
      <c r="P53" s="928">
        <v>0</v>
      </c>
      <c r="Q53" s="928">
        <v>0</v>
      </c>
      <c r="R53" s="928">
        <v>0</v>
      </c>
      <c r="S53" s="928">
        <v>3</v>
      </c>
      <c r="T53" s="928">
        <v>3</v>
      </c>
      <c r="U53" s="928">
        <v>0</v>
      </c>
      <c r="V53" s="928">
        <v>0</v>
      </c>
      <c r="W53" s="928">
        <v>0</v>
      </c>
      <c r="X53" s="928">
        <v>0</v>
      </c>
      <c r="Y53" s="928">
        <v>0</v>
      </c>
      <c r="Z53" s="928">
        <v>0</v>
      </c>
      <c r="AA53" s="928">
        <v>0</v>
      </c>
      <c r="AB53" s="928">
        <v>0</v>
      </c>
      <c r="AC53" s="928">
        <v>0</v>
      </c>
      <c r="AD53" s="928">
        <v>0</v>
      </c>
      <c r="AE53" s="928">
        <v>0</v>
      </c>
      <c r="AF53" s="928">
        <v>0</v>
      </c>
      <c r="AG53" s="1261">
        <v>0</v>
      </c>
      <c r="AH53" s="1261">
        <v>0</v>
      </c>
      <c r="AI53" s="1261">
        <v>0</v>
      </c>
      <c r="AJ53" s="1261">
        <v>0</v>
      </c>
      <c r="AK53" s="1261">
        <v>0</v>
      </c>
      <c r="AL53" s="1261">
        <v>0</v>
      </c>
      <c r="AM53" s="1261">
        <v>0</v>
      </c>
      <c r="AN53" s="1261">
        <v>0</v>
      </c>
      <c r="AO53" s="928"/>
      <c r="AP53" s="928"/>
      <c r="AQ53" s="928"/>
      <c r="AR53" s="928"/>
      <c r="AS53" s="928"/>
      <c r="AT53" s="928"/>
      <c r="AU53" s="739"/>
      <c r="AV53" s="6"/>
      <c r="AW53" s="6"/>
      <c r="AX53" s="6"/>
      <c r="AY53" s="6"/>
      <c r="AZ53" s="6"/>
      <c r="BA53" s="6"/>
      <c r="BB53" s="6"/>
      <c r="BC53" s="6"/>
      <c r="BD53" s="6"/>
      <c r="BE53" s="6"/>
      <c r="BF53" s="6"/>
      <c r="BG53" s="6"/>
      <c r="BH53" s="6"/>
      <c r="BI53" s="6"/>
      <c r="BJ53" s="6"/>
      <c r="BK53" s="6"/>
      <c r="BL53" s="6"/>
      <c r="BM53" s="6"/>
      <c r="BN53" s="6"/>
      <c r="BO53" s="6"/>
      <c r="BP53" s="6"/>
      <c r="BQ53" s="6"/>
      <c r="BR53" s="6"/>
      <c r="BS53" s="6"/>
      <c r="BT53" s="254"/>
      <c r="BU53" s="6"/>
      <c r="BV53" s="6"/>
      <c r="BW53" s="6"/>
      <c r="BX53" s="6"/>
      <c r="BY53" s="254"/>
      <c r="BZ53" s="6"/>
      <c r="CA53" s="6"/>
      <c r="CB53" s="6"/>
      <c r="CC53" s="6"/>
      <c r="CD53" s="6"/>
      <c r="CE53" s="6"/>
      <c r="CF53" s="6"/>
      <c r="CG53" s="6"/>
      <c r="CH53" s="6"/>
      <c r="CI53" s="6"/>
      <c r="CJ53" s="6"/>
      <c r="CK53" s="6"/>
      <c r="CL53" s="6"/>
      <c r="CM53" s="6"/>
      <c r="CN53" s="254"/>
      <c r="CO53" s="6"/>
      <c r="CP53" s="6"/>
      <c r="CQ53" s="6"/>
      <c r="CR53" s="6"/>
      <c r="CS53" s="6"/>
      <c r="CT53" s="6"/>
      <c r="CU53" s="6"/>
      <c r="CV53" s="6"/>
      <c r="CW53" s="6"/>
      <c r="CX53" s="6"/>
      <c r="CY53" s="6"/>
      <c r="CZ53" s="6"/>
      <c r="DA53" s="6"/>
      <c r="DB53" s="6"/>
      <c r="DC53" s="6"/>
      <c r="DD53" s="6"/>
      <c r="DE53" s="6"/>
      <c r="DF53" s="6"/>
      <c r="DG53" s="6"/>
      <c r="DH53" s="6"/>
    </row>
    <row r="54" spans="1:112">
      <c r="A54" s="556" t="s">
        <v>677</v>
      </c>
      <c r="B54" s="929">
        <f>B56-SUM(B49:B53)</f>
        <v>50</v>
      </c>
      <c r="C54" s="929">
        <f t="shared" ref="C54:AF54" si="75">C56-SUM(C49:C53)</f>
        <v>50</v>
      </c>
      <c r="D54" s="929">
        <f t="shared" si="75"/>
        <v>50</v>
      </c>
      <c r="E54" s="929">
        <f t="shared" si="75"/>
        <v>50</v>
      </c>
      <c r="F54" s="929">
        <f t="shared" si="75"/>
        <v>45</v>
      </c>
      <c r="G54" s="929">
        <f t="shared" si="75"/>
        <v>43</v>
      </c>
      <c r="H54" s="929">
        <f t="shared" si="75"/>
        <v>43</v>
      </c>
      <c r="I54" s="929">
        <f t="shared" si="75"/>
        <v>43</v>
      </c>
      <c r="J54" s="929">
        <f t="shared" si="75"/>
        <v>38</v>
      </c>
      <c r="K54" s="929">
        <f t="shared" si="75"/>
        <v>23</v>
      </c>
      <c r="L54" s="929">
        <f t="shared" si="75"/>
        <v>26</v>
      </c>
      <c r="M54" s="929">
        <f t="shared" si="75"/>
        <v>28</v>
      </c>
      <c r="N54" s="929">
        <f t="shared" si="75"/>
        <v>28</v>
      </c>
      <c r="O54" s="929">
        <f t="shared" si="75"/>
        <v>28</v>
      </c>
      <c r="P54" s="929">
        <f t="shared" si="75"/>
        <v>28</v>
      </c>
      <c r="Q54" s="929">
        <f t="shared" si="75"/>
        <v>28</v>
      </c>
      <c r="R54" s="929">
        <f t="shared" si="75"/>
        <v>28</v>
      </c>
      <c r="S54" s="929">
        <f t="shared" si="75"/>
        <v>25</v>
      </c>
      <c r="T54" s="929">
        <f t="shared" si="75"/>
        <v>25</v>
      </c>
      <c r="U54" s="929">
        <f t="shared" si="75"/>
        <v>55</v>
      </c>
      <c r="V54" s="929">
        <f t="shared" si="75"/>
        <v>80</v>
      </c>
      <c r="W54" s="929">
        <f t="shared" si="75"/>
        <v>80</v>
      </c>
      <c r="X54" s="929">
        <f t="shared" si="75"/>
        <v>80</v>
      </c>
      <c r="Y54" s="929">
        <f t="shared" si="75"/>
        <v>80</v>
      </c>
      <c r="Z54" s="929">
        <f t="shared" si="75"/>
        <v>80</v>
      </c>
      <c r="AA54" s="929">
        <f t="shared" si="75"/>
        <v>80</v>
      </c>
      <c r="AB54" s="929">
        <f t="shared" si="75"/>
        <v>80</v>
      </c>
      <c r="AC54" s="929">
        <f t="shared" si="75"/>
        <v>80</v>
      </c>
      <c r="AD54" s="929">
        <f t="shared" si="75"/>
        <v>80</v>
      </c>
      <c r="AE54" s="929">
        <f t="shared" si="75"/>
        <v>80</v>
      </c>
      <c r="AF54" s="929">
        <f t="shared" si="75"/>
        <v>80</v>
      </c>
      <c r="AG54" s="1262">
        <f t="shared" ref="AG54:AL54" si="76">AG56-SUM(AG49:AG53)</f>
        <v>80</v>
      </c>
      <c r="AH54" s="1262">
        <f t="shared" si="76"/>
        <v>80</v>
      </c>
      <c r="AI54" s="1262">
        <f t="shared" si="76"/>
        <v>80</v>
      </c>
      <c r="AJ54" s="1262">
        <f t="shared" si="76"/>
        <v>80</v>
      </c>
      <c r="AK54" s="1262">
        <f t="shared" si="76"/>
        <v>80</v>
      </c>
      <c r="AL54" s="1262">
        <f t="shared" si="76"/>
        <v>80</v>
      </c>
      <c r="AM54" s="1262">
        <f>AM56-SUM(AM49:AM53)</f>
        <v>80</v>
      </c>
      <c r="AN54" s="1262">
        <f>AN56-SUM(AN49:AN53)</f>
        <v>80</v>
      </c>
      <c r="AO54" s="929"/>
      <c r="AP54" s="929"/>
      <c r="AQ54" s="929"/>
      <c r="AR54" s="929"/>
      <c r="AS54" s="929"/>
      <c r="AT54" s="929"/>
      <c r="AU54" s="739"/>
      <c r="AV54" s="6"/>
      <c r="AW54" s="6"/>
      <c r="AX54" s="6"/>
      <c r="AY54" s="6"/>
      <c r="AZ54" s="6"/>
      <c r="BA54" s="6"/>
      <c r="BB54" s="6"/>
      <c r="BC54" s="6"/>
      <c r="BD54" s="6"/>
      <c r="BE54" s="6"/>
      <c r="BF54" s="6"/>
      <c r="BG54" s="6"/>
      <c r="BH54" s="6"/>
      <c r="BI54" s="6"/>
      <c r="BJ54" s="6"/>
      <c r="BK54" s="6"/>
      <c r="BL54" s="6"/>
      <c r="BM54" s="6"/>
      <c r="BN54" s="6"/>
      <c r="BO54" s="6"/>
      <c r="BP54" s="6"/>
      <c r="BQ54" s="6"/>
      <c r="BR54" s="6"/>
      <c r="BS54" s="6"/>
      <c r="BT54" s="254"/>
      <c r="BU54" s="6"/>
      <c r="BV54" s="6"/>
      <c r="BW54" s="6"/>
      <c r="BX54" s="6"/>
      <c r="BY54" s="254"/>
      <c r="BZ54" s="6"/>
      <c r="CA54" s="6"/>
      <c r="CB54" s="6"/>
      <c r="CC54" s="6"/>
      <c r="CD54" s="6"/>
      <c r="CE54" s="6"/>
      <c r="CF54" s="6"/>
      <c r="CG54" s="6"/>
      <c r="CH54" s="6"/>
      <c r="CI54" s="6"/>
      <c r="CJ54" s="6"/>
      <c r="CK54" s="6"/>
      <c r="CL54" s="6"/>
      <c r="CM54" s="6"/>
      <c r="CN54" s="254"/>
      <c r="CO54" s="6"/>
      <c r="CP54" s="6"/>
      <c r="CQ54" s="6"/>
      <c r="CR54" s="6"/>
      <c r="CS54" s="6"/>
      <c r="CT54" s="6"/>
      <c r="CU54" s="6"/>
      <c r="CV54" s="6"/>
      <c r="CW54" s="6"/>
      <c r="CX54" s="6"/>
      <c r="CY54" s="6"/>
      <c r="CZ54" s="6"/>
      <c r="DA54" s="6"/>
      <c r="DB54" s="6"/>
      <c r="DC54" s="6"/>
      <c r="DD54" s="6"/>
      <c r="DE54" s="6"/>
      <c r="DF54" s="6"/>
      <c r="DG54" s="6"/>
      <c r="DH54" s="6"/>
    </row>
    <row r="55" spans="1:112">
      <c r="A55" s="556"/>
      <c r="B55" s="929"/>
      <c r="C55" s="929"/>
      <c r="D55" s="929"/>
      <c r="E55" s="929"/>
      <c r="F55" s="929"/>
      <c r="G55" s="929"/>
      <c r="H55" s="929"/>
      <c r="I55" s="929"/>
      <c r="J55" s="929"/>
      <c r="K55" s="929"/>
      <c r="L55" s="929"/>
      <c r="M55" s="929"/>
      <c r="N55" s="929"/>
      <c r="O55" s="929"/>
      <c r="P55" s="929"/>
      <c r="Q55" s="929"/>
      <c r="R55" s="929"/>
      <c r="S55" s="929"/>
      <c r="T55" s="929"/>
      <c r="U55" s="929"/>
      <c r="V55" s="929"/>
      <c r="W55" s="929"/>
      <c r="X55" s="929"/>
      <c r="Y55" s="929"/>
      <c r="Z55" s="929"/>
      <c r="AA55" s="929"/>
      <c r="AB55" s="929"/>
      <c r="AC55" s="929"/>
      <c r="AD55" s="929"/>
      <c r="AE55" s="929"/>
      <c r="AF55" s="929"/>
      <c r="AG55" s="1262"/>
      <c r="AH55" s="1262"/>
      <c r="AI55" s="1262"/>
      <c r="AJ55" s="1262"/>
      <c r="AK55" s="1262"/>
      <c r="AL55" s="1262"/>
      <c r="AM55" s="1262"/>
      <c r="AN55" s="1262"/>
      <c r="AO55" s="929"/>
      <c r="AP55" s="929"/>
      <c r="AQ55" s="929"/>
      <c r="AR55" s="929"/>
      <c r="AS55" s="929"/>
      <c r="AT55" s="929"/>
      <c r="AU55" s="739"/>
      <c r="AV55" s="6"/>
      <c r="AW55" s="6"/>
      <c r="AX55" s="6"/>
      <c r="AY55" s="6"/>
      <c r="AZ55" s="6"/>
      <c r="BA55" s="6"/>
      <c r="BB55" s="6"/>
      <c r="BC55" s="6"/>
      <c r="BD55" s="6"/>
      <c r="BE55" s="6"/>
      <c r="BF55" s="6"/>
      <c r="BG55" s="6"/>
      <c r="BH55" s="6"/>
      <c r="BI55" s="6"/>
      <c r="BJ55" s="6"/>
      <c r="BK55" s="6"/>
      <c r="BL55" s="6"/>
      <c r="BM55" s="6"/>
      <c r="BN55" s="6"/>
      <c r="BO55" s="6"/>
      <c r="BP55" s="6"/>
      <c r="BQ55" s="6"/>
      <c r="BR55" s="6"/>
      <c r="BS55" s="6"/>
      <c r="BT55" s="254"/>
      <c r="BU55" s="6"/>
      <c r="BV55" s="6"/>
      <c r="BW55" s="6"/>
      <c r="BX55" s="6"/>
      <c r="BY55" s="254"/>
      <c r="BZ55" s="6"/>
      <c r="CA55" s="6"/>
      <c r="CB55" s="6"/>
      <c r="CC55" s="6"/>
      <c r="CD55" s="6"/>
      <c r="CE55" s="6"/>
      <c r="CF55" s="6"/>
      <c r="CG55" s="6"/>
      <c r="CH55" s="6"/>
      <c r="CI55" s="6"/>
      <c r="CJ55" s="6"/>
      <c r="CK55" s="6"/>
      <c r="CL55" s="6"/>
      <c r="CM55" s="6"/>
      <c r="CN55" s="254"/>
      <c r="CO55" s="6"/>
      <c r="CP55" s="6"/>
      <c r="CQ55" s="6"/>
      <c r="CR55" s="6"/>
      <c r="CS55" s="6"/>
      <c r="CT55" s="6"/>
      <c r="CU55" s="6"/>
      <c r="CV55" s="6"/>
      <c r="CW55" s="6"/>
      <c r="CX55" s="6"/>
      <c r="CY55" s="6"/>
      <c r="CZ55" s="6"/>
      <c r="DA55" s="6"/>
      <c r="DB55" s="6"/>
      <c r="DC55" s="6"/>
      <c r="DD55" s="6"/>
      <c r="DE55" s="6"/>
      <c r="DF55" s="6"/>
      <c r="DG55" s="6"/>
      <c r="DH55" s="6"/>
    </row>
    <row r="56" spans="1:112">
      <c r="A56" s="556" t="s">
        <v>995</v>
      </c>
      <c r="B56" s="629">
        <v>80</v>
      </c>
      <c r="C56" s="629">
        <v>80</v>
      </c>
      <c r="D56" s="629">
        <v>80</v>
      </c>
      <c r="E56" s="629">
        <v>80</v>
      </c>
      <c r="F56" s="629">
        <v>80</v>
      </c>
      <c r="G56" s="629">
        <v>80</v>
      </c>
      <c r="H56" s="629">
        <v>80</v>
      </c>
      <c r="I56" s="629">
        <v>80</v>
      </c>
      <c r="J56" s="629">
        <v>80</v>
      </c>
      <c r="K56" s="629">
        <v>80</v>
      </c>
      <c r="L56" s="629">
        <v>80</v>
      </c>
      <c r="M56" s="629">
        <v>80</v>
      </c>
      <c r="N56" s="629">
        <v>80</v>
      </c>
      <c r="O56" s="629">
        <v>80</v>
      </c>
      <c r="P56" s="629">
        <v>80</v>
      </c>
      <c r="Q56" s="629">
        <v>80</v>
      </c>
      <c r="R56" s="629">
        <v>80</v>
      </c>
      <c r="S56" s="629">
        <v>80</v>
      </c>
      <c r="T56" s="629">
        <v>80</v>
      </c>
      <c r="U56" s="629">
        <v>80</v>
      </c>
      <c r="V56" s="629">
        <v>80</v>
      </c>
      <c r="W56" s="629">
        <v>80</v>
      </c>
      <c r="X56" s="629">
        <v>80</v>
      </c>
      <c r="Y56" s="629">
        <v>80</v>
      </c>
      <c r="Z56" s="629">
        <v>80</v>
      </c>
      <c r="AA56" s="629">
        <v>80</v>
      </c>
      <c r="AB56" s="629">
        <v>80</v>
      </c>
      <c r="AC56" s="629">
        <v>80</v>
      </c>
      <c r="AD56" s="629">
        <v>80</v>
      </c>
      <c r="AE56" s="629">
        <v>80</v>
      </c>
      <c r="AF56" s="629">
        <v>80</v>
      </c>
      <c r="AG56" s="430">
        <v>80</v>
      </c>
      <c r="AH56" s="430">
        <v>80</v>
      </c>
      <c r="AI56" s="430">
        <v>80</v>
      </c>
      <c r="AJ56" s="430">
        <v>80</v>
      </c>
      <c r="AK56" s="430">
        <v>80</v>
      </c>
      <c r="AL56" s="430">
        <v>80</v>
      </c>
      <c r="AM56" s="430">
        <v>80</v>
      </c>
      <c r="AN56" s="430">
        <v>80</v>
      </c>
      <c r="AO56" s="629"/>
      <c r="AP56" s="629"/>
      <c r="AQ56" s="629"/>
      <c r="AR56" s="629"/>
      <c r="AS56" s="629"/>
      <c r="AT56" s="629"/>
      <c r="AU56" s="739"/>
      <c r="AV56" s="6"/>
      <c r="AW56" s="6"/>
      <c r="AX56" s="6"/>
      <c r="AY56" s="6"/>
      <c r="AZ56" s="6"/>
      <c r="BA56" s="6"/>
      <c r="BB56" s="6"/>
      <c r="BC56" s="6"/>
      <c r="BD56" s="6"/>
      <c r="BE56" s="6"/>
      <c r="BF56" s="6"/>
      <c r="BG56" s="6"/>
      <c r="BH56" s="6"/>
      <c r="BI56" s="6"/>
      <c r="BJ56" s="6"/>
      <c r="BK56" s="6"/>
      <c r="BL56" s="6"/>
      <c r="BM56" s="6"/>
      <c r="BN56" s="6"/>
      <c r="BO56" s="6"/>
      <c r="BP56" s="6"/>
      <c r="BQ56" s="6"/>
      <c r="BR56" s="6"/>
      <c r="BS56" s="6"/>
      <c r="BT56" s="254"/>
      <c r="BU56" s="6"/>
      <c r="BV56" s="6"/>
      <c r="BW56" s="6"/>
      <c r="BX56" s="6"/>
      <c r="BY56" s="254"/>
      <c r="BZ56" s="6"/>
      <c r="CA56" s="6"/>
      <c r="CB56" s="6"/>
      <c r="CC56" s="6"/>
      <c r="CD56" s="6"/>
      <c r="CE56" s="6"/>
      <c r="CF56" s="6"/>
      <c r="CG56" s="6"/>
      <c r="CH56" s="6"/>
      <c r="CI56" s="6"/>
      <c r="CJ56" s="6"/>
      <c r="CK56" s="6"/>
      <c r="CL56" s="6"/>
      <c r="CM56" s="6"/>
      <c r="CN56" s="254"/>
      <c r="CO56" s="6"/>
      <c r="CP56" s="6"/>
      <c r="CQ56" s="6"/>
      <c r="CR56" s="6"/>
      <c r="CS56" s="6"/>
      <c r="CT56" s="6"/>
      <c r="CU56" s="6"/>
      <c r="CV56" s="6"/>
      <c r="CW56" s="6"/>
      <c r="CX56" s="6"/>
      <c r="CY56" s="6"/>
      <c r="CZ56" s="6"/>
      <c r="DA56" s="6"/>
      <c r="DB56" s="6"/>
      <c r="DC56" s="6"/>
      <c r="DD56" s="6"/>
      <c r="DE56" s="6"/>
      <c r="DF56" s="6"/>
      <c r="DG56" s="6"/>
      <c r="DH56" s="6"/>
    </row>
    <row r="57" spans="1:112">
      <c r="A57" s="556" t="s">
        <v>996</v>
      </c>
      <c r="B57" s="928">
        <f>B56*2*3</f>
        <v>480</v>
      </c>
      <c r="C57" s="928">
        <f t="shared" ref="C57:AF57" si="77">C56*2*3</f>
        <v>480</v>
      </c>
      <c r="D57" s="928">
        <f t="shared" si="77"/>
        <v>480</v>
      </c>
      <c r="E57" s="928">
        <f t="shared" si="77"/>
        <v>480</v>
      </c>
      <c r="F57" s="928">
        <f t="shared" si="77"/>
        <v>480</v>
      </c>
      <c r="G57" s="928">
        <f t="shared" si="77"/>
        <v>480</v>
      </c>
      <c r="H57" s="928">
        <f t="shared" si="77"/>
        <v>480</v>
      </c>
      <c r="I57" s="928">
        <f t="shared" si="77"/>
        <v>480</v>
      </c>
      <c r="J57" s="928">
        <f t="shared" si="77"/>
        <v>480</v>
      </c>
      <c r="K57" s="928">
        <f t="shared" si="77"/>
        <v>480</v>
      </c>
      <c r="L57" s="928">
        <f t="shared" si="77"/>
        <v>480</v>
      </c>
      <c r="M57" s="928">
        <f t="shared" si="77"/>
        <v>480</v>
      </c>
      <c r="N57" s="928">
        <f t="shared" si="77"/>
        <v>480</v>
      </c>
      <c r="O57" s="928">
        <f t="shared" si="77"/>
        <v>480</v>
      </c>
      <c r="P57" s="928">
        <f t="shared" si="77"/>
        <v>480</v>
      </c>
      <c r="Q57" s="928">
        <f t="shared" si="77"/>
        <v>480</v>
      </c>
      <c r="R57" s="928">
        <f t="shared" si="77"/>
        <v>480</v>
      </c>
      <c r="S57" s="928">
        <f t="shared" si="77"/>
        <v>480</v>
      </c>
      <c r="T57" s="928">
        <f t="shared" si="77"/>
        <v>480</v>
      </c>
      <c r="U57" s="928">
        <f t="shared" si="77"/>
        <v>480</v>
      </c>
      <c r="V57" s="928">
        <f t="shared" si="77"/>
        <v>480</v>
      </c>
      <c r="W57" s="928">
        <f t="shared" si="77"/>
        <v>480</v>
      </c>
      <c r="X57" s="928">
        <f t="shared" si="77"/>
        <v>480</v>
      </c>
      <c r="Y57" s="928">
        <f t="shared" si="77"/>
        <v>480</v>
      </c>
      <c r="Z57" s="928">
        <f t="shared" si="77"/>
        <v>480</v>
      </c>
      <c r="AA57" s="928">
        <f t="shared" si="77"/>
        <v>480</v>
      </c>
      <c r="AB57" s="928">
        <f t="shared" si="77"/>
        <v>480</v>
      </c>
      <c r="AC57" s="928">
        <f t="shared" si="77"/>
        <v>480</v>
      </c>
      <c r="AD57" s="928">
        <f t="shared" si="77"/>
        <v>480</v>
      </c>
      <c r="AE57" s="928">
        <f t="shared" si="77"/>
        <v>480</v>
      </c>
      <c r="AF57" s="928">
        <f t="shared" si="77"/>
        <v>480</v>
      </c>
      <c r="AG57" s="1261">
        <f t="shared" ref="AG57:AL57" si="78">AG56*2*3</f>
        <v>480</v>
      </c>
      <c r="AH57" s="1261">
        <f t="shared" si="78"/>
        <v>480</v>
      </c>
      <c r="AI57" s="1261">
        <f t="shared" si="78"/>
        <v>480</v>
      </c>
      <c r="AJ57" s="1261">
        <f t="shared" si="78"/>
        <v>480</v>
      </c>
      <c r="AK57" s="1261">
        <f t="shared" si="78"/>
        <v>480</v>
      </c>
      <c r="AL57" s="1261">
        <f t="shared" si="78"/>
        <v>480</v>
      </c>
      <c r="AM57" s="1261">
        <f>AM56*2*3</f>
        <v>480</v>
      </c>
      <c r="AN57" s="1261">
        <f>AN56*2*3</f>
        <v>480</v>
      </c>
      <c r="AO57" s="928"/>
      <c r="AP57" s="928"/>
      <c r="AQ57" s="928"/>
      <c r="AR57" s="928"/>
      <c r="AS57" s="928"/>
      <c r="AT57" s="928"/>
      <c r="AU57" s="739"/>
      <c r="AV57" s="6"/>
      <c r="AW57" s="6"/>
      <c r="AX57" s="6"/>
      <c r="AY57" s="6"/>
      <c r="AZ57" s="6"/>
      <c r="BA57" s="6"/>
      <c r="BB57" s="6"/>
      <c r="BC57" s="6"/>
      <c r="BD57" s="6"/>
      <c r="BE57" s="6"/>
      <c r="BF57" s="6"/>
      <c r="BG57" s="6"/>
      <c r="BH57" s="6"/>
      <c r="BI57" s="6"/>
      <c r="BJ57" s="6"/>
      <c r="BK57" s="6"/>
      <c r="BL57" s="6"/>
      <c r="BM57" s="6"/>
      <c r="BN57" s="6"/>
      <c r="BO57" s="6"/>
      <c r="BP57" s="6"/>
      <c r="BQ57" s="6"/>
      <c r="BR57" s="6"/>
      <c r="BS57" s="6"/>
      <c r="BT57" s="254"/>
      <c r="BU57" s="6"/>
      <c r="BV57" s="6"/>
      <c r="BW57" s="6"/>
      <c r="BX57" s="6"/>
      <c r="BY57" s="254"/>
      <c r="BZ57" s="6"/>
      <c r="CA57" s="6"/>
      <c r="CB57" s="6"/>
      <c r="CC57" s="6"/>
      <c r="CD57" s="6"/>
      <c r="CE57" s="6"/>
      <c r="CF57" s="6"/>
      <c r="CG57" s="6"/>
      <c r="CH57" s="6"/>
      <c r="CI57" s="6"/>
      <c r="CJ57" s="6"/>
      <c r="CK57" s="6"/>
      <c r="CL57" s="6"/>
      <c r="CM57" s="6"/>
      <c r="CN57" s="254"/>
      <c r="CO57" s="6"/>
      <c r="CP57" s="6"/>
      <c r="CQ57" s="6"/>
      <c r="CR57" s="6"/>
      <c r="CS57" s="6"/>
      <c r="CT57" s="6"/>
      <c r="CU57" s="6"/>
      <c r="CV57" s="6"/>
      <c r="CW57" s="6"/>
      <c r="CX57" s="6"/>
      <c r="CY57" s="6"/>
      <c r="CZ57" s="6"/>
      <c r="DA57" s="6"/>
      <c r="DB57" s="6"/>
      <c r="DC57" s="6"/>
      <c r="DD57" s="6"/>
      <c r="DE57" s="6"/>
      <c r="DF57" s="6"/>
      <c r="DG57" s="6"/>
      <c r="DH57" s="6"/>
    </row>
    <row r="58" spans="1:112">
      <c r="A58" s="556" t="s">
        <v>997</v>
      </c>
      <c r="B58" s="760">
        <f>B57/(22*52)</f>
        <v>0.41958041958041958</v>
      </c>
      <c r="C58" s="760">
        <f t="shared" ref="C58:AF58" si="79">C57/(22*52)</f>
        <v>0.41958041958041958</v>
      </c>
      <c r="D58" s="760">
        <f t="shared" si="79"/>
        <v>0.41958041958041958</v>
      </c>
      <c r="E58" s="760">
        <f t="shared" si="79"/>
        <v>0.41958041958041958</v>
      </c>
      <c r="F58" s="760">
        <f t="shared" si="79"/>
        <v>0.41958041958041958</v>
      </c>
      <c r="G58" s="760">
        <f t="shared" si="79"/>
        <v>0.41958041958041958</v>
      </c>
      <c r="H58" s="760">
        <f t="shared" si="79"/>
        <v>0.41958041958041958</v>
      </c>
      <c r="I58" s="760">
        <f t="shared" si="79"/>
        <v>0.41958041958041958</v>
      </c>
      <c r="J58" s="760">
        <f t="shared" si="79"/>
        <v>0.41958041958041958</v>
      </c>
      <c r="K58" s="760">
        <f t="shared" si="79"/>
        <v>0.41958041958041958</v>
      </c>
      <c r="L58" s="760">
        <f t="shared" si="79"/>
        <v>0.41958041958041958</v>
      </c>
      <c r="M58" s="760">
        <f t="shared" si="79"/>
        <v>0.41958041958041958</v>
      </c>
      <c r="N58" s="760">
        <f t="shared" si="79"/>
        <v>0.41958041958041958</v>
      </c>
      <c r="O58" s="760">
        <f t="shared" si="79"/>
        <v>0.41958041958041958</v>
      </c>
      <c r="P58" s="760">
        <f t="shared" si="79"/>
        <v>0.41958041958041958</v>
      </c>
      <c r="Q58" s="760">
        <f t="shared" si="79"/>
        <v>0.41958041958041958</v>
      </c>
      <c r="R58" s="760">
        <f t="shared" si="79"/>
        <v>0.41958041958041958</v>
      </c>
      <c r="S58" s="760">
        <f t="shared" si="79"/>
        <v>0.41958041958041958</v>
      </c>
      <c r="T58" s="760">
        <f t="shared" si="79"/>
        <v>0.41958041958041958</v>
      </c>
      <c r="U58" s="760">
        <f t="shared" si="79"/>
        <v>0.41958041958041958</v>
      </c>
      <c r="V58" s="760">
        <f t="shared" si="79"/>
        <v>0.41958041958041958</v>
      </c>
      <c r="W58" s="760">
        <f t="shared" si="79"/>
        <v>0.41958041958041958</v>
      </c>
      <c r="X58" s="760">
        <f t="shared" si="79"/>
        <v>0.41958041958041958</v>
      </c>
      <c r="Y58" s="760">
        <f t="shared" si="79"/>
        <v>0.41958041958041958</v>
      </c>
      <c r="Z58" s="760">
        <f t="shared" si="79"/>
        <v>0.41958041958041958</v>
      </c>
      <c r="AA58" s="760">
        <f t="shared" si="79"/>
        <v>0.41958041958041958</v>
      </c>
      <c r="AB58" s="760">
        <f t="shared" si="79"/>
        <v>0.41958041958041958</v>
      </c>
      <c r="AC58" s="760">
        <f t="shared" si="79"/>
        <v>0.41958041958041958</v>
      </c>
      <c r="AD58" s="760">
        <f t="shared" si="79"/>
        <v>0.41958041958041958</v>
      </c>
      <c r="AE58" s="760">
        <f t="shared" si="79"/>
        <v>0.41958041958041958</v>
      </c>
      <c r="AF58" s="760">
        <f t="shared" si="79"/>
        <v>0.41958041958041958</v>
      </c>
      <c r="AG58" s="1263">
        <f t="shared" ref="AG58:AL58" si="80">AG57/(22*52)</f>
        <v>0.41958041958041958</v>
      </c>
      <c r="AH58" s="1263">
        <f t="shared" si="80"/>
        <v>0.41958041958041958</v>
      </c>
      <c r="AI58" s="1263">
        <f t="shared" si="80"/>
        <v>0.41958041958041958</v>
      </c>
      <c r="AJ58" s="1263">
        <f t="shared" si="80"/>
        <v>0.41958041958041958</v>
      </c>
      <c r="AK58" s="1263">
        <f t="shared" si="80"/>
        <v>0.41958041958041958</v>
      </c>
      <c r="AL58" s="1263">
        <f t="shared" si="80"/>
        <v>0.41958041958041958</v>
      </c>
      <c r="AM58" s="1263">
        <f>AM57/(22*52)</f>
        <v>0.41958041958041958</v>
      </c>
      <c r="AN58" s="1263">
        <f>AN57/(22*52)</f>
        <v>0.41958041958041958</v>
      </c>
      <c r="AO58" s="760"/>
      <c r="AP58" s="760"/>
      <c r="AQ58" s="760"/>
      <c r="AR58" s="760"/>
      <c r="AS58" s="760"/>
      <c r="AT58" s="760"/>
      <c r="AU58" s="739"/>
      <c r="AV58" s="6"/>
      <c r="AW58" s="6"/>
      <c r="AX58" s="6"/>
      <c r="AY58" s="6"/>
      <c r="AZ58" s="6"/>
      <c r="BA58" s="6"/>
      <c r="BB58" s="6"/>
      <c r="BC58" s="6"/>
      <c r="BD58" s="6"/>
      <c r="BE58" s="6"/>
      <c r="BF58" s="6"/>
      <c r="BG58" s="6"/>
      <c r="BH58" s="6"/>
      <c r="BI58" s="6"/>
      <c r="BJ58" s="6"/>
      <c r="BK58" s="6"/>
      <c r="BL58" s="6"/>
      <c r="BM58" s="6"/>
      <c r="BN58" s="6"/>
      <c r="BO58" s="6"/>
      <c r="BP58" s="6"/>
      <c r="BQ58" s="6"/>
      <c r="BR58" s="6"/>
      <c r="BS58" s="6"/>
      <c r="BT58" s="254"/>
      <c r="BU58" s="6"/>
      <c r="BV58" s="6"/>
      <c r="BW58" s="6"/>
      <c r="BX58" s="6"/>
      <c r="BY58" s="254"/>
      <c r="BZ58" s="6"/>
      <c r="CA58" s="6"/>
      <c r="CB58" s="6"/>
      <c r="CC58" s="6"/>
      <c r="CD58" s="6"/>
      <c r="CE58" s="6"/>
      <c r="CF58" s="6"/>
      <c r="CG58" s="6"/>
      <c r="CH58" s="6"/>
      <c r="CI58" s="6"/>
      <c r="CJ58" s="6"/>
      <c r="CK58" s="6"/>
      <c r="CL58" s="6"/>
      <c r="CM58" s="6"/>
      <c r="CN58" s="254"/>
      <c r="CO58" s="6"/>
      <c r="CP58" s="6"/>
      <c r="CQ58" s="6"/>
      <c r="CR58" s="6"/>
      <c r="CS58" s="6"/>
      <c r="CT58" s="6"/>
      <c r="CU58" s="6"/>
      <c r="CV58" s="6"/>
      <c r="CW58" s="6"/>
      <c r="CX58" s="6"/>
      <c r="CY58" s="6"/>
      <c r="CZ58" s="6"/>
      <c r="DA58" s="6"/>
      <c r="DB58" s="6"/>
      <c r="DC58" s="6"/>
      <c r="DD58" s="6"/>
      <c r="DE58" s="6"/>
      <c r="DF58" s="6"/>
      <c r="DG58" s="6"/>
      <c r="DH58" s="6"/>
    </row>
    <row r="59" spans="1:112">
      <c r="A59" s="556" t="s">
        <v>998</v>
      </c>
      <c r="B59" s="629">
        <v>0</v>
      </c>
      <c r="C59" s="629">
        <v>0</v>
      </c>
      <c r="D59" s="629">
        <v>0</v>
      </c>
      <c r="E59" s="629">
        <v>60</v>
      </c>
      <c r="F59" s="629">
        <v>60</v>
      </c>
      <c r="G59" s="629">
        <v>80</v>
      </c>
      <c r="H59" s="629">
        <v>100</v>
      </c>
      <c r="I59" s="629">
        <v>106</v>
      </c>
      <c r="J59" s="629">
        <v>106</v>
      </c>
      <c r="K59" s="629">
        <v>150</v>
      </c>
      <c r="L59" s="629">
        <v>150</v>
      </c>
      <c r="M59" s="629">
        <v>200</v>
      </c>
      <c r="N59" s="629">
        <v>200</v>
      </c>
      <c r="O59" s="629">
        <v>204</v>
      </c>
      <c r="P59" s="629">
        <v>206</v>
      </c>
      <c r="Q59" s="629">
        <f>P59*1.04</f>
        <v>214.24</v>
      </c>
      <c r="R59" s="629">
        <f>Q59*1.04</f>
        <v>222.80960000000002</v>
      </c>
      <c r="S59" s="629">
        <f>R59*1.04</f>
        <v>231.72198400000002</v>
      </c>
      <c r="T59" s="629">
        <f>S59*1.04</f>
        <v>240.99086336000002</v>
      </c>
      <c r="U59" s="629">
        <f>T59*1.03</f>
        <v>248.22058926080004</v>
      </c>
      <c r="V59" s="629">
        <f>U59*1.06</f>
        <v>263.11382461644803</v>
      </c>
      <c r="W59" s="629">
        <f>V59*1.02</f>
        <v>268.37610110877699</v>
      </c>
      <c r="X59" s="629">
        <f>W59</f>
        <v>268.37610110877699</v>
      </c>
      <c r="Y59" s="629">
        <f t="shared" ref="Y59:AB59" si="81">X59*1.01</f>
        <v>271.05986211986476</v>
      </c>
      <c r="Z59" s="629">
        <f t="shared" si="81"/>
        <v>273.7704607410634</v>
      </c>
      <c r="AA59" s="629">
        <f t="shared" si="81"/>
        <v>276.50816534847405</v>
      </c>
      <c r="AB59" s="629">
        <f t="shared" si="81"/>
        <v>279.27324700195879</v>
      </c>
      <c r="AC59" s="629">
        <f>AB59*1.01</f>
        <v>282.06597947197838</v>
      </c>
      <c r="AD59" s="629">
        <f>AC59*1.07</f>
        <v>301.81059803501688</v>
      </c>
      <c r="AE59" s="629">
        <f t="shared" ref="AE59:AN59" si="82">AD59*1.01</f>
        <v>304.82870401536707</v>
      </c>
      <c r="AF59" s="629">
        <f t="shared" si="82"/>
        <v>307.87699105552076</v>
      </c>
      <c r="AG59" s="430">
        <f t="shared" si="82"/>
        <v>310.95576096607596</v>
      </c>
      <c r="AH59" s="430">
        <f t="shared" si="82"/>
        <v>314.06531857573674</v>
      </c>
      <c r="AI59" s="430">
        <f t="shared" si="82"/>
        <v>317.20597176149408</v>
      </c>
      <c r="AJ59" s="430">
        <f t="shared" si="82"/>
        <v>320.37803147910904</v>
      </c>
      <c r="AK59" s="430">
        <f t="shared" si="82"/>
        <v>323.58181179390016</v>
      </c>
      <c r="AL59" s="430">
        <f t="shared" si="82"/>
        <v>326.81762991183916</v>
      </c>
      <c r="AM59" s="430">
        <f t="shared" si="82"/>
        <v>330.08580621095757</v>
      </c>
      <c r="AN59" s="430">
        <f t="shared" si="82"/>
        <v>333.38666427306714</v>
      </c>
      <c r="AO59" s="629"/>
      <c r="AP59" s="629"/>
      <c r="AQ59" s="629"/>
      <c r="AR59" s="629"/>
      <c r="AS59" s="629"/>
      <c r="AT59" s="629"/>
      <c r="AU59" s="739"/>
      <c r="AV59" s="6"/>
      <c r="AW59" s="6"/>
      <c r="AX59" s="6"/>
      <c r="AY59" s="6"/>
      <c r="AZ59" s="6"/>
      <c r="BA59" s="6"/>
      <c r="BB59" s="6"/>
      <c r="BC59" s="6"/>
      <c r="BD59" s="6"/>
      <c r="BE59" s="6"/>
      <c r="BF59" s="6"/>
      <c r="BG59" s="6"/>
      <c r="BH59" s="6"/>
      <c r="BI59" s="6"/>
      <c r="BJ59" s="6"/>
      <c r="BK59" s="6"/>
      <c r="BL59" s="6"/>
      <c r="BM59" s="6"/>
      <c r="BN59" s="6"/>
      <c r="BO59" s="6"/>
      <c r="BP59" s="6"/>
      <c r="BQ59" s="6"/>
      <c r="BR59" s="6"/>
      <c r="BS59" s="6"/>
      <c r="BT59" s="254"/>
      <c r="BU59" s="6"/>
      <c r="BV59" s="6"/>
      <c r="BW59" s="6"/>
      <c r="BX59" s="6"/>
      <c r="BY59" s="254"/>
      <c r="BZ59" s="6"/>
      <c r="CA59" s="6"/>
      <c r="CB59" s="6"/>
      <c r="CC59" s="6"/>
      <c r="CD59" s="6"/>
      <c r="CE59" s="6"/>
      <c r="CF59" s="6"/>
      <c r="CG59" s="6"/>
      <c r="CH59" s="6"/>
      <c r="CI59" s="6"/>
      <c r="CJ59" s="6"/>
      <c r="CK59" s="6"/>
      <c r="CL59" s="6"/>
      <c r="CM59" s="6"/>
      <c r="CN59" s="254"/>
      <c r="CO59" s="6"/>
      <c r="CP59" s="6"/>
      <c r="CQ59" s="6"/>
      <c r="CR59" s="6"/>
      <c r="CS59" s="6"/>
      <c r="CT59" s="6"/>
      <c r="CU59" s="6"/>
      <c r="CV59" s="6"/>
      <c r="CW59" s="6"/>
      <c r="CX59" s="6"/>
      <c r="CY59" s="6"/>
      <c r="CZ59" s="6"/>
      <c r="DA59" s="6"/>
      <c r="DB59" s="6"/>
      <c r="DC59" s="6"/>
      <c r="DD59" s="6"/>
      <c r="DE59" s="6"/>
      <c r="DF59" s="6"/>
      <c r="DG59" s="6"/>
      <c r="DH59" s="6"/>
    </row>
    <row r="60" spans="1:112">
      <c r="A60" s="556" t="s">
        <v>997</v>
      </c>
      <c r="B60" s="760">
        <f>B59/(22*52)</f>
        <v>0</v>
      </c>
      <c r="C60" s="760">
        <f t="shared" ref="C60:AF60" si="83">C59/(22*52)</f>
        <v>0</v>
      </c>
      <c r="D60" s="760">
        <f t="shared" si="83"/>
        <v>0</v>
      </c>
      <c r="E60" s="760">
        <f t="shared" si="83"/>
        <v>5.2447552447552448E-2</v>
      </c>
      <c r="F60" s="760">
        <f t="shared" si="83"/>
        <v>5.2447552447552448E-2</v>
      </c>
      <c r="G60" s="760">
        <f t="shared" si="83"/>
        <v>6.9930069930069935E-2</v>
      </c>
      <c r="H60" s="760">
        <f t="shared" si="83"/>
        <v>8.7412587412587409E-2</v>
      </c>
      <c r="I60" s="760">
        <f t="shared" si="83"/>
        <v>9.2657342657342656E-2</v>
      </c>
      <c r="J60" s="760">
        <f t="shared" si="83"/>
        <v>9.2657342657342656E-2</v>
      </c>
      <c r="K60" s="760">
        <f t="shared" si="83"/>
        <v>0.13111888111888112</v>
      </c>
      <c r="L60" s="760">
        <f t="shared" si="83"/>
        <v>0.13111888111888112</v>
      </c>
      <c r="M60" s="760">
        <f t="shared" si="83"/>
        <v>0.17482517482517482</v>
      </c>
      <c r="N60" s="760">
        <f t="shared" si="83"/>
        <v>0.17482517482517482</v>
      </c>
      <c r="O60" s="760">
        <f t="shared" si="83"/>
        <v>0.17832167832167833</v>
      </c>
      <c r="P60" s="760">
        <f t="shared" si="83"/>
        <v>0.18006993006993008</v>
      </c>
      <c r="Q60" s="760">
        <f t="shared" si="83"/>
        <v>0.18727272727272729</v>
      </c>
      <c r="R60" s="760">
        <f t="shared" si="83"/>
        <v>0.19476363636363639</v>
      </c>
      <c r="S60" s="760">
        <f t="shared" si="83"/>
        <v>0.20255418181818183</v>
      </c>
      <c r="T60" s="760">
        <f t="shared" si="83"/>
        <v>0.21065634909090911</v>
      </c>
      <c r="U60" s="760">
        <f t="shared" si="83"/>
        <v>0.2169760395636364</v>
      </c>
      <c r="V60" s="760">
        <f t="shared" si="83"/>
        <v>0.22999460193745458</v>
      </c>
      <c r="W60" s="760">
        <f t="shared" si="83"/>
        <v>0.23459449397620366</v>
      </c>
      <c r="X60" s="760">
        <f t="shared" si="83"/>
        <v>0.23459449397620366</v>
      </c>
      <c r="Y60" s="760">
        <f t="shared" si="83"/>
        <v>0.2369404389159657</v>
      </c>
      <c r="Z60" s="760">
        <f t="shared" si="83"/>
        <v>0.23930984330512536</v>
      </c>
      <c r="AA60" s="760">
        <f t="shared" si="83"/>
        <v>0.24170294173817661</v>
      </c>
      <c r="AB60" s="760">
        <f t="shared" si="83"/>
        <v>0.24411997115555839</v>
      </c>
      <c r="AC60" s="760">
        <f t="shared" si="83"/>
        <v>0.24656117086711396</v>
      </c>
      <c r="AD60" s="760">
        <f t="shared" si="83"/>
        <v>0.26382045282781197</v>
      </c>
      <c r="AE60" s="760">
        <f t="shared" si="83"/>
        <v>0.26645865735609009</v>
      </c>
      <c r="AF60" s="760">
        <f t="shared" si="83"/>
        <v>0.26912324392965103</v>
      </c>
      <c r="AG60" s="1263">
        <f t="shared" ref="AG60:AL60" si="84">AG59/(22*52)</f>
        <v>0.27181447636894751</v>
      </c>
      <c r="AH60" s="1263">
        <f t="shared" si="84"/>
        <v>0.27453262113263699</v>
      </c>
      <c r="AI60" s="1263">
        <f t="shared" si="84"/>
        <v>0.27727794734396338</v>
      </c>
      <c r="AJ60" s="1263">
        <f t="shared" si="84"/>
        <v>0.28005072681740301</v>
      </c>
      <c r="AK60" s="1263">
        <f t="shared" si="84"/>
        <v>0.28285123408557705</v>
      </c>
      <c r="AL60" s="1263">
        <f t="shared" si="84"/>
        <v>0.28567974642643285</v>
      </c>
      <c r="AM60" s="1263">
        <f>AM59/(22*52)</f>
        <v>0.28853654389069716</v>
      </c>
      <c r="AN60" s="1263">
        <f>AN59/(22*52)</f>
        <v>0.29142190932960416</v>
      </c>
      <c r="AO60" s="760"/>
      <c r="AP60" s="760"/>
      <c r="AQ60" s="760"/>
      <c r="AR60" s="760"/>
      <c r="AS60" s="760"/>
      <c r="AT60" s="760"/>
      <c r="AU60" s="739"/>
      <c r="AV60" s="6"/>
      <c r="AW60" s="6"/>
      <c r="AX60" s="6"/>
      <c r="AY60" s="6"/>
      <c r="AZ60" s="6"/>
      <c r="BA60" s="6"/>
      <c r="BB60" s="6"/>
      <c r="BC60" s="6"/>
      <c r="BD60" s="6"/>
      <c r="BE60" s="6"/>
      <c r="BF60" s="6"/>
      <c r="BG60" s="6"/>
      <c r="BH60" s="6"/>
      <c r="BI60" s="6"/>
      <c r="BJ60" s="6"/>
      <c r="BK60" s="6"/>
      <c r="BL60" s="6"/>
      <c r="BM60" s="6"/>
      <c r="BN60" s="6"/>
      <c r="BO60" s="6"/>
      <c r="BP60" s="6"/>
      <c r="BQ60" s="6"/>
      <c r="BR60" s="6"/>
      <c r="BS60" s="6"/>
      <c r="BT60" s="254"/>
      <c r="BU60" s="6"/>
      <c r="BV60" s="6"/>
      <c r="BW60" s="6"/>
      <c r="BX60" s="6"/>
      <c r="BY60" s="254"/>
      <c r="BZ60" s="6"/>
      <c r="CA60" s="6"/>
      <c r="CB60" s="6"/>
      <c r="CC60" s="6"/>
      <c r="CD60" s="6"/>
      <c r="CE60" s="6"/>
      <c r="CF60" s="6"/>
      <c r="CG60" s="6"/>
      <c r="CH60" s="6"/>
      <c r="CI60" s="6"/>
      <c r="CJ60" s="6"/>
      <c r="CK60" s="6"/>
      <c r="CL60" s="6"/>
      <c r="CM60" s="6"/>
      <c r="CN60" s="254"/>
      <c r="CO60" s="6"/>
      <c r="CP60" s="6"/>
      <c r="CQ60" s="6"/>
      <c r="CR60" s="6"/>
      <c r="CS60" s="6"/>
      <c r="CT60" s="6"/>
      <c r="CU60" s="6"/>
      <c r="CV60" s="6"/>
      <c r="CW60" s="6"/>
      <c r="CX60" s="6"/>
      <c r="CY60" s="6"/>
      <c r="CZ60" s="6"/>
      <c r="DA60" s="6"/>
      <c r="DB60" s="6"/>
      <c r="DC60" s="6"/>
      <c r="DD60" s="6"/>
      <c r="DE60" s="6"/>
      <c r="DF60" s="6"/>
      <c r="DG60" s="6"/>
      <c r="DH60" s="6"/>
    </row>
    <row r="61" spans="1:112">
      <c r="A61" s="556" t="s">
        <v>999</v>
      </c>
      <c r="B61" s="928">
        <f>B62*(22*52)</f>
        <v>664</v>
      </c>
      <c r="C61" s="928">
        <f t="shared" ref="C61:AN61" si="85">C62*(22*52)</f>
        <v>664</v>
      </c>
      <c r="D61" s="928">
        <f t="shared" si="85"/>
        <v>664</v>
      </c>
      <c r="E61" s="928">
        <f t="shared" si="85"/>
        <v>603.99999999999989</v>
      </c>
      <c r="F61" s="928">
        <f t="shared" si="85"/>
        <v>603.99999999999989</v>
      </c>
      <c r="G61" s="928">
        <f t="shared" si="85"/>
        <v>584</v>
      </c>
      <c r="H61" s="928">
        <f t="shared" si="85"/>
        <v>564</v>
      </c>
      <c r="I61" s="928">
        <f t="shared" si="85"/>
        <v>557.99999999999989</v>
      </c>
      <c r="J61" s="928">
        <f t="shared" si="85"/>
        <v>557.99999999999989</v>
      </c>
      <c r="K61" s="928">
        <f t="shared" si="85"/>
        <v>514</v>
      </c>
      <c r="L61" s="928">
        <f t="shared" si="85"/>
        <v>514</v>
      </c>
      <c r="M61" s="928">
        <f t="shared" si="85"/>
        <v>464.00000000000006</v>
      </c>
      <c r="N61" s="928">
        <f t="shared" si="85"/>
        <v>464.00000000000006</v>
      </c>
      <c r="O61" s="928">
        <f t="shared" si="85"/>
        <v>460</v>
      </c>
      <c r="P61" s="928">
        <f t="shared" si="85"/>
        <v>457.99999999999994</v>
      </c>
      <c r="Q61" s="928">
        <f t="shared" si="85"/>
        <v>449.76</v>
      </c>
      <c r="R61" s="928">
        <f t="shared" si="85"/>
        <v>441.19040000000001</v>
      </c>
      <c r="S61" s="928">
        <f t="shared" si="85"/>
        <v>432.27801599999998</v>
      </c>
      <c r="T61" s="928">
        <f t="shared" si="85"/>
        <v>423.00913663999995</v>
      </c>
      <c r="U61" s="928">
        <f t="shared" si="85"/>
        <v>415.77941073919993</v>
      </c>
      <c r="V61" s="928">
        <f t="shared" si="85"/>
        <v>400.88617538355197</v>
      </c>
      <c r="W61" s="928">
        <f t="shared" si="85"/>
        <v>395.62389889122295</v>
      </c>
      <c r="X61" s="928">
        <f t="shared" si="85"/>
        <v>395.62389889122295</v>
      </c>
      <c r="Y61" s="928">
        <f t="shared" si="85"/>
        <v>392.94013788013518</v>
      </c>
      <c r="Z61" s="928">
        <f t="shared" si="85"/>
        <v>390.22953925893654</v>
      </c>
      <c r="AA61" s="928">
        <f t="shared" si="85"/>
        <v>387.49183465152595</v>
      </c>
      <c r="AB61" s="928">
        <f t="shared" si="85"/>
        <v>384.72675299804121</v>
      </c>
      <c r="AC61" s="928">
        <f t="shared" si="85"/>
        <v>381.93402052802168</v>
      </c>
      <c r="AD61" s="928">
        <f t="shared" si="85"/>
        <v>362.18940196498312</v>
      </c>
      <c r="AE61" s="928">
        <f t="shared" si="85"/>
        <v>359.17129598463293</v>
      </c>
      <c r="AF61" s="928">
        <f t="shared" si="85"/>
        <v>356.12300894447924</v>
      </c>
      <c r="AG61" s="1261">
        <f t="shared" si="85"/>
        <v>353.04423903392404</v>
      </c>
      <c r="AH61" s="1261">
        <f t="shared" si="85"/>
        <v>349.93468142426326</v>
      </c>
      <c r="AI61" s="1261">
        <f t="shared" si="85"/>
        <v>346.79402823850586</v>
      </c>
      <c r="AJ61" s="1261">
        <f t="shared" si="85"/>
        <v>343.6219685208909</v>
      </c>
      <c r="AK61" s="1261">
        <f t="shared" si="85"/>
        <v>340.41818820609979</v>
      </c>
      <c r="AL61" s="1261">
        <f t="shared" si="85"/>
        <v>337.18237008816078</v>
      </c>
      <c r="AM61" s="1261">
        <f t="shared" si="85"/>
        <v>333.91419378904243</v>
      </c>
      <c r="AN61" s="1261">
        <f t="shared" si="85"/>
        <v>330.6133357269328</v>
      </c>
      <c r="AO61" s="928"/>
      <c r="AP61" s="928"/>
      <c r="AQ61" s="928"/>
      <c r="AR61" s="928"/>
      <c r="AS61" s="928"/>
      <c r="AT61" s="928"/>
      <c r="AU61" s="739"/>
      <c r="AV61" s="6"/>
      <c r="AW61" s="6"/>
      <c r="AX61" s="6"/>
      <c r="AY61" s="6"/>
      <c r="AZ61" s="6"/>
      <c r="BA61" s="6"/>
      <c r="BB61" s="6"/>
      <c r="BC61" s="6"/>
      <c r="BD61" s="6"/>
      <c r="BE61" s="6"/>
      <c r="BF61" s="6"/>
      <c r="BG61" s="6"/>
      <c r="BH61" s="6"/>
      <c r="BI61" s="6"/>
      <c r="BJ61" s="6"/>
      <c r="BK61" s="6"/>
      <c r="BL61" s="6"/>
      <c r="BM61" s="6"/>
      <c r="BN61" s="6"/>
      <c r="BO61" s="6"/>
      <c r="BP61" s="6"/>
      <c r="BQ61" s="6"/>
      <c r="BR61" s="6"/>
      <c r="BS61" s="6"/>
      <c r="BT61" s="254"/>
      <c r="BU61" s="6"/>
      <c r="BV61" s="6"/>
      <c r="BW61" s="6"/>
      <c r="BX61" s="6"/>
      <c r="BY61" s="254"/>
      <c r="BZ61" s="6"/>
      <c r="CA61" s="6"/>
      <c r="CB61" s="6"/>
      <c r="CC61" s="6"/>
      <c r="CD61" s="6"/>
      <c r="CE61" s="6"/>
      <c r="CF61" s="6"/>
      <c r="CG61" s="6"/>
      <c r="CH61" s="6"/>
      <c r="CI61" s="6"/>
      <c r="CJ61" s="6"/>
      <c r="CK61" s="6"/>
      <c r="CL61" s="6"/>
      <c r="CM61" s="6"/>
      <c r="CN61" s="254"/>
      <c r="CO61" s="6"/>
      <c r="CP61" s="6"/>
      <c r="CQ61" s="6"/>
      <c r="CR61" s="6"/>
      <c r="CS61" s="6"/>
      <c r="CT61" s="6"/>
      <c r="CU61" s="6"/>
      <c r="CV61" s="6"/>
      <c r="CW61" s="6"/>
      <c r="CX61" s="6"/>
      <c r="CY61" s="6"/>
      <c r="CZ61" s="6"/>
      <c r="DA61" s="6"/>
      <c r="DB61" s="6"/>
      <c r="DC61" s="6"/>
      <c r="DD61" s="6"/>
      <c r="DE61" s="6"/>
      <c r="DF61" s="6"/>
      <c r="DG61" s="6"/>
      <c r="DH61" s="6"/>
    </row>
    <row r="62" spans="1:112">
      <c r="A62" s="556" t="s">
        <v>997</v>
      </c>
      <c r="B62" s="760">
        <f>1-B60-B58</f>
        <v>0.58041958041958042</v>
      </c>
      <c r="C62" s="760">
        <f t="shared" ref="C62:AD62" si="86">1-C60-C58</f>
        <v>0.58041958041958042</v>
      </c>
      <c r="D62" s="760">
        <f t="shared" si="86"/>
        <v>0.58041958041958042</v>
      </c>
      <c r="E62" s="760">
        <f t="shared" si="86"/>
        <v>0.52797202797202791</v>
      </c>
      <c r="F62" s="760">
        <f t="shared" si="86"/>
        <v>0.52797202797202791</v>
      </c>
      <c r="G62" s="760">
        <f t="shared" si="86"/>
        <v>0.51048951048951052</v>
      </c>
      <c r="H62" s="760">
        <f t="shared" si="86"/>
        <v>0.49300699300699302</v>
      </c>
      <c r="I62" s="760">
        <f t="shared" si="86"/>
        <v>0.4877622377622377</v>
      </c>
      <c r="J62" s="760">
        <f t="shared" si="86"/>
        <v>0.4877622377622377</v>
      </c>
      <c r="K62" s="760">
        <f t="shared" si="86"/>
        <v>0.44930069930069927</v>
      </c>
      <c r="L62" s="760">
        <f t="shared" si="86"/>
        <v>0.44930069930069927</v>
      </c>
      <c r="M62" s="760">
        <f t="shared" si="86"/>
        <v>0.40559440559440563</v>
      </c>
      <c r="N62" s="760">
        <f t="shared" si="86"/>
        <v>0.40559440559440563</v>
      </c>
      <c r="O62" s="760">
        <f t="shared" si="86"/>
        <v>0.40209790209790208</v>
      </c>
      <c r="P62" s="760">
        <f t="shared" si="86"/>
        <v>0.40034965034965031</v>
      </c>
      <c r="Q62" s="760">
        <f t="shared" si="86"/>
        <v>0.39314685314685316</v>
      </c>
      <c r="R62" s="760">
        <f t="shared" si="86"/>
        <v>0.38565594405594406</v>
      </c>
      <c r="S62" s="760">
        <f t="shared" si="86"/>
        <v>0.37786539860139856</v>
      </c>
      <c r="T62" s="760">
        <f t="shared" si="86"/>
        <v>0.36976323132867128</v>
      </c>
      <c r="U62" s="760">
        <f t="shared" si="86"/>
        <v>0.36344354085594399</v>
      </c>
      <c r="V62" s="760">
        <f t="shared" si="86"/>
        <v>0.35042497848212584</v>
      </c>
      <c r="W62" s="760">
        <f t="shared" si="86"/>
        <v>0.34582508644337673</v>
      </c>
      <c r="X62" s="760">
        <f t="shared" si="86"/>
        <v>0.34582508644337673</v>
      </c>
      <c r="Y62" s="760">
        <f t="shared" si="86"/>
        <v>0.34347914150361469</v>
      </c>
      <c r="Z62" s="760">
        <f t="shared" si="86"/>
        <v>0.34110973711445502</v>
      </c>
      <c r="AA62" s="760">
        <f t="shared" si="86"/>
        <v>0.33871663868140378</v>
      </c>
      <c r="AB62" s="760">
        <f t="shared" si="86"/>
        <v>0.33629960926402203</v>
      </c>
      <c r="AC62" s="760">
        <f t="shared" si="86"/>
        <v>0.33385840955246648</v>
      </c>
      <c r="AD62" s="760">
        <f t="shared" si="86"/>
        <v>0.31659912759176845</v>
      </c>
      <c r="AE62" s="760">
        <f t="shared" ref="AE62:AJ62" si="87">1-AE60-AE58</f>
        <v>0.31396092306349033</v>
      </c>
      <c r="AF62" s="760">
        <f t="shared" si="87"/>
        <v>0.31129633648992938</v>
      </c>
      <c r="AG62" s="1263">
        <f t="shared" si="87"/>
        <v>0.30860510405063291</v>
      </c>
      <c r="AH62" s="1263">
        <f t="shared" si="87"/>
        <v>0.30588695928694343</v>
      </c>
      <c r="AI62" s="1263">
        <f t="shared" si="87"/>
        <v>0.30314163307561703</v>
      </c>
      <c r="AJ62" s="1263">
        <f t="shared" si="87"/>
        <v>0.30036885360217735</v>
      </c>
      <c r="AK62" s="1263">
        <f>1-AK60-AK58</f>
        <v>0.29756834633400331</v>
      </c>
      <c r="AL62" s="1263">
        <f>1-AL60-AL58</f>
        <v>0.29473983399314752</v>
      </c>
      <c r="AM62" s="1263">
        <f>1-AM60-AM58</f>
        <v>0.29188303652888326</v>
      </c>
      <c r="AN62" s="1263">
        <f>1-AN60-AN58</f>
        <v>0.2889976710899762</v>
      </c>
      <c r="AO62" s="760"/>
      <c r="AP62" s="760"/>
      <c r="AQ62" s="760"/>
      <c r="AR62" s="760"/>
      <c r="AS62" s="760"/>
      <c r="AT62" s="760"/>
      <c r="AU62" s="739"/>
      <c r="AV62" s="6"/>
      <c r="AW62" s="6"/>
      <c r="AX62" s="6"/>
      <c r="AY62" s="6"/>
      <c r="AZ62" s="6"/>
      <c r="BA62" s="6"/>
      <c r="BB62" s="6"/>
      <c r="BC62" s="6"/>
      <c r="BD62" s="6"/>
      <c r="BE62" s="6"/>
      <c r="BF62" s="6"/>
      <c r="BG62" s="6"/>
      <c r="BH62" s="6"/>
      <c r="BI62" s="6"/>
      <c r="BJ62" s="6"/>
      <c r="BK62" s="6"/>
      <c r="BL62" s="6"/>
      <c r="BM62" s="6"/>
      <c r="BN62" s="6"/>
      <c r="BO62" s="6"/>
      <c r="BP62" s="6"/>
      <c r="BQ62" s="6"/>
      <c r="BR62" s="6"/>
      <c r="BS62" s="6"/>
      <c r="BT62" s="254"/>
      <c r="BU62" s="6"/>
      <c r="BV62" s="6"/>
      <c r="BW62" s="6"/>
      <c r="BX62" s="6"/>
      <c r="BY62" s="254"/>
      <c r="BZ62" s="6"/>
      <c r="CA62" s="6"/>
      <c r="CB62" s="6"/>
      <c r="CC62" s="6"/>
      <c r="CD62" s="6"/>
      <c r="CE62" s="6"/>
      <c r="CF62" s="6"/>
      <c r="CG62" s="6"/>
      <c r="CH62" s="6"/>
      <c r="CI62" s="6"/>
      <c r="CJ62" s="6"/>
      <c r="CK62" s="6"/>
      <c r="CL62" s="6"/>
      <c r="CM62" s="6"/>
      <c r="CN62" s="254"/>
      <c r="CO62" s="6"/>
      <c r="CP62" s="6"/>
      <c r="CQ62" s="6"/>
      <c r="CR62" s="6"/>
      <c r="CS62" s="6"/>
      <c r="CT62" s="6"/>
      <c r="CU62" s="6"/>
      <c r="CV62" s="6"/>
      <c r="CW62" s="6"/>
      <c r="CX62" s="6"/>
      <c r="CY62" s="6"/>
      <c r="CZ62" s="6"/>
      <c r="DA62" s="6"/>
      <c r="DB62" s="6"/>
      <c r="DC62" s="6"/>
      <c r="DD62" s="6"/>
      <c r="DE62" s="6"/>
      <c r="DF62" s="6"/>
      <c r="DG62" s="6"/>
      <c r="DH62" s="6"/>
    </row>
    <row r="63" spans="1:112">
      <c r="A63" s="556"/>
      <c r="B63" s="760"/>
      <c r="C63" s="760"/>
      <c r="D63" s="760"/>
      <c r="E63" s="760"/>
      <c r="F63" s="760"/>
      <c r="G63" s="760"/>
      <c r="H63" s="760"/>
      <c r="I63" s="760"/>
      <c r="J63" s="760"/>
      <c r="K63" s="760"/>
      <c r="L63" s="760"/>
      <c r="M63" s="760"/>
      <c r="N63" s="760"/>
      <c r="O63" s="760"/>
      <c r="P63" s="760"/>
      <c r="Q63" s="760"/>
      <c r="R63" s="760"/>
      <c r="S63" s="760"/>
      <c r="T63" s="760"/>
      <c r="U63" s="760"/>
      <c r="V63" s="928"/>
      <c r="W63" s="928"/>
      <c r="X63" s="928"/>
      <c r="Y63" s="928"/>
      <c r="Z63" s="928"/>
      <c r="AA63" s="928"/>
      <c r="AB63" s="928"/>
      <c r="AC63" s="928"/>
      <c r="AD63" s="928"/>
      <c r="AE63" s="928"/>
      <c r="AF63" s="928"/>
      <c r="AG63" s="1261"/>
      <c r="AH63" s="1261"/>
      <c r="AI63" s="1261"/>
      <c r="AJ63" s="1261"/>
      <c r="AK63" s="1261"/>
      <c r="AL63" s="1261"/>
      <c r="AM63" s="928"/>
      <c r="AN63" s="928"/>
      <c r="AO63" s="928"/>
      <c r="AP63" s="928"/>
      <c r="AQ63" s="928"/>
      <c r="AR63" s="928"/>
      <c r="AS63" s="928"/>
      <c r="AT63" s="928"/>
      <c r="AU63" s="739"/>
      <c r="AV63" s="6"/>
      <c r="AW63" s="6"/>
      <c r="AX63" s="6"/>
      <c r="AY63" s="6"/>
      <c r="AZ63" s="6"/>
      <c r="BA63" s="6"/>
      <c r="BB63" s="6"/>
      <c r="BC63" s="6"/>
      <c r="BD63" s="6"/>
      <c r="BE63" s="6"/>
      <c r="BF63" s="6"/>
      <c r="BG63" s="6"/>
      <c r="BH63" s="6"/>
      <c r="BI63" s="6"/>
      <c r="BJ63" s="6"/>
      <c r="BK63" s="6"/>
      <c r="BL63" s="6"/>
      <c r="BM63" s="6"/>
      <c r="BN63" s="6"/>
      <c r="BO63" s="6"/>
      <c r="BP63" s="6"/>
      <c r="BQ63" s="6"/>
      <c r="BR63" s="6"/>
      <c r="BS63" s="6"/>
      <c r="BT63" s="254"/>
      <c r="BU63" s="6"/>
      <c r="BV63" s="6"/>
      <c r="BW63" s="6"/>
      <c r="BX63" s="6"/>
      <c r="BY63" s="254"/>
      <c r="BZ63" s="6"/>
      <c r="CA63" s="6"/>
      <c r="CB63" s="6"/>
      <c r="CC63" s="6"/>
      <c r="CD63" s="6"/>
      <c r="CE63" s="6"/>
      <c r="CF63" s="6"/>
      <c r="CG63" s="6"/>
      <c r="CH63" s="6"/>
      <c r="CI63" s="6"/>
      <c r="CJ63" s="6"/>
      <c r="CK63" s="6"/>
      <c r="CL63" s="6"/>
      <c r="CM63" s="6"/>
      <c r="CN63" s="254"/>
      <c r="CO63" s="6"/>
      <c r="CP63" s="6"/>
      <c r="CQ63" s="6"/>
      <c r="CR63" s="6"/>
      <c r="CS63" s="6"/>
      <c r="CT63" s="6"/>
      <c r="CU63" s="6"/>
      <c r="CV63" s="6"/>
      <c r="CW63" s="6"/>
      <c r="CX63" s="6"/>
      <c r="CY63" s="6"/>
      <c r="CZ63" s="6"/>
      <c r="DA63" s="6"/>
      <c r="DB63" s="6"/>
      <c r="DC63" s="6"/>
      <c r="DD63" s="6"/>
      <c r="DE63" s="6"/>
      <c r="DF63" s="6"/>
      <c r="DG63" s="6"/>
      <c r="DH63" s="6"/>
    </row>
    <row r="64" spans="1:112">
      <c r="A64" s="542" t="s">
        <v>1005</v>
      </c>
      <c r="B64" s="928"/>
      <c r="C64" s="928"/>
      <c r="D64" s="928"/>
      <c r="E64" s="928"/>
      <c r="F64" s="928"/>
      <c r="G64" s="928"/>
      <c r="H64" s="928"/>
      <c r="I64" s="928"/>
      <c r="J64" s="928"/>
      <c r="K64" s="928"/>
      <c r="L64" s="928"/>
      <c r="M64" s="928"/>
      <c r="N64" s="928"/>
      <c r="O64" s="928"/>
      <c r="P64" s="928"/>
      <c r="Q64" s="928"/>
      <c r="R64" s="928"/>
      <c r="S64" s="928"/>
      <c r="T64" s="928"/>
      <c r="U64" s="928"/>
      <c r="V64" s="928"/>
      <c r="W64" s="928"/>
      <c r="X64" s="928"/>
      <c r="Y64" s="928"/>
      <c r="Z64" s="928"/>
      <c r="AA64" s="928"/>
      <c r="AB64" s="928"/>
      <c r="AC64" s="928"/>
      <c r="AD64" s="928"/>
      <c r="AE64" s="928"/>
      <c r="AF64" s="928"/>
      <c r="AG64" s="1261"/>
      <c r="AH64" s="1261"/>
      <c r="AI64" s="1261"/>
      <c r="AJ64" s="1261"/>
      <c r="AK64" s="1261"/>
      <c r="AL64" s="1261"/>
      <c r="AM64" s="928"/>
      <c r="AN64" s="928"/>
      <c r="AO64" s="928"/>
      <c r="AP64" s="928"/>
      <c r="AQ64" s="928"/>
      <c r="AR64" s="928"/>
      <c r="AS64" s="928"/>
      <c r="AT64" s="928"/>
      <c r="AU64" s="739"/>
      <c r="AV64" s="6"/>
      <c r="AW64" s="6"/>
      <c r="AX64" s="6"/>
      <c r="AY64" s="6"/>
      <c r="AZ64" s="6"/>
      <c r="BA64" s="6"/>
      <c r="BB64" s="6"/>
      <c r="BC64" s="6"/>
      <c r="BD64" s="6"/>
      <c r="BE64" s="6"/>
      <c r="BF64" s="6"/>
      <c r="BG64" s="6"/>
      <c r="BH64" s="6"/>
      <c r="BI64" s="6"/>
      <c r="BJ64" s="6"/>
      <c r="BK64" s="6"/>
      <c r="BL64" s="6"/>
      <c r="BM64" s="6"/>
      <c r="BN64" s="6"/>
      <c r="BO64" s="6"/>
      <c r="BP64" s="6"/>
      <c r="BQ64" s="6"/>
      <c r="BR64" s="6"/>
      <c r="BS64" s="6"/>
      <c r="BT64" s="254"/>
      <c r="BU64" s="6"/>
      <c r="BV64" s="6"/>
      <c r="BW64" s="6"/>
      <c r="BX64" s="6"/>
      <c r="BY64" s="254"/>
      <c r="BZ64" s="6"/>
      <c r="CA64" s="6"/>
      <c r="CB64" s="6"/>
      <c r="CC64" s="6"/>
      <c r="CD64" s="6"/>
      <c r="CE64" s="6"/>
      <c r="CF64" s="6"/>
      <c r="CG64" s="6"/>
      <c r="CH64" s="6"/>
      <c r="CI64" s="6"/>
      <c r="CJ64" s="6"/>
      <c r="CK64" s="6"/>
      <c r="CL64" s="6"/>
      <c r="CM64" s="6"/>
      <c r="CN64" s="254"/>
      <c r="CO64" s="6"/>
      <c r="CP64" s="6"/>
      <c r="CQ64" s="6"/>
      <c r="CR64" s="6"/>
      <c r="CS64" s="6"/>
      <c r="CT64" s="6"/>
      <c r="CU64" s="6"/>
      <c r="CV64" s="6"/>
      <c r="CW64" s="6"/>
      <c r="CX64" s="6"/>
      <c r="CY64" s="6"/>
      <c r="CZ64" s="6"/>
      <c r="DA64" s="6"/>
      <c r="DB64" s="6"/>
      <c r="DC64" s="6"/>
      <c r="DD64" s="6"/>
      <c r="DE64" s="6"/>
      <c r="DF64" s="6"/>
      <c r="DG64" s="6"/>
      <c r="DH64" s="6"/>
    </row>
    <row r="65" spans="1:112">
      <c r="A65" s="556" t="s">
        <v>991</v>
      </c>
      <c r="B65" s="930">
        <f t="shared" ref="B65:J66" si="88">C65/1.01</f>
        <v>1.8840904705084134</v>
      </c>
      <c r="C65" s="930">
        <f t="shared" si="88"/>
        <v>1.9029313752134975</v>
      </c>
      <c r="D65" s="930">
        <f t="shared" si="88"/>
        <v>1.9219606889656324</v>
      </c>
      <c r="E65" s="930">
        <f t="shared" si="88"/>
        <v>1.9411802958552888</v>
      </c>
      <c r="F65" s="930">
        <f t="shared" si="88"/>
        <v>1.9605920988138417</v>
      </c>
      <c r="G65" s="930">
        <f t="shared" si="88"/>
        <v>1.9801980198019802</v>
      </c>
      <c r="H65" s="930">
        <v>2</v>
      </c>
      <c r="I65" s="930">
        <v>2</v>
      </c>
      <c r="J65" s="930">
        <v>3.2</v>
      </c>
      <c r="K65" s="930">
        <v>4</v>
      </c>
      <c r="L65" s="930">
        <v>4.5</v>
      </c>
      <c r="M65" s="930">
        <v>3.7</v>
      </c>
      <c r="N65" s="930">
        <f>O65/1.01</f>
        <v>4.2764237551063173</v>
      </c>
      <c r="O65" s="930">
        <f>P65/1.05</f>
        <v>4.3191879926573806</v>
      </c>
      <c r="P65" s="930">
        <f>Q65/1.05</f>
        <v>4.5351473922902494</v>
      </c>
      <c r="Q65" s="930">
        <f>R65/1.05</f>
        <v>4.7619047619047619</v>
      </c>
      <c r="R65" s="930">
        <v>5</v>
      </c>
      <c r="S65" s="930">
        <v>5</v>
      </c>
      <c r="T65" s="930">
        <v>5</v>
      </c>
      <c r="U65" s="739">
        <f>IF(U49&gt;0,T65*1.03,0)</f>
        <v>5.15</v>
      </c>
      <c r="V65" s="739">
        <f t="shared" ref="V65:AD65" si="89">IF(V49&gt;0,U65*1.03,0)</f>
        <v>0</v>
      </c>
      <c r="W65" s="739">
        <f t="shared" si="89"/>
        <v>0</v>
      </c>
      <c r="X65" s="739">
        <f t="shared" si="89"/>
        <v>0</v>
      </c>
      <c r="Y65" s="739">
        <f t="shared" si="89"/>
        <v>0</v>
      </c>
      <c r="Z65" s="739">
        <f t="shared" si="89"/>
        <v>0</v>
      </c>
      <c r="AA65" s="739">
        <f t="shared" si="89"/>
        <v>0</v>
      </c>
      <c r="AB65" s="739">
        <f t="shared" si="89"/>
        <v>0</v>
      </c>
      <c r="AC65" s="739">
        <f t="shared" si="89"/>
        <v>0</v>
      </c>
      <c r="AD65" s="739">
        <f t="shared" si="89"/>
        <v>0</v>
      </c>
      <c r="AE65" s="739">
        <f t="shared" ref="AE65:AF69" si="90">IF(AE49&gt;0,AD65*1.03,0)</f>
        <v>0</v>
      </c>
      <c r="AF65" s="739">
        <f t="shared" si="90"/>
        <v>0</v>
      </c>
      <c r="AG65" s="665">
        <f t="shared" ref="AG65:AH69" si="91">IF(AG49&gt;0,AF65*1.03,0)</f>
        <v>0</v>
      </c>
      <c r="AH65" s="665">
        <f t="shared" si="91"/>
        <v>0</v>
      </c>
      <c r="AI65" s="665">
        <f t="shared" ref="AI65:AN69" si="92">IF(AI49&gt;0,AH65*1.03,0)</f>
        <v>0</v>
      </c>
      <c r="AJ65" s="665">
        <f t="shared" si="92"/>
        <v>0</v>
      </c>
      <c r="AK65" s="665">
        <f t="shared" si="92"/>
        <v>0</v>
      </c>
      <c r="AL65" s="665">
        <f t="shared" si="92"/>
        <v>0</v>
      </c>
      <c r="AM65" s="665">
        <f t="shared" si="92"/>
        <v>0</v>
      </c>
      <c r="AN65" s="665">
        <f t="shared" si="92"/>
        <v>0</v>
      </c>
      <c r="AO65" s="739"/>
      <c r="AP65" s="739"/>
      <c r="AQ65" s="739"/>
      <c r="AR65" s="739"/>
      <c r="AS65" s="739"/>
      <c r="AT65" s="739"/>
      <c r="AU65" s="739"/>
      <c r="AV65" s="6"/>
      <c r="AW65" s="6"/>
      <c r="AX65" s="6"/>
      <c r="AY65" s="6"/>
      <c r="AZ65" s="6"/>
      <c r="BA65" s="6"/>
      <c r="BB65" s="6"/>
      <c r="BC65" s="6"/>
      <c r="BD65" s="6"/>
      <c r="BE65" s="6"/>
      <c r="BF65" s="6"/>
      <c r="BG65" s="6"/>
      <c r="BH65" s="6"/>
      <c r="BI65" s="6"/>
      <c r="BJ65" s="6"/>
      <c r="BK65" s="6"/>
      <c r="BL65" s="6"/>
      <c r="BM65" s="6"/>
      <c r="BN65" s="6"/>
      <c r="BO65" s="6"/>
      <c r="BP65" s="6"/>
      <c r="BQ65" s="6"/>
      <c r="BR65" s="6"/>
      <c r="BS65" s="6"/>
      <c r="BT65" s="254"/>
      <c r="BU65" s="6"/>
      <c r="BV65" s="6"/>
      <c r="BW65" s="6"/>
      <c r="BX65" s="6"/>
      <c r="BY65" s="254"/>
      <c r="BZ65" s="6"/>
      <c r="CA65" s="6"/>
      <c r="CB65" s="6"/>
      <c r="CC65" s="6"/>
      <c r="CD65" s="6"/>
      <c r="CE65" s="6"/>
      <c r="CF65" s="6"/>
      <c r="CG65" s="6"/>
      <c r="CH65" s="6"/>
      <c r="CI65" s="6"/>
      <c r="CJ65" s="6"/>
      <c r="CK65" s="6"/>
      <c r="CL65" s="6"/>
      <c r="CM65" s="6"/>
      <c r="CN65" s="254"/>
      <c r="CO65" s="6"/>
      <c r="CP65" s="6"/>
      <c r="CQ65" s="6"/>
      <c r="CR65" s="6"/>
      <c r="CS65" s="6"/>
      <c r="CT65" s="6"/>
      <c r="CU65" s="6"/>
      <c r="CV65" s="6"/>
      <c r="CW65" s="6"/>
      <c r="CX65" s="6"/>
      <c r="CY65" s="6"/>
      <c r="CZ65" s="6"/>
      <c r="DA65" s="6"/>
      <c r="DB65" s="6"/>
      <c r="DC65" s="6"/>
      <c r="DD65" s="6"/>
      <c r="DE65" s="6"/>
      <c r="DF65" s="6"/>
      <c r="DG65" s="6"/>
      <c r="DH65" s="6"/>
    </row>
    <row r="66" spans="1:112">
      <c r="A66" s="556" t="s">
        <v>992</v>
      </c>
      <c r="B66" s="739">
        <f t="shared" si="88"/>
        <v>3.2001893848396961</v>
      </c>
      <c r="C66" s="739">
        <f t="shared" si="88"/>
        <v>3.2321912786880929</v>
      </c>
      <c r="D66" s="739">
        <f t="shared" si="88"/>
        <v>3.2645131914749737</v>
      </c>
      <c r="E66" s="739">
        <f t="shared" si="88"/>
        <v>3.2971583233897235</v>
      </c>
      <c r="F66" s="739">
        <f t="shared" si="88"/>
        <v>3.330129906623621</v>
      </c>
      <c r="G66" s="739">
        <f t="shared" si="88"/>
        <v>3.363431205689857</v>
      </c>
      <c r="H66" s="739">
        <f t="shared" si="88"/>
        <v>3.3970655177467557</v>
      </c>
      <c r="I66" s="739">
        <f t="shared" si="88"/>
        <v>3.4310361729242231</v>
      </c>
      <c r="J66" s="739">
        <f t="shared" si="88"/>
        <v>3.4653465346534653</v>
      </c>
      <c r="K66" s="739">
        <v>3.5</v>
      </c>
      <c r="L66" s="739">
        <f>K66*1.05</f>
        <v>3.6750000000000003</v>
      </c>
      <c r="M66" s="739">
        <f>L66*1.05</f>
        <v>3.8587500000000006</v>
      </c>
      <c r="N66" s="739">
        <f>M66*1.05</f>
        <v>4.0516875000000008</v>
      </c>
      <c r="O66" s="739">
        <f t="shared" ref="O66:Q69" si="93">P66/1.05</f>
        <v>2.5915127955944279</v>
      </c>
      <c r="P66" s="739">
        <f t="shared" si="93"/>
        <v>2.7210884353741496</v>
      </c>
      <c r="Q66" s="739">
        <f t="shared" si="93"/>
        <v>2.8571428571428572</v>
      </c>
      <c r="R66" s="739">
        <v>3</v>
      </c>
      <c r="S66" s="739">
        <v>3</v>
      </c>
      <c r="T66" s="739">
        <v>3</v>
      </c>
      <c r="U66" s="739">
        <f t="shared" ref="U66:AD69" si="94">IF(U50&gt;0,T66*1.03,0)</f>
        <v>3.09</v>
      </c>
      <c r="V66" s="739">
        <f t="shared" si="94"/>
        <v>0</v>
      </c>
      <c r="W66" s="739">
        <f t="shared" si="94"/>
        <v>0</v>
      </c>
      <c r="X66" s="739">
        <f t="shared" si="94"/>
        <v>0</v>
      </c>
      <c r="Y66" s="739">
        <f t="shared" si="94"/>
        <v>0</v>
      </c>
      <c r="Z66" s="739">
        <f t="shared" si="94"/>
        <v>0</v>
      </c>
      <c r="AA66" s="739">
        <f t="shared" si="94"/>
        <v>0</v>
      </c>
      <c r="AB66" s="739">
        <f t="shared" si="94"/>
        <v>0</v>
      </c>
      <c r="AC66" s="739">
        <f t="shared" si="94"/>
        <v>0</v>
      </c>
      <c r="AD66" s="739">
        <f t="shared" si="94"/>
        <v>0</v>
      </c>
      <c r="AE66" s="739">
        <f t="shared" si="90"/>
        <v>0</v>
      </c>
      <c r="AF66" s="739">
        <f t="shared" si="90"/>
        <v>0</v>
      </c>
      <c r="AG66" s="665">
        <f t="shared" si="91"/>
        <v>0</v>
      </c>
      <c r="AH66" s="665">
        <f t="shared" si="91"/>
        <v>0</v>
      </c>
      <c r="AI66" s="665">
        <f t="shared" si="92"/>
        <v>0</v>
      </c>
      <c r="AJ66" s="665">
        <f t="shared" si="92"/>
        <v>0</v>
      </c>
      <c r="AK66" s="665">
        <f t="shared" si="92"/>
        <v>0</v>
      </c>
      <c r="AL66" s="665">
        <f t="shared" si="92"/>
        <v>0</v>
      </c>
      <c r="AM66" s="665">
        <f t="shared" si="92"/>
        <v>0</v>
      </c>
      <c r="AN66" s="665">
        <f t="shared" si="92"/>
        <v>0</v>
      </c>
      <c r="AO66" s="739"/>
      <c r="AP66" s="739"/>
      <c r="AQ66" s="739"/>
      <c r="AR66" s="739"/>
      <c r="AS66" s="739"/>
      <c r="AT66" s="739"/>
      <c r="AU66" s="739"/>
      <c r="AV66" s="6"/>
      <c r="AW66" s="6"/>
      <c r="AX66" s="6"/>
      <c r="AY66" s="6"/>
      <c r="AZ66" s="6"/>
      <c r="BA66" s="6"/>
      <c r="BB66" s="6"/>
      <c r="BC66" s="6"/>
      <c r="BD66" s="6"/>
      <c r="BE66" s="6"/>
      <c r="BF66" s="6"/>
      <c r="BG66" s="6"/>
      <c r="BH66" s="6"/>
      <c r="BI66" s="6"/>
      <c r="BJ66" s="6"/>
      <c r="BK66" s="6"/>
      <c r="BL66" s="6"/>
      <c r="BM66" s="6"/>
      <c r="BN66" s="6"/>
      <c r="BO66" s="6"/>
      <c r="BP66" s="6"/>
      <c r="BQ66" s="6"/>
      <c r="BR66" s="6"/>
      <c r="BS66" s="6"/>
      <c r="BT66" s="254"/>
      <c r="BU66" s="6"/>
      <c r="BV66" s="6"/>
      <c r="BW66" s="6"/>
      <c r="BX66" s="6"/>
      <c r="BY66" s="254"/>
      <c r="BZ66" s="6"/>
      <c r="CA66" s="6"/>
      <c r="CB66" s="6"/>
      <c r="CC66" s="6"/>
      <c r="CD66" s="6"/>
      <c r="CE66" s="6"/>
      <c r="CF66" s="6"/>
      <c r="CG66" s="6"/>
      <c r="CH66" s="6"/>
      <c r="CI66" s="6"/>
      <c r="CJ66" s="6"/>
      <c r="CK66" s="6"/>
      <c r="CL66" s="6"/>
      <c r="CM66" s="6"/>
      <c r="CN66" s="254"/>
      <c r="CO66" s="6"/>
      <c r="CP66" s="6"/>
      <c r="CQ66" s="6"/>
      <c r="CR66" s="6"/>
      <c r="CS66" s="6"/>
      <c r="CT66" s="6"/>
      <c r="CU66" s="6"/>
      <c r="CV66" s="6"/>
      <c r="CW66" s="6"/>
      <c r="CX66" s="6"/>
      <c r="CY66" s="6"/>
      <c r="CZ66" s="6"/>
      <c r="DA66" s="6"/>
      <c r="DB66" s="6"/>
      <c r="DC66" s="6"/>
      <c r="DD66" s="6"/>
      <c r="DE66" s="6"/>
      <c r="DF66" s="6"/>
      <c r="DG66" s="6"/>
      <c r="DH66" s="6"/>
    </row>
    <row r="67" spans="1:112">
      <c r="A67" s="556" t="s">
        <v>1245</v>
      </c>
      <c r="B67" s="48">
        <v>3</v>
      </c>
      <c r="C67" s="48">
        <f>B67*1.05</f>
        <v>3.1500000000000004</v>
      </c>
      <c r="D67" s="48">
        <f t="shared" ref="D67:S67" si="95">C67*1.05</f>
        <v>3.3075000000000006</v>
      </c>
      <c r="E67" s="48">
        <f t="shared" si="95"/>
        <v>3.4728750000000006</v>
      </c>
      <c r="F67" s="48">
        <f t="shared" si="95"/>
        <v>3.6465187500000007</v>
      </c>
      <c r="G67" s="48">
        <f t="shared" si="95"/>
        <v>3.8288446875000011</v>
      </c>
      <c r="H67" s="48">
        <f t="shared" si="95"/>
        <v>4.0202869218750017</v>
      </c>
      <c r="I67" s="48">
        <f t="shared" si="95"/>
        <v>4.2213012679687516</v>
      </c>
      <c r="J67" s="48">
        <f t="shared" si="95"/>
        <v>4.4323663313671897</v>
      </c>
      <c r="K67" s="48">
        <f t="shared" si="95"/>
        <v>4.6539846479355491</v>
      </c>
      <c r="L67" s="48">
        <f t="shared" si="95"/>
        <v>4.8866838803323267</v>
      </c>
      <c r="M67" s="48">
        <f t="shared" si="95"/>
        <v>5.1310180743489431</v>
      </c>
      <c r="N67" s="48">
        <f t="shared" si="95"/>
        <v>5.3875689780663905</v>
      </c>
      <c r="O67" s="48">
        <f t="shared" si="95"/>
        <v>5.65694742696971</v>
      </c>
      <c r="P67" s="48">
        <f t="shared" si="95"/>
        <v>5.9397947983181956</v>
      </c>
      <c r="Q67" s="48">
        <f t="shared" si="95"/>
        <v>6.2367845382341054</v>
      </c>
      <c r="R67" s="48">
        <f t="shared" si="95"/>
        <v>6.5486237651458108</v>
      </c>
      <c r="S67" s="48">
        <f t="shared" si="95"/>
        <v>6.8760549534031012</v>
      </c>
      <c r="T67" s="48">
        <f>S67*1.03</f>
        <v>7.0823366020051948</v>
      </c>
      <c r="U67" s="48">
        <f t="shared" si="94"/>
        <v>0</v>
      </c>
      <c r="V67" s="48">
        <f t="shared" si="94"/>
        <v>0</v>
      </c>
      <c r="W67" s="48">
        <f t="shared" si="94"/>
        <v>0</v>
      </c>
      <c r="X67" s="48">
        <f t="shared" si="94"/>
        <v>0</v>
      </c>
      <c r="Y67" s="48">
        <f t="shared" si="94"/>
        <v>0</v>
      </c>
      <c r="Z67" s="48">
        <f t="shared" si="94"/>
        <v>0</v>
      </c>
      <c r="AA67" s="48">
        <f t="shared" si="94"/>
        <v>0</v>
      </c>
      <c r="AB67" s="48">
        <f t="shared" si="94"/>
        <v>0</v>
      </c>
      <c r="AC67" s="48">
        <f t="shared" si="94"/>
        <v>0</v>
      </c>
      <c r="AD67" s="48">
        <f t="shared" si="94"/>
        <v>0</v>
      </c>
      <c r="AE67" s="48">
        <f t="shared" si="90"/>
        <v>0</v>
      </c>
      <c r="AF67" s="48">
        <f t="shared" si="90"/>
        <v>0</v>
      </c>
      <c r="AG67" s="49">
        <f t="shared" si="91"/>
        <v>0</v>
      </c>
      <c r="AH67" s="49">
        <f t="shared" si="91"/>
        <v>0</v>
      </c>
      <c r="AI67" s="49">
        <f t="shared" si="92"/>
        <v>0</v>
      </c>
      <c r="AJ67" s="49">
        <f t="shared" si="92"/>
        <v>0</v>
      </c>
      <c r="AK67" s="49">
        <f t="shared" si="92"/>
        <v>0</v>
      </c>
      <c r="AL67" s="49">
        <f t="shared" si="92"/>
        <v>0</v>
      </c>
      <c r="AM67" s="49">
        <f t="shared" si="92"/>
        <v>0</v>
      </c>
      <c r="AN67" s="49">
        <f t="shared" si="92"/>
        <v>0</v>
      </c>
      <c r="AO67" s="48"/>
      <c r="AP67" s="48"/>
      <c r="AQ67" s="48"/>
      <c r="AR67" s="48"/>
      <c r="AS67" s="48"/>
      <c r="AT67" s="48"/>
      <c r="AU67" s="739"/>
      <c r="AV67" s="6"/>
      <c r="AW67" s="6"/>
      <c r="AX67" s="6"/>
      <c r="AY67" s="6"/>
      <c r="AZ67" s="6"/>
      <c r="BA67" s="6"/>
      <c r="BB67" s="6"/>
      <c r="BC67" s="6"/>
      <c r="BD67" s="6"/>
      <c r="BE67" s="6"/>
      <c r="BF67" s="6"/>
      <c r="BG67" s="6"/>
      <c r="BH67" s="6"/>
      <c r="BI67" s="6"/>
      <c r="BJ67" s="6"/>
      <c r="BK67" s="6"/>
      <c r="BL67" s="6"/>
      <c r="BM67" s="6"/>
      <c r="BN67" s="6"/>
      <c r="BO67" s="6"/>
      <c r="BP67" s="6"/>
      <c r="BQ67" s="6"/>
      <c r="BR67" s="6"/>
      <c r="BS67" s="6"/>
      <c r="BT67" s="254"/>
      <c r="BU67" s="6"/>
      <c r="BV67" s="6"/>
      <c r="BW67" s="6"/>
      <c r="BX67" s="6"/>
      <c r="BY67" s="254"/>
      <c r="BZ67" s="6"/>
      <c r="CA67" s="6"/>
      <c r="CB67" s="6"/>
      <c r="CC67" s="6"/>
      <c r="CD67" s="6"/>
      <c r="CE67" s="6"/>
      <c r="CF67" s="6"/>
      <c r="CG67" s="6"/>
      <c r="CH67" s="6"/>
      <c r="CI67" s="6"/>
      <c r="CJ67" s="6"/>
      <c r="CK67" s="6"/>
      <c r="CL67" s="6"/>
      <c r="CM67" s="6"/>
      <c r="CN67" s="254"/>
      <c r="CO67" s="6"/>
      <c r="CP67" s="6"/>
      <c r="CQ67" s="6"/>
      <c r="CR67" s="6"/>
      <c r="CS67" s="6"/>
      <c r="CT67" s="6"/>
      <c r="CU67" s="6"/>
      <c r="CV67" s="6"/>
      <c r="CW67" s="6"/>
      <c r="CX67" s="6"/>
      <c r="CY67" s="6"/>
      <c r="CZ67" s="6"/>
      <c r="DA67" s="6"/>
      <c r="DB67" s="6"/>
      <c r="DC67" s="6"/>
      <c r="DD67" s="6"/>
      <c r="DE67" s="6"/>
      <c r="DF67" s="6"/>
      <c r="DG67" s="6"/>
      <c r="DH67" s="6"/>
    </row>
    <row r="68" spans="1:112">
      <c r="A68" s="556" t="s">
        <v>993</v>
      </c>
      <c r="B68" s="739">
        <f t="shared" ref="B68:M69" si="96">C68/1.01</f>
        <v>1.9029313752134975</v>
      </c>
      <c r="C68" s="739">
        <f t="shared" si="96"/>
        <v>1.9219606889656324</v>
      </c>
      <c r="D68" s="739">
        <f t="shared" si="96"/>
        <v>1.9411802958552888</v>
      </c>
      <c r="E68" s="739">
        <f t="shared" si="96"/>
        <v>1.9605920988138417</v>
      </c>
      <c r="F68" s="739">
        <f t="shared" si="96"/>
        <v>1.9801980198019802</v>
      </c>
      <c r="G68" s="739">
        <v>2</v>
      </c>
      <c r="H68" s="739">
        <f t="shared" si="96"/>
        <v>3.7344611405977939</v>
      </c>
      <c r="I68" s="739">
        <f t="shared" si="96"/>
        <v>3.7718057520037718</v>
      </c>
      <c r="J68" s="739">
        <f>K68/1.05</f>
        <v>3.8095238095238093</v>
      </c>
      <c r="K68" s="739">
        <v>4</v>
      </c>
      <c r="L68" s="739">
        <f t="shared" si="96"/>
        <v>2.5152967876323795</v>
      </c>
      <c r="M68" s="739">
        <f t="shared" si="96"/>
        <v>2.5404497555087033</v>
      </c>
      <c r="N68" s="739">
        <f>O68/1.01</f>
        <v>2.5658542530637902</v>
      </c>
      <c r="O68" s="739">
        <f>P68/1.05</f>
        <v>2.5915127955944279</v>
      </c>
      <c r="P68" s="739">
        <f t="shared" si="93"/>
        <v>2.7210884353741496</v>
      </c>
      <c r="Q68" s="739">
        <f t="shared" si="93"/>
        <v>2.8571428571428572</v>
      </c>
      <c r="R68" s="739">
        <v>3</v>
      </c>
      <c r="S68" s="739">
        <v>3</v>
      </c>
      <c r="T68" s="739">
        <v>3</v>
      </c>
      <c r="U68" s="739">
        <f t="shared" si="94"/>
        <v>0</v>
      </c>
      <c r="V68" s="739">
        <f t="shared" si="94"/>
        <v>0</v>
      </c>
      <c r="W68" s="739">
        <f t="shared" si="94"/>
        <v>0</v>
      </c>
      <c r="X68" s="739">
        <f t="shared" si="94"/>
        <v>0</v>
      </c>
      <c r="Y68" s="739">
        <f t="shared" si="94"/>
        <v>0</v>
      </c>
      <c r="Z68" s="739">
        <f t="shared" si="94"/>
        <v>0</v>
      </c>
      <c r="AA68" s="739">
        <f t="shared" si="94"/>
        <v>0</v>
      </c>
      <c r="AB68" s="739">
        <f t="shared" si="94"/>
        <v>0</v>
      </c>
      <c r="AC68" s="739">
        <f t="shared" si="94"/>
        <v>0</v>
      </c>
      <c r="AD68" s="739">
        <f t="shared" si="94"/>
        <v>0</v>
      </c>
      <c r="AE68" s="739">
        <f t="shared" si="90"/>
        <v>0</v>
      </c>
      <c r="AF68" s="739">
        <f t="shared" si="90"/>
        <v>0</v>
      </c>
      <c r="AG68" s="665">
        <f t="shared" si="91"/>
        <v>0</v>
      </c>
      <c r="AH68" s="665">
        <f t="shared" si="91"/>
        <v>0</v>
      </c>
      <c r="AI68" s="665">
        <f t="shared" si="92"/>
        <v>0</v>
      </c>
      <c r="AJ68" s="665">
        <f t="shared" si="92"/>
        <v>0</v>
      </c>
      <c r="AK68" s="665">
        <f t="shared" si="92"/>
        <v>0</v>
      </c>
      <c r="AL68" s="665">
        <f t="shared" si="92"/>
        <v>0</v>
      </c>
      <c r="AM68" s="665">
        <f t="shared" si="92"/>
        <v>0</v>
      </c>
      <c r="AN68" s="665">
        <f t="shared" si="92"/>
        <v>0</v>
      </c>
      <c r="AO68" s="739"/>
      <c r="AP68" s="739"/>
      <c r="AQ68" s="739"/>
      <c r="AR68" s="739"/>
      <c r="AS68" s="739"/>
      <c r="AT68" s="739"/>
      <c r="AU68" s="739"/>
      <c r="AV68" s="6"/>
      <c r="AW68" s="6"/>
      <c r="AX68" s="6"/>
      <c r="AY68" s="6"/>
      <c r="AZ68" s="6"/>
      <c r="BA68" s="6"/>
      <c r="BB68" s="6"/>
      <c r="BC68" s="6"/>
      <c r="BD68" s="6"/>
      <c r="BE68" s="6"/>
      <c r="BF68" s="6"/>
      <c r="BG68" s="6"/>
      <c r="BH68" s="6"/>
      <c r="BI68" s="6"/>
      <c r="BJ68" s="6"/>
      <c r="BK68" s="6"/>
      <c r="BL68" s="6"/>
      <c r="BM68" s="6"/>
      <c r="BN68" s="6"/>
      <c r="BO68" s="6"/>
      <c r="BP68" s="6"/>
      <c r="BQ68" s="6"/>
      <c r="BR68" s="6"/>
      <c r="BS68" s="6"/>
      <c r="BT68" s="254"/>
      <c r="BU68" s="6"/>
      <c r="BV68" s="6"/>
      <c r="BW68" s="6"/>
      <c r="BX68" s="6"/>
      <c r="BY68" s="254"/>
      <c r="BZ68" s="6"/>
      <c r="CA68" s="6"/>
      <c r="CB68" s="6"/>
      <c r="CC68" s="6"/>
      <c r="CD68" s="6"/>
      <c r="CE68" s="6"/>
      <c r="CF68" s="6"/>
      <c r="CG68" s="6"/>
      <c r="CH68" s="6"/>
      <c r="CI68" s="6"/>
      <c r="CJ68" s="6"/>
      <c r="CK68" s="6"/>
      <c r="CL68" s="6"/>
      <c r="CM68" s="6"/>
      <c r="CN68" s="254"/>
      <c r="CO68" s="6"/>
      <c r="CP68" s="6"/>
      <c r="CQ68" s="6"/>
      <c r="CR68" s="6"/>
      <c r="CS68" s="6"/>
      <c r="CT68" s="6"/>
      <c r="CU68" s="6"/>
      <c r="CV68" s="6"/>
      <c r="CW68" s="6"/>
      <c r="CX68" s="6"/>
      <c r="CY68" s="6"/>
      <c r="CZ68" s="6"/>
      <c r="DA68" s="6"/>
      <c r="DB68" s="6"/>
      <c r="DC68" s="6"/>
      <c r="DD68" s="6"/>
      <c r="DE68" s="6"/>
      <c r="DF68" s="6"/>
      <c r="DG68" s="6"/>
      <c r="DH68" s="6"/>
    </row>
    <row r="69" spans="1:112">
      <c r="A69" s="556" t="s">
        <v>994</v>
      </c>
      <c r="B69" s="931">
        <f t="shared" si="96"/>
        <v>0</v>
      </c>
      <c r="C69" s="931">
        <f t="shared" si="96"/>
        <v>0</v>
      </c>
      <c r="D69" s="931">
        <f t="shared" si="96"/>
        <v>0</v>
      </c>
      <c r="E69" s="931">
        <f t="shared" si="96"/>
        <v>0</v>
      </c>
      <c r="F69" s="931">
        <f t="shared" si="96"/>
        <v>0</v>
      </c>
      <c r="G69" s="931">
        <v>0</v>
      </c>
      <c r="H69" s="931">
        <f t="shared" si="96"/>
        <v>3.7344611405977939</v>
      </c>
      <c r="I69" s="931">
        <f t="shared" si="96"/>
        <v>3.7718057520037718</v>
      </c>
      <c r="J69" s="739">
        <f>K69/1.05</f>
        <v>3.8095238095238093</v>
      </c>
      <c r="K69" s="931">
        <v>4</v>
      </c>
      <c r="L69" s="931">
        <f t="shared" si="96"/>
        <v>2.5152967876323795</v>
      </c>
      <c r="M69" s="931">
        <f t="shared" si="96"/>
        <v>2.5404497555087033</v>
      </c>
      <c r="N69" s="931">
        <f>O69/1.01</f>
        <v>2.5658542530637902</v>
      </c>
      <c r="O69" s="931">
        <f>P69/1.05</f>
        <v>2.5915127955944279</v>
      </c>
      <c r="P69" s="931">
        <f t="shared" si="93"/>
        <v>2.7210884353741496</v>
      </c>
      <c r="Q69" s="931">
        <f t="shared" si="93"/>
        <v>2.8571428571428572</v>
      </c>
      <c r="R69" s="931">
        <v>3</v>
      </c>
      <c r="S69" s="931">
        <v>3</v>
      </c>
      <c r="T69" s="931">
        <v>3</v>
      </c>
      <c r="U69" s="931">
        <f t="shared" si="94"/>
        <v>0</v>
      </c>
      <c r="V69" s="931">
        <f t="shared" si="94"/>
        <v>0</v>
      </c>
      <c r="W69" s="931">
        <f t="shared" si="94"/>
        <v>0</v>
      </c>
      <c r="X69" s="931">
        <f t="shared" si="94"/>
        <v>0</v>
      </c>
      <c r="Y69" s="931">
        <f t="shared" si="94"/>
        <v>0</v>
      </c>
      <c r="Z69" s="931">
        <f t="shared" si="94"/>
        <v>0</v>
      </c>
      <c r="AA69" s="931">
        <f t="shared" si="94"/>
        <v>0</v>
      </c>
      <c r="AB69" s="931">
        <f t="shared" si="94"/>
        <v>0</v>
      </c>
      <c r="AC69" s="931">
        <f t="shared" si="94"/>
        <v>0</v>
      </c>
      <c r="AD69" s="931">
        <f t="shared" si="94"/>
        <v>0</v>
      </c>
      <c r="AE69" s="931">
        <f t="shared" si="90"/>
        <v>0</v>
      </c>
      <c r="AF69" s="931">
        <f t="shared" si="90"/>
        <v>0</v>
      </c>
      <c r="AG69" s="1264">
        <f t="shared" si="91"/>
        <v>0</v>
      </c>
      <c r="AH69" s="1264">
        <f t="shared" si="91"/>
        <v>0</v>
      </c>
      <c r="AI69" s="1264">
        <f t="shared" si="92"/>
        <v>0</v>
      </c>
      <c r="AJ69" s="1264">
        <f t="shared" si="92"/>
        <v>0</v>
      </c>
      <c r="AK69" s="1264">
        <f t="shared" si="92"/>
        <v>0</v>
      </c>
      <c r="AL69" s="1264">
        <f t="shared" si="92"/>
        <v>0</v>
      </c>
      <c r="AM69" s="1264">
        <f t="shared" si="92"/>
        <v>0</v>
      </c>
      <c r="AN69" s="1264">
        <f t="shared" si="92"/>
        <v>0</v>
      </c>
      <c r="AO69" s="931"/>
      <c r="AP69" s="931"/>
      <c r="AQ69" s="931"/>
      <c r="AR69" s="931"/>
      <c r="AS69" s="931"/>
      <c r="AT69" s="931"/>
      <c r="AU69" s="739"/>
      <c r="AV69" s="6"/>
      <c r="AW69" s="6"/>
      <c r="AX69" s="6"/>
      <c r="AY69" s="6"/>
      <c r="AZ69" s="6"/>
      <c r="BA69" s="6"/>
      <c r="BB69" s="6"/>
      <c r="BC69" s="6"/>
      <c r="BD69" s="6"/>
      <c r="BE69" s="6"/>
      <c r="BF69" s="6"/>
      <c r="BG69" s="6"/>
      <c r="BH69" s="6"/>
      <c r="BI69" s="6"/>
      <c r="BJ69" s="6"/>
      <c r="BK69" s="6"/>
      <c r="BL69" s="6"/>
      <c r="BM69" s="6"/>
      <c r="BN69" s="6"/>
      <c r="BO69" s="6"/>
      <c r="BP69" s="6"/>
      <c r="BQ69" s="6"/>
      <c r="BR69" s="6"/>
      <c r="BS69" s="6"/>
      <c r="BT69" s="254"/>
      <c r="BU69" s="6"/>
      <c r="BV69" s="6"/>
      <c r="BW69" s="6"/>
      <c r="BX69" s="6"/>
      <c r="BY69" s="254"/>
      <c r="BZ69" s="6"/>
      <c r="CA69" s="6"/>
      <c r="CB69" s="6"/>
      <c r="CC69" s="6"/>
      <c r="CD69" s="6"/>
      <c r="CE69" s="6"/>
      <c r="CF69" s="6"/>
      <c r="CG69" s="6"/>
      <c r="CH69" s="6"/>
      <c r="CI69" s="6"/>
      <c r="CJ69" s="6"/>
      <c r="CK69" s="6"/>
      <c r="CL69" s="6"/>
      <c r="CM69" s="6"/>
      <c r="CN69" s="254"/>
      <c r="CO69" s="6"/>
      <c r="CP69" s="6"/>
      <c r="CQ69" s="6"/>
      <c r="CR69" s="6"/>
      <c r="CS69" s="6"/>
      <c r="CT69" s="6"/>
      <c r="CU69" s="6"/>
      <c r="CV69" s="6"/>
      <c r="CW69" s="6"/>
      <c r="CX69" s="6"/>
      <c r="CY69" s="6"/>
      <c r="CZ69" s="6"/>
      <c r="DA69" s="6"/>
      <c r="DB69" s="6"/>
      <c r="DC69" s="6"/>
      <c r="DD69" s="6"/>
      <c r="DE69" s="6"/>
      <c r="DF69" s="6"/>
      <c r="DG69" s="6"/>
      <c r="DH69" s="6"/>
    </row>
    <row r="70" spans="1:112">
      <c r="A70" s="556" t="s">
        <v>677</v>
      </c>
      <c r="B70" s="332">
        <v>0.51388533380713963</v>
      </c>
      <c r="C70" s="332">
        <v>0.55852178368452488</v>
      </c>
      <c r="D70" s="332">
        <v>0.61291939430989317</v>
      </c>
      <c r="E70" s="332">
        <v>0.66528130563926657</v>
      </c>
      <c r="F70" s="332">
        <v>0.39556502349944211</v>
      </c>
      <c r="G70" s="332">
        <v>0.28422079527948579</v>
      </c>
      <c r="H70" s="332">
        <v>2.1260857609011623</v>
      </c>
      <c r="I70" s="332">
        <v>0.38302028150436007</v>
      </c>
      <c r="J70" s="332">
        <v>2.9367238957014346</v>
      </c>
      <c r="K70" s="332">
        <v>2.262594244814792</v>
      </c>
      <c r="L70" s="332">
        <v>2.9784161044273958</v>
      </c>
      <c r="M70" s="332">
        <v>3.4909218267599931</v>
      </c>
      <c r="N70" s="332">
        <v>2.5307638944475701</v>
      </c>
      <c r="O70" s="332">
        <v>3.5778458063417498</v>
      </c>
      <c r="P70" s="332">
        <v>3.873985610156939</v>
      </c>
      <c r="Q70" s="332">
        <v>4.0676848906647862</v>
      </c>
      <c r="R70" s="332">
        <v>4.5320621002447945</v>
      </c>
      <c r="S70" s="332">
        <v>5.1198717688078776</v>
      </c>
      <c r="T70" s="331">
        <v>3</v>
      </c>
      <c r="U70" s="331">
        <v>4</v>
      </c>
      <c r="V70" s="331">
        <f>U70*1.07</f>
        <v>4.28</v>
      </c>
      <c r="W70" s="331">
        <f>+V70*0.95</f>
        <v>4.0659999999999998</v>
      </c>
      <c r="X70" s="331">
        <f>+W70*1</f>
        <v>4.0659999999999998</v>
      </c>
      <c r="Y70" s="331">
        <f t="shared" ref="Y70:AE70" si="97">+X70*1.025</f>
        <v>4.1676499999999992</v>
      </c>
      <c r="Z70" s="331">
        <f t="shared" si="97"/>
        <v>4.2718412499999987</v>
      </c>
      <c r="AA70" s="331">
        <f t="shared" si="97"/>
        <v>4.3786372812499978</v>
      </c>
      <c r="AB70" s="331">
        <f t="shared" si="97"/>
        <v>4.4881032132812475</v>
      </c>
      <c r="AC70" s="331">
        <f>+AB70*1.025</f>
        <v>4.6003057936132787</v>
      </c>
      <c r="AD70" s="331">
        <f>+AC70*1.025</f>
        <v>4.7153134384536104</v>
      </c>
      <c r="AE70" s="331">
        <f t="shared" si="97"/>
        <v>4.8331962744149504</v>
      </c>
      <c r="AF70" s="331">
        <f>+AE70*1.022</f>
        <v>4.9395265924520793</v>
      </c>
      <c r="AG70" s="331">
        <f t="shared" ref="AG70:AN70" si="98">+AF70*1.02</f>
        <v>5.0383171243011207</v>
      </c>
      <c r="AH70" s="331">
        <f t="shared" si="98"/>
        <v>5.1390834667871435</v>
      </c>
      <c r="AI70" s="331">
        <f t="shared" si="98"/>
        <v>5.2418651361228861</v>
      </c>
      <c r="AJ70" s="331">
        <f t="shared" si="98"/>
        <v>5.3467024388453437</v>
      </c>
      <c r="AK70" s="331">
        <f t="shared" si="98"/>
        <v>5.4536364876222505</v>
      </c>
      <c r="AL70" s="331">
        <f t="shared" si="98"/>
        <v>5.5627092173746959</v>
      </c>
      <c r="AM70" s="331">
        <f t="shared" si="98"/>
        <v>5.6739634017221903</v>
      </c>
      <c r="AN70" s="331">
        <f t="shared" si="98"/>
        <v>5.7874426697566346</v>
      </c>
      <c r="AO70" s="1223"/>
      <c r="AP70" s="1223"/>
      <c r="AQ70" s="1223"/>
      <c r="AR70" s="1223"/>
      <c r="AS70" s="1223"/>
      <c r="AT70" s="1223"/>
      <c r="AU70" s="739"/>
      <c r="AV70" s="739"/>
      <c r="AW70" s="739"/>
      <c r="AX70" s="739"/>
      <c r="AY70" s="739"/>
      <c r="AZ70" s="739"/>
      <c r="BA70" s="739"/>
      <c r="BB70" s="739"/>
      <c r="BC70" s="739"/>
      <c r="BD70" s="739"/>
      <c r="BE70" s="739"/>
      <c r="BF70" s="739"/>
      <c r="BG70" s="739"/>
      <c r="BH70" s="739"/>
      <c r="BI70" s="739"/>
      <c r="BJ70" s="739"/>
      <c r="BK70" s="739"/>
      <c r="BL70" s="739"/>
      <c r="BM70" s="739"/>
      <c r="BN70" s="739"/>
      <c r="BO70" s="739"/>
      <c r="BP70" s="739"/>
      <c r="BQ70" s="739"/>
      <c r="BR70" s="739"/>
      <c r="BS70" s="739"/>
      <c r="BT70" s="739"/>
      <c r="BU70" s="739"/>
      <c r="BV70" s="739"/>
      <c r="BW70" s="739"/>
      <c r="BX70" s="739"/>
      <c r="BY70" s="739"/>
      <c r="BZ70" s="739"/>
      <c r="CA70" s="739"/>
      <c r="CB70" s="739"/>
      <c r="CC70" s="739"/>
      <c r="CD70" s="739"/>
      <c r="CE70" s="739"/>
      <c r="CF70" s="739"/>
      <c r="CG70" s="739"/>
      <c r="CH70" s="739"/>
      <c r="CI70" s="739"/>
      <c r="CJ70" s="739"/>
      <c r="CK70" s="739"/>
      <c r="CL70" s="739"/>
      <c r="CM70" s="739"/>
      <c r="CN70" s="739"/>
      <c r="CO70" s="739"/>
      <c r="CP70" s="739"/>
      <c r="CQ70" s="739"/>
      <c r="CR70" s="739"/>
      <c r="CS70" s="739"/>
      <c r="CT70" s="739"/>
      <c r="CU70" s="739"/>
      <c r="CV70" s="739"/>
      <c r="CW70" s="739"/>
      <c r="CX70" s="739"/>
      <c r="CY70" s="739"/>
      <c r="CZ70" s="739"/>
      <c r="DA70" s="739"/>
      <c r="DB70" s="739"/>
      <c r="DC70" s="739"/>
      <c r="DD70" s="739"/>
      <c r="DE70" s="739"/>
      <c r="DF70" s="739"/>
      <c r="DG70" s="739"/>
      <c r="DH70" s="739"/>
    </row>
    <row r="71" spans="1:112">
      <c r="A71" s="556" t="s">
        <v>1000</v>
      </c>
      <c r="B71" s="932">
        <f>(B49*B65)+(B50*B66)+(B51*B67)+(B52*B68)+(B53*B69)+(B54*B70)</f>
        <v>98.955623747983182</v>
      </c>
      <c r="C71" s="932">
        <f>(C49*C65)+(C50*C66)+(C51*C67)+(C52*C68)+(C53*C69)+(C54*C70)</f>
        <v>103.72005981242872</v>
      </c>
      <c r="D71" s="932">
        <f t="shared" ref="D71:AF71" si="99">(D49*D65)+(D50*D66)+(D51*D67)+(D52*D68)+(D53*D69)+(D54*D70)</f>
        <v>109.08788004997916</v>
      </c>
      <c r="E71" s="932">
        <f t="shared" si="99"/>
        <v>114.47489471979267</v>
      </c>
      <c r="F71" s="932">
        <f t="shared" si="99"/>
        <v>120.13968253968254</v>
      </c>
      <c r="G71" s="932">
        <f t="shared" si="99"/>
        <v>126.15904761904763</v>
      </c>
      <c r="H71" s="932">
        <f t="shared" si="99"/>
        <v>209.86800000000002</v>
      </c>
      <c r="I71" s="932">
        <f t="shared" si="99"/>
        <v>139.33850000000001</v>
      </c>
      <c r="J71" s="932">
        <f t="shared" si="99"/>
        <v>274.43430000000001</v>
      </c>
      <c r="K71" s="932">
        <f t="shared" si="99"/>
        <v>292.69725312500003</v>
      </c>
      <c r="L71" s="932">
        <f t="shared" si="99"/>
        <v>311.54571578125001</v>
      </c>
      <c r="M71" s="932">
        <f t="shared" si="99"/>
        <v>317.41795756250008</v>
      </c>
      <c r="N71" s="932">
        <f t="shared" si="99"/>
        <v>306.88040915390627</v>
      </c>
      <c r="O71" s="932">
        <f t="shared" si="99"/>
        <v>328.29303779467978</v>
      </c>
      <c r="P71" s="932">
        <f t="shared" si="99"/>
        <v>347.99062006236056</v>
      </c>
      <c r="Q71" s="932">
        <f t="shared" si="99"/>
        <v>365.39015106547862</v>
      </c>
      <c r="R71" s="932">
        <f t="shared" si="99"/>
        <v>390.96746164006208</v>
      </c>
      <c r="S71" s="932">
        <f t="shared" si="99"/>
        <v>408.27000319506516</v>
      </c>
      <c r="T71" s="932">
        <f t="shared" si="99"/>
        <v>359.81140524411433</v>
      </c>
      <c r="U71" s="932">
        <f t="shared" si="99"/>
        <v>328.15</v>
      </c>
      <c r="V71" s="932">
        <f>(V49*V65)+(V50*V66)+(V51*V67)+(V52*V68)+(V53*V69)+(V54*V70)</f>
        <v>342.40000000000003</v>
      </c>
      <c r="W71" s="932">
        <f t="shared" si="99"/>
        <v>325.27999999999997</v>
      </c>
      <c r="X71" s="932">
        <f t="shared" si="99"/>
        <v>325.27999999999997</v>
      </c>
      <c r="Y71" s="932">
        <f t="shared" si="99"/>
        <v>333.41199999999992</v>
      </c>
      <c r="Z71" s="932">
        <f t="shared" si="99"/>
        <v>341.74729999999988</v>
      </c>
      <c r="AA71" s="932">
        <f t="shared" si="99"/>
        <v>350.29098249999981</v>
      </c>
      <c r="AB71" s="932">
        <f t="shared" si="99"/>
        <v>359.04825706249983</v>
      </c>
      <c r="AC71" s="932">
        <f>(AC49*AC65)+(AC50*AC66)+(AC51*AC67)+(AC52*AC68)+(AC53*AC69)+(AC54*AC70)</f>
        <v>368.02446348906233</v>
      </c>
      <c r="AD71" s="932">
        <f t="shared" si="99"/>
        <v>377.22507507628882</v>
      </c>
      <c r="AE71" s="932">
        <f t="shared" si="99"/>
        <v>386.65570195319606</v>
      </c>
      <c r="AF71" s="932">
        <f t="shared" si="99"/>
        <v>395.16212739616634</v>
      </c>
      <c r="AG71" s="1265">
        <f t="shared" ref="AG71:AL71" si="100">(AG49*AG65)+(AG50*AG66)+(AG51*AG67)+(AG52*AG68)+(AG53*AG69)+(AG54*AG70)</f>
        <v>403.06536994408964</v>
      </c>
      <c r="AH71" s="1265">
        <f t="shared" si="100"/>
        <v>411.12667734297145</v>
      </c>
      <c r="AI71" s="1265">
        <f t="shared" si="100"/>
        <v>419.34921088983089</v>
      </c>
      <c r="AJ71" s="1265">
        <f t="shared" si="100"/>
        <v>427.73619510762751</v>
      </c>
      <c r="AK71" s="1265">
        <f t="shared" si="100"/>
        <v>436.29091900978005</v>
      </c>
      <c r="AL71" s="1265">
        <f t="shared" si="100"/>
        <v>445.01673738997567</v>
      </c>
      <c r="AM71" s="1265">
        <f>(AM49*AM65)+(AM50*AM66)+(AM51*AM67)+(AM52*AM68)+(AM53*AM69)+(AM54*AM70)</f>
        <v>453.91707213777522</v>
      </c>
      <c r="AN71" s="1265">
        <f>(AN49*AN65)+(AN50*AN66)+(AN51*AN67)+(AN52*AN68)+(AN53*AN69)+(AN54*AN70)</f>
        <v>462.99541358053079</v>
      </c>
      <c r="AO71" s="932"/>
      <c r="AP71" s="932"/>
      <c r="AQ71" s="932"/>
      <c r="AR71" s="932"/>
      <c r="AS71" s="932"/>
      <c r="AT71" s="932"/>
      <c r="AU71" s="739"/>
      <c r="AV71" s="6"/>
      <c r="AW71" s="6"/>
      <c r="AX71" s="6"/>
      <c r="AY71" s="6"/>
      <c r="AZ71" s="6"/>
      <c r="BA71" s="6"/>
      <c r="BB71" s="6"/>
      <c r="BC71" s="6"/>
      <c r="BD71" s="6"/>
      <c r="BE71" s="6"/>
      <c r="BF71" s="6"/>
      <c r="BG71" s="6"/>
      <c r="BH71" s="6"/>
      <c r="BI71" s="6"/>
      <c r="BJ71" s="6"/>
      <c r="BK71" s="6"/>
      <c r="BL71" s="6"/>
      <c r="BM71" s="6"/>
      <c r="BN71" s="6"/>
      <c r="BO71" s="6"/>
      <c r="BP71" s="6"/>
      <c r="BQ71" s="6"/>
      <c r="BR71" s="6"/>
      <c r="BS71" s="6"/>
      <c r="BT71" s="254"/>
      <c r="BU71" s="6"/>
      <c r="BV71" s="6"/>
      <c r="BW71" s="6"/>
      <c r="BX71" s="6"/>
      <c r="BY71" s="254"/>
      <c r="BZ71" s="6"/>
      <c r="CA71" s="6"/>
      <c r="CB71" s="6"/>
      <c r="CC71" s="6"/>
      <c r="CD71" s="6"/>
      <c r="CE71" s="6"/>
      <c r="CF71" s="6"/>
      <c r="CG71" s="6"/>
      <c r="CH71" s="6"/>
      <c r="CI71" s="6"/>
      <c r="CJ71" s="6"/>
      <c r="CK71" s="6"/>
      <c r="CL71" s="6"/>
      <c r="CM71" s="6"/>
      <c r="CN71" s="254"/>
      <c r="CO71" s="6"/>
      <c r="CP71" s="6"/>
      <c r="CQ71" s="6"/>
      <c r="CR71" s="6"/>
      <c r="CS71" s="6"/>
      <c r="CT71" s="6"/>
      <c r="CU71" s="6"/>
      <c r="CV71" s="6"/>
      <c r="CW71" s="6"/>
      <c r="CX71" s="6"/>
      <c r="CY71" s="6"/>
      <c r="CZ71" s="6"/>
      <c r="DA71" s="6"/>
      <c r="DB71" s="6"/>
      <c r="DC71" s="6"/>
      <c r="DD71" s="6"/>
      <c r="DE71" s="6"/>
      <c r="DF71" s="6"/>
      <c r="DG71" s="6"/>
      <c r="DH71" s="6"/>
    </row>
    <row r="72" spans="1:112">
      <c r="A72" s="556" t="s">
        <v>1001</v>
      </c>
      <c r="B72" s="932"/>
      <c r="C72" s="932"/>
      <c r="D72" s="932"/>
      <c r="E72" s="48">
        <f t="shared" ref="E72:AB72" si="101">+(C71*0.1)+(D71*0.2)+(E71*0.7)</f>
        <v>112.32200829509358</v>
      </c>
      <c r="F72" s="48">
        <f t="shared" si="101"/>
        <v>117.90154472673423</v>
      </c>
      <c r="G72" s="48">
        <f t="shared" si="101"/>
        <v>123.78675931324912</v>
      </c>
      <c r="H72" s="48">
        <f t="shared" si="101"/>
        <v>184.15337777777779</v>
      </c>
      <c r="I72" s="48">
        <f t="shared" si="101"/>
        <v>152.12645476190477</v>
      </c>
      <c r="J72" s="48">
        <f t="shared" si="101"/>
        <v>240.95850999999999</v>
      </c>
      <c r="K72" s="48">
        <f t="shared" si="101"/>
        <v>273.70878718750004</v>
      </c>
      <c r="L72" s="48">
        <f t="shared" si="101"/>
        <v>304.06488167187501</v>
      </c>
      <c r="M72" s="48">
        <f t="shared" si="101"/>
        <v>313.77143876250005</v>
      </c>
      <c r="N72" s="48">
        <f t="shared" si="101"/>
        <v>309.45444949835939</v>
      </c>
      <c r="O72" s="48">
        <f t="shared" si="101"/>
        <v>322.92300404330706</v>
      </c>
      <c r="P72" s="48">
        <f t="shared" si="101"/>
        <v>339.94008251797896</v>
      </c>
      <c r="Q72" s="48">
        <f t="shared" si="101"/>
        <v>358.20053353777507</v>
      </c>
      <c r="R72" s="48">
        <f t="shared" si="101"/>
        <v>381.55431536737524</v>
      </c>
      <c r="S72" s="48">
        <f t="shared" si="101"/>
        <v>400.52150967110583</v>
      </c>
      <c r="T72" s="48">
        <f t="shared" si="101"/>
        <v>372.61873047389929</v>
      </c>
      <c r="U72" s="48">
        <f t="shared" si="101"/>
        <v>342.49428136832933</v>
      </c>
      <c r="V72" s="48">
        <f>+(T71*0.1)+(U71*0.3)+(V71*0.6)</f>
        <v>339.86614052441143</v>
      </c>
      <c r="W72" s="48">
        <f t="shared" si="101"/>
        <v>328.99099999999999</v>
      </c>
      <c r="X72" s="48">
        <f t="shared" si="101"/>
        <v>326.99199999999996</v>
      </c>
      <c r="Y72" s="48">
        <f t="shared" si="101"/>
        <v>330.97239999999994</v>
      </c>
      <c r="Z72" s="48">
        <f t="shared" si="101"/>
        <v>338.4335099999999</v>
      </c>
      <c r="AA72" s="48">
        <f t="shared" si="101"/>
        <v>346.89434774999984</v>
      </c>
      <c r="AB72" s="48">
        <f t="shared" si="101"/>
        <v>355.56670644374981</v>
      </c>
      <c r="AC72" s="48">
        <f>+(AA71*0.1)+(AB71*0.2)+(AC71*0.7)</f>
        <v>364.45587410484359</v>
      </c>
      <c r="AD72" s="48">
        <f>+(AB71*0.1)+(AC71*0.2)+(AD71*0.7)</f>
        <v>373.56727095746464</v>
      </c>
      <c r="AE72" s="48">
        <f>+(AC71*0.1)+(AD71*0.2)+(AE71*0.7)</f>
        <v>382.9064527314012</v>
      </c>
      <c r="AF72" s="48">
        <f>+(AD71*0.1)+(AE71*0.2)+(AF71*0.7)</f>
        <v>391.66713707558449</v>
      </c>
      <c r="AG72" s="49">
        <f>+(AE71*0.1)+(AF71*0.2)+(AG71*0.7)</f>
        <v>399.84375463541562</v>
      </c>
      <c r="AH72" s="49">
        <f t="shared" ref="AH72:AN72" si="102">+(AF71*0.1)+(AG71*0.2)+(AH71*0.7)</f>
        <v>407.91796086851457</v>
      </c>
      <c r="AI72" s="49">
        <f t="shared" si="102"/>
        <v>416.07632008588484</v>
      </c>
      <c r="AJ72" s="49">
        <f t="shared" si="102"/>
        <v>424.39784648760252</v>
      </c>
      <c r="AK72" s="49">
        <f t="shared" si="102"/>
        <v>432.88580341735462</v>
      </c>
      <c r="AL72" s="49">
        <f t="shared" si="102"/>
        <v>441.54351948570172</v>
      </c>
      <c r="AM72" s="49">
        <f t="shared" si="102"/>
        <v>450.37438987541577</v>
      </c>
      <c r="AN72" s="49">
        <f t="shared" si="102"/>
        <v>459.38187767292413</v>
      </c>
      <c r="AO72" s="48"/>
      <c r="AP72" s="48"/>
      <c r="AQ72" s="48"/>
      <c r="AR72" s="48"/>
      <c r="AS72" s="48"/>
      <c r="AT72" s="48"/>
      <c r="AU72" s="739"/>
      <c r="AV72" s="6"/>
      <c r="AW72" s="6"/>
      <c r="AX72" s="6"/>
      <c r="AY72" s="6"/>
      <c r="AZ72" s="6"/>
      <c r="BA72" s="6"/>
      <c r="BB72" s="6"/>
      <c r="BC72" s="6"/>
      <c r="BD72" s="6"/>
      <c r="BE72" s="6"/>
      <c r="BF72" s="6"/>
      <c r="BG72" s="6"/>
      <c r="BH72" s="6"/>
      <c r="BI72" s="6"/>
      <c r="BJ72" s="6"/>
      <c r="BK72" s="6"/>
      <c r="BL72" s="6"/>
      <c r="BM72" s="6"/>
      <c r="BN72" s="6"/>
      <c r="BO72" s="6"/>
      <c r="BP72" s="6"/>
      <c r="BQ72" s="6"/>
      <c r="BR72" s="6"/>
      <c r="BS72" s="6"/>
      <c r="BT72" s="254"/>
      <c r="BU72" s="6"/>
      <c r="BV72" s="6"/>
      <c r="BW72" s="6"/>
      <c r="BX72" s="6"/>
      <c r="BY72" s="254"/>
      <c r="BZ72" s="6"/>
      <c r="CA72" s="6"/>
      <c r="CB72" s="6"/>
      <c r="CC72" s="6"/>
      <c r="CD72" s="6"/>
      <c r="CE72" s="6"/>
      <c r="CF72" s="6"/>
      <c r="CG72" s="6"/>
      <c r="CH72" s="6"/>
      <c r="CI72" s="6"/>
      <c r="CJ72" s="6"/>
      <c r="CK72" s="6"/>
      <c r="CL72" s="6"/>
      <c r="CM72" s="6"/>
      <c r="CN72" s="254"/>
      <c r="CO72" s="6"/>
      <c r="CP72" s="6"/>
      <c r="CQ72" s="6"/>
      <c r="CR72" s="6"/>
      <c r="CS72" s="6"/>
      <c r="CT72" s="6"/>
      <c r="CU72" s="6"/>
      <c r="CV72" s="6"/>
      <c r="CW72" s="6"/>
      <c r="CX72" s="6"/>
      <c r="CY72" s="6"/>
      <c r="CZ72" s="6"/>
      <c r="DA72" s="6"/>
      <c r="DB72" s="6"/>
      <c r="DC72" s="6"/>
      <c r="DD72" s="6"/>
      <c r="DE72" s="6"/>
      <c r="DF72" s="6"/>
      <c r="DG72" s="6"/>
      <c r="DH72" s="6"/>
    </row>
    <row r="73" spans="1:112">
      <c r="A73" s="556"/>
      <c r="B73" s="122"/>
      <c r="C73" s="122"/>
      <c r="D73" s="122"/>
      <c r="E73" s="122"/>
      <c r="F73" s="122"/>
      <c r="G73" s="739"/>
      <c r="H73" s="739"/>
      <c r="I73" s="739"/>
      <c r="J73" s="739"/>
      <c r="K73" s="739"/>
      <c r="L73" s="739"/>
      <c r="M73" s="739"/>
      <c r="N73" s="739"/>
      <c r="O73" s="739"/>
      <c r="P73" s="739"/>
      <c r="Q73" s="739"/>
      <c r="R73" s="739"/>
      <c r="S73" s="739"/>
      <c r="T73" s="739"/>
      <c r="U73" s="739"/>
      <c r="V73" s="739"/>
      <c r="W73" s="739"/>
      <c r="X73" s="739"/>
      <c r="Y73" s="739"/>
      <c r="Z73" s="1389"/>
      <c r="AA73" s="1389"/>
      <c r="AB73" s="1389"/>
      <c r="AC73" s="1389"/>
      <c r="AD73" s="1389"/>
      <c r="AE73" s="1389"/>
      <c r="AF73" s="1389"/>
      <c r="AG73" s="1389"/>
      <c r="AH73" s="1389"/>
      <c r="AI73" s="1389"/>
      <c r="AJ73" s="1389"/>
      <c r="AK73" s="1389"/>
      <c r="AL73" s="1389"/>
      <c r="AM73" s="739"/>
      <c r="AN73" s="739"/>
      <c r="AO73" s="739"/>
      <c r="AP73" s="739"/>
      <c r="AQ73" s="739"/>
      <c r="AR73" s="739"/>
      <c r="AS73" s="739"/>
      <c r="AT73" s="739"/>
      <c r="AU73" s="739"/>
      <c r="AV73" s="6"/>
      <c r="AW73" s="6"/>
      <c r="AX73" s="6"/>
      <c r="AY73" s="6"/>
      <c r="AZ73" s="145"/>
      <c r="BA73" s="6"/>
      <c r="BB73" s="6"/>
      <c r="BC73" s="6"/>
      <c r="BD73" s="6"/>
      <c r="BE73" s="6"/>
      <c r="BF73" s="6"/>
      <c r="BG73" s="6"/>
      <c r="BH73" s="6"/>
      <c r="BI73" s="6"/>
      <c r="BJ73" s="6"/>
      <c r="BK73" s="6"/>
      <c r="BL73" s="6"/>
      <c r="BM73" s="6"/>
      <c r="BN73" s="6"/>
      <c r="BO73" s="6"/>
      <c r="BP73" s="6"/>
      <c r="BQ73" s="6"/>
      <c r="BR73" s="6"/>
      <c r="BS73" s="6"/>
      <c r="BT73" s="254"/>
      <c r="BU73" s="6"/>
      <c r="BV73" s="6"/>
      <c r="BW73" s="6"/>
      <c r="BX73" s="6"/>
      <c r="BY73" s="254"/>
      <c r="BZ73" s="6"/>
      <c r="CA73" s="6"/>
      <c r="CB73" s="6"/>
      <c r="CC73" s="6"/>
      <c r="CD73" s="6"/>
      <c r="CE73" s="6"/>
      <c r="CF73" s="6"/>
      <c r="CG73" s="6"/>
      <c r="CH73" s="6"/>
      <c r="CI73" s="6"/>
      <c r="CJ73" s="6"/>
      <c r="CK73" s="6"/>
      <c r="CL73" s="6"/>
      <c r="CM73" s="6"/>
      <c r="CN73" s="254"/>
      <c r="CO73" s="6"/>
      <c r="CP73" s="6"/>
      <c r="CQ73" s="6"/>
      <c r="CR73" s="6"/>
      <c r="CS73" s="6"/>
      <c r="CT73" s="6"/>
      <c r="CU73" s="6"/>
      <c r="CV73" s="6"/>
      <c r="CW73" s="6"/>
      <c r="CX73" s="6"/>
      <c r="CY73" s="6"/>
      <c r="CZ73" s="6"/>
      <c r="DA73" s="6"/>
      <c r="DB73" s="6"/>
      <c r="DC73" s="6"/>
      <c r="DD73" s="6"/>
      <c r="DE73" s="6"/>
      <c r="DF73" s="6"/>
      <c r="DG73" s="6"/>
      <c r="DH73" s="6"/>
    </row>
    <row r="74" spans="1:112">
      <c r="A74" s="107" t="s">
        <v>785</v>
      </c>
      <c r="B74" s="739"/>
      <c r="C74" s="739"/>
      <c r="D74" s="739"/>
      <c r="E74" s="4">
        <f>E59/2</f>
        <v>30</v>
      </c>
      <c r="F74" s="4">
        <f>F59/2</f>
        <v>30</v>
      </c>
      <c r="G74" s="4">
        <f t="shared" ref="G74:P74" si="103">G59/2</f>
        <v>40</v>
      </c>
      <c r="H74" s="4">
        <f t="shared" si="103"/>
        <v>50</v>
      </c>
      <c r="I74" s="4">
        <f t="shared" si="103"/>
        <v>53</v>
      </c>
      <c r="J74" s="4">
        <f t="shared" si="103"/>
        <v>53</v>
      </c>
      <c r="K74" s="4">
        <f t="shared" si="103"/>
        <v>75</v>
      </c>
      <c r="L74" s="4">
        <f t="shared" si="103"/>
        <v>75</v>
      </c>
      <c r="M74" s="4">
        <f t="shared" si="103"/>
        <v>100</v>
      </c>
      <c r="N74" s="4">
        <f t="shared" si="103"/>
        <v>100</v>
      </c>
      <c r="O74" s="4">
        <f t="shared" si="103"/>
        <v>102</v>
      </c>
      <c r="P74" s="4">
        <f t="shared" si="103"/>
        <v>103</v>
      </c>
      <c r="Q74" s="4">
        <f>ROUND(Q59/2,1)</f>
        <v>107.1</v>
      </c>
      <c r="R74" s="4">
        <f t="shared" ref="R74:AB74" si="104">ROUND(R59/2,1)</f>
        <v>111.4</v>
      </c>
      <c r="S74" s="4">
        <f t="shared" si="104"/>
        <v>115.9</v>
      </c>
      <c r="T74" s="4">
        <f t="shared" si="104"/>
        <v>120.5</v>
      </c>
      <c r="U74" s="4">
        <f>ROUND(U59/2,1)</f>
        <v>124.1</v>
      </c>
      <c r="V74" s="4">
        <f>ROUND(V59/2,1)</f>
        <v>131.6</v>
      </c>
      <c r="W74" s="4">
        <f t="shared" si="104"/>
        <v>134.19999999999999</v>
      </c>
      <c r="X74" s="4">
        <f>ROUND(X59/2,1)</f>
        <v>134.19999999999999</v>
      </c>
      <c r="Y74" s="4">
        <f t="shared" si="104"/>
        <v>135.5</v>
      </c>
      <c r="Z74" s="4">
        <f t="shared" si="104"/>
        <v>136.9</v>
      </c>
      <c r="AA74" s="4">
        <f t="shared" si="104"/>
        <v>138.30000000000001</v>
      </c>
      <c r="AB74" s="4">
        <f t="shared" si="104"/>
        <v>139.6</v>
      </c>
      <c r="AC74" s="4">
        <f>ROUND(AC59/2,1)</f>
        <v>141</v>
      </c>
      <c r="AD74" s="4">
        <f>ROUND(AD59/2,1)</f>
        <v>150.9</v>
      </c>
      <c r="AE74" s="4">
        <f>AE59/2</f>
        <v>152.41435200768353</v>
      </c>
      <c r="AF74" s="4">
        <f t="shared" ref="AF74:AJ74" si="105">AF59/2</f>
        <v>153.93849552776038</v>
      </c>
      <c r="AG74" s="95">
        <f t="shared" si="105"/>
        <v>155.47788048303798</v>
      </c>
      <c r="AH74" s="95">
        <f t="shared" si="105"/>
        <v>157.03265928786837</v>
      </c>
      <c r="AI74" s="95">
        <f t="shared" si="105"/>
        <v>158.60298588074704</v>
      </c>
      <c r="AJ74" s="95">
        <f t="shared" si="105"/>
        <v>160.18901573955452</v>
      </c>
      <c r="AK74" s="95">
        <f>AK59/2</f>
        <v>161.79090589695008</v>
      </c>
      <c r="AL74" s="95">
        <f>AL59/2</f>
        <v>163.40881495591958</v>
      </c>
      <c r="AM74" s="95">
        <f>AM59/2</f>
        <v>165.04290310547879</v>
      </c>
      <c r="AN74" s="95">
        <f>AN59/2</f>
        <v>166.69333213653357</v>
      </c>
      <c r="AO74" s="4"/>
      <c r="AP74" s="4"/>
      <c r="AQ74" s="4"/>
      <c r="AR74" s="4"/>
      <c r="AS74" s="4"/>
      <c r="AT74" s="4"/>
      <c r="AU74" s="48"/>
      <c r="AV74" s="472"/>
      <c r="AW74" s="472"/>
      <c r="AX74" s="145"/>
      <c r="AY74" s="145"/>
      <c r="AZ74" s="145"/>
      <c r="BA74" s="472"/>
      <c r="BB74" s="472"/>
      <c r="BC74" s="145"/>
      <c r="BD74" s="145"/>
      <c r="BE74" s="145"/>
      <c r="BF74" s="6"/>
      <c r="BG74" s="6"/>
      <c r="BH74" s="6"/>
      <c r="BI74" s="6"/>
      <c r="BJ74" s="6"/>
      <c r="BK74" s="6"/>
      <c r="BL74" s="6"/>
      <c r="BM74" s="6"/>
      <c r="BN74" s="6"/>
      <c r="BO74" s="6"/>
      <c r="BP74" s="6"/>
      <c r="BQ74" s="6"/>
      <c r="BR74" s="6"/>
      <c r="BS74" s="6"/>
      <c r="BT74" s="254"/>
      <c r="BU74" s="6"/>
      <c r="BV74" s="6"/>
      <c r="BW74" s="6"/>
      <c r="BX74" s="6"/>
      <c r="BY74" s="254"/>
      <c r="BZ74" s="6"/>
      <c r="CA74" s="6"/>
      <c r="CB74" s="6"/>
      <c r="CC74" s="6"/>
      <c r="CD74" s="6"/>
      <c r="CE74" s="6"/>
      <c r="CF74" s="6"/>
      <c r="CG74" s="6"/>
      <c r="CH74" s="6"/>
      <c r="CI74" s="6"/>
      <c r="CJ74" s="6"/>
      <c r="CK74" s="6"/>
      <c r="CL74" s="6"/>
      <c r="CM74" s="6"/>
      <c r="CN74" s="254"/>
      <c r="CO74" s="6"/>
      <c r="CP74" s="6"/>
      <c r="CQ74" s="6"/>
      <c r="CR74" s="6"/>
      <c r="CS74" s="6"/>
      <c r="CT74" s="6"/>
      <c r="CU74" s="6"/>
      <c r="CV74" s="6"/>
      <c r="CW74" s="6"/>
      <c r="CX74" s="6"/>
      <c r="CY74" s="6"/>
      <c r="CZ74" s="6"/>
      <c r="DA74" s="6"/>
      <c r="DB74" s="6"/>
      <c r="DC74" s="6"/>
      <c r="DD74" s="6"/>
      <c r="DE74" s="6"/>
      <c r="DF74" s="6"/>
      <c r="DG74" s="6"/>
      <c r="DH74" s="6"/>
    </row>
    <row r="75" spans="1:112">
      <c r="A75" s="107" t="s">
        <v>382</v>
      </c>
      <c r="B75" s="48"/>
      <c r="C75" s="48"/>
      <c r="D75" s="48"/>
      <c r="E75" s="48">
        <f>F75/1.05</f>
        <v>0.63492063492063489</v>
      </c>
      <c r="F75" s="48">
        <f>G75/1.05</f>
        <v>0.66666666666666663</v>
      </c>
      <c r="G75" s="122">
        <v>0.7</v>
      </c>
      <c r="H75" s="48">
        <f>G75*1.05</f>
        <v>0.73499999999999999</v>
      </c>
      <c r="I75" s="48">
        <f>H75*1.05</f>
        <v>0.77175000000000005</v>
      </c>
      <c r="J75" s="48">
        <f>I75*1.05</f>
        <v>0.81033750000000004</v>
      </c>
      <c r="K75" s="48">
        <f>+J75*1.05</f>
        <v>0.85085437500000005</v>
      </c>
      <c r="L75" s="48">
        <v>1</v>
      </c>
      <c r="M75" s="48">
        <v>0.95</v>
      </c>
      <c r="N75" s="48">
        <f>+M75*1.08</f>
        <v>1.026</v>
      </c>
      <c r="O75" s="48">
        <f>+N75*1.04</f>
        <v>1.06704</v>
      </c>
      <c r="P75" s="48">
        <f>+O75*1.04</f>
        <v>1.1097216000000001</v>
      </c>
      <c r="Q75" s="48">
        <f>+P75*1.03</f>
        <v>1.1430132480000001</v>
      </c>
      <c r="R75" s="48">
        <v>1.4</v>
      </c>
      <c r="S75" s="48">
        <f>+R75*1.04</f>
        <v>1.456</v>
      </c>
      <c r="T75" s="48">
        <f>+S75</f>
        <v>1.456</v>
      </c>
      <c r="U75" s="48">
        <f>+T75*1.06</f>
        <v>1.5433600000000001</v>
      </c>
      <c r="V75" s="48">
        <f>+U75*1.055</f>
        <v>1.6282448</v>
      </c>
      <c r="W75" s="48">
        <f>+V75*1.09</f>
        <v>1.7747868320000002</v>
      </c>
      <c r="X75" s="198">
        <f>(1+Scenarios!G117)*W75</f>
        <v>1.9522655152000004</v>
      </c>
      <c r="Y75" s="198">
        <f>(1+Scenarios!H117)*X75</f>
        <v>2.1474920667200004</v>
      </c>
      <c r="Z75" s="198">
        <f>(1+Scenarios!I117)*Y75</f>
        <v>2.2870790510568004</v>
      </c>
      <c r="AA75" s="198">
        <f>(1+Scenarios!J117)*Z75</f>
        <v>2.4014330036096405</v>
      </c>
      <c r="AB75" s="198">
        <f>(1+Scenarios!K117)*AA75</f>
        <v>2.5215046537901227</v>
      </c>
      <c r="AC75" s="198">
        <f>(1+Scenarios!L117)*AB75</f>
        <v>2.6475798864796287</v>
      </c>
      <c r="AD75" s="198">
        <f>(1+Scenarios!M117)*AC75</f>
        <v>2.7931967802360083</v>
      </c>
      <c r="AE75" s="198">
        <f>(1+Scenarios!N117)*AD75</f>
        <v>2.9468226031489886</v>
      </c>
      <c r="AF75" s="198">
        <f>(1+Scenarios!O117)*AE75</f>
        <v>3.0941637333064382</v>
      </c>
      <c r="AG75" s="198">
        <f>(1+Scenarios!P117)*AF75</f>
        <v>3.2457777562384535</v>
      </c>
      <c r="AH75" s="198">
        <f>(1+Scenarios!Q117)*AG75</f>
        <v>3.4015750885378995</v>
      </c>
      <c r="AI75" s="198">
        <f>(1+Scenarios!R117)*AH75</f>
        <v>3.5614491176991807</v>
      </c>
      <c r="AJ75" s="198">
        <f>(1+Scenarios!S117)*AI75</f>
        <v>3.7252757771133433</v>
      </c>
      <c r="AK75" s="198">
        <f>(1+Scenarios!T117)*AJ75</f>
        <v>3.8929131870834435</v>
      </c>
      <c r="AL75" s="198">
        <f>(1+Scenarios!U117)*AK75</f>
        <v>4.0642013673151149</v>
      </c>
      <c r="AM75" s="198">
        <f>(1+Scenarios!V117)*AL75</f>
        <v>4.2389620261096645</v>
      </c>
      <c r="AN75" s="198">
        <f>(1+Scenarios!W117)*AM75</f>
        <v>4.4169984312062702</v>
      </c>
      <c r="AO75" s="48"/>
      <c r="AP75" s="48"/>
      <c r="AQ75" s="48"/>
      <c r="AR75" s="48"/>
      <c r="AS75" s="48"/>
      <c r="AT75" s="48"/>
      <c r="AU75" s="48"/>
      <c r="AV75" s="48">
        <f>+V75*1.1</f>
        <v>1.7910692800000001</v>
      </c>
      <c r="AW75" s="48">
        <f t="shared" ref="AW75:BE75" si="106">+AV75*1.1</f>
        <v>1.9701762080000003</v>
      </c>
      <c r="AX75" s="48">
        <f t="shared" si="106"/>
        <v>2.1671938288000003</v>
      </c>
      <c r="AY75" s="48">
        <f t="shared" si="106"/>
        <v>2.3839132116800004</v>
      </c>
      <c r="AZ75" s="48">
        <f t="shared" si="106"/>
        <v>2.6223045328480006</v>
      </c>
      <c r="BA75" s="48">
        <f t="shared" si="106"/>
        <v>2.8845349861328007</v>
      </c>
      <c r="BB75" s="48">
        <f t="shared" si="106"/>
        <v>3.1729884847460812</v>
      </c>
      <c r="BC75" s="48">
        <f t="shared" si="106"/>
        <v>3.4902873332206896</v>
      </c>
      <c r="BD75" s="48">
        <f t="shared" si="106"/>
        <v>3.839316066542759</v>
      </c>
      <c r="BE75" s="48">
        <f t="shared" si="106"/>
        <v>4.2232476731970356</v>
      </c>
      <c r="BF75" s="48"/>
      <c r="BG75" s="48"/>
      <c r="BH75" s="48"/>
      <c r="BI75" s="48"/>
      <c r="BJ75" s="48"/>
      <c r="BK75" s="48"/>
      <c r="BL75" s="48"/>
      <c r="BM75" s="48"/>
      <c r="BN75" s="48"/>
      <c r="BO75" s="48"/>
      <c r="BP75" s="48"/>
      <c r="BQ75" s="48"/>
      <c r="BR75" s="48"/>
      <c r="BS75" s="48"/>
      <c r="BT75" s="254"/>
      <c r="BU75" s="48"/>
      <c r="BV75" s="48"/>
      <c r="BW75" s="48"/>
      <c r="BX75" s="48"/>
      <c r="BY75" s="254"/>
      <c r="BZ75" s="48"/>
      <c r="CA75" s="48"/>
      <c r="CB75" s="48"/>
      <c r="CC75" s="48"/>
      <c r="CD75" s="48"/>
      <c r="CE75" s="48"/>
      <c r="CF75" s="48"/>
      <c r="CG75" s="48"/>
      <c r="CH75" s="48"/>
      <c r="CI75" s="48"/>
      <c r="CJ75" s="48"/>
      <c r="CK75" s="48"/>
      <c r="CL75" s="48"/>
      <c r="CM75" s="48"/>
      <c r="CN75" s="254"/>
      <c r="CO75" s="48"/>
      <c r="CP75" s="48"/>
      <c r="CQ75" s="48"/>
      <c r="CR75" s="48"/>
      <c r="CS75" s="48"/>
      <c r="CT75" s="48"/>
      <c r="CU75" s="48"/>
      <c r="CV75" s="48"/>
      <c r="CW75" s="48"/>
      <c r="CX75" s="48"/>
      <c r="CY75" s="48"/>
      <c r="CZ75" s="48"/>
      <c r="DA75" s="48"/>
      <c r="DB75" s="48"/>
      <c r="DC75" s="48"/>
      <c r="DD75" s="48"/>
      <c r="DE75" s="48"/>
      <c r="DF75" s="48"/>
      <c r="DG75" s="48"/>
      <c r="DH75" s="48"/>
    </row>
    <row r="76" spans="1:112">
      <c r="A76" s="556" t="s">
        <v>787</v>
      </c>
      <c r="B76" s="48"/>
      <c r="C76" s="48"/>
      <c r="D76" s="48"/>
      <c r="E76" s="48">
        <f t="shared" ref="E76:AC76" si="107">+E75*E74</f>
        <v>19.047619047619047</v>
      </c>
      <c r="F76" s="48">
        <f t="shared" si="107"/>
        <v>20</v>
      </c>
      <c r="G76" s="48">
        <f t="shared" si="107"/>
        <v>28</v>
      </c>
      <c r="H76" s="48">
        <f t="shared" si="107"/>
        <v>36.75</v>
      </c>
      <c r="I76" s="48">
        <f t="shared" si="107"/>
        <v>40.902750000000005</v>
      </c>
      <c r="J76" s="48">
        <f t="shared" si="107"/>
        <v>42.9478875</v>
      </c>
      <c r="K76" s="48">
        <f t="shared" si="107"/>
        <v>63.814078125000002</v>
      </c>
      <c r="L76" s="48">
        <f t="shared" si="107"/>
        <v>75</v>
      </c>
      <c r="M76" s="48">
        <f t="shared" si="107"/>
        <v>95</v>
      </c>
      <c r="N76" s="48">
        <f t="shared" si="107"/>
        <v>102.60000000000001</v>
      </c>
      <c r="O76" s="48">
        <f t="shared" si="107"/>
        <v>108.83808000000001</v>
      </c>
      <c r="P76" s="48">
        <f t="shared" si="107"/>
        <v>114.3013248</v>
      </c>
      <c r="Q76" s="48">
        <f t="shared" si="107"/>
        <v>122.4167188608</v>
      </c>
      <c r="R76" s="48">
        <f t="shared" si="107"/>
        <v>155.96</v>
      </c>
      <c r="S76" s="48">
        <f t="shared" si="107"/>
        <v>168.75040000000001</v>
      </c>
      <c r="T76" s="48">
        <f t="shared" si="107"/>
        <v>175.44800000000001</v>
      </c>
      <c r="U76" s="48">
        <f>+U75*U74</f>
        <v>191.53097600000001</v>
      </c>
      <c r="V76" s="48">
        <f>+V75*V74</f>
        <v>214.27701568000001</v>
      </c>
      <c r="W76" s="48">
        <f>+W75*W74</f>
        <v>238.17639285440001</v>
      </c>
      <c r="X76" s="48">
        <f t="shared" si="107"/>
        <v>261.99403213984004</v>
      </c>
      <c r="Y76" s="48">
        <f t="shared" si="107"/>
        <v>290.98517504056002</v>
      </c>
      <c r="Z76" s="48">
        <f t="shared" si="107"/>
        <v>313.10112208967598</v>
      </c>
      <c r="AA76" s="48">
        <f>+AA75*AA74</f>
        <v>332.11818439921331</v>
      </c>
      <c r="AB76" s="48">
        <f t="shared" si="107"/>
        <v>352.0020496691011</v>
      </c>
      <c r="AC76" s="48">
        <f t="shared" si="107"/>
        <v>373.30876399362762</v>
      </c>
      <c r="AD76" s="48">
        <f>+AD75*AD74</f>
        <v>421.49339413761368</v>
      </c>
      <c r="AE76" s="48">
        <f t="shared" ref="AE76:AJ76" si="108">+AE75*AE74</f>
        <v>449.13805754054829</v>
      </c>
      <c r="AF76" s="48">
        <f t="shared" si="108"/>
        <v>476.31091002175151</v>
      </c>
      <c r="AG76" s="49">
        <f t="shared" si="108"/>
        <v>504.64664605894546</v>
      </c>
      <c r="AH76" s="49">
        <f t="shared" si="108"/>
        <v>534.15838192047261</v>
      </c>
      <c r="AI76" s="49">
        <f t="shared" si="108"/>
        <v>564.8564641294422</v>
      </c>
      <c r="AJ76" s="49">
        <f t="shared" si="108"/>
        <v>596.74826009419053</v>
      </c>
      <c r="AK76" s="49">
        <f>+AK75*AK74</f>
        <v>629.83795111641336</v>
      </c>
      <c r="AL76" s="49">
        <f>+AL75*AL74</f>
        <v>664.12632917519102</v>
      </c>
      <c r="AM76" s="49">
        <f>+AM75*AM74</f>
        <v>699.61059894302139</v>
      </c>
      <c r="AN76" s="49">
        <f>+AN75*AN74</f>
        <v>736.28418653961455</v>
      </c>
      <c r="AO76" s="48"/>
      <c r="AP76" s="48"/>
      <c r="AQ76" s="48"/>
      <c r="AR76" s="48"/>
      <c r="AS76" s="48"/>
      <c r="AT76" s="48"/>
      <c r="AU76" s="48"/>
      <c r="AV76" s="6"/>
      <c r="AW76" s="6"/>
      <c r="AX76" s="6"/>
      <c r="AY76" s="6"/>
      <c r="AZ76" s="6"/>
      <c r="BA76" s="6"/>
      <c r="BB76" s="6"/>
      <c r="BC76" s="6"/>
      <c r="BD76" s="6"/>
      <c r="BE76" s="6"/>
      <c r="BF76" s="6"/>
      <c r="BG76" s="6"/>
      <c r="BH76" s="6"/>
      <c r="BI76" s="6"/>
      <c r="BJ76" s="6"/>
      <c r="BK76" s="6"/>
      <c r="BL76" s="6"/>
      <c r="BM76" s="6"/>
      <c r="BN76" s="6"/>
      <c r="BO76" s="6"/>
      <c r="BP76" s="6"/>
      <c r="BQ76" s="6"/>
      <c r="BR76" s="6"/>
      <c r="BS76" s="6"/>
      <c r="BT76" s="254"/>
      <c r="BU76" s="6"/>
      <c r="BV76" s="6"/>
      <c r="BW76" s="6"/>
      <c r="BX76" s="6"/>
      <c r="BY76" s="254"/>
      <c r="BZ76" s="6"/>
      <c r="CA76" s="6"/>
      <c r="CB76" s="6"/>
      <c r="CC76" s="6"/>
      <c r="CD76" s="6"/>
      <c r="CE76" s="6"/>
      <c r="CF76" s="6"/>
      <c r="CG76" s="6"/>
      <c r="CH76" s="6"/>
      <c r="CI76" s="6"/>
      <c r="CJ76" s="6"/>
      <c r="CK76" s="6"/>
      <c r="CL76" s="6"/>
      <c r="CM76" s="6"/>
      <c r="CN76" s="254"/>
      <c r="CO76" s="6"/>
      <c r="CP76" s="6"/>
      <c r="CQ76" s="6"/>
      <c r="CR76" s="6"/>
      <c r="CS76" s="6"/>
      <c r="CT76" s="6"/>
      <c r="CU76" s="6"/>
      <c r="CV76" s="6"/>
      <c r="CW76" s="6"/>
      <c r="CX76" s="6"/>
      <c r="CY76" s="6"/>
      <c r="CZ76" s="6"/>
      <c r="DA76" s="6"/>
      <c r="DB76" s="6"/>
      <c r="DC76" s="6"/>
      <c r="DD76" s="6"/>
      <c r="DE76" s="6"/>
      <c r="DF76" s="6"/>
      <c r="DG76" s="6"/>
      <c r="DH76" s="6"/>
    </row>
    <row r="77" spans="1:112">
      <c r="A77" s="107"/>
      <c r="B77" s="6"/>
      <c r="C77" s="6"/>
      <c r="D77" s="6"/>
      <c r="E77" s="6"/>
      <c r="F77" s="6"/>
      <c r="G77" s="6"/>
      <c r="H77" s="6"/>
      <c r="I77" s="6"/>
      <c r="J77" s="6"/>
      <c r="K77" s="6"/>
      <c r="L77" s="6"/>
      <c r="M77" s="6"/>
      <c r="N77" s="6"/>
      <c r="O77" s="6"/>
      <c r="P77" s="6"/>
      <c r="Q77" s="6"/>
      <c r="R77" s="6"/>
      <c r="S77" s="6"/>
      <c r="T77" s="6"/>
      <c r="U77" s="6"/>
      <c r="V77" s="52"/>
      <c r="W77" s="6"/>
      <c r="X77" s="1325"/>
      <c r="Y77" s="6"/>
      <c r="Z77" s="6"/>
      <c r="AA77" s="6"/>
      <c r="AB77" s="2862"/>
      <c r="AC77" s="2862"/>
      <c r="AD77" s="2862"/>
      <c r="AE77" s="2862"/>
      <c r="AF77" s="2862"/>
      <c r="AG77" s="2862"/>
      <c r="AH77" s="2862"/>
      <c r="AI77" s="2862"/>
      <c r="AJ77" s="2862"/>
      <c r="AK77" s="2862"/>
      <c r="AL77" s="2862"/>
      <c r="AM77" s="2862"/>
      <c r="AN77" s="2862"/>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254"/>
      <c r="BU77" s="6"/>
      <c r="BV77" s="6"/>
      <c r="BW77" s="6"/>
      <c r="BX77" s="6"/>
      <c r="BY77" s="254"/>
      <c r="BZ77" s="6"/>
      <c r="CA77" s="6"/>
      <c r="CB77" s="6"/>
      <c r="CC77" s="6"/>
      <c r="CD77" s="6"/>
      <c r="CE77" s="6"/>
      <c r="CF77" s="6"/>
      <c r="CG77" s="6"/>
      <c r="CH77" s="6"/>
      <c r="CI77" s="6"/>
      <c r="CJ77" s="6"/>
      <c r="CK77" s="6"/>
      <c r="CL77" s="6"/>
      <c r="CM77" s="6"/>
      <c r="CN77" s="254"/>
      <c r="CO77" s="6"/>
      <c r="CP77" s="6"/>
      <c r="CQ77" s="6"/>
      <c r="CR77" s="6"/>
      <c r="CS77" s="6"/>
      <c r="CT77" s="6"/>
      <c r="CU77" s="6"/>
      <c r="CV77" s="6"/>
      <c r="CW77" s="6"/>
      <c r="CX77" s="6"/>
      <c r="CY77" s="6"/>
      <c r="CZ77" s="6"/>
      <c r="DA77" s="6"/>
      <c r="DB77" s="6"/>
      <c r="DC77" s="6"/>
      <c r="DD77" s="6"/>
      <c r="DE77" s="6"/>
      <c r="DF77" s="6"/>
      <c r="DG77" s="6"/>
      <c r="DH77" s="6"/>
    </row>
    <row r="78" spans="1:112">
      <c r="A78" s="107" t="s">
        <v>1002</v>
      </c>
      <c r="B78" s="10">
        <f>B71+B76</f>
        <v>98.955623747983182</v>
      </c>
      <c r="C78" s="10">
        <f>C71+C76</f>
        <v>103.72005981242872</v>
      </c>
      <c r="D78" s="10">
        <f t="shared" ref="D78:AC78" si="109">D71+D76</f>
        <v>109.08788004997916</v>
      </c>
      <c r="E78" s="10">
        <f t="shared" si="109"/>
        <v>133.52251376741171</v>
      </c>
      <c r="F78" s="10">
        <f t="shared" si="109"/>
        <v>140.13968253968255</v>
      </c>
      <c r="G78" s="10">
        <f t="shared" si="109"/>
        <v>154.15904761904761</v>
      </c>
      <c r="H78" s="10">
        <f t="shared" si="109"/>
        <v>246.61800000000002</v>
      </c>
      <c r="I78" s="10">
        <f t="shared" si="109"/>
        <v>180.24125000000001</v>
      </c>
      <c r="J78" s="10">
        <f t="shared" si="109"/>
        <v>317.38218749999999</v>
      </c>
      <c r="K78" s="10">
        <f t="shared" si="109"/>
        <v>356.51133125000001</v>
      </c>
      <c r="L78" s="10">
        <f t="shared" si="109"/>
        <v>386.54571578125001</v>
      </c>
      <c r="M78" s="10">
        <f t="shared" si="109"/>
        <v>412.41795756250008</v>
      </c>
      <c r="N78" s="10">
        <f t="shared" si="109"/>
        <v>409.48040915390629</v>
      </c>
      <c r="O78" s="10">
        <f t="shared" si="109"/>
        <v>437.13111779467977</v>
      </c>
      <c r="P78" s="10">
        <f t="shared" si="109"/>
        <v>462.29194486236054</v>
      </c>
      <c r="Q78" s="10">
        <f t="shared" si="109"/>
        <v>487.80686992627864</v>
      </c>
      <c r="R78" s="10">
        <f t="shared" si="109"/>
        <v>546.92746164006212</v>
      </c>
      <c r="S78" s="10">
        <f t="shared" si="109"/>
        <v>577.02040319506523</v>
      </c>
      <c r="T78" s="10">
        <f t="shared" si="109"/>
        <v>535.2594052441143</v>
      </c>
      <c r="U78" s="10">
        <f t="shared" si="109"/>
        <v>519.68097599999999</v>
      </c>
      <c r="V78" s="10">
        <f>V71+V76</f>
        <v>556.67701568000007</v>
      </c>
      <c r="W78" s="10">
        <f t="shared" si="109"/>
        <v>563.45639285439995</v>
      </c>
      <c r="X78" s="10">
        <f>X71+X76</f>
        <v>587.27403213984007</v>
      </c>
      <c r="Y78" s="10">
        <f t="shared" si="109"/>
        <v>624.39717504055989</v>
      </c>
      <c r="Z78" s="10">
        <f t="shared" si="109"/>
        <v>654.84842208967586</v>
      </c>
      <c r="AA78" s="10">
        <f t="shared" si="109"/>
        <v>682.40916689921312</v>
      </c>
      <c r="AB78" s="2938">
        <f t="shared" si="109"/>
        <v>711.05030673160093</v>
      </c>
      <c r="AC78" s="2938">
        <f t="shared" si="109"/>
        <v>741.33322748268995</v>
      </c>
      <c r="AD78" s="2938">
        <f>AD71+AD76</f>
        <v>798.71846921390249</v>
      </c>
      <c r="AE78" s="2938">
        <f t="shared" ref="AE78:AJ78" si="110">AE71+AE76</f>
        <v>835.79375949374435</v>
      </c>
      <c r="AF78" s="2938">
        <f t="shared" si="110"/>
        <v>871.47303741791779</v>
      </c>
      <c r="AG78" s="2938">
        <f t="shared" si="110"/>
        <v>907.71201600303516</v>
      </c>
      <c r="AH78" s="2938">
        <f t="shared" si="110"/>
        <v>945.28505926344405</v>
      </c>
      <c r="AI78" s="2938">
        <f t="shared" si="110"/>
        <v>984.20567501927303</v>
      </c>
      <c r="AJ78" s="2938">
        <f t="shared" si="110"/>
        <v>1024.484455201818</v>
      </c>
      <c r="AK78" s="2938">
        <f>AK71+AK76</f>
        <v>1066.1288701261933</v>
      </c>
      <c r="AL78" s="2938">
        <f>AL71+AL76</f>
        <v>1109.1430665651667</v>
      </c>
      <c r="AM78" s="2938">
        <f>AM71+AM76</f>
        <v>1153.5276710807966</v>
      </c>
      <c r="AN78" s="2938">
        <f>AN71+AN76</f>
        <v>1199.2796001201455</v>
      </c>
      <c r="AO78" s="10"/>
      <c r="AP78" s="10"/>
      <c r="AQ78" s="10"/>
      <c r="AR78" s="10"/>
      <c r="AS78" s="10"/>
      <c r="AT78" s="10"/>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254"/>
      <c r="BU78" s="6"/>
      <c r="BV78" s="6"/>
      <c r="BW78" s="6"/>
      <c r="BX78" s="6"/>
      <c r="BY78" s="254"/>
      <c r="BZ78" s="6"/>
      <c r="CA78" s="6"/>
      <c r="CB78" s="6"/>
      <c r="CC78" s="6"/>
      <c r="CD78" s="6"/>
      <c r="CE78" s="6"/>
      <c r="CF78" s="6"/>
      <c r="CG78" s="6"/>
      <c r="CH78" s="6"/>
      <c r="CI78" s="6"/>
      <c r="CJ78" s="6"/>
      <c r="CK78" s="6"/>
      <c r="CL78" s="6"/>
      <c r="CM78" s="6"/>
      <c r="CN78" s="254"/>
      <c r="CO78" s="6"/>
      <c r="CP78" s="6"/>
      <c r="CQ78" s="6"/>
      <c r="CR78" s="6"/>
      <c r="CS78" s="6"/>
      <c r="CT78" s="6"/>
      <c r="CU78" s="6"/>
      <c r="CV78" s="6"/>
      <c r="CW78" s="6"/>
      <c r="CX78" s="6"/>
      <c r="CY78" s="6"/>
      <c r="CZ78" s="6"/>
      <c r="DA78" s="6"/>
      <c r="DB78" s="6"/>
      <c r="DC78" s="6"/>
      <c r="DD78" s="6"/>
      <c r="DE78" s="6"/>
      <c r="DF78" s="6"/>
      <c r="DG78" s="6"/>
      <c r="DH78" s="6"/>
    </row>
    <row r="79" spans="1:112">
      <c r="A79" s="107" t="s">
        <v>349</v>
      </c>
      <c r="B79" s="275" t="s">
        <v>737</v>
      </c>
      <c r="C79" s="245">
        <f>C78/B78-1</f>
        <v>4.8147198552145332E-2</v>
      </c>
      <c r="D79" s="245">
        <f t="shared" ref="D79:AF79" si="111">D78/C78-1</f>
        <v>5.1752961261860131E-2</v>
      </c>
      <c r="E79" s="245">
        <f t="shared" si="111"/>
        <v>0.22399036177289067</v>
      </c>
      <c r="F79" s="245">
        <f t="shared" si="111"/>
        <v>4.9558449624439893E-2</v>
      </c>
      <c r="G79" s="245">
        <f t="shared" si="111"/>
        <v>0.10003851032982958</v>
      </c>
      <c r="H79" s="245">
        <f t="shared" si="111"/>
        <v>0.59976338598973244</v>
      </c>
      <c r="I79" s="245">
        <f t="shared" si="111"/>
        <v>-0.26914803461223435</v>
      </c>
      <c r="J79" s="245">
        <f t="shared" si="111"/>
        <v>0.76087431428710106</v>
      </c>
      <c r="K79" s="245">
        <f t="shared" si="111"/>
        <v>0.12328714493468551</v>
      </c>
      <c r="L79" s="245">
        <f t="shared" si="111"/>
        <v>8.4245245237909883E-2</v>
      </c>
      <c r="M79" s="245">
        <f t="shared" si="111"/>
        <v>6.6931906693001419E-2</v>
      </c>
      <c r="N79" s="245">
        <f t="shared" si="111"/>
        <v>-7.1227461237514111E-3</v>
      </c>
      <c r="O79" s="245">
        <f t="shared" si="111"/>
        <v>6.7526328543793035E-2</v>
      </c>
      <c r="P79" s="245">
        <f t="shared" si="111"/>
        <v>5.7558993270981906E-2</v>
      </c>
      <c r="Q79" s="245">
        <f t="shared" si="111"/>
        <v>5.5192233711782945E-2</v>
      </c>
      <c r="R79" s="245">
        <f t="shared" si="111"/>
        <v>0.12119671812477395</v>
      </c>
      <c r="S79" s="245">
        <f t="shared" si="111"/>
        <v>5.5021814894362642E-2</v>
      </c>
      <c r="T79" s="245">
        <f t="shared" si="111"/>
        <v>-7.2373520450425666E-2</v>
      </c>
      <c r="U79" s="245">
        <f t="shared" si="111"/>
        <v>-2.9104447472547479E-2</v>
      </c>
      <c r="V79" s="245">
        <f t="shared" si="111"/>
        <v>7.1189905708613166E-2</v>
      </c>
      <c r="W79" s="245">
        <f t="shared" si="111"/>
        <v>1.2178295462978106E-2</v>
      </c>
      <c r="X79" s="245">
        <f t="shared" si="111"/>
        <v>4.227059908715014E-2</v>
      </c>
      <c r="Y79" s="245">
        <f t="shared" si="111"/>
        <v>6.3212641576292583E-2</v>
      </c>
      <c r="Z79" s="245">
        <f t="shared" si="111"/>
        <v>4.8769033984078947E-2</v>
      </c>
      <c r="AA79" s="245">
        <f t="shared" si="111"/>
        <v>4.2087212673718621E-2</v>
      </c>
      <c r="AB79" s="3153">
        <f t="shared" si="111"/>
        <v>4.1970625867365996E-2</v>
      </c>
      <c r="AC79" s="3153">
        <f t="shared" si="111"/>
        <v>4.2588998927919564E-2</v>
      </c>
      <c r="AD79" s="3153">
        <f t="shared" si="111"/>
        <v>7.7408160869940845E-2</v>
      </c>
      <c r="AE79" s="3153">
        <f t="shared" si="111"/>
        <v>4.6418471224699775E-2</v>
      </c>
      <c r="AF79" s="3153">
        <f t="shared" si="111"/>
        <v>4.2689093474190365E-2</v>
      </c>
      <c r="AG79" s="3153">
        <f t="shared" ref="AG79:AN79" si="112">AG78/AF78-1</f>
        <v>4.1583591263465447E-2</v>
      </c>
      <c r="AH79" s="3153">
        <f t="shared" si="112"/>
        <v>4.1393131960349994E-2</v>
      </c>
      <c r="AI79" s="3153">
        <f t="shared" si="112"/>
        <v>4.1173416816886466E-2</v>
      </c>
      <c r="AJ79" s="3153">
        <f t="shared" si="112"/>
        <v>4.0925165547085696E-2</v>
      </c>
      <c r="AK79" s="3153">
        <f t="shared" si="112"/>
        <v>4.0649142808293348E-2</v>
      </c>
      <c r="AL79" s="3153">
        <f t="shared" si="112"/>
        <v>4.0346151055717927E-2</v>
      </c>
      <c r="AM79" s="3153">
        <f t="shared" si="112"/>
        <v>4.0017023820995146E-2</v>
      </c>
      <c r="AN79" s="3153">
        <f t="shared" si="112"/>
        <v>3.9662619446728664E-2</v>
      </c>
      <c r="AO79" s="245"/>
      <c r="AP79" s="245"/>
      <c r="AQ79" s="245"/>
      <c r="AR79" s="245"/>
      <c r="AS79" s="245"/>
      <c r="AT79" s="245"/>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254"/>
      <c r="BU79" s="6"/>
      <c r="BV79" s="6"/>
      <c r="BW79" s="6"/>
      <c r="BX79" s="6"/>
      <c r="BY79" s="254"/>
      <c r="BZ79" s="6"/>
      <c r="CA79" s="6"/>
      <c r="CB79" s="6"/>
      <c r="CC79" s="6"/>
      <c r="CD79" s="6"/>
      <c r="CE79" s="6"/>
      <c r="CF79" s="6"/>
      <c r="CG79" s="6"/>
      <c r="CH79" s="6"/>
      <c r="CI79" s="6"/>
      <c r="CJ79" s="6"/>
      <c r="CK79" s="6"/>
      <c r="CL79" s="6"/>
      <c r="CM79" s="6"/>
      <c r="CN79" s="254"/>
      <c r="CO79" s="6"/>
      <c r="CP79" s="6"/>
      <c r="CQ79" s="6"/>
      <c r="CR79" s="6"/>
      <c r="CS79" s="6"/>
      <c r="CT79" s="6"/>
      <c r="CU79" s="6"/>
      <c r="CV79" s="6"/>
      <c r="CW79" s="6"/>
      <c r="CX79" s="6"/>
      <c r="CY79" s="6"/>
      <c r="CZ79" s="6"/>
      <c r="DA79" s="6"/>
      <c r="DB79" s="6"/>
      <c r="DC79" s="6"/>
      <c r="DD79" s="6"/>
      <c r="DE79" s="6"/>
      <c r="DF79" s="6"/>
      <c r="DG79" s="6"/>
      <c r="DH79" s="6"/>
    </row>
    <row r="80" spans="1:112">
      <c r="A80" s="107" t="s">
        <v>739</v>
      </c>
      <c r="B80" s="245">
        <f>B78/B18</f>
        <v>0.20023396144877212</v>
      </c>
      <c r="C80" s="245">
        <f>C78/C18</f>
        <v>0.20307124486287745</v>
      </c>
      <c r="D80" s="245">
        <f t="shared" ref="D80:AD80" si="113">D78/D18</f>
        <v>0.20761599534473446</v>
      </c>
      <c r="E80" s="245">
        <f t="shared" si="113"/>
        <v>0.24576203527960927</v>
      </c>
      <c r="F80" s="245">
        <f t="shared" si="113"/>
        <v>0.23784739059688143</v>
      </c>
      <c r="G80" s="245">
        <f t="shared" si="113"/>
        <v>0.24780428808720079</v>
      </c>
      <c r="H80" s="245">
        <f t="shared" si="113"/>
        <v>0.35246248392168072</v>
      </c>
      <c r="I80" s="245">
        <f t="shared" si="113"/>
        <v>0.24891762187543157</v>
      </c>
      <c r="J80" s="245">
        <f t="shared" si="113"/>
        <v>0.42379782013619977</v>
      </c>
      <c r="K80" s="245">
        <f t="shared" si="113"/>
        <v>0.44642039976208364</v>
      </c>
      <c r="L80" s="245">
        <f t="shared" si="113"/>
        <v>0.44106083498545184</v>
      </c>
      <c r="M80" s="245">
        <f t="shared" si="113"/>
        <v>0.41963019177516037</v>
      </c>
      <c r="N80" s="245">
        <f t="shared" si="113"/>
        <v>0.39834070778280073</v>
      </c>
      <c r="O80" s="245">
        <f t="shared" si="113"/>
        <v>0.42301066650151087</v>
      </c>
      <c r="P80" s="245">
        <f t="shared" si="113"/>
        <v>0.45771479689342626</v>
      </c>
      <c r="Q80" s="245">
        <f t="shared" si="113"/>
        <v>0.46480151875547626</v>
      </c>
      <c r="R80" s="245">
        <f t="shared" si="113"/>
        <v>0.48349399582704994</v>
      </c>
      <c r="S80" s="245">
        <f t="shared" si="113"/>
        <v>0.48580639330283959</v>
      </c>
      <c r="T80" s="245">
        <f t="shared" si="113"/>
        <v>0.44953045984318057</v>
      </c>
      <c r="U80" s="245">
        <f t="shared" si="113"/>
        <v>0.41218967000871504</v>
      </c>
      <c r="V80" s="245">
        <f t="shared" si="113"/>
        <v>0.40475693449394401</v>
      </c>
      <c r="W80" s="245">
        <f t="shared" si="113"/>
        <v>0.37388556605437512</v>
      </c>
      <c r="X80" s="245">
        <f t="shared" si="113"/>
        <v>0.35676139117869454</v>
      </c>
      <c r="Y80" s="245">
        <f t="shared" si="113"/>
        <v>0.32292986458365924</v>
      </c>
      <c r="Z80" s="245">
        <f t="shared" si="113"/>
        <v>0.32224224973018456</v>
      </c>
      <c r="AA80" s="245">
        <f t="shared" si="113"/>
        <v>0.3262158188878021</v>
      </c>
      <c r="AB80" s="3153">
        <f t="shared" si="113"/>
        <v>0.35488007580297221</v>
      </c>
      <c r="AC80" s="3153">
        <f t="shared" si="113"/>
        <v>0.31929277928010058</v>
      </c>
      <c r="AD80" s="3153">
        <f t="shared" si="113"/>
        <v>0.37086505621181043</v>
      </c>
      <c r="AE80" s="3153">
        <f t="shared" ref="AE80:AJ80" si="114">AE78/AE18</f>
        <v>0.3690499394912542</v>
      </c>
      <c r="AF80" s="3153">
        <f t="shared" si="114"/>
        <v>0.36720079926487897</v>
      </c>
      <c r="AG80" s="3153">
        <f t="shared" si="114"/>
        <v>0.36535827042771291</v>
      </c>
      <c r="AH80" s="3153">
        <f t="shared" si="114"/>
        <v>0.36427307458447067</v>
      </c>
      <c r="AI80" s="3153">
        <f t="shared" si="114"/>
        <v>0.36436597820003008</v>
      </c>
      <c r="AJ80" s="3153">
        <f t="shared" si="114"/>
        <v>0.36557212702105257</v>
      </c>
      <c r="AK80" s="3153">
        <f>AK78/AK18</f>
        <v>0.36728791240555919</v>
      </c>
      <c r="AL80" s="3153">
        <f>AL78/AL18</f>
        <v>0.36915112665849248</v>
      </c>
      <c r="AM80" s="3153">
        <f>AM78/AM18</f>
        <v>0.37115959594610387</v>
      </c>
      <c r="AN80" s="3153">
        <f>AN78/AN18</f>
        <v>0.37331123873119798</v>
      </c>
      <c r="AO80" s="245"/>
      <c r="AP80" s="245"/>
      <c r="AQ80" s="245"/>
      <c r="AR80" s="245"/>
      <c r="AS80" s="245"/>
      <c r="AT80" s="245"/>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254"/>
      <c r="BU80" s="6"/>
      <c r="BV80" s="6"/>
      <c r="BW80" s="6"/>
      <c r="BX80" s="6"/>
      <c r="BY80" s="254"/>
      <c r="BZ80" s="6"/>
      <c r="CA80" s="6"/>
      <c r="CB80" s="6"/>
      <c r="CC80" s="6"/>
      <c r="CD80" s="6"/>
      <c r="CE80" s="6"/>
      <c r="CF80" s="6"/>
      <c r="CG80" s="6"/>
      <c r="CH80" s="6"/>
      <c r="CI80" s="6"/>
      <c r="CJ80" s="6"/>
      <c r="CK80" s="6"/>
      <c r="CL80" s="6"/>
      <c r="CM80" s="6"/>
      <c r="CN80" s="254"/>
      <c r="CO80" s="6"/>
      <c r="CP80" s="6"/>
      <c r="CQ80" s="6"/>
      <c r="CR80" s="6"/>
      <c r="CS80" s="6"/>
      <c r="CT80" s="6"/>
      <c r="CU80" s="6"/>
      <c r="CV80" s="6"/>
      <c r="CW80" s="6"/>
      <c r="CX80" s="6"/>
      <c r="CY80" s="6"/>
      <c r="CZ80" s="6"/>
      <c r="DA80" s="6"/>
      <c r="DB80" s="6"/>
      <c r="DC80" s="6"/>
      <c r="DD80" s="6"/>
      <c r="DE80" s="6"/>
      <c r="DF80" s="6"/>
      <c r="DG80" s="6"/>
      <c r="DH80" s="6"/>
    </row>
    <row r="81" spans="1:112">
      <c r="A81" s="107"/>
      <c r="B81" s="6"/>
      <c r="C81" s="6"/>
      <c r="D81" s="6"/>
      <c r="E81" s="6"/>
      <c r="F81" s="6"/>
      <c r="G81" s="6"/>
      <c r="H81" s="6"/>
      <c r="I81" s="6"/>
      <c r="J81" s="6"/>
      <c r="K81" s="6"/>
      <c r="L81" s="6"/>
      <c r="M81" s="6"/>
      <c r="N81" s="6"/>
      <c r="O81" s="6"/>
      <c r="P81" s="6"/>
      <c r="Q81" s="6"/>
      <c r="R81" s="6"/>
      <c r="S81" s="6"/>
      <c r="T81" s="6"/>
      <c r="U81" s="6"/>
      <c r="V81" s="6"/>
      <c r="W81" s="6"/>
      <c r="X81" s="6"/>
      <c r="Y81" s="6"/>
      <c r="Z81" s="6"/>
      <c r="AA81" s="6"/>
      <c r="AB81" s="2862"/>
      <c r="AC81" s="2862"/>
      <c r="AD81" s="2862"/>
      <c r="AE81" s="2862"/>
      <c r="AF81" s="2862"/>
      <c r="AG81" s="2862"/>
      <c r="AH81" s="2862"/>
      <c r="AI81" s="2862"/>
      <c r="AJ81" s="2862"/>
      <c r="AK81" s="2862"/>
      <c r="AL81" s="2862"/>
      <c r="AM81" s="2862"/>
      <c r="AN81" s="2862"/>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254"/>
      <c r="BU81" s="6"/>
      <c r="BV81" s="6"/>
      <c r="BW81" s="6"/>
      <c r="BX81" s="6"/>
      <c r="BY81" s="254"/>
      <c r="BZ81" s="6"/>
      <c r="CA81" s="6"/>
      <c r="CB81" s="6"/>
      <c r="CC81" s="6"/>
      <c r="CD81" s="6"/>
      <c r="CE81" s="6"/>
      <c r="CF81" s="6"/>
      <c r="CG81" s="6"/>
      <c r="CH81" s="6"/>
      <c r="CI81" s="6"/>
      <c r="CJ81" s="6"/>
      <c r="CK81" s="6"/>
      <c r="CL81" s="6"/>
      <c r="CM81" s="6"/>
      <c r="CN81" s="254"/>
      <c r="CO81" s="6"/>
      <c r="CP81" s="6"/>
      <c r="CQ81" s="6"/>
      <c r="CR81" s="6"/>
      <c r="CS81" s="6"/>
      <c r="CT81" s="6"/>
      <c r="CU81" s="6"/>
      <c r="CV81" s="6"/>
      <c r="CW81" s="6"/>
      <c r="CX81" s="6"/>
      <c r="CY81" s="6"/>
      <c r="CZ81" s="6"/>
      <c r="DA81" s="6"/>
      <c r="DB81" s="6"/>
      <c r="DC81" s="6"/>
      <c r="DD81" s="6"/>
      <c r="DE81" s="6"/>
      <c r="DF81" s="6"/>
      <c r="DG81" s="6"/>
      <c r="DH81" s="6"/>
    </row>
    <row r="82" spans="1:112">
      <c r="A82" s="107" t="s">
        <v>1003</v>
      </c>
      <c r="B82" s="10">
        <f t="shared" ref="B82:AK82" si="115">B17/B56</f>
        <v>0.125</v>
      </c>
      <c r="C82" s="10">
        <f t="shared" si="115"/>
        <v>0.13125000000000001</v>
      </c>
      <c r="D82" s="10">
        <f t="shared" si="115"/>
        <v>0.1378125</v>
      </c>
      <c r="E82" s="10">
        <f t="shared" si="115"/>
        <v>0.14470312500000002</v>
      </c>
      <c r="F82" s="10">
        <f t="shared" si="115"/>
        <v>0.15193828125000003</v>
      </c>
      <c r="G82" s="10">
        <f t="shared" si="115"/>
        <v>0.15953519531250002</v>
      </c>
      <c r="H82" s="10">
        <f t="shared" si="115"/>
        <v>0.16751195507812505</v>
      </c>
      <c r="I82" s="10">
        <f t="shared" si="115"/>
        <v>0.17588755283203131</v>
      </c>
      <c r="J82" s="10">
        <f t="shared" si="115"/>
        <v>0.18468193047363288</v>
      </c>
      <c r="K82" s="10">
        <f t="shared" si="115"/>
        <v>0.19375000000000001</v>
      </c>
      <c r="L82" s="10">
        <f t="shared" si="115"/>
        <v>0.20343749999999999</v>
      </c>
      <c r="M82" s="10">
        <f t="shared" si="115"/>
        <v>0.25</v>
      </c>
      <c r="N82" s="10">
        <f t="shared" si="115"/>
        <v>0.375</v>
      </c>
      <c r="O82" s="10">
        <f t="shared" si="115"/>
        <v>0.375</v>
      </c>
      <c r="P82" s="10">
        <f t="shared" si="115"/>
        <v>0.38250000000000001</v>
      </c>
      <c r="Q82" s="10">
        <f t="shared" si="115"/>
        <v>0.39015000000000005</v>
      </c>
      <c r="R82" s="10">
        <f t="shared" si="115"/>
        <v>0.39795300000000006</v>
      </c>
      <c r="S82" s="10">
        <f t="shared" si="115"/>
        <v>0.43774830000000009</v>
      </c>
      <c r="T82" s="10">
        <f t="shared" si="115"/>
        <v>0.45963571500000011</v>
      </c>
      <c r="U82" s="10">
        <f t="shared" si="115"/>
        <v>0.59752642950000012</v>
      </c>
      <c r="V82" s="10">
        <f t="shared" si="115"/>
        <v>0.76483382976000025</v>
      </c>
      <c r="W82" s="10">
        <f t="shared" si="115"/>
        <v>1.2442839786880004</v>
      </c>
      <c r="X82" s="10">
        <f t="shared" si="115"/>
        <v>2.0926834927206408</v>
      </c>
      <c r="Y82" s="10">
        <f t="shared" si="115"/>
        <v>3.3530738611191815</v>
      </c>
      <c r="Z82" s="10">
        <f t="shared" si="115"/>
        <v>4.1723115877877852</v>
      </c>
      <c r="AA82" s="10">
        <f t="shared" si="115"/>
        <v>3.5534271671771749</v>
      </c>
      <c r="AB82" s="2938">
        <f t="shared" si="115"/>
        <v>3.2858606747631809</v>
      </c>
      <c r="AC82" s="2938">
        <f t="shared" si="115"/>
        <v>2.7315332365908453</v>
      </c>
      <c r="AD82" s="2938">
        <f t="shared" si="115"/>
        <v>2.8681098984203879</v>
      </c>
      <c r="AE82" s="2938">
        <f t="shared" si="115"/>
        <v>2.9971748438493053</v>
      </c>
      <c r="AF82" s="2938">
        <f t="shared" si="115"/>
        <v>3.1170618376032775</v>
      </c>
      <c r="AG82" s="2938">
        <f t="shared" si="115"/>
        <v>3.2261590019193918</v>
      </c>
      <c r="AH82" s="2938">
        <f t="shared" si="115"/>
        <v>3.3229437719769734</v>
      </c>
      <c r="AI82" s="2938">
        <f t="shared" si="115"/>
        <v>3.4060173662763971</v>
      </c>
      <c r="AJ82" s="2938">
        <f t="shared" si="115"/>
        <v>3.4741377136019254</v>
      </c>
      <c r="AK82" s="2938">
        <f t="shared" si="115"/>
        <v>3.5436204678739633</v>
      </c>
      <c r="AL82" s="2938">
        <f>AL17/AL56</f>
        <v>3.6144928772314429</v>
      </c>
      <c r="AM82" s="2938">
        <f>AM17/AM56</f>
        <v>3.6867827347760715</v>
      </c>
      <c r="AN82" s="2938">
        <f>AN17/AN56</f>
        <v>3.760518389471593</v>
      </c>
      <c r="AO82" s="10"/>
      <c r="AP82" s="10"/>
      <c r="AQ82" s="10"/>
      <c r="AR82" s="10"/>
      <c r="AS82" s="10"/>
      <c r="AT82" s="10"/>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254"/>
      <c r="BU82" s="6"/>
      <c r="BV82" s="6"/>
      <c r="BW82" s="6"/>
      <c r="BX82" s="6"/>
      <c r="BY82" s="254"/>
      <c r="BZ82" s="6"/>
      <c r="CA82" s="6"/>
      <c r="CB82" s="6"/>
      <c r="CC82" s="6"/>
      <c r="CD82" s="6"/>
      <c r="CE82" s="6"/>
      <c r="CF82" s="6"/>
      <c r="CG82" s="6"/>
      <c r="CH82" s="6"/>
      <c r="CI82" s="6"/>
      <c r="CJ82" s="6"/>
      <c r="CK82" s="6"/>
      <c r="CL82" s="6"/>
      <c r="CM82" s="6"/>
      <c r="CN82" s="254"/>
      <c r="CO82" s="6"/>
      <c r="CP82" s="6"/>
      <c r="CQ82" s="6"/>
      <c r="CR82" s="6"/>
      <c r="CS82" s="6"/>
      <c r="CT82" s="6"/>
      <c r="CU82" s="6"/>
      <c r="CV82" s="6"/>
      <c r="CW82" s="6"/>
      <c r="CX82" s="6"/>
      <c r="CY82" s="6"/>
      <c r="CZ82" s="6"/>
      <c r="DA82" s="6"/>
      <c r="DB82" s="6"/>
      <c r="DC82" s="6"/>
      <c r="DD82" s="6"/>
      <c r="DE82" s="6"/>
      <c r="DF82" s="6"/>
      <c r="DG82" s="6"/>
      <c r="DH82" s="6"/>
    </row>
    <row r="83" spans="1:112">
      <c r="A83" s="107"/>
      <c r="B83" s="6"/>
      <c r="C83" s="6"/>
      <c r="D83" s="6"/>
      <c r="E83" s="6"/>
      <c r="F83" s="6"/>
      <c r="G83" s="6"/>
      <c r="H83" s="6"/>
      <c r="I83" s="6"/>
      <c r="J83" s="6"/>
      <c r="K83" s="6"/>
      <c r="L83" s="6"/>
      <c r="M83" s="6"/>
      <c r="N83" s="6"/>
      <c r="O83" s="6"/>
      <c r="P83" s="6"/>
      <c r="Q83" s="6"/>
      <c r="R83" s="6"/>
      <c r="S83" s="6"/>
      <c r="T83" s="6"/>
      <c r="U83" s="6"/>
      <c r="V83" s="6"/>
      <c r="W83" s="6"/>
      <c r="X83" s="6"/>
      <c r="Y83" s="6"/>
      <c r="Z83" s="6"/>
      <c r="AA83" s="6"/>
      <c r="AB83" s="2862"/>
      <c r="AC83" s="2862"/>
      <c r="AD83" s="2862"/>
      <c r="AE83" s="2862"/>
      <c r="AF83" s="2862"/>
      <c r="AG83" s="2862"/>
      <c r="AH83" s="2862"/>
      <c r="AI83" s="2862"/>
      <c r="AJ83" s="2862"/>
      <c r="AK83" s="2862"/>
      <c r="AL83" s="2862"/>
      <c r="AM83" s="2862"/>
      <c r="AN83" s="2862"/>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254"/>
      <c r="BU83" s="6"/>
      <c r="BV83" s="6"/>
      <c r="BW83" s="6"/>
      <c r="BX83" s="6"/>
      <c r="BY83" s="254"/>
      <c r="BZ83" s="6"/>
      <c r="CA83" s="6"/>
      <c r="CB83" s="6"/>
      <c r="CC83" s="6"/>
      <c r="CD83" s="6"/>
      <c r="CE83" s="6"/>
      <c r="CF83" s="6"/>
      <c r="CG83" s="6"/>
      <c r="CH83" s="6"/>
      <c r="CI83" s="6"/>
      <c r="CJ83" s="6"/>
      <c r="CK83" s="6"/>
      <c r="CL83" s="6"/>
      <c r="CM83" s="6"/>
      <c r="CN83" s="254"/>
      <c r="CO83" s="6"/>
      <c r="CP83" s="6"/>
      <c r="CQ83" s="6"/>
      <c r="CR83" s="6"/>
      <c r="CS83" s="6"/>
      <c r="CT83" s="6"/>
      <c r="CU83" s="6"/>
      <c r="CV83" s="6"/>
      <c r="CW83" s="6"/>
      <c r="CX83" s="6"/>
      <c r="CY83" s="6"/>
      <c r="CZ83" s="6"/>
      <c r="DA83" s="6"/>
      <c r="DB83" s="6"/>
      <c r="DC83" s="6"/>
      <c r="DD83" s="6"/>
      <c r="DE83" s="6"/>
      <c r="DF83" s="6"/>
      <c r="DG83" s="6"/>
      <c r="DH83" s="6"/>
    </row>
    <row r="84" spans="1:112">
      <c r="A84" s="107"/>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c r="AE84" s="6"/>
      <c r="AF84" s="6"/>
      <c r="AG84" s="11"/>
      <c r="AH84" s="11"/>
      <c r="AI84" s="11"/>
      <c r="AJ84" s="11"/>
      <c r="AK84" s="11"/>
      <c r="AL84" s="11"/>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254"/>
      <c r="BU84" s="6"/>
      <c r="BV84" s="6"/>
      <c r="BW84" s="6"/>
      <c r="BX84" s="6"/>
      <c r="BY84" s="254"/>
      <c r="BZ84" s="6"/>
      <c r="CA84" s="6"/>
      <c r="CB84" s="6"/>
      <c r="CC84" s="6"/>
      <c r="CD84" s="6"/>
      <c r="CE84" s="6"/>
      <c r="CF84" s="6"/>
      <c r="CG84" s="6"/>
      <c r="CH84" s="6"/>
      <c r="CI84" s="6"/>
      <c r="CJ84" s="6"/>
      <c r="CK84" s="6"/>
      <c r="CL84" s="6"/>
      <c r="CM84" s="6"/>
      <c r="CN84" s="254"/>
      <c r="CO84" s="6"/>
      <c r="CP84" s="6"/>
      <c r="CQ84" s="6"/>
      <c r="CR84" s="6"/>
      <c r="CS84" s="6"/>
      <c r="CT84" s="6"/>
      <c r="CU84" s="6"/>
      <c r="CV84" s="6"/>
      <c r="CW84" s="6"/>
      <c r="CX84" s="6"/>
      <c r="CY84" s="6"/>
      <c r="CZ84" s="6"/>
      <c r="DA84" s="6"/>
      <c r="DB84" s="6"/>
      <c r="DC84" s="6"/>
      <c r="DD84" s="6"/>
      <c r="DE84" s="6"/>
      <c r="DF84" s="6"/>
      <c r="DG84" s="6"/>
      <c r="DH84" s="6"/>
    </row>
    <row r="85" spans="1:112">
      <c r="A85" s="107"/>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c r="AE85" s="6"/>
      <c r="AF85" s="6"/>
      <c r="AG85" s="11"/>
      <c r="AH85" s="11"/>
      <c r="AI85" s="11"/>
      <c r="AJ85" s="11"/>
      <c r="AK85" s="11"/>
      <c r="AL85" s="11"/>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254"/>
      <c r="BU85" s="6"/>
      <c r="BV85" s="6"/>
      <c r="BW85" s="6"/>
      <c r="BX85" s="6"/>
      <c r="BY85" s="254"/>
      <c r="BZ85" s="6"/>
      <c r="CA85" s="6"/>
      <c r="CB85" s="6"/>
      <c r="CC85" s="6"/>
      <c r="CD85" s="6"/>
      <c r="CE85" s="6"/>
      <c r="CF85" s="6"/>
      <c r="CG85" s="6"/>
      <c r="CH85" s="6"/>
      <c r="CI85" s="6"/>
      <c r="CJ85" s="6"/>
      <c r="CK85" s="6"/>
      <c r="CL85" s="6"/>
      <c r="CM85" s="6"/>
      <c r="CN85" s="254"/>
      <c r="CO85" s="6"/>
      <c r="CP85" s="6"/>
      <c r="CQ85" s="6"/>
      <c r="CR85" s="6"/>
      <c r="CS85" s="6"/>
      <c r="CT85" s="6"/>
      <c r="CU85" s="6"/>
      <c r="CV85" s="6"/>
      <c r="CW85" s="6"/>
      <c r="CX85" s="6"/>
      <c r="CY85" s="6"/>
      <c r="CZ85" s="6"/>
      <c r="DA85" s="6"/>
      <c r="DB85" s="6"/>
      <c r="DC85" s="6"/>
      <c r="DD85" s="6"/>
      <c r="DE85" s="6"/>
      <c r="DF85" s="6"/>
      <c r="DG85" s="6"/>
      <c r="DH85" s="6"/>
    </row>
    <row r="86" spans="1:112">
      <c r="A86" s="36" t="s">
        <v>65</v>
      </c>
      <c r="B86" s="6"/>
      <c r="C86" s="6"/>
      <c r="D86" s="6"/>
      <c r="E86" s="6"/>
      <c r="F86" s="6"/>
      <c r="G86" s="6"/>
      <c r="H86" s="6"/>
      <c r="I86" s="6"/>
      <c r="J86" s="6"/>
      <c r="K86" s="6"/>
      <c r="L86" s="6"/>
      <c r="M86" s="6"/>
      <c r="N86" s="6"/>
      <c r="O86" s="6"/>
      <c r="P86" s="6"/>
      <c r="Q86" s="6"/>
      <c r="R86" s="6"/>
      <c r="S86" s="6"/>
      <c r="T86" s="6"/>
      <c r="U86" s="6"/>
      <c r="V86" s="6"/>
      <c r="W86" s="6"/>
      <c r="X86" s="6"/>
      <c r="Y86" s="6"/>
      <c r="Z86" s="11"/>
      <c r="AA86" s="11"/>
      <c r="AB86" s="11"/>
      <c r="AC86" s="11"/>
      <c r="AD86" s="11"/>
      <c r="AE86" s="11"/>
      <c r="AF86" s="11"/>
      <c r="AG86" s="11"/>
      <c r="AH86" s="11"/>
      <c r="AI86" s="11"/>
      <c r="AJ86" s="11"/>
      <c r="AK86" s="11"/>
      <c r="AL86" s="11"/>
      <c r="AM86" s="11"/>
      <c r="AN86" s="11"/>
      <c r="AO86" s="11"/>
      <c r="AP86" s="11"/>
      <c r="AQ86" s="11"/>
      <c r="AR86" s="11"/>
      <c r="AS86" s="11"/>
      <c r="AT86" s="11"/>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c r="BU86" s="6"/>
      <c r="BV86" s="6"/>
      <c r="BW86" s="6"/>
      <c r="BX86" s="6"/>
      <c r="BY86" s="6"/>
      <c r="BZ86" s="6"/>
      <c r="CA86" s="6"/>
      <c r="CB86" s="6"/>
      <c r="CC86" s="6"/>
      <c r="CD86" s="6"/>
      <c r="CE86" s="6"/>
      <c r="CF86" s="6"/>
      <c r="CG86" s="6"/>
      <c r="CH86" s="6"/>
      <c r="CI86" s="6"/>
      <c r="CJ86" s="6"/>
      <c r="CK86" s="6"/>
      <c r="CL86" s="6"/>
      <c r="CM86" s="6"/>
      <c r="CN86" s="6"/>
      <c r="CO86" s="6"/>
      <c r="CP86" s="6"/>
      <c r="CQ86" s="11"/>
      <c r="CR86" s="6"/>
      <c r="CS86" s="6"/>
      <c r="CT86" s="6"/>
      <c r="CU86" s="6"/>
      <c r="CV86" s="11"/>
      <c r="CW86" s="6"/>
      <c r="CX86" s="6"/>
      <c r="CY86" s="6"/>
      <c r="CZ86" s="6"/>
      <c r="DA86" s="11"/>
      <c r="DB86" s="6"/>
      <c r="DC86" s="6"/>
      <c r="DD86" s="6"/>
      <c r="DE86" s="6"/>
      <c r="DF86" s="6"/>
      <c r="DG86" s="6"/>
      <c r="DH86" s="6"/>
    </row>
    <row r="87" spans="1:112">
      <c r="A87" s="295" t="s">
        <v>246</v>
      </c>
      <c r="B87" s="6"/>
      <c r="C87" s="6"/>
      <c r="D87" s="6"/>
      <c r="E87" s="6"/>
      <c r="F87" s="6"/>
      <c r="G87" s="6"/>
      <c r="H87" s="6"/>
      <c r="I87" s="6"/>
      <c r="J87" s="6"/>
      <c r="K87" s="6"/>
      <c r="L87" s="6"/>
      <c r="M87" s="6"/>
      <c r="N87" s="6"/>
      <c r="O87" s="6"/>
      <c r="P87" s="487"/>
      <c r="Q87" s="488">
        <f ca="1">FMV!B183</f>
        <v>4.6359932385549224E-2</v>
      </c>
      <c r="R87" s="298">
        <f t="shared" ref="R87:AA90" ca="1" si="116">+Q87</f>
        <v>4.6359932385549224E-2</v>
      </c>
      <c r="S87" s="298">
        <f t="shared" ca="1" si="116"/>
        <v>4.6359932385549224E-2</v>
      </c>
      <c r="T87" s="298">
        <f t="shared" ca="1" si="116"/>
        <v>4.6359932385549224E-2</v>
      </c>
      <c r="U87" s="298">
        <f t="shared" ca="1" si="116"/>
        <v>4.6359932385549224E-2</v>
      </c>
      <c r="V87" s="298">
        <f t="shared" ca="1" si="116"/>
        <v>4.6359932385549224E-2</v>
      </c>
      <c r="W87" s="298">
        <f t="shared" ca="1" si="116"/>
        <v>4.6359932385549224E-2</v>
      </c>
      <c r="X87" s="298">
        <f t="shared" ca="1" si="116"/>
        <v>4.6359932385549224E-2</v>
      </c>
      <c r="Y87" s="298">
        <f t="shared" ca="1" si="116"/>
        <v>4.6359932385549224E-2</v>
      </c>
      <c r="Z87" s="536">
        <f t="shared" ca="1" si="116"/>
        <v>4.6359932385549224E-2</v>
      </c>
      <c r="AA87" s="536">
        <f t="shared" ca="1" si="116"/>
        <v>4.6359932385549224E-2</v>
      </c>
      <c r="AB87" s="536">
        <f t="shared" ref="AB87:AC90" ca="1" si="117">+AA87</f>
        <v>4.6359932385549224E-2</v>
      </c>
      <c r="AC87" s="536">
        <f t="shared" ca="1" si="117"/>
        <v>4.6359932385549224E-2</v>
      </c>
      <c r="AD87" s="536">
        <f t="shared" ref="AD87:AE90" ca="1" si="118">+AC87</f>
        <v>4.6359932385549224E-2</v>
      </c>
      <c r="AE87" s="536">
        <f t="shared" ca="1" si="118"/>
        <v>4.6359932385549224E-2</v>
      </c>
      <c r="AF87" s="536">
        <f t="shared" ref="AF87:AH90" ca="1" si="119">+AE87</f>
        <v>4.6359932385549224E-2</v>
      </c>
      <c r="AG87" s="536">
        <f t="shared" ca="1" si="119"/>
        <v>4.6359932385549224E-2</v>
      </c>
      <c r="AH87" s="536">
        <f t="shared" ca="1" si="119"/>
        <v>4.6359932385549224E-2</v>
      </c>
      <c r="AI87" s="536">
        <f t="shared" ref="AI87:AN90" ca="1" si="120">+AH87</f>
        <v>4.6359932385549224E-2</v>
      </c>
      <c r="AJ87" s="536">
        <f t="shared" ca="1" si="120"/>
        <v>4.6359932385549224E-2</v>
      </c>
      <c r="AK87" s="536">
        <f t="shared" ca="1" si="120"/>
        <v>4.6359932385549224E-2</v>
      </c>
      <c r="AL87" s="536">
        <f t="shared" ca="1" si="120"/>
        <v>4.6359932385549224E-2</v>
      </c>
      <c r="AM87" s="536">
        <f t="shared" ca="1" si="120"/>
        <v>4.6359932385549224E-2</v>
      </c>
      <c r="AN87" s="536">
        <f t="shared" ca="1" si="120"/>
        <v>4.6359932385549224E-2</v>
      </c>
      <c r="AO87" s="536"/>
      <c r="AP87" s="536"/>
      <c r="AQ87" s="536"/>
      <c r="AR87" s="536"/>
      <c r="AS87" s="536"/>
      <c r="AT87" s="536"/>
      <c r="AU87" s="6"/>
      <c r="AV87" s="6"/>
      <c r="AW87" s="6"/>
      <c r="AX87" s="6"/>
      <c r="AY87" s="6"/>
      <c r="AZ87" s="6"/>
      <c r="BA87" s="6"/>
      <c r="BB87" s="6"/>
      <c r="BC87" s="6"/>
      <c r="BD87" s="6"/>
      <c r="BE87" s="6"/>
      <c r="BF87" s="6"/>
      <c r="BG87" s="6"/>
      <c r="BH87" s="6"/>
      <c r="BI87" s="6"/>
      <c r="BJ87" s="6"/>
      <c r="BK87" s="6"/>
      <c r="BL87" s="6"/>
      <c r="BM87" s="6"/>
      <c r="BN87" s="6"/>
      <c r="BO87" s="6"/>
      <c r="BP87" s="6"/>
      <c r="BQ87" s="6"/>
      <c r="BR87" s="6"/>
      <c r="BS87" s="6"/>
      <c r="BT87" s="6"/>
      <c r="BU87" s="6"/>
      <c r="BV87" s="6"/>
      <c r="BW87" s="6"/>
      <c r="BX87" s="6"/>
      <c r="BY87" s="6"/>
      <c r="BZ87" s="6"/>
      <c r="CA87" s="6"/>
      <c r="CB87" s="6"/>
      <c r="CC87" s="6"/>
      <c r="CD87" s="6"/>
      <c r="CE87" s="6"/>
      <c r="CF87" s="6"/>
      <c r="CG87" s="6"/>
      <c r="CH87" s="6"/>
      <c r="CI87" s="6"/>
      <c r="CJ87" s="6"/>
      <c r="CK87" s="6"/>
      <c r="CL87" s="6"/>
      <c r="CM87" s="6"/>
      <c r="CN87" s="6"/>
      <c r="CO87" s="6"/>
      <c r="CP87" s="6"/>
      <c r="CQ87" s="11"/>
      <c r="CR87" s="6"/>
      <c r="CS87" s="6"/>
      <c r="CT87" s="6"/>
      <c r="CU87" s="6"/>
      <c r="CV87" s="11"/>
      <c r="CW87" s="6"/>
      <c r="CX87" s="6"/>
      <c r="CY87" s="6"/>
      <c r="CZ87" s="6"/>
      <c r="DA87" s="11"/>
      <c r="DB87" s="6"/>
      <c r="DC87" s="6"/>
      <c r="DD87" s="6"/>
      <c r="DE87" s="6"/>
      <c r="DF87" s="6"/>
      <c r="DG87" s="6"/>
      <c r="DH87" s="6"/>
    </row>
    <row r="88" spans="1:112">
      <c r="A88" s="295" t="s">
        <v>247</v>
      </c>
      <c r="B88" s="6"/>
      <c r="C88" s="6"/>
      <c r="D88" s="6"/>
      <c r="E88" s="6"/>
      <c r="F88" s="6"/>
      <c r="G88" s="6"/>
      <c r="H88" s="6"/>
      <c r="I88" s="6"/>
      <c r="J88" s="6"/>
      <c r="K88" s="6"/>
      <c r="L88" s="6"/>
      <c r="M88" s="6"/>
      <c r="N88" s="6"/>
      <c r="O88" s="6"/>
      <c r="P88" s="487"/>
      <c r="Q88" s="488">
        <f>FMV!B184</f>
        <v>0.1</v>
      </c>
      <c r="R88" s="298">
        <f t="shared" si="116"/>
        <v>0.1</v>
      </c>
      <c r="S88" s="298">
        <f t="shared" si="116"/>
        <v>0.1</v>
      </c>
      <c r="T88" s="298">
        <f t="shared" si="116"/>
        <v>0.1</v>
      </c>
      <c r="U88" s="298">
        <f t="shared" si="116"/>
        <v>0.1</v>
      </c>
      <c r="V88" s="298">
        <f t="shared" si="116"/>
        <v>0.1</v>
      </c>
      <c r="W88" s="298">
        <f t="shared" si="116"/>
        <v>0.1</v>
      </c>
      <c r="X88" s="298">
        <f t="shared" si="116"/>
        <v>0.1</v>
      </c>
      <c r="Y88" s="298">
        <f t="shared" si="116"/>
        <v>0.1</v>
      </c>
      <c r="Z88" s="536">
        <f t="shared" si="116"/>
        <v>0.1</v>
      </c>
      <c r="AA88" s="536">
        <f t="shared" si="116"/>
        <v>0.1</v>
      </c>
      <c r="AB88" s="536">
        <f t="shared" si="117"/>
        <v>0.1</v>
      </c>
      <c r="AC88" s="536">
        <f t="shared" si="117"/>
        <v>0.1</v>
      </c>
      <c r="AD88" s="536">
        <f t="shared" si="118"/>
        <v>0.1</v>
      </c>
      <c r="AE88" s="536">
        <f t="shared" si="118"/>
        <v>0.1</v>
      </c>
      <c r="AF88" s="536">
        <f t="shared" si="119"/>
        <v>0.1</v>
      </c>
      <c r="AG88" s="536">
        <f t="shared" si="119"/>
        <v>0.1</v>
      </c>
      <c r="AH88" s="536">
        <f t="shared" si="119"/>
        <v>0.1</v>
      </c>
      <c r="AI88" s="536">
        <f t="shared" si="120"/>
        <v>0.1</v>
      </c>
      <c r="AJ88" s="536">
        <f t="shared" si="120"/>
        <v>0.1</v>
      </c>
      <c r="AK88" s="536">
        <f t="shared" si="120"/>
        <v>0.1</v>
      </c>
      <c r="AL88" s="536">
        <f t="shared" si="120"/>
        <v>0.1</v>
      </c>
      <c r="AM88" s="536">
        <f t="shared" si="120"/>
        <v>0.1</v>
      </c>
      <c r="AN88" s="536">
        <f t="shared" si="120"/>
        <v>0.1</v>
      </c>
      <c r="AO88" s="536"/>
      <c r="AP88" s="536"/>
      <c r="AQ88" s="536"/>
      <c r="AR88" s="536"/>
      <c r="AS88" s="536"/>
      <c r="AT88" s="536"/>
      <c r="AU88" s="6"/>
      <c r="AV88" s="6"/>
      <c r="AW88" s="6"/>
      <c r="AX88" s="6"/>
      <c r="AY88" s="6"/>
      <c r="AZ88" s="6"/>
      <c r="BA88" s="6"/>
      <c r="BB88" s="6"/>
      <c r="BC88" s="6"/>
      <c r="BD88" s="6"/>
      <c r="BE88" s="6"/>
      <c r="BF88" s="6"/>
      <c r="BG88" s="6"/>
      <c r="BH88" s="6"/>
      <c r="BI88" s="6"/>
      <c r="BJ88" s="6"/>
      <c r="BK88" s="6"/>
      <c r="BL88" s="6"/>
      <c r="BM88" s="6"/>
      <c r="BN88" s="6"/>
      <c r="BO88" s="6"/>
      <c r="BP88" s="6"/>
      <c r="BQ88" s="6"/>
      <c r="BR88" s="6"/>
      <c r="BS88" s="6"/>
      <c r="BT88" s="6"/>
      <c r="BU88" s="6"/>
      <c r="BV88" s="6"/>
      <c r="BW88" s="6"/>
      <c r="BX88" s="6"/>
      <c r="BY88" s="6"/>
      <c r="BZ88" s="6"/>
      <c r="CA88" s="6"/>
      <c r="CB88" s="6"/>
      <c r="CC88" s="6"/>
      <c r="CD88" s="6"/>
      <c r="CE88" s="6"/>
      <c r="CF88" s="6"/>
      <c r="CG88" s="6"/>
      <c r="CH88" s="6"/>
      <c r="CI88" s="6"/>
      <c r="CJ88" s="6"/>
      <c r="CK88" s="6"/>
      <c r="CL88" s="6"/>
      <c r="CM88" s="6"/>
      <c r="CN88" s="6"/>
      <c r="CO88" s="6"/>
      <c r="CP88" s="6"/>
      <c r="CQ88" s="11"/>
      <c r="CR88" s="6"/>
      <c r="CS88" s="6"/>
      <c r="CT88" s="6"/>
      <c r="CU88" s="6"/>
      <c r="CV88" s="11"/>
      <c r="CW88" s="6"/>
      <c r="CX88" s="6"/>
      <c r="CY88" s="6"/>
      <c r="CZ88" s="6"/>
      <c r="DA88" s="11"/>
      <c r="DB88" s="6"/>
      <c r="DC88" s="6"/>
      <c r="DD88" s="6"/>
      <c r="DE88" s="6"/>
      <c r="DF88" s="6"/>
      <c r="DG88" s="6"/>
      <c r="DH88" s="6"/>
    </row>
    <row r="89" spans="1:112">
      <c r="A89" s="295" t="s">
        <v>248</v>
      </c>
      <c r="B89" s="6"/>
      <c r="C89" s="6"/>
      <c r="D89" s="6"/>
      <c r="E89" s="6"/>
      <c r="F89" s="6"/>
      <c r="G89" s="6"/>
      <c r="H89" s="6"/>
      <c r="I89" s="6"/>
      <c r="J89" s="6"/>
      <c r="K89" s="6"/>
      <c r="L89" s="6"/>
      <c r="M89" s="6"/>
      <c r="N89" s="6"/>
      <c r="O89" s="6"/>
      <c r="P89" s="487"/>
      <c r="Q89" s="488">
        <f>FMV!B185</f>
        <v>0.3</v>
      </c>
      <c r="R89" s="298">
        <f t="shared" si="116"/>
        <v>0.3</v>
      </c>
      <c r="S89" s="298">
        <f t="shared" si="116"/>
        <v>0.3</v>
      </c>
      <c r="T89" s="298">
        <f t="shared" si="116"/>
        <v>0.3</v>
      </c>
      <c r="U89" s="298">
        <f t="shared" si="116"/>
        <v>0.3</v>
      </c>
      <c r="V89" s="298">
        <f t="shared" si="116"/>
        <v>0.3</v>
      </c>
      <c r="W89" s="298">
        <f t="shared" si="116"/>
        <v>0.3</v>
      </c>
      <c r="X89" s="298">
        <f t="shared" si="116"/>
        <v>0.3</v>
      </c>
      <c r="Y89" s="298">
        <f t="shared" si="116"/>
        <v>0.3</v>
      </c>
      <c r="Z89" s="536">
        <f t="shared" si="116"/>
        <v>0.3</v>
      </c>
      <c r="AA89" s="536">
        <f t="shared" si="116"/>
        <v>0.3</v>
      </c>
      <c r="AB89" s="536">
        <f t="shared" si="117"/>
        <v>0.3</v>
      </c>
      <c r="AC89" s="536">
        <f t="shared" si="117"/>
        <v>0.3</v>
      </c>
      <c r="AD89" s="536">
        <f t="shared" si="118"/>
        <v>0.3</v>
      </c>
      <c r="AE89" s="536">
        <f t="shared" si="118"/>
        <v>0.3</v>
      </c>
      <c r="AF89" s="536">
        <f t="shared" si="119"/>
        <v>0.3</v>
      </c>
      <c r="AG89" s="536">
        <f t="shared" si="119"/>
        <v>0.3</v>
      </c>
      <c r="AH89" s="536">
        <f t="shared" si="119"/>
        <v>0.3</v>
      </c>
      <c r="AI89" s="536">
        <f t="shared" si="120"/>
        <v>0.3</v>
      </c>
      <c r="AJ89" s="536">
        <f t="shared" si="120"/>
        <v>0.3</v>
      </c>
      <c r="AK89" s="536">
        <f t="shared" si="120"/>
        <v>0.3</v>
      </c>
      <c r="AL89" s="536">
        <f t="shared" si="120"/>
        <v>0.3</v>
      </c>
      <c r="AM89" s="536">
        <f t="shared" si="120"/>
        <v>0.3</v>
      </c>
      <c r="AN89" s="536">
        <f t="shared" si="120"/>
        <v>0.3</v>
      </c>
      <c r="AO89" s="536"/>
      <c r="AP89" s="536"/>
      <c r="AQ89" s="536"/>
      <c r="AR89" s="536"/>
      <c r="AS89" s="536"/>
      <c r="AT89" s="53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6"/>
      <c r="BX89" s="6"/>
      <c r="BY89" s="6"/>
      <c r="BZ89" s="6"/>
      <c r="CA89" s="6"/>
      <c r="CB89" s="6"/>
      <c r="CC89" s="6"/>
      <c r="CD89" s="6"/>
      <c r="CE89" s="6"/>
      <c r="CF89" s="6"/>
      <c r="CG89" s="6"/>
      <c r="CH89" s="6"/>
      <c r="CI89" s="6"/>
      <c r="CJ89" s="6"/>
      <c r="CK89" s="6"/>
      <c r="CL89" s="6"/>
      <c r="CM89" s="6"/>
      <c r="CN89" s="6"/>
      <c r="CO89" s="6"/>
      <c r="CP89" s="6"/>
      <c r="CQ89" s="11"/>
      <c r="CR89" s="6"/>
      <c r="CS89" s="6"/>
      <c r="CT89" s="6"/>
      <c r="CU89" s="6"/>
      <c r="CV89" s="11"/>
      <c r="CW89" s="6"/>
      <c r="CX89" s="6"/>
      <c r="CY89" s="6"/>
      <c r="CZ89" s="6"/>
      <c r="DA89" s="11"/>
      <c r="DB89" s="6"/>
      <c r="DC89" s="6"/>
      <c r="DD89" s="6"/>
      <c r="DE89" s="6"/>
      <c r="DF89" s="6"/>
      <c r="DG89" s="6"/>
      <c r="DH89" s="6"/>
    </row>
    <row r="90" spans="1:112">
      <c r="A90" s="295" t="s">
        <v>249</v>
      </c>
      <c r="B90" s="6"/>
      <c r="C90" s="6"/>
      <c r="D90" s="6"/>
      <c r="E90" s="6"/>
      <c r="F90" s="6"/>
      <c r="G90" s="6"/>
      <c r="H90" s="6"/>
      <c r="I90" s="6"/>
      <c r="J90" s="6"/>
      <c r="K90" s="6"/>
      <c r="L90" s="6"/>
      <c r="M90" s="6"/>
      <c r="N90" s="6"/>
      <c r="O90" s="6"/>
      <c r="P90" s="487"/>
      <c r="Q90" s="488">
        <f>FMV!B186</f>
        <v>0.245</v>
      </c>
      <c r="R90" s="298">
        <f t="shared" si="116"/>
        <v>0.245</v>
      </c>
      <c r="S90" s="298">
        <f t="shared" si="116"/>
        <v>0.245</v>
      </c>
      <c r="T90" s="298">
        <f t="shared" si="116"/>
        <v>0.245</v>
      </c>
      <c r="U90" s="298">
        <f t="shared" si="116"/>
        <v>0.245</v>
      </c>
      <c r="V90" s="298">
        <f t="shared" si="116"/>
        <v>0.245</v>
      </c>
      <c r="W90" s="298">
        <f t="shared" si="116"/>
        <v>0.245</v>
      </c>
      <c r="X90" s="298">
        <f t="shared" si="116"/>
        <v>0.245</v>
      </c>
      <c r="Y90" s="298">
        <f t="shared" si="116"/>
        <v>0.245</v>
      </c>
      <c r="Z90" s="536">
        <f t="shared" si="116"/>
        <v>0.245</v>
      </c>
      <c r="AA90" s="536">
        <f t="shared" si="116"/>
        <v>0.245</v>
      </c>
      <c r="AB90" s="536">
        <f t="shared" si="117"/>
        <v>0.245</v>
      </c>
      <c r="AC90" s="536">
        <f t="shared" si="117"/>
        <v>0.245</v>
      </c>
      <c r="AD90" s="536">
        <f t="shared" si="118"/>
        <v>0.245</v>
      </c>
      <c r="AE90" s="536">
        <f t="shared" si="118"/>
        <v>0.245</v>
      </c>
      <c r="AF90" s="536">
        <f t="shared" si="119"/>
        <v>0.245</v>
      </c>
      <c r="AG90" s="536">
        <f t="shared" si="119"/>
        <v>0.245</v>
      </c>
      <c r="AH90" s="536">
        <f t="shared" si="119"/>
        <v>0.245</v>
      </c>
      <c r="AI90" s="536">
        <f t="shared" si="120"/>
        <v>0.245</v>
      </c>
      <c r="AJ90" s="536">
        <f t="shared" si="120"/>
        <v>0.245</v>
      </c>
      <c r="AK90" s="536">
        <f t="shared" si="120"/>
        <v>0.245</v>
      </c>
      <c r="AL90" s="536">
        <f t="shared" si="120"/>
        <v>0.245</v>
      </c>
      <c r="AM90" s="536">
        <f t="shared" si="120"/>
        <v>0.245</v>
      </c>
      <c r="AN90" s="536">
        <f t="shared" si="120"/>
        <v>0.245</v>
      </c>
      <c r="AO90" s="536"/>
      <c r="AP90" s="536"/>
      <c r="AQ90" s="536"/>
      <c r="AR90" s="536"/>
      <c r="AS90" s="536"/>
      <c r="AT90" s="536"/>
      <c r="AU90" s="6"/>
      <c r="AV90" s="6"/>
      <c r="AW90" s="6"/>
      <c r="AX90" s="6"/>
      <c r="AY90" s="6"/>
      <c r="AZ90" s="6"/>
      <c r="BA90" s="6"/>
      <c r="BB90" s="6"/>
      <c r="BC90" s="6"/>
      <c r="BD90" s="6"/>
      <c r="BE90" s="6"/>
      <c r="BF90" s="6"/>
      <c r="BG90" s="6"/>
      <c r="BH90" s="6"/>
      <c r="BI90" s="6"/>
      <c r="BJ90" s="6"/>
      <c r="BK90" s="6"/>
      <c r="BL90" s="6"/>
      <c r="BM90" s="6"/>
      <c r="BN90" s="6"/>
      <c r="BO90" s="6"/>
      <c r="BP90" s="6"/>
      <c r="BQ90" s="6"/>
      <c r="BR90" s="6"/>
      <c r="BS90" s="6"/>
      <c r="BT90" s="6"/>
      <c r="BU90" s="6"/>
      <c r="BV90" s="6"/>
      <c r="BW90" s="6"/>
      <c r="BX90" s="6"/>
      <c r="BY90" s="6"/>
      <c r="BZ90" s="6"/>
      <c r="CA90" s="6"/>
      <c r="CB90" s="6"/>
      <c r="CC90" s="6"/>
      <c r="CD90" s="6"/>
      <c r="CE90" s="6"/>
      <c r="CF90" s="6"/>
      <c r="CG90" s="6"/>
      <c r="CH90" s="6"/>
      <c r="CI90" s="6"/>
      <c r="CJ90" s="6"/>
      <c r="CK90" s="6"/>
      <c r="CL90" s="6"/>
      <c r="CM90" s="6"/>
      <c r="CN90" s="6"/>
      <c r="CO90" s="6"/>
      <c r="CP90" s="6"/>
      <c r="CQ90" s="11"/>
      <c r="CR90" s="6"/>
      <c r="CS90" s="6"/>
      <c r="CT90" s="6"/>
      <c r="CU90" s="6"/>
      <c r="CV90" s="11"/>
      <c r="CW90" s="6"/>
      <c r="CX90" s="6"/>
      <c r="CY90" s="6"/>
      <c r="CZ90" s="6"/>
      <c r="DA90" s="11"/>
      <c r="DB90" s="6"/>
      <c r="DC90" s="6"/>
      <c r="DD90" s="6"/>
      <c r="DE90" s="6"/>
      <c r="DF90" s="6"/>
      <c r="DG90" s="6"/>
      <c r="DH90" s="6"/>
    </row>
    <row r="91" spans="1:112">
      <c r="A91" s="295" t="s">
        <v>250</v>
      </c>
      <c r="B91" s="6"/>
      <c r="C91" s="6"/>
      <c r="D91" s="6"/>
      <c r="E91" s="6"/>
      <c r="F91" s="6"/>
      <c r="G91" s="6"/>
      <c r="H91" s="6"/>
      <c r="I91" s="6"/>
      <c r="J91" s="6"/>
      <c r="K91" s="6"/>
      <c r="L91" s="6"/>
      <c r="M91" s="6"/>
      <c r="N91" s="6"/>
      <c r="O91" s="6"/>
      <c r="P91" s="298"/>
      <c r="Q91" s="298">
        <f t="shared" ref="Q91:AF91" ca="1" si="121">((Q87*(1-Q90)*Q89))+(Q88*(1-Q89))</f>
        <v>8.0500524685326896E-2</v>
      </c>
      <c r="R91" s="298">
        <f t="shared" ca="1" si="121"/>
        <v>8.0500524685326896E-2</v>
      </c>
      <c r="S91" s="298">
        <f t="shared" ca="1" si="121"/>
        <v>8.0500524685326896E-2</v>
      </c>
      <c r="T91" s="298">
        <f t="shared" ca="1" si="121"/>
        <v>8.0500524685326896E-2</v>
      </c>
      <c r="U91" s="298">
        <f t="shared" ca="1" si="121"/>
        <v>8.0500524685326896E-2</v>
      </c>
      <c r="V91" s="298">
        <f t="shared" ca="1" si="121"/>
        <v>8.0500524685326896E-2</v>
      </c>
      <c r="W91" s="298">
        <f t="shared" ca="1" si="121"/>
        <v>8.0500524685326896E-2</v>
      </c>
      <c r="X91" s="298">
        <f t="shared" ca="1" si="121"/>
        <v>8.0500524685326896E-2</v>
      </c>
      <c r="Y91" s="298">
        <f t="shared" ca="1" si="121"/>
        <v>8.0500524685326896E-2</v>
      </c>
      <c r="Z91" s="536">
        <f t="shared" ca="1" si="121"/>
        <v>8.0500524685326896E-2</v>
      </c>
      <c r="AA91" s="536">
        <f t="shared" ca="1" si="121"/>
        <v>8.0500524685326896E-2</v>
      </c>
      <c r="AB91" s="536">
        <f t="shared" ca="1" si="121"/>
        <v>8.0500524685326896E-2</v>
      </c>
      <c r="AC91" s="536">
        <f t="shared" ca="1" si="121"/>
        <v>8.0500524685326896E-2</v>
      </c>
      <c r="AD91" s="536">
        <f t="shared" ca="1" si="121"/>
        <v>8.0500524685326896E-2</v>
      </c>
      <c r="AE91" s="536">
        <f t="shared" ca="1" si="121"/>
        <v>8.0500524685326896E-2</v>
      </c>
      <c r="AF91" s="536">
        <f t="shared" ca="1" si="121"/>
        <v>8.0500524685326896E-2</v>
      </c>
      <c r="AG91" s="536">
        <f t="shared" ref="AG91:AL91" ca="1" si="122">((AG87*(1-AG90)*AG89))+(AG88*(1-AG89))</f>
        <v>8.0500524685326896E-2</v>
      </c>
      <c r="AH91" s="536">
        <f t="shared" ca="1" si="122"/>
        <v>8.0500524685326896E-2</v>
      </c>
      <c r="AI91" s="536">
        <f t="shared" ca="1" si="122"/>
        <v>8.0500524685326896E-2</v>
      </c>
      <c r="AJ91" s="536">
        <f t="shared" ca="1" si="122"/>
        <v>8.0500524685326896E-2</v>
      </c>
      <c r="AK91" s="536">
        <f t="shared" ca="1" si="122"/>
        <v>8.0500524685326896E-2</v>
      </c>
      <c r="AL91" s="536">
        <f t="shared" ca="1" si="122"/>
        <v>8.0500524685326896E-2</v>
      </c>
      <c r="AM91" s="536">
        <f ca="1">((AM87*(1-AM90)*AM89))+(AM88*(1-AM89))</f>
        <v>8.0500524685326896E-2</v>
      </c>
      <c r="AN91" s="536">
        <f ca="1">((AN87*(1-AN90)*AN89))+(AN88*(1-AN89))</f>
        <v>8.0500524685326896E-2</v>
      </c>
      <c r="AO91" s="536"/>
      <c r="AP91" s="536"/>
      <c r="AQ91" s="536"/>
      <c r="AR91" s="536"/>
      <c r="AS91" s="536"/>
      <c r="AT91" s="53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c r="BU91" s="6"/>
      <c r="BV91" s="6"/>
      <c r="BW91" s="6"/>
      <c r="BX91" s="6"/>
      <c r="BY91" s="6"/>
      <c r="BZ91" s="6"/>
      <c r="CA91" s="6"/>
      <c r="CB91" s="6"/>
      <c r="CC91" s="6"/>
      <c r="CD91" s="6"/>
      <c r="CE91" s="6"/>
      <c r="CF91" s="6"/>
      <c r="CG91" s="6"/>
      <c r="CH91" s="6"/>
      <c r="CI91" s="6"/>
      <c r="CJ91" s="6"/>
      <c r="CK91" s="6"/>
      <c r="CL91" s="6"/>
      <c r="CM91" s="6"/>
      <c r="CN91" s="6"/>
      <c r="CO91" s="6"/>
      <c r="CP91" s="6"/>
      <c r="CQ91" s="11"/>
      <c r="CR91" s="6"/>
      <c r="CS91" s="6"/>
      <c r="CT91" s="6"/>
      <c r="CU91" s="6"/>
      <c r="CV91" s="11"/>
      <c r="CW91" s="6"/>
      <c r="CX91" s="6"/>
      <c r="CY91" s="6"/>
      <c r="CZ91" s="6"/>
      <c r="DA91" s="11"/>
      <c r="DB91" s="6"/>
      <c r="DC91" s="6"/>
      <c r="DD91" s="6"/>
      <c r="DE91" s="6"/>
      <c r="DF91" s="6"/>
      <c r="DG91" s="6"/>
      <c r="DH91" s="6"/>
    </row>
    <row r="92" spans="1:112">
      <c r="A92" s="295" t="s">
        <v>251</v>
      </c>
      <c r="B92" s="6"/>
      <c r="C92" s="6"/>
      <c r="D92" s="6"/>
      <c r="E92" s="6"/>
      <c r="F92" s="6"/>
      <c r="G92" s="6"/>
      <c r="H92" s="6"/>
      <c r="I92" s="6"/>
      <c r="J92" s="6"/>
      <c r="K92" s="6"/>
      <c r="L92" s="6"/>
      <c r="M92" s="6"/>
      <c r="N92" s="6"/>
      <c r="O92" s="6"/>
      <c r="P92" s="487"/>
      <c r="Q92" s="488">
        <f>FMV!B188</f>
        <v>0.02</v>
      </c>
      <c r="R92" s="298">
        <f t="shared" ref="R92:AA92" si="123">+Q92</f>
        <v>0.02</v>
      </c>
      <c r="S92" s="298">
        <f t="shared" si="123"/>
        <v>0.02</v>
      </c>
      <c r="T92" s="298">
        <f t="shared" si="123"/>
        <v>0.02</v>
      </c>
      <c r="U92" s="298">
        <f t="shared" si="123"/>
        <v>0.02</v>
      </c>
      <c r="V92" s="298">
        <f t="shared" si="123"/>
        <v>0.02</v>
      </c>
      <c r="W92" s="298">
        <f t="shared" si="123"/>
        <v>0.02</v>
      </c>
      <c r="X92" s="298">
        <f t="shared" si="123"/>
        <v>0.02</v>
      </c>
      <c r="Y92" s="298">
        <f t="shared" si="123"/>
        <v>0.02</v>
      </c>
      <c r="Z92" s="536">
        <f t="shared" si="123"/>
        <v>0.02</v>
      </c>
      <c r="AA92" s="536">
        <f t="shared" si="123"/>
        <v>0.02</v>
      </c>
      <c r="AB92" s="536">
        <f t="shared" ref="AB92:AH92" si="124">+AA92</f>
        <v>0.02</v>
      </c>
      <c r="AC92" s="536">
        <f t="shared" si="124"/>
        <v>0.02</v>
      </c>
      <c r="AD92" s="536">
        <f t="shared" si="124"/>
        <v>0.02</v>
      </c>
      <c r="AE92" s="536">
        <f t="shared" si="124"/>
        <v>0.02</v>
      </c>
      <c r="AF92" s="536">
        <f t="shared" si="124"/>
        <v>0.02</v>
      </c>
      <c r="AG92" s="536">
        <f t="shared" si="124"/>
        <v>0.02</v>
      </c>
      <c r="AH92" s="536">
        <f t="shared" si="124"/>
        <v>0.02</v>
      </c>
      <c r="AI92" s="536">
        <f t="shared" ref="AI92:AN92" si="125">+AH92</f>
        <v>0.02</v>
      </c>
      <c r="AJ92" s="536">
        <f t="shared" si="125"/>
        <v>0.02</v>
      </c>
      <c r="AK92" s="536">
        <f t="shared" si="125"/>
        <v>0.02</v>
      </c>
      <c r="AL92" s="536">
        <f t="shared" si="125"/>
        <v>0.02</v>
      </c>
      <c r="AM92" s="536">
        <f t="shared" si="125"/>
        <v>0.02</v>
      </c>
      <c r="AN92" s="536">
        <f t="shared" si="125"/>
        <v>0.02</v>
      </c>
      <c r="AO92" s="536"/>
      <c r="AP92" s="536"/>
      <c r="AQ92" s="536"/>
      <c r="AR92" s="536"/>
      <c r="AS92" s="536"/>
      <c r="AT92" s="53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c r="CN92" s="6"/>
      <c r="CO92" s="6"/>
      <c r="CP92" s="6"/>
      <c r="CQ92" s="11"/>
      <c r="CR92" s="6"/>
      <c r="CS92" s="6"/>
      <c r="CT92" s="6"/>
      <c r="CU92" s="6"/>
      <c r="CV92" s="11"/>
      <c r="CW92" s="6"/>
      <c r="CX92" s="6"/>
      <c r="CY92" s="6"/>
      <c r="CZ92" s="6"/>
      <c r="DA92" s="11"/>
      <c r="DB92" s="6"/>
      <c r="DC92" s="6"/>
      <c r="DD92" s="6"/>
      <c r="DE92" s="6"/>
      <c r="DF92" s="6"/>
      <c r="DG92" s="6"/>
      <c r="DH92" s="6"/>
    </row>
    <row r="93" spans="1:112">
      <c r="A93" s="295"/>
      <c r="B93" s="6"/>
      <c r="C93" s="6"/>
      <c r="D93" s="6"/>
      <c r="E93" s="6"/>
      <c r="F93" s="6"/>
      <c r="G93" s="6"/>
      <c r="H93" s="6"/>
      <c r="I93" s="6"/>
      <c r="J93" s="6"/>
      <c r="K93" s="6"/>
      <c r="L93" s="6"/>
      <c r="M93" s="6"/>
      <c r="N93" s="6"/>
      <c r="O93" s="6"/>
      <c r="P93" s="487"/>
      <c r="Q93" s="6"/>
      <c r="R93" s="6"/>
      <c r="S93" s="6"/>
      <c r="T93" s="6"/>
      <c r="U93" s="6"/>
      <c r="V93" s="6"/>
      <c r="W93" s="6"/>
      <c r="X93" s="6"/>
      <c r="Y93" s="6"/>
      <c r="Z93" s="11"/>
      <c r="AA93" s="11"/>
      <c r="AB93" s="11"/>
      <c r="AC93" s="11"/>
      <c r="AD93" s="11"/>
      <c r="AE93" s="11"/>
      <c r="AF93" s="11"/>
      <c r="AG93" s="11"/>
      <c r="AH93" s="11"/>
      <c r="AI93" s="11"/>
      <c r="AJ93" s="11"/>
      <c r="AK93" s="11"/>
      <c r="AL93" s="11"/>
      <c r="AM93" s="11"/>
      <c r="AN93" s="11"/>
      <c r="AO93" s="11"/>
      <c r="AP93" s="11"/>
      <c r="AQ93" s="11"/>
      <c r="AR93" s="11"/>
      <c r="AS93" s="11"/>
      <c r="AT93" s="11"/>
      <c r="AU93" s="6"/>
      <c r="AV93" s="6"/>
      <c r="AW93" s="6"/>
      <c r="AX93" s="6"/>
      <c r="AY93" s="6"/>
      <c r="AZ93" s="6"/>
      <c r="BA93" s="6"/>
      <c r="BB93" s="6"/>
      <c r="BC93" s="6"/>
      <c r="BD93" s="6"/>
      <c r="BE93" s="6"/>
      <c r="BF93" s="6"/>
      <c r="BG93" s="6"/>
      <c r="BH93" s="6"/>
      <c r="BI93" s="6"/>
      <c r="BJ93" s="6"/>
      <c r="BK93" s="6"/>
      <c r="BL93" s="6"/>
      <c r="BM93" s="6"/>
      <c r="BN93" s="6"/>
      <c r="BO93" s="6"/>
      <c r="BP93" s="6"/>
      <c r="BQ93" s="6"/>
      <c r="BR93" s="6"/>
      <c r="BS93" s="6"/>
      <c r="BT93" s="6"/>
      <c r="BU93" s="6"/>
      <c r="BV93" s="6"/>
      <c r="BW93" s="6"/>
      <c r="BX93" s="6"/>
      <c r="BY93" s="6"/>
      <c r="BZ93" s="6"/>
      <c r="CA93" s="6"/>
      <c r="CB93" s="6"/>
      <c r="CC93" s="6"/>
      <c r="CD93" s="6"/>
      <c r="CE93" s="6"/>
      <c r="CF93" s="6"/>
      <c r="CG93" s="6"/>
      <c r="CH93" s="6"/>
      <c r="CI93" s="6"/>
      <c r="CJ93" s="6"/>
      <c r="CK93" s="6"/>
      <c r="CL93" s="6"/>
      <c r="CM93" s="6"/>
      <c r="CN93" s="6"/>
      <c r="CO93" s="6"/>
      <c r="CP93" s="6"/>
      <c r="CQ93" s="11"/>
      <c r="CR93" s="6"/>
      <c r="CS93" s="6"/>
      <c r="CT93" s="6"/>
      <c r="CU93" s="6"/>
      <c r="CV93" s="11"/>
      <c r="CW93" s="6"/>
      <c r="CX93" s="6"/>
      <c r="CY93" s="6"/>
      <c r="CZ93" s="6"/>
      <c r="DA93" s="11"/>
      <c r="DB93" s="6"/>
      <c r="DC93" s="6"/>
      <c r="DD93" s="6"/>
      <c r="DE93" s="6"/>
      <c r="DF93" s="6"/>
      <c r="DG93" s="6"/>
      <c r="DH93" s="6"/>
    </row>
    <row r="94" spans="1:112">
      <c r="A94" s="295" t="s">
        <v>53</v>
      </c>
      <c r="B94" s="6"/>
      <c r="C94" s="6"/>
      <c r="D94" s="6"/>
      <c r="E94" s="6"/>
      <c r="F94" s="6"/>
      <c r="G94" s="6"/>
      <c r="H94" s="6"/>
      <c r="I94" s="6"/>
      <c r="J94" s="6"/>
      <c r="K94" s="6"/>
      <c r="L94" s="6"/>
      <c r="M94" s="6"/>
      <c r="N94" s="6"/>
      <c r="O94" s="6"/>
      <c r="P94" s="487"/>
      <c r="Q94" s="2887">
        <f>AN28*(1+Q92)</f>
        <v>1523.1554589424929</v>
      </c>
      <c r="R94" s="489">
        <f t="shared" ref="R94:AA96" si="126">+Q94</f>
        <v>1523.1554589424929</v>
      </c>
      <c r="S94" s="489">
        <f t="shared" si="126"/>
        <v>1523.1554589424929</v>
      </c>
      <c r="T94" s="489">
        <f t="shared" si="126"/>
        <v>1523.1554589424929</v>
      </c>
      <c r="U94" s="489">
        <f t="shared" si="126"/>
        <v>1523.1554589424929</v>
      </c>
      <c r="V94" s="489">
        <f t="shared" si="126"/>
        <v>1523.1554589424929</v>
      </c>
      <c r="W94" s="489">
        <f t="shared" si="126"/>
        <v>1523.1554589424929</v>
      </c>
      <c r="X94" s="489">
        <f t="shared" si="126"/>
        <v>1523.1554589424929</v>
      </c>
      <c r="Y94" s="489">
        <f t="shared" si="126"/>
        <v>1523.1554589424929</v>
      </c>
      <c r="Z94" s="181">
        <f t="shared" si="126"/>
        <v>1523.1554589424929</v>
      </c>
      <c r="AA94" s="181">
        <f t="shared" si="126"/>
        <v>1523.1554589424929</v>
      </c>
      <c r="AB94" s="181">
        <f t="shared" ref="AB94:AC96" si="127">+AA94</f>
        <v>1523.1554589424929</v>
      </c>
      <c r="AC94" s="181">
        <f t="shared" si="127"/>
        <v>1523.1554589424929</v>
      </c>
      <c r="AD94" s="181">
        <f t="shared" ref="AD94:AE96" si="128">+AC94</f>
        <v>1523.1554589424929</v>
      </c>
      <c r="AE94" s="181">
        <f t="shared" si="128"/>
        <v>1523.1554589424929</v>
      </c>
      <c r="AF94" s="181">
        <f t="shared" ref="AF94:AH96" si="129">+AE94</f>
        <v>1523.1554589424929</v>
      </c>
      <c r="AG94" s="181">
        <f t="shared" si="129"/>
        <v>1523.1554589424929</v>
      </c>
      <c r="AH94" s="181">
        <f t="shared" si="129"/>
        <v>1523.1554589424929</v>
      </c>
      <c r="AI94" s="181">
        <f t="shared" ref="AI94:AN96" si="130">+AH94</f>
        <v>1523.1554589424929</v>
      </c>
      <c r="AJ94" s="181">
        <f t="shared" si="130"/>
        <v>1523.1554589424929</v>
      </c>
      <c r="AK94" s="181">
        <f t="shared" si="130"/>
        <v>1523.1554589424929</v>
      </c>
      <c r="AL94" s="181">
        <f t="shared" si="130"/>
        <v>1523.1554589424929</v>
      </c>
      <c r="AM94" s="181">
        <f t="shared" si="130"/>
        <v>1523.1554589424929</v>
      </c>
      <c r="AN94" s="181">
        <f t="shared" si="130"/>
        <v>1523.1554589424929</v>
      </c>
      <c r="AO94" s="181"/>
      <c r="AP94" s="181"/>
      <c r="AQ94" s="181"/>
      <c r="AR94" s="181"/>
      <c r="AS94" s="181"/>
      <c r="AT94" s="181"/>
      <c r="AU94" s="6"/>
      <c r="AV94" s="6"/>
      <c r="AW94" s="6"/>
      <c r="AX94" s="6"/>
      <c r="AY94" s="6"/>
      <c r="AZ94" s="6"/>
      <c r="BA94" s="6"/>
      <c r="BB94" s="38"/>
      <c r="BC94" s="38"/>
      <c r="BD94" s="6"/>
      <c r="BE94" s="6"/>
      <c r="BF94" s="6"/>
      <c r="BG94" s="6"/>
      <c r="BH94" s="6"/>
      <c r="BI94" s="6"/>
      <c r="BJ94" s="6"/>
      <c r="BK94" s="6"/>
      <c r="BL94" s="6"/>
      <c r="BM94" s="6"/>
      <c r="BN94" s="6"/>
      <c r="BO94" s="6"/>
      <c r="BP94" s="6"/>
      <c r="BQ94" s="6"/>
      <c r="BR94" s="6"/>
      <c r="BS94" s="6"/>
      <c r="BT94" s="6"/>
      <c r="BU94" s="6"/>
      <c r="BV94" s="6"/>
      <c r="BW94" s="6"/>
      <c r="BX94" s="6"/>
      <c r="BY94" s="6"/>
      <c r="BZ94" s="6"/>
      <c r="CA94" s="6"/>
      <c r="CB94" s="6"/>
      <c r="CC94" s="6"/>
      <c r="CD94" s="6"/>
      <c r="CE94" s="6"/>
      <c r="CF94" s="6"/>
      <c r="CG94" s="6"/>
      <c r="CH94" s="6"/>
      <c r="CI94" s="6"/>
      <c r="CJ94" s="6"/>
      <c r="CK94" s="6"/>
      <c r="CL94" s="6"/>
      <c r="CM94" s="6"/>
      <c r="CN94" s="6"/>
      <c r="CO94" s="6"/>
      <c r="CP94" s="6"/>
      <c r="CQ94" s="11"/>
      <c r="CR94" s="6"/>
      <c r="CS94" s="6"/>
      <c r="CT94" s="6"/>
      <c r="CU94" s="6"/>
      <c r="CV94" s="11"/>
      <c r="CW94" s="6"/>
      <c r="CX94" s="6"/>
      <c r="CY94" s="6"/>
      <c r="CZ94" s="6"/>
      <c r="DA94" s="11"/>
      <c r="DB94" s="6"/>
      <c r="DC94" s="6"/>
      <c r="DD94" s="6"/>
      <c r="DE94" s="6"/>
      <c r="DF94" s="6"/>
      <c r="DG94" s="6"/>
      <c r="DH94" s="6"/>
    </row>
    <row r="95" spans="1:112">
      <c r="A95" s="490" t="s">
        <v>54</v>
      </c>
      <c r="B95" s="6"/>
      <c r="C95" s="6"/>
      <c r="D95" s="6"/>
      <c r="E95" s="6"/>
      <c r="F95" s="6"/>
      <c r="G95" s="6"/>
      <c r="H95" s="6"/>
      <c r="I95" s="6"/>
      <c r="J95" s="6"/>
      <c r="K95" s="6"/>
      <c r="L95" s="6"/>
      <c r="M95" s="6"/>
      <c r="N95" s="6"/>
      <c r="O95" s="6"/>
      <c r="P95" s="487"/>
      <c r="Q95" s="2887">
        <f ca="1">AN41*(1+Q92)</f>
        <v>365.14493449569972</v>
      </c>
      <c r="R95" s="489">
        <f t="shared" ca="1" si="126"/>
        <v>365.14493449569972</v>
      </c>
      <c r="S95" s="489">
        <f t="shared" ca="1" si="126"/>
        <v>365.14493449569972</v>
      </c>
      <c r="T95" s="489">
        <f t="shared" ca="1" si="126"/>
        <v>365.14493449569972</v>
      </c>
      <c r="U95" s="489">
        <f t="shared" ca="1" si="126"/>
        <v>365.14493449569972</v>
      </c>
      <c r="V95" s="489">
        <f t="shared" ca="1" si="126"/>
        <v>365.14493449569972</v>
      </c>
      <c r="W95" s="489">
        <f t="shared" ca="1" si="126"/>
        <v>365.14493449569972</v>
      </c>
      <c r="X95" s="489">
        <f t="shared" ca="1" si="126"/>
        <v>365.14493449569972</v>
      </c>
      <c r="Y95" s="489">
        <f t="shared" ca="1" si="126"/>
        <v>365.14493449569972</v>
      </c>
      <c r="Z95" s="181">
        <f t="shared" ca="1" si="126"/>
        <v>365.14493449569972</v>
      </c>
      <c r="AA95" s="181">
        <f t="shared" ca="1" si="126"/>
        <v>365.14493449569972</v>
      </c>
      <c r="AB95" s="181">
        <f t="shared" ca="1" si="127"/>
        <v>365.14493449569972</v>
      </c>
      <c r="AC95" s="181">
        <f ca="1">+AB95</f>
        <v>365.14493449569972</v>
      </c>
      <c r="AD95" s="181">
        <f t="shared" ca="1" si="128"/>
        <v>365.14493449569972</v>
      </c>
      <c r="AE95" s="181">
        <f t="shared" ca="1" si="128"/>
        <v>365.14493449569972</v>
      </c>
      <c r="AF95" s="181">
        <f t="shared" ca="1" si="129"/>
        <v>365.14493449569972</v>
      </c>
      <c r="AG95" s="181">
        <f t="shared" ca="1" si="129"/>
        <v>365.14493449569972</v>
      </c>
      <c r="AH95" s="181">
        <f t="shared" ca="1" si="129"/>
        <v>365.14493449569972</v>
      </c>
      <c r="AI95" s="181">
        <f t="shared" ca="1" si="130"/>
        <v>365.14493449569972</v>
      </c>
      <c r="AJ95" s="181">
        <f t="shared" ca="1" si="130"/>
        <v>365.14493449569972</v>
      </c>
      <c r="AK95" s="181">
        <f t="shared" ca="1" si="130"/>
        <v>365.14493449569972</v>
      </c>
      <c r="AL95" s="181">
        <f t="shared" ca="1" si="130"/>
        <v>365.14493449569972</v>
      </c>
      <c r="AM95" s="181">
        <f t="shared" ca="1" si="130"/>
        <v>365.14493449569972</v>
      </c>
      <c r="AN95" s="181">
        <f t="shared" ca="1" si="130"/>
        <v>365.14493449569972</v>
      </c>
      <c r="AO95" s="181"/>
      <c r="AP95" s="181"/>
      <c r="AQ95" s="181"/>
      <c r="AR95" s="181"/>
      <c r="AS95" s="181"/>
      <c r="AT95" s="181"/>
      <c r="AU95" s="6"/>
      <c r="AV95" s="6"/>
      <c r="AW95" s="6"/>
      <c r="AX95" s="6"/>
      <c r="AY95" s="6"/>
      <c r="AZ95" s="6"/>
      <c r="BA95" s="6"/>
      <c r="BB95" s="38"/>
      <c r="BC95" s="38"/>
      <c r="BD95" s="6"/>
      <c r="BE95" s="6"/>
      <c r="BF95" s="6"/>
      <c r="BG95" s="6"/>
      <c r="BH95" s="6"/>
      <c r="BI95" s="6"/>
      <c r="BJ95" s="6"/>
      <c r="BK95" s="6"/>
      <c r="BL95" s="6"/>
      <c r="BM95" s="6"/>
      <c r="BN95" s="6"/>
      <c r="BO95" s="6"/>
      <c r="BP95" s="6"/>
      <c r="BQ95" s="6"/>
      <c r="BR95" s="6"/>
      <c r="BS95" s="6"/>
      <c r="BT95" s="6"/>
      <c r="BU95" s="6"/>
      <c r="BV95" s="6"/>
      <c r="BW95" s="6"/>
      <c r="BX95" s="6"/>
      <c r="BY95" s="6"/>
      <c r="BZ95" s="6"/>
      <c r="CA95" s="6"/>
      <c r="CB95" s="6"/>
      <c r="CC95" s="6"/>
      <c r="CD95" s="6"/>
      <c r="CE95" s="6"/>
      <c r="CF95" s="6"/>
      <c r="CG95" s="6"/>
      <c r="CH95" s="6"/>
      <c r="CI95" s="6"/>
      <c r="CJ95" s="6"/>
      <c r="CK95" s="6"/>
      <c r="CL95" s="6"/>
      <c r="CM95" s="6"/>
      <c r="CN95" s="6"/>
      <c r="CO95" s="6"/>
      <c r="CP95" s="6"/>
      <c r="CQ95" s="11"/>
      <c r="CR95" s="6"/>
      <c r="CS95" s="6"/>
      <c r="CT95" s="6"/>
      <c r="CU95" s="6"/>
      <c r="CV95" s="11"/>
      <c r="CW95" s="6"/>
      <c r="CX95" s="6"/>
      <c r="CY95" s="6"/>
      <c r="CZ95" s="6"/>
      <c r="DA95" s="11"/>
      <c r="DB95" s="6"/>
      <c r="DC95" s="6"/>
      <c r="DD95" s="6"/>
      <c r="DE95" s="6"/>
      <c r="DF95" s="6"/>
      <c r="DG95" s="6"/>
      <c r="DH95" s="6"/>
    </row>
    <row r="96" spans="1:112">
      <c r="A96" s="490" t="s">
        <v>67</v>
      </c>
      <c r="B96" s="6"/>
      <c r="C96" s="6"/>
      <c r="D96" s="6"/>
      <c r="E96" s="6"/>
      <c r="F96" s="6"/>
      <c r="G96" s="6"/>
      <c r="H96" s="6"/>
      <c r="I96" s="6"/>
      <c r="J96" s="6"/>
      <c r="K96" s="6"/>
      <c r="L96" s="6"/>
      <c r="M96" s="6"/>
      <c r="N96" s="6"/>
      <c r="O96" s="6"/>
      <c r="P96" s="51"/>
      <c r="Q96" s="3303">
        <f>AN38*(1+Q92)</f>
        <v>32.727132980703367</v>
      </c>
      <c r="R96" s="491">
        <f t="shared" si="126"/>
        <v>32.727132980703367</v>
      </c>
      <c r="S96" s="1124">
        <f t="shared" si="126"/>
        <v>32.727132980703367</v>
      </c>
      <c r="T96" s="1124">
        <f t="shared" si="126"/>
        <v>32.727132980703367</v>
      </c>
      <c r="U96" s="1124">
        <f t="shared" si="126"/>
        <v>32.727132980703367</v>
      </c>
      <c r="V96" s="1124">
        <f t="shared" si="126"/>
        <v>32.727132980703367</v>
      </c>
      <c r="W96" s="1124">
        <f t="shared" si="126"/>
        <v>32.727132980703367</v>
      </c>
      <c r="X96" s="1124">
        <f t="shared" si="126"/>
        <v>32.727132980703367</v>
      </c>
      <c r="Y96" s="1124">
        <f t="shared" si="126"/>
        <v>32.727132980703367</v>
      </c>
      <c r="Z96" s="1009">
        <f t="shared" si="126"/>
        <v>32.727132980703367</v>
      </c>
      <c r="AA96" s="1009">
        <f t="shared" si="126"/>
        <v>32.727132980703367</v>
      </c>
      <c r="AB96" s="1009">
        <f t="shared" si="127"/>
        <v>32.727132980703367</v>
      </c>
      <c r="AC96" s="1009">
        <f t="shared" si="127"/>
        <v>32.727132980703367</v>
      </c>
      <c r="AD96" s="1009">
        <f t="shared" si="128"/>
        <v>32.727132980703367</v>
      </c>
      <c r="AE96" s="1009">
        <f t="shared" si="128"/>
        <v>32.727132980703367</v>
      </c>
      <c r="AF96" s="1009">
        <f t="shared" si="129"/>
        <v>32.727132980703367</v>
      </c>
      <c r="AG96" s="1009">
        <f t="shared" si="129"/>
        <v>32.727132980703367</v>
      </c>
      <c r="AH96" s="1009">
        <f t="shared" si="129"/>
        <v>32.727132980703367</v>
      </c>
      <c r="AI96" s="1009">
        <f t="shared" si="130"/>
        <v>32.727132980703367</v>
      </c>
      <c r="AJ96" s="1009">
        <f t="shared" si="130"/>
        <v>32.727132980703367</v>
      </c>
      <c r="AK96" s="1009">
        <f t="shared" si="130"/>
        <v>32.727132980703367</v>
      </c>
      <c r="AL96" s="1009">
        <f t="shared" si="130"/>
        <v>32.727132980703367</v>
      </c>
      <c r="AM96" s="1009">
        <f t="shared" si="130"/>
        <v>32.727132980703367</v>
      </c>
      <c r="AN96" s="1009">
        <f t="shared" si="130"/>
        <v>32.727132980703367</v>
      </c>
      <c r="AO96" s="537"/>
      <c r="AP96" s="537"/>
      <c r="AQ96" s="537"/>
      <c r="AR96" s="537"/>
      <c r="AS96" s="537"/>
      <c r="AT96" s="537"/>
      <c r="AU96" s="6"/>
      <c r="AV96" s="6"/>
      <c r="AW96" s="6"/>
      <c r="AX96" s="6"/>
      <c r="AY96" s="6"/>
      <c r="AZ96" s="6"/>
      <c r="BA96" s="6"/>
      <c r="BB96" s="38"/>
      <c r="BC96" s="38"/>
      <c r="BD96" s="6"/>
      <c r="BE96" s="6"/>
      <c r="BF96" s="6"/>
      <c r="BG96" s="6"/>
      <c r="BH96" s="6"/>
      <c r="BI96" s="6"/>
      <c r="BJ96" s="6"/>
      <c r="BK96" s="6"/>
      <c r="BL96" s="6"/>
      <c r="BM96" s="6"/>
      <c r="BN96" s="6"/>
      <c r="BO96" s="6"/>
      <c r="BP96" s="6"/>
      <c r="BQ96" s="6"/>
      <c r="BR96" s="6"/>
      <c r="BS96" s="6"/>
      <c r="BT96" s="6"/>
      <c r="BU96" s="6"/>
      <c r="BV96" s="6"/>
      <c r="BW96" s="6"/>
      <c r="BX96" s="6"/>
      <c r="BY96" s="6"/>
      <c r="BZ96" s="6"/>
      <c r="CA96" s="6"/>
      <c r="CB96" s="6"/>
      <c r="CC96" s="6"/>
      <c r="CD96" s="6"/>
      <c r="CE96" s="6"/>
      <c r="CF96" s="6"/>
      <c r="CG96" s="6"/>
      <c r="CH96" s="6"/>
      <c r="CI96" s="6"/>
      <c r="CJ96" s="6"/>
      <c r="CK96" s="6"/>
      <c r="CL96" s="6"/>
      <c r="CM96" s="6"/>
      <c r="CN96" s="6"/>
      <c r="CO96" s="6"/>
      <c r="CP96" s="6"/>
      <c r="CQ96" s="11"/>
      <c r="CR96" s="6"/>
      <c r="CS96" s="6"/>
      <c r="CT96" s="6"/>
      <c r="CU96" s="6"/>
      <c r="CV96" s="11"/>
      <c r="CW96" s="6"/>
      <c r="CX96" s="6"/>
      <c r="CY96" s="6"/>
      <c r="CZ96" s="6"/>
      <c r="DA96" s="11"/>
      <c r="DB96" s="6"/>
      <c r="DC96" s="6"/>
      <c r="DD96" s="6"/>
      <c r="DE96" s="6"/>
      <c r="DF96" s="6"/>
      <c r="DG96" s="6"/>
      <c r="DH96" s="6"/>
    </row>
    <row r="97" spans="1:112" s="2807" customFormat="1">
      <c r="A97" s="3488" t="s">
        <v>1828</v>
      </c>
      <c r="B97" s="2862"/>
      <c r="C97" s="2862"/>
      <c r="D97" s="2862"/>
      <c r="E97" s="2862"/>
      <c r="F97" s="2862"/>
      <c r="G97" s="2862"/>
      <c r="H97" s="2862"/>
      <c r="I97" s="2862"/>
      <c r="J97" s="2862"/>
      <c r="K97" s="2862"/>
      <c r="L97" s="2862"/>
      <c r="M97" s="2862"/>
      <c r="N97" s="2862"/>
      <c r="O97" s="2862"/>
      <c r="P97" s="3441"/>
      <c r="Q97" s="3303">
        <f>AN40*(1+Q92)</f>
        <v>0</v>
      </c>
      <c r="R97" s="3303">
        <f>Q97</f>
        <v>0</v>
      </c>
      <c r="S97" s="3303">
        <f t="shared" ref="S97:AM97" si="131">R97</f>
        <v>0</v>
      </c>
      <c r="T97" s="3303">
        <f t="shared" si="131"/>
        <v>0</v>
      </c>
      <c r="U97" s="3303">
        <f t="shared" si="131"/>
        <v>0</v>
      </c>
      <c r="V97" s="3303">
        <f t="shared" si="131"/>
        <v>0</v>
      </c>
      <c r="W97" s="3303">
        <f t="shared" si="131"/>
        <v>0</v>
      </c>
      <c r="X97" s="3303">
        <f t="shared" si="131"/>
        <v>0</v>
      </c>
      <c r="Y97" s="3303">
        <f t="shared" si="131"/>
        <v>0</v>
      </c>
      <c r="Z97" s="3303">
        <f t="shared" si="131"/>
        <v>0</v>
      </c>
      <c r="AA97" s="3303">
        <f t="shared" si="131"/>
        <v>0</v>
      </c>
      <c r="AB97" s="3303">
        <f t="shared" si="131"/>
        <v>0</v>
      </c>
      <c r="AC97" s="3303">
        <f t="shared" si="131"/>
        <v>0</v>
      </c>
      <c r="AD97" s="3303">
        <f t="shared" si="131"/>
        <v>0</v>
      </c>
      <c r="AE97" s="3303">
        <f t="shared" si="131"/>
        <v>0</v>
      </c>
      <c r="AF97" s="3303">
        <f t="shared" si="131"/>
        <v>0</v>
      </c>
      <c r="AG97" s="3303">
        <f t="shared" si="131"/>
        <v>0</v>
      </c>
      <c r="AH97" s="3303">
        <f t="shared" si="131"/>
        <v>0</v>
      </c>
      <c r="AI97" s="3303">
        <f t="shared" si="131"/>
        <v>0</v>
      </c>
      <c r="AJ97" s="3303">
        <f t="shared" si="131"/>
        <v>0</v>
      </c>
      <c r="AK97" s="3303">
        <f t="shared" si="131"/>
        <v>0</v>
      </c>
      <c r="AL97" s="3303">
        <f t="shared" si="131"/>
        <v>0</v>
      </c>
      <c r="AM97" s="3303">
        <f t="shared" si="131"/>
        <v>0</v>
      </c>
      <c r="AN97" s="3303">
        <f>AM97</f>
        <v>0</v>
      </c>
      <c r="AO97" s="3303"/>
      <c r="AP97" s="3303"/>
      <c r="AQ97" s="3303"/>
      <c r="AR97" s="3303"/>
      <c r="AS97" s="3303"/>
      <c r="AT97" s="3303"/>
      <c r="AU97" s="2862"/>
      <c r="AV97" s="2862"/>
      <c r="AW97" s="2862"/>
      <c r="AX97" s="2862"/>
      <c r="AY97" s="2862"/>
      <c r="AZ97" s="2862"/>
      <c r="BA97" s="2862"/>
      <c r="BB97" s="2802"/>
      <c r="BC97" s="2802"/>
      <c r="BD97" s="2862"/>
      <c r="BE97" s="2862"/>
      <c r="BF97" s="2862"/>
      <c r="BG97" s="2862"/>
      <c r="BH97" s="2862"/>
      <c r="BI97" s="2862"/>
      <c r="BJ97" s="2862"/>
      <c r="BK97" s="2862"/>
      <c r="BL97" s="2862"/>
      <c r="BM97" s="2862"/>
      <c r="BN97" s="2862"/>
      <c r="BO97" s="2862"/>
      <c r="BP97" s="2862"/>
      <c r="BQ97" s="2862"/>
      <c r="BR97" s="2862"/>
      <c r="BS97" s="2862"/>
      <c r="BT97" s="2862"/>
      <c r="BU97" s="2862"/>
      <c r="BV97" s="2862"/>
      <c r="BW97" s="2862"/>
      <c r="BX97" s="2862"/>
      <c r="BY97" s="2862"/>
      <c r="BZ97" s="2862"/>
      <c r="CA97" s="2862"/>
      <c r="CB97" s="2862"/>
      <c r="CC97" s="2862"/>
      <c r="CD97" s="2862"/>
      <c r="CE97" s="2862"/>
      <c r="CF97" s="2862"/>
      <c r="CG97" s="2862"/>
      <c r="CH97" s="2862"/>
      <c r="CI97" s="2862"/>
      <c r="CJ97" s="2862"/>
      <c r="CK97" s="2862"/>
      <c r="CL97" s="2862"/>
      <c r="CM97" s="2862"/>
      <c r="CN97" s="2862"/>
      <c r="CO97" s="2862"/>
      <c r="CP97" s="2862"/>
      <c r="CQ97" s="2862"/>
      <c r="CR97" s="2862"/>
      <c r="CS97" s="2862"/>
      <c r="CT97" s="2862"/>
      <c r="CU97" s="2862"/>
      <c r="CV97" s="2862"/>
      <c r="CW97" s="2862"/>
      <c r="CX97" s="2862"/>
      <c r="CY97" s="2862"/>
      <c r="CZ97" s="2862"/>
      <c r="DA97" s="2862"/>
      <c r="DB97" s="2862"/>
      <c r="DC97" s="2862"/>
      <c r="DD97" s="2862"/>
      <c r="DE97" s="2862"/>
      <c r="DF97" s="2862"/>
      <c r="DG97" s="2862"/>
      <c r="DH97" s="2862"/>
    </row>
    <row r="98" spans="1:112">
      <c r="A98" s="295" t="s">
        <v>56</v>
      </c>
      <c r="B98" s="6"/>
      <c r="C98" s="6"/>
      <c r="D98" s="6"/>
      <c r="E98" s="6"/>
      <c r="F98" s="6"/>
      <c r="G98" s="6"/>
      <c r="H98" s="6"/>
      <c r="I98" s="6"/>
      <c r="J98" s="6"/>
      <c r="K98" s="6"/>
      <c r="L98" s="6"/>
      <c r="M98" s="6"/>
      <c r="N98" s="6"/>
      <c r="O98" s="6"/>
      <c r="P98" s="6"/>
      <c r="Q98" s="489">
        <f ca="1">+Q94-Q95-Q96-Q97</f>
        <v>1125.2833914660898</v>
      </c>
      <c r="R98" s="489">
        <f t="shared" ref="R98:AN98" ca="1" si="132">+R94-R95-R96-R97</f>
        <v>1125.2833914660898</v>
      </c>
      <c r="S98" s="489">
        <f t="shared" ca="1" si="132"/>
        <v>1125.2833914660898</v>
      </c>
      <c r="T98" s="489">
        <f t="shared" ca="1" si="132"/>
        <v>1125.2833914660898</v>
      </c>
      <c r="U98" s="489">
        <f t="shared" ca="1" si="132"/>
        <v>1125.2833914660898</v>
      </c>
      <c r="V98" s="489">
        <f t="shared" ca="1" si="132"/>
        <v>1125.2833914660898</v>
      </c>
      <c r="W98" s="489">
        <f t="shared" ca="1" si="132"/>
        <v>1125.2833914660898</v>
      </c>
      <c r="X98" s="489">
        <f t="shared" ca="1" si="132"/>
        <v>1125.2833914660898</v>
      </c>
      <c r="Y98" s="489">
        <f t="shared" ca="1" si="132"/>
        <v>1125.2833914660898</v>
      </c>
      <c r="Z98" s="489">
        <f t="shared" ca="1" si="132"/>
        <v>1125.2833914660898</v>
      </c>
      <c r="AA98" s="489">
        <f t="shared" ca="1" si="132"/>
        <v>1125.2833914660898</v>
      </c>
      <c r="AB98" s="489">
        <f t="shared" ca="1" si="132"/>
        <v>1125.2833914660898</v>
      </c>
      <c r="AC98" s="489">
        <f t="shared" ca="1" si="132"/>
        <v>1125.2833914660898</v>
      </c>
      <c r="AD98" s="489">
        <f t="shared" ca="1" si="132"/>
        <v>1125.2833914660898</v>
      </c>
      <c r="AE98" s="489">
        <f t="shared" ca="1" si="132"/>
        <v>1125.2833914660898</v>
      </c>
      <c r="AF98" s="489">
        <f t="shared" ca="1" si="132"/>
        <v>1125.2833914660898</v>
      </c>
      <c r="AG98" s="489">
        <f t="shared" ca="1" si="132"/>
        <v>1125.2833914660898</v>
      </c>
      <c r="AH98" s="489">
        <f t="shared" ca="1" si="132"/>
        <v>1125.2833914660898</v>
      </c>
      <c r="AI98" s="489">
        <f t="shared" ca="1" si="132"/>
        <v>1125.2833914660898</v>
      </c>
      <c r="AJ98" s="489">
        <f t="shared" ca="1" si="132"/>
        <v>1125.2833914660898</v>
      </c>
      <c r="AK98" s="489">
        <f t="shared" ca="1" si="132"/>
        <v>1125.2833914660898</v>
      </c>
      <c r="AL98" s="489">
        <f t="shared" ca="1" si="132"/>
        <v>1125.2833914660898</v>
      </c>
      <c r="AM98" s="489">
        <f t="shared" ca="1" si="132"/>
        <v>1125.2833914660898</v>
      </c>
      <c r="AN98" s="489">
        <f t="shared" ca="1" si="132"/>
        <v>1125.2833914660898</v>
      </c>
      <c r="AO98" s="181"/>
      <c r="AP98" s="181"/>
      <c r="AQ98" s="181"/>
      <c r="AR98" s="181"/>
      <c r="AS98" s="181"/>
      <c r="AT98" s="181"/>
      <c r="AU98" s="6"/>
      <c r="AV98" s="6"/>
      <c r="AW98" s="6"/>
      <c r="AX98" s="6"/>
      <c r="AY98" s="6"/>
      <c r="AZ98" s="6"/>
      <c r="BA98" s="6"/>
      <c r="BB98" s="38"/>
      <c r="BC98" s="38"/>
      <c r="BD98" s="6"/>
      <c r="BE98" s="6"/>
      <c r="BF98" s="6"/>
      <c r="BG98" s="6"/>
      <c r="BH98" s="6"/>
      <c r="BI98" s="6"/>
      <c r="BJ98" s="6"/>
      <c r="BK98" s="6"/>
      <c r="BL98" s="6"/>
      <c r="BM98" s="6"/>
      <c r="BN98" s="6"/>
      <c r="BO98" s="6"/>
      <c r="BP98" s="6"/>
      <c r="BQ98" s="6"/>
      <c r="BR98" s="6"/>
      <c r="BS98" s="6"/>
      <c r="BT98" s="6"/>
      <c r="BU98" s="6"/>
      <c r="BV98" s="6"/>
      <c r="BW98" s="6"/>
      <c r="BX98" s="6"/>
      <c r="BY98" s="6"/>
      <c r="BZ98" s="6"/>
      <c r="CA98" s="6"/>
      <c r="CB98" s="6"/>
      <c r="CC98" s="6"/>
      <c r="CD98" s="6"/>
      <c r="CE98" s="6"/>
      <c r="CF98" s="6"/>
      <c r="CG98" s="6"/>
      <c r="CH98" s="6"/>
      <c r="CI98" s="6"/>
      <c r="CJ98" s="6"/>
      <c r="CK98" s="6"/>
      <c r="CL98" s="6"/>
      <c r="CM98" s="6"/>
      <c r="CN98" s="6"/>
      <c r="CO98" s="6"/>
      <c r="CP98" s="6"/>
      <c r="CQ98" s="11"/>
      <c r="CR98" s="6"/>
      <c r="CS98" s="6"/>
      <c r="CT98" s="6"/>
      <c r="CU98" s="6"/>
      <c r="CV98" s="11"/>
      <c r="CW98" s="6"/>
      <c r="CX98" s="6"/>
      <c r="CY98" s="6"/>
      <c r="CZ98" s="6"/>
      <c r="DA98" s="11"/>
      <c r="DB98" s="6"/>
      <c r="DC98" s="6"/>
      <c r="DD98" s="6"/>
      <c r="DE98" s="6"/>
      <c r="DF98" s="6"/>
      <c r="DG98" s="6"/>
      <c r="DH98" s="6"/>
    </row>
    <row r="99" spans="1:112">
      <c r="A99" s="490" t="s">
        <v>57</v>
      </c>
      <c r="B99" s="6"/>
      <c r="C99" s="6"/>
      <c r="D99" s="6"/>
      <c r="E99" s="6"/>
      <c r="F99" s="6"/>
      <c r="G99" s="6"/>
      <c r="H99" s="6"/>
      <c r="I99" s="6"/>
      <c r="J99" s="6"/>
      <c r="K99" s="6"/>
      <c r="L99" s="6"/>
      <c r="M99" s="6"/>
      <c r="N99" s="6"/>
      <c r="O99" s="6"/>
      <c r="P99" s="6"/>
      <c r="Q99" s="489">
        <f ca="1">1/(Q91-Q92)</f>
        <v>16.528782274222632</v>
      </c>
      <c r="R99" s="489">
        <f t="shared" ref="R99:AA99" ca="1" si="133">1/(R91-R92)</f>
        <v>16.528782274222632</v>
      </c>
      <c r="S99" s="489">
        <f t="shared" ca="1" si="133"/>
        <v>16.528782274222632</v>
      </c>
      <c r="T99" s="489">
        <f t="shared" ca="1" si="133"/>
        <v>16.528782274222632</v>
      </c>
      <c r="U99" s="489">
        <f t="shared" ca="1" si="133"/>
        <v>16.528782274222632</v>
      </c>
      <c r="V99" s="489">
        <f t="shared" ca="1" si="133"/>
        <v>16.528782274222632</v>
      </c>
      <c r="W99" s="489">
        <f t="shared" ca="1" si="133"/>
        <v>16.528782274222632</v>
      </c>
      <c r="X99" s="489">
        <f t="shared" ca="1" si="133"/>
        <v>16.528782274222632</v>
      </c>
      <c r="Y99" s="489">
        <f t="shared" ca="1" si="133"/>
        <v>16.528782274222632</v>
      </c>
      <c r="Z99" s="181">
        <f t="shared" ca="1" si="133"/>
        <v>16.528782274222632</v>
      </c>
      <c r="AA99" s="181">
        <f t="shared" ca="1" si="133"/>
        <v>16.528782274222632</v>
      </c>
      <c r="AB99" s="181">
        <f t="shared" ref="AB99:AH99" ca="1" si="134">1/(AB91-AB92)</f>
        <v>16.528782274222632</v>
      </c>
      <c r="AC99" s="181">
        <f t="shared" ca="1" si="134"/>
        <v>16.528782274222632</v>
      </c>
      <c r="AD99" s="181">
        <f t="shared" ca="1" si="134"/>
        <v>16.528782274222632</v>
      </c>
      <c r="AE99" s="181">
        <f t="shared" ca="1" si="134"/>
        <v>16.528782274222632</v>
      </c>
      <c r="AF99" s="181">
        <f t="shared" ca="1" si="134"/>
        <v>16.528782274222632</v>
      </c>
      <c r="AG99" s="181">
        <f t="shared" ca="1" si="134"/>
        <v>16.528782274222632</v>
      </c>
      <c r="AH99" s="181">
        <f t="shared" ca="1" si="134"/>
        <v>16.528782274222632</v>
      </c>
      <c r="AI99" s="181">
        <f t="shared" ref="AI99:AN99" ca="1" si="135">1/(AI91-AI92)</f>
        <v>16.528782274222632</v>
      </c>
      <c r="AJ99" s="181">
        <f t="shared" ca="1" si="135"/>
        <v>16.528782274222632</v>
      </c>
      <c r="AK99" s="181">
        <f t="shared" ca="1" si="135"/>
        <v>16.528782274222632</v>
      </c>
      <c r="AL99" s="181">
        <f t="shared" ca="1" si="135"/>
        <v>16.528782274222632</v>
      </c>
      <c r="AM99" s="181">
        <f t="shared" ca="1" si="135"/>
        <v>16.528782274222632</v>
      </c>
      <c r="AN99" s="181">
        <f t="shared" ca="1" si="135"/>
        <v>16.528782274222632</v>
      </c>
      <c r="AO99" s="181"/>
      <c r="AP99" s="181"/>
      <c r="AQ99" s="181"/>
      <c r="AR99" s="181"/>
      <c r="AS99" s="181"/>
      <c r="AT99" s="181"/>
      <c r="AU99" s="6"/>
      <c r="AV99" s="6"/>
      <c r="AW99" s="6"/>
      <c r="AX99" s="6"/>
      <c r="AY99" s="6"/>
      <c r="AZ99" s="6"/>
      <c r="BA99" s="6"/>
      <c r="BB99" s="38"/>
      <c r="BC99" s="38"/>
      <c r="BD99" s="6"/>
      <c r="BE99" s="6"/>
      <c r="BF99" s="6"/>
      <c r="BG99" s="6"/>
      <c r="BH99" s="6"/>
      <c r="BI99" s="6"/>
      <c r="BJ99" s="6"/>
      <c r="BK99" s="6"/>
      <c r="BL99" s="6"/>
      <c r="BM99" s="6"/>
      <c r="BN99" s="6"/>
      <c r="BO99" s="6"/>
      <c r="BP99" s="6"/>
      <c r="BQ99" s="6"/>
      <c r="BR99" s="6"/>
      <c r="BS99" s="6"/>
      <c r="BT99" s="6"/>
      <c r="BU99" s="6"/>
      <c r="BV99" s="6"/>
      <c r="BW99" s="6"/>
      <c r="BX99" s="6"/>
      <c r="BY99" s="6"/>
      <c r="BZ99" s="6"/>
      <c r="CA99" s="6"/>
      <c r="CB99" s="6"/>
      <c r="CC99" s="6"/>
      <c r="CD99" s="6"/>
      <c r="CE99" s="6"/>
      <c r="CF99" s="6"/>
      <c r="CG99" s="6"/>
      <c r="CH99" s="6"/>
      <c r="CI99" s="6"/>
      <c r="CJ99" s="6"/>
      <c r="CK99" s="6"/>
      <c r="CL99" s="6"/>
      <c r="CM99" s="6"/>
      <c r="CN99" s="6"/>
      <c r="CO99" s="6"/>
      <c r="CP99" s="6"/>
      <c r="CQ99" s="11"/>
      <c r="CR99" s="6"/>
      <c r="CS99" s="6"/>
      <c r="CT99" s="6"/>
      <c r="CU99" s="6"/>
      <c r="CV99" s="11"/>
      <c r="CW99" s="6"/>
      <c r="CX99" s="6"/>
      <c r="CY99" s="6"/>
      <c r="CZ99" s="6"/>
      <c r="DA99" s="11"/>
      <c r="DB99" s="6"/>
      <c r="DC99" s="6"/>
      <c r="DD99" s="6"/>
      <c r="DE99" s="6"/>
      <c r="DF99" s="6"/>
      <c r="DG99" s="6"/>
      <c r="DH99" s="6"/>
    </row>
    <row r="100" spans="1:112">
      <c r="A100" s="490" t="s">
        <v>58</v>
      </c>
      <c r="B100" s="6"/>
      <c r="C100" s="6"/>
      <c r="D100" s="6"/>
      <c r="E100" s="6"/>
      <c r="F100" s="6"/>
      <c r="G100" s="6"/>
      <c r="H100" s="6"/>
      <c r="I100" s="6"/>
      <c r="J100" s="6"/>
      <c r="K100" s="6"/>
      <c r="L100" s="6"/>
      <c r="M100" s="6"/>
      <c r="N100" s="6"/>
      <c r="O100" s="6"/>
      <c r="P100" s="6"/>
      <c r="Q100" s="489">
        <f ca="1">+Q101/Q94</f>
        <v>12.211205405950661</v>
      </c>
      <c r="R100" s="489">
        <f t="shared" ref="R100:AA100" ca="1" si="136">+R101/R94</f>
        <v>12.211205405950661</v>
      </c>
      <c r="S100" s="489">
        <f t="shared" ca="1" si="136"/>
        <v>12.211205405950661</v>
      </c>
      <c r="T100" s="489">
        <f t="shared" ca="1" si="136"/>
        <v>12.211205405950661</v>
      </c>
      <c r="U100" s="489">
        <f t="shared" ca="1" si="136"/>
        <v>12.211205405950661</v>
      </c>
      <c r="V100" s="489">
        <f t="shared" ca="1" si="136"/>
        <v>12.211205405950661</v>
      </c>
      <c r="W100" s="489">
        <f t="shared" ca="1" si="136"/>
        <v>12.211205405950661</v>
      </c>
      <c r="X100" s="489">
        <f t="shared" ca="1" si="136"/>
        <v>12.211205405950661</v>
      </c>
      <c r="Y100" s="489">
        <f t="shared" ca="1" si="136"/>
        <v>12.211205405950661</v>
      </c>
      <c r="Z100" s="181">
        <f t="shared" ca="1" si="136"/>
        <v>12.211205405950661</v>
      </c>
      <c r="AA100" s="181">
        <f t="shared" ca="1" si="136"/>
        <v>12.211205405950661</v>
      </c>
      <c r="AB100" s="181">
        <f t="shared" ref="AB100:AH100" ca="1" si="137">+AB101/AB94</f>
        <v>12.211205405950661</v>
      </c>
      <c r="AC100" s="181">
        <f t="shared" ca="1" si="137"/>
        <v>12.211205405950661</v>
      </c>
      <c r="AD100" s="181">
        <f t="shared" ca="1" si="137"/>
        <v>12.211205405950661</v>
      </c>
      <c r="AE100" s="181">
        <f t="shared" ca="1" si="137"/>
        <v>12.211205405950661</v>
      </c>
      <c r="AF100" s="181">
        <f t="shared" ca="1" si="137"/>
        <v>12.211205405950661</v>
      </c>
      <c r="AG100" s="181">
        <f t="shared" ca="1" si="137"/>
        <v>12.211205405950661</v>
      </c>
      <c r="AH100" s="181">
        <f t="shared" ca="1" si="137"/>
        <v>12.211205405950661</v>
      </c>
      <c r="AI100" s="181">
        <f t="shared" ref="AI100:AN100" ca="1" si="138">+AI101/AI94</f>
        <v>12.211205405950661</v>
      </c>
      <c r="AJ100" s="181">
        <f t="shared" ca="1" si="138"/>
        <v>12.211205405950661</v>
      </c>
      <c r="AK100" s="181">
        <f t="shared" ca="1" si="138"/>
        <v>12.211205405950661</v>
      </c>
      <c r="AL100" s="181">
        <f t="shared" ca="1" si="138"/>
        <v>12.211205405950661</v>
      </c>
      <c r="AM100" s="181">
        <f t="shared" ca="1" si="138"/>
        <v>12.211205405950661</v>
      </c>
      <c r="AN100" s="181">
        <f t="shared" ca="1" si="138"/>
        <v>12.211205405950661</v>
      </c>
      <c r="AO100" s="181"/>
      <c r="AP100" s="181"/>
      <c r="AQ100" s="181"/>
      <c r="AR100" s="181"/>
      <c r="AS100" s="181"/>
      <c r="AT100" s="181"/>
      <c r="AU100" s="6"/>
      <c r="AV100" s="6"/>
      <c r="AW100" s="6"/>
      <c r="AX100" s="6"/>
      <c r="AY100" s="6"/>
      <c r="AZ100" s="6"/>
      <c r="BA100" s="6"/>
      <c r="BB100" s="38"/>
      <c r="BC100" s="38"/>
      <c r="BD100" s="6"/>
      <c r="BE100" s="6"/>
      <c r="BF100" s="6"/>
      <c r="BG100" s="6"/>
      <c r="BH100" s="6"/>
      <c r="BI100" s="6"/>
      <c r="BJ100" s="6"/>
      <c r="BK100" s="6"/>
      <c r="BL100" s="6"/>
      <c r="BM100" s="6"/>
      <c r="BN100" s="6"/>
      <c r="BO100" s="6"/>
      <c r="BP100" s="6"/>
      <c r="BQ100" s="6"/>
      <c r="BR100" s="6"/>
      <c r="BS100" s="6"/>
      <c r="BT100" s="6"/>
      <c r="BU100" s="6"/>
      <c r="BV100" s="6"/>
      <c r="BW100" s="6"/>
      <c r="BX100" s="6"/>
      <c r="BY100" s="6"/>
      <c r="BZ100" s="6"/>
      <c r="CA100" s="6"/>
      <c r="CB100" s="6"/>
      <c r="CC100" s="6"/>
      <c r="CD100" s="6"/>
      <c r="CE100" s="6"/>
      <c r="CF100" s="6"/>
      <c r="CG100" s="6"/>
      <c r="CH100" s="6"/>
      <c r="CI100" s="6"/>
      <c r="CJ100" s="6"/>
      <c r="CK100" s="6"/>
      <c r="CL100" s="6"/>
      <c r="CM100" s="6"/>
      <c r="CN100" s="6"/>
      <c r="CO100" s="6"/>
      <c r="CP100" s="6"/>
      <c r="CQ100" s="11"/>
      <c r="CR100" s="6"/>
      <c r="CS100" s="6"/>
      <c r="CT100" s="6"/>
      <c r="CU100" s="6"/>
      <c r="CV100" s="11"/>
      <c r="CW100" s="6"/>
      <c r="CX100" s="6"/>
      <c r="CY100" s="6"/>
      <c r="CZ100" s="6"/>
      <c r="DA100" s="11"/>
      <c r="DB100" s="6"/>
      <c r="DC100" s="6"/>
      <c r="DD100" s="6"/>
      <c r="DE100" s="6"/>
      <c r="DF100" s="6"/>
      <c r="DG100" s="6"/>
      <c r="DH100" s="6"/>
    </row>
    <row r="101" spans="1:112">
      <c r="A101" s="295" t="s">
        <v>59</v>
      </c>
      <c r="B101" s="6"/>
      <c r="C101" s="6"/>
      <c r="D101" s="6"/>
      <c r="E101" s="6"/>
      <c r="F101" s="6"/>
      <c r="G101" s="6"/>
      <c r="H101" s="6"/>
      <c r="I101" s="6"/>
      <c r="J101" s="6"/>
      <c r="K101" s="6"/>
      <c r="L101" s="6"/>
      <c r="M101" s="6"/>
      <c r="N101" s="6"/>
      <c r="O101" s="6"/>
      <c r="P101" s="6"/>
      <c r="Q101" s="489">
        <f ca="1">Q99*Q98</f>
        <v>18599.564174341831</v>
      </c>
      <c r="R101" s="489">
        <f t="shared" ref="R101:AA101" ca="1" si="139">R99*R98</f>
        <v>18599.564174341831</v>
      </c>
      <c r="S101" s="489">
        <f t="shared" ca="1" si="139"/>
        <v>18599.564174341831</v>
      </c>
      <c r="T101" s="489">
        <f t="shared" ca="1" si="139"/>
        <v>18599.564174341831</v>
      </c>
      <c r="U101" s="489">
        <f t="shared" ca="1" si="139"/>
        <v>18599.564174341831</v>
      </c>
      <c r="V101" s="489">
        <f t="shared" ca="1" si="139"/>
        <v>18599.564174341831</v>
      </c>
      <c r="W101" s="489">
        <f t="shared" ca="1" si="139"/>
        <v>18599.564174341831</v>
      </c>
      <c r="X101" s="489">
        <f t="shared" ca="1" si="139"/>
        <v>18599.564174341831</v>
      </c>
      <c r="Y101" s="489">
        <f t="shared" ca="1" si="139"/>
        <v>18599.564174341831</v>
      </c>
      <c r="Z101" s="181">
        <f t="shared" ca="1" si="139"/>
        <v>18599.564174341831</v>
      </c>
      <c r="AA101" s="181">
        <f t="shared" ca="1" si="139"/>
        <v>18599.564174341831</v>
      </c>
      <c r="AB101" s="181">
        <f ca="1">AB99*AB98</f>
        <v>18599.564174341831</v>
      </c>
      <c r="AC101" s="181">
        <f t="shared" ref="AC101:AH101" ca="1" si="140">AC99*AC98</f>
        <v>18599.564174341831</v>
      </c>
      <c r="AD101" s="181">
        <f t="shared" ca="1" si="140"/>
        <v>18599.564174341831</v>
      </c>
      <c r="AE101" s="181">
        <f t="shared" ca="1" si="140"/>
        <v>18599.564174341831</v>
      </c>
      <c r="AF101" s="181">
        <f t="shared" ca="1" si="140"/>
        <v>18599.564174341831</v>
      </c>
      <c r="AG101" s="181">
        <f t="shared" ca="1" si="140"/>
        <v>18599.564174341831</v>
      </c>
      <c r="AH101" s="181">
        <f t="shared" ca="1" si="140"/>
        <v>18599.564174341831</v>
      </c>
      <c r="AI101" s="181">
        <f t="shared" ref="AI101:AN101" ca="1" si="141">AI99*AI98</f>
        <v>18599.564174341831</v>
      </c>
      <c r="AJ101" s="181">
        <f t="shared" ca="1" si="141"/>
        <v>18599.564174341831</v>
      </c>
      <c r="AK101" s="181">
        <f t="shared" ca="1" si="141"/>
        <v>18599.564174341831</v>
      </c>
      <c r="AL101" s="181">
        <f t="shared" ca="1" si="141"/>
        <v>18599.564174341831</v>
      </c>
      <c r="AM101" s="181">
        <f t="shared" ca="1" si="141"/>
        <v>18599.564174341831</v>
      </c>
      <c r="AN101" s="181">
        <f t="shared" ca="1" si="141"/>
        <v>18599.564174341831</v>
      </c>
      <c r="AO101" s="181"/>
      <c r="AP101" s="181"/>
      <c r="AQ101" s="181"/>
      <c r="AR101" s="181"/>
      <c r="AS101" s="181"/>
      <c r="AT101" s="181"/>
      <c r="AU101" s="6"/>
      <c r="AV101" s="6"/>
      <c r="AW101" s="6"/>
      <c r="AX101" s="6"/>
      <c r="AY101" s="6"/>
      <c r="AZ101" s="6"/>
      <c r="BA101" s="6"/>
      <c r="BB101" s="38"/>
      <c r="BC101" s="38"/>
      <c r="BD101" s="6"/>
      <c r="BE101" s="6"/>
      <c r="BF101" s="6"/>
      <c r="BG101" s="6"/>
      <c r="BH101" s="6"/>
      <c r="BI101" s="6"/>
      <c r="BJ101" s="6"/>
      <c r="BK101" s="6"/>
      <c r="BL101" s="6"/>
      <c r="BM101" s="6"/>
      <c r="BN101" s="6"/>
      <c r="BO101" s="6"/>
      <c r="BP101" s="6"/>
      <c r="BQ101" s="6"/>
      <c r="BR101" s="6"/>
      <c r="BS101" s="6"/>
      <c r="BT101" s="6"/>
      <c r="BU101" s="6"/>
      <c r="BV101" s="6"/>
      <c r="BW101" s="6"/>
      <c r="BX101" s="6"/>
      <c r="BY101" s="6"/>
      <c r="BZ101" s="6"/>
      <c r="CA101" s="6"/>
      <c r="CB101" s="6"/>
      <c r="CC101" s="6"/>
      <c r="CD101" s="6"/>
      <c r="CE101" s="6"/>
      <c r="CF101" s="6"/>
      <c r="CG101" s="6"/>
      <c r="CH101" s="6"/>
      <c r="CI101" s="6"/>
      <c r="CJ101" s="6"/>
      <c r="CK101" s="6"/>
      <c r="CL101" s="6"/>
      <c r="CM101" s="6"/>
      <c r="CN101" s="6"/>
      <c r="CO101" s="6"/>
      <c r="CP101" s="6"/>
      <c r="CQ101" s="11"/>
      <c r="CR101" s="6"/>
      <c r="CS101" s="6"/>
      <c r="CT101" s="6"/>
      <c r="CU101" s="6"/>
      <c r="CV101" s="11"/>
      <c r="CW101" s="6"/>
      <c r="CX101" s="6"/>
      <c r="CY101" s="6"/>
      <c r="CZ101" s="6"/>
      <c r="DA101" s="11"/>
      <c r="DB101" s="6"/>
      <c r="DC101" s="6"/>
      <c r="DD101" s="6"/>
      <c r="DE101" s="6"/>
      <c r="DF101" s="6"/>
      <c r="DG101" s="6"/>
      <c r="DH101" s="6"/>
    </row>
    <row r="102" spans="1:112">
      <c r="A102" s="295" t="s">
        <v>60</v>
      </c>
      <c r="B102" s="6"/>
      <c r="C102" s="6"/>
      <c r="D102" s="6"/>
      <c r="E102" s="6"/>
      <c r="F102" s="6"/>
      <c r="G102" s="6"/>
      <c r="H102" s="6"/>
      <c r="I102" s="6"/>
      <c r="J102" s="6"/>
      <c r="K102" s="6"/>
      <c r="L102" s="6"/>
      <c r="M102" s="6"/>
      <c r="N102" s="6"/>
      <c r="O102" s="6"/>
      <c r="P102" s="6"/>
      <c r="Q102" s="489">
        <f ca="1">Q101/((1+Q91)^Q108)</f>
        <v>3134.2106311598227</v>
      </c>
      <c r="R102" s="489">
        <f t="shared" ref="R102:AF102" ca="1" si="142">R101/((1+R91)^R108)</f>
        <v>3386.5162314425183</v>
      </c>
      <c r="S102" s="489">
        <f t="shared" ca="1" si="142"/>
        <v>3659.132564929017</v>
      </c>
      <c r="T102" s="489">
        <f t="shared" ca="1" si="142"/>
        <v>3953.6946562989697</v>
      </c>
      <c r="U102" s="489">
        <f t="shared" ca="1" si="142"/>
        <v>4271.9691505766104</v>
      </c>
      <c r="V102" s="489">
        <f t="shared" ca="1" si="142"/>
        <v>4615.8649086375581</v>
      </c>
      <c r="W102" s="489">
        <f t="shared" ca="1" si="142"/>
        <v>4987.4444556594708</v>
      </c>
      <c r="X102" s="489">
        <f t="shared" ca="1" si="142"/>
        <v>5388.9363511789825</v>
      </c>
      <c r="Y102" s="489">
        <f t="shared" ca="1" si="142"/>
        <v>5822.7485549447238</v>
      </c>
      <c r="Z102" s="181">
        <f ca="1">Z101/((1+Z91)^Z108)</f>
        <v>6291.4828687285035</v>
      </c>
      <c r="AA102" s="181">
        <f t="shared" ca="1" si="142"/>
        <v>6797.9505407098941</v>
      </c>
      <c r="AB102" s="181">
        <f t="shared" ca="1" si="142"/>
        <v>7345.1891260219427</v>
      </c>
      <c r="AC102" s="181">
        <f t="shared" ca="1" si="142"/>
        <v>7936.480704579667</v>
      </c>
      <c r="AD102" s="181">
        <f t="shared" ca="1" si="142"/>
        <v>8575.3715654533044</v>
      </c>
      <c r="AE102" s="181">
        <f t="shared" ca="1" si="142"/>
        <v>9265.6934758439293</v>
      </c>
      <c r="AF102" s="181">
        <f t="shared" ca="1" si="142"/>
        <v>10011.586662222777</v>
      </c>
      <c r="AG102" s="181">
        <f t="shared" ref="AG102:AL102" ca="1" si="143">AG101/((1+AG91)^AG108)</f>
        <v>10817.524641464333</v>
      </c>
      <c r="AH102" s="181">
        <f t="shared" ca="1" si="143"/>
        <v>11688.341050898665</v>
      </c>
      <c r="AI102" s="181">
        <f t="shared" ca="1" si="143"/>
        <v>12629.258638197054</v>
      </c>
      <c r="AJ102" s="181">
        <f t="shared" ca="1" si="143"/>
        <v>13645.920584958616</v>
      </c>
      <c r="AK102" s="181">
        <f t="shared" ca="1" si="143"/>
        <v>14744.42435186209</v>
      </c>
      <c r="AL102" s="181">
        <f t="shared" ca="1" si="143"/>
        <v>15931.358248370099</v>
      </c>
      <c r="AM102" s="181">
        <f ca="1">AM101/((1+AM91)^AM108)</f>
        <v>17213.840946313805</v>
      </c>
      <c r="AN102" s="181">
        <f ca="1">AN101/((1+AN91)^AN108)</f>
        <v>18599.564174341831</v>
      </c>
      <c r="AO102" s="181"/>
      <c r="AP102" s="181"/>
      <c r="AQ102" s="181"/>
      <c r="AR102" s="181"/>
      <c r="AS102" s="181"/>
      <c r="AT102" s="181"/>
      <c r="AU102" s="6"/>
      <c r="AV102" s="6"/>
      <c r="AW102" s="6"/>
      <c r="AX102" s="6"/>
      <c r="AY102" s="6"/>
      <c r="AZ102" s="6"/>
      <c r="BA102" s="6"/>
      <c r="BB102" s="38"/>
      <c r="BC102" s="38"/>
      <c r="BD102" s="6"/>
      <c r="BE102" s="6"/>
      <c r="BF102" s="6"/>
      <c r="BG102" s="6"/>
      <c r="BH102" s="6"/>
      <c r="BI102" s="6"/>
      <c r="BJ102" s="6"/>
      <c r="BK102" s="6"/>
      <c r="BL102" s="6"/>
      <c r="BM102" s="6"/>
      <c r="BN102" s="6"/>
      <c r="BO102" s="6"/>
      <c r="BP102" s="6"/>
      <c r="BQ102" s="6"/>
      <c r="BR102" s="6"/>
      <c r="BS102" s="6"/>
      <c r="BT102" s="6"/>
      <c r="BU102" s="6"/>
      <c r="BV102" s="6"/>
      <c r="BW102" s="6"/>
      <c r="BX102" s="6"/>
      <c r="BY102" s="6"/>
      <c r="BZ102" s="6"/>
      <c r="CA102" s="6"/>
      <c r="CB102" s="6"/>
      <c r="CC102" s="6"/>
      <c r="CD102" s="6"/>
      <c r="CE102" s="6"/>
      <c r="CF102" s="6"/>
      <c r="CG102" s="6"/>
      <c r="CH102" s="6"/>
      <c r="CI102" s="6"/>
      <c r="CJ102" s="6"/>
      <c r="CK102" s="6"/>
      <c r="CL102" s="6"/>
      <c r="CM102" s="6"/>
      <c r="CN102" s="6"/>
      <c r="CO102" s="6"/>
      <c r="CP102" s="6"/>
      <c r="CQ102" s="11"/>
      <c r="CR102" s="6"/>
      <c r="CS102" s="6"/>
      <c r="CT102" s="6"/>
      <c r="CU102" s="6"/>
      <c r="CV102" s="11"/>
      <c r="CW102" s="6"/>
      <c r="CX102" s="6"/>
      <c r="CY102" s="6"/>
      <c r="CZ102" s="6"/>
      <c r="DA102" s="11"/>
      <c r="DB102" s="6"/>
      <c r="DC102" s="6"/>
      <c r="DD102" s="6"/>
      <c r="DE102" s="6"/>
      <c r="DF102" s="6"/>
      <c r="DG102" s="6"/>
      <c r="DH102" s="6"/>
    </row>
    <row r="103" spans="1:112">
      <c r="A103" s="295" t="s">
        <v>63</v>
      </c>
      <c r="B103" s="6"/>
      <c r="C103" s="6"/>
      <c r="D103" s="6"/>
      <c r="E103" s="6"/>
      <c r="F103" s="6"/>
      <c r="G103" s="6"/>
      <c r="H103" s="6"/>
      <c r="I103" s="6"/>
      <c r="J103" s="6"/>
      <c r="K103" s="6"/>
      <c r="L103" s="6"/>
      <c r="M103" s="6"/>
      <c r="N103" s="6"/>
      <c r="O103" s="6"/>
      <c r="P103" s="6"/>
      <c r="Q103" s="172">
        <f ca="1">NPV(Q91,R43:$AN43)</f>
        <v>5264.8545887607424</v>
      </c>
      <c r="R103" s="172">
        <f ca="1">NPV(R91,S43:$AN43)</f>
        <v>5459.0524713049381</v>
      </c>
      <c r="S103" s="172">
        <f ca="1">NPV(S91,T43:$AN43)</f>
        <v>5654.3143511865228</v>
      </c>
      <c r="T103" s="172">
        <f ca="1">NPV(T91,U43:$AN43)</f>
        <v>5848.1956684181305</v>
      </c>
      <c r="U103" s="172">
        <f ca="1">NPV(U91,V43:$AN43)</f>
        <v>5997.1480610138606</v>
      </c>
      <c r="V103" s="172">
        <f ca="1">NPV(V91,W43:$AN43)</f>
        <v>6086.850216066684</v>
      </c>
      <c r="W103" s="172">
        <f ca="1">NPV(W91,X43:$AN43)</f>
        <v>6087.7816731164921</v>
      </c>
      <c r="X103" s="172">
        <f ca="1">NPV(X91,Y43:$AN43)</f>
        <v>6017.0457623859393</v>
      </c>
      <c r="Y103" s="172">
        <f ca="1">NPV(Y91,Z43:$AN43)</f>
        <v>5881.5639647622047</v>
      </c>
      <c r="Z103" s="172">
        <f ca="1">NPV(Z91,AA43:$AN43)</f>
        <v>5664.5346007996723</v>
      </c>
      <c r="AA103" s="172">
        <f ca="1">NPV(AA91,AB43:$AN43)</f>
        <v>5453.8073634450711</v>
      </c>
      <c r="AB103" s="172">
        <f ca="1">NPV(AB91,AC43:$AN43)</f>
        <v>5216.9590268318034</v>
      </c>
      <c r="AC103" s="172">
        <f ca="1">NPV(AC91,AD43:$AN43)</f>
        <v>5197.9247694492242</v>
      </c>
      <c r="AD103" s="172">
        <f ca="1">NPV(AD91,AE43:$AN43)</f>
        <v>5170.0155441203469</v>
      </c>
      <c r="AE103" s="172">
        <f ca="1">NPV(AE91,AF43:$AN43)</f>
        <v>5020.4866450892787</v>
      </c>
      <c r="AF103" s="172">
        <f ca="1">NPV(AF91,AG43:$AN43)</f>
        <v>4780.6732645907532</v>
      </c>
      <c r="AG103" s="172">
        <f ca="1">NPV(AG91,AH43:$AN43)</f>
        <v>4474.6224300137001</v>
      </c>
      <c r="AH103" s="172">
        <f ca="1">NPV(AH91,AI43:$AN43)</f>
        <v>4111.7460148858336</v>
      </c>
      <c r="AI103" s="172">
        <f ca="1">NPV(AI91,AJ43:$AN43)</f>
        <v>3658.6057974307969</v>
      </c>
      <c r="AJ103" s="172">
        <f ca="1">NPV(AJ91,AK43:$AN43)</f>
        <v>3127.419889604219</v>
      </c>
      <c r="AK103" s="172">
        <f ca="1">NPV(AK91,AL43:$AN43)</f>
        <v>2517.6194017379908</v>
      </c>
      <c r="AL103" s="172">
        <f ca="1">NPV(AL91,AM43:$AN43)</f>
        <v>1813.7910243523304</v>
      </c>
      <c r="AM103" s="172">
        <f ca="1">NPV(AM91,AN43:$AN43)</f>
        <v>1021.025891276225</v>
      </c>
      <c r="AN103" s="771">
        <v>0</v>
      </c>
      <c r="AO103" s="1399"/>
      <c r="AP103" s="771"/>
      <c r="AQ103" s="771"/>
      <c r="AR103" s="771"/>
      <c r="AS103" s="771"/>
      <c r="AT103" s="771"/>
      <c r="AU103" s="6"/>
      <c r="AV103" s="6"/>
      <c r="AW103" s="6"/>
      <c r="AX103" s="6"/>
      <c r="AY103" s="6"/>
      <c r="AZ103" s="6"/>
      <c r="BA103" s="6"/>
      <c r="BB103" s="38"/>
      <c r="BC103" s="38"/>
      <c r="BD103" s="6"/>
      <c r="BE103" s="6"/>
      <c r="BF103" s="6"/>
      <c r="BG103" s="6"/>
      <c r="BH103" s="6"/>
      <c r="BI103" s="6"/>
      <c r="BJ103" s="6"/>
      <c r="BK103" s="6"/>
      <c r="BL103" s="6"/>
      <c r="BM103" s="6"/>
      <c r="BN103" s="6"/>
      <c r="BO103" s="6"/>
      <c r="BP103" s="6"/>
      <c r="BQ103" s="6"/>
      <c r="BR103" s="6"/>
      <c r="BS103" s="6"/>
      <c r="BT103" s="6"/>
      <c r="BU103" s="6"/>
      <c r="BV103" s="6"/>
      <c r="BW103" s="6"/>
      <c r="BX103" s="6"/>
      <c r="BY103" s="6"/>
      <c r="BZ103" s="6"/>
      <c r="CA103" s="6"/>
      <c r="CB103" s="6"/>
      <c r="CC103" s="6"/>
      <c r="CD103" s="6"/>
      <c r="CE103" s="6"/>
      <c r="CF103" s="6"/>
      <c r="CG103" s="6"/>
      <c r="CH103" s="6"/>
      <c r="CI103" s="6"/>
      <c r="CJ103" s="6"/>
      <c r="CK103" s="6"/>
      <c r="CL103" s="6"/>
      <c r="CM103" s="6"/>
      <c r="CN103" s="6"/>
      <c r="CO103" s="6"/>
      <c r="CP103" s="6"/>
      <c r="CQ103" s="11"/>
      <c r="CR103" s="6"/>
      <c r="CS103" s="6"/>
      <c r="CT103" s="6"/>
      <c r="CU103" s="6"/>
      <c r="CV103" s="11"/>
      <c r="CW103" s="6"/>
      <c r="CX103" s="6"/>
      <c r="CY103" s="6"/>
      <c r="CZ103" s="6"/>
      <c r="DA103" s="11"/>
      <c r="DB103" s="6"/>
      <c r="DC103" s="6"/>
      <c r="DD103" s="6"/>
      <c r="DE103" s="6"/>
      <c r="DF103" s="6"/>
      <c r="DG103" s="6"/>
      <c r="DH103" s="6"/>
    </row>
    <row r="104" spans="1:112">
      <c r="A104" s="295"/>
      <c r="B104" s="6"/>
      <c r="C104" s="6"/>
      <c r="D104" s="6"/>
      <c r="E104" s="6"/>
      <c r="F104" s="6"/>
      <c r="G104" s="6"/>
      <c r="H104" s="6"/>
      <c r="I104" s="6"/>
      <c r="J104" s="6"/>
      <c r="K104" s="6"/>
      <c r="L104" s="6"/>
      <c r="M104" s="6"/>
      <c r="N104" s="6"/>
      <c r="O104" s="6"/>
      <c r="P104" s="6"/>
      <c r="Q104" s="492"/>
      <c r="R104" s="492"/>
      <c r="S104" s="492"/>
      <c r="T104" s="492"/>
      <c r="U104" s="492"/>
      <c r="V104" s="492"/>
      <c r="W104" s="492"/>
      <c r="X104" s="492"/>
      <c r="Y104" s="492"/>
      <c r="Z104" s="539"/>
      <c r="AA104" s="539"/>
      <c r="AB104" s="539"/>
      <c r="AC104" s="539"/>
      <c r="AD104" s="539"/>
      <c r="AE104" s="539"/>
      <c r="AF104" s="539"/>
      <c r="AG104" s="539"/>
      <c r="AH104" s="539"/>
      <c r="AI104" s="539"/>
      <c r="AJ104" s="539"/>
      <c r="AK104" s="539"/>
      <c r="AL104" s="539"/>
      <c r="AN104" s="539"/>
      <c r="AO104" s="539"/>
      <c r="AP104" s="539"/>
      <c r="AQ104" s="539"/>
      <c r="AR104" s="539"/>
      <c r="AS104" s="539"/>
      <c r="AT104" s="539"/>
      <c r="AU104" s="6"/>
      <c r="AV104" s="6"/>
      <c r="AW104" s="6"/>
      <c r="AX104" s="6"/>
      <c r="AY104" s="6"/>
      <c r="AZ104" s="6"/>
      <c r="BA104" s="6"/>
      <c r="BB104" s="38"/>
      <c r="BC104" s="38"/>
      <c r="BD104" s="6"/>
      <c r="BE104" s="6"/>
      <c r="BF104" s="6"/>
      <c r="BG104" s="6"/>
      <c r="BH104" s="6"/>
      <c r="BI104" s="6"/>
      <c r="BJ104" s="6"/>
      <c r="BK104" s="6"/>
      <c r="BL104" s="6"/>
      <c r="BM104" s="6"/>
      <c r="BN104" s="6"/>
      <c r="BO104" s="6"/>
      <c r="BP104" s="6"/>
      <c r="BQ104" s="6"/>
      <c r="BR104" s="6"/>
      <c r="BS104" s="6"/>
      <c r="BT104" s="6"/>
      <c r="BU104" s="6"/>
      <c r="BV104" s="6"/>
      <c r="BW104" s="6"/>
      <c r="BX104" s="6"/>
      <c r="BY104" s="6"/>
      <c r="BZ104" s="6"/>
      <c r="CA104" s="6"/>
      <c r="CB104" s="6"/>
      <c r="CC104" s="6"/>
      <c r="CD104" s="6"/>
      <c r="CE104" s="6"/>
      <c r="CF104" s="6"/>
      <c r="CG104" s="6"/>
      <c r="CH104" s="6"/>
      <c r="CI104" s="6"/>
      <c r="CJ104" s="6"/>
      <c r="CK104" s="6"/>
      <c r="CL104" s="6"/>
      <c r="CM104" s="6"/>
      <c r="CN104" s="6"/>
      <c r="CO104" s="6"/>
      <c r="CP104" s="6"/>
      <c r="CQ104" s="11"/>
      <c r="CR104" s="6"/>
      <c r="CS104" s="6"/>
      <c r="CT104" s="6"/>
      <c r="CU104" s="6"/>
      <c r="CV104" s="11"/>
      <c r="CW104" s="6"/>
      <c r="CX104" s="6"/>
      <c r="CY104" s="6"/>
      <c r="CZ104" s="6"/>
      <c r="DA104" s="11"/>
      <c r="DB104" s="6"/>
      <c r="DC104" s="6"/>
      <c r="DD104" s="6"/>
      <c r="DE104" s="6"/>
      <c r="DF104" s="6"/>
      <c r="DG104" s="6"/>
      <c r="DH104" s="6"/>
    </row>
    <row r="105" spans="1:112">
      <c r="A105" s="295" t="s">
        <v>64</v>
      </c>
      <c r="B105" s="6"/>
      <c r="C105" s="6"/>
      <c r="D105" s="6"/>
      <c r="E105" s="6"/>
      <c r="F105" s="6"/>
      <c r="G105" s="6"/>
      <c r="H105" s="6"/>
      <c r="I105" s="6"/>
      <c r="J105" s="6"/>
      <c r="K105" s="6"/>
      <c r="L105" s="6"/>
      <c r="M105" s="6"/>
      <c r="N105" s="6"/>
      <c r="O105" s="6"/>
      <c r="P105" s="6"/>
      <c r="Q105" s="493">
        <f ca="1">Q103+Q102</f>
        <v>8399.0652199205651</v>
      </c>
      <c r="R105" s="493">
        <f t="shared" ref="R105:AA105" ca="1" si="144">R103+R102</f>
        <v>8845.568702747456</v>
      </c>
      <c r="S105" s="493">
        <f t="shared" ca="1" si="144"/>
        <v>9313.4469161155394</v>
      </c>
      <c r="T105" s="493">
        <f t="shared" ca="1" si="144"/>
        <v>9801.8903247171002</v>
      </c>
      <c r="U105" s="493">
        <f t="shared" ca="1" si="144"/>
        <v>10269.11721159047</v>
      </c>
      <c r="V105" s="493">
        <f t="shared" ca="1" si="144"/>
        <v>10702.715124704242</v>
      </c>
      <c r="W105" s="493">
        <f t="shared" ca="1" si="144"/>
        <v>11075.226128775963</v>
      </c>
      <c r="X105" s="493">
        <f t="shared" ca="1" si="144"/>
        <v>11405.982113564922</v>
      </c>
      <c r="Y105" s="493">
        <f t="shared" ca="1" si="144"/>
        <v>11704.312519706928</v>
      </c>
      <c r="Z105" s="493">
        <f t="shared" ca="1" si="144"/>
        <v>11956.017469528175</v>
      </c>
      <c r="AA105" s="540">
        <f t="shared" ca="1" si="144"/>
        <v>12251.757904154965</v>
      </c>
      <c r="AB105" s="540">
        <f t="shared" ref="AB105:AH105" ca="1" si="145">AB103+AB102</f>
        <v>12562.148152853746</v>
      </c>
      <c r="AC105" s="540">
        <f ca="1">AC103+AC102</f>
        <v>13134.405474028892</v>
      </c>
      <c r="AD105" s="540">
        <f t="shared" ca="1" si="145"/>
        <v>13745.38710957365</v>
      </c>
      <c r="AE105" s="540">
        <f t="shared" ca="1" si="145"/>
        <v>14286.180120933208</v>
      </c>
      <c r="AF105" s="540">
        <f t="shared" ca="1" si="145"/>
        <v>14792.259926813531</v>
      </c>
      <c r="AG105" s="540">
        <f t="shared" ca="1" si="145"/>
        <v>15292.147071478033</v>
      </c>
      <c r="AH105" s="540">
        <f t="shared" ca="1" si="145"/>
        <v>15800.087065784499</v>
      </c>
      <c r="AI105" s="540">
        <f t="shared" ref="AI105:AN105" ca="1" si="146">AI103+AI102</f>
        <v>16287.864435627851</v>
      </c>
      <c r="AJ105" s="540">
        <f t="shared" ca="1" si="146"/>
        <v>16773.340474562836</v>
      </c>
      <c r="AK105" s="540">
        <f t="shared" ca="1" si="146"/>
        <v>17262.043753600079</v>
      </c>
      <c r="AL105" s="540">
        <f t="shared" ca="1" si="146"/>
        <v>17745.149272722429</v>
      </c>
      <c r="AM105" s="540">
        <f t="shared" ca="1" si="146"/>
        <v>18234.866837590031</v>
      </c>
      <c r="AN105" s="540">
        <f t="shared" ca="1" si="146"/>
        <v>18599.564174341831</v>
      </c>
      <c r="AO105" s="540"/>
      <c r="AP105" s="540"/>
      <c r="AQ105" s="540"/>
      <c r="AR105" s="540"/>
      <c r="AS105" s="540"/>
      <c r="AT105" s="540"/>
      <c r="AU105" s="6"/>
      <c r="AV105" s="6"/>
      <c r="AW105" s="6"/>
      <c r="AX105" s="6"/>
      <c r="AY105" s="6"/>
      <c r="AZ105" s="6"/>
      <c r="BA105" s="6"/>
      <c r="BB105" s="38"/>
      <c r="BC105" s="38"/>
      <c r="BD105" s="6"/>
      <c r="BE105" s="6"/>
      <c r="BF105" s="6"/>
      <c r="BG105" s="6"/>
      <c r="BH105" s="6"/>
      <c r="BI105" s="6"/>
      <c r="BJ105" s="6"/>
      <c r="BK105" s="6"/>
      <c r="BL105" s="6"/>
      <c r="BM105" s="6"/>
      <c r="BN105" s="6"/>
      <c r="BO105" s="6"/>
      <c r="BP105" s="6"/>
      <c r="BQ105" s="6"/>
      <c r="BR105" s="6"/>
      <c r="BS105" s="6"/>
      <c r="BT105" s="6"/>
      <c r="BU105" s="6"/>
      <c r="BV105" s="6"/>
      <c r="BW105" s="6"/>
      <c r="BX105" s="6"/>
      <c r="BY105" s="6"/>
      <c r="BZ105" s="6"/>
      <c r="CA105" s="6"/>
      <c r="CB105" s="6"/>
      <c r="CC105" s="6"/>
      <c r="CD105" s="6"/>
      <c r="CE105" s="6"/>
      <c r="CF105" s="6"/>
      <c r="CG105" s="6"/>
      <c r="CH105" s="6"/>
      <c r="CI105" s="6"/>
      <c r="CJ105" s="6"/>
      <c r="CK105" s="6"/>
      <c r="CL105" s="6"/>
      <c r="CM105" s="6"/>
      <c r="CN105" s="6"/>
      <c r="CO105" s="6"/>
      <c r="CP105" s="6"/>
      <c r="CQ105" s="11"/>
      <c r="CR105" s="6"/>
      <c r="CS105" s="6"/>
      <c r="CT105" s="6"/>
      <c r="CU105" s="6"/>
      <c r="CV105" s="11"/>
      <c r="CW105" s="6"/>
      <c r="CX105" s="6"/>
      <c r="CY105" s="6"/>
      <c r="CZ105" s="6"/>
      <c r="DA105" s="11"/>
      <c r="DB105" s="6"/>
      <c r="DC105" s="6"/>
      <c r="DD105" s="6"/>
      <c r="DE105" s="6"/>
      <c r="DF105" s="6"/>
      <c r="DG105" s="6"/>
      <c r="DH105" s="6"/>
    </row>
    <row r="106" spans="1:112">
      <c r="A106" s="490" t="s">
        <v>72</v>
      </c>
      <c r="B106" s="6"/>
      <c r="C106" s="6"/>
      <c r="D106" s="6"/>
      <c r="E106" s="6"/>
      <c r="F106" s="6"/>
      <c r="G106" s="6"/>
      <c r="H106" s="6"/>
      <c r="I106" s="6"/>
      <c r="J106" s="6"/>
      <c r="K106" s="6"/>
      <c r="L106" s="6"/>
      <c r="M106" s="6"/>
      <c r="N106" s="6"/>
      <c r="O106" s="6"/>
      <c r="P106" s="6"/>
      <c r="Q106" s="494">
        <f t="shared" ref="Q106:AF106" ca="1" si="147">Q105/Q28</f>
        <v>26.930751360780366</v>
      </c>
      <c r="R106" s="494">
        <f t="shared" ca="1" si="147"/>
        <v>26.61185473348888</v>
      </c>
      <c r="S106" s="494">
        <f t="shared" ca="1" si="147"/>
        <v>26.334362213679338</v>
      </c>
      <c r="T106" s="494">
        <f t="shared" ca="1" si="147"/>
        <v>26.416491310950189</v>
      </c>
      <c r="U106" s="494">
        <f t="shared" ca="1" si="147"/>
        <v>23.556341684815383</v>
      </c>
      <c r="V106" s="494">
        <f t="shared" ca="1" si="147"/>
        <v>19.953677701266614</v>
      </c>
      <c r="W106" s="494">
        <f t="shared" ca="1" si="147"/>
        <v>16.658715660868236</v>
      </c>
      <c r="X106" s="494">
        <f t="shared" ca="1" si="147"/>
        <v>15.019897693349058</v>
      </c>
      <c r="Y106" s="494">
        <f t="shared" ca="1" si="147"/>
        <v>13.937831077734113</v>
      </c>
      <c r="Z106" s="494">
        <f t="shared" ca="1" si="147"/>
        <v>12.804834102063001</v>
      </c>
      <c r="AA106" s="541">
        <f t="shared" ca="1" si="147"/>
        <v>13.576798950993453</v>
      </c>
      <c r="AB106" s="541">
        <f t="shared" ca="1" si="147"/>
        <v>13.739766854090046</v>
      </c>
      <c r="AC106" s="541">
        <f t="shared" ca="1" si="147"/>
        <v>13.505637230593933</v>
      </c>
      <c r="AD106" s="541">
        <f t="shared" ca="1" si="147"/>
        <v>13.719051727132655</v>
      </c>
      <c r="AE106" s="541">
        <f t="shared" ca="1" si="147"/>
        <v>13.469290894073408</v>
      </c>
      <c r="AF106" s="541">
        <f t="shared" ca="1" si="147"/>
        <v>13.240016929545272</v>
      </c>
      <c r="AG106" s="541">
        <f t="shared" ref="AG106:AL106" ca="1" si="148">AG105/AG28</f>
        <v>13.013508214924014</v>
      </c>
      <c r="AH106" s="541">
        <f t="shared" ca="1" si="148"/>
        <v>12.839256373755212</v>
      </c>
      <c r="AI106" s="541">
        <f t="shared" ca="1" si="148"/>
        <v>12.711764125484967</v>
      </c>
      <c r="AJ106" s="541">
        <f t="shared" ca="1" si="148"/>
        <v>12.657081775263229</v>
      </c>
      <c r="AK106" s="541">
        <f t="shared" ca="1" si="148"/>
        <v>12.619649113477502</v>
      </c>
      <c r="AL106" s="541">
        <f t="shared" ca="1" si="148"/>
        <v>12.582907294427262</v>
      </c>
      <c r="AM106" s="541">
        <f ca="1">AM105/AM28</f>
        <v>12.557441755524238</v>
      </c>
      <c r="AN106" s="541">
        <f ca="1">AN105/AN28</f>
        <v>12.455429514069674</v>
      </c>
      <c r="AO106" s="541"/>
      <c r="AP106" s="541"/>
      <c r="AQ106" s="541"/>
      <c r="AR106" s="541"/>
      <c r="AS106" s="541"/>
      <c r="AT106" s="541"/>
      <c r="AU106" s="6"/>
      <c r="AV106" s="6"/>
      <c r="AW106" s="6"/>
      <c r="AX106" s="6"/>
      <c r="AY106" s="6"/>
      <c r="AZ106" s="6"/>
      <c r="BA106" s="6"/>
      <c r="BB106" s="38"/>
      <c r="BC106" s="38"/>
      <c r="BD106" s="6"/>
      <c r="BE106" s="6"/>
      <c r="BF106" s="6"/>
      <c r="BG106" s="6"/>
      <c r="BH106" s="6"/>
      <c r="BI106" s="6"/>
      <c r="BJ106" s="6"/>
      <c r="BK106" s="6"/>
      <c r="BL106" s="6"/>
      <c r="BM106" s="6"/>
      <c r="BN106" s="6"/>
      <c r="BO106" s="6"/>
      <c r="BP106" s="6"/>
      <c r="BQ106" s="6"/>
      <c r="BR106" s="6"/>
      <c r="BS106" s="6"/>
      <c r="BT106" s="6"/>
      <c r="BU106" s="6"/>
      <c r="BV106" s="6"/>
      <c r="BW106" s="6"/>
      <c r="BX106" s="6"/>
      <c r="BY106" s="6"/>
      <c r="BZ106" s="6"/>
      <c r="CA106" s="6"/>
      <c r="CB106" s="6"/>
      <c r="CC106" s="6"/>
      <c r="CD106" s="6"/>
      <c r="CE106" s="6"/>
      <c r="CF106" s="6"/>
      <c r="CG106" s="6"/>
      <c r="CH106" s="6"/>
      <c r="CI106" s="6"/>
      <c r="CJ106" s="6"/>
      <c r="CK106" s="6"/>
      <c r="CL106" s="6"/>
      <c r="CM106" s="6"/>
      <c r="CN106" s="6"/>
      <c r="CO106" s="6"/>
      <c r="CP106" s="6"/>
      <c r="CQ106" s="11"/>
      <c r="CR106" s="6"/>
      <c r="CS106" s="6"/>
      <c r="CT106" s="6"/>
      <c r="CU106" s="6"/>
      <c r="CV106" s="11"/>
      <c r="CW106" s="6"/>
      <c r="CX106" s="6"/>
      <c r="CY106" s="6"/>
      <c r="CZ106" s="6"/>
      <c r="DA106" s="11"/>
      <c r="DB106" s="6"/>
      <c r="DC106" s="6"/>
      <c r="DD106" s="6"/>
      <c r="DE106" s="6"/>
      <c r="DF106" s="6"/>
      <c r="DG106" s="6"/>
      <c r="DH106" s="6"/>
    </row>
    <row r="107" spans="1:112">
      <c r="A107" s="490" t="s">
        <v>73</v>
      </c>
      <c r="B107" s="6"/>
      <c r="C107" s="6"/>
      <c r="D107" s="6"/>
      <c r="E107" s="6"/>
      <c r="F107" s="6"/>
      <c r="G107" s="6"/>
      <c r="H107" s="6"/>
      <c r="I107" s="6"/>
      <c r="J107" s="6"/>
      <c r="K107" s="6"/>
      <c r="L107" s="6"/>
      <c r="M107" s="6"/>
      <c r="N107" s="6"/>
      <c r="O107" s="6"/>
      <c r="P107" s="6"/>
      <c r="Q107" s="494">
        <f t="shared" ref="Q107:W107" ca="1" si="149">Q105/R28</f>
        <v>25.268550959329577</v>
      </c>
      <c r="R107" s="494">
        <f t="shared" ca="1" si="149"/>
        <v>25.011406872472197</v>
      </c>
      <c r="S107" s="494">
        <f t="shared" ca="1" si="149"/>
        <v>25.10011654733168</v>
      </c>
      <c r="T107" s="494">
        <f t="shared" ca="1" si="149"/>
        <v>22.48456930509229</v>
      </c>
      <c r="U107" s="494">
        <f t="shared" ca="1" si="149"/>
        <v>19.145296565320692</v>
      </c>
      <c r="V107" s="494">
        <f t="shared" ca="1" si="149"/>
        <v>16.098406117277801</v>
      </c>
      <c r="W107" s="494">
        <f t="shared" ca="1" si="149"/>
        <v>14.584343700406633</v>
      </c>
      <c r="X107" s="494">
        <f ca="1">X105/Y28</f>
        <v>13.582570672720321</v>
      </c>
      <c r="Y107" s="494">
        <f t="shared" ref="Y107:AG107" ca="1" si="150">Y105/Z28</f>
        <v>12.535259376754711</v>
      </c>
      <c r="Z107" s="494">
        <f t="shared" ca="1" si="150"/>
        <v>13.24907386419218</v>
      </c>
      <c r="AA107" s="494">
        <f t="shared" ca="1" si="150"/>
        <v>13.400279562664061</v>
      </c>
      <c r="AB107" s="494">
        <f ca="1">AB105/AC28</f>
        <v>12.917205588398538</v>
      </c>
      <c r="AC107" s="494">
        <f t="shared" ca="1" si="150"/>
        <v>13.109240697763498</v>
      </c>
      <c r="AD107" s="494">
        <f t="shared" ca="1" si="150"/>
        <v>12.959420633316258</v>
      </c>
      <c r="AE107" s="494">
        <f t="shared" ca="1" si="150"/>
        <v>12.787043196612778</v>
      </c>
      <c r="AF107" s="494">
        <f t="shared" ca="1" si="150"/>
        <v>12.588107816064415</v>
      </c>
      <c r="AG107" s="541">
        <f t="shared" ca="1" si="150"/>
        <v>12.426500938786306</v>
      </c>
      <c r="AH107" s="541">
        <f t="shared" ref="AH107:AM107" ca="1" si="151">AH105/AI28</f>
        <v>12.331081262135784</v>
      </c>
      <c r="AI107" s="541">
        <f t="shared" ca="1" si="151"/>
        <v>12.29074389915265</v>
      </c>
      <c r="AJ107" s="541">
        <f t="shared" ca="1" si="151"/>
        <v>12.262376012442193</v>
      </c>
      <c r="AK107" s="541">
        <f t="shared" ca="1" si="151"/>
        <v>12.240342018299266</v>
      </c>
      <c r="AL107" s="541">
        <f t="shared" ca="1" si="151"/>
        <v>12.220197735468929</v>
      </c>
      <c r="AM107" s="541">
        <f t="shared" ca="1" si="151"/>
        <v>12.211205405950661</v>
      </c>
      <c r="AO107" s="1397"/>
      <c r="AP107" s="541"/>
      <c r="AQ107" s="541"/>
      <c r="AR107" s="541"/>
      <c r="AS107" s="541"/>
      <c r="AT107" s="541"/>
      <c r="AU107" s="6"/>
      <c r="AV107" s="6"/>
      <c r="AW107" s="6"/>
      <c r="AX107" s="6"/>
      <c r="AY107" s="6"/>
      <c r="AZ107" s="6"/>
      <c r="BA107" s="6"/>
      <c r="BB107" s="38"/>
      <c r="BC107" s="38"/>
      <c r="BD107" s="6"/>
      <c r="BE107" s="6"/>
      <c r="BF107" s="6"/>
      <c r="BG107" s="6"/>
      <c r="BH107" s="6"/>
      <c r="BI107" s="6"/>
      <c r="BJ107" s="6"/>
      <c r="BK107" s="6"/>
      <c r="BL107" s="6"/>
      <c r="BM107" s="6"/>
      <c r="BN107" s="6"/>
      <c r="BO107" s="6"/>
      <c r="BP107" s="6"/>
      <c r="BQ107" s="6"/>
      <c r="BR107" s="6"/>
      <c r="BS107" s="6"/>
      <c r="BT107" s="6"/>
      <c r="BU107" s="6"/>
      <c r="BV107" s="6"/>
      <c r="BW107" s="6"/>
      <c r="BX107" s="6"/>
      <c r="BY107" s="6"/>
      <c r="BZ107" s="6"/>
      <c r="CA107" s="6"/>
      <c r="CB107" s="6"/>
      <c r="CC107" s="6"/>
      <c r="CD107" s="6"/>
      <c r="CE107" s="6"/>
      <c r="CF107" s="6"/>
      <c r="CG107" s="6"/>
      <c r="CH107" s="6"/>
      <c r="CI107" s="6"/>
      <c r="CJ107" s="6"/>
      <c r="CK107" s="6"/>
      <c r="CL107" s="6"/>
      <c r="CM107" s="6"/>
      <c r="CN107" s="6"/>
      <c r="CO107" s="6"/>
      <c r="CP107" s="6"/>
      <c r="CQ107" s="11"/>
      <c r="CR107" s="6"/>
      <c r="CS107" s="6"/>
      <c r="CT107" s="6"/>
      <c r="CU107" s="6"/>
      <c r="CV107" s="11"/>
      <c r="CW107" s="6"/>
      <c r="CX107" s="6"/>
      <c r="CY107" s="6"/>
      <c r="CZ107" s="6"/>
      <c r="DA107" s="11"/>
      <c r="DB107" s="6"/>
      <c r="DC107" s="6"/>
      <c r="DD107" s="6"/>
      <c r="DE107" s="6"/>
      <c r="DF107" s="6"/>
      <c r="DG107" s="6"/>
      <c r="DH107" s="6"/>
    </row>
    <row r="108" spans="1:112">
      <c r="A108" s="495" t="s">
        <v>61</v>
      </c>
      <c r="B108" s="6"/>
      <c r="C108" s="6"/>
      <c r="D108" s="6"/>
      <c r="E108" s="6"/>
      <c r="F108" s="6"/>
      <c r="G108" s="6"/>
      <c r="H108" s="6"/>
      <c r="I108" s="6"/>
      <c r="J108" s="6"/>
      <c r="K108" s="6"/>
      <c r="L108" s="6"/>
      <c r="M108" s="6"/>
      <c r="N108" s="6"/>
      <c r="O108" s="6"/>
      <c r="P108" s="6"/>
      <c r="Q108" s="1402">
        <f t="shared" ref="Q108:AH108" si="152">R108+1</f>
        <v>23</v>
      </c>
      <c r="R108" s="1402">
        <f t="shared" si="152"/>
        <v>22</v>
      </c>
      <c r="S108" s="1402">
        <f t="shared" si="152"/>
        <v>21</v>
      </c>
      <c r="T108" s="1402">
        <f t="shared" si="152"/>
        <v>20</v>
      </c>
      <c r="U108" s="1402">
        <f t="shared" si="152"/>
        <v>19</v>
      </c>
      <c r="V108" s="1402">
        <f t="shared" si="152"/>
        <v>18</v>
      </c>
      <c r="W108" s="1402">
        <f t="shared" si="152"/>
        <v>17</v>
      </c>
      <c r="X108" s="1402">
        <f t="shared" si="152"/>
        <v>16</v>
      </c>
      <c r="Y108" s="1402">
        <f t="shared" si="152"/>
        <v>15</v>
      </c>
      <c r="Z108" s="1402">
        <f t="shared" si="152"/>
        <v>14</v>
      </c>
      <c r="AA108" s="1402">
        <f t="shared" si="152"/>
        <v>13</v>
      </c>
      <c r="AB108" s="1402">
        <f t="shared" si="152"/>
        <v>12</v>
      </c>
      <c r="AC108" s="1402">
        <f t="shared" si="152"/>
        <v>11</v>
      </c>
      <c r="AD108" s="1402">
        <f t="shared" si="152"/>
        <v>10</v>
      </c>
      <c r="AE108" s="1402">
        <f t="shared" si="152"/>
        <v>9</v>
      </c>
      <c r="AF108" s="1402">
        <f t="shared" si="152"/>
        <v>8</v>
      </c>
      <c r="AG108" s="1402">
        <f t="shared" si="152"/>
        <v>7</v>
      </c>
      <c r="AH108" s="1402">
        <f t="shared" si="152"/>
        <v>6</v>
      </c>
      <c r="AI108" s="1402">
        <f>AJ108+1</f>
        <v>5</v>
      </c>
      <c r="AJ108" s="1402">
        <f>AK108+1</f>
        <v>4</v>
      </c>
      <c r="AK108" s="1402">
        <f>AL108+1</f>
        <v>3</v>
      </c>
      <c r="AL108" s="1402">
        <f>AM108+1</f>
        <v>2</v>
      </c>
      <c r="AM108" s="1402">
        <v>1</v>
      </c>
      <c r="AN108" s="1401">
        <v>0</v>
      </c>
      <c r="AO108" s="1398"/>
      <c r="AP108" s="11"/>
      <c r="AQ108" s="11"/>
      <c r="AR108" s="11"/>
      <c r="AS108" s="11"/>
      <c r="AT108" s="11"/>
      <c r="AU108" s="6"/>
      <c r="AV108" s="6"/>
      <c r="AW108" s="6"/>
      <c r="AX108" s="6"/>
      <c r="AY108" s="6"/>
      <c r="AZ108" s="6"/>
      <c r="BA108" s="6"/>
      <c r="BB108" s="38"/>
      <c r="BC108" s="38"/>
      <c r="BD108" s="6"/>
      <c r="BE108" s="6"/>
      <c r="BF108" s="6"/>
      <c r="BG108" s="6"/>
      <c r="BH108" s="6"/>
      <c r="BI108" s="6"/>
      <c r="BJ108" s="6"/>
      <c r="BK108" s="6"/>
      <c r="BL108" s="6"/>
      <c r="BM108" s="6"/>
      <c r="BN108" s="6"/>
      <c r="BO108" s="6"/>
      <c r="BP108" s="6"/>
      <c r="BQ108" s="6"/>
      <c r="BR108" s="6"/>
      <c r="BS108" s="6"/>
      <c r="BT108" s="6"/>
      <c r="BU108" s="6"/>
      <c r="BV108" s="6"/>
      <c r="BW108" s="6"/>
      <c r="BX108" s="6"/>
      <c r="BY108" s="6"/>
      <c r="BZ108" s="6"/>
      <c r="CA108" s="6"/>
      <c r="CB108" s="6"/>
      <c r="CC108" s="6"/>
      <c r="CD108" s="6"/>
      <c r="CE108" s="6"/>
      <c r="CF108" s="6"/>
      <c r="CG108" s="6"/>
      <c r="CH108" s="6"/>
      <c r="CI108" s="6"/>
      <c r="CJ108" s="6"/>
      <c r="CK108" s="6"/>
      <c r="CL108" s="6"/>
      <c r="CM108" s="6"/>
      <c r="CN108" s="6"/>
      <c r="CO108" s="6"/>
      <c r="CP108" s="6"/>
      <c r="CQ108" s="11"/>
      <c r="CR108" s="6"/>
      <c r="CS108" s="6"/>
      <c r="CT108" s="6"/>
      <c r="CU108" s="6"/>
      <c r="CV108" s="11"/>
      <c r="CW108" s="6"/>
      <c r="CX108" s="6"/>
      <c r="CY108" s="6"/>
      <c r="CZ108" s="6"/>
      <c r="DA108" s="11"/>
      <c r="DB108" s="6"/>
      <c r="DC108" s="6"/>
      <c r="DD108" s="6"/>
      <c r="DE108" s="6"/>
      <c r="DF108" s="6"/>
      <c r="DG108" s="6"/>
      <c r="DH108" s="6"/>
    </row>
    <row r="109" spans="1:112">
      <c r="A109" s="546"/>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c r="AE109" s="6"/>
      <c r="AF109" s="6"/>
      <c r="AG109" s="11"/>
      <c r="AH109" s="11"/>
      <c r="AI109" s="11"/>
      <c r="AJ109" s="11"/>
      <c r="AK109" s="11"/>
      <c r="AL109" s="11"/>
      <c r="AM109" s="6"/>
      <c r="AN109" s="6"/>
      <c r="AO109" s="6"/>
      <c r="AP109" s="6"/>
      <c r="AQ109" s="6"/>
      <c r="AR109" s="6"/>
      <c r="AS109" s="6"/>
      <c r="AT109" s="6"/>
      <c r="AU109" s="6"/>
      <c r="AV109" s="6"/>
      <c r="AW109" s="6"/>
      <c r="AX109" s="6"/>
      <c r="AY109" s="6"/>
      <c r="AZ109" s="6"/>
      <c r="BA109" s="6"/>
      <c r="BB109" s="6"/>
      <c r="BC109" s="6"/>
      <c r="BD109" s="6"/>
      <c r="BE109" s="6"/>
      <c r="BF109" s="6"/>
      <c r="BG109" s="6"/>
      <c r="BH109" s="6"/>
      <c r="BI109" s="6"/>
      <c r="BJ109" s="6"/>
      <c r="BK109" s="6"/>
      <c r="BL109" s="6"/>
      <c r="BM109" s="6"/>
      <c r="BN109" s="6"/>
      <c r="BO109" s="6"/>
      <c r="BP109" s="6"/>
      <c r="BQ109" s="6"/>
      <c r="BR109" s="6"/>
      <c r="BS109" s="6"/>
      <c r="BT109" s="6"/>
      <c r="BU109" s="6"/>
      <c r="BV109" s="6"/>
      <c r="BW109" s="6"/>
      <c r="BX109" s="6"/>
      <c r="BY109" s="6"/>
      <c r="BZ109" s="6"/>
      <c r="CA109" s="6"/>
      <c r="CB109" s="6"/>
      <c r="CC109" s="6"/>
      <c r="CD109" s="6"/>
      <c r="CE109" s="6"/>
      <c r="CF109" s="6"/>
      <c r="CG109" s="6"/>
      <c r="CH109" s="6"/>
      <c r="CI109" s="6"/>
      <c r="CJ109" s="6"/>
      <c r="CK109" s="6"/>
      <c r="CL109" s="6"/>
      <c r="CM109" s="6"/>
      <c r="CN109" s="6"/>
      <c r="CO109" s="6"/>
      <c r="CP109" s="6"/>
      <c r="CQ109" s="11"/>
      <c r="CR109" s="6"/>
      <c r="CS109" s="6"/>
      <c r="CT109" s="6"/>
      <c r="CU109" s="6"/>
      <c r="CV109" s="11"/>
      <c r="CW109" s="6"/>
      <c r="CX109" s="6"/>
      <c r="CY109" s="6"/>
      <c r="CZ109" s="6"/>
      <c r="DA109" s="11"/>
      <c r="DB109" s="6"/>
      <c r="DC109" s="6"/>
      <c r="DD109" s="6"/>
      <c r="DE109" s="6"/>
      <c r="DF109" s="6"/>
      <c r="DG109" s="6"/>
      <c r="DH109" s="6"/>
    </row>
    <row r="110" spans="1:112">
      <c r="A110" s="556"/>
      <c r="B110" s="48"/>
      <c r="C110" s="48"/>
      <c r="D110" s="48"/>
      <c r="E110" s="48"/>
      <c r="F110" s="48"/>
      <c r="G110" s="48"/>
      <c r="H110" s="48"/>
      <c r="I110" s="48"/>
      <c r="J110" s="38"/>
      <c r="K110" s="38"/>
      <c r="L110" s="38"/>
      <c r="M110" s="38"/>
      <c r="N110" s="48"/>
      <c r="O110" s="48"/>
      <c r="P110" s="254"/>
      <c r="Q110" s="254"/>
      <c r="R110" s="254"/>
      <c r="S110" s="38"/>
      <c r="T110" s="38"/>
      <c r="U110" s="38"/>
      <c r="V110" s="38"/>
      <c r="W110" s="38"/>
      <c r="X110" s="38"/>
      <c r="Y110" s="38"/>
      <c r="Z110" s="38"/>
      <c r="AA110" s="38"/>
      <c r="AB110" s="38"/>
      <c r="AC110" s="38"/>
      <c r="AD110" s="38"/>
      <c r="AE110" s="38"/>
      <c r="AF110" s="38"/>
      <c r="AG110" s="39"/>
      <c r="AH110" s="39"/>
      <c r="AI110" s="39"/>
      <c r="AJ110" s="39"/>
      <c r="AK110" s="39"/>
      <c r="AL110" s="39"/>
      <c r="AM110" s="38"/>
      <c r="AN110" s="38"/>
      <c r="AO110" s="38"/>
      <c r="AP110" s="38"/>
      <c r="AQ110" s="38"/>
      <c r="AR110" s="38"/>
      <c r="AS110" s="38"/>
      <c r="AT110" s="38"/>
      <c r="AU110" s="38"/>
      <c r="AV110" s="6"/>
      <c r="AW110" s="6"/>
      <c r="AX110" s="6"/>
      <c r="AY110" s="6"/>
      <c r="AZ110" s="6"/>
      <c r="BA110" s="38"/>
      <c r="BB110" s="38"/>
      <c r="BC110" s="38"/>
      <c r="BD110" s="38"/>
      <c r="BE110" s="38"/>
      <c r="BF110" s="38"/>
      <c r="BG110" s="38"/>
      <c r="BH110" s="38"/>
      <c r="BI110" s="38"/>
      <c r="BJ110" s="38"/>
      <c r="BK110" s="38"/>
      <c r="BL110" s="38"/>
      <c r="BM110" s="38"/>
      <c r="BN110" s="38"/>
      <c r="BO110" s="38"/>
      <c r="BP110" s="254"/>
      <c r="BQ110" s="254"/>
      <c r="BR110" s="254"/>
      <c r="BS110" s="254"/>
      <c r="BT110" s="254"/>
      <c r="BU110" s="254"/>
      <c r="BV110" s="254"/>
      <c r="BW110" s="254"/>
      <c r="BX110" s="254"/>
      <c r="BY110" s="254"/>
      <c r="BZ110" s="126"/>
      <c r="CA110" s="126"/>
      <c r="CB110" s="126"/>
      <c r="CC110" s="126"/>
      <c r="CD110" s="6"/>
      <c r="CE110" s="6"/>
      <c r="CF110" s="6"/>
      <c r="CG110" s="6"/>
      <c r="CH110" s="6"/>
      <c r="CI110" s="6"/>
      <c r="CJ110" s="6"/>
      <c r="CK110" s="6"/>
      <c r="CL110" s="6"/>
      <c r="CM110" s="6"/>
      <c r="CN110" s="254"/>
      <c r="CO110" s="6"/>
      <c r="CP110" s="6"/>
      <c r="CQ110" s="11"/>
      <c r="CR110" s="6"/>
      <c r="CS110" s="6"/>
      <c r="CT110" s="6"/>
      <c r="CU110" s="6"/>
      <c r="CV110" s="11"/>
      <c r="CW110" s="6"/>
      <c r="CX110" s="6"/>
      <c r="CY110" s="6"/>
      <c r="CZ110" s="6"/>
      <c r="DA110" s="11"/>
      <c r="DB110" s="6"/>
      <c r="DC110" s="6"/>
      <c r="DD110" s="6"/>
      <c r="DE110" s="6"/>
      <c r="DF110" s="6"/>
      <c r="DG110" s="6"/>
      <c r="DH110" s="6"/>
    </row>
    <row r="111" spans="1:112">
      <c r="A111" s="545" t="s">
        <v>771</v>
      </c>
      <c r="B111" s="733">
        <v>1990</v>
      </c>
      <c r="C111" s="733">
        <v>1991</v>
      </c>
      <c r="D111" s="733">
        <v>1992</v>
      </c>
      <c r="E111" s="733">
        <v>1993</v>
      </c>
      <c r="F111" s="733">
        <v>1994</v>
      </c>
      <c r="G111" s="570" t="s">
        <v>742</v>
      </c>
      <c r="H111" s="569">
        <v>1996</v>
      </c>
      <c r="I111" s="569">
        <v>1997</v>
      </c>
      <c r="J111" s="569">
        <v>1998</v>
      </c>
      <c r="K111" s="569">
        <f t="shared" ref="K111:AN111" si="153">+K6</f>
        <v>1999</v>
      </c>
      <c r="L111" s="569">
        <f t="shared" si="153"/>
        <v>2000</v>
      </c>
      <c r="M111" s="569" t="str">
        <f t="shared" si="153"/>
        <v>2001</v>
      </c>
      <c r="N111" s="569" t="str">
        <f t="shared" si="153"/>
        <v>2002</v>
      </c>
      <c r="O111" s="569" t="str">
        <f t="shared" si="153"/>
        <v>2003</v>
      </c>
      <c r="P111" s="569" t="str">
        <f t="shared" si="153"/>
        <v>2004</v>
      </c>
      <c r="Q111" s="569" t="str">
        <f t="shared" si="153"/>
        <v>2005</v>
      </c>
      <c r="R111" s="569" t="str">
        <f t="shared" si="153"/>
        <v>2006</v>
      </c>
      <c r="S111" s="569" t="str">
        <f t="shared" si="153"/>
        <v>2007</v>
      </c>
      <c r="T111" s="569" t="str">
        <f t="shared" si="153"/>
        <v>2008</v>
      </c>
      <c r="U111" s="569" t="str">
        <f t="shared" si="153"/>
        <v>2009</v>
      </c>
      <c r="V111" s="569">
        <f t="shared" si="153"/>
        <v>2010</v>
      </c>
      <c r="W111" s="569">
        <f t="shared" si="153"/>
        <v>2011</v>
      </c>
      <c r="X111" s="569">
        <f t="shared" si="153"/>
        <v>2012</v>
      </c>
      <c r="Y111" s="569">
        <f t="shared" si="153"/>
        <v>2013</v>
      </c>
      <c r="Z111" s="569">
        <f t="shared" si="153"/>
        <v>2014</v>
      </c>
      <c r="AA111" s="569">
        <f t="shared" si="153"/>
        <v>2015</v>
      </c>
      <c r="AB111" s="569">
        <f t="shared" si="153"/>
        <v>2016</v>
      </c>
      <c r="AC111" s="569" t="str">
        <f t="shared" si="153"/>
        <v>2017E</v>
      </c>
      <c r="AD111" s="569" t="str">
        <f t="shared" si="153"/>
        <v>2018E</v>
      </c>
      <c r="AE111" s="569" t="str">
        <f t="shared" si="153"/>
        <v>2019E</v>
      </c>
      <c r="AF111" s="569" t="str">
        <f t="shared" si="153"/>
        <v>2020E</v>
      </c>
      <c r="AG111" s="1259" t="str">
        <f t="shared" si="153"/>
        <v>2021E</v>
      </c>
      <c r="AH111" s="1259" t="str">
        <f t="shared" si="153"/>
        <v>2022E</v>
      </c>
      <c r="AI111" s="1259" t="str">
        <f t="shared" si="153"/>
        <v>2023E</v>
      </c>
      <c r="AJ111" s="1259" t="str">
        <f t="shared" si="153"/>
        <v>2024E</v>
      </c>
      <c r="AK111" s="1259" t="str">
        <f t="shared" si="153"/>
        <v>2025E</v>
      </c>
      <c r="AL111" s="1259" t="str">
        <f t="shared" si="153"/>
        <v>2026E</v>
      </c>
      <c r="AM111" s="1259" t="str">
        <f t="shared" si="153"/>
        <v>2027E</v>
      </c>
      <c r="AN111" s="1259" t="str">
        <f t="shared" si="153"/>
        <v>2028E</v>
      </c>
      <c r="AO111" s="759"/>
      <c r="AP111" s="759"/>
      <c r="AQ111" s="759"/>
      <c r="AR111" s="759"/>
      <c r="AS111" s="759"/>
      <c r="AT111" s="759"/>
      <c r="AU111" s="759"/>
      <c r="AV111" s="6"/>
      <c r="AW111" s="6"/>
      <c r="AX111" s="6"/>
      <c r="AY111" s="6"/>
      <c r="AZ111" s="6"/>
      <c r="BA111" s="6"/>
      <c r="BB111" s="6"/>
      <c r="BC111" s="6"/>
      <c r="BD111" s="6"/>
      <c r="BE111" s="6"/>
      <c r="BF111" s="245"/>
      <c r="BG111" s="245"/>
      <c r="BH111" s="245"/>
      <c r="BI111" s="245"/>
      <c r="BJ111" s="245"/>
      <c r="BK111" s="6"/>
      <c r="BL111" s="6"/>
      <c r="BM111" s="6"/>
      <c r="BN111" s="6"/>
      <c r="BO111" s="6"/>
      <c r="BP111" s="6"/>
      <c r="BQ111" s="6"/>
      <c r="BR111" s="6"/>
      <c r="BS111" s="6"/>
      <c r="BT111" s="254"/>
      <c r="BU111" s="6"/>
      <c r="BV111" s="6"/>
      <c r="BW111" s="6"/>
      <c r="BX111" s="6"/>
      <c r="BY111" s="254"/>
      <c r="BZ111" s="6"/>
      <c r="CA111" s="6"/>
      <c r="CB111" s="6"/>
      <c r="CC111" s="6"/>
      <c r="CD111" s="6"/>
      <c r="CE111" s="6"/>
      <c r="CF111" s="6"/>
      <c r="CG111" s="6"/>
      <c r="CH111" s="6"/>
      <c r="CI111" s="6"/>
      <c r="CJ111" s="6"/>
      <c r="CK111" s="6"/>
      <c r="CL111" s="6"/>
      <c r="CM111" s="6"/>
      <c r="CN111" s="254"/>
      <c r="CO111" s="6"/>
      <c r="CP111" s="6"/>
      <c r="CQ111" s="11"/>
      <c r="CR111" s="6"/>
      <c r="CS111" s="6"/>
      <c r="CT111" s="6"/>
      <c r="CU111" s="6"/>
      <c r="CV111" s="11"/>
      <c r="CW111" s="6"/>
      <c r="CX111" s="6"/>
      <c r="CY111" s="6"/>
      <c r="CZ111" s="6"/>
      <c r="DA111" s="11"/>
      <c r="DB111" s="6"/>
      <c r="DC111" s="6"/>
      <c r="DD111" s="6"/>
      <c r="DE111" s="6"/>
      <c r="DF111" s="6"/>
      <c r="DG111" s="6"/>
      <c r="DH111" s="6"/>
    </row>
    <row r="112" spans="1:112">
      <c r="A112" s="556" t="s">
        <v>753</v>
      </c>
      <c r="B112" s="48"/>
      <c r="C112" s="48"/>
      <c r="D112" s="48"/>
      <c r="E112" s="38"/>
      <c r="F112" s="38"/>
      <c r="G112" s="38"/>
      <c r="H112" s="38"/>
      <c r="I112" s="38"/>
      <c r="J112" s="38"/>
      <c r="K112" s="38"/>
      <c r="L112" s="38"/>
      <c r="M112" s="38"/>
      <c r="N112" s="38"/>
      <c r="O112" s="38"/>
      <c r="P112" s="38"/>
      <c r="Q112" s="38"/>
      <c r="R112" s="38"/>
      <c r="S112" s="38"/>
      <c r="T112" s="38"/>
      <c r="U112" s="38"/>
      <c r="V112" s="38"/>
      <c r="W112" s="38"/>
      <c r="X112" s="48"/>
      <c r="Y112" s="38"/>
      <c r="Z112" s="38"/>
      <c r="AA112" s="38"/>
      <c r="AB112" s="38"/>
      <c r="AC112" s="38"/>
      <c r="AD112" s="38"/>
      <c r="AE112" s="38"/>
      <c r="AF112" s="38"/>
      <c r="AG112" s="39"/>
      <c r="AH112" s="39"/>
      <c r="AI112" s="39"/>
      <c r="AJ112" s="39"/>
      <c r="AK112" s="39"/>
      <c r="AL112" s="39"/>
      <c r="AM112" s="39"/>
      <c r="AN112" s="39"/>
      <c r="AO112" s="38"/>
      <c r="AP112" s="38"/>
      <c r="AQ112" s="38"/>
      <c r="AR112" s="38"/>
      <c r="AS112" s="38"/>
      <c r="AT112" s="38"/>
      <c r="AU112" s="38"/>
      <c r="AV112" s="337"/>
      <c r="AW112" s="337"/>
      <c r="AX112" s="337"/>
      <c r="AY112" s="337"/>
      <c r="AZ112" s="6"/>
      <c r="BA112" s="6"/>
      <c r="BB112" s="6"/>
      <c r="BC112" s="6"/>
      <c r="BD112" s="6"/>
      <c r="BE112" s="6"/>
      <c r="BF112" s="6"/>
      <c r="BG112" s="6"/>
      <c r="BH112" s="6"/>
      <c r="BI112" s="6"/>
      <c r="BJ112" s="6"/>
      <c r="BK112" s="6"/>
      <c r="BL112" s="6"/>
      <c r="BM112" s="6"/>
      <c r="BN112" s="6"/>
      <c r="BO112" s="6"/>
      <c r="BP112" s="6"/>
      <c r="BQ112" s="6"/>
      <c r="BR112" s="6"/>
      <c r="BS112" s="6"/>
      <c r="BT112" s="254"/>
      <c r="BU112" s="6"/>
      <c r="BV112" s="6"/>
      <c r="BW112" s="6"/>
      <c r="BX112" s="6"/>
      <c r="BY112" s="254"/>
      <c r="BZ112" s="6"/>
      <c r="CA112" s="6"/>
      <c r="CB112" s="6"/>
      <c r="CC112" s="6"/>
      <c r="CD112" s="6"/>
      <c r="CE112" s="6"/>
      <c r="CF112" s="6"/>
      <c r="CG112" s="6"/>
      <c r="CH112" s="6"/>
      <c r="CI112" s="6"/>
      <c r="CJ112" s="6"/>
      <c r="CK112" s="6"/>
      <c r="CL112" s="6"/>
      <c r="CM112" s="6"/>
      <c r="CN112" s="254"/>
      <c r="CO112" s="6"/>
      <c r="CP112" s="6"/>
      <c r="CQ112" s="11"/>
      <c r="CR112" s="6"/>
      <c r="CS112" s="6"/>
      <c r="CT112" s="6"/>
      <c r="CU112" s="6"/>
      <c r="CV112" s="11"/>
      <c r="CW112" s="6"/>
      <c r="CX112" s="6"/>
      <c r="CY112" s="6"/>
      <c r="CZ112" s="6"/>
      <c r="DA112" s="11"/>
      <c r="DB112" s="6"/>
      <c r="DC112" s="6"/>
      <c r="DD112" s="6"/>
      <c r="DE112" s="6"/>
      <c r="DF112" s="6"/>
      <c r="DG112" s="6"/>
      <c r="DH112" s="6"/>
    </row>
    <row r="113" spans="1:112">
      <c r="A113" s="556" t="s">
        <v>767</v>
      </c>
      <c r="B113" s="38">
        <f t="shared" ref="B113:AD113" si="154">B23/B$18</f>
        <v>0.2</v>
      </c>
      <c r="C113" s="38">
        <f t="shared" si="154"/>
        <v>0.2</v>
      </c>
      <c r="D113" s="38">
        <f t="shared" si="154"/>
        <v>0.2</v>
      </c>
      <c r="E113" s="38">
        <f t="shared" si="154"/>
        <v>0.20674030608336755</v>
      </c>
      <c r="F113" s="38">
        <f t="shared" si="154"/>
        <v>0.20010445472969149</v>
      </c>
      <c r="G113" s="38">
        <f t="shared" si="154"/>
        <v>0.19898209180718393</v>
      </c>
      <c r="H113" s="38">
        <f t="shared" si="154"/>
        <v>0.26318904927508613</v>
      </c>
      <c r="I113" s="38">
        <f t="shared" si="154"/>
        <v>0.21009039464425461</v>
      </c>
      <c r="J113" s="38">
        <f t="shared" si="154"/>
        <v>0.32174991320603552</v>
      </c>
      <c r="K113" s="38">
        <f t="shared" si="154"/>
        <v>0.34273577158464819</v>
      </c>
      <c r="L113" s="38">
        <f t="shared" si="154"/>
        <v>0.34694760574152789</v>
      </c>
      <c r="M113" s="38">
        <f t="shared" si="154"/>
        <v>0.31925857399534358</v>
      </c>
      <c r="N113" s="38">
        <f t="shared" si="154"/>
        <v>0.30103590228997285</v>
      </c>
      <c r="O113" s="38">
        <f t="shared" si="154"/>
        <v>0.3124917664479569</v>
      </c>
      <c r="P113" s="38">
        <f t="shared" si="154"/>
        <v>0.33657433912671186</v>
      </c>
      <c r="Q113" s="38">
        <f t="shared" si="154"/>
        <v>0.34130751793746045</v>
      </c>
      <c r="R113" s="38">
        <f t="shared" si="154"/>
        <v>0.33730107464129139</v>
      </c>
      <c r="S113" s="38">
        <f t="shared" si="154"/>
        <v>0.33720802414633294</v>
      </c>
      <c r="T113" s="38">
        <f t="shared" si="154"/>
        <v>0.31293886219471706</v>
      </c>
      <c r="U113" s="38">
        <f t="shared" si="154"/>
        <v>0.27165243935557043</v>
      </c>
      <c r="V113" s="38">
        <f t="shared" si="154"/>
        <v>0.24711488583538987</v>
      </c>
      <c r="W113" s="38">
        <f t="shared" si="154"/>
        <v>0.21830435828168882</v>
      </c>
      <c r="X113" s="38">
        <f t="shared" si="154"/>
        <v>0.19864341762096741</v>
      </c>
      <c r="Y113" s="38">
        <f t="shared" si="154"/>
        <v>0.17117449691534217</v>
      </c>
      <c r="Z113" s="38">
        <f t="shared" si="154"/>
        <v>0.16653865530968384</v>
      </c>
      <c r="AA113" s="38">
        <f t="shared" si="154"/>
        <v>0.16582781886271092</v>
      </c>
      <c r="AB113" s="38">
        <f t="shared" si="154"/>
        <v>0.17746077674276486</v>
      </c>
      <c r="AC113" s="38">
        <f t="shared" si="154"/>
        <v>0.15697141940209489</v>
      </c>
      <c r="AD113" s="38">
        <f t="shared" si="154"/>
        <v>0.17345667125850564</v>
      </c>
      <c r="AE113" s="38">
        <f t="shared" ref="AE113:AJ113" si="155">AE23/AE$18</f>
        <v>0.16907472879066415</v>
      </c>
      <c r="AF113" s="38">
        <f t="shared" si="155"/>
        <v>0.16503148072838419</v>
      </c>
      <c r="AG113" s="39">
        <f t="shared" si="155"/>
        <v>0.16093895427118571</v>
      </c>
      <c r="AH113" s="39">
        <f t="shared" si="155"/>
        <v>0.15719441276220325</v>
      </c>
      <c r="AI113" s="39">
        <f t="shared" si="155"/>
        <v>0.15403696526236094</v>
      </c>
      <c r="AJ113" s="39">
        <f t="shared" si="155"/>
        <v>0.15144009521653862</v>
      </c>
      <c r="AK113" s="39">
        <f>AK23/AK$18</f>
        <v>0.14913180526510272</v>
      </c>
      <c r="AL113" s="39">
        <f>AL23/AL$18</f>
        <v>0.14695695496855557</v>
      </c>
      <c r="AM113" s="39">
        <f>AM23/AM$18</f>
        <v>0.14491267159114724</v>
      </c>
      <c r="AN113" s="39">
        <f>AN23/AN$18</f>
        <v>0.14299619353782272</v>
      </c>
      <c r="AO113" s="38"/>
      <c r="AP113" s="38"/>
      <c r="AQ113" s="38"/>
      <c r="AR113" s="38"/>
      <c r="AS113" s="38"/>
      <c r="AT113" s="38"/>
      <c r="AU113" s="38"/>
      <c r="AV113" s="130">
        <v>0.18</v>
      </c>
      <c r="AW113" s="130">
        <v>0.17499999999999999</v>
      </c>
      <c r="AX113" s="130">
        <v>0.17</v>
      </c>
      <c r="AY113" s="130">
        <f>AY23/AY$18</f>
        <v>0.30303701440314429</v>
      </c>
      <c r="AZ113" s="38"/>
      <c r="BA113" s="130">
        <v>0.16500000000000001</v>
      </c>
      <c r="BB113" s="130">
        <v>0.16</v>
      </c>
      <c r="BC113" s="130">
        <v>0.16</v>
      </c>
      <c r="BD113" s="130">
        <f>BD23/BD$18</f>
        <v>0.76741035876705399</v>
      </c>
      <c r="BE113" s="38"/>
      <c r="BF113" s="130">
        <v>0.16500000000000001</v>
      </c>
      <c r="BG113" s="130">
        <v>0.17</v>
      </c>
      <c r="BH113" s="130">
        <v>0.17499999999999999</v>
      </c>
      <c r="BI113" s="130">
        <f>BI23/BI$18</f>
        <v>0.83503272510848625</v>
      </c>
      <c r="BJ113" s="38"/>
      <c r="BK113" s="245">
        <f>+L113</f>
        <v>0.34694760574152789</v>
      </c>
      <c r="BL113" s="245">
        <f t="shared" ref="BL113:BN114" si="156">+BK113</f>
        <v>0.34694760574152789</v>
      </c>
      <c r="BM113" s="245">
        <f t="shared" si="156"/>
        <v>0.34694760574152789</v>
      </c>
      <c r="BN113" s="245">
        <f t="shared" si="156"/>
        <v>0.34694760574152789</v>
      </c>
      <c r="BO113" s="245"/>
      <c r="BP113" s="245">
        <f>+BP23/BP18</f>
        <v>0.34215213171513958</v>
      </c>
      <c r="BQ113" s="245">
        <f>+M113</f>
        <v>0.31925857399534358</v>
      </c>
      <c r="BR113" s="245">
        <f>+N113</f>
        <v>0.30103590228997285</v>
      </c>
      <c r="BS113" s="245">
        <f>+O113</f>
        <v>0.3124917664479569</v>
      </c>
      <c r="BT113" s="254"/>
      <c r="BU113" s="245">
        <f>+BU23/BU$18</f>
        <v>0.3372161119840445</v>
      </c>
      <c r="BV113" s="245">
        <f>+BV23/BV$18</f>
        <v>0.33425723318425743</v>
      </c>
      <c r="BW113" s="245">
        <f>+BW23/BW$18</f>
        <v>0.32527311926858554</v>
      </c>
      <c r="BX113" s="245">
        <f>+BX23/BX$18</f>
        <v>0.20478905920869503</v>
      </c>
      <c r="BY113" s="254"/>
      <c r="BZ113" s="38">
        <v>0.31</v>
      </c>
      <c r="CA113" s="38">
        <v>0.31</v>
      </c>
      <c r="CB113" s="38">
        <v>0.31</v>
      </c>
      <c r="CC113" s="38">
        <f>+CC23/CC18</f>
        <v>0.32051891634503532</v>
      </c>
      <c r="CD113" s="6"/>
      <c r="CE113" s="485">
        <v>0.32</v>
      </c>
      <c r="CF113" s="485">
        <v>0.32</v>
      </c>
      <c r="CG113" s="485">
        <v>0.32</v>
      </c>
      <c r="CH113" s="245">
        <f>+CH23/$CH$18</f>
        <v>0.38087302733810535</v>
      </c>
      <c r="CI113" s="6"/>
      <c r="CJ113" s="485">
        <f t="shared" ref="CJ113:CL115" si="157">$Q113</f>
        <v>0.34130751793746045</v>
      </c>
      <c r="CK113" s="485">
        <f t="shared" si="157"/>
        <v>0.34130751793746045</v>
      </c>
      <c r="CL113" s="485">
        <f t="shared" si="157"/>
        <v>0.34130751793746045</v>
      </c>
      <c r="CM113" s="245">
        <f>+CM23/CM$18</f>
        <v>0.34130751793746045</v>
      </c>
      <c r="CN113" s="254"/>
      <c r="CO113" s="485">
        <f>$Q113</f>
        <v>0.34130751793746045</v>
      </c>
      <c r="CP113" s="485">
        <f>$Q113</f>
        <v>0.34130751793746045</v>
      </c>
      <c r="CQ113" s="394">
        <f>$Q113</f>
        <v>0.34130751793746045</v>
      </c>
      <c r="CR113" s="245">
        <f>+CR23/CR$18</f>
        <v>0.32593331560432359</v>
      </c>
      <c r="CS113" s="6"/>
      <c r="CT113" s="485">
        <v>0.35</v>
      </c>
      <c r="CU113" s="485">
        <v>0.35</v>
      </c>
      <c r="CV113" s="394">
        <v>0.34</v>
      </c>
      <c r="CW113" s="245">
        <f>+CW23/CW$18</f>
        <v>0.31050079147870707</v>
      </c>
      <c r="CX113" s="6"/>
      <c r="CY113" s="485">
        <v>0.315</v>
      </c>
      <c r="CZ113" s="485">
        <v>0.315</v>
      </c>
      <c r="DA113" s="485">
        <v>0.31</v>
      </c>
      <c r="DB113" s="245">
        <f>+DB23/DB$18</f>
        <v>0.31165541305603683</v>
      </c>
      <c r="DC113" s="6"/>
      <c r="DD113" s="485">
        <v>0.32</v>
      </c>
      <c r="DE113" s="485">
        <v>0.28999999999999998</v>
      </c>
      <c r="DF113" s="485">
        <v>0.23</v>
      </c>
      <c r="DG113" s="245">
        <f>+DG23/DG$18</f>
        <v>0.24471587553034704</v>
      </c>
      <c r="DH113" s="6"/>
    </row>
    <row r="114" spans="1:112">
      <c r="A114" s="556" t="s">
        <v>768</v>
      </c>
      <c r="B114" s="38">
        <f t="shared" ref="B114:Q114" si="158">B24/B$18</f>
        <v>4.0469445568595712E-2</v>
      </c>
      <c r="C114" s="38">
        <f t="shared" si="158"/>
        <v>3.9157564164563577E-2</v>
      </c>
      <c r="D114" s="38">
        <f t="shared" si="158"/>
        <v>3.806398937253417E-2</v>
      </c>
      <c r="E114" s="38">
        <f t="shared" si="158"/>
        <v>3.5059118438466867E-2</v>
      </c>
      <c r="F114" s="38">
        <f t="shared" si="158"/>
        <v>3.3944331296673451E-2</v>
      </c>
      <c r="G114" s="38">
        <f t="shared" si="158"/>
        <v>4.5008841022343676E-2</v>
      </c>
      <c r="H114" s="38">
        <f t="shared" si="158"/>
        <v>5.2522509646991566E-2</v>
      </c>
      <c r="I114" s="38">
        <f t="shared" si="158"/>
        <v>5.6487708879988954E-2</v>
      </c>
      <c r="J114" s="38">
        <f t="shared" si="158"/>
        <v>5.7347960341834696E-2</v>
      </c>
      <c r="K114" s="38">
        <f t="shared" si="158"/>
        <v>7.9907435668670174E-2</v>
      </c>
      <c r="L114" s="38">
        <f t="shared" si="158"/>
        <v>8.5577361935189417E-2</v>
      </c>
      <c r="M114" s="38">
        <f t="shared" si="158"/>
        <v>9.6661329817576858E-2</v>
      </c>
      <c r="N114" s="38">
        <f t="shared" si="158"/>
        <v>9.980882040965762E-2</v>
      </c>
      <c r="O114" s="38">
        <f t="shared" si="158"/>
        <v>0.10532233210441351</v>
      </c>
      <c r="P114" s="38">
        <f t="shared" si="158"/>
        <v>0.11316962851485149</v>
      </c>
      <c r="Q114" s="38">
        <f t="shared" si="158"/>
        <v>0.11664345124159714</v>
      </c>
      <c r="R114" s="38">
        <v>0.15</v>
      </c>
      <c r="S114" s="38">
        <f>+R114</f>
        <v>0.15</v>
      </c>
      <c r="T114" s="38">
        <f>+S114</f>
        <v>0.15</v>
      </c>
      <c r="U114" s="38">
        <v>0.15</v>
      </c>
      <c r="V114" s="38">
        <f t="shared" ref="V114:AA114" si="159">+U114</f>
        <v>0.15</v>
      </c>
      <c r="W114" s="38">
        <f t="shared" si="159"/>
        <v>0.15</v>
      </c>
      <c r="X114" s="38">
        <f t="shared" si="159"/>
        <v>0.15</v>
      </c>
      <c r="Y114" s="38">
        <f t="shared" si="159"/>
        <v>0.15</v>
      </c>
      <c r="Z114" s="38">
        <f t="shared" si="159"/>
        <v>0.15</v>
      </c>
      <c r="AA114" s="38">
        <f t="shared" si="159"/>
        <v>0.15</v>
      </c>
      <c r="AB114" s="38">
        <f t="shared" ref="AB114:AH114" si="160">+AA114</f>
        <v>0.15</v>
      </c>
      <c r="AC114" s="38">
        <f t="shared" si="160"/>
        <v>0.15</v>
      </c>
      <c r="AD114" s="38">
        <f t="shared" si="160"/>
        <v>0.15</v>
      </c>
      <c r="AE114" s="38">
        <f>+AD114</f>
        <v>0.15</v>
      </c>
      <c r="AF114" s="38">
        <f t="shared" si="160"/>
        <v>0.15</v>
      </c>
      <c r="AG114" s="39">
        <f t="shared" si="160"/>
        <v>0.15</v>
      </c>
      <c r="AH114" s="39">
        <f t="shared" si="160"/>
        <v>0.15</v>
      </c>
      <c r="AI114" s="39">
        <f t="shared" ref="AI114:AN114" si="161">+AH114</f>
        <v>0.15</v>
      </c>
      <c r="AJ114" s="39">
        <f t="shared" si="161"/>
        <v>0.15</v>
      </c>
      <c r="AK114" s="39">
        <f t="shared" si="161"/>
        <v>0.15</v>
      </c>
      <c r="AL114" s="39">
        <f t="shared" si="161"/>
        <v>0.15</v>
      </c>
      <c r="AM114" s="39">
        <f t="shared" si="161"/>
        <v>0.15</v>
      </c>
      <c r="AN114" s="39">
        <f t="shared" si="161"/>
        <v>0.15</v>
      </c>
      <c r="AO114" s="38"/>
      <c r="AP114" s="38"/>
      <c r="AQ114" s="38"/>
      <c r="AR114" s="38"/>
      <c r="AS114" s="38"/>
      <c r="AT114" s="38"/>
      <c r="AU114" s="38"/>
      <c r="AV114" s="130">
        <v>5.6000000000000001E-2</v>
      </c>
      <c r="AW114" s="130">
        <v>5.6000000000000001E-2</v>
      </c>
      <c r="AX114" s="130">
        <v>5.6000000000000001E-2</v>
      </c>
      <c r="AY114" s="130">
        <f>AY24/AY$18</f>
        <v>5.7777302466029197E-2</v>
      </c>
      <c r="AZ114" s="38"/>
      <c r="BA114" s="130">
        <v>5.6000000000000001E-2</v>
      </c>
      <c r="BB114" s="130">
        <v>5.6000000000000001E-2</v>
      </c>
      <c r="BC114" s="130">
        <v>5.6000000000000001E-2</v>
      </c>
      <c r="BD114" s="130">
        <f>BD24/BD$18</f>
        <v>6.1100997978777188E-2</v>
      </c>
      <c r="BE114" s="38"/>
      <c r="BF114" s="130">
        <v>0.09</v>
      </c>
      <c r="BG114" s="130">
        <v>9.5000000000000001E-2</v>
      </c>
      <c r="BH114" s="130">
        <v>9.5000000000000001E-2</v>
      </c>
      <c r="BI114" s="130">
        <f>BI24/BI$18</f>
        <v>4.15818617405979E-2</v>
      </c>
      <c r="BJ114" s="38"/>
      <c r="BK114" s="245">
        <f>+L114</f>
        <v>8.5577361935189417E-2</v>
      </c>
      <c r="BL114" s="245">
        <f t="shared" si="156"/>
        <v>8.5577361935189417E-2</v>
      </c>
      <c r="BM114" s="245">
        <f t="shared" si="156"/>
        <v>8.5577361935189417E-2</v>
      </c>
      <c r="BN114" s="245">
        <f t="shared" si="156"/>
        <v>8.5577361935189417E-2</v>
      </c>
      <c r="BO114" s="245"/>
      <c r="BP114" s="245">
        <f>+M114</f>
        <v>9.6661329817576858E-2</v>
      </c>
      <c r="BQ114" s="245">
        <f>+BP114</f>
        <v>9.6661329817576858E-2</v>
      </c>
      <c r="BR114" s="245">
        <f>+BQ114</f>
        <v>9.6661329817576858E-2</v>
      </c>
      <c r="BS114" s="245">
        <f>+BS24/$BS$18</f>
        <v>9.6661329817576802E-2</v>
      </c>
      <c r="BT114" s="254"/>
      <c r="BU114" s="245">
        <f>+$N114</f>
        <v>9.980882040965762E-2</v>
      </c>
      <c r="BV114" s="245">
        <f>+BU114</f>
        <v>9.980882040965762E-2</v>
      </c>
      <c r="BW114" s="245">
        <f>+BV114</f>
        <v>9.980882040965762E-2</v>
      </c>
      <c r="BX114" s="245">
        <f>+BX24/BX$18</f>
        <v>9.9808820409657689E-2</v>
      </c>
      <c r="BY114" s="254"/>
      <c r="BZ114" s="130">
        <v>0.10199999999999999</v>
      </c>
      <c r="CA114" s="130">
        <v>0.1</v>
      </c>
      <c r="CB114" s="130">
        <v>0.1</v>
      </c>
      <c r="CC114" s="38">
        <f>+CC24/CC18</f>
        <v>0.12027341297842407</v>
      </c>
      <c r="CD114" s="6"/>
      <c r="CE114" s="485">
        <f>+P114</f>
        <v>0.11316962851485149</v>
      </c>
      <c r="CF114" s="485">
        <f>+CE114</f>
        <v>0.11316962851485149</v>
      </c>
      <c r="CG114" s="485">
        <f>+CF114</f>
        <v>0.11316962851485149</v>
      </c>
      <c r="CH114" s="245">
        <f>+CH24/$CH$18</f>
        <v>0.11316962851485145</v>
      </c>
      <c r="CI114" s="6"/>
      <c r="CJ114" s="485">
        <f t="shared" si="157"/>
        <v>0.11664345124159714</v>
      </c>
      <c r="CK114" s="485">
        <f t="shared" si="157"/>
        <v>0.11664345124159714</v>
      </c>
      <c r="CL114" s="485">
        <f t="shared" si="157"/>
        <v>0.11664345124159714</v>
      </c>
      <c r="CM114" s="245">
        <f>+CM24/CM$18</f>
        <v>0.11664345124159717</v>
      </c>
      <c r="CN114" s="254"/>
      <c r="CO114" s="485">
        <v>0.15</v>
      </c>
      <c r="CP114" s="485">
        <v>0.15</v>
      </c>
      <c r="CQ114" s="485">
        <v>0.15</v>
      </c>
      <c r="CR114" s="245">
        <f>+CR24/CR$18</f>
        <v>0.10345856563098815</v>
      </c>
      <c r="CS114" s="6"/>
      <c r="CT114" s="485">
        <v>0.13200000000000001</v>
      </c>
      <c r="CU114" s="485">
        <v>0.13300000000000001</v>
      </c>
      <c r="CV114" s="394">
        <f>CU114</f>
        <v>0.13300000000000001</v>
      </c>
      <c r="CW114" s="245">
        <f>+CW24/CW$18</f>
        <v>0.16871360469645236</v>
      </c>
      <c r="CX114" s="6"/>
      <c r="CY114" s="485">
        <v>0.15</v>
      </c>
      <c r="CZ114" s="485">
        <v>0.14000000000000001</v>
      </c>
      <c r="DA114" s="485">
        <v>0.14000000000000001</v>
      </c>
      <c r="DB114" s="245">
        <f>+DB24/DB$18</f>
        <v>0.15907215042534506</v>
      </c>
      <c r="DC114" s="6"/>
      <c r="DD114" s="485">
        <v>0.16</v>
      </c>
      <c r="DE114" s="485">
        <v>0.18</v>
      </c>
      <c r="DF114" s="485">
        <v>0.15</v>
      </c>
      <c r="DG114" s="245">
        <f>+DG24/DG$18</f>
        <v>0.11787711839293687</v>
      </c>
      <c r="DH114" s="6"/>
    </row>
    <row r="115" spans="1:112">
      <c r="A115" s="556" t="s">
        <v>769</v>
      </c>
      <c r="B115" s="130">
        <v>0.2</v>
      </c>
      <c r="C115" s="130">
        <v>0.2</v>
      </c>
      <c r="D115" s="130">
        <v>0.2</v>
      </c>
      <c r="E115" s="130">
        <v>0.2</v>
      </c>
      <c r="F115" s="130">
        <v>0.2</v>
      </c>
      <c r="G115" s="130">
        <v>0.2</v>
      </c>
      <c r="H115" s="130">
        <v>0.2</v>
      </c>
      <c r="I115" s="130">
        <v>0.2</v>
      </c>
      <c r="J115" s="130">
        <f>I115</f>
        <v>0.2</v>
      </c>
      <c r="K115" s="130">
        <f>J115</f>
        <v>0.2</v>
      </c>
      <c r="L115" s="130">
        <v>0.20100000000000001</v>
      </c>
      <c r="M115" s="130">
        <v>0.19</v>
      </c>
      <c r="N115" s="130">
        <v>0.18</v>
      </c>
      <c r="O115" s="130">
        <v>0.17</v>
      </c>
      <c r="P115" s="130">
        <v>0.16</v>
      </c>
      <c r="Q115" s="130">
        <f>P115*0.995</f>
        <v>0.15920000000000001</v>
      </c>
      <c r="R115" s="130">
        <f>+Q115</f>
        <v>0.15920000000000001</v>
      </c>
      <c r="S115" s="130">
        <f>R115*0.98</f>
        <v>0.15601600000000002</v>
      </c>
      <c r="T115" s="130">
        <v>0.14000000000000001</v>
      </c>
      <c r="U115" s="130">
        <v>0.15</v>
      </c>
      <c r="V115" s="130">
        <v>0.14000000000000001</v>
      </c>
      <c r="W115" s="130">
        <v>0.13</v>
      </c>
      <c r="X115" s="130">
        <f>W115*0.968</f>
        <v>0.12584000000000001</v>
      </c>
      <c r="Y115" s="38">
        <f t="shared" ref="Y115:AD115" si="162">Y25/Y$18</f>
        <v>0.11356246344568412</v>
      </c>
      <c r="Z115" s="38">
        <f t="shared" si="162"/>
        <v>0.11021212882877419</v>
      </c>
      <c r="AA115" s="38">
        <f t="shared" si="162"/>
        <v>0.11027703614537868</v>
      </c>
      <c r="AB115" s="38">
        <f t="shared" si="162"/>
        <v>0.11858873439743463</v>
      </c>
      <c r="AC115" s="38">
        <f t="shared" si="162"/>
        <v>0.10540834650648846</v>
      </c>
      <c r="AD115" s="38">
        <f t="shared" si="162"/>
        <v>0.11931934396097191</v>
      </c>
      <c r="AE115" s="38">
        <f t="shared" ref="AE115:AJ115" si="163">AE25/AE$18</f>
        <v>0.11914175201739829</v>
      </c>
      <c r="AF115" s="38">
        <f t="shared" si="163"/>
        <v>0.11937597449299484</v>
      </c>
      <c r="AG115" s="38">
        <f t="shared" si="163"/>
        <v>0.11973673849065247</v>
      </c>
      <c r="AH115" s="38">
        <f t="shared" si="163"/>
        <v>0.12036775009152113</v>
      </c>
      <c r="AI115" s="38">
        <f t="shared" si="163"/>
        <v>0.12084094410934203</v>
      </c>
      <c r="AJ115" s="38">
        <f t="shared" si="163"/>
        <v>0.12171557316403571</v>
      </c>
      <c r="AK115" s="38">
        <f t="shared" ref="AK115:AM116" si="164">AK25/AK$18</f>
        <v>0.12221055521779893</v>
      </c>
      <c r="AL115" s="38">
        <f t="shared" si="164"/>
        <v>0.1227896479383923</v>
      </c>
      <c r="AM115" s="38">
        <f t="shared" si="164"/>
        <v>0.12345569828632393</v>
      </c>
      <c r="AN115" s="38">
        <f t="shared" ref="AN115" si="165">AN25/AN$18</f>
        <v>0.12421167596146895</v>
      </c>
      <c r="AO115" s="130"/>
      <c r="AP115" s="130"/>
      <c r="AQ115" s="130"/>
      <c r="AR115" s="130"/>
      <c r="AS115" s="130"/>
      <c r="AT115" s="130"/>
      <c r="AU115" s="130"/>
      <c r="AV115" s="130">
        <v>0.2</v>
      </c>
      <c r="AW115" s="130">
        <v>0.2</v>
      </c>
      <c r="AX115" s="130">
        <v>0.2</v>
      </c>
      <c r="AY115" s="130">
        <f>+AY25/AY18</f>
        <v>0.2</v>
      </c>
      <c r="AZ115" s="38"/>
      <c r="BA115" s="130">
        <v>0.2</v>
      </c>
      <c r="BB115" s="130">
        <v>0.2</v>
      </c>
      <c r="BC115" s="130">
        <v>0.2</v>
      </c>
      <c r="BD115" s="130">
        <f>+BD25/BD18</f>
        <v>0.19999999999999996</v>
      </c>
      <c r="BE115" s="38"/>
      <c r="BF115" s="130">
        <v>0.2</v>
      </c>
      <c r="BG115" s="130">
        <v>0.2</v>
      </c>
      <c r="BH115" s="130">
        <v>0.2</v>
      </c>
      <c r="BI115" s="130">
        <f>+BI25/BI18</f>
        <v>0.20000000000000012</v>
      </c>
      <c r="BJ115" s="38"/>
      <c r="BK115" s="245">
        <f>+L115</f>
        <v>0.20100000000000001</v>
      </c>
      <c r="BL115" s="245">
        <f>+M115</f>
        <v>0.19</v>
      </c>
      <c r="BM115" s="245">
        <f>+N115</f>
        <v>0.18</v>
      </c>
      <c r="BN115" s="245">
        <f>+O115</f>
        <v>0.17</v>
      </c>
      <c r="BO115" s="245"/>
      <c r="BP115" s="245">
        <f>+M115</f>
        <v>0.19</v>
      </c>
      <c r="BQ115" s="245">
        <f>+BP115</f>
        <v>0.19</v>
      </c>
      <c r="BR115" s="245">
        <f>+BQ115</f>
        <v>0.19</v>
      </c>
      <c r="BS115" s="245">
        <f>+BS25/$BS$18</f>
        <v>0.18999999999999995</v>
      </c>
      <c r="BT115" s="254"/>
      <c r="BU115" s="245">
        <f>+$N115</f>
        <v>0.18</v>
      </c>
      <c r="BV115" s="245">
        <f>+BU115</f>
        <v>0.18</v>
      </c>
      <c r="BW115" s="245">
        <f>+BV115</f>
        <v>0.18</v>
      </c>
      <c r="BX115" s="245">
        <f>+BX25/BX18</f>
        <v>0.18</v>
      </c>
      <c r="BY115" s="254"/>
      <c r="BZ115" s="485">
        <v>0.17</v>
      </c>
      <c r="CA115" s="485">
        <v>0.17</v>
      </c>
      <c r="CB115" s="485">
        <v>0.17</v>
      </c>
      <c r="CC115" s="245">
        <f>+CC25/CC18</f>
        <v>0.17000000000000004</v>
      </c>
      <c r="CD115" s="6"/>
      <c r="CE115" s="485">
        <v>0.16</v>
      </c>
      <c r="CF115" s="485">
        <v>0.16</v>
      </c>
      <c r="CG115" s="485">
        <v>0.16</v>
      </c>
      <c r="CH115" s="245">
        <f>+CH25/$CH$18</f>
        <v>0.16</v>
      </c>
      <c r="CI115" s="6"/>
      <c r="CJ115" s="485">
        <f t="shared" si="157"/>
        <v>0.15920000000000001</v>
      </c>
      <c r="CK115" s="485">
        <f t="shared" si="157"/>
        <v>0.15920000000000001</v>
      </c>
      <c r="CL115" s="485">
        <f t="shared" si="157"/>
        <v>0.15920000000000001</v>
      </c>
      <c r="CM115" s="245">
        <f>+CM25/CM$18</f>
        <v>0.15920000000000004</v>
      </c>
      <c r="CN115" s="254"/>
      <c r="CO115" s="485">
        <f>$Q115</f>
        <v>0.15920000000000001</v>
      </c>
      <c r="CP115" s="394">
        <f>$Q115</f>
        <v>0.15920000000000001</v>
      </c>
      <c r="CQ115" s="394">
        <f>$Q115</f>
        <v>0.15920000000000001</v>
      </c>
      <c r="CR115" s="245">
        <f>+CR25/CR$18</f>
        <v>0.15920000000000015</v>
      </c>
      <c r="CS115" s="6"/>
      <c r="CT115" s="485">
        <v>0.159</v>
      </c>
      <c r="CU115" s="485">
        <v>0.155</v>
      </c>
      <c r="CV115" s="394">
        <f>CU115</f>
        <v>0.155</v>
      </c>
      <c r="CW115" s="245">
        <f>+CW25/CW$18</f>
        <v>0.15533684646820015</v>
      </c>
      <c r="CX115" s="6"/>
      <c r="CY115" s="485">
        <v>0.15</v>
      </c>
      <c r="CZ115" s="485">
        <v>0.14000000000000001</v>
      </c>
      <c r="DA115" s="485">
        <v>0.14000000000000001</v>
      </c>
      <c r="DB115" s="245">
        <f>+DB25/DB$18</f>
        <v>0.13002564428591873</v>
      </c>
      <c r="DC115" s="6"/>
      <c r="DD115" s="485">
        <v>0.15</v>
      </c>
      <c r="DE115" s="485">
        <v>0.14000000000000001</v>
      </c>
      <c r="DF115" s="485">
        <v>0.15</v>
      </c>
      <c r="DG115" s="245">
        <f>+DG25/DG$18</f>
        <v>0.15985142200729102</v>
      </c>
      <c r="DH115" s="6"/>
    </row>
    <row r="116" spans="1:112">
      <c r="A116" s="556" t="s">
        <v>778</v>
      </c>
      <c r="B116" s="38">
        <f t="shared" ref="B116:AD116" si="166">B26/B$18</f>
        <v>0</v>
      </c>
      <c r="C116" s="38">
        <f t="shared" si="166"/>
        <v>0.46682708215452745</v>
      </c>
      <c r="D116" s="38">
        <f t="shared" si="166"/>
        <v>0.47889941781128254</v>
      </c>
      <c r="E116" s="38">
        <f t="shared" si="166"/>
        <v>0.47696737098709246</v>
      </c>
      <c r="F116" s="38">
        <f t="shared" si="166"/>
        <v>0.47667762266338376</v>
      </c>
      <c r="G116" s="38">
        <f t="shared" si="166"/>
        <v>0.4340029588277623</v>
      </c>
      <c r="H116" s="38">
        <f t="shared" si="166"/>
        <v>0.35553897702189818</v>
      </c>
      <c r="I116" s="38">
        <f t="shared" si="166"/>
        <v>0.38841430083979456</v>
      </c>
      <c r="J116" s="38">
        <f t="shared" si="166"/>
        <v>0.25986594004539987</v>
      </c>
      <c r="K116" s="38">
        <f t="shared" si="166"/>
        <v>0.20455438853931879</v>
      </c>
      <c r="L116" s="38">
        <f t="shared" si="166"/>
        <v>0.17660739197640921</v>
      </c>
      <c r="M116" s="38">
        <f t="shared" si="166"/>
        <v>0.1526231523435424</v>
      </c>
      <c r="N116" s="38">
        <f t="shared" si="166"/>
        <v>0.14591932808429475</v>
      </c>
      <c r="O116" s="38">
        <f t="shared" si="166"/>
        <v>0.14515461698389043</v>
      </c>
      <c r="P116" s="38">
        <f t="shared" si="166"/>
        <v>8.7285735328733641E-2</v>
      </c>
      <c r="Q116" s="38">
        <f t="shared" si="166"/>
        <v>8.568098422161266E-2</v>
      </c>
      <c r="R116" s="38">
        <f t="shared" ca="1" si="166"/>
        <v>7.1786685421509372E-2</v>
      </c>
      <c r="S116" s="38">
        <f t="shared" ca="1" si="166"/>
        <v>6.6945803668338688E-2</v>
      </c>
      <c r="T116" s="38">
        <f t="shared" si="166"/>
        <v>8.8090465802710682E-2</v>
      </c>
      <c r="U116" s="38">
        <f t="shared" si="166"/>
        <v>8.0664434157344325E-2</v>
      </c>
      <c r="V116" s="38">
        <f t="shared" si="166"/>
        <v>6.7087744093488832E-2</v>
      </c>
      <c r="W116" s="38">
        <f t="shared" si="166"/>
        <v>5.2498730743625883E-2</v>
      </c>
      <c r="X116" s="38">
        <f t="shared" si="166"/>
        <v>5.5038081800502472E-2</v>
      </c>
      <c r="Y116" s="38">
        <f t="shared" si="166"/>
        <v>7.8871870544508851E-2</v>
      </c>
      <c r="Z116" s="38">
        <f t="shared" si="166"/>
        <v>7.8707873790158561E-2</v>
      </c>
      <c r="AA116" s="38">
        <f t="shared" si="166"/>
        <v>5.7455217972685643E-2</v>
      </c>
      <c r="AB116" s="38">
        <f t="shared" si="166"/>
        <v>7.1952659636294783E-2</v>
      </c>
      <c r="AC116" s="38">
        <f t="shared" si="166"/>
        <v>4.2847549243136086E-2</v>
      </c>
      <c r="AD116" s="38">
        <f t="shared" si="166"/>
        <v>4.6297552889318368E-2</v>
      </c>
      <c r="AE116" s="38">
        <f t="shared" ref="AE116:AJ116" si="167">AE26/AE$18</f>
        <v>4.5127962745042535E-2</v>
      </c>
      <c r="AF116" s="38">
        <f t="shared" si="167"/>
        <v>4.4140092823099081E-2</v>
      </c>
      <c r="AG116" s="39">
        <f t="shared" si="167"/>
        <v>4.3219357146140398E-2</v>
      </c>
      <c r="AH116" s="39">
        <f t="shared" si="167"/>
        <v>4.2371289276596572E-2</v>
      </c>
      <c r="AI116" s="39">
        <f t="shared" si="167"/>
        <v>4.1642326897462126E-2</v>
      </c>
      <c r="AJ116" s="39">
        <f t="shared" si="167"/>
        <v>4.1020564569953635E-2</v>
      </c>
      <c r="AK116" s="39">
        <f t="shared" si="164"/>
        <v>4.043492153774543E-2</v>
      </c>
      <c r="AL116" s="39">
        <f t="shared" si="164"/>
        <v>3.9845242488793391E-2</v>
      </c>
      <c r="AM116" s="39">
        <f t="shared" si="164"/>
        <v>3.9290964762325298E-2</v>
      </c>
      <c r="AN116" s="39">
        <f t="shared" ref="AN116" si="168">AN26/AN$18</f>
        <v>3.8771339591978614E-2</v>
      </c>
      <c r="AO116" s="38"/>
      <c r="AP116" s="38"/>
      <c r="AQ116" s="38"/>
      <c r="AR116" s="38"/>
      <c r="AS116" s="38"/>
      <c r="AT116" s="38"/>
      <c r="AU116" s="38"/>
      <c r="AV116" s="38">
        <f>+AV26/AV18</f>
        <v>0.45700173510699826</v>
      </c>
      <c r="AW116" s="38">
        <f>+AW26/AW18</f>
        <v>0.4125334872979215</v>
      </c>
      <c r="AX116" s="38">
        <f>+AX26/AX18</f>
        <v>0.41783714445064135</v>
      </c>
      <c r="AY116" s="38">
        <f>+AY26/AY18</f>
        <v>0.28115850648261304</v>
      </c>
      <c r="AZ116" s="38"/>
      <c r="BA116" s="38">
        <f>+BA26/BA18</f>
        <v>0.4685474137931035</v>
      </c>
      <c r="BB116" s="38">
        <f>+BB26/BB18</f>
        <v>0.4157909635274904</v>
      </c>
      <c r="BC116" s="38">
        <f>+BC26/BC18</f>
        <v>0.4117380297193175</v>
      </c>
      <c r="BD116" s="38">
        <f>+BD26/BD18</f>
        <v>-0.22002222081859527</v>
      </c>
      <c r="BE116" s="38"/>
      <c r="BF116" s="38">
        <f>+BF26/BF18</f>
        <v>0.39356262833675559</v>
      </c>
      <c r="BG116" s="38">
        <f>+BG26/BG18</f>
        <v>0.37625379170879675</v>
      </c>
      <c r="BH116" s="38">
        <f>+BH26/BH18</f>
        <v>0.35829808660624374</v>
      </c>
      <c r="BI116" s="38">
        <f>+BI26/BI18</f>
        <v>-0.28394342002169731</v>
      </c>
      <c r="BJ116" s="38"/>
      <c r="BK116" s="245">
        <f>+BK26/BK18</f>
        <v>0.19039847729935913</v>
      </c>
      <c r="BL116" s="245">
        <f>+BL26/BL18</f>
        <v>0.20564404640778972</v>
      </c>
      <c r="BM116" s="245">
        <f>+BM26/BM18</f>
        <v>0.20493883223552495</v>
      </c>
      <c r="BN116" s="245">
        <f>+BN26/BN18</f>
        <v>0.10806929280893432</v>
      </c>
      <c r="BO116" s="245"/>
      <c r="BP116" s="245">
        <f>+BP26/BP18</f>
        <v>0.16690347888543394</v>
      </c>
      <c r="BQ116" s="245">
        <f>+BQ26/BQ18</f>
        <v>0.16498640348262031</v>
      </c>
      <c r="BR116" s="245">
        <f>+BR26/BR18</f>
        <v>0.14077183412217489</v>
      </c>
      <c r="BS116" s="245">
        <f>+BS26/$BS$18</f>
        <v>0.13884486401115431</v>
      </c>
      <c r="BT116" s="254"/>
      <c r="BU116" s="245">
        <f>+$N116-$M116+BP116</f>
        <v>0.16019965462618629</v>
      </c>
      <c r="BV116" s="245">
        <f>+$N116-$M116+BQ116</f>
        <v>0.15828257922337266</v>
      </c>
      <c r="BW116" s="245">
        <f>+$N116-$M116+BR116</f>
        <v>0.13406800986292725</v>
      </c>
      <c r="BX116" s="245">
        <f>+BX26/BX$18</f>
        <v>9.1540156540789869E-2</v>
      </c>
      <c r="BY116" s="254"/>
      <c r="BZ116" s="245">
        <f>+BZ26/BZ18</f>
        <v>0.15635696246329095</v>
      </c>
      <c r="CA116" s="245">
        <f>+CA26/CA18</f>
        <v>0.14906989833667939</v>
      </c>
      <c r="CB116" s="245">
        <f>+CB26/CB18</f>
        <v>0.15895566233269348</v>
      </c>
      <c r="CC116" s="245">
        <f>+CC26/CC18</f>
        <v>0.11438295025129948</v>
      </c>
      <c r="CD116" s="6"/>
      <c r="CE116" s="245">
        <f>+CE26/CE18</f>
        <v>0.12111608577086277</v>
      </c>
      <c r="CF116" s="245">
        <f>+CF26/CF18</f>
        <v>0.11516370481848183</v>
      </c>
      <c r="CG116" s="245">
        <f>+CG26/CG18</f>
        <v>4.6830371485148473E-2</v>
      </c>
      <c r="CH116" s="245">
        <f>+CH26/CH18</f>
        <v>6.9593707783406719E-2</v>
      </c>
      <c r="CI116" s="6"/>
      <c r="CJ116" s="245">
        <f>+CJ26/CJ18</f>
        <v>9.4849030820942398E-2</v>
      </c>
      <c r="CK116" s="245">
        <f>+CK26/CK18</f>
        <v>0.10845878691850339</v>
      </c>
      <c r="CL116" s="245">
        <f>+CL26/CL18</f>
        <v>8.2505079218939403E-2</v>
      </c>
      <c r="CM116" s="245">
        <f>+CM26/CM$18</f>
        <v>5.8237111805684937E-2</v>
      </c>
      <c r="CN116" s="254"/>
      <c r="CO116" s="245">
        <f>+CO26/CO18</f>
        <v>7.5206767776825306E-2</v>
      </c>
      <c r="CP116" s="242">
        <f>+CP26/CP18</f>
        <v>8.1694195971570585E-2</v>
      </c>
      <c r="CQ116" s="242">
        <f>+CQ26/CQ18</f>
        <v>5.5842328753278457E-2</v>
      </c>
      <c r="CR116" s="245">
        <f ca="1">+CR26/CR$18</f>
        <v>7.4239959732968208E-2</v>
      </c>
      <c r="CS116" s="6"/>
      <c r="CT116" s="245">
        <f>+CT26/CT18</f>
        <v>8.5260770975056688E-2</v>
      </c>
      <c r="CU116" s="242">
        <f>+CU26/CU18</f>
        <v>8.174550857477686E-2</v>
      </c>
      <c r="CV116" s="242">
        <f>+CV26/CV18</f>
        <v>6.738959341577995E-2</v>
      </c>
      <c r="CW116" s="245">
        <f ca="1">+CW26/CW$18</f>
        <v>3.5588224446626349E-2</v>
      </c>
      <c r="CX116" s="6"/>
      <c r="CY116" s="245">
        <f>+CY26/CY18</f>
        <v>6.6570970896003653E-2</v>
      </c>
      <c r="CZ116" s="242">
        <f>+CZ26/CZ18</f>
        <v>8.3413784259976406E-2</v>
      </c>
      <c r="DA116" s="242">
        <f>+DA26/DA18</f>
        <v>6.2205778537643037E-2</v>
      </c>
      <c r="DB116" s="245">
        <f>+DB26/DB$18</f>
        <v>0.13907533578631914</v>
      </c>
      <c r="DC116" s="6"/>
      <c r="DD116" s="245">
        <f>+DD26/DD18</f>
        <v>7.8724198293918912E-2</v>
      </c>
      <c r="DE116" s="245">
        <f>+DE26/DE18</f>
        <v>8.1256691002800932E-2</v>
      </c>
      <c r="DF116" s="245">
        <f>+DF26/DF18</f>
        <v>8.2736191115577548E-2</v>
      </c>
      <c r="DG116" s="245">
        <f>+DG26/DG$18</f>
        <v>8.0049395398463841E-2</v>
      </c>
      <c r="DH116" s="6"/>
    </row>
    <row r="117" spans="1:112">
      <c r="A117" s="556" t="s">
        <v>751</v>
      </c>
      <c r="B117" s="38">
        <f t="shared" ref="B117:AD117" si="169">B28/B18</f>
        <v>7.7039660056657272E-2</v>
      </c>
      <c r="C117" s="38">
        <f t="shared" si="169"/>
        <v>9.4015353680908867E-2</v>
      </c>
      <c r="D117" s="38">
        <f t="shared" si="169"/>
        <v>8.3036592816183308E-2</v>
      </c>
      <c r="E117" s="38">
        <f t="shared" si="169"/>
        <v>8.1233204491073102E-2</v>
      </c>
      <c r="F117" s="38">
        <f t="shared" si="169"/>
        <v>8.9273591310251185E-2</v>
      </c>
      <c r="G117" s="38">
        <f t="shared" si="169"/>
        <v>0.12200610834271018</v>
      </c>
      <c r="H117" s="38">
        <f t="shared" si="169"/>
        <v>0.12874946405602403</v>
      </c>
      <c r="I117" s="38">
        <f t="shared" si="169"/>
        <v>0.14500759563596188</v>
      </c>
      <c r="J117" s="38">
        <f t="shared" si="169"/>
        <v>0.16103618640672987</v>
      </c>
      <c r="K117" s="38">
        <f t="shared" si="169"/>
        <v>0.17280240420736287</v>
      </c>
      <c r="L117" s="38">
        <f t="shared" si="169"/>
        <v>0.18986764034687359</v>
      </c>
      <c r="M117" s="38">
        <f t="shared" si="169"/>
        <v>0.24145694384353714</v>
      </c>
      <c r="N117" s="38">
        <f t="shared" si="169"/>
        <v>0.27323594921607475</v>
      </c>
      <c r="O117" s="38">
        <f t="shared" si="169"/>
        <v>0.26703128446373914</v>
      </c>
      <c r="P117" s="38">
        <f t="shared" si="169"/>
        <v>0.30297029702970296</v>
      </c>
      <c r="Q117" s="38">
        <f t="shared" si="169"/>
        <v>0.29716804659932972</v>
      </c>
      <c r="R117" s="38">
        <f t="shared" ca="1" si="169"/>
        <v>0.29384071422688141</v>
      </c>
      <c r="S117" s="38">
        <f t="shared" ca="1" si="169"/>
        <v>0.29775543316661529</v>
      </c>
      <c r="T117" s="38">
        <f t="shared" si="169"/>
        <v>0.31162301337974679</v>
      </c>
      <c r="U117" s="38">
        <f t="shared" si="169"/>
        <v>0.34576859922933328</v>
      </c>
      <c r="V117" s="38">
        <f t="shared" si="169"/>
        <v>0.38999767732971402</v>
      </c>
      <c r="W117" s="38">
        <f t="shared" si="169"/>
        <v>0.4411532423031192</v>
      </c>
      <c r="X117" s="38">
        <f t="shared" si="169"/>
        <v>0.4613205091274995</v>
      </c>
      <c r="Y117" s="38">
        <f t="shared" si="169"/>
        <v>0.43430816454575916</v>
      </c>
      <c r="Z117" s="38">
        <f t="shared" si="169"/>
        <v>0.45946695291506767</v>
      </c>
      <c r="AA117" s="38">
        <f t="shared" si="169"/>
        <v>0.43138117053346459</v>
      </c>
      <c r="AB117" s="38">
        <f t="shared" si="169"/>
        <v>0.4563161469476481</v>
      </c>
      <c r="AC117" s="38">
        <f t="shared" si="169"/>
        <v>0.41886200783563921</v>
      </c>
      <c r="AD117" s="38">
        <f t="shared" si="169"/>
        <v>0.46521645730704314</v>
      </c>
      <c r="AE117" s="38">
        <f t="shared" ref="AE117:AJ117" si="170">AE28/AE18</f>
        <v>0.46833585008900208</v>
      </c>
      <c r="AF117" s="38">
        <f t="shared" si="170"/>
        <v>0.47075577018922843</v>
      </c>
      <c r="AG117" s="39">
        <f t="shared" si="170"/>
        <v>0.47298234894687358</v>
      </c>
      <c r="AH117" s="39">
        <f t="shared" si="170"/>
        <v>0.47422439032108649</v>
      </c>
      <c r="AI117" s="39">
        <f t="shared" si="170"/>
        <v>0.47436241832322579</v>
      </c>
      <c r="AJ117" s="39">
        <f t="shared" si="170"/>
        <v>0.47288297558009812</v>
      </c>
      <c r="AK117" s="39">
        <f>AK28/AK18</f>
        <v>0.47123969397404647</v>
      </c>
      <c r="AL117" s="39">
        <f>AL28/AL18</f>
        <v>0.46936995849686208</v>
      </c>
      <c r="AM117" s="39">
        <f>AM28/AM18</f>
        <v>0.46723363608538027</v>
      </c>
      <c r="AN117" s="39">
        <f>AN28/AN18</f>
        <v>0.46483056562034847</v>
      </c>
      <c r="AO117" s="38"/>
      <c r="AP117" s="38"/>
      <c r="AQ117" s="38"/>
      <c r="AR117" s="38"/>
      <c r="AS117" s="38"/>
      <c r="AT117" s="38"/>
      <c r="AU117" s="38"/>
      <c r="AV117" s="38">
        <f>AV28/AV18</f>
        <v>0.10699826489300174</v>
      </c>
      <c r="AW117" s="38">
        <f>AW28/AW18</f>
        <v>0.15646651270207854</v>
      </c>
      <c r="AX117" s="38">
        <f>AX28/AX18</f>
        <v>0.1561628555493586</v>
      </c>
      <c r="AY117" s="38">
        <f>AY28/AY18</f>
        <v>0.15802717664821339</v>
      </c>
      <c r="AZ117" s="38"/>
      <c r="BA117" s="38">
        <f>BA28/BA18</f>
        <v>0.11045258620689656</v>
      </c>
      <c r="BB117" s="38">
        <f>BB28/BB18</f>
        <v>0.16820903647250954</v>
      </c>
      <c r="BC117" s="38">
        <f>BC28/BC18</f>
        <v>0.17226197028068246</v>
      </c>
      <c r="BD117" s="38">
        <f>BD28/BD18</f>
        <v>0.19151086407276405</v>
      </c>
      <c r="BE117" s="38"/>
      <c r="BF117" s="38">
        <f>BF28/BF18</f>
        <v>0.15143737166324434</v>
      </c>
      <c r="BG117" s="38">
        <f>BG28/BG18</f>
        <v>0.15874620829120323</v>
      </c>
      <c r="BH117" s="38">
        <f>BH28/BH18</f>
        <v>0.17170191339375632</v>
      </c>
      <c r="BI117" s="38">
        <f>BI28/BI18</f>
        <v>0.20732883317261333</v>
      </c>
      <c r="BJ117" s="38"/>
      <c r="BK117" s="245">
        <f>+L117</f>
        <v>0.18986764034687359</v>
      </c>
      <c r="BL117" s="245">
        <f>+M117</f>
        <v>0.24145694384353714</v>
      </c>
      <c r="BM117" s="245">
        <f>+N117</f>
        <v>0.27323594921607475</v>
      </c>
      <c r="BN117" s="245">
        <f>+O117</f>
        <v>0.26703128446373914</v>
      </c>
      <c r="BO117" s="245"/>
      <c r="BP117" s="245">
        <f>+BP28/BP18</f>
        <v>0.20428305958184964</v>
      </c>
      <c r="BQ117" s="245">
        <f>+BL117</f>
        <v>0.24145694384353714</v>
      </c>
      <c r="BR117" s="245">
        <v>0.191</v>
      </c>
      <c r="BS117" s="245">
        <f>+BS28/BS18</f>
        <v>0.30564477191928058</v>
      </c>
      <c r="BT117" s="254"/>
      <c r="BU117" s="245">
        <f>+BU28/BU18</f>
        <v>0.21044589403306588</v>
      </c>
      <c r="BV117" s="245">
        <f>+BV28/BV18</f>
        <v>0.21491861780018587</v>
      </c>
      <c r="BW117" s="245">
        <f>+BW28/BW18</f>
        <v>0.24741048297902618</v>
      </c>
      <c r="BX117" s="245">
        <f>+BX28/BX18</f>
        <v>0.42386196384085739</v>
      </c>
      <c r="BY117" s="254"/>
      <c r="BZ117" s="245">
        <f>+BZ28/BZ18</f>
        <v>0.26164303753670909</v>
      </c>
      <c r="CA117" s="245">
        <f>+CA28/CA18</f>
        <v>0.2709301016633206</v>
      </c>
      <c r="CB117" s="245">
        <f>+CB28/CB18</f>
        <v>0.26104433766730656</v>
      </c>
      <c r="CC117" s="245">
        <f>+CC28/CC18</f>
        <v>0.27482472042524103</v>
      </c>
      <c r="CD117" s="6"/>
      <c r="CE117" s="245">
        <f>+CE28/CE18</f>
        <v>0.2857142857142857</v>
      </c>
      <c r="CF117" s="245">
        <f>+CF28/CF18</f>
        <v>0.29166666666666669</v>
      </c>
      <c r="CG117" s="245">
        <f>+CG28/CG18</f>
        <v>0.36</v>
      </c>
      <c r="CH117" s="245">
        <f>+CH28/CH18</f>
        <v>0.27636363636363637</v>
      </c>
      <c r="CI117" s="6"/>
      <c r="CJ117" s="245">
        <f>+CJ28/CJ18</f>
        <v>0.28799999999999998</v>
      </c>
      <c r="CK117" s="245">
        <f>+CK28/CK18</f>
        <v>0.27439024390243905</v>
      </c>
      <c r="CL117" s="245">
        <f>+CL28/CL18</f>
        <v>0.300343951602003</v>
      </c>
      <c r="CM117" s="245">
        <f>+CM28/CM$18</f>
        <v>0.32461191901525749</v>
      </c>
      <c r="CN117" s="254"/>
      <c r="CO117" s="245">
        <f>+CO28/CO18</f>
        <v>0.2742857142857143</v>
      </c>
      <c r="CP117" s="242">
        <f>+CP28/CP18</f>
        <v>0.26779828609096901</v>
      </c>
      <c r="CQ117" s="242">
        <f>+CQ28/CQ18</f>
        <v>0.29365015330926114</v>
      </c>
      <c r="CR117" s="245">
        <f ca="1">+CR28/CR$18</f>
        <v>0.33716815903171987</v>
      </c>
      <c r="CS117" s="6"/>
      <c r="CT117" s="245">
        <f>+CT28/CT18</f>
        <v>0.2737392290249433</v>
      </c>
      <c r="CU117" s="242">
        <f>+CU28/CU18</f>
        <v>0.28025449142522307</v>
      </c>
      <c r="CV117" s="242">
        <f>+CV28/CV18</f>
        <v>0.30461040658422006</v>
      </c>
      <c r="CW117" s="245">
        <f ca="1">+CW28/CW$18</f>
        <v>0.3298605329100141</v>
      </c>
      <c r="CX117" s="6"/>
      <c r="CY117" s="245">
        <f>+CY28/CY18</f>
        <v>0.31842902910399629</v>
      </c>
      <c r="CZ117" s="242">
        <f>+CZ28/CZ18</f>
        <v>0.3215862157400235</v>
      </c>
      <c r="DA117" s="242">
        <f>+DA28/DA18</f>
        <v>0.347794221462357</v>
      </c>
      <c r="DB117" s="245">
        <f>+DB28/DB$18</f>
        <v>0.26017145644638023</v>
      </c>
      <c r="DC117" s="6"/>
      <c r="DD117" s="245">
        <f>+DD28/DD18</f>
        <v>0.29127580170608103</v>
      </c>
      <c r="DE117" s="245">
        <f>+DE28/DE18</f>
        <v>0.3087433089971991</v>
      </c>
      <c r="DF117" s="245">
        <f>+DF28/DF18</f>
        <v>0.38726380888442247</v>
      </c>
      <c r="DG117" s="245">
        <f>+DG28/DG$18</f>
        <v>0.39750618867096127</v>
      </c>
      <c r="DH117" s="6"/>
    </row>
    <row r="118" spans="1:112">
      <c r="A118" s="556"/>
      <c r="B118" s="556"/>
      <c r="C118" s="556"/>
      <c r="D118" s="556"/>
      <c r="E118" s="556"/>
      <c r="F118" s="556"/>
      <c r="G118" s="556"/>
      <c r="H118" s="556"/>
      <c r="I118" s="556"/>
      <c r="J118" s="556"/>
      <c r="K118" s="556"/>
      <c r="L118" s="556"/>
      <c r="M118" s="556"/>
      <c r="N118" s="556"/>
      <c r="O118" s="556"/>
      <c r="P118" s="556"/>
      <c r="Q118" s="556"/>
      <c r="R118" s="556"/>
      <c r="S118" s="556"/>
      <c r="T118" s="556"/>
      <c r="U118" s="556"/>
      <c r="V118" s="556"/>
      <c r="W118" s="556"/>
      <c r="X118" s="556"/>
      <c r="Y118" s="556"/>
      <c r="Z118" s="556"/>
      <c r="AA118" s="556"/>
      <c r="AB118" s="556"/>
      <c r="AC118" s="556"/>
      <c r="AD118" s="556"/>
      <c r="AE118" s="556"/>
      <c r="AF118" s="556"/>
      <c r="AG118" s="556"/>
      <c r="AH118" s="556"/>
      <c r="AI118" s="556"/>
      <c r="AJ118" s="556"/>
      <c r="AK118" s="556"/>
      <c r="AL118" s="556"/>
      <c r="AM118" s="556"/>
      <c r="AN118" s="556"/>
      <c r="AO118" s="38"/>
      <c r="AP118" s="38"/>
      <c r="AQ118" s="38"/>
      <c r="AR118" s="38"/>
      <c r="AS118" s="38"/>
      <c r="AT118" s="38"/>
      <c r="AU118" s="38"/>
      <c r="AV118" s="6"/>
      <c r="AW118" s="6"/>
      <c r="AX118" s="6"/>
      <c r="AY118" s="6"/>
      <c r="AZ118" s="6"/>
      <c r="BA118" s="6"/>
      <c r="BB118" s="6"/>
      <c r="BC118" s="6"/>
      <c r="BD118" s="6"/>
      <c r="BE118" s="6"/>
      <c r="BF118" s="6"/>
      <c r="BG118" s="6"/>
      <c r="BH118" s="6"/>
      <c r="BI118" s="6"/>
      <c r="BJ118" s="6"/>
      <c r="BK118" s="6"/>
      <c r="BL118" s="6"/>
      <c r="BM118" s="6"/>
      <c r="BN118" s="6"/>
      <c r="BO118" s="6"/>
      <c r="BP118" s="6"/>
      <c r="BQ118" s="6"/>
      <c r="BR118" s="6"/>
      <c r="BS118" s="6"/>
      <c r="BT118" s="254"/>
      <c r="BU118" s="6"/>
      <c r="BV118" s="6"/>
      <c r="BW118" s="6"/>
      <c r="BX118" s="6"/>
      <c r="BY118" s="254"/>
      <c r="BZ118" s="6"/>
      <c r="CA118" s="6"/>
      <c r="CB118" s="6"/>
      <c r="CC118" s="6"/>
      <c r="CD118" s="6"/>
      <c r="CE118" s="6"/>
      <c r="CF118" s="6"/>
      <c r="CG118" s="6"/>
      <c r="CH118" s="6"/>
      <c r="CI118" s="6"/>
      <c r="CJ118" s="6"/>
      <c r="CK118" s="6"/>
      <c r="CL118" s="6"/>
      <c r="CM118" s="6"/>
      <c r="CN118" s="254"/>
      <c r="CO118" s="6"/>
      <c r="CP118" s="11"/>
      <c r="CQ118" s="11"/>
      <c r="CR118" s="6"/>
      <c r="CS118" s="6"/>
      <c r="CT118" s="6"/>
      <c r="CU118" s="11"/>
      <c r="CV118" s="11"/>
      <c r="CW118" s="6"/>
      <c r="CX118" s="6"/>
      <c r="CY118" s="6"/>
      <c r="CZ118" s="6"/>
      <c r="DA118" s="6"/>
      <c r="DB118" s="6"/>
      <c r="DC118" s="6"/>
      <c r="DD118" s="6"/>
      <c r="DE118" s="6"/>
      <c r="DF118" s="6"/>
      <c r="DG118" s="6"/>
      <c r="DH118" s="6"/>
    </row>
    <row r="119" spans="1:112">
      <c r="A119" s="107"/>
      <c r="B119" s="6"/>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462"/>
      <c r="AC119" s="6"/>
      <c r="AD119" s="6"/>
      <c r="AE119" s="6"/>
      <c r="AF119" s="6"/>
      <c r="AG119" s="6"/>
      <c r="AH119" s="6"/>
      <c r="AI119" s="6"/>
      <c r="AJ119" s="6"/>
      <c r="AK119" s="6"/>
      <c r="AL119" s="6"/>
      <c r="AM119" s="6"/>
      <c r="AN119" s="6"/>
      <c r="AO119" s="6"/>
      <c r="AP119" s="6"/>
      <c r="AQ119" s="6"/>
      <c r="AR119" s="6"/>
      <c r="AS119" s="6"/>
      <c r="AT119" s="6"/>
      <c r="AU119" s="6"/>
      <c r="AV119" s="6"/>
      <c r="AW119" s="6"/>
      <c r="AX119" s="6"/>
      <c r="AY119" s="6"/>
      <c r="AZ119" s="6"/>
      <c r="BA119" s="6"/>
      <c r="BB119" s="6"/>
      <c r="BC119" s="6"/>
      <c r="BD119" s="6"/>
      <c r="BE119" s="6"/>
      <c r="BF119" s="6"/>
      <c r="BG119" s="6"/>
      <c r="BH119" s="6"/>
      <c r="BI119" s="6"/>
      <c r="BJ119" s="6"/>
      <c r="BK119" s="6"/>
      <c r="BL119" s="6"/>
      <c r="BM119" s="6"/>
      <c r="BN119" s="6"/>
      <c r="BO119" s="6"/>
      <c r="BP119" s="6"/>
      <c r="BQ119" s="6"/>
      <c r="BR119" s="6"/>
      <c r="BS119" s="6"/>
      <c r="BT119" s="254"/>
      <c r="BU119" s="6"/>
      <c r="BV119" s="6"/>
      <c r="BW119" s="6"/>
      <c r="BX119" s="6"/>
      <c r="BY119" s="254"/>
      <c r="BZ119" s="6"/>
      <c r="CA119" s="6"/>
      <c r="CB119" s="6"/>
      <c r="CC119" s="6"/>
      <c r="CD119" s="6"/>
      <c r="CE119" s="6"/>
      <c r="CF119" s="6"/>
      <c r="CG119" s="6"/>
      <c r="CH119" s="6"/>
      <c r="CI119" s="6"/>
      <c r="CJ119" s="6"/>
      <c r="CK119" s="6"/>
      <c r="CL119" s="6"/>
      <c r="CM119" s="6"/>
      <c r="CN119" s="254"/>
      <c r="CO119" s="6"/>
      <c r="CP119" s="6"/>
      <c r="CQ119" s="6"/>
      <c r="CR119" s="6"/>
      <c r="CS119" s="6"/>
      <c r="CT119" s="6"/>
      <c r="CU119" s="6"/>
      <c r="CV119" s="6"/>
      <c r="CW119" s="6"/>
      <c r="CX119" s="6"/>
      <c r="CY119" s="6"/>
      <c r="CZ119" s="6"/>
      <c r="DA119" s="6"/>
      <c r="DB119" s="6"/>
      <c r="DC119" s="6"/>
      <c r="DD119" s="6"/>
      <c r="DE119" s="6"/>
      <c r="DF119" s="6"/>
      <c r="DG119" s="6"/>
      <c r="DH119" s="6"/>
    </row>
    <row r="120" spans="1:112">
      <c r="A120" s="1378" t="s">
        <v>1246</v>
      </c>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6"/>
      <c r="AV120" s="6"/>
      <c r="AW120" s="6"/>
      <c r="AX120" s="6"/>
      <c r="AY120" s="6"/>
      <c r="AZ120" s="6"/>
      <c r="BA120" s="6"/>
      <c r="BB120" s="6"/>
      <c r="BC120" s="6"/>
      <c r="BD120" s="6"/>
      <c r="BE120" s="6"/>
      <c r="BF120" s="6"/>
      <c r="BG120" s="6"/>
      <c r="BH120" s="6"/>
      <c r="BI120" s="6"/>
      <c r="BJ120" s="6"/>
      <c r="BK120" s="6"/>
      <c r="BL120" s="6"/>
      <c r="BM120" s="6"/>
      <c r="BN120" s="6"/>
      <c r="BO120" s="6"/>
      <c r="BP120" s="6"/>
      <c r="BQ120" s="6"/>
      <c r="BR120" s="6"/>
      <c r="BS120" s="6"/>
      <c r="BT120" s="254"/>
      <c r="BU120" s="6"/>
      <c r="BV120" s="6"/>
      <c r="BW120" s="6"/>
      <c r="BX120" s="6"/>
      <c r="BY120" s="254"/>
      <c r="BZ120" s="6"/>
      <c r="CA120" s="6"/>
      <c r="CB120" s="6"/>
      <c r="CC120" s="6"/>
      <c r="CD120" s="6"/>
      <c r="CE120" s="6"/>
      <c r="CF120" s="6"/>
      <c r="CG120" s="6"/>
      <c r="CH120" s="6"/>
      <c r="CI120" s="6"/>
      <c r="CJ120" s="6"/>
      <c r="CK120" s="6"/>
      <c r="CL120" s="6"/>
      <c r="CM120" s="6"/>
      <c r="CN120" s="254"/>
      <c r="CO120" s="6"/>
      <c r="CP120" s="6"/>
      <c r="CQ120" s="6"/>
      <c r="CR120" s="6"/>
      <c r="CS120" s="6"/>
      <c r="CT120" s="6"/>
      <c r="CU120" s="6"/>
      <c r="CV120" s="6"/>
      <c r="CW120" s="6"/>
      <c r="CX120" s="6"/>
      <c r="CY120" s="6"/>
      <c r="CZ120" s="6"/>
      <c r="DA120" s="6"/>
      <c r="DB120" s="6"/>
      <c r="DC120" s="6"/>
      <c r="DD120" s="6"/>
      <c r="DE120" s="6"/>
      <c r="DF120" s="6"/>
      <c r="DG120" s="6"/>
      <c r="DH120" s="6"/>
    </row>
    <row r="121" spans="1:112">
      <c r="A121" s="107" t="s">
        <v>257</v>
      </c>
      <c r="B121" s="6"/>
      <c r="C121" s="6"/>
      <c r="D121" s="6"/>
      <c r="E121" s="6"/>
      <c r="F121" s="6"/>
      <c r="G121" s="6"/>
      <c r="H121" s="6"/>
      <c r="I121" s="6"/>
      <c r="J121" s="6"/>
      <c r="K121" s="6"/>
      <c r="L121" s="6"/>
      <c r="M121" s="6"/>
      <c r="N121" s="6"/>
      <c r="O121" s="6"/>
      <c r="P121" s="6"/>
      <c r="Q121" s="6"/>
      <c r="R121" s="6"/>
      <c r="S121" s="6"/>
      <c r="T121" s="1381">
        <f>+T124-SUM(T122:T123)</f>
        <v>16.400000000000006</v>
      </c>
      <c r="U121" s="1380">
        <f>+T121+1.9</f>
        <v>18.300000000000004</v>
      </c>
      <c r="V121" s="1380">
        <f>+W121/1.11</f>
        <v>18.693693693693692</v>
      </c>
      <c r="W121" s="1380">
        <v>20.75</v>
      </c>
      <c r="X121" s="1380">
        <v>22</v>
      </c>
      <c r="Y121" s="145">
        <f>+X121*(1+Y127)</f>
        <v>22.66</v>
      </c>
      <c r="Z121" s="1146">
        <f>+Y121*(1+Z127)</f>
        <v>23.113199999999999</v>
      </c>
      <c r="AA121" s="1380">
        <v>23.8</v>
      </c>
      <c r="AB121" s="1380">
        <f>AA121*1.03</f>
        <v>24.514000000000003</v>
      </c>
      <c r="AC121" s="1146">
        <f t="shared" ref="AC121:AH121" si="171">+AB121*(1+AC127)</f>
        <v>25.004280000000005</v>
      </c>
      <c r="AD121" s="145">
        <f t="shared" si="171"/>
        <v>25.316833500000005</v>
      </c>
      <c r="AE121" s="145">
        <f t="shared" si="171"/>
        <v>25.570001835000006</v>
      </c>
      <c r="AF121" s="145">
        <f t="shared" si="171"/>
        <v>25.825701853350008</v>
      </c>
      <c r="AG121" s="145">
        <f t="shared" si="171"/>
        <v>26.083958871883507</v>
      </c>
      <c r="AH121" s="145">
        <f t="shared" si="171"/>
        <v>26.266546583986688</v>
      </c>
      <c r="AI121" s="145">
        <f t="shared" ref="AI121:AN123" si="172">+AH121*(1+AI127)</f>
        <v>26.371612770322635</v>
      </c>
      <c r="AJ121" s="145">
        <f t="shared" si="172"/>
        <v>26.411170189478121</v>
      </c>
      <c r="AK121" s="145">
        <f t="shared" si="172"/>
        <v>26.450786944762338</v>
      </c>
      <c r="AL121" s="145">
        <f t="shared" si="172"/>
        <v>26.490463125179485</v>
      </c>
      <c r="AM121" s="145">
        <f t="shared" si="172"/>
        <v>26.530198819867255</v>
      </c>
      <c r="AN121" s="145">
        <f t="shared" si="172"/>
        <v>26.569994118097057</v>
      </c>
      <c r="AO121" s="6"/>
      <c r="AP121" s="6"/>
      <c r="AQ121" s="6"/>
      <c r="AR121" s="6"/>
      <c r="AS121" s="6"/>
      <c r="AT121" s="6"/>
      <c r="AU121" s="6"/>
      <c r="AV121" s="6"/>
      <c r="AW121" s="6"/>
      <c r="AX121" s="6"/>
      <c r="AY121" s="6"/>
      <c r="AZ121" s="6"/>
      <c r="BA121" s="6"/>
      <c r="BB121" s="6"/>
      <c r="BC121" s="6"/>
      <c r="BD121" s="6"/>
      <c r="BE121" s="6"/>
      <c r="BF121" s="6"/>
      <c r="BG121" s="6"/>
      <c r="BH121" s="6"/>
      <c r="BI121" s="6"/>
      <c r="BJ121" s="6"/>
      <c r="BK121" s="6"/>
      <c r="BL121" s="6"/>
      <c r="BM121" s="6"/>
      <c r="BN121" s="6"/>
      <c r="BO121" s="6"/>
      <c r="BP121" s="6"/>
      <c r="BQ121" s="6"/>
      <c r="BR121" s="6"/>
      <c r="BS121" s="6"/>
      <c r="BT121" s="254"/>
      <c r="BU121" s="6"/>
      <c r="BV121" s="6"/>
      <c r="BW121" s="6"/>
      <c r="BX121" s="6"/>
      <c r="BY121" s="254"/>
      <c r="BZ121" s="6"/>
      <c r="CA121" s="6"/>
      <c r="CB121" s="6"/>
      <c r="CC121" s="6"/>
      <c r="CD121" s="6"/>
      <c r="CE121" s="6"/>
      <c r="CF121" s="6"/>
      <c r="CG121" s="6"/>
      <c r="CH121" s="6"/>
      <c r="CI121" s="6"/>
      <c r="CJ121" s="6"/>
      <c r="CK121" s="6"/>
      <c r="CL121" s="6"/>
      <c r="CM121" s="6"/>
      <c r="CN121" s="254"/>
      <c r="CO121" s="6"/>
      <c r="CP121" s="6"/>
      <c r="CQ121" s="6"/>
      <c r="CR121" s="6"/>
      <c r="CS121" s="6"/>
      <c r="CT121" s="6"/>
      <c r="CU121" s="6"/>
      <c r="CV121" s="6"/>
      <c r="CW121" s="6"/>
      <c r="CX121" s="6"/>
      <c r="CY121" s="6"/>
      <c r="CZ121" s="6"/>
      <c r="DA121" s="6"/>
      <c r="DB121" s="6"/>
      <c r="DC121" s="6"/>
      <c r="DD121" s="6"/>
      <c r="DE121" s="6"/>
      <c r="DF121" s="6"/>
      <c r="DG121" s="6"/>
      <c r="DH121" s="6"/>
    </row>
    <row r="122" spans="1:112">
      <c r="A122" s="107" t="s">
        <v>1247</v>
      </c>
      <c r="B122" s="6"/>
      <c r="C122" s="6"/>
      <c r="D122" s="6"/>
      <c r="E122" s="6"/>
      <c r="F122" s="6"/>
      <c r="G122" s="6"/>
      <c r="H122" s="6"/>
      <c r="I122" s="6"/>
      <c r="J122" s="6"/>
      <c r="K122" s="6"/>
      <c r="L122" s="6"/>
      <c r="M122" s="6"/>
      <c r="N122" s="6"/>
      <c r="O122" s="6"/>
      <c r="P122" s="6"/>
      <c r="Q122" s="6"/>
      <c r="R122" s="6"/>
      <c r="S122" s="6"/>
      <c r="T122" s="1379">
        <v>17.399999999999999</v>
      </c>
      <c r="U122" s="1383">
        <f>+T122*1.02</f>
        <v>17.747999999999998</v>
      </c>
      <c r="V122" s="1383">
        <f>+U122*1.1</f>
        <v>19.5228</v>
      </c>
      <c r="W122" s="1383">
        <f>+V122*1.08</f>
        <v>21.084624000000002</v>
      </c>
      <c r="X122" s="1383">
        <f>+W122*1.03</f>
        <v>21.717162720000001</v>
      </c>
      <c r="Y122" s="145">
        <f t="shared" ref="Y122:AH122" si="173">+X122*(1+Y128)</f>
        <v>21.6085769064</v>
      </c>
      <c r="Z122" s="1146">
        <f t="shared" si="173"/>
        <v>21.500534021867999</v>
      </c>
      <c r="AA122" s="1146">
        <f t="shared" si="173"/>
        <v>21.629537225999208</v>
      </c>
      <c r="AB122" s="1146">
        <f t="shared" si="173"/>
        <v>20.937392034767232</v>
      </c>
      <c r="AC122" s="1146">
        <f>+AB122*(1+AC128)</f>
        <v>19.995209393202707</v>
      </c>
      <c r="AD122" s="145">
        <f t="shared" si="173"/>
        <v>19.995209393202707</v>
      </c>
      <c r="AE122" s="145">
        <f t="shared" si="173"/>
        <v>19.995209393202707</v>
      </c>
      <c r="AF122" s="145">
        <f t="shared" si="173"/>
        <v>19.995209393202707</v>
      </c>
      <c r="AG122" s="54">
        <f t="shared" si="173"/>
        <v>19.995209393202707</v>
      </c>
      <c r="AH122" s="54">
        <f t="shared" si="173"/>
        <v>19.995209393202707</v>
      </c>
      <c r="AI122" s="54">
        <f t="shared" si="172"/>
        <v>19.995209393202707</v>
      </c>
      <c r="AJ122" s="54">
        <f t="shared" si="172"/>
        <v>19.995209393202707</v>
      </c>
      <c r="AK122" s="54">
        <f t="shared" si="172"/>
        <v>19.995209393202707</v>
      </c>
      <c r="AL122" s="54">
        <f t="shared" si="172"/>
        <v>19.995209393202707</v>
      </c>
      <c r="AM122" s="54">
        <f t="shared" si="172"/>
        <v>19.995209393202707</v>
      </c>
      <c r="AN122" s="54">
        <f t="shared" si="172"/>
        <v>19.995209393202707</v>
      </c>
      <c r="AO122" s="6"/>
      <c r="AP122" s="6"/>
      <c r="AQ122" s="6"/>
      <c r="AR122" s="6"/>
      <c r="AS122" s="6"/>
      <c r="AT122" s="6"/>
      <c r="AU122" s="6"/>
      <c r="AV122" s="6"/>
      <c r="AW122" s="6"/>
      <c r="AX122" s="6"/>
      <c r="AY122" s="6"/>
      <c r="AZ122" s="6"/>
      <c r="BA122" s="6"/>
      <c r="BB122" s="6"/>
      <c r="BC122" s="6"/>
      <c r="BD122" s="6"/>
      <c r="BE122" s="6"/>
      <c r="BF122" s="6"/>
      <c r="BG122" s="6"/>
      <c r="BH122" s="6"/>
      <c r="BI122" s="6"/>
      <c r="BJ122" s="6"/>
      <c r="BK122" s="6"/>
      <c r="BL122" s="6"/>
      <c r="BM122" s="6"/>
      <c r="BN122" s="6"/>
      <c r="BO122" s="6"/>
      <c r="BP122" s="6"/>
      <c r="BQ122" s="6"/>
      <c r="BR122" s="6"/>
      <c r="BS122" s="6"/>
      <c r="BT122" s="254"/>
      <c r="BU122" s="6"/>
      <c r="BV122" s="6"/>
      <c r="BW122" s="6"/>
      <c r="BX122" s="6"/>
      <c r="BY122" s="254"/>
      <c r="BZ122" s="6"/>
      <c r="CA122" s="6"/>
      <c r="CB122" s="6"/>
      <c r="CC122" s="6"/>
      <c r="CD122" s="6"/>
      <c r="CE122" s="6"/>
      <c r="CF122" s="6"/>
      <c r="CG122" s="6"/>
      <c r="CH122" s="6"/>
      <c r="CI122" s="6"/>
      <c r="CJ122" s="6"/>
      <c r="CK122" s="6"/>
      <c r="CL122" s="6"/>
      <c r="CM122" s="6"/>
      <c r="CN122" s="254"/>
      <c r="CO122" s="6"/>
      <c r="CP122" s="6"/>
      <c r="CQ122" s="6"/>
      <c r="CR122" s="6"/>
      <c r="CS122" s="6"/>
      <c r="CT122" s="6"/>
      <c r="CU122" s="6"/>
      <c r="CV122" s="6"/>
      <c r="CW122" s="6"/>
      <c r="CX122" s="6"/>
      <c r="CY122" s="6"/>
      <c r="CZ122" s="6"/>
      <c r="DA122" s="6"/>
      <c r="DB122" s="6"/>
      <c r="DC122" s="6"/>
      <c r="DD122" s="6"/>
      <c r="DE122" s="6"/>
      <c r="DF122" s="6"/>
      <c r="DG122" s="6"/>
      <c r="DH122" s="6"/>
    </row>
    <row r="123" spans="1:112">
      <c r="A123" s="107" t="s">
        <v>1248</v>
      </c>
      <c r="B123" s="6"/>
      <c r="C123" s="6"/>
      <c r="D123" s="6"/>
      <c r="E123" s="6"/>
      <c r="F123" s="6"/>
      <c r="G123" s="6"/>
      <c r="H123" s="6"/>
      <c r="I123" s="6"/>
      <c r="J123" s="6"/>
      <c r="K123" s="6"/>
      <c r="L123" s="6"/>
      <c r="M123" s="6"/>
      <c r="N123" s="6"/>
      <c r="O123" s="6"/>
      <c r="P123" s="6"/>
      <c r="Q123" s="6"/>
      <c r="R123" s="6"/>
      <c r="S123" s="6"/>
      <c r="T123" s="337">
        <v>24.9</v>
      </c>
      <c r="U123" s="329">
        <f t="shared" ref="U123:AB123" si="174">+U124-SUM(U121:U122)</f>
        <v>25.251999999999995</v>
      </c>
      <c r="V123" s="329">
        <f t="shared" si="174"/>
        <v>28.883506306306302</v>
      </c>
      <c r="W123" s="329">
        <f t="shared" si="174"/>
        <v>31.465375999999992</v>
      </c>
      <c r="X123" s="329">
        <f t="shared" si="174"/>
        <v>32.38283727999999</v>
      </c>
      <c r="Y123" s="329">
        <f t="shared" si="174"/>
        <v>31.7314230936</v>
      </c>
      <c r="Z123" s="1776">
        <f t="shared" si="174"/>
        <v>31.386265978132002</v>
      </c>
      <c r="AA123" s="1776">
        <f t="shared" si="174"/>
        <v>31.570462774000788</v>
      </c>
      <c r="AB123" s="1776">
        <f t="shared" si="174"/>
        <v>30.548607965232762</v>
      </c>
      <c r="AC123" s="1146">
        <f t="shared" ref="AC123:AH123" si="175">+AB123*(1+AC129)</f>
        <v>29.173920606797285</v>
      </c>
      <c r="AD123" s="145">
        <f t="shared" si="175"/>
        <v>29.173920606797285</v>
      </c>
      <c r="AE123" s="145">
        <f t="shared" si="175"/>
        <v>29.173920606797285</v>
      </c>
      <c r="AF123" s="145">
        <f t="shared" si="175"/>
        <v>29.173920606797285</v>
      </c>
      <c r="AG123" s="54">
        <f t="shared" si="175"/>
        <v>29.173920606797285</v>
      </c>
      <c r="AH123" s="54">
        <f t="shared" si="175"/>
        <v>29.173920606797285</v>
      </c>
      <c r="AI123" s="54">
        <f t="shared" si="172"/>
        <v>29.173920606797285</v>
      </c>
      <c r="AJ123" s="54">
        <f t="shared" si="172"/>
        <v>29.173920606797285</v>
      </c>
      <c r="AK123" s="54">
        <f t="shared" si="172"/>
        <v>29.173920606797285</v>
      </c>
      <c r="AL123" s="54">
        <f t="shared" si="172"/>
        <v>29.173920606797285</v>
      </c>
      <c r="AM123" s="54">
        <f t="shared" si="172"/>
        <v>29.173920606797285</v>
      </c>
      <c r="AN123" s="54">
        <f t="shared" si="172"/>
        <v>29.173920606797285</v>
      </c>
      <c r="AO123" s="6"/>
      <c r="AP123" s="6"/>
      <c r="AQ123" s="6"/>
      <c r="AR123" s="6"/>
      <c r="AS123" s="6"/>
      <c r="AT123" s="6"/>
      <c r="AU123" s="6"/>
      <c r="AV123" s="6"/>
      <c r="AW123" s="6"/>
      <c r="AX123" s="6"/>
      <c r="AY123" s="6"/>
      <c r="AZ123" s="6"/>
      <c r="BA123" s="6"/>
      <c r="BB123" s="6"/>
      <c r="BC123" s="6"/>
      <c r="BD123" s="6"/>
      <c r="BE123" s="6"/>
      <c r="BF123" s="6"/>
      <c r="BG123" s="6"/>
      <c r="BH123" s="6"/>
      <c r="BI123" s="6"/>
      <c r="BJ123" s="6"/>
      <c r="BK123" s="6"/>
      <c r="BL123" s="6"/>
      <c r="BM123" s="6"/>
      <c r="BN123" s="6"/>
      <c r="BO123" s="6"/>
      <c r="BP123" s="6"/>
      <c r="BQ123" s="6"/>
      <c r="BR123" s="6"/>
      <c r="BS123" s="6"/>
      <c r="BT123" s="254"/>
      <c r="BU123" s="6"/>
      <c r="BV123" s="6"/>
      <c r="BW123" s="6"/>
      <c r="BX123" s="6"/>
      <c r="BY123" s="254"/>
      <c r="BZ123" s="6"/>
      <c r="CA123" s="6"/>
      <c r="CB123" s="6"/>
      <c r="CC123" s="6"/>
      <c r="CD123" s="6"/>
      <c r="CE123" s="6"/>
      <c r="CF123" s="6"/>
      <c r="CG123" s="6"/>
      <c r="CH123" s="6"/>
      <c r="CI123" s="6"/>
      <c r="CJ123" s="6"/>
      <c r="CK123" s="6"/>
      <c r="CL123" s="6"/>
      <c r="CM123" s="6"/>
      <c r="CN123" s="254"/>
      <c r="CO123" s="6"/>
      <c r="CP123" s="6"/>
      <c r="CQ123" s="6"/>
      <c r="CR123" s="6"/>
      <c r="CS123" s="6"/>
      <c r="CT123" s="6"/>
      <c r="CU123" s="6"/>
      <c r="CV123" s="6"/>
      <c r="CW123" s="6"/>
      <c r="CX123" s="6"/>
      <c r="CY123" s="6"/>
      <c r="CZ123" s="6"/>
      <c r="DA123" s="6"/>
      <c r="DB123" s="6"/>
      <c r="DC123" s="6"/>
      <c r="DD123" s="6"/>
      <c r="DE123" s="6"/>
      <c r="DF123" s="6"/>
      <c r="DG123" s="6"/>
      <c r="DH123" s="6"/>
    </row>
    <row r="124" spans="1:112">
      <c r="A124" s="1375" t="s">
        <v>1249</v>
      </c>
      <c r="B124" s="1376"/>
      <c r="C124" s="1376"/>
      <c r="D124" s="1376"/>
      <c r="E124" s="1376"/>
      <c r="F124" s="1376"/>
      <c r="G124" s="1376"/>
      <c r="H124" s="1376"/>
      <c r="I124" s="1376"/>
      <c r="J124" s="1376"/>
      <c r="K124" s="1376"/>
      <c r="L124" s="1376"/>
      <c r="M124" s="1376"/>
      <c r="N124" s="1376"/>
      <c r="O124" s="1376"/>
      <c r="P124" s="1376"/>
      <c r="Q124" s="1376"/>
      <c r="R124" s="1376"/>
      <c r="S124" s="1376"/>
      <c r="T124" s="1377">
        <f>+T9</f>
        <v>58.7</v>
      </c>
      <c r="U124" s="1377">
        <f>+U9</f>
        <v>61.3</v>
      </c>
      <c r="V124" s="1377">
        <f>+V9</f>
        <v>67.099999999999994</v>
      </c>
      <c r="W124" s="1377">
        <f>+W9</f>
        <v>73.3</v>
      </c>
      <c r="X124" s="1377">
        <f>+X9</f>
        <v>76.099999999999994</v>
      </c>
      <c r="Y124" s="1384">
        <v>76</v>
      </c>
      <c r="Z124" s="2197">
        <v>76</v>
      </c>
      <c r="AA124" s="2197">
        <v>77</v>
      </c>
      <c r="AB124" s="2197">
        <f>EC9</f>
        <v>76</v>
      </c>
      <c r="AC124" s="2197">
        <f>+SUM(AC121:AC123)</f>
        <v>74.17340999999999</v>
      </c>
      <c r="AD124" s="1384">
        <f t="shared" ref="AD124:AH124" si="176">+SUM(AD121:AD123)</f>
        <v>74.485963499999997</v>
      </c>
      <c r="AE124" s="1384">
        <f t="shared" si="176"/>
        <v>74.739131834999995</v>
      </c>
      <c r="AF124" s="1384">
        <f t="shared" si="176"/>
        <v>74.994831853349993</v>
      </c>
      <c r="AG124" s="1384">
        <f t="shared" si="176"/>
        <v>75.253088871883492</v>
      </c>
      <c r="AH124" s="1384">
        <f t="shared" si="176"/>
        <v>75.435676583986677</v>
      </c>
      <c r="AI124" s="1384">
        <f t="shared" ref="AI124:AN124" si="177">+SUM(AI121:AI123)</f>
        <v>75.540742770322623</v>
      </c>
      <c r="AJ124" s="1384">
        <f t="shared" si="177"/>
        <v>75.580300189478109</v>
      </c>
      <c r="AK124" s="1384">
        <f t="shared" si="177"/>
        <v>75.619916944762323</v>
      </c>
      <c r="AL124" s="1384">
        <f t="shared" si="177"/>
        <v>75.65959312517947</v>
      </c>
      <c r="AM124" s="1384">
        <f t="shared" si="177"/>
        <v>75.699328819867247</v>
      </c>
      <c r="AN124" s="1384">
        <f t="shared" si="177"/>
        <v>75.739124118097052</v>
      </c>
      <c r="AO124" s="6"/>
      <c r="AP124" s="6"/>
      <c r="AQ124" s="6"/>
      <c r="AR124" s="6"/>
      <c r="AS124" s="6"/>
      <c r="AT124" s="6"/>
      <c r="AU124" s="6"/>
      <c r="AV124" s="6"/>
      <c r="AW124" s="6"/>
      <c r="AX124" s="6"/>
      <c r="AY124" s="6"/>
      <c r="AZ124" s="6"/>
      <c r="BA124" s="6"/>
      <c r="BB124" s="6"/>
      <c r="BC124" s="6"/>
      <c r="BD124" s="6"/>
      <c r="BE124" s="6"/>
      <c r="BF124" s="6"/>
      <c r="BG124" s="6"/>
      <c r="BH124" s="6"/>
      <c r="BI124" s="6"/>
      <c r="BJ124" s="6"/>
      <c r="BK124" s="6"/>
      <c r="BL124" s="6"/>
      <c r="BM124" s="6"/>
      <c r="BN124" s="6"/>
      <c r="BO124" s="6"/>
      <c r="BP124" s="6"/>
      <c r="BQ124" s="6"/>
      <c r="BR124" s="6"/>
      <c r="BS124" s="6"/>
      <c r="BT124" s="254"/>
      <c r="BU124" s="6"/>
      <c r="BV124" s="6"/>
      <c r="BW124" s="6"/>
      <c r="BX124" s="6"/>
      <c r="BY124" s="254"/>
      <c r="BZ124" s="6"/>
      <c r="CA124" s="6"/>
      <c r="CB124" s="6"/>
      <c r="CC124" s="6"/>
      <c r="CD124" s="6"/>
      <c r="CE124" s="6"/>
      <c r="CF124" s="6"/>
      <c r="CG124" s="6"/>
      <c r="CH124" s="6"/>
      <c r="CI124" s="6"/>
      <c r="CJ124" s="6"/>
      <c r="CK124" s="6"/>
      <c r="CL124" s="6"/>
      <c r="CM124" s="6"/>
      <c r="CN124" s="254"/>
      <c r="CO124" s="6"/>
      <c r="CP124" s="6"/>
      <c r="CQ124" s="6"/>
      <c r="CR124" s="6"/>
      <c r="CS124" s="6"/>
      <c r="CT124" s="6"/>
      <c r="CU124" s="6"/>
      <c r="CV124" s="6"/>
      <c r="CW124" s="6"/>
      <c r="CX124" s="6"/>
      <c r="CY124" s="6"/>
      <c r="CZ124" s="6"/>
      <c r="DA124" s="6"/>
      <c r="DB124" s="6"/>
      <c r="DC124" s="6"/>
      <c r="DD124" s="6"/>
      <c r="DE124" s="6"/>
      <c r="DF124" s="6"/>
      <c r="DG124" s="6"/>
      <c r="DH124" s="6"/>
    </row>
    <row r="125" spans="1:112">
      <c r="A125" s="107"/>
      <c r="B125" s="6"/>
      <c r="C125" s="6"/>
      <c r="D125" s="6"/>
      <c r="E125" s="6"/>
      <c r="F125" s="6"/>
      <c r="G125" s="6"/>
      <c r="H125" s="6"/>
      <c r="I125" s="6"/>
      <c r="J125" s="6"/>
      <c r="K125" s="6"/>
      <c r="L125" s="6"/>
      <c r="M125" s="6"/>
      <c r="N125" s="6"/>
      <c r="O125" s="6"/>
      <c r="P125" s="6"/>
      <c r="Q125" s="6"/>
      <c r="R125" s="6"/>
      <c r="S125" s="6"/>
      <c r="T125" s="6"/>
      <c r="U125" s="6"/>
      <c r="V125" s="6"/>
      <c r="W125" s="6"/>
      <c r="X125" s="6"/>
      <c r="Y125" s="6"/>
      <c r="Z125" s="6"/>
      <c r="AA125" s="1108"/>
      <c r="AM125" s="2369"/>
      <c r="AN125" s="6"/>
      <c r="AO125" s="6"/>
      <c r="AP125" s="6"/>
      <c r="AQ125" s="6"/>
      <c r="AR125" s="6"/>
      <c r="AS125" s="6"/>
      <c r="AT125" s="6"/>
      <c r="AU125" s="6"/>
      <c r="AV125" s="6"/>
      <c r="AW125" s="6"/>
      <c r="AX125" s="6"/>
      <c r="AY125" s="6"/>
      <c r="AZ125" s="6"/>
      <c r="BA125" s="6"/>
      <c r="BB125" s="6"/>
      <c r="BC125" s="6"/>
      <c r="BD125" s="6"/>
      <c r="BE125" s="6"/>
      <c r="BF125" s="6"/>
      <c r="BG125" s="6"/>
      <c r="BH125" s="6"/>
      <c r="BI125" s="6"/>
      <c r="BJ125" s="6"/>
      <c r="BK125" s="6"/>
      <c r="BL125" s="6"/>
      <c r="BM125" s="6"/>
      <c r="BN125" s="6"/>
      <c r="BO125" s="6"/>
      <c r="BP125" s="6"/>
      <c r="BQ125" s="6"/>
      <c r="BR125" s="6"/>
      <c r="BS125" s="6"/>
      <c r="BT125" s="254"/>
      <c r="BU125" s="6"/>
      <c r="BV125" s="6"/>
      <c r="BW125" s="6"/>
      <c r="BX125" s="6"/>
      <c r="BY125" s="254"/>
      <c r="BZ125" s="6"/>
      <c r="CA125" s="6"/>
      <c r="CB125" s="6"/>
      <c r="CC125" s="6"/>
      <c r="CD125" s="6"/>
      <c r="CE125" s="6"/>
      <c r="CF125" s="6"/>
      <c r="CG125" s="6"/>
      <c r="CH125" s="6"/>
      <c r="CI125" s="6"/>
      <c r="CJ125" s="6"/>
      <c r="CK125" s="6"/>
      <c r="CL125" s="6"/>
      <c r="CM125" s="6"/>
      <c r="CN125" s="254"/>
      <c r="CO125" s="6"/>
      <c r="CP125" s="6"/>
      <c r="CQ125" s="6"/>
      <c r="CR125" s="6"/>
      <c r="CS125" s="6"/>
      <c r="CT125" s="6"/>
      <c r="CU125" s="6"/>
      <c r="CV125" s="6"/>
      <c r="CW125" s="6"/>
      <c r="CX125" s="6"/>
      <c r="CY125" s="6"/>
      <c r="CZ125" s="6"/>
      <c r="DA125" s="6"/>
      <c r="DB125" s="6"/>
      <c r="DC125" s="6"/>
      <c r="DD125" s="6"/>
      <c r="DE125" s="6"/>
      <c r="DF125" s="6"/>
      <c r="DG125" s="6"/>
      <c r="DH125" s="6"/>
    </row>
    <row r="126" spans="1:112">
      <c r="A126" s="1382" t="s">
        <v>1250</v>
      </c>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1108"/>
      <c r="AC126" s="3130"/>
      <c r="AD126" s="3130"/>
      <c r="AM126" s="6"/>
      <c r="AN126" s="6"/>
      <c r="AO126" s="6"/>
      <c r="AP126" s="6"/>
      <c r="AQ126" s="6"/>
      <c r="AR126" s="6"/>
      <c r="AS126" s="6"/>
      <c r="AT126" s="6"/>
      <c r="AU126" s="6"/>
      <c r="AV126" s="6"/>
      <c r="AW126" s="6"/>
      <c r="AX126" s="6"/>
      <c r="AY126" s="6"/>
      <c r="AZ126" s="6"/>
      <c r="BA126" s="6"/>
      <c r="BB126" s="6"/>
      <c r="BC126" s="6"/>
      <c r="BD126" s="6"/>
      <c r="BE126" s="6"/>
      <c r="BF126" s="6"/>
      <c r="BG126" s="6"/>
      <c r="BH126" s="6"/>
      <c r="BI126" s="6"/>
      <c r="BJ126" s="6"/>
      <c r="BK126" s="6"/>
      <c r="BL126" s="6"/>
      <c r="BM126" s="6"/>
      <c r="BN126" s="6"/>
      <c r="BO126" s="6"/>
      <c r="BP126" s="6"/>
      <c r="BQ126" s="6"/>
      <c r="BR126" s="6"/>
      <c r="BS126" s="6"/>
      <c r="BT126" s="254"/>
      <c r="BU126" s="6"/>
      <c r="BV126" s="6"/>
      <c r="BW126" s="6"/>
      <c r="BX126" s="6"/>
      <c r="BY126" s="254"/>
      <c r="BZ126" s="6"/>
      <c r="CA126" s="6"/>
      <c r="CB126" s="6"/>
      <c r="CC126" s="6"/>
      <c r="CD126" s="6"/>
      <c r="CE126" s="6"/>
      <c r="CF126" s="6"/>
      <c r="CG126" s="6"/>
      <c r="CH126" s="6"/>
      <c r="CI126" s="6"/>
      <c r="CJ126" s="6"/>
      <c r="CK126" s="6"/>
      <c r="CL126" s="6"/>
      <c r="CM126" s="6"/>
      <c r="CN126" s="254"/>
      <c r="CO126" s="6"/>
      <c r="CP126" s="6"/>
      <c r="CQ126" s="6"/>
      <c r="CR126" s="6"/>
      <c r="CS126" s="6"/>
      <c r="CT126" s="6"/>
      <c r="CU126" s="6"/>
      <c r="CV126" s="6"/>
      <c r="CW126" s="6"/>
      <c r="CX126" s="6"/>
      <c r="CY126" s="6"/>
      <c r="CZ126" s="6"/>
      <c r="DA126" s="6"/>
      <c r="DB126" s="6"/>
      <c r="DC126" s="6"/>
      <c r="DD126" s="6"/>
      <c r="DE126" s="6"/>
      <c r="DF126" s="6"/>
      <c r="DG126" s="6"/>
      <c r="DH126" s="6"/>
    </row>
    <row r="127" spans="1:112">
      <c r="A127" s="107" t="s">
        <v>257</v>
      </c>
      <c r="B127" s="6"/>
      <c r="C127" s="6"/>
      <c r="D127" s="6"/>
      <c r="E127" s="6"/>
      <c r="F127" s="6"/>
      <c r="G127" s="6"/>
      <c r="H127" s="6"/>
      <c r="I127" s="6"/>
      <c r="J127" s="6"/>
      <c r="K127" s="6"/>
      <c r="L127" s="6"/>
      <c r="M127" s="6"/>
      <c r="N127" s="6"/>
      <c r="O127" s="6"/>
      <c r="P127" s="6"/>
      <c r="Q127" s="6"/>
      <c r="R127" s="6"/>
      <c r="S127" s="6"/>
      <c r="T127" s="6"/>
      <c r="U127" s="38">
        <f t="shared" ref="U127:X129" si="178">+U121/T121-1</f>
        <v>0.11585365853658525</v>
      </c>
      <c r="V127" s="38">
        <f t="shared" si="178"/>
        <v>2.1513316595283438E-2</v>
      </c>
      <c r="W127" s="38">
        <f t="shared" si="178"/>
        <v>0.1100000000000001</v>
      </c>
      <c r="X127" s="38">
        <f t="shared" si="178"/>
        <v>6.024096385542177E-2</v>
      </c>
      <c r="Y127" s="130">
        <v>0.03</v>
      </c>
      <c r="Z127" s="130">
        <v>0.02</v>
      </c>
      <c r="AA127" s="38">
        <f>AA121/Z121-1</f>
        <v>2.9714621947631636E-2</v>
      </c>
      <c r="AB127" s="38">
        <f>AB121/AA121-1</f>
        <v>3.0000000000000027E-2</v>
      </c>
      <c r="AC127" s="511">
        <f>+Scenarios!L111</f>
        <v>0.02</v>
      </c>
      <c r="AD127" s="511">
        <f>+Scenarios!M111</f>
        <v>1.2500000000000001E-2</v>
      </c>
      <c r="AE127" s="511">
        <f>+Scenarios!N111</f>
        <v>0.01</v>
      </c>
      <c r="AF127" s="511">
        <f>+Scenarios!O111</f>
        <v>0.01</v>
      </c>
      <c r="AG127" s="511">
        <f>+Scenarios!P111</f>
        <v>0.01</v>
      </c>
      <c r="AH127" s="511">
        <f>+Scenarios!Q111</f>
        <v>7.0000000000000001E-3</v>
      </c>
      <c r="AI127" s="511">
        <f>+Scenarios!R111</f>
        <v>4.0000000000000001E-3</v>
      </c>
      <c r="AJ127" s="511">
        <f>+Scenarios!S111</f>
        <v>1.5E-3</v>
      </c>
      <c r="AK127" s="511">
        <f>+Scenarios!T111</f>
        <v>1.5E-3</v>
      </c>
      <c r="AL127" s="511">
        <f>+Scenarios!U111</f>
        <v>1.5E-3</v>
      </c>
      <c r="AM127" s="511">
        <f>+Scenarios!V111</f>
        <v>1.5E-3</v>
      </c>
      <c r="AN127" s="511">
        <f>+Scenarios!W111</f>
        <v>1.5E-3</v>
      </c>
      <c r="AO127" s="6"/>
      <c r="AP127" s="6"/>
      <c r="AQ127" s="6"/>
      <c r="AR127" s="6"/>
      <c r="AS127" s="6"/>
      <c r="AT127" s="6"/>
      <c r="AU127" s="6"/>
      <c r="AV127" s="6"/>
      <c r="AW127" s="6"/>
      <c r="AX127" s="6"/>
      <c r="AY127" s="6"/>
      <c r="AZ127" s="6"/>
      <c r="BA127" s="6"/>
      <c r="BB127" s="6"/>
      <c r="BC127" s="6"/>
      <c r="BD127" s="6"/>
      <c r="BE127" s="6"/>
      <c r="BF127" s="6"/>
      <c r="BG127" s="6"/>
      <c r="BH127" s="6"/>
      <c r="BI127" s="6"/>
      <c r="BJ127" s="6"/>
      <c r="BK127" s="6"/>
      <c r="BL127" s="6"/>
      <c r="BM127" s="6"/>
      <c r="BN127" s="6"/>
      <c r="BO127" s="6"/>
      <c r="BP127" s="6"/>
      <c r="BQ127" s="6"/>
      <c r="BR127" s="6"/>
      <c r="BS127" s="6"/>
      <c r="BT127" s="254"/>
      <c r="BU127" s="6"/>
      <c r="BV127" s="6"/>
      <c r="BW127" s="6"/>
      <c r="BX127" s="6"/>
      <c r="BY127" s="254"/>
      <c r="BZ127" s="6"/>
      <c r="CA127" s="6"/>
      <c r="CB127" s="6"/>
      <c r="CC127" s="6"/>
      <c r="CD127" s="6"/>
      <c r="CE127" s="6"/>
      <c r="CF127" s="6"/>
      <c r="CG127" s="6"/>
      <c r="CH127" s="6"/>
      <c r="CI127" s="6"/>
      <c r="CJ127" s="6"/>
      <c r="CK127" s="6"/>
      <c r="CL127" s="6"/>
      <c r="CM127" s="6"/>
      <c r="CN127" s="254"/>
      <c r="CO127" s="6"/>
      <c r="CP127" s="6"/>
      <c r="CQ127" s="6"/>
      <c r="CR127" s="6"/>
      <c r="CS127" s="6"/>
      <c r="CT127" s="6"/>
      <c r="CU127" s="6"/>
      <c r="CV127" s="6"/>
      <c r="CW127" s="6"/>
      <c r="CX127" s="6"/>
      <c r="CY127" s="6"/>
      <c r="CZ127" s="6"/>
      <c r="DA127" s="6"/>
      <c r="DB127" s="6"/>
      <c r="DC127" s="6"/>
      <c r="DD127" s="6"/>
      <c r="DE127" s="6"/>
      <c r="DF127" s="6"/>
      <c r="DG127" s="6"/>
      <c r="DH127" s="6"/>
    </row>
    <row r="128" spans="1:112">
      <c r="A128" s="107" t="s">
        <v>1247</v>
      </c>
      <c r="B128" s="6"/>
      <c r="C128" s="6"/>
      <c r="D128" s="6"/>
      <c r="E128" s="6"/>
      <c r="F128" s="6"/>
      <c r="G128" s="6"/>
      <c r="H128" s="6"/>
      <c r="I128" s="6"/>
      <c r="J128" s="6"/>
      <c r="K128" s="6"/>
      <c r="L128" s="6"/>
      <c r="M128" s="6"/>
      <c r="N128" s="6"/>
      <c r="O128" s="6"/>
      <c r="P128" s="6"/>
      <c r="Q128" s="6"/>
      <c r="R128" s="6"/>
      <c r="S128" s="6"/>
      <c r="T128" s="6"/>
      <c r="U128" s="38">
        <f t="shared" si="178"/>
        <v>2.0000000000000018E-2</v>
      </c>
      <c r="V128" s="38">
        <f t="shared" si="178"/>
        <v>0.10000000000000009</v>
      </c>
      <c r="W128" s="38">
        <f t="shared" si="178"/>
        <v>8.0000000000000071E-2</v>
      </c>
      <c r="X128" s="38">
        <f t="shared" si="178"/>
        <v>3.0000000000000027E-2</v>
      </c>
      <c r="Y128" s="130">
        <v>-5.0000000000000001E-3</v>
      </c>
      <c r="Z128" s="130">
        <v>-5.0000000000000001E-3</v>
      </c>
      <c r="AA128" s="130">
        <v>6.0000000000000001E-3</v>
      </c>
      <c r="AB128" s="130">
        <v>-3.2000000000000001E-2</v>
      </c>
      <c r="AC128" s="130">
        <v>-4.4999999999999998E-2</v>
      </c>
      <c r="AD128" s="130">
        <v>0</v>
      </c>
      <c r="AE128" s="130">
        <v>0</v>
      </c>
      <c r="AF128" s="130">
        <v>0</v>
      </c>
      <c r="AG128" s="130">
        <v>0</v>
      </c>
      <c r="AH128" s="130">
        <v>0</v>
      </c>
      <c r="AI128" s="130">
        <v>0</v>
      </c>
      <c r="AJ128" s="130">
        <v>0</v>
      </c>
      <c r="AK128" s="130">
        <v>0</v>
      </c>
      <c r="AL128" s="130">
        <v>0</v>
      </c>
      <c r="AM128" s="130">
        <v>0</v>
      </c>
      <c r="AN128" s="130">
        <v>0</v>
      </c>
      <c r="AO128" s="6"/>
      <c r="AP128" s="6"/>
      <c r="AQ128" s="6"/>
      <c r="AR128" s="6"/>
      <c r="AS128" s="6"/>
      <c r="AT128" s="6"/>
      <c r="AU128" s="6"/>
      <c r="AV128" s="6"/>
      <c r="AW128" s="6"/>
      <c r="AX128" s="6"/>
      <c r="AY128" s="6"/>
      <c r="AZ128" s="6"/>
      <c r="BA128" s="6"/>
      <c r="BB128" s="6"/>
      <c r="BC128" s="6"/>
      <c r="BD128" s="6"/>
      <c r="BE128" s="6"/>
      <c r="BF128" s="6"/>
      <c r="BG128" s="6"/>
      <c r="BH128" s="6"/>
      <c r="BI128" s="6"/>
      <c r="BJ128" s="6"/>
      <c r="BK128" s="6"/>
      <c r="BL128" s="6"/>
      <c r="BM128" s="6"/>
      <c r="BN128" s="6"/>
      <c r="BO128" s="6"/>
      <c r="BP128" s="6"/>
      <c r="BQ128" s="6"/>
      <c r="BR128" s="6"/>
      <c r="BS128" s="6"/>
      <c r="BT128" s="254"/>
      <c r="BU128" s="6"/>
      <c r="BV128" s="6"/>
      <c r="BW128" s="6"/>
      <c r="BX128" s="6"/>
      <c r="BY128" s="254"/>
      <c r="BZ128" s="6"/>
      <c r="CA128" s="6"/>
      <c r="CB128" s="6"/>
      <c r="CC128" s="6"/>
      <c r="CD128" s="6"/>
      <c r="CE128" s="6"/>
      <c r="CF128" s="6"/>
      <c r="CG128" s="6"/>
      <c r="CH128" s="6"/>
      <c r="CI128" s="6"/>
      <c r="CJ128" s="6"/>
      <c r="CK128" s="6"/>
      <c r="CL128" s="6"/>
      <c r="CM128" s="6"/>
      <c r="CN128" s="254"/>
      <c r="CO128" s="6"/>
      <c r="CP128" s="6"/>
      <c r="CQ128" s="6"/>
      <c r="CR128" s="6"/>
      <c r="CS128" s="6"/>
      <c r="CT128" s="6"/>
      <c r="CU128" s="6"/>
      <c r="CV128" s="6"/>
      <c r="CW128" s="6"/>
      <c r="CX128" s="6"/>
      <c r="CY128" s="6"/>
      <c r="CZ128" s="6"/>
      <c r="DA128" s="6"/>
      <c r="DB128" s="6"/>
      <c r="DC128" s="6"/>
      <c r="DD128" s="6"/>
      <c r="DE128" s="6"/>
      <c r="DF128" s="6"/>
      <c r="DG128" s="6"/>
      <c r="DH128" s="6"/>
    </row>
    <row r="129" spans="1:112">
      <c r="A129" s="107" t="s">
        <v>1248</v>
      </c>
      <c r="B129" s="6"/>
      <c r="C129" s="6"/>
      <c r="D129" s="6"/>
      <c r="E129" s="6"/>
      <c r="F129" s="6"/>
      <c r="G129" s="6"/>
      <c r="H129" s="6"/>
      <c r="I129" s="6"/>
      <c r="J129" s="6"/>
      <c r="K129" s="6"/>
      <c r="L129" s="6"/>
      <c r="M129" s="6"/>
      <c r="N129" s="6"/>
      <c r="O129" s="6"/>
      <c r="P129" s="6"/>
      <c r="Q129" s="6"/>
      <c r="R129" s="6"/>
      <c r="S129" s="6"/>
      <c r="T129" s="6"/>
      <c r="U129" s="38">
        <f t="shared" si="178"/>
        <v>1.4136546184738918E-2</v>
      </c>
      <c r="V129" s="38">
        <f t="shared" si="178"/>
        <v>0.14381064099106244</v>
      </c>
      <c r="W129" s="38">
        <f t="shared" si="178"/>
        <v>8.9389067459928695E-2</v>
      </c>
      <c r="X129" s="38">
        <f t="shared" si="178"/>
        <v>2.9157804438758372E-2</v>
      </c>
      <c r="Y129" s="38">
        <f>+Y123/X123-1</f>
        <v>-2.0116031858712691E-2</v>
      </c>
      <c r="Z129" s="38">
        <f>+Z123/Y123-1</f>
        <v>-1.0877454643300033E-2</v>
      </c>
      <c r="AA129" s="38">
        <f>+AA123/Z123-1</f>
        <v>5.868706905024057E-3</v>
      </c>
      <c r="AB129" s="38">
        <f>+AB123/AA123-1</f>
        <v>-3.2367432054545398E-2</v>
      </c>
      <c r="AC129" s="130">
        <v>-4.4999999999999998E-2</v>
      </c>
      <c r="AD129" s="130">
        <v>0</v>
      </c>
      <c r="AE129" s="130">
        <v>0</v>
      </c>
      <c r="AF129" s="130">
        <v>0</v>
      </c>
      <c r="AG129" s="130">
        <v>0</v>
      </c>
      <c r="AH129" s="130">
        <v>0</v>
      </c>
      <c r="AI129" s="130">
        <v>0</v>
      </c>
      <c r="AJ129" s="130">
        <v>0</v>
      </c>
      <c r="AK129" s="130">
        <v>0</v>
      </c>
      <c r="AL129" s="130">
        <v>0</v>
      </c>
      <c r="AM129" s="130">
        <v>0</v>
      </c>
      <c r="AN129" s="130">
        <v>0</v>
      </c>
      <c r="AO129" s="6"/>
      <c r="AP129" s="6"/>
      <c r="AQ129" s="6"/>
      <c r="AR129" s="6"/>
      <c r="AS129" s="6"/>
      <c r="AT129" s="6"/>
      <c r="AU129" s="6"/>
      <c r="AV129" s="6"/>
      <c r="AW129" s="6"/>
      <c r="AX129" s="6"/>
      <c r="AY129" s="6"/>
      <c r="AZ129" s="6"/>
      <c r="BA129" s="6"/>
      <c r="BB129" s="6"/>
      <c r="BC129" s="6"/>
      <c r="BD129" s="6"/>
      <c r="BE129" s="6"/>
      <c r="BF129" s="6"/>
      <c r="BG129" s="6"/>
      <c r="BH129" s="6"/>
      <c r="BI129" s="6"/>
      <c r="BJ129" s="6"/>
      <c r="BK129" s="6"/>
      <c r="BL129" s="6"/>
      <c r="BM129" s="6"/>
      <c r="BN129" s="6"/>
      <c r="BO129" s="6"/>
      <c r="BP129" s="6"/>
      <c r="BQ129" s="6"/>
      <c r="BR129" s="6"/>
      <c r="BS129" s="6"/>
      <c r="BT129" s="254"/>
      <c r="BU129" s="6"/>
      <c r="BV129" s="6"/>
      <c r="BW129" s="6"/>
      <c r="BX129" s="6"/>
      <c r="BY129" s="254"/>
      <c r="BZ129" s="6"/>
      <c r="CA129" s="6"/>
      <c r="CB129" s="6"/>
      <c r="CC129" s="6"/>
      <c r="CD129" s="6"/>
      <c r="CE129" s="6"/>
      <c r="CF129" s="6"/>
      <c r="CG129" s="6"/>
      <c r="CH129" s="6"/>
      <c r="CI129" s="6"/>
      <c r="CJ129" s="6"/>
      <c r="CK129" s="6"/>
      <c r="CL129" s="6"/>
      <c r="CM129" s="6"/>
      <c r="CN129" s="254"/>
      <c r="CO129" s="6"/>
      <c r="CP129" s="6"/>
      <c r="CQ129" s="6"/>
      <c r="CR129" s="6"/>
      <c r="CS129" s="6"/>
      <c r="CT129" s="6"/>
      <c r="CU129" s="6"/>
      <c r="CV129" s="6"/>
      <c r="CW129" s="6"/>
      <c r="CX129" s="6"/>
      <c r="CY129" s="6"/>
      <c r="CZ129" s="6"/>
      <c r="DA129" s="6"/>
      <c r="DB129" s="6"/>
      <c r="DC129" s="6"/>
      <c r="DD129" s="6"/>
      <c r="DE129" s="6"/>
      <c r="DF129" s="6"/>
      <c r="DG129" s="6"/>
      <c r="DH129" s="6"/>
    </row>
    <row r="130" spans="1:112">
      <c r="A130" s="1375" t="s">
        <v>1256</v>
      </c>
      <c r="B130" s="1376"/>
      <c r="C130" s="1376"/>
      <c r="D130" s="1376"/>
      <c r="E130" s="1376"/>
      <c r="F130" s="1376"/>
      <c r="G130" s="1376"/>
      <c r="H130" s="1376"/>
      <c r="I130" s="1376"/>
      <c r="J130" s="1376"/>
      <c r="K130" s="1376"/>
      <c r="L130" s="1376"/>
      <c r="M130" s="1376"/>
      <c r="N130" s="1376"/>
      <c r="O130" s="1376"/>
      <c r="P130" s="1376"/>
      <c r="Q130" s="1376"/>
      <c r="R130" s="1376"/>
      <c r="S130" s="1376"/>
      <c r="T130" s="1376"/>
      <c r="U130" s="463">
        <f>+U124/T124-1</f>
        <v>4.4293015332197427E-2</v>
      </c>
      <c r="V130" s="463">
        <f t="shared" ref="V130:AH130" si="179">+V124/U124-1</f>
        <v>9.4616639477977049E-2</v>
      </c>
      <c r="W130" s="463">
        <f t="shared" si="179"/>
        <v>9.2399403874813713E-2</v>
      </c>
      <c r="X130" s="463">
        <f t="shared" si="179"/>
        <v>3.8199181446111785E-2</v>
      </c>
      <c r="Y130" s="463">
        <f t="shared" si="179"/>
        <v>-1.3140604467805073E-3</v>
      </c>
      <c r="Z130" s="463">
        <f t="shared" si="179"/>
        <v>0</v>
      </c>
      <c r="AA130" s="463">
        <f t="shared" si="179"/>
        <v>1.3157894736842035E-2</v>
      </c>
      <c r="AB130" s="463">
        <f t="shared" si="179"/>
        <v>-1.2987012987012991E-2</v>
      </c>
      <c r="AC130" s="463">
        <f t="shared" si="179"/>
        <v>-2.4034078947368531E-2</v>
      </c>
      <c r="AD130" s="463">
        <f t="shared" si="179"/>
        <v>4.2138213680618097E-3</v>
      </c>
      <c r="AE130" s="463">
        <f t="shared" si="179"/>
        <v>3.3988730641847376E-3</v>
      </c>
      <c r="AF130" s="463">
        <f t="shared" si="179"/>
        <v>3.421233456584627E-3</v>
      </c>
      <c r="AG130" s="463">
        <f t="shared" si="179"/>
        <v>3.4436642119355376E-3</v>
      </c>
      <c r="AH130" s="463">
        <f t="shared" si="179"/>
        <v>2.4263151830754559E-3</v>
      </c>
      <c r="AI130" s="463">
        <f t="shared" ref="AI130:AN130" si="180">+AI124/AH124-1</f>
        <v>1.3927917279163982E-3</v>
      </c>
      <c r="AJ130" s="463">
        <f t="shared" si="180"/>
        <v>5.236567407835846E-4</v>
      </c>
      <c r="AK130" s="463">
        <f t="shared" si="180"/>
        <v>5.2416774192343141E-4</v>
      </c>
      <c r="AL130" s="463">
        <f t="shared" si="180"/>
        <v>5.2467897374341987E-4</v>
      </c>
      <c r="AM130" s="463">
        <f t="shared" si="180"/>
        <v>5.2519043582521796E-4</v>
      </c>
      <c r="AN130" s="463">
        <f t="shared" si="180"/>
        <v>5.2570212774938341E-4</v>
      </c>
      <c r="AO130" s="6"/>
      <c r="AP130" s="6"/>
      <c r="AQ130" s="6"/>
      <c r="AR130" s="6"/>
      <c r="AS130" s="6"/>
      <c r="AT130" s="6"/>
      <c r="AU130" s="6"/>
      <c r="AV130" s="6"/>
      <c r="AW130" s="6"/>
      <c r="AX130" s="6"/>
      <c r="AY130" s="6"/>
      <c r="AZ130" s="6"/>
      <c r="BA130" s="6"/>
      <c r="BB130" s="6"/>
      <c r="BC130" s="6"/>
      <c r="BD130" s="6"/>
      <c r="BE130" s="6"/>
      <c r="BF130" s="6"/>
      <c r="BG130" s="6"/>
      <c r="BH130" s="6"/>
      <c r="BI130" s="6"/>
      <c r="BJ130" s="6"/>
      <c r="BK130" s="6"/>
      <c r="BL130" s="6"/>
      <c r="BM130" s="6"/>
      <c r="BN130" s="6"/>
      <c r="BO130" s="6"/>
      <c r="BP130" s="6"/>
      <c r="BQ130" s="6"/>
      <c r="BR130" s="6"/>
      <c r="BS130" s="6"/>
      <c r="BT130" s="254"/>
      <c r="BU130" s="6"/>
      <c r="BV130" s="6"/>
      <c r="BW130" s="6"/>
      <c r="BX130" s="6"/>
      <c r="BY130" s="254"/>
      <c r="BZ130" s="6"/>
      <c r="CA130" s="6"/>
      <c r="CB130" s="6"/>
      <c r="CC130" s="6"/>
      <c r="CD130" s="6"/>
      <c r="CE130" s="6"/>
      <c r="CF130" s="6"/>
      <c r="CG130" s="6"/>
      <c r="CH130" s="6"/>
      <c r="CI130" s="6"/>
      <c r="CJ130" s="6"/>
      <c r="CK130" s="6"/>
      <c r="CL130" s="6"/>
      <c r="CM130" s="6"/>
      <c r="CN130" s="254"/>
      <c r="CO130" s="6"/>
      <c r="CP130" s="6"/>
      <c r="CQ130" s="6"/>
      <c r="CR130" s="6"/>
      <c r="CS130" s="6"/>
      <c r="CT130" s="6"/>
      <c r="CU130" s="6"/>
      <c r="CV130" s="6"/>
      <c r="CW130" s="6"/>
      <c r="CX130" s="6"/>
      <c r="CY130" s="6"/>
      <c r="CZ130" s="6"/>
      <c r="DA130" s="6"/>
      <c r="DB130" s="6"/>
      <c r="DC130" s="6"/>
      <c r="DD130" s="6"/>
      <c r="DE130" s="6"/>
      <c r="DF130" s="6"/>
      <c r="DG130" s="6"/>
      <c r="DH130" s="6"/>
    </row>
    <row r="131" spans="1:112">
      <c r="A131" s="107"/>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2288">
        <f>(AA121-AA160)/(Z121-Z160)-1</f>
        <v>1.6735025872661513E-2</v>
      </c>
      <c r="AB131" s="2288">
        <f>(AB121-AB160)/(AA121-AA160)-1</f>
        <v>-7.9148936170211348E-3</v>
      </c>
      <c r="AC131" s="2288">
        <f t="shared" ref="AC131:AN131" si="181">(AC121-AC160)/(AB121-AB160)-1</f>
        <v>-1.7573989877326945E-2</v>
      </c>
      <c r="AD131" s="2288">
        <f t="shared" si="181"/>
        <v>-1.4732901448986757E-2</v>
      </c>
      <c r="AE131" s="2288">
        <f t="shared" si="181"/>
        <v>-1.0937806803954064E-2</v>
      </c>
      <c r="AF131" s="2288">
        <f t="shared" si="181"/>
        <v>-9.0785527923022968E-3</v>
      </c>
      <c r="AG131" s="2288">
        <f t="shared" si="181"/>
        <v>-7.1622285440424704E-3</v>
      </c>
      <c r="AH131" s="2288">
        <f t="shared" si="181"/>
        <v>-8.7623593185551796E-3</v>
      </c>
      <c r="AI131" s="2288">
        <f t="shared" si="181"/>
        <v>-1.0487063077122105E-2</v>
      </c>
      <c r="AJ131" s="2288">
        <f t="shared" si="181"/>
        <v>-1.363971133522035E-2</v>
      </c>
      <c r="AK131" s="2288">
        <f t="shared" si="181"/>
        <v>-1.3825532695256326E-2</v>
      </c>
      <c r="AL131" s="2288">
        <f t="shared" si="181"/>
        <v>-1.3221006303000382E-2</v>
      </c>
      <c r="AM131" s="2288">
        <f t="shared" si="181"/>
        <v>-1.258909101840644E-2</v>
      </c>
      <c r="AN131" s="2288">
        <f t="shared" si="181"/>
        <v>-1.1930225170039943E-2</v>
      </c>
      <c r="AO131" s="6"/>
      <c r="AP131" s="6"/>
      <c r="AQ131" s="6"/>
      <c r="AR131" s="6"/>
      <c r="AS131" s="6"/>
      <c r="AT131" s="6"/>
      <c r="AU131" s="6"/>
      <c r="AV131" s="6"/>
      <c r="AW131" s="6"/>
      <c r="AX131" s="6"/>
      <c r="AY131" s="6"/>
      <c r="AZ131" s="6"/>
      <c r="BA131" s="6"/>
      <c r="BB131" s="6"/>
      <c r="BC131" s="6"/>
      <c r="BD131" s="6"/>
      <c r="BE131" s="6"/>
      <c r="BF131" s="6"/>
      <c r="BG131" s="6"/>
      <c r="BH131" s="6"/>
      <c r="BI131" s="6"/>
      <c r="BJ131" s="6"/>
      <c r="BK131" s="6"/>
      <c r="BL131" s="6"/>
      <c r="BM131" s="6"/>
      <c r="BN131" s="6"/>
      <c r="BO131" s="6"/>
      <c r="BP131" s="6"/>
      <c r="BQ131" s="6"/>
      <c r="BR131" s="6"/>
      <c r="BS131" s="6"/>
      <c r="BT131" s="254"/>
      <c r="BU131" s="6"/>
      <c r="BV131" s="6"/>
      <c r="BW131" s="6"/>
      <c r="BX131" s="6"/>
      <c r="BY131" s="254"/>
      <c r="BZ131" s="6"/>
      <c r="CA131" s="6"/>
      <c r="CB131" s="6"/>
      <c r="CC131" s="6"/>
      <c r="CD131" s="6"/>
      <c r="CE131" s="6"/>
      <c r="CF131" s="6"/>
      <c r="CG131" s="6"/>
      <c r="CH131" s="6"/>
      <c r="CI131" s="6"/>
      <c r="CJ131" s="6"/>
      <c r="CK131" s="6"/>
      <c r="CL131" s="6"/>
      <c r="CM131" s="6"/>
      <c r="CN131" s="254"/>
      <c r="CO131" s="6"/>
      <c r="CP131" s="6"/>
      <c r="CQ131" s="6"/>
      <c r="CR131" s="6"/>
      <c r="CS131" s="6"/>
      <c r="CT131" s="6"/>
      <c r="CU131" s="6"/>
      <c r="CV131" s="6"/>
      <c r="CW131" s="6"/>
      <c r="CX131" s="6"/>
      <c r="CY131" s="6"/>
      <c r="CZ131" s="6"/>
      <c r="DA131" s="6"/>
      <c r="DB131" s="6"/>
      <c r="DC131" s="6"/>
      <c r="DD131" s="6"/>
      <c r="DE131" s="6"/>
      <c r="DF131" s="6"/>
      <c r="DG131" s="6"/>
      <c r="DH131" s="6"/>
    </row>
    <row r="132" spans="1:112">
      <c r="A132" s="1378" t="s">
        <v>1252</v>
      </c>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1108"/>
      <c r="AB132" s="1108"/>
      <c r="AC132" s="1108"/>
      <c r="AD132" s="1108"/>
      <c r="AE132" s="1108"/>
      <c r="AF132" s="1108"/>
      <c r="AG132" s="1108"/>
      <c r="AH132" s="1108"/>
      <c r="AI132" s="1108"/>
      <c r="AJ132" s="6"/>
      <c r="AK132" s="6"/>
      <c r="AL132" s="6"/>
      <c r="AM132" s="6"/>
      <c r="AN132" s="6"/>
      <c r="AO132" s="6"/>
      <c r="AP132" s="6"/>
      <c r="AQ132" s="6"/>
      <c r="AR132" s="6"/>
      <c r="AS132" s="6"/>
      <c r="AT132" s="6"/>
      <c r="AU132" s="6"/>
      <c r="AV132" s="6"/>
      <c r="AW132" s="6"/>
      <c r="AX132" s="6"/>
      <c r="AY132" s="6"/>
      <c r="AZ132" s="6"/>
      <c r="BA132" s="6"/>
      <c r="BB132" s="6"/>
      <c r="BC132" s="6"/>
      <c r="BD132" s="6"/>
      <c r="BE132" s="6"/>
      <c r="BF132" s="6"/>
      <c r="BG132" s="6"/>
      <c r="BH132" s="6"/>
      <c r="BI132" s="6"/>
      <c r="BJ132" s="6"/>
      <c r="BK132" s="6"/>
      <c r="BL132" s="6"/>
      <c r="BM132" s="6"/>
      <c r="BN132" s="6"/>
      <c r="BO132" s="6"/>
      <c r="BP132" s="6"/>
      <c r="BQ132" s="6"/>
      <c r="BR132" s="6"/>
      <c r="BS132" s="6"/>
      <c r="BT132" s="254"/>
      <c r="BU132" s="6"/>
      <c r="BV132" s="6"/>
      <c r="BW132" s="6"/>
      <c r="BX132" s="6"/>
      <c r="BY132" s="254"/>
      <c r="BZ132" s="6"/>
      <c r="CA132" s="6"/>
      <c r="CB132" s="6"/>
      <c r="CC132" s="6"/>
      <c r="CD132" s="6"/>
      <c r="CE132" s="6"/>
      <c r="CF132" s="6"/>
      <c r="CG132" s="6"/>
      <c r="CH132" s="6"/>
      <c r="CI132" s="6"/>
      <c r="CJ132" s="6"/>
      <c r="CK132" s="6"/>
      <c r="CL132" s="6"/>
      <c r="CM132" s="6"/>
      <c r="CN132" s="254"/>
      <c r="CO132" s="6"/>
      <c r="CP132" s="6"/>
      <c r="CQ132" s="6"/>
      <c r="CR132" s="6"/>
      <c r="CS132" s="6"/>
      <c r="CT132" s="6"/>
      <c r="CU132" s="6"/>
      <c r="CV132" s="6"/>
      <c r="CW132" s="6"/>
      <c r="CX132" s="6"/>
      <c r="CY132" s="6"/>
      <c r="CZ132" s="6"/>
      <c r="DA132" s="6"/>
      <c r="DB132" s="6"/>
      <c r="DC132" s="6"/>
      <c r="DD132" s="6"/>
      <c r="DE132" s="6"/>
      <c r="DF132" s="6"/>
      <c r="DG132" s="6"/>
      <c r="DH132" s="6"/>
    </row>
    <row r="133" spans="1:112">
      <c r="A133" s="107" t="s">
        <v>257</v>
      </c>
      <c r="B133" s="6"/>
      <c r="C133" s="6"/>
      <c r="D133" s="6"/>
      <c r="E133" s="6"/>
      <c r="F133" s="6"/>
      <c r="G133" s="6"/>
      <c r="H133" s="6"/>
      <c r="I133" s="6"/>
      <c r="J133" s="6"/>
      <c r="K133" s="6"/>
      <c r="L133" s="6"/>
      <c r="M133" s="6"/>
      <c r="N133" s="6"/>
      <c r="O133" s="6"/>
      <c r="P133" s="6"/>
      <c r="Q133" s="6"/>
      <c r="R133" s="6"/>
      <c r="S133" s="6"/>
      <c r="T133" s="329">
        <f>+T136-SUM(T134:T135)</f>
        <v>923.14951930799998</v>
      </c>
      <c r="U133" s="329">
        <f t="shared" ref="U133:Z133" si="182">+U136-SUM(U134:U135)</f>
        <v>987.20481716970778</v>
      </c>
      <c r="V133" s="329">
        <f t="shared" si="182"/>
        <v>1065.347674369071</v>
      </c>
      <c r="W133" s="329">
        <f t="shared" si="182"/>
        <v>1142.2957218326642</v>
      </c>
      <c r="X133" s="329">
        <f t="shared" si="182"/>
        <v>1200.0568782725131</v>
      </c>
      <c r="Y133" s="329">
        <f t="shared" si="182"/>
        <v>1275.1616524341553</v>
      </c>
      <c r="Z133" s="329">
        <f t="shared" si="182"/>
        <v>1341.967859922675</v>
      </c>
      <c r="AA133" s="1776">
        <f>+AA136-SUM(AA134:AA135)</f>
        <v>1377.4425704496934</v>
      </c>
      <c r="AB133" s="1776">
        <f>+AB136-SUM(AB134:AB135)</f>
        <v>1458.4366664769259</v>
      </c>
      <c r="AC133" s="1776">
        <f>+AC136-SUM(AC134:AC135)</f>
        <v>1559.0967225709005</v>
      </c>
      <c r="AD133" s="1776">
        <f>+AD136-SUM(AD134:AD135)</f>
        <v>1653.6685894836587</v>
      </c>
      <c r="AE133" s="2657">
        <f t="shared" ref="AE133:AM133" si="183">+AE145*AVERAGE(AE121,AD121)*12</f>
        <v>1751.6918493719977</v>
      </c>
      <c r="AF133" s="2657">
        <f t="shared" si="183"/>
        <v>1847.9385580357421</v>
      </c>
      <c r="AG133" s="2657">
        <f t="shared" si="183"/>
        <v>1947.6071241634004</v>
      </c>
      <c r="AH133" s="2657">
        <f t="shared" si="183"/>
        <v>2047.6235084765992</v>
      </c>
      <c r="AI133" s="2657">
        <f t="shared" si="183"/>
        <v>2144.3180263412664</v>
      </c>
      <c r="AJ133" s="462">
        <f t="shared" si="183"/>
        <v>2237.293037626991</v>
      </c>
      <c r="AK133" s="462">
        <f t="shared" si="183"/>
        <v>2329.1546117821772</v>
      </c>
      <c r="AL133" s="462">
        <f t="shared" si="183"/>
        <v>2422.4553049322949</v>
      </c>
      <c r="AM133" s="462">
        <f t="shared" si="183"/>
        <v>2517.0673249355577</v>
      </c>
      <c r="AN133" s="462">
        <f>+AN145*AVERAGE(AN121,AM121)*12</f>
        <v>2612.8536927191485</v>
      </c>
      <c r="AO133" s="6"/>
      <c r="AP133" s="6"/>
      <c r="AQ133" s="6"/>
      <c r="AR133" s="6"/>
      <c r="AS133" s="6"/>
      <c r="AT133" s="6"/>
      <c r="AU133" s="6"/>
      <c r="AV133" s="6"/>
      <c r="AW133" s="6"/>
      <c r="AX133" s="6"/>
      <c r="AY133" s="6"/>
      <c r="AZ133" s="6"/>
      <c r="BA133" s="6"/>
      <c r="BB133" s="6"/>
      <c r="BC133" s="6"/>
      <c r="BD133" s="6"/>
      <c r="BE133" s="6"/>
      <c r="BF133" s="6"/>
      <c r="BG133" s="6"/>
      <c r="BH133" s="6"/>
      <c r="BI133" s="6"/>
      <c r="BJ133" s="6"/>
      <c r="BK133" s="6"/>
      <c r="BL133" s="6"/>
      <c r="BM133" s="6"/>
      <c r="BN133" s="6"/>
      <c r="BO133" s="6"/>
      <c r="BP133" s="6"/>
      <c r="BQ133" s="6"/>
      <c r="BR133" s="6"/>
      <c r="BS133" s="6"/>
      <c r="BT133" s="254"/>
      <c r="BU133" s="6"/>
      <c r="BV133" s="6"/>
      <c r="BW133" s="6"/>
      <c r="BX133" s="6"/>
      <c r="BY133" s="254"/>
      <c r="BZ133" s="6"/>
      <c r="CA133" s="6"/>
      <c r="CB133" s="6"/>
      <c r="CC133" s="6"/>
      <c r="CD133" s="6"/>
      <c r="CE133" s="6"/>
      <c r="CF133" s="6"/>
      <c r="CG133" s="6"/>
      <c r="CH133" s="6"/>
      <c r="CI133" s="6"/>
      <c r="CJ133" s="6"/>
      <c r="CK133" s="6"/>
      <c r="CL133" s="6"/>
      <c r="CM133" s="6"/>
      <c r="CN133" s="254"/>
      <c r="CO133" s="6"/>
      <c r="CP133" s="6"/>
      <c r="CQ133" s="6"/>
      <c r="CR133" s="6"/>
      <c r="CS133" s="6"/>
      <c r="CT133" s="6"/>
      <c r="CU133" s="6"/>
      <c r="CV133" s="6"/>
      <c r="CW133" s="6"/>
      <c r="CX133" s="6"/>
      <c r="CY133" s="6"/>
      <c r="CZ133" s="6"/>
      <c r="DA133" s="6"/>
      <c r="DB133" s="6"/>
      <c r="DC133" s="6"/>
      <c r="DD133" s="6"/>
      <c r="DE133" s="6"/>
      <c r="DF133" s="6"/>
      <c r="DG133" s="6"/>
      <c r="DH133" s="6"/>
    </row>
    <row r="134" spans="1:112">
      <c r="A134" s="107" t="s">
        <v>1247</v>
      </c>
      <c r="B134" s="6"/>
      <c r="C134" s="6"/>
      <c r="D134" s="6"/>
      <c r="E134" s="6"/>
      <c r="F134" s="6"/>
      <c r="G134" s="6"/>
      <c r="H134" s="6"/>
      <c r="I134" s="6"/>
      <c r="J134" s="6"/>
      <c r="K134" s="6"/>
      <c r="L134" s="6"/>
      <c r="M134" s="6"/>
      <c r="N134" s="6"/>
      <c r="O134" s="6"/>
      <c r="P134" s="6"/>
      <c r="Q134" s="6"/>
      <c r="R134" s="6"/>
      <c r="S134" s="6"/>
      <c r="T134" s="2298">
        <f>+T136*0.1</f>
        <v>115.3936899135</v>
      </c>
      <c r="U134" s="1383">
        <f t="shared" ref="U134:X135" si="184">+U146*12*AVERAGE(T122:U122)</f>
        <v>113.05119800825594</v>
      </c>
      <c r="V134" s="1383">
        <f t="shared" si="184"/>
        <v>123.47541391965086</v>
      </c>
      <c r="W134" s="1383">
        <f t="shared" si="184"/>
        <v>130.08993304551043</v>
      </c>
      <c r="X134" s="1383">
        <f t="shared" si="184"/>
        <v>136.43419392448666</v>
      </c>
      <c r="Y134" s="1383">
        <f t="shared" ref="Y134:AH134" si="185">+Y146*12*AVERAGE(X122:Y122)</f>
        <v>140.17590169286566</v>
      </c>
      <c r="Z134" s="1383">
        <f t="shared" si="185"/>
        <v>141.56714751716734</v>
      </c>
      <c r="AA134" s="1383">
        <f t="shared" si="185"/>
        <v>140.92779976576006</v>
      </c>
      <c r="AB134" s="1383">
        <f t="shared" si="185"/>
        <v>139.78316815834651</v>
      </c>
      <c r="AC134" s="1385">
        <f t="shared" si="185"/>
        <v>135.76045291518145</v>
      </c>
      <c r="AD134" s="1385">
        <f t="shared" si="185"/>
        <v>133.9618873241312</v>
      </c>
      <c r="AE134" s="1385">
        <f t="shared" si="185"/>
        <v>135.3015061973725</v>
      </c>
      <c r="AF134" s="1385">
        <f t="shared" si="185"/>
        <v>136.65452125934624</v>
      </c>
      <c r="AG134" s="1385">
        <f t="shared" si="185"/>
        <v>138.02106647193969</v>
      </c>
      <c r="AH134" s="1385">
        <f t="shared" si="185"/>
        <v>139.40127713665908</v>
      </c>
      <c r="AI134" s="1385">
        <f t="shared" ref="AI134:AN135" si="186">+AI146*12*AVERAGE(AH122:AI122)</f>
        <v>140.79528990802567</v>
      </c>
      <c r="AJ134" s="1385">
        <f t="shared" si="186"/>
        <v>142.20324280710594</v>
      </c>
      <c r="AK134" s="1385">
        <f t="shared" si="186"/>
        <v>143.62527523517699</v>
      </c>
      <c r="AL134" s="1385">
        <f t="shared" si="186"/>
        <v>145.06152798752876</v>
      </c>
      <c r="AM134" s="1385">
        <f t="shared" si="186"/>
        <v>146.51214326740404</v>
      </c>
      <c r="AN134" s="1385">
        <f t="shared" si="186"/>
        <v>147.97726470007808</v>
      </c>
      <c r="AO134" s="6"/>
      <c r="AP134" s="6"/>
      <c r="AQ134" s="6"/>
      <c r="AR134" s="6"/>
      <c r="AS134" s="6"/>
      <c r="AT134" s="6"/>
      <c r="AU134" s="6"/>
      <c r="AV134" s="6"/>
      <c r="AW134" s="6"/>
      <c r="AX134" s="6"/>
      <c r="AY134" s="6"/>
      <c r="AZ134" s="6"/>
      <c r="BA134" s="6"/>
      <c r="BB134" s="6"/>
      <c r="BC134" s="6"/>
      <c r="BD134" s="6"/>
      <c r="BE134" s="6"/>
      <c r="BF134" s="6"/>
      <c r="BG134" s="6"/>
      <c r="BH134" s="6"/>
      <c r="BI134" s="6"/>
      <c r="BJ134" s="6"/>
      <c r="BK134" s="6"/>
      <c r="BL134" s="6"/>
      <c r="BM134" s="6"/>
      <c r="BN134" s="6"/>
      <c r="BO134" s="6"/>
      <c r="BP134" s="6"/>
      <c r="BQ134" s="6"/>
      <c r="BR134" s="6"/>
      <c r="BS134" s="6"/>
      <c r="BT134" s="254"/>
      <c r="BU134" s="6"/>
      <c r="BV134" s="6"/>
      <c r="BW134" s="6"/>
      <c r="BX134" s="6"/>
      <c r="BY134" s="254"/>
      <c r="BZ134" s="6"/>
      <c r="CA134" s="6"/>
      <c r="CB134" s="6"/>
      <c r="CC134" s="6"/>
      <c r="CD134" s="6"/>
      <c r="CE134" s="6"/>
      <c r="CF134" s="6"/>
      <c r="CG134" s="6"/>
      <c r="CH134" s="6"/>
      <c r="CI134" s="6"/>
      <c r="CJ134" s="6"/>
      <c r="CK134" s="6"/>
      <c r="CL134" s="6"/>
      <c r="CM134" s="6"/>
      <c r="CN134" s="254"/>
      <c r="CO134" s="6"/>
      <c r="CP134" s="6"/>
      <c r="CQ134" s="6"/>
      <c r="CR134" s="6"/>
      <c r="CS134" s="6"/>
      <c r="CT134" s="6"/>
      <c r="CU134" s="6"/>
      <c r="CV134" s="6"/>
      <c r="CW134" s="6"/>
      <c r="CX134" s="6"/>
      <c r="CY134" s="6"/>
      <c r="CZ134" s="6"/>
      <c r="DA134" s="6"/>
      <c r="DB134" s="6"/>
      <c r="DC134" s="6"/>
      <c r="DD134" s="6"/>
      <c r="DE134" s="6"/>
      <c r="DF134" s="6"/>
      <c r="DG134" s="6"/>
      <c r="DH134" s="6"/>
    </row>
    <row r="135" spans="1:112">
      <c r="A135" s="107" t="s">
        <v>1248</v>
      </c>
      <c r="B135" s="6"/>
      <c r="C135" s="6"/>
      <c r="D135" s="6"/>
      <c r="E135" s="6"/>
      <c r="F135" s="6"/>
      <c r="G135" s="6"/>
      <c r="H135" s="6"/>
      <c r="I135" s="6"/>
      <c r="J135" s="6"/>
      <c r="K135" s="6"/>
      <c r="L135" s="6"/>
      <c r="M135" s="6"/>
      <c r="N135" s="6"/>
      <c r="O135" s="6"/>
      <c r="P135" s="6"/>
      <c r="Q135" s="6"/>
      <c r="R135" s="6"/>
      <c r="S135" s="6"/>
      <c r="T135" s="472">
        <f>+T136*0.1</f>
        <v>115.3936899135</v>
      </c>
      <c r="U135" s="145">
        <f t="shared" si="184"/>
        <v>112.72304430613646</v>
      </c>
      <c r="V135" s="145">
        <f t="shared" si="184"/>
        <v>125.32677955371513</v>
      </c>
      <c r="W135" s="145">
        <f t="shared" si="184"/>
        <v>135.10063252115091</v>
      </c>
      <c r="X135" s="145">
        <f t="shared" si="184"/>
        <v>142.21977278573559</v>
      </c>
      <c r="Y135" s="145">
        <f t="shared" ref="Y135:AH135" si="187">+Y147*12*AVERAGE(X123:Y123)</f>
        <v>144.95456960105503</v>
      </c>
      <c r="Z135" s="145">
        <f t="shared" si="187"/>
        <v>144.84196435078968</v>
      </c>
      <c r="AA135" s="1146">
        <f t="shared" si="187"/>
        <v>143.75023093667875</v>
      </c>
      <c r="AB135" s="1146">
        <f t="shared" si="187"/>
        <v>142.54677928853422</v>
      </c>
      <c r="AC135" s="2657">
        <f t="shared" si="187"/>
        <v>138.417824632216</v>
      </c>
      <c r="AD135" s="2657">
        <f t="shared" si="187"/>
        <v>136.58405396317536</v>
      </c>
      <c r="AE135" s="2657">
        <f t="shared" si="187"/>
        <v>137.94989450280713</v>
      </c>
      <c r="AF135" s="2657">
        <f t="shared" si="187"/>
        <v>139.32939344783523</v>
      </c>
      <c r="AG135" s="2657">
        <f t="shared" si="187"/>
        <v>140.72268738231355</v>
      </c>
      <c r="AH135" s="2657">
        <f t="shared" si="187"/>
        <v>142.12991425613671</v>
      </c>
      <c r="AI135" s="2657">
        <f t="shared" si="186"/>
        <v>143.55121339869805</v>
      </c>
      <c r="AJ135" s="462">
        <f t="shared" si="186"/>
        <v>144.98672553268506</v>
      </c>
      <c r="AK135" s="462">
        <f t="shared" si="186"/>
        <v>146.43659278801189</v>
      </c>
      <c r="AL135" s="462">
        <f t="shared" si="186"/>
        <v>147.90095871589202</v>
      </c>
      <c r="AM135" s="462">
        <f t="shared" si="186"/>
        <v>149.37996830305093</v>
      </c>
      <c r="AN135" s="462">
        <f t="shared" si="186"/>
        <v>150.87376798608148</v>
      </c>
      <c r="AO135" s="6"/>
      <c r="AP135" s="6"/>
      <c r="AQ135" s="6"/>
      <c r="AR135" s="6"/>
      <c r="AS135" s="6"/>
      <c r="AT135" s="6"/>
      <c r="AU135" s="6"/>
      <c r="AV135" s="6"/>
      <c r="AW135" s="6"/>
      <c r="AX135" s="6"/>
      <c r="AY135" s="6"/>
      <c r="AZ135" s="6"/>
      <c r="BA135" s="6"/>
      <c r="BB135" s="6"/>
      <c r="BC135" s="6"/>
      <c r="BD135" s="6"/>
      <c r="BE135" s="6"/>
      <c r="BF135" s="6"/>
      <c r="BG135" s="6"/>
      <c r="BH135" s="6"/>
      <c r="BI135" s="6"/>
      <c r="BJ135" s="6"/>
      <c r="BK135" s="6"/>
      <c r="BL135" s="6"/>
      <c r="BM135" s="6"/>
      <c r="BN135" s="6"/>
      <c r="BO135" s="6"/>
      <c r="BP135" s="6"/>
      <c r="BQ135" s="6"/>
      <c r="BR135" s="6"/>
      <c r="BS135" s="6"/>
      <c r="BT135" s="254"/>
      <c r="BU135" s="6"/>
      <c r="BV135" s="6"/>
      <c r="BW135" s="6"/>
      <c r="BX135" s="6"/>
      <c r="BY135" s="254"/>
      <c r="BZ135" s="6"/>
      <c r="CA135" s="6"/>
      <c r="CB135" s="6"/>
      <c r="CC135" s="6"/>
      <c r="CD135" s="6"/>
      <c r="CE135" s="6"/>
      <c r="CF135" s="6"/>
      <c r="CG135" s="6"/>
      <c r="CH135" s="6"/>
      <c r="CI135" s="6"/>
      <c r="CJ135" s="6"/>
      <c r="CK135" s="6"/>
      <c r="CL135" s="6"/>
      <c r="CM135" s="6"/>
      <c r="CN135" s="254"/>
      <c r="CO135" s="6"/>
      <c r="CP135" s="6"/>
      <c r="CQ135" s="6"/>
      <c r="CR135" s="6"/>
      <c r="CS135" s="6"/>
      <c r="CT135" s="6"/>
      <c r="CU135" s="6"/>
      <c r="CV135" s="6"/>
      <c r="CW135" s="6"/>
      <c r="CX135" s="6"/>
      <c r="CY135" s="6"/>
      <c r="CZ135" s="6"/>
      <c r="DA135" s="6"/>
      <c r="DB135" s="6"/>
      <c r="DC135" s="6"/>
      <c r="DD135" s="6"/>
      <c r="DE135" s="6"/>
      <c r="DF135" s="6"/>
      <c r="DG135" s="6"/>
      <c r="DH135" s="6"/>
    </row>
    <row r="136" spans="1:112">
      <c r="A136" s="1375" t="s">
        <v>1253</v>
      </c>
      <c r="B136" s="1376"/>
      <c r="C136" s="1376"/>
      <c r="D136" s="1376"/>
      <c r="E136" s="1376"/>
      <c r="F136" s="1376"/>
      <c r="G136" s="1376"/>
      <c r="H136" s="1376"/>
      <c r="I136" s="1376"/>
      <c r="J136" s="1376"/>
      <c r="K136" s="1376"/>
      <c r="L136" s="1386">
        <f t="shared" ref="L136:S136" si="188">L16</f>
        <v>860.125</v>
      </c>
      <c r="M136" s="1386">
        <f t="shared" si="188"/>
        <v>962.81288059338533</v>
      </c>
      <c r="N136" s="1386">
        <f t="shared" si="188"/>
        <v>997.96525977249507</v>
      </c>
      <c r="O136" s="1386">
        <f t="shared" si="188"/>
        <v>1003.3808398023421</v>
      </c>
      <c r="P136" s="1386">
        <f t="shared" si="188"/>
        <v>979.4</v>
      </c>
      <c r="Q136" s="1386">
        <f t="shared" si="188"/>
        <v>1018.283</v>
      </c>
      <c r="R136" s="1386">
        <f t="shared" si="188"/>
        <v>1099.3618025000001</v>
      </c>
      <c r="S136" s="1386">
        <f t="shared" si="188"/>
        <v>1152.7380806250001</v>
      </c>
      <c r="T136" s="1384">
        <f>+T16</f>
        <v>1153.936899135</v>
      </c>
      <c r="U136" s="2299">
        <f t="shared" ref="U136:AD136" si="189">U16</f>
        <v>1212.9790594841002</v>
      </c>
      <c r="V136" s="2299">
        <f t="shared" si="189"/>
        <v>1314.1498678424371</v>
      </c>
      <c r="W136" s="2299">
        <f t="shared" si="189"/>
        <v>1407.4862873993254</v>
      </c>
      <c r="X136" s="2299">
        <f t="shared" si="189"/>
        <v>1478.7108449827354</v>
      </c>
      <c r="Y136" s="2299">
        <f t="shared" si="189"/>
        <v>1560.2921237280759</v>
      </c>
      <c r="Z136" s="2299">
        <f t="shared" si="189"/>
        <v>1628.3769717906321</v>
      </c>
      <c r="AA136" s="2299">
        <f t="shared" si="189"/>
        <v>1662.1206011521322</v>
      </c>
      <c r="AB136" s="2299">
        <f t="shared" si="189"/>
        <v>1740.7666139238067</v>
      </c>
      <c r="AC136" s="2299">
        <f t="shared" si="189"/>
        <v>1833.2750001182981</v>
      </c>
      <c r="AD136" s="2299">
        <f t="shared" si="189"/>
        <v>1924.2145307709652</v>
      </c>
      <c r="AE136" s="2357">
        <f t="shared" ref="AE136:AM136" si="190">+SUM(AE133:AE135)</f>
        <v>2024.9432500721773</v>
      </c>
      <c r="AF136" s="2357">
        <f t="shared" si="190"/>
        <v>2123.9224727429237</v>
      </c>
      <c r="AG136" s="2357">
        <f t="shared" si="190"/>
        <v>2226.3508780176535</v>
      </c>
      <c r="AH136" s="2357">
        <f t="shared" si="190"/>
        <v>2329.1546998693948</v>
      </c>
      <c r="AI136" s="2357">
        <f t="shared" si="190"/>
        <v>2428.6645296479901</v>
      </c>
      <c r="AJ136" s="2357">
        <f t="shared" si="190"/>
        <v>2524.483005966782</v>
      </c>
      <c r="AK136" s="2357">
        <f t="shared" si="190"/>
        <v>2619.2164798053659</v>
      </c>
      <c r="AL136" s="2357">
        <f t="shared" si="190"/>
        <v>2715.4177916357157</v>
      </c>
      <c r="AM136" s="2357">
        <f t="shared" si="190"/>
        <v>2812.9594365060129</v>
      </c>
      <c r="AN136" s="2357">
        <f t="shared" ref="AN136" si="191">+SUM(AN133:AN135)</f>
        <v>2911.7047254053082</v>
      </c>
      <c r="AO136" s="1108"/>
      <c r="AP136" s="6"/>
      <c r="AQ136" s="6"/>
      <c r="AR136" s="6"/>
      <c r="AS136" s="6"/>
      <c r="AT136" s="6"/>
      <c r="AU136" s="6"/>
      <c r="AV136" s="6"/>
      <c r="AW136" s="6"/>
      <c r="AX136" s="6"/>
      <c r="AY136" s="6"/>
      <c r="AZ136" s="6"/>
      <c r="BA136" s="6"/>
      <c r="BB136" s="6"/>
      <c r="BC136" s="6"/>
      <c r="BD136" s="6"/>
      <c r="BE136" s="6"/>
      <c r="BF136" s="6"/>
      <c r="BG136" s="6"/>
      <c r="BH136" s="6"/>
      <c r="BI136" s="6"/>
      <c r="BJ136" s="6"/>
      <c r="BK136" s="6"/>
      <c r="BL136" s="6"/>
      <c r="BM136" s="6"/>
      <c r="BN136" s="6"/>
      <c r="BO136" s="6"/>
      <c r="BP136" s="6"/>
      <c r="BQ136" s="6"/>
      <c r="BR136" s="6"/>
      <c r="BS136" s="6"/>
      <c r="BT136" s="254"/>
      <c r="BU136" s="6"/>
      <c r="BV136" s="6"/>
      <c r="BW136" s="6"/>
      <c r="BX136" s="6"/>
      <c r="BY136" s="254"/>
      <c r="BZ136" s="6"/>
      <c r="CA136" s="6"/>
      <c r="CB136" s="6"/>
      <c r="CC136" s="6"/>
      <c r="CD136" s="6"/>
      <c r="CE136" s="6"/>
      <c r="CF136" s="6"/>
      <c r="CG136" s="6"/>
      <c r="CH136" s="6"/>
      <c r="CI136" s="6"/>
      <c r="CJ136" s="6"/>
      <c r="CK136" s="6"/>
      <c r="CL136" s="6"/>
      <c r="CM136" s="6"/>
      <c r="CN136" s="254"/>
      <c r="CO136" s="6"/>
      <c r="CP136" s="6"/>
      <c r="CQ136" s="6"/>
      <c r="CR136" s="6"/>
      <c r="CS136" s="6"/>
      <c r="CT136" s="6"/>
      <c r="CU136" s="6"/>
      <c r="CV136" s="6"/>
      <c r="CW136" s="6"/>
      <c r="CX136" s="6"/>
      <c r="CY136" s="6"/>
      <c r="CZ136" s="6"/>
      <c r="DA136" s="6"/>
      <c r="DB136" s="6"/>
      <c r="DC136" s="6"/>
      <c r="DD136" s="6"/>
      <c r="DE136" s="6"/>
      <c r="DF136" s="6"/>
      <c r="DG136" s="6"/>
      <c r="DH136" s="6"/>
    </row>
    <row r="137" spans="1:112">
      <c r="A137" s="107"/>
      <c r="B137" s="6"/>
      <c r="C137" s="6"/>
      <c r="D137" s="6"/>
      <c r="E137" s="6"/>
      <c r="F137" s="6"/>
      <c r="G137" s="6"/>
      <c r="H137" s="6"/>
      <c r="I137" s="6"/>
      <c r="J137" s="6"/>
      <c r="K137" s="6"/>
      <c r="L137" s="6"/>
      <c r="M137" s="2066">
        <f t="shared" ref="M137:U137" si="192">M136/L136-1</f>
        <v>0.11938715953307399</v>
      </c>
      <c r="N137" s="2066">
        <f t="shared" si="192"/>
        <v>3.6510084033613222E-2</v>
      </c>
      <c r="O137" s="2066">
        <f t="shared" si="192"/>
        <v>5.4266217955136753E-3</v>
      </c>
      <c r="P137" s="2066">
        <f t="shared" si="192"/>
        <v>-2.3900037603933222E-2</v>
      </c>
      <c r="Q137" s="2066">
        <f t="shared" si="192"/>
        <v>3.9700837247294229E-2</v>
      </c>
      <c r="R137" s="2066">
        <f t="shared" si="192"/>
        <v>7.9623054200060439E-2</v>
      </c>
      <c r="S137" s="2066">
        <f t="shared" si="192"/>
        <v>4.8552058115553853E-2</v>
      </c>
      <c r="T137" s="2066">
        <f t="shared" si="192"/>
        <v>1.0399747610922994E-3</v>
      </c>
      <c r="U137" s="2066">
        <f t="shared" si="192"/>
        <v>5.116584831749349E-2</v>
      </c>
      <c r="V137" s="2066">
        <f t="shared" ref="V137:AA137" si="193">V136/U136-1</f>
        <v>8.3406887833139098E-2</v>
      </c>
      <c r="W137" s="2066">
        <f t="shared" si="193"/>
        <v>7.1024182127817248E-2</v>
      </c>
      <c r="X137" s="2066">
        <f t="shared" si="193"/>
        <v>5.0604086321163866E-2</v>
      </c>
      <c r="Y137" s="2066">
        <f t="shared" si="193"/>
        <v>5.5170541977253906E-2</v>
      </c>
      <c r="Z137" s="1364">
        <f t="shared" si="193"/>
        <v>4.3635962155521124E-2</v>
      </c>
      <c r="AA137" s="1364">
        <f t="shared" si="193"/>
        <v>2.0722246719317106E-2</v>
      </c>
      <c r="AB137" s="1364">
        <f t="shared" ref="AB137:AN137" si="194">AB136/AA136-1</f>
        <v>4.7316670473345646E-2</v>
      </c>
      <c r="AC137" s="1364">
        <f t="shared" si="194"/>
        <v>5.3142325602150153E-2</v>
      </c>
      <c r="AD137" s="1364">
        <f t="shared" si="194"/>
        <v>4.9604958692394119E-2</v>
      </c>
      <c r="AE137" s="1364">
        <f t="shared" si="194"/>
        <v>5.2347967282449392E-2</v>
      </c>
      <c r="AF137" s="1364">
        <f t="shared" si="194"/>
        <v>4.8879998324505403E-2</v>
      </c>
      <c r="AG137" s="1364">
        <f t="shared" si="194"/>
        <v>4.8226056548311469E-2</v>
      </c>
      <c r="AH137" s="1364">
        <f t="shared" si="194"/>
        <v>4.6175929799204818E-2</v>
      </c>
      <c r="AI137" s="1364">
        <f t="shared" si="194"/>
        <v>4.2723581127597665E-2</v>
      </c>
      <c r="AJ137" s="1364">
        <f t="shared" si="194"/>
        <v>3.9453154253741074E-2</v>
      </c>
      <c r="AK137" s="1364">
        <f t="shared" si="194"/>
        <v>3.7525890891194402E-2</v>
      </c>
      <c r="AL137" s="1364">
        <f t="shared" si="194"/>
        <v>3.672904189939219E-2</v>
      </c>
      <c r="AM137" s="1364">
        <f t="shared" si="194"/>
        <v>3.5921413334903507E-2</v>
      </c>
      <c r="AN137" s="1364">
        <f t="shared" si="194"/>
        <v>3.5103701680798904E-2</v>
      </c>
      <c r="AO137" s="1108"/>
      <c r="AP137" s="6"/>
      <c r="AQ137" s="6"/>
      <c r="AR137" s="6"/>
      <c r="AS137" s="6"/>
      <c r="AT137" s="6"/>
      <c r="AU137" s="6"/>
      <c r="AV137" s="6"/>
      <c r="AW137" s="6"/>
      <c r="AX137" s="6"/>
      <c r="AY137" s="6"/>
      <c r="AZ137" s="6"/>
      <c r="BA137" s="6"/>
      <c r="BB137" s="6"/>
      <c r="BC137" s="6"/>
      <c r="BD137" s="6"/>
      <c r="BE137" s="6"/>
      <c r="BF137" s="6"/>
      <c r="BG137" s="6"/>
      <c r="BH137" s="6"/>
      <c r="BI137" s="6"/>
      <c r="BJ137" s="6"/>
      <c r="BK137" s="6"/>
      <c r="BL137" s="6"/>
      <c r="BM137" s="6"/>
      <c r="BN137" s="6"/>
      <c r="BO137" s="6"/>
      <c r="BP137" s="6"/>
      <c r="BQ137" s="6"/>
      <c r="BR137" s="6"/>
      <c r="BS137" s="6"/>
      <c r="BT137" s="254"/>
      <c r="BU137" s="6"/>
      <c r="BV137" s="6"/>
      <c r="BW137" s="6"/>
      <c r="BX137" s="6"/>
      <c r="BY137" s="254"/>
      <c r="BZ137" s="6"/>
      <c r="CA137" s="6"/>
      <c r="CB137" s="6"/>
      <c r="CC137" s="6"/>
      <c r="CD137" s="6"/>
      <c r="CE137" s="6"/>
      <c r="CF137" s="6"/>
      <c r="CG137" s="6"/>
      <c r="CH137" s="6"/>
      <c r="CI137" s="6"/>
      <c r="CJ137" s="6"/>
      <c r="CK137" s="6"/>
      <c r="CL137" s="6"/>
      <c r="CM137" s="6"/>
      <c r="CN137" s="254"/>
      <c r="CO137" s="6"/>
      <c r="CP137" s="6"/>
      <c r="CQ137" s="6"/>
      <c r="CR137" s="6"/>
      <c r="CS137" s="6"/>
      <c r="CT137" s="6"/>
      <c r="CU137" s="6"/>
      <c r="CV137" s="6"/>
      <c r="CW137" s="6"/>
      <c r="CX137" s="6"/>
      <c r="CY137" s="6"/>
      <c r="CZ137" s="6"/>
      <c r="DA137" s="6"/>
      <c r="DB137" s="6"/>
      <c r="DC137" s="6"/>
      <c r="DD137" s="6"/>
      <c r="DE137" s="6"/>
      <c r="DF137" s="6"/>
      <c r="DG137" s="6"/>
      <c r="DH137" s="6"/>
    </row>
    <row r="138" spans="1:112">
      <c r="A138" s="1382" t="s">
        <v>1257</v>
      </c>
      <c r="B138" s="6"/>
      <c r="C138" s="6"/>
      <c r="D138" s="6"/>
      <c r="E138" s="6"/>
      <c r="F138" s="6"/>
      <c r="G138" s="6"/>
      <c r="H138" s="6"/>
      <c r="I138" s="6"/>
      <c r="J138" s="6"/>
      <c r="K138" s="6"/>
      <c r="L138" s="6"/>
      <c r="M138" s="6"/>
      <c r="N138" s="6"/>
      <c r="O138" s="6"/>
      <c r="P138" s="6"/>
      <c r="Q138" s="6"/>
      <c r="R138" s="6"/>
      <c r="S138" s="6"/>
      <c r="T138" s="6"/>
      <c r="U138" s="6"/>
      <c r="V138" s="6"/>
      <c r="W138" s="6"/>
      <c r="X138" s="6"/>
      <c r="Y138" s="6"/>
      <c r="Z138" s="1108"/>
      <c r="AA138" s="1108"/>
      <c r="AB138" s="1108"/>
      <c r="AC138" s="1108"/>
      <c r="AD138" s="1108"/>
      <c r="AE138" s="1108"/>
      <c r="AF138" s="1108"/>
      <c r="AG138" s="1108"/>
      <c r="AH138" s="1108"/>
      <c r="AI138" s="1108"/>
      <c r="AJ138" s="1108"/>
      <c r="AK138" s="1108"/>
      <c r="AL138" s="1108"/>
      <c r="AM138" s="1108"/>
      <c r="AN138" s="1108"/>
      <c r="AO138" s="1108"/>
      <c r="AP138" s="6"/>
      <c r="AQ138" s="6"/>
      <c r="AR138" s="6"/>
      <c r="AS138" s="6"/>
      <c r="AT138" s="6"/>
      <c r="AU138" s="6"/>
      <c r="AV138" s="6"/>
      <c r="AW138" s="6"/>
      <c r="AX138" s="6"/>
      <c r="AY138" s="6"/>
      <c r="AZ138" s="6"/>
      <c r="BA138" s="6"/>
      <c r="BB138" s="6"/>
      <c r="BC138" s="6"/>
      <c r="BD138" s="6"/>
      <c r="BE138" s="6"/>
      <c r="BF138" s="6"/>
      <c r="BG138" s="6"/>
      <c r="BH138" s="6"/>
      <c r="BI138" s="6"/>
      <c r="BJ138" s="6"/>
      <c r="BK138" s="6"/>
      <c r="BL138" s="6"/>
      <c r="BM138" s="6"/>
      <c r="BN138" s="6"/>
      <c r="BO138" s="6"/>
      <c r="BP138" s="6"/>
      <c r="BQ138" s="6"/>
      <c r="BR138" s="6"/>
      <c r="BS138" s="6"/>
      <c r="BT138" s="254"/>
      <c r="BU138" s="6"/>
      <c r="BV138" s="6"/>
      <c r="BW138" s="6"/>
      <c r="BX138" s="6"/>
      <c r="BY138" s="254"/>
      <c r="BZ138" s="6"/>
      <c r="CA138" s="6"/>
      <c r="CB138" s="6"/>
      <c r="CC138" s="6"/>
      <c r="CD138" s="6"/>
      <c r="CE138" s="6"/>
      <c r="CF138" s="6"/>
      <c r="CG138" s="6"/>
      <c r="CH138" s="6"/>
      <c r="CI138" s="6"/>
      <c r="CJ138" s="6"/>
      <c r="CK138" s="6"/>
      <c r="CL138" s="6"/>
      <c r="CM138" s="6"/>
      <c r="CN138" s="254"/>
      <c r="CO138" s="6"/>
      <c r="CP138" s="6"/>
      <c r="CQ138" s="6"/>
      <c r="CR138" s="6"/>
      <c r="CS138" s="6"/>
      <c r="CT138" s="6"/>
      <c r="CU138" s="6"/>
      <c r="CV138" s="6"/>
      <c r="CW138" s="6"/>
      <c r="CX138" s="6"/>
      <c r="CY138" s="6"/>
      <c r="CZ138" s="6"/>
      <c r="DA138" s="6"/>
      <c r="DB138" s="6"/>
      <c r="DC138" s="6"/>
      <c r="DD138" s="6"/>
      <c r="DE138" s="6"/>
      <c r="DF138" s="6"/>
      <c r="DG138" s="6"/>
      <c r="DH138" s="6"/>
    </row>
    <row r="139" spans="1:112">
      <c r="A139" s="107" t="s">
        <v>257</v>
      </c>
      <c r="B139" s="6"/>
      <c r="C139" s="6"/>
      <c r="D139" s="6"/>
      <c r="E139" s="6"/>
      <c r="F139" s="6"/>
      <c r="G139" s="6"/>
      <c r="H139" s="6"/>
      <c r="I139" s="6"/>
      <c r="J139" s="6"/>
      <c r="K139" s="6"/>
      <c r="L139" s="6"/>
      <c r="M139" s="6"/>
      <c r="N139" s="6"/>
      <c r="O139" s="6"/>
      <c r="P139" s="6"/>
      <c r="Q139" s="6"/>
      <c r="R139" s="6"/>
      <c r="S139" s="6"/>
      <c r="T139" s="6"/>
      <c r="U139" s="38">
        <f t="shared" ref="U139:X142" si="195">+U133/T133-1</f>
        <v>6.938778228441711E-2</v>
      </c>
      <c r="V139" s="38">
        <f t="shared" si="195"/>
        <v>7.9155668449224947E-2</v>
      </c>
      <c r="W139" s="38">
        <f t="shared" si="195"/>
        <v>7.222810854603301E-2</v>
      </c>
      <c r="X139" s="38">
        <f t="shared" si="195"/>
        <v>5.0565852025759694E-2</v>
      </c>
      <c r="Y139" s="38">
        <f t="shared" ref="Y139:AH139" si="196">+Y133/X133-1</f>
        <v>6.2584345393491558E-2</v>
      </c>
      <c r="Z139" s="1110">
        <f t="shared" si="196"/>
        <v>5.2390383102403737E-2</v>
      </c>
      <c r="AA139" s="1110">
        <f>+AA133/Z133-1</f>
        <v>2.6434843625139148E-2</v>
      </c>
      <c r="AB139" s="1110">
        <f>+AB133/AA133-1</f>
        <v>5.8800343306356639E-2</v>
      </c>
      <c r="AC139" s="1110">
        <f t="shared" si="196"/>
        <v>6.9019147973791828E-2</v>
      </c>
      <c r="AD139" s="1110">
        <f t="shared" si="196"/>
        <v>6.0658114114185535E-2</v>
      </c>
      <c r="AE139" s="1110">
        <f t="shared" si="196"/>
        <v>5.9276242236024901E-2</v>
      </c>
      <c r="AF139" s="1110">
        <f t="shared" si="196"/>
        <v>5.4945000000000022E-2</v>
      </c>
      <c r="AG139" s="1110">
        <f t="shared" si="196"/>
        <v>5.3935000000000288E-2</v>
      </c>
      <c r="AH139" s="1110">
        <f t="shared" si="196"/>
        <v>5.1353470149253511E-2</v>
      </c>
      <c r="AI139" s="1110">
        <f t="shared" ref="AI139:AN142" si="197">+AI133/AH133-1</f>
        <v>4.7222801195814679E-2</v>
      </c>
      <c r="AJ139" s="1110">
        <f t="shared" si="197"/>
        <v>4.3358778942115705E-2</v>
      </c>
      <c r="AK139" s="1110">
        <f t="shared" si="197"/>
        <v>4.1059249999999992E-2</v>
      </c>
      <c r="AL139" s="1110">
        <f t="shared" si="197"/>
        <v>4.0057750000000114E-2</v>
      </c>
      <c r="AM139" s="1110">
        <f t="shared" si="197"/>
        <v>3.9056250000000459E-2</v>
      </c>
      <c r="AN139" s="1110">
        <f t="shared" si="197"/>
        <v>3.8054749999999693E-2</v>
      </c>
      <c r="AO139" s="1108"/>
      <c r="AP139" s="6"/>
      <c r="AQ139" s="6"/>
      <c r="AR139" s="6"/>
      <c r="AS139" s="6"/>
      <c r="AT139" s="6"/>
      <c r="AU139" s="6"/>
      <c r="AV139" s="6"/>
      <c r="AW139" s="6"/>
      <c r="AX139" s="6"/>
      <c r="AY139" s="6"/>
      <c r="AZ139" s="6"/>
      <c r="BA139" s="6"/>
      <c r="BB139" s="6"/>
      <c r="BC139" s="6"/>
      <c r="BD139" s="6"/>
      <c r="BE139" s="6"/>
      <c r="BF139" s="6"/>
      <c r="BG139" s="6"/>
      <c r="BH139" s="6"/>
      <c r="BI139" s="6"/>
      <c r="BJ139" s="6"/>
      <c r="BK139" s="6"/>
      <c r="BL139" s="6"/>
      <c r="BM139" s="6"/>
      <c r="BN139" s="6"/>
      <c r="BO139" s="6"/>
      <c r="BP139" s="6"/>
      <c r="BQ139" s="6"/>
      <c r="BR139" s="6"/>
      <c r="BS139" s="6"/>
      <c r="BT139" s="254"/>
      <c r="BU139" s="6"/>
      <c r="BV139" s="6"/>
      <c r="BW139" s="6"/>
      <c r="BX139" s="6"/>
      <c r="BY139" s="254"/>
      <c r="BZ139" s="6"/>
      <c r="CA139" s="6"/>
      <c r="CB139" s="6"/>
      <c r="CC139" s="6"/>
      <c r="CD139" s="6"/>
      <c r="CE139" s="6"/>
      <c r="CF139" s="6"/>
      <c r="CG139" s="6"/>
      <c r="CH139" s="6"/>
      <c r="CI139" s="6"/>
      <c r="CJ139" s="6"/>
      <c r="CK139" s="6"/>
      <c r="CL139" s="6"/>
      <c r="CM139" s="6"/>
      <c r="CN139" s="254"/>
      <c r="CO139" s="6"/>
      <c r="CP139" s="6"/>
      <c r="CQ139" s="6"/>
      <c r="CR139" s="6"/>
      <c r="CS139" s="6"/>
      <c r="CT139" s="6"/>
      <c r="CU139" s="6"/>
      <c r="CV139" s="6"/>
      <c r="CW139" s="6"/>
      <c r="CX139" s="6"/>
      <c r="CY139" s="6"/>
      <c r="CZ139" s="6"/>
      <c r="DA139" s="6"/>
      <c r="DB139" s="6"/>
      <c r="DC139" s="6"/>
      <c r="DD139" s="6"/>
      <c r="DE139" s="6"/>
      <c r="DF139" s="6"/>
      <c r="DG139" s="6"/>
      <c r="DH139" s="6"/>
    </row>
    <row r="140" spans="1:112">
      <c r="A140" s="107" t="s">
        <v>1247</v>
      </c>
      <c r="B140" s="6"/>
      <c r="C140" s="6"/>
      <c r="D140" s="6"/>
      <c r="E140" s="6"/>
      <c r="F140" s="6"/>
      <c r="G140" s="6"/>
      <c r="H140" s="6"/>
      <c r="I140" s="6"/>
      <c r="J140" s="6"/>
      <c r="K140" s="6"/>
      <c r="L140" s="6"/>
      <c r="M140" s="6"/>
      <c r="N140" s="6"/>
      <c r="O140" s="6"/>
      <c r="P140" s="6"/>
      <c r="Q140" s="6"/>
      <c r="R140" s="6"/>
      <c r="S140" s="6"/>
      <c r="T140" s="6"/>
      <c r="U140" s="38">
        <f t="shared" si="195"/>
        <v>-2.0300000000000096E-2</v>
      </c>
      <c r="V140" s="38">
        <f t="shared" si="195"/>
        <v>9.2207920792079179E-2</v>
      </c>
      <c r="W140" s="38">
        <f t="shared" si="195"/>
        <v>5.3569523809523956E-2</v>
      </c>
      <c r="X140" s="38">
        <f t="shared" si="195"/>
        <v>4.8768269230769379E-2</v>
      </c>
      <c r="Y140" s="38">
        <f t="shared" ref="Y140:AH140" si="198">+Y134/X134-1</f>
        <v>2.7424999999999589E-2</v>
      </c>
      <c r="Z140" s="38">
        <f t="shared" si="198"/>
        <v>9.9249999999999616E-3</v>
      </c>
      <c r="AA140" s="1110">
        <f t="shared" si="198"/>
        <v>-4.5162155388470682E-3</v>
      </c>
      <c r="AB140" s="1110">
        <f t="shared" si="198"/>
        <v>-8.1221136590230447E-3</v>
      </c>
      <c r="AC140" s="1110">
        <f t="shared" si="198"/>
        <v>-2.8778252032520379E-2</v>
      </c>
      <c r="AD140" s="1110">
        <f t="shared" si="198"/>
        <v>-1.3248081841432335E-2</v>
      </c>
      <c r="AE140" s="1110">
        <f t="shared" si="198"/>
        <v>1.0000000000000009E-2</v>
      </c>
      <c r="AF140" s="1110">
        <f t="shared" si="198"/>
        <v>1.0000000000000009E-2</v>
      </c>
      <c r="AG140" s="1110">
        <f t="shared" si="198"/>
        <v>1.0000000000000009E-2</v>
      </c>
      <c r="AH140" s="1110">
        <f t="shared" si="198"/>
        <v>1.0000000000000009E-2</v>
      </c>
      <c r="AI140" s="1110">
        <f t="shared" si="197"/>
        <v>1.0000000000000009E-2</v>
      </c>
      <c r="AJ140" s="38">
        <f t="shared" si="197"/>
        <v>1.0000000000000009E-2</v>
      </c>
      <c r="AK140" s="38">
        <f t="shared" si="197"/>
        <v>1.0000000000000009E-2</v>
      </c>
      <c r="AL140" s="38">
        <f t="shared" si="197"/>
        <v>1.0000000000000009E-2</v>
      </c>
      <c r="AM140" s="38">
        <f t="shared" si="197"/>
        <v>1.0000000000000009E-2</v>
      </c>
      <c r="AN140" s="38">
        <f t="shared" si="197"/>
        <v>1.0000000000000009E-2</v>
      </c>
      <c r="AO140" s="6"/>
      <c r="AP140" s="6"/>
      <c r="AQ140" s="6"/>
      <c r="AR140" s="6"/>
      <c r="AS140" s="6"/>
      <c r="AT140" s="6"/>
      <c r="AU140" s="6"/>
      <c r="AV140" s="6"/>
      <c r="AW140" s="6"/>
      <c r="AX140" s="6"/>
      <c r="AY140" s="6"/>
      <c r="AZ140" s="6"/>
      <c r="BA140" s="6"/>
      <c r="BB140" s="6"/>
      <c r="BC140" s="6"/>
      <c r="BD140" s="6"/>
      <c r="BE140" s="6"/>
      <c r="BF140" s="6"/>
      <c r="BG140" s="6"/>
      <c r="BH140" s="6"/>
      <c r="BI140" s="6"/>
      <c r="BJ140" s="6"/>
      <c r="BK140" s="6"/>
      <c r="BL140" s="6"/>
      <c r="BM140" s="6"/>
      <c r="BN140" s="6"/>
      <c r="BO140" s="6"/>
      <c r="BP140" s="6"/>
      <c r="BQ140" s="6"/>
      <c r="BR140" s="6"/>
      <c r="BS140" s="6"/>
      <c r="BT140" s="254"/>
      <c r="BU140" s="6"/>
      <c r="BV140" s="6"/>
      <c r="BW140" s="6"/>
      <c r="BX140" s="6"/>
      <c r="BY140" s="254"/>
      <c r="BZ140" s="6"/>
      <c r="CA140" s="6"/>
      <c r="CB140" s="6"/>
      <c r="CC140" s="6"/>
      <c r="CD140" s="6"/>
      <c r="CE140" s="6"/>
      <c r="CF140" s="6"/>
      <c r="CG140" s="6"/>
      <c r="CH140" s="6"/>
      <c r="CI140" s="6"/>
      <c r="CJ140" s="6"/>
      <c r="CK140" s="6"/>
      <c r="CL140" s="6"/>
      <c r="CM140" s="6"/>
      <c r="CN140" s="254"/>
      <c r="CO140" s="6"/>
      <c r="CP140" s="6"/>
      <c r="CQ140" s="6"/>
      <c r="CR140" s="6"/>
      <c r="CS140" s="6"/>
      <c r="CT140" s="6"/>
      <c r="CU140" s="6"/>
      <c r="CV140" s="6"/>
      <c r="CW140" s="6"/>
      <c r="CX140" s="6"/>
      <c r="CY140" s="6"/>
      <c r="CZ140" s="6"/>
      <c r="DA140" s="6"/>
      <c r="DB140" s="6"/>
      <c r="DC140" s="6"/>
      <c r="DD140" s="6"/>
      <c r="DE140" s="6"/>
      <c r="DF140" s="6"/>
      <c r="DG140" s="6"/>
      <c r="DH140" s="6"/>
    </row>
    <row r="141" spans="1:112">
      <c r="A141" s="107" t="s">
        <v>1248</v>
      </c>
      <c r="B141" s="6"/>
      <c r="C141" s="6"/>
      <c r="D141" s="6"/>
      <c r="E141" s="6"/>
      <c r="F141" s="6"/>
      <c r="G141" s="6"/>
      <c r="H141" s="6"/>
      <c r="I141" s="6"/>
      <c r="J141" s="6"/>
      <c r="K141" s="6"/>
      <c r="L141" s="6"/>
      <c r="M141" s="6"/>
      <c r="N141" s="6"/>
      <c r="O141" s="6"/>
      <c r="P141" s="6"/>
      <c r="Q141" s="6"/>
      <c r="R141" s="6"/>
      <c r="S141" s="6"/>
      <c r="T141" s="6"/>
      <c r="U141" s="38">
        <f t="shared" si="195"/>
        <v>-2.3143775100401776E-2</v>
      </c>
      <c r="V141" s="38">
        <f t="shared" si="195"/>
        <v>0.11181152288035334</v>
      </c>
      <c r="W141" s="38">
        <f t="shared" si="195"/>
        <v>7.7986947420496833E-2</v>
      </c>
      <c r="X141" s="38">
        <f t="shared" si="195"/>
        <v>5.2695092034229507E-2</v>
      </c>
      <c r="Y141" s="38">
        <f t="shared" ref="Y141:AH141" si="199">+Y135/X135-1</f>
        <v>1.9229371287490471E-2</v>
      </c>
      <c r="Z141" s="38">
        <f t="shared" si="199"/>
        <v>-7.7683132429184898E-4</v>
      </c>
      <c r="AA141" s="1110">
        <f t="shared" si="199"/>
        <v>-7.5374109913814991E-3</v>
      </c>
      <c r="AB141" s="1110">
        <f t="shared" si="199"/>
        <v>-8.3718241028400975E-3</v>
      </c>
      <c r="AC141" s="1110">
        <f t="shared" si="199"/>
        <v>-2.8965611688501647E-2</v>
      </c>
      <c r="AD141" s="38">
        <f t="shared" si="199"/>
        <v>-1.3248081841432335E-2</v>
      </c>
      <c r="AE141" s="38">
        <f t="shared" si="199"/>
        <v>1.0000000000000009E-2</v>
      </c>
      <c r="AF141" s="38">
        <f t="shared" si="199"/>
        <v>1.0000000000000231E-2</v>
      </c>
      <c r="AG141" s="38">
        <f t="shared" si="199"/>
        <v>9.9999999999997868E-3</v>
      </c>
      <c r="AH141" s="38">
        <f t="shared" si="199"/>
        <v>1.0000000000000231E-2</v>
      </c>
      <c r="AI141" s="38">
        <f t="shared" si="197"/>
        <v>9.9999999999997868E-3</v>
      </c>
      <c r="AJ141" s="38">
        <f t="shared" si="197"/>
        <v>1.0000000000000231E-2</v>
      </c>
      <c r="AK141" s="38">
        <f t="shared" si="197"/>
        <v>1.0000000000000009E-2</v>
      </c>
      <c r="AL141" s="38">
        <f t="shared" si="197"/>
        <v>1.0000000000000009E-2</v>
      </c>
      <c r="AM141" s="38">
        <f t="shared" si="197"/>
        <v>1.0000000000000009E-2</v>
      </c>
      <c r="AN141" s="38">
        <f t="shared" si="197"/>
        <v>1.0000000000000231E-2</v>
      </c>
      <c r="AO141" s="6"/>
      <c r="AP141" s="6"/>
      <c r="AQ141" s="6"/>
      <c r="AR141" s="6"/>
      <c r="AS141" s="6"/>
      <c r="AT141" s="6"/>
      <c r="AU141" s="6"/>
      <c r="AV141" s="6"/>
      <c r="AW141" s="6"/>
      <c r="AX141" s="6"/>
      <c r="AY141" s="6"/>
      <c r="AZ141" s="6"/>
      <c r="BA141" s="6"/>
      <c r="BB141" s="6"/>
      <c r="BC141" s="6"/>
      <c r="BD141" s="6"/>
      <c r="BE141" s="6"/>
      <c r="BF141" s="6"/>
      <c r="BG141" s="6"/>
      <c r="BH141" s="6"/>
      <c r="BI141" s="6"/>
      <c r="BJ141" s="6"/>
      <c r="BK141" s="6"/>
      <c r="BL141" s="6"/>
      <c r="BM141" s="6"/>
      <c r="BN141" s="6"/>
      <c r="BO141" s="6"/>
      <c r="BP141" s="6"/>
      <c r="BQ141" s="6"/>
      <c r="BR141" s="6"/>
      <c r="BS141" s="6"/>
      <c r="BT141" s="254"/>
      <c r="BU141" s="6"/>
      <c r="BV141" s="6"/>
      <c r="BW141" s="6"/>
      <c r="BX141" s="6"/>
      <c r="BY141" s="254"/>
      <c r="BZ141" s="6"/>
      <c r="CA141" s="6"/>
      <c r="CB141" s="6"/>
      <c r="CC141" s="6"/>
      <c r="CD141" s="6"/>
      <c r="CE141" s="6"/>
      <c r="CF141" s="6"/>
      <c r="CG141" s="6"/>
      <c r="CH141" s="6"/>
      <c r="CI141" s="6"/>
      <c r="CJ141" s="6"/>
      <c r="CK141" s="6"/>
      <c r="CL141" s="6"/>
      <c r="CM141" s="6"/>
      <c r="CN141" s="254"/>
      <c r="CO141" s="6"/>
      <c r="CP141" s="6"/>
      <c r="CQ141" s="6"/>
      <c r="CR141" s="6"/>
      <c r="CS141" s="6"/>
      <c r="CT141" s="6"/>
      <c r="CU141" s="6"/>
      <c r="CV141" s="6"/>
      <c r="CW141" s="6"/>
      <c r="CX141" s="6"/>
      <c r="CY141" s="6"/>
      <c r="CZ141" s="6"/>
      <c r="DA141" s="6"/>
      <c r="DB141" s="6"/>
      <c r="DC141" s="6"/>
      <c r="DD141" s="6"/>
      <c r="DE141" s="6"/>
      <c r="DF141" s="6"/>
      <c r="DG141" s="6"/>
      <c r="DH141" s="6"/>
    </row>
    <row r="142" spans="1:112">
      <c r="A142" s="2033" t="s">
        <v>1253</v>
      </c>
      <c r="B142" s="1376"/>
      <c r="C142" s="1376"/>
      <c r="D142" s="1376"/>
      <c r="E142" s="1376"/>
      <c r="F142" s="1376"/>
      <c r="G142" s="1376"/>
      <c r="H142" s="1376"/>
      <c r="I142" s="1376"/>
      <c r="J142" s="1376"/>
      <c r="K142" s="1376"/>
      <c r="L142" s="1376"/>
      <c r="M142" s="1376"/>
      <c r="N142" s="1376"/>
      <c r="O142" s="1376"/>
      <c r="P142" s="1376"/>
      <c r="Q142" s="1376"/>
      <c r="R142" s="1376"/>
      <c r="S142" s="1376"/>
      <c r="T142" s="1376"/>
      <c r="U142" s="463">
        <f t="shared" si="195"/>
        <v>5.116584831749349E-2</v>
      </c>
      <c r="V142" s="463">
        <f t="shared" si="195"/>
        <v>8.3406887833139098E-2</v>
      </c>
      <c r="W142" s="463">
        <f t="shared" si="195"/>
        <v>7.1024182127817248E-2</v>
      </c>
      <c r="X142" s="463">
        <f t="shared" si="195"/>
        <v>5.0604086321163866E-2</v>
      </c>
      <c r="Y142" s="463">
        <f t="shared" ref="Y142:AH142" si="200">+Y136/X136-1</f>
        <v>5.5170541977253906E-2</v>
      </c>
      <c r="Z142" s="463">
        <f t="shared" si="200"/>
        <v>4.3635962155521124E-2</v>
      </c>
      <c r="AA142" s="2055">
        <f>+AA136/Z136-1</f>
        <v>2.0722246719317106E-2</v>
      </c>
      <c r="AB142" s="2055">
        <f t="shared" si="200"/>
        <v>4.7316670473345646E-2</v>
      </c>
      <c r="AC142" s="2055">
        <f t="shared" si="200"/>
        <v>5.3142325602150153E-2</v>
      </c>
      <c r="AD142" s="463">
        <f t="shared" si="200"/>
        <v>4.9604958692394119E-2</v>
      </c>
      <c r="AE142" s="463">
        <f t="shared" si="200"/>
        <v>5.2347967282449392E-2</v>
      </c>
      <c r="AF142" s="463">
        <f t="shared" si="200"/>
        <v>4.8879998324505403E-2</v>
      </c>
      <c r="AG142" s="463">
        <f t="shared" si="200"/>
        <v>4.8226056548311469E-2</v>
      </c>
      <c r="AH142" s="463">
        <f t="shared" si="200"/>
        <v>4.6175929799204818E-2</v>
      </c>
      <c r="AI142" s="463">
        <f t="shared" si="197"/>
        <v>4.2723581127597665E-2</v>
      </c>
      <c r="AJ142" s="463">
        <f t="shared" si="197"/>
        <v>3.9453154253741074E-2</v>
      </c>
      <c r="AK142" s="463">
        <f t="shared" si="197"/>
        <v>3.7525890891194402E-2</v>
      </c>
      <c r="AL142" s="463">
        <f t="shared" si="197"/>
        <v>3.672904189939219E-2</v>
      </c>
      <c r="AM142" s="463">
        <f t="shared" si="197"/>
        <v>3.5921413334903507E-2</v>
      </c>
      <c r="AN142" s="463">
        <f t="shared" si="197"/>
        <v>3.5103701680798904E-2</v>
      </c>
      <c r="AO142" s="6"/>
      <c r="AP142" s="6"/>
      <c r="AQ142" s="6"/>
      <c r="AR142" s="6"/>
      <c r="AS142" s="6"/>
      <c r="AT142" s="6"/>
      <c r="AU142" s="6"/>
      <c r="AV142" s="6"/>
      <c r="AW142" s="6"/>
      <c r="AX142" s="6"/>
      <c r="AY142" s="6"/>
      <c r="AZ142" s="6"/>
      <c r="BA142" s="6"/>
      <c r="BB142" s="6"/>
      <c r="BC142" s="6"/>
      <c r="BD142" s="6"/>
      <c r="BE142" s="6"/>
      <c r="BF142" s="6"/>
      <c r="BG142" s="6"/>
      <c r="BH142" s="6"/>
      <c r="BI142" s="6"/>
      <c r="BJ142" s="6"/>
      <c r="BK142" s="6"/>
      <c r="BL142" s="6"/>
      <c r="BM142" s="6"/>
      <c r="BN142" s="6"/>
      <c r="BO142" s="6"/>
      <c r="BP142" s="6"/>
      <c r="BQ142" s="6"/>
      <c r="BR142" s="6"/>
      <c r="BS142" s="6"/>
      <c r="BT142" s="254"/>
      <c r="BU142" s="6"/>
      <c r="BV142" s="6"/>
      <c r="BW142" s="6"/>
      <c r="BX142" s="6"/>
      <c r="BY142" s="254"/>
      <c r="BZ142" s="6"/>
      <c r="CA142" s="6"/>
      <c r="CB142" s="6"/>
      <c r="CC142" s="6"/>
      <c r="CD142" s="6"/>
      <c r="CE142" s="6"/>
      <c r="CF142" s="6"/>
      <c r="CG142" s="6"/>
      <c r="CH142" s="6"/>
      <c r="CI142" s="6"/>
      <c r="CJ142" s="6"/>
      <c r="CK142" s="6"/>
      <c r="CL142" s="6"/>
      <c r="CM142" s="6"/>
      <c r="CN142" s="254"/>
      <c r="CO142" s="6"/>
      <c r="CP142" s="6"/>
      <c r="CQ142" s="6"/>
      <c r="CR142" s="6"/>
      <c r="CS142" s="6"/>
      <c r="CT142" s="6"/>
      <c r="CU142" s="6"/>
      <c r="CV142" s="6"/>
      <c r="CW142" s="6"/>
      <c r="CX142" s="6"/>
      <c r="CY142" s="6"/>
      <c r="CZ142" s="6"/>
      <c r="DA142" s="6"/>
      <c r="DB142" s="6"/>
      <c r="DC142" s="6"/>
      <c r="DD142" s="6"/>
      <c r="DE142" s="6"/>
      <c r="DF142" s="6"/>
      <c r="DG142" s="6"/>
      <c r="DH142" s="6"/>
    </row>
    <row r="143" spans="1:112">
      <c r="A143" s="763"/>
      <c r="B143" s="84"/>
      <c r="C143" s="84"/>
      <c r="D143" s="84"/>
      <c r="E143" s="84"/>
      <c r="F143" s="84"/>
      <c r="G143" s="84"/>
      <c r="H143" s="84"/>
      <c r="I143" s="84"/>
      <c r="J143" s="84"/>
      <c r="K143" s="84"/>
      <c r="L143" s="84"/>
      <c r="M143" s="84"/>
      <c r="N143" s="84"/>
      <c r="O143" s="84"/>
      <c r="P143" s="84"/>
      <c r="Q143" s="84"/>
      <c r="R143" s="84"/>
      <c r="S143" s="84"/>
      <c r="T143" s="84"/>
      <c r="U143" s="80"/>
      <c r="V143" s="80"/>
      <c r="W143" s="80"/>
      <c r="X143" s="80"/>
      <c r="Y143" s="80"/>
      <c r="Z143" s="1801"/>
      <c r="AA143" s="1801"/>
      <c r="AB143" s="1801"/>
      <c r="AC143" s="1801"/>
      <c r="AD143" s="1801"/>
      <c r="AE143" s="1801"/>
      <c r="AF143" s="80"/>
      <c r="AG143" s="80"/>
      <c r="AH143" s="80"/>
      <c r="AI143" s="80"/>
      <c r="AJ143" s="80"/>
      <c r="AK143" s="80"/>
      <c r="AL143" s="80"/>
      <c r="AM143" s="6"/>
      <c r="AN143" s="6"/>
      <c r="AO143" s="6"/>
      <c r="AP143" s="6"/>
      <c r="AQ143" s="6"/>
      <c r="AR143" s="6"/>
      <c r="AS143" s="6"/>
      <c r="AT143" s="6"/>
      <c r="AU143" s="6"/>
      <c r="AV143" s="6"/>
      <c r="AW143" s="6"/>
      <c r="AX143" s="6"/>
      <c r="AY143" s="6"/>
      <c r="AZ143" s="6"/>
      <c r="BA143" s="6"/>
      <c r="BB143" s="6"/>
      <c r="BC143" s="6"/>
      <c r="BD143" s="6"/>
      <c r="BE143" s="6"/>
      <c r="BF143" s="6"/>
      <c r="BG143" s="6"/>
      <c r="BH143" s="6"/>
      <c r="BI143" s="6"/>
      <c r="BJ143" s="6"/>
      <c r="BK143" s="6"/>
      <c r="BL143" s="6"/>
      <c r="BM143" s="6"/>
      <c r="BN143" s="6"/>
      <c r="BO143" s="6"/>
      <c r="BP143" s="6"/>
      <c r="BQ143" s="6"/>
      <c r="BR143" s="6"/>
      <c r="BS143" s="6"/>
      <c r="BT143" s="254"/>
      <c r="BU143" s="6"/>
      <c r="BV143" s="6"/>
      <c r="BW143" s="6"/>
      <c r="BX143" s="6"/>
      <c r="BY143" s="254"/>
      <c r="BZ143" s="6"/>
      <c r="CA143" s="6"/>
      <c r="CB143" s="6"/>
      <c r="CC143" s="6"/>
      <c r="CD143" s="6"/>
      <c r="CE143" s="6"/>
      <c r="CF143" s="6"/>
      <c r="CG143" s="6"/>
      <c r="CH143" s="6"/>
      <c r="CI143" s="6"/>
      <c r="CJ143" s="6"/>
      <c r="CK143" s="6"/>
      <c r="CL143" s="6"/>
      <c r="CM143" s="6"/>
      <c r="CN143" s="254"/>
      <c r="CO143" s="6"/>
      <c r="CP143" s="6"/>
      <c r="CQ143" s="6"/>
      <c r="CR143" s="6"/>
      <c r="CS143" s="6"/>
      <c r="CT143" s="6"/>
      <c r="CU143" s="6"/>
      <c r="CV143" s="6"/>
      <c r="CW143" s="6"/>
      <c r="CX143" s="6"/>
      <c r="CY143" s="6"/>
      <c r="CZ143" s="6"/>
      <c r="DA143" s="6"/>
      <c r="DB143" s="6"/>
      <c r="DC143" s="6"/>
      <c r="DD143" s="6"/>
      <c r="DE143" s="6"/>
      <c r="DF143" s="6"/>
      <c r="DG143" s="6"/>
      <c r="DH143" s="6"/>
    </row>
    <row r="144" spans="1:112">
      <c r="A144" s="1378" t="s">
        <v>1251</v>
      </c>
      <c r="B144" s="6"/>
      <c r="C144" s="6"/>
      <c r="D144" s="6"/>
      <c r="E144" s="6"/>
      <c r="F144" s="6"/>
      <c r="G144" s="6"/>
      <c r="H144" s="6"/>
      <c r="I144" s="6"/>
      <c r="J144" s="6"/>
      <c r="K144" s="6"/>
      <c r="L144" s="6"/>
      <c r="M144" s="6"/>
      <c r="N144" s="6"/>
      <c r="O144" s="6"/>
      <c r="P144" s="6"/>
      <c r="Q144" s="6"/>
      <c r="R144" s="6"/>
      <c r="S144" s="1108"/>
      <c r="T144" s="1108"/>
      <c r="U144" s="1108"/>
      <c r="V144" s="1108"/>
      <c r="W144" s="1108"/>
      <c r="X144" s="1108"/>
      <c r="Y144" s="1108"/>
      <c r="Z144" s="1108"/>
      <c r="AA144" s="1108"/>
      <c r="AB144" s="1108"/>
      <c r="AC144" s="1108"/>
      <c r="AD144" s="1108"/>
      <c r="AE144" s="1108"/>
      <c r="AF144" s="6"/>
      <c r="AG144" s="11"/>
      <c r="AH144" s="11"/>
      <c r="AI144" s="11"/>
      <c r="AJ144" s="11"/>
      <c r="AK144" s="11"/>
      <c r="AL144" s="11"/>
      <c r="AM144" s="6"/>
      <c r="AN144" s="6"/>
      <c r="AO144" s="6"/>
      <c r="AP144" s="6"/>
      <c r="AQ144" s="6"/>
      <c r="AR144" s="6"/>
      <c r="AS144" s="6"/>
      <c r="AT144" s="6"/>
      <c r="AU144" s="6"/>
      <c r="AV144" s="6"/>
      <c r="AW144" s="6"/>
      <c r="AX144" s="6"/>
      <c r="AY144" s="6"/>
      <c r="AZ144" s="6"/>
      <c r="BA144" s="6"/>
      <c r="BB144" s="6"/>
      <c r="BC144" s="6"/>
      <c r="BD144" s="6"/>
      <c r="BE144" s="6"/>
      <c r="BF144" s="6"/>
      <c r="BG144" s="6"/>
      <c r="BH144" s="6"/>
      <c r="BI144" s="6"/>
      <c r="BJ144" s="6"/>
      <c r="BK144" s="6"/>
      <c r="BL144" s="6"/>
      <c r="BM144" s="6"/>
      <c r="BN144" s="6"/>
      <c r="BO144" s="6"/>
      <c r="BP144" s="6"/>
      <c r="BQ144" s="6"/>
      <c r="BR144" s="6"/>
      <c r="BS144" s="6"/>
      <c r="BT144" s="254"/>
      <c r="BU144" s="6"/>
      <c r="BV144" s="6"/>
      <c r="BW144" s="6"/>
      <c r="BX144" s="6"/>
      <c r="BY144" s="254"/>
      <c r="BZ144" s="6"/>
      <c r="CA144" s="6"/>
      <c r="CB144" s="6"/>
      <c r="CC144" s="6"/>
      <c r="CD144" s="6"/>
      <c r="CE144" s="6"/>
      <c r="CF144" s="6"/>
      <c r="CG144" s="6"/>
      <c r="CH144" s="6"/>
      <c r="CI144" s="6"/>
      <c r="CJ144" s="6"/>
      <c r="CK144" s="6"/>
      <c r="CL144" s="6"/>
      <c r="CM144" s="6"/>
      <c r="CN144" s="254"/>
      <c r="CO144" s="6"/>
      <c r="CP144" s="6"/>
      <c r="CQ144" s="6"/>
      <c r="CR144" s="6"/>
      <c r="CS144" s="6"/>
      <c r="CT144" s="6"/>
      <c r="CU144" s="6"/>
      <c r="CV144" s="6"/>
      <c r="CW144" s="6"/>
      <c r="CX144" s="6"/>
      <c r="CY144" s="6"/>
      <c r="CZ144" s="6"/>
      <c r="DA144" s="6"/>
      <c r="DB144" s="6"/>
      <c r="DC144" s="6"/>
      <c r="DD144" s="6"/>
      <c r="DE144" s="6"/>
      <c r="DF144" s="6"/>
      <c r="DG144" s="6"/>
      <c r="DH144" s="6"/>
    </row>
    <row r="145" spans="1:112">
      <c r="A145" s="107" t="s">
        <v>257</v>
      </c>
      <c r="B145" s="6"/>
      <c r="C145" s="6"/>
      <c r="D145" s="6"/>
      <c r="E145" s="6"/>
      <c r="F145" s="6"/>
      <c r="G145" s="6"/>
      <c r="H145" s="6"/>
      <c r="I145" s="6"/>
      <c r="J145" s="6"/>
      <c r="K145" s="6"/>
      <c r="L145" s="6"/>
      <c r="M145" s="6"/>
      <c r="N145" s="6"/>
      <c r="O145" s="6"/>
      <c r="P145" s="6"/>
      <c r="Q145" s="6"/>
      <c r="R145" s="6"/>
      <c r="S145" s="1108"/>
      <c r="T145" s="2655">
        <f>+T133/12/AVERAGE(S121:T121)</f>
        <v>4.6908004029878025</v>
      </c>
      <c r="U145" s="2655">
        <f>+U133/12/AVERAGE(T121:U121)</f>
        <v>4.7416177577795748</v>
      </c>
      <c r="V145" s="2655">
        <f t="shared" ref="V145:AA145" si="201">+V133/12/AVERAGE(U121:V121)</f>
        <v>4.799681459179264</v>
      </c>
      <c r="W145" s="2655">
        <f t="shared" si="201"/>
        <v>4.8266935085717559</v>
      </c>
      <c r="X145" s="2655">
        <f t="shared" si="201"/>
        <v>4.6785843207505389</v>
      </c>
      <c r="Y145" s="2655">
        <f t="shared" si="201"/>
        <v>4.7587761323860107</v>
      </c>
      <c r="Z145" s="2655">
        <f t="shared" si="201"/>
        <v>4.8862939446469218</v>
      </c>
      <c r="AA145" s="2655">
        <f t="shared" si="201"/>
        <v>4.8935856377653959</v>
      </c>
      <c r="AB145" s="2655">
        <f>+AB133/12/AVERAGE(AA121:AB121)</f>
        <v>5.0311043951267598</v>
      </c>
      <c r="AC145" s="2655">
        <f>+AC133/12/AVERAGE(AB121:AC121)</f>
        <v>5.2475460327341077</v>
      </c>
      <c r="AD145" s="2655">
        <f>+AD133/12/AVERAGE(AC121:AD121)</f>
        <v>5.4770535151335578</v>
      </c>
      <c r="AE145" s="1387">
        <f>+AD145*(1+AE151)</f>
        <v>5.7372135571024021</v>
      </c>
      <c r="AF145" s="1387">
        <f>+AE145*(1+AF151)</f>
        <v>5.9925195603934593</v>
      </c>
      <c r="AG145" s="1387">
        <f>+AF145*(1+AG151)</f>
        <v>6.2531941612705753</v>
      </c>
      <c r="AH145" s="1387">
        <f>+AG145*(1+AH151)</f>
        <v>6.518954913124575</v>
      </c>
      <c r="AI145" s="1387">
        <f t="shared" ref="AI145:AN147" si="202">+AH145*(1+AI151)</f>
        <v>6.7894915420192454</v>
      </c>
      <c r="AJ145" s="1387">
        <f t="shared" si="202"/>
        <v>7.0644659494710247</v>
      </c>
      <c r="AK145" s="1387">
        <f t="shared" si="202"/>
        <v>7.3435123544751306</v>
      </c>
      <c r="AL145" s="1387">
        <f t="shared" si="202"/>
        <v>7.6262375801224227</v>
      </c>
      <c r="AM145" s="1387">
        <f t="shared" si="202"/>
        <v>7.9122214893770142</v>
      </c>
      <c r="AN145" s="1387">
        <f t="shared" si="202"/>
        <v>8.201017573739275</v>
      </c>
      <c r="AO145" s="6"/>
      <c r="AP145" s="6"/>
      <c r="AQ145" s="6"/>
      <c r="AR145" s="6"/>
      <c r="AS145" s="6"/>
      <c r="AT145" s="6"/>
      <c r="AU145" s="6"/>
      <c r="AV145" s="6"/>
      <c r="AW145" s="6"/>
      <c r="AX145" s="6"/>
      <c r="AY145" s="6"/>
      <c r="AZ145" s="6"/>
      <c r="BA145" s="6"/>
      <c r="BB145" s="6"/>
      <c r="BC145" s="6"/>
      <c r="BD145" s="6"/>
      <c r="BE145" s="6"/>
      <c r="BF145" s="6"/>
      <c r="BG145" s="6"/>
      <c r="BH145" s="6"/>
      <c r="BI145" s="6"/>
      <c r="BJ145" s="6"/>
      <c r="BK145" s="6"/>
      <c r="BL145" s="6"/>
      <c r="BM145" s="6"/>
      <c r="BN145" s="6"/>
      <c r="BO145" s="6"/>
      <c r="BP145" s="6"/>
      <c r="BQ145" s="6"/>
      <c r="BR145" s="6"/>
      <c r="BS145" s="6"/>
      <c r="BT145" s="254"/>
      <c r="BU145" s="6"/>
      <c r="BV145" s="6"/>
      <c r="BW145" s="6"/>
      <c r="BX145" s="6"/>
      <c r="BY145" s="254"/>
      <c r="BZ145" s="6"/>
      <c r="CA145" s="6"/>
      <c r="CB145" s="6"/>
      <c r="CC145" s="6"/>
      <c r="CD145" s="6"/>
      <c r="CE145" s="6"/>
      <c r="CF145" s="6"/>
      <c r="CG145" s="6"/>
      <c r="CH145" s="6"/>
      <c r="CI145" s="6"/>
      <c r="CJ145" s="6"/>
      <c r="CK145" s="6"/>
      <c r="CL145" s="6"/>
      <c r="CM145" s="6"/>
      <c r="CN145" s="254"/>
      <c r="CO145" s="6"/>
      <c r="CP145" s="6"/>
      <c r="CQ145" s="6"/>
      <c r="CR145" s="6"/>
      <c r="CS145" s="6"/>
      <c r="CT145" s="6"/>
      <c r="CU145" s="6"/>
      <c r="CV145" s="6"/>
      <c r="CW145" s="6"/>
      <c r="CX145" s="6"/>
      <c r="CY145" s="6"/>
      <c r="CZ145" s="6"/>
      <c r="DA145" s="6"/>
      <c r="DB145" s="6"/>
      <c r="DC145" s="6"/>
      <c r="DD145" s="6"/>
      <c r="DE145" s="6"/>
      <c r="DF145" s="6"/>
      <c r="DG145" s="6"/>
      <c r="DH145" s="6"/>
    </row>
    <row r="146" spans="1:112">
      <c r="A146" s="107" t="s">
        <v>1247</v>
      </c>
      <c r="B146" s="6"/>
      <c r="C146" s="6"/>
      <c r="D146" s="6"/>
      <c r="E146" s="6"/>
      <c r="F146" s="6"/>
      <c r="G146" s="6"/>
      <c r="H146" s="6"/>
      <c r="I146" s="6"/>
      <c r="J146" s="6"/>
      <c r="K146" s="6"/>
      <c r="L146" s="6"/>
      <c r="M146" s="6"/>
      <c r="N146" s="6"/>
      <c r="O146" s="6"/>
      <c r="P146" s="6"/>
      <c r="Q146" s="6"/>
      <c r="R146" s="6"/>
      <c r="S146" s="1108"/>
      <c r="T146" s="2656">
        <f>+T134/12/T122</f>
        <v>0.55265177161637935</v>
      </c>
      <c r="U146" s="1387">
        <f t="shared" ref="U146:X147" si="203">+T146*(1+U152)</f>
        <v>0.536072218467888</v>
      </c>
      <c r="V146" s="1387">
        <f t="shared" si="203"/>
        <v>0.5521543850219246</v>
      </c>
      <c r="W146" s="1387">
        <f t="shared" si="203"/>
        <v>0.53393329031620107</v>
      </c>
      <c r="X146" s="1387">
        <f t="shared" si="203"/>
        <v>0.53126362386462012</v>
      </c>
      <c r="Y146" s="1387">
        <f t="shared" ref="Y146:AH146" si="204">+X146*(1+Y152)</f>
        <v>0.53923257822258941</v>
      </c>
      <c r="Z146" s="1387">
        <f t="shared" si="204"/>
        <v>0.54732106689592819</v>
      </c>
      <c r="AA146" s="1387">
        <f>+Z146*(1+AA152)</f>
        <v>0.54458446156144857</v>
      </c>
      <c r="AB146" s="1387">
        <f t="shared" si="204"/>
        <v>0.5473073838692557</v>
      </c>
      <c r="AC146" s="1387">
        <f t="shared" si="204"/>
        <v>0.55278045770794826</v>
      </c>
      <c r="AD146" s="1387">
        <f t="shared" si="204"/>
        <v>0.55830826228502772</v>
      </c>
      <c r="AE146" s="1387">
        <f t="shared" si="204"/>
        <v>0.56389134490787796</v>
      </c>
      <c r="AF146" s="1387">
        <f t="shared" si="204"/>
        <v>0.5695302583569567</v>
      </c>
      <c r="AG146" s="1387">
        <f t="shared" si="204"/>
        <v>0.57522556094052624</v>
      </c>
      <c r="AH146" s="1387">
        <f t="shared" si="204"/>
        <v>0.58097781654993153</v>
      </c>
      <c r="AI146" s="1387">
        <f t="shared" si="202"/>
        <v>0.58678759471543085</v>
      </c>
      <c r="AJ146" s="1387">
        <f t="shared" si="202"/>
        <v>0.59265547066258517</v>
      </c>
      <c r="AK146" s="1387">
        <f t="shared" si="202"/>
        <v>0.59858202536921101</v>
      </c>
      <c r="AL146" s="1387">
        <f t="shared" si="202"/>
        <v>0.60456784562290311</v>
      </c>
      <c r="AM146" s="1387">
        <f t="shared" si="202"/>
        <v>0.61061352407913216</v>
      </c>
      <c r="AN146" s="1387">
        <f t="shared" si="202"/>
        <v>0.61671965931992345</v>
      </c>
      <c r="AO146" s="6"/>
      <c r="AP146" s="6"/>
      <c r="AQ146" s="6"/>
      <c r="AR146" s="6"/>
      <c r="AS146" s="6"/>
      <c r="AT146" s="6"/>
      <c r="AU146" s="6"/>
      <c r="AV146" s="6"/>
      <c r="AW146" s="6"/>
      <c r="AX146" s="6"/>
      <c r="AY146" s="6"/>
      <c r="AZ146" s="6"/>
      <c r="BA146" s="6"/>
      <c r="BB146" s="6"/>
      <c r="BC146" s="6"/>
      <c r="BD146" s="6"/>
      <c r="BE146" s="6"/>
      <c r="BF146" s="6"/>
      <c r="BG146" s="6"/>
      <c r="BH146" s="6"/>
      <c r="BI146" s="6"/>
      <c r="BJ146" s="6"/>
      <c r="BK146" s="6"/>
      <c r="BL146" s="6"/>
      <c r="BM146" s="6"/>
      <c r="BN146" s="6"/>
      <c r="BO146" s="6"/>
      <c r="BP146" s="6"/>
      <c r="BQ146" s="6"/>
      <c r="BR146" s="6"/>
      <c r="BS146" s="6"/>
      <c r="BT146" s="254"/>
      <c r="BU146" s="6"/>
      <c r="BV146" s="6"/>
      <c r="BW146" s="6"/>
      <c r="BX146" s="6"/>
      <c r="BY146" s="254"/>
      <c r="BZ146" s="6"/>
      <c r="CA146" s="6"/>
      <c r="CB146" s="6"/>
      <c r="CC146" s="6"/>
      <c r="CD146" s="6"/>
      <c r="CE146" s="6"/>
      <c r="CF146" s="6"/>
      <c r="CG146" s="6"/>
      <c r="CH146" s="6"/>
      <c r="CI146" s="6"/>
      <c r="CJ146" s="6"/>
      <c r="CK146" s="6"/>
      <c r="CL146" s="6"/>
      <c r="CM146" s="6"/>
      <c r="CN146" s="254"/>
      <c r="CO146" s="6"/>
      <c r="CP146" s="6"/>
      <c r="CQ146" s="6"/>
      <c r="CR146" s="6"/>
      <c r="CS146" s="6"/>
      <c r="CT146" s="6"/>
      <c r="CU146" s="6"/>
      <c r="CV146" s="6"/>
      <c r="CW146" s="6"/>
      <c r="CX146" s="6"/>
      <c r="CY146" s="6"/>
      <c r="CZ146" s="6"/>
      <c r="DA146" s="6"/>
      <c r="DB146" s="6"/>
      <c r="DC146" s="6"/>
      <c r="DD146" s="6"/>
      <c r="DE146" s="6"/>
      <c r="DF146" s="6"/>
      <c r="DG146" s="6"/>
      <c r="DH146" s="6"/>
    </row>
    <row r="147" spans="1:112">
      <c r="A147" s="107" t="s">
        <v>1248</v>
      </c>
      <c r="B147" s="6"/>
      <c r="C147" s="6"/>
      <c r="D147" s="6"/>
      <c r="E147" s="6"/>
      <c r="F147" s="6"/>
      <c r="G147" s="6"/>
      <c r="H147" s="6"/>
      <c r="I147" s="6"/>
      <c r="J147" s="6"/>
      <c r="K147" s="6"/>
      <c r="L147" s="6"/>
      <c r="M147" s="6"/>
      <c r="N147" s="6"/>
      <c r="O147" s="6"/>
      <c r="P147" s="6"/>
      <c r="Q147" s="6"/>
      <c r="R147" s="6"/>
      <c r="S147" s="1108"/>
      <c r="T147" s="2656">
        <f>+T135/12/T123</f>
        <v>0.38619039462349397</v>
      </c>
      <c r="U147" s="1628">
        <f t="shared" si="203"/>
        <v>0.37460468278478914</v>
      </c>
      <c r="V147" s="1628">
        <f t="shared" si="203"/>
        <v>0.3858428232683328</v>
      </c>
      <c r="W147" s="1628">
        <f t="shared" si="203"/>
        <v>0.37311001010047778</v>
      </c>
      <c r="X147" s="1628">
        <f t="shared" si="203"/>
        <v>0.37124446004997541</v>
      </c>
      <c r="Y147" s="1628">
        <f t="shared" ref="Y147:AH147" si="205">+X147*(1+Y153)</f>
        <v>0.376813126950725</v>
      </c>
      <c r="Z147" s="1628">
        <f t="shared" si="205"/>
        <v>0.38246532385498583</v>
      </c>
      <c r="AA147" s="1628">
        <f>+Z147*(1+AA153)</f>
        <v>0.3805529972357109</v>
      </c>
      <c r="AB147" s="1628">
        <f t="shared" si="205"/>
        <v>0.38245576222188943</v>
      </c>
      <c r="AC147" s="1628">
        <f t="shared" si="205"/>
        <v>0.38628031984410832</v>
      </c>
      <c r="AD147" s="1628">
        <f t="shared" si="205"/>
        <v>0.39014312304254939</v>
      </c>
      <c r="AE147" s="1628">
        <f t="shared" si="205"/>
        <v>0.39404455427297491</v>
      </c>
      <c r="AF147" s="314">
        <f t="shared" si="205"/>
        <v>0.39798499981570468</v>
      </c>
      <c r="AG147" s="314">
        <f t="shared" si="205"/>
        <v>0.40196484981386171</v>
      </c>
      <c r="AH147" s="314">
        <f t="shared" si="205"/>
        <v>0.40598449831200034</v>
      </c>
      <c r="AI147" s="314">
        <f t="shared" si="202"/>
        <v>0.41004434329512035</v>
      </c>
      <c r="AJ147" s="314">
        <f t="shared" si="202"/>
        <v>0.41414478672807153</v>
      </c>
      <c r="AK147" s="314">
        <f t="shared" si="202"/>
        <v>0.41828623459535225</v>
      </c>
      <c r="AL147" s="314">
        <f t="shared" si="202"/>
        <v>0.4224690969413058</v>
      </c>
      <c r="AM147" s="314">
        <f t="shared" si="202"/>
        <v>0.42669378791071888</v>
      </c>
      <c r="AN147" s="314">
        <f t="shared" si="202"/>
        <v>0.43096072578982608</v>
      </c>
      <c r="AO147" s="6"/>
      <c r="AP147" s="6"/>
      <c r="AQ147" s="6"/>
      <c r="AR147" s="6"/>
      <c r="AS147" s="6"/>
      <c r="AT147" s="6"/>
      <c r="AU147" s="6"/>
      <c r="AV147" s="6"/>
      <c r="AW147" s="6"/>
      <c r="AX147" s="6"/>
      <c r="AY147" s="6"/>
      <c r="AZ147" s="6"/>
      <c r="BA147" s="6"/>
      <c r="BB147" s="6"/>
      <c r="BC147" s="6"/>
      <c r="BD147" s="6"/>
      <c r="BE147" s="6"/>
      <c r="BF147" s="6"/>
      <c r="BG147" s="6"/>
      <c r="BH147" s="6"/>
      <c r="BI147" s="6"/>
      <c r="BJ147" s="6"/>
      <c r="BK147" s="6"/>
      <c r="BL147" s="6"/>
      <c r="BM147" s="6"/>
      <c r="BN147" s="6"/>
      <c r="BO147" s="6"/>
      <c r="BP147" s="6"/>
      <c r="BQ147" s="6"/>
      <c r="BR147" s="6"/>
      <c r="BS147" s="6"/>
      <c r="BT147" s="254"/>
      <c r="BU147" s="6"/>
      <c r="BV147" s="6"/>
      <c r="BW147" s="6"/>
      <c r="BX147" s="6"/>
      <c r="BY147" s="254"/>
      <c r="BZ147" s="6"/>
      <c r="CA147" s="6"/>
      <c r="CB147" s="6"/>
      <c r="CC147" s="6"/>
      <c r="CD147" s="6"/>
      <c r="CE147" s="6"/>
      <c r="CF147" s="6"/>
      <c r="CG147" s="6"/>
      <c r="CH147" s="6"/>
      <c r="CI147" s="6"/>
      <c r="CJ147" s="6"/>
      <c r="CK147" s="6"/>
      <c r="CL147" s="6"/>
      <c r="CM147" s="6"/>
      <c r="CN147" s="254"/>
      <c r="CO147" s="6"/>
      <c r="CP147" s="6"/>
      <c r="CQ147" s="6"/>
      <c r="CR147" s="6"/>
      <c r="CS147" s="6"/>
      <c r="CT147" s="6"/>
      <c r="CU147" s="6"/>
      <c r="CV147" s="6"/>
      <c r="CW147" s="6"/>
      <c r="CX147" s="6"/>
      <c r="CY147" s="6"/>
      <c r="CZ147" s="6"/>
      <c r="DA147" s="6"/>
      <c r="DB147" s="6"/>
      <c r="DC147" s="6"/>
      <c r="DD147" s="6"/>
      <c r="DE147" s="6"/>
      <c r="DF147" s="6"/>
      <c r="DG147" s="6"/>
      <c r="DH147" s="6"/>
    </row>
    <row r="148" spans="1:112">
      <c r="A148" s="1375" t="s">
        <v>1261</v>
      </c>
      <c r="B148" s="1376"/>
      <c r="C148" s="1376"/>
      <c r="D148" s="1376"/>
      <c r="E148" s="1376"/>
      <c r="F148" s="1376"/>
      <c r="G148" s="1376"/>
      <c r="H148" s="1376"/>
      <c r="I148" s="1376"/>
      <c r="J148" s="1376"/>
      <c r="K148" s="1376"/>
      <c r="L148" s="1376"/>
      <c r="M148" s="1376"/>
      <c r="N148" s="1376"/>
      <c r="O148" s="1376"/>
      <c r="P148" s="1376"/>
      <c r="Q148" s="1376"/>
      <c r="R148" s="1376"/>
      <c r="S148" s="1376"/>
      <c r="T148" s="2303">
        <f>+T136/T121/12</f>
        <v>5.8635005037347545</v>
      </c>
      <c r="U148" s="2303">
        <f>+U136/U121/12</f>
        <v>5.5235840595815118</v>
      </c>
      <c r="V148" s="2303">
        <f>+V136/V121/12</f>
        <v>5.8582584470084553</v>
      </c>
      <c r="W148" s="2303">
        <f>+W136/W121/12</f>
        <v>5.6525553710816281</v>
      </c>
      <c r="X148" s="2303">
        <f t="shared" ref="X148:AH148" si="206">+X136/X121/12</f>
        <v>5.6011774431164225</v>
      </c>
      <c r="Y148" s="2303">
        <f t="shared" si="206"/>
        <v>5.7380557654018673</v>
      </c>
      <c r="Z148" s="2358">
        <f t="shared" si="206"/>
        <v>5.8710209310070729</v>
      </c>
      <c r="AA148" s="2358">
        <f>+AA136/AA121/12</f>
        <v>5.8197500040340762</v>
      </c>
      <c r="AB148" s="2358">
        <f t="shared" si="206"/>
        <v>5.9175933953516582</v>
      </c>
      <c r="AC148" s="2358">
        <f t="shared" si="206"/>
        <v>6.1098706572044792</v>
      </c>
      <c r="AD148" s="2358">
        <f t="shared" si="206"/>
        <v>6.3337783098972622</v>
      </c>
      <c r="AE148" s="2358">
        <f t="shared" si="206"/>
        <v>6.5993452768693581</v>
      </c>
      <c r="AF148" s="2303">
        <f t="shared" si="206"/>
        <v>6.8533873890550145</v>
      </c>
      <c r="AG148" s="2303">
        <f t="shared" si="206"/>
        <v>7.1127715216109566</v>
      </c>
      <c r="AH148" s="2303">
        <f t="shared" si="206"/>
        <v>7.3894839722647951</v>
      </c>
      <c r="AI148" s="2303">
        <f t="shared" ref="AI148:AN148" si="207">+AI136/AI121/12</f>
        <v>7.6744912253435578</v>
      </c>
      <c r="AJ148" s="2303">
        <f t="shared" si="207"/>
        <v>7.9653261222925806</v>
      </c>
      <c r="AK148" s="2303">
        <f t="shared" si="207"/>
        <v>8.2518542998207813</v>
      </c>
      <c r="AL148" s="2303">
        <f t="shared" si="207"/>
        <v>8.5421238164219453</v>
      </c>
      <c r="AM148" s="2303">
        <f t="shared" si="207"/>
        <v>8.8357154036840342</v>
      </c>
      <c r="AN148" s="2303">
        <f t="shared" si="207"/>
        <v>9.1321834461821236</v>
      </c>
      <c r="AO148" s="6"/>
      <c r="AP148" s="6"/>
      <c r="AQ148" s="6"/>
      <c r="AR148" s="6"/>
      <c r="AS148" s="6"/>
      <c r="AT148" s="6"/>
      <c r="AU148" s="6"/>
      <c r="AV148" s="6"/>
      <c r="AW148" s="6"/>
      <c r="AX148" s="6"/>
      <c r="AY148" s="6"/>
      <c r="AZ148" s="6"/>
      <c r="BA148" s="6"/>
      <c r="BB148" s="6"/>
      <c r="BC148" s="6"/>
      <c r="BD148" s="6"/>
      <c r="BE148" s="6"/>
      <c r="BF148" s="6"/>
      <c r="BG148" s="6"/>
      <c r="BH148" s="6"/>
      <c r="BI148" s="6"/>
      <c r="BJ148" s="6"/>
      <c r="BK148" s="6"/>
      <c r="BL148" s="6"/>
      <c r="BM148" s="6"/>
      <c r="BN148" s="6"/>
      <c r="BO148" s="6"/>
      <c r="BP148" s="6"/>
      <c r="BQ148" s="6"/>
      <c r="BR148" s="6"/>
      <c r="BS148" s="6"/>
      <c r="BT148" s="254"/>
      <c r="BU148" s="6"/>
      <c r="BV148" s="6"/>
      <c r="BW148" s="6"/>
      <c r="BX148" s="6"/>
      <c r="BY148" s="254"/>
      <c r="BZ148" s="6"/>
      <c r="CA148" s="6"/>
      <c r="CB148" s="6"/>
      <c r="CC148" s="6"/>
      <c r="CD148" s="6"/>
      <c r="CE148" s="6"/>
      <c r="CF148" s="6"/>
      <c r="CG148" s="6"/>
      <c r="CH148" s="6"/>
      <c r="CI148" s="6"/>
      <c r="CJ148" s="6"/>
      <c r="CK148" s="6"/>
      <c r="CL148" s="6"/>
      <c r="CM148" s="6"/>
      <c r="CN148" s="254"/>
      <c r="CO148" s="6"/>
      <c r="CP148" s="6"/>
      <c r="CQ148" s="6"/>
      <c r="CR148" s="6"/>
      <c r="CS148" s="6"/>
      <c r="CT148" s="6"/>
      <c r="CU148" s="6"/>
      <c r="CV148" s="6"/>
      <c r="CW148" s="6"/>
      <c r="CX148" s="6"/>
      <c r="CY148" s="6"/>
      <c r="CZ148" s="6"/>
      <c r="DA148" s="6"/>
      <c r="DB148" s="6"/>
      <c r="DC148" s="6"/>
      <c r="DD148" s="6"/>
      <c r="DE148" s="6"/>
      <c r="DF148" s="6"/>
      <c r="DG148" s="6"/>
      <c r="DH148" s="6"/>
    </row>
    <row r="149" spans="1:112">
      <c r="A149" s="107"/>
      <c r="B149" s="6"/>
      <c r="C149" s="6"/>
      <c r="D149" s="6"/>
      <c r="E149" s="6"/>
      <c r="F149" s="6"/>
      <c r="G149" s="6"/>
      <c r="H149" s="6"/>
      <c r="I149" s="6"/>
      <c r="J149" s="6"/>
      <c r="K149" s="6"/>
      <c r="L149" s="6"/>
      <c r="M149" s="6"/>
      <c r="N149" s="6"/>
      <c r="O149" s="6"/>
      <c r="P149" s="6"/>
      <c r="Q149" s="6"/>
      <c r="R149" s="6"/>
      <c r="S149" s="6"/>
      <c r="T149" s="6"/>
      <c r="U149" s="6"/>
      <c r="V149" s="6"/>
      <c r="W149" s="6"/>
      <c r="X149" s="6"/>
      <c r="Y149" s="6"/>
      <c r="Z149" s="1108"/>
      <c r="AA149" s="1108"/>
      <c r="AB149" s="1108"/>
      <c r="AC149" s="1108"/>
      <c r="AD149" s="1108"/>
      <c r="AE149" s="1108"/>
      <c r="AF149" s="6"/>
      <c r="AG149" s="11"/>
      <c r="AH149" s="11"/>
      <c r="AI149" s="11"/>
      <c r="AJ149" s="11"/>
      <c r="AK149" s="11"/>
      <c r="AL149" s="11"/>
      <c r="AM149" s="6"/>
      <c r="AN149" s="6"/>
      <c r="AO149" s="6"/>
      <c r="AP149" s="6"/>
      <c r="AQ149" s="6"/>
      <c r="AR149" s="6"/>
      <c r="AS149" s="6"/>
      <c r="AT149" s="6"/>
      <c r="AU149" s="6"/>
      <c r="AV149" s="6"/>
      <c r="AW149" s="6"/>
      <c r="AX149" s="6"/>
      <c r="AY149" s="6"/>
      <c r="AZ149" s="6"/>
      <c r="BA149" s="6"/>
      <c r="BB149" s="6"/>
      <c r="BC149" s="6"/>
      <c r="BD149" s="6"/>
      <c r="BE149" s="6"/>
      <c r="BF149" s="6"/>
      <c r="BG149" s="6"/>
      <c r="BH149" s="6"/>
      <c r="BI149" s="6"/>
      <c r="BJ149" s="6"/>
      <c r="BK149" s="6"/>
      <c r="BL149" s="6"/>
      <c r="BM149" s="6"/>
      <c r="BN149" s="6"/>
      <c r="BO149" s="6"/>
      <c r="BP149" s="6"/>
      <c r="BQ149" s="6"/>
      <c r="BR149" s="6"/>
      <c r="BS149" s="6"/>
      <c r="BT149" s="254"/>
      <c r="BU149" s="6"/>
      <c r="BV149" s="6"/>
      <c r="BW149" s="6"/>
      <c r="BX149" s="6"/>
      <c r="BY149" s="254"/>
      <c r="BZ149" s="6"/>
      <c r="CA149" s="6"/>
      <c r="CB149" s="6"/>
      <c r="CC149" s="6"/>
      <c r="CD149" s="6"/>
      <c r="CE149" s="6"/>
      <c r="CF149" s="6"/>
      <c r="CG149" s="6"/>
      <c r="CH149" s="6"/>
      <c r="CI149" s="6"/>
      <c r="CJ149" s="6"/>
      <c r="CK149" s="6"/>
      <c r="CL149" s="6"/>
      <c r="CM149" s="6"/>
      <c r="CN149" s="254"/>
      <c r="CO149" s="6"/>
      <c r="CP149" s="6"/>
      <c r="CQ149" s="6"/>
      <c r="CR149" s="6"/>
      <c r="CS149" s="6"/>
      <c r="CT149" s="6"/>
      <c r="CU149" s="6"/>
      <c r="CV149" s="6"/>
      <c r="CW149" s="6"/>
      <c r="CX149" s="6"/>
      <c r="CY149" s="6"/>
      <c r="CZ149" s="6"/>
      <c r="DA149" s="6"/>
      <c r="DB149" s="6"/>
      <c r="DC149" s="6"/>
      <c r="DD149" s="6"/>
      <c r="DE149" s="6"/>
      <c r="DF149" s="6"/>
      <c r="DG149" s="6"/>
      <c r="DH149" s="6"/>
    </row>
    <row r="150" spans="1:112">
      <c r="A150" s="1382" t="s">
        <v>1254</v>
      </c>
      <c r="B150" s="6"/>
      <c r="C150" s="6"/>
      <c r="D150" s="6"/>
      <c r="E150" s="6"/>
      <c r="F150" s="6"/>
      <c r="G150" s="6"/>
      <c r="H150" s="6"/>
      <c r="I150" s="6"/>
      <c r="J150" s="6"/>
      <c r="K150" s="6"/>
      <c r="L150" s="6"/>
      <c r="M150" s="6"/>
      <c r="N150" s="6"/>
      <c r="O150" s="6"/>
      <c r="P150" s="6"/>
      <c r="Q150" s="6"/>
      <c r="R150" s="6"/>
      <c r="S150" s="6"/>
      <c r="T150" s="6"/>
      <c r="U150" s="6"/>
      <c r="V150" s="6"/>
      <c r="W150" s="6"/>
      <c r="X150" s="6"/>
      <c r="Y150" s="6"/>
      <c r="Z150" s="1108"/>
      <c r="AA150" s="1108"/>
      <c r="AB150" s="1108"/>
      <c r="AC150" s="1108"/>
      <c r="AD150" s="1108"/>
      <c r="AE150" s="1108"/>
      <c r="AF150" s="1108"/>
      <c r="AG150" s="1108"/>
      <c r="AH150" s="1108"/>
      <c r="AI150" s="1108"/>
      <c r="AJ150" s="1108"/>
      <c r="AK150" s="1108"/>
      <c r="AL150" s="1108"/>
      <c r="AM150" s="1108"/>
      <c r="AN150" s="1108"/>
      <c r="AO150" s="1108"/>
      <c r="AP150" s="6"/>
      <c r="AQ150" s="6"/>
      <c r="AR150" s="6"/>
      <c r="AS150" s="6"/>
      <c r="AT150" s="6"/>
      <c r="AU150" s="6"/>
      <c r="AV150" s="6"/>
      <c r="AW150" s="6"/>
      <c r="AX150" s="6"/>
      <c r="AY150" s="6"/>
      <c r="AZ150" s="6"/>
      <c r="BA150" s="6"/>
      <c r="BB150" s="6"/>
      <c r="BC150" s="6"/>
      <c r="BD150" s="6"/>
      <c r="BE150" s="6"/>
      <c r="BF150" s="6"/>
      <c r="BG150" s="6"/>
      <c r="BH150" s="6"/>
      <c r="BI150" s="6"/>
      <c r="BJ150" s="6"/>
      <c r="BK150" s="6"/>
      <c r="BL150" s="6"/>
      <c r="BM150" s="6"/>
      <c r="BN150" s="6"/>
      <c r="BO150" s="6"/>
      <c r="BP150" s="6"/>
      <c r="BQ150" s="6"/>
      <c r="BR150" s="6"/>
      <c r="BS150" s="6"/>
      <c r="BT150" s="254"/>
      <c r="BU150" s="6"/>
      <c r="BV150" s="6"/>
      <c r="BW150" s="6"/>
      <c r="BX150" s="6"/>
      <c r="BY150" s="254"/>
      <c r="BZ150" s="6"/>
      <c r="CA150" s="6"/>
      <c r="CB150" s="6"/>
      <c r="CC150" s="6"/>
      <c r="CD150" s="6"/>
      <c r="CE150" s="6"/>
      <c r="CF150" s="6"/>
      <c r="CG150" s="6"/>
      <c r="CH150" s="6"/>
      <c r="CI150" s="6"/>
      <c r="CJ150" s="6"/>
      <c r="CK150" s="6"/>
      <c r="CL150" s="6"/>
      <c r="CM150" s="6"/>
      <c r="CN150" s="254"/>
      <c r="CO150" s="6"/>
      <c r="CP150" s="6"/>
      <c r="CQ150" s="6"/>
      <c r="CR150" s="6"/>
      <c r="CS150" s="6"/>
      <c r="CT150" s="6"/>
      <c r="CU150" s="6"/>
      <c r="CV150" s="6"/>
      <c r="CW150" s="6"/>
      <c r="CX150" s="6"/>
      <c r="CY150" s="6"/>
      <c r="CZ150" s="6"/>
      <c r="DA150" s="6"/>
      <c r="DB150" s="6"/>
      <c r="DC150" s="6"/>
      <c r="DD150" s="6"/>
      <c r="DE150" s="6"/>
      <c r="DF150" s="6"/>
      <c r="DG150" s="6"/>
      <c r="DH150" s="6"/>
    </row>
    <row r="151" spans="1:112">
      <c r="A151" s="107" t="s">
        <v>257</v>
      </c>
      <c r="B151" s="6"/>
      <c r="C151" s="6"/>
      <c r="D151" s="6"/>
      <c r="E151" s="6"/>
      <c r="F151" s="6"/>
      <c r="G151" s="6"/>
      <c r="H151" s="6"/>
      <c r="I151" s="6"/>
      <c r="J151" s="6"/>
      <c r="K151" s="6"/>
      <c r="L151" s="6"/>
      <c r="M151" s="6"/>
      <c r="N151" s="6"/>
      <c r="O151" s="6"/>
      <c r="P151" s="6"/>
      <c r="Q151" s="6"/>
      <c r="R151" s="6"/>
      <c r="S151" s="6"/>
      <c r="T151" s="6"/>
      <c r="U151" s="877">
        <f>U145/T145-1</f>
        <v>1.0833408038296355E-2</v>
      </c>
      <c r="V151" s="877">
        <f t="shared" ref="V151:AA151" si="208">V145/U145-1</f>
        <v>1.2245546639524818E-2</v>
      </c>
      <c r="W151" s="877">
        <f t="shared" si="208"/>
        <v>5.627883771501585E-3</v>
      </c>
      <c r="X151" s="877">
        <f t="shared" si="208"/>
        <v>-3.0685434564715841E-2</v>
      </c>
      <c r="Y151" s="877">
        <f t="shared" si="208"/>
        <v>1.714018731687772E-2</v>
      </c>
      <c r="Z151" s="877">
        <f t="shared" si="208"/>
        <v>2.6796346101066737E-2</v>
      </c>
      <c r="AA151" s="877">
        <f t="shared" si="208"/>
        <v>1.4922747589638519E-3</v>
      </c>
      <c r="AB151" s="2866">
        <f>AB145/AA145-1</f>
        <v>2.810183933434951E-2</v>
      </c>
      <c r="AC151" s="2866">
        <f>AC145/AB145-1</f>
        <v>4.302070094530297E-2</v>
      </c>
      <c r="AD151" s="2866">
        <f>AD145/AC145-1</f>
        <v>4.3736154188602772E-2</v>
      </c>
      <c r="AE151" s="2897">
        <v>4.7500000000000001E-2</v>
      </c>
      <c r="AF151" s="2897">
        <f>MAX(AE151-0.003, 2%)</f>
        <v>4.4499999999999998E-2</v>
      </c>
      <c r="AG151" s="2897">
        <f t="shared" ref="AG151:AN151" si="209">MAX(AF151-0.001, 2%)</f>
        <v>4.3499999999999997E-2</v>
      </c>
      <c r="AH151" s="2897">
        <f t="shared" si="209"/>
        <v>4.2499999999999996E-2</v>
      </c>
      <c r="AI151" s="2897">
        <f t="shared" si="209"/>
        <v>4.1499999999999995E-2</v>
      </c>
      <c r="AJ151" s="2897">
        <f t="shared" si="209"/>
        <v>4.0499999999999994E-2</v>
      </c>
      <c r="AK151" s="2897">
        <f t="shared" si="209"/>
        <v>3.9499999999999993E-2</v>
      </c>
      <c r="AL151" s="2897">
        <f t="shared" si="209"/>
        <v>3.8499999999999993E-2</v>
      </c>
      <c r="AM151" s="2897">
        <f t="shared" si="209"/>
        <v>3.7499999999999992E-2</v>
      </c>
      <c r="AN151" s="1482">
        <f t="shared" si="209"/>
        <v>3.6499999999999991E-2</v>
      </c>
      <c r="AO151" s="6"/>
      <c r="AP151" s="6"/>
      <c r="AQ151" s="6"/>
      <c r="AR151" s="6"/>
      <c r="AS151" s="6"/>
      <c r="AT151" s="6"/>
      <c r="AU151" s="6"/>
      <c r="AV151" s="6"/>
      <c r="AW151" s="6"/>
      <c r="AX151" s="6"/>
      <c r="AY151" s="6"/>
      <c r="AZ151" s="6"/>
      <c r="BA151" s="6"/>
      <c r="BB151" s="6"/>
      <c r="BC151" s="6"/>
      <c r="BD151" s="6"/>
      <c r="BE151" s="6"/>
      <c r="BF151" s="6"/>
      <c r="BG151" s="6"/>
      <c r="BH151" s="6"/>
      <c r="BI151" s="6"/>
      <c r="BJ151" s="6"/>
      <c r="BK151" s="6"/>
      <c r="BL151" s="6"/>
      <c r="BM151" s="6"/>
      <c r="BN151" s="6"/>
      <c r="BO151" s="6"/>
      <c r="BP151" s="6"/>
      <c r="BQ151" s="6"/>
      <c r="BR151" s="6"/>
      <c r="BS151" s="6"/>
      <c r="BT151" s="254"/>
      <c r="BU151" s="6"/>
      <c r="BV151" s="6"/>
      <c r="BW151" s="6"/>
      <c r="BX151" s="6"/>
      <c r="BY151" s="254"/>
      <c r="BZ151" s="6"/>
      <c r="CA151" s="6"/>
      <c r="CB151" s="6"/>
      <c r="CC151" s="6"/>
      <c r="CD151" s="6"/>
      <c r="CE151" s="6"/>
      <c r="CF151" s="6"/>
      <c r="CG151" s="6"/>
      <c r="CH151" s="6"/>
      <c r="CI151" s="6"/>
      <c r="CJ151" s="6"/>
      <c r="CK151" s="6"/>
      <c r="CL151" s="6"/>
      <c r="CM151" s="6"/>
      <c r="CN151" s="254"/>
      <c r="CO151" s="6"/>
      <c r="CP151" s="6"/>
      <c r="CQ151" s="6"/>
      <c r="CR151" s="6"/>
      <c r="CS151" s="6"/>
      <c r="CT151" s="6"/>
      <c r="CU151" s="6"/>
      <c r="CV151" s="6"/>
      <c r="CW151" s="6"/>
      <c r="CX151" s="6"/>
      <c r="CY151" s="6"/>
      <c r="CZ151" s="6"/>
      <c r="DA151" s="6"/>
      <c r="DB151" s="6"/>
      <c r="DC151" s="6"/>
      <c r="DD151" s="6"/>
      <c r="DE151" s="6"/>
      <c r="DF151" s="6"/>
      <c r="DG151" s="6"/>
      <c r="DH151" s="6"/>
    </row>
    <row r="152" spans="1:112">
      <c r="A152" s="107" t="s">
        <v>1247</v>
      </c>
      <c r="B152" s="6"/>
      <c r="C152" s="6"/>
      <c r="D152" s="6"/>
      <c r="E152" s="6"/>
      <c r="F152" s="6"/>
      <c r="G152" s="6"/>
      <c r="H152" s="6"/>
      <c r="I152" s="6"/>
      <c r="J152" s="6"/>
      <c r="K152" s="6"/>
      <c r="L152" s="6"/>
      <c r="M152" s="6"/>
      <c r="N152" s="6"/>
      <c r="O152" s="6"/>
      <c r="P152" s="6"/>
      <c r="Q152" s="6"/>
      <c r="R152" s="6"/>
      <c r="S152" s="6"/>
      <c r="T152" s="6"/>
      <c r="U152" s="130">
        <v>-0.03</v>
      </c>
      <c r="V152" s="130">
        <v>0.03</v>
      </c>
      <c r="W152" s="130">
        <v>-3.3000000000000002E-2</v>
      </c>
      <c r="X152" s="130">
        <v>-5.0000000000000001E-3</v>
      </c>
      <c r="Y152" s="130">
        <v>1.4999999999999999E-2</v>
      </c>
      <c r="Z152" s="130">
        <v>1.4999999999999999E-2</v>
      </c>
      <c r="AA152" s="130">
        <v>-5.0000000000000001E-3</v>
      </c>
      <c r="AB152" s="2897">
        <v>5.0000000000000001E-3</v>
      </c>
      <c r="AC152" s="2897">
        <v>0.01</v>
      </c>
      <c r="AD152" s="2897">
        <v>0.01</v>
      </c>
      <c r="AE152" s="2897">
        <v>0.01</v>
      </c>
      <c r="AF152" s="2897">
        <v>0.01</v>
      </c>
      <c r="AG152" s="2897">
        <v>0.01</v>
      </c>
      <c r="AH152" s="2897">
        <v>0.01</v>
      </c>
      <c r="AI152" s="2897">
        <v>0.01</v>
      </c>
      <c r="AJ152" s="2897">
        <v>0.01</v>
      </c>
      <c r="AK152" s="2897">
        <v>0.01</v>
      </c>
      <c r="AL152" s="2897">
        <v>0.01</v>
      </c>
      <c r="AM152" s="2897">
        <v>0.01</v>
      </c>
      <c r="AN152" s="1482">
        <v>0.01</v>
      </c>
      <c r="AO152" s="6"/>
      <c r="AP152" s="6"/>
      <c r="AQ152" s="6"/>
      <c r="AR152" s="6"/>
      <c r="AS152" s="6"/>
      <c r="AT152" s="6"/>
      <c r="AU152" s="6"/>
      <c r="AV152" s="6"/>
      <c r="AW152" s="6"/>
      <c r="AX152" s="6"/>
      <c r="AY152" s="6"/>
      <c r="AZ152" s="6"/>
      <c r="BA152" s="6"/>
      <c r="BB152" s="6"/>
      <c r="BC152" s="6"/>
      <c r="BD152" s="6"/>
      <c r="BE152" s="6"/>
      <c r="BF152" s="6"/>
      <c r="BG152" s="6"/>
      <c r="BH152" s="6"/>
      <c r="BI152" s="6"/>
      <c r="BJ152" s="6"/>
      <c r="BK152" s="6"/>
      <c r="BL152" s="6"/>
      <c r="BM152" s="6"/>
      <c r="BN152" s="6"/>
      <c r="BO152" s="6"/>
      <c r="BP152" s="6"/>
      <c r="BQ152" s="6"/>
      <c r="BR152" s="6"/>
      <c r="BS152" s="6"/>
      <c r="BT152" s="254"/>
      <c r="BU152" s="6"/>
      <c r="BV152" s="6"/>
      <c r="BW152" s="6"/>
      <c r="BX152" s="6"/>
      <c r="BY152" s="254"/>
      <c r="BZ152" s="6"/>
      <c r="CA152" s="6"/>
      <c r="CB152" s="6"/>
      <c r="CC152" s="6"/>
      <c r="CD152" s="6"/>
      <c r="CE152" s="6"/>
      <c r="CF152" s="6"/>
      <c r="CG152" s="6"/>
      <c r="CH152" s="6"/>
      <c r="CI152" s="6"/>
      <c r="CJ152" s="6"/>
      <c r="CK152" s="6"/>
      <c r="CL152" s="6"/>
      <c r="CM152" s="6"/>
      <c r="CN152" s="254"/>
      <c r="CO152" s="6"/>
      <c r="CP152" s="6"/>
      <c r="CQ152" s="6"/>
      <c r="CR152" s="6"/>
      <c r="CS152" s="6"/>
      <c r="CT152" s="6"/>
      <c r="CU152" s="6"/>
      <c r="CV152" s="6"/>
      <c r="CW152" s="6"/>
      <c r="CX152" s="6"/>
      <c r="CY152" s="6"/>
      <c r="CZ152" s="6"/>
      <c r="DA152" s="6"/>
      <c r="DB152" s="6"/>
      <c r="DC152" s="6"/>
      <c r="DD152" s="6"/>
      <c r="DE152" s="6"/>
      <c r="DF152" s="6"/>
      <c r="DG152" s="6"/>
      <c r="DH152" s="6"/>
    </row>
    <row r="153" spans="1:112">
      <c r="A153" s="107" t="s">
        <v>1248</v>
      </c>
      <c r="B153" s="6"/>
      <c r="C153" s="6"/>
      <c r="D153" s="6"/>
      <c r="E153" s="6"/>
      <c r="F153" s="6"/>
      <c r="G153" s="6"/>
      <c r="H153" s="6"/>
      <c r="I153" s="6"/>
      <c r="J153" s="6"/>
      <c r="K153" s="6"/>
      <c r="L153" s="6"/>
      <c r="M153" s="6"/>
      <c r="N153" s="6"/>
      <c r="O153" s="6"/>
      <c r="P153" s="6"/>
      <c r="Q153" s="6"/>
      <c r="R153" s="6"/>
      <c r="S153" s="6"/>
      <c r="T153" s="6"/>
      <c r="U153" s="130">
        <v>-0.03</v>
      </c>
      <c r="V153" s="130">
        <v>0.03</v>
      </c>
      <c r="W153" s="130">
        <v>-3.3000000000000002E-2</v>
      </c>
      <c r="X153" s="130">
        <v>-5.0000000000000001E-3</v>
      </c>
      <c r="Y153" s="130">
        <v>1.4999999999999999E-2</v>
      </c>
      <c r="Z153" s="130">
        <v>1.4999999999999999E-2</v>
      </c>
      <c r="AA153" s="130">
        <v>-5.0000000000000001E-3</v>
      </c>
      <c r="AB153" s="2897">
        <v>5.0000000000000001E-3</v>
      </c>
      <c r="AC153" s="2897">
        <v>0.01</v>
      </c>
      <c r="AD153" s="2897">
        <v>0.01</v>
      </c>
      <c r="AE153" s="2897">
        <v>0.01</v>
      </c>
      <c r="AF153" s="2897">
        <v>0.01</v>
      </c>
      <c r="AG153" s="2897">
        <v>0.01</v>
      </c>
      <c r="AH153" s="2897">
        <v>0.01</v>
      </c>
      <c r="AI153" s="2897">
        <v>0.01</v>
      </c>
      <c r="AJ153" s="2897">
        <v>0.01</v>
      </c>
      <c r="AK153" s="2897">
        <v>0.01</v>
      </c>
      <c r="AL153" s="2897">
        <v>0.01</v>
      </c>
      <c r="AM153" s="2897">
        <v>0.01</v>
      </c>
      <c r="AN153" s="130">
        <v>0.01</v>
      </c>
      <c r="AO153" s="6"/>
      <c r="AP153" s="6"/>
      <c r="AQ153" s="6"/>
      <c r="AR153" s="6"/>
      <c r="AS153" s="6"/>
      <c r="AT153" s="6"/>
      <c r="AU153" s="6"/>
      <c r="AV153" s="6"/>
      <c r="AW153" s="6"/>
      <c r="AX153" s="6"/>
      <c r="AY153" s="6"/>
      <c r="AZ153" s="6"/>
      <c r="BA153" s="6"/>
      <c r="BB153" s="6"/>
      <c r="BC153" s="6"/>
      <c r="BD153" s="6"/>
      <c r="BE153" s="6"/>
      <c r="BF153" s="6"/>
      <c r="BG153" s="6"/>
      <c r="BH153" s="6"/>
      <c r="BI153" s="6"/>
      <c r="BJ153" s="6"/>
      <c r="BK153" s="6"/>
      <c r="BL153" s="6"/>
      <c r="BM153" s="6"/>
      <c r="BN153" s="6"/>
      <c r="BO153" s="6"/>
      <c r="BP153" s="6"/>
      <c r="BQ153" s="6"/>
      <c r="BR153" s="6"/>
      <c r="BS153" s="6"/>
      <c r="BT153" s="254"/>
      <c r="BU153" s="6"/>
      <c r="BV153" s="6"/>
      <c r="BW153" s="6"/>
      <c r="BX153" s="6"/>
      <c r="BY153" s="254"/>
      <c r="BZ153" s="6"/>
      <c r="CA153" s="6"/>
      <c r="CB153" s="6"/>
      <c r="CC153" s="6"/>
      <c r="CD153" s="6"/>
      <c r="CE153" s="6"/>
      <c r="CF153" s="6"/>
      <c r="CG153" s="6"/>
      <c r="CH153" s="6"/>
      <c r="CI153" s="6"/>
      <c r="CJ153" s="6"/>
      <c r="CK153" s="6"/>
      <c r="CL153" s="6"/>
      <c r="CM153" s="6"/>
      <c r="CN153" s="254"/>
      <c r="CO153" s="6"/>
      <c r="CP153" s="6"/>
      <c r="CQ153" s="6"/>
      <c r="CR153" s="6"/>
      <c r="CS153" s="6"/>
      <c r="CT153" s="6"/>
      <c r="CU153" s="6"/>
      <c r="CV153" s="6"/>
      <c r="CW153" s="6"/>
      <c r="CX153" s="6"/>
      <c r="CY153" s="6"/>
      <c r="CZ153" s="6"/>
      <c r="DA153" s="6"/>
      <c r="DB153" s="6"/>
      <c r="DC153" s="6"/>
      <c r="DD153" s="6"/>
      <c r="DE153" s="6"/>
      <c r="DF153" s="6"/>
      <c r="DG153" s="6"/>
      <c r="DH153" s="6"/>
    </row>
    <row r="154" spans="1:112">
      <c r="A154" s="1375" t="s">
        <v>1255</v>
      </c>
      <c r="B154" s="1376"/>
      <c r="C154" s="1376"/>
      <c r="D154" s="1376"/>
      <c r="E154" s="1376"/>
      <c r="F154" s="1376"/>
      <c r="G154" s="1376"/>
      <c r="H154" s="1376"/>
      <c r="I154" s="1376"/>
      <c r="J154" s="1376"/>
      <c r="K154" s="1376"/>
      <c r="L154" s="1376"/>
      <c r="M154" s="1376"/>
      <c r="N154" s="1376"/>
      <c r="O154" s="1376"/>
      <c r="P154" s="1376"/>
      <c r="Q154" s="1376"/>
      <c r="R154" s="1376"/>
      <c r="S154" s="1376"/>
      <c r="T154" s="1376"/>
      <c r="U154" s="463">
        <f t="shared" ref="U154:AH154" si="210">+U148/T148-1</f>
        <v>-5.7971589485962038E-2</v>
      </c>
      <c r="V154" s="463">
        <f t="shared" si="210"/>
        <v>6.0590077713472912E-2</v>
      </c>
      <c r="W154" s="463">
        <f t="shared" si="210"/>
        <v>-3.5113349434398922E-2</v>
      </c>
      <c r="X154" s="463">
        <f t="shared" si="210"/>
        <v>-9.089327674356662E-3</v>
      </c>
      <c r="Y154" s="463">
        <f>+Y148/X148-1</f>
        <v>2.4437419395391791E-2</v>
      </c>
      <c r="Z154" s="463">
        <f t="shared" si="210"/>
        <v>2.3172511917177729E-2</v>
      </c>
      <c r="AA154" s="463">
        <f>+AA148/Z148-1</f>
        <v>-8.7328809717259759E-3</v>
      </c>
      <c r="AB154" s="3553">
        <f t="shared" si="210"/>
        <v>1.6812301430432663E-2</v>
      </c>
      <c r="AC154" s="3553">
        <f t="shared" si="210"/>
        <v>3.2492476080539179E-2</v>
      </c>
      <c r="AD154" s="3553">
        <f t="shared" si="210"/>
        <v>3.6646872782611473E-2</v>
      </c>
      <c r="AE154" s="3553">
        <f t="shared" si="210"/>
        <v>4.192868047767262E-2</v>
      </c>
      <c r="AF154" s="3553">
        <f t="shared" si="210"/>
        <v>3.849504784604485E-2</v>
      </c>
      <c r="AG154" s="3553">
        <f t="shared" si="210"/>
        <v>3.7847580740902442E-2</v>
      </c>
      <c r="AH154" s="3553">
        <f t="shared" si="210"/>
        <v>3.8903604567234407E-2</v>
      </c>
      <c r="AI154" s="3553">
        <f t="shared" ref="AI154:AN154" si="211">+AI148/AH148-1</f>
        <v>3.8569303911949682E-2</v>
      </c>
      <c r="AJ154" s="3553">
        <f t="shared" si="211"/>
        <v>3.7896309789057447E-2</v>
      </c>
      <c r="AK154" s="3553">
        <f t="shared" si="211"/>
        <v>3.5971932991706757E-2</v>
      </c>
      <c r="AL154" s="3553">
        <f t="shared" si="211"/>
        <v>3.5176277483167429E-2</v>
      </c>
      <c r="AM154" s="3553">
        <f t="shared" si="211"/>
        <v>3.4369858547082854E-2</v>
      </c>
      <c r="AN154" s="463">
        <f t="shared" si="211"/>
        <v>3.3553371623363804E-2</v>
      </c>
      <c r="AO154" s="6"/>
      <c r="AP154" s="6"/>
      <c r="AQ154" s="6"/>
      <c r="AR154" s="6"/>
      <c r="AS154" s="6"/>
      <c r="AT154" s="6"/>
      <c r="AU154" s="6"/>
      <c r="AV154" s="6"/>
      <c r="AW154" s="6"/>
      <c r="AX154" s="6"/>
      <c r="AY154" s="6"/>
      <c r="AZ154" s="6"/>
      <c r="BA154" s="6"/>
      <c r="BB154" s="6"/>
      <c r="BC154" s="6"/>
      <c r="BD154" s="6"/>
      <c r="BE154" s="6"/>
      <c r="BF154" s="6"/>
      <c r="BG154" s="6"/>
      <c r="BH154" s="6"/>
      <c r="BI154" s="6"/>
      <c r="BJ154" s="6"/>
      <c r="BK154" s="6"/>
      <c r="BL154" s="6"/>
      <c r="BM154" s="6"/>
      <c r="BN154" s="6"/>
      <c r="BO154" s="6"/>
      <c r="BP154" s="6"/>
      <c r="BQ154" s="6"/>
      <c r="BR154" s="6"/>
      <c r="BS154" s="6"/>
      <c r="BT154" s="254"/>
      <c r="BU154" s="6"/>
      <c r="BV154" s="6"/>
      <c r="BW154" s="6"/>
      <c r="BX154" s="6"/>
      <c r="BY154" s="254"/>
      <c r="BZ154" s="6"/>
      <c r="CA154" s="6"/>
      <c r="CB154" s="6"/>
      <c r="CC154" s="6"/>
      <c r="CD154" s="6"/>
      <c r="CE154" s="6"/>
      <c r="CF154" s="6"/>
      <c r="CG154" s="6"/>
      <c r="CH154" s="6"/>
      <c r="CI154" s="6"/>
      <c r="CJ154" s="6"/>
      <c r="CK154" s="6"/>
      <c r="CL154" s="6"/>
      <c r="CM154" s="6"/>
      <c r="CN154" s="254"/>
      <c r="CO154" s="6"/>
      <c r="CP154" s="6"/>
      <c r="CQ154" s="6"/>
      <c r="CR154" s="6"/>
      <c r="CS154" s="6"/>
      <c r="CT154" s="6"/>
      <c r="CU154" s="6"/>
      <c r="CV154" s="6"/>
      <c r="CW154" s="6"/>
      <c r="CX154" s="6"/>
      <c r="CY154" s="6"/>
      <c r="CZ154" s="6"/>
      <c r="DA154" s="6"/>
      <c r="DB154" s="6"/>
      <c r="DC154" s="6"/>
      <c r="DD154" s="6"/>
      <c r="DE154" s="6"/>
      <c r="DF154" s="6"/>
      <c r="DG154" s="6"/>
      <c r="DH154" s="6"/>
    </row>
    <row r="155" spans="1:112">
      <c r="A155" s="107"/>
      <c r="B155" s="6"/>
      <c r="C155" s="6"/>
      <c r="D155" s="6"/>
      <c r="E155" s="6"/>
      <c r="F155" s="6"/>
      <c r="G155" s="6"/>
      <c r="H155" s="6"/>
      <c r="I155" s="6"/>
      <c r="J155" s="6"/>
      <c r="K155" s="6"/>
      <c r="L155" s="6"/>
      <c r="M155" s="6"/>
      <c r="N155" s="6"/>
      <c r="O155" s="6"/>
      <c r="P155" s="6"/>
      <c r="Q155" s="6"/>
      <c r="R155" s="6"/>
      <c r="S155" s="6"/>
      <c r="T155" s="6"/>
      <c r="U155" s="6"/>
      <c r="V155" s="6"/>
      <c r="W155" s="6"/>
      <c r="X155" s="6"/>
      <c r="Y155" s="6"/>
      <c r="Z155" s="6"/>
      <c r="AA155" s="6"/>
      <c r="AB155" s="2862"/>
      <c r="AC155" s="2862"/>
      <c r="AD155" s="2862"/>
      <c r="AE155" s="2862"/>
      <c r="AF155" s="2862"/>
      <c r="AG155" s="2862"/>
      <c r="AH155" s="2862"/>
      <c r="AI155" s="2862"/>
      <c r="AJ155" s="2862"/>
      <c r="AK155" s="2862"/>
      <c r="AL155" s="2862"/>
      <c r="AM155" s="2862"/>
      <c r="AN155" s="6"/>
      <c r="AO155" s="6"/>
      <c r="AP155" s="6"/>
      <c r="AQ155" s="6"/>
      <c r="AR155" s="6"/>
      <c r="AS155" s="6"/>
      <c r="AT155" s="6"/>
      <c r="AU155" s="6"/>
      <c r="AV155" s="6"/>
      <c r="AW155" s="6"/>
      <c r="AX155" s="6"/>
      <c r="AY155" s="6"/>
      <c r="AZ155" s="6"/>
      <c r="BA155" s="6"/>
      <c r="BB155" s="6"/>
      <c r="BC155" s="6"/>
      <c r="BD155" s="6"/>
      <c r="BE155" s="6"/>
      <c r="BF155" s="6"/>
      <c r="BG155" s="6"/>
      <c r="BH155" s="6"/>
      <c r="BI155" s="6"/>
      <c r="BJ155" s="6"/>
      <c r="BK155" s="6"/>
      <c r="BL155" s="6"/>
      <c r="BM155" s="6"/>
      <c r="BN155" s="6"/>
      <c r="BO155" s="6"/>
      <c r="BP155" s="6"/>
      <c r="BQ155" s="6"/>
      <c r="BR155" s="6"/>
      <c r="BS155" s="6"/>
      <c r="BT155" s="254"/>
      <c r="BU155" s="6"/>
      <c r="BV155" s="6"/>
      <c r="BW155" s="6"/>
      <c r="BX155" s="6"/>
      <c r="BY155" s="254"/>
      <c r="BZ155" s="6"/>
      <c r="CA155" s="6"/>
      <c r="CB155" s="6"/>
      <c r="CC155" s="6"/>
      <c r="CD155" s="6"/>
      <c r="CE155" s="6"/>
      <c r="CF155" s="6"/>
      <c r="CG155" s="6"/>
      <c r="CH155" s="6"/>
      <c r="CI155" s="6"/>
      <c r="CJ155" s="6"/>
      <c r="CK155" s="6"/>
      <c r="CL155" s="6"/>
      <c r="CM155" s="6"/>
      <c r="CN155" s="254"/>
      <c r="CO155" s="6"/>
      <c r="CP155" s="6"/>
      <c r="CQ155" s="6"/>
      <c r="CR155" s="6"/>
      <c r="CS155" s="6"/>
      <c r="CT155" s="6"/>
      <c r="CU155" s="6"/>
      <c r="CV155" s="6"/>
      <c r="CW155" s="6"/>
      <c r="CX155" s="6"/>
      <c r="CY155" s="6"/>
      <c r="CZ155" s="6"/>
      <c r="DA155" s="6"/>
      <c r="DB155" s="6"/>
      <c r="DC155" s="6"/>
      <c r="DD155" s="6"/>
      <c r="DE155" s="6"/>
      <c r="DF155" s="6"/>
      <c r="DG155" s="6"/>
      <c r="DH155" s="6"/>
    </row>
    <row r="156" spans="1:112">
      <c r="A156" s="762" t="s">
        <v>1558</v>
      </c>
      <c r="B156" s="6"/>
      <c r="C156" s="6"/>
      <c r="D156" s="6"/>
      <c r="E156" s="6"/>
      <c r="F156" s="6"/>
      <c r="G156" s="6"/>
      <c r="H156" s="6"/>
      <c r="I156" s="6"/>
      <c r="J156" s="6"/>
      <c r="K156" s="6"/>
      <c r="L156" s="6"/>
      <c r="M156" s="6"/>
      <c r="N156" s="6"/>
      <c r="O156" s="6"/>
      <c r="P156" s="6"/>
      <c r="Q156" s="6"/>
      <c r="R156" s="6"/>
      <c r="S156" s="6"/>
      <c r="T156" s="6"/>
      <c r="U156" s="6"/>
      <c r="V156" s="6"/>
      <c r="W156" s="6"/>
      <c r="X156" s="2097">
        <f t="shared" ref="X156:AN156" si="212">X6</f>
        <v>2012</v>
      </c>
      <c r="Y156" s="2097">
        <f t="shared" si="212"/>
        <v>2013</v>
      </c>
      <c r="Z156" s="2097">
        <f t="shared" si="212"/>
        <v>2014</v>
      </c>
      <c r="AA156" s="2097">
        <f t="shared" si="212"/>
        <v>2015</v>
      </c>
      <c r="AB156" s="3554">
        <f t="shared" si="212"/>
        <v>2016</v>
      </c>
      <c r="AC156" s="3554" t="str">
        <f t="shared" si="212"/>
        <v>2017E</v>
      </c>
      <c r="AD156" s="3554" t="str">
        <f t="shared" si="212"/>
        <v>2018E</v>
      </c>
      <c r="AE156" s="3554" t="str">
        <f t="shared" si="212"/>
        <v>2019E</v>
      </c>
      <c r="AF156" s="3554" t="str">
        <f t="shared" si="212"/>
        <v>2020E</v>
      </c>
      <c r="AG156" s="3554" t="str">
        <f t="shared" si="212"/>
        <v>2021E</v>
      </c>
      <c r="AH156" s="3554" t="str">
        <f t="shared" si="212"/>
        <v>2022E</v>
      </c>
      <c r="AI156" s="3554" t="str">
        <f t="shared" si="212"/>
        <v>2023E</v>
      </c>
      <c r="AJ156" s="3554" t="str">
        <f t="shared" si="212"/>
        <v>2024E</v>
      </c>
      <c r="AK156" s="3554" t="str">
        <f t="shared" si="212"/>
        <v>2025E</v>
      </c>
      <c r="AL156" s="3554" t="str">
        <f t="shared" si="212"/>
        <v>2026E</v>
      </c>
      <c r="AM156" s="3554" t="str">
        <f t="shared" si="212"/>
        <v>2027E</v>
      </c>
      <c r="AN156" s="2097" t="str">
        <f t="shared" si="212"/>
        <v>2028E</v>
      </c>
      <c r="AO156" s="6"/>
      <c r="AP156" s="6"/>
      <c r="AQ156" s="6"/>
      <c r="AR156" s="6"/>
      <c r="AS156" s="6"/>
      <c r="AT156" s="6"/>
      <c r="AU156" s="6"/>
      <c r="AV156" s="6"/>
      <c r="AW156" s="6"/>
      <c r="AX156" s="6"/>
      <c r="AY156" s="6"/>
      <c r="AZ156" s="6"/>
      <c r="BA156" s="6"/>
      <c r="BB156" s="6"/>
      <c r="BC156" s="6"/>
      <c r="BD156" s="6"/>
      <c r="BE156" s="6"/>
      <c r="BF156" s="6"/>
      <c r="BG156" s="6"/>
      <c r="BH156" s="6"/>
      <c r="BI156" s="6"/>
      <c r="BJ156" s="6"/>
      <c r="BK156" s="6"/>
      <c r="BL156" s="6"/>
      <c r="BM156" s="6"/>
      <c r="BN156" s="6"/>
      <c r="BO156" s="6"/>
      <c r="BP156" s="6"/>
      <c r="BQ156" s="6"/>
      <c r="BR156" s="6"/>
      <c r="BS156" s="6"/>
      <c r="BT156" s="254"/>
      <c r="BU156" s="6"/>
      <c r="BV156" s="6"/>
      <c r="BW156" s="6"/>
      <c r="BX156" s="6"/>
      <c r="BY156" s="254"/>
      <c r="BZ156" s="6"/>
      <c r="CA156" s="6"/>
      <c r="CB156" s="6"/>
      <c r="CC156" s="6"/>
      <c r="CD156" s="6"/>
      <c r="CE156" s="6"/>
      <c r="CF156" s="6"/>
      <c r="CG156" s="6"/>
      <c r="CH156" s="6"/>
      <c r="CI156" s="6"/>
      <c r="CJ156" s="6"/>
      <c r="CK156" s="6"/>
      <c r="CL156" s="6"/>
      <c r="CM156" s="6"/>
      <c r="CN156" s="254"/>
      <c r="CO156" s="6"/>
      <c r="CP156" s="6"/>
      <c r="CQ156" s="6"/>
      <c r="CR156" s="6"/>
      <c r="CS156" s="6"/>
      <c r="CT156" s="6"/>
      <c r="CU156" s="6"/>
      <c r="CV156" s="6"/>
      <c r="CW156" s="6"/>
      <c r="CX156" s="6"/>
      <c r="CY156" s="6"/>
      <c r="CZ156" s="6"/>
      <c r="DA156" s="6"/>
      <c r="DB156" s="6"/>
      <c r="DC156" s="6"/>
      <c r="DD156" s="6"/>
      <c r="DE156" s="6"/>
      <c r="DF156" s="6"/>
      <c r="DG156" s="6"/>
      <c r="DH156" s="6"/>
    </row>
    <row r="157" spans="1:112">
      <c r="A157" s="762" t="s">
        <v>909</v>
      </c>
      <c r="B157" s="6"/>
      <c r="C157" s="6"/>
      <c r="D157" s="6"/>
      <c r="E157" s="6"/>
      <c r="F157" s="6"/>
      <c r="G157" s="6"/>
      <c r="H157" s="6"/>
      <c r="I157" s="6"/>
      <c r="J157" s="6"/>
      <c r="K157" s="6"/>
      <c r="L157" s="6"/>
      <c r="M157" s="6"/>
      <c r="N157" s="6"/>
      <c r="O157" s="6"/>
      <c r="P157" s="6"/>
      <c r="Q157" s="6"/>
      <c r="R157" s="6"/>
      <c r="S157" s="6"/>
      <c r="T157" s="6"/>
      <c r="U157" s="6"/>
      <c r="V157" s="6"/>
      <c r="W157" s="6"/>
      <c r="X157" s="2097"/>
      <c r="Y157" s="2097"/>
      <c r="Z157" s="2097"/>
      <c r="AA157" s="2097"/>
      <c r="AB157" s="3554"/>
      <c r="AC157" s="3554"/>
      <c r="AD157" s="3554"/>
      <c r="AE157" s="3554"/>
      <c r="AF157" s="3554"/>
      <c r="AG157" s="3554"/>
      <c r="AH157" s="3554"/>
      <c r="AI157" s="3554"/>
      <c r="AJ157" s="3554"/>
      <c r="AK157" s="3554"/>
      <c r="AL157" s="3554"/>
      <c r="AM157" s="3554"/>
      <c r="AN157" s="2097"/>
      <c r="AO157" s="6"/>
      <c r="AP157" s="6"/>
      <c r="AQ157" s="6"/>
      <c r="AR157" s="6"/>
      <c r="AS157" s="6"/>
      <c r="AT157" s="6"/>
      <c r="AU157" s="6"/>
      <c r="AV157" s="6"/>
      <c r="AW157" s="6"/>
      <c r="AX157" s="6"/>
      <c r="AY157" s="6"/>
      <c r="AZ157" s="6"/>
      <c r="BA157" s="6"/>
      <c r="BB157" s="6"/>
      <c r="BC157" s="6"/>
      <c r="BD157" s="6"/>
      <c r="BE157" s="6"/>
      <c r="BF157" s="6"/>
      <c r="BG157" s="6"/>
      <c r="BH157" s="6"/>
      <c r="BI157" s="6"/>
      <c r="BJ157" s="6"/>
      <c r="BK157" s="6"/>
      <c r="BL157" s="6"/>
      <c r="BM157" s="6"/>
      <c r="BN157" s="6"/>
      <c r="BO157" s="6"/>
      <c r="BP157" s="6"/>
      <c r="BQ157" s="6"/>
      <c r="BR157" s="6"/>
      <c r="BS157" s="6"/>
      <c r="BT157" s="254"/>
      <c r="BU157" s="6"/>
      <c r="BV157" s="6"/>
      <c r="BW157" s="6"/>
      <c r="BX157" s="6"/>
      <c r="BY157" s="254"/>
      <c r="BZ157" s="6"/>
      <c r="CA157" s="6"/>
      <c r="CB157" s="6"/>
      <c r="CC157" s="6"/>
      <c r="CD157" s="6"/>
      <c r="CE157" s="6"/>
      <c r="CF157" s="6"/>
      <c r="CG157" s="6"/>
      <c r="CH157" s="6"/>
      <c r="CI157" s="6"/>
      <c r="CJ157" s="6"/>
      <c r="CK157" s="6"/>
      <c r="CL157" s="6"/>
      <c r="CM157" s="6"/>
      <c r="CN157" s="254"/>
      <c r="CO157" s="6"/>
      <c r="CP157" s="6"/>
      <c r="CQ157" s="6"/>
      <c r="CR157" s="6"/>
      <c r="CS157" s="6"/>
      <c r="CT157" s="6"/>
      <c r="CU157" s="6"/>
      <c r="CV157" s="6"/>
      <c r="CW157" s="6"/>
      <c r="CX157" s="6"/>
      <c r="CY157" s="6"/>
      <c r="CZ157" s="6"/>
      <c r="DA157" s="6"/>
      <c r="DB157" s="6"/>
      <c r="DC157" s="6"/>
      <c r="DD157" s="6"/>
      <c r="DE157" s="6"/>
      <c r="DF157" s="6"/>
      <c r="DG157" s="6"/>
      <c r="DH157" s="6"/>
    </row>
    <row r="158" spans="1:112" s="875" customFormat="1">
      <c r="A158" s="762" t="s">
        <v>1583</v>
      </c>
      <c r="B158" s="36"/>
      <c r="C158" s="36"/>
      <c r="D158" s="36"/>
      <c r="E158" s="36"/>
      <c r="F158" s="36"/>
      <c r="G158" s="36"/>
      <c r="H158" s="36"/>
      <c r="I158" s="36"/>
      <c r="J158" s="36"/>
      <c r="K158" s="36"/>
      <c r="L158" s="36"/>
      <c r="M158" s="36"/>
      <c r="N158" s="36"/>
      <c r="O158" s="36"/>
      <c r="P158" s="36"/>
      <c r="Q158" s="36"/>
      <c r="R158" s="36"/>
      <c r="S158" s="36"/>
      <c r="T158" s="36"/>
      <c r="U158" s="36"/>
      <c r="V158" s="36"/>
      <c r="W158" s="36"/>
      <c r="X158" s="2094">
        <f>Retrans!D68</f>
        <v>97.736457427763696</v>
      </c>
      <c r="Y158" s="2094">
        <f>Retrans!E68</f>
        <v>97.60156757801812</v>
      </c>
      <c r="Z158" s="2094">
        <f>Retrans!F68</f>
        <v>97.68779673377162</v>
      </c>
      <c r="AA158" s="3250">
        <f>Retrans!G68</f>
        <v>97.258345740635662</v>
      </c>
      <c r="AB158" s="3250">
        <f>Retrans!H68</f>
        <v>96.677945699893343</v>
      </c>
      <c r="AC158" s="3250">
        <f>Retrans!I68</f>
        <v>95.654801100739903</v>
      </c>
      <c r="AD158" s="3250">
        <f>Retrans!J68</f>
        <v>96.01679389922235</v>
      </c>
      <c r="AE158" s="3250">
        <f>Retrans!K68</f>
        <v>96.211310923622861</v>
      </c>
      <c r="AF158" s="3250">
        <f>Retrans!L68</f>
        <v>97.083728159338989</v>
      </c>
      <c r="AG158" s="3250">
        <f>Retrans!M68</f>
        <v>97.811420680911098</v>
      </c>
      <c r="AH158" s="3250">
        <f>Retrans!N68</f>
        <v>98.26005861725163</v>
      </c>
      <c r="AI158" s="3250">
        <f>Retrans!O68</f>
        <v>98.564406597070786</v>
      </c>
      <c r="AJ158" s="3250">
        <f>Retrans!P68</f>
        <v>98.789179566718104</v>
      </c>
      <c r="AK158" s="3250">
        <f>Retrans!Q68</f>
        <v>98.931157828592546</v>
      </c>
      <c r="AL158" s="3250">
        <f>Retrans!R68</f>
        <v>99.14907410908377</v>
      </c>
      <c r="AM158" s="3250">
        <f>Retrans!S68</f>
        <v>99.334729200945773</v>
      </c>
      <c r="AN158" s="2094">
        <f>Retrans!T68</f>
        <v>99.599719488152644</v>
      </c>
      <c r="AO158" s="36"/>
      <c r="AP158" s="36"/>
      <c r="AQ158" s="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c r="BT158" s="2070"/>
      <c r="BU158" s="36"/>
      <c r="BV158" s="36"/>
      <c r="BW158" s="36"/>
      <c r="BX158" s="36"/>
      <c r="BY158" s="2070"/>
      <c r="BZ158" s="36"/>
      <c r="CA158" s="36"/>
      <c r="CB158" s="36"/>
      <c r="CC158" s="36"/>
      <c r="CD158" s="36"/>
      <c r="CE158" s="36"/>
      <c r="CF158" s="36"/>
      <c r="CG158" s="36"/>
      <c r="CH158" s="36"/>
      <c r="CI158" s="36"/>
      <c r="CJ158" s="36"/>
      <c r="CK158" s="36"/>
      <c r="CL158" s="36"/>
      <c r="CM158" s="36"/>
      <c r="CN158" s="2070"/>
      <c r="CO158" s="36"/>
      <c r="CP158" s="36"/>
      <c r="CQ158" s="36"/>
      <c r="CR158" s="36"/>
      <c r="CS158" s="36"/>
      <c r="CT158" s="36"/>
      <c r="CU158" s="36"/>
      <c r="CV158" s="36"/>
      <c r="CW158" s="36"/>
      <c r="CX158" s="36"/>
      <c r="CY158" s="36"/>
      <c r="CZ158" s="36"/>
      <c r="DA158" s="36"/>
      <c r="DB158" s="36"/>
      <c r="DC158" s="36"/>
      <c r="DD158" s="36"/>
      <c r="DE158" s="36"/>
      <c r="DF158" s="36"/>
      <c r="DG158" s="36"/>
      <c r="DH158" s="36"/>
    </row>
    <row r="159" spans="1:112">
      <c r="A159" s="2064" t="s">
        <v>1584</v>
      </c>
      <c r="B159" s="6"/>
      <c r="C159" s="6"/>
      <c r="D159" s="6"/>
      <c r="E159" s="6"/>
      <c r="F159" s="6"/>
      <c r="G159" s="6"/>
      <c r="H159" s="6"/>
      <c r="I159" s="6"/>
      <c r="J159" s="6"/>
      <c r="K159" s="6"/>
      <c r="L159" s="6"/>
      <c r="M159" s="6"/>
      <c r="N159" s="6"/>
      <c r="O159" s="6"/>
      <c r="P159" s="6"/>
      <c r="Q159" s="6"/>
      <c r="R159" s="6"/>
      <c r="S159" s="6"/>
      <c r="T159" s="6"/>
      <c r="U159" s="6"/>
      <c r="V159" s="6"/>
      <c r="W159" s="6"/>
      <c r="X159" s="145">
        <f>X121</f>
        <v>22</v>
      </c>
      <c r="Y159" s="145">
        <f t="shared" ref="Y159:AK159" si="213">Y121</f>
        <v>22.66</v>
      </c>
      <c r="Z159" s="145">
        <f t="shared" si="213"/>
        <v>23.113199999999999</v>
      </c>
      <c r="AA159" s="3097">
        <f t="shared" si="213"/>
        <v>23.8</v>
      </c>
      <c r="AB159" s="3097">
        <f t="shared" si="213"/>
        <v>24.514000000000003</v>
      </c>
      <c r="AC159" s="3097">
        <f t="shared" si="213"/>
        <v>25.004280000000005</v>
      </c>
      <c r="AD159" s="3097">
        <f t="shared" si="213"/>
        <v>25.316833500000005</v>
      </c>
      <c r="AE159" s="3097">
        <f t="shared" si="213"/>
        <v>25.570001835000006</v>
      </c>
      <c r="AF159" s="3097">
        <f t="shared" si="213"/>
        <v>25.825701853350008</v>
      </c>
      <c r="AG159" s="3097">
        <f t="shared" si="213"/>
        <v>26.083958871883507</v>
      </c>
      <c r="AH159" s="3097">
        <f t="shared" si="213"/>
        <v>26.266546583986688</v>
      </c>
      <c r="AI159" s="3097">
        <f t="shared" si="213"/>
        <v>26.371612770322635</v>
      </c>
      <c r="AJ159" s="3097">
        <f t="shared" si="213"/>
        <v>26.411170189478121</v>
      </c>
      <c r="AK159" s="3097">
        <f t="shared" si="213"/>
        <v>26.450786944762338</v>
      </c>
      <c r="AL159" s="3097">
        <f>AL121</f>
        <v>26.490463125179485</v>
      </c>
      <c r="AM159" s="3097">
        <f>AM121</f>
        <v>26.530198819867255</v>
      </c>
      <c r="AN159" s="145">
        <f>AN121</f>
        <v>26.569994118097057</v>
      </c>
      <c r="AO159" s="6"/>
      <c r="AP159" s="6"/>
      <c r="AQ159" s="6"/>
      <c r="AR159" s="6"/>
      <c r="AS159" s="6"/>
      <c r="AT159" s="6"/>
      <c r="AU159" s="6"/>
      <c r="AV159" s="6"/>
      <c r="AW159" s="6"/>
      <c r="AX159" s="6"/>
      <c r="AY159" s="6"/>
      <c r="AZ159" s="6"/>
      <c r="BA159" s="6"/>
      <c r="BB159" s="6"/>
      <c r="BC159" s="6"/>
      <c r="BD159" s="6"/>
      <c r="BE159" s="6"/>
      <c r="BF159" s="6"/>
      <c r="BG159" s="6"/>
      <c r="BH159" s="6"/>
      <c r="BI159" s="6"/>
      <c r="BJ159" s="6"/>
      <c r="BK159" s="6"/>
      <c r="BL159" s="6"/>
      <c r="BM159" s="6"/>
      <c r="BN159" s="6"/>
      <c r="BO159" s="6"/>
      <c r="BP159" s="6"/>
      <c r="BQ159" s="6"/>
      <c r="BR159" s="6"/>
      <c r="BS159" s="6"/>
      <c r="BT159" s="254"/>
      <c r="BU159" s="6"/>
      <c r="BV159" s="6"/>
      <c r="BW159" s="6"/>
      <c r="BX159" s="6"/>
      <c r="BY159" s="254"/>
      <c r="BZ159" s="6"/>
      <c r="CA159" s="6"/>
      <c r="CB159" s="6"/>
      <c r="CC159" s="6"/>
      <c r="CD159" s="6"/>
      <c r="CE159" s="6"/>
      <c r="CF159" s="6"/>
      <c r="CG159" s="6"/>
      <c r="CH159" s="6"/>
      <c r="CI159" s="6"/>
      <c r="CJ159" s="6"/>
      <c r="CK159" s="6"/>
      <c r="CL159" s="6"/>
      <c r="CM159" s="6"/>
      <c r="CN159" s="254"/>
      <c r="CO159" s="6"/>
      <c r="CP159" s="6"/>
      <c r="CQ159" s="6"/>
      <c r="CR159" s="6"/>
      <c r="CS159" s="6"/>
      <c r="CT159" s="6"/>
      <c r="CU159" s="6"/>
      <c r="CV159" s="6"/>
      <c r="CW159" s="6"/>
      <c r="CX159" s="6"/>
      <c r="CY159" s="6"/>
      <c r="CZ159" s="6"/>
      <c r="DA159" s="6"/>
      <c r="DB159" s="6"/>
      <c r="DC159" s="6"/>
      <c r="DD159" s="6"/>
      <c r="DE159" s="6"/>
      <c r="DF159" s="6"/>
      <c r="DG159" s="6"/>
      <c r="DH159" s="6"/>
    </row>
    <row r="160" spans="1:112" s="875" customFormat="1">
      <c r="A160" s="762" t="s">
        <v>1585</v>
      </c>
      <c r="B160" s="36"/>
      <c r="C160" s="36"/>
      <c r="D160" s="36"/>
      <c r="E160" s="36"/>
      <c r="F160" s="36"/>
      <c r="G160" s="36"/>
      <c r="H160" s="36"/>
      <c r="I160" s="36"/>
      <c r="J160" s="36"/>
      <c r="K160" s="36"/>
      <c r="L160" s="36"/>
      <c r="M160" s="36"/>
      <c r="N160" s="36"/>
      <c r="O160" s="36"/>
      <c r="P160" s="36"/>
      <c r="Q160" s="36"/>
      <c r="R160" s="36"/>
      <c r="S160" s="36"/>
      <c r="T160" s="36"/>
      <c r="U160" s="36"/>
      <c r="V160" s="36"/>
      <c r="W160" s="36"/>
      <c r="X160" s="2098">
        <f>X161</f>
        <v>0</v>
      </c>
      <c r="Y160" s="2098">
        <f t="shared" ref="Y160:AD160" si="214">X160+Y161</f>
        <v>0</v>
      </c>
      <c r="Z160" s="2098">
        <f t="shared" si="214"/>
        <v>0</v>
      </c>
      <c r="AA160" s="3251">
        <f t="shared" si="214"/>
        <v>0.3</v>
      </c>
      <c r="AB160" s="3251">
        <f t="shared" si="214"/>
        <v>1.2</v>
      </c>
      <c r="AC160" s="3251">
        <f>AB160+AC161</f>
        <v>2.1</v>
      </c>
      <c r="AD160" s="3251">
        <f t="shared" si="214"/>
        <v>2.75</v>
      </c>
      <c r="AE160" s="3251">
        <f t="shared" ref="AE160:AN160" si="215">AD160+AE161</f>
        <v>3.25</v>
      </c>
      <c r="AF160" s="3251">
        <f t="shared" si="215"/>
        <v>3.7083333333333335</v>
      </c>
      <c r="AG160" s="3251">
        <f t="shared" si="215"/>
        <v>4.125</v>
      </c>
      <c r="AH160" s="3251">
        <f t="shared" si="215"/>
        <v>4.5</v>
      </c>
      <c r="AI160" s="3251">
        <f t="shared" si="215"/>
        <v>4.833333333333333</v>
      </c>
      <c r="AJ160" s="3251">
        <f t="shared" si="215"/>
        <v>5.1666666666666661</v>
      </c>
      <c r="AK160" s="3251">
        <f t="shared" si="215"/>
        <v>5.4999999999999991</v>
      </c>
      <c r="AL160" s="3251">
        <f t="shared" si="215"/>
        <v>5.8166666666666655</v>
      </c>
      <c r="AM160" s="3251">
        <f t="shared" si="215"/>
        <v>6.1166666666666654</v>
      </c>
      <c r="AN160" s="2098">
        <f t="shared" si="215"/>
        <v>6.3999999999999986</v>
      </c>
      <c r="AO160" s="36"/>
      <c r="AP160" s="36"/>
      <c r="AQ160" s="6"/>
      <c r="AR160" s="36"/>
      <c r="AS160" s="36"/>
      <c r="AT160" s="36"/>
      <c r="AU160" s="36"/>
      <c r="AV160" s="36"/>
      <c r="AW160" s="36"/>
      <c r="AX160" s="36"/>
      <c r="AY160" s="36"/>
      <c r="AZ160" s="36"/>
      <c r="BA160" s="36"/>
      <c r="BB160" s="36"/>
      <c r="BC160" s="36"/>
      <c r="BD160" s="36"/>
      <c r="BE160" s="36"/>
      <c r="BF160" s="36"/>
      <c r="BG160" s="36"/>
      <c r="BH160" s="36"/>
      <c r="BI160" s="36"/>
      <c r="BJ160" s="36"/>
      <c r="BK160" s="36"/>
      <c r="BL160" s="36"/>
      <c r="BM160" s="36"/>
      <c r="BN160" s="36"/>
      <c r="BO160" s="36"/>
      <c r="BP160" s="36"/>
      <c r="BQ160" s="36"/>
      <c r="BR160" s="36"/>
      <c r="BS160" s="36"/>
      <c r="BT160" s="2070"/>
      <c r="BU160" s="36"/>
      <c r="BV160" s="36"/>
      <c r="BW160" s="36"/>
      <c r="BX160" s="36"/>
      <c r="BY160" s="2070"/>
      <c r="BZ160" s="36"/>
      <c r="CA160" s="36"/>
      <c r="CB160" s="36"/>
      <c r="CC160" s="36"/>
      <c r="CD160" s="36"/>
      <c r="CE160" s="36"/>
      <c r="CF160" s="36"/>
      <c r="CG160" s="36"/>
      <c r="CH160" s="36"/>
      <c r="CI160" s="36"/>
      <c r="CJ160" s="36"/>
      <c r="CK160" s="36"/>
      <c r="CL160" s="36"/>
      <c r="CM160" s="36"/>
      <c r="CN160" s="2070"/>
      <c r="CO160" s="36"/>
      <c r="CP160" s="36"/>
      <c r="CQ160" s="36"/>
      <c r="CR160" s="36"/>
      <c r="CS160" s="36"/>
      <c r="CT160" s="36"/>
      <c r="CU160" s="36"/>
      <c r="CV160" s="36"/>
      <c r="CW160" s="36"/>
      <c r="CX160" s="36"/>
      <c r="CY160" s="36"/>
      <c r="CZ160" s="36"/>
      <c r="DA160" s="36"/>
      <c r="DB160" s="36"/>
      <c r="DC160" s="36"/>
      <c r="DD160" s="36"/>
      <c r="DE160" s="36"/>
      <c r="DF160" s="36"/>
      <c r="DG160" s="36"/>
      <c r="DH160" s="36"/>
    </row>
    <row r="161" spans="1:112">
      <c r="A161" s="2064" t="s">
        <v>1586</v>
      </c>
      <c r="B161" s="6"/>
      <c r="C161" s="6"/>
      <c r="D161" s="6"/>
      <c r="E161" s="6"/>
      <c r="F161" s="6"/>
      <c r="G161" s="6"/>
      <c r="H161" s="6"/>
      <c r="I161" s="6"/>
      <c r="J161" s="6"/>
      <c r="K161" s="6"/>
      <c r="L161" s="6"/>
      <c r="M161" s="6"/>
      <c r="N161" s="6"/>
      <c r="O161" s="6"/>
      <c r="P161" s="6"/>
      <c r="Q161" s="6"/>
      <c r="R161" s="6"/>
      <c r="S161" s="6"/>
      <c r="T161" s="6"/>
      <c r="U161" s="6"/>
      <c r="V161" s="6"/>
      <c r="W161" s="6"/>
      <c r="X161" s="2065">
        <v>0</v>
      </c>
      <c r="Y161" s="2065">
        <v>0</v>
      </c>
      <c r="Z161" s="2065">
        <v>0</v>
      </c>
      <c r="AA161" s="3252">
        <v>0.3</v>
      </c>
      <c r="AB161" s="3252">
        <v>0.9</v>
      </c>
      <c r="AC161" s="3252">
        <v>0.9</v>
      </c>
      <c r="AD161" s="3252">
        <v>0.65</v>
      </c>
      <c r="AE161" s="3252">
        <f>AE174*(AD161/AD174)</f>
        <v>0.5</v>
      </c>
      <c r="AF161" s="3252">
        <f>AF174*(AE161/AE174)</f>
        <v>0.45833333333333337</v>
      </c>
      <c r="AG161" s="3252">
        <f>AG174*(AF161/AF174)</f>
        <v>0.41666666666666669</v>
      </c>
      <c r="AH161" s="3252">
        <f>AH174*(AG161/AG174)</f>
        <v>0.375</v>
      </c>
      <c r="AI161" s="3252">
        <f t="shared" ref="AI161:AN161" si="216">AI174*(AH161/AH174)</f>
        <v>0.33333333333333331</v>
      </c>
      <c r="AJ161" s="3252">
        <f t="shared" si="216"/>
        <v>0.33333333333333331</v>
      </c>
      <c r="AK161" s="3252">
        <f t="shared" si="216"/>
        <v>0.33333333333333331</v>
      </c>
      <c r="AL161" s="3252">
        <f t="shared" si="216"/>
        <v>0.31666666666666665</v>
      </c>
      <c r="AM161" s="3252">
        <f>AM174*(AL161/AL174)</f>
        <v>0.3</v>
      </c>
      <c r="AN161" s="2065">
        <f t="shared" si="216"/>
        <v>0.28333333333333333</v>
      </c>
      <c r="AO161" s="6"/>
      <c r="AP161" s="6"/>
      <c r="AQ161" s="6"/>
      <c r="AR161" s="6"/>
      <c r="AS161" s="6"/>
      <c r="AT161" s="6"/>
      <c r="AU161" s="6"/>
      <c r="AV161" s="6"/>
      <c r="AW161" s="6"/>
      <c r="AX161" s="6"/>
      <c r="AY161" s="6"/>
      <c r="AZ161" s="6"/>
      <c r="BA161" s="6"/>
      <c r="BB161" s="6"/>
      <c r="BC161" s="6"/>
      <c r="BD161" s="6"/>
      <c r="BE161" s="6"/>
      <c r="BF161" s="6"/>
      <c r="BG161" s="6"/>
      <c r="BH161" s="6"/>
      <c r="BI161" s="6"/>
      <c r="BJ161" s="6"/>
      <c r="BK161" s="6"/>
      <c r="BL161" s="6"/>
      <c r="BM161" s="6"/>
      <c r="BN161" s="6"/>
      <c r="BO161" s="6"/>
      <c r="BP161" s="6"/>
      <c r="BQ161" s="6"/>
      <c r="BR161" s="6"/>
      <c r="BS161" s="6"/>
      <c r="BT161" s="254"/>
      <c r="BU161" s="6"/>
      <c r="BV161" s="6"/>
      <c r="BW161" s="6"/>
      <c r="BX161" s="6"/>
      <c r="BY161" s="254"/>
      <c r="BZ161" s="6"/>
      <c r="CA161" s="6"/>
      <c r="CB161" s="6"/>
      <c r="CC161" s="6"/>
      <c r="CD161" s="6"/>
      <c r="CE161" s="6"/>
      <c r="CF161" s="6"/>
      <c r="CG161" s="6"/>
      <c r="CH161" s="6"/>
      <c r="CI161" s="6"/>
      <c r="CJ161" s="6"/>
      <c r="CK161" s="6"/>
      <c r="CL161" s="6"/>
      <c r="CM161" s="6"/>
      <c r="CN161" s="254"/>
      <c r="CO161" s="6"/>
      <c r="CP161" s="6"/>
      <c r="CQ161" s="6"/>
      <c r="CR161" s="6"/>
      <c r="CS161" s="6"/>
      <c r="CT161" s="6"/>
      <c r="CU161" s="6"/>
      <c r="CV161" s="6"/>
      <c r="CW161" s="6"/>
      <c r="CX161" s="6"/>
      <c r="CY161" s="6"/>
      <c r="CZ161" s="6"/>
      <c r="DA161" s="6"/>
      <c r="DB161" s="6"/>
      <c r="DC161" s="6"/>
      <c r="DD161" s="6"/>
      <c r="DE161" s="6"/>
      <c r="DF161" s="6"/>
      <c r="DG161" s="6"/>
      <c r="DH161" s="6"/>
    </row>
    <row r="162" spans="1:112">
      <c r="A162" s="2064" t="s">
        <v>1592</v>
      </c>
      <c r="B162" s="6"/>
      <c r="C162" s="6"/>
      <c r="D162" s="6"/>
      <c r="E162" s="6"/>
      <c r="F162" s="6"/>
      <c r="G162" s="6"/>
      <c r="H162" s="6"/>
      <c r="I162" s="6"/>
      <c r="J162" s="6"/>
      <c r="K162" s="6"/>
      <c r="L162" s="6"/>
      <c r="M162" s="6"/>
      <c r="N162" s="6"/>
      <c r="O162" s="6"/>
      <c r="P162" s="6"/>
      <c r="Q162" s="6"/>
      <c r="R162" s="6"/>
      <c r="S162" s="6"/>
      <c r="T162" s="6"/>
      <c r="U162" s="6"/>
      <c r="V162" s="6"/>
      <c r="W162" s="6"/>
      <c r="X162" s="2065"/>
      <c r="Y162" s="2065"/>
      <c r="Z162" s="2065"/>
      <c r="AA162" s="2932">
        <f>AVERAGE(Z160:AA160)</f>
        <v>0.15</v>
      </c>
      <c r="AB162" s="2932">
        <f t="shared" ref="AB162:AN162" si="217">AVERAGE(AA160:AB160)</f>
        <v>0.75</v>
      </c>
      <c r="AC162" s="2932">
        <f t="shared" si="217"/>
        <v>1.65</v>
      </c>
      <c r="AD162" s="2932">
        <f t="shared" si="217"/>
        <v>2.4249999999999998</v>
      </c>
      <c r="AE162" s="2932">
        <f t="shared" si="217"/>
        <v>3</v>
      </c>
      <c r="AF162" s="2932">
        <f t="shared" si="217"/>
        <v>3.479166666666667</v>
      </c>
      <c r="AG162" s="2932">
        <f t="shared" si="217"/>
        <v>3.916666666666667</v>
      </c>
      <c r="AH162" s="2932">
        <f t="shared" si="217"/>
        <v>4.3125</v>
      </c>
      <c r="AI162" s="2932">
        <f t="shared" si="217"/>
        <v>4.6666666666666661</v>
      </c>
      <c r="AJ162" s="2932">
        <f t="shared" si="217"/>
        <v>5</v>
      </c>
      <c r="AK162" s="2932">
        <f t="shared" si="217"/>
        <v>5.3333333333333321</v>
      </c>
      <c r="AL162" s="2932">
        <f t="shared" si="217"/>
        <v>5.6583333333333323</v>
      </c>
      <c r="AM162" s="2932">
        <f t="shared" si="217"/>
        <v>5.966666666666665</v>
      </c>
      <c r="AN162" s="314">
        <f t="shared" si="217"/>
        <v>6.258333333333332</v>
      </c>
      <c r="AO162" s="6"/>
      <c r="AP162" s="6"/>
      <c r="AQ162" s="6"/>
      <c r="AR162" s="6"/>
      <c r="AS162" s="6"/>
      <c r="AT162" s="6"/>
      <c r="AU162" s="6"/>
      <c r="AV162" s="6"/>
      <c r="AW162" s="6"/>
      <c r="AX162" s="6"/>
      <c r="AY162" s="6"/>
      <c r="AZ162" s="6"/>
      <c r="BA162" s="6"/>
      <c r="BB162" s="6"/>
      <c r="BC162" s="6"/>
      <c r="BD162" s="6"/>
      <c r="BE162" s="6"/>
      <c r="BF162" s="6"/>
      <c r="BG162" s="6"/>
      <c r="BH162" s="6"/>
      <c r="BI162" s="6"/>
      <c r="BJ162" s="6"/>
      <c r="BK162" s="6"/>
      <c r="BL162" s="6"/>
      <c r="BM162" s="6"/>
      <c r="BN162" s="6"/>
      <c r="BO162" s="6"/>
      <c r="BP162" s="6"/>
      <c r="BQ162" s="6"/>
      <c r="BR162" s="6"/>
      <c r="BS162" s="6"/>
      <c r="BT162" s="254"/>
      <c r="BU162" s="6"/>
      <c r="BV162" s="6"/>
      <c r="BW162" s="6"/>
      <c r="BX162" s="6"/>
      <c r="BY162" s="254"/>
      <c r="BZ162" s="6"/>
      <c r="CA162" s="6"/>
      <c r="CB162" s="6"/>
      <c r="CC162" s="6"/>
      <c r="CD162" s="6"/>
      <c r="CE162" s="6"/>
      <c r="CF162" s="6"/>
      <c r="CG162" s="6"/>
      <c r="CH162" s="6"/>
      <c r="CI162" s="6"/>
      <c r="CJ162" s="6"/>
      <c r="CK162" s="6"/>
      <c r="CL162" s="6"/>
      <c r="CM162" s="6"/>
      <c r="CN162" s="254"/>
      <c r="CO162" s="6"/>
      <c r="CP162" s="6"/>
      <c r="CQ162" s="6"/>
      <c r="CR162" s="6"/>
      <c r="CS162" s="6"/>
      <c r="CT162" s="6"/>
      <c r="CU162" s="6"/>
      <c r="CV162" s="6"/>
      <c r="CW162" s="6"/>
      <c r="CX162" s="6"/>
      <c r="CY162" s="6"/>
      <c r="CZ162" s="6"/>
      <c r="DA162" s="6"/>
      <c r="DB162" s="6"/>
      <c r="DC162" s="6"/>
      <c r="DD162" s="6"/>
      <c r="DE162" s="6"/>
      <c r="DF162" s="6"/>
      <c r="DG162" s="6"/>
      <c r="DH162" s="6"/>
    </row>
    <row r="163" spans="1:112">
      <c r="A163" s="2064" t="s">
        <v>1587</v>
      </c>
      <c r="B163" s="6"/>
      <c r="C163" s="6"/>
      <c r="D163" s="6"/>
      <c r="E163" s="6"/>
      <c r="F163" s="6"/>
      <c r="G163" s="6"/>
      <c r="H163" s="6"/>
      <c r="I163" s="6"/>
      <c r="J163" s="6"/>
      <c r="K163" s="6"/>
      <c r="L163" s="6"/>
      <c r="M163" s="6"/>
      <c r="N163" s="6"/>
      <c r="O163" s="6"/>
      <c r="P163" s="6"/>
      <c r="Q163" s="6"/>
      <c r="R163" s="6"/>
      <c r="S163" s="6"/>
      <c r="T163" s="6"/>
      <c r="U163" s="6"/>
      <c r="V163" s="6"/>
      <c r="W163" s="6"/>
      <c r="X163" s="145">
        <f>X159-X160</f>
        <v>22</v>
      </c>
      <c r="Y163" s="145">
        <f t="shared" ref="Y163:AK163" si="218">Y159-Y160</f>
        <v>22.66</v>
      </c>
      <c r="Z163" s="145">
        <f t="shared" si="218"/>
        <v>23.113199999999999</v>
      </c>
      <c r="AA163" s="3097">
        <f t="shared" si="218"/>
        <v>23.5</v>
      </c>
      <c r="AB163" s="3097">
        <f t="shared" si="218"/>
        <v>23.314000000000004</v>
      </c>
      <c r="AC163" s="3097">
        <f t="shared" si="218"/>
        <v>22.904280000000004</v>
      </c>
      <c r="AD163" s="3097">
        <f t="shared" si="218"/>
        <v>22.566833500000005</v>
      </c>
      <c r="AE163" s="3097">
        <f t="shared" si="218"/>
        <v>22.320001835000006</v>
      </c>
      <c r="AF163" s="3097">
        <f t="shared" si="218"/>
        <v>22.117368520016676</v>
      </c>
      <c r="AG163" s="3097">
        <f t="shared" si="218"/>
        <v>21.958958871883507</v>
      </c>
      <c r="AH163" s="3097">
        <f t="shared" si="218"/>
        <v>21.766546583986688</v>
      </c>
      <c r="AI163" s="3097">
        <f t="shared" si="218"/>
        <v>21.538279436989303</v>
      </c>
      <c r="AJ163" s="3097">
        <f t="shared" si="218"/>
        <v>21.244503522811456</v>
      </c>
      <c r="AK163" s="3097">
        <f t="shared" si="218"/>
        <v>20.950786944762338</v>
      </c>
      <c r="AL163" s="3097">
        <f>AL159-AL160</f>
        <v>20.673796458512818</v>
      </c>
      <c r="AM163" s="3097">
        <f>AM159-AM160</f>
        <v>20.413532153200592</v>
      </c>
      <c r="AN163" s="145">
        <f>AN159-AN160</f>
        <v>20.169994118097058</v>
      </c>
      <c r="AO163" s="6"/>
      <c r="AP163" s="6"/>
      <c r="AQ163" s="6"/>
      <c r="AR163" s="6"/>
      <c r="AS163" s="6"/>
      <c r="AT163" s="6"/>
      <c r="AU163" s="6"/>
      <c r="AV163" s="6"/>
      <c r="AW163" s="6"/>
      <c r="AX163" s="6"/>
      <c r="AY163" s="6"/>
      <c r="AZ163" s="6"/>
      <c r="BA163" s="6"/>
      <c r="BB163" s="6"/>
      <c r="BC163" s="6"/>
      <c r="BD163" s="6"/>
      <c r="BE163" s="6"/>
      <c r="BF163" s="6"/>
      <c r="BG163" s="6"/>
      <c r="BH163" s="6"/>
      <c r="BI163" s="6"/>
      <c r="BJ163" s="6"/>
      <c r="BK163" s="6"/>
      <c r="BL163" s="6"/>
      <c r="BM163" s="6"/>
      <c r="BN163" s="6"/>
      <c r="BO163" s="6"/>
      <c r="BP163" s="6"/>
      <c r="BQ163" s="6"/>
      <c r="BR163" s="6"/>
      <c r="BS163" s="6"/>
      <c r="BT163" s="254"/>
      <c r="BU163" s="6"/>
      <c r="BV163" s="6"/>
      <c r="BW163" s="6"/>
      <c r="BX163" s="6"/>
      <c r="BY163" s="254"/>
      <c r="BZ163" s="6"/>
      <c r="CA163" s="6"/>
      <c r="CB163" s="6"/>
      <c r="CC163" s="6"/>
      <c r="CD163" s="6"/>
      <c r="CE163" s="6"/>
      <c r="CF163" s="6"/>
      <c r="CG163" s="6"/>
      <c r="CH163" s="6"/>
      <c r="CI163" s="6"/>
      <c r="CJ163" s="6"/>
      <c r="CK163" s="6"/>
      <c r="CL163" s="6"/>
      <c r="CM163" s="6"/>
      <c r="CN163" s="254"/>
      <c r="CO163" s="6"/>
      <c r="CP163" s="6"/>
      <c r="CQ163" s="6"/>
      <c r="CR163" s="6"/>
      <c r="CS163" s="6"/>
      <c r="CT163" s="6"/>
      <c r="CU163" s="6"/>
      <c r="CV163" s="6"/>
      <c r="CW163" s="6"/>
      <c r="CX163" s="6"/>
      <c r="CY163" s="6"/>
      <c r="CZ163" s="6"/>
      <c r="DA163" s="6"/>
      <c r="DB163" s="6"/>
      <c r="DC163" s="6"/>
      <c r="DD163" s="6"/>
      <c r="DE163" s="6"/>
      <c r="DF163" s="6"/>
      <c r="DG163" s="6"/>
      <c r="DH163" s="6"/>
    </row>
    <row r="164" spans="1:112">
      <c r="A164" s="761" t="s">
        <v>1582</v>
      </c>
      <c r="B164" s="6"/>
      <c r="C164" s="6"/>
      <c r="D164" s="6"/>
      <c r="E164" s="6"/>
      <c r="F164" s="6"/>
      <c r="G164" s="6"/>
      <c r="H164" s="6"/>
      <c r="I164" s="6"/>
      <c r="J164" s="6"/>
      <c r="K164" s="6"/>
      <c r="L164" s="6"/>
      <c r="M164" s="6"/>
      <c r="N164" s="6"/>
      <c r="O164" s="6"/>
      <c r="P164" s="6"/>
      <c r="Q164" s="6"/>
      <c r="R164" s="6"/>
      <c r="S164" s="6"/>
      <c r="T164" s="6"/>
      <c r="U164" s="6"/>
      <c r="V164" s="6"/>
      <c r="W164" s="6"/>
      <c r="X164" s="2066">
        <f>X163/X158</f>
        <v>0.22509512395883635</v>
      </c>
      <c r="Y164" s="2066">
        <f t="shared" ref="Y164:AK164" si="219">Y163/Y158</f>
        <v>0.23216840223274751</v>
      </c>
      <c r="Z164" s="2066">
        <f t="shared" si="219"/>
        <v>0.23660273619426961</v>
      </c>
      <c r="AA164" s="2066">
        <f t="shared" si="219"/>
        <v>0.24162450863259366</v>
      </c>
      <c r="AB164" s="2827">
        <f t="shared" si="219"/>
        <v>0.2411511729093942</v>
      </c>
      <c r="AC164" s="2827">
        <f t="shared" si="219"/>
        <v>0.23944725969246552</v>
      </c>
      <c r="AD164" s="2827">
        <f t="shared" si="219"/>
        <v>0.23503006696605369</v>
      </c>
      <c r="AE164" s="2827">
        <f t="shared" si="219"/>
        <v>0.23198937443767595</v>
      </c>
      <c r="AF164" s="2827">
        <f t="shared" si="219"/>
        <v>0.22781746168334691</v>
      </c>
      <c r="AG164" s="2827">
        <f t="shared" si="219"/>
        <v>0.22450301528202854</v>
      </c>
      <c r="AH164" s="2827">
        <f t="shared" si="219"/>
        <v>0.22151978016594742</v>
      </c>
      <c r="AI164" s="2827">
        <f t="shared" si="219"/>
        <v>0.21851985093399218</v>
      </c>
      <c r="AJ164" s="2827">
        <f t="shared" si="219"/>
        <v>0.21504889114362774</v>
      </c>
      <c r="AK164" s="2827">
        <f t="shared" si="219"/>
        <v>0.21177137116965244</v>
      </c>
      <c r="AL164" s="2827">
        <f>AL163/AL158</f>
        <v>0.20851224930015499</v>
      </c>
      <c r="AM164" s="2827">
        <f>AM163/AM158</f>
        <v>0.20550246945260947</v>
      </c>
      <c r="AN164" s="2066">
        <f>AN163/AN158</f>
        <v>0.20251055145287103</v>
      </c>
      <c r="AO164" s="6"/>
      <c r="AP164" s="6"/>
      <c r="AQ164" s="6"/>
      <c r="AR164" s="6"/>
      <c r="AS164" s="6"/>
      <c r="AT164" s="6"/>
      <c r="AU164" s="6"/>
      <c r="AV164" s="6"/>
      <c r="AW164" s="6"/>
      <c r="AX164" s="6"/>
      <c r="AY164" s="6"/>
      <c r="AZ164" s="6"/>
      <c r="BA164" s="6"/>
      <c r="BB164" s="6"/>
      <c r="BC164" s="6"/>
      <c r="BD164" s="6"/>
      <c r="BE164" s="6"/>
      <c r="BF164" s="6"/>
      <c r="BG164" s="6"/>
      <c r="BH164" s="6"/>
      <c r="BI164" s="6"/>
      <c r="BJ164" s="6"/>
      <c r="BK164" s="6"/>
      <c r="BL164" s="6"/>
      <c r="BM164" s="6"/>
      <c r="BN164" s="6"/>
      <c r="BO164" s="6"/>
      <c r="BP164" s="6"/>
      <c r="BQ164" s="6"/>
      <c r="BR164" s="6"/>
      <c r="BS164" s="6"/>
      <c r="BT164" s="254"/>
      <c r="BU164" s="6"/>
      <c r="BV164" s="6"/>
      <c r="BW164" s="6"/>
      <c r="BX164" s="6"/>
      <c r="BY164" s="254"/>
      <c r="BZ164" s="6"/>
      <c r="CA164" s="6"/>
      <c r="CB164" s="6"/>
      <c r="CC164" s="6"/>
      <c r="CD164" s="6"/>
      <c r="CE164" s="6"/>
      <c r="CF164" s="6"/>
      <c r="CG164" s="6"/>
      <c r="CH164" s="6"/>
      <c r="CI164" s="6"/>
      <c r="CJ164" s="6"/>
      <c r="CK164" s="6"/>
      <c r="CL164" s="6"/>
      <c r="CM164" s="6"/>
      <c r="CN164" s="254"/>
      <c r="CO164" s="6"/>
      <c r="CP164" s="6"/>
      <c r="CQ164" s="6"/>
      <c r="CR164" s="6"/>
      <c r="CS164" s="6"/>
      <c r="CT164" s="6"/>
      <c r="CU164" s="6"/>
      <c r="CV164" s="6"/>
      <c r="CW164" s="6"/>
      <c r="CX164" s="6"/>
      <c r="CY164" s="6"/>
      <c r="CZ164" s="6"/>
      <c r="DA164" s="6"/>
      <c r="DB164" s="6"/>
      <c r="DC164" s="6"/>
      <c r="DD164" s="6"/>
      <c r="DE164" s="6"/>
      <c r="DF164" s="6"/>
      <c r="DG164" s="6"/>
      <c r="DH164" s="6"/>
    </row>
    <row r="165" spans="1:112" s="875" customFormat="1" ht="12.75" customHeight="1">
      <c r="A165" s="2071" t="s">
        <v>1620</v>
      </c>
      <c r="B165" s="1506"/>
      <c r="C165" s="1506"/>
      <c r="D165" s="1506"/>
      <c r="E165" s="1506"/>
      <c r="F165" s="1506"/>
      <c r="G165" s="1506"/>
      <c r="H165" s="1506"/>
      <c r="I165" s="1506"/>
      <c r="J165" s="1506"/>
      <c r="K165" s="1506"/>
      <c r="L165" s="1506"/>
      <c r="M165" s="1506"/>
      <c r="N165" s="1506"/>
      <c r="O165" s="1506"/>
      <c r="P165" s="1506"/>
      <c r="Q165" s="1506"/>
      <c r="R165" s="1506"/>
      <c r="S165" s="1506"/>
      <c r="T165" s="1506"/>
      <c r="U165" s="1506"/>
      <c r="V165" s="1506"/>
      <c r="W165" s="1506"/>
      <c r="X165" s="1506"/>
      <c r="Y165" s="1506"/>
      <c r="Z165" s="1506"/>
      <c r="AA165" s="2072">
        <f>AA162*AA176*12</f>
        <v>14.850000000000001</v>
      </c>
      <c r="AB165" s="2921">
        <f t="shared" ref="AB165:AL165" si="220">AB162*AB176*12</f>
        <v>74.992499999999993</v>
      </c>
      <c r="AC165" s="2921">
        <f t="shared" si="220"/>
        <v>166.63333499999999</v>
      </c>
      <c r="AD165" s="2921">
        <f t="shared" si="220"/>
        <v>247.34951257499998</v>
      </c>
      <c r="AE165" s="2921">
        <f t="shared" si="220"/>
        <v>309.05939096999998</v>
      </c>
      <c r="AF165" s="2921">
        <f t="shared" si="220"/>
        <v>362.0072741313187</v>
      </c>
      <c r="AG165" s="2921">
        <f t="shared" si="220"/>
        <v>411.60443839553773</v>
      </c>
      <c r="AH165" s="2921">
        <f t="shared" si="220"/>
        <v>457.73478689018651</v>
      </c>
      <c r="AI165" s="2921">
        <f t="shared" si="220"/>
        <v>500.27979800017289</v>
      </c>
      <c r="AJ165" s="2921">
        <f t="shared" si="220"/>
        <v>541.3742099787587</v>
      </c>
      <c r="AK165" s="2921">
        <f t="shared" si="220"/>
        <v>583.24048221711587</v>
      </c>
      <c r="AL165" s="2921">
        <f t="shared" si="220"/>
        <v>624.96951609324356</v>
      </c>
      <c r="AM165" s="2921">
        <f>AM162*AM176*12</f>
        <v>665.61554529895443</v>
      </c>
      <c r="AN165" s="2072">
        <f>AN162*AN176*12</f>
        <v>705.13414422445521</v>
      </c>
      <c r="AO165" s="36"/>
      <c r="AP165" s="36"/>
      <c r="AQ165" s="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c r="BT165" s="2070"/>
      <c r="BU165" s="36"/>
      <c r="BV165" s="36"/>
      <c r="BW165" s="36"/>
      <c r="BX165" s="36"/>
      <c r="BY165" s="2070"/>
      <c r="BZ165" s="36"/>
      <c r="CA165" s="36"/>
      <c r="CB165" s="36"/>
      <c r="CC165" s="36"/>
      <c r="CD165" s="36"/>
      <c r="CE165" s="36"/>
      <c r="CF165" s="36"/>
      <c r="CG165" s="36"/>
      <c r="CH165" s="36"/>
      <c r="CI165" s="36"/>
      <c r="CJ165" s="36"/>
      <c r="CK165" s="36"/>
      <c r="CL165" s="36"/>
      <c r="CM165" s="36"/>
      <c r="CN165" s="2070"/>
      <c r="CO165" s="36"/>
      <c r="CP165" s="36"/>
      <c r="CQ165" s="36"/>
      <c r="CR165" s="36"/>
      <c r="CS165" s="36"/>
      <c r="CT165" s="36"/>
      <c r="CU165" s="36"/>
      <c r="CV165" s="36"/>
      <c r="CW165" s="36"/>
      <c r="CX165" s="36"/>
      <c r="CY165" s="36"/>
      <c r="CZ165" s="36"/>
      <c r="DA165" s="36"/>
      <c r="DB165" s="36"/>
      <c r="DC165" s="36"/>
      <c r="DD165" s="36"/>
      <c r="DE165" s="36"/>
      <c r="DF165" s="36"/>
      <c r="DG165" s="36"/>
      <c r="DH165" s="36"/>
    </row>
    <row r="166" spans="1:112" s="875" customFormat="1" ht="12.75" customHeight="1">
      <c r="A166" s="2296"/>
      <c r="B166" s="259"/>
      <c r="C166" s="259"/>
      <c r="D166" s="259"/>
      <c r="E166" s="259"/>
      <c r="F166" s="259"/>
      <c r="G166" s="259"/>
      <c r="H166" s="259"/>
      <c r="I166" s="259"/>
      <c r="J166" s="259"/>
      <c r="K166" s="259"/>
      <c r="L166" s="259"/>
      <c r="M166" s="259"/>
      <c r="N166" s="259"/>
      <c r="O166" s="259"/>
      <c r="P166" s="259"/>
      <c r="Q166" s="259"/>
      <c r="R166" s="259"/>
      <c r="S166" s="259"/>
      <c r="T166" s="259"/>
      <c r="U166" s="259"/>
      <c r="V166" s="259"/>
      <c r="W166" s="259"/>
      <c r="X166" s="259"/>
      <c r="Y166" s="259"/>
      <c r="Z166" s="259"/>
      <c r="AA166" s="2095"/>
      <c r="AB166" s="3555"/>
      <c r="AC166" s="3555"/>
      <c r="AD166" s="3555"/>
      <c r="AE166" s="3555"/>
      <c r="AF166" s="3555"/>
      <c r="AG166" s="3555"/>
      <c r="AH166" s="3555"/>
      <c r="AI166" s="3555"/>
      <c r="AJ166" s="3555"/>
      <c r="AK166" s="3555"/>
      <c r="AL166" s="3555"/>
      <c r="AM166" s="2894"/>
      <c r="AN166" s="36"/>
      <c r="AO166" s="36"/>
      <c r="AP166" s="36"/>
      <c r="AQ166" s="36"/>
      <c r="AR166" s="36"/>
      <c r="AS166" s="36"/>
      <c r="AT166" s="36"/>
      <c r="AU166" s="36"/>
      <c r="AV166" s="36"/>
      <c r="AW166" s="36"/>
      <c r="AX166" s="36"/>
      <c r="AY166" s="36"/>
      <c r="AZ166" s="36"/>
      <c r="BA166" s="36"/>
      <c r="BB166" s="36"/>
      <c r="BC166" s="36"/>
      <c r="BD166" s="36"/>
      <c r="BE166" s="36"/>
      <c r="BF166" s="36"/>
      <c r="BG166" s="36"/>
      <c r="BH166" s="36"/>
      <c r="BI166" s="36"/>
      <c r="BJ166" s="36"/>
      <c r="BK166" s="36"/>
      <c r="BL166" s="36"/>
      <c r="BM166" s="36"/>
      <c r="BN166" s="36"/>
      <c r="BO166" s="36"/>
      <c r="BP166" s="36"/>
      <c r="BQ166" s="36"/>
      <c r="BR166" s="36"/>
      <c r="BS166" s="36"/>
      <c r="BT166" s="2070"/>
      <c r="BU166" s="36"/>
      <c r="BV166" s="36"/>
      <c r="BW166" s="36"/>
      <c r="BX166" s="36"/>
      <c r="BY166" s="2070"/>
      <c r="BZ166" s="36"/>
      <c r="CA166" s="36"/>
      <c r="CB166" s="36"/>
      <c r="CC166" s="36"/>
      <c r="CD166" s="36"/>
      <c r="CE166" s="36"/>
      <c r="CF166" s="36"/>
      <c r="CG166" s="36"/>
      <c r="CH166" s="36"/>
      <c r="CI166" s="36"/>
      <c r="CJ166" s="36"/>
      <c r="CK166" s="36"/>
      <c r="CL166" s="36"/>
      <c r="CM166" s="36"/>
      <c r="CN166" s="2070"/>
      <c r="CO166" s="36"/>
      <c r="CP166" s="36"/>
      <c r="CQ166" s="36"/>
      <c r="CR166" s="36"/>
      <c r="CS166" s="36"/>
      <c r="CT166" s="36"/>
      <c r="CU166" s="36"/>
      <c r="CV166" s="36"/>
      <c r="CW166" s="36"/>
      <c r="CX166" s="36"/>
      <c r="CY166" s="36"/>
      <c r="CZ166" s="36"/>
      <c r="DA166" s="36"/>
      <c r="DB166" s="36"/>
      <c r="DC166" s="36"/>
      <c r="DD166" s="36"/>
      <c r="DE166" s="36"/>
      <c r="DF166" s="36"/>
      <c r="DG166" s="36"/>
      <c r="DH166" s="36"/>
    </row>
    <row r="167" spans="1:112" ht="8.25" customHeight="1">
      <c r="A167" s="107"/>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2862"/>
      <c r="AC167" s="2862"/>
      <c r="AD167" s="2862"/>
      <c r="AE167" s="2862"/>
      <c r="AF167" s="2862"/>
      <c r="AG167" s="2862"/>
      <c r="AH167" s="2862"/>
      <c r="AI167" s="2862"/>
      <c r="AJ167" s="2862"/>
      <c r="AK167" s="2862"/>
      <c r="AL167" s="2862"/>
      <c r="AM167" s="2862"/>
      <c r="AN167" s="6"/>
      <c r="AO167" s="6"/>
      <c r="AP167" s="6"/>
      <c r="AQ167" s="6"/>
      <c r="AR167" s="6"/>
      <c r="AS167" s="6"/>
      <c r="AT167" s="6"/>
      <c r="AU167" s="6"/>
      <c r="AV167" s="6"/>
      <c r="AW167" s="6"/>
      <c r="AX167" s="6"/>
      <c r="AY167" s="6"/>
      <c r="AZ167" s="6"/>
      <c r="BA167" s="6"/>
      <c r="BB167" s="6"/>
      <c r="BC167" s="6"/>
      <c r="BD167" s="6"/>
      <c r="BE167" s="6"/>
      <c r="BF167" s="6"/>
      <c r="BG167" s="6"/>
      <c r="BH167" s="6"/>
      <c r="BI167" s="6"/>
      <c r="BJ167" s="6"/>
      <c r="BK167" s="6"/>
      <c r="BL167" s="6"/>
      <c r="BM167" s="6"/>
      <c r="BN167" s="6"/>
      <c r="BO167" s="6"/>
      <c r="BP167" s="6"/>
      <c r="BQ167" s="6"/>
      <c r="BR167" s="6"/>
      <c r="BS167" s="6"/>
      <c r="BT167" s="254"/>
      <c r="BU167" s="6"/>
      <c r="BV167" s="6"/>
      <c r="BW167" s="6"/>
      <c r="BX167" s="6"/>
      <c r="BY167" s="254"/>
      <c r="BZ167" s="6"/>
      <c r="CA167" s="6"/>
      <c r="CB167" s="6"/>
      <c r="CC167" s="6"/>
      <c r="CD167" s="6"/>
      <c r="CE167" s="6"/>
      <c r="CF167" s="6"/>
      <c r="CG167" s="6"/>
      <c r="CH167" s="6"/>
      <c r="CI167" s="6"/>
      <c r="CJ167" s="6"/>
      <c r="CK167" s="6"/>
      <c r="CL167" s="6"/>
      <c r="CM167" s="6"/>
      <c r="CN167" s="254"/>
      <c r="CO167" s="6"/>
      <c r="CP167" s="6"/>
      <c r="CQ167" s="6"/>
      <c r="CR167" s="6"/>
      <c r="CS167" s="6"/>
      <c r="CT167" s="6"/>
      <c r="CU167" s="6"/>
      <c r="CV167" s="6"/>
      <c r="CW167" s="6"/>
      <c r="CX167" s="6"/>
      <c r="CY167" s="6"/>
      <c r="CZ167" s="6"/>
      <c r="DA167" s="6"/>
      <c r="DB167" s="6"/>
      <c r="DC167" s="6"/>
      <c r="DD167" s="6"/>
      <c r="DE167" s="6"/>
      <c r="DF167" s="6"/>
      <c r="DG167" s="6"/>
      <c r="DH167" s="6"/>
    </row>
    <row r="168" spans="1:112" ht="12.75" customHeight="1">
      <c r="A168" s="762" t="s">
        <v>1604</v>
      </c>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2097">
        <f t="shared" ref="AA168:AL168" si="221">AA156</f>
        <v>2015</v>
      </c>
      <c r="AB168" s="3554">
        <f t="shared" si="221"/>
        <v>2016</v>
      </c>
      <c r="AC168" s="3554" t="str">
        <f t="shared" si="221"/>
        <v>2017E</v>
      </c>
      <c r="AD168" s="3554" t="str">
        <f t="shared" si="221"/>
        <v>2018E</v>
      </c>
      <c r="AE168" s="3554" t="str">
        <f t="shared" si="221"/>
        <v>2019E</v>
      </c>
      <c r="AF168" s="3554" t="str">
        <f t="shared" si="221"/>
        <v>2020E</v>
      </c>
      <c r="AG168" s="3554" t="str">
        <f t="shared" si="221"/>
        <v>2021E</v>
      </c>
      <c r="AH168" s="3554" t="str">
        <f t="shared" si="221"/>
        <v>2022E</v>
      </c>
      <c r="AI168" s="3554" t="str">
        <f t="shared" si="221"/>
        <v>2023E</v>
      </c>
      <c r="AJ168" s="3554" t="str">
        <f t="shared" si="221"/>
        <v>2024E</v>
      </c>
      <c r="AK168" s="3554" t="str">
        <f t="shared" si="221"/>
        <v>2025E</v>
      </c>
      <c r="AL168" s="3554" t="str">
        <f t="shared" si="221"/>
        <v>2026E</v>
      </c>
      <c r="AM168" s="3554" t="str">
        <f>AM156</f>
        <v>2027E</v>
      </c>
      <c r="AN168" s="2097" t="str">
        <f>AN156</f>
        <v>2028E</v>
      </c>
      <c r="AO168" s="6"/>
      <c r="AP168" s="6"/>
      <c r="AQ168" s="6"/>
      <c r="AR168" s="6"/>
      <c r="AS168" s="6"/>
      <c r="AT168" s="6"/>
      <c r="AU168" s="6"/>
      <c r="AV168" s="6"/>
      <c r="AW168" s="6"/>
      <c r="AX168" s="6"/>
      <c r="AY168" s="6"/>
      <c r="AZ168" s="6"/>
      <c r="BA168" s="6"/>
      <c r="BB168" s="6"/>
      <c r="BC168" s="6"/>
      <c r="BD168" s="6"/>
      <c r="BE168" s="6"/>
      <c r="BF168" s="6"/>
      <c r="BG168" s="6"/>
      <c r="BH168" s="6"/>
      <c r="BI168" s="6"/>
      <c r="BJ168" s="6"/>
      <c r="BK168" s="6"/>
      <c r="BL168" s="6"/>
      <c r="BM168" s="6"/>
      <c r="BN168" s="6"/>
      <c r="BO168" s="6"/>
      <c r="BP168" s="6"/>
      <c r="BQ168" s="6"/>
      <c r="BR168" s="6"/>
      <c r="BS168" s="6"/>
      <c r="BT168" s="254"/>
      <c r="BU168" s="6"/>
      <c r="BV168" s="6"/>
      <c r="BW168" s="6"/>
      <c r="BX168" s="6"/>
      <c r="BY168" s="254"/>
      <c r="BZ168" s="6"/>
      <c r="CA168" s="6"/>
      <c r="CB168" s="6"/>
      <c r="CC168" s="6"/>
      <c r="CD168" s="6"/>
      <c r="CE168" s="6"/>
      <c r="CF168" s="6"/>
      <c r="CG168" s="6"/>
      <c r="CH168" s="6"/>
      <c r="CI168" s="6"/>
      <c r="CJ168" s="6"/>
      <c r="CK168" s="6"/>
      <c r="CL168" s="6"/>
      <c r="CM168" s="6"/>
      <c r="CN168" s="254"/>
      <c r="CO168" s="6"/>
      <c r="CP168" s="6"/>
      <c r="CQ168" s="6"/>
      <c r="CR168" s="6"/>
      <c r="CS168" s="6"/>
      <c r="CT168" s="6"/>
      <c r="CU168" s="6"/>
      <c r="CV168" s="6"/>
      <c r="CW168" s="6"/>
      <c r="CX168" s="6"/>
      <c r="CY168" s="6"/>
      <c r="CZ168" s="6"/>
      <c r="DA168" s="6"/>
      <c r="DB168" s="6"/>
      <c r="DC168" s="6"/>
      <c r="DD168" s="6"/>
      <c r="DE168" s="6"/>
      <c r="DF168" s="6"/>
      <c r="DG168" s="6"/>
      <c r="DH168" s="6"/>
    </row>
    <row r="169" spans="1:112" ht="12.75" customHeight="1">
      <c r="A169" s="762" t="s">
        <v>910</v>
      </c>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862" t="s">
        <v>337</v>
      </c>
      <c r="AB169" s="2862"/>
      <c r="AC169" s="2862"/>
      <c r="AD169" s="2862"/>
      <c r="AE169" s="2862"/>
      <c r="AF169" s="2862"/>
      <c r="AG169" s="2862"/>
      <c r="AH169" s="2862"/>
      <c r="AI169" s="2862"/>
      <c r="AJ169" s="2862"/>
      <c r="AK169" s="2862"/>
      <c r="AL169" s="2862"/>
      <c r="AM169" s="2862"/>
      <c r="AN169" s="11"/>
      <c r="AO169" s="6"/>
      <c r="AP169" s="6"/>
      <c r="AQ169" s="6"/>
      <c r="AR169" s="6"/>
      <c r="AS169" s="6"/>
      <c r="AT169" s="6"/>
      <c r="AU169" s="6"/>
      <c r="AV169" s="6"/>
      <c r="AW169" s="6"/>
      <c r="AX169" s="6"/>
      <c r="AY169" s="6"/>
      <c r="AZ169" s="6"/>
      <c r="BA169" s="6"/>
      <c r="BB169" s="6"/>
      <c r="BC169" s="6"/>
      <c r="BD169" s="6"/>
      <c r="BE169" s="6"/>
      <c r="BF169" s="6"/>
      <c r="BG169" s="6"/>
      <c r="BH169" s="6"/>
      <c r="BI169" s="6"/>
      <c r="BJ169" s="6"/>
      <c r="BK169" s="6"/>
      <c r="BL169" s="6"/>
      <c r="BM169" s="6"/>
      <c r="BN169" s="6"/>
      <c r="BO169" s="6"/>
      <c r="BP169" s="6"/>
      <c r="BQ169" s="6"/>
      <c r="BR169" s="6"/>
      <c r="BS169" s="6"/>
      <c r="BT169" s="254"/>
      <c r="BU169" s="6"/>
      <c r="BV169" s="6"/>
      <c r="BW169" s="6"/>
      <c r="BX169" s="6"/>
      <c r="BY169" s="254"/>
      <c r="BZ169" s="6"/>
      <c r="CA169" s="6"/>
      <c r="CB169" s="6"/>
      <c r="CC169" s="6"/>
      <c r="CD169" s="6"/>
      <c r="CE169" s="6"/>
      <c r="CF169" s="6"/>
      <c r="CG169" s="6"/>
      <c r="CH169" s="6"/>
      <c r="CI169" s="6"/>
      <c r="CJ169" s="6"/>
      <c r="CK169" s="6"/>
      <c r="CL169" s="6"/>
      <c r="CM169" s="6"/>
      <c r="CN169" s="254"/>
      <c r="CO169" s="6"/>
      <c r="CP169" s="6"/>
      <c r="CQ169" s="6"/>
      <c r="CR169" s="6"/>
      <c r="CS169" s="6"/>
      <c r="CT169" s="6"/>
      <c r="CU169" s="6"/>
      <c r="CV169" s="6"/>
      <c r="CW169" s="6"/>
      <c r="CX169" s="6"/>
      <c r="CY169" s="6"/>
      <c r="CZ169" s="6"/>
      <c r="DA169" s="6"/>
      <c r="DB169" s="6"/>
      <c r="DC169" s="6"/>
      <c r="DD169" s="6"/>
      <c r="DE169" s="6"/>
      <c r="DF169" s="6"/>
      <c r="DG169" s="6"/>
      <c r="DH169" s="6"/>
    </row>
    <row r="170" spans="1:112" s="875" customFormat="1" ht="12.75" customHeight="1">
      <c r="A170" s="762" t="s">
        <v>1557</v>
      </c>
      <c r="B170" s="36"/>
      <c r="C170" s="36"/>
      <c r="D170" s="36"/>
      <c r="E170" s="36"/>
      <c r="F170" s="36"/>
      <c r="G170" s="36"/>
      <c r="H170" s="36"/>
      <c r="I170" s="36"/>
      <c r="J170" s="36"/>
      <c r="K170" s="36"/>
      <c r="L170" s="36"/>
      <c r="M170" s="36"/>
      <c r="N170" s="36"/>
      <c r="O170" s="36"/>
      <c r="P170" s="36"/>
      <c r="Q170" s="36"/>
      <c r="R170" s="36"/>
      <c r="S170" s="36"/>
      <c r="T170" s="36"/>
      <c r="U170" s="36"/>
      <c r="V170" s="36"/>
      <c r="W170" s="36"/>
      <c r="X170" s="2094">
        <v>8.8710203470031548</v>
      </c>
      <c r="Y170" s="2094">
        <v>9.8222994334872009</v>
      </c>
      <c r="Z170" s="2094">
        <v>13.406795857578725</v>
      </c>
      <c r="AA170" s="2094">
        <v>15.067953138112861</v>
      </c>
      <c r="AB170" s="3250">
        <v>17.979225245095051</v>
      </c>
      <c r="AC170" s="3250">
        <v>20.39163506450544</v>
      </c>
      <c r="AD170" s="3250">
        <v>21.758103205495036</v>
      </c>
      <c r="AE170" s="3250">
        <v>22.95896464175047</v>
      </c>
      <c r="AF170" s="3250">
        <v>23.981335011170039</v>
      </c>
      <c r="AG170" s="3250">
        <v>24.850539849232366</v>
      </c>
      <c r="AH170" s="3250">
        <v>25.738505631749533</v>
      </c>
      <c r="AI170" s="3250">
        <v>26.608593607067132</v>
      </c>
      <c r="AJ170" s="3250">
        <v>27.477938626866152</v>
      </c>
      <c r="AK170" s="3250">
        <v>28.302683535259785</v>
      </c>
      <c r="AL170" s="3250">
        <v>28.918190993845261</v>
      </c>
      <c r="AM170" s="3250">
        <v>29.406376605264644</v>
      </c>
      <c r="AN170" s="1495">
        <f>AM170*(1+AN171)</f>
        <v>29.843990822390023</v>
      </c>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c r="BT170" s="2070"/>
      <c r="BU170" s="36"/>
      <c r="BV170" s="36"/>
      <c r="BW170" s="36"/>
      <c r="BX170" s="36"/>
      <c r="BY170" s="2070"/>
      <c r="BZ170" s="36"/>
      <c r="CA170" s="36"/>
      <c r="CB170" s="36"/>
      <c r="CC170" s="36"/>
      <c r="CD170" s="36"/>
      <c r="CE170" s="36"/>
      <c r="CF170" s="36"/>
      <c r="CG170" s="36"/>
      <c r="CH170" s="36"/>
      <c r="CI170" s="36"/>
      <c r="CJ170" s="36"/>
      <c r="CK170" s="36"/>
      <c r="CL170" s="36"/>
      <c r="CM170" s="36"/>
      <c r="CN170" s="2070"/>
      <c r="CO170" s="36"/>
      <c r="CP170" s="36"/>
      <c r="CQ170" s="36"/>
      <c r="CR170" s="36"/>
      <c r="CS170" s="36"/>
      <c r="CT170" s="36"/>
      <c r="CU170" s="36"/>
      <c r="CV170" s="36"/>
      <c r="CW170" s="36"/>
      <c r="CX170" s="36"/>
      <c r="CY170" s="36"/>
      <c r="CZ170" s="36"/>
      <c r="DA170" s="36"/>
      <c r="DB170" s="36"/>
      <c r="DC170" s="36"/>
      <c r="DD170" s="36"/>
      <c r="DE170" s="36"/>
      <c r="DF170" s="36"/>
      <c r="DG170" s="36"/>
      <c r="DH170" s="36"/>
    </row>
    <row r="171" spans="1:112" ht="12.75" customHeight="1">
      <c r="A171" s="761" t="s">
        <v>1559</v>
      </c>
      <c r="B171" s="6"/>
      <c r="C171" s="6"/>
      <c r="D171" s="6"/>
      <c r="E171" s="6"/>
      <c r="F171" s="6"/>
      <c r="G171" s="6"/>
      <c r="H171" s="6"/>
      <c r="I171" s="6"/>
      <c r="J171" s="6"/>
      <c r="K171" s="6"/>
      <c r="L171" s="6"/>
      <c r="M171" s="6"/>
      <c r="N171" s="6"/>
      <c r="O171" s="6"/>
      <c r="P171" s="6"/>
      <c r="Q171" s="6"/>
      <c r="R171" s="6"/>
      <c r="S171" s="6"/>
      <c r="T171" s="6"/>
      <c r="U171" s="6"/>
      <c r="V171" s="6"/>
      <c r="W171" s="6"/>
      <c r="X171" s="6"/>
      <c r="Y171" s="6"/>
      <c r="Z171" s="2066">
        <f>Z170/Y170-1</f>
        <v>0.36493455003732511</v>
      </c>
      <c r="AA171" s="2066">
        <f t="shared" ref="AA171:AL171" si="222">AA170/Z170-1</f>
        <v>0.12390412281806329</v>
      </c>
      <c r="AB171" s="2827">
        <f t="shared" si="222"/>
        <v>0.19320952755145115</v>
      </c>
      <c r="AC171" s="2827">
        <f t="shared" si="222"/>
        <v>0.13417762926511667</v>
      </c>
      <c r="AD171" s="2827">
        <f>AD170/AC170-1</f>
        <v>6.701121007055133E-2</v>
      </c>
      <c r="AE171" s="2827">
        <f t="shared" si="222"/>
        <v>5.5191457863484894E-2</v>
      </c>
      <c r="AF171" s="2827">
        <f t="shared" si="222"/>
        <v>4.4530334245143077E-2</v>
      </c>
      <c r="AG171" s="2827">
        <f t="shared" si="222"/>
        <v>3.6245056318068514E-2</v>
      </c>
      <c r="AH171" s="2827">
        <f t="shared" si="222"/>
        <v>3.5732253218820675E-2</v>
      </c>
      <c r="AI171" s="2827">
        <f t="shared" si="222"/>
        <v>3.3804914231085226E-2</v>
      </c>
      <c r="AJ171" s="2827">
        <f t="shared" si="222"/>
        <v>3.2671588458855094E-2</v>
      </c>
      <c r="AK171" s="2827">
        <f t="shared" si="222"/>
        <v>3.001480276934787E-2</v>
      </c>
      <c r="AL171" s="2827">
        <f t="shared" si="222"/>
        <v>2.1747317982009351E-2</v>
      </c>
      <c r="AM171" s="2827">
        <f>AM170/AL170-1</f>
        <v>1.6881609625003291E-2</v>
      </c>
      <c r="AN171" s="2048">
        <f>AM171-0.002</f>
        <v>1.4881609625003291E-2</v>
      </c>
      <c r="AO171" s="6"/>
      <c r="AP171" s="6"/>
      <c r="AQ171" s="6"/>
      <c r="AR171" s="6"/>
      <c r="AS171" s="6"/>
      <c r="AT171" s="6"/>
      <c r="AU171" s="6"/>
      <c r="AV171" s="6"/>
      <c r="AW171" s="6"/>
      <c r="AX171" s="6"/>
      <c r="AY171" s="6"/>
      <c r="AZ171" s="6"/>
      <c r="BA171" s="6"/>
      <c r="BB171" s="6"/>
      <c r="BC171" s="6"/>
      <c r="BD171" s="6"/>
      <c r="BE171" s="6"/>
      <c r="BF171" s="6"/>
      <c r="BG171" s="6"/>
      <c r="BH171" s="6"/>
      <c r="BI171" s="6"/>
      <c r="BJ171" s="6"/>
      <c r="BK171" s="6"/>
      <c r="BL171" s="6"/>
      <c r="BM171" s="6"/>
      <c r="BN171" s="6"/>
      <c r="BO171" s="6"/>
      <c r="BP171" s="6"/>
      <c r="BQ171" s="6"/>
      <c r="BR171" s="6"/>
      <c r="BS171" s="6"/>
      <c r="BT171" s="254"/>
      <c r="BU171" s="6"/>
      <c r="BV171" s="6"/>
      <c r="BW171" s="6"/>
      <c r="BX171" s="6"/>
      <c r="BY171" s="254"/>
      <c r="BZ171" s="6"/>
      <c r="CA171" s="6"/>
      <c r="CB171" s="6"/>
      <c r="CC171" s="6"/>
      <c r="CD171" s="6"/>
      <c r="CE171" s="6"/>
      <c r="CF171" s="6"/>
      <c r="CG171" s="6"/>
      <c r="CH171" s="6"/>
      <c r="CI171" s="6"/>
      <c r="CJ171" s="6"/>
      <c r="CK171" s="6"/>
      <c r="CL171" s="6"/>
      <c r="CM171" s="6"/>
      <c r="CN171" s="254"/>
      <c r="CO171" s="6"/>
      <c r="CP171" s="6"/>
      <c r="CQ171" s="6"/>
      <c r="CR171" s="6"/>
      <c r="CS171" s="6"/>
      <c r="CT171" s="6"/>
      <c r="CU171" s="6"/>
      <c r="CV171" s="6"/>
      <c r="CW171" s="6"/>
      <c r="CX171" s="6"/>
      <c r="CY171" s="6"/>
      <c r="CZ171" s="6"/>
      <c r="DA171" s="6"/>
      <c r="DB171" s="6"/>
      <c r="DC171" s="6"/>
      <c r="DD171" s="6"/>
      <c r="DE171" s="6"/>
      <c r="DF171" s="6"/>
      <c r="DG171" s="6"/>
      <c r="DH171" s="6"/>
    </row>
    <row r="172" spans="1:112" s="2068" customFormat="1" ht="12.75" customHeight="1">
      <c r="A172" s="761" t="s">
        <v>1560</v>
      </c>
      <c r="B172" s="43"/>
      <c r="C172" s="43"/>
      <c r="D172" s="43"/>
      <c r="E172" s="43"/>
      <c r="F172" s="43"/>
      <c r="G172" s="43"/>
      <c r="H172" s="43"/>
      <c r="I172" s="43"/>
      <c r="J172" s="43"/>
      <c r="K172" s="43"/>
      <c r="L172" s="43"/>
      <c r="M172" s="43"/>
      <c r="N172" s="43"/>
      <c r="O172" s="43"/>
      <c r="P172" s="43"/>
      <c r="Q172" s="43"/>
      <c r="R172" s="43"/>
      <c r="S172" s="43"/>
      <c r="T172" s="43"/>
      <c r="U172" s="43"/>
      <c r="V172" s="43"/>
      <c r="W172" s="43"/>
      <c r="X172" s="43"/>
      <c r="Y172" s="43"/>
      <c r="Z172" s="43"/>
      <c r="AA172" s="2066">
        <f>AA173/AA170</f>
        <v>1.9909804420693372E-2</v>
      </c>
      <c r="AB172" s="2827">
        <f t="shared" ref="AB172:AK172" si="223">AB173/AB170</f>
        <v>6.674369911058177E-2</v>
      </c>
      <c r="AC172" s="2827">
        <f t="shared" si="223"/>
        <v>0.10788737602652644</v>
      </c>
      <c r="AD172" s="3556">
        <f>AD173/AD170</f>
        <v>0.13696046810033505</v>
      </c>
      <c r="AE172" s="2827">
        <f t="shared" si="223"/>
        <v>0.15593037647219657</v>
      </c>
      <c r="AF172" s="2827">
        <f t="shared" si="223"/>
        <v>0.17221726805769266</v>
      </c>
      <c r="AG172" s="2827">
        <f t="shared" si="223"/>
        <v>0.18631385990365201</v>
      </c>
      <c r="AH172" s="2827">
        <f t="shared" si="223"/>
        <v>0.19736965590316194</v>
      </c>
      <c r="AI172" s="2827">
        <f t="shared" si="223"/>
        <v>0.20594850223668101</v>
      </c>
      <c r="AJ172" s="2827">
        <f t="shared" si="223"/>
        <v>0.21398985127111819</v>
      </c>
      <c r="AK172" s="2827">
        <f t="shared" si="223"/>
        <v>0.22188708686143882</v>
      </c>
      <c r="AL172" s="2827">
        <f>AL173/AL170</f>
        <v>0.23030486247972662</v>
      </c>
      <c r="AM172" s="2827">
        <f>AM173/AM170</f>
        <v>0.23872373309478756</v>
      </c>
      <c r="AN172" s="2066">
        <f>AN173/AN170</f>
        <v>0.24661581099529989</v>
      </c>
      <c r="AO172" s="43"/>
      <c r="AP172" s="43"/>
      <c r="AQ172" s="43"/>
      <c r="AR172" s="43"/>
      <c r="AS172" s="43"/>
      <c r="AT172" s="43"/>
      <c r="AU172" s="43"/>
      <c r="AV172" s="43"/>
      <c r="AW172" s="43"/>
      <c r="AX172" s="43"/>
      <c r="AY172" s="43"/>
      <c r="AZ172" s="43"/>
      <c r="BA172" s="43"/>
      <c r="BB172" s="43"/>
      <c r="BC172" s="43"/>
      <c r="BD172" s="43"/>
      <c r="BE172" s="43"/>
      <c r="BF172" s="43"/>
      <c r="BG172" s="43"/>
      <c r="BH172" s="43"/>
      <c r="BI172" s="43"/>
      <c r="BJ172" s="43"/>
      <c r="BK172" s="43"/>
      <c r="BL172" s="43"/>
      <c r="BM172" s="43"/>
      <c r="BN172" s="43"/>
      <c r="BO172" s="43"/>
      <c r="BP172" s="43"/>
      <c r="BQ172" s="43"/>
      <c r="BR172" s="43"/>
      <c r="BS172" s="43"/>
      <c r="BT172" s="2067"/>
      <c r="BU172" s="43"/>
      <c r="BV172" s="43"/>
      <c r="BW172" s="43"/>
      <c r="BX172" s="43"/>
      <c r="BY172" s="2067"/>
      <c r="BZ172" s="43"/>
      <c r="CA172" s="43"/>
      <c r="CB172" s="43"/>
      <c r="CC172" s="43"/>
      <c r="CD172" s="43"/>
      <c r="CE172" s="43"/>
      <c r="CF172" s="43"/>
      <c r="CG172" s="43"/>
      <c r="CH172" s="43"/>
      <c r="CI172" s="43"/>
      <c r="CJ172" s="43"/>
      <c r="CK172" s="43"/>
      <c r="CL172" s="43"/>
      <c r="CM172" s="43"/>
      <c r="CN172" s="2067"/>
      <c r="CO172" s="43"/>
      <c r="CP172" s="43"/>
      <c r="CQ172" s="43"/>
      <c r="CR172" s="43"/>
      <c r="CS172" s="43"/>
      <c r="CT172" s="43"/>
      <c r="CU172" s="43"/>
      <c r="CV172" s="43"/>
      <c r="CW172" s="43"/>
      <c r="CX172" s="43"/>
      <c r="CY172" s="43"/>
      <c r="CZ172" s="43"/>
      <c r="DA172" s="43"/>
      <c r="DB172" s="43"/>
      <c r="DC172" s="43"/>
      <c r="DD172" s="43"/>
      <c r="DE172" s="43"/>
      <c r="DF172" s="43"/>
      <c r="DG172" s="43"/>
      <c r="DH172" s="43"/>
    </row>
    <row r="173" spans="1:112" s="875" customFormat="1" ht="12.75" customHeight="1">
      <c r="A173" s="762" t="s">
        <v>1554</v>
      </c>
      <c r="B173" s="36"/>
      <c r="C173" s="36"/>
      <c r="D173" s="36"/>
      <c r="E173" s="36"/>
      <c r="F173" s="36"/>
      <c r="G173" s="36"/>
      <c r="H173" s="36"/>
      <c r="I173" s="36"/>
      <c r="J173" s="36"/>
      <c r="K173" s="36"/>
      <c r="L173" s="36"/>
      <c r="M173" s="36"/>
      <c r="N173" s="36"/>
      <c r="O173" s="36"/>
      <c r="P173" s="36"/>
      <c r="Q173" s="36"/>
      <c r="R173" s="36"/>
      <c r="S173" s="36"/>
      <c r="T173" s="36"/>
      <c r="U173" s="36"/>
      <c r="V173" s="36"/>
      <c r="W173" s="36"/>
      <c r="X173" s="36"/>
      <c r="Y173" s="36"/>
      <c r="Z173" s="914">
        <v>0</v>
      </c>
      <c r="AA173" s="914">
        <f>Z173+AA174</f>
        <v>0.3</v>
      </c>
      <c r="AB173" s="3557">
        <f>AA173+AB174</f>
        <v>1.2</v>
      </c>
      <c r="AC173" s="3557">
        <f>AB173+AC174</f>
        <v>2.2000000000000002</v>
      </c>
      <c r="AD173" s="3557">
        <f>AC173+AD174</f>
        <v>2.9800000000000004</v>
      </c>
      <c r="AE173" s="3557">
        <f t="shared" ref="AE173:AN173" si="224">AD173+AE174</f>
        <v>3.5800000000000005</v>
      </c>
      <c r="AF173" s="3557">
        <f t="shared" si="224"/>
        <v>4.1300000000000008</v>
      </c>
      <c r="AG173" s="3557">
        <f t="shared" si="224"/>
        <v>4.6300000000000008</v>
      </c>
      <c r="AH173" s="3557">
        <f t="shared" si="224"/>
        <v>5.080000000000001</v>
      </c>
      <c r="AI173" s="3557">
        <f t="shared" si="224"/>
        <v>5.4800000000000013</v>
      </c>
      <c r="AJ173" s="3557">
        <f t="shared" si="224"/>
        <v>5.8800000000000017</v>
      </c>
      <c r="AK173" s="3557">
        <f t="shared" si="224"/>
        <v>6.280000000000002</v>
      </c>
      <c r="AL173" s="3557">
        <f t="shared" si="224"/>
        <v>6.6600000000000019</v>
      </c>
      <c r="AM173" s="3557">
        <f t="shared" si="224"/>
        <v>7.0200000000000022</v>
      </c>
      <c r="AN173" s="914">
        <f t="shared" si="224"/>
        <v>7.3600000000000021</v>
      </c>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c r="BT173" s="2070"/>
      <c r="BU173" s="36"/>
      <c r="BV173" s="36"/>
      <c r="BW173" s="36"/>
      <c r="BX173" s="36"/>
      <c r="BY173" s="2070"/>
      <c r="BZ173" s="36"/>
      <c r="CA173" s="36"/>
      <c r="CB173" s="36"/>
      <c r="CC173" s="36"/>
      <c r="CD173" s="36"/>
      <c r="CE173" s="36"/>
      <c r="CF173" s="36"/>
      <c r="CG173" s="36"/>
      <c r="CH173" s="36"/>
      <c r="CI173" s="36"/>
      <c r="CJ173" s="36"/>
      <c r="CK173" s="36"/>
      <c r="CL173" s="36"/>
      <c r="CM173" s="36"/>
      <c r="CN173" s="2070"/>
      <c r="CO173" s="36"/>
      <c r="CP173" s="36"/>
      <c r="CQ173" s="36"/>
      <c r="CR173" s="36"/>
      <c r="CS173" s="36"/>
      <c r="CT173" s="36"/>
      <c r="CU173" s="36"/>
      <c r="CV173" s="36"/>
      <c r="CW173" s="36"/>
      <c r="CX173" s="36"/>
      <c r="CY173" s="36"/>
      <c r="CZ173" s="36"/>
      <c r="DA173" s="36"/>
      <c r="DB173" s="36"/>
      <c r="DC173" s="36"/>
      <c r="DD173" s="36"/>
      <c r="DE173" s="36"/>
      <c r="DF173" s="36"/>
      <c r="DG173" s="36"/>
      <c r="DH173" s="36"/>
    </row>
    <row r="174" spans="1:112" ht="12.75" customHeight="1">
      <c r="A174" s="2064" t="s">
        <v>1555</v>
      </c>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2011">
        <f>AA161</f>
        <v>0.3</v>
      </c>
      <c r="AB174" s="3349">
        <f>AB161</f>
        <v>0.9</v>
      </c>
      <c r="AC174" s="3252">
        <v>1</v>
      </c>
      <c r="AD174" s="3252">
        <f>AD161*1.2</f>
        <v>0.78</v>
      </c>
      <c r="AE174" s="3252">
        <v>0.6</v>
      </c>
      <c r="AF174" s="3252">
        <v>0.55000000000000004</v>
      </c>
      <c r="AG174" s="3252">
        <v>0.5</v>
      </c>
      <c r="AH174" s="3252">
        <v>0.45</v>
      </c>
      <c r="AI174" s="3252">
        <v>0.4</v>
      </c>
      <c r="AJ174" s="3252">
        <f t="shared" ref="AJ174:AK174" si="225">AI174</f>
        <v>0.4</v>
      </c>
      <c r="AK174" s="3252">
        <f t="shared" si="225"/>
        <v>0.4</v>
      </c>
      <c r="AL174" s="3252">
        <f>AK174-0.02</f>
        <v>0.38</v>
      </c>
      <c r="AM174" s="3252">
        <f t="shared" ref="AM174:AN174" si="226">AL174-0.02</f>
        <v>0.36</v>
      </c>
      <c r="AN174" s="2065">
        <f t="shared" si="226"/>
        <v>0.33999999999999997</v>
      </c>
      <c r="AO174" s="6"/>
      <c r="AP174" s="6"/>
      <c r="AQ174" s="6"/>
      <c r="AR174" s="6"/>
      <c r="AS174" s="6"/>
      <c r="AT174" s="6"/>
      <c r="AU174" s="6"/>
      <c r="AV174" s="6"/>
      <c r="AW174" s="6"/>
      <c r="AX174" s="6"/>
      <c r="AY174" s="6"/>
      <c r="AZ174" s="6"/>
      <c r="BA174" s="6"/>
      <c r="BB174" s="6"/>
      <c r="BC174" s="6"/>
      <c r="BD174" s="6"/>
      <c r="BE174" s="6"/>
      <c r="BF174" s="6"/>
      <c r="BG174" s="6"/>
      <c r="BH174" s="6"/>
      <c r="BI174" s="6"/>
      <c r="BJ174" s="6"/>
      <c r="BK174" s="6"/>
      <c r="BL174" s="6"/>
      <c r="BM174" s="6"/>
      <c r="BN174" s="6"/>
      <c r="BO174" s="6"/>
      <c r="BP174" s="6"/>
      <c r="BQ174" s="6"/>
      <c r="BR174" s="6"/>
      <c r="BS174" s="6"/>
      <c r="BT174" s="254"/>
      <c r="BU174" s="6"/>
      <c r="BV174" s="6"/>
      <c r="BW174" s="6"/>
      <c r="BX174" s="6"/>
      <c r="BY174" s="254"/>
      <c r="BZ174" s="6"/>
      <c r="CA174" s="6"/>
      <c r="CB174" s="6"/>
      <c r="CC174" s="6"/>
      <c r="CD174" s="6"/>
      <c r="CE174" s="6"/>
      <c r="CF174" s="6"/>
      <c r="CG174" s="6"/>
      <c r="CH174" s="6"/>
      <c r="CI174" s="6"/>
      <c r="CJ174" s="6"/>
      <c r="CK174" s="6"/>
      <c r="CL174" s="6"/>
      <c r="CM174" s="6"/>
      <c r="CN174" s="254"/>
      <c r="CO174" s="6"/>
      <c r="CP174" s="6"/>
      <c r="CQ174" s="6"/>
      <c r="CR174" s="6"/>
      <c r="CS174" s="6"/>
      <c r="CT174" s="6"/>
      <c r="CU174" s="6"/>
      <c r="CV174" s="6"/>
      <c r="CW174" s="6"/>
      <c r="CX174" s="6"/>
      <c r="CY174" s="6"/>
      <c r="CZ174" s="6"/>
      <c r="DA174" s="6"/>
      <c r="DB174" s="6"/>
      <c r="DC174" s="6"/>
      <c r="DD174" s="6"/>
      <c r="DE174" s="6"/>
      <c r="DF174" s="6"/>
      <c r="DG174" s="6"/>
      <c r="DH174" s="6"/>
    </row>
    <row r="175" spans="1:112" ht="12.75" customHeight="1">
      <c r="A175" s="2064" t="s">
        <v>1556</v>
      </c>
      <c r="B175" s="6"/>
      <c r="C175" s="6"/>
      <c r="D175" s="6"/>
      <c r="E175" s="6"/>
      <c r="F175" s="6"/>
      <c r="G175" s="6"/>
      <c r="H175" s="6"/>
      <c r="I175" s="6"/>
      <c r="J175" s="6"/>
      <c r="K175" s="6"/>
      <c r="L175" s="6"/>
      <c r="M175" s="6"/>
      <c r="N175" s="6"/>
      <c r="O175" s="6"/>
      <c r="P175" s="6"/>
      <c r="Q175" s="6"/>
      <c r="R175" s="6"/>
      <c r="S175" s="6"/>
      <c r="T175" s="6"/>
      <c r="U175" s="6"/>
      <c r="V175" s="6"/>
      <c r="W175" s="6"/>
      <c r="X175" s="6"/>
      <c r="Y175" s="6"/>
      <c r="Z175" s="6"/>
      <c r="AA175" s="314">
        <f>AVERAGE(Z173:AA173)</f>
        <v>0.15</v>
      </c>
      <c r="AB175" s="2932">
        <f>AVERAGE(AA173:AB173)</f>
        <v>0.75</v>
      </c>
      <c r="AC175" s="2932">
        <f t="shared" ref="AC175:AN175" si="227">AVERAGE(AB173:AC173)</f>
        <v>1.7000000000000002</v>
      </c>
      <c r="AD175" s="2932">
        <f t="shared" si="227"/>
        <v>2.5900000000000003</v>
      </c>
      <c r="AE175" s="2932">
        <f t="shared" si="227"/>
        <v>3.2800000000000002</v>
      </c>
      <c r="AF175" s="2932">
        <f t="shared" si="227"/>
        <v>3.8550000000000004</v>
      </c>
      <c r="AG175" s="2932">
        <f t="shared" si="227"/>
        <v>4.3800000000000008</v>
      </c>
      <c r="AH175" s="2932">
        <f t="shared" si="227"/>
        <v>4.8550000000000004</v>
      </c>
      <c r="AI175" s="2932">
        <f t="shared" si="227"/>
        <v>5.2800000000000011</v>
      </c>
      <c r="AJ175" s="2932">
        <f t="shared" si="227"/>
        <v>5.6800000000000015</v>
      </c>
      <c r="AK175" s="2932">
        <f t="shared" si="227"/>
        <v>6.0800000000000018</v>
      </c>
      <c r="AL175" s="2932">
        <f t="shared" si="227"/>
        <v>6.4700000000000024</v>
      </c>
      <c r="AM175" s="2932">
        <f t="shared" si="227"/>
        <v>6.8400000000000016</v>
      </c>
      <c r="AN175" s="314">
        <f t="shared" si="227"/>
        <v>7.1900000000000022</v>
      </c>
      <c r="AO175" s="6"/>
      <c r="AP175" s="6"/>
      <c r="AQ175" s="6"/>
      <c r="AR175" s="6"/>
      <c r="AS175" s="6"/>
      <c r="AT175" s="6"/>
      <c r="AU175" s="6"/>
      <c r="AV175" s="6"/>
      <c r="AW175" s="6"/>
      <c r="AX175" s="6"/>
      <c r="AY175" s="6"/>
      <c r="AZ175" s="6"/>
      <c r="BA175" s="6"/>
      <c r="BB175" s="6"/>
      <c r="BC175" s="6"/>
      <c r="BD175" s="6"/>
      <c r="BE175" s="6"/>
      <c r="BF175" s="6"/>
      <c r="BG175" s="6"/>
      <c r="BH175" s="6"/>
      <c r="BI175" s="6"/>
      <c r="BJ175" s="6"/>
      <c r="BK175" s="6"/>
      <c r="BL175" s="6"/>
      <c r="BM175" s="6"/>
      <c r="BN175" s="6"/>
      <c r="BO175" s="6"/>
      <c r="BP175" s="6"/>
      <c r="BQ175" s="6"/>
      <c r="BR175" s="6"/>
      <c r="BS175" s="6"/>
      <c r="BT175" s="254"/>
      <c r="BU175" s="6"/>
      <c r="BV175" s="6"/>
      <c r="BW175" s="6"/>
      <c r="BX175" s="6"/>
      <c r="BY175" s="254"/>
      <c r="BZ175" s="6"/>
      <c r="CA175" s="6"/>
      <c r="CB175" s="6"/>
      <c r="CC175" s="6"/>
      <c r="CD175" s="6"/>
      <c r="CE175" s="6"/>
      <c r="CF175" s="6"/>
      <c r="CG175" s="6"/>
      <c r="CH175" s="6"/>
      <c r="CI175" s="6"/>
      <c r="CJ175" s="6"/>
      <c r="CK175" s="6"/>
      <c r="CL175" s="6"/>
      <c r="CM175" s="6"/>
      <c r="CN175" s="254"/>
      <c r="CO175" s="6"/>
      <c r="CP175" s="6"/>
      <c r="CQ175" s="6"/>
      <c r="CR175" s="6"/>
      <c r="CS175" s="6"/>
      <c r="CT175" s="6"/>
      <c r="CU175" s="6"/>
      <c r="CV175" s="6"/>
      <c r="CW175" s="6"/>
      <c r="CX175" s="6"/>
      <c r="CY175" s="6"/>
      <c r="CZ175" s="6"/>
      <c r="DA175" s="6"/>
      <c r="DB175" s="6"/>
      <c r="DC175" s="6"/>
      <c r="DD175" s="6"/>
      <c r="DE175" s="6"/>
      <c r="DF175" s="6"/>
      <c r="DG175" s="6"/>
      <c r="DH175" s="6"/>
    </row>
    <row r="176" spans="1:112" ht="12.75" customHeight="1">
      <c r="A176" s="2064" t="s">
        <v>1553</v>
      </c>
      <c r="B176" s="6"/>
      <c r="C176" s="6"/>
      <c r="D176" s="6"/>
      <c r="E176" s="6"/>
      <c r="F176" s="6"/>
      <c r="G176" s="6"/>
      <c r="H176" s="6"/>
      <c r="I176" s="6"/>
      <c r="J176" s="6"/>
      <c r="K176" s="6"/>
      <c r="L176" s="6"/>
      <c r="M176" s="6"/>
      <c r="N176" s="6"/>
      <c r="O176" s="6"/>
      <c r="P176" s="6"/>
      <c r="Q176" s="6"/>
      <c r="R176" s="6"/>
      <c r="S176" s="6"/>
      <c r="T176" s="6"/>
      <c r="U176" s="6"/>
      <c r="V176" s="6"/>
      <c r="W176" s="6"/>
      <c r="X176" s="6"/>
      <c r="Y176" s="6"/>
      <c r="Z176" s="6"/>
      <c r="AA176" s="2069">
        <v>8.25</v>
      </c>
      <c r="AB176" s="60">
        <f>AA176*1.01</f>
        <v>8.3324999999999996</v>
      </c>
      <c r="AC176" s="60">
        <f>AB176*1.01</f>
        <v>8.4158249999999999</v>
      </c>
      <c r="AD176" s="60">
        <f>AC176*1.01</f>
        <v>8.4999832499999997</v>
      </c>
      <c r="AE176" s="60">
        <f>AD176*1.01</f>
        <v>8.5849830824999991</v>
      </c>
      <c r="AF176" s="60">
        <f t="shared" ref="AF176:AN176" si="228">AE176*1.01</f>
        <v>8.6708329133249986</v>
      </c>
      <c r="AG176" s="60">
        <f t="shared" si="228"/>
        <v>8.7575412424582488</v>
      </c>
      <c r="AH176" s="60">
        <f t="shared" si="228"/>
        <v>8.8451166548828315</v>
      </c>
      <c r="AI176" s="60">
        <f t="shared" si="228"/>
        <v>8.9335678214316605</v>
      </c>
      <c r="AJ176" s="60">
        <f t="shared" si="228"/>
        <v>9.0229034996459774</v>
      </c>
      <c r="AK176" s="60">
        <f t="shared" si="228"/>
        <v>9.1131325346424372</v>
      </c>
      <c r="AL176" s="60">
        <f t="shared" si="228"/>
        <v>9.2042638599888615</v>
      </c>
      <c r="AM176" s="60">
        <f t="shared" si="228"/>
        <v>9.2963064985887502</v>
      </c>
      <c r="AN176" s="60">
        <f t="shared" si="228"/>
        <v>9.3892695635746382</v>
      </c>
      <c r="AO176" s="6"/>
      <c r="AP176" s="6"/>
      <c r="AQ176" s="6"/>
      <c r="AR176" s="6"/>
      <c r="AS176" s="6"/>
      <c r="AT176" s="6"/>
      <c r="AU176" s="6"/>
      <c r="AV176" s="6"/>
      <c r="AW176" s="6"/>
      <c r="AX176" s="6"/>
      <c r="AY176" s="6"/>
      <c r="AZ176" s="6"/>
      <c r="BA176" s="6"/>
      <c r="BB176" s="6"/>
      <c r="BC176" s="6"/>
      <c r="BD176" s="6"/>
      <c r="BE176" s="6"/>
      <c r="BF176" s="6"/>
      <c r="BG176" s="6"/>
      <c r="BH176" s="6"/>
      <c r="BI176" s="6"/>
      <c r="BJ176" s="6"/>
      <c r="BK176" s="6"/>
      <c r="BL176" s="6"/>
      <c r="BM176" s="6"/>
      <c r="BN176" s="6"/>
      <c r="BO176" s="6"/>
      <c r="BP176" s="6"/>
      <c r="BQ176" s="6"/>
      <c r="BR176" s="6"/>
      <c r="BS176" s="6"/>
      <c r="BT176" s="254"/>
      <c r="BU176" s="6"/>
      <c r="BV176" s="6"/>
      <c r="BW176" s="6"/>
      <c r="BX176" s="6"/>
      <c r="BY176" s="254"/>
      <c r="BZ176" s="6"/>
      <c r="CA176" s="6"/>
      <c r="CB176" s="6"/>
      <c r="CC176" s="6"/>
      <c r="CD176" s="6"/>
      <c r="CE176" s="6"/>
      <c r="CF176" s="6"/>
      <c r="CG176" s="6"/>
      <c r="CH176" s="6"/>
      <c r="CI176" s="6"/>
      <c r="CJ176" s="6"/>
      <c r="CK176" s="6"/>
      <c r="CL176" s="6"/>
      <c r="CM176" s="6"/>
      <c r="CN176" s="254"/>
      <c r="CO176" s="6"/>
      <c r="CP176" s="6"/>
      <c r="CQ176" s="6"/>
      <c r="CR176" s="6"/>
      <c r="CS176" s="6"/>
      <c r="CT176" s="6"/>
      <c r="CU176" s="6"/>
      <c r="CV176" s="6"/>
      <c r="CW176" s="6"/>
      <c r="CX176" s="6"/>
      <c r="CY176" s="6"/>
      <c r="CZ176" s="6"/>
      <c r="DA176" s="6"/>
      <c r="DB176" s="6"/>
      <c r="DC176" s="6"/>
      <c r="DD176" s="6"/>
      <c r="DE176" s="6"/>
      <c r="DF176" s="6"/>
      <c r="DG176" s="6"/>
      <c r="DH176" s="6"/>
    </row>
    <row r="177" spans="1:112" s="875" customFormat="1" ht="12.75" customHeight="1">
      <c r="A177" s="2071" t="s">
        <v>1593</v>
      </c>
      <c r="B177" s="1506"/>
      <c r="C177" s="1506"/>
      <c r="D177" s="1506"/>
      <c r="E177" s="1506"/>
      <c r="F177" s="1506"/>
      <c r="G177" s="1506"/>
      <c r="H177" s="1506"/>
      <c r="I177" s="1506"/>
      <c r="J177" s="1506"/>
      <c r="K177" s="1506"/>
      <c r="L177" s="1506"/>
      <c r="M177" s="1506"/>
      <c r="N177" s="1506"/>
      <c r="O177" s="1506"/>
      <c r="P177" s="1506"/>
      <c r="Q177" s="1506"/>
      <c r="R177" s="1506"/>
      <c r="S177" s="1506"/>
      <c r="T177" s="1506"/>
      <c r="U177" s="1506"/>
      <c r="V177" s="1506"/>
      <c r="W177" s="1506"/>
      <c r="X177" s="1506"/>
      <c r="Y177" s="1506"/>
      <c r="Z177" s="1506"/>
      <c r="AA177" s="2072">
        <f t="shared" ref="AA177:AL177" si="229">(AA175-AA162)*AA176*12</f>
        <v>0</v>
      </c>
      <c r="AB177" s="2072">
        <f t="shared" si="229"/>
        <v>0</v>
      </c>
      <c r="AC177" s="2072">
        <f t="shared" si="229"/>
        <v>5.0494950000000269</v>
      </c>
      <c r="AD177" s="2072">
        <f t="shared" si="229"/>
        <v>16.82996683500005</v>
      </c>
      <c r="AE177" s="2072">
        <f t="shared" si="229"/>
        <v>28.845543157200023</v>
      </c>
      <c r="AF177" s="2072">
        <f t="shared" si="229"/>
        <v>39.105456439095761</v>
      </c>
      <c r="AG177" s="2072">
        <f t="shared" si="229"/>
        <v>48.69192930806792</v>
      </c>
      <c r="AH177" s="2072">
        <f t="shared" si="229"/>
        <v>57.581709423287279</v>
      </c>
      <c r="AI177" s="2072">
        <f t="shared" si="229"/>
        <v>65.751059165737217</v>
      </c>
      <c r="AJ177" s="2072">
        <f t="shared" si="229"/>
        <v>73.626892557111347</v>
      </c>
      <c r="AK177" s="2072">
        <f t="shared" si="229"/>
        <v>81.653667510396559</v>
      </c>
      <c r="AL177" s="2072">
        <f t="shared" si="229"/>
        <v>89.649529996291889</v>
      </c>
      <c r="AM177" s="2072">
        <f>(AM175-AM162)*AM176*12</f>
        <v>97.425292105210474</v>
      </c>
      <c r="AN177" s="2072">
        <f>(AN175-AN162)*AN176*12</f>
        <v>104.97203372076486</v>
      </c>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c r="BT177" s="2070"/>
      <c r="BU177" s="36"/>
      <c r="BV177" s="36"/>
      <c r="BW177" s="36"/>
      <c r="BX177" s="36"/>
      <c r="BY177" s="2070"/>
      <c r="BZ177" s="36"/>
      <c r="CA177" s="36"/>
      <c r="CB177" s="36"/>
      <c r="CC177" s="36"/>
      <c r="CD177" s="36"/>
      <c r="CE177" s="36"/>
      <c r="CF177" s="36"/>
      <c r="CG177" s="36"/>
      <c r="CH177" s="36"/>
      <c r="CI177" s="36"/>
      <c r="CJ177" s="36"/>
      <c r="CK177" s="36"/>
      <c r="CL177" s="36"/>
      <c r="CM177" s="36"/>
      <c r="CN177" s="2070"/>
      <c r="CO177" s="36"/>
      <c r="CP177" s="36"/>
      <c r="CQ177" s="36"/>
      <c r="CR177" s="36"/>
      <c r="CS177" s="36"/>
      <c r="CT177" s="36"/>
      <c r="CU177" s="36"/>
      <c r="CV177" s="36"/>
      <c r="CW177" s="36"/>
      <c r="CX177" s="36"/>
      <c r="CY177" s="36"/>
      <c r="CZ177" s="36"/>
      <c r="DA177" s="36"/>
      <c r="DB177" s="36"/>
      <c r="DC177" s="36"/>
      <c r="DD177" s="36"/>
      <c r="DE177" s="36"/>
      <c r="DF177" s="36"/>
      <c r="DG177" s="36"/>
      <c r="DH177" s="36"/>
    </row>
    <row r="178" spans="1:112" ht="12.75" customHeight="1">
      <c r="A178" s="107"/>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11"/>
      <c r="AH178" s="11"/>
      <c r="AI178" s="11"/>
      <c r="AJ178" s="11"/>
      <c r="AK178" s="11"/>
      <c r="AL178" s="11"/>
      <c r="AM178" s="11"/>
      <c r="AN178" s="11"/>
      <c r="AO178" s="6"/>
      <c r="AP178" s="6"/>
      <c r="AQ178" s="6"/>
      <c r="AR178" s="6"/>
      <c r="AS178" s="6"/>
      <c r="AT178" s="6"/>
      <c r="AU178" s="6"/>
      <c r="AV178" s="6"/>
      <c r="AW178" s="6"/>
      <c r="AX178" s="6"/>
      <c r="AY178" s="6"/>
      <c r="AZ178" s="6"/>
      <c r="BA178" s="6"/>
      <c r="BB178" s="6"/>
      <c r="BC178" s="6"/>
      <c r="BD178" s="6"/>
      <c r="BE178" s="6"/>
      <c r="BF178" s="6"/>
      <c r="BG178" s="6"/>
      <c r="BH178" s="6"/>
      <c r="BI178" s="6"/>
      <c r="BJ178" s="6"/>
      <c r="BK178" s="6"/>
      <c r="BL178" s="6"/>
      <c r="BM178" s="6"/>
      <c r="BN178" s="6"/>
      <c r="BO178" s="6"/>
      <c r="BP178" s="6"/>
      <c r="BQ178" s="6"/>
      <c r="BR178" s="6"/>
      <c r="BS178" s="6"/>
      <c r="BT178" s="254"/>
      <c r="BU178" s="6"/>
      <c r="BV178" s="6"/>
      <c r="BW178" s="6"/>
      <c r="BX178" s="6"/>
      <c r="BY178" s="254"/>
      <c r="BZ178" s="6"/>
      <c r="CA178" s="6"/>
      <c r="CB178" s="6"/>
      <c r="CC178" s="6"/>
      <c r="CD178" s="6"/>
      <c r="CE178" s="6"/>
      <c r="CF178" s="6"/>
      <c r="CG178" s="6"/>
      <c r="CH178" s="6"/>
      <c r="CI178" s="6"/>
      <c r="CJ178" s="6"/>
      <c r="CK178" s="6"/>
      <c r="CL178" s="6"/>
      <c r="CM178" s="6"/>
      <c r="CN178" s="254"/>
      <c r="CO178" s="6"/>
      <c r="CP178" s="6"/>
      <c r="CQ178" s="6"/>
      <c r="CR178" s="6"/>
      <c r="CS178" s="6"/>
      <c r="CT178" s="6"/>
      <c r="CU178" s="6"/>
      <c r="CV178" s="6"/>
      <c r="CW178" s="6"/>
      <c r="CX178" s="6"/>
      <c r="CY178" s="6"/>
      <c r="CZ178" s="6"/>
      <c r="DA178" s="6"/>
      <c r="DB178" s="6"/>
      <c r="DC178" s="6"/>
      <c r="DD178" s="6"/>
      <c r="DE178" s="6"/>
      <c r="DF178" s="6"/>
      <c r="DG178" s="6"/>
      <c r="DH178" s="6"/>
    </row>
    <row r="179" spans="1:112" ht="12.75" customHeight="1">
      <c r="A179" s="762" t="s">
        <v>1594</v>
      </c>
      <c r="B179" s="6"/>
      <c r="C179" s="6"/>
      <c r="D179" s="6"/>
      <c r="E179" s="6"/>
      <c r="F179" s="6"/>
      <c r="G179" s="6"/>
      <c r="H179" s="6"/>
      <c r="I179" s="6"/>
      <c r="J179" s="6"/>
      <c r="K179" s="6"/>
      <c r="L179" s="6"/>
      <c r="M179" s="6"/>
      <c r="N179" s="6"/>
      <c r="O179" s="6"/>
      <c r="P179" s="6"/>
      <c r="Q179" s="6"/>
      <c r="R179" s="6"/>
      <c r="S179" s="6"/>
      <c r="T179" s="6"/>
      <c r="U179" s="6"/>
      <c r="V179" s="6"/>
      <c r="W179" s="6"/>
      <c r="X179" s="6"/>
      <c r="Y179" s="6"/>
      <c r="Z179" s="6"/>
      <c r="AA179" s="2095">
        <f>AA177*0.9</f>
        <v>0</v>
      </c>
      <c r="AB179" s="2095">
        <f>AB177*0.9</f>
        <v>0</v>
      </c>
      <c r="AC179" s="2095">
        <f>AC177*0.9</f>
        <v>4.5445455000000248</v>
      </c>
      <c r="AD179" s="2095">
        <f>AD177*0.9</f>
        <v>15.146970151500046</v>
      </c>
      <c r="AE179" s="2095">
        <f t="shared" ref="AE179:AK179" si="230">AE177*0.9</f>
        <v>25.96098884148002</v>
      </c>
      <c r="AF179" s="2095">
        <f>AF177*0.9</f>
        <v>35.194910795186189</v>
      </c>
      <c r="AG179" s="2095">
        <f t="shared" si="230"/>
        <v>43.82273637726113</v>
      </c>
      <c r="AH179" s="2095">
        <f t="shared" si="230"/>
        <v>51.823538480958554</v>
      </c>
      <c r="AI179" s="2095">
        <f t="shared" si="230"/>
        <v>59.175953249163499</v>
      </c>
      <c r="AJ179" s="2095">
        <f t="shared" si="230"/>
        <v>66.264203301400215</v>
      </c>
      <c r="AK179" s="2095">
        <f t="shared" si="230"/>
        <v>73.488300759356903</v>
      </c>
      <c r="AL179" s="2095">
        <f>AL177*0.9</f>
        <v>80.684576996662699</v>
      </c>
      <c r="AM179" s="2095">
        <f>AM177*0.9</f>
        <v>87.682762894689432</v>
      </c>
      <c r="AN179" s="2095">
        <f>AN177*0.9</f>
        <v>94.474830348688371</v>
      </c>
      <c r="AO179" s="6"/>
      <c r="AP179" s="6"/>
      <c r="AQ179" s="6"/>
      <c r="AR179" s="6"/>
      <c r="AS179" s="6"/>
      <c r="AT179" s="6"/>
      <c r="AU179" s="6"/>
      <c r="AV179" s="6"/>
      <c r="AW179" s="6"/>
      <c r="AX179" s="6"/>
      <c r="AY179" s="6"/>
      <c r="AZ179" s="6"/>
      <c r="BA179" s="6"/>
      <c r="BB179" s="6"/>
      <c r="BC179" s="6"/>
      <c r="BD179" s="6"/>
      <c r="BE179" s="6"/>
      <c r="BF179" s="6"/>
      <c r="BG179" s="6"/>
      <c r="BH179" s="6"/>
      <c r="BI179" s="6"/>
      <c r="BJ179" s="6"/>
      <c r="BK179" s="6"/>
      <c r="BL179" s="6"/>
      <c r="BM179" s="6"/>
      <c r="BN179" s="6"/>
      <c r="BO179" s="6"/>
      <c r="BP179" s="6"/>
      <c r="BQ179" s="6"/>
      <c r="BR179" s="6"/>
      <c r="BS179" s="6"/>
      <c r="BT179" s="254"/>
      <c r="BU179" s="6"/>
      <c r="BV179" s="6"/>
      <c r="BW179" s="6"/>
      <c r="BX179" s="6"/>
      <c r="BY179" s="254"/>
      <c r="BZ179" s="6"/>
      <c r="CA179" s="6"/>
      <c r="CB179" s="6"/>
      <c r="CC179" s="6"/>
      <c r="CD179" s="6"/>
      <c r="CE179" s="6"/>
      <c r="CF179" s="6"/>
      <c r="CG179" s="6"/>
      <c r="CH179" s="6"/>
      <c r="CI179" s="6"/>
      <c r="CJ179" s="6"/>
      <c r="CK179" s="6"/>
      <c r="CL179" s="6"/>
      <c r="CM179" s="6"/>
      <c r="CN179" s="254"/>
      <c r="CO179" s="6"/>
      <c r="CP179" s="6"/>
      <c r="CQ179" s="6"/>
      <c r="CR179" s="6"/>
      <c r="CS179" s="6"/>
      <c r="CT179" s="6"/>
      <c r="CU179" s="6"/>
      <c r="CV179" s="6"/>
      <c r="CW179" s="6"/>
      <c r="CX179" s="6"/>
      <c r="CY179" s="6"/>
      <c r="CZ179" s="6"/>
      <c r="DA179" s="6"/>
      <c r="DB179" s="6"/>
      <c r="DC179" s="6"/>
      <c r="DD179" s="6"/>
      <c r="DE179" s="6"/>
      <c r="DF179" s="6"/>
      <c r="DG179" s="6"/>
      <c r="DH179" s="6"/>
    </row>
    <row r="180" spans="1:112" ht="12.75" customHeight="1">
      <c r="A180" s="107"/>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11"/>
      <c r="AH180" s="11"/>
      <c r="AI180" s="11"/>
      <c r="AJ180" s="11"/>
      <c r="AK180" s="1108"/>
      <c r="AL180" s="1108"/>
      <c r="AM180" s="2862"/>
      <c r="AN180" s="2862"/>
      <c r="AO180" s="2862"/>
      <c r="AP180" s="6"/>
      <c r="AQ180" s="6"/>
      <c r="AR180" s="6"/>
      <c r="AS180" s="6"/>
      <c r="AT180" s="6"/>
      <c r="AU180" s="6"/>
      <c r="AV180" s="6"/>
      <c r="AW180" s="6"/>
      <c r="AX180" s="6"/>
      <c r="AY180" s="6"/>
      <c r="AZ180" s="6"/>
      <c r="BA180" s="6"/>
      <c r="BB180" s="6"/>
      <c r="BC180" s="6"/>
      <c r="BD180" s="6"/>
      <c r="BE180" s="6"/>
      <c r="BF180" s="6"/>
      <c r="BG180" s="6"/>
      <c r="BH180" s="6"/>
      <c r="BI180" s="6"/>
      <c r="BJ180" s="6"/>
      <c r="BK180" s="6"/>
      <c r="BL180" s="6"/>
      <c r="BM180" s="6"/>
      <c r="BN180" s="6"/>
      <c r="BO180" s="6"/>
      <c r="BP180" s="6"/>
      <c r="BQ180" s="6"/>
      <c r="BR180" s="6"/>
      <c r="BS180" s="6"/>
      <c r="BT180" s="254"/>
      <c r="BU180" s="6"/>
      <c r="BV180" s="6"/>
      <c r="BW180" s="6"/>
      <c r="BX180" s="6"/>
      <c r="BY180" s="254"/>
      <c r="BZ180" s="6"/>
      <c r="CA180" s="6"/>
      <c r="CB180" s="6"/>
      <c r="CC180" s="6"/>
      <c r="CD180" s="6"/>
      <c r="CE180" s="6"/>
      <c r="CF180" s="6"/>
      <c r="CG180" s="6"/>
      <c r="CH180" s="6"/>
      <c r="CI180" s="6"/>
      <c r="CJ180" s="6"/>
      <c r="CK180" s="6"/>
      <c r="CL180" s="6"/>
      <c r="CM180" s="6"/>
      <c r="CN180" s="254"/>
      <c r="CO180" s="6"/>
      <c r="CP180" s="6"/>
      <c r="CQ180" s="6"/>
      <c r="CR180" s="6"/>
      <c r="CS180" s="6"/>
      <c r="CT180" s="6"/>
      <c r="CU180" s="6"/>
      <c r="CV180" s="6"/>
      <c r="CW180" s="6"/>
      <c r="CX180" s="6"/>
      <c r="CY180" s="6"/>
      <c r="CZ180" s="6"/>
      <c r="DA180" s="6"/>
      <c r="DB180" s="6"/>
      <c r="DC180" s="6"/>
      <c r="DD180" s="6"/>
      <c r="DE180" s="6"/>
      <c r="DF180" s="6"/>
      <c r="DG180" s="6"/>
      <c r="DH180" s="6"/>
    </row>
    <row r="181" spans="1:112" ht="12.75" customHeight="1">
      <c r="A181" s="762" t="s">
        <v>1589</v>
      </c>
      <c r="B181" s="36"/>
      <c r="C181" s="36"/>
      <c r="D181" s="36"/>
      <c r="E181" s="36"/>
      <c r="F181" s="36"/>
      <c r="G181" s="36"/>
      <c r="H181" s="36"/>
      <c r="I181" s="36"/>
      <c r="J181" s="36"/>
      <c r="K181" s="36"/>
      <c r="L181" s="36"/>
      <c r="M181" s="36"/>
      <c r="N181" s="36"/>
      <c r="O181" s="36"/>
      <c r="P181" s="36"/>
      <c r="Q181" s="36"/>
      <c r="R181" s="36"/>
      <c r="S181" s="36"/>
      <c r="T181" s="36"/>
      <c r="U181" s="36"/>
      <c r="V181" s="36"/>
      <c r="W181" s="36"/>
      <c r="X181" s="36"/>
      <c r="Y181" s="36"/>
      <c r="Z181" s="36"/>
      <c r="AA181" s="2096">
        <f>AA179/'GAAP Financial Statements'!Z23</f>
        <v>0</v>
      </c>
      <c r="AB181" s="2096">
        <f ca="1">AB179/'GAAP Financial Statements'!AA23</f>
        <v>0</v>
      </c>
      <c r="AC181" s="2096">
        <f ca="1">AC179/'GAAP Financial Statements'!AC23</f>
        <v>1.6162615484017707E-3</v>
      </c>
      <c r="AD181" s="2180">
        <f ca="1">AD179/'GAAP Financial Statements'!AD23</f>
        <v>4.9886001008905209E-3</v>
      </c>
      <c r="AE181" s="2096">
        <f ca="1">AE179/'GAAP Financial Statements'!AE23</f>
        <v>8.0553188026372471E-3</v>
      </c>
      <c r="AF181" s="2096">
        <f ca="1">AF179/'GAAP Financial Statements'!AF23</f>
        <v>9.8499450995898716E-3</v>
      </c>
      <c r="AG181" s="2096">
        <f ca="1">AG179/'GAAP Financial Statements'!AG23</f>
        <v>1.1915078380794026E-2</v>
      </c>
      <c r="AH181" s="2096">
        <f ca="1">AH179/'GAAP Financial Statements'!AH23</f>
        <v>1.3224415336832076E-2</v>
      </c>
      <c r="AI181" s="2096">
        <f ca="1">AI179/'GAAP Financial Statements'!AI23</f>
        <v>1.5827911445328986E-2</v>
      </c>
      <c r="AJ181" s="2096">
        <f ca="1">AJ179/'GAAP Financial Statements'!AJ23</f>
        <v>1.7276981336075279E-2</v>
      </c>
      <c r="AK181" s="2005">
        <f ca="1">AK179/'GAAP Financial Statements'!AK23</f>
        <v>1.918784245467001E-2</v>
      </c>
      <c r="AL181" s="2005">
        <f ca="1">AL179/'GAAP Financial Statements'!AL23</f>
        <v>2.1390521279690492E-2</v>
      </c>
      <c r="AM181" s="3043">
        <f ca="1">AM179/'GAAP Financial Statements'!AM23</f>
        <v>2.3584168989211375E-2</v>
      </c>
      <c r="AN181" s="3043">
        <f ca="1">AN179/'GAAP Financial Statements'!AN23</f>
        <v>2.4206171717771622E-2</v>
      </c>
      <c r="AO181" s="2862"/>
      <c r="AP181" s="6"/>
      <c r="AQ181" s="6"/>
      <c r="AR181" s="6"/>
      <c r="AS181" s="6"/>
      <c r="AT181" s="6"/>
      <c r="AU181" s="6"/>
      <c r="AV181" s="6"/>
      <c r="AW181" s="6"/>
      <c r="AX181" s="6"/>
      <c r="AY181" s="6"/>
      <c r="AZ181" s="6"/>
      <c r="BA181" s="6"/>
      <c r="BB181" s="6"/>
      <c r="BC181" s="6"/>
      <c r="BD181" s="6"/>
      <c r="BE181" s="6"/>
      <c r="BF181" s="6"/>
      <c r="BG181" s="6"/>
      <c r="BH181" s="6"/>
      <c r="BI181" s="6"/>
      <c r="BJ181" s="6"/>
      <c r="BK181" s="6"/>
      <c r="BL181" s="6"/>
      <c r="BM181" s="6"/>
      <c r="BN181" s="6"/>
      <c r="BO181" s="6"/>
      <c r="BP181" s="6"/>
      <c r="BQ181" s="6"/>
      <c r="BR181" s="6"/>
      <c r="BS181" s="6"/>
      <c r="BT181" s="254"/>
      <c r="BU181" s="6"/>
      <c r="BV181" s="6"/>
      <c r="BW181" s="6"/>
      <c r="BX181" s="6"/>
      <c r="BY181" s="254"/>
      <c r="BZ181" s="6"/>
      <c r="CA181" s="6"/>
      <c r="CB181" s="6"/>
      <c r="CC181" s="6"/>
      <c r="CD181" s="6"/>
      <c r="CE181" s="6"/>
      <c r="CF181" s="6"/>
      <c r="CG181" s="6"/>
      <c r="CH181" s="6"/>
      <c r="CI181" s="6"/>
      <c r="CJ181" s="6"/>
      <c r="CK181" s="6"/>
      <c r="CL181" s="6"/>
      <c r="CM181" s="6"/>
      <c r="CN181" s="254"/>
      <c r="CO181" s="6"/>
      <c r="CP181" s="6"/>
      <c r="CQ181" s="6"/>
      <c r="CR181" s="6"/>
      <c r="CS181" s="6"/>
      <c r="CT181" s="6"/>
      <c r="CU181" s="6"/>
      <c r="CV181" s="6"/>
      <c r="CW181" s="6"/>
      <c r="CX181" s="6"/>
      <c r="CY181" s="6"/>
      <c r="CZ181" s="6"/>
      <c r="DA181" s="6"/>
      <c r="DB181" s="6"/>
      <c r="DC181" s="6"/>
      <c r="DD181" s="6"/>
      <c r="DE181" s="6"/>
      <c r="DF181" s="6"/>
      <c r="DG181" s="6"/>
      <c r="DH181" s="6"/>
    </row>
    <row r="182" spans="1:112" ht="11.1" customHeight="1">
      <c r="A182" s="2064"/>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11"/>
      <c r="AH182" s="11"/>
      <c r="AI182" s="11"/>
      <c r="AJ182" s="11"/>
      <c r="AK182" s="11"/>
      <c r="AL182" s="11"/>
      <c r="AM182" s="2862"/>
      <c r="AN182" s="2862"/>
      <c r="AO182" s="2862"/>
      <c r="AP182" s="6"/>
      <c r="AQ182" s="6"/>
      <c r="AR182" s="6"/>
      <c r="AS182" s="6"/>
      <c r="AT182" s="6"/>
      <c r="AU182" s="6"/>
      <c r="AV182" s="6"/>
      <c r="AW182" s="6"/>
      <c r="AX182" s="6"/>
      <c r="AY182" s="6"/>
      <c r="AZ182" s="6"/>
      <c r="BA182" s="6"/>
      <c r="BB182" s="6"/>
      <c r="BC182" s="6"/>
      <c r="BD182" s="6"/>
      <c r="BE182" s="6"/>
      <c r="BF182" s="6"/>
      <c r="BG182" s="6"/>
      <c r="BH182" s="6"/>
      <c r="BI182" s="6"/>
      <c r="BJ182" s="6"/>
      <c r="BK182" s="6"/>
      <c r="BL182" s="6"/>
      <c r="BM182" s="6"/>
      <c r="BN182" s="6"/>
      <c r="BO182" s="6"/>
      <c r="BP182" s="6"/>
      <c r="BQ182" s="6"/>
      <c r="BR182" s="6"/>
      <c r="BS182" s="6"/>
      <c r="BT182" s="254"/>
      <c r="BU182" s="6"/>
      <c r="BV182" s="6"/>
      <c r="BW182" s="6"/>
      <c r="BX182" s="6"/>
      <c r="BY182" s="254"/>
      <c r="BZ182" s="6"/>
      <c r="CA182" s="6"/>
      <c r="CB182" s="6"/>
      <c r="CC182" s="6"/>
      <c r="CD182" s="6"/>
      <c r="CE182" s="6"/>
      <c r="CF182" s="6"/>
      <c r="CG182" s="6"/>
      <c r="CH182" s="6"/>
      <c r="CI182" s="6"/>
      <c r="CJ182" s="6"/>
      <c r="CK182" s="6"/>
      <c r="CL182" s="6"/>
      <c r="CM182" s="6"/>
      <c r="CN182" s="254"/>
      <c r="CO182" s="6"/>
      <c r="CP182" s="6"/>
      <c r="CQ182" s="6"/>
      <c r="CR182" s="6"/>
      <c r="CS182" s="6"/>
      <c r="CT182" s="6"/>
      <c r="CU182" s="6"/>
      <c r="CV182" s="6"/>
      <c r="CW182" s="6"/>
      <c r="CX182" s="6"/>
      <c r="CY182" s="6"/>
      <c r="CZ182" s="6"/>
      <c r="DA182" s="6"/>
      <c r="DB182" s="6"/>
      <c r="DC182" s="6"/>
      <c r="DD182" s="6"/>
      <c r="DE182" s="6"/>
      <c r="DF182" s="6"/>
      <c r="DG182" s="6"/>
      <c r="DH182" s="6"/>
    </row>
    <row r="184" spans="1:112">
      <c r="AA184" s="1096"/>
    </row>
  </sheetData>
  <mergeCells count="2">
    <mergeCell ref="BP5:BS5"/>
    <mergeCell ref="BU5:BX5"/>
  </mergeCells>
  <phoneticPr fontId="3" type="noConversion"/>
  <pageMargins left="0" right="0" top="0" bottom="0" header="0" footer="0"/>
  <pageSetup paperSize="5" scale="24" orientation="landscape" horizontalDpi="300" r:id="rId1"/>
  <headerFooter alignWithMargins="0"/>
  <rowBreaks count="1" manualBreakCount="1">
    <brk id="109" max="29" man="1"/>
  </rowBreaks>
  <ignoredErrors>
    <ignoredError sqref="X91:AK94 Y114:AK114 CN22 DT16 ED16:ED17 DO16 X96:AK96 X95:AB95 AD95:AK95 EI16:EI18 X59:AB59 CN16:CN18 AE20 AF20:AG20 AH20:AN20 AL114:AN114 AE59:AN59" formula="1"/>
    <ignoredError sqref="M6:U6" numberStoredAsText="1"/>
  </ignoredErrors>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autoPageBreaks="0" fitToPage="1"/>
  </sheetPr>
  <dimension ref="A1:DH181"/>
  <sheetViews>
    <sheetView showGridLines="0" zoomScaleNormal="100" zoomScaleSheetLayoutView="100" workbookViewId="0">
      <pane xSplit="3" ySplit="7" topLeftCell="AM8" activePane="bottomRight" state="frozen"/>
      <selection pane="topRight" activeCell="D1" sqref="D1"/>
      <selection pane="bottomLeft" activeCell="A11" sqref="A11"/>
      <selection pane="bottomRight" activeCell="AD159" sqref="AD159"/>
    </sheetView>
  </sheetViews>
  <sheetFormatPr defaultRowHeight="12.75" outlineLevelRow="2" outlineLevelCol="1"/>
  <cols>
    <col min="1" max="1" width="22.140625" customWidth="1"/>
    <col min="2" max="2" width="0.5703125" customWidth="1"/>
    <col min="3" max="3" width="11.42578125" customWidth="1"/>
    <col min="4" max="5" width="10.7109375" hidden="1" customWidth="1" outlineLevel="1"/>
    <col min="6" max="6" width="10.7109375" hidden="1" customWidth="1" outlineLevel="1" collapsed="1"/>
    <col min="7" max="15" width="10.7109375" hidden="1" customWidth="1" outlineLevel="1"/>
    <col min="16" max="16" width="10.7109375" hidden="1" customWidth="1" outlineLevel="1" collapsed="1"/>
    <col min="17" max="18" width="10.7109375" hidden="1" customWidth="1" outlineLevel="1"/>
    <col min="19" max="19" width="9.5703125" hidden="1" customWidth="1" outlineLevel="1"/>
    <col min="20" max="20" width="9.5703125" customWidth="1" collapsed="1"/>
    <col min="21" max="33" width="9.5703125" customWidth="1"/>
    <col min="34" max="38" width="10.7109375" hidden="1" customWidth="1" outlineLevel="1"/>
    <col min="39" max="39" width="10.85546875" customWidth="1" collapsed="1"/>
    <col min="40" max="40" width="10.7109375" hidden="1" customWidth="1" outlineLevel="1" collapsed="1"/>
    <col min="41" max="43" width="10.7109375" hidden="1" customWidth="1" outlineLevel="1"/>
    <col min="44" max="44" width="2.42578125" hidden="1" customWidth="1" outlineLevel="1"/>
    <col min="45" max="48" width="10.7109375" hidden="1" customWidth="1" outlineLevel="1"/>
    <col min="49" max="49" width="4" hidden="1" customWidth="1" outlineLevel="1"/>
    <col min="50" max="53" width="10.7109375" hidden="1" customWidth="1" outlineLevel="1"/>
    <col min="54" max="54" width="4.5703125" hidden="1" customWidth="1" outlineLevel="1"/>
    <col min="55" max="58" width="10.7109375" hidden="1" customWidth="1" outlineLevel="1"/>
    <col min="59" max="59" width="4.85546875" hidden="1" customWidth="1" outlineLevel="1"/>
    <col min="60" max="63" width="10.7109375" hidden="1" customWidth="1" outlineLevel="1"/>
    <col min="64" max="64" width="4.85546875" hidden="1" customWidth="1" outlineLevel="1"/>
    <col min="65" max="68" width="9.140625" hidden="1" customWidth="1" outlineLevel="1"/>
    <col min="69" max="69" width="6.85546875" hidden="1" customWidth="1" outlineLevel="1"/>
    <col min="70" max="70" width="9.140625" hidden="1" customWidth="1" outlineLevel="1" collapsed="1"/>
    <col min="71" max="74" width="9.140625" hidden="1" customWidth="1" outlineLevel="1"/>
    <col min="75" max="75" width="9.140625" hidden="1" customWidth="1" outlineLevel="1" collapsed="1"/>
    <col min="76" max="84" width="9.140625" hidden="1" customWidth="1" outlineLevel="1"/>
    <col min="85" max="85" width="9.140625" hidden="1" customWidth="1" outlineLevel="1" collapsed="1"/>
    <col min="86" max="89" width="9.140625" hidden="1" customWidth="1" outlineLevel="1"/>
    <col min="90" max="93" width="9.140625" style="1577" hidden="1" customWidth="1" outlineLevel="1"/>
    <col min="94" max="94" width="9.140625" style="2208" hidden="1" customWidth="1" outlineLevel="1"/>
    <col min="95" max="95" width="8.7109375" customWidth="1" collapsed="1"/>
    <col min="96" max="98" width="8.7109375" customWidth="1"/>
    <col min="100" max="103" width="8.7109375" style="1577" customWidth="1"/>
    <col min="109" max="109" width="9.140625" style="2807"/>
  </cols>
  <sheetData>
    <row r="1" spans="1:112">
      <c r="A1" s="862"/>
      <c r="B1" s="862"/>
      <c r="C1" s="862"/>
      <c r="D1" s="862"/>
      <c r="E1" s="862"/>
      <c r="F1" s="862"/>
      <c r="G1" s="935"/>
      <c r="H1" s="935"/>
      <c r="I1" s="935"/>
      <c r="J1" s="935"/>
      <c r="K1" s="935"/>
      <c r="L1" s="935"/>
      <c r="M1" s="935"/>
      <c r="N1" s="935"/>
      <c r="O1" s="935"/>
      <c r="P1" s="935"/>
      <c r="Q1" s="935"/>
      <c r="R1" s="935"/>
      <c r="S1" s="935"/>
      <c r="T1" s="935"/>
      <c r="U1" s="935"/>
      <c r="V1" s="935"/>
      <c r="W1" s="935"/>
      <c r="X1" s="935"/>
      <c r="Y1" s="935"/>
      <c r="Z1" s="935"/>
      <c r="AA1" s="935"/>
      <c r="AB1" s="935"/>
      <c r="AC1" s="935"/>
      <c r="AD1" s="935"/>
      <c r="AE1" s="935"/>
      <c r="AF1" s="935"/>
      <c r="AG1" s="935"/>
      <c r="AH1" s="935"/>
      <c r="AI1" s="935"/>
      <c r="AJ1" s="935"/>
      <c r="AK1" s="935"/>
      <c r="AL1" s="935"/>
      <c r="AM1" s="862"/>
      <c r="AN1" s="936"/>
      <c r="AO1" s="936"/>
      <c r="AP1" s="936"/>
      <c r="AQ1" s="936"/>
      <c r="AR1" s="936"/>
      <c r="AS1" s="936"/>
      <c r="AT1" s="936"/>
      <c r="AU1" s="936"/>
      <c r="AV1" s="936"/>
      <c r="AW1" s="936"/>
      <c r="AX1" s="936"/>
      <c r="AY1" s="936"/>
      <c r="AZ1" s="936"/>
      <c r="BA1" s="936"/>
      <c r="BB1" s="936"/>
      <c r="BC1" s="936"/>
      <c r="BD1" s="936"/>
      <c r="BE1" s="936"/>
      <c r="BF1" s="936"/>
      <c r="BG1" s="936"/>
      <c r="BH1" s="942" t="s">
        <v>337</v>
      </c>
      <c r="BI1" s="942"/>
      <c r="BJ1" s="942"/>
      <c r="BK1" s="942"/>
      <c r="BL1" s="906"/>
      <c r="CB1" s="1048"/>
      <c r="CC1" s="1048"/>
      <c r="CD1" s="1048"/>
      <c r="CE1" s="1048"/>
      <c r="CF1" s="1048"/>
      <c r="CG1" s="1048"/>
      <c r="CH1" s="1048"/>
      <c r="CI1" s="1048"/>
      <c r="CJ1" s="1048"/>
      <c r="CK1" s="1048"/>
      <c r="CL1" s="1048"/>
      <c r="CM1" s="1048"/>
      <c r="CN1" s="1048"/>
      <c r="CO1" s="1048"/>
      <c r="CP1" s="1048"/>
      <c r="CQ1" s="1048"/>
      <c r="CR1" s="1048"/>
      <c r="CS1" s="1048"/>
      <c r="CT1" s="1048"/>
      <c r="CU1" s="1048"/>
      <c r="CV1" s="1048"/>
      <c r="CW1" s="1048"/>
      <c r="CX1" s="1048"/>
      <c r="CY1" s="1048"/>
      <c r="CZ1" s="1048"/>
      <c r="DA1" s="1048"/>
      <c r="DB1" s="1048"/>
      <c r="DC1" s="1048"/>
      <c r="DD1" s="1048"/>
    </row>
    <row r="2" spans="1:112" ht="11.25" customHeight="1">
      <c r="A2" s="937"/>
      <c r="B2" s="862"/>
      <c r="C2" s="862"/>
      <c r="D2" s="862"/>
      <c r="E2" s="862"/>
      <c r="F2" s="862"/>
      <c r="G2" s="862"/>
      <c r="H2" s="862"/>
      <c r="I2" s="862"/>
      <c r="J2" s="862"/>
      <c r="K2" s="862"/>
      <c r="L2" s="862"/>
      <c r="M2" s="862"/>
      <c r="N2" s="862"/>
      <c r="O2" s="862"/>
      <c r="P2" s="862"/>
      <c r="Q2" s="862"/>
      <c r="R2" s="862"/>
      <c r="S2" s="862"/>
      <c r="T2" s="862"/>
      <c r="U2" s="862"/>
      <c r="V2" s="862"/>
      <c r="W2" s="862"/>
      <c r="X2" s="862"/>
      <c r="Y2" s="862"/>
      <c r="Z2" s="862"/>
      <c r="AA2" s="862"/>
      <c r="AB2" s="862"/>
      <c r="AC2" s="862"/>
      <c r="AD2" s="862"/>
      <c r="AE2" s="862"/>
      <c r="AF2" s="862"/>
      <c r="AG2" s="862"/>
      <c r="AH2" s="862"/>
      <c r="AI2" s="862"/>
      <c r="AJ2" s="862"/>
      <c r="AK2" s="862"/>
      <c r="AL2" s="862"/>
      <c r="AM2" s="862"/>
      <c r="AN2" s="940"/>
      <c r="AO2" s="940"/>
      <c r="AP2" s="939"/>
      <c r="AQ2" s="941"/>
      <c r="AR2" s="936"/>
      <c r="AS2" s="941"/>
      <c r="AT2" s="941"/>
      <c r="AU2" s="941"/>
      <c r="AV2" s="941"/>
      <c r="AW2" s="936"/>
      <c r="AX2" s="936"/>
      <c r="AY2" s="942"/>
      <c r="AZ2" s="942"/>
      <c r="BA2" s="942"/>
      <c r="BB2" s="936"/>
      <c r="BC2" s="941"/>
      <c r="BD2" s="941"/>
      <c r="BE2" s="941"/>
      <c r="BF2" s="941"/>
      <c r="BG2" s="936"/>
      <c r="BH2" s="941"/>
      <c r="BI2" s="936"/>
      <c r="BJ2" s="941"/>
      <c r="BK2" s="936"/>
      <c r="BL2" s="906"/>
      <c r="CB2" s="1353"/>
      <c r="CC2" s="1048"/>
      <c r="CD2" s="1048"/>
      <c r="CE2" s="1048"/>
      <c r="CF2" s="1048"/>
      <c r="CG2" s="1444"/>
      <c r="CH2" s="1444"/>
      <c r="CI2" s="1444"/>
      <c r="CJ2" s="977"/>
      <c r="CK2" s="1048"/>
      <c r="CL2" s="1048"/>
      <c r="CM2" s="1048"/>
      <c r="CN2" s="1048"/>
      <c r="CO2" s="1048"/>
      <c r="CP2" s="1048"/>
      <c r="CQ2" s="1048"/>
      <c r="CR2" s="1048"/>
      <c r="CS2" s="1048"/>
      <c r="CT2" s="1048"/>
      <c r="CU2" s="1048"/>
      <c r="CV2" s="1048"/>
      <c r="CW2" s="1048"/>
      <c r="CX2" s="1048"/>
      <c r="CY2" s="1048"/>
      <c r="CZ2" s="1048"/>
      <c r="DA2" s="1048"/>
      <c r="DB2" s="1048"/>
      <c r="DC2" s="1048"/>
      <c r="DD2" s="1048"/>
    </row>
    <row r="3" spans="1:112" ht="11.25" customHeight="1">
      <c r="A3" s="943" t="s">
        <v>4</v>
      </c>
      <c r="B3" s="865"/>
      <c r="C3" s="865"/>
      <c r="D3" s="862"/>
      <c r="E3" s="862"/>
      <c r="F3" s="862"/>
      <c r="G3" s="862"/>
      <c r="H3" s="862"/>
      <c r="I3" s="862"/>
      <c r="J3" s="944"/>
      <c r="K3" s="944"/>
      <c r="L3" s="944"/>
      <c r="M3" s="944"/>
      <c r="N3" s="944"/>
      <c r="O3" s="944"/>
      <c r="P3" s="944"/>
      <c r="Q3" s="944"/>
      <c r="R3" s="944"/>
      <c r="S3" s="944"/>
      <c r="T3" s="944"/>
      <c r="U3" s="944"/>
      <c r="V3" s="944"/>
      <c r="W3" s="944"/>
      <c r="X3" s="944"/>
      <c r="Y3" s="944"/>
      <c r="Z3" s="944"/>
      <c r="AA3" s="944"/>
      <c r="AB3" s="944"/>
      <c r="AC3" s="944"/>
      <c r="AD3" s="944"/>
      <c r="AE3" s="944"/>
      <c r="AF3" s="944"/>
      <c r="AG3" s="944"/>
      <c r="AH3" s="944"/>
      <c r="AI3" s="944"/>
      <c r="AJ3" s="944"/>
      <c r="AK3" s="944"/>
      <c r="AL3" s="944"/>
      <c r="AM3" s="862"/>
      <c r="AN3" s="945"/>
      <c r="AO3" s="945"/>
      <c r="AP3" s="945"/>
      <c r="AQ3" s="945"/>
      <c r="AR3" s="936"/>
      <c r="AS3" s="945"/>
      <c r="AT3" s="940"/>
      <c r="AU3" s="940"/>
      <c r="AV3" s="940"/>
      <c r="AW3" s="936"/>
      <c r="AX3" s="862"/>
      <c r="AY3" s="946"/>
      <c r="AZ3" s="940"/>
      <c r="BA3" s="940"/>
      <c r="BB3" s="936"/>
      <c r="BC3" s="940"/>
      <c r="BD3" s="940"/>
      <c r="BE3" s="940"/>
      <c r="BF3" s="940"/>
      <c r="BG3" s="936"/>
      <c r="BH3" s="940"/>
      <c r="BI3" s="936"/>
      <c r="BJ3" s="940"/>
      <c r="BK3" s="936"/>
      <c r="BL3" s="906"/>
      <c r="CL3"/>
      <c r="CM3"/>
      <c r="CN3"/>
      <c r="CO3"/>
      <c r="CP3"/>
      <c r="CV3"/>
      <c r="CW3"/>
      <c r="CZ3" s="1577"/>
    </row>
    <row r="4" spans="1:112" ht="9.9499999999999993" customHeight="1">
      <c r="A4" s="865" t="s">
        <v>5</v>
      </c>
      <c r="B4" s="865"/>
      <c r="C4" s="865"/>
      <c r="D4" s="862"/>
      <c r="E4" s="862"/>
      <c r="F4" s="862"/>
      <c r="G4" s="862"/>
      <c r="H4" s="862"/>
      <c r="I4" s="862"/>
      <c r="J4" s="862"/>
      <c r="K4" s="862"/>
      <c r="L4" s="862"/>
      <c r="M4" s="862"/>
      <c r="N4" s="862"/>
      <c r="O4" s="862"/>
      <c r="P4" s="862"/>
      <c r="Q4" s="862"/>
      <c r="R4" s="862"/>
      <c r="S4" s="862"/>
      <c r="T4" s="862"/>
      <c r="U4" s="862"/>
      <c r="V4" s="862"/>
      <c r="W4" s="862"/>
      <c r="X4" s="862"/>
      <c r="Y4" s="862"/>
      <c r="Z4" s="862"/>
      <c r="AA4" s="862"/>
      <c r="AB4" s="862"/>
      <c r="AC4" s="862"/>
      <c r="AD4" s="862"/>
      <c r="AE4" s="862"/>
      <c r="AF4" s="862"/>
      <c r="AG4" s="862"/>
      <c r="AH4" s="862"/>
      <c r="AI4" s="862"/>
      <c r="AJ4" s="862"/>
      <c r="AK4" s="862"/>
      <c r="AL4" s="862"/>
      <c r="AM4" s="862"/>
      <c r="AN4" s="936"/>
      <c r="AO4" s="936"/>
      <c r="AP4" s="936"/>
      <c r="AQ4" s="936"/>
      <c r="AR4" s="936"/>
      <c r="AS4" s="936"/>
      <c r="AT4" s="936"/>
      <c r="AU4" s="936"/>
      <c r="AV4" s="936"/>
      <c r="AW4" s="936"/>
      <c r="AX4" s="936"/>
      <c r="AY4" s="936"/>
      <c r="AZ4" s="936"/>
      <c r="BA4" s="936"/>
      <c r="BB4" s="936"/>
      <c r="BC4" s="939"/>
      <c r="BD4" s="936"/>
      <c r="BE4" s="936"/>
      <c r="BF4" s="936"/>
      <c r="BG4" s="936"/>
      <c r="BH4" s="936"/>
      <c r="BI4" s="936"/>
      <c r="BJ4" s="936"/>
      <c r="BK4" s="936"/>
      <c r="BL4" s="906"/>
      <c r="BM4" s="936"/>
      <c r="BN4" s="936"/>
      <c r="BO4" s="936"/>
      <c r="BP4" s="936"/>
      <c r="BQ4" s="936"/>
      <c r="BR4" s="936"/>
      <c r="BS4" s="936"/>
      <c r="BT4" s="936"/>
      <c r="BU4" s="936"/>
      <c r="BV4" s="936"/>
      <c r="BW4" s="936"/>
      <c r="BX4" s="936"/>
      <c r="BY4" s="936"/>
      <c r="BZ4" s="936"/>
      <c r="CA4" s="936"/>
      <c r="CB4" s="936"/>
      <c r="CC4" s="936"/>
      <c r="CD4" s="936"/>
      <c r="CE4" s="936"/>
      <c r="CF4" s="936"/>
      <c r="CG4" s="936"/>
      <c r="CH4" s="936"/>
      <c r="CI4" s="936"/>
      <c r="CJ4" s="936"/>
      <c r="CK4" s="936"/>
      <c r="CL4" s="936"/>
      <c r="CM4" s="936"/>
      <c r="CN4" s="936"/>
      <c r="CO4" s="936"/>
      <c r="CP4" s="936"/>
      <c r="CQ4" s="936"/>
    </row>
    <row r="5" spans="1:112" ht="3" customHeight="1">
      <c r="A5" s="883"/>
      <c r="B5" s="883"/>
      <c r="C5" s="883"/>
      <c r="D5" s="883"/>
      <c r="E5" s="883"/>
      <c r="F5" s="883"/>
      <c r="G5" s="883"/>
      <c r="H5" s="883"/>
      <c r="I5" s="883"/>
      <c r="J5" s="883"/>
      <c r="K5" s="883"/>
      <c r="L5" s="883"/>
      <c r="M5" s="883"/>
      <c r="N5" s="883"/>
      <c r="O5" s="883"/>
      <c r="P5" s="883"/>
      <c r="Q5" s="883"/>
      <c r="R5" s="883"/>
      <c r="S5" s="883"/>
      <c r="T5" s="883"/>
      <c r="U5" s="883"/>
      <c r="V5" s="883"/>
      <c r="W5" s="883"/>
      <c r="X5" s="883"/>
      <c r="Y5" s="883"/>
      <c r="Z5" s="948"/>
      <c r="AA5" s="948"/>
      <c r="AB5" s="948"/>
      <c r="AC5" s="948"/>
      <c r="AD5" s="948"/>
      <c r="AE5" s="948"/>
      <c r="AF5" s="948"/>
      <c r="AG5" s="948"/>
      <c r="AH5" s="865"/>
      <c r="AI5" s="865"/>
      <c r="AJ5" s="865"/>
      <c r="AK5" s="865"/>
      <c r="AL5" s="865"/>
      <c r="AM5" s="862"/>
      <c r="AN5" s="883"/>
      <c r="AO5" s="883"/>
      <c r="AP5" s="883"/>
      <c r="AQ5" s="883"/>
      <c r="AR5" s="936"/>
      <c r="AS5" s="883"/>
      <c r="AT5" s="883"/>
      <c r="AU5" s="883"/>
      <c r="AV5" s="883"/>
      <c r="AW5" s="936"/>
      <c r="AX5" s="883"/>
      <c r="AY5" s="883"/>
      <c r="AZ5" s="883"/>
      <c r="BA5" s="883"/>
      <c r="BB5" s="936"/>
      <c r="BC5" s="883"/>
      <c r="BD5" s="883"/>
      <c r="BE5" s="883"/>
      <c r="BF5" s="883"/>
      <c r="BG5" s="936"/>
      <c r="BH5" s="948"/>
      <c r="BI5" s="948"/>
      <c r="BJ5" s="948"/>
      <c r="BK5" s="948"/>
      <c r="BL5" s="938"/>
      <c r="BM5" s="948"/>
      <c r="BN5" s="948"/>
      <c r="BO5" s="948"/>
      <c r="BP5" s="948"/>
      <c r="BR5" s="948"/>
      <c r="BS5" s="948"/>
      <c r="BT5" s="948"/>
      <c r="BU5" s="948"/>
      <c r="BW5" s="948"/>
      <c r="BX5" s="948"/>
      <c r="BY5" s="948"/>
      <c r="BZ5" s="948"/>
      <c r="CB5" s="938"/>
      <c r="CC5" s="938"/>
      <c r="CD5" s="938"/>
      <c r="CE5" s="938"/>
      <c r="CF5" s="1352"/>
      <c r="CG5" s="1412"/>
      <c r="CH5" s="1412"/>
      <c r="CI5" s="1412"/>
      <c r="CJ5" s="938"/>
      <c r="CK5" s="1352"/>
      <c r="CL5" s="1579"/>
      <c r="CM5" s="1579"/>
      <c r="CN5" s="1579"/>
      <c r="CO5" s="1579"/>
      <c r="CP5" s="2204"/>
    </row>
    <row r="6" spans="1:112" ht="11.25" customHeight="1">
      <c r="A6" s="865"/>
      <c r="B6" s="865"/>
      <c r="C6" s="865"/>
      <c r="D6" s="949"/>
      <c r="E6" s="949"/>
      <c r="F6" s="949"/>
      <c r="G6" s="949"/>
      <c r="H6" s="949"/>
      <c r="I6" s="949"/>
      <c r="J6" s="949"/>
      <c r="K6" s="949"/>
      <c r="L6" s="949"/>
      <c r="M6" s="949"/>
      <c r="N6" s="949"/>
      <c r="O6" s="949"/>
      <c r="P6" s="949"/>
      <c r="Q6" s="949"/>
      <c r="R6" s="949"/>
      <c r="S6" s="949"/>
      <c r="T6" s="949"/>
      <c r="U6" s="949"/>
      <c r="V6" s="949"/>
      <c r="W6" s="949"/>
      <c r="X6" s="949"/>
      <c r="Y6" s="949"/>
      <c r="Z6" s="949"/>
      <c r="AA6" s="949"/>
      <c r="AB6" s="949"/>
      <c r="AC6" s="949"/>
      <c r="AD6" s="949"/>
      <c r="AE6" s="949"/>
      <c r="AF6" s="949"/>
      <c r="AG6" s="949"/>
      <c r="AH6" s="865"/>
      <c r="AI6" s="865"/>
      <c r="AJ6" s="865"/>
      <c r="AK6" s="865"/>
      <c r="AL6" s="865"/>
      <c r="AM6" s="862"/>
      <c r="AN6" s="950">
        <v>2005</v>
      </c>
      <c r="AO6" s="950"/>
      <c r="AP6" s="950"/>
      <c r="AQ6" s="950"/>
      <c r="AR6" s="936"/>
      <c r="AS6" s="950">
        <v>2006</v>
      </c>
      <c r="AT6" s="950"/>
      <c r="AU6" s="950"/>
      <c r="AV6" s="950"/>
      <c r="AW6" s="936"/>
      <c r="AX6" s="950" t="s">
        <v>875</v>
      </c>
      <c r="AY6" s="950"/>
      <c r="AZ6" s="950"/>
      <c r="BA6" s="950"/>
      <c r="BB6" s="936"/>
      <c r="BC6" s="950">
        <v>2008</v>
      </c>
      <c r="BD6" s="950"/>
      <c r="BE6" s="950"/>
      <c r="BF6" s="950"/>
      <c r="BG6" s="936"/>
      <c r="BH6" s="950">
        <v>2009</v>
      </c>
      <c r="BI6" s="950"/>
      <c r="BJ6" s="950"/>
      <c r="BK6" s="950"/>
      <c r="BL6" s="951"/>
      <c r="BM6" s="950">
        <v>2010</v>
      </c>
      <c r="BN6" s="950"/>
      <c r="BO6" s="950"/>
      <c r="BP6" s="950"/>
      <c r="BR6" s="950">
        <v>2011</v>
      </c>
      <c r="BS6" s="950"/>
      <c r="BT6" s="950"/>
      <c r="BU6" s="950"/>
      <c r="BW6" s="950">
        <v>2012</v>
      </c>
      <c r="BX6" s="950"/>
      <c r="BY6" s="950"/>
      <c r="BZ6" s="950"/>
      <c r="CB6" s="1576">
        <v>2013</v>
      </c>
      <c r="CC6" s="1576"/>
      <c r="CD6" s="1576"/>
      <c r="CE6" s="1576"/>
      <c r="CF6" s="1048"/>
      <c r="CG6" s="1576">
        <v>2014</v>
      </c>
      <c r="CH6" s="1576"/>
      <c r="CI6" s="1576"/>
      <c r="CJ6" s="1576"/>
      <c r="CK6" s="1048"/>
      <c r="CL6" s="1580">
        <v>2015</v>
      </c>
      <c r="CM6" s="1580"/>
      <c r="CN6" s="1580"/>
      <c r="CO6" s="1581"/>
      <c r="CP6" s="2203"/>
      <c r="CQ6" s="1580">
        <v>2016</v>
      </c>
      <c r="CR6" s="1580"/>
      <c r="CS6" s="1580"/>
      <c r="CT6" s="1581"/>
      <c r="CV6" s="1580" t="s">
        <v>469</v>
      </c>
      <c r="CW6" s="1580"/>
      <c r="CX6" s="1580"/>
      <c r="CY6" s="1581"/>
      <c r="DA6" s="1580" t="s">
        <v>618</v>
      </c>
      <c r="DB6" s="1580"/>
      <c r="DC6" s="1580"/>
      <c r="DD6" s="1581"/>
    </row>
    <row r="7" spans="1:112" ht="11.25" customHeight="1">
      <c r="A7" s="952"/>
      <c r="B7" s="953"/>
      <c r="C7" s="953"/>
      <c r="D7" s="954">
        <v>1999</v>
      </c>
      <c r="E7" s="954" t="s">
        <v>801</v>
      </c>
      <c r="F7" s="955">
        <v>2001</v>
      </c>
      <c r="G7" s="956">
        <v>2002</v>
      </c>
      <c r="H7" s="955">
        <v>2003</v>
      </c>
      <c r="I7" s="957">
        <v>2004</v>
      </c>
      <c r="J7" s="958" t="s">
        <v>367</v>
      </c>
      <c r="K7" s="956" t="s">
        <v>832</v>
      </c>
      <c r="L7" s="956" t="s">
        <v>875</v>
      </c>
      <c r="M7" s="956" t="s">
        <v>876</v>
      </c>
      <c r="N7" s="956" t="s">
        <v>437</v>
      </c>
      <c r="O7" s="956" t="s">
        <v>815</v>
      </c>
      <c r="P7" s="956" t="s">
        <v>1263</v>
      </c>
      <c r="Q7" s="956" t="s">
        <v>662</v>
      </c>
      <c r="R7" s="29" t="s">
        <v>844</v>
      </c>
      <c r="S7" s="29" t="s">
        <v>1529</v>
      </c>
      <c r="T7" s="29" t="s">
        <v>1629</v>
      </c>
      <c r="U7" s="29" t="s">
        <v>1766</v>
      </c>
      <c r="V7" s="956" t="s">
        <v>469</v>
      </c>
      <c r="W7" s="956" t="s">
        <v>618</v>
      </c>
      <c r="X7" s="956" t="s">
        <v>385</v>
      </c>
      <c r="Y7" s="956" t="s">
        <v>1080</v>
      </c>
      <c r="Z7" s="958" t="s">
        <v>345</v>
      </c>
      <c r="AA7" s="958" t="s">
        <v>346</v>
      </c>
      <c r="AB7" s="958" t="s">
        <v>1122</v>
      </c>
      <c r="AC7" s="958" t="s">
        <v>1123</v>
      </c>
      <c r="AD7" s="31" t="s">
        <v>1519</v>
      </c>
      <c r="AE7" s="31" t="s">
        <v>1609</v>
      </c>
      <c r="AF7" s="31" t="s">
        <v>1698</v>
      </c>
      <c r="AG7" s="31" t="s">
        <v>1803</v>
      </c>
      <c r="AH7" s="865"/>
      <c r="AI7" s="1220"/>
      <c r="AJ7" s="1220"/>
      <c r="AK7" s="1220"/>
      <c r="AL7" s="1220"/>
      <c r="AM7" s="862"/>
      <c r="AN7" s="954" t="s">
        <v>670</v>
      </c>
      <c r="AO7" s="954" t="s">
        <v>671</v>
      </c>
      <c r="AP7" s="954" t="s">
        <v>672</v>
      </c>
      <c r="AQ7" s="959" t="s">
        <v>673</v>
      </c>
      <c r="AR7" s="936"/>
      <c r="AS7" s="954" t="s">
        <v>670</v>
      </c>
      <c r="AT7" s="954" t="s">
        <v>671</v>
      </c>
      <c r="AU7" s="954" t="s">
        <v>672</v>
      </c>
      <c r="AV7" s="959" t="s">
        <v>673</v>
      </c>
      <c r="AW7" s="936"/>
      <c r="AX7" s="954" t="s">
        <v>670</v>
      </c>
      <c r="AY7" s="954" t="s">
        <v>671</v>
      </c>
      <c r="AZ7" s="954" t="s">
        <v>672</v>
      </c>
      <c r="BA7" s="959" t="s">
        <v>673</v>
      </c>
      <c r="BB7" s="936"/>
      <c r="BC7" s="954" t="s">
        <v>670</v>
      </c>
      <c r="BD7" s="954" t="str">
        <f>'Revenue and OCF'!CZ5</f>
        <v>2Q</v>
      </c>
      <c r="BE7" s="954" t="str">
        <f>'Revenue and OCF'!DA5</f>
        <v>3Q</v>
      </c>
      <c r="BF7" s="954" t="str">
        <f>'Revenue and OCF'!DB5</f>
        <v>4Q</v>
      </c>
      <c r="BG7" s="936"/>
      <c r="BH7" s="960" t="s">
        <v>670</v>
      </c>
      <c r="BI7" s="960" t="s">
        <v>671</v>
      </c>
      <c r="BJ7" s="960" t="s">
        <v>672</v>
      </c>
      <c r="BK7" s="961" t="s">
        <v>673</v>
      </c>
      <c r="BL7" s="953"/>
      <c r="BM7" s="960" t="s">
        <v>670</v>
      </c>
      <c r="BN7" s="960" t="s">
        <v>671</v>
      </c>
      <c r="BO7" s="960" t="s">
        <v>672</v>
      </c>
      <c r="BP7" s="961" t="s">
        <v>673</v>
      </c>
      <c r="BR7" s="960" t="s">
        <v>670</v>
      </c>
      <c r="BS7" s="960" t="s">
        <v>671</v>
      </c>
      <c r="BT7" s="960" t="s">
        <v>672</v>
      </c>
      <c r="BU7" s="961" t="s">
        <v>673</v>
      </c>
      <c r="BW7" s="960" t="s">
        <v>670</v>
      </c>
      <c r="BX7" s="960" t="s">
        <v>671</v>
      </c>
      <c r="BY7" s="960" t="s">
        <v>672</v>
      </c>
      <c r="BZ7" s="961" t="s">
        <v>673</v>
      </c>
      <c r="CB7" s="960" t="s">
        <v>670</v>
      </c>
      <c r="CC7" s="960" t="s">
        <v>671</v>
      </c>
      <c r="CD7" s="960" t="s">
        <v>672</v>
      </c>
      <c r="CE7" s="35" t="s">
        <v>673</v>
      </c>
      <c r="CF7" s="1048"/>
      <c r="CG7" s="35" t="s">
        <v>670</v>
      </c>
      <c r="CH7" s="35" t="s">
        <v>671</v>
      </c>
      <c r="CI7" s="35" t="s">
        <v>672</v>
      </c>
      <c r="CJ7" s="35" t="s">
        <v>673</v>
      </c>
      <c r="CK7" s="1048"/>
      <c r="CL7" s="1582" t="s">
        <v>670</v>
      </c>
      <c r="CM7" s="1582" t="s">
        <v>671</v>
      </c>
      <c r="CN7" s="1582" t="s">
        <v>672</v>
      </c>
      <c r="CO7" s="1582" t="s">
        <v>673</v>
      </c>
      <c r="CP7" s="2203"/>
      <c r="CQ7" s="1582" t="s">
        <v>670</v>
      </c>
      <c r="CR7" s="1582" t="s">
        <v>671</v>
      </c>
      <c r="CS7" s="1582" t="s">
        <v>672</v>
      </c>
      <c r="CT7" s="1582" t="s">
        <v>673</v>
      </c>
      <c r="CV7" s="1582" t="s">
        <v>670</v>
      </c>
      <c r="CW7" s="1582" t="s">
        <v>671</v>
      </c>
      <c r="CX7" s="1582" t="s">
        <v>672</v>
      </c>
      <c r="CY7" s="1583" t="s">
        <v>674</v>
      </c>
      <c r="DA7" s="1582" t="s">
        <v>1797</v>
      </c>
      <c r="DB7" s="1582" t="s">
        <v>1798</v>
      </c>
      <c r="DC7" s="1582" t="s">
        <v>1223</v>
      </c>
      <c r="DD7" s="1583" t="s">
        <v>674</v>
      </c>
    </row>
    <row r="8" spans="1:112" hidden="1" outlineLevel="1">
      <c r="A8" s="862" t="s">
        <v>197</v>
      </c>
      <c r="B8" s="862"/>
      <c r="C8" s="862"/>
      <c r="D8" s="962">
        <v>212.56700000000001</v>
      </c>
      <c r="E8" s="962">
        <v>370.79300000000001</v>
      </c>
      <c r="F8" s="962">
        <v>241.19900000000001</v>
      </c>
      <c r="G8" s="962">
        <v>183.31299999999999</v>
      </c>
      <c r="H8" s="962">
        <v>196.99</v>
      </c>
      <c r="I8" s="962">
        <v>256.245</v>
      </c>
      <c r="J8" s="963">
        <v>338.04700000000003</v>
      </c>
      <c r="K8" s="963">
        <f>SUM(AS8:AV8)</f>
        <v>369.25899999999996</v>
      </c>
      <c r="L8" s="963">
        <f>SUM(AX8:BA8)</f>
        <v>405.89499999999998</v>
      </c>
      <c r="M8" s="963">
        <f>SUM(BC8:BF8)</f>
        <v>432.0886375</v>
      </c>
      <c r="N8" s="1050">
        <f>SUM(BH8:BK8)</f>
        <v>392.49114037440398</v>
      </c>
      <c r="O8" s="1050">
        <f>SUM(BM8:BP8)</f>
        <v>414.35042920989582</v>
      </c>
      <c r="P8" s="1050">
        <f>SUM(BR8:BU8)</f>
        <v>416.78460047212724</v>
      </c>
      <c r="Q8" s="1050">
        <f>SUM(BW8:BZ8)</f>
        <v>437.26922344152388</v>
      </c>
      <c r="R8" s="1050">
        <f>SUM(CB8:CE8)</f>
        <v>497.59837929836181</v>
      </c>
      <c r="S8" s="1050">
        <f>SUM(CG8:CJ8)</f>
        <v>517.50231447029626</v>
      </c>
      <c r="T8" s="2667">
        <f>SUM(CL8:CO8)</f>
        <v>531.37293888872227</v>
      </c>
      <c r="U8" s="2667">
        <f>SUM(CQ8:CT8)</f>
        <v>543.06314354427411</v>
      </c>
      <c r="V8" s="2667">
        <f>SUM(CV8:CY8)</f>
        <v>553.92440641515964</v>
      </c>
      <c r="W8" s="2667">
        <f>SUM(DA8:DD8)</f>
        <v>565.00289454346284</v>
      </c>
      <c r="X8" s="966">
        <f t="shared" ref="X8:AE8" si="0">+X68*X65*12/1000</f>
        <v>575.73794953978881</v>
      </c>
      <c r="Y8" s="966">
        <f t="shared" si="0"/>
        <v>585.52549468196514</v>
      </c>
      <c r="Z8" s="966">
        <f t="shared" si="0"/>
        <v>594.30837710219475</v>
      </c>
      <c r="AA8" s="966">
        <f t="shared" si="0"/>
        <v>602.03438600452341</v>
      </c>
      <c r="AB8" s="966">
        <f t="shared" si="0"/>
        <v>608.65676425057313</v>
      </c>
      <c r="AC8" s="966">
        <f t="shared" si="0"/>
        <v>614.13467512882823</v>
      </c>
      <c r="AD8" s="966">
        <f t="shared" si="0"/>
        <v>618.43361785473019</v>
      </c>
      <c r="AE8" s="966">
        <f t="shared" si="0"/>
        <v>621.52578594400393</v>
      </c>
      <c r="AF8" s="966">
        <f>+AF68*AF65*12/1000</f>
        <v>624.63341487372384</v>
      </c>
      <c r="AG8" s="966">
        <f>+AG68*AG65*12/1000</f>
        <v>627.75658194809239</v>
      </c>
      <c r="AH8" s="865"/>
      <c r="AI8" s="966"/>
      <c r="AJ8" s="966"/>
      <c r="AK8" s="966"/>
      <c r="AL8" s="966"/>
      <c r="AM8" s="862"/>
      <c r="AN8" s="869">
        <v>71.405000000000001</v>
      </c>
      <c r="AO8" s="869">
        <v>80.693000000000012</v>
      </c>
      <c r="AP8" s="869">
        <v>82.263000000000005</v>
      </c>
      <c r="AQ8" s="869">
        <v>103.68600000000001</v>
      </c>
      <c r="AR8" s="869"/>
      <c r="AS8" s="964">
        <v>79.13</v>
      </c>
      <c r="AT8" s="964">
        <v>87.789000000000001</v>
      </c>
      <c r="AU8" s="964">
        <v>89.236000000000004</v>
      </c>
      <c r="AV8" s="964">
        <v>113.104</v>
      </c>
      <c r="AW8" s="965">
        <f>K8-SUM(AS8:AV8)</f>
        <v>0</v>
      </c>
      <c r="AX8" s="964">
        <v>89.076999999999998</v>
      </c>
      <c r="AY8" s="964">
        <v>94.602000000000004</v>
      </c>
      <c r="AZ8" s="964">
        <v>96.662999999999997</v>
      </c>
      <c r="BA8" s="964">
        <v>125.553</v>
      </c>
      <c r="BB8" s="965">
        <f>L8-SUM(AX8:BA8)</f>
        <v>0</v>
      </c>
      <c r="BC8" s="964">
        <v>91.42</v>
      </c>
      <c r="BD8" s="966">
        <f>+BD68*BD65*12/1000</f>
        <v>101.3376624</v>
      </c>
      <c r="BE8" s="966">
        <f>+BE68*BE65*12/1000</f>
        <v>103.5454056</v>
      </c>
      <c r="BF8" s="966">
        <f>+BF68*BF65*12/1000</f>
        <v>135.78556950000001</v>
      </c>
      <c r="BG8" s="965">
        <f>M8-SUM(BC8:BF8)</f>
        <v>0</v>
      </c>
      <c r="BH8" s="966">
        <f>+BH68*BH65*12/1000</f>
        <v>90.207770799999992</v>
      </c>
      <c r="BI8" s="966">
        <f>+BI68*BI65*12/1000</f>
        <v>89.451767977103998</v>
      </c>
      <c r="BJ8" s="966">
        <f>+BJ68*BJ65*12/1000</f>
        <v>94.019228284799993</v>
      </c>
      <c r="BK8" s="966">
        <f>+BK68*BK65*12/1000</f>
        <v>118.81237331250001</v>
      </c>
      <c r="BL8" s="965">
        <f>N8-SUM(BH8:BK8)</f>
        <v>0</v>
      </c>
      <c r="BM8" s="966">
        <f>+BM68*BM65*12/1000</f>
        <v>94.718159339999985</v>
      </c>
      <c r="BN8" s="966">
        <f>+BN68*BN65*12/1000</f>
        <v>93.924356375959192</v>
      </c>
      <c r="BO8" s="966">
        <f>+BO68*BO65*12/1000</f>
        <v>99.707391596030419</v>
      </c>
      <c r="BP8" s="966">
        <f>+BP68*BP65*12/1000</f>
        <v>126.00052189790627</v>
      </c>
      <c r="BQ8" s="965">
        <f>O8-SUM(BM8:BP8)</f>
        <v>0</v>
      </c>
      <c r="BR8" s="966">
        <f>+BR68*BR65*12/1000</f>
        <v>79.714802900543987</v>
      </c>
      <c r="BS8" s="966">
        <f>+BS68*BS65*12/1000</f>
        <v>98.808422907509083</v>
      </c>
      <c r="BT8" s="966">
        <f>+BT68*BT65*12/1000</f>
        <v>105.25630735313267</v>
      </c>
      <c r="BU8" s="966">
        <f>+BU68*BU65*12/1000</f>
        <v>133.00506731094151</v>
      </c>
      <c r="BV8" s="965">
        <f>P8-SUM(BR8:BU8)</f>
        <v>0</v>
      </c>
      <c r="BW8" s="966">
        <f>+BW68*BW65*12/1000</f>
        <v>83.683005788933059</v>
      </c>
      <c r="BX8" s="966">
        <f>+BX68*BX65*12/1000</f>
        <v>103.65003562997701</v>
      </c>
      <c r="BY8" s="966">
        <f>+BY68*BY65*12/1000</f>
        <v>110.4138664134362</v>
      </c>
      <c r="BZ8" s="966">
        <f>+BZ68*BZ65*12/1000</f>
        <v>139.52231560917764</v>
      </c>
      <c r="CA8" s="965">
        <f>Q8-SUM(BW8:BZ8)</f>
        <v>0</v>
      </c>
      <c r="CB8" s="966">
        <f>+CB68*CB65*12/1000</f>
        <v>100.41960694671967</v>
      </c>
      <c r="CC8" s="966">
        <f>+CC68*CC65*12/1000</f>
        <v>119.19754097447357</v>
      </c>
      <c r="CD8" s="966">
        <f>+CD68*CD65*12/1000</f>
        <v>123.11146105098133</v>
      </c>
      <c r="CE8" s="966">
        <f>+CE68*CE65*12/1000</f>
        <v>154.86977032618719</v>
      </c>
      <c r="CF8" s="965">
        <f>R8-SUM(CB8:CE8)</f>
        <v>0</v>
      </c>
      <c r="CG8" s="1440">
        <f>+CG68*CG65*12/1000</f>
        <v>104.43639122458848</v>
      </c>
      <c r="CH8" s="1440">
        <f>+CH68*CH65*12/1000</f>
        <v>123.96544261345252</v>
      </c>
      <c r="CI8" s="1440">
        <f>+CI68*CI65*12/1000</f>
        <v>128.0359194930206</v>
      </c>
      <c r="CJ8" s="966">
        <f>+CJ68*CJ65*12/1000</f>
        <v>161.06456113923471</v>
      </c>
      <c r="CK8" s="965">
        <f>$S8-SUM(CG8:CJ8)</f>
        <v>0</v>
      </c>
      <c r="CL8" s="1584">
        <f>+CL68*CL65*12/1000</f>
        <v>108.09166491744907</v>
      </c>
      <c r="CM8" s="1584">
        <f>+CM68*CM65*12/1000</f>
        <v>127.43647500662919</v>
      </c>
      <c r="CN8" s="1584">
        <f>+CN68*CN65*12/1000</f>
        <v>131.2368174803461</v>
      </c>
      <c r="CO8" s="1585">
        <f>+CO68*CO65*12/1000</f>
        <v>164.60798148429788</v>
      </c>
      <c r="CP8" s="2205">
        <f>$T8-SUM(CL8:CO8)</f>
        <v>0</v>
      </c>
      <c r="CQ8" s="1584">
        <f>+CQ68*CQ65*12/1000</f>
        <v>110.46968154563292</v>
      </c>
      <c r="CR8" s="1584">
        <f>+CR68*CR65*12/1000</f>
        <v>130.24007745677503</v>
      </c>
      <c r="CS8" s="1584">
        <f>+CS68*CS65*12/1000</f>
        <v>134.12402746491372</v>
      </c>
      <c r="CT8" s="1585">
        <f>+CT68*CT65*12/1000</f>
        <v>168.2293570769524</v>
      </c>
      <c r="CU8" s="965">
        <f>U8-SUM(CQ8:CT8)</f>
        <v>0</v>
      </c>
      <c r="CV8" s="1584">
        <f>+CV68*CV65*12/1000</f>
        <v>112.6790751765456</v>
      </c>
      <c r="CW8" s="1584">
        <f>+CW68*CW65*12/1000</f>
        <v>132.84487900591054</v>
      </c>
      <c r="CX8" s="1584">
        <f>+CX68*CX65*12/1000</f>
        <v>136.806508014212</v>
      </c>
      <c r="CY8" s="1585">
        <f>+CY68*CY65*12/1000</f>
        <v>171.59394421849149</v>
      </c>
      <c r="CZ8" s="965">
        <f>V8-SUM(CV8:CY8)</f>
        <v>0</v>
      </c>
      <c r="DA8" s="1584">
        <f>+DA68*DA65*12/1000</f>
        <v>114.93265668007651</v>
      </c>
      <c r="DB8" s="1584">
        <f>+DB68*DB65*12/1000</f>
        <v>135.50177658602874</v>
      </c>
      <c r="DC8" s="1584">
        <f>+DC68*DC65*12/1000</f>
        <v>139.54263817449623</v>
      </c>
      <c r="DD8" s="1584">
        <f>+DD68*DD65*12/1000</f>
        <v>175.0258231028613</v>
      </c>
      <c r="DE8" s="2854">
        <f>W8-SUM(DA8:DD8)</f>
        <v>0</v>
      </c>
    </row>
    <row r="9" spans="1:112" hidden="1" outlineLevel="1">
      <c r="A9" s="967" t="s">
        <v>676</v>
      </c>
      <c r="B9" s="862"/>
      <c r="C9" s="862"/>
      <c r="D9" s="968">
        <v>0</v>
      </c>
      <c r="E9" s="969">
        <f>E8/D8-1</f>
        <v>0.74435824939901307</v>
      </c>
      <c r="F9" s="969">
        <f t="shared" ref="F9:V9" si="1">F8/E8-1</f>
        <v>-0.3495049798674732</v>
      </c>
      <c r="G9" s="969">
        <f t="shared" si="1"/>
        <v>-0.23999270312065979</v>
      </c>
      <c r="H9" s="969">
        <f t="shared" si="1"/>
        <v>7.4610093119418908E-2</v>
      </c>
      <c r="I9" s="969">
        <f t="shared" si="1"/>
        <v>0.30080207117112545</v>
      </c>
      <c r="J9" s="969">
        <f t="shared" si="1"/>
        <v>0.31923354602041032</v>
      </c>
      <c r="K9" s="969">
        <f t="shared" si="1"/>
        <v>9.233035642972709E-2</v>
      </c>
      <c r="L9" s="969">
        <f t="shared" si="1"/>
        <v>9.9214914193018977E-2</v>
      </c>
      <c r="M9" s="969">
        <f t="shared" si="1"/>
        <v>6.4533038100986762E-2</v>
      </c>
      <c r="N9" s="969">
        <f t="shared" si="1"/>
        <v>-9.1642069911167301E-2</v>
      </c>
      <c r="O9" s="969">
        <f t="shared" si="1"/>
        <v>5.5693712766713421E-2</v>
      </c>
      <c r="P9" s="969">
        <f t="shared" si="1"/>
        <v>5.8746681326553585E-3</v>
      </c>
      <c r="Q9" s="969">
        <f t="shared" si="1"/>
        <v>4.9149183885853764E-2</v>
      </c>
      <c r="R9" s="969">
        <f t="shared" si="1"/>
        <v>0.13796799002229743</v>
      </c>
      <c r="S9" s="969">
        <f t="shared" si="1"/>
        <v>4.0000000000000036E-2</v>
      </c>
      <c r="T9" s="1586">
        <f t="shared" si="1"/>
        <v>2.6803019098810665E-2</v>
      </c>
      <c r="U9" s="1586">
        <f t="shared" si="1"/>
        <v>2.1999999999999797E-2</v>
      </c>
      <c r="V9" s="1586">
        <f t="shared" si="1"/>
        <v>2.0000000000000018E-2</v>
      </c>
      <c r="W9" s="1586">
        <f>W8/V8-1</f>
        <v>2.0000000000000018E-2</v>
      </c>
      <c r="X9" s="969">
        <f t="shared" ref="X9:AG9" si="2">X8/W8-1</f>
        <v>1.900000000000035E-2</v>
      </c>
      <c r="Y9" s="969">
        <f t="shared" si="2"/>
        <v>1.6999999999999904E-2</v>
      </c>
      <c r="Z9" s="969">
        <f t="shared" si="2"/>
        <v>1.5000000000000124E-2</v>
      </c>
      <c r="AA9" s="969">
        <f t="shared" si="2"/>
        <v>1.3000000000000123E-2</v>
      </c>
      <c r="AB9" s="969">
        <f t="shared" si="2"/>
        <v>1.0999999999999899E-2</v>
      </c>
      <c r="AC9" s="969">
        <f t="shared" si="2"/>
        <v>8.999999999999897E-3</v>
      </c>
      <c r="AD9" s="969">
        <f t="shared" si="2"/>
        <v>7.0000000000003393E-3</v>
      </c>
      <c r="AE9" s="969">
        <f t="shared" si="2"/>
        <v>5.0000000000001155E-3</v>
      </c>
      <c r="AF9" s="969">
        <f t="shared" si="2"/>
        <v>4.9999999999998934E-3</v>
      </c>
      <c r="AG9" s="969">
        <f t="shared" si="2"/>
        <v>4.9999999999998934E-3</v>
      </c>
      <c r="AH9" s="969"/>
      <c r="AI9" s="969"/>
      <c r="AJ9" s="969"/>
      <c r="AK9" s="969"/>
      <c r="AL9" s="969"/>
      <c r="AM9" s="862"/>
      <c r="AN9" s="969"/>
      <c r="AO9" s="969"/>
      <c r="AP9" s="969"/>
      <c r="AQ9" s="969"/>
      <c r="AR9" s="936"/>
      <c r="AS9" s="969">
        <f>AS8/AN8-1</f>
        <v>0.10818570128142269</v>
      </c>
      <c r="AT9" s="969">
        <f>AT8/AO8-1</f>
        <v>8.7938235038974799E-2</v>
      </c>
      <c r="AU9" s="969">
        <f>AU8/AP8-1</f>
        <v>8.4764718038486286E-2</v>
      </c>
      <c r="AV9" s="969">
        <f>AV8/AQ8-1</f>
        <v>9.0831934880311715E-2</v>
      </c>
      <c r="AW9" s="965"/>
      <c r="AX9" s="969">
        <f>AX8/AS8-1</f>
        <v>0.12570453683811444</v>
      </c>
      <c r="AY9" s="969">
        <f>AY8/AT8-1</f>
        <v>7.7606533848204151E-2</v>
      </c>
      <c r="AZ9" s="969">
        <f>AZ8/AU8-1</f>
        <v>8.3228741763413883E-2</v>
      </c>
      <c r="BA9" s="969">
        <f>BA8/AV8-1</f>
        <v>0.11006684113736021</v>
      </c>
      <c r="BB9" s="965"/>
      <c r="BC9" s="969">
        <f>BC8/AX8-1</f>
        <v>2.6303086094053407E-2</v>
      </c>
      <c r="BD9" s="969">
        <f>BD8/AY8-1</f>
        <v>7.119999999999993E-2</v>
      </c>
      <c r="BE9" s="969">
        <f>BE8/AZ8-1</f>
        <v>7.119999999999993E-2</v>
      </c>
      <c r="BF9" s="969">
        <f>BF8/BA8-1</f>
        <v>8.1500000000000128E-2</v>
      </c>
      <c r="BG9" s="965"/>
      <c r="BH9" s="969">
        <f>BH8/BC8-1</f>
        <v>-1.3260000000000161E-2</v>
      </c>
      <c r="BI9" s="969">
        <f>BI8/BD8-1</f>
        <v>-0.11729000000000001</v>
      </c>
      <c r="BJ9" s="969">
        <f>BJ8/BE8-1</f>
        <v>-9.1999999999999971E-2</v>
      </c>
      <c r="BK9" s="969">
        <f>BK8/BF8-1</f>
        <v>-0.125</v>
      </c>
      <c r="BL9" s="971"/>
      <c r="BM9" s="969">
        <f>BM8/BH8-1</f>
        <v>5.0000000000000044E-2</v>
      </c>
      <c r="BN9" s="969">
        <f>BN8/BI8-1</f>
        <v>5.0000000000000044E-2</v>
      </c>
      <c r="BO9" s="969">
        <f>BO8/BJ8-1</f>
        <v>6.050000000000022E-2</v>
      </c>
      <c r="BP9" s="969">
        <f>BP8/BK8-1</f>
        <v>6.0499999999999998E-2</v>
      </c>
      <c r="BR9" s="969">
        <f>BR8/BM8-1</f>
        <v>-0.15839999999999999</v>
      </c>
      <c r="BS9" s="969">
        <f>BS8/BN8-1</f>
        <v>5.2000000000000046E-2</v>
      </c>
      <c r="BT9" s="969">
        <f>BT8/BO8-1</f>
        <v>5.5651999999999591E-2</v>
      </c>
      <c r="BU9" s="969">
        <f>BU8/BP8-1</f>
        <v>5.5591399999999735E-2</v>
      </c>
      <c r="BW9" s="969">
        <f>BW8/BR8-1</f>
        <v>4.9779999999999935E-2</v>
      </c>
      <c r="BX9" s="969">
        <f>BX8/BS8-1</f>
        <v>4.8999999999999932E-2</v>
      </c>
      <c r="BY9" s="969">
        <f>BY8/BT8-1</f>
        <v>4.9000000000000155E-2</v>
      </c>
      <c r="BZ9" s="969">
        <f>BZ8/BU8-1</f>
        <v>4.8999999999999932E-2</v>
      </c>
      <c r="CB9" s="969">
        <f>CB8/BW8-1</f>
        <v>0.19999999999999996</v>
      </c>
      <c r="CC9" s="969">
        <f>CC8/BX8-1</f>
        <v>0.15000000000000013</v>
      </c>
      <c r="CD9" s="969">
        <f>CD8/BY8-1</f>
        <v>0.11499999999999977</v>
      </c>
      <c r="CE9" s="969">
        <f>CE8/BZ8-1</f>
        <v>0.1100000000000001</v>
      </c>
      <c r="CF9" s="1048"/>
      <c r="CG9" s="1441">
        <f>CG8/CB8-1</f>
        <v>4.0000000000000258E-2</v>
      </c>
      <c r="CH9" s="1441">
        <f>CH8/CC8-1</f>
        <v>4.0000000000000036E-2</v>
      </c>
      <c r="CI9" s="1441">
        <f>CI8/CD8-1</f>
        <v>4.0000000000000036E-2</v>
      </c>
      <c r="CJ9" s="969">
        <f>CJ8/CE8-1</f>
        <v>4.0000000000000258E-2</v>
      </c>
      <c r="CK9" s="1048"/>
      <c r="CL9" s="1586">
        <f>CL8/CG8-1</f>
        <v>3.499999999999992E-2</v>
      </c>
      <c r="CM9" s="1586">
        <f>CM8/CH8-1</f>
        <v>2.8000000000000025E-2</v>
      </c>
      <c r="CN9" s="1586">
        <f>CN8/CI8-1</f>
        <v>2.4999999999999911E-2</v>
      </c>
      <c r="CO9" s="1586">
        <f>CO8/CJ8-1</f>
        <v>2.200000000000002E-2</v>
      </c>
      <c r="CP9" s="2203"/>
      <c r="CQ9" s="1586">
        <f>CQ8/CL8-1</f>
        <v>2.1999999999999797E-2</v>
      </c>
      <c r="CR9" s="1586">
        <f>CR8/CM8-1</f>
        <v>2.200000000000002E-2</v>
      </c>
      <c r="CS9" s="1586">
        <f>CS8/CN8-1</f>
        <v>2.200000000000002E-2</v>
      </c>
      <c r="CT9" s="1586">
        <f>CT8/CO8-1</f>
        <v>2.1999999999999797E-2</v>
      </c>
      <c r="CU9" s="965"/>
      <c r="CV9" s="1586">
        <f>CV8/CQ8-1</f>
        <v>2.0000000000000018E-2</v>
      </c>
      <c r="CW9" s="1586">
        <f>CW8/CR8-1</f>
        <v>2.0000000000000018E-2</v>
      </c>
      <c r="CX9" s="1586">
        <f>CX8/CS8-1</f>
        <v>2.0000000000000018E-2</v>
      </c>
      <c r="CY9" s="1586">
        <f>CY8/CT8-1</f>
        <v>2.000000000000024E-2</v>
      </c>
      <c r="CZ9" s="965"/>
      <c r="DA9" s="1586">
        <f>DA8/CV8-1</f>
        <v>2.0000000000000018E-2</v>
      </c>
      <c r="DB9" s="1586">
        <f>DB8/CW8-1</f>
        <v>1.9999999999999796E-2</v>
      </c>
      <c r="DC9" s="1586">
        <f>DC8/CX8-1</f>
        <v>2.0000000000000018E-2</v>
      </c>
      <c r="DD9" s="1586">
        <f>DD8/CY8-1</f>
        <v>1.9999999999999796E-2</v>
      </c>
      <c r="DE9" s="2854"/>
    </row>
    <row r="10" spans="1:112" ht="3" hidden="1" customHeight="1" outlineLevel="1">
      <c r="A10" s="862"/>
      <c r="B10" s="862"/>
      <c r="C10" s="862"/>
      <c r="D10" s="862"/>
      <c r="E10" s="862"/>
      <c r="F10" s="862"/>
      <c r="G10" s="862"/>
      <c r="H10" s="862"/>
      <c r="I10" s="862"/>
      <c r="J10" s="862"/>
      <c r="K10" s="862"/>
      <c r="L10" s="862"/>
      <c r="M10" s="862"/>
      <c r="N10" s="862"/>
      <c r="O10" s="862"/>
      <c r="P10" s="862"/>
      <c r="Q10" s="906"/>
      <c r="R10" s="906"/>
      <c r="S10" s="906"/>
      <c r="T10" s="906"/>
      <c r="U10" s="906"/>
      <c r="V10" s="906"/>
      <c r="W10" s="906"/>
      <c r="X10" s="862"/>
      <c r="Y10" s="862"/>
      <c r="Z10" s="906"/>
      <c r="AA10" s="906"/>
      <c r="AB10" s="906"/>
      <c r="AC10" s="906"/>
      <c r="AD10" s="906"/>
      <c r="AE10" s="906"/>
      <c r="AF10" s="906"/>
      <c r="AG10" s="906"/>
      <c r="AH10" s="862"/>
      <c r="AI10" s="862"/>
      <c r="AJ10" s="862"/>
      <c r="AK10" s="862"/>
      <c r="AL10" s="862"/>
      <c r="AM10" s="862"/>
      <c r="AN10" s="906"/>
      <c r="AO10" s="906"/>
      <c r="AP10" s="906"/>
      <c r="AQ10" s="906"/>
      <c r="AR10" s="936"/>
      <c r="AS10" s="906"/>
      <c r="AT10" s="906"/>
      <c r="AU10" s="906"/>
      <c r="AV10" s="906"/>
      <c r="AW10" s="965"/>
      <c r="AX10" s="906"/>
      <c r="AY10" s="906"/>
      <c r="AZ10" s="906"/>
      <c r="BA10" s="906"/>
      <c r="BB10" s="965"/>
      <c r="BC10" s="906"/>
      <c r="BD10" s="906"/>
      <c r="BE10" s="906"/>
      <c r="BF10" s="906"/>
      <c r="BG10" s="965"/>
      <c r="BH10" s="906"/>
      <c r="BI10" s="906"/>
      <c r="BJ10" s="906"/>
      <c r="BK10" s="906"/>
      <c r="BL10" s="965"/>
      <c r="BM10" s="906"/>
      <c r="BN10" s="906"/>
      <c r="BO10" s="906"/>
      <c r="BP10" s="906"/>
      <c r="BR10" s="906"/>
      <c r="BS10" s="906"/>
      <c r="BT10" s="906"/>
      <c r="BU10" s="906"/>
      <c r="BW10" s="906"/>
      <c r="BX10" s="906"/>
      <c r="BY10" s="906"/>
      <c r="BZ10" s="906"/>
      <c r="CB10" s="906"/>
      <c r="CC10" s="906"/>
      <c r="CD10" s="906"/>
      <c r="CE10" s="906"/>
      <c r="CF10" s="1048"/>
      <c r="CG10" s="1404"/>
      <c r="CH10" s="1404"/>
      <c r="CI10" s="1404"/>
      <c r="CJ10" s="906"/>
      <c r="CK10" s="1048"/>
      <c r="CL10" s="1470"/>
      <c r="CM10" s="1470"/>
      <c r="CN10" s="1470"/>
      <c r="CO10" s="1470"/>
      <c r="CP10" s="2203"/>
      <c r="CQ10" s="1470"/>
      <c r="CR10" s="1470"/>
      <c r="CS10" s="1470"/>
      <c r="CT10" s="1470"/>
      <c r="CU10" s="965"/>
      <c r="CV10" s="1470"/>
      <c r="CW10" s="1470"/>
      <c r="CX10" s="1470"/>
      <c r="CY10" s="1470"/>
      <c r="CZ10" s="965">
        <f t="shared" ref="CZ10:CZ33" si="3">V10-SUM(CV10:CY10)</f>
        <v>0</v>
      </c>
      <c r="DA10" s="1470"/>
      <c r="DB10" s="1470"/>
      <c r="DC10" s="1470"/>
      <c r="DD10" s="1470"/>
      <c r="DE10" s="2854">
        <f t="shared" ref="DE10:DE33" si="4">W10-SUM(DA10:DD10)</f>
        <v>0</v>
      </c>
    </row>
    <row r="11" spans="1:112" hidden="1" outlineLevel="1">
      <c r="A11" s="865" t="s">
        <v>7</v>
      </c>
      <c r="B11" s="865"/>
      <c r="C11" s="865"/>
      <c r="D11" s="866">
        <v>0</v>
      </c>
      <c r="E11" s="866">
        <v>0</v>
      </c>
      <c r="F11" s="866">
        <v>0</v>
      </c>
      <c r="G11" s="866">
        <v>0</v>
      </c>
      <c r="H11" s="866">
        <v>0</v>
      </c>
      <c r="I11" s="866">
        <v>0</v>
      </c>
      <c r="J11" s="866">
        <v>0</v>
      </c>
      <c r="K11" s="866">
        <f>SUM(AS11:AV11)</f>
        <v>45</v>
      </c>
      <c r="L11" s="962">
        <f>SUM(AX11:BA11)</f>
        <v>166.1</v>
      </c>
      <c r="M11" s="962">
        <f>SUM(BC11:BF11)</f>
        <v>184.34802489999998</v>
      </c>
      <c r="N11" s="1202">
        <f>SUM(BH11:BK11)</f>
        <v>148.43130581309603</v>
      </c>
      <c r="O11" s="1050">
        <f>SUM(BM11:BP11)</f>
        <v>151.26277393194906</v>
      </c>
      <c r="P11" s="1050">
        <f>SUM(BR11:BU11)</f>
        <v>137.73749678038138</v>
      </c>
      <c r="Q11" s="1203">
        <f>+SUM(BW11:BZ11)</f>
        <v>145.79238559209807</v>
      </c>
      <c r="R11" s="1050">
        <f>SUM(CB11:CE11)</f>
        <v>168.23962850688639</v>
      </c>
      <c r="S11" s="1050">
        <f>SUM(CG11:CJ11)</f>
        <v>179.25089982322561</v>
      </c>
      <c r="T11" s="1050">
        <f>SUM(CL11:CO11)</f>
        <v>183.9902008833327</v>
      </c>
      <c r="U11" s="1050">
        <f>SUM(CQ11:CT11)</f>
        <v>129.20700218539736</v>
      </c>
      <c r="V11" s="1050">
        <f>SUM(CV11:CY11)</f>
        <v>129.20700218539736</v>
      </c>
      <c r="W11" s="1050">
        <f>SUM(DA11:DD11)</f>
        <v>129.20700218539736</v>
      </c>
      <c r="X11" s="972">
        <f t="shared" ref="X11:AC11" si="5">(X89*X92)/1000*12</f>
        <v>129.20700218539736</v>
      </c>
      <c r="Y11" s="972">
        <f t="shared" si="5"/>
        <v>129.20700218539736</v>
      </c>
      <c r="Z11" s="1243">
        <f t="shared" si="5"/>
        <v>129.20700218539736</v>
      </c>
      <c r="AA11" s="1243">
        <f t="shared" si="5"/>
        <v>129.20700218539736</v>
      </c>
      <c r="AB11" s="1243">
        <f t="shared" si="5"/>
        <v>129.20700218539736</v>
      </c>
      <c r="AC11" s="1243">
        <f t="shared" si="5"/>
        <v>129.20700218539736</v>
      </c>
      <c r="AD11" s="1243">
        <f>(AD89*AD92)/1000*12</f>
        <v>129.20700218539736</v>
      </c>
      <c r="AE11" s="1243">
        <f>(AE89*AE92)/1000*12</f>
        <v>129.20700218539736</v>
      </c>
      <c r="AF11" s="1243">
        <f>(AF89*AF92)/1000*12</f>
        <v>129.20700218539736</v>
      </c>
      <c r="AG11" s="1243">
        <f>(AG89*AG92)/1000*12</f>
        <v>129.20700218539736</v>
      </c>
      <c r="AH11" s="972"/>
      <c r="AI11" s="972"/>
      <c r="AJ11" s="972"/>
      <c r="AK11" s="972"/>
      <c r="AL11" s="972"/>
      <c r="AM11" s="865"/>
      <c r="AN11" s="865"/>
      <c r="AO11" s="865"/>
      <c r="AP11" s="865"/>
      <c r="AQ11" s="865"/>
      <c r="AR11" s="974"/>
      <c r="AS11" s="963">
        <v>10</v>
      </c>
      <c r="AT11" s="963">
        <v>15</v>
      </c>
      <c r="AU11" s="963">
        <v>10</v>
      </c>
      <c r="AV11" s="963">
        <v>10</v>
      </c>
      <c r="AW11" s="965">
        <f>K11-SUM(AS11:AV11)</f>
        <v>0</v>
      </c>
      <c r="AX11" s="973">
        <v>38.6</v>
      </c>
      <c r="AY11" s="973">
        <v>31.8</v>
      </c>
      <c r="AZ11" s="973">
        <v>37.1</v>
      </c>
      <c r="BA11" s="973">
        <v>58.6</v>
      </c>
      <c r="BB11" s="965">
        <f>L11-SUM(AX11:BA11)</f>
        <v>0</v>
      </c>
      <c r="BC11" s="973">
        <v>52.9</v>
      </c>
      <c r="BD11" s="973">
        <v>40.200000000000003</v>
      </c>
      <c r="BE11" s="1050">
        <f>BE13-BE8</f>
        <v>39.754594400000016</v>
      </c>
      <c r="BF11" s="1050">
        <f>BF13-BF8</f>
        <v>51.493430499999988</v>
      </c>
      <c r="BG11" s="965">
        <f>M11-SUM(BC11:BF11)</f>
        <v>0</v>
      </c>
      <c r="BH11" s="1050">
        <f>BH13-BH8</f>
        <v>44.09222920000002</v>
      </c>
      <c r="BI11" s="1050">
        <f>BI13-BI8</f>
        <v>37.648232022895996</v>
      </c>
      <c r="BJ11" s="1050">
        <f>BJ13-BJ8</f>
        <v>28.07077171520001</v>
      </c>
      <c r="BK11" s="972">
        <f>(BK89*BK92)/1000*12</f>
        <v>38.620072874999998</v>
      </c>
      <c r="BL11" s="965">
        <f>N11-SUM(BH11:BK11)</f>
        <v>0</v>
      </c>
      <c r="BM11" s="972">
        <f>(BM89*BM92)/1000*12</f>
        <v>44.53315149200003</v>
      </c>
      <c r="BN11" s="972">
        <f>(BN89*BN92)/1000*12</f>
        <v>38.024714343124963</v>
      </c>
      <c r="BO11" s="972">
        <f>(BO89*BO92)/1000*12</f>
        <v>28.918509020999053</v>
      </c>
      <c r="BP11" s="972">
        <f>(BP89*BP92)/1000*12</f>
        <v>39.786399075825003</v>
      </c>
      <c r="BQ11" s="965">
        <f>O11-SUM(BM11:BP11)</f>
        <v>0</v>
      </c>
      <c r="BR11" s="972">
        <f>(BR89*BR92)/1000*12</f>
        <v>35.40385543614002</v>
      </c>
      <c r="BS11" s="972">
        <f>(BS89*BS92)/1000*12</f>
        <v>29.801869866424191</v>
      </c>
      <c r="BT11" s="972">
        <f>(BT89*BT92)/1000*12</f>
        <v>30.529269973468697</v>
      </c>
      <c r="BU11" s="972">
        <f>(BU89*BU92)/1000*12</f>
        <v>42.002501504348444</v>
      </c>
      <c r="BV11" s="965">
        <f>P11-SUM(BR11:BU11)</f>
        <v>0</v>
      </c>
      <c r="BW11" s="972">
        <f>(BW89*BW92)/1000*12</f>
        <v>37.474272902045485</v>
      </c>
      <c r="BX11" s="972">
        <f>(BX89*BX92)/1000*12</f>
        <v>31.544683216212675</v>
      </c>
      <c r="BY11" s="972">
        <f>(BY89*BY92)/1000*12</f>
        <v>32.314621681517153</v>
      </c>
      <c r="BZ11" s="972">
        <f>(BZ89*BZ92)/1000*12</f>
        <v>44.458807792322744</v>
      </c>
      <c r="CA11" s="965">
        <f>Q11-SUM(BW11:BZ11)</f>
        <v>0</v>
      </c>
      <c r="CB11" s="1243">
        <f>(CB89*CB92)/1000*12</f>
        <v>45.418818757279134</v>
      </c>
      <c r="CC11" s="1243">
        <f>(CC89*CC92)/1000*12</f>
        <v>36.639149555631022</v>
      </c>
      <c r="CD11" s="1243">
        <f>(CD89*CD92)/1000*12</f>
        <v>36.338890778003204</v>
      </c>
      <c r="CE11" s="1243">
        <f>(CE89*CE92)/1000*12</f>
        <v>49.842769415973038</v>
      </c>
      <c r="CF11" s="965">
        <f>R11-SUM(CB11:CE11)</f>
        <v>0</v>
      </c>
      <c r="CG11" s="1442">
        <f>(CG89*CG92)/1000*12</f>
        <v>48.598136070288675</v>
      </c>
      <c r="CH11" s="1442">
        <f>(CH89*CH92)/1000*12</f>
        <v>39.570281520081508</v>
      </c>
      <c r="CI11" s="1442">
        <f>(CI89*CI92)/1000*12</f>
        <v>39.246002040243468</v>
      </c>
      <c r="CJ11" s="1243">
        <f>(CJ89*CJ92)/1000*12</f>
        <v>51.836480192611958</v>
      </c>
      <c r="CK11" s="965">
        <f>$S11-SUM(CG11:CJ11)</f>
        <v>0</v>
      </c>
      <c r="CL11" s="1587">
        <f>(CL89*CL92)/1000*12</f>
        <v>50.056080152397335</v>
      </c>
      <c r="CM11" s="1587">
        <f>(CM89*CM92)/1000*12</f>
        <v>40.678249402643786</v>
      </c>
      <c r="CN11" s="1587">
        <f>(CN89*CN92)/1000*12</f>
        <v>40.22715209124955</v>
      </c>
      <c r="CO11" s="1587">
        <f>(CO89*CO92)/1000*12</f>
        <v>53.028719237042026</v>
      </c>
      <c r="CP11" s="2205">
        <f>$T11-SUM(CL11:CO11)</f>
        <v>0</v>
      </c>
      <c r="CQ11" s="1587">
        <f>(CQ89*CQ92)/1000*12</f>
        <v>36.540938511250054</v>
      </c>
      <c r="CR11" s="1587">
        <f>(CR89*CR92)/1000*12</f>
        <v>27.661209593797771</v>
      </c>
      <c r="CS11" s="1587">
        <f>(CS89*CS92)/1000*12</f>
        <v>27.354463422049697</v>
      </c>
      <c r="CT11" s="1587">
        <f>(CT89*CT92)/1000*12</f>
        <v>37.650390658299841</v>
      </c>
      <c r="CU11" s="965">
        <f t="shared" ref="CU11:CU33" si="6">U11-SUM(CQ11:CT11)</f>
        <v>0</v>
      </c>
      <c r="CV11" s="1587">
        <f>(CV89*CV92)/1000*12</f>
        <v>36.540938511250054</v>
      </c>
      <c r="CW11" s="1587">
        <f>(CW89*CW92)/1000*12</f>
        <v>27.661209593797771</v>
      </c>
      <c r="CX11" s="1587">
        <f>(CX89*CX92)/1000*12</f>
        <v>27.354463422049697</v>
      </c>
      <c r="CY11" s="1587">
        <f>(CY89*CY92)/1000*12</f>
        <v>37.650390658299841</v>
      </c>
      <c r="CZ11" s="965">
        <f t="shared" si="3"/>
        <v>0</v>
      </c>
      <c r="DA11" s="1587">
        <f>(DA89*DA92)/1000*12</f>
        <v>36.540938511250054</v>
      </c>
      <c r="DB11" s="1587">
        <f>(DB89*DB92)/1000*12</f>
        <v>27.661209593797771</v>
      </c>
      <c r="DC11" s="1587">
        <f>(DC89*DC92)/1000*12</f>
        <v>27.354463422049697</v>
      </c>
      <c r="DD11" s="1587">
        <f>(DD89*DD92)/1000*12</f>
        <v>37.650390658299841</v>
      </c>
      <c r="DE11" s="2854">
        <f t="shared" si="4"/>
        <v>0</v>
      </c>
    </row>
    <row r="12" spans="1:112" hidden="1" outlineLevel="1">
      <c r="A12" s="967" t="s">
        <v>676</v>
      </c>
      <c r="B12" s="865"/>
      <c r="C12" s="865"/>
      <c r="D12" s="883"/>
      <c r="E12" s="883"/>
      <c r="F12" s="883"/>
      <c r="G12" s="883"/>
      <c r="H12" s="883"/>
      <c r="I12" s="883"/>
      <c r="J12" s="883"/>
      <c r="K12" s="883"/>
      <c r="L12" s="975">
        <f>L11/K11-1</f>
        <v>2.6911111111111108</v>
      </c>
      <c r="M12" s="975">
        <f>M11/L11-1</f>
        <v>0.10986167910897038</v>
      </c>
      <c r="N12" s="975">
        <f>N11/M11-1</f>
        <v>-0.19483104907897475</v>
      </c>
      <c r="O12" s="975">
        <f>O11/N11-1</f>
        <v>1.9075949668046377E-2</v>
      </c>
      <c r="P12" s="975">
        <f>P11/O11-1</f>
        <v>-8.9415768334729195E-2</v>
      </c>
      <c r="Q12" s="1163">
        <f t="shared" ref="Q12:V12" si="7">Q11/P11-1</f>
        <v>5.8479999999999865E-2</v>
      </c>
      <c r="R12" s="1163">
        <f t="shared" si="7"/>
        <v>0.15396718301593504</v>
      </c>
      <c r="S12" s="1163">
        <f t="shared" si="7"/>
        <v>6.5449926477271658E-2</v>
      </c>
      <c r="T12" s="1163">
        <f t="shared" si="7"/>
        <v>2.6439482673620729E-2</v>
      </c>
      <c r="U12" s="1163">
        <f t="shared" si="7"/>
        <v>-0.29775063256044332</v>
      </c>
      <c r="V12" s="1163">
        <f t="shared" si="7"/>
        <v>0</v>
      </c>
      <c r="W12" s="1163">
        <f>W11/V11-1</f>
        <v>0</v>
      </c>
      <c r="X12" s="975">
        <f t="shared" ref="X12:AG12" si="8">X11/W11-1</f>
        <v>0</v>
      </c>
      <c r="Y12" s="975">
        <f t="shared" si="8"/>
        <v>0</v>
      </c>
      <c r="Z12" s="1163">
        <f t="shared" si="8"/>
        <v>0</v>
      </c>
      <c r="AA12" s="1163">
        <f t="shared" si="8"/>
        <v>0</v>
      </c>
      <c r="AB12" s="1163">
        <f t="shared" si="8"/>
        <v>0</v>
      </c>
      <c r="AC12" s="1163">
        <f t="shared" si="8"/>
        <v>0</v>
      </c>
      <c r="AD12" s="1163">
        <f t="shared" si="8"/>
        <v>0</v>
      </c>
      <c r="AE12" s="1163">
        <f t="shared" si="8"/>
        <v>0</v>
      </c>
      <c r="AF12" s="1163">
        <f t="shared" si="8"/>
        <v>0</v>
      </c>
      <c r="AG12" s="1163">
        <f t="shared" si="8"/>
        <v>0</v>
      </c>
      <c r="AH12" s="989"/>
      <c r="AI12" s="989"/>
      <c r="AJ12" s="989"/>
      <c r="AK12" s="989"/>
      <c r="AL12" s="989"/>
      <c r="AM12" s="865"/>
      <c r="AN12" s="883"/>
      <c r="AO12" s="883"/>
      <c r="AP12" s="883"/>
      <c r="AQ12" s="883"/>
      <c r="AR12" s="974"/>
      <c r="AS12" s="883"/>
      <c r="AT12" s="883"/>
      <c r="AU12" s="883"/>
      <c r="AV12" s="883"/>
      <c r="AW12" s="965"/>
      <c r="AX12" s="975">
        <f>AX11/AS11-1</f>
        <v>2.8600000000000003</v>
      </c>
      <c r="AY12" s="975">
        <f>AY11/AT11-1</f>
        <v>1.1200000000000001</v>
      </c>
      <c r="AZ12" s="975">
        <f>AZ11/AU11-1</f>
        <v>2.71</v>
      </c>
      <c r="BA12" s="975">
        <f>BA11/AV11-1</f>
        <v>4.8600000000000003</v>
      </c>
      <c r="BB12" s="965"/>
      <c r="BC12" s="975">
        <f>BC11/AX11-1</f>
        <v>0.3704663212435233</v>
      </c>
      <c r="BD12" s="975">
        <f>BD11/AY11-1</f>
        <v>0.26415094339622658</v>
      </c>
      <c r="BE12" s="975">
        <f>BE11/AZ11-1</f>
        <v>7.1552409703504516E-2</v>
      </c>
      <c r="BF12" s="975">
        <f>BF11/BA11-1</f>
        <v>-0.12127251706484665</v>
      </c>
      <c r="BG12" s="965"/>
      <c r="BH12" s="975">
        <f>BH11/BC11-1</f>
        <v>-0.16649850283553835</v>
      </c>
      <c r="BI12" s="975">
        <f>BI11/BD11-1</f>
        <v>-6.3476815350845928E-2</v>
      </c>
      <c r="BJ12" s="975">
        <f>BJ11/BE11-1</f>
        <v>-0.29389867664704439</v>
      </c>
      <c r="BK12" s="975">
        <f>BK11/BF11-1</f>
        <v>-0.24999999999999989</v>
      </c>
      <c r="BL12" s="965"/>
      <c r="BM12" s="975">
        <f>BM11/BH11-1</f>
        <v>1.0000000000000231E-2</v>
      </c>
      <c r="BN12" s="975">
        <f>BN11/BI11-1</f>
        <v>1.0000000000000231E-2</v>
      </c>
      <c r="BO12" s="975">
        <f>BO11/BJ11-1</f>
        <v>3.0200000000000005E-2</v>
      </c>
      <c r="BP12" s="975">
        <f>BP11/BK11-1</f>
        <v>3.0200000000000005E-2</v>
      </c>
      <c r="BR12" s="975">
        <f>BR11/BM11-1</f>
        <v>-0.20500000000000007</v>
      </c>
      <c r="BS12" s="975">
        <f>BS11/BN11-1</f>
        <v>-0.21624999999999994</v>
      </c>
      <c r="BT12" s="975">
        <f>BT11/BO11-1</f>
        <v>5.5699999999999861E-2</v>
      </c>
      <c r="BU12" s="975">
        <f>BU11/BP11-1</f>
        <v>5.5699999999999639E-2</v>
      </c>
      <c r="BW12" s="975">
        <f>BW11/BR11-1</f>
        <v>5.8479999999999865E-2</v>
      </c>
      <c r="BX12" s="975">
        <f>BX11/BS11-1</f>
        <v>5.8479999999999865E-2</v>
      </c>
      <c r="BY12" s="975">
        <f>BY11/BT11-1</f>
        <v>5.848000000000031E-2</v>
      </c>
      <c r="BZ12" s="975">
        <f>BZ11/BU11-1</f>
        <v>5.8480000000000087E-2</v>
      </c>
      <c r="CB12" s="1163">
        <f>CB11/BW11-1</f>
        <v>0.21200000000000019</v>
      </c>
      <c r="CC12" s="1163">
        <f>CC11/BX11-1</f>
        <v>0.16149999999999998</v>
      </c>
      <c r="CD12" s="1163">
        <f>CD11/BY11-1</f>
        <v>0.12453399999999992</v>
      </c>
      <c r="CE12" s="1163">
        <f>CE11/BZ11-1</f>
        <v>0.12110000000000021</v>
      </c>
      <c r="CF12" s="1048"/>
      <c r="CG12" s="1443">
        <f>CG11/CB11-1</f>
        <v>7.0000000000000062E-2</v>
      </c>
      <c r="CH12" s="1443">
        <f>CH11/CC11-1</f>
        <v>8.0000000000000071E-2</v>
      </c>
      <c r="CI12" s="1443">
        <f>CI11/CD11-1</f>
        <v>8.0000000000000293E-2</v>
      </c>
      <c r="CJ12" s="1163">
        <f>CJ11/CE11-1</f>
        <v>4.0000000000000036E-2</v>
      </c>
      <c r="CK12" s="1048"/>
      <c r="CL12" s="1588">
        <f>CL11/CG11-1</f>
        <v>3.0000000000000027E-2</v>
      </c>
      <c r="CM12" s="1588">
        <f>CM11/CH11-1</f>
        <v>2.7999999999999803E-2</v>
      </c>
      <c r="CN12" s="1588">
        <f>CN11/CI11-1</f>
        <v>2.4999999999999911E-2</v>
      </c>
      <c r="CO12" s="1588">
        <f>CO11/CJ11-1</f>
        <v>2.2999999999999909E-2</v>
      </c>
      <c r="CP12" s="2203"/>
      <c r="CQ12" s="1588">
        <f>CQ11/CL11-1</f>
        <v>-0.27</v>
      </c>
      <c r="CR12" s="1588">
        <f>CR11/CM11-1</f>
        <v>-0.32000000000000006</v>
      </c>
      <c r="CS12" s="1588">
        <f>CS11/CN11-1</f>
        <v>-0.31999999999999995</v>
      </c>
      <c r="CT12" s="1588">
        <f>CT11/CO11-1</f>
        <v>-0.28999999999999992</v>
      </c>
      <c r="CU12" s="965"/>
      <c r="CV12" s="1588">
        <f>CV11/CQ11-1</f>
        <v>0</v>
      </c>
      <c r="CW12" s="1588">
        <f>CW11/CR11-1</f>
        <v>0</v>
      </c>
      <c r="CX12" s="1588">
        <f>CX11/CS11-1</f>
        <v>0</v>
      </c>
      <c r="CY12" s="1588">
        <f>CY11/CT11-1</f>
        <v>0</v>
      </c>
      <c r="CZ12" s="965"/>
      <c r="DA12" s="1588">
        <f>DA11/CV11-1</f>
        <v>0</v>
      </c>
      <c r="DB12" s="1588">
        <f>DB11/CW11-1</f>
        <v>0</v>
      </c>
      <c r="DC12" s="1588">
        <f>DC11/CX11-1</f>
        <v>0</v>
      </c>
      <c r="DD12" s="1588">
        <f>DD11/CY11-1</f>
        <v>0</v>
      </c>
      <c r="DE12" s="2854"/>
    </row>
    <row r="13" spans="1:112" s="2807" customFormat="1" ht="11.25" hidden="1" customHeight="1" outlineLevel="1">
      <c r="A13" s="3400" t="s">
        <v>675</v>
      </c>
      <c r="B13" s="2965"/>
      <c r="C13" s="2965"/>
      <c r="D13" s="3400">
        <v>287.03300000000002</v>
      </c>
      <c r="E13" s="3400">
        <v>427.67400000000004</v>
      </c>
      <c r="F13" s="3400">
        <v>285.80500000000001</v>
      </c>
      <c r="G13" s="3400">
        <v>236.95699999999999</v>
      </c>
      <c r="H13" s="3400">
        <v>246.24</v>
      </c>
      <c r="I13" s="3400">
        <v>291.15600000000001</v>
      </c>
      <c r="J13" s="3400">
        <v>338.04700000000003</v>
      </c>
      <c r="K13" s="3400">
        <f>SUM(AS13:AV13)</f>
        <v>414.25899999999996</v>
      </c>
      <c r="L13" s="3400">
        <f>SUM(AX13:BA13)</f>
        <v>571.995</v>
      </c>
      <c r="M13" s="3400">
        <f>SUM(BC13:BF13)</f>
        <v>616.43666239999993</v>
      </c>
      <c r="N13" s="3400">
        <f>SUM(BH13:BK13)</f>
        <v>540.92244618749999</v>
      </c>
      <c r="O13" s="3400">
        <f t="shared" ref="O13:R13" si="9">O11+O8</f>
        <v>565.61320314184491</v>
      </c>
      <c r="P13" s="3400">
        <f t="shared" si="9"/>
        <v>554.52209725250862</v>
      </c>
      <c r="Q13" s="3400">
        <f t="shared" si="9"/>
        <v>583.06160903362195</v>
      </c>
      <c r="R13" s="3400">
        <f t="shared" si="9"/>
        <v>665.83800780524825</v>
      </c>
      <c r="S13" s="3400">
        <f>S11+S8</f>
        <v>696.75321429352186</v>
      </c>
      <c r="T13" s="3400">
        <f>T11+T8</f>
        <v>715.36313977205498</v>
      </c>
      <c r="U13" s="3400">
        <f>U11+U8</f>
        <v>672.27014572967141</v>
      </c>
      <c r="V13" s="3400">
        <f>V11+V8</f>
        <v>683.13140860055705</v>
      </c>
      <c r="W13" s="3400">
        <f>W11+W8</f>
        <v>694.20989672886026</v>
      </c>
      <c r="X13" s="3400">
        <f t="shared" ref="X13:AC13" si="10">X11+X8</f>
        <v>704.94495172518623</v>
      </c>
      <c r="Y13" s="3400">
        <f t="shared" si="10"/>
        <v>714.73249686736244</v>
      </c>
      <c r="Z13" s="3400">
        <f t="shared" si="10"/>
        <v>723.51537928759217</v>
      </c>
      <c r="AA13" s="3400">
        <f t="shared" si="10"/>
        <v>731.24138818992083</v>
      </c>
      <c r="AB13" s="3400">
        <f t="shared" si="10"/>
        <v>737.86376643597055</v>
      </c>
      <c r="AC13" s="3400">
        <f t="shared" si="10"/>
        <v>743.34167731422554</v>
      </c>
      <c r="AD13" s="3400">
        <f>AD11+AD8</f>
        <v>747.64062004012749</v>
      </c>
      <c r="AE13" s="3400">
        <f>AE11+AE8</f>
        <v>750.73278812940134</v>
      </c>
      <c r="AF13" s="3400">
        <f>AF11+AF8</f>
        <v>753.84041705912114</v>
      </c>
      <c r="AG13" s="3400">
        <f>AG11+AG8</f>
        <v>756.9635841334898</v>
      </c>
      <c r="AH13" s="3400"/>
      <c r="AI13" s="3400"/>
      <c r="AJ13" s="3400"/>
      <c r="AK13" s="3400"/>
      <c r="AL13" s="3400"/>
      <c r="AM13" s="2965"/>
      <c r="AN13" s="3400">
        <f>AN8+AN11</f>
        <v>71.405000000000001</v>
      </c>
      <c r="AO13" s="3400">
        <f>AO8+AO11</f>
        <v>80.693000000000012</v>
      </c>
      <c r="AP13" s="3400">
        <f>AP8+AP11</f>
        <v>82.263000000000005</v>
      </c>
      <c r="AQ13" s="3400">
        <f>AQ8+AQ11</f>
        <v>103.68600000000001</v>
      </c>
      <c r="AR13" s="2965"/>
      <c r="AS13" s="3400">
        <f>AS8+AS11</f>
        <v>89.13</v>
      </c>
      <c r="AT13" s="3400">
        <f>AT8+AT11</f>
        <v>102.789</v>
      </c>
      <c r="AU13" s="3400">
        <f>AU8+AU11</f>
        <v>99.236000000000004</v>
      </c>
      <c r="AV13" s="3400">
        <f>AV8+AV11</f>
        <v>123.104</v>
      </c>
      <c r="AW13" s="2854">
        <f>K13-SUM(AS13:AV13)</f>
        <v>0</v>
      </c>
      <c r="AX13" s="3400">
        <f>AX8+AX11</f>
        <v>127.67699999999999</v>
      </c>
      <c r="AY13" s="3400">
        <f>AY8+AY11</f>
        <v>126.402</v>
      </c>
      <c r="AZ13" s="3400">
        <f>AZ8+AZ11</f>
        <v>133.76300000000001</v>
      </c>
      <c r="BA13" s="3400">
        <f>BA8+BA11</f>
        <v>184.15299999999999</v>
      </c>
      <c r="BB13" s="2854">
        <f>L13-SUM(AX13:BA13)</f>
        <v>0</v>
      </c>
      <c r="BC13" s="3400">
        <f>BC8+BC11</f>
        <v>144.32</v>
      </c>
      <c r="BD13" s="3400">
        <f>BD8+BD11</f>
        <v>141.53766239999999</v>
      </c>
      <c r="BE13" s="3401">
        <v>143.30000000000001</v>
      </c>
      <c r="BF13" s="3401">
        <v>187.279</v>
      </c>
      <c r="BG13" s="2854">
        <f>M13-SUM(BC13:BF13)</f>
        <v>0</v>
      </c>
      <c r="BH13" s="3401">
        <v>134.30000000000001</v>
      </c>
      <c r="BI13" s="3401">
        <v>127.1</v>
      </c>
      <c r="BJ13" s="3401">
        <v>122.09</v>
      </c>
      <c r="BK13" s="3400">
        <f>BK8+BK11</f>
        <v>157.43244618750001</v>
      </c>
      <c r="BL13" s="2854">
        <f>N13-SUM(BH13:BK13)</f>
        <v>0</v>
      </c>
      <c r="BM13" s="3400">
        <f>BM8+BM11</f>
        <v>139.251310832</v>
      </c>
      <c r="BN13" s="3400">
        <f>BN8+BN11</f>
        <v>131.94907071908415</v>
      </c>
      <c r="BO13" s="3400">
        <f>BO8+BO11</f>
        <v>128.62590061702946</v>
      </c>
      <c r="BP13" s="3400">
        <f>BP8+BP11</f>
        <v>165.78692097373127</v>
      </c>
      <c r="BQ13" s="2854">
        <f>O13-SUM(BM13:BP13)</f>
        <v>0</v>
      </c>
      <c r="BR13" s="3400">
        <f>BR8+BR11</f>
        <v>115.11865833668401</v>
      </c>
      <c r="BS13" s="3400">
        <f>BS8+BS11</f>
        <v>128.61029277393328</v>
      </c>
      <c r="BT13" s="3400">
        <f>BT8+BT11</f>
        <v>135.78557732660136</v>
      </c>
      <c r="BU13" s="3400">
        <f>BU8+BU11</f>
        <v>175.00756881528997</v>
      </c>
      <c r="BV13" s="2854">
        <f>P13-SUM(BR13:BU13)</f>
        <v>0</v>
      </c>
      <c r="BW13" s="3400">
        <f>BW8+BW11</f>
        <v>121.15727869097854</v>
      </c>
      <c r="BX13" s="3400">
        <f>BX8+BX11</f>
        <v>135.19471884618969</v>
      </c>
      <c r="BY13" s="3400">
        <f>BY8+BY11</f>
        <v>142.72848809495335</v>
      </c>
      <c r="BZ13" s="3400">
        <f>BZ8+BZ11</f>
        <v>183.98112340150038</v>
      </c>
      <c r="CA13" s="2854">
        <f>Q13-SUM(BW13:BZ13)</f>
        <v>0</v>
      </c>
      <c r="CB13" s="3400">
        <f>CB8+CB11</f>
        <v>145.83842570399881</v>
      </c>
      <c r="CC13" s="3400">
        <f>CC8+CC11</f>
        <v>155.83669053010459</v>
      </c>
      <c r="CD13" s="3400">
        <f>CD8+CD11</f>
        <v>159.45035182898454</v>
      </c>
      <c r="CE13" s="3400">
        <f>CE8+CE11</f>
        <v>204.71253974216023</v>
      </c>
      <c r="CF13" s="2854">
        <f>R13-SUM(CB13:CE13)</f>
        <v>0</v>
      </c>
      <c r="CG13" s="3402">
        <f>CG8+CG11</f>
        <v>153.03452729487714</v>
      </c>
      <c r="CH13" s="3402">
        <f>CH8+CH11</f>
        <v>163.53572413353402</v>
      </c>
      <c r="CI13" s="3402">
        <f>CI8+CI11</f>
        <v>167.28192153326407</v>
      </c>
      <c r="CJ13" s="3400">
        <f>CJ8+CJ11</f>
        <v>212.90104133184667</v>
      </c>
      <c r="CK13" s="2854">
        <f>$S13-SUM(CG13:CJ13)</f>
        <v>0</v>
      </c>
      <c r="CL13" s="3403">
        <f>CL8+CL11</f>
        <v>158.14774506984639</v>
      </c>
      <c r="CM13" s="3403">
        <f>CM8+CM11</f>
        <v>168.11472440927298</v>
      </c>
      <c r="CN13" s="3403">
        <f>CN8+CN11</f>
        <v>171.46396957159567</v>
      </c>
      <c r="CO13" s="3400">
        <f>CO8+CO11</f>
        <v>217.63670072133991</v>
      </c>
      <c r="CP13" s="3404">
        <f>$T13-SUM(CL13:CO13)</f>
        <v>0</v>
      </c>
      <c r="CQ13" s="3403">
        <f>CQ8+CQ11</f>
        <v>147.01062005688297</v>
      </c>
      <c r="CR13" s="3403">
        <f>CR8+CR11</f>
        <v>157.90128705057279</v>
      </c>
      <c r="CS13" s="3403">
        <f>CS8+CS11</f>
        <v>161.47849088696341</v>
      </c>
      <c r="CT13" s="3400">
        <f>CT8+CT11</f>
        <v>205.87974773525224</v>
      </c>
      <c r="CU13" s="2854">
        <f t="shared" si="6"/>
        <v>0</v>
      </c>
      <c r="CV13" s="3403">
        <f>CV8+CV11</f>
        <v>149.22001368779564</v>
      </c>
      <c r="CW13" s="3403">
        <f>CW8+CW11</f>
        <v>160.50608859970831</v>
      </c>
      <c r="CX13" s="3403">
        <f>CX8+CX11</f>
        <v>164.16097143626169</v>
      </c>
      <c r="CY13" s="3400">
        <f>CY8+CY11</f>
        <v>209.24433487679133</v>
      </c>
      <c r="CZ13" s="2854">
        <f t="shared" si="3"/>
        <v>0</v>
      </c>
      <c r="DA13" s="3403">
        <f>DA8+DA11</f>
        <v>151.47359519132655</v>
      </c>
      <c r="DB13" s="3403">
        <f>DB8+DB11</f>
        <v>163.1629861798265</v>
      </c>
      <c r="DC13" s="3403">
        <f>DC8+DC11</f>
        <v>166.89710159654592</v>
      </c>
      <c r="DD13" s="3403">
        <f>DD8+DD11</f>
        <v>212.67621376116114</v>
      </c>
      <c r="DE13" s="2854">
        <f t="shared" si="4"/>
        <v>0</v>
      </c>
    </row>
    <row r="14" spans="1:112" hidden="1" outlineLevel="1">
      <c r="A14" s="967" t="s">
        <v>676</v>
      </c>
      <c r="B14" s="862"/>
      <c r="C14" s="862"/>
      <c r="D14" s="970" t="str">
        <f>+IF(ISERROR(D13/#REF!),"--",(D13/#REF!-1)*100)</f>
        <v>--</v>
      </c>
      <c r="E14" s="969">
        <f>E13/D13-1</f>
        <v>0.48998198813376859</v>
      </c>
      <c r="F14" s="969">
        <f t="shared" ref="F14:Y14" si="11">F13/E13-1</f>
        <v>-0.33172229314851975</v>
      </c>
      <c r="G14" s="969">
        <f t="shared" si="11"/>
        <v>-0.17091373488917272</v>
      </c>
      <c r="H14" s="969">
        <f t="shared" si="11"/>
        <v>3.9175884232160341E-2</v>
      </c>
      <c r="I14" s="969">
        <f t="shared" si="11"/>
        <v>0.18240740740740735</v>
      </c>
      <c r="J14" s="969">
        <f t="shared" si="11"/>
        <v>0.16105112036159319</v>
      </c>
      <c r="K14" s="969">
        <f t="shared" si="11"/>
        <v>0.22544794067097151</v>
      </c>
      <c r="L14" s="969">
        <f t="shared" si="11"/>
        <v>0.38076662184768484</v>
      </c>
      <c r="M14" s="969">
        <f t="shared" si="11"/>
        <v>7.769589314591907E-2</v>
      </c>
      <c r="N14" s="969">
        <f t="shared" si="11"/>
        <v>-0.12250117622546508</v>
      </c>
      <c r="O14" s="969">
        <f>O13/N13-1</f>
        <v>4.5645650551884076E-2</v>
      </c>
      <c r="P14" s="3405">
        <f t="shared" si="11"/>
        <v>-1.9608993969249422E-2</v>
      </c>
      <c r="Q14" s="3405">
        <f t="shared" si="11"/>
        <v>5.1466861144971565E-2</v>
      </c>
      <c r="R14" s="3405">
        <f t="shared" si="11"/>
        <v>0.14196852869257093</v>
      </c>
      <c r="S14" s="3405">
        <f t="shared" si="11"/>
        <v>4.6430522328061663E-2</v>
      </c>
      <c r="T14" s="3405">
        <f t="shared" si="11"/>
        <v>2.6709493543424445E-2</v>
      </c>
      <c r="U14" s="3405">
        <f t="shared" si="11"/>
        <v>-6.0239326918793745E-2</v>
      </c>
      <c r="V14" s="969">
        <f t="shared" si="11"/>
        <v>1.6156098764577687E-2</v>
      </c>
      <c r="W14" s="969">
        <f>W13/V13-1</f>
        <v>1.621721383152086E-2</v>
      </c>
      <c r="X14" s="969">
        <f t="shared" si="11"/>
        <v>1.5463702040132032E-2</v>
      </c>
      <c r="Y14" s="969">
        <f t="shared" si="11"/>
        <v>1.3884126864407653E-2</v>
      </c>
      <c r="Z14" s="969">
        <f t="shared" ref="Z14:AG14" si="12">Z13/Y13-1</f>
        <v>1.2288349079865091E-2</v>
      </c>
      <c r="AA14" s="969">
        <f t="shared" si="12"/>
        <v>1.0678430788763738E-2</v>
      </c>
      <c r="AB14" s="969">
        <f t="shared" si="12"/>
        <v>9.0563504104197445E-3</v>
      </c>
      <c r="AC14" s="969">
        <f t="shared" si="12"/>
        <v>7.4240139270076444E-3</v>
      </c>
      <c r="AD14" s="969">
        <f t="shared" si="12"/>
        <v>5.7832661037311439E-3</v>
      </c>
      <c r="AE14" s="969">
        <f t="shared" si="12"/>
        <v>4.1359016703879092E-3</v>
      </c>
      <c r="AF14" s="969">
        <f t="shared" si="12"/>
        <v>4.139460776001247E-3</v>
      </c>
      <c r="AG14" s="969">
        <f t="shared" si="12"/>
        <v>4.143008259696046E-3</v>
      </c>
      <c r="AH14" s="969"/>
      <c r="AI14" s="969"/>
      <c r="AJ14" s="969"/>
      <c r="AK14" s="969"/>
      <c r="AL14" s="969"/>
      <c r="AM14" s="862"/>
      <c r="AN14" s="968" t="str">
        <f>+IF(ISERROR(AN13/#REF!),"--",(AN13/#REF!-1)*100)</f>
        <v>--</v>
      </c>
      <c r="AO14" s="968" t="str">
        <f>+IF(ISERROR(AO13/#REF!),"--",(AO13/#REF!-1)*100)</f>
        <v>--</v>
      </c>
      <c r="AP14" s="968" t="str">
        <f>+IF(ISERROR(AP13/#REF!),"--",(AP13/#REF!-1)*100)</f>
        <v>--</v>
      </c>
      <c r="AQ14" s="968" t="str">
        <f>+IF(ISERROR(AQ13/#REF!),"--",(AQ13/#REF!-1)*100)</f>
        <v>--</v>
      </c>
      <c r="AR14" s="936"/>
      <c r="AS14" s="968">
        <f>+IF(ISERROR(AS13/AN13),"--",(AS13/AN13-1)*100)</f>
        <v>24.823191653245559</v>
      </c>
      <c r="AT14" s="968">
        <f>+IF(ISERROR(AT13/AO13),"--",(AT13/AO13-1)*100)</f>
        <v>27.382796525101295</v>
      </c>
      <c r="AU14" s="968">
        <f>+IF(ISERROR(AU13/AP13),"--",(AU13/AP13-1)*100)</f>
        <v>20.632605180944054</v>
      </c>
      <c r="AV14" s="968">
        <f>+IF(ISERROR(AV13/AQ13),"--",(AV13/AQ13-1)*100)</f>
        <v>18.727697085431004</v>
      </c>
      <c r="AW14" s="965"/>
      <c r="AX14" s="968">
        <f>+IF(ISERROR(AX13/AS13),"--",(AX13/AS13-1)*100)</f>
        <v>43.248064624705492</v>
      </c>
      <c r="AY14" s="968">
        <f>+IF(ISERROR(AY13/AT13),"--",(AY13/AT13-1)*100)</f>
        <v>22.972302483728811</v>
      </c>
      <c r="AZ14" s="968">
        <f>+IF(ISERROR(AZ13/AU13),"--",(AZ13/AU13-1)*100)</f>
        <v>34.792817122818342</v>
      </c>
      <c r="BA14" s="968">
        <f>+IF(ISERROR(BA13/AV13),"--",(BA13/AV13-1)*100)</f>
        <v>49.591402391473864</v>
      </c>
      <c r="BB14" s="965"/>
      <c r="BC14" s="968">
        <f>+IF(ISERROR(BC13/AX13),"--",(BC13/AX13-1)*100)</f>
        <v>13.03523735676746</v>
      </c>
      <c r="BD14" s="968">
        <f>+IF(ISERROR(BD13/AY13),"--",(BD13/AY13-1)*100)</f>
        <v>11.974226990079263</v>
      </c>
      <c r="BE14" s="968">
        <f>+IF(ISERROR(BE13/AZ13),"--",(BE13/AZ13-1)*100)</f>
        <v>7.1297743023108096</v>
      </c>
      <c r="BF14" s="968">
        <f>+IF(ISERROR(BF13/BA13),"--",(BF13/BA13-1)*100)</f>
        <v>1.6975015340504829</v>
      </c>
      <c r="BG14" s="965"/>
      <c r="BH14" s="968">
        <f>+IF(ISERROR(BH13/BC13),"--",(BH13/BC13-1)*100)</f>
        <v>-6.942904656319282</v>
      </c>
      <c r="BI14" s="968">
        <f>+IF(ISERROR(BI13/BD13),"--",(BI13/BD13-1)*100)</f>
        <v>-10.200579941187438</v>
      </c>
      <c r="BJ14" s="968">
        <f>+IF(ISERROR(BJ13/BE13),"--",(BJ13/BE13-1)*100)</f>
        <v>-14.801116538729941</v>
      </c>
      <c r="BK14" s="968">
        <f>+IF(ISERROR(BK13/BF13),"--",(BK13/BF13-1)*100)</f>
        <v>-15.936946380800832</v>
      </c>
      <c r="BL14" s="965"/>
      <c r="BM14" s="968">
        <f>+IF(ISERROR(BM13/BH13),"--",(BM13/BH13-1)*100)</f>
        <v>3.6867541563663453</v>
      </c>
      <c r="BN14" s="968">
        <f>+IF(ISERROR(BN13/BI13),"--",(BN13/BI13-1)*100)</f>
        <v>3.8151618560851031</v>
      </c>
      <c r="BO14" s="968">
        <f>+IF(ISERROR(BO13/BJ13),"--",(BO13/BJ13-1)*100)</f>
        <v>5.3533463977635032</v>
      </c>
      <c r="BP14" s="968">
        <f>+IF(ISERROR(BP13/BK13),"--",(BP13/BK13-1)*100)</f>
        <v>5.3067045507767752</v>
      </c>
      <c r="BR14" s="968">
        <f>+IF(ISERROR(BR13/BM13),"--",(BR13/BM13-1)*100)</f>
        <v>-17.330287486076791</v>
      </c>
      <c r="BS14" s="968">
        <f>+IF(ISERROR(BS13/BN13),"--",(BS13/BN13-1)*100)</f>
        <v>-2.53035351212062</v>
      </c>
      <c r="BT14" s="968">
        <f>+IF(ISERROR(BT13/BO13),"--",(BT13/BO13-1)*100)</f>
        <v>5.5662791671244438</v>
      </c>
      <c r="BU14" s="968">
        <f>+IF(ISERROR(BU13/BP13),"--",(BU13/BP13-1)*100)</f>
        <v>5.5617462387275385</v>
      </c>
      <c r="BW14" s="968">
        <f>+IF(ISERROR(BW13/BR13),"--",(BW13/BR13-1)*100)</f>
        <v>5.2455617895003304</v>
      </c>
      <c r="BX14" s="968">
        <f>+IF(ISERROR(BX13/BS13),"--",(BX13/BS13-1)*100)</f>
        <v>5.119672718442736</v>
      </c>
      <c r="BY14" s="968">
        <f>+IF(ISERROR(BY13/BT13),"--",(BY13/BT13-1)*100)</f>
        <v>5.1131430193446903</v>
      </c>
      <c r="BZ14" s="968">
        <f>+IF(ISERROR(BZ13/BU13),"--",(BZ13/BU13-1)*100)</f>
        <v>5.1275237105210314</v>
      </c>
      <c r="CB14" s="968">
        <f>+IF(ISERROR(CB13/BW13),"--",(CB13/BW13-1)*100)</f>
        <v>20.371163234832569</v>
      </c>
      <c r="CC14" s="968">
        <f>+IF(ISERROR(CC13/BX13),"--",(CC13/BX13-1)*100)</f>
        <v>15.26832694359841</v>
      </c>
      <c r="CD14" s="968">
        <f>+IF(ISERROR(CD13/BY13),"--",(CD13/BY13-1)*100)</f>
        <v>11.715855718240764</v>
      </c>
      <c r="CE14" s="968">
        <f>+IF(ISERROR(CE13/BZ13),"--",(CE13/BZ13-1)*100)</f>
        <v>11.268230108269229</v>
      </c>
      <c r="CF14" s="1048"/>
      <c r="CG14" s="1445">
        <f>+IF(ISERROR(CG13/CB13),"--",(CG13/CB13-1)*100)</f>
        <v>4.9342973610287721</v>
      </c>
      <c r="CH14" s="1445">
        <f>+IF(ISERROR(CH13/CC13),"--",(CH13/CC13-1)*100)</f>
        <v>4.9404498884312087</v>
      </c>
      <c r="CI14" s="1445">
        <f>+IF(ISERROR(CI13/CD13),"--",(CI13/CD13-1)*100)</f>
        <v>4.9116039033135106</v>
      </c>
      <c r="CJ14" s="968">
        <f>+IF(ISERROR(CJ13/CE13),"--",(CJ13/CE13-1)*100)</f>
        <v>4.0000000000000036</v>
      </c>
      <c r="CK14" s="1048"/>
      <c r="CL14" s="1591">
        <f>+IF(ISERROR(CL13/CG13),"--",(CL13/CG13-1)*100)</f>
        <v>3.3412183938835938</v>
      </c>
      <c r="CM14" s="1591">
        <f>+IF(ISERROR(CM13/CH13),"--",(CM13/CH13-1)*100)</f>
        <v>2.8000000000000025</v>
      </c>
      <c r="CN14" s="1591">
        <f>+IF(ISERROR(CN13/CI13),"--",(CN13/CI13-1)*100)</f>
        <v>2.4999999999999911</v>
      </c>
      <c r="CO14" s="1591">
        <f>+IF(ISERROR(CO13/CJ13),"--",(CO13/CJ13-1)*100)</f>
        <v>2.2243476874834966</v>
      </c>
      <c r="CP14" s="2203"/>
      <c r="CQ14" s="1591">
        <f>+IF(ISERROR(CQ13/CL13),"--",(CQ13/CL13-1)*100)</f>
        <v>-7.0422281443498829</v>
      </c>
      <c r="CR14" s="1591">
        <f>+IF(ISERROR(CR13/CM13),"--",(CR13/CM13-1)*100)</f>
        <v>-6.0752782925995952</v>
      </c>
      <c r="CS14" s="1591">
        <f>+IF(ISERROR(CS13/CN13),"--",(CS13/CN13-1)*100)</f>
        <v>-5.823660043320511</v>
      </c>
      <c r="CT14" s="1591">
        <f>+IF(ISERROR(CT13/CO13),"--",(CT13/CO13-1)*100)</f>
        <v>-5.4021003567505721</v>
      </c>
      <c r="CU14" s="965"/>
      <c r="CV14" s="1591">
        <f>+IF(ISERROR(CV13/CQ13),"--",(CV13/CQ13-1)*100)</f>
        <v>1.5028802885517889</v>
      </c>
      <c r="CW14" s="1591">
        <f>+IF(ISERROR(CW13/CR13),"--",(CW13/CR13-1)*100)</f>
        <v>1.6496392130744608</v>
      </c>
      <c r="CX14" s="1591">
        <f>+IF(ISERROR(CX13/CS13),"--",(CX13/CS13-1)*100)</f>
        <v>1.6611999124862109</v>
      </c>
      <c r="CY14" s="1591">
        <f>+IF(ISERROR(CY13/CT13),"--",(CY13/CT13-1)*100)</f>
        <v>1.6342487197263056</v>
      </c>
      <c r="CZ14" s="965"/>
      <c r="DA14" s="1591">
        <f>+IF(ISERROR(DA13/CV13),"--",(DA13/CV13-1)*100)</f>
        <v>1.5102407832812137</v>
      </c>
      <c r="DB14" s="1591">
        <f>+IF(ISERROR(DB13/CW13),"--",(DB13/CW13-1)*100)</f>
        <v>1.6553251052951135</v>
      </c>
      <c r="DC14" s="1591">
        <f>+IF(ISERROR(DC13/CX13),"--",(DC13/CX13-1)*100)</f>
        <v>1.6667360922304031</v>
      </c>
      <c r="DD14" s="1591">
        <f>+IF(ISERROR(DD13/CY13),"--",(DD13/CY13-1)*100)</f>
        <v>1.6401298923531593</v>
      </c>
      <c r="DE14" s="2854"/>
    </row>
    <row r="15" spans="1:112" ht="11.25" hidden="1" customHeight="1" outlineLevel="1">
      <c r="A15" s="862"/>
      <c r="B15" s="862"/>
      <c r="C15" s="862"/>
      <c r="D15" s="862"/>
      <c r="E15" s="862"/>
      <c r="F15" s="862"/>
      <c r="G15" s="862"/>
      <c r="H15" s="862"/>
      <c r="I15" s="862"/>
      <c r="J15" s="862"/>
      <c r="K15" s="862"/>
      <c r="L15" s="862"/>
      <c r="M15" s="862"/>
      <c r="N15" s="862"/>
      <c r="O15" s="862"/>
      <c r="P15" s="2867"/>
      <c r="Q15" s="2867"/>
      <c r="R15" s="2867"/>
      <c r="S15" s="2867"/>
      <c r="T15" s="2867"/>
      <c r="U15" s="2867"/>
      <c r="V15" s="862"/>
      <c r="W15" s="862"/>
      <c r="X15" s="862"/>
      <c r="Y15" s="862"/>
      <c r="Z15" s="862"/>
      <c r="AA15" s="862"/>
      <c r="AB15" s="862"/>
      <c r="AC15" s="862"/>
      <c r="AD15" s="862"/>
      <c r="AE15" s="862"/>
      <c r="AF15" s="862"/>
      <c r="AG15" s="862"/>
      <c r="AH15" s="862"/>
      <c r="AI15" s="862"/>
      <c r="AJ15" s="862"/>
      <c r="AK15" s="862"/>
      <c r="AL15" s="862"/>
      <c r="AM15" s="862"/>
      <c r="AN15" s="862"/>
      <c r="AO15" s="862"/>
      <c r="AP15" s="862"/>
      <c r="AQ15" s="862"/>
      <c r="AR15" s="862"/>
      <c r="AS15" s="862"/>
      <c r="AT15" s="862"/>
      <c r="AU15" s="862"/>
      <c r="AV15" s="862"/>
      <c r="AW15" s="862"/>
      <c r="AX15" s="862"/>
      <c r="AY15" s="862"/>
      <c r="AZ15" s="862"/>
      <c r="BA15" s="862"/>
      <c r="BB15" s="862"/>
      <c r="BC15" s="862"/>
      <c r="BD15" s="862"/>
      <c r="BE15" s="862"/>
      <c r="BF15" s="862"/>
      <c r="BG15" s="862"/>
      <c r="BH15" s="862"/>
      <c r="BI15" s="862"/>
      <c r="BJ15" s="862"/>
      <c r="BK15" s="862"/>
      <c r="BL15" s="862"/>
      <c r="BM15" s="862"/>
      <c r="BN15" s="862"/>
      <c r="BO15" s="862"/>
      <c r="BP15" s="862"/>
      <c r="BQ15" s="862"/>
      <c r="BR15" s="862"/>
      <c r="BS15" s="862"/>
      <c r="BT15" s="862"/>
      <c r="BU15" s="862"/>
      <c r="BV15" s="862"/>
      <c r="BW15" s="862"/>
      <c r="BX15" s="862"/>
      <c r="BY15" s="862"/>
      <c r="BZ15" s="862"/>
      <c r="CA15" s="862"/>
      <c r="CB15" s="906"/>
      <c r="CC15" s="906"/>
      <c r="CD15" s="906"/>
      <c r="CE15" s="906"/>
      <c r="CF15" s="906"/>
      <c r="CG15" s="1404"/>
      <c r="CH15" s="1404"/>
      <c r="CI15" s="1404"/>
      <c r="CJ15" s="906"/>
      <c r="CK15" s="906"/>
      <c r="CL15" s="1470"/>
      <c r="CM15" s="1470"/>
      <c r="CN15" s="1470"/>
      <c r="CO15" s="1470"/>
      <c r="CP15" s="2206"/>
      <c r="CQ15" s="2206"/>
      <c r="CR15" s="2206"/>
      <c r="CS15" s="2206"/>
      <c r="CT15" s="2206"/>
      <c r="CU15" s="2206"/>
      <c r="CZ15" s="965"/>
      <c r="DA15" s="1577"/>
      <c r="DB15" s="1577"/>
      <c r="DC15" s="1577"/>
      <c r="DD15" s="1577"/>
      <c r="DF15" s="1577"/>
      <c r="DG15" s="1577"/>
      <c r="DH15" s="1577"/>
    </row>
    <row r="16" spans="1:112" hidden="1" outlineLevel="1">
      <c r="A16" s="938" t="s">
        <v>622</v>
      </c>
      <c r="B16" s="862"/>
      <c r="C16" s="865"/>
      <c r="D16" s="962">
        <v>117.73</v>
      </c>
      <c r="E16" s="962">
        <v>174.40300000000002</v>
      </c>
      <c r="F16" s="962">
        <v>169.44399999999999</v>
      </c>
      <c r="G16" s="962">
        <v>145.91900000000001</v>
      </c>
      <c r="H16" s="962">
        <v>138.30500000000001</v>
      </c>
      <c r="I16" s="962">
        <v>144.31200000000001</v>
      </c>
      <c r="J16" s="962">
        <v>153.76900000000001</v>
      </c>
      <c r="K16" s="962">
        <f>SUM(AS16:AV16)</f>
        <v>159.88100000000003</v>
      </c>
      <c r="L16" s="962">
        <f>SUM(AX16:BA16)</f>
        <v>170.619</v>
      </c>
      <c r="M16" s="962">
        <f>SUM(BC16:BF16)</f>
        <v>186.80340077900001</v>
      </c>
      <c r="N16" s="1241">
        <f>SUM(BH16:BK16)</f>
        <v>177.95667086594008</v>
      </c>
      <c r="O16" s="1050">
        <f>SUM(BM16:BP16)</f>
        <v>190.26211880956461</v>
      </c>
      <c r="P16" s="3406">
        <f>SUM(BR16:BU16)</f>
        <v>187.46687743709907</v>
      </c>
      <c r="Q16" s="3407">
        <f>SUM(BW16:BZ16)</f>
        <v>192.3123945211581</v>
      </c>
      <c r="R16" s="3406">
        <f>SUM(CB16:CE16)</f>
        <v>209.62205263196157</v>
      </c>
      <c r="S16" s="3406">
        <f>SUM(CG16:CJ16)</f>
        <v>209.85005266355051</v>
      </c>
      <c r="T16" s="3406">
        <f>SUM(CL16:CO16)</f>
        <v>213.97714706508606</v>
      </c>
      <c r="U16" s="3406">
        <f>SUM(CQ16:CT16)</f>
        <v>220.00683315264342</v>
      </c>
      <c r="V16" s="1050">
        <f>SUM(CV16:CY16)</f>
        <v>225.43653348100727</v>
      </c>
      <c r="W16" s="1050">
        <f>SUM(DA16:DD16)</f>
        <v>229.94526415062739</v>
      </c>
      <c r="X16" s="962">
        <f t="shared" ref="X16:AF16" si="13">X17*X8</f>
        <v>235.46570006856896</v>
      </c>
      <c r="Y16" s="962">
        <f t="shared" si="13"/>
        <v>240.63966795909855</v>
      </c>
      <c r="Z16" s="962">
        <f t="shared" si="13"/>
        <v>245.43787973268945</v>
      </c>
      <c r="AA16" s="962">
        <f t="shared" si="13"/>
        <v>249.83264094122353</v>
      </c>
      <c r="AB16" s="962">
        <f t="shared" si="13"/>
        <v>253.79811352007812</v>
      </c>
      <c r="AC16" s="962">
        <f t="shared" si="13"/>
        <v>257.31056589201643</v>
      </c>
      <c r="AD16" s="962">
        <f t="shared" si="13"/>
        <v>260.34860708897008</v>
      </c>
      <c r="AE16" s="962">
        <f t="shared" si="13"/>
        <v>262.89340169630299</v>
      </c>
      <c r="AF16" s="962">
        <f t="shared" si="13"/>
        <v>265.45713553453191</v>
      </c>
      <c r="AG16" s="962">
        <f t="shared" ref="AG16" si="14">AG17*AG8</f>
        <v>268.03993437610075</v>
      </c>
      <c r="AH16" s="962"/>
      <c r="AI16" s="962"/>
      <c r="AJ16" s="962"/>
      <c r="AK16" s="962"/>
      <c r="AL16" s="962"/>
      <c r="AM16" s="862"/>
      <c r="AN16" s="979">
        <v>38.68</v>
      </c>
      <c r="AO16" s="979">
        <v>37.607999999999997</v>
      </c>
      <c r="AP16" s="979">
        <v>38.165999999999997</v>
      </c>
      <c r="AQ16" s="979">
        <f>(39488-173)/1000</f>
        <v>39.314999999999998</v>
      </c>
      <c r="AR16" s="979"/>
      <c r="AS16" s="979">
        <f>(38810)/1000</f>
        <v>38.81</v>
      </c>
      <c r="AT16" s="979">
        <f>(38026)/1000</f>
        <v>38.026000000000003</v>
      </c>
      <c r="AU16" s="979">
        <f>(39676)/1000</f>
        <v>39.676000000000002</v>
      </c>
      <c r="AV16" s="979">
        <f>(43369)/1000</f>
        <v>43.369</v>
      </c>
      <c r="AW16" s="980">
        <f>K16-SUM(AS16:AV16)</f>
        <v>0</v>
      </c>
      <c r="AX16" s="979">
        <f>(41892)/1000</f>
        <v>41.892000000000003</v>
      </c>
      <c r="AY16" s="979">
        <f>(40418)/1000</f>
        <v>40.417999999999999</v>
      </c>
      <c r="AZ16" s="979">
        <f>(40604)/1000</f>
        <v>40.603999999999999</v>
      </c>
      <c r="BA16" s="979">
        <f>(47705)/1000</f>
        <v>47.704999999999998</v>
      </c>
      <c r="BB16" s="980">
        <f>L16-SUM(AX16:BA16)</f>
        <v>0</v>
      </c>
      <c r="BC16" s="979">
        <f>(47707)/1000</f>
        <v>47.707000000000001</v>
      </c>
      <c r="BD16" s="981">
        <f>BD17*BD8</f>
        <v>43.295761599999999</v>
      </c>
      <c r="BE16" s="981">
        <f>BE17*BE8</f>
        <v>45.559978463999997</v>
      </c>
      <c r="BF16" s="981">
        <f>BF17*BF8</f>
        <v>50.240660715000004</v>
      </c>
      <c r="BG16" s="980">
        <f>M16-SUM(BC16:BF16)</f>
        <v>0</v>
      </c>
      <c r="BH16" s="981">
        <f>BH17*BH8</f>
        <v>46.908040815999996</v>
      </c>
      <c r="BI16" s="981">
        <f>BI17*BI8</f>
        <v>46.514919348094082</v>
      </c>
      <c r="BJ16" s="981">
        <f>BJ17*BJ8</f>
        <v>48.889998708096002</v>
      </c>
      <c r="BK16" s="981">
        <f>BK17*BK8</f>
        <v>35.643711993750003</v>
      </c>
      <c r="BL16" s="980">
        <f>N16-SUM(BH16:BK16)</f>
        <v>0</v>
      </c>
      <c r="BM16" s="981">
        <f>BM17*BM8</f>
        <v>49.253442856799992</v>
      </c>
      <c r="BN16" s="981">
        <f>BN17*BN8</f>
        <v>48.840665315498782</v>
      </c>
      <c r="BO16" s="981">
        <f>BO17*BO8</f>
        <v>51.847843629935817</v>
      </c>
      <c r="BP16" s="981">
        <f>BP17*BP8</f>
        <v>40.320167007330006</v>
      </c>
      <c r="BQ16" s="965">
        <f>O16-SUM(BM16:BP16)</f>
        <v>0</v>
      </c>
      <c r="BR16" s="981">
        <f>BR17*BR8</f>
        <v>41.451697508282876</v>
      </c>
      <c r="BS16" s="981">
        <f>BS17*BS8</f>
        <v>51.380379911904726</v>
      </c>
      <c r="BT16" s="981">
        <f>BT17*BT8</f>
        <v>54.73327982362899</v>
      </c>
      <c r="BU16" s="981">
        <f>BU17*BU8</f>
        <v>39.901520193282451</v>
      </c>
      <c r="BV16" s="965">
        <f>P16-SUM(BR16:BU16)</f>
        <v>0</v>
      </c>
      <c r="BW16" s="981">
        <f>BW17*BW8</f>
        <v>42.678332952355859</v>
      </c>
      <c r="BX16" s="981">
        <f>BX17*BX8</f>
        <v>52.861518171288274</v>
      </c>
      <c r="BY16" s="981">
        <f>BY17*BY8</f>
        <v>56.311071870852459</v>
      </c>
      <c r="BZ16" s="981">
        <f>BZ17*BZ8</f>
        <v>40.461471526661512</v>
      </c>
      <c r="CA16" s="965">
        <f>Q16-SUM(BW16:BZ16)</f>
        <v>0</v>
      </c>
      <c r="CB16" s="981">
        <f>CB17*CB8</f>
        <v>48.201411334425437</v>
      </c>
      <c r="CC16" s="981">
        <f>CC17*CC8</f>
        <v>59.598770487236784</v>
      </c>
      <c r="CD16" s="981">
        <f>CD17*CD8</f>
        <v>61.555730525490667</v>
      </c>
      <c r="CE16" s="981">
        <f>CE17*CE8</f>
        <v>40.266140284808671</v>
      </c>
      <c r="CF16" s="965">
        <f>R16-SUM(CB16:CE16)</f>
        <v>0</v>
      </c>
      <c r="CG16" s="1446">
        <f>CG17*CG8</f>
        <v>50.233904179027057</v>
      </c>
      <c r="CH16" s="1446">
        <f>CH17*CH8</f>
        <v>59.503412454457212</v>
      </c>
      <c r="CI16" s="1446">
        <f>CI17*CI8</f>
        <v>61.457241356649888</v>
      </c>
      <c r="CJ16" s="981">
        <f>CJ17*CJ8</f>
        <v>38.655494673416335</v>
      </c>
      <c r="CK16" s="965">
        <f>$S16-SUM(CG16:CJ16)</f>
        <v>0</v>
      </c>
      <c r="CL16" s="1462">
        <f>CL17*CL8</f>
        <v>52.424457484962794</v>
      </c>
      <c r="CM16" s="1462">
        <f>CM17*CM8</f>
        <v>60.532325628148868</v>
      </c>
      <c r="CN16" s="1462">
        <f>CN17*CN8</f>
        <v>62.337488303164399</v>
      </c>
      <c r="CO16" s="1462">
        <f>CO17*CO8</f>
        <v>38.682875648809997</v>
      </c>
      <c r="CP16" s="2205">
        <f>$T16-SUM(CL16:CO16)</f>
        <v>0</v>
      </c>
      <c r="CQ16" s="1462">
        <f>CQ17*CQ8</f>
        <v>53.025447141903804</v>
      </c>
      <c r="CR16" s="1462">
        <f>CR17*CR8</f>
        <v>61.212836404684261</v>
      </c>
      <c r="CS16" s="1462">
        <f>CS17*CS8</f>
        <v>63.038292908509447</v>
      </c>
      <c r="CT16" s="2481">
        <f>CT17*CT8</f>
        <v>42.730256697545911</v>
      </c>
      <c r="CU16" s="965">
        <f t="shared" si="6"/>
        <v>0</v>
      </c>
      <c r="CV16" s="1462">
        <f>CV17*CV8</f>
        <v>54.085956084741881</v>
      </c>
      <c r="CW16" s="1462">
        <f>CW17*CW8</f>
        <v>62.437093132777953</v>
      </c>
      <c r="CX16" s="1462">
        <f>CX17*CX8</f>
        <v>64.299058766679636</v>
      </c>
      <c r="CY16" s="1462">
        <f>CY17*CY8</f>
        <v>44.61442549680779</v>
      </c>
      <c r="CZ16" s="965">
        <f t="shared" si="3"/>
        <v>0</v>
      </c>
      <c r="DA16" s="2481">
        <f>DA17*DA8</f>
        <v>55.167675206436719</v>
      </c>
      <c r="DB16" s="1462">
        <f>DB17*DB8</f>
        <v>63.685834995433503</v>
      </c>
      <c r="DC16" s="1462">
        <f>DC17*DC8</f>
        <v>65.585039942013225</v>
      </c>
      <c r="DD16" s="1462">
        <f>DD17*DD8</f>
        <v>45.506714006743941</v>
      </c>
      <c r="DE16" s="2854">
        <f t="shared" si="4"/>
        <v>0</v>
      </c>
    </row>
    <row r="17" spans="1:109" hidden="1" outlineLevel="1">
      <c r="A17" s="938" t="s">
        <v>739</v>
      </c>
      <c r="B17" s="862"/>
      <c r="C17" s="865"/>
      <c r="D17" s="989">
        <f t="shared" ref="D17:J17" si="15">D16/D13</f>
        <v>0.41016189776088463</v>
      </c>
      <c r="E17" s="989">
        <f t="shared" si="15"/>
        <v>0.40779425450226109</v>
      </c>
      <c r="F17" s="989">
        <f t="shared" si="15"/>
        <v>0.59286576511957445</v>
      </c>
      <c r="G17" s="989">
        <f t="shared" si="15"/>
        <v>0.61580371122186728</v>
      </c>
      <c r="H17" s="989">
        <f t="shared" si="15"/>
        <v>0.56166747888239121</v>
      </c>
      <c r="I17" s="989">
        <f t="shared" si="15"/>
        <v>0.49565181552157611</v>
      </c>
      <c r="J17" s="989">
        <f t="shared" si="15"/>
        <v>0.45487461802648743</v>
      </c>
      <c r="K17" s="989">
        <f t="shared" ref="K17:Q17" si="16">K16/K8</f>
        <v>0.43297793689524167</v>
      </c>
      <c r="L17" s="989">
        <f t="shared" si="16"/>
        <v>0.42035255423200585</v>
      </c>
      <c r="M17" s="989">
        <f t="shared" si="16"/>
        <v>0.43232657507454131</v>
      </c>
      <c r="N17" s="989">
        <f t="shared" si="16"/>
        <v>0.45340302636177771</v>
      </c>
      <c r="O17" s="989">
        <f t="shared" si="16"/>
        <v>0.45918166217992329</v>
      </c>
      <c r="P17" s="3408">
        <f t="shared" si="16"/>
        <v>0.44979319587321476</v>
      </c>
      <c r="Q17" s="3408">
        <f t="shared" si="16"/>
        <v>0.4398031789376004</v>
      </c>
      <c r="R17" s="3408">
        <f t="shared" ref="R17:W17" si="17">R16/R8</f>
        <v>0.42126755502608143</v>
      </c>
      <c r="S17" s="3408">
        <f t="shared" si="17"/>
        <v>0.40550553455659094</v>
      </c>
      <c r="T17" s="3408">
        <f t="shared" si="17"/>
        <v>0.40268732448548006</v>
      </c>
      <c r="U17" s="3408">
        <f t="shared" si="17"/>
        <v>0.40512201162608819</v>
      </c>
      <c r="V17" s="1246">
        <f t="shared" si="17"/>
        <v>0.40698068341124027</v>
      </c>
      <c r="W17" s="1246">
        <f t="shared" si="17"/>
        <v>0.40698068341124022</v>
      </c>
      <c r="X17" s="1015">
        <f>W17+0.002</f>
        <v>0.40898068341124022</v>
      </c>
      <c r="Y17" s="1015">
        <f t="shared" ref="Y17:AG17" si="18">X17+0.002</f>
        <v>0.41098068341124022</v>
      </c>
      <c r="Z17" s="1015">
        <f t="shared" si="18"/>
        <v>0.41298068341124022</v>
      </c>
      <c r="AA17" s="1015">
        <f>Z17+0.002</f>
        <v>0.41498068341124023</v>
      </c>
      <c r="AB17" s="1015">
        <f t="shared" si="18"/>
        <v>0.41698068341124023</v>
      </c>
      <c r="AC17" s="1015">
        <f t="shared" si="18"/>
        <v>0.41898068341124023</v>
      </c>
      <c r="AD17" s="1015">
        <f t="shared" si="18"/>
        <v>0.42098068341124023</v>
      </c>
      <c r="AE17" s="1015">
        <f t="shared" si="18"/>
        <v>0.42298068341124023</v>
      </c>
      <c r="AF17" s="1015">
        <f t="shared" si="18"/>
        <v>0.42498068341124023</v>
      </c>
      <c r="AG17" s="1015">
        <f t="shared" si="18"/>
        <v>0.42698068341124024</v>
      </c>
      <c r="AH17" s="1015"/>
      <c r="AI17" s="1015"/>
      <c r="AJ17" s="1015"/>
      <c r="AK17" s="1015"/>
      <c r="AL17" s="1015"/>
      <c r="AM17" s="865"/>
      <c r="AN17" s="989">
        <f>AN16/AN13</f>
        <v>0.54169876059099498</v>
      </c>
      <c r="AO17" s="989">
        <f>AO16/AO13</f>
        <v>0.46606273158762213</v>
      </c>
      <c r="AP17" s="989">
        <f>AP16/AP13</f>
        <v>0.46395098647022348</v>
      </c>
      <c r="AQ17" s="989">
        <f>AQ16/AQ13</f>
        <v>0.37917365893177474</v>
      </c>
      <c r="AR17" s="974"/>
      <c r="AS17" s="989">
        <f>AS16/(AS13-AS11)</f>
        <v>0.49045873878427909</v>
      </c>
      <c r="AT17" s="989">
        <f>AT16/(AT13-AT11)</f>
        <v>0.43315221724817465</v>
      </c>
      <c r="AU17" s="989">
        <f>AU16/(AU13-AU11)</f>
        <v>0.44461876372764353</v>
      </c>
      <c r="AV17" s="989">
        <f>AV16/(AV13-AV11)</f>
        <v>0.38344355637289573</v>
      </c>
      <c r="AW17" s="980"/>
      <c r="AX17" s="989">
        <f>AX16/(AX13-AX11)</f>
        <v>0.47028974931800582</v>
      </c>
      <c r="AY17" s="989">
        <f>AY16/(AY13-AY11)</f>
        <v>0.42724255301156422</v>
      </c>
      <c r="AZ17" s="989">
        <f>AZ16/(AZ13-AZ11)</f>
        <v>0.42005731251875067</v>
      </c>
      <c r="BA17" s="989">
        <f>BA16/(BA13-BA11)</f>
        <v>0.37995906111363326</v>
      </c>
      <c r="BB17" s="980"/>
      <c r="BC17" s="989">
        <f>BC16/(BC13-BC11)</f>
        <v>0.52184423539706859</v>
      </c>
      <c r="BD17" s="1015">
        <f>AY17</f>
        <v>0.42724255301156422</v>
      </c>
      <c r="BE17" s="1015">
        <v>0.44</v>
      </c>
      <c r="BF17" s="1015">
        <v>0.37</v>
      </c>
      <c r="BG17" s="980"/>
      <c r="BH17" s="1016">
        <v>0.52</v>
      </c>
      <c r="BI17" s="1016">
        <v>0.52</v>
      </c>
      <c r="BJ17" s="1016">
        <v>0.52</v>
      </c>
      <c r="BK17" s="1016">
        <v>0.3</v>
      </c>
      <c r="BL17" s="980"/>
      <c r="BM17" s="1016">
        <v>0.52</v>
      </c>
      <c r="BN17" s="1016">
        <v>0.52</v>
      </c>
      <c r="BO17" s="1016">
        <v>0.52</v>
      </c>
      <c r="BP17" s="1016">
        <v>0.32</v>
      </c>
      <c r="BR17" s="1016">
        <v>0.52</v>
      </c>
      <c r="BS17" s="1016">
        <v>0.52</v>
      </c>
      <c r="BT17" s="1016">
        <v>0.52</v>
      </c>
      <c r="BU17" s="1016">
        <v>0.3</v>
      </c>
      <c r="BW17" s="1016">
        <f>+BR17-1%</f>
        <v>0.51</v>
      </c>
      <c r="BX17" s="1016">
        <f>+BS17-1%</f>
        <v>0.51</v>
      </c>
      <c r="BY17" s="1016">
        <f>+BT17-1%</f>
        <v>0.51</v>
      </c>
      <c r="BZ17" s="1016">
        <f>+BU17-1%</f>
        <v>0.28999999999999998</v>
      </c>
      <c r="CB17" s="1016">
        <f>BW17-3%</f>
        <v>0.48</v>
      </c>
      <c r="CC17" s="1016">
        <f>BX17-1%</f>
        <v>0.5</v>
      </c>
      <c r="CD17" s="1016">
        <f>BY17-1%</f>
        <v>0.5</v>
      </c>
      <c r="CE17" s="1016">
        <f>BZ17-3%</f>
        <v>0.26</v>
      </c>
      <c r="CF17" s="1048"/>
      <c r="CG17" s="1460">
        <f>CB17+0.001</f>
        <v>0.48099999999999998</v>
      </c>
      <c r="CH17" s="1460">
        <f>CC17-2%</f>
        <v>0.48</v>
      </c>
      <c r="CI17" s="1460">
        <f>CD17-2%</f>
        <v>0.48</v>
      </c>
      <c r="CJ17" s="1460">
        <f>CE17-2%</f>
        <v>0.24000000000000002</v>
      </c>
      <c r="CK17" s="1048"/>
      <c r="CL17" s="1592">
        <v>0.48499999999999999</v>
      </c>
      <c r="CM17" s="1592">
        <v>0.47499999999999998</v>
      </c>
      <c r="CN17" s="1592">
        <v>0.47499999999999998</v>
      </c>
      <c r="CO17" s="1592">
        <v>0.23499999999999999</v>
      </c>
      <c r="CP17" s="2203"/>
      <c r="CQ17" s="1592">
        <v>0.48</v>
      </c>
      <c r="CR17" s="1592">
        <v>0.47</v>
      </c>
      <c r="CS17" s="1592">
        <v>0.47</v>
      </c>
      <c r="CT17" s="1592">
        <v>0.254</v>
      </c>
      <c r="CU17" s="965"/>
      <c r="CV17" s="1592">
        <v>0.48</v>
      </c>
      <c r="CW17" s="1592">
        <v>0.47</v>
      </c>
      <c r="CX17" s="1592">
        <v>0.47</v>
      </c>
      <c r="CY17" s="1592">
        <v>0.26</v>
      </c>
      <c r="CZ17" s="965"/>
      <c r="DA17" s="1592">
        <f>CV17</f>
        <v>0.48</v>
      </c>
      <c r="DB17" s="1592">
        <f t="shared" ref="DB17:DD17" si="19">CW17</f>
        <v>0.47</v>
      </c>
      <c r="DC17" s="1592">
        <f t="shared" si="19"/>
        <v>0.47</v>
      </c>
      <c r="DD17" s="1592">
        <f t="shared" si="19"/>
        <v>0.26</v>
      </c>
      <c r="DE17" s="2854"/>
    </row>
    <row r="18" spans="1:109" hidden="1" outlineLevel="1">
      <c r="A18" s="938" t="s">
        <v>1085</v>
      </c>
      <c r="B18" s="862"/>
      <c r="C18" s="862"/>
      <c r="D18" s="888"/>
      <c r="E18" s="888"/>
      <c r="F18" s="888"/>
      <c r="G18" s="888"/>
      <c r="H18" s="989"/>
      <c r="I18" s="989"/>
      <c r="J18" s="989"/>
      <c r="K18" s="962">
        <f>SUM(AS18:AV18)</f>
        <v>19.6824938475708</v>
      </c>
      <c r="L18" s="962">
        <f>SUM(AX18:BA18)</f>
        <v>176.40000000000003</v>
      </c>
      <c r="M18" s="962">
        <f>SUM(BC18:BF18)</f>
        <v>145.344590821</v>
      </c>
      <c r="N18" s="1241">
        <f>SUM(BH18:BK18)</f>
        <v>68.687862990309938</v>
      </c>
      <c r="O18" s="1050">
        <f>SUM(BM18:BP18)</f>
        <v>69.903634647932009</v>
      </c>
      <c r="P18" s="1050">
        <f>SUM(BR18:BU18)</f>
        <v>62.382947994841643</v>
      </c>
      <c r="Q18" s="1241">
        <f>SUM(BW18:BZ18)</f>
        <v>64.741797367602629</v>
      </c>
      <c r="R18" s="1050">
        <f>SUM(CB18:CE18)</f>
        <v>72.714337287965805</v>
      </c>
      <c r="S18" s="1050">
        <f>SUM(CG18:CJ18)</f>
        <v>74.255751505870307</v>
      </c>
      <c r="T18" s="1050">
        <f>SUM(CL18:CO18)</f>
        <v>75.169013604216914</v>
      </c>
      <c r="U18" s="1050">
        <f>SUM(CQ18:CT18)</f>
        <v>51.454200403724492</v>
      </c>
      <c r="V18" s="1050">
        <f>SUM(CV18:CY18)</f>
        <v>51.68010274767429</v>
      </c>
      <c r="W18" s="1050">
        <f>SUM(DA18:DD18)</f>
        <v>51.68010274767429</v>
      </c>
      <c r="X18" s="962">
        <f t="shared" ref="X18:AF18" si="20">X19*X11</f>
        <v>51.938516752045082</v>
      </c>
      <c r="Y18" s="962">
        <f t="shared" si="20"/>
        <v>52.196930756415881</v>
      </c>
      <c r="Z18" s="962">
        <f t="shared" si="20"/>
        <v>52.455344760786673</v>
      </c>
      <c r="AA18" s="962">
        <f t="shared" si="20"/>
        <v>52.713758765157472</v>
      </c>
      <c r="AB18" s="962">
        <f t="shared" si="20"/>
        <v>52.972172769528264</v>
      </c>
      <c r="AC18" s="962">
        <f t="shared" si="20"/>
        <v>53.230586773899056</v>
      </c>
      <c r="AD18" s="962">
        <f t="shared" si="20"/>
        <v>53.489000778269855</v>
      </c>
      <c r="AE18" s="962">
        <f t="shared" si="20"/>
        <v>53.747414782640647</v>
      </c>
      <c r="AF18" s="962">
        <f t="shared" si="20"/>
        <v>54.005828787011446</v>
      </c>
      <c r="AG18" s="962">
        <f t="shared" ref="AG18" si="21">AG19*AG11</f>
        <v>54.264242791382237</v>
      </c>
      <c r="AH18" s="962"/>
      <c r="AI18" s="962"/>
      <c r="AJ18" s="962"/>
      <c r="AK18" s="962"/>
      <c r="AL18" s="962"/>
      <c r="AM18" s="865"/>
      <c r="AN18" s="989"/>
      <c r="AO18" s="989"/>
      <c r="AP18" s="989"/>
      <c r="AQ18" s="989"/>
      <c r="AR18" s="974"/>
      <c r="AS18" s="979">
        <f>+AS19*AS11</f>
        <v>4.904587387842791</v>
      </c>
      <c r="AT18" s="979">
        <f>+AT19*AT11</f>
        <v>6.4972832587226197</v>
      </c>
      <c r="AU18" s="979">
        <f>+AU19*AU11</f>
        <v>4.4461876372764353</v>
      </c>
      <c r="AV18" s="979">
        <f>+AV19*AV11</f>
        <v>3.8344355637289573</v>
      </c>
      <c r="AW18" s="980"/>
      <c r="AX18" s="979">
        <f>AX11-3.8</f>
        <v>34.800000000000004</v>
      </c>
      <c r="AY18" s="979">
        <f>AY11+10.7</f>
        <v>42.5</v>
      </c>
      <c r="AZ18" s="979">
        <f>AZ11+10.3</f>
        <v>47.400000000000006</v>
      </c>
      <c r="BA18" s="979">
        <f>BA11-6.9</f>
        <v>51.7</v>
      </c>
      <c r="BB18" s="980"/>
      <c r="BC18" s="979">
        <f>52.9-1.1</f>
        <v>51.8</v>
      </c>
      <c r="BD18" s="979">
        <f>BD11+16.8</f>
        <v>57</v>
      </c>
      <c r="BE18" s="981">
        <f>+BE19*BE11</f>
        <v>17.492021536000006</v>
      </c>
      <c r="BF18" s="981">
        <f>+BF19*BF11</f>
        <v>19.052569284999997</v>
      </c>
      <c r="BG18" s="980"/>
      <c r="BH18" s="981">
        <f>+BH19*BH11</f>
        <v>22.927959184000009</v>
      </c>
      <c r="BI18" s="981">
        <f>+BI19*BI11</f>
        <v>19.57708065190592</v>
      </c>
      <c r="BJ18" s="981">
        <f>+BJ19*BJ11</f>
        <v>14.596801291904006</v>
      </c>
      <c r="BK18" s="981">
        <f>+BK19*BK11</f>
        <v>11.586021862499999</v>
      </c>
      <c r="BL18" s="980"/>
      <c r="BM18" s="981">
        <f>+BM19*BM11</f>
        <v>23.157238775840018</v>
      </c>
      <c r="BN18" s="981">
        <f>+BN19*BN11</f>
        <v>19.772851458424981</v>
      </c>
      <c r="BO18" s="981">
        <f>+BO19*BO11</f>
        <v>15.037624690919507</v>
      </c>
      <c r="BP18" s="981">
        <f>+BP19*BP11</f>
        <v>11.935919722747501</v>
      </c>
      <c r="BQ18" s="965">
        <f>O18-SUM(BM18:BP18)</f>
        <v>0</v>
      </c>
      <c r="BR18" s="981">
        <f>+BR19*BR11</f>
        <v>18.410004826792811</v>
      </c>
      <c r="BS18" s="981">
        <f>+BS19*BS11</f>
        <v>15.496972330540579</v>
      </c>
      <c r="BT18" s="981">
        <f>+BT19*BT11</f>
        <v>15.875220386203724</v>
      </c>
      <c r="BU18" s="981">
        <f>+BU19*BU11</f>
        <v>12.600750451304533</v>
      </c>
      <c r="BV18" s="965">
        <f>P18-SUM(BR18:BU18)</f>
        <v>0</v>
      </c>
      <c r="BW18" s="981">
        <f>+BW19*BW11</f>
        <v>19.486621909063654</v>
      </c>
      <c r="BX18" s="981">
        <f>+BX19*BX11</f>
        <v>16.403235272430592</v>
      </c>
      <c r="BY18" s="981">
        <f>+BY19*BY11</f>
        <v>16.803603274388919</v>
      </c>
      <c r="BZ18" s="981">
        <f>+BZ19*BZ11</f>
        <v>12.048336911719465</v>
      </c>
      <c r="CA18" s="965">
        <f>Q18-SUM(BW18:BZ18)</f>
        <v>0</v>
      </c>
      <c r="CB18" s="981">
        <f>+CB19*CB11</f>
        <v>22.255221191066774</v>
      </c>
      <c r="CC18" s="981">
        <f>+CC19*CC11</f>
        <v>19.052357768928132</v>
      </c>
      <c r="CD18" s="981">
        <f>+CD19*CD11</f>
        <v>18.896223204561668</v>
      </c>
      <c r="CE18" s="981">
        <f>+CE19*CE11</f>
        <v>12.510535123409232</v>
      </c>
      <c r="CF18" s="965">
        <f>R18-SUM(CB18:CE18)</f>
        <v>0</v>
      </c>
      <c r="CG18" s="1461">
        <f>+CG19*CG11</f>
        <v>23.98318015068746</v>
      </c>
      <c r="CH18" s="1461">
        <f>+CH19*CH11</f>
        <v>18.993735129639123</v>
      </c>
      <c r="CI18" s="1461">
        <f>+CI19*CI11</f>
        <v>18.838080979316864</v>
      </c>
      <c r="CJ18" s="1462">
        <f>+CJ19*CJ11</f>
        <v>12.440755246226871</v>
      </c>
      <c r="CK18" s="965">
        <f>$S18-SUM(CG18:CJ18)</f>
        <v>0</v>
      </c>
      <c r="CL18" s="1462">
        <f>+CL19*CL11</f>
        <v>24.277198873912706</v>
      </c>
      <c r="CM18" s="1462">
        <f>+CM19*CM11</f>
        <v>19.322168466255796</v>
      </c>
      <c r="CN18" s="1462">
        <f>+CN19*CN11</f>
        <v>19.107897243343537</v>
      </c>
      <c r="CO18" s="1462">
        <f>+CO19*CO11</f>
        <v>12.461749020704875</v>
      </c>
      <c r="CP18" s="2205">
        <f>$T18-SUM(CL18:CO18)</f>
        <v>0</v>
      </c>
      <c r="CQ18" s="1462">
        <f>+CQ19*CQ11</f>
        <v>17.539650485400024</v>
      </c>
      <c r="CR18" s="1462">
        <f>+CR19*CR11</f>
        <v>13.000768509084951</v>
      </c>
      <c r="CS18" s="1462">
        <f>+CS19*CS11</f>
        <v>12.856597808363357</v>
      </c>
      <c r="CT18" s="1462">
        <f>+CT19*CT11</f>
        <v>8.057183600876165</v>
      </c>
      <c r="CU18" s="965">
        <f t="shared" si="6"/>
        <v>0</v>
      </c>
      <c r="CV18" s="1462">
        <f>+CV19*CV11</f>
        <v>17.539650485400024</v>
      </c>
      <c r="CW18" s="1462">
        <f>+CW19*CW11</f>
        <v>13.000768509084951</v>
      </c>
      <c r="CX18" s="1462">
        <f>+CX19*CX11</f>
        <v>12.856597808363357</v>
      </c>
      <c r="CY18" s="1462">
        <f>+CY19*CY11</f>
        <v>8.2830859448259648</v>
      </c>
      <c r="CZ18" s="965">
        <f t="shared" si="3"/>
        <v>0</v>
      </c>
      <c r="DA18" s="1462">
        <f>+DA19*DA11</f>
        <v>17.539650485400024</v>
      </c>
      <c r="DB18" s="1462">
        <f>+DB19*DB11</f>
        <v>13.000768509084951</v>
      </c>
      <c r="DC18" s="1462">
        <f>+DC19*DC11</f>
        <v>12.856597808363357</v>
      </c>
      <c r="DD18" s="1462">
        <f>+DD19*DD11</f>
        <v>8.2830859448259648</v>
      </c>
      <c r="DE18" s="2854">
        <f t="shared" si="4"/>
        <v>0</v>
      </c>
    </row>
    <row r="19" spans="1:109" hidden="1" outlineLevel="1">
      <c r="A19" s="938" t="s">
        <v>739</v>
      </c>
      <c r="B19" s="862"/>
      <c r="C19" s="862"/>
      <c r="D19" s="975"/>
      <c r="E19" s="975"/>
      <c r="F19" s="975"/>
      <c r="G19" s="975"/>
      <c r="H19" s="975"/>
      <c r="I19" s="975"/>
      <c r="J19" s="975"/>
      <c r="K19" s="975">
        <f t="shared" ref="K19:S19" si="22">K18/K11</f>
        <v>0.43738875216824002</v>
      </c>
      <c r="L19" s="975">
        <f t="shared" si="22"/>
        <v>1.0620108368452741</v>
      </c>
      <c r="M19" s="975">
        <f t="shared" si="22"/>
        <v>0.78842499614434447</v>
      </c>
      <c r="N19" s="975">
        <f t="shared" si="22"/>
        <v>0.46275859808712694</v>
      </c>
      <c r="O19" s="975">
        <f t="shared" si="22"/>
        <v>0.4621337612080329</v>
      </c>
      <c r="P19" s="975">
        <f t="shared" si="22"/>
        <v>0.4529118755099022</v>
      </c>
      <c r="Q19" s="975">
        <f t="shared" si="22"/>
        <v>0.44406844091802572</v>
      </c>
      <c r="R19" s="1163">
        <f t="shared" si="22"/>
        <v>0.43220695345858695</v>
      </c>
      <c r="S19" s="1163">
        <f t="shared" si="22"/>
        <v>0.41425594838910235</v>
      </c>
      <c r="T19" s="1163">
        <f>T18/T11</f>
        <v>0.40854900556297136</v>
      </c>
      <c r="U19" s="1163">
        <f>U18/U11</f>
        <v>0.39823074240120182</v>
      </c>
      <c r="V19" s="1163">
        <f>V18/V11</f>
        <v>0.39997911779981721</v>
      </c>
      <c r="W19" s="1163">
        <f>W18/W11</f>
        <v>0.39997911779981721</v>
      </c>
      <c r="X19" s="982">
        <f t="shared" ref="X19:AG19" si="23">W19+0.002</f>
        <v>0.40197911779981721</v>
      </c>
      <c r="Y19" s="982">
        <f t="shared" si="23"/>
        <v>0.40397911779981721</v>
      </c>
      <c r="Z19" s="982">
        <f t="shared" si="23"/>
        <v>0.40597911779981721</v>
      </c>
      <c r="AA19" s="982">
        <f t="shared" si="23"/>
        <v>0.40797911779981721</v>
      </c>
      <c r="AB19" s="982">
        <f t="shared" si="23"/>
        <v>0.40997911779981722</v>
      </c>
      <c r="AC19" s="982">
        <f t="shared" si="23"/>
        <v>0.41197911779981722</v>
      </c>
      <c r="AD19" s="982">
        <f t="shared" si="23"/>
        <v>0.41397911779981722</v>
      </c>
      <c r="AE19" s="982">
        <f t="shared" si="23"/>
        <v>0.41597911779981722</v>
      </c>
      <c r="AF19" s="982">
        <f t="shared" si="23"/>
        <v>0.41797911779981722</v>
      </c>
      <c r="AG19" s="982">
        <f t="shared" si="23"/>
        <v>0.41997911779981723</v>
      </c>
      <c r="AH19" s="962"/>
      <c r="AI19" s="962"/>
      <c r="AJ19" s="962"/>
      <c r="AK19" s="962"/>
      <c r="AL19" s="962"/>
      <c r="AM19" s="862"/>
      <c r="AN19" s="975"/>
      <c r="AO19" s="975"/>
      <c r="AP19" s="975"/>
      <c r="AQ19" s="975"/>
      <c r="AR19" s="974"/>
      <c r="AS19" s="975">
        <f>+AS17</f>
        <v>0.49045873878427909</v>
      </c>
      <c r="AT19" s="975">
        <f>+AT17</f>
        <v>0.43315221724817465</v>
      </c>
      <c r="AU19" s="975">
        <f>+AU17</f>
        <v>0.44461876372764353</v>
      </c>
      <c r="AV19" s="975">
        <f>+AV17</f>
        <v>0.38344355637289573</v>
      </c>
      <c r="AW19" s="980"/>
      <c r="AX19" s="975">
        <f>+AX17</f>
        <v>0.47028974931800582</v>
      </c>
      <c r="AY19" s="975">
        <f>+AY17</f>
        <v>0.42724255301156422</v>
      </c>
      <c r="AZ19" s="975">
        <f>+AZ17</f>
        <v>0.42005731251875067</v>
      </c>
      <c r="BA19" s="975">
        <f>+BA17</f>
        <v>0.37995906111363326</v>
      </c>
      <c r="BB19" s="980"/>
      <c r="BC19" s="975">
        <f>BC18/BC11</f>
        <v>0.9792060491493384</v>
      </c>
      <c r="BD19" s="975">
        <f>BD18/BD11</f>
        <v>1.4179104477611939</v>
      </c>
      <c r="BE19" s="982">
        <v>0.44</v>
      </c>
      <c r="BF19" s="982">
        <v>0.37</v>
      </c>
      <c r="BG19" s="980"/>
      <c r="BH19" s="982">
        <v>0.52</v>
      </c>
      <c r="BI19" s="982">
        <v>0.52</v>
      </c>
      <c r="BJ19" s="982">
        <v>0.52</v>
      </c>
      <c r="BK19" s="982">
        <v>0.3</v>
      </c>
      <c r="BL19" s="980"/>
      <c r="BM19" s="982">
        <v>0.52</v>
      </c>
      <c r="BN19" s="982">
        <v>0.52</v>
      </c>
      <c r="BO19" s="982">
        <v>0.52</v>
      </c>
      <c r="BP19" s="982">
        <v>0.3</v>
      </c>
      <c r="BR19" s="982">
        <v>0.52</v>
      </c>
      <c r="BS19" s="982">
        <v>0.52</v>
      </c>
      <c r="BT19" s="982">
        <v>0.52</v>
      </c>
      <c r="BU19" s="982">
        <v>0.3</v>
      </c>
      <c r="BW19" s="982">
        <v>0.52</v>
      </c>
      <c r="BX19" s="982">
        <v>0.52</v>
      </c>
      <c r="BY19" s="982">
        <v>0.52</v>
      </c>
      <c r="BZ19" s="982">
        <v>0.27100000000000002</v>
      </c>
      <c r="CB19" s="1244">
        <f>BW19-3%</f>
        <v>0.49</v>
      </c>
      <c r="CC19" s="1244">
        <f>BX19</f>
        <v>0.52</v>
      </c>
      <c r="CD19" s="1244">
        <f>BY19</f>
        <v>0.52</v>
      </c>
      <c r="CE19" s="1244">
        <f>BZ19-2%</f>
        <v>0.251</v>
      </c>
      <c r="CF19" s="1048"/>
      <c r="CG19" s="1463">
        <f>CG17+1.25%</f>
        <v>0.49349999999999999</v>
      </c>
      <c r="CH19" s="1463">
        <f>CH17</f>
        <v>0.48</v>
      </c>
      <c r="CI19" s="1463">
        <f>CI17</f>
        <v>0.48</v>
      </c>
      <c r="CJ19" s="1463">
        <f>CJ17</f>
        <v>0.24000000000000002</v>
      </c>
      <c r="CK19" s="1048"/>
      <c r="CL19" s="1593">
        <f>CL17</f>
        <v>0.48499999999999999</v>
      </c>
      <c r="CM19" s="1593">
        <f>CM17</f>
        <v>0.47499999999999998</v>
      </c>
      <c r="CN19" s="1593">
        <f>CN17</f>
        <v>0.47499999999999998</v>
      </c>
      <c r="CO19" s="1463">
        <f>CO17</f>
        <v>0.23499999999999999</v>
      </c>
      <c r="CP19" s="2203"/>
      <c r="CQ19" s="1593">
        <v>0.48</v>
      </c>
      <c r="CR19" s="1593">
        <v>0.47</v>
      </c>
      <c r="CS19" s="1593">
        <v>0.47</v>
      </c>
      <c r="CT19" s="1463">
        <v>0.214</v>
      </c>
      <c r="CU19" s="965"/>
      <c r="CV19" s="1593">
        <v>0.48</v>
      </c>
      <c r="CW19" s="1593">
        <v>0.47</v>
      </c>
      <c r="CX19" s="1593">
        <v>0.47</v>
      </c>
      <c r="CY19" s="1463">
        <v>0.22</v>
      </c>
      <c r="CZ19" s="965"/>
      <c r="DA19" s="1593">
        <f>CV19</f>
        <v>0.48</v>
      </c>
      <c r="DB19" s="1593">
        <f t="shared" ref="DB19:DD19" si="24">CW19</f>
        <v>0.47</v>
      </c>
      <c r="DC19" s="1593">
        <f t="shared" si="24"/>
        <v>0.47</v>
      </c>
      <c r="DD19" s="1593">
        <f t="shared" si="24"/>
        <v>0.22</v>
      </c>
      <c r="DE19" s="2854"/>
    </row>
    <row r="20" spans="1:109" hidden="1" outlineLevel="1">
      <c r="A20" s="983" t="s">
        <v>8</v>
      </c>
      <c r="B20" s="862"/>
      <c r="C20" s="862"/>
      <c r="D20" s="984">
        <f t="shared" ref="D20:J20" si="25">D13-D16</f>
        <v>169.303</v>
      </c>
      <c r="E20" s="984">
        <f t="shared" si="25"/>
        <v>253.27100000000002</v>
      </c>
      <c r="F20" s="984">
        <f t="shared" si="25"/>
        <v>116.36100000000002</v>
      </c>
      <c r="G20" s="984">
        <f t="shared" si="25"/>
        <v>91.037999999999982</v>
      </c>
      <c r="H20" s="984">
        <f t="shared" si="25"/>
        <v>107.935</v>
      </c>
      <c r="I20" s="984">
        <f t="shared" si="25"/>
        <v>146.84399999999999</v>
      </c>
      <c r="J20" s="984">
        <f t="shared" si="25"/>
        <v>184.27800000000002</v>
      </c>
      <c r="K20" s="984">
        <f>K13-K16-K18</f>
        <v>234.69550615242912</v>
      </c>
      <c r="L20" s="984">
        <f t="shared" ref="L20:V20" si="26">L13-L16-L18</f>
        <v>224.97599999999994</v>
      </c>
      <c r="M20" s="984">
        <f t="shared" si="26"/>
        <v>284.28867079999992</v>
      </c>
      <c r="N20" s="984">
        <f t="shared" si="26"/>
        <v>294.27791233124998</v>
      </c>
      <c r="O20" s="984">
        <f t="shared" si="26"/>
        <v>305.44744968434827</v>
      </c>
      <c r="P20" s="984">
        <f t="shared" si="26"/>
        <v>304.67227182056791</v>
      </c>
      <c r="Q20" s="984">
        <f t="shared" si="26"/>
        <v>326.00741714486117</v>
      </c>
      <c r="R20" s="984">
        <f>R13-R16-R18</f>
        <v>383.50161788532091</v>
      </c>
      <c r="S20" s="984">
        <f>S13-S16-S18</f>
        <v>412.64741012410104</v>
      </c>
      <c r="T20" s="984">
        <f>T13-T16-T18</f>
        <v>426.21697910275202</v>
      </c>
      <c r="U20" s="984">
        <f>U13-U16-U18</f>
        <v>400.8091121733035</v>
      </c>
      <c r="V20" s="984">
        <f t="shared" si="26"/>
        <v>406.01477237187549</v>
      </c>
      <c r="W20" s="984">
        <f t="shared" ref="W20" si="27">W13-W16-W18</f>
        <v>412.58452983055855</v>
      </c>
      <c r="X20" s="984">
        <f t="shared" ref="X20:AC20" si="28">X13-X16-X18</f>
        <v>417.54073490457222</v>
      </c>
      <c r="Y20" s="984">
        <f t="shared" si="28"/>
        <v>421.89589815184797</v>
      </c>
      <c r="Z20" s="984">
        <f t="shared" si="28"/>
        <v>425.62215479411606</v>
      </c>
      <c r="AA20" s="984">
        <f t="shared" si="28"/>
        <v>428.69498848353982</v>
      </c>
      <c r="AB20" s="984">
        <f t="shared" si="28"/>
        <v>431.09348014636419</v>
      </c>
      <c r="AC20" s="984">
        <f t="shared" si="28"/>
        <v>432.80052464831004</v>
      </c>
      <c r="AD20" s="984">
        <f>AD13-AD16-AD18</f>
        <v>433.80301217288752</v>
      </c>
      <c r="AE20" s="984">
        <f>AE13-AE16-AE18</f>
        <v>434.09197165045771</v>
      </c>
      <c r="AF20" s="984">
        <f>AF13-AF16-AF18</f>
        <v>434.37745273757776</v>
      </c>
      <c r="AG20" s="984">
        <f>AG13-AG16-AG18</f>
        <v>434.65940696600683</v>
      </c>
      <c r="AH20" s="962"/>
      <c r="AI20" s="962"/>
      <c r="AJ20" s="962"/>
      <c r="AK20" s="962"/>
      <c r="AL20" s="962"/>
      <c r="AM20" s="862"/>
      <c r="AN20" s="984">
        <f>AN13-AN16</f>
        <v>32.725000000000001</v>
      </c>
      <c r="AO20" s="984">
        <f>AO13-AO16</f>
        <v>43.085000000000015</v>
      </c>
      <c r="AP20" s="984">
        <f>AP13-AP16</f>
        <v>44.097000000000008</v>
      </c>
      <c r="AQ20" s="984">
        <f>AQ13-AQ16</f>
        <v>64.371000000000009</v>
      </c>
      <c r="AR20" s="979"/>
      <c r="AS20" s="984">
        <f>AS13-AS16-AS18</f>
        <v>45.415412612157205</v>
      </c>
      <c r="AT20" s="984">
        <f t="shared" ref="AT20:BK20" si="29">AT13-AT16-AT18</f>
        <v>58.265716741277387</v>
      </c>
      <c r="AU20" s="984">
        <f t="shared" si="29"/>
        <v>55.113812362723564</v>
      </c>
      <c r="AV20" s="984">
        <f t="shared" si="29"/>
        <v>75.90056443627104</v>
      </c>
      <c r="AW20" s="980">
        <f>K20-SUM(AS20:AV20)</f>
        <v>0</v>
      </c>
      <c r="AX20" s="984">
        <f t="shared" si="29"/>
        <v>50.984999999999992</v>
      </c>
      <c r="AY20" s="984">
        <f t="shared" si="29"/>
        <v>43.484000000000009</v>
      </c>
      <c r="AZ20" s="984">
        <f t="shared" si="29"/>
        <v>45.759</v>
      </c>
      <c r="BA20" s="984">
        <f t="shared" si="29"/>
        <v>84.747999999999976</v>
      </c>
      <c r="BB20" s="980">
        <f>L20-SUM(AX20:BA20)</f>
        <v>0</v>
      </c>
      <c r="BC20" s="984">
        <f t="shared" si="29"/>
        <v>44.813000000000002</v>
      </c>
      <c r="BD20" s="984">
        <f t="shared" si="29"/>
        <v>41.241900799999996</v>
      </c>
      <c r="BE20" s="984">
        <f t="shared" si="29"/>
        <v>80.248000000000005</v>
      </c>
      <c r="BF20" s="984">
        <f t="shared" si="29"/>
        <v>117.98577</v>
      </c>
      <c r="BG20" s="980">
        <f>M20-SUM(BC20:BF20)</f>
        <v>0</v>
      </c>
      <c r="BH20" s="984">
        <f t="shared" si="29"/>
        <v>64.463999999999999</v>
      </c>
      <c r="BI20" s="984">
        <f t="shared" si="29"/>
        <v>61.007999999999996</v>
      </c>
      <c r="BJ20" s="984">
        <f t="shared" si="29"/>
        <v>58.603199999999994</v>
      </c>
      <c r="BK20" s="984">
        <f t="shared" si="29"/>
        <v>110.20271233125</v>
      </c>
      <c r="BL20" s="980">
        <f>N20-SUM(BH20:BK20)</f>
        <v>0</v>
      </c>
      <c r="BM20" s="984">
        <f>BM13-BM16-BM18</f>
        <v>66.840629199359995</v>
      </c>
      <c r="BN20" s="984">
        <f>BN13-BN16-BN18</f>
        <v>63.335553945160385</v>
      </c>
      <c r="BO20" s="984">
        <f>BO13-BO16-BO18</f>
        <v>61.740432296174127</v>
      </c>
      <c r="BP20" s="984">
        <f>BP13-BP16-BP18</f>
        <v>113.53083424365376</v>
      </c>
      <c r="BQ20" s="965">
        <f>O20-SUM(BM20:BP20)</f>
        <v>0</v>
      </c>
      <c r="BR20" s="984">
        <f>BR13-BR16-BR18</f>
        <v>55.256956001608316</v>
      </c>
      <c r="BS20" s="984">
        <f>BS13-BS16-BS18</f>
        <v>61.732940531487976</v>
      </c>
      <c r="BT20" s="984">
        <f>BT13-BT16-BT18</f>
        <v>65.177077116768643</v>
      </c>
      <c r="BU20" s="984">
        <f>BU13-BU16-BU18</f>
        <v>122.50529817070297</v>
      </c>
      <c r="BV20" s="965">
        <f>P20-SUM(BR20:BU20)</f>
        <v>0</v>
      </c>
      <c r="BW20" s="984">
        <f>BW13-BW16-BW18</f>
        <v>58.992323829559027</v>
      </c>
      <c r="BX20" s="984">
        <f>BX13-BX16-BX18</f>
        <v>65.929965402470813</v>
      </c>
      <c r="BY20" s="984">
        <f>BY13-BY16-BY18</f>
        <v>69.613812949711971</v>
      </c>
      <c r="BZ20" s="984">
        <f>BZ13-BZ16-BZ18</f>
        <v>131.4713149631194</v>
      </c>
      <c r="CA20" s="965">
        <f>Q20-SUM(BW20:BZ20)</f>
        <v>0</v>
      </c>
      <c r="CB20" s="984">
        <f>CB13-CB16-CB18</f>
        <v>75.381793178506598</v>
      </c>
      <c r="CC20" s="984">
        <f>CC13-CC16-CC18</f>
        <v>77.185562273939681</v>
      </c>
      <c r="CD20" s="984">
        <f>CD13-CD16-CD18</f>
        <v>78.998398098932199</v>
      </c>
      <c r="CE20" s="984">
        <f>CE13-CE16-CE18</f>
        <v>151.93586433394233</v>
      </c>
      <c r="CF20" s="965">
        <f>R20-SUM(CB20:CE20)</f>
        <v>0</v>
      </c>
      <c r="CG20" s="1447">
        <f>CG13-CG16-CG18</f>
        <v>78.817442965162613</v>
      </c>
      <c r="CH20" s="1447">
        <f>CH13-CH16-CH18</f>
        <v>85.038576549437678</v>
      </c>
      <c r="CI20" s="1447">
        <f>CI13-CI16-CI18</f>
        <v>86.986599197297323</v>
      </c>
      <c r="CJ20" s="984">
        <f>CJ13-CJ16-CJ18</f>
        <v>161.80479141220346</v>
      </c>
      <c r="CK20" s="965">
        <f>$S20-SUM(CG20:CJ20)</f>
        <v>0</v>
      </c>
      <c r="CL20" s="1594">
        <f>CL13-CL16-CL18</f>
        <v>81.446088710970884</v>
      </c>
      <c r="CM20" s="1594">
        <f>CM13-CM16-CM18</f>
        <v>88.260230314868323</v>
      </c>
      <c r="CN20" s="1594">
        <f>CN13-CN16-CN18</f>
        <v>90.018584025087733</v>
      </c>
      <c r="CO20" s="1595">
        <f>CO13-CO16-CO18</f>
        <v>166.49207605182505</v>
      </c>
      <c r="CP20" s="2205">
        <f>$T20-SUM(CL20:CO20)</f>
        <v>0</v>
      </c>
      <c r="CQ20" s="1594">
        <f>CQ13-CQ16-CQ18</f>
        <v>76.445522429579142</v>
      </c>
      <c r="CR20" s="1594">
        <f>CR13-CR16-CR18</f>
        <v>83.687682136803588</v>
      </c>
      <c r="CS20" s="1594">
        <f>CS13-CS16-CS18</f>
        <v>85.583600170090605</v>
      </c>
      <c r="CT20" s="1595">
        <f>CT13-CT16-CT18</f>
        <v>155.09230743683017</v>
      </c>
      <c r="CU20" s="965">
        <f t="shared" si="6"/>
        <v>0</v>
      </c>
      <c r="CV20" s="1594">
        <f>CV13-CV16-CV18</f>
        <v>77.594407117653731</v>
      </c>
      <c r="CW20" s="1594">
        <f>CW13-CW16-CW18</f>
        <v>85.068226957845397</v>
      </c>
      <c r="CX20" s="1594">
        <f>CX13-CX16-CX18</f>
        <v>87.005314861218693</v>
      </c>
      <c r="CY20" s="1595">
        <f>CY13-CY16-CY18</f>
        <v>156.34682343515757</v>
      </c>
      <c r="CZ20" s="965">
        <f t="shared" si="3"/>
        <v>0</v>
      </c>
      <c r="DA20" s="1594">
        <f>DA13-DA16-DA18</f>
        <v>78.766269499489823</v>
      </c>
      <c r="DB20" s="1594">
        <f>DB13-DB16-DB18</f>
        <v>86.476382675308045</v>
      </c>
      <c r="DC20" s="1594">
        <f>DC13-DC16-DC18</f>
        <v>88.455463846169337</v>
      </c>
      <c r="DD20" s="1594">
        <f>DD13-DD16-DD18</f>
        <v>158.88641380959123</v>
      </c>
      <c r="DE20" s="2854">
        <f t="shared" si="4"/>
        <v>0</v>
      </c>
    </row>
    <row r="21" spans="1:109" hidden="1" outlineLevel="1">
      <c r="A21" s="938" t="s">
        <v>690</v>
      </c>
      <c r="B21" s="862"/>
      <c r="C21" s="862"/>
      <c r="D21" s="862"/>
      <c r="E21" s="862"/>
      <c r="F21" s="862"/>
      <c r="G21" s="862"/>
      <c r="H21" s="888">
        <f>H20/H13</f>
        <v>0.43833252111760884</v>
      </c>
      <c r="I21" s="888">
        <f t="shared" ref="I21:V21" si="30">I20/I13</f>
        <v>0.50434818447842389</v>
      </c>
      <c r="J21" s="888">
        <f t="shared" si="30"/>
        <v>0.54512538197351257</v>
      </c>
      <c r="K21" s="888">
        <f t="shared" si="30"/>
        <v>0.56654292641180792</v>
      </c>
      <c r="L21" s="888">
        <f t="shared" si="30"/>
        <v>0.39331812341016958</v>
      </c>
      <c r="M21" s="888">
        <f t="shared" si="30"/>
        <v>0.46118066646647254</v>
      </c>
      <c r="N21" s="888">
        <f t="shared" si="30"/>
        <v>0.54402976693861282</v>
      </c>
      <c r="O21" s="888">
        <f t="shared" si="30"/>
        <v>0.5400288536188006</v>
      </c>
      <c r="P21" s="888">
        <f t="shared" si="30"/>
        <v>0.54943215668073109</v>
      </c>
      <c r="Q21" s="888">
        <f t="shared" si="30"/>
        <v>0.55913030817651055</v>
      </c>
      <c r="R21" s="990">
        <f>R20/R13</f>
        <v>0.5759683487421039</v>
      </c>
      <c r="S21" s="990">
        <f>S20/S13</f>
        <v>0.59224328163668105</v>
      </c>
      <c r="T21" s="990">
        <f>T20/T13</f>
        <v>0.59580506096325125</v>
      </c>
      <c r="U21" s="990">
        <f>U20/U13</f>
        <v>0.59620245628827029</v>
      </c>
      <c r="V21" s="888">
        <f t="shared" si="30"/>
        <v>0.5943435878663893</v>
      </c>
      <c r="W21" s="888">
        <f t="shared" ref="W21" si="31">W20/W13</f>
        <v>0.59432245459863131</v>
      </c>
      <c r="X21" s="888">
        <f t="shared" ref="X21:AC21" si="32">X20/X13</f>
        <v>0.59230261012968444</v>
      </c>
      <c r="Y21" s="888">
        <f t="shared" si="32"/>
        <v>0.59028503671093313</v>
      </c>
      <c r="Z21" s="990">
        <f t="shared" si="32"/>
        <v>0.58826967190829305</v>
      </c>
      <c r="AA21" s="990">
        <f t="shared" si="32"/>
        <v>0.58625646114576535</v>
      </c>
      <c r="AB21" s="990">
        <f t="shared" si="32"/>
        <v>0.58424535768795349</v>
      </c>
      <c r="AC21" s="990">
        <f t="shared" si="32"/>
        <v>0.58223632261824132</v>
      </c>
      <c r="AD21" s="990">
        <f>AD20/AD13</f>
        <v>0.58022932481866007</v>
      </c>
      <c r="AE21" s="990">
        <f>AE20/AE13</f>
        <v>0.57822434095636532</v>
      </c>
      <c r="AF21" s="990">
        <f>AF20/AF13</f>
        <v>0.5762193733683969</v>
      </c>
      <c r="AG21" s="990">
        <f>AG20/AG13</f>
        <v>0.57421442203665518</v>
      </c>
      <c r="AH21" s="962"/>
      <c r="AI21" s="962"/>
      <c r="AJ21" s="962"/>
      <c r="AK21" s="962"/>
      <c r="AL21" s="962"/>
      <c r="AM21" s="862"/>
      <c r="AN21" s="888">
        <f>AN20/AN13</f>
        <v>0.45830123940900497</v>
      </c>
      <c r="AO21" s="888">
        <f>AO20/AO13</f>
        <v>0.53393726841237787</v>
      </c>
      <c r="AP21" s="888">
        <f>AP20/AP13</f>
        <v>0.53604901352977652</v>
      </c>
      <c r="AQ21" s="888">
        <f>AQ20/AQ13</f>
        <v>0.62082634106822532</v>
      </c>
      <c r="AR21" s="862"/>
      <c r="AS21" s="888">
        <f>AS20/AS13</f>
        <v>0.50954126121572096</v>
      </c>
      <c r="AT21" s="888">
        <f>AT20/AT13</f>
        <v>0.56684778275182546</v>
      </c>
      <c r="AU21" s="888">
        <f>AU20/AU13</f>
        <v>0.55538123627235647</v>
      </c>
      <c r="AV21" s="888">
        <f>AV20/AV13</f>
        <v>0.61655644362710427</v>
      </c>
      <c r="AW21" s="862"/>
      <c r="AX21" s="888">
        <f>AX20/AX13</f>
        <v>0.39932799172912892</v>
      </c>
      <c r="AY21" s="888">
        <f>AY20/AY13</f>
        <v>0.34401354408949231</v>
      </c>
      <c r="AZ21" s="888">
        <f>AZ20/AZ13</f>
        <v>0.34209011460568317</v>
      </c>
      <c r="BA21" s="888">
        <f>BA20/BA13</f>
        <v>0.4602042866529461</v>
      </c>
      <c r="BB21" s="862"/>
      <c r="BC21" s="888">
        <f>BC20/BC13</f>
        <v>0.31051136363636367</v>
      </c>
      <c r="BD21" s="888">
        <f>BD20/BD13</f>
        <v>0.29138463996562375</v>
      </c>
      <c r="BE21" s="888">
        <f>BE20/BE13</f>
        <v>0.55999999999999994</v>
      </c>
      <c r="BF21" s="888">
        <f>BF20/BF13</f>
        <v>0.63</v>
      </c>
      <c r="BG21" s="862"/>
      <c r="BH21" s="888">
        <f>BH20/BH13</f>
        <v>0.47999999999999993</v>
      </c>
      <c r="BI21" s="888">
        <f>BI20/BI13</f>
        <v>0.48</v>
      </c>
      <c r="BJ21" s="888">
        <f>BJ20/BJ13</f>
        <v>0.47999999999999993</v>
      </c>
      <c r="BK21" s="888">
        <f>BK20/BK13</f>
        <v>0.7</v>
      </c>
      <c r="BL21" s="906"/>
      <c r="BM21" s="888">
        <f>BM20/BM13</f>
        <v>0.48</v>
      </c>
      <c r="BN21" s="888">
        <f>BN20/BN13</f>
        <v>0.47999999999999993</v>
      </c>
      <c r="BO21" s="888">
        <f>BO20/BO13</f>
        <v>0.47999999999999993</v>
      </c>
      <c r="BP21" s="888">
        <f>BP20/BP13</f>
        <v>0.68479970299733461</v>
      </c>
      <c r="BR21" s="888">
        <f>BR20/BR13</f>
        <v>0.47999999999999993</v>
      </c>
      <c r="BS21" s="888">
        <f>BS20/BS13</f>
        <v>0.48000000000000004</v>
      </c>
      <c r="BT21" s="888">
        <f>BT20/BT13</f>
        <v>0.47999999999999993</v>
      </c>
      <c r="BU21" s="888">
        <f>BU20/BU13</f>
        <v>0.7</v>
      </c>
      <c r="BW21" s="888">
        <f>BW20/BW13</f>
        <v>0.48690697304306191</v>
      </c>
      <c r="BX21" s="888">
        <f>BX20/BX13</f>
        <v>0.48766672222957896</v>
      </c>
      <c r="BY21" s="888">
        <f>BY20/BY13</f>
        <v>0.487735937505341</v>
      </c>
      <c r="BZ21" s="888">
        <f>BZ20/BZ13</f>
        <v>0.71459132617758125</v>
      </c>
      <c r="CB21" s="990">
        <f>CB20/CB13</f>
        <v>0.51688567546323749</v>
      </c>
      <c r="CC21" s="990">
        <f>CC20/CC13</f>
        <v>0.49529775055784403</v>
      </c>
      <c r="CD21" s="990">
        <f>CD20/CD13</f>
        <v>0.49544198048343246</v>
      </c>
      <c r="CE21" s="990">
        <f>CE20/CE13</f>
        <v>0.74219129187351573</v>
      </c>
      <c r="CF21" s="1048"/>
      <c r="CG21" s="1409">
        <f>CG20/CG13</f>
        <v>0.51503045984708995</v>
      </c>
      <c r="CH21" s="1409">
        <f>CH20/CH13</f>
        <v>0.51999999999999991</v>
      </c>
      <c r="CI21" s="1409">
        <f>CI20/CI13</f>
        <v>0.52</v>
      </c>
      <c r="CJ21" s="990">
        <f>CJ20/CJ13</f>
        <v>0.7599999999999999</v>
      </c>
      <c r="CK21" s="1048"/>
      <c r="CL21" s="1596">
        <f>CL20/CL13</f>
        <v>0.5149999999999999</v>
      </c>
      <c r="CM21" s="1596">
        <f>CM20/CM13</f>
        <v>0.52500000000000002</v>
      </c>
      <c r="CN21" s="1596">
        <f>CN20/CN13</f>
        <v>0.52500000000000002</v>
      </c>
      <c r="CO21" s="1596">
        <f>CO20/CO13</f>
        <v>0.76500000000000012</v>
      </c>
      <c r="CP21" s="2203"/>
      <c r="CQ21" s="1596">
        <f>CQ20/CQ13</f>
        <v>0.52</v>
      </c>
      <c r="CR21" s="1596">
        <f>CR20/CR13</f>
        <v>0.53</v>
      </c>
      <c r="CS21" s="1596">
        <f>CS20/CS13</f>
        <v>0.53</v>
      </c>
      <c r="CT21" s="1596">
        <f>CT20/CT13</f>
        <v>0.75331502560547448</v>
      </c>
      <c r="CU21" s="965"/>
      <c r="CV21" s="1596">
        <f>CV20/CV13</f>
        <v>0.52</v>
      </c>
      <c r="CW21" s="1596">
        <f>CW20/CW13</f>
        <v>0.52999999999999992</v>
      </c>
      <c r="CX21" s="1596">
        <f>CX20/CX13</f>
        <v>0.53</v>
      </c>
      <c r="CY21" s="1596">
        <f>CY20/CY13</f>
        <v>0.74719740215293651</v>
      </c>
      <c r="CZ21" s="965"/>
      <c r="DA21" s="1596">
        <f>DA20/DA13</f>
        <v>0.52000000000000013</v>
      </c>
      <c r="DB21" s="1596">
        <f>DB20/DB13</f>
        <v>0.53</v>
      </c>
      <c r="DC21" s="1596">
        <f>DC20/DC13</f>
        <v>0.53</v>
      </c>
      <c r="DD21" s="1596">
        <f>DD20/DD13</f>
        <v>0.74708126028622679</v>
      </c>
      <c r="DE21" s="2854"/>
    </row>
    <row r="22" spans="1:109" hidden="1" outlineLevel="1">
      <c r="A22" s="862"/>
      <c r="B22" s="862"/>
      <c r="C22" s="862"/>
      <c r="D22" s="862"/>
      <c r="E22" s="862"/>
      <c r="F22" s="862"/>
      <c r="G22" s="862"/>
      <c r="H22" s="862"/>
      <c r="I22" s="862"/>
      <c r="J22" s="862"/>
      <c r="K22" s="862"/>
      <c r="L22" s="862"/>
      <c r="M22" s="862"/>
      <c r="N22" s="862"/>
      <c r="O22" s="862"/>
      <c r="P22" s="862"/>
      <c r="Q22" s="862"/>
      <c r="R22" s="906"/>
      <c r="S22" s="906"/>
      <c r="T22" s="906"/>
      <c r="U22" s="862"/>
      <c r="V22" s="862"/>
      <c r="W22" s="862"/>
      <c r="X22" s="862"/>
      <c r="Y22" s="862"/>
      <c r="Z22" s="906"/>
      <c r="AA22" s="906"/>
      <c r="AB22" s="906"/>
      <c r="AC22" s="906"/>
      <c r="AD22" s="906"/>
      <c r="AE22" s="906"/>
      <c r="AF22" s="906"/>
      <c r="AG22" s="962"/>
      <c r="AH22" s="962"/>
      <c r="AI22" s="962"/>
      <c r="AJ22" s="962"/>
      <c r="AK22" s="962"/>
      <c r="AL22" s="962"/>
      <c r="AM22" s="862"/>
      <c r="AN22" s="862"/>
      <c r="AO22" s="862"/>
      <c r="AP22" s="862"/>
      <c r="AQ22" s="862"/>
      <c r="AR22" s="936"/>
      <c r="AS22" s="980"/>
      <c r="AT22" s="980"/>
      <c r="AU22" s="980"/>
      <c r="AV22" s="980"/>
      <c r="AW22" s="980"/>
      <c r="AX22" s="980"/>
      <c r="AY22" s="980"/>
      <c r="AZ22" s="980"/>
      <c r="BA22" s="980"/>
      <c r="BB22" s="980"/>
      <c r="BC22" s="980"/>
      <c r="BD22" s="980"/>
      <c r="BE22" s="980"/>
      <c r="BF22" s="980"/>
      <c r="BG22" s="980"/>
      <c r="BH22" s="980"/>
      <c r="BI22" s="980"/>
      <c r="BJ22" s="980"/>
      <c r="BK22" s="980"/>
      <c r="BL22" s="980"/>
      <c r="CB22" s="1048"/>
      <c r="CC22" s="1048"/>
      <c r="CD22" s="1048"/>
      <c r="CE22" s="1048"/>
      <c r="CF22" s="1048"/>
      <c r="CG22" s="1048"/>
      <c r="CH22" s="1048"/>
      <c r="CI22" s="1048"/>
      <c r="CJ22" s="1048"/>
      <c r="CK22" s="1048"/>
      <c r="CP22" s="2203"/>
      <c r="CT22" s="769" t="s">
        <v>337</v>
      </c>
      <c r="CU22" s="965"/>
      <c r="CY22" s="2135" t="s">
        <v>337</v>
      </c>
      <c r="CZ22" s="965"/>
      <c r="DA22" s="1577"/>
      <c r="DB22" s="1577"/>
      <c r="DC22" s="1577"/>
    </row>
    <row r="23" spans="1:109" hidden="1" outlineLevel="1">
      <c r="A23" s="938" t="s">
        <v>9</v>
      </c>
      <c r="B23" s="862"/>
      <c r="C23" s="862"/>
      <c r="D23" s="962">
        <v>141.22899999999998</v>
      </c>
      <c r="E23" s="863">
        <v>168.93639999999999</v>
      </c>
      <c r="F23" s="863">
        <v>127.505</v>
      </c>
      <c r="G23" s="863">
        <v>75.739999999999995</v>
      </c>
      <c r="H23" s="863">
        <v>67.902000000000001</v>
      </c>
      <c r="I23" s="863">
        <v>73.268000000000001</v>
      </c>
      <c r="J23" s="863">
        <v>79.046999999999997</v>
      </c>
      <c r="K23" s="863">
        <f>SUM(AS23:AV23)</f>
        <v>90.86999999999999</v>
      </c>
      <c r="L23" s="863">
        <f>SUM(AX23:BA23)</f>
        <v>110.53333000000001</v>
      </c>
      <c r="M23" s="863">
        <f>SUM(BC23:BF23)</f>
        <v>138.42641897600001</v>
      </c>
      <c r="N23" s="1161">
        <f>SUM(BH23:BK23)</f>
        <v>114.5832892375</v>
      </c>
      <c r="O23" s="1050">
        <f>SUM(BM23:BP23)</f>
        <v>117.12090345005011</v>
      </c>
      <c r="P23" s="1050">
        <f>SUM(BR23:BU23)</f>
        <v>114.69956473487392</v>
      </c>
      <c r="Q23" s="863">
        <f>Q38*Q13</f>
        <v>118.19073548034291</v>
      </c>
      <c r="R23" s="1050">
        <f>SUM(CB23:CE23)</f>
        <v>135.02291343442977</v>
      </c>
      <c r="S23" s="1050">
        <f>SUM(CG23:CJ23)</f>
        <v>142.94035822817622</v>
      </c>
      <c r="T23" s="1050">
        <f>SUM(CL23:CO23)</f>
        <v>146.76965297298835</v>
      </c>
      <c r="U23" s="1050">
        <f>SUM(CQ23:CT23)</f>
        <v>137.91421956644075</v>
      </c>
      <c r="V23" s="1050">
        <f>SUM(CV23:CY23)</f>
        <v>140.1425365165388</v>
      </c>
      <c r="W23" s="1050">
        <f>SUM(DA23:DD23)</f>
        <v>142.41541980563881</v>
      </c>
      <c r="X23" s="863">
        <f t="shared" ref="X23:AE23" si="33">X38*X13</f>
        <v>143.91274447170835</v>
      </c>
      <c r="Y23" s="863">
        <f t="shared" si="33"/>
        <v>145.19611477649127</v>
      </c>
      <c r="Z23" s="869">
        <f t="shared" si="33"/>
        <v>146.25681994061733</v>
      </c>
      <c r="AA23" s="869">
        <f t="shared" si="33"/>
        <v>147.08737188154797</v>
      </c>
      <c r="AB23" s="869">
        <f t="shared" si="33"/>
        <v>147.68158289581902</v>
      </c>
      <c r="AC23" s="869">
        <f t="shared" si="33"/>
        <v>148.0346313466859</v>
      </c>
      <c r="AD23" s="869">
        <f t="shared" si="33"/>
        <v>148.14311439229138</v>
      </c>
      <c r="AE23" s="869">
        <f t="shared" si="33"/>
        <v>148.00508695843354</v>
      </c>
      <c r="AF23" s="869">
        <f>AF38*AF13</f>
        <v>147.86390779348753</v>
      </c>
      <c r="AG23" s="869">
        <f>AG38*AG13</f>
        <v>147.71954560065339</v>
      </c>
      <c r="AH23" s="962"/>
      <c r="AI23" s="962"/>
      <c r="AJ23" s="962"/>
      <c r="AK23" s="962"/>
      <c r="AL23" s="962"/>
      <c r="AM23" s="862"/>
      <c r="AN23" s="964">
        <v>18.805</v>
      </c>
      <c r="AO23" s="964">
        <v>19.635999999999999</v>
      </c>
      <c r="AP23" s="964">
        <v>19.535</v>
      </c>
      <c r="AQ23" s="964">
        <f>(21163-92)/1000</f>
        <v>21.071000000000002</v>
      </c>
      <c r="AR23" s="964"/>
      <c r="AS23" s="869">
        <f>+AS38*AS13</f>
        <v>21.126999999999999</v>
      </c>
      <c r="AT23" s="869">
        <f>+AT38*AT13</f>
        <v>22.83</v>
      </c>
      <c r="AU23" s="869">
        <f>+AU38*AU13</f>
        <v>21.318000000000001</v>
      </c>
      <c r="AV23" s="869">
        <f>+AV38*AV13</f>
        <v>25.594999999999999</v>
      </c>
      <c r="AW23" s="965">
        <f>K23-SUM(AS23:AV23)</f>
        <v>0</v>
      </c>
      <c r="AX23" s="869">
        <f>+AX38*AX13</f>
        <v>25.535399999999999</v>
      </c>
      <c r="AY23" s="869">
        <f>+AY38*AY13</f>
        <v>22.752359999999999</v>
      </c>
      <c r="AZ23" s="869">
        <f>+AZ38*AZ13</f>
        <v>25.41497</v>
      </c>
      <c r="BA23" s="869">
        <f>+BA38*BA13</f>
        <v>36.830599999999997</v>
      </c>
      <c r="BB23" s="965">
        <f>L23-SUM(AX23:BA23)</f>
        <v>0</v>
      </c>
      <c r="BC23" s="869">
        <f>+BC38*BC13</f>
        <v>28.864000000000001</v>
      </c>
      <c r="BD23" s="869">
        <f>(BD13*BD38)</f>
        <v>33.969038975999993</v>
      </c>
      <c r="BE23" s="869">
        <f>(BE13*BE38)</f>
        <v>34.392000000000003</v>
      </c>
      <c r="BF23" s="869">
        <f>(BF13*BF38)</f>
        <v>41.20138</v>
      </c>
      <c r="BG23" s="965">
        <f>M23-SUM(BC23:BF23)</f>
        <v>0</v>
      </c>
      <c r="BH23" s="869">
        <f>(BH13*BH38)</f>
        <v>29.546000000000003</v>
      </c>
      <c r="BI23" s="869">
        <f>(BI13*BI38)</f>
        <v>26.690999999999999</v>
      </c>
      <c r="BJ23" s="869">
        <f>(BJ13*BJ38)</f>
        <v>26.8598</v>
      </c>
      <c r="BK23" s="869">
        <f>(BK13*BK38)</f>
        <v>31.486489237500003</v>
      </c>
      <c r="BL23" s="965">
        <f>N23-SUM(BH23:BK23)</f>
        <v>0</v>
      </c>
      <c r="BM23" s="869">
        <f>(BM13*BM38)</f>
        <v>29.24277527472</v>
      </c>
      <c r="BN23" s="869">
        <f>(BN13*BN38)</f>
        <v>27.709304851007669</v>
      </c>
      <c r="BO23" s="869">
        <f>(BO13*BO38)</f>
        <v>27.011439129576186</v>
      </c>
      <c r="BP23" s="869">
        <f>(BP13*BP38)</f>
        <v>33.157384194746257</v>
      </c>
      <c r="BQ23" s="965">
        <f>O23-SUM(BM23:BP23)</f>
        <v>0</v>
      </c>
      <c r="BR23" s="869">
        <f>(BR13*BR38)</f>
        <v>24.174918250703641</v>
      </c>
      <c r="BS23" s="869">
        <f>(BS13*BS38)</f>
        <v>27.008161482525988</v>
      </c>
      <c r="BT23" s="869">
        <f>(BT13*BT38)</f>
        <v>28.514971238586284</v>
      </c>
      <c r="BU23" s="869">
        <f>(BU13*BU38)</f>
        <v>35.001513763057993</v>
      </c>
      <c r="BV23" s="965">
        <f>P23-SUM(BR23:BU23)</f>
        <v>0</v>
      </c>
      <c r="BW23" s="869">
        <f>(BW13*BW38)</f>
        <v>24.934167954603382</v>
      </c>
      <c r="BX23" s="869">
        <f>(BX13*BX38)</f>
        <v>27.823073138545837</v>
      </c>
      <c r="BY23" s="869">
        <f>(BY13*BY38)</f>
        <v>29.373522849941399</v>
      </c>
      <c r="BZ23" s="1161">
        <f>+Q23-SUM(BW23:BY23)</f>
        <v>36.059971537252295</v>
      </c>
      <c r="CA23" s="965">
        <f>Q23-SUM(BW23:BZ23)</f>
        <v>0</v>
      </c>
      <c r="CB23" s="869">
        <f>(CB13*CB38)</f>
        <v>30.013548009882953</v>
      </c>
      <c r="CC23" s="869">
        <f>(CC13*CC38)</f>
        <v>32.07119091109552</v>
      </c>
      <c r="CD23" s="869">
        <f>(CD13*CD38)</f>
        <v>32.814882406405012</v>
      </c>
      <c r="CE23" s="869">
        <f>(CE13*CE38)</f>
        <v>40.123292107046275</v>
      </c>
      <c r="CF23" s="965">
        <f>R23-SUM(CB23:CE23)</f>
        <v>0</v>
      </c>
      <c r="CG23" s="1448">
        <f>(CG13*CG38)</f>
        <v>31.494505717285712</v>
      </c>
      <c r="CH23" s="1448">
        <f>(CH13*CH38)</f>
        <v>35.291009268016637</v>
      </c>
      <c r="CI23" s="1448">
        <f>(CI13*CI38)</f>
        <v>34.42661945154574</v>
      </c>
      <c r="CJ23" s="869">
        <f>(CJ13*CJ38)</f>
        <v>41.728223791328134</v>
      </c>
      <c r="CK23" s="965">
        <f>$S23-SUM(CG23:CJ23)</f>
        <v>0</v>
      </c>
      <c r="CL23" s="1438">
        <f>(CL13*CL38)</f>
        <v>32.546805935374387</v>
      </c>
      <c r="CM23" s="1438">
        <f>(CM13*CM38)</f>
        <v>36.279157527521107</v>
      </c>
      <c r="CN23" s="1438">
        <f>(CN13*CN38)</f>
        <v>35.287284937834386</v>
      </c>
      <c r="CO23" s="1438">
        <f>(CO13*CO38)</f>
        <v>42.656404572258488</v>
      </c>
      <c r="CP23" s="2205">
        <f>$T23-SUM(CL23:CO23)</f>
        <v>0</v>
      </c>
      <c r="CQ23" s="1438">
        <f>(CQ13*CQ38)</f>
        <v>30.254785607706513</v>
      </c>
      <c r="CR23" s="1438">
        <f>(CR13*CR38)</f>
        <v>34.075097745513609</v>
      </c>
      <c r="CS23" s="1438">
        <f>(CS13*CS38)</f>
        <v>33.23227342453707</v>
      </c>
      <c r="CT23" s="1438">
        <f>(CT13*CT38)</f>
        <v>40.352062788683547</v>
      </c>
      <c r="CU23" s="965">
        <f t="shared" si="6"/>
        <v>0</v>
      </c>
      <c r="CV23" s="1438">
        <f>(CV13*CV38)</f>
        <v>30.709478816948341</v>
      </c>
      <c r="CW23" s="1438">
        <f>(CW13*CW38)</f>
        <v>34.63721391981705</v>
      </c>
      <c r="CX23" s="1438">
        <f>(CX13*CX38)</f>
        <v>33.784327921582651</v>
      </c>
      <c r="CY23" s="1438">
        <f>(CY13*CY38)</f>
        <v>41.011515858190755</v>
      </c>
      <c r="CZ23" s="965">
        <f t="shared" si="3"/>
        <v>0</v>
      </c>
      <c r="DA23" s="1438">
        <f>(DA13*DA38)</f>
        <v>31.173265890375003</v>
      </c>
      <c r="DB23" s="1438">
        <f>(DB13*DB38)</f>
        <v>35.210572417606556</v>
      </c>
      <c r="DC23" s="1438">
        <f>(DC13*DC38)</f>
        <v>34.34742350856915</v>
      </c>
      <c r="DD23" s="1438">
        <f>(DD13*DD38)</f>
        <v>41.684157989088099</v>
      </c>
      <c r="DE23" s="2854">
        <f t="shared" si="4"/>
        <v>0</v>
      </c>
    </row>
    <row r="24" spans="1:109" hidden="1" outlineLevel="1">
      <c r="A24" s="938" t="s">
        <v>1143</v>
      </c>
      <c r="B24" s="862"/>
      <c r="C24" s="862"/>
      <c r="D24" s="978">
        <v>43.71</v>
      </c>
      <c r="E24" s="985">
        <v>37.778399999999998</v>
      </c>
      <c r="F24" s="985">
        <v>34.971000000000004</v>
      </c>
      <c r="G24" s="985">
        <v>33.261000000000003</v>
      </c>
      <c r="H24" s="882">
        <v>31.272000000000002</v>
      </c>
      <c r="I24" s="882">
        <v>38.104999999999997</v>
      </c>
      <c r="J24" s="882">
        <v>47.465000000000003</v>
      </c>
      <c r="K24" s="882">
        <f>SUM(AS24:AV24)</f>
        <v>70.424030000000016</v>
      </c>
      <c r="L24" s="882">
        <f>SUM(AX24:BA24)</f>
        <v>56.726044999999999</v>
      </c>
      <c r="M24" s="882">
        <f>SUM(BC24:BF24)</f>
        <v>103.55853286400001</v>
      </c>
      <c r="N24" s="1149">
        <f>SUM(BH24:BK24)</f>
        <v>105.62179999999998</v>
      </c>
      <c r="O24" s="1242">
        <f>SUM(BM24:BP24)</f>
        <v>109.31856299999995</v>
      </c>
      <c r="P24" s="882">
        <f>+O24*1.035</f>
        <v>113.14471270499995</v>
      </c>
      <c r="Q24" s="1149">
        <f>SUM(BW24:BZ24)</f>
        <v>117.10477764967493</v>
      </c>
      <c r="R24" s="1242">
        <f>SUM(CB24:CE24)</f>
        <v>121.07791915575969</v>
      </c>
      <c r="S24" s="1242">
        <f>SUM(CG24:CJ24)</f>
        <v>124.71025673043249</v>
      </c>
      <c r="T24" s="1242">
        <f>SUM(CL24:CO24)</f>
        <v>127.20446186504111</v>
      </c>
      <c r="U24" s="1242">
        <f>SUM(CQ24:CT24)</f>
        <v>114.48401567853702</v>
      </c>
      <c r="V24" s="1242">
        <f>SUM(CV24:CY24)</f>
        <v>116.77369599210775</v>
      </c>
      <c r="W24" s="1242">
        <f>SUM(DA24:DD24)</f>
        <v>119.10916991194991</v>
      </c>
      <c r="X24" s="882">
        <f>+W24*1.02</f>
        <v>121.4913533101889</v>
      </c>
      <c r="Y24" s="882">
        <f>+X24*1.02</f>
        <v>123.92118037639268</v>
      </c>
      <c r="Z24" s="882">
        <f>+Y24*1.0175</f>
        <v>126.08980103297957</v>
      </c>
      <c r="AA24" s="882">
        <f t="shared" ref="AA24:AG24" si="34">+Z24*1.015</f>
        <v>127.98114804847425</v>
      </c>
      <c r="AB24" s="882">
        <f t="shared" si="34"/>
        <v>129.90086526920135</v>
      </c>
      <c r="AC24" s="882">
        <f t="shared" si="34"/>
        <v>131.84937824823936</v>
      </c>
      <c r="AD24" s="882">
        <f t="shared" si="34"/>
        <v>133.82711892196295</v>
      </c>
      <c r="AE24" s="882">
        <f t="shared" si="34"/>
        <v>135.83452570579237</v>
      </c>
      <c r="AF24" s="882">
        <f t="shared" si="34"/>
        <v>137.87204359137925</v>
      </c>
      <c r="AG24" s="882">
        <f t="shared" si="34"/>
        <v>139.94012424524993</v>
      </c>
      <c r="AH24" s="962"/>
      <c r="AI24" s="962"/>
      <c r="AJ24" s="962"/>
      <c r="AK24" s="962"/>
      <c r="AL24" s="962"/>
      <c r="AM24" s="862"/>
      <c r="AN24" s="986">
        <v>10.763999999999999</v>
      </c>
      <c r="AO24" s="986">
        <v>12.138</v>
      </c>
      <c r="AP24" s="986">
        <v>12.221</v>
      </c>
      <c r="AQ24" s="986">
        <f>(13023-681)/1000</f>
        <v>12.342000000000001</v>
      </c>
      <c r="AR24" s="964"/>
      <c r="AS24" s="1020">
        <f>+AS39*AS13</f>
        <v>15.152100000000001</v>
      </c>
      <c r="AT24" s="1020">
        <f>+AT39*AT13</f>
        <v>17.474130000000002</v>
      </c>
      <c r="AU24" s="1020">
        <f>+AU39*AU13</f>
        <v>16.870120000000004</v>
      </c>
      <c r="AV24" s="1020">
        <f>+AV39*AV13</f>
        <v>20.927680000000002</v>
      </c>
      <c r="AW24" s="965">
        <f>K24-SUM(AS24:AV24)</f>
        <v>0</v>
      </c>
      <c r="AX24" s="1020">
        <f>+AX39*AX13</f>
        <v>14.044469999999999</v>
      </c>
      <c r="AY24" s="1020">
        <f>+AY39*AY13</f>
        <v>13.90422</v>
      </c>
      <c r="AZ24" s="1020">
        <f>+AZ39*AZ13</f>
        <v>14.045115000000001</v>
      </c>
      <c r="BA24" s="1020">
        <f>+BA39*BA13</f>
        <v>14.732239999999999</v>
      </c>
      <c r="BB24" s="965">
        <f>L24-SUM(AX24:BA24)</f>
        <v>0</v>
      </c>
      <c r="BC24" s="1055">
        <f>BC25-BC23</f>
        <v>22.949000000000002</v>
      </c>
      <c r="BD24" s="1014">
        <f>(BD13*BD39)</f>
        <v>15.569142863999998</v>
      </c>
      <c r="BE24" s="1055">
        <f>BE25-BE23</f>
        <v>42.556000000000004</v>
      </c>
      <c r="BF24" s="1055">
        <f>BF25-BF23</f>
        <v>22.484390000000005</v>
      </c>
      <c r="BG24" s="965">
        <f>M24-SUM(BC24:BF24)</f>
        <v>0</v>
      </c>
      <c r="BH24" s="1055">
        <f>BH25-BH23</f>
        <v>26.717999999999993</v>
      </c>
      <c r="BI24" s="1055">
        <f>BI25-BI23</f>
        <v>28.616999999999994</v>
      </c>
      <c r="BJ24" s="1055">
        <f>BJ25-BJ23</f>
        <v>27.643399999999993</v>
      </c>
      <c r="BK24" s="1013">
        <f>+BJ24-5</f>
        <v>22.643399999999993</v>
      </c>
      <c r="BL24" s="965">
        <f>N24-SUM(BH24:BK24)</f>
        <v>0</v>
      </c>
      <c r="BM24" s="1014">
        <f>BH24*1.035</f>
        <v>27.65312999999999</v>
      </c>
      <c r="BN24" s="1014">
        <f>BI24*1.035</f>
        <v>29.618594999999992</v>
      </c>
      <c r="BO24" s="1014">
        <f>BJ24*1.035</f>
        <v>28.610918999999988</v>
      </c>
      <c r="BP24" s="1014">
        <f>BK24*1.035</f>
        <v>23.435918999999991</v>
      </c>
      <c r="BQ24" s="965">
        <f>O24-SUM(BM24:BP24)</f>
        <v>0</v>
      </c>
      <c r="BR24" s="1014">
        <f>BM24*1.035</f>
        <v>28.620989549999987</v>
      </c>
      <c r="BS24" s="1014">
        <f>BN24*1.035</f>
        <v>30.655245824999991</v>
      </c>
      <c r="BT24" s="1014">
        <f>BO24*1.035</f>
        <v>29.612301164999987</v>
      </c>
      <c r="BU24" s="1014">
        <f>BP24*1.035</f>
        <v>24.256176164999989</v>
      </c>
      <c r="BV24" s="965">
        <f>P24-SUM(BR24:BU24)</f>
        <v>0</v>
      </c>
      <c r="BW24" s="1014">
        <f>BR24*1.035</f>
        <v>29.622724184249982</v>
      </c>
      <c r="BX24" s="1014">
        <f>BS24*1.035</f>
        <v>31.728179428874988</v>
      </c>
      <c r="BY24" s="1014">
        <f>BT24*1.035</f>
        <v>30.648731705774985</v>
      </c>
      <c r="BZ24" s="1014">
        <f>BU24*1.035</f>
        <v>25.105142330774985</v>
      </c>
      <c r="CA24" s="965">
        <f>Q24-SUM(BW24:BZ24)</f>
        <v>0</v>
      </c>
      <c r="CB24" s="1013">
        <f>BW24*1.035</f>
        <v>30.659519530698731</v>
      </c>
      <c r="CC24" s="1013">
        <f>BX24*1.035</f>
        <v>32.838665708885607</v>
      </c>
      <c r="CD24" s="1013">
        <f>BY24*1.035</f>
        <v>31.721437315477107</v>
      </c>
      <c r="CE24" s="1013">
        <f>BZ24*1.03</f>
        <v>25.858296600698235</v>
      </c>
      <c r="CF24" s="965">
        <f>R24-SUM(CB24:CE24)</f>
        <v>0</v>
      </c>
      <c r="CG24" s="1449">
        <f>CB24*1.03</f>
        <v>31.579305116619693</v>
      </c>
      <c r="CH24" s="1449">
        <f>CC24*1.03</f>
        <v>33.823825680152176</v>
      </c>
      <c r="CI24" s="1449">
        <f>CD24*1.03</f>
        <v>32.673080434941419</v>
      </c>
      <c r="CJ24" s="1449">
        <f>CE24*1.03</f>
        <v>26.634045498719182</v>
      </c>
      <c r="CK24" s="965">
        <f>$S24-SUM(CG24:CJ24)</f>
        <v>0</v>
      </c>
      <c r="CL24" s="1464">
        <f>CG24*1.02</f>
        <v>32.210891218952085</v>
      </c>
      <c r="CM24" s="1464">
        <f>CH24*1.02</f>
        <v>34.500302193755218</v>
      </c>
      <c r="CN24" s="1464">
        <f>CI24*1.02</f>
        <v>33.326542043640245</v>
      </c>
      <c r="CO24" s="1464">
        <f>CJ24*1.02</f>
        <v>27.166726408693567</v>
      </c>
      <c r="CP24" s="2205">
        <f>$T24-SUM(CL24:CO24)</f>
        <v>0</v>
      </c>
      <c r="CQ24" s="1464">
        <f>CL24*0.9</f>
        <v>28.989802097056877</v>
      </c>
      <c r="CR24" s="1464">
        <f>CM24*0.9</f>
        <v>31.050271974379697</v>
      </c>
      <c r="CS24" s="1464">
        <f>CN24*0.9</f>
        <v>29.993887839276223</v>
      </c>
      <c r="CT24" s="1464">
        <f>CO24*0.9</f>
        <v>24.450053767824212</v>
      </c>
      <c r="CU24" s="965">
        <f t="shared" si="6"/>
        <v>0</v>
      </c>
      <c r="CV24" s="1464">
        <f>CQ24*1.02</f>
        <v>29.569598138998014</v>
      </c>
      <c r="CW24" s="1464">
        <f>CR24*1.02</f>
        <v>31.671277413867291</v>
      </c>
      <c r="CX24" s="1464">
        <f>CS24*1.02</f>
        <v>30.593765596061747</v>
      </c>
      <c r="CY24" s="1464">
        <f>CT24*1.02</f>
        <v>24.939054843180696</v>
      </c>
      <c r="CZ24" s="965">
        <f t="shared" si="3"/>
        <v>0</v>
      </c>
      <c r="DA24" s="1464">
        <f>CV24*1.02</f>
        <v>30.160990101777976</v>
      </c>
      <c r="DB24" s="1464">
        <f>CW24*1.02</f>
        <v>32.304702962144638</v>
      </c>
      <c r="DC24" s="1464">
        <f>CX24*1.02</f>
        <v>31.205640907982982</v>
      </c>
      <c r="DD24" s="1464">
        <f>CY24*1.02</f>
        <v>25.437835940044309</v>
      </c>
      <c r="DE24" s="2854">
        <f t="shared" si="4"/>
        <v>0</v>
      </c>
    </row>
    <row r="25" spans="1:109" hidden="1" outlineLevel="1">
      <c r="A25" s="862" t="s">
        <v>826</v>
      </c>
      <c r="B25" s="862"/>
      <c r="C25" s="862"/>
      <c r="D25" s="987">
        <f>SUM(D23:D24)</f>
        <v>184.93899999999999</v>
      </c>
      <c r="E25" s="987">
        <f t="shared" ref="E25:W25" si="35">SUM(E23:E24)</f>
        <v>206.7148</v>
      </c>
      <c r="F25" s="987">
        <f t="shared" si="35"/>
        <v>162.476</v>
      </c>
      <c r="G25" s="987">
        <f t="shared" si="35"/>
        <v>109.001</v>
      </c>
      <c r="H25" s="987">
        <f t="shared" si="35"/>
        <v>99.174000000000007</v>
      </c>
      <c r="I25" s="987">
        <f t="shared" si="35"/>
        <v>111.37299999999999</v>
      </c>
      <c r="J25" s="987">
        <f t="shared" si="35"/>
        <v>126.512</v>
      </c>
      <c r="K25" s="987">
        <f t="shared" si="35"/>
        <v>161.29403000000002</v>
      </c>
      <c r="L25" s="987">
        <f t="shared" si="35"/>
        <v>167.25937500000001</v>
      </c>
      <c r="M25" s="987">
        <f t="shared" si="35"/>
        <v>241.98495184000001</v>
      </c>
      <c r="N25" s="987">
        <f>SUM(N23:N24)</f>
        <v>220.20508923749998</v>
      </c>
      <c r="O25" s="987">
        <f t="shared" si="35"/>
        <v>226.43946645005008</v>
      </c>
      <c r="P25" s="987">
        <f t="shared" si="35"/>
        <v>227.84427743987385</v>
      </c>
      <c r="Q25" s="987">
        <f>SUM(Q23:Q24)</f>
        <v>235.29551313001784</v>
      </c>
      <c r="R25" s="987">
        <f>SUM(R23:R24)</f>
        <v>256.10083259018944</v>
      </c>
      <c r="S25" s="987">
        <f>SUM(S23:S24)</f>
        <v>267.65061495860868</v>
      </c>
      <c r="T25" s="987">
        <f>SUM(T23:T24)</f>
        <v>273.97411483802944</v>
      </c>
      <c r="U25" s="987">
        <f>SUM(U23:U24)</f>
        <v>252.39823524497777</v>
      </c>
      <c r="V25" s="987">
        <f t="shared" si="35"/>
        <v>256.91623250864654</v>
      </c>
      <c r="W25" s="987">
        <f t="shared" si="35"/>
        <v>261.5245897175887</v>
      </c>
      <c r="X25" s="987">
        <f t="shared" ref="X25:AC25" si="36">SUM(X23:X24)</f>
        <v>265.40409778189724</v>
      </c>
      <c r="Y25" s="987">
        <f t="shared" si="36"/>
        <v>269.11729515288397</v>
      </c>
      <c r="Z25" s="1245">
        <f t="shared" si="36"/>
        <v>272.34662097359688</v>
      </c>
      <c r="AA25" s="1245">
        <f t="shared" si="36"/>
        <v>275.06851993002221</v>
      </c>
      <c r="AB25" s="1245">
        <f t="shared" si="36"/>
        <v>277.58244816502037</v>
      </c>
      <c r="AC25" s="1245">
        <f t="shared" si="36"/>
        <v>279.88400959492526</v>
      </c>
      <c r="AD25" s="1245">
        <f>SUM(AD23:AD24)</f>
        <v>281.9702333142543</v>
      </c>
      <c r="AE25" s="1245">
        <f>SUM(AE23:AE24)</f>
        <v>283.83961266422591</v>
      </c>
      <c r="AF25" s="1245">
        <f>SUM(AF23:AF24)</f>
        <v>285.73595138486678</v>
      </c>
      <c r="AG25" s="1245">
        <f>SUM(AG23:AG24)</f>
        <v>287.6596698459033</v>
      </c>
      <c r="AH25" s="962"/>
      <c r="AI25" s="962"/>
      <c r="AJ25" s="962"/>
      <c r="AK25" s="962"/>
      <c r="AL25" s="962"/>
      <c r="AM25" s="943"/>
      <c r="AN25" s="987">
        <f>SUM(AN23:AN24)</f>
        <v>29.568999999999999</v>
      </c>
      <c r="AO25" s="987">
        <f>SUM(AO23:AO24)</f>
        <v>31.774000000000001</v>
      </c>
      <c r="AP25" s="987">
        <f>SUM(AP23:AP24)</f>
        <v>31.756</v>
      </c>
      <c r="AQ25" s="987">
        <f>SUM(AQ23:AQ24)</f>
        <v>33.413000000000004</v>
      </c>
      <c r="AR25" s="988"/>
      <c r="AS25" s="987">
        <f>SUM(AS23:AS24)</f>
        <v>36.2791</v>
      </c>
      <c r="AT25" s="987">
        <f>SUM(AT23:AT24)</f>
        <v>40.304130000000001</v>
      </c>
      <c r="AU25" s="987">
        <f>SUM(AU23:AU24)</f>
        <v>38.188120000000005</v>
      </c>
      <c r="AV25" s="987">
        <f>SUM(AV23:AV24)</f>
        <v>46.522680000000001</v>
      </c>
      <c r="AW25" s="980">
        <f>K25-SUM(AS25:AV25)</f>
        <v>0</v>
      </c>
      <c r="AX25" s="987">
        <f>SUM(AX23:AX24)</f>
        <v>39.57987</v>
      </c>
      <c r="AY25" s="987">
        <f>SUM(AY23:AY24)</f>
        <v>36.656579999999998</v>
      </c>
      <c r="AZ25" s="987">
        <f>SUM(AZ23:AZ24)</f>
        <v>39.460084999999999</v>
      </c>
      <c r="BA25" s="987">
        <f>SUM(BA23:BA24)</f>
        <v>51.562839999999994</v>
      </c>
      <c r="BB25" s="980">
        <f>L25-SUM(AX25:BA25)</f>
        <v>0</v>
      </c>
      <c r="BC25" s="1052">
        <f>BC20-BC28</f>
        <v>51.813000000000002</v>
      </c>
      <c r="BD25" s="987">
        <f>SUM(BD23:BD24)</f>
        <v>49.538181839999993</v>
      </c>
      <c r="BE25" s="1052">
        <f>BE20-BE28</f>
        <v>76.948000000000008</v>
      </c>
      <c r="BF25" s="1052">
        <f>BF20-BF28</f>
        <v>63.685770000000005</v>
      </c>
      <c r="BG25" s="980">
        <f>M25-SUM(BC25:BF25)</f>
        <v>0</v>
      </c>
      <c r="BH25" s="1052">
        <f>BH20-BH28</f>
        <v>56.263999999999996</v>
      </c>
      <c r="BI25" s="1052">
        <f>BI20-BI28</f>
        <v>55.307999999999993</v>
      </c>
      <c r="BJ25" s="1052">
        <f>BJ20-BJ28</f>
        <v>54.503199999999993</v>
      </c>
      <c r="BK25" s="987">
        <f>SUM(BK23:BK24)</f>
        <v>54.129889237499995</v>
      </c>
      <c r="BL25" s="980">
        <f>N25-SUM(BH25:BK25)</f>
        <v>0</v>
      </c>
      <c r="BM25" s="987">
        <f>SUM(BM23:BM24)</f>
        <v>56.895905274719993</v>
      </c>
      <c r="BN25" s="987">
        <f>SUM(BN23:BN24)</f>
        <v>57.327899851007658</v>
      </c>
      <c r="BO25" s="987">
        <f>SUM(BO23:BO24)</f>
        <v>55.62235812957617</v>
      </c>
      <c r="BP25" s="987">
        <f>SUM(BP23:BP24)</f>
        <v>56.593303194746248</v>
      </c>
      <c r="BQ25" s="965">
        <f>O25-SUM(BM25:BP25)</f>
        <v>0</v>
      </c>
      <c r="BR25" s="987">
        <f>SUM(BR23:BR24)</f>
        <v>52.795907800703631</v>
      </c>
      <c r="BS25" s="987">
        <f>SUM(BS23:BS24)</f>
        <v>57.663407307525979</v>
      </c>
      <c r="BT25" s="987">
        <f>SUM(BT23:BT24)</f>
        <v>58.127272403586275</v>
      </c>
      <c r="BU25" s="987">
        <f>SUM(BU23:BU24)</f>
        <v>59.257689928057985</v>
      </c>
      <c r="BV25" s="965">
        <f>P25-SUM(BR25:BU25)</f>
        <v>0</v>
      </c>
      <c r="BW25" s="987">
        <f>SUM(BW23:BW24)</f>
        <v>54.556892138853364</v>
      </c>
      <c r="BX25" s="987">
        <f>SUM(BX23:BX24)</f>
        <v>59.551252567420825</v>
      </c>
      <c r="BY25" s="987">
        <f>SUM(BY23:BY24)</f>
        <v>60.022254555716387</v>
      </c>
      <c r="BZ25" s="987">
        <f>SUM(BZ23:BZ24)</f>
        <v>61.165113868027277</v>
      </c>
      <c r="CA25" s="965">
        <f>Q25-SUM(BW25:BZ25)</f>
        <v>0</v>
      </c>
      <c r="CB25" s="1245">
        <f>SUM(CB23:CB24)</f>
        <v>60.673067540581684</v>
      </c>
      <c r="CC25" s="1245">
        <f>SUM(CC23:CC24)</f>
        <v>64.909856619981127</v>
      </c>
      <c r="CD25" s="1245">
        <f>SUM(CD23:CD24)</f>
        <v>64.536319721882123</v>
      </c>
      <c r="CE25" s="1245">
        <f>SUM(CE23:CE24)</f>
        <v>65.981588707744507</v>
      </c>
      <c r="CF25" s="965">
        <f>R25-SUM(CB25:CE25)</f>
        <v>0</v>
      </c>
      <c r="CG25" s="1450">
        <f>SUM(CG23:CG24)</f>
        <v>63.073810833905405</v>
      </c>
      <c r="CH25" s="1450">
        <f>SUM(CH23:CH24)</f>
        <v>69.114834948168806</v>
      </c>
      <c r="CI25" s="1450">
        <f>SUM(CI23:CI24)</f>
        <v>67.099699886487159</v>
      </c>
      <c r="CJ25" s="1245">
        <f>SUM(CJ23:CJ24)</f>
        <v>68.362269290047323</v>
      </c>
      <c r="CK25" s="965">
        <f>$S25-SUM(CG25:CJ25)</f>
        <v>0</v>
      </c>
      <c r="CL25" s="1597">
        <f>SUM(CL23:CL24)</f>
        <v>64.757697154326479</v>
      </c>
      <c r="CM25" s="1597">
        <f>SUM(CM23:CM24)</f>
        <v>70.779459721276325</v>
      </c>
      <c r="CN25" s="1597">
        <f>SUM(CN23:CN24)</f>
        <v>68.613826981474631</v>
      </c>
      <c r="CO25" s="1598">
        <f>SUM(CO23:CO24)</f>
        <v>69.823130980952058</v>
      </c>
      <c r="CP25" s="2205">
        <f>$T25-SUM(CL25:CO25)</f>
        <v>0</v>
      </c>
      <c r="CQ25" s="1597">
        <f>SUM(CQ23:CQ24)</f>
        <v>59.24458770476339</v>
      </c>
      <c r="CR25" s="1597">
        <f>SUM(CR23:CR24)</f>
        <v>65.125369719893314</v>
      </c>
      <c r="CS25" s="1597">
        <f>SUM(CS23:CS24)</f>
        <v>63.226161263813296</v>
      </c>
      <c r="CT25" s="1598">
        <f>SUM(CT23:CT24)</f>
        <v>64.802116556507755</v>
      </c>
      <c r="CU25" s="965">
        <f t="shared" si="6"/>
        <v>0</v>
      </c>
      <c r="CV25" s="1597">
        <f>SUM(CV23:CV24)</f>
        <v>60.279076955946351</v>
      </c>
      <c r="CW25" s="1597">
        <f>SUM(CW23:CW24)</f>
        <v>66.308491333684344</v>
      </c>
      <c r="CX25" s="1597">
        <f>SUM(CX23:CX24)</f>
        <v>64.378093517644402</v>
      </c>
      <c r="CY25" s="1598">
        <f>SUM(CY23:CY24)</f>
        <v>65.950570701371447</v>
      </c>
      <c r="CZ25" s="965">
        <f t="shared" si="3"/>
        <v>0</v>
      </c>
      <c r="DA25" s="1597">
        <f>SUM(DA23:DA24)</f>
        <v>61.334255992152976</v>
      </c>
      <c r="DB25" s="1597">
        <f>SUM(DB23:DB24)</f>
        <v>67.515275379751188</v>
      </c>
      <c r="DC25" s="1597">
        <f>SUM(DC23:DC24)</f>
        <v>65.553064416552132</v>
      </c>
      <c r="DD25" s="1597">
        <f>SUM(DD23:DD24)</f>
        <v>67.121993929132401</v>
      </c>
      <c r="DE25" s="2854">
        <f t="shared" si="4"/>
        <v>0</v>
      </c>
    </row>
    <row r="26" spans="1:109" hidden="1" outlineLevel="1">
      <c r="A26" s="862" t="s">
        <v>676</v>
      </c>
      <c r="B26" s="862"/>
      <c r="C26" s="862"/>
      <c r="D26" s="865"/>
      <c r="E26" s="989">
        <f>E25/D25-1</f>
        <v>0.11774585133476445</v>
      </c>
      <c r="F26" s="989">
        <f t="shared" ref="F26:W26" si="37">F25/E25-1</f>
        <v>-0.2140088663221017</v>
      </c>
      <c r="G26" s="989">
        <f t="shared" si="37"/>
        <v>-0.32912553238632158</v>
      </c>
      <c r="H26" s="989">
        <f t="shared" si="37"/>
        <v>-9.0155136191411023E-2</v>
      </c>
      <c r="I26" s="989">
        <f t="shared" si="37"/>
        <v>0.12300602980619901</v>
      </c>
      <c r="J26" s="989">
        <f t="shared" si="37"/>
        <v>0.1359306115485801</v>
      </c>
      <c r="K26" s="989">
        <f t="shared" si="37"/>
        <v>0.27493067851271036</v>
      </c>
      <c r="L26" s="989">
        <f t="shared" si="37"/>
        <v>3.6984288879135629E-2</v>
      </c>
      <c r="M26" s="989">
        <f t="shared" si="37"/>
        <v>0.44676465423836476</v>
      </c>
      <c r="N26" s="989">
        <f t="shared" si="37"/>
        <v>-9.000502897759044E-2</v>
      </c>
      <c r="O26" s="989">
        <f t="shared" si="37"/>
        <v>2.8311685411712251E-2</v>
      </c>
      <c r="P26" s="989">
        <f t="shared" si="37"/>
        <v>6.2039140607745846E-3</v>
      </c>
      <c r="Q26" s="989">
        <f t="shared" si="37"/>
        <v>3.2703194365328425E-2</v>
      </c>
      <c r="R26" s="989">
        <f t="shared" si="37"/>
        <v>8.8422083291809894E-2</v>
      </c>
      <c r="S26" s="989">
        <f t="shared" si="37"/>
        <v>4.5098574071803732E-2</v>
      </c>
      <c r="T26" s="989">
        <f t="shared" si="37"/>
        <v>2.3625949375825961E-2</v>
      </c>
      <c r="U26" s="989">
        <f t="shared" si="37"/>
        <v>-7.8751525872460926E-2</v>
      </c>
      <c r="V26" s="989">
        <f t="shared" si="37"/>
        <v>1.7900272794235672E-2</v>
      </c>
      <c r="W26" s="989">
        <f t="shared" si="37"/>
        <v>1.7937197521324721E-2</v>
      </c>
      <c r="X26" s="989">
        <f t="shared" ref="X26:AG26" si="38">X25/W25-1</f>
        <v>1.4834199982869167E-2</v>
      </c>
      <c r="Y26" s="989">
        <f t="shared" si="38"/>
        <v>1.3990731122916378E-2</v>
      </c>
      <c r="Z26" s="1246">
        <f t="shared" si="38"/>
        <v>1.1999696336418397E-2</v>
      </c>
      <c r="AA26" s="1246">
        <f t="shared" si="38"/>
        <v>9.9942453726613589E-3</v>
      </c>
      <c r="AB26" s="1246">
        <f t="shared" si="38"/>
        <v>9.1392800442511302E-3</v>
      </c>
      <c r="AC26" s="1246">
        <f t="shared" si="38"/>
        <v>8.2914515853560466E-3</v>
      </c>
      <c r="AD26" s="1246">
        <f t="shared" si="38"/>
        <v>7.4538867809863518E-3</v>
      </c>
      <c r="AE26" s="1246">
        <f t="shared" si="38"/>
        <v>6.6297045897329987E-3</v>
      </c>
      <c r="AF26" s="1246">
        <f t="shared" si="38"/>
        <v>6.681022084412902E-3</v>
      </c>
      <c r="AG26" s="1246">
        <f t="shared" si="38"/>
        <v>6.732504088872604E-3</v>
      </c>
      <c r="AH26" s="962"/>
      <c r="AI26" s="962"/>
      <c r="AJ26" s="962"/>
      <c r="AK26" s="962"/>
      <c r="AL26" s="962"/>
      <c r="AM26" s="865"/>
      <c r="AN26" s="989"/>
      <c r="AO26" s="989"/>
      <c r="AP26" s="989"/>
      <c r="AQ26" s="989"/>
      <c r="AR26" s="974"/>
      <c r="AS26" s="989">
        <f>AS25/AN25-1</f>
        <v>0.2269302309851533</v>
      </c>
      <c r="AT26" s="989">
        <f>AT25/AO25-1</f>
        <v>0.26846257946748908</v>
      </c>
      <c r="AU26" s="989">
        <f>AU25/AP25-1</f>
        <v>0.20254817987152052</v>
      </c>
      <c r="AV26" s="989">
        <f>AV25/AQ25-1</f>
        <v>0.39235267710172672</v>
      </c>
      <c r="AW26" s="980"/>
      <c r="AX26" s="989">
        <f>AX25/AS25-1</f>
        <v>9.0982687001607054E-2</v>
      </c>
      <c r="AY26" s="989">
        <f>AY25/AT25-1</f>
        <v>-9.0500650925848136E-2</v>
      </c>
      <c r="AZ26" s="989">
        <f>AZ25/AU25-1</f>
        <v>3.3307871662705324E-2</v>
      </c>
      <c r="BA26" s="989">
        <f>BA25/AV25-1</f>
        <v>0.10833769679648708</v>
      </c>
      <c r="BB26" s="980"/>
      <c r="BC26" s="989">
        <f>BC25/AX25-1</f>
        <v>0.30907453713213306</v>
      </c>
      <c r="BD26" s="989">
        <f>BD25/AY25-1</f>
        <v>0.35141308436302565</v>
      </c>
      <c r="BE26" s="989">
        <f>BE25/AZ25-1</f>
        <v>0.95002114161690243</v>
      </c>
      <c r="BF26" s="989">
        <f>BF25/BA25-1</f>
        <v>0.23510981939706999</v>
      </c>
      <c r="BG26" s="980"/>
      <c r="BH26" s="989">
        <f>BH25/BC25-1</f>
        <v>8.5905081736243671E-2</v>
      </c>
      <c r="BI26" s="989">
        <f>BI25/BD25-1</f>
        <v>0.1164721422081163</v>
      </c>
      <c r="BJ26" s="989">
        <f>BJ25/BE25-1</f>
        <v>-0.29168789312262844</v>
      </c>
      <c r="BK26" s="989">
        <f>BK25/BF25-1</f>
        <v>-0.15004734593771907</v>
      </c>
      <c r="BL26" s="980"/>
      <c r="BM26" s="989">
        <f>BM25/BH25-1</f>
        <v>1.1231076260486139E-2</v>
      </c>
      <c r="BN26" s="989">
        <f>BN25/BI25-1</f>
        <v>3.6520934602727761E-2</v>
      </c>
      <c r="BO26" s="989">
        <f>BO25/BJ25-1</f>
        <v>2.0533805897198221E-2</v>
      </c>
      <c r="BP26" s="989">
        <f>BP25/BK25-1</f>
        <v>4.5509310880681664E-2</v>
      </c>
      <c r="BR26" s="989">
        <f>BR25/BM25-1</f>
        <v>-7.2061380414278675E-2</v>
      </c>
      <c r="BS26" s="989">
        <f>BS25/BN25-1</f>
        <v>5.85242887652071E-3</v>
      </c>
      <c r="BT26" s="989">
        <f>BT25/BO25-1</f>
        <v>4.5034305596586499E-2</v>
      </c>
      <c r="BU26" s="989">
        <f>BU25/BP25-1</f>
        <v>4.7079540915701212E-2</v>
      </c>
      <c r="BW26" s="989">
        <f>BW25/BR25-1</f>
        <v>3.3354561205712674E-2</v>
      </c>
      <c r="BX26" s="989">
        <f>BX25/BS25-1</f>
        <v>3.2739051472049363E-2</v>
      </c>
      <c r="BY26" s="989">
        <f>BY25/BT25-1</f>
        <v>3.260056895449992E-2</v>
      </c>
      <c r="BZ26" s="989">
        <f>BZ25/BU25-1</f>
        <v>3.2188631421255387E-2</v>
      </c>
      <c r="CB26" s="1246">
        <f>CB25/BW25-1</f>
        <v>0.11210637486757813</v>
      </c>
      <c r="CC26" s="1246">
        <f>CC25/BX25-1</f>
        <v>8.9983062010216663E-2</v>
      </c>
      <c r="CD26" s="1246">
        <f>CD25/BY25-1</f>
        <v>7.5206524639548578E-2</v>
      </c>
      <c r="CE26" s="1246">
        <f>CE25/BZ25-1</f>
        <v>7.8745456930064517E-2</v>
      </c>
      <c r="CF26" s="1048"/>
      <c r="CG26" s="1451">
        <f>CG25/CB25-1</f>
        <v>3.9568516817086286E-2</v>
      </c>
      <c r="CH26" s="1451">
        <f>CH25/CC25-1</f>
        <v>6.478181507634484E-2</v>
      </c>
      <c r="CI26" s="1451">
        <f>CI25/CD25-1</f>
        <v>3.9719961963307959E-2</v>
      </c>
      <c r="CJ26" s="1246">
        <f>CJ25/CE25-1</f>
        <v>3.6080983027669822E-2</v>
      </c>
      <c r="CK26" s="1048"/>
      <c r="CL26" s="1599">
        <f>CL25/CG25-1</f>
        <v>2.6697075983807439E-2</v>
      </c>
      <c r="CM26" s="1599">
        <f>CM25/CH25-1</f>
        <v>2.4084912802813774E-2</v>
      </c>
      <c r="CN26" s="1599">
        <f>CN25/CI25-1</f>
        <v>2.2565333340520466E-2</v>
      </c>
      <c r="CO26" s="1599">
        <f>CO25/CJ25-1</f>
        <v>2.1369414825985311E-2</v>
      </c>
      <c r="CP26" s="2203"/>
      <c r="CQ26" s="1599">
        <f>CQ25/CL25-1</f>
        <v>-8.5134427131103751E-2</v>
      </c>
      <c r="CR26" s="1599">
        <f>CR25/CM25-1</f>
        <v>-7.9883203738038588E-2</v>
      </c>
      <c r="CS26" s="1599">
        <f>CS25/CN25-1</f>
        <v>-7.8521574363079605E-2</v>
      </c>
      <c r="CT26" s="1599">
        <f>CT25/CO25-1</f>
        <v>-7.1910473705541045E-2</v>
      </c>
      <c r="CU26" s="965"/>
      <c r="CV26" s="1599">
        <f>CV25/CQ25-1</f>
        <v>1.7461329232945078E-2</v>
      </c>
      <c r="CW26" s="1599">
        <f>CW25/CR25-1</f>
        <v>1.8166831434196506E-2</v>
      </c>
      <c r="CX26" s="1599">
        <f>CX25/CS25-1</f>
        <v>1.8219234424570407E-2</v>
      </c>
      <c r="CY26" s="1599">
        <f>CY25/CT25-1</f>
        <v>1.772247892338874E-2</v>
      </c>
      <c r="CZ26" s="965"/>
      <c r="DA26" s="1599">
        <f>DA25/CV25-1</f>
        <v>1.750489704707614E-2</v>
      </c>
      <c r="DB26" s="1599">
        <f>DB25/CW25-1</f>
        <v>1.8199540085958921E-2</v>
      </c>
      <c r="DC26" s="1599">
        <f>DC25/CX25-1</f>
        <v>1.8251098078660988E-2</v>
      </c>
      <c r="DD26" s="1599">
        <f>DD25/CY25-1</f>
        <v>1.7762139361389817E-2</v>
      </c>
    </row>
    <row r="27" spans="1:109" hidden="1" outlineLevel="1">
      <c r="A27" s="862"/>
      <c r="B27" s="862"/>
      <c r="C27" s="862"/>
      <c r="D27" s="862"/>
      <c r="E27" s="862"/>
      <c r="F27" s="862"/>
      <c r="G27" s="862"/>
      <c r="H27" s="862"/>
      <c r="I27" s="862"/>
      <c r="J27" s="862"/>
      <c r="K27" s="862"/>
      <c r="L27" s="862"/>
      <c r="M27" s="862"/>
      <c r="N27" s="862"/>
      <c r="O27" s="862"/>
      <c r="P27" s="862"/>
      <c r="Q27" s="862"/>
      <c r="R27" s="862"/>
      <c r="S27" s="862"/>
      <c r="T27" s="862"/>
      <c r="U27" s="862"/>
      <c r="V27" s="862"/>
      <c r="W27" s="862"/>
      <c r="X27" s="862"/>
      <c r="Y27" s="862"/>
      <c r="Z27" s="906"/>
      <c r="AA27" s="906"/>
      <c r="AB27" s="906"/>
      <c r="AC27" s="906"/>
      <c r="AD27" s="906"/>
      <c r="AE27" s="906"/>
      <c r="AF27" s="906"/>
      <c r="AG27" s="962"/>
      <c r="AH27" s="962"/>
      <c r="AI27" s="962"/>
      <c r="AJ27" s="962"/>
      <c r="AK27" s="962"/>
      <c r="AL27" s="962"/>
      <c r="AM27" s="862"/>
      <c r="AN27" s="862"/>
      <c r="AO27" s="862"/>
      <c r="AP27" s="862"/>
      <c r="AQ27" s="862"/>
      <c r="AR27" s="862"/>
      <c r="AS27" s="862"/>
      <c r="AT27" s="862"/>
      <c r="AU27" s="862"/>
      <c r="AV27" s="862"/>
      <c r="AW27" s="862"/>
      <c r="AX27" s="862"/>
      <c r="AY27" s="862"/>
      <c r="AZ27" s="862"/>
      <c r="BA27" s="862"/>
      <c r="BB27" s="862"/>
      <c r="BC27" s="862"/>
      <c r="BD27" s="862"/>
      <c r="BE27" s="862"/>
      <c r="BF27" s="862"/>
      <c r="BG27" s="862"/>
      <c r="BH27" s="862"/>
      <c r="BI27" s="862"/>
      <c r="BJ27" s="862"/>
      <c r="BK27" s="862"/>
      <c r="BL27" s="862"/>
      <c r="BM27" s="862"/>
      <c r="BN27" s="862"/>
      <c r="BO27" s="862"/>
      <c r="BP27" s="862"/>
      <c r="BQ27" s="862"/>
      <c r="BR27" s="862"/>
      <c r="BS27" s="862"/>
      <c r="BT27" s="862"/>
      <c r="BU27" s="862"/>
      <c r="BV27" s="862"/>
      <c r="BW27" s="862"/>
      <c r="BX27" s="862"/>
      <c r="BY27" s="862"/>
      <c r="BZ27" s="862"/>
      <c r="CA27" s="862"/>
      <c r="CB27" s="906"/>
      <c r="CC27" s="906"/>
      <c r="CD27" s="906"/>
      <c r="CE27" s="906"/>
      <c r="CF27" s="906"/>
      <c r="CG27" s="1404"/>
      <c r="CH27" s="1404"/>
      <c r="CI27" s="1750"/>
      <c r="CJ27" s="1470"/>
      <c r="CK27" s="1470"/>
      <c r="CL27" s="1470"/>
      <c r="CM27" s="1470"/>
      <c r="CN27" s="1470"/>
      <c r="CO27" s="1470"/>
      <c r="CP27" s="2511"/>
      <c r="CQ27" s="1577"/>
      <c r="CR27" s="1577"/>
      <c r="CS27" s="1577"/>
      <c r="CT27" s="1577"/>
      <c r="CU27" s="1660"/>
      <c r="CZ27" s="965"/>
      <c r="DA27" s="1577"/>
      <c r="DB27" s="1577"/>
      <c r="DC27" s="1577"/>
    </row>
    <row r="28" spans="1:109" hidden="1" outlineLevel="1">
      <c r="A28" s="918" t="s">
        <v>678</v>
      </c>
      <c r="B28" s="862"/>
      <c r="C28" s="862"/>
      <c r="D28" s="976">
        <f t="shared" ref="D28:Q28" si="39">D20-D25</f>
        <v>-15.635999999999996</v>
      </c>
      <c r="E28" s="976">
        <f t="shared" si="39"/>
        <v>46.556200000000018</v>
      </c>
      <c r="F28" s="976">
        <f t="shared" si="39"/>
        <v>-46.114999999999981</v>
      </c>
      <c r="G28" s="976">
        <f t="shared" si="39"/>
        <v>-17.963000000000022</v>
      </c>
      <c r="H28" s="976">
        <f t="shared" si="39"/>
        <v>8.7609999999999957</v>
      </c>
      <c r="I28" s="976">
        <f t="shared" si="39"/>
        <v>35.471000000000004</v>
      </c>
      <c r="J28" s="976">
        <f t="shared" si="39"/>
        <v>57.76600000000002</v>
      </c>
      <c r="K28" s="976">
        <f t="shared" si="39"/>
        <v>73.401476152429098</v>
      </c>
      <c r="L28" s="976">
        <f t="shared" si="39"/>
        <v>57.716624999999937</v>
      </c>
      <c r="M28" s="976">
        <f t="shared" si="39"/>
        <v>42.303718959999912</v>
      </c>
      <c r="N28" s="976">
        <f t="shared" si="39"/>
        <v>74.072823093750003</v>
      </c>
      <c r="O28" s="976">
        <f t="shared" si="39"/>
        <v>79.007983234298194</v>
      </c>
      <c r="P28" s="976">
        <f>P20-P25</f>
        <v>76.827994380694065</v>
      </c>
      <c r="Q28" s="976">
        <f t="shared" si="39"/>
        <v>90.711904014843327</v>
      </c>
      <c r="R28" s="976">
        <f t="shared" ref="R28:W28" si="40">R20-R25</f>
        <v>127.40078529513147</v>
      </c>
      <c r="S28" s="976">
        <f t="shared" si="40"/>
        <v>144.99679516549236</v>
      </c>
      <c r="T28" s="976">
        <f t="shared" si="40"/>
        <v>152.24286426472258</v>
      </c>
      <c r="U28" s="976">
        <f t="shared" si="40"/>
        <v>148.41087692832573</v>
      </c>
      <c r="V28" s="976">
        <f t="shared" si="40"/>
        <v>149.09853986322895</v>
      </c>
      <c r="W28" s="976">
        <f t="shared" si="40"/>
        <v>151.05994011296985</v>
      </c>
      <c r="X28" s="976">
        <f t="shared" ref="X28:AC28" si="41">X20-X25</f>
        <v>152.13663712267498</v>
      </c>
      <c r="Y28" s="976">
        <f>Y20-Y25</f>
        <v>152.778602998964</v>
      </c>
      <c r="Z28" s="977">
        <f t="shared" si="41"/>
        <v>153.27553382051917</v>
      </c>
      <c r="AA28" s="977">
        <f t="shared" si="41"/>
        <v>153.62646855351761</v>
      </c>
      <c r="AB28" s="977">
        <f t="shared" si="41"/>
        <v>153.51103198134382</v>
      </c>
      <c r="AC28" s="977">
        <f t="shared" si="41"/>
        <v>152.91651505338479</v>
      </c>
      <c r="AD28" s="977">
        <f>AD20-AD25</f>
        <v>151.83277885863322</v>
      </c>
      <c r="AE28" s="977">
        <f>AE20-AE25</f>
        <v>150.2523589862318</v>
      </c>
      <c r="AF28" s="977">
        <f>AF20-AF25</f>
        <v>148.64150135271097</v>
      </c>
      <c r="AG28" s="977">
        <f>AG20-AG25</f>
        <v>146.99973712010353</v>
      </c>
      <c r="AH28" s="962"/>
      <c r="AI28" s="962"/>
      <c r="AJ28" s="962"/>
      <c r="AK28" s="962"/>
      <c r="AL28" s="962"/>
      <c r="AM28" s="862"/>
      <c r="AN28" s="976">
        <f>AN20-AN25</f>
        <v>3.1560000000000024</v>
      </c>
      <c r="AO28" s="976">
        <f>AO20-AO25</f>
        <v>11.311000000000014</v>
      </c>
      <c r="AP28" s="976">
        <f>AP20-AP25</f>
        <v>12.341000000000008</v>
      </c>
      <c r="AQ28" s="976">
        <f>AQ20-AQ25</f>
        <v>30.958000000000006</v>
      </c>
      <c r="AR28" s="936"/>
      <c r="AS28" s="976">
        <f>AS20-AS25</f>
        <v>9.1363126121572051</v>
      </c>
      <c r="AT28" s="976">
        <f>AT20-AT25</f>
        <v>17.961586741277387</v>
      </c>
      <c r="AU28" s="976">
        <f>AU20-AU25</f>
        <v>16.925692362723559</v>
      </c>
      <c r="AV28" s="976">
        <f>AV20-AV25</f>
        <v>29.377884436271039</v>
      </c>
      <c r="AW28" s="965">
        <f>K28-SUM(AS28:AV28)</f>
        <v>0</v>
      </c>
      <c r="AX28" s="977">
        <f>AX20-AX25</f>
        <v>11.405129999999993</v>
      </c>
      <c r="AY28" s="977">
        <f>AY20-AY25</f>
        <v>6.8274200000000107</v>
      </c>
      <c r="AZ28" s="977">
        <f>AZ20-AZ25</f>
        <v>6.2989150000000009</v>
      </c>
      <c r="BA28" s="977">
        <f>BA20-BA25</f>
        <v>33.185159999999982</v>
      </c>
      <c r="BB28" s="980">
        <f>L28-SUM(AX28:BA28)</f>
        <v>0</v>
      </c>
      <c r="BC28" s="977">
        <v>-7</v>
      </c>
      <c r="BD28" s="977">
        <f>BD20-BD25</f>
        <v>-8.2962810399999967</v>
      </c>
      <c r="BE28" s="1049">
        <f>2.5+0.8</f>
        <v>3.3</v>
      </c>
      <c r="BF28" s="1051">
        <v>54.3</v>
      </c>
      <c r="BG28" s="965">
        <f>M28-SUM(BC28:BF28)</f>
        <v>-8.5265128291212022E-14</v>
      </c>
      <c r="BH28" s="1051">
        <v>8.1999999999999993</v>
      </c>
      <c r="BI28" s="1051">
        <v>5.7</v>
      </c>
      <c r="BJ28" s="1051">
        <v>4.0999999999999996</v>
      </c>
      <c r="BK28" s="976">
        <f>BK20-BK25</f>
        <v>56.072823093750003</v>
      </c>
      <c r="BL28" s="965">
        <f>N28-SUM(BH28:BK28)</f>
        <v>0</v>
      </c>
      <c r="BM28" s="976">
        <f>BM20-BM25</f>
        <v>9.9447239246400017</v>
      </c>
      <c r="BN28" s="976">
        <f>BN20-BN25</f>
        <v>6.007654094152727</v>
      </c>
      <c r="BO28" s="976">
        <f>BO20-BO25</f>
        <v>6.1180741665979568</v>
      </c>
      <c r="BP28" s="976">
        <f>BP20-BP25</f>
        <v>56.937531048907509</v>
      </c>
      <c r="BQ28" s="965">
        <f>O28-SUM(BM28:BP28)</f>
        <v>0</v>
      </c>
      <c r="BR28" s="976">
        <f>BR20-BR25</f>
        <v>2.4610482009046848</v>
      </c>
      <c r="BS28" s="976">
        <f>BS20-BS25</f>
        <v>4.0695332239619972</v>
      </c>
      <c r="BT28" s="976">
        <f>BT20-BT25</f>
        <v>7.0498047131823682</v>
      </c>
      <c r="BU28" s="976">
        <f>BU20-BU25</f>
        <v>63.247608242644986</v>
      </c>
      <c r="BV28" s="965">
        <f>P28-SUM(BR28:BU28)</f>
        <v>0</v>
      </c>
      <c r="BW28" s="976">
        <f>BW20-BW25</f>
        <v>4.4354316907056628</v>
      </c>
      <c r="BX28" s="976">
        <f>BX20-BX25</f>
        <v>6.3787128350499884</v>
      </c>
      <c r="BY28" s="976">
        <f>BY20-BY25</f>
        <v>9.5915583939955837</v>
      </c>
      <c r="BZ28" s="976">
        <f>BZ20-BZ25</f>
        <v>70.306201095092121</v>
      </c>
      <c r="CA28" s="965">
        <f>Q28-SUM(BW28:BZ28)</f>
        <v>0</v>
      </c>
      <c r="CB28" s="977">
        <f>CB20-CB25</f>
        <v>14.708725637924914</v>
      </c>
      <c r="CC28" s="977">
        <f>CC20-CC25</f>
        <v>12.275705653958553</v>
      </c>
      <c r="CD28" s="977">
        <f>CD20-CD25</f>
        <v>14.462078377050076</v>
      </c>
      <c r="CE28" s="977">
        <f>CE20-CE25</f>
        <v>85.954275626197827</v>
      </c>
      <c r="CF28" s="965">
        <f>R28-SUM(CB28:CE28)</f>
        <v>0</v>
      </c>
      <c r="CG28" s="1444">
        <f>CG20-CG25</f>
        <v>15.743632131257208</v>
      </c>
      <c r="CH28" s="1444">
        <f>CH20-CH25</f>
        <v>15.923741601268873</v>
      </c>
      <c r="CI28" s="2658">
        <f>CI20-CI25</f>
        <v>19.886899310810165</v>
      </c>
      <c r="CJ28" s="1590">
        <f>CJ20-CJ25</f>
        <v>93.442522122156134</v>
      </c>
      <c r="CK28" s="1660">
        <f>$S28-SUM(CG28:CJ28)</f>
        <v>0</v>
      </c>
      <c r="CL28" s="1589">
        <f>CL20-CL25</f>
        <v>16.688391556644405</v>
      </c>
      <c r="CM28" s="1589">
        <f>CM20-CM25</f>
        <v>17.480770593591998</v>
      </c>
      <c r="CN28" s="1589">
        <f>CN20-CN25</f>
        <v>21.404757043613102</v>
      </c>
      <c r="CO28" s="1590">
        <f>CO20-CO25</f>
        <v>96.668945070872994</v>
      </c>
      <c r="CP28" s="2659">
        <f>$T28-SUM(CL28:CO28)</f>
        <v>0</v>
      </c>
      <c r="CQ28" s="1589">
        <f>CQ20-CQ25</f>
        <v>17.200934724815752</v>
      </c>
      <c r="CR28" s="1589">
        <f>CR20-CR25</f>
        <v>18.562312416910274</v>
      </c>
      <c r="CS28" s="1589">
        <f>CS20-CS25</f>
        <v>22.357438906277309</v>
      </c>
      <c r="CT28" s="1590">
        <f>CT20-CT25</f>
        <v>90.290190880322413</v>
      </c>
      <c r="CU28" s="1660">
        <f t="shared" si="6"/>
        <v>0</v>
      </c>
      <c r="CV28" s="1589">
        <f>CV20-CV25</f>
        <v>17.315330161707379</v>
      </c>
      <c r="CW28" s="1589">
        <f>CW20-CW25</f>
        <v>18.759735624161053</v>
      </c>
      <c r="CX28" s="1589">
        <f>CX20-CX25</f>
        <v>22.627221343574291</v>
      </c>
      <c r="CY28" s="1590">
        <f>CY20-CY25</f>
        <v>90.396252733786127</v>
      </c>
      <c r="CZ28" s="965">
        <f t="shared" si="3"/>
        <v>0</v>
      </c>
      <c r="DA28" s="1589">
        <f>DA20-DA25</f>
        <v>17.432013507336848</v>
      </c>
      <c r="DB28" s="1589">
        <f>DB20-DB25</f>
        <v>18.961107295556857</v>
      </c>
      <c r="DC28" s="1589">
        <f>DC20-DC25</f>
        <v>22.902399429617205</v>
      </c>
      <c r="DD28" s="1589">
        <f>DD20-DD25</f>
        <v>91.764419880458831</v>
      </c>
      <c r="DE28" s="2854">
        <f t="shared" si="4"/>
        <v>0</v>
      </c>
    </row>
    <row r="29" spans="1:109" hidden="1" outlineLevel="1">
      <c r="A29" s="862" t="s">
        <v>690</v>
      </c>
      <c r="B29" s="862"/>
      <c r="C29" s="862"/>
      <c r="D29" s="888">
        <f t="shared" ref="D29:W29" si="42">D28/D13</f>
        <v>-5.4474572610117983E-2</v>
      </c>
      <c r="E29" s="888">
        <f t="shared" si="42"/>
        <v>0.10885908425576493</v>
      </c>
      <c r="F29" s="888">
        <f t="shared" si="42"/>
        <v>-0.16135127097146648</v>
      </c>
      <c r="G29" s="888">
        <f t="shared" si="42"/>
        <v>-7.5807002958342751E-2</v>
      </c>
      <c r="H29" s="888">
        <f t="shared" si="42"/>
        <v>3.557910981156593E-2</v>
      </c>
      <c r="I29" s="888">
        <f t="shared" si="42"/>
        <v>0.12182816084847986</v>
      </c>
      <c r="J29" s="888">
        <f t="shared" si="42"/>
        <v>0.17088156380621633</v>
      </c>
      <c r="K29" s="888">
        <f t="shared" si="42"/>
        <v>0.17718740245215941</v>
      </c>
      <c r="L29" s="888">
        <f t="shared" si="42"/>
        <v>0.10090407258804698</v>
      </c>
      <c r="M29" s="888">
        <f t="shared" si="42"/>
        <v>6.8626221541231811E-2</v>
      </c>
      <c r="N29" s="888">
        <f t="shared" si="42"/>
        <v>0.13693797256117957</v>
      </c>
      <c r="O29" s="888">
        <f t="shared" si="42"/>
        <v>0.13968553561944436</v>
      </c>
      <c r="P29" s="888">
        <f t="shared" si="42"/>
        <v>0.1385481205552562</v>
      </c>
      <c r="Q29" s="888">
        <f t="shared" si="42"/>
        <v>0.15557859171210237</v>
      </c>
      <c r="R29" s="888">
        <f>R28/R13</f>
        <v>0.19133901009206894</v>
      </c>
      <c r="S29" s="888">
        <f>S28/S13</f>
        <v>0.20810351813376698</v>
      </c>
      <c r="T29" s="888">
        <f>T28/T13</f>
        <v>0.21281899471817015</v>
      </c>
      <c r="U29" s="888">
        <f>U28/U13</f>
        <v>0.22076077283967876</v>
      </c>
      <c r="V29" s="888">
        <f t="shared" si="42"/>
        <v>0.21825748016573832</v>
      </c>
      <c r="W29" s="888">
        <f t="shared" si="42"/>
        <v>0.2175998078171591</v>
      </c>
      <c r="X29" s="888">
        <f t="shared" ref="X29:AC29" si="43">X28/X13</f>
        <v>0.21581349969292851</v>
      </c>
      <c r="Y29" s="888">
        <f t="shared" si="43"/>
        <v>0.21375634054500831</v>
      </c>
      <c r="Z29" s="990">
        <f t="shared" si="43"/>
        <v>0.2118483424242365</v>
      </c>
      <c r="AA29" s="990">
        <f t="shared" si="43"/>
        <v>0.21008995255834337</v>
      </c>
      <c r="AB29" s="990">
        <f t="shared" si="43"/>
        <v>0.20804793373014205</v>
      </c>
      <c r="AC29" s="990">
        <f t="shared" si="43"/>
        <v>0.20571497565680538</v>
      </c>
      <c r="AD29" s="990">
        <f>AD28/AD13</f>
        <v>0.20308257040726871</v>
      </c>
      <c r="AE29" s="990">
        <f>AE28/AE13</f>
        <v>0.200140930783928</v>
      </c>
      <c r="AF29" s="990">
        <f>AF28/AF13</f>
        <v>0.19717900233127661</v>
      </c>
      <c r="AG29" s="990">
        <f>AG28/AG13</f>
        <v>0.1941965772215804</v>
      </c>
      <c r="AH29" s="962"/>
      <c r="AI29" s="962"/>
      <c r="AJ29" s="962"/>
      <c r="AK29" s="962"/>
      <c r="AL29" s="962"/>
      <c r="AM29" s="862"/>
      <c r="AN29" s="888">
        <f>AN28/AN13</f>
        <v>4.4198585533225997E-2</v>
      </c>
      <c r="AO29" s="888">
        <f>AO28/AO13</f>
        <v>0.14017324922855778</v>
      </c>
      <c r="AP29" s="888">
        <f>AP28/AP13</f>
        <v>0.1500188420067346</v>
      </c>
      <c r="AQ29" s="888">
        <f>AQ28/AQ13</f>
        <v>0.29857454236830433</v>
      </c>
      <c r="AR29" s="936"/>
      <c r="AS29" s="888">
        <f>AS28/AS13</f>
        <v>0.10250547079723107</v>
      </c>
      <c r="AT29" s="888">
        <f>AT28/AT13</f>
        <v>0.17474230453917625</v>
      </c>
      <c r="AU29" s="888">
        <f>AU28/AU13</f>
        <v>0.17056000204284291</v>
      </c>
      <c r="AV29" s="888">
        <f>AV28/AV13</f>
        <v>0.23864280962658435</v>
      </c>
      <c r="AW29" s="965"/>
      <c r="AX29" s="888">
        <f>AX28/AX13</f>
        <v>8.9327991729128919E-2</v>
      </c>
      <c r="AY29" s="888">
        <f>AY28/AY13</f>
        <v>5.4013544089492341E-2</v>
      </c>
      <c r="AZ29" s="888">
        <f>AZ28/AZ13</f>
        <v>4.7090114605683193E-2</v>
      </c>
      <c r="BA29" s="888">
        <f>BA28/BA13</f>
        <v>0.18020428665294611</v>
      </c>
      <c r="BB29" s="965"/>
      <c r="BC29" s="888">
        <f>BC28/BC13</f>
        <v>-4.8503325942350337E-2</v>
      </c>
      <c r="BD29" s="888">
        <f>BD28/BD13</f>
        <v>-5.8615360034376243E-2</v>
      </c>
      <c r="BE29" s="888">
        <f>BE28/BE13</f>
        <v>2.3028611304954639E-2</v>
      </c>
      <c r="BF29" s="888">
        <f>BF28/BF13</f>
        <v>0.28994174466971734</v>
      </c>
      <c r="BG29" s="965"/>
      <c r="BH29" s="888">
        <f>BH28/BH13</f>
        <v>6.1057334326135505E-2</v>
      </c>
      <c r="BI29" s="888">
        <f>BI28/BI13</f>
        <v>4.4846577498033051E-2</v>
      </c>
      <c r="BJ29" s="888">
        <f>BJ28/BJ13</f>
        <v>3.3581783929887782E-2</v>
      </c>
      <c r="BK29" s="888">
        <f>BK28/BK13</f>
        <v>0.35617069067813378</v>
      </c>
      <c r="BL29" s="965"/>
      <c r="BM29" s="888">
        <f>BM28/BM13</f>
        <v>7.1415657527546236E-2</v>
      </c>
      <c r="BN29" s="888">
        <f>BN28/BN13</f>
        <v>4.553009779767872E-2</v>
      </c>
      <c r="BO29" s="888">
        <f>BO28/BO13</f>
        <v>4.7564869417815785E-2</v>
      </c>
      <c r="BP29" s="888">
        <f>BP28/BP13</f>
        <v>0.34343801498026005</v>
      </c>
      <c r="BR29" s="888">
        <f>BR28/BR13</f>
        <v>2.1378360697246249E-2</v>
      </c>
      <c r="BS29" s="888">
        <f>BS28/BS13</f>
        <v>3.1642360313379289E-2</v>
      </c>
      <c r="BT29" s="888">
        <f>BT28/BT13</f>
        <v>5.191865625187618E-2</v>
      </c>
      <c r="BU29" s="888">
        <f>BU28/BU13</f>
        <v>0.36139927359027002</v>
      </c>
      <c r="BW29" s="888">
        <f>BW28/BW13</f>
        <v>3.6608875163155412E-2</v>
      </c>
      <c r="BX29" s="888">
        <f>BX28/BX13</f>
        <v>4.7181671662093666E-2</v>
      </c>
      <c r="BY29" s="888">
        <f>BY28/BY13</f>
        <v>6.7201429245257488E-2</v>
      </c>
      <c r="BZ29" s="888">
        <f>BZ28/BZ13</f>
        <v>0.38213812262502345</v>
      </c>
      <c r="CB29" s="990">
        <f>CB28/CB13</f>
        <v>0.10085631113283204</v>
      </c>
      <c r="CC29" s="990">
        <f>CC28/CC13</f>
        <v>7.8772884692306325E-2</v>
      </c>
      <c r="CD29" s="990">
        <f>CD28/CD13</f>
        <v>9.069957018697021E-2</v>
      </c>
      <c r="CE29" s="990">
        <f>CE28/CE13</f>
        <v>0.41987792117893241</v>
      </c>
      <c r="CF29" s="1048"/>
      <c r="CG29" s="1409">
        <f>CG28/CG13</f>
        <v>0.10287634045434288</v>
      </c>
      <c r="CH29" s="1409">
        <f>CH28/CH13</f>
        <v>9.7371639656338618E-2</v>
      </c>
      <c r="CI29" s="1749">
        <f>CI28/CI13</f>
        <v>0.11888253750633566</v>
      </c>
      <c r="CJ29" s="1596">
        <f>CJ28/CJ13</f>
        <v>0.4389011981228792</v>
      </c>
      <c r="CK29" s="1577"/>
      <c r="CL29" s="1596">
        <f>CL28/CL13</f>
        <v>0.10552405631375857</v>
      </c>
      <c r="CM29" s="1596">
        <f>CM28/CM13</f>
        <v>0.10398119888080298</v>
      </c>
      <c r="CN29" s="1596">
        <f>CN28/CN13</f>
        <v>0.12483530561606085</v>
      </c>
      <c r="CO29" s="1596">
        <f>CO28/CO13</f>
        <v>0.44417575138049464</v>
      </c>
      <c r="CP29" s="2207"/>
      <c r="CQ29" s="1596">
        <f>CQ28/CQ13</f>
        <v>0.11700470835481258</v>
      </c>
      <c r="CR29" s="1596">
        <f>CR28/CR13</f>
        <v>0.11755643518576968</v>
      </c>
      <c r="CS29" s="1596">
        <f>CS28/CS13</f>
        <v>0.13845459406682059</v>
      </c>
      <c r="CT29" s="1596">
        <f>CT28/CT13</f>
        <v>0.43855790515359305</v>
      </c>
      <c r="CU29" s="1660"/>
      <c r="CV29" s="1596">
        <f>CV28/CV13</f>
        <v>0.11603892623904484</v>
      </c>
      <c r="CW29" s="1596">
        <f>CW28/CW13</f>
        <v>0.1168786541858023</v>
      </c>
      <c r="CX29" s="1596">
        <f>CX28/CX13</f>
        <v>0.13783557166850524</v>
      </c>
      <c r="CY29" s="1596">
        <f>CY28/CY13</f>
        <v>0.43201290389540947</v>
      </c>
      <c r="CZ29" s="965"/>
      <c r="DA29" s="1596">
        <f>DA28/DA13</f>
        <v>0.11508285312247618</v>
      </c>
      <c r="DB29" s="1596">
        <f>DB28/DB13</f>
        <v>0.11620961187030059</v>
      </c>
      <c r="DC29" s="1596">
        <f>DC28/DC13</f>
        <v>0.13722466843660985</v>
      </c>
      <c r="DD29" s="1596">
        <f>DD28/DD13</f>
        <v>0.43147476747687341</v>
      </c>
    </row>
    <row r="30" spans="1:109" hidden="1" outlineLevel="1">
      <c r="A30" s="862"/>
      <c r="B30" s="862"/>
      <c r="C30" s="862"/>
      <c r="D30" s="862"/>
      <c r="E30" s="862"/>
      <c r="F30" s="862"/>
      <c r="G30" s="862"/>
      <c r="H30" s="888"/>
      <c r="I30" s="888"/>
      <c r="J30" s="888"/>
      <c r="K30" s="888"/>
      <c r="L30" s="888"/>
      <c r="M30" s="888"/>
      <c r="N30" s="888"/>
      <c r="O30" s="888"/>
      <c r="P30" s="888"/>
      <c r="Q30" s="888"/>
      <c r="R30" s="888"/>
      <c r="S30" s="888"/>
      <c r="T30" s="888"/>
      <c r="U30" s="888"/>
      <c r="V30" s="888"/>
      <c r="W30" s="888"/>
      <c r="X30" s="888"/>
      <c r="Y30" s="888"/>
      <c r="Z30" s="990"/>
      <c r="AA30" s="990"/>
      <c r="AB30" s="990"/>
      <c r="AC30" s="990"/>
      <c r="AD30" s="990"/>
      <c r="AE30" s="990"/>
      <c r="AF30" s="990"/>
      <c r="AG30" s="962"/>
      <c r="AH30" s="962"/>
      <c r="AI30" s="962"/>
      <c r="AJ30" s="962"/>
      <c r="AK30" s="962"/>
      <c r="AL30" s="962"/>
      <c r="AM30" s="862"/>
      <c r="AN30" s="862"/>
      <c r="AO30" s="862"/>
      <c r="AP30" s="862"/>
      <c r="AQ30" s="862"/>
      <c r="AR30" s="936"/>
      <c r="AS30" s="888"/>
      <c r="AT30" s="888"/>
      <c r="AU30" s="888"/>
      <c r="AV30" s="888"/>
      <c r="AW30" s="965"/>
      <c r="AX30" s="888"/>
      <c r="AY30" s="888"/>
      <c r="AZ30" s="888"/>
      <c r="BA30" s="888"/>
      <c r="BB30" s="965"/>
      <c r="BC30" s="888"/>
      <c r="BD30" s="888"/>
      <c r="BE30" s="915"/>
      <c r="BF30" s="888"/>
      <c r="BG30" s="965"/>
      <c r="BH30" s="888"/>
      <c r="BI30" s="888"/>
      <c r="BJ30" s="888"/>
      <c r="BK30" s="888"/>
      <c r="BL30" s="965"/>
      <c r="CF30" s="1048"/>
      <c r="CI30" s="1577"/>
      <c r="CJ30" s="1577"/>
      <c r="CK30" s="1577"/>
      <c r="CP30" s="2207"/>
      <c r="CQ30" s="1577"/>
      <c r="CR30" s="1577"/>
      <c r="CS30" s="1577"/>
      <c r="CT30" s="1577"/>
      <c r="CU30" s="1660"/>
      <c r="CZ30" s="965"/>
      <c r="DA30" s="1577"/>
      <c r="DB30" s="1577"/>
      <c r="DC30" s="1577"/>
    </row>
    <row r="31" spans="1:109" hidden="1" outlineLevel="1">
      <c r="A31" s="938" t="s">
        <v>692</v>
      </c>
      <c r="B31" s="862"/>
      <c r="C31" s="862"/>
      <c r="D31" s="962">
        <v>11.5</v>
      </c>
      <c r="E31" s="863">
        <v>18.707000000000001</v>
      </c>
      <c r="F31" s="863">
        <v>24.417000000000002</v>
      </c>
      <c r="G31" s="863">
        <v>25.749000000000002</v>
      </c>
      <c r="H31" s="863">
        <v>17.347999999999999</v>
      </c>
      <c r="I31" s="863">
        <v>15.932</v>
      </c>
      <c r="J31" s="863">
        <v>17.242000000000001</v>
      </c>
      <c r="K31" s="863">
        <f>SUM(AS31:AV31)</f>
        <v>21.491</v>
      </c>
      <c r="L31" s="863">
        <f>SUM(AX31:BA31)</f>
        <v>34.450000000000003</v>
      </c>
      <c r="M31" s="863">
        <f>SUM(BC31:BF31)</f>
        <v>32.44997</v>
      </c>
      <c r="N31" s="863">
        <f>SUM(BH31:BK31)</f>
        <v>27</v>
      </c>
      <c r="O31" s="863">
        <f>MIN(N31,N31*(1+O14))</f>
        <v>27</v>
      </c>
      <c r="P31" s="863">
        <f>MIN(O31,O31*(1+P14))</f>
        <v>26.470557162830264</v>
      </c>
      <c r="Q31" s="863">
        <v>20</v>
      </c>
      <c r="R31" s="863">
        <f>MIN(Q31*1.01,Q31*(1+R14))</f>
        <v>20.2</v>
      </c>
      <c r="S31" s="863">
        <f>MIN(R31*1.01,R31*(1+S14))</f>
        <v>20.402000000000001</v>
      </c>
      <c r="T31" s="863">
        <f>MIN(S31*1.01,S31*(1+T14))</f>
        <v>20.606020000000001</v>
      </c>
      <c r="U31" s="863">
        <f>MIN(T31*1.01,T31*(1+U14))</f>
        <v>19.364727224724799</v>
      </c>
      <c r="V31" s="863">
        <f>MIN(U31*1.005,U31*(1+V14))</f>
        <v>19.461550860848423</v>
      </c>
      <c r="W31" s="863">
        <f t="shared" ref="W31:AG31" si="44">MIN(V31*1.005,V31*(1+W14))</f>
        <v>19.558858615152662</v>
      </c>
      <c r="X31" s="863">
        <f t="shared" si="44"/>
        <v>19.656652908228423</v>
      </c>
      <c r="Y31" s="863">
        <f t="shared" si="44"/>
        <v>19.754936172769565</v>
      </c>
      <c r="Z31" s="863">
        <f t="shared" si="44"/>
        <v>19.853710853633409</v>
      </c>
      <c r="AA31" s="863">
        <f t="shared" si="44"/>
        <v>19.952979407901573</v>
      </c>
      <c r="AB31" s="863">
        <f t="shared" si="44"/>
        <v>20.052744304941079</v>
      </c>
      <c r="AC31" s="863">
        <f t="shared" si="44"/>
        <v>20.153008026465784</v>
      </c>
      <c r="AD31" s="863">
        <f t="shared" si="44"/>
        <v>20.253773066598111</v>
      </c>
      <c r="AE31" s="863">
        <f t="shared" si="44"/>
        <v>20.337540680455913</v>
      </c>
      <c r="AF31" s="863">
        <f t="shared" si="44"/>
        <v>20.421727132382991</v>
      </c>
      <c r="AG31" s="863">
        <f t="shared" si="44"/>
        <v>20.506334516569712</v>
      </c>
      <c r="AH31" s="962"/>
      <c r="AI31" s="962"/>
      <c r="AJ31" s="962"/>
      <c r="AK31" s="962"/>
      <c r="AL31" s="962"/>
      <c r="AM31" s="862"/>
      <c r="AN31" s="964">
        <v>3.915</v>
      </c>
      <c r="AO31" s="964">
        <v>4.2850000000000001</v>
      </c>
      <c r="AP31" s="964">
        <v>4.4930000000000003</v>
      </c>
      <c r="AQ31" s="964">
        <v>4.5490000000000004</v>
      </c>
      <c r="AR31" s="964"/>
      <c r="AS31" s="964">
        <v>4.556</v>
      </c>
      <c r="AT31" s="964">
        <v>4.9610000000000003</v>
      </c>
      <c r="AU31" s="964">
        <v>5.5170000000000003</v>
      </c>
      <c r="AV31" s="964">
        <v>6.4569999999999999</v>
      </c>
      <c r="AW31" s="965"/>
      <c r="AX31" s="964">
        <f>7.059+'Revenue and OCF'!CT53</f>
        <v>7.859</v>
      </c>
      <c r="AY31" s="964">
        <f>6.571+'Revenue and OCF'!CU53</f>
        <v>7.5709999999999997</v>
      </c>
      <c r="AZ31" s="964">
        <f>6.364+'Revenue and OCF'!CV53</f>
        <v>7.4639999999999995</v>
      </c>
      <c r="BA31" s="964">
        <f>7.056+'Revenue and OCF'!CW53</f>
        <v>11.556000000000001</v>
      </c>
      <c r="BB31" s="965"/>
      <c r="BC31" s="964">
        <f>6.849+'Revenue and OCF'!CY53</f>
        <v>9.6490000000000009</v>
      </c>
      <c r="BD31" s="964">
        <f>AY31*1.07</f>
        <v>8.1009700000000002</v>
      </c>
      <c r="BE31" s="1054">
        <f>'Segment Detail'!DK197</f>
        <v>4.6999999999999993</v>
      </c>
      <c r="BF31" s="1054">
        <f>'Segment Detail'!DL197</f>
        <v>10</v>
      </c>
      <c r="BG31" s="965"/>
      <c r="BH31" s="1054">
        <f>'Segment Detail'!DN197</f>
        <v>6.8000000000000007</v>
      </c>
      <c r="BI31" s="1054">
        <f>'Segment Detail'!DO197</f>
        <v>6.8000000000000007</v>
      </c>
      <c r="BJ31" s="1054">
        <f>'Segment Detail'!DP197</f>
        <v>6.6999999999999993</v>
      </c>
      <c r="BK31" s="964">
        <f>BJ31</f>
        <v>6.6999999999999993</v>
      </c>
      <c r="BL31" s="965"/>
      <c r="BM31" s="1117">
        <f>$O$31/4</f>
        <v>6.75</v>
      </c>
      <c r="BN31" s="1117">
        <f>$O$31/4</f>
        <v>6.75</v>
      </c>
      <c r="BO31" s="1117">
        <f>$O$31/4</f>
        <v>6.75</v>
      </c>
      <c r="BP31" s="1117">
        <f>$O$31/4</f>
        <v>6.75</v>
      </c>
      <c r="BQ31" s="965">
        <f>O31-SUM(BM31:BP31)</f>
        <v>0</v>
      </c>
      <c r="BR31" s="1117">
        <f>$P$31/4</f>
        <v>6.6176392907075661</v>
      </c>
      <c r="BS31" s="1117">
        <f>$P$31/4</f>
        <v>6.6176392907075661</v>
      </c>
      <c r="BT31" s="1117">
        <f>$P$31/4</f>
        <v>6.6176392907075661</v>
      </c>
      <c r="BU31" s="1117">
        <f>$P$31/4</f>
        <v>6.6176392907075661</v>
      </c>
      <c r="BV31" s="965">
        <f>P31-SUM(BR31:BU31)</f>
        <v>0</v>
      </c>
      <c r="BW31" s="1117">
        <f t="shared" ref="BW31:BY32" si="45">$Q31/4</f>
        <v>5</v>
      </c>
      <c r="BX31" s="1117">
        <f t="shared" si="45"/>
        <v>5</v>
      </c>
      <c r="BY31" s="1117">
        <f t="shared" si="45"/>
        <v>5</v>
      </c>
      <c r="BZ31" s="1117">
        <f>+Q31-SUM(BW31:BY31)</f>
        <v>5</v>
      </c>
      <c r="CA31" s="965">
        <f>Q31-SUM(BW31:BZ31)</f>
        <v>0</v>
      </c>
      <c r="CB31" s="1117">
        <f t="shared" ref="CB31:CD32" si="46">$R31/4</f>
        <v>5.05</v>
      </c>
      <c r="CC31" s="1117">
        <f t="shared" si="46"/>
        <v>5.05</v>
      </c>
      <c r="CD31" s="1117">
        <f t="shared" si="46"/>
        <v>5.05</v>
      </c>
      <c r="CE31" s="1117">
        <f>+R31-SUM(CB31:CD31)</f>
        <v>5.0500000000000007</v>
      </c>
      <c r="CF31" s="965">
        <f>R31-SUM(CB31:CE31)</f>
        <v>0</v>
      </c>
      <c r="CG31" s="1456">
        <f t="shared" ref="CG31:CI32" si="47">$S31/4</f>
        <v>5.1005000000000003</v>
      </c>
      <c r="CH31" s="1456">
        <f t="shared" si="47"/>
        <v>5.1005000000000003</v>
      </c>
      <c r="CI31" s="1456">
        <f t="shared" si="47"/>
        <v>5.1005000000000003</v>
      </c>
      <c r="CJ31" s="1421">
        <f>+$S31-SUM(CG31:CI31)</f>
        <v>5.1005000000000003</v>
      </c>
      <c r="CK31" s="965">
        <f>$S31-SUM(CG31:CJ31)</f>
        <v>0</v>
      </c>
      <c r="CL31" s="1421">
        <f t="shared" ref="CL31:CN32" si="48">$T31/4</f>
        <v>5.1515050000000002</v>
      </c>
      <c r="CM31" s="1421">
        <f t="shared" si="48"/>
        <v>5.1515050000000002</v>
      </c>
      <c r="CN31" s="1421">
        <f t="shared" si="48"/>
        <v>5.1515050000000002</v>
      </c>
      <c r="CO31" s="1421">
        <f>+$T31-SUM(CL31:CN31)</f>
        <v>5.1515050000000002</v>
      </c>
      <c r="CP31" s="2205">
        <f>$T31-SUM(CL31:CO31)</f>
        <v>0</v>
      </c>
      <c r="CQ31" s="1421">
        <f t="shared" ref="CQ31:CS32" si="49">$U31/4</f>
        <v>4.8411818061811998</v>
      </c>
      <c r="CR31" s="1421">
        <f t="shared" si="49"/>
        <v>4.8411818061811998</v>
      </c>
      <c r="CS31" s="1421">
        <f t="shared" si="49"/>
        <v>4.8411818061811998</v>
      </c>
      <c r="CT31" s="2202">
        <f>+$U31-SUM(CQ31:CS31)</f>
        <v>4.8411818061812006</v>
      </c>
      <c r="CU31" s="965">
        <f t="shared" si="6"/>
        <v>0</v>
      </c>
      <c r="CV31" s="1421">
        <f t="shared" ref="CV31:CX32" si="50">$V31/4</f>
        <v>4.8653877152121057</v>
      </c>
      <c r="CW31" s="1421">
        <f t="shared" si="50"/>
        <v>4.8653877152121057</v>
      </c>
      <c r="CX31" s="1421">
        <f t="shared" si="50"/>
        <v>4.8653877152121057</v>
      </c>
      <c r="CY31" s="2202">
        <f>+$V31-SUM(CV31:CX31)</f>
        <v>4.8653877152121048</v>
      </c>
      <c r="CZ31" s="965">
        <f t="shared" si="3"/>
        <v>0</v>
      </c>
      <c r="DA31" s="1421">
        <f t="shared" ref="DA31:DC31" si="51">$V31/4</f>
        <v>4.8653877152121057</v>
      </c>
      <c r="DB31" s="1421">
        <f t="shared" si="51"/>
        <v>4.8653877152121057</v>
      </c>
      <c r="DC31" s="1421">
        <f t="shared" si="51"/>
        <v>4.8653877152121057</v>
      </c>
      <c r="DD31" s="2202">
        <f>W31-SUM(DA31:DC31)</f>
        <v>4.9626954695163441</v>
      </c>
      <c r="DE31" s="2854">
        <f t="shared" si="4"/>
        <v>0</v>
      </c>
    </row>
    <row r="32" spans="1:109" hidden="1" outlineLevel="1">
      <c r="A32" s="938" t="s">
        <v>684</v>
      </c>
      <c r="B32" s="862"/>
      <c r="C32" s="862"/>
      <c r="D32" s="978">
        <v>561.05399999999997</v>
      </c>
      <c r="E32" s="985">
        <v>763.0834000000001</v>
      </c>
      <c r="F32" s="985">
        <v>678.60200000000009</v>
      </c>
      <c r="G32" s="985">
        <v>34.655000000000001</v>
      </c>
      <c r="H32" s="882">
        <v>6.3039999999999994</v>
      </c>
      <c r="I32" s="882">
        <v>5.8949999999999996</v>
      </c>
      <c r="J32" s="882">
        <v>9.9319999999999986</v>
      </c>
      <c r="K32" s="882">
        <f>SUM(AS32:AV32)</f>
        <v>7.6219999999999999</v>
      </c>
      <c r="L32" s="882">
        <f>SUM(AX32:BA32)</f>
        <v>9.1769999999999996</v>
      </c>
      <c r="M32" s="882">
        <f>SUM(BC32:BF32)</f>
        <v>31.065999999999999</v>
      </c>
      <c r="N32" s="882">
        <f>SUM(BH32:BK32)</f>
        <v>52</v>
      </c>
      <c r="O32" s="882">
        <v>25</v>
      </c>
      <c r="P32" s="882">
        <f>O32</f>
        <v>25</v>
      </c>
      <c r="Q32" s="882">
        <f>+P32-5</f>
        <v>20</v>
      </c>
      <c r="R32" s="882">
        <f>+Q32-5</f>
        <v>15</v>
      </c>
      <c r="S32" s="882">
        <f>+R32-5</f>
        <v>10</v>
      </c>
      <c r="T32" s="882">
        <f>+S32-5</f>
        <v>5</v>
      </c>
      <c r="U32" s="1533">
        <f ca="1">+'Segment Detail'!AM207</f>
        <v>5</v>
      </c>
      <c r="V32" s="1533">
        <f>+'Segment Detail'!AN207</f>
        <v>7.3708543999999989</v>
      </c>
      <c r="W32" s="1533">
        <f>+'Segment Detail'!AO207</f>
        <v>6.4966835199999995</v>
      </c>
      <c r="X32" s="1533">
        <f>+'Segment Detail'!AP207</f>
        <v>6.5973468159999999</v>
      </c>
      <c r="Y32" s="1533">
        <f>+'Segment Detail'!AQ207</f>
        <v>5.6778774527999989</v>
      </c>
      <c r="Z32" s="1533">
        <f>+'Segment Detail'!AR207</f>
        <v>5.7423019622399991</v>
      </c>
      <c r="AA32" s="1533">
        <f>+'Segment Detail'!AS207</f>
        <v>5.7423019622399991</v>
      </c>
      <c r="AB32" s="1533">
        <f>+'Segment Detail'!AT207</f>
        <v>5.7423019622399991</v>
      </c>
      <c r="AC32" s="1533">
        <f>+'Segment Detail'!AU207</f>
        <v>5.7423019622399991</v>
      </c>
      <c r="AD32" s="1533">
        <f>+'Segment Detail'!AV207</f>
        <v>5.7423019622399991</v>
      </c>
      <c r="AE32" s="1533">
        <f>+'Segment Detail'!AW207</f>
        <v>5.7423019622399991</v>
      </c>
      <c r="AF32" s="1533">
        <f>+'Segment Detail'!AX207</f>
        <v>5.7423019622399991</v>
      </c>
      <c r="AG32" s="1533">
        <f>+'Segment Detail'!AY207</f>
        <v>5.7423019622399991</v>
      </c>
      <c r="AH32" s="962"/>
      <c r="AI32" s="962"/>
      <c r="AJ32" s="962"/>
      <c r="AK32" s="962"/>
      <c r="AL32" s="962"/>
      <c r="AM32" s="862"/>
      <c r="AN32" s="986">
        <v>2.1349999999999998</v>
      </c>
      <c r="AO32" s="986">
        <v>2.3439999999999999</v>
      </c>
      <c r="AP32" s="986">
        <v>2.9470000000000001</v>
      </c>
      <c r="AQ32" s="986">
        <v>2.5059999999999998</v>
      </c>
      <c r="AR32" s="964"/>
      <c r="AS32" s="1013">
        <v>1.671</v>
      </c>
      <c r="AT32" s="1013">
        <v>1.641</v>
      </c>
      <c r="AU32" s="1013">
        <v>2.1349999999999998</v>
      </c>
      <c r="AV32" s="1013">
        <v>2.1749999999999998</v>
      </c>
      <c r="AW32" s="965"/>
      <c r="AX32" s="1013">
        <v>2.1520000000000001</v>
      </c>
      <c r="AY32" s="1013">
        <v>2.14</v>
      </c>
      <c r="AZ32" s="1013">
        <v>2.3610000000000002</v>
      </c>
      <c r="BA32" s="1013">
        <v>2.524</v>
      </c>
      <c r="BB32" s="965"/>
      <c r="BC32" s="1013">
        <f>2.766</f>
        <v>2.766</v>
      </c>
      <c r="BD32" s="1013">
        <f>2.3</f>
        <v>2.2999999999999998</v>
      </c>
      <c r="BE32" s="1127">
        <f>'Segment Detail'!DK207</f>
        <v>13</v>
      </c>
      <c r="BF32" s="1127">
        <f>'Segment Detail'!DL207</f>
        <v>13</v>
      </c>
      <c r="BG32" s="965"/>
      <c r="BH32" s="1127">
        <f>BF32</f>
        <v>13</v>
      </c>
      <c r="BI32" s="1127">
        <f>BH32</f>
        <v>13</v>
      </c>
      <c r="BJ32" s="1127">
        <f>BI32</f>
        <v>13</v>
      </c>
      <c r="BK32" s="1127">
        <f>BJ32</f>
        <v>13</v>
      </c>
      <c r="BL32" s="965"/>
      <c r="BM32" s="1014">
        <f>$O$32/4</f>
        <v>6.25</v>
      </c>
      <c r="BN32" s="1014">
        <f>$O$32/4</f>
        <v>6.25</v>
      </c>
      <c r="BO32" s="1014">
        <f>$O$32/4</f>
        <v>6.25</v>
      </c>
      <c r="BP32" s="1014">
        <f>$O$32/4</f>
        <v>6.25</v>
      </c>
      <c r="BQ32" s="965">
        <f>O32-SUM(BM32:BP32)</f>
        <v>0</v>
      </c>
      <c r="BR32" s="1014">
        <f>$P$32/4</f>
        <v>6.25</v>
      </c>
      <c r="BS32" s="1014">
        <f>$P$32/4</f>
        <v>6.25</v>
      </c>
      <c r="BT32" s="1014">
        <f>$P$32/4</f>
        <v>6.25</v>
      </c>
      <c r="BU32" s="1014">
        <f>$P$32/4</f>
        <v>6.25</v>
      </c>
      <c r="BV32" s="965">
        <f>P32-SUM(BR32:BU32)</f>
        <v>0</v>
      </c>
      <c r="BW32" s="1014">
        <f t="shared" si="45"/>
        <v>5</v>
      </c>
      <c r="BX32" s="1014">
        <f t="shared" si="45"/>
        <v>5</v>
      </c>
      <c r="BY32" s="1014">
        <f t="shared" si="45"/>
        <v>5</v>
      </c>
      <c r="BZ32" s="1014">
        <f>+Q32-SUM(BW32:BY32)</f>
        <v>5</v>
      </c>
      <c r="CA32" s="965">
        <f>Q32-SUM(BW32:BZ32)</f>
        <v>0</v>
      </c>
      <c r="CB32" s="1014">
        <f t="shared" si="46"/>
        <v>3.75</v>
      </c>
      <c r="CC32" s="1014">
        <f t="shared" si="46"/>
        <v>3.75</v>
      </c>
      <c r="CD32" s="1014">
        <f t="shared" si="46"/>
        <v>3.75</v>
      </c>
      <c r="CE32" s="1014">
        <f>+R32-SUM(CB32:CD32)</f>
        <v>3.75</v>
      </c>
      <c r="CF32" s="965">
        <f>R32-SUM(CB32:CE32)</f>
        <v>0</v>
      </c>
      <c r="CG32" s="1457">
        <f t="shared" si="47"/>
        <v>2.5</v>
      </c>
      <c r="CH32" s="1457">
        <f t="shared" si="47"/>
        <v>2.5</v>
      </c>
      <c r="CI32" s="1457">
        <f t="shared" si="47"/>
        <v>2.5</v>
      </c>
      <c r="CJ32" s="1458">
        <f>+$S32-SUM(CG32:CI32)</f>
        <v>2.5</v>
      </c>
      <c r="CK32" s="965">
        <f>$S32-SUM(CG32:CJ32)</f>
        <v>0</v>
      </c>
      <c r="CL32" s="1458">
        <f t="shared" si="48"/>
        <v>1.25</v>
      </c>
      <c r="CM32" s="1458">
        <f t="shared" si="48"/>
        <v>1.25</v>
      </c>
      <c r="CN32" s="1458">
        <f t="shared" si="48"/>
        <v>1.25</v>
      </c>
      <c r="CO32" s="1458">
        <f>+$T32-SUM(CL32:CN32)</f>
        <v>1.25</v>
      </c>
      <c r="CP32" s="2205">
        <f>$T32-SUM(CL32:CO32)</f>
        <v>0</v>
      </c>
      <c r="CQ32" s="1458">
        <f t="shared" ca="1" si="49"/>
        <v>1.25</v>
      </c>
      <c r="CR32" s="1458">
        <f t="shared" ca="1" si="49"/>
        <v>1.25</v>
      </c>
      <c r="CS32" s="1458">
        <f t="shared" ca="1" si="49"/>
        <v>1.25</v>
      </c>
      <c r="CT32" s="1458">
        <f ca="1">$U32/4</f>
        <v>1.25</v>
      </c>
      <c r="CU32" s="965">
        <f t="shared" ca="1" si="6"/>
        <v>0</v>
      </c>
      <c r="CV32" s="1458">
        <f t="shared" si="50"/>
        <v>1.8427135999999997</v>
      </c>
      <c r="CW32" s="1458">
        <f t="shared" si="50"/>
        <v>1.8427135999999997</v>
      </c>
      <c r="CX32" s="1458">
        <f t="shared" si="50"/>
        <v>1.8427135999999997</v>
      </c>
      <c r="CY32" s="1458">
        <f>$V32/4</f>
        <v>1.8427135999999997</v>
      </c>
      <c r="CZ32" s="965">
        <f t="shared" si="3"/>
        <v>0</v>
      </c>
      <c r="DA32" s="1458">
        <f>$W32/4</f>
        <v>1.6241708799999999</v>
      </c>
      <c r="DB32" s="1458">
        <f t="shared" ref="DB32:DD32" si="52">$W32/4</f>
        <v>1.6241708799999999</v>
      </c>
      <c r="DC32" s="1458">
        <f t="shared" si="52"/>
        <v>1.6241708799999999</v>
      </c>
      <c r="DD32" s="1458">
        <f t="shared" si="52"/>
        <v>1.6241708799999999</v>
      </c>
      <c r="DE32" s="2854">
        <f t="shared" si="4"/>
        <v>0</v>
      </c>
    </row>
    <row r="33" spans="1:109" hidden="1" outlineLevel="1">
      <c r="A33" s="36" t="s">
        <v>685</v>
      </c>
      <c r="B33" s="862"/>
      <c r="C33" s="862"/>
      <c r="D33" s="879">
        <f>D28-D31-D32</f>
        <v>-588.18999999999994</v>
      </c>
      <c r="E33" s="879">
        <f t="shared" ref="E33:W33" si="53">E28-E31-E32</f>
        <v>-735.2342000000001</v>
      </c>
      <c r="F33" s="879">
        <f t="shared" si="53"/>
        <v>-749.13400000000001</v>
      </c>
      <c r="G33" s="879">
        <f t="shared" si="53"/>
        <v>-78.367000000000019</v>
      </c>
      <c r="H33" s="879">
        <f t="shared" si="53"/>
        <v>-14.891000000000002</v>
      </c>
      <c r="I33" s="879">
        <f t="shared" si="53"/>
        <v>13.644000000000002</v>
      </c>
      <c r="J33" s="879">
        <f t="shared" si="53"/>
        <v>30.592000000000017</v>
      </c>
      <c r="K33" s="879">
        <f t="shared" si="53"/>
        <v>44.288476152429098</v>
      </c>
      <c r="L33" s="879">
        <f t="shared" si="53"/>
        <v>14.089624999999934</v>
      </c>
      <c r="M33" s="879">
        <f t="shared" si="53"/>
        <v>-21.212251040000087</v>
      </c>
      <c r="N33" s="879">
        <f t="shared" si="53"/>
        <v>-4.927176906249997</v>
      </c>
      <c r="O33" s="879">
        <f t="shared" si="53"/>
        <v>27.007983234298194</v>
      </c>
      <c r="P33" s="879">
        <f t="shared" si="53"/>
        <v>25.357437217863804</v>
      </c>
      <c r="Q33" s="879">
        <f t="shared" si="53"/>
        <v>50.711904014843327</v>
      </c>
      <c r="R33" s="879">
        <f>R28-R31-R32</f>
        <v>92.200785295131467</v>
      </c>
      <c r="S33" s="879">
        <f t="shared" si="53"/>
        <v>114.59479516549236</v>
      </c>
      <c r="T33" s="879">
        <f>T28-T31-T32</f>
        <v>126.63684426472258</v>
      </c>
      <c r="U33" s="879">
        <f t="shared" ca="1" si="53"/>
        <v>124.04614970360095</v>
      </c>
      <c r="V33" s="879">
        <f t="shared" si="53"/>
        <v>122.26613460238052</v>
      </c>
      <c r="W33" s="879">
        <f t="shared" si="53"/>
        <v>125.00439797781718</v>
      </c>
      <c r="X33" s="879">
        <f t="shared" ref="X33:AC33" si="54">X28-X31-X32</f>
        <v>125.88263739844658</v>
      </c>
      <c r="Y33" s="879">
        <f t="shared" si="54"/>
        <v>127.34578937339444</v>
      </c>
      <c r="Z33" s="1080">
        <f t="shared" si="54"/>
        <v>127.67952100464578</v>
      </c>
      <c r="AA33" s="1080">
        <f t="shared" si="54"/>
        <v>127.93118718337604</v>
      </c>
      <c r="AB33" s="1080">
        <f t="shared" si="54"/>
        <v>127.71598571416274</v>
      </c>
      <c r="AC33" s="1080">
        <f t="shared" si="54"/>
        <v>127.02120506467901</v>
      </c>
      <c r="AD33" s="1080">
        <f>AD28-AD31-AD32</f>
        <v>125.83670382979511</v>
      </c>
      <c r="AE33" s="1080">
        <f>AE28-AE31-AE32</f>
        <v>124.1725163435359</v>
      </c>
      <c r="AF33" s="1080">
        <f>AF28-AF31-AF32</f>
        <v>122.477472258088</v>
      </c>
      <c r="AG33" s="1080">
        <f>AG28-AG31-AG32</f>
        <v>120.75110064129382</v>
      </c>
      <c r="AH33" s="962"/>
      <c r="AI33" s="962"/>
      <c r="AJ33" s="962"/>
      <c r="AK33" s="962"/>
      <c r="AL33" s="962"/>
      <c r="AM33" s="862"/>
      <c r="AN33" s="879">
        <f>AN28-AN31-AN32</f>
        <v>-2.8939999999999975</v>
      </c>
      <c r="AO33" s="879">
        <f>AO28-AO31-AO32</f>
        <v>4.6820000000000146</v>
      </c>
      <c r="AP33" s="879">
        <f>AP28-AP31-AP32</f>
        <v>4.9010000000000078</v>
      </c>
      <c r="AQ33" s="879">
        <f>AQ28-AQ31-AQ32</f>
        <v>23.903000000000006</v>
      </c>
      <c r="AR33" s="936"/>
      <c r="AS33" s="879">
        <f>AS28-AS31-AS32</f>
        <v>2.9093126121572048</v>
      </c>
      <c r="AT33" s="879">
        <f>AT28-AT31-AT32</f>
        <v>11.359586741277386</v>
      </c>
      <c r="AU33" s="879">
        <f>AU28-AU31-AU32</f>
        <v>9.2736923627235601</v>
      </c>
      <c r="AV33" s="879">
        <f>AV28-AV31-AV32</f>
        <v>20.745884436271037</v>
      </c>
      <c r="AW33" s="965"/>
      <c r="AX33" s="879">
        <f>AX28-AX31-AX32</f>
        <v>1.3941299999999925</v>
      </c>
      <c r="AY33" s="879">
        <f>AY28-AY31-AY32</f>
        <v>-2.8835799999999892</v>
      </c>
      <c r="AZ33" s="879">
        <f>AZ28-AZ31-AZ32</f>
        <v>-3.5260849999999988</v>
      </c>
      <c r="BA33" s="879">
        <f>BA28-BA31-BA32</f>
        <v>19.10515999999998</v>
      </c>
      <c r="BB33" s="965"/>
      <c r="BC33" s="879">
        <f>BC28-BC31-BC32</f>
        <v>-19.414999999999999</v>
      </c>
      <c r="BD33" s="879">
        <f>BD28-BD31-BD32</f>
        <v>-18.697251039999998</v>
      </c>
      <c r="BE33" s="1053">
        <f>-15.2+0.8</f>
        <v>-14.399999999999999</v>
      </c>
      <c r="BF33" s="1084">
        <f>28.7+2.6</f>
        <v>31.3</v>
      </c>
      <c r="BG33" s="965"/>
      <c r="BH33" s="879">
        <f>BH28-BH31-BH32</f>
        <v>-11.600000000000001</v>
      </c>
      <c r="BI33" s="879">
        <f>BI28-BI31-BI32</f>
        <v>-14.100000000000001</v>
      </c>
      <c r="BJ33" s="879">
        <f>BJ28-BJ31-BJ32</f>
        <v>-15.6</v>
      </c>
      <c r="BK33" s="879">
        <f>BK28-BK31-BK32</f>
        <v>36.37282309375</v>
      </c>
      <c r="BL33" s="965"/>
      <c r="BM33" s="879">
        <f>BM28-BM31-BM32</f>
        <v>-3.0552760753599983</v>
      </c>
      <c r="BN33" s="879">
        <f>BN28-BN31-BN32</f>
        <v>-6.992345905847273</v>
      </c>
      <c r="BO33" s="879">
        <f>BO28-BO31-BO32</f>
        <v>-6.8819258334020432</v>
      </c>
      <c r="BP33" s="879">
        <f>BP28-BP31-BP32</f>
        <v>43.937531048907509</v>
      </c>
      <c r="BQ33" s="965">
        <f>O33-SUM(BM33:BP33)</f>
        <v>0</v>
      </c>
      <c r="BR33" s="879">
        <f>BR28-BR31-BR32</f>
        <v>-10.40659108980288</v>
      </c>
      <c r="BS33" s="879">
        <f>BS28-BS31-BS32</f>
        <v>-8.7981060667455679</v>
      </c>
      <c r="BT33" s="879">
        <f>BT28-BT31-BT32</f>
        <v>-5.8178345775251978</v>
      </c>
      <c r="BU33" s="879">
        <f>BU28-BU31-BU32</f>
        <v>50.379968951937421</v>
      </c>
      <c r="BV33" s="965">
        <f>P33-SUM(BR33:BU33)</f>
        <v>2.8421709430404007E-14</v>
      </c>
      <c r="BW33" s="879">
        <f>BW28-BW31-BW32</f>
        <v>-5.5645683092943372</v>
      </c>
      <c r="BX33" s="879">
        <f>BX28-BX31-BX32</f>
        <v>-3.6212871649500116</v>
      </c>
      <c r="BY33" s="879">
        <f>BY28-BY31-BY32</f>
        <v>-0.40844160600441626</v>
      </c>
      <c r="BZ33" s="879">
        <f>BZ28-BZ31-BZ32</f>
        <v>60.306201095092121</v>
      </c>
      <c r="CA33" s="965">
        <f>Q33-SUM(BW33:BZ33)</f>
        <v>0</v>
      </c>
      <c r="CB33" s="1080">
        <f>CB28-CB31-CB32</f>
        <v>5.9087256379249133</v>
      </c>
      <c r="CC33" s="1080">
        <f>CC28-CC31-CC32</f>
        <v>3.4757056539585536</v>
      </c>
      <c r="CD33" s="1080">
        <f>CD28-CD31-CD32</f>
        <v>5.6620783770500758</v>
      </c>
      <c r="CE33" s="1080">
        <f>CE28-CE31-CE32</f>
        <v>77.15427562619783</v>
      </c>
      <c r="CF33" s="965">
        <f>R33-SUM(CB33:CE33)</f>
        <v>0</v>
      </c>
      <c r="CG33" s="1080">
        <f>CG28-CG31-CG32</f>
        <v>8.1431321312572074</v>
      </c>
      <c r="CH33" s="1080">
        <f>CH28-CH31-CH32</f>
        <v>8.3232416012688724</v>
      </c>
      <c r="CI33" s="1080">
        <f>CI28-CI31-CI32</f>
        <v>12.286399310810165</v>
      </c>
      <c r="CJ33" s="1080">
        <f>CJ28-CJ31-CJ32</f>
        <v>85.842022122156138</v>
      </c>
      <c r="CK33" s="965">
        <f>$S33-SUM(CG33:CJ33)</f>
        <v>0</v>
      </c>
      <c r="CL33" s="1589">
        <f>CL28-CL31-CL32</f>
        <v>10.286886556644404</v>
      </c>
      <c r="CM33" s="1589">
        <f>CM28-CM31-CM32</f>
        <v>11.079265593591998</v>
      </c>
      <c r="CN33" s="1589">
        <f>CN28-CN31-CN32</f>
        <v>15.003252043613102</v>
      </c>
      <c r="CO33" s="1589">
        <f>CO28-CO31-CO32</f>
        <v>90.267440070872993</v>
      </c>
      <c r="CP33" s="2205">
        <f>$T33-SUM(CL33:CO33)</f>
        <v>0</v>
      </c>
      <c r="CQ33" s="1589">
        <f ca="1">CQ28-CQ31-CQ32</f>
        <v>11.109752918634552</v>
      </c>
      <c r="CR33" s="1589">
        <f ca="1">CR28-CR31-CR32</f>
        <v>12.471130610729073</v>
      </c>
      <c r="CS33" s="1589">
        <f ca="1">CS28-CS31-CS32</f>
        <v>16.266257100096109</v>
      </c>
      <c r="CT33" s="1589">
        <f ca="1">CT28-CT31-CT32</f>
        <v>84.199009074141216</v>
      </c>
      <c r="CU33" s="965">
        <f t="shared" ca="1" si="6"/>
        <v>0</v>
      </c>
      <c r="CV33" s="1589">
        <f>CV28-CV31-CV32</f>
        <v>10.607228846495275</v>
      </c>
      <c r="CW33" s="1589">
        <f>CW28-CW31-CW32</f>
        <v>12.051634308948948</v>
      </c>
      <c r="CX33" s="1589">
        <f>CX28-CX31-CX32</f>
        <v>15.919120028362187</v>
      </c>
      <c r="CY33" s="1589">
        <f>CY28-CY31-CY32</f>
        <v>83.688151418574023</v>
      </c>
      <c r="CZ33" s="965">
        <f t="shared" si="3"/>
        <v>0</v>
      </c>
      <c r="DA33" s="1589">
        <f>DA28-DA31-DA32</f>
        <v>10.942454912124743</v>
      </c>
      <c r="DB33" s="1589">
        <f>DB28-DB31-DB32</f>
        <v>12.471548700344753</v>
      </c>
      <c r="DC33" s="1589">
        <f>DC28-DC31-DC32</f>
        <v>16.412840834405099</v>
      </c>
      <c r="DD33" s="1589">
        <f>DD28-DD31-DD32</f>
        <v>85.17755353094249</v>
      </c>
      <c r="DE33" s="2854">
        <f t="shared" si="4"/>
        <v>0</v>
      </c>
    </row>
    <row r="34" spans="1:109" hidden="1" outlineLevel="1">
      <c r="A34" s="967" t="s">
        <v>676</v>
      </c>
      <c r="B34" s="862"/>
      <c r="C34" s="862"/>
      <c r="D34" s="879"/>
      <c r="E34" s="245">
        <f>E33/D33-1</f>
        <v>0.24999438956799702</v>
      </c>
      <c r="F34" s="245">
        <f t="shared" ref="F34:W34" si="55">F33/E33-1</f>
        <v>1.8905268552523724E-2</v>
      </c>
      <c r="G34" s="245">
        <f t="shared" si="55"/>
        <v>-0.89538987684446303</v>
      </c>
      <c r="H34" s="245">
        <f t="shared" si="55"/>
        <v>-0.80998379419908895</v>
      </c>
      <c r="I34" s="245">
        <f t="shared" si="55"/>
        <v>-1.9162581425021825</v>
      </c>
      <c r="J34" s="245">
        <f t="shared" si="55"/>
        <v>1.2421577250073299</v>
      </c>
      <c r="K34" s="245">
        <f t="shared" si="55"/>
        <v>0.44771430937595036</v>
      </c>
      <c r="L34" s="245">
        <f t="shared" si="55"/>
        <v>-0.68186701769762381</v>
      </c>
      <c r="M34" s="245">
        <f t="shared" si="55"/>
        <v>-2.5055227545090935</v>
      </c>
      <c r="N34" s="245">
        <f t="shared" si="55"/>
        <v>-0.76772022464948275</v>
      </c>
      <c r="O34" s="245">
        <f t="shared" si="55"/>
        <v>-6.481431608440781</v>
      </c>
      <c r="P34" s="245">
        <f t="shared" si="55"/>
        <v>-6.1113264256559385E-2</v>
      </c>
      <c r="Q34" s="245">
        <f t="shared" si="55"/>
        <v>0.99988285800103682</v>
      </c>
      <c r="R34" s="245">
        <f t="shared" si="55"/>
        <v>0.81812903866012165</v>
      </c>
      <c r="S34" s="245">
        <f t="shared" si="55"/>
        <v>0.24288307088359873</v>
      </c>
      <c r="T34" s="245">
        <f t="shared" si="55"/>
        <v>0.10508373510192737</v>
      </c>
      <c r="U34" s="245">
        <f t="shared" ca="1" si="55"/>
        <v>-2.0457668352079517E-2</v>
      </c>
      <c r="V34" s="245">
        <f t="shared" ca="1" si="55"/>
        <v>-1.4349619923501367E-2</v>
      </c>
      <c r="W34" s="245">
        <f t="shared" si="55"/>
        <v>2.2395926593588023E-2</v>
      </c>
      <c r="X34" s="245">
        <f t="shared" ref="X34:AG34" si="56">X33/W33-1</f>
        <v>7.0256681751728056E-3</v>
      </c>
      <c r="Y34" s="245">
        <f t="shared" si="56"/>
        <v>1.1623143629543309E-2</v>
      </c>
      <c r="Z34" s="242">
        <f t="shared" si="56"/>
        <v>2.6206726810007464E-3</v>
      </c>
      <c r="AA34" s="242">
        <f t="shared" si="56"/>
        <v>1.9710770901240071E-3</v>
      </c>
      <c r="AB34" s="242">
        <f t="shared" si="56"/>
        <v>-1.6821658107872839E-3</v>
      </c>
      <c r="AC34" s="242">
        <f t="shared" si="56"/>
        <v>-5.4400445300457623E-3</v>
      </c>
      <c r="AD34" s="242">
        <f t="shared" si="56"/>
        <v>-9.3252243535302259E-3</v>
      </c>
      <c r="AE34" s="242">
        <f t="shared" si="56"/>
        <v>-1.3224976780305431E-2</v>
      </c>
      <c r="AF34" s="242">
        <f t="shared" si="56"/>
        <v>-1.3650718656279759E-2</v>
      </c>
      <c r="AG34" s="242">
        <f t="shared" si="56"/>
        <v>-1.4095421671965314E-2</v>
      </c>
      <c r="AH34" s="962"/>
      <c r="AI34" s="962"/>
      <c r="AJ34" s="962"/>
      <c r="AK34" s="962"/>
      <c r="AL34" s="962"/>
      <c r="AM34" s="862"/>
      <c r="AN34" s="990"/>
      <c r="AO34" s="990"/>
      <c r="AP34" s="990"/>
      <c r="AQ34" s="990"/>
      <c r="AR34" s="936"/>
      <c r="AS34" s="990">
        <f>AS33/AN33-1</f>
        <v>-2.0052911583127875</v>
      </c>
      <c r="AT34" s="990">
        <f>AT33/AO33-1</f>
        <v>1.4262252757961025</v>
      </c>
      <c r="AU34" s="990">
        <f>AU33/AP33-1</f>
        <v>0.89220411400194766</v>
      </c>
      <c r="AV34" s="990">
        <f>AV33/AQ33-1</f>
        <v>-0.13208030639371493</v>
      </c>
      <c r="AW34" s="965"/>
      <c r="AX34" s="990">
        <f>AX33/AS33-1</f>
        <v>-0.52080433220743871</v>
      </c>
      <c r="AY34" s="990">
        <f>AY33/AT33-1</f>
        <v>-1.2538455021010502</v>
      </c>
      <c r="AZ34" s="990">
        <f>AZ33/AU33-1</f>
        <v>-1.3802244954958194</v>
      </c>
      <c r="BA34" s="990">
        <f>BA33/AV33-1</f>
        <v>-7.9086743267618886E-2</v>
      </c>
      <c r="BB34" s="965"/>
      <c r="BC34" s="990">
        <f>BC33/AX33-1</f>
        <v>-14.926247910883564</v>
      </c>
      <c r="BD34" s="990">
        <f>BD33/AY33-1</f>
        <v>5.4840410323278936</v>
      </c>
      <c r="BE34" s="990">
        <f>BE33/AZ33-1</f>
        <v>3.0838493683504522</v>
      </c>
      <c r="BF34" s="990">
        <f>BF33/BA33-1</f>
        <v>0.63830085694126781</v>
      </c>
      <c r="BG34" s="965"/>
      <c r="BH34" s="990">
        <f>BH33/BC33-1</f>
        <v>-0.40252382178727775</v>
      </c>
      <c r="BI34" s="990">
        <f>BI33/BD33-1</f>
        <v>-0.24587844652483182</v>
      </c>
      <c r="BJ34" s="990">
        <f>BJ33/BE33-1</f>
        <v>8.3333333333333481E-2</v>
      </c>
      <c r="BK34" s="990">
        <f>BK33/BF33-1</f>
        <v>0.16207102535942486</v>
      </c>
      <c r="BL34" s="965"/>
      <c r="BM34" s="990">
        <f>BM33/BH33-1</f>
        <v>-0.73661413143448295</v>
      </c>
      <c r="BN34" s="990">
        <f>BN33/BI33-1</f>
        <v>-0.50408894284771111</v>
      </c>
      <c r="BO34" s="990">
        <f>BO33/BJ33-1</f>
        <v>-0.55885090811525362</v>
      </c>
      <c r="BP34" s="990">
        <f>BP33/BK33-1</f>
        <v>0.20797692649975708</v>
      </c>
      <c r="BR34" s="990">
        <f>BR33/BM33-1</f>
        <v>2.4061049912082622</v>
      </c>
      <c r="BS34" s="990">
        <f>BS33/BN33-1</f>
        <v>0.25824811661394609</v>
      </c>
      <c r="BT34" s="990">
        <f>BT33/BO33-1</f>
        <v>-0.15462114553925921</v>
      </c>
      <c r="BU34" s="990">
        <f>BU33/BP33-1</f>
        <v>0.14662721707914672</v>
      </c>
      <c r="BW34" s="990">
        <f>BW33/BR33-1</f>
        <v>-0.46528423560844068</v>
      </c>
      <c r="BX34" s="990">
        <f>BX33/BS33-1</f>
        <v>-0.58840151079361436</v>
      </c>
      <c r="BY34" s="990">
        <f>BY33/BT33-1</f>
        <v>-0.92979490898860173</v>
      </c>
      <c r="BZ34" s="990">
        <f>BZ33/BU33-1</f>
        <v>0.19702735729401377</v>
      </c>
      <c r="CB34" s="990">
        <f>CB33/BW33-1</f>
        <v>-2.0618479834375902</v>
      </c>
      <c r="CC34" s="990">
        <f>CC33/BX33-1</f>
        <v>-1.9597984074832497</v>
      </c>
      <c r="CD34" s="990">
        <f>CD33/BY33-1</f>
        <v>-14.862638609321438</v>
      </c>
      <c r="CE34" s="990">
        <f>CE33/BZ33-1</f>
        <v>0.27937549083118829</v>
      </c>
      <c r="CF34" s="1048"/>
      <c r="CG34" s="1409">
        <f>CG33/CB33-1</f>
        <v>0.37815370525766978</v>
      </c>
      <c r="CH34" s="1409">
        <f>CH33/CC33-1</f>
        <v>1.394691159128898</v>
      </c>
      <c r="CI34" s="1409">
        <f>CI33/CD33-1</f>
        <v>1.1699451142552602</v>
      </c>
      <c r="CJ34" s="990">
        <f>CJ33/CE33-1</f>
        <v>0.11260226896626291</v>
      </c>
      <c r="CK34" s="1048"/>
      <c r="CL34" s="1596">
        <f>CL33/CG33-1</f>
        <v>0.26325919693215449</v>
      </c>
      <c r="CM34" s="1596">
        <f>CM33/CH33-1</f>
        <v>0.33112387268717169</v>
      </c>
      <c r="CN34" s="1596">
        <f>CN33/CI33-1</f>
        <v>0.22112684636682123</v>
      </c>
      <c r="CO34" s="1596">
        <f>CO33/CJ33-1</f>
        <v>5.1553048720349715E-2</v>
      </c>
      <c r="CP34" s="2203"/>
      <c r="CQ34" s="1596">
        <f ca="1">CQ33/CL33-1</f>
        <v>7.9991779578695743E-2</v>
      </c>
      <c r="CR34" s="1596">
        <f ca="1">CR33/CM33-1</f>
        <v>0.12562791327451328</v>
      </c>
      <c r="CS34" s="1596">
        <f ca="1">CS33/CN33-1</f>
        <v>8.4182086177820858E-2</v>
      </c>
      <c r="CT34" s="1596">
        <f ca="1">CT33/CO33-1</f>
        <v>-6.7227241538778348E-2</v>
      </c>
      <c r="CV34" s="1596">
        <f ca="1">CV33/CQ33-1</f>
        <v>-4.5232695616154173E-2</v>
      </c>
      <c r="CW34" s="1596">
        <f ca="1">CW33/CR33-1</f>
        <v>-3.3637391418162799E-2</v>
      </c>
      <c r="CX34" s="1596">
        <f ca="1">CX33/CS33-1</f>
        <v>-2.1340931081918701E-2</v>
      </c>
      <c r="CY34" s="1596">
        <f ca="1">CY33/CT33-1</f>
        <v>-6.0672644629030659E-3</v>
      </c>
      <c r="DA34" s="1596">
        <f>DA33/CV33-1</f>
        <v>3.1603547965332268E-2</v>
      </c>
      <c r="DB34" s="1596">
        <f>DB33/CW33-1</f>
        <v>3.4842941681693551E-2</v>
      </c>
      <c r="DC34" s="1596">
        <f>DC33/CX33-1</f>
        <v>3.1014327749478543E-2</v>
      </c>
      <c r="DD34" s="1596">
        <f>DD33/CY33-1</f>
        <v>1.779704877120647E-2</v>
      </c>
    </row>
    <row r="35" spans="1:109" hidden="1" outlineLevel="1">
      <c r="A35" s="6" t="s">
        <v>690</v>
      </c>
      <c r="B35" s="862"/>
      <c r="C35" s="862"/>
      <c r="D35" s="245">
        <f>D33/D13</f>
        <v>-2.0492068856194234</v>
      </c>
      <c r="E35" s="245">
        <f t="shared" ref="E35:W35" si="57">E33/E13</f>
        <v>-1.7191463591427116</v>
      </c>
      <c r="F35" s="245">
        <f t="shared" si="57"/>
        <v>-2.6211367890694706</v>
      </c>
      <c r="G35" s="245">
        <f t="shared" si="57"/>
        <v>-0.33072245175284976</v>
      </c>
      <c r="H35" s="245">
        <f t="shared" si="57"/>
        <v>-6.0473521767381425E-2</v>
      </c>
      <c r="I35" s="245">
        <f t="shared" si="57"/>
        <v>4.6861476321971733E-2</v>
      </c>
      <c r="J35" s="245">
        <f t="shared" si="57"/>
        <v>9.0496291935736786E-2</v>
      </c>
      <c r="K35" s="245">
        <f t="shared" si="57"/>
        <v>0.10691011215792319</v>
      </c>
      <c r="L35" s="245">
        <f t="shared" si="57"/>
        <v>2.4632426856878005E-2</v>
      </c>
      <c r="M35" s="245">
        <f t="shared" si="57"/>
        <v>-3.4411079570467948E-2</v>
      </c>
      <c r="N35" s="245">
        <f t="shared" si="57"/>
        <v>-9.1088416481465238E-3</v>
      </c>
      <c r="O35" s="245">
        <f t="shared" si="57"/>
        <v>4.7749916522944233E-2</v>
      </c>
      <c r="P35" s="245">
        <f t="shared" si="57"/>
        <v>4.5728452199655038E-2</v>
      </c>
      <c r="Q35" s="245">
        <f t="shared" si="57"/>
        <v>8.6975206786284995E-2</v>
      </c>
      <c r="R35" s="245">
        <f t="shared" si="57"/>
        <v>0.13847329863166866</v>
      </c>
      <c r="S35" s="245">
        <f>S33/S13</f>
        <v>0.16446970435821615</v>
      </c>
      <c r="T35" s="245">
        <f>T33/T13</f>
        <v>0.17702455889057192</v>
      </c>
      <c r="U35" s="245">
        <f t="shared" ca="1" si="57"/>
        <v>0.18451830784329001</v>
      </c>
      <c r="V35" s="245">
        <f t="shared" si="57"/>
        <v>0.1789789388440671</v>
      </c>
      <c r="W35" s="245">
        <f t="shared" si="57"/>
        <v>0.18006715053594308</v>
      </c>
      <c r="X35" s="245">
        <f t="shared" ref="X35:AC35" si="58">X33/X13</f>
        <v>0.17857087576892147</v>
      </c>
      <c r="Y35" s="245">
        <f t="shared" si="58"/>
        <v>0.178172658906017</v>
      </c>
      <c r="Z35" s="242">
        <f t="shared" si="58"/>
        <v>0.17647105322123924</v>
      </c>
      <c r="AA35" s="242">
        <f t="shared" si="58"/>
        <v>0.17495069241095698</v>
      </c>
      <c r="AB35" s="242">
        <f t="shared" si="58"/>
        <v>0.17308884312216125</v>
      </c>
      <c r="AC35" s="242">
        <f t="shared" si="58"/>
        <v>0.17087862680271132</v>
      </c>
      <c r="AD35" s="242">
        <f>AD33/AD13</f>
        <v>0.16831175361103465</v>
      </c>
      <c r="AE35" s="242">
        <f>AE33/AE13</f>
        <v>0.16540174920684655</v>
      </c>
      <c r="AF35" s="242">
        <f>AF33/AF13</f>
        <v>0.16247135267155954</v>
      </c>
      <c r="AG35" s="242">
        <f>AG33/AG13</f>
        <v>0.15952035629233055</v>
      </c>
      <c r="AH35" s="962"/>
      <c r="AI35" s="962"/>
      <c r="AJ35" s="962"/>
      <c r="AK35" s="962"/>
      <c r="AL35" s="962"/>
      <c r="AM35" s="862"/>
      <c r="AN35" s="245">
        <f>AN33/AN13</f>
        <v>-4.0529374693648867E-2</v>
      </c>
      <c r="AO35" s="245">
        <f>AO33/AO13</f>
        <v>5.8022381123517701E-2</v>
      </c>
      <c r="AP35" s="245">
        <f>AP33/AP13</f>
        <v>5.9577209681144709E-2</v>
      </c>
      <c r="AQ35" s="245">
        <f>AQ33/AQ13</f>
        <v>0.23053256948864845</v>
      </c>
      <c r="AR35" s="936"/>
      <c r="AS35" s="245">
        <f t="shared" ref="AS35:BK35" si="59">AS33/AS13</f>
        <v>3.264122755702014E-2</v>
      </c>
      <c r="AT35" s="245">
        <f t="shared" si="59"/>
        <v>0.11051364193909256</v>
      </c>
      <c r="AU35" s="245">
        <f t="shared" si="59"/>
        <v>9.3450888414724084E-2</v>
      </c>
      <c r="AV35" s="245">
        <f t="shared" si="59"/>
        <v>0.16852323593279697</v>
      </c>
      <c r="AW35" s="965"/>
      <c r="AX35" s="245">
        <f t="shared" si="59"/>
        <v>1.0919194529946604E-2</v>
      </c>
      <c r="AY35" s="245">
        <f t="shared" si="59"/>
        <v>-2.2812771949810833E-2</v>
      </c>
      <c r="AZ35" s="245">
        <f t="shared" si="59"/>
        <v>-2.6360690175908127E-2</v>
      </c>
      <c r="BA35" s="245">
        <f t="shared" si="59"/>
        <v>0.10374612414676916</v>
      </c>
      <c r="BB35" s="965"/>
      <c r="BC35" s="245">
        <f t="shared" si="59"/>
        <v>-0.13452743902439024</v>
      </c>
      <c r="BD35" s="245">
        <f t="shared" si="59"/>
        <v>-0.13210088907049802</v>
      </c>
      <c r="BE35" s="245">
        <f t="shared" si="59"/>
        <v>-0.1004884856943475</v>
      </c>
      <c r="BF35" s="245">
        <f t="shared" si="59"/>
        <v>0.16713032427554611</v>
      </c>
      <c r="BG35" s="965"/>
      <c r="BH35" s="245">
        <f t="shared" si="59"/>
        <v>-8.6373790022338054E-2</v>
      </c>
      <c r="BI35" s="245">
        <f t="shared" si="59"/>
        <v>-0.11093627065302912</v>
      </c>
      <c r="BJ35" s="245">
        <f t="shared" si="59"/>
        <v>-0.12777459251371939</v>
      </c>
      <c r="BK35" s="245">
        <f t="shared" si="59"/>
        <v>0.23103765440086244</v>
      </c>
      <c r="BL35" s="965"/>
      <c r="BM35" s="245">
        <f>BM33/BM13</f>
        <v>-2.1940734755782957E-2</v>
      </c>
      <c r="BN35" s="245">
        <f>BN33/BN13</f>
        <v>-5.2992763554460948E-2</v>
      </c>
      <c r="BO35" s="245">
        <f>BO33/BO13</f>
        <v>-5.3503421942150499E-2</v>
      </c>
      <c r="BP35" s="245">
        <f>BP33/BP13</f>
        <v>0.26502410920502806</v>
      </c>
      <c r="BR35" s="245">
        <f>BR33/BR13</f>
        <v>-9.0398821877918714E-2</v>
      </c>
      <c r="BS35" s="245">
        <f>BS33/BS13</f>
        <v>-6.8409035365548654E-2</v>
      </c>
      <c r="BT35" s="245">
        <f>BT33/BT13</f>
        <v>-4.2845747627023145E-2</v>
      </c>
      <c r="BU35" s="245">
        <f>BU33/BU13</f>
        <v>0.28787308624983227</v>
      </c>
      <c r="BW35" s="245">
        <f>BW33/BW13</f>
        <v>-4.5928468924159478E-2</v>
      </c>
      <c r="BX35" s="245">
        <f>BX33/BX13</f>
        <v>-2.6785714677730353E-2</v>
      </c>
      <c r="BY35" s="245">
        <f>BY33/BY13</f>
        <v>-2.8616684129148151E-3</v>
      </c>
      <c r="BZ35" s="245">
        <f>BZ33/BZ13</f>
        <v>0.32778472041116102</v>
      </c>
      <c r="CB35" s="242">
        <f>CB33/CB13</f>
        <v>4.051556103545418E-2</v>
      </c>
      <c r="CC35" s="242">
        <f>CC33/CC13</f>
        <v>2.2303513005412005E-2</v>
      </c>
      <c r="CD35" s="242">
        <f>CD33/CD13</f>
        <v>3.550997731960373E-2</v>
      </c>
      <c r="CE35" s="242">
        <f>CE33/CE13</f>
        <v>0.37689081344687175</v>
      </c>
      <c r="CF35" s="1048"/>
      <c r="CG35" s="990">
        <f>CG33/CG13</f>
        <v>5.3211077756109754E-2</v>
      </c>
      <c r="CH35" s="990">
        <f>CH33/CH13</f>
        <v>5.0895555973278259E-2</v>
      </c>
      <c r="CI35" s="990">
        <f>CI33/CI13</f>
        <v>7.3447263148319411E-2</v>
      </c>
      <c r="CJ35" s="242">
        <f>CJ33/CJ13</f>
        <v>0.40320151364762497</v>
      </c>
      <c r="CK35" s="1048"/>
      <c r="CL35" s="1596">
        <f>CL33/CL13</f>
        <v>6.5046052677521088E-2</v>
      </c>
      <c r="CM35" s="1596">
        <f>CM33/CM13</f>
        <v>6.5903005418012514E-2</v>
      </c>
      <c r="CN35" s="1596">
        <f>CN33/CN13</f>
        <v>8.7500902265933003E-2</v>
      </c>
      <c r="CO35" s="1164">
        <f>CO33/CO13</f>
        <v>0.41476203127362521</v>
      </c>
      <c r="CP35" s="2203"/>
      <c r="CQ35" s="1596">
        <f ca="1">CQ33/CQ13</f>
        <v>7.5571090811914432E-2</v>
      </c>
      <c r="CR35" s="1596">
        <f ca="1">CR33/CR13</f>
        <v>7.8980550720494161E-2</v>
      </c>
      <c r="CS35" s="1596">
        <f ca="1">CS33/CS13</f>
        <v>0.10073327420109873</v>
      </c>
      <c r="CT35" s="1164">
        <f ca="1">CT33/CT13</f>
        <v>0.40897179057366817</v>
      </c>
      <c r="CV35" s="1596">
        <f>CV33/CV13</f>
        <v>7.1084491847642928E-2</v>
      </c>
      <c r="CW35" s="1596">
        <f>CW33/CW13</f>
        <v>7.508521585748025E-2</v>
      </c>
      <c r="CX35" s="1596">
        <f>CX33/CX13</f>
        <v>9.6972623206868988E-2</v>
      </c>
      <c r="CY35" s="1164">
        <f>CY33/CY13</f>
        <v>0.39995420410235644</v>
      </c>
      <c r="DA35" s="1596">
        <f>DA33/DA13</f>
        <v>7.2240015814659386E-2</v>
      </c>
      <c r="DB35" s="1596">
        <f>DB33/DB13</f>
        <v>7.6436139055456542E-2</v>
      </c>
      <c r="DC35" s="1596">
        <f>DC33/DC13</f>
        <v>9.83410776903796E-2</v>
      </c>
      <c r="DD35" s="1596">
        <f>DD33/DD13</f>
        <v>0.40050343206973898</v>
      </c>
    </row>
    <row r="36" spans="1:109" hidden="1" outlineLevel="1">
      <c r="A36" s="862"/>
      <c r="B36" s="862"/>
      <c r="C36" s="862"/>
      <c r="D36" s="862"/>
      <c r="E36" s="862"/>
      <c r="F36" s="862"/>
      <c r="G36" s="862"/>
      <c r="H36" s="862"/>
      <c r="I36" s="862"/>
      <c r="J36" s="862"/>
      <c r="K36" s="862"/>
      <c r="L36" s="862"/>
      <c r="M36" s="862"/>
      <c r="N36" s="862"/>
      <c r="O36" s="862"/>
      <c r="P36" s="862"/>
      <c r="Q36" s="862"/>
      <c r="R36" s="862"/>
      <c r="S36" s="862"/>
      <c r="T36" s="862"/>
      <c r="U36" s="862"/>
      <c r="V36" s="862"/>
      <c r="W36" s="1470"/>
      <c r="X36" s="1470"/>
      <c r="Y36" s="1470"/>
      <c r="Z36" s="1470"/>
      <c r="AA36" s="1470"/>
      <c r="AB36" s="1470"/>
      <c r="AC36" s="1470"/>
      <c r="AD36" s="906"/>
      <c r="AE36" s="906"/>
      <c r="AF36" s="906"/>
      <c r="AG36" s="962"/>
      <c r="AH36" s="962"/>
      <c r="AI36" s="962"/>
      <c r="AJ36" s="962"/>
      <c r="AK36" s="962"/>
      <c r="AL36" s="962"/>
      <c r="AM36" s="862"/>
      <c r="AN36" s="862"/>
      <c r="AO36" s="862"/>
      <c r="AP36" s="862"/>
      <c r="AQ36" s="862"/>
      <c r="AR36" s="936"/>
      <c r="AS36" s="862"/>
      <c r="AT36" s="862"/>
      <c r="AU36" s="862"/>
      <c r="AV36" s="862"/>
      <c r="AW36" s="965"/>
      <c r="AX36" s="863"/>
      <c r="AY36" s="862"/>
      <c r="AZ36" s="897"/>
      <c r="BA36" s="863"/>
      <c r="BB36" s="965"/>
      <c r="BC36" s="862"/>
      <c r="BD36" s="862"/>
      <c r="BF36" s="863"/>
      <c r="BG36" s="965"/>
      <c r="BH36" s="906"/>
      <c r="BI36" s="906"/>
      <c r="BJ36" s="906"/>
      <c r="BK36" s="906"/>
      <c r="BL36" s="965"/>
      <c r="CB36" s="1048"/>
      <c r="CC36" s="1048"/>
      <c r="CD36" s="1048"/>
      <c r="CE36" s="1048"/>
      <c r="CF36" s="1048"/>
      <c r="CG36" s="1048"/>
      <c r="CH36" s="1048"/>
      <c r="CI36" s="1048"/>
      <c r="CJ36" s="1048"/>
      <c r="CK36" s="1048"/>
      <c r="CP36" s="2203"/>
      <c r="CQ36" s="1577"/>
      <c r="CR36" s="1577"/>
      <c r="CS36" s="1577"/>
      <c r="CT36" s="1577"/>
      <c r="DA36" s="1577"/>
      <c r="DB36" s="1577"/>
      <c r="DC36" s="1577"/>
    </row>
    <row r="37" spans="1:109" hidden="1" outlineLevel="1">
      <c r="A37" s="983" t="s">
        <v>10</v>
      </c>
      <c r="B37" s="862"/>
      <c r="C37" s="862"/>
      <c r="D37" s="862"/>
      <c r="E37" s="862"/>
      <c r="F37" s="862"/>
      <c r="G37" s="862"/>
      <c r="H37" s="862"/>
      <c r="I37" s="862"/>
      <c r="J37" s="862"/>
      <c r="K37" s="862"/>
      <c r="L37" s="862"/>
      <c r="M37" s="862"/>
      <c r="N37" s="862"/>
      <c r="O37" s="862"/>
      <c r="P37" s="862"/>
      <c r="Q37" s="862"/>
      <c r="R37" s="862"/>
      <c r="S37" s="862"/>
      <c r="T37" s="862"/>
      <c r="U37" s="862"/>
      <c r="V37" s="862"/>
      <c r="W37" s="1470"/>
      <c r="X37" s="1470"/>
      <c r="Y37" s="1470"/>
      <c r="Z37" s="1470"/>
      <c r="AA37" s="1470"/>
      <c r="AB37" s="1470"/>
      <c r="AC37" s="1470"/>
      <c r="AD37" s="906"/>
      <c r="AE37" s="906"/>
      <c r="AF37" s="906"/>
      <c r="AG37" s="962"/>
      <c r="AH37" s="962"/>
      <c r="AI37" s="962"/>
      <c r="AJ37" s="962"/>
      <c r="AK37" s="962"/>
      <c r="AL37" s="962"/>
      <c r="AM37" s="862"/>
      <c r="AN37" s="862"/>
      <c r="AO37" s="862"/>
      <c r="AP37" s="862"/>
      <c r="AQ37" s="862"/>
      <c r="AR37" s="936"/>
      <c r="AS37" s="862"/>
      <c r="AT37" s="862"/>
      <c r="AU37" s="862"/>
      <c r="AV37" s="862"/>
      <c r="AW37" s="965"/>
      <c r="AX37" s="862"/>
      <c r="AY37" s="862"/>
      <c r="AZ37" s="862"/>
      <c r="BA37" s="862"/>
      <c r="BB37" s="965"/>
      <c r="BC37" s="862"/>
      <c r="BD37" s="862"/>
      <c r="BE37" s="862"/>
      <c r="BF37" s="862"/>
      <c r="BG37" s="965"/>
      <c r="BH37" s="906"/>
      <c r="BI37" s="906"/>
      <c r="BJ37" s="906"/>
      <c r="BK37" s="906"/>
      <c r="BL37" s="965"/>
      <c r="CB37" s="1048"/>
      <c r="CC37" s="1048"/>
      <c r="CD37" s="1048"/>
      <c r="CE37" s="1048"/>
      <c r="CF37" s="1048"/>
      <c r="CG37" s="1048"/>
      <c r="CH37" s="1048"/>
      <c r="CI37" s="1048"/>
      <c r="CJ37" s="1048"/>
      <c r="CK37" s="1048"/>
      <c r="CP37" s="2203"/>
      <c r="CQ37" s="1577"/>
      <c r="CR37" s="1577"/>
      <c r="CS37" s="1577"/>
      <c r="CT37" s="1577"/>
      <c r="DA37" s="1577"/>
      <c r="DB37" s="1577"/>
      <c r="DC37" s="1577"/>
    </row>
    <row r="38" spans="1:109" hidden="1" outlineLevel="1">
      <c r="A38" s="938" t="s">
        <v>9</v>
      </c>
      <c r="B38" s="862"/>
      <c r="C38" s="862"/>
      <c r="D38" s="888">
        <f t="shared" ref="D38:R38" si="60">D23/D13</f>
        <v>0.49203053307459416</v>
      </c>
      <c r="E38" s="888">
        <f t="shared" si="60"/>
        <v>0.39501208864696002</v>
      </c>
      <c r="F38" s="888">
        <f t="shared" si="60"/>
        <v>0.44612585504102442</v>
      </c>
      <c r="G38" s="888">
        <f t="shared" si="60"/>
        <v>0.31963605211072049</v>
      </c>
      <c r="H38" s="888">
        <f t="shared" si="60"/>
        <v>0.2757553606237817</v>
      </c>
      <c r="I38" s="888">
        <f t="shared" si="60"/>
        <v>0.25164516616521726</v>
      </c>
      <c r="J38" s="888">
        <f t="shared" si="60"/>
        <v>0.23383434847817017</v>
      </c>
      <c r="K38" s="888">
        <f t="shared" si="60"/>
        <v>0.21935552395964844</v>
      </c>
      <c r="L38" s="888">
        <f t="shared" si="60"/>
        <v>0.19324177658895619</v>
      </c>
      <c r="M38" s="888">
        <f t="shared" si="60"/>
        <v>0.22455903001787458</v>
      </c>
      <c r="N38" s="888">
        <f t="shared" si="60"/>
        <v>0.21182942221218526</v>
      </c>
      <c r="O38" s="888">
        <f t="shared" si="60"/>
        <v>0.20706889938118797</v>
      </c>
      <c r="P38" s="888">
        <f t="shared" si="60"/>
        <v>0.20684399287814859</v>
      </c>
      <c r="Q38" s="991">
        <f>P38*0.98</f>
        <v>0.20270711302058561</v>
      </c>
      <c r="R38" s="888">
        <f t="shared" si="60"/>
        <v>0.20278643131156726</v>
      </c>
      <c r="S38" s="888">
        <f>S23/S13</f>
        <v>0.20515206144131201</v>
      </c>
      <c r="T38" s="888">
        <f>T23/T13</f>
        <v>0.2051680395774311</v>
      </c>
      <c r="U38" s="888">
        <f>U23/U13</f>
        <v>0.20514702377085453</v>
      </c>
      <c r="V38" s="888">
        <f>V23/V13</f>
        <v>0.20514725973971931</v>
      </c>
      <c r="W38" s="888">
        <f>W23/W13</f>
        <v>0.20514749282127051</v>
      </c>
      <c r="X38" s="991">
        <f t="shared" ref="X38:AG38" si="61">+W38-0.001</f>
        <v>0.20414749282127051</v>
      </c>
      <c r="Y38" s="991">
        <f t="shared" si="61"/>
        <v>0.20314749282127051</v>
      </c>
      <c r="Z38" s="991">
        <f t="shared" si="61"/>
        <v>0.20214749282127051</v>
      </c>
      <c r="AA38" s="991">
        <f t="shared" si="61"/>
        <v>0.20114749282127051</v>
      </c>
      <c r="AB38" s="991">
        <f t="shared" si="61"/>
        <v>0.20014749282127051</v>
      </c>
      <c r="AC38" s="991">
        <f t="shared" si="61"/>
        <v>0.19914749282127051</v>
      </c>
      <c r="AD38" s="991">
        <f t="shared" si="61"/>
        <v>0.1981474928212705</v>
      </c>
      <c r="AE38" s="991">
        <f t="shared" si="61"/>
        <v>0.1971474928212705</v>
      </c>
      <c r="AF38" s="991">
        <f t="shared" si="61"/>
        <v>0.1961474928212705</v>
      </c>
      <c r="AG38" s="991">
        <f t="shared" si="61"/>
        <v>0.1951474928212705</v>
      </c>
      <c r="AH38" s="962"/>
      <c r="AI38" s="962"/>
      <c r="AJ38" s="962"/>
      <c r="AK38" s="962"/>
      <c r="AL38" s="962"/>
      <c r="AM38" s="862"/>
      <c r="AN38" s="888">
        <f>AN23/AN13</f>
        <v>0.26335690777956727</v>
      </c>
      <c r="AO38" s="888">
        <f>AO23/AO13</f>
        <v>0.24334204949623878</v>
      </c>
      <c r="AP38" s="888">
        <f>AP23/AP13</f>
        <v>0.23747006552155889</v>
      </c>
      <c r="AQ38" s="888">
        <f>AQ23/AQ13</f>
        <v>0.20321933530081207</v>
      </c>
      <c r="AR38" s="862"/>
      <c r="AS38" s="991">
        <v>0.23703579041848985</v>
      </c>
      <c r="AT38" s="991">
        <v>0.2221054782126492</v>
      </c>
      <c r="AU38" s="991">
        <v>0.21482123422951349</v>
      </c>
      <c r="AV38" s="991">
        <v>0.20791363400051988</v>
      </c>
      <c r="AW38" s="965"/>
      <c r="AX38" s="991">
        <v>0.2</v>
      </c>
      <c r="AY38" s="991">
        <v>0.18</v>
      </c>
      <c r="AZ38" s="991">
        <v>0.19</v>
      </c>
      <c r="BA38" s="991">
        <v>0.2</v>
      </c>
      <c r="BB38" s="965"/>
      <c r="BC38" s="991">
        <v>0.2</v>
      </c>
      <c r="BD38" s="991">
        <v>0.24</v>
      </c>
      <c r="BE38" s="991">
        <v>0.24</v>
      </c>
      <c r="BF38" s="991">
        <v>0.22</v>
      </c>
      <c r="BG38" s="965"/>
      <c r="BH38" s="991">
        <v>0.22</v>
      </c>
      <c r="BI38" s="991">
        <v>0.21</v>
      </c>
      <c r="BJ38" s="991">
        <v>0.22</v>
      </c>
      <c r="BK38" s="991">
        <v>0.2</v>
      </c>
      <c r="BL38" s="965"/>
      <c r="BM38" s="991">
        <v>0.21</v>
      </c>
      <c r="BN38" s="991">
        <v>0.21</v>
      </c>
      <c r="BO38" s="991">
        <v>0.21</v>
      </c>
      <c r="BP38" s="991">
        <v>0.2</v>
      </c>
      <c r="BR38" s="991">
        <v>0.21</v>
      </c>
      <c r="BS38" s="991">
        <v>0.21</v>
      </c>
      <c r="BT38" s="991">
        <v>0.21</v>
      </c>
      <c r="BU38" s="991">
        <v>0.2</v>
      </c>
      <c r="BW38" s="991">
        <f>+BR38*0.98</f>
        <v>0.20579999999999998</v>
      </c>
      <c r="BX38" s="991">
        <f>+BS38*0.98</f>
        <v>0.20579999999999998</v>
      </c>
      <c r="BY38" s="991">
        <f>+BT38*0.98</f>
        <v>0.20579999999999998</v>
      </c>
      <c r="BZ38" s="888">
        <f>+BZ23/BZ13</f>
        <v>0.19599821367847037</v>
      </c>
      <c r="CB38" s="992">
        <f>BW38</f>
        <v>0.20579999999999998</v>
      </c>
      <c r="CC38" s="992">
        <f>BX38</f>
        <v>0.20579999999999998</v>
      </c>
      <c r="CD38" s="992">
        <f>BY38</f>
        <v>0.20579999999999998</v>
      </c>
      <c r="CE38" s="992">
        <f>BZ38</f>
        <v>0.19599821367847037</v>
      </c>
      <c r="CF38" s="1048"/>
      <c r="CG38" s="1410">
        <f>CB38</f>
        <v>0.20579999999999998</v>
      </c>
      <c r="CH38" s="1410">
        <f>CC38+1%</f>
        <v>0.21579999999999999</v>
      </c>
      <c r="CI38" s="1410">
        <f>CD38</f>
        <v>0.20579999999999998</v>
      </c>
      <c r="CJ38" s="1410">
        <f>CE38</f>
        <v>0.19599821367847037</v>
      </c>
      <c r="CK38" s="1048"/>
      <c r="CL38" s="1600">
        <f>CG38</f>
        <v>0.20579999999999998</v>
      </c>
      <c r="CM38" s="1600">
        <f>CH38</f>
        <v>0.21579999999999999</v>
      </c>
      <c r="CN38" s="1600">
        <f>CI38</f>
        <v>0.20579999999999998</v>
      </c>
      <c r="CO38" s="1413">
        <f>CJ38</f>
        <v>0.19599821367847037</v>
      </c>
      <c r="CP38" s="2203"/>
      <c r="CQ38" s="1600">
        <f>CL38</f>
        <v>0.20579999999999998</v>
      </c>
      <c r="CR38" s="1600">
        <f>CM38</f>
        <v>0.21579999999999999</v>
      </c>
      <c r="CS38" s="1600">
        <f>CN38</f>
        <v>0.20579999999999998</v>
      </c>
      <c r="CT38" s="1600">
        <f>CO38</f>
        <v>0.19599821367847037</v>
      </c>
      <c r="CV38" s="1600">
        <f>CQ38</f>
        <v>0.20579999999999998</v>
      </c>
      <c r="CW38" s="1600">
        <f>CR38</f>
        <v>0.21579999999999999</v>
      </c>
      <c r="CX38" s="1600">
        <f>CS38</f>
        <v>0.20579999999999998</v>
      </c>
      <c r="CY38" s="1600">
        <f>CT38</f>
        <v>0.19599821367847037</v>
      </c>
      <c r="DA38" s="1600">
        <f>CV38</f>
        <v>0.20579999999999998</v>
      </c>
      <c r="DB38" s="1600">
        <f>CW38</f>
        <v>0.21579999999999999</v>
      </c>
      <c r="DC38" s="1600">
        <f>CX38</f>
        <v>0.20579999999999998</v>
      </c>
      <c r="DD38" s="1600">
        <f>CY38</f>
        <v>0.19599821367847037</v>
      </c>
    </row>
    <row r="39" spans="1:109" hidden="1" outlineLevel="1">
      <c r="A39" s="938" t="s">
        <v>1143</v>
      </c>
      <c r="B39" s="862"/>
      <c r="C39" s="862"/>
      <c r="D39" s="888">
        <f t="shared" ref="D39:V39" si="62">D24/D13</f>
        <v>0.15228214177463914</v>
      </c>
      <c r="E39" s="888">
        <f t="shared" si="62"/>
        <v>8.8334572595013941E-2</v>
      </c>
      <c r="F39" s="888">
        <f t="shared" si="62"/>
        <v>0.12235965081086755</v>
      </c>
      <c r="G39" s="888">
        <f t="shared" si="62"/>
        <v>0.1403672396257549</v>
      </c>
      <c r="H39" s="888">
        <f t="shared" si="62"/>
        <v>0.12699805068226122</v>
      </c>
      <c r="I39" s="888">
        <f t="shared" si="62"/>
        <v>0.1308748574647268</v>
      </c>
      <c r="J39" s="888">
        <f t="shared" si="62"/>
        <v>0.14040946968912607</v>
      </c>
      <c r="K39" s="888">
        <f t="shared" si="62"/>
        <v>0.17000000000000007</v>
      </c>
      <c r="L39" s="888">
        <f t="shared" si="62"/>
        <v>9.9172274233166366E-2</v>
      </c>
      <c r="M39" s="888">
        <f t="shared" si="62"/>
        <v>0.16799541490736619</v>
      </c>
      <c r="N39" s="888">
        <f t="shared" si="62"/>
        <v>0.19526237216524805</v>
      </c>
      <c r="O39" s="888">
        <f t="shared" si="62"/>
        <v>0.19327441861816821</v>
      </c>
      <c r="P39" s="888">
        <f t="shared" si="62"/>
        <v>0.2040400432473263</v>
      </c>
      <c r="Q39" s="888">
        <f>Q24/Q13</f>
        <v>0.2008446034438226</v>
      </c>
      <c r="R39" s="888">
        <f>R24/R13</f>
        <v>0.1818429073384677</v>
      </c>
      <c r="S39" s="888">
        <f>S24/S13</f>
        <v>0.17898770206160208</v>
      </c>
      <c r="T39" s="888">
        <f>T24/T13</f>
        <v>0.17781802666765001</v>
      </c>
      <c r="U39" s="888">
        <f>U24/U13</f>
        <v>0.17029465967773696</v>
      </c>
      <c r="V39" s="888">
        <f t="shared" si="62"/>
        <v>0.17093884796093173</v>
      </c>
      <c r="W39" s="888">
        <f t="shared" ref="W39" si="63">W24/W13</f>
        <v>0.17157515396020168</v>
      </c>
      <c r="X39" s="1596">
        <f t="shared" ref="X39:AC39" si="64">X24/X13</f>
        <v>0.17234161761548544</v>
      </c>
      <c r="Y39" s="1596">
        <f>Y24/Y13</f>
        <v>0.17338120334465434</v>
      </c>
      <c r="Z39" s="1596">
        <f t="shared" si="64"/>
        <v>0.17427383666278609</v>
      </c>
      <c r="AA39" s="1596">
        <f t="shared" si="64"/>
        <v>0.17501901576615148</v>
      </c>
      <c r="AB39" s="1596">
        <f t="shared" si="64"/>
        <v>0.17604993113654094</v>
      </c>
      <c r="AC39" s="1596">
        <f t="shared" si="64"/>
        <v>0.17737385414016543</v>
      </c>
      <c r="AD39" s="990">
        <f>AD24/AD13</f>
        <v>0.17899926159012089</v>
      </c>
      <c r="AE39" s="990">
        <f>AE24/AE13</f>
        <v>0.18093591735116679</v>
      </c>
      <c r="AF39" s="990">
        <f>AF24/AF13</f>
        <v>0.18289287821584979</v>
      </c>
      <c r="AG39" s="990">
        <f>AG24/AG13</f>
        <v>0.18487035199380428</v>
      </c>
      <c r="AH39" s="962"/>
      <c r="AI39" s="962"/>
      <c r="AJ39" s="962"/>
      <c r="AK39" s="962"/>
      <c r="AL39" s="962"/>
      <c r="AM39" s="862"/>
      <c r="AN39" s="990">
        <f>AN24/AN13</f>
        <v>0.15074574609621175</v>
      </c>
      <c r="AO39" s="990">
        <f>AO24/AO13</f>
        <v>0.15042196968758131</v>
      </c>
      <c r="AP39" s="990">
        <f>AP24/AP13</f>
        <v>0.14856010600148303</v>
      </c>
      <c r="AQ39" s="990">
        <f>AQ24/AQ13</f>
        <v>0.11903246339910885</v>
      </c>
      <c r="AR39" s="936"/>
      <c r="AS39" s="992">
        <v>0.17</v>
      </c>
      <c r="AT39" s="992">
        <v>0.17</v>
      </c>
      <c r="AU39" s="992">
        <v>0.17</v>
      </c>
      <c r="AV39" s="992">
        <v>0.17</v>
      </c>
      <c r="AW39" s="965"/>
      <c r="AX39" s="992">
        <v>0.11</v>
      </c>
      <c r="AY39" s="992">
        <v>0.11</v>
      </c>
      <c r="AZ39" s="992">
        <v>0.105</v>
      </c>
      <c r="BA39" s="992">
        <v>0.08</v>
      </c>
      <c r="BB39" s="965"/>
      <c r="BC39" s="990">
        <f>BC24/BC13</f>
        <v>0.15901468957871398</v>
      </c>
      <c r="BD39" s="992">
        <f>AY39</f>
        <v>0.11</v>
      </c>
      <c r="BE39" s="990">
        <f>BE24/BE13</f>
        <v>0.29697138869504536</v>
      </c>
      <c r="BF39" s="990">
        <f>BF24/BF13</f>
        <v>0.12005825533028265</v>
      </c>
      <c r="BG39" s="965"/>
      <c r="BH39" s="990">
        <f>BH24/BH13</f>
        <v>0.1989426656738644</v>
      </c>
      <c r="BI39" s="990">
        <f>BI24/BI13</f>
        <v>0.2251534225019669</v>
      </c>
      <c r="BJ39" s="990">
        <f>BJ24/BJ13</f>
        <v>0.22641821607011214</v>
      </c>
      <c r="BK39" s="990">
        <f>BK24/BK13</f>
        <v>0.14382930932186619</v>
      </c>
      <c r="BL39" s="965"/>
      <c r="BM39" s="990">
        <f>BM24/BM13</f>
        <v>0.19858434247245371</v>
      </c>
      <c r="BN39" s="990">
        <f>BN24/BN13</f>
        <v>0.22446990220232127</v>
      </c>
      <c r="BO39" s="990">
        <f>BO24/BO13</f>
        <v>0.22243513058218414</v>
      </c>
      <c r="BP39" s="990">
        <f>BP24/BP13</f>
        <v>0.14136168801707455</v>
      </c>
      <c r="BR39" s="990">
        <f>BR24/BR13</f>
        <v>0.24862163930275366</v>
      </c>
      <c r="BS39" s="990">
        <f>BS24/BS13</f>
        <v>0.23835763968662074</v>
      </c>
      <c r="BT39" s="990">
        <f>BT24/BT13</f>
        <v>0.21808134374812374</v>
      </c>
      <c r="BU39" s="990">
        <f>BU24/BU13</f>
        <v>0.13860072640972992</v>
      </c>
      <c r="BW39" s="990">
        <f>BW24/BW13</f>
        <v>0.24449809787990651</v>
      </c>
      <c r="BX39" s="990">
        <f>BX24/BX13</f>
        <v>0.23468505056748531</v>
      </c>
      <c r="BY39" s="990">
        <f>BY24/BY13</f>
        <v>0.21473450826008347</v>
      </c>
      <c r="BZ39" s="990">
        <f>BZ24/BZ13</f>
        <v>0.13645498987408755</v>
      </c>
      <c r="CB39" s="990">
        <f>CB24/CB13</f>
        <v>0.21022936433040543</v>
      </c>
      <c r="CC39" s="990">
        <f>CC24/CC13</f>
        <v>0.21072486586553776</v>
      </c>
      <c r="CD39" s="990">
        <f>CD24/CD13</f>
        <v>0.19894241029646229</v>
      </c>
      <c r="CE39" s="990">
        <f>CE24/CE13</f>
        <v>0.12631515701611296</v>
      </c>
      <c r="CF39" s="1048"/>
      <c r="CG39" s="1409">
        <f>CG24/CG13</f>
        <v>0.20635411939274712</v>
      </c>
      <c r="CH39" s="1409">
        <f>CH24/CH13</f>
        <v>0.20682836034366139</v>
      </c>
      <c r="CI39" s="1409">
        <f>CI24/CI13</f>
        <v>0.19531746249366441</v>
      </c>
      <c r="CJ39" s="990">
        <f>CJ24/CJ13</f>
        <v>0.12510058819865033</v>
      </c>
      <c r="CK39" s="1048"/>
      <c r="CL39" s="1596">
        <f>CL24/CL13</f>
        <v>0.20367594368624134</v>
      </c>
      <c r="CM39" s="1596">
        <f>CM24/CM13</f>
        <v>0.20521880111919708</v>
      </c>
      <c r="CN39" s="1596">
        <f>CN24/CN13</f>
        <v>0.19436469438393922</v>
      </c>
      <c r="CO39" s="1596">
        <f>CO24/CO13</f>
        <v>0.12482603494103507</v>
      </c>
      <c r="CP39" s="2203"/>
      <c r="CQ39" s="1596">
        <f>CQ24/CQ13</f>
        <v>0.19719529164518743</v>
      </c>
      <c r="CR39" s="1596">
        <f>CR24/CR13</f>
        <v>0.19664356481423031</v>
      </c>
      <c r="CS39" s="1596">
        <f>CS24/CS13</f>
        <v>0.18574540593317937</v>
      </c>
      <c r="CT39" s="1596">
        <f>CT24/CT13</f>
        <v>0.11875890677341108</v>
      </c>
      <c r="CV39" s="1596">
        <f>CV24/CV13</f>
        <v>0.19816107376095518</v>
      </c>
      <c r="CW39" s="1596">
        <f>CW24/CW13</f>
        <v>0.19732134581419766</v>
      </c>
      <c r="CX39" s="1596">
        <f>CX24/CX13</f>
        <v>0.18636442833149475</v>
      </c>
      <c r="CY39" s="1596">
        <f>CY24/CY13</f>
        <v>0.11918628457905672</v>
      </c>
      <c r="DA39" s="1596">
        <f>DA24/DA13</f>
        <v>0.19911714687752397</v>
      </c>
      <c r="DB39" s="1596">
        <f>DB24/DB13</f>
        <v>0.19799038812969946</v>
      </c>
      <c r="DC39" s="1596">
        <f>DC24/DC13</f>
        <v>0.18697533156339013</v>
      </c>
      <c r="DD39" s="1596">
        <f>DD24/DD13</f>
        <v>0.11960827913088304</v>
      </c>
    </row>
    <row r="40" spans="1:109" hidden="1" outlineLevel="1">
      <c r="A40" s="862"/>
      <c r="B40" s="862"/>
      <c r="C40" s="862"/>
      <c r="D40" s="862"/>
      <c r="E40" s="862"/>
      <c r="F40" s="862"/>
      <c r="G40" s="862"/>
      <c r="H40" s="862"/>
      <c r="I40" s="862"/>
      <c r="J40" s="862"/>
      <c r="K40" s="862"/>
      <c r="L40" s="862"/>
      <c r="M40" s="862"/>
      <c r="N40" s="862"/>
      <c r="O40" s="862"/>
      <c r="P40" s="862"/>
      <c r="Q40" s="862"/>
      <c r="R40" s="862"/>
      <c r="S40" s="862"/>
      <c r="T40" s="862"/>
      <c r="U40" s="862"/>
      <c r="V40" s="862"/>
      <c r="W40" s="1470"/>
      <c r="X40" s="1470"/>
      <c r="Y40" s="1470"/>
      <c r="Z40" s="1470"/>
      <c r="AA40" s="1470"/>
      <c r="AB40" s="1470"/>
      <c r="AC40" s="1470"/>
      <c r="AD40" s="906"/>
      <c r="AE40" s="906"/>
      <c r="AF40" s="862"/>
      <c r="AG40" s="962"/>
      <c r="AH40" s="962"/>
      <c r="AI40" s="962"/>
      <c r="AJ40" s="962"/>
      <c r="AK40" s="962"/>
      <c r="AL40" s="962"/>
      <c r="AM40" s="862"/>
      <c r="AN40" s="862"/>
      <c r="AO40" s="862"/>
      <c r="AP40" s="862"/>
      <c r="AQ40" s="862"/>
      <c r="AR40" s="936"/>
      <c r="AS40" s="862"/>
      <c r="AT40" s="862"/>
      <c r="AU40" s="862"/>
      <c r="AV40" s="862"/>
      <c r="AW40" s="965"/>
      <c r="AX40" s="862"/>
      <c r="AY40" s="862"/>
      <c r="AZ40" s="862"/>
      <c r="BA40" s="862"/>
      <c r="BB40" s="965"/>
      <c r="BC40" s="862"/>
      <c r="BD40" s="862"/>
      <c r="BE40" s="862"/>
      <c r="BF40" s="862"/>
      <c r="BG40" s="965"/>
      <c r="BH40" s="906"/>
      <c r="BI40" s="906"/>
      <c r="BJ40" s="906"/>
      <c r="BK40" s="906"/>
      <c r="BL40" s="965"/>
      <c r="CB40" s="1048"/>
      <c r="CC40" s="1048"/>
      <c r="CD40" s="1048"/>
      <c r="CE40" s="1048"/>
      <c r="CF40" s="1048"/>
      <c r="CG40" s="1048"/>
      <c r="CH40" s="1048"/>
      <c r="CI40" s="1048"/>
      <c r="CJ40" s="1048"/>
      <c r="CK40" s="1048"/>
      <c r="CP40" s="2203"/>
    </row>
    <row r="41" spans="1:109" hidden="1" outlineLevel="1">
      <c r="A41" s="862"/>
      <c r="B41" s="862"/>
      <c r="C41" s="862"/>
      <c r="D41" s="862"/>
      <c r="E41" s="862"/>
      <c r="F41" s="862"/>
      <c r="G41" s="862"/>
      <c r="H41" s="862"/>
      <c r="I41" s="862"/>
      <c r="J41" s="862"/>
      <c r="K41" s="862"/>
      <c r="L41" s="862"/>
      <c r="M41" s="862"/>
      <c r="N41" s="862"/>
      <c r="O41" s="862"/>
      <c r="P41" s="862"/>
      <c r="Q41" s="862"/>
      <c r="R41" s="862"/>
      <c r="S41" s="862"/>
      <c r="T41" s="862"/>
      <c r="U41" s="862"/>
      <c r="V41" s="862"/>
      <c r="W41" s="862"/>
      <c r="X41" s="862"/>
      <c r="Y41" s="862"/>
      <c r="Z41" s="906"/>
      <c r="AA41" s="906"/>
      <c r="AB41" s="906"/>
      <c r="AC41" s="906"/>
      <c r="AD41" s="906"/>
      <c r="AE41" s="906"/>
      <c r="AF41" s="862"/>
      <c r="AG41" s="962"/>
      <c r="AH41" s="962"/>
      <c r="AI41" s="962"/>
      <c r="AJ41" s="962"/>
      <c r="AK41" s="962"/>
      <c r="AL41" s="962"/>
      <c r="AM41" s="862"/>
      <c r="AN41" s="862"/>
      <c r="AO41" s="862"/>
      <c r="AP41" s="862"/>
      <c r="AQ41" s="862"/>
      <c r="AR41" s="936"/>
      <c r="AS41" s="862"/>
      <c r="AT41" s="862"/>
      <c r="AU41" s="862"/>
      <c r="AV41" s="862"/>
      <c r="AW41" s="965"/>
      <c r="AX41" s="862"/>
      <c r="AY41" s="862"/>
      <c r="AZ41" s="862"/>
      <c r="BA41" s="862"/>
      <c r="BB41" s="965"/>
      <c r="BC41" s="862"/>
      <c r="BD41" s="862"/>
      <c r="BE41" s="862"/>
      <c r="BF41" s="862"/>
      <c r="BG41" s="965"/>
      <c r="BH41" s="906"/>
      <c r="BI41" s="906"/>
      <c r="BJ41" s="906"/>
      <c r="BK41" s="906"/>
      <c r="BL41" s="965"/>
      <c r="CB41" s="1048"/>
      <c r="CC41" s="1048"/>
      <c r="CD41" s="1048"/>
      <c r="CE41" s="1048"/>
      <c r="CF41" s="1048"/>
      <c r="CG41" s="1048"/>
      <c r="CH41" s="1048"/>
      <c r="CI41" s="1048"/>
      <c r="CJ41" s="1048"/>
      <c r="CK41" s="1048"/>
      <c r="CP41" s="2203"/>
    </row>
    <row r="42" spans="1:109" hidden="1" outlineLevel="2">
      <c r="A42" s="883"/>
      <c r="B42" s="883"/>
      <c r="C42" s="883"/>
      <c r="D42" s="883"/>
      <c r="E42" s="883"/>
      <c r="F42" s="883"/>
      <c r="G42" s="883"/>
      <c r="H42" s="883"/>
      <c r="I42" s="883"/>
      <c r="J42" s="883"/>
      <c r="K42" s="883"/>
      <c r="L42" s="883"/>
      <c r="M42" s="883"/>
      <c r="N42" s="883"/>
      <c r="O42" s="883"/>
      <c r="P42" s="883"/>
      <c r="Q42" s="883"/>
      <c r="R42" s="883"/>
      <c r="S42" s="883"/>
      <c r="T42" s="883"/>
      <c r="U42" s="883"/>
      <c r="V42" s="883"/>
      <c r="W42" s="883"/>
      <c r="X42" s="883"/>
      <c r="Y42" s="883"/>
      <c r="Z42" s="948"/>
      <c r="AA42" s="948"/>
      <c r="AB42" s="948"/>
      <c r="AC42" s="948"/>
      <c r="AD42" s="948"/>
      <c r="AE42" s="948"/>
      <c r="AF42" s="883"/>
      <c r="AG42" s="883"/>
      <c r="AH42" s="962"/>
      <c r="AI42" s="962"/>
      <c r="AJ42" s="962"/>
      <c r="AK42" s="962"/>
      <c r="AL42" s="962"/>
      <c r="AM42" s="862"/>
      <c r="AN42" s="883"/>
      <c r="AO42" s="883"/>
      <c r="AP42" s="883"/>
      <c r="AQ42" s="883"/>
      <c r="AR42" s="993"/>
      <c r="AS42" s="883"/>
      <c r="AT42" s="883"/>
      <c r="AU42" s="883"/>
      <c r="AV42" s="883"/>
      <c r="AW42" s="965"/>
      <c r="AX42" s="883"/>
      <c r="AY42" s="883"/>
      <c r="AZ42" s="883"/>
      <c r="BA42" s="883"/>
      <c r="BB42" s="965"/>
      <c r="BC42" s="883"/>
      <c r="BD42" s="883"/>
      <c r="BE42" s="883"/>
      <c r="BF42" s="883"/>
      <c r="BG42" s="965"/>
      <c r="BH42" s="948"/>
      <c r="BI42" s="948"/>
      <c r="BJ42" s="948"/>
      <c r="BK42" s="948"/>
      <c r="BL42" s="965"/>
      <c r="CB42" s="1048"/>
      <c r="CC42" s="1048"/>
      <c r="CD42" s="1048"/>
      <c r="CE42" s="1048"/>
      <c r="CF42" s="1048"/>
      <c r="CG42" s="1048"/>
      <c r="CH42" s="1048"/>
      <c r="CI42" s="1048"/>
      <c r="CJ42" s="1048"/>
      <c r="CK42" s="1048"/>
      <c r="CP42" s="2203"/>
    </row>
    <row r="43" spans="1:109" hidden="1" outlineLevel="2">
      <c r="A43" s="994" t="s">
        <v>838</v>
      </c>
      <c r="B43" s="862"/>
      <c r="C43" s="862"/>
      <c r="D43" s="862"/>
      <c r="E43" s="862"/>
      <c r="F43" s="862"/>
      <c r="G43" s="862"/>
      <c r="H43" s="862"/>
      <c r="I43" s="862"/>
      <c r="J43" s="862"/>
      <c r="K43" s="862"/>
      <c r="L43" s="862"/>
      <c r="M43" s="862"/>
      <c r="N43" s="862"/>
      <c r="O43" s="862"/>
      <c r="P43" s="862"/>
      <c r="Q43" s="862"/>
      <c r="R43" s="862"/>
      <c r="S43" s="862"/>
      <c r="T43" s="862"/>
      <c r="U43" s="862"/>
      <c r="V43" s="862"/>
      <c r="W43" s="862"/>
      <c r="X43" s="862"/>
      <c r="Y43" s="862"/>
      <c r="Z43" s="906"/>
      <c r="AA43" s="906"/>
      <c r="AB43" s="906"/>
      <c r="AC43" s="906"/>
      <c r="AD43" s="906"/>
      <c r="AE43" s="906"/>
      <c r="AF43" s="862"/>
      <c r="AG43" s="862"/>
      <c r="AH43" s="962"/>
      <c r="AI43" s="962"/>
      <c r="AJ43" s="962"/>
      <c r="AK43" s="962"/>
      <c r="AL43" s="962"/>
      <c r="AM43" s="862"/>
      <c r="AN43" s="862"/>
      <c r="AO43" s="862"/>
      <c r="AP43" s="862"/>
      <c r="AQ43" s="862"/>
      <c r="AR43" s="936"/>
      <c r="AS43" s="862"/>
      <c r="AT43" s="862"/>
      <c r="AU43" s="862"/>
      <c r="AV43" s="862"/>
      <c r="AW43" s="965"/>
      <c r="AX43" s="862"/>
      <c r="AY43" s="862"/>
      <c r="AZ43" s="862"/>
      <c r="BA43" s="862"/>
      <c r="BB43" s="965"/>
      <c r="BC43" s="862"/>
      <c r="BD43" s="862"/>
      <c r="BE43" s="862"/>
      <c r="BF43" s="862"/>
      <c r="BG43" s="965"/>
      <c r="BH43" s="906"/>
      <c r="BI43" s="906"/>
      <c r="BJ43" s="906"/>
      <c r="BK43" s="906"/>
      <c r="BL43" s="965"/>
      <c r="CB43" s="1048"/>
      <c r="CC43" s="1048"/>
      <c r="CD43" s="1048"/>
      <c r="CE43" s="1048"/>
      <c r="CF43" s="1048"/>
      <c r="CG43" s="1048"/>
      <c r="CH43" s="1048"/>
      <c r="CI43" s="1048"/>
      <c r="CJ43" s="1048"/>
      <c r="CK43" s="1048"/>
      <c r="CP43" s="2203"/>
    </row>
    <row r="44" spans="1:109" hidden="1" outlineLevel="2">
      <c r="A44" s="862" t="s">
        <v>11</v>
      </c>
      <c r="B44" s="862"/>
      <c r="C44" s="862"/>
      <c r="D44" s="862"/>
      <c r="E44" s="862"/>
      <c r="F44" s="862"/>
      <c r="G44" s="862"/>
      <c r="H44" s="862"/>
      <c r="I44" s="862"/>
      <c r="J44" s="1010">
        <v>0.26110800000000001</v>
      </c>
      <c r="K44" s="1010">
        <v>0.51576900000000003</v>
      </c>
      <c r="L44" s="1010">
        <v>57.153806476619025</v>
      </c>
      <c r="M44" s="1010">
        <v>62.055843002892253</v>
      </c>
      <c r="N44" s="1010">
        <v>65.95137954850496</v>
      </c>
      <c r="O44" s="1010">
        <v>69.235213568916691</v>
      </c>
      <c r="P44" s="1010">
        <v>72.31315275746681</v>
      </c>
      <c r="Q44" s="1010">
        <v>74.994947594434024</v>
      </c>
      <c r="R44" s="1009">
        <f t="shared" ref="R44:W44" si="65">Q44*(1+R45)</f>
        <v>77.244796022267053</v>
      </c>
      <c r="S44" s="1009">
        <f t="shared" si="65"/>
        <v>79.562139902935073</v>
      </c>
      <c r="T44" s="1009">
        <f t="shared" si="65"/>
        <v>81.949004100023132</v>
      </c>
      <c r="U44" s="1009">
        <f t="shared" si="65"/>
        <v>84.407474223023826</v>
      </c>
      <c r="V44" s="1009">
        <f t="shared" si="65"/>
        <v>86.939698449714541</v>
      </c>
      <c r="W44" s="1009">
        <f t="shared" si="65"/>
        <v>89.547889403205986</v>
      </c>
      <c r="X44" s="1009">
        <f t="shared" ref="X44:AG44" si="66">W44*(1+X45)</f>
        <v>92.234326085302172</v>
      </c>
      <c r="Y44" s="1009">
        <f t="shared" si="66"/>
        <v>95.001355867861236</v>
      </c>
      <c r="Z44" s="1009">
        <f t="shared" si="66"/>
        <v>97.851396543897081</v>
      </c>
      <c r="AA44" s="1009">
        <f t="shared" si="66"/>
        <v>100.786938440214</v>
      </c>
      <c r="AB44" s="1009">
        <f t="shared" si="66"/>
        <v>103.81054659342043</v>
      </c>
      <c r="AC44" s="1009">
        <f t="shared" si="66"/>
        <v>106.92486299122304</v>
      </c>
      <c r="AD44" s="1009">
        <f t="shared" si="66"/>
        <v>110.13260888095974</v>
      </c>
      <c r="AE44" s="1009">
        <f t="shared" si="66"/>
        <v>113.43658714738854</v>
      </c>
      <c r="AF44" s="1009">
        <f t="shared" si="66"/>
        <v>116.83968476181019</v>
      </c>
      <c r="AG44" s="1009">
        <f t="shared" si="66"/>
        <v>120.3448753046645</v>
      </c>
      <c r="AH44" s="962"/>
      <c r="AI44" s="962"/>
      <c r="AJ44" s="962"/>
      <c r="AK44" s="962"/>
      <c r="AL44" s="962"/>
      <c r="AM44" s="862"/>
      <c r="AN44" s="862"/>
      <c r="AO44" s="862"/>
      <c r="AP44" s="862"/>
      <c r="AQ44" s="862"/>
      <c r="AR44" s="862"/>
      <c r="AS44" s="862"/>
      <c r="AT44" s="862"/>
      <c r="AU44" s="862"/>
      <c r="AV44" s="862"/>
      <c r="AW44" s="965"/>
      <c r="AX44" s="862"/>
      <c r="AY44" s="862"/>
      <c r="AZ44" s="862"/>
      <c r="BA44" s="862"/>
      <c r="BB44" s="965"/>
      <c r="BC44" s="862"/>
      <c r="BD44" s="862"/>
      <c r="BE44" s="862"/>
      <c r="BF44" s="862"/>
      <c r="BG44" s="965"/>
      <c r="BH44" s="862"/>
      <c r="BI44" s="862"/>
      <c r="BJ44" s="862"/>
      <c r="BK44" s="862"/>
      <c r="BL44" s="965"/>
      <c r="CB44" s="1048"/>
      <c r="CC44" s="1048"/>
      <c r="CD44" s="1048"/>
      <c r="CE44" s="1048"/>
      <c r="CF44" s="1048"/>
      <c r="CG44" s="1048"/>
      <c r="CH44" s="1048"/>
      <c r="CI44" s="1048"/>
      <c r="CJ44" s="1048"/>
      <c r="CK44" s="1048"/>
      <c r="CP44" s="2203"/>
    </row>
    <row r="45" spans="1:109" hidden="1" outlineLevel="2">
      <c r="A45" s="862" t="s">
        <v>349</v>
      </c>
      <c r="B45" s="862"/>
      <c r="C45" s="862"/>
      <c r="D45" s="862"/>
      <c r="E45" s="862"/>
      <c r="F45" s="862"/>
      <c r="G45" s="862"/>
      <c r="H45" s="862"/>
      <c r="I45" s="862"/>
      <c r="J45" s="862"/>
      <c r="K45" s="888">
        <f t="shared" ref="K45:Q45" si="67">K44/J44-1</f>
        <v>0.97530906751229374</v>
      </c>
      <c r="L45" s="888">
        <f t="shared" si="67"/>
        <v>109.81279890148306</v>
      </c>
      <c r="M45" s="888">
        <f t="shared" si="67"/>
        <v>8.5769204685931077E-2</v>
      </c>
      <c r="N45" s="888">
        <f t="shared" si="67"/>
        <v>6.2774693841982643E-2</v>
      </c>
      <c r="O45" s="888">
        <f t="shared" si="67"/>
        <v>4.9791741171943071E-2</v>
      </c>
      <c r="P45" s="888">
        <f t="shared" si="67"/>
        <v>4.4456267698031127E-2</v>
      </c>
      <c r="Q45" s="888">
        <f t="shared" si="67"/>
        <v>3.7085851393615199E-2</v>
      </c>
      <c r="R45" s="991">
        <v>0.03</v>
      </c>
      <c r="S45" s="991">
        <f t="shared" ref="S45:X45" si="68">R45</f>
        <v>0.03</v>
      </c>
      <c r="T45" s="991">
        <f t="shared" si="68"/>
        <v>0.03</v>
      </c>
      <c r="U45" s="991">
        <f t="shared" si="68"/>
        <v>0.03</v>
      </c>
      <c r="V45" s="991">
        <f t="shared" si="68"/>
        <v>0.03</v>
      </c>
      <c r="W45" s="991">
        <f t="shared" si="68"/>
        <v>0.03</v>
      </c>
      <c r="X45" s="991">
        <f t="shared" si="68"/>
        <v>0.03</v>
      </c>
      <c r="Y45" s="991">
        <f t="shared" ref="Y45:AG45" si="69">X45</f>
        <v>0.03</v>
      </c>
      <c r="Z45" s="992">
        <f t="shared" si="69"/>
        <v>0.03</v>
      </c>
      <c r="AA45" s="992">
        <f t="shared" si="69"/>
        <v>0.03</v>
      </c>
      <c r="AB45" s="992">
        <f t="shared" si="69"/>
        <v>0.03</v>
      </c>
      <c r="AC45" s="992">
        <f t="shared" si="69"/>
        <v>0.03</v>
      </c>
      <c r="AD45" s="992">
        <f t="shared" si="69"/>
        <v>0.03</v>
      </c>
      <c r="AE45" s="992">
        <f t="shared" si="69"/>
        <v>0.03</v>
      </c>
      <c r="AF45" s="992">
        <f t="shared" si="69"/>
        <v>0.03</v>
      </c>
      <c r="AG45" s="992">
        <f t="shared" si="69"/>
        <v>0.03</v>
      </c>
      <c r="AH45" s="962"/>
      <c r="AI45" s="962"/>
      <c r="AJ45" s="962"/>
      <c r="AK45" s="962"/>
      <c r="AL45" s="962"/>
      <c r="AM45" s="862"/>
      <c r="AN45" s="862"/>
      <c r="AO45" s="862"/>
      <c r="AP45" s="862"/>
      <c r="AQ45" s="862"/>
      <c r="AR45" s="862"/>
      <c r="AS45" s="862"/>
      <c r="AT45" s="862"/>
      <c r="AU45" s="862"/>
      <c r="AV45" s="862"/>
      <c r="AW45" s="965"/>
      <c r="AX45" s="862"/>
      <c r="AY45" s="862"/>
      <c r="AZ45" s="862"/>
      <c r="BA45" s="862"/>
      <c r="BB45" s="965"/>
      <c r="BC45" s="862"/>
      <c r="BD45" s="862"/>
      <c r="BE45" s="862"/>
      <c r="BF45" s="862"/>
      <c r="BG45" s="965"/>
      <c r="BH45" s="862"/>
      <c r="BI45" s="862"/>
      <c r="BJ45" s="862"/>
      <c r="BK45" s="862"/>
      <c r="BL45" s="965"/>
      <c r="CB45" s="1048"/>
      <c r="CC45" s="1048"/>
      <c r="CD45" s="1048"/>
      <c r="CE45" s="1048"/>
      <c r="CF45" s="1048"/>
      <c r="CG45" s="1048"/>
      <c r="CH45" s="1048"/>
      <c r="CI45" s="1048"/>
      <c r="CJ45" s="1048"/>
      <c r="CK45" s="1048"/>
      <c r="CP45" s="2203"/>
    </row>
    <row r="46" spans="1:109" hidden="1" outlineLevel="2">
      <c r="A46" s="862" t="s">
        <v>12</v>
      </c>
      <c r="B46" s="862"/>
      <c r="C46" s="862"/>
      <c r="D46" s="862"/>
      <c r="E46" s="862"/>
      <c r="F46" s="862"/>
      <c r="G46" s="862"/>
      <c r="H46" s="862"/>
      <c r="I46" s="862"/>
      <c r="J46" s="1011">
        <v>203.82400000000001</v>
      </c>
      <c r="K46" s="1011">
        <f>J46*(1+K47)</f>
        <v>208.9196</v>
      </c>
      <c r="L46" s="1012">
        <v>212.08</v>
      </c>
      <c r="M46" s="1011">
        <f t="shared" ref="M46:W46" si="70">L46*(1+M47)</f>
        <v>217.38200000000001</v>
      </c>
      <c r="N46" s="1011">
        <f t="shared" si="70"/>
        <v>223.90346000000002</v>
      </c>
      <c r="O46" s="1011">
        <f t="shared" si="70"/>
        <v>230.62056380000004</v>
      </c>
      <c r="P46" s="1011">
        <f t="shared" si="70"/>
        <v>237.53918071400005</v>
      </c>
      <c r="Q46" s="1011">
        <f t="shared" si="70"/>
        <v>244.66535613542007</v>
      </c>
      <c r="R46" s="1011">
        <f t="shared" si="70"/>
        <v>252.00531681948269</v>
      </c>
      <c r="S46" s="1011">
        <f t="shared" si="70"/>
        <v>259.56547632406716</v>
      </c>
      <c r="T46" s="1011">
        <f t="shared" si="70"/>
        <v>267.35244061378921</v>
      </c>
      <c r="U46" s="1011">
        <f t="shared" si="70"/>
        <v>275.3730138322029</v>
      </c>
      <c r="V46" s="1011">
        <f t="shared" si="70"/>
        <v>283.63420424716901</v>
      </c>
      <c r="W46" s="1011">
        <f t="shared" si="70"/>
        <v>292.14323037458411</v>
      </c>
      <c r="X46" s="1011">
        <f t="shared" ref="X46:AG46" si="71">W46*(1+X47)</f>
        <v>300.90752728582163</v>
      </c>
      <c r="Y46" s="1011">
        <f t="shared" si="71"/>
        <v>309.93475310439629</v>
      </c>
      <c r="Z46" s="1011">
        <f t="shared" si="71"/>
        <v>319.23279569752822</v>
      </c>
      <c r="AA46" s="1011">
        <f t="shared" si="71"/>
        <v>328.80977956845408</v>
      </c>
      <c r="AB46" s="1011">
        <f t="shared" si="71"/>
        <v>338.67407295550771</v>
      </c>
      <c r="AC46" s="1011">
        <f t="shared" si="71"/>
        <v>348.83429514417293</v>
      </c>
      <c r="AD46" s="1011">
        <f t="shared" si="71"/>
        <v>359.2993239984981</v>
      </c>
      <c r="AE46" s="1011">
        <f t="shared" si="71"/>
        <v>370.07830371845307</v>
      </c>
      <c r="AF46" s="1011">
        <f t="shared" si="71"/>
        <v>381.18065283000669</v>
      </c>
      <c r="AG46" s="1011">
        <f t="shared" si="71"/>
        <v>392.61607241490691</v>
      </c>
      <c r="AH46" s="962"/>
      <c r="AI46" s="962"/>
      <c r="AJ46" s="962"/>
      <c r="AK46" s="962"/>
      <c r="AL46" s="962"/>
      <c r="AM46" s="862"/>
      <c r="AN46" s="862"/>
      <c r="AO46" s="862"/>
      <c r="AP46" s="862"/>
      <c r="AQ46" s="862"/>
      <c r="AR46" s="862"/>
      <c r="AS46" s="862"/>
      <c r="AT46" s="862"/>
      <c r="AU46" s="862"/>
      <c r="AV46" s="862"/>
      <c r="AW46" s="965"/>
      <c r="AX46" s="862"/>
      <c r="AY46" s="862"/>
      <c r="AZ46" s="862"/>
      <c r="BA46" s="862"/>
      <c r="BB46" s="965"/>
      <c r="BC46" s="862"/>
      <c r="BD46" s="862"/>
      <c r="BE46" s="862"/>
      <c r="BF46" s="862"/>
      <c r="BG46" s="965"/>
      <c r="BH46" s="862"/>
      <c r="BI46" s="862"/>
      <c r="BJ46" s="862"/>
      <c r="BK46" s="862"/>
      <c r="BL46" s="965"/>
      <c r="CB46" s="1048"/>
      <c r="CC46" s="1048"/>
      <c r="CD46" s="1048"/>
      <c r="CE46" s="1048"/>
      <c r="CF46" s="1048"/>
      <c r="CG46" s="1048"/>
      <c r="CH46" s="1048"/>
      <c r="CI46" s="1048"/>
      <c r="CJ46" s="1048"/>
      <c r="CK46" s="1048"/>
      <c r="CP46" s="2203"/>
    </row>
    <row r="47" spans="1:109" hidden="1" outlineLevel="2">
      <c r="A47" s="862" t="s">
        <v>349</v>
      </c>
      <c r="B47" s="862"/>
      <c r="C47" s="862"/>
      <c r="D47" s="862"/>
      <c r="E47" s="862"/>
      <c r="F47" s="862"/>
      <c r="G47" s="862"/>
      <c r="H47" s="862"/>
      <c r="I47" s="862"/>
      <c r="J47" s="862"/>
      <c r="K47" s="888">
        <v>2.5000000000000001E-2</v>
      </c>
      <c r="L47" s="888">
        <f>L46/K46-1</f>
        <v>1.5127350425714114E-2</v>
      </c>
      <c r="M47" s="991">
        <v>2.5000000000000001E-2</v>
      </c>
      <c r="N47" s="991">
        <v>0.03</v>
      </c>
      <c r="O47" s="991">
        <v>0.03</v>
      </c>
      <c r="P47" s="991">
        <v>0.03</v>
      </c>
      <c r="Q47" s="991">
        <v>0.03</v>
      </c>
      <c r="R47" s="991">
        <v>0.03</v>
      </c>
      <c r="S47" s="991">
        <v>0.03</v>
      </c>
      <c r="T47" s="991">
        <v>0.03</v>
      </c>
      <c r="U47" s="991">
        <v>0.03</v>
      </c>
      <c r="V47" s="991">
        <v>0.03</v>
      </c>
      <c r="W47" s="991">
        <v>0.03</v>
      </c>
      <c r="X47" s="991">
        <v>0.03</v>
      </c>
      <c r="Y47" s="991">
        <v>0.03</v>
      </c>
      <c r="Z47" s="992">
        <v>0.03</v>
      </c>
      <c r="AA47" s="992">
        <v>0.03</v>
      </c>
      <c r="AB47" s="992">
        <v>0.03</v>
      </c>
      <c r="AC47" s="992">
        <v>0.03</v>
      </c>
      <c r="AD47" s="992">
        <v>0.03</v>
      </c>
      <c r="AE47" s="992">
        <v>0.03</v>
      </c>
      <c r="AF47" s="992">
        <v>0.03</v>
      </c>
      <c r="AG47" s="992">
        <v>0.03</v>
      </c>
      <c r="AH47" s="962"/>
      <c r="AI47" s="962"/>
      <c r="AJ47" s="962"/>
      <c r="AK47" s="962"/>
      <c r="AL47" s="962"/>
      <c r="AM47" s="862"/>
      <c r="AN47" s="862"/>
      <c r="AO47" s="862"/>
      <c r="AP47" s="862"/>
      <c r="AQ47" s="862"/>
      <c r="AR47" s="862"/>
      <c r="AS47" s="862"/>
      <c r="AT47" s="862"/>
      <c r="AU47" s="862"/>
      <c r="AV47" s="862"/>
      <c r="AW47" s="965"/>
      <c r="AX47" s="862"/>
      <c r="AY47" s="862"/>
      <c r="AZ47" s="862"/>
      <c r="BA47" s="862"/>
      <c r="BB47" s="965"/>
      <c r="BC47" s="862"/>
      <c r="BD47" s="862"/>
      <c r="BE47" s="862"/>
      <c r="BF47" s="862"/>
      <c r="BG47" s="965"/>
      <c r="BH47" s="862"/>
      <c r="BI47" s="862"/>
      <c r="BJ47" s="862"/>
      <c r="BK47" s="862"/>
      <c r="BL47" s="965"/>
      <c r="CB47" s="1048"/>
      <c r="CC47" s="1048"/>
      <c r="CD47" s="1048"/>
      <c r="CE47" s="1048"/>
      <c r="CF47" s="1048"/>
      <c r="CG47" s="1048"/>
      <c r="CH47" s="1048"/>
      <c r="CI47" s="1048"/>
      <c r="CJ47" s="1048"/>
      <c r="CK47" s="1048"/>
      <c r="CP47" s="2203"/>
    </row>
    <row r="48" spans="1:109" hidden="1" outlineLevel="2">
      <c r="A48" s="994"/>
      <c r="B48" s="862"/>
      <c r="C48" s="862"/>
      <c r="D48" s="862"/>
      <c r="E48" s="862"/>
      <c r="F48" s="862"/>
      <c r="G48" s="862"/>
      <c r="H48" s="862"/>
      <c r="I48" s="862"/>
      <c r="J48" s="862"/>
      <c r="K48" s="862"/>
      <c r="L48" s="862"/>
      <c r="M48" s="862"/>
      <c r="N48" s="862"/>
      <c r="O48" s="862"/>
      <c r="P48" s="862"/>
      <c r="Q48" s="862"/>
      <c r="R48" s="862"/>
      <c r="S48" s="862"/>
      <c r="T48" s="862"/>
      <c r="U48" s="862"/>
      <c r="V48" s="862"/>
      <c r="W48" s="862"/>
      <c r="X48" s="862"/>
      <c r="Y48" s="862"/>
      <c r="Z48" s="906"/>
      <c r="AA48" s="906"/>
      <c r="AB48" s="906"/>
      <c r="AC48" s="906"/>
      <c r="AD48" s="906"/>
      <c r="AE48" s="906"/>
      <c r="AF48" s="906"/>
      <c r="AG48" s="962"/>
      <c r="AH48" s="962"/>
      <c r="AI48" s="962"/>
      <c r="AJ48" s="962"/>
      <c r="AK48" s="962"/>
      <c r="AL48" s="962"/>
      <c r="AM48" s="862"/>
      <c r="AN48" s="862"/>
      <c r="AO48" s="862"/>
      <c r="AP48" s="862"/>
      <c r="AQ48" s="862"/>
      <c r="AR48" s="936"/>
      <c r="AS48" s="862"/>
      <c r="AT48" s="862"/>
      <c r="AU48" s="862"/>
      <c r="AV48" s="862"/>
      <c r="AW48" s="965"/>
      <c r="AX48" s="862"/>
      <c r="AY48" s="862"/>
      <c r="AZ48" s="862"/>
      <c r="BA48" s="862"/>
      <c r="BB48" s="965"/>
      <c r="BC48" s="862"/>
      <c r="BD48" s="862"/>
      <c r="BE48" s="862"/>
      <c r="BF48" s="862"/>
      <c r="BG48" s="965"/>
      <c r="BH48" s="906"/>
      <c r="BI48" s="906"/>
      <c r="BJ48" s="906"/>
      <c r="BK48" s="906"/>
      <c r="BL48" s="965"/>
      <c r="CB48" s="1048"/>
      <c r="CC48" s="1048"/>
      <c r="CD48" s="1048"/>
      <c r="CE48" s="1048"/>
      <c r="CF48" s="1048"/>
      <c r="CG48" s="1048"/>
      <c r="CH48" s="1048"/>
      <c r="CI48" s="1048"/>
      <c r="CJ48" s="1048"/>
      <c r="CK48" s="1048"/>
      <c r="CP48" s="2203"/>
    </row>
    <row r="49" spans="1:108" hidden="1" outlineLevel="2">
      <c r="A49" s="995" t="s">
        <v>13</v>
      </c>
      <c r="B49" s="862"/>
      <c r="C49" s="862"/>
      <c r="D49" s="862"/>
      <c r="E49" s="862"/>
      <c r="F49" s="862"/>
      <c r="G49" s="862"/>
      <c r="H49" s="862"/>
      <c r="I49" s="862"/>
      <c r="J49" s="862"/>
      <c r="K49" s="862"/>
      <c r="L49" s="862"/>
      <c r="M49" s="862"/>
      <c r="N49" s="862"/>
      <c r="O49" s="862"/>
      <c r="P49" s="862"/>
      <c r="Q49" s="862"/>
      <c r="R49" s="862"/>
      <c r="S49" s="862"/>
      <c r="T49" s="862"/>
      <c r="U49" s="862"/>
      <c r="V49" s="862"/>
      <c r="W49" s="862"/>
      <c r="X49" s="862"/>
      <c r="Y49" s="862"/>
      <c r="Z49" s="906"/>
      <c r="AA49" s="906"/>
      <c r="AB49" s="906"/>
      <c r="AC49" s="906"/>
      <c r="AD49" s="906"/>
      <c r="AE49" s="906"/>
      <c r="AF49" s="906"/>
      <c r="AG49" s="962"/>
      <c r="AH49" s="962"/>
      <c r="AI49" s="962"/>
      <c r="AJ49" s="962"/>
      <c r="AK49" s="962"/>
      <c r="AL49" s="962"/>
      <c r="AM49" s="862"/>
      <c r="AN49" s="862"/>
      <c r="AO49" s="862"/>
      <c r="AP49" s="862"/>
      <c r="AQ49" s="862"/>
      <c r="AR49" s="936"/>
      <c r="AS49" s="862"/>
      <c r="AT49" s="862"/>
      <c r="AU49" s="862"/>
      <c r="AV49" s="862"/>
      <c r="AW49" s="965"/>
      <c r="AX49" s="862"/>
      <c r="AY49" s="862"/>
      <c r="AZ49" s="862"/>
      <c r="BA49" s="862"/>
      <c r="BB49" s="965"/>
      <c r="BC49" s="862"/>
      <c r="BD49" s="862"/>
      <c r="BE49" s="862"/>
      <c r="BF49" s="862"/>
      <c r="BG49" s="965"/>
      <c r="BH49" s="906"/>
      <c r="BI49" s="906"/>
      <c r="BJ49" s="906"/>
      <c r="BK49" s="906"/>
      <c r="BL49" s="965"/>
      <c r="CB49" s="1048"/>
      <c r="CC49" s="1048"/>
      <c r="CD49" s="1048"/>
      <c r="CE49" s="1048"/>
      <c r="CF49" s="1048"/>
      <c r="CG49" s="1048"/>
      <c r="CH49" s="1048"/>
      <c r="CI49" s="1048"/>
      <c r="CJ49" s="1048"/>
      <c r="CK49" s="1048"/>
      <c r="CP49" s="2203"/>
    </row>
    <row r="50" spans="1:108" hidden="1" outlineLevel="2">
      <c r="A50" s="996" t="s">
        <v>14</v>
      </c>
      <c r="B50" s="862"/>
      <c r="C50" s="862"/>
      <c r="D50" s="862"/>
      <c r="E50" s="862"/>
      <c r="F50" s="862"/>
      <c r="G50" s="862"/>
      <c r="H50" s="862"/>
      <c r="I50" s="862"/>
      <c r="J50" s="862"/>
      <c r="K50" s="862"/>
      <c r="L50" s="997">
        <f t="shared" ref="L50:W50" si="72">L60+L84</f>
        <v>157.43022222222223</v>
      </c>
      <c r="M50" s="997">
        <f t="shared" si="72"/>
        <v>167.04815166666668</v>
      </c>
      <c r="N50" s="997">
        <f t="shared" si="72"/>
        <v>173.91413163333334</v>
      </c>
      <c r="O50" s="997">
        <f t="shared" si="72"/>
        <v>174.91964034133335</v>
      </c>
      <c r="P50" s="997">
        <f t="shared" si="72"/>
        <v>175.61426486780917</v>
      </c>
      <c r="Q50" s="997">
        <f t="shared" si="72"/>
        <v>176.01988195947584</v>
      </c>
      <c r="R50" s="997">
        <f t="shared" si="72"/>
        <v>176.42955522205915</v>
      </c>
      <c r="S50" s="997">
        <f t="shared" si="72"/>
        <v>176.42955522205915</v>
      </c>
      <c r="T50" s="997">
        <f t="shared" si="72"/>
        <v>176.42955522205915</v>
      </c>
      <c r="U50" s="997">
        <f t="shared" si="72"/>
        <v>176.42955522205915</v>
      </c>
      <c r="V50" s="997">
        <f t="shared" si="72"/>
        <v>176.42955522205915</v>
      </c>
      <c r="W50" s="997">
        <f t="shared" si="72"/>
        <v>176.42955522205915</v>
      </c>
      <c r="X50" s="997">
        <f t="shared" ref="X50:AC50" si="73">X60+X84</f>
        <v>176.42955522205915</v>
      </c>
      <c r="Y50" s="997">
        <f t="shared" si="73"/>
        <v>176.42955522205915</v>
      </c>
      <c r="Z50" s="1249">
        <f t="shared" si="73"/>
        <v>176.42955522205915</v>
      </c>
      <c r="AA50" s="1249">
        <f t="shared" si="73"/>
        <v>176.42955522205915</v>
      </c>
      <c r="AB50" s="1249">
        <f t="shared" si="73"/>
        <v>176.42955522205915</v>
      </c>
      <c r="AC50" s="1249">
        <f t="shared" si="73"/>
        <v>176.42955522205915</v>
      </c>
      <c r="AD50" s="1249">
        <f>AD60+AD84</f>
        <v>176.42955522205915</v>
      </c>
      <c r="AE50" s="1249">
        <f>AE60+AE84</f>
        <v>176.42955522205915</v>
      </c>
      <c r="AF50" s="1249">
        <f>AF60+AF84</f>
        <v>176.42955522205915</v>
      </c>
      <c r="AG50" s="1249">
        <f>AG60+AG84</f>
        <v>176.42955522205915</v>
      </c>
      <c r="AH50" s="962"/>
      <c r="AI50" s="962"/>
      <c r="AJ50" s="962"/>
      <c r="AK50" s="962"/>
      <c r="AL50" s="962"/>
      <c r="AM50" s="862"/>
      <c r="AN50" s="862"/>
      <c r="AO50" s="862"/>
      <c r="AP50" s="862"/>
      <c r="AQ50" s="862"/>
      <c r="AR50" s="936"/>
      <c r="AS50" s="997">
        <f>AS60+AS84</f>
        <v>0</v>
      </c>
      <c r="AT50" s="997">
        <f>AT60+AT84</f>
        <v>0</v>
      </c>
      <c r="AU50" s="997">
        <f>AU60+AU84</f>
        <v>0</v>
      </c>
      <c r="AV50" s="997">
        <f>AV60+AV84</f>
        <v>0</v>
      </c>
      <c r="AW50" s="965"/>
      <c r="AX50" s="997"/>
      <c r="AY50" s="997">
        <f>AY60+AY84</f>
        <v>146.54233333333335</v>
      </c>
      <c r="AZ50" s="997">
        <f>AZ60+AZ84</f>
        <v>158.61433333333332</v>
      </c>
      <c r="BA50" s="997">
        <f>BA60+BA84</f>
        <v>167.13399999999999</v>
      </c>
      <c r="BB50" s="965"/>
      <c r="BC50" s="997">
        <f>BC60+BC84</f>
        <v>161.59233333333333</v>
      </c>
      <c r="BD50" s="997">
        <f>BD60+BD84</f>
        <v>154.76458333333335</v>
      </c>
      <c r="BE50" s="997">
        <f>BE60+BE84</f>
        <v>165.74718999999999</v>
      </c>
      <c r="BF50" s="997">
        <f>BF60+BF84</f>
        <v>186.08850000000001</v>
      </c>
      <c r="BG50" s="965"/>
      <c r="BH50" s="997">
        <f>BH60+BH84</f>
        <v>174.06087333333335</v>
      </c>
      <c r="BI50" s="997">
        <f>BI60+BI84</f>
        <v>161.60286083333335</v>
      </c>
      <c r="BJ50" s="997">
        <f>BJ60+BJ84</f>
        <v>172.63952236666668</v>
      </c>
      <c r="BK50" s="997">
        <f>BK60+BK84</f>
        <v>187.35327000000001</v>
      </c>
      <c r="BL50" s="965"/>
      <c r="CB50" s="1048"/>
      <c r="CC50" s="1048"/>
      <c r="CD50" s="1048"/>
      <c r="CE50" s="1048"/>
      <c r="CF50" s="1048"/>
      <c r="CG50" s="1048"/>
      <c r="CH50" s="1048"/>
      <c r="CI50" s="1048"/>
      <c r="CJ50" s="1048"/>
      <c r="CK50" s="1048"/>
      <c r="CP50" s="2203"/>
    </row>
    <row r="51" spans="1:108" hidden="1" outlineLevel="2">
      <c r="A51" s="862" t="s">
        <v>349</v>
      </c>
      <c r="B51" s="862"/>
      <c r="C51" s="862"/>
      <c r="D51" s="862"/>
      <c r="E51" s="862"/>
      <c r="F51" s="862"/>
      <c r="G51" s="862"/>
      <c r="H51" s="862"/>
      <c r="I51" s="862"/>
      <c r="J51" s="862"/>
      <c r="K51" s="862"/>
      <c r="L51" s="997"/>
      <c r="M51" s="888">
        <f>M50/L50-1</f>
        <v>6.1093285067387981E-2</v>
      </c>
      <c r="N51" s="888">
        <f t="shared" ref="N51:Y51" si="74">N50/M50-1</f>
        <v>4.1101801475584399E-2</v>
      </c>
      <c r="O51" s="888">
        <f t="shared" si="74"/>
        <v>5.7816388959117671E-3</v>
      </c>
      <c r="P51" s="888">
        <f t="shared" si="74"/>
        <v>3.9711065328076334E-3</v>
      </c>
      <c r="Q51" s="888">
        <f t="shared" si="74"/>
        <v>2.3097046926796594E-3</v>
      </c>
      <c r="R51" s="888">
        <f t="shared" si="74"/>
        <v>2.3274260726844354E-3</v>
      </c>
      <c r="S51" s="888">
        <f t="shared" si="74"/>
        <v>0</v>
      </c>
      <c r="T51" s="888">
        <f t="shared" si="74"/>
        <v>0</v>
      </c>
      <c r="U51" s="888">
        <f t="shared" si="74"/>
        <v>0</v>
      </c>
      <c r="V51" s="888">
        <f t="shared" si="74"/>
        <v>0</v>
      </c>
      <c r="W51" s="888">
        <f t="shared" si="74"/>
        <v>0</v>
      </c>
      <c r="X51" s="888">
        <f t="shared" si="74"/>
        <v>0</v>
      </c>
      <c r="Y51" s="888">
        <f t="shared" si="74"/>
        <v>0</v>
      </c>
      <c r="Z51" s="990">
        <f t="shared" ref="Z51:AG51" si="75">Z50/Y50-1</f>
        <v>0</v>
      </c>
      <c r="AA51" s="990">
        <f t="shared" si="75"/>
        <v>0</v>
      </c>
      <c r="AB51" s="990">
        <f t="shared" si="75"/>
        <v>0</v>
      </c>
      <c r="AC51" s="990">
        <f t="shared" si="75"/>
        <v>0</v>
      </c>
      <c r="AD51" s="990">
        <f t="shared" si="75"/>
        <v>0</v>
      </c>
      <c r="AE51" s="990">
        <f t="shared" si="75"/>
        <v>0</v>
      </c>
      <c r="AF51" s="990">
        <f t="shared" si="75"/>
        <v>0</v>
      </c>
      <c r="AG51" s="990">
        <f t="shared" si="75"/>
        <v>0</v>
      </c>
      <c r="AH51" s="962"/>
      <c r="AI51" s="962"/>
      <c r="AJ51" s="962"/>
      <c r="AK51" s="962"/>
      <c r="AL51" s="962"/>
      <c r="AM51" s="862"/>
      <c r="AN51" s="862"/>
      <c r="AO51" s="862"/>
      <c r="AP51" s="862"/>
      <c r="AQ51" s="862"/>
      <c r="AR51" s="936"/>
      <c r="AS51" s="997"/>
      <c r="AT51" s="997"/>
      <c r="AU51" s="997"/>
      <c r="AV51" s="997"/>
      <c r="AW51" s="965"/>
      <c r="AX51" s="888"/>
      <c r="AY51" s="888"/>
      <c r="AZ51" s="888"/>
      <c r="BA51" s="888">
        <f>BA50/AZ50-1</f>
        <v>5.3713094445016596E-2</v>
      </c>
      <c r="BB51" s="965"/>
      <c r="BC51" s="888"/>
      <c r="BD51" s="888">
        <f>BD50/AY50-1</f>
        <v>5.6108360041580818E-2</v>
      </c>
      <c r="BE51" s="888">
        <f>BE50/AZ50-1</f>
        <v>4.4969811471430754E-2</v>
      </c>
      <c r="BF51" s="888">
        <f>BF50/BA50-1</f>
        <v>0.11340900116074537</v>
      </c>
      <c r="BG51" s="965"/>
      <c r="BH51" s="888">
        <f>BH50/BC50-1</f>
        <v>7.7160467596441462E-2</v>
      </c>
      <c r="BI51" s="888">
        <f>BI50/BD50-1</f>
        <v>4.4185028336048093E-2</v>
      </c>
      <c r="BJ51" s="888">
        <f>BJ50/BE50-1</f>
        <v>4.1583404018292525E-2</v>
      </c>
      <c r="BK51" s="888">
        <f>BK50/BF50-1</f>
        <v>6.7966048412448909E-3</v>
      </c>
      <c r="BL51" s="965"/>
      <c r="CB51" s="1048"/>
      <c r="CC51" s="1048"/>
      <c r="CD51" s="1048"/>
      <c r="CE51" s="1048"/>
      <c r="CF51" s="1048"/>
      <c r="CG51" s="1048"/>
      <c r="CH51" s="1048"/>
      <c r="CI51" s="1048"/>
      <c r="CJ51" s="1048"/>
      <c r="CK51" s="1048"/>
      <c r="CP51" s="2203"/>
    </row>
    <row r="52" spans="1:108" hidden="1" outlineLevel="2">
      <c r="A52" s="862" t="s">
        <v>15</v>
      </c>
      <c r="B52" s="862"/>
      <c r="C52" s="862"/>
      <c r="D52" s="862"/>
      <c r="E52" s="862"/>
      <c r="F52" s="862"/>
      <c r="G52" s="862"/>
      <c r="H52" s="862"/>
      <c r="I52" s="862"/>
      <c r="J52" s="862"/>
      <c r="K52" s="862"/>
      <c r="L52" s="864">
        <f t="shared" ref="L52:W52" si="76">L65+L89</f>
        <v>36869</v>
      </c>
      <c r="M52" s="864">
        <f t="shared" si="76"/>
        <v>38270.380000000005</v>
      </c>
      <c r="N52" s="864">
        <f t="shared" si="76"/>
        <v>39804.720300000001</v>
      </c>
      <c r="O52" s="864">
        <f t="shared" si="76"/>
        <v>40084.287000000004</v>
      </c>
      <c r="P52" s="864">
        <f t="shared" si="76"/>
        <v>37870.839597000006</v>
      </c>
      <c r="Q52" s="864">
        <f t="shared" si="76"/>
        <v>37983.537021600001</v>
      </c>
      <c r="R52" s="864">
        <f t="shared" si="76"/>
        <v>38097.361420446003</v>
      </c>
      <c r="S52" s="864">
        <f t="shared" si="76"/>
        <v>38097.361420446003</v>
      </c>
      <c r="T52" s="864">
        <f t="shared" si="76"/>
        <v>38097.361420446003</v>
      </c>
      <c r="U52" s="864">
        <f t="shared" si="76"/>
        <v>34653.574204081684</v>
      </c>
      <c r="V52" s="864">
        <f t="shared" si="76"/>
        <v>34653.574204081684</v>
      </c>
      <c r="W52" s="864">
        <f t="shared" si="76"/>
        <v>34653.574204081684</v>
      </c>
      <c r="X52" s="864">
        <f t="shared" ref="X52:AC52" si="77">X65+X89</f>
        <v>34653.574204081684</v>
      </c>
      <c r="Y52" s="864">
        <f t="shared" si="77"/>
        <v>34653.574204081684</v>
      </c>
      <c r="Z52" s="1248">
        <f t="shared" si="77"/>
        <v>34653.574204081684</v>
      </c>
      <c r="AA52" s="1248">
        <f t="shared" si="77"/>
        <v>34653.574204081684</v>
      </c>
      <c r="AB52" s="1248">
        <f t="shared" si="77"/>
        <v>34653.574204081684</v>
      </c>
      <c r="AC52" s="1248">
        <f t="shared" si="77"/>
        <v>34653.574204081684</v>
      </c>
      <c r="AD52" s="1248">
        <f>AD65+AD89</f>
        <v>34653.574204081684</v>
      </c>
      <c r="AE52" s="1248">
        <f>AE65+AE89</f>
        <v>34653.574204081684</v>
      </c>
      <c r="AF52" s="1248">
        <f>AF65+AF89</f>
        <v>34653.574204081684</v>
      </c>
      <c r="AG52" s="1248">
        <f>AG65+AG89</f>
        <v>34653.574204081684</v>
      </c>
      <c r="AH52" s="962"/>
      <c r="AI52" s="962"/>
      <c r="AJ52" s="962"/>
      <c r="AK52" s="962"/>
      <c r="AL52" s="962"/>
      <c r="AM52" s="862"/>
      <c r="AN52" s="862"/>
      <c r="AO52" s="862"/>
      <c r="AP52" s="862"/>
      <c r="AQ52" s="862"/>
      <c r="AR52" s="936"/>
      <c r="AS52" s="864">
        <f>AS65+AS89</f>
        <v>0</v>
      </c>
      <c r="AT52" s="864">
        <f>AT65+AT89</f>
        <v>0</v>
      </c>
      <c r="AU52" s="864">
        <f>AU65+AU89</f>
        <v>0</v>
      </c>
      <c r="AV52" s="864">
        <f>AV65+AV89</f>
        <v>0</v>
      </c>
      <c r="AW52" s="965"/>
      <c r="AX52" s="864"/>
      <c r="AY52" s="864">
        <f>AY65+AY89</f>
        <v>9204</v>
      </c>
      <c r="AZ52" s="864">
        <f>AZ65+AZ89</f>
        <v>9657</v>
      </c>
      <c r="BA52" s="864">
        <f>BA65+BA89</f>
        <v>8804</v>
      </c>
      <c r="BB52" s="965"/>
      <c r="BC52" s="864">
        <f>BC65+BC89</f>
        <v>8156</v>
      </c>
      <c r="BD52" s="864">
        <f>BD65+BD89</f>
        <v>9510.01</v>
      </c>
      <c r="BE52" s="864">
        <f>BE65+BE89</f>
        <v>10625.61</v>
      </c>
      <c r="BF52" s="864">
        <f>BF65+BF89</f>
        <v>9978.76</v>
      </c>
      <c r="BG52" s="965"/>
      <c r="BH52" s="864">
        <f>BH65+BH89</f>
        <v>9147.7900000000009</v>
      </c>
      <c r="BI52" s="864">
        <f>BI65+BI89</f>
        <v>9891.4102999999996</v>
      </c>
      <c r="BJ52" s="864">
        <f>BJ65+BJ89</f>
        <v>10786.76</v>
      </c>
      <c r="BK52" s="864">
        <f>BK65+BK89</f>
        <v>9978.76</v>
      </c>
      <c r="BL52" s="965"/>
      <c r="CB52" s="1048"/>
      <c r="CC52" s="1048"/>
      <c r="CD52" s="1048"/>
      <c r="CE52" s="1048"/>
      <c r="CF52" s="1048"/>
      <c r="CG52" s="1048"/>
      <c r="CH52" s="1048"/>
      <c r="CI52" s="1048"/>
      <c r="CJ52" s="1048"/>
      <c r="CK52" s="1048"/>
      <c r="CP52" s="2203"/>
    </row>
    <row r="53" spans="1:108" hidden="1" outlineLevel="2">
      <c r="A53" s="862" t="s">
        <v>349</v>
      </c>
      <c r="B53" s="862"/>
      <c r="C53" s="862"/>
      <c r="D53" s="862"/>
      <c r="E53" s="862"/>
      <c r="F53" s="862"/>
      <c r="G53" s="862"/>
      <c r="H53" s="862"/>
      <c r="I53" s="862"/>
      <c r="J53" s="862"/>
      <c r="K53" s="862"/>
      <c r="L53" s="864"/>
      <c r="M53" s="888">
        <f t="shared" ref="M53:Y53" si="78">M52/L52-1</f>
        <v>3.8009710054517365E-2</v>
      </c>
      <c r="N53" s="888">
        <f t="shared" si="78"/>
        <v>4.0092110399739811E-2</v>
      </c>
      <c r="O53" s="888">
        <f t="shared" si="78"/>
        <v>7.0234559593176371E-3</v>
      </c>
      <c r="P53" s="888">
        <f t="shared" si="78"/>
        <v>-5.521982723554486E-2</v>
      </c>
      <c r="Q53" s="888">
        <f t="shared" si="78"/>
        <v>2.9758364430061413E-3</v>
      </c>
      <c r="R53" s="888">
        <f t="shared" si="78"/>
        <v>2.9966771862577346E-3</v>
      </c>
      <c r="S53" s="888">
        <f t="shared" si="78"/>
        <v>0</v>
      </c>
      <c r="T53" s="888">
        <f t="shared" si="78"/>
        <v>0</v>
      </c>
      <c r="U53" s="888">
        <f t="shared" si="78"/>
        <v>-9.0394376092306383E-2</v>
      </c>
      <c r="V53" s="888">
        <f t="shared" si="78"/>
        <v>0</v>
      </c>
      <c r="W53" s="888">
        <f t="shared" si="78"/>
        <v>0</v>
      </c>
      <c r="X53" s="888">
        <f t="shared" si="78"/>
        <v>0</v>
      </c>
      <c r="Y53" s="888">
        <f t="shared" si="78"/>
        <v>0</v>
      </c>
      <c r="Z53" s="990">
        <f t="shared" ref="Z53:AG53" si="79">Z52/Y52-1</f>
        <v>0</v>
      </c>
      <c r="AA53" s="990">
        <f t="shared" si="79"/>
        <v>0</v>
      </c>
      <c r="AB53" s="990">
        <f t="shared" si="79"/>
        <v>0</v>
      </c>
      <c r="AC53" s="990">
        <f t="shared" si="79"/>
        <v>0</v>
      </c>
      <c r="AD53" s="990">
        <f t="shared" si="79"/>
        <v>0</v>
      </c>
      <c r="AE53" s="990">
        <f t="shared" si="79"/>
        <v>0</v>
      </c>
      <c r="AF53" s="990">
        <f t="shared" si="79"/>
        <v>0</v>
      </c>
      <c r="AG53" s="990">
        <f t="shared" si="79"/>
        <v>0</v>
      </c>
      <c r="AH53" s="962"/>
      <c r="AI53" s="962"/>
      <c r="AJ53" s="962"/>
      <c r="AK53" s="962"/>
      <c r="AL53" s="962"/>
      <c r="AM53" s="862"/>
      <c r="AN53" s="862"/>
      <c r="AO53" s="862"/>
      <c r="AP53" s="862"/>
      <c r="AQ53" s="862"/>
      <c r="AR53" s="936"/>
      <c r="AS53" s="864"/>
      <c r="AT53" s="864"/>
      <c r="AU53" s="864"/>
      <c r="AV53" s="864"/>
      <c r="AW53" s="965"/>
      <c r="AX53" s="888"/>
      <c r="AY53" s="888"/>
      <c r="AZ53" s="888"/>
      <c r="BA53" s="888">
        <f>BA52/AZ52-1</f>
        <v>-8.8329709019364211E-2</v>
      </c>
      <c r="BB53" s="965"/>
      <c r="BC53" s="888"/>
      <c r="BD53" s="888">
        <f>BD52/AY52-1</f>
        <v>3.324750108648411E-2</v>
      </c>
      <c r="BE53" s="888">
        <f>BE52/AZ52-1</f>
        <v>0.10030133581857736</v>
      </c>
      <c r="BF53" s="888">
        <f>BF52/BA52-1</f>
        <v>0.13343480236256244</v>
      </c>
      <c r="BG53" s="965"/>
      <c r="BH53" s="888">
        <f>BH52/BC52-1</f>
        <v>0.12160250122609129</v>
      </c>
      <c r="BI53" s="888">
        <f>BI52/BD52-1</f>
        <v>4.0105141845276693E-2</v>
      </c>
      <c r="BJ53" s="888">
        <f>BJ52/BE52-1</f>
        <v>1.516618810590642E-2</v>
      </c>
      <c r="BK53" s="888">
        <f>BK52/BF52-1</f>
        <v>0</v>
      </c>
      <c r="BL53" s="965"/>
      <c r="CB53" s="1048"/>
      <c r="CC53" s="1048"/>
      <c r="CD53" s="1048"/>
      <c r="CE53" s="1048"/>
      <c r="CF53" s="1048"/>
      <c r="CG53" s="1048"/>
      <c r="CH53" s="1048"/>
      <c r="CI53" s="1048"/>
      <c r="CJ53" s="1048"/>
      <c r="CK53" s="1048"/>
      <c r="CP53" s="2203"/>
    </row>
    <row r="54" spans="1:108" hidden="1" outlineLevel="2">
      <c r="A54" s="998" t="s">
        <v>16</v>
      </c>
      <c r="B54" s="862"/>
      <c r="C54" s="862"/>
      <c r="D54" s="862"/>
      <c r="E54" s="862"/>
      <c r="F54" s="862"/>
      <c r="G54" s="862"/>
      <c r="H54" s="862"/>
      <c r="I54" s="862"/>
      <c r="J54" s="862"/>
      <c r="K54" s="862"/>
      <c r="L54" s="915">
        <f>L52/L50/12</f>
        <v>19.516053673161725</v>
      </c>
      <c r="M54" s="915">
        <f t="shared" ref="M54:W54" si="80">M52/M50/12</f>
        <v>19.091491294660738</v>
      </c>
      <c r="N54" s="915">
        <f t="shared" si="80"/>
        <v>19.072975806206617</v>
      </c>
      <c r="O54" s="915">
        <f t="shared" si="80"/>
        <v>19.096524801227122</v>
      </c>
      <c r="P54" s="915">
        <f t="shared" si="80"/>
        <v>17.970654616955837</v>
      </c>
      <c r="Q54" s="915">
        <f t="shared" si="80"/>
        <v>17.982597855216888</v>
      </c>
      <c r="R54" s="915">
        <f t="shared" si="80"/>
        <v>17.994604783618218</v>
      </c>
      <c r="S54" s="915">
        <f t="shared" si="80"/>
        <v>17.994604783618218</v>
      </c>
      <c r="T54" s="915">
        <f t="shared" si="80"/>
        <v>17.994604783618218</v>
      </c>
      <c r="U54" s="915">
        <f t="shared" si="80"/>
        <v>16.367993711175419</v>
      </c>
      <c r="V54" s="915">
        <f t="shared" si="80"/>
        <v>16.367993711175419</v>
      </c>
      <c r="W54" s="915">
        <f t="shared" si="80"/>
        <v>16.367993711175419</v>
      </c>
      <c r="X54" s="915">
        <f t="shared" ref="X54:AC54" si="81">X52/X50/12</f>
        <v>16.367993711175419</v>
      </c>
      <c r="Y54" s="915">
        <f t="shared" si="81"/>
        <v>16.367993711175419</v>
      </c>
      <c r="Z54" s="1011">
        <f t="shared" si="81"/>
        <v>16.367993711175419</v>
      </c>
      <c r="AA54" s="1011">
        <f t="shared" si="81"/>
        <v>16.367993711175419</v>
      </c>
      <c r="AB54" s="1011">
        <f t="shared" si="81"/>
        <v>16.367993711175419</v>
      </c>
      <c r="AC54" s="1011">
        <f t="shared" si="81"/>
        <v>16.367993711175419</v>
      </c>
      <c r="AD54" s="1011">
        <f>AD52/AD50/12</f>
        <v>16.367993711175419</v>
      </c>
      <c r="AE54" s="1011">
        <f>AE52/AE50/12</f>
        <v>16.367993711175419</v>
      </c>
      <c r="AF54" s="1011">
        <f>AF52/AF50/12</f>
        <v>16.367993711175419</v>
      </c>
      <c r="AG54" s="1011">
        <f>AG52/AG50/12</f>
        <v>16.367993711175419</v>
      </c>
      <c r="AH54" s="962"/>
      <c r="AI54" s="962"/>
      <c r="AJ54" s="962"/>
      <c r="AK54" s="962"/>
      <c r="AL54" s="962"/>
      <c r="AM54" s="862"/>
      <c r="AN54" s="862"/>
      <c r="AO54" s="862"/>
      <c r="AP54" s="862"/>
      <c r="AQ54" s="862"/>
      <c r="AR54" s="862"/>
      <c r="AS54" s="862"/>
      <c r="AT54" s="862"/>
      <c r="AU54" s="862"/>
      <c r="AV54" s="862"/>
      <c r="AW54" s="965"/>
      <c r="AX54" s="915"/>
      <c r="AY54" s="915">
        <f>AY52/AY50/3</f>
        <v>20.935929776833543</v>
      </c>
      <c r="AZ54" s="915">
        <f t="shared" ref="AZ54:BK54" si="82">AZ52/AZ50/3</f>
        <v>20.294508903146628</v>
      </c>
      <c r="BA54" s="915">
        <f t="shared" si="82"/>
        <v>17.558765222316627</v>
      </c>
      <c r="BB54" s="965"/>
      <c r="BC54" s="915">
        <f t="shared" si="82"/>
        <v>16.82423052248766</v>
      </c>
      <c r="BD54" s="915">
        <f t="shared" si="82"/>
        <v>20.48274395250851</v>
      </c>
      <c r="BE54" s="915">
        <f t="shared" si="82"/>
        <v>21.369110390348098</v>
      </c>
      <c r="BF54" s="915">
        <f t="shared" si="82"/>
        <v>17.874577597935033</v>
      </c>
      <c r="BG54" s="965"/>
      <c r="BH54" s="915">
        <f t="shared" si="82"/>
        <v>17.518373169907495</v>
      </c>
      <c r="BI54" s="915">
        <f t="shared" si="82"/>
        <v>20.402712858326922</v>
      </c>
      <c r="BJ54" s="915">
        <f t="shared" si="82"/>
        <v>20.82713516219102</v>
      </c>
      <c r="BK54" s="915">
        <f t="shared" si="82"/>
        <v>17.75391127858795</v>
      </c>
      <c r="BL54" s="965"/>
      <c r="CB54" s="1048"/>
      <c r="CC54" s="1048"/>
      <c r="CD54" s="1048"/>
      <c r="CE54" s="1048"/>
      <c r="CF54" s="1048"/>
      <c r="CG54" s="1048"/>
      <c r="CH54" s="1048"/>
      <c r="CI54" s="1048"/>
      <c r="CJ54" s="1048"/>
      <c r="CK54" s="1048"/>
      <c r="CP54" s="2203"/>
    </row>
    <row r="55" spans="1:108" hidden="1" outlineLevel="2">
      <c r="A55" s="862" t="s">
        <v>349</v>
      </c>
      <c r="B55" s="862"/>
      <c r="C55" s="862"/>
      <c r="D55" s="862"/>
      <c r="E55" s="862"/>
      <c r="F55" s="862"/>
      <c r="G55" s="862"/>
      <c r="H55" s="862"/>
      <c r="I55" s="862"/>
      <c r="J55" s="862"/>
      <c r="K55" s="862"/>
      <c r="L55" s="915"/>
      <c r="M55" s="888">
        <f t="shared" ref="M55:Y55" si="83">M54/L54-1</f>
        <v>-2.1754519925554439E-2</v>
      </c>
      <c r="N55" s="888">
        <f t="shared" si="83"/>
        <v>-9.6982934273437404E-4</v>
      </c>
      <c r="O55" s="888">
        <f t="shared" si="83"/>
        <v>1.234678597602068E-3</v>
      </c>
      <c r="P55" s="888">
        <f t="shared" si="83"/>
        <v>-5.8956809995027948E-2</v>
      </c>
      <c r="Q55" s="888">
        <f t="shared" si="83"/>
        <v>6.6459672814489501E-4</v>
      </c>
      <c r="R55" s="888">
        <f t="shared" si="83"/>
        <v>6.6769709793890186E-4</v>
      </c>
      <c r="S55" s="888">
        <f t="shared" si="83"/>
        <v>0</v>
      </c>
      <c r="T55" s="888">
        <f t="shared" si="83"/>
        <v>0</v>
      </c>
      <c r="U55" s="888">
        <f t="shared" si="83"/>
        <v>-9.0394376092306272E-2</v>
      </c>
      <c r="V55" s="888">
        <f t="shared" si="83"/>
        <v>0</v>
      </c>
      <c r="W55" s="888">
        <f t="shared" si="83"/>
        <v>0</v>
      </c>
      <c r="X55" s="888">
        <f t="shared" si="83"/>
        <v>0</v>
      </c>
      <c r="Y55" s="888">
        <f t="shared" si="83"/>
        <v>0</v>
      </c>
      <c r="Z55" s="990">
        <f t="shared" ref="Z55:AG55" si="84">Z54/Y54-1</f>
        <v>0</v>
      </c>
      <c r="AA55" s="990">
        <f t="shared" si="84"/>
        <v>0</v>
      </c>
      <c r="AB55" s="990">
        <f t="shared" si="84"/>
        <v>0</v>
      </c>
      <c r="AC55" s="990">
        <f t="shared" si="84"/>
        <v>0</v>
      </c>
      <c r="AD55" s="990">
        <f t="shared" si="84"/>
        <v>0</v>
      </c>
      <c r="AE55" s="990">
        <f t="shared" si="84"/>
        <v>0</v>
      </c>
      <c r="AF55" s="990">
        <f t="shared" si="84"/>
        <v>0</v>
      </c>
      <c r="AG55" s="990">
        <f t="shared" si="84"/>
        <v>0</v>
      </c>
      <c r="AH55" s="962"/>
      <c r="AI55" s="962"/>
      <c r="AJ55" s="962"/>
      <c r="AK55" s="962"/>
      <c r="AL55" s="962"/>
      <c r="AM55" s="862"/>
      <c r="AN55" s="862"/>
      <c r="AO55" s="862"/>
      <c r="AP55" s="862"/>
      <c r="AQ55" s="862"/>
      <c r="AR55" s="862"/>
      <c r="AS55" s="862"/>
      <c r="AT55" s="862"/>
      <c r="AU55" s="862"/>
      <c r="AV55" s="862"/>
      <c r="AW55" s="965"/>
      <c r="AX55" s="888"/>
      <c r="AY55" s="888"/>
      <c r="AZ55" s="888"/>
      <c r="BA55" s="888">
        <f>BA54/AZ54-1</f>
        <v>-0.13480216219500785</v>
      </c>
      <c r="BB55" s="965"/>
      <c r="BC55" s="888"/>
      <c r="BD55" s="888">
        <f>BD54/AY54-1</f>
        <v>-2.1646319468768049E-2</v>
      </c>
      <c r="BE55" s="888">
        <f>BE54/AZ54-1</f>
        <v>5.2950356785172348E-2</v>
      </c>
      <c r="BF55" s="888">
        <f>BF54/BA54-1</f>
        <v>1.7986024166267711E-2</v>
      </c>
      <c r="BG55" s="965"/>
      <c r="BH55" s="888">
        <f>BH54/BC54-1</f>
        <v>4.1258507870064465E-2</v>
      </c>
      <c r="BI55" s="888">
        <f>BI54/BD54-1</f>
        <v>-3.9072447698974555E-3</v>
      </c>
      <c r="BJ55" s="888">
        <f>BJ54/BE54-1</f>
        <v>-2.5362554559214323E-2</v>
      </c>
      <c r="BK55" s="888">
        <f>BK54/BF54-1</f>
        <v>-6.7507228456701318E-3</v>
      </c>
      <c r="BL55" s="965"/>
      <c r="CB55" s="1048"/>
      <c r="CC55" s="1048"/>
      <c r="CD55" s="1048"/>
      <c r="CE55" s="1048"/>
      <c r="CF55" s="1048"/>
      <c r="CG55" s="1048"/>
      <c r="CH55" s="1048"/>
      <c r="CI55" s="1048"/>
      <c r="CJ55" s="1048"/>
      <c r="CK55" s="1048"/>
      <c r="CP55" s="2203"/>
    </row>
    <row r="56" spans="1:108" hidden="1" outlineLevel="2">
      <c r="A56" s="862" t="s">
        <v>17</v>
      </c>
      <c r="B56" s="862"/>
      <c r="C56" s="862"/>
      <c r="D56" s="862"/>
      <c r="E56" s="862"/>
      <c r="F56" s="862"/>
      <c r="G56" s="862"/>
      <c r="H56" s="862"/>
      <c r="I56" s="862"/>
      <c r="J56" s="862"/>
      <c r="K56" s="862"/>
      <c r="L56" s="864">
        <f>L74+L98</f>
        <v>6755</v>
      </c>
      <c r="M56" s="864">
        <f t="shared" ref="M56:W56" si="85">M74+M98</f>
        <v>16762.43</v>
      </c>
      <c r="N56" s="864">
        <f t="shared" si="85"/>
        <v>18182.822899999999</v>
      </c>
      <c r="O56" s="864">
        <f t="shared" si="85"/>
        <v>18728.307587000003</v>
      </c>
      <c r="P56" s="864">
        <f t="shared" si="85"/>
        <v>19290.156814610003</v>
      </c>
      <c r="Q56" s="864">
        <f t="shared" si="85"/>
        <v>19868.861519048303</v>
      </c>
      <c r="R56" s="864">
        <f t="shared" si="85"/>
        <v>20464.927364619751</v>
      </c>
      <c r="S56" s="864">
        <f t="shared" si="85"/>
        <v>21078.875185558343</v>
      </c>
      <c r="T56" s="864">
        <f t="shared" si="85"/>
        <v>21711.241441125094</v>
      </c>
      <c r="U56" s="864">
        <f t="shared" si="85"/>
        <v>22362.57868435885</v>
      </c>
      <c r="V56" s="864">
        <f t="shared" si="85"/>
        <v>23033.456044889615</v>
      </c>
      <c r="W56" s="864">
        <f t="shared" si="85"/>
        <v>23724.459726236306</v>
      </c>
      <c r="X56" s="864">
        <f t="shared" ref="X56:AC56" si="86">X74+X98</f>
        <v>24436.193518023392</v>
      </c>
      <c r="Y56" s="864">
        <f t="shared" si="86"/>
        <v>25169.279323564097</v>
      </c>
      <c r="Z56" s="1248">
        <f t="shared" si="86"/>
        <v>25924.35770327102</v>
      </c>
      <c r="AA56" s="1248">
        <f t="shared" si="86"/>
        <v>26702.08843436915</v>
      </c>
      <c r="AB56" s="1248">
        <f t="shared" si="86"/>
        <v>27503.151087400227</v>
      </c>
      <c r="AC56" s="1248">
        <f t="shared" si="86"/>
        <v>28328.24562002223</v>
      </c>
      <c r="AD56" s="1248">
        <f>AD74+AD98</f>
        <v>29178.092988622899</v>
      </c>
      <c r="AE56" s="1248">
        <f>AE74+AE98</f>
        <v>30053.435778281586</v>
      </c>
      <c r="AF56" s="1248">
        <f>AF74+AF98</f>
        <v>30955.038851630037</v>
      </c>
      <c r="AG56" s="1248">
        <f>AG74+AG98</f>
        <v>31883.690017178938</v>
      </c>
      <c r="AH56" s="962"/>
      <c r="AI56" s="962"/>
      <c r="AJ56" s="962"/>
      <c r="AK56" s="962"/>
      <c r="AL56" s="962"/>
      <c r="AM56" s="862"/>
      <c r="AN56" s="862"/>
      <c r="AO56" s="862"/>
      <c r="AP56" s="862"/>
      <c r="AQ56" s="862"/>
      <c r="AR56" s="936"/>
      <c r="AS56" s="862"/>
      <c r="AT56" s="862"/>
      <c r="AU56" s="862"/>
      <c r="AV56" s="862"/>
      <c r="AW56" s="965"/>
      <c r="AX56" s="864"/>
      <c r="AY56" s="864">
        <f>AY74+AY98</f>
        <v>3197</v>
      </c>
      <c r="AZ56" s="864">
        <f>AZ74+AZ98</f>
        <v>3993</v>
      </c>
      <c r="BA56" s="864">
        <f>BA74+BA98</f>
        <v>3767</v>
      </c>
      <c r="BB56" s="965"/>
      <c r="BC56" s="864">
        <f>BC74+BC98</f>
        <v>3330</v>
      </c>
      <c r="BD56" s="864">
        <f>BD74+BD98</f>
        <v>3336.3199999999997</v>
      </c>
      <c r="BE56" s="864">
        <f>BE74+BE98</f>
        <v>4998.6100000000006</v>
      </c>
      <c r="BF56" s="864">
        <f>BF74+BF98</f>
        <v>5097.5</v>
      </c>
      <c r="BG56" s="965"/>
      <c r="BH56" s="864">
        <f>BH74+BH98</f>
        <v>4298.13</v>
      </c>
      <c r="BI56" s="864">
        <f>BI74+BI98</f>
        <v>3485.6995999999999</v>
      </c>
      <c r="BJ56" s="864">
        <f>BJ74+BJ98</f>
        <v>5148.5682999999999</v>
      </c>
      <c r="BK56" s="864">
        <f>BK74+BK98</f>
        <v>5250.4250000000002</v>
      </c>
      <c r="BL56" s="965"/>
      <c r="CB56" s="1048"/>
      <c r="CC56" s="1048"/>
      <c r="CD56" s="1048"/>
      <c r="CE56" s="1048"/>
      <c r="CF56" s="1048"/>
      <c r="CG56" s="1048"/>
      <c r="CH56" s="1048"/>
      <c r="CI56" s="1048"/>
      <c r="CJ56" s="1048"/>
      <c r="CK56" s="1048"/>
      <c r="CP56" s="2203"/>
    </row>
    <row r="57" spans="1:108" hidden="1" outlineLevel="2">
      <c r="A57" s="862" t="s">
        <v>349</v>
      </c>
      <c r="B57" s="862"/>
      <c r="C57" s="862"/>
      <c r="D57" s="862"/>
      <c r="E57" s="862"/>
      <c r="F57" s="862"/>
      <c r="G57" s="862"/>
      <c r="H57" s="862"/>
      <c r="I57" s="862"/>
      <c r="J57" s="862"/>
      <c r="K57" s="862"/>
      <c r="L57" s="862"/>
      <c r="M57" s="888"/>
      <c r="N57" s="888">
        <f t="shared" ref="N57:Y57" si="87">N56/M56-1</f>
        <v>8.4736693904165383E-2</v>
      </c>
      <c r="O57" s="888">
        <f t="shared" si="87"/>
        <v>3.0000000000000249E-2</v>
      </c>
      <c r="P57" s="888">
        <f t="shared" si="87"/>
        <v>3.0000000000000027E-2</v>
      </c>
      <c r="Q57" s="888">
        <f t="shared" si="87"/>
        <v>3.0000000000000027E-2</v>
      </c>
      <c r="R57" s="888">
        <f t="shared" si="87"/>
        <v>3.0000000000000027E-2</v>
      </c>
      <c r="S57" s="888">
        <f t="shared" si="87"/>
        <v>3.0000000000000027E-2</v>
      </c>
      <c r="T57" s="888">
        <f t="shared" si="87"/>
        <v>3.0000000000000027E-2</v>
      </c>
      <c r="U57" s="888">
        <f t="shared" si="87"/>
        <v>3.0000000000000249E-2</v>
      </c>
      <c r="V57" s="888">
        <f t="shared" si="87"/>
        <v>3.0000000000000027E-2</v>
      </c>
      <c r="W57" s="888">
        <f t="shared" si="87"/>
        <v>3.0000000000000027E-2</v>
      </c>
      <c r="X57" s="888">
        <f t="shared" si="87"/>
        <v>2.9999999999999805E-2</v>
      </c>
      <c r="Y57" s="888">
        <f t="shared" si="87"/>
        <v>3.0000000000000027E-2</v>
      </c>
      <c r="Z57" s="990">
        <f t="shared" ref="Z57:AG57" si="88">Z56/Y56-1</f>
        <v>3.0000000000000027E-2</v>
      </c>
      <c r="AA57" s="990">
        <f t="shared" si="88"/>
        <v>3.0000000000000027E-2</v>
      </c>
      <c r="AB57" s="990">
        <f t="shared" si="88"/>
        <v>3.0000000000000027E-2</v>
      </c>
      <c r="AC57" s="990">
        <f t="shared" si="88"/>
        <v>2.9999999999999805E-2</v>
      </c>
      <c r="AD57" s="990">
        <f t="shared" si="88"/>
        <v>3.0000000000000027E-2</v>
      </c>
      <c r="AE57" s="990">
        <f t="shared" si="88"/>
        <v>3.0000000000000027E-2</v>
      </c>
      <c r="AF57" s="990">
        <f t="shared" si="88"/>
        <v>3.0000000000000027E-2</v>
      </c>
      <c r="AG57" s="990">
        <f t="shared" si="88"/>
        <v>3.0000000000000027E-2</v>
      </c>
      <c r="AH57" s="962"/>
      <c r="AI57" s="962"/>
      <c r="AJ57" s="962"/>
      <c r="AK57" s="962"/>
      <c r="AL57" s="962"/>
      <c r="AM57" s="862"/>
      <c r="AN57" s="862"/>
      <c r="AO57" s="862"/>
      <c r="AP57" s="862"/>
      <c r="AQ57" s="862"/>
      <c r="AR57" s="936"/>
      <c r="AS57" s="862"/>
      <c r="AT57" s="862"/>
      <c r="AU57" s="862"/>
      <c r="AV57" s="862"/>
      <c r="AW57" s="965"/>
      <c r="AX57" s="888"/>
      <c r="AY57" s="888"/>
      <c r="AZ57" s="888"/>
      <c r="BA57" s="888">
        <f>BA56/AZ56-1</f>
        <v>-5.6599048334585511E-2</v>
      </c>
      <c r="BB57" s="965"/>
      <c r="BC57" s="888"/>
      <c r="BD57" s="888">
        <f>BD56/AY56-1</f>
        <v>4.3578354707538125E-2</v>
      </c>
      <c r="BE57" s="888">
        <f>BE56/AZ56-1</f>
        <v>0.2518432256448786</v>
      </c>
      <c r="BF57" s="888">
        <f>BF56/BA56-1</f>
        <v>0.35319883196177337</v>
      </c>
      <c r="BG57" s="965"/>
      <c r="BH57" s="888">
        <f>BH56/BC56-1</f>
        <v>0.29072972972972977</v>
      </c>
      <c r="BI57" s="888">
        <f>BI56/BD56-1</f>
        <v>4.4773762708613107E-2</v>
      </c>
      <c r="BJ57" s="888">
        <f>BJ56/BE56-1</f>
        <v>2.9999999999999805E-2</v>
      </c>
      <c r="BK57" s="888">
        <f>BK56/BF56-1</f>
        <v>3.0000000000000027E-2</v>
      </c>
      <c r="BL57" s="965"/>
      <c r="CB57" s="1048"/>
      <c r="CC57" s="1048"/>
      <c r="CD57" s="1048"/>
      <c r="CE57" s="1048"/>
      <c r="CF57" s="1048"/>
      <c r="CG57" s="1048"/>
      <c r="CH57" s="1048"/>
      <c r="CI57" s="1048"/>
      <c r="CJ57" s="1048"/>
      <c r="CK57" s="1048"/>
      <c r="CP57" s="2203"/>
    </row>
    <row r="58" spans="1:108" hidden="1" outlineLevel="2">
      <c r="A58" s="998"/>
      <c r="B58" s="862"/>
      <c r="C58" s="862"/>
      <c r="D58" s="862"/>
      <c r="E58" s="862"/>
      <c r="F58" s="862"/>
      <c r="G58" s="862"/>
      <c r="H58" s="862"/>
      <c r="I58" s="862"/>
      <c r="J58" s="862"/>
      <c r="K58" s="862"/>
      <c r="L58" s="862"/>
      <c r="M58" s="862"/>
      <c r="N58" s="862"/>
      <c r="O58" s="862"/>
      <c r="P58" s="862"/>
      <c r="Q58" s="862"/>
      <c r="R58" s="862"/>
      <c r="S58" s="862"/>
      <c r="T58" s="862"/>
      <c r="U58" s="862"/>
      <c r="V58" s="862"/>
      <c r="W58" s="862"/>
      <c r="X58" s="862"/>
      <c r="Y58" s="862"/>
      <c r="Z58" s="906"/>
      <c r="AA58" s="906"/>
      <c r="AB58" s="906"/>
      <c r="AC58" s="906"/>
      <c r="AD58" s="906"/>
      <c r="AE58" s="906"/>
      <c r="AF58" s="906"/>
      <c r="AG58" s="962"/>
      <c r="AH58" s="962"/>
      <c r="AI58" s="962"/>
      <c r="AJ58" s="962"/>
      <c r="AK58" s="962"/>
      <c r="AL58" s="962"/>
      <c r="AM58" s="862"/>
      <c r="AN58" s="862"/>
      <c r="AO58" s="862"/>
      <c r="AP58" s="862"/>
      <c r="AQ58" s="862"/>
      <c r="AR58" s="936"/>
      <c r="AS58" s="862"/>
      <c r="AT58" s="862"/>
      <c r="AU58" s="862"/>
      <c r="AV58" s="862"/>
      <c r="AW58" s="965"/>
      <c r="AX58" s="862"/>
      <c r="AY58" s="862"/>
      <c r="AZ58" s="862"/>
      <c r="BA58" s="862"/>
      <c r="BB58" s="965"/>
      <c r="BC58" s="862"/>
      <c r="BD58" s="862"/>
      <c r="BE58" s="862"/>
      <c r="BF58" s="862"/>
      <c r="BG58" s="965"/>
      <c r="BH58" s="906"/>
      <c r="BI58" s="906"/>
      <c r="BJ58" s="906"/>
      <c r="BK58" s="906"/>
      <c r="BL58" s="965"/>
      <c r="CB58" s="1048"/>
      <c r="CC58" s="1048"/>
      <c r="CD58" s="1048"/>
      <c r="CE58" s="1048"/>
      <c r="CF58" s="1048"/>
      <c r="CG58" s="1048"/>
      <c r="CH58" s="1048"/>
      <c r="CI58" s="1048"/>
      <c r="CJ58" s="1048"/>
      <c r="CK58" s="1048"/>
      <c r="CP58" s="2203"/>
    </row>
    <row r="59" spans="1:108" hidden="1" outlineLevel="2">
      <c r="A59" s="999" t="s">
        <v>18</v>
      </c>
      <c r="B59" s="862"/>
      <c r="C59" s="862"/>
      <c r="D59" s="862"/>
      <c r="E59" s="862"/>
      <c r="F59" s="862"/>
      <c r="G59" s="862"/>
      <c r="H59" s="862"/>
      <c r="I59" s="862"/>
      <c r="J59" s="862"/>
      <c r="K59" s="862"/>
      <c r="L59" s="862"/>
      <c r="M59" s="862"/>
      <c r="N59" s="862"/>
      <c r="O59" s="862"/>
      <c r="P59" s="862"/>
      <c r="Q59" s="862"/>
      <c r="R59" s="862"/>
      <c r="S59" s="862"/>
      <c r="T59" s="862"/>
      <c r="U59" s="862"/>
      <c r="V59" s="862"/>
      <c r="W59" s="862"/>
      <c r="X59" s="862"/>
      <c r="Y59" s="862"/>
      <c r="Z59" s="906"/>
      <c r="AA59" s="906"/>
      <c r="AB59" s="906"/>
      <c r="AC59" s="906"/>
      <c r="AD59" s="906"/>
      <c r="AE59" s="906"/>
      <c r="AF59" s="906"/>
      <c r="AG59" s="906"/>
      <c r="AH59" s="962"/>
      <c r="AI59" s="962"/>
      <c r="AJ59" s="962"/>
      <c r="AK59" s="962"/>
      <c r="AL59" s="962"/>
      <c r="AM59" s="862"/>
      <c r="AN59" s="862"/>
      <c r="AO59" s="862"/>
      <c r="AP59" s="862"/>
      <c r="AQ59" s="862"/>
      <c r="AR59" s="936"/>
      <c r="AS59" s="862"/>
      <c r="AT59" s="862"/>
      <c r="AU59" s="862"/>
      <c r="AV59" s="862"/>
      <c r="AW59" s="965"/>
      <c r="AX59" s="862"/>
      <c r="AY59" s="862"/>
      <c r="AZ59" s="862"/>
      <c r="BA59" s="862"/>
      <c r="BB59" s="965"/>
      <c r="BC59" s="862"/>
      <c r="BD59" s="862"/>
      <c r="BE59" s="862"/>
      <c r="BF59" s="862"/>
      <c r="BG59" s="965"/>
      <c r="BH59" s="906"/>
      <c r="BI59" s="906"/>
      <c r="BJ59" s="906"/>
      <c r="BK59" s="906"/>
      <c r="BL59" s="965"/>
      <c r="CB59" s="1048"/>
      <c r="CC59" s="1048"/>
      <c r="CD59" s="1048"/>
      <c r="CE59" s="1048"/>
      <c r="CF59" s="1048"/>
      <c r="CG59" s="1048"/>
      <c r="CH59" s="1048"/>
      <c r="CI59" s="1048"/>
      <c r="CJ59" s="1048"/>
      <c r="CK59" s="1048"/>
      <c r="CP59" s="2203"/>
    </row>
    <row r="60" spans="1:108" hidden="1" outlineLevel="2">
      <c r="A60" s="996" t="s">
        <v>14</v>
      </c>
      <c r="B60" s="862"/>
      <c r="C60" s="862"/>
      <c r="D60" s="862"/>
      <c r="E60" s="862"/>
      <c r="F60" s="862"/>
      <c r="G60" s="862"/>
      <c r="H60" s="862"/>
      <c r="I60" s="862"/>
      <c r="J60" s="862"/>
      <c r="K60" s="862"/>
      <c r="L60" s="1000">
        <f>AVERAGE(AX60:BA60)</f>
        <v>124.76433333333334</v>
      </c>
      <c r="M60" s="1001">
        <f>AVERAGE(BC60:BF60)</f>
        <v>130.51640166666667</v>
      </c>
      <c r="N60" s="1002">
        <f>AVERAGE(BH60:BK60)</f>
        <v>133.35242246666667</v>
      </c>
      <c r="O60" s="1207">
        <f>AVERAGE(BM60:BP60)</f>
        <v>134.35793117466667</v>
      </c>
      <c r="P60" s="1207">
        <f>AVERAGE(BR60:BU60)</f>
        <v>135.0525557011425</v>
      </c>
      <c r="Q60" s="1207">
        <f>AVERAGE(BW60:BZ60)</f>
        <v>135.0525557011425</v>
      </c>
      <c r="R60" s="1322">
        <f>AVERAGE(CB60:CE60)</f>
        <v>135.0525557011425</v>
      </c>
      <c r="S60" s="1322">
        <f>AVERAGE(CG60:CJ60)</f>
        <v>135.0525557011425</v>
      </c>
      <c r="T60" s="1322">
        <f>AVERAGE(CL60:CO60)</f>
        <v>135.0525557011425</v>
      </c>
      <c r="U60" s="1322">
        <f>AVERAGE(CQ60:CT60)</f>
        <v>135.0525557011425</v>
      </c>
      <c r="V60" s="1322">
        <f>AVERAGE(CV60:CY60)</f>
        <v>135.0525557011425</v>
      </c>
      <c r="W60" s="1322">
        <f>AVERAGE(DA60:DD60)</f>
        <v>135.0525557011425</v>
      </c>
      <c r="X60" s="947">
        <f t="shared" ref="X60:AG60" si="89">W60*(1+X61)</f>
        <v>135.0525557011425</v>
      </c>
      <c r="Y60" s="947">
        <f t="shared" si="89"/>
        <v>135.0525557011425</v>
      </c>
      <c r="Z60" s="936">
        <f t="shared" si="89"/>
        <v>135.0525557011425</v>
      </c>
      <c r="AA60" s="936">
        <f t="shared" si="89"/>
        <v>135.0525557011425</v>
      </c>
      <c r="AB60" s="936">
        <f t="shared" si="89"/>
        <v>135.0525557011425</v>
      </c>
      <c r="AC60" s="936">
        <f t="shared" si="89"/>
        <v>135.0525557011425</v>
      </c>
      <c r="AD60" s="936">
        <f t="shared" si="89"/>
        <v>135.0525557011425</v>
      </c>
      <c r="AE60" s="936">
        <f t="shared" si="89"/>
        <v>135.0525557011425</v>
      </c>
      <c r="AF60" s="936">
        <f t="shared" si="89"/>
        <v>135.0525557011425</v>
      </c>
      <c r="AG60" s="936">
        <f t="shared" si="89"/>
        <v>135.0525557011425</v>
      </c>
      <c r="AH60" s="962"/>
      <c r="AI60" s="962"/>
      <c r="AJ60" s="962"/>
      <c r="AK60" s="962"/>
      <c r="AL60" s="962"/>
      <c r="AM60" s="862"/>
      <c r="AN60" s="862"/>
      <c r="AO60" s="862"/>
      <c r="AP60" s="862"/>
      <c r="AQ60" s="862"/>
      <c r="AR60" s="936"/>
      <c r="AS60" s="862"/>
      <c r="AT60" s="862"/>
      <c r="AU60" s="862"/>
      <c r="AV60" s="862"/>
      <c r="AW60" s="965"/>
      <c r="AX60" s="1003"/>
      <c r="AY60" s="1003">
        <v>119.80833333333334</v>
      </c>
      <c r="AZ60" s="1003">
        <v>123.63966666666666</v>
      </c>
      <c r="BA60" s="1003">
        <v>130.845</v>
      </c>
      <c r="BB60" s="965"/>
      <c r="BC60" s="1003">
        <v>127.38466666666666</v>
      </c>
      <c r="BD60" s="947">
        <f>AY60*(1+BD61)</f>
        <v>123.40258333333334</v>
      </c>
      <c r="BE60" s="947">
        <f>AZ60*(1+BE61)</f>
        <v>127.34885666666666</v>
      </c>
      <c r="BF60" s="947">
        <f>BA60*(1+BF61)</f>
        <v>143.92950000000002</v>
      </c>
      <c r="BG60" s="965"/>
      <c r="BH60" s="1004">
        <f>BC60*(1+BH61)</f>
        <v>131.20620666666667</v>
      </c>
      <c r="BI60" s="1004">
        <f>BD60*(1+BI61)</f>
        <v>127.10466083333334</v>
      </c>
      <c r="BJ60" s="1004">
        <f>BE60*(1+BJ61)</f>
        <v>131.16932236666668</v>
      </c>
      <c r="BK60" s="1004">
        <f>BF60*(1+BK61)</f>
        <v>143.92950000000002</v>
      </c>
      <c r="BL60" s="965"/>
      <c r="BM60" s="1004">
        <f>BH60*(1+BM61)</f>
        <v>131.20620666666667</v>
      </c>
      <c r="BN60" s="1004">
        <f>BI60*(1+BN61)</f>
        <v>128.37570744166666</v>
      </c>
      <c r="BO60" s="1004">
        <f>BJ60*(1+BO61)</f>
        <v>132.48101559033336</v>
      </c>
      <c r="BP60" s="1004">
        <f>BK60*(1+BP61)</f>
        <v>145.36879500000003</v>
      </c>
      <c r="BR60" s="1004">
        <f>BM60*(1+BR61)</f>
        <v>131.20620666666667</v>
      </c>
      <c r="BS60" s="1004">
        <f>BN60*(1+BS61)</f>
        <v>128.37570744166666</v>
      </c>
      <c r="BT60" s="1004">
        <f>BO60*(1+BT61)</f>
        <v>133.80582574623668</v>
      </c>
      <c r="BU60" s="1004">
        <f>BP60*(1+BU61)</f>
        <v>146.82248295000002</v>
      </c>
      <c r="BW60" s="1004">
        <f>BR60*(1+BW61)</f>
        <v>131.20620666666667</v>
      </c>
      <c r="BX60" s="1004">
        <f>BS60*(1+BX61)</f>
        <v>128.37570744166666</v>
      </c>
      <c r="BY60" s="1004">
        <f>BT60*(1+BY61)</f>
        <v>133.80582574623668</v>
      </c>
      <c r="BZ60" s="1004">
        <f>BU60*(1+BZ61)</f>
        <v>146.82248295000002</v>
      </c>
      <c r="CB60" s="1247">
        <f>BW60*(1+CB61)</f>
        <v>131.20620666666667</v>
      </c>
      <c r="CC60" s="1247">
        <f>BX60*(1+CC61)</f>
        <v>128.37570744166666</v>
      </c>
      <c r="CD60" s="1247">
        <f>BY60*(1+CD61)</f>
        <v>133.80582574623668</v>
      </c>
      <c r="CE60" s="1247">
        <f>BZ60*(1+CE61)</f>
        <v>146.82248295000002</v>
      </c>
      <c r="CF60" s="1048"/>
      <c r="CG60" s="1452">
        <f>CB60*(1+CG61)</f>
        <v>131.20620666666667</v>
      </c>
      <c r="CH60" s="1452">
        <f>CC60*(1+CH61)</f>
        <v>128.37570744166666</v>
      </c>
      <c r="CI60" s="1452">
        <f>CD60*(1+CI61)</f>
        <v>133.80582574623668</v>
      </c>
      <c r="CJ60" s="1247">
        <f>CE60*(1+CJ61)</f>
        <v>146.82248295000002</v>
      </c>
      <c r="CK60" s="1048"/>
      <c r="CL60" s="1465">
        <f>CG60*(1+CL61)</f>
        <v>131.20620666666667</v>
      </c>
      <c r="CM60" s="1465">
        <f>CH60*(1+CM61)</f>
        <v>128.37570744166666</v>
      </c>
      <c r="CN60" s="1465">
        <f>CI60*(1+CN61)</f>
        <v>133.80582574623668</v>
      </c>
      <c r="CO60" s="1465">
        <f>CJ60*(1+CO61)</f>
        <v>146.82248295000002</v>
      </c>
      <c r="CP60" s="2203"/>
      <c r="CQ60" s="1465">
        <f>CL60*(1+CQ61)</f>
        <v>131.20620666666667</v>
      </c>
      <c r="CR60" s="1465">
        <f>CM60*(1+CR61)</f>
        <v>128.37570744166666</v>
      </c>
      <c r="CS60" s="1465">
        <f>CN60*(1+CS61)</f>
        <v>133.80582574623668</v>
      </c>
      <c r="CT60" s="1465">
        <f>CO60*(1+CT61)</f>
        <v>146.82248295000002</v>
      </c>
      <c r="CU60" s="1048"/>
      <c r="CV60" s="1465">
        <f>CQ60*(1+CV61)</f>
        <v>131.20620666666667</v>
      </c>
      <c r="CW60" s="1465">
        <f>CR60*(1+CW61)</f>
        <v>128.37570744166666</v>
      </c>
      <c r="CX60" s="1465">
        <f>CS60*(1+CX61)</f>
        <v>133.80582574623668</v>
      </c>
      <c r="CY60" s="1465">
        <f>CT60*(1+CY61)</f>
        <v>146.82248295000002</v>
      </c>
      <c r="CZ60" s="1048"/>
      <c r="DA60" s="1465">
        <f>CV60*(1+DA61)</f>
        <v>131.20620666666667</v>
      </c>
      <c r="DB60" s="1465">
        <f>CW60*(1+DB61)</f>
        <v>128.37570744166666</v>
      </c>
      <c r="DC60" s="1465">
        <f>CX60*(1+DC61)</f>
        <v>133.80582574623668</v>
      </c>
      <c r="DD60" s="1465">
        <f>CY60*(1+DD61)</f>
        <v>146.82248295000002</v>
      </c>
    </row>
    <row r="61" spans="1:108" hidden="1" outlineLevel="2">
      <c r="A61" s="1005" t="s">
        <v>676</v>
      </c>
      <c r="B61" s="862"/>
      <c r="C61" s="862"/>
      <c r="D61" s="862"/>
      <c r="E61" s="862"/>
      <c r="F61" s="862"/>
      <c r="G61" s="862"/>
      <c r="H61" s="862"/>
      <c r="I61" s="862"/>
      <c r="J61" s="862"/>
      <c r="K61" s="862"/>
      <c r="L61" s="862"/>
      <c r="M61" s="888">
        <f t="shared" ref="M61:W61" si="90">M60/L60-1</f>
        <v>4.610346706991586E-2</v>
      </c>
      <c r="N61" s="888">
        <f t="shared" si="90"/>
        <v>2.1729229152693597E-2</v>
      </c>
      <c r="O61" s="990">
        <f t="shared" si="90"/>
        <v>7.5402357857530244E-3</v>
      </c>
      <c r="P61" s="990">
        <f t="shared" si="90"/>
        <v>5.1699555091599958E-3</v>
      </c>
      <c r="Q61" s="990">
        <f t="shared" si="90"/>
        <v>0</v>
      </c>
      <c r="R61" s="990">
        <f t="shared" si="90"/>
        <v>0</v>
      </c>
      <c r="S61" s="990">
        <f t="shared" si="90"/>
        <v>0</v>
      </c>
      <c r="T61" s="990">
        <f t="shared" si="90"/>
        <v>0</v>
      </c>
      <c r="U61" s="990">
        <f t="shared" si="90"/>
        <v>0</v>
      </c>
      <c r="V61" s="990">
        <f t="shared" si="90"/>
        <v>0</v>
      </c>
      <c r="W61" s="990">
        <f t="shared" si="90"/>
        <v>0</v>
      </c>
      <c r="X61" s="991">
        <v>0</v>
      </c>
      <c r="Y61" s="991">
        <v>0</v>
      </c>
      <c r="Z61" s="992">
        <v>0</v>
      </c>
      <c r="AA61" s="992">
        <v>0</v>
      </c>
      <c r="AB61" s="992">
        <v>0</v>
      </c>
      <c r="AC61" s="992">
        <v>0</v>
      </c>
      <c r="AD61" s="992">
        <v>0</v>
      </c>
      <c r="AE61" s="992">
        <v>0</v>
      </c>
      <c r="AF61" s="992">
        <v>0</v>
      </c>
      <c r="AG61" s="992">
        <v>0</v>
      </c>
      <c r="AH61" s="962"/>
      <c r="AI61" s="962"/>
      <c r="AJ61" s="962"/>
      <c r="AK61" s="962"/>
      <c r="AL61" s="962"/>
      <c r="AM61" s="862"/>
      <c r="AN61" s="862"/>
      <c r="AO61" s="862"/>
      <c r="AP61" s="862"/>
      <c r="AQ61" s="862"/>
      <c r="AR61" s="936"/>
      <c r="AS61" s="862"/>
      <c r="AT61" s="862"/>
      <c r="AU61" s="862"/>
      <c r="AV61" s="862"/>
      <c r="AW61" s="965"/>
      <c r="AX61" s="862"/>
      <c r="AY61" s="862"/>
      <c r="AZ61" s="862"/>
      <c r="BA61" s="862"/>
      <c r="BB61" s="965"/>
      <c r="BC61" s="888"/>
      <c r="BD61" s="991">
        <v>0.03</v>
      </c>
      <c r="BE61" s="991">
        <f>BD61</f>
        <v>0.03</v>
      </c>
      <c r="BF61" s="991">
        <v>0.1</v>
      </c>
      <c r="BG61" s="965"/>
      <c r="BH61" s="902">
        <v>0.03</v>
      </c>
      <c r="BI61" s="902">
        <v>0.03</v>
      </c>
      <c r="BJ61" s="902">
        <v>0.03</v>
      </c>
      <c r="BK61" s="902">
        <v>0</v>
      </c>
      <c r="BL61" s="965"/>
      <c r="BM61" s="902">
        <v>0</v>
      </c>
      <c r="BN61" s="902">
        <v>0.01</v>
      </c>
      <c r="BO61" s="902">
        <v>0.01</v>
      </c>
      <c r="BP61" s="902">
        <v>0.01</v>
      </c>
      <c r="BR61" s="902">
        <v>0</v>
      </c>
      <c r="BS61" s="902">
        <v>0</v>
      </c>
      <c r="BT61" s="902">
        <v>0.01</v>
      </c>
      <c r="BU61" s="902">
        <v>0.01</v>
      </c>
      <c r="BW61" s="902">
        <v>0</v>
      </c>
      <c r="BX61" s="902">
        <v>0</v>
      </c>
      <c r="BY61" s="902">
        <v>0</v>
      </c>
      <c r="BZ61" s="902">
        <v>0</v>
      </c>
      <c r="CB61" s="1035">
        <v>0</v>
      </c>
      <c r="CC61" s="1035">
        <v>0</v>
      </c>
      <c r="CD61" s="1035">
        <v>0</v>
      </c>
      <c r="CE61" s="1035">
        <v>0</v>
      </c>
      <c r="CF61" s="1048"/>
      <c r="CG61" s="1459">
        <v>0</v>
      </c>
      <c r="CH61" s="1459">
        <v>0</v>
      </c>
      <c r="CI61" s="1459">
        <v>0</v>
      </c>
      <c r="CJ61" s="1459">
        <v>0</v>
      </c>
      <c r="CK61" s="1048"/>
      <c r="CL61" s="1602">
        <v>0</v>
      </c>
      <c r="CM61" s="1602">
        <v>0</v>
      </c>
      <c r="CN61" s="1602">
        <v>0</v>
      </c>
      <c r="CO61" s="1459">
        <v>0</v>
      </c>
      <c r="CP61" s="2203"/>
      <c r="CQ61" s="1602">
        <v>0</v>
      </c>
      <c r="CR61" s="1602">
        <v>0</v>
      </c>
      <c r="CS61" s="1602">
        <v>0</v>
      </c>
      <c r="CT61" s="1459">
        <v>0</v>
      </c>
      <c r="CU61" s="1048"/>
      <c r="CV61" s="1602">
        <v>0</v>
      </c>
      <c r="CW61" s="1602">
        <v>0</v>
      </c>
      <c r="CX61" s="1602">
        <v>0</v>
      </c>
      <c r="CY61" s="1459">
        <v>0</v>
      </c>
      <c r="CZ61" s="1048"/>
      <c r="DA61" s="1602">
        <v>0</v>
      </c>
      <c r="DB61" s="1602">
        <v>0</v>
      </c>
      <c r="DC61" s="1602">
        <v>0</v>
      </c>
      <c r="DD61" s="1459">
        <v>0</v>
      </c>
    </row>
    <row r="62" spans="1:108" hidden="1" outlineLevel="2">
      <c r="A62" s="1005" t="s">
        <v>19</v>
      </c>
      <c r="B62" s="862"/>
      <c r="C62" s="862"/>
      <c r="D62" s="862"/>
      <c r="E62" s="862"/>
      <c r="F62" s="862"/>
      <c r="G62" s="862"/>
      <c r="H62" s="862"/>
      <c r="I62" s="862"/>
      <c r="J62" s="862"/>
      <c r="K62" s="862"/>
      <c r="L62" s="888">
        <f t="shared" ref="L62:S62" si="91">L60/L46</f>
        <v>0.58828901043631332</v>
      </c>
      <c r="M62" s="888">
        <f t="shared" si="91"/>
        <v>0.60040114483566565</v>
      </c>
      <c r="N62" s="888">
        <f t="shared" si="91"/>
        <v>0.5955799989275139</v>
      </c>
      <c r="O62" s="990">
        <f t="shared" si="91"/>
        <v>0.58259302189194739</v>
      </c>
      <c r="P62" s="990">
        <f t="shared" si="91"/>
        <v>0.56854854552919987</v>
      </c>
      <c r="Q62" s="990">
        <f t="shared" si="91"/>
        <v>0.55198887915456296</v>
      </c>
      <c r="R62" s="888">
        <f t="shared" si="91"/>
        <v>0.5359115331597698</v>
      </c>
      <c r="S62" s="888">
        <f t="shared" si="91"/>
        <v>0.52030245937841735</v>
      </c>
      <c r="T62" s="888">
        <f>T60/T46</f>
        <v>0.50514801881399729</v>
      </c>
      <c r="U62" s="888">
        <f>U60/U46</f>
        <v>0.49043496972232747</v>
      </c>
      <c r="V62" s="888">
        <f>V60/V46</f>
        <v>0.47615045604109463</v>
      </c>
      <c r="W62" s="888">
        <f>W60/W46</f>
        <v>0.46228199615640247</v>
      </c>
      <c r="X62" s="888">
        <f t="shared" ref="X62:AC62" si="92">X60/X46</f>
        <v>0.44881747199650729</v>
      </c>
      <c r="Y62" s="888">
        <f t="shared" si="92"/>
        <v>0.4357451184432109</v>
      </c>
      <c r="Z62" s="990">
        <f t="shared" si="92"/>
        <v>0.42305351305166106</v>
      </c>
      <c r="AA62" s="990">
        <f t="shared" si="92"/>
        <v>0.41073156606957378</v>
      </c>
      <c r="AB62" s="990">
        <f t="shared" si="92"/>
        <v>0.39876851074715902</v>
      </c>
      <c r="AC62" s="990">
        <f t="shared" si="92"/>
        <v>0.38715389392928062</v>
      </c>
      <c r="AD62" s="990">
        <f>AD60/AD46</f>
        <v>0.37587756692163171</v>
      </c>
      <c r="AE62" s="990">
        <f>AE60/AE46</f>
        <v>0.36492967662294334</v>
      </c>
      <c r="AF62" s="990">
        <f>AF60/AF46</f>
        <v>0.35430065691547896</v>
      </c>
      <c r="AG62" s="990">
        <f>AG60/AG46</f>
        <v>0.34398122030629025</v>
      </c>
      <c r="AH62" s="962"/>
      <c r="AI62" s="962"/>
      <c r="AJ62" s="962"/>
      <c r="AK62" s="962"/>
      <c r="AL62" s="962"/>
      <c r="AM62" s="862"/>
      <c r="AN62" s="862"/>
      <c r="AO62" s="862"/>
      <c r="AP62" s="862"/>
      <c r="AQ62" s="862"/>
      <c r="AR62" s="936"/>
      <c r="AS62" s="862"/>
      <c r="AT62" s="862"/>
      <c r="AU62" s="862"/>
      <c r="AV62" s="862"/>
      <c r="AW62" s="965"/>
      <c r="AX62" s="862"/>
      <c r="AY62" s="862"/>
      <c r="AZ62" s="862"/>
      <c r="BA62" s="862"/>
      <c r="BB62" s="965"/>
      <c r="BC62" s="862"/>
      <c r="BD62" s="862"/>
      <c r="BE62" s="862"/>
      <c r="BF62" s="862"/>
      <c r="BG62" s="965"/>
      <c r="BH62" s="906"/>
      <c r="BI62" s="906"/>
      <c r="BJ62" s="906"/>
      <c r="BK62" s="906"/>
      <c r="BL62" s="965"/>
      <c r="CB62" s="1048"/>
      <c r="CC62" s="1048"/>
      <c r="CD62" s="1048"/>
      <c r="CE62" s="1048"/>
      <c r="CF62" s="1048"/>
      <c r="CG62" s="1048"/>
      <c r="CH62" s="1048"/>
      <c r="CI62" s="1048"/>
      <c r="CJ62" s="1048"/>
      <c r="CK62" s="1048"/>
      <c r="CP62" s="2203"/>
      <c r="CQ62" s="1577"/>
      <c r="CR62" s="1577"/>
      <c r="CS62" s="1577"/>
      <c r="CT62" s="1577"/>
      <c r="CU62" s="1048"/>
      <c r="CZ62" s="1048"/>
      <c r="DA62" s="1577"/>
      <c r="DB62" s="1577"/>
      <c r="DC62" s="1577"/>
      <c r="DD62" s="1577"/>
    </row>
    <row r="63" spans="1:108" hidden="1" outlineLevel="2">
      <c r="A63" s="1006" t="s">
        <v>20</v>
      </c>
      <c r="B63" s="862"/>
      <c r="C63" s="862"/>
      <c r="D63" s="862"/>
      <c r="E63" s="862"/>
      <c r="F63" s="862"/>
      <c r="G63" s="862"/>
      <c r="H63" s="862"/>
      <c r="I63" s="862"/>
      <c r="J63" s="862"/>
      <c r="K63" s="862"/>
      <c r="L63" s="1007">
        <f t="shared" ref="L63:R63" si="93">L65/L60/12</f>
        <v>18.643816475328151</v>
      </c>
      <c r="M63" s="1007">
        <f t="shared" si="93"/>
        <v>17.338421105975687</v>
      </c>
      <c r="N63" s="1007">
        <f t="shared" si="93"/>
        <v>17.224290461671043</v>
      </c>
      <c r="O63" s="1208">
        <f t="shared" si="93"/>
        <v>17.179580045279454</v>
      </c>
      <c r="P63" s="1208">
        <f t="shared" si="93"/>
        <v>16.414040321128461</v>
      </c>
      <c r="Q63" s="1208">
        <f t="shared" si="93"/>
        <v>16.414040321128461</v>
      </c>
      <c r="R63" s="1208">
        <f t="shared" si="93"/>
        <v>16.414040321128461</v>
      </c>
      <c r="S63" s="1208">
        <f>S65/S60/12</f>
        <v>16.414040321128461</v>
      </c>
      <c r="T63" s="1208">
        <f>T65/T60/12</f>
        <v>16.414040321128461</v>
      </c>
      <c r="U63" s="1208">
        <f>U65/U60/12</f>
        <v>16.414040321128461</v>
      </c>
      <c r="V63" s="1208">
        <f>V65/V60/12</f>
        <v>16.414040321128461</v>
      </c>
      <c r="W63" s="1208">
        <f>W65/W60/12</f>
        <v>16.414040321128461</v>
      </c>
      <c r="X63" s="1008">
        <f t="shared" ref="X63:AG63" si="94">W63</f>
        <v>16.414040321128461</v>
      </c>
      <c r="Y63" s="1008">
        <f t="shared" si="94"/>
        <v>16.414040321128461</v>
      </c>
      <c r="Z63" s="1250">
        <f t="shared" si="94"/>
        <v>16.414040321128461</v>
      </c>
      <c r="AA63" s="1250">
        <f t="shared" si="94"/>
        <v>16.414040321128461</v>
      </c>
      <c r="AB63" s="1250">
        <f t="shared" si="94"/>
        <v>16.414040321128461</v>
      </c>
      <c r="AC63" s="1250">
        <f t="shared" si="94"/>
        <v>16.414040321128461</v>
      </c>
      <c r="AD63" s="1250">
        <f t="shared" si="94"/>
        <v>16.414040321128461</v>
      </c>
      <c r="AE63" s="1250">
        <f t="shared" si="94"/>
        <v>16.414040321128461</v>
      </c>
      <c r="AF63" s="1250">
        <f t="shared" si="94"/>
        <v>16.414040321128461</v>
      </c>
      <c r="AG63" s="1250">
        <f t="shared" si="94"/>
        <v>16.414040321128461</v>
      </c>
      <c r="AH63" s="962"/>
      <c r="AI63" s="962"/>
      <c r="AJ63" s="962"/>
      <c r="AK63" s="962"/>
      <c r="AL63" s="962"/>
      <c r="AM63" s="862"/>
      <c r="AN63" s="862"/>
      <c r="AO63" s="862"/>
      <c r="AP63" s="862"/>
      <c r="AQ63" s="862"/>
      <c r="AR63" s="936"/>
      <c r="AS63" s="862"/>
      <c r="AT63" s="862"/>
      <c r="AU63" s="862"/>
      <c r="AV63" s="862"/>
      <c r="AW63" s="965"/>
      <c r="AX63" s="864"/>
      <c r="AY63" s="864">
        <f>+AY65/AY60/3</f>
        <v>20.496626556305209</v>
      </c>
      <c r="AZ63" s="864">
        <f>+AZ65/AZ60/3</f>
        <v>19.376198037846539</v>
      </c>
      <c r="BA63" s="864">
        <f>+BA65/BA60/3</f>
        <v>15.264880838651329</v>
      </c>
      <c r="BB63" s="965"/>
      <c r="BC63" s="864">
        <f>+BC65/BC60/3</f>
        <v>15.682159548244949</v>
      </c>
      <c r="BD63" s="864">
        <f>+BD65/BD60/3</f>
        <v>20.496626556305209</v>
      </c>
      <c r="BE63" s="864">
        <f>+BE65/BE60/3</f>
        <v>19.376198037846539</v>
      </c>
      <c r="BF63" s="864">
        <f>+BF65/BF60/3</f>
        <v>14.293479330737155</v>
      </c>
      <c r="BG63" s="965"/>
      <c r="BH63" s="864">
        <f>+BH65/BH60/3</f>
        <v>15.682159548244947</v>
      </c>
      <c r="BI63" s="864">
        <f>+BI65/BI60/3</f>
        <v>20.496626556305209</v>
      </c>
      <c r="BJ63" s="864">
        <f>+BJ65/BJ60/3</f>
        <v>18.811842755190813</v>
      </c>
      <c r="BK63" s="864">
        <f>+BK65/BK60/3</f>
        <v>14.293479330737155</v>
      </c>
      <c r="BL63" s="965"/>
      <c r="BM63" s="864">
        <f>+BM65/BM60/3</f>
        <v>15.682159548244947</v>
      </c>
      <c r="BN63" s="864">
        <f>+BN65/BN60/3</f>
        <v>20.293689659708129</v>
      </c>
      <c r="BO63" s="864">
        <f>+BO65/BO60/3</f>
        <v>18.811842755190813</v>
      </c>
      <c r="BP63" s="864">
        <f>+BP65/BP60/3</f>
        <v>14.293479330737151</v>
      </c>
      <c r="BR63" s="864">
        <f>+BR65/BR60/3</f>
        <v>12.545727638595958</v>
      </c>
      <c r="BS63" s="864">
        <f>+BS65/BS60/3</f>
        <v>20.293689659708129</v>
      </c>
      <c r="BT63" s="864">
        <f>+BT65/BT60/3</f>
        <v>18.811842755190813</v>
      </c>
      <c r="BU63" s="864">
        <f>+BU65/BU60/3</f>
        <v>14.293479330737151</v>
      </c>
      <c r="BW63" s="864">
        <f>+BW65/BW60/3</f>
        <v>12.545727638595958</v>
      </c>
      <c r="BX63" s="864">
        <f>+BX65/BX60/3</f>
        <v>20.293689659708129</v>
      </c>
      <c r="BY63" s="864">
        <f>+BY65/BY60/3</f>
        <v>18.811842755190813</v>
      </c>
      <c r="BZ63" s="864">
        <f>+BZ65/BZ60/3</f>
        <v>14.293479330737151</v>
      </c>
      <c r="CB63" s="1248">
        <f>+CB65/CB60/3</f>
        <v>12.545727638595958</v>
      </c>
      <c r="CC63" s="1248">
        <f>+CC65/CC60/3</f>
        <v>20.293689659708129</v>
      </c>
      <c r="CD63" s="1248">
        <f>+CD65/CD60/3</f>
        <v>18.811842755190813</v>
      </c>
      <c r="CE63" s="1248">
        <f>+CE65/CE60/3</f>
        <v>14.293479330737151</v>
      </c>
      <c r="CF63" s="1048"/>
      <c r="CG63" s="1453">
        <f>+CG65/CG60/3</f>
        <v>12.545727638595958</v>
      </c>
      <c r="CH63" s="1453">
        <f>+CH65/CH60/3</f>
        <v>20.293689659708129</v>
      </c>
      <c r="CI63" s="1453">
        <f>+CI65/CI60/3</f>
        <v>18.811842755190813</v>
      </c>
      <c r="CJ63" s="1248">
        <f>+CJ65/CJ60/3</f>
        <v>14.293479330737151</v>
      </c>
      <c r="CK63" s="1048"/>
      <c r="CL63" s="1603">
        <f>+CL65/CL60/3</f>
        <v>12.545727638595958</v>
      </c>
      <c r="CM63" s="1603">
        <f>+CM65/CM60/3</f>
        <v>20.293689659708129</v>
      </c>
      <c r="CN63" s="1603">
        <f>+CN65/CN60/3</f>
        <v>18.811842755190813</v>
      </c>
      <c r="CO63" s="1603">
        <f>+CO65/CO60/3</f>
        <v>14.293479330737151</v>
      </c>
      <c r="CP63" s="2203"/>
      <c r="CQ63" s="1603">
        <f>+CQ65/CQ60/3</f>
        <v>12.545727638595958</v>
      </c>
      <c r="CR63" s="1603">
        <f>+CR65/CR60/3</f>
        <v>20.293689659708129</v>
      </c>
      <c r="CS63" s="1603">
        <f>+CS65/CS60/3</f>
        <v>18.811842755190813</v>
      </c>
      <c r="CT63" s="1603">
        <f>+CT65/CT60/3</f>
        <v>14.293479330737151</v>
      </c>
      <c r="CU63" s="1048"/>
      <c r="CV63" s="1603">
        <f>+CV65/CV60/3</f>
        <v>12.545727638595958</v>
      </c>
      <c r="CW63" s="1603">
        <f>+CW65/CW60/3</f>
        <v>20.293689659708129</v>
      </c>
      <c r="CX63" s="1603">
        <f>+CX65/CX60/3</f>
        <v>18.811842755190813</v>
      </c>
      <c r="CY63" s="1603">
        <f>+CY65/CY60/3</f>
        <v>14.293479330737151</v>
      </c>
      <c r="CZ63" s="1048"/>
      <c r="DA63" s="1603">
        <f>+DA65/DA60/3</f>
        <v>12.545727638595958</v>
      </c>
      <c r="DB63" s="1603">
        <f>+DB65/DB60/3</f>
        <v>20.293689659708129</v>
      </c>
      <c r="DC63" s="1603">
        <f>+DC65/DC60/3</f>
        <v>18.811842755190813</v>
      </c>
      <c r="DD63" s="1603">
        <f>+DD65/DD60/3</f>
        <v>14.293479330737151</v>
      </c>
    </row>
    <row r="64" spans="1:108" hidden="1" outlineLevel="2">
      <c r="A64" s="1005" t="s">
        <v>676</v>
      </c>
      <c r="B64" s="862"/>
      <c r="C64" s="862"/>
      <c r="D64" s="862"/>
      <c r="E64" s="862"/>
      <c r="F64" s="862"/>
      <c r="G64" s="862"/>
      <c r="H64" s="862"/>
      <c r="I64" s="862"/>
      <c r="J64" s="862"/>
      <c r="K64" s="862"/>
      <c r="L64" s="883"/>
      <c r="M64" s="975">
        <f>M63/L63-1</f>
        <v>-7.0017604554299728E-2</v>
      </c>
      <c r="N64" s="975">
        <f t="shared" ref="N64:Y64" si="95">N63/M63-1</f>
        <v>-6.582528109512209E-3</v>
      </c>
      <c r="O64" s="1163">
        <f t="shared" si="95"/>
        <v>-2.5957769634158412E-3</v>
      </c>
      <c r="P64" s="1163">
        <f t="shared" si="95"/>
        <v>-4.4561026645197122E-2</v>
      </c>
      <c r="Q64" s="1163">
        <f t="shared" si="95"/>
        <v>0</v>
      </c>
      <c r="R64" s="1163">
        <f t="shared" si="95"/>
        <v>0</v>
      </c>
      <c r="S64" s="1163">
        <f t="shared" si="95"/>
        <v>0</v>
      </c>
      <c r="T64" s="1163">
        <f t="shared" si="95"/>
        <v>0</v>
      </c>
      <c r="U64" s="1163">
        <f t="shared" si="95"/>
        <v>0</v>
      </c>
      <c r="V64" s="1163">
        <f t="shared" si="95"/>
        <v>0</v>
      </c>
      <c r="W64" s="1163">
        <f t="shared" si="95"/>
        <v>0</v>
      </c>
      <c r="X64" s="975">
        <f t="shared" si="95"/>
        <v>0</v>
      </c>
      <c r="Y64" s="975">
        <f t="shared" si="95"/>
        <v>0</v>
      </c>
      <c r="Z64" s="1163">
        <f t="shared" ref="Z64:AG64" si="96">Z63/Y63-1</f>
        <v>0</v>
      </c>
      <c r="AA64" s="1163">
        <f t="shared" si="96"/>
        <v>0</v>
      </c>
      <c r="AB64" s="1163">
        <f t="shared" si="96"/>
        <v>0</v>
      </c>
      <c r="AC64" s="1163">
        <f t="shared" si="96"/>
        <v>0</v>
      </c>
      <c r="AD64" s="1163">
        <f t="shared" si="96"/>
        <v>0</v>
      </c>
      <c r="AE64" s="1163">
        <f t="shared" si="96"/>
        <v>0</v>
      </c>
      <c r="AF64" s="1163">
        <f t="shared" si="96"/>
        <v>0</v>
      </c>
      <c r="AG64" s="1163">
        <f t="shared" si="96"/>
        <v>0</v>
      </c>
      <c r="AH64" s="962"/>
      <c r="AI64" s="962"/>
      <c r="AJ64" s="962"/>
      <c r="AK64" s="962"/>
      <c r="AL64" s="962"/>
      <c r="AM64" s="862"/>
      <c r="AN64" s="862"/>
      <c r="AO64" s="862"/>
      <c r="AP64" s="862"/>
      <c r="AQ64" s="862"/>
      <c r="AR64" s="936"/>
      <c r="AS64" s="862"/>
      <c r="AT64" s="862"/>
      <c r="AU64" s="862"/>
      <c r="AV64" s="862"/>
      <c r="AW64" s="965"/>
      <c r="AX64" s="862"/>
      <c r="AY64" s="862"/>
      <c r="AZ64" s="862"/>
      <c r="BA64" s="862"/>
      <c r="BB64" s="965"/>
      <c r="BC64" s="862"/>
      <c r="BD64" s="862"/>
      <c r="BE64" s="862"/>
      <c r="BF64" s="862"/>
      <c r="BG64" s="965"/>
      <c r="BH64" s="906"/>
      <c r="BI64" s="906"/>
      <c r="BJ64" s="906"/>
      <c r="BK64" s="906"/>
      <c r="BL64" s="965"/>
      <c r="CB64" s="1048"/>
      <c r="CC64" s="1048"/>
      <c r="CD64" s="1048"/>
      <c r="CE64" s="1048"/>
      <c r="CF64" s="1048"/>
      <c r="CG64" s="1048"/>
      <c r="CH64" s="1048"/>
      <c r="CI64" s="1048"/>
      <c r="CJ64" s="1048"/>
      <c r="CK64" s="1048"/>
      <c r="CP64" s="2203"/>
      <c r="CQ64" s="1577"/>
      <c r="CR64" s="1577"/>
      <c r="CS64" s="1577"/>
      <c r="CT64" s="1577"/>
      <c r="CU64" s="1048"/>
      <c r="CZ64" s="1048"/>
      <c r="DA64" s="1577"/>
      <c r="DB64" s="1577"/>
      <c r="DC64" s="1577"/>
      <c r="DD64" s="1577"/>
    </row>
    <row r="65" spans="1:108" hidden="1" outlineLevel="2">
      <c r="A65" s="1192" t="s">
        <v>15</v>
      </c>
      <c r="B65" s="1192"/>
      <c r="C65" s="1192"/>
      <c r="D65" s="1192"/>
      <c r="E65" s="1192"/>
      <c r="F65" s="1192"/>
      <c r="G65" s="1192"/>
      <c r="H65" s="1192"/>
      <c r="I65" s="1192"/>
      <c r="J65" s="1192"/>
      <c r="K65" s="1192"/>
      <c r="L65" s="1193">
        <f>SUM(AX65:BA65)</f>
        <v>27913</v>
      </c>
      <c r="M65" s="1193">
        <f>SUM(BC65:BF65)</f>
        <v>27155.380000000005</v>
      </c>
      <c r="N65" s="1193">
        <f>SUM(BH65:BK65)</f>
        <v>27562.810300000005</v>
      </c>
      <c r="O65" s="1193">
        <f>SUM(BM65:BP65)</f>
        <v>27698.554000000004</v>
      </c>
      <c r="P65" s="1193">
        <f>SUM(BR65:BU65)</f>
        <v>26601.097137000004</v>
      </c>
      <c r="Q65" s="1193">
        <f>SUM(BW65:BZ65)</f>
        <v>26601.097137000004</v>
      </c>
      <c r="R65" s="1193">
        <f>SUM(CB65:CE65)</f>
        <v>26601.097137000004</v>
      </c>
      <c r="S65" s="1193">
        <f>SUM(CG65:CJ65)</f>
        <v>26601.097137000004</v>
      </c>
      <c r="T65" s="1193">
        <f>SUM(CL65:CO65)</f>
        <v>26601.097137000004</v>
      </c>
      <c r="U65" s="1193">
        <f>SUM(CQ65:CT65)</f>
        <v>26601.097137000004</v>
      </c>
      <c r="V65" s="1193">
        <f>SUM(CV65:CY65)</f>
        <v>26601.097137000004</v>
      </c>
      <c r="W65" s="1193">
        <f>SUM(DA65:DD65)</f>
        <v>26601.097137000004</v>
      </c>
      <c r="X65" s="1194">
        <f t="shared" ref="X65:AE65" si="97">+X60*X63*12</f>
        <v>26601.097137000004</v>
      </c>
      <c r="Y65" s="1194">
        <f t="shared" si="97"/>
        <v>26601.097137000004</v>
      </c>
      <c r="Z65" s="1194">
        <f t="shared" si="97"/>
        <v>26601.097137000004</v>
      </c>
      <c r="AA65" s="1194">
        <f t="shared" si="97"/>
        <v>26601.097137000004</v>
      </c>
      <c r="AB65" s="1194">
        <f t="shared" si="97"/>
        <v>26601.097137000004</v>
      </c>
      <c r="AC65" s="1194">
        <f t="shared" si="97"/>
        <v>26601.097137000004</v>
      </c>
      <c r="AD65" s="1194">
        <f t="shared" si="97"/>
        <v>26601.097137000004</v>
      </c>
      <c r="AE65" s="1194">
        <f t="shared" si="97"/>
        <v>26601.097137000004</v>
      </c>
      <c r="AF65" s="1194">
        <f>+AF60*AF63*12</f>
        <v>26601.097137000004</v>
      </c>
      <c r="AG65" s="1194">
        <f>+AG60*AG63*12</f>
        <v>26601.097137000004</v>
      </c>
      <c r="AH65" s="962"/>
      <c r="AI65" s="962"/>
      <c r="AJ65" s="962"/>
      <c r="AK65" s="962"/>
      <c r="AL65" s="962"/>
      <c r="AM65" s="862"/>
      <c r="AN65" s="1192"/>
      <c r="AO65" s="1192"/>
      <c r="AP65" s="1192"/>
      <c r="AQ65" s="1192"/>
      <c r="AR65" s="1195"/>
      <c r="AS65" s="1192"/>
      <c r="AT65" s="1192"/>
      <c r="AU65" s="1192"/>
      <c r="AV65" s="1192"/>
      <c r="AW65" s="1189"/>
      <c r="AX65" s="1190">
        <v>7367</v>
      </c>
      <c r="AY65" s="1190">
        <v>7367</v>
      </c>
      <c r="AZ65" s="1190">
        <v>7187</v>
      </c>
      <c r="BA65" s="1190">
        <v>5992</v>
      </c>
      <c r="BB65" s="1189"/>
      <c r="BC65" s="1190">
        <v>5993</v>
      </c>
      <c r="BD65" s="1194">
        <f>AY65*(1+BD66)</f>
        <v>7588.01</v>
      </c>
      <c r="BE65" s="1194">
        <f>AZ65*(1+BE66)</f>
        <v>7402.6100000000006</v>
      </c>
      <c r="BF65" s="1194">
        <f>BA65*(1+BF66)</f>
        <v>6171.76</v>
      </c>
      <c r="BG65" s="1189"/>
      <c r="BH65" s="1194">
        <f>BC65*(1+BH66)</f>
        <v>6172.79</v>
      </c>
      <c r="BI65" s="1194">
        <f>BD65*(1+BI66)</f>
        <v>7815.6503000000002</v>
      </c>
      <c r="BJ65" s="1194">
        <f>BE65*(1+BJ66)</f>
        <v>7402.6100000000006</v>
      </c>
      <c r="BK65" s="1194">
        <f>BF65*(1+BK66)</f>
        <v>6171.76</v>
      </c>
      <c r="BL65" s="1189"/>
      <c r="BM65" s="1194">
        <f>BH65*(1+BM66)</f>
        <v>6172.79</v>
      </c>
      <c r="BN65" s="1194">
        <f>BI65*(1+BN66)</f>
        <v>7815.6503000000002</v>
      </c>
      <c r="BO65" s="1194">
        <f>BJ65*(1+BO66)</f>
        <v>7476.6361000000006</v>
      </c>
      <c r="BP65" s="1194">
        <f>BK65*(1+BP66)</f>
        <v>6233.4776000000002</v>
      </c>
      <c r="BQ65" s="1196"/>
      <c r="BR65" s="1194">
        <f>BM65*(1+BR66)</f>
        <v>4938.232</v>
      </c>
      <c r="BS65" s="1194">
        <f>BN65*(1+BS66)</f>
        <v>7815.6503000000002</v>
      </c>
      <c r="BT65" s="1194">
        <f>BO65*(1+BT66)</f>
        <v>7551.4024610000006</v>
      </c>
      <c r="BU65" s="1194">
        <f>BP65*(1+BU66)</f>
        <v>6295.8123759999999</v>
      </c>
      <c r="BV65" s="1196"/>
      <c r="BW65" s="1194">
        <f>BR65*(1+BW66)</f>
        <v>4938.232</v>
      </c>
      <c r="BX65" s="1194">
        <f>BS65*(1+BX66)</f>
        <v>7815.6503000000002</v>
      </c>
      <c r="BY65" s="1194">
        <f>BT65*(1+BY66)</f>
        <v>7551.4024610000006</v>
      </c>
      <c r="BZ65" s="1194">
        <f>BU65*(1+BZ66)</f>
        <v>6295.8123759999999</v>
      </c>
      <c r="CA65" s="1196"/>
      <c r="CB65" s="1194">
        <f>BW65*(1+CB66)</f>
        <v>4938.232</v>
      </c>
      <c r="CC65" s="1194">
        <f>BX65*(1+CC66)</f>
        <v>7815.6503000000002</v>
      </c>
      <c r="CD65" s="1194">
        <f>BY65*(1+CD66)</f>
        <v>7551.4024610000006</v>
      </c>
      <c r="CE65" s="1194">
        <f>BZ65*(1+CE66)</f>
        <v>6295.8123759999999</v>
      </c>
      <c r="CF65" s="1048"/>
      <c r="CG65" s="1454">
        <f>CB65*(1+CG66)</f>
        <v>4938.232</v>
      </c>
      <c r="CH65" s="1454">
        <f>CC65*(1+CH66)</f>
        <v>7815.6503000000002</v>
      </c>
      <c r="CI65" s="1454">
        <f>CD65*(1+CI66)</f>
        <v>7551.4024610000006</v>
      </c>
      <c r="CJ65" s="1194">
        <f>CE65*(1+CJ66)</f>
        <v>6295.8123759999999</v>
      </c>
      <c r="CK65" s="1048"/>
      <c r="CL65" s="1454">
        <f>CG65*(1+CL66)</f>
        <v>4938.232</v>
      </c>
      <c r="CM65" s="1454">
        <f>CH65*(1+CM66)</f>
        <v>7815.6503000000002</v>
      </c>
      <c r="CN65" s="1454">
        <f>CI65*(1+CN66)</f>
        <v>7551.4024610000006</v>
      </c>
      <c r="CO65" s="1194">
        <f>CJ65*(1+CO66)</f>
        <v>6295.8123759999999</v>
      </c>
      <c r="CP65" s="2203"/>
      <c r="CQ65" s="1454">
        <f>CL65*(1+CQ66)</f>
        <v>4938.232</v>
      </c>
      <c r="CR65" s="1454">
        <f>CM65*(1+CR66)</f>
        <v>7815.6503000000002</v>
      </c>
      <c r="CS65" s="1454">
        <f>CN65*(1+CS66)</f>
        <v>7551.4024610000006</v>
      </c>
      <c r="CT65" s="1194">
        <f>CO65*(1+CT66)</f>
        <v>6295.8123759999999</v>
      </c>
      <c r="CU65" s="1048"/>
      <c r="CV65" s="1454">
        <f>CQ65*(1+CV66)</f>
        <v>4938.232</v>
      </c>
      <c r="CW65" s="1454">
        <f>CR65*(1+CW66)</f>
        <v>7815.6503000000002</v>
      </c>
      <c r="CX65" s="1454">
        <f>CS65*(1+CX66)</f>
        <v>7551.4024610000006</v>
      </c>
      <c r="CY65" s="1194">
        <f>CT65*(1+CY66)</f>
        <v>6295.8123759999999</v>
      </c>
      <c r="CZ65" s="1048"/>
      <c r="DA65" s="1454">
        <f>CV65*(1+DA66)</f>
        <v>4938.232</v>
      </c>
      <c r="DB65" s="1454">
        <f>CW65*(1+DB66)</f>
        <v>7815.6503000000002</v>
      </c>
      <c r="DC65" s="1454">
        <f>CX65*(1+DC66)</f>
        <v>7551.4024610000006</v>
      </c>
      <c r="DD65" s="1194">
        <f>CY65*(1+DD66)</f>
        <v>6295.8123759999999</v>
      </c>
    </row>
    <row r="66" spans="1:108" hidden="1" outlineLevel="2">
      <c r="A66" s="1746" t="s">
        <v>676</v>
      </c>
      <c r="B66" s="1470"/>
      <c r="C66" s="1470"/>
      <c r="D66" s="1470"/>
      <c r="E66" s="1470"/>
      <c r="F66" s="1470"/>
      <c r="G66" s="1470"/>
      <c r="H66" s="1470"/>
      <c r="I66" s="1470"/>
      <c r="J66" s="1470"/>
      <c r="K66" s="1470"/>
      <c r="L66" s="1470"/>
      <c r="M66" s="1596">
        <f>M65/L65-1</f>
        <v>-2.7142191810267446E-2</v>
      </c>
      <c r="N66" s="1596">
        <f>N65/M65-1</f>
        <v>1.5003667781485763E-2</v>
      </c>
      <c r="O66" s="1596">
        <f t="shared" ref="O66:Y66" si="98">O65/N65-1</f>
        <v>4.9248860519857107E-3</v>
      </c>
      <c r="P66" s="1596">
        <f t="shared" si="98"/>
        <v>-3.9621449661235042E-2</v>
      </c>
      <c r="Q66" s="1596">
        <f t="shared" si="98"/>
        <v>0</v>
      </c>
      <c r="R66" s="1596">
        <f t="shared" si="98"/>
        <v>0</v>
      </c>
      <c r="S66" s="1596">
        <f t="shared" si="98"/>
        <v>0</v>
      </c>
      <c r="T66" s="1596">
        <f t="shared" si="98"/>
        <v>0</v>
      </c>
      <c r="U66" s="1596">
        <f t="shared" si="98"/>
        <v>0</v>
      </c>
      <c r="V66" s="1596">
        <f t="shared" si="98"/>
        <v>0</v>
      </c>
      <c r="W66" s="1596">
        <f t="shared" si="98"/>
        <v>0</v>
      </c>
      <c r="X66" s="1596">
        <f t="shared" si="98"/>
        <v>0</v>
      </c>
      <c r="Y66" s="1596">
        <f t="shared" si="98"/>
        <v>0</v>
      </c>
      <c r="Z66" s="1596">
        <f t="shared" ref="Z66:AG66" si="99">Z65/Y65-1</f>
        <v>0</v>
      </c>
      <c r="AA66" s="1596">
        <f t="shared" si="99"/>
        <v>0</v>
      </c>
      <c r="AB66" s="1596">
        <f t="shared" si="99"/>
        <v>0</v>
      </c>
      <c r="AC66" s="1596">
        <f t="shared" si="99"/>
        <v>0</v>
      </c>
      <c r="AD66" s="1596">
        <f t="shared" si="99"/>
        <v>0</v>
      </c>
      <c r="AE66" s="1596">
        <f t="shared" si="99"/>
        <v>0</v>
      </c>
      <c r="AF66" s="1596">
        <f t="shared" si="99"/>
        <v>0</v>
      </c>
      <c r="AG66" s="1596">
        <f t="shared" si="99"/>
        <v>0</v>
      </c>
      <c r="AH66" s="962"/>
      <c r="AI66" s="962"/>
      <c r="AJ66" s="962"/>
      <c r="AK66" s="962"/>
      <c r="AL66" s="962"/>
      <c r="AM66" s="862"/>
      <c r="AN66" s="1470"/>
      <c r="AO66" s="1470"/>
      <c r="AP66" s="1470"/>
      <c r="AQ66" s="1470"/>
      <c r="AR66" s="1578"/>
      <c r="AS66" s="1470"/>
      <c r="AT66" s="1470"/>
      <c r="AU66" s="1470"/>
      <c r="AV66" s="1470"/>
      <c r="AW66" s="1660"/>
      <c r="AX66" s="1470"/>
      <c r="AY66" s="1470"/>
      <c r="AZ66" s="1470"/>
      <c r="BA66" s="1470"/>
      <c r="BB66" s="1660"/>
      <c r="BC66" s="1596"/>
      <c r="BD66" s="1604">
        <v>0.03</v>
      </c>
      <c r="BE66" s="1604">
        <v>0.03</v>
      </c>
      <c r="BF66" s="1604">
        <v>0.03</v>
      </c>
      <c r="BG66" s="1660"/>
      <c r="BH66" s="1604">
        <v>0.03</v>
      </c>
      <c r="BI66" s="1604">
        <v>0.03</v>
      </c>
      <c r="BJ66" s="1604">
        <v>0</v>
      </c>
      <c r="BK66" s="1604">
        <v>0</v>
      </c>
      <c r="BL66" s="1660"/>
      <c r="BM66" s="1604">
        <v>0</v>
      </c>
      <c r="BN66" s="1604">
        <v>0</v>
      </c>
      <c r="BO66" s="1604">
        <v>0.01</v>
      </c>
      <c r="BP66" s="1604">
        <v>0.01</v>
      </c>
      <c r="BQ66" s="1577"/>
      <c r="BR66" s="1604">
        <f>+-0.2</f>
        <v>-0.2</v>
      </c>
      <c r="BS66" s="1604">
        <v>0</v>
      </c>
      <c r="BT66" s="1604">
        <v>0.01</v>
      </c>
      <c r="BU66" s="1604">
        <v>0.01</v>
      </c>
      <c r="BV66" s="1577"/>
      <c r="BW66" s="1604">
        <v>0</v>
      </c>
      <c r="BX66" s="1604">
        <v>0</v>
      </c>
      <c r="BY66" s="1604">
        <v>0</v>
      </c>
      <c r="BZ66" s="1604">
        <v>0</v>
      </c>
      <c r="CA66" s="1577"/>
      <c r="CB66" s="1604">
        <v>0</v>
      </c>
      <c r="CC66" s="1604">
        <v>0</v>
      </c>
      <c r="CD66" s="1604">
        <v>0</v>
      </c>
      <c r="CE66" s="1604">
        <v>0</v>
      </c>
      <c r="CF66" s="1048"/>
      <c r="CG66" s="1459">
        <v>0</v>
      </c>
      <c r="CH66" s="1459">
        <v>0</v>
      </c>
      <c r="CI66" s="1459">
        <v>0</v>
      </c>
      <c r="CJ66" s="1604">
        <v>0</v>
      </c>
      <c r="CK66" s="1048"/>
      <c r="CL66" s="1602">
        <v>0</v>
      </c>
      <c r="CM66" s="1602">
        <v>0</v>
      </c>
      <c r="CN66" s="1602">
        <v>0</v>
      </c>
      <c r="CO66" s="1604">
        <v>0</v>
      </c>
      <c r="CP66" s="2203"/>
      <c r="CQ66" s="1602">
        <v>0</v>
      </c>
      <c r="CR66" s="1602">
        <v>0</v>
      </c>
      <c r="CS66" s="1602">
        <v>0</v>
      </c>
      <c r="CT66" s="1604">
        <v>0</v>
      </c>
      <c r="CU66" s="1048"/>
      <c r="CV66" s="1602">
        <v>0</v>
      </c>
      <c r="CW66" s="1602">
        <v>0</v>
      </c>
      <c r="CX66" s="1602">
        <v>0</v>
      </c>
      <c r="CY66" s="1604">
        <v>0</v>
      </c>
      <c r="CZ66" s="1048"/>
      <c r="DA66" s="1602">
        <v>0</v>
      </c>
      <c r="DB66" s="1602">
        <v>0</v>
      </c>
      <c r="DC66" s="1602">
        <v>0</v>
      </c>
      <c r="DD66" s="1604">
        <v>0</v>
      </c>
    </row>
    <row r="67" spans="1:108" hidden="1" outlineLevel="2">
      <c r="A67" s="1470"/>
      <c r="B67" s="1470"/>
      <c r="C67" s="1470"/>
      <c r="D67" s="1470"/>
      <c r="E67" s="1470"/>
      <c r="F67" s="1470"/>
      <c r="G67" s="1470"/>
      <c r="H67" s="1470"/>
      <c r="I67" s="1470"/>
      <c r="J67" s="1470"/>
      <c r="K67" s="1470"/>
      <c r="L67" s="1470"/>
      <c r="M67" s="1470"/>
      <c r="N67" s="1470"/>
      <c r="O67" s="1470"/>
      <c r="P67" s="1470"/>
      <c r="Q67" s="1470"/>
      <c r="R67" s="1470"/>
      <c r="S67" s="1470"/>
      <c r="T67" s="1470"/>
      <c r="U67" s="1470"/>
      <c r="V67" s="1470"/>
      <c r="W67" s="1470"/>
      <c r="X67" s="1470"/>
      <c r="Y67" s="1470"/>
      <c r="Z67" s="1470"/>
      <c r="AA67" s="1470"/>
      <c r="AB67" s="1470"/>
      <c r="AC67" s="1470"/>
      <c r="AD67" s="1470"/>
      <c r="AE67" s="1470"/>
      <c r="AF67" s="1470"/>
      <c r="AG67" s="1470"/>
      <c r="AH67" s="962"/>
      <c r="AI67" s="962"/>
      <c r="AJ67" s="962"/>
      <c r="AK67" s="962"/>
      <c r="AL67" s="962"/>
      <c r="AM67" s="862"/>
      <c r="AN67" s="1470"/>
      <c r="AO67" s="1470"/>
      <c r="AP67" s="1470"/>
      <c r="AQ67" s="1470"/>
      <c r="AR67" s="1578"/>
      <c r="AS67" s="1470"/>
      <c r="AT67" s="1470"/>
      <c r="AU67" s="1470"/>
      <c r="AV67" s="1470"/>
      <c r="AW67" s="1660"/>
      <c r="AX67" s="1470"/>
      <c r="AY67" s="1470"/>
      <c r="AZ67" s="1470"/>
      <c r="BA67" s="1470"/>
      <c r="BB67" s="1660"/>
      <c r="BC67" s="1470"/>
      <c r="BD67" s="1470"/>
      <c r="BE67" s="1470"/>
      <c r="BF67" s="1470"/>
      <c r="BG67" s="1660"/>
      <c r="BH67" s="1470"/>
      <c r="BI67" s="1470"/>
      <c r="BJ67" s="1470"/>
      <c r="BK67" s="1470"/>
      <c r="BL67" s="1660"/>
      <c r="BM67" s="1577"/>
      <c r="BN67" s="1577"/>
      <c r="BO67" s="1577"/>
      <c r="BP67" s="1577"/>
      <c r="BQ67" s="1577"/>
      <c r="BR67" s="1577"/>
      <c r="BS67" s="1577"/>
      <c r="BT67" s="1577"/>
      <c r="BU67" s="1577"/>
      <c r="BV67" s="1577"/>
      <c r="BW67" s="1577"/>
      <c r="BX67" s="1577"/>
      <c r="BY67" s="1577"/>
      <c r="BZ67" s="1577"/>
      <c r="CA67" s="1577"/>
      <c r="CB67" s="1577"/>
      <c r="CC67" s="1577"/>
      <c r="CD67" s="1577"/>
      <c r="CE67" s="1577"/>
      <c r="CF67" s="1048"/>
      <c r="CG67" s="1577"/>
      <c r="CH67" s="1577"/>
      <c r="CI67" s="1577"/>
      <c r="CJ67" s="1577"/>
      <c r="CK67" s="1048"/>
      <c r="CP67" s="2203"/>
      <c r="CQ67" s="1577"/>
      <c r="CR67" s="1577"/>
      <c r="CS67" s="1577"/>
      <c r="CT67" s="1577"/>
      <c r="CU67" s="1048"/>
      <c r="CZ67" s="1048"/>
      <c r="DA67" s="1577"/>
      <c r="DB67" s="1577"/>
      <c r="DC67" s="1577"/>
      <c r="DD67" s="1577"/>
    </row>
    <row r="68" spans="1:108" hidden="1" outlineLevel="2">
      <c r="A68" s="1197" t="s">
        <v>21</v>
      </c>
      <c r="B68" s="1192"/>
      <c r="C68" s="1192"/>
      <c r="D68" s="1192"/>
      <c r="E68" s="1192"/>
      <c r="F68" s="1192"/>
      <c r="G68" s="1192"/>
      <c r="H68" s="1192"/>
      <c r="I68" s="1192"/>
      <c r="J68" s="1192"/>
      <c r="K68" s="1192"/>
      <c r="L68" s="1198">
        <f t="shared" ref="L68:R68" si="100">(SUM(L8))/L65*1000/12</f>
        <v>1.2117860256272466</v>
      </c>
      <c r="M68" s="1198">
        <f t="shared" si="100"/>
        <v>1.3259761586224654</v>
      </c>
      <c r="N68" s="1204">
        <f t="shared" si="100"/>
        <v>1.1866567550697225</v>
      </c>
      <c r="O68" s="1204">
        <f t="shared" si="100"/>
        <v>1.2466066796901376</v>
      </c>
      <c r="P68" s="1204">
        <f t="shared" si="100"/>
        <v>1.3056623138687926</v>
      </c>
      <c r="Q68" s="1204">
        <f t="shared" si="100"/>
        <v>1.3698345510259591</v>
      </c>
      <c r="R68" s="1204">
        <f t="shared" si="100"/>
        <v>1.5588278706941068</v>
      </c>
      <c r="S68" s="1204">
        <f>(SUM(S8))/S65*1000/12</f>
        <v>1.6211809855218711</v>
      </c>
      <c r="T68" s="1204">
        <f>(SUM(T8))/T65*1000/12</f>
        <v>1.6646335304394422</v>
      </c>
      <c r="U68" s="1204">
        <f>(SUM(U8))/U65*1000/12</f>
        <v>1.7012554681091097</v>
      </c>
      <c r="V68" s="1204">
        <f>(SUM(V8))/V65*1000/12</f>
        <v>1.7352805774712923</v>
      </c>
      <c r="W68" s="1204">
        <f>(SUM(W8))/W65*1000/12</f>
        <v>1.7699861890207182</v>
      </c>
      <c r="X68" s="1199">
        <f t="shared" ref="X68:AG68" si="101">W68*(1+X69)</f>
        <v>1.8036159266121121</v>
      </c>
      <c r="Y68" s="1199">
        <f t="shared" si="101"/>
        <v>1.8342773973645179</v>
      </c>
      <c r="Z68" s="1199">
        <f t="shared" si="101"/>
        <v>1.861791558324986</v>
      </c>
      <c r="AA68" s="1199">
        <f t="shared" si="101"/>
        <v>1.885994848583211</v>
      </c>
      <c r="AB68" s="1199">
        <f t="shared" si="101"/>
        <v>1.9067407919176265</v>
      </c>
      <c r="AC68" s="1199">
        <f t="shared" si="101"/>
        <v>1.9239014590448853</v>
      </c>
      <c r="AD68" s="1199">
        <f t="shared" si="101"/>
        <v>1.9373687692581998</v>
      </c>
      <c r="AE68" s="1199">
        <f t="shared" si="101"/>
        <v>1.9470556131044909</v>
      </c>
      <c r="AF68" s="1199">
        <f t="shared" si="101"/>
        <v>1.9567908911700131</v>
      </c>
      <c r="AG68" s="1199">
        <f t="shared" si="101"/>
        <v>1.9665748456258629</v>
      </c>
      <c r="AH68" s="962"/>
      <c r="AI68" s="962"/>
      <c r="AJ68" s="962"/>
      <c r="AK68" s="962"/>
      <c r="AL68" s="962"/>
      <c r="AM68" s="862"/>
      <c r="AN68" s="1192"/>
      <c r="AO68" s="1192"/>
      <c r="AP68" s="1192"/>
      <c r="AQ68" s="1192"/>
      <c r="AR68" s="1195"/>
      <c r="AS68" s="1192"/>
      <c r="AT68" s="1192"/>
      <c r="AU68" s="1192"/>
      <c r="AV68" s="1192"/>
      <c r="AW68" s="1189"/>
      <c r="AX68" s="1198">
        <f>(SUM(AX8))/AX65*1000/12</f>
        <v>1.0076127777023662</v>
      </c>
      <c r="AY68" s="1198">
        <f>(SUM(AY8))/AY65*1000/12</f>
        <v>1.0701099497760282</v>
      </c>
      <c r="AZ68" s="1198">
        <f>(SUM(AZ8))/AZ65*1000/12</f>
        <v>1.1208084040628912</v>
      </c>
      <c r="BA68" s="1198">
        <f>(SUM(BA8))/BA65*1000/12</f>
        <v>1.7461198264352469</v>
      </c>
      <c r="BB68" s="1189"/>
      <c r="BC68" s="1198">
        <f>(SUM(BC8))/BC65*1000/12</f>
        <v>1.2712052950664663</v>
      </c>
      <c r="BD68" s="1198">
        <f>AY68*(1+BD69)</f>
        <v>1.1129143477670693</v>
      </c>
      <c r="BE68" s="1198">
        <f>AZ68*(1+BE69)</f>
        <v>1.1656407402254068</v>
      </c>
      <c r="BF68" s="1198">
        <f>BA68*(1+BF69)</f>
        <v>1.8334258177570093</v>
      </c>
      <c r="BG68" s="1189"/>
      <c r="BH68" s="1198">
        <f>BC68*(1+BH69)</f>
        <v>1.2178146726736747</v>
      </c>
      <c r="BI68" s="1198">
        <f>BD68*(1+BI69)</f>
        <v>0.9537675960363784</v>
      </c>
      <c r="BJ68" s="1198">
        <f>BE68*(1+BJ69)</f>
        <v>1.0584017921246693</v>
      </c>
      <c r="BK68" s="1198">
        <f>BF68*(1+BK69)</f>
        <v>1.6042475905373832</v>
      </c>
      <c r="BL68" s="1189"/>
      <c r="BM68" s="1198">
        <f>BH68*(1+BM69)</f>
        <v>1.2787054063073584</v>
      </c>
      <c r="BN68" s="1198">
        <f>BI68*(1+BN69)</f>
        <v>1.0014559758381973</v>
      </c>
      <c r="BO68" s="1198">
        <f>BJ68*(1+BO69)</f>
        <v>1.111321881730903</v>
      </c>
      <c r="BP68" s="1198">
        <f>BK68*(1+BP69)</f>
        <v>1.6844599700642524</v>
      </c>
      <c r="BQ68" s="1196"/>
      <c r="BR68" s="1198">
        <f>BM68*(1+BR69)</f>
        <v>1.3451980874353411</v>
      </c>
      <c r="BS68" s="1198">
        <f>BN68*(1+BS69)</f>
        <v>1.0535316865817836</v>
      </c>
      <c r="BT68" s="1198">
        <f>BO68*(1+BT69)</f>
        <v>1.1615536307851397</v>
      </c>
      <c r="BU68" s="1198">
        <f>BP68*(1+BU69)</f>
        <v>1.7604964931129528</v>
      </c>
      <c r="BV68" s="1196"/>
      <c r="BW68" s="1198">
        <f>BR68*(1+BW69)</f>
        <v>1.4121620482278723</v>
      </c>
      <c r="BX68" s="1198">
        <f>BS68*(1+BX69)</f>
        <v>1.1051547392242909</v>
      </c>
      <c r="BY68" s="1198">
        <f>BT68*(1+BY69)</f>
        <v>1.2184697586936115</v>
      </c>
      <c r="BZ68" s="1198">
        <f>BU68*(1+BZ69)</f>
        <v>1.8467608212754874</v>
      </c>
      <c r="CA68" s="1196"/>
      <c r="CB68" s="1198">
        <f>BW68*(1+CB69)</f>
        <v>1.6945944578734466</v>
      </c>
      <c r="CC68" s="1198">
        <f>BX68*(1+CC69)</f>
        <v>1.2709279501079345</v>
      </c>
      <c r="CD68" s="1198">
        <f>BY68*(1+CD69)</f>
        <v>1.3585937809433768</v>
      </c>
      <c r="CE68" s="1198">
        <f>BZ68*(1+CE69)</f>
        <v>2.0499045116157912</v>
      </c>
      <c r="CF68" s="1048"/>
      <c r="CG68" s="1455">
        <f>CB68*(1+CG69)</f>
        <v>1.7623782361883846</v>
      </c>
      <c r="CH68" s="1455">
        <f>CC68*(1+CH69)</f>
        <v>1.3217650681122519</v>
      </c>
      <c r="CI68" s="1455">
        <f>CD68*(1+CI69)</f>
        <v>1.412937532181112</v>
      </c>
      <c r="CJ68" s="1198">
        <f>CE68*(1+CJ69)</f>
        <v>2.1319006920804231</v>
      </c>
      <c r="CK68" s="1048"/>
      <c r="CL68" s="1455">
        <f>CG68*(1+CL69)</f>
        <v>1.8240614744549779</v>
      </c>
      <c r="CM68" s="1455">
        <f>CH68*(1+CM69)</f>
        <v>1.358774490019395</v>
      </c>
      <c r="CN68" s="1455">
        <f>CI68*(1+CN69)</f>
        <v>1.4482609704856397</v>
      </c>
      <c r="CO68" s="1198">
        <f>CJ68*(1+CO69)</f>
        <v>2.1788025073061923</v>
      </c>
      <c r="CP68" s="2203"/>
      <c r="CQ68" s="1455">
        <f>CL68*(1+CQ69)</f>
        <v>1.8641908268929874</v>
      </c>
      <c r="CR68" s="1455">
        <f>CM68*(1+CR69)</f>
        <v>1.3886675287998218</v>
      </c>
      <c r="CS68" s="1455">
        <f>CN68*(1+CS69)</f>
        <v>1.4801227118363238</v>
      </c>
      <c r="CT68" s="1198">
        <f>CO68*(1+CT69)</f>
        <v>2.2267361624669286</v>
      </c>
      <c r="CU68" s="1048"/>
      <c r="CV68" s="1455">
        <f>CQ68*(1+CV69)</f>
        <v>1.9014746434308472</v>
      </c>
      <c r="CW68" s="1455">
        <f>CR68*(1+CW69)</f>
        <v>1.4164408793758183</v>
      </c>
      <c r="CX68" s="1455">
        <f>CS68*(1+CX69)</f>
        <v>1.5097251660730504</v>
      </c>
      <c r="CY68" s="1198">
        <f>CT68*(1+CY69)</f>
        <v>2.2712708857162673</v>
      </c>
      <c r="CZ68" s="1048"/>
      <c r="DA68" s="1455">
        <f>CV68*(1+DA69)</f>
        <v>1.9395041362994641</v>
      </c>
      <c r="DB68" s="1455">
        <f>CW68*(1+DB69)</f>
        <v>1.4447696969633348</v>
      </c>
      <c r="DC68" s="1455">
        <f>CX68*(1+DC69)</f>
        <v>1.5399196693945114</v>
      </c>
      <c r="DD68" s="1198">
        <f>CY68*(1+DD69)</f>
        <v>2.3166963034305925</v>
      </c>
    </row>
    <row r="69" spans="1:108" hidden="1" outlineLevel="2">
      <c r="A69" s="1746" t="s">
        <v>676</v>
      </c>
      <c r="B69" s="1470"/>
      <c r="C69" s="1470"/>
      <c r="D69" s="1470"/>
      <c r="E69" s="1470"/>
      <c r="F69" s="1470"/>
      <c r="G69" s="1470"/>
      <c r="H69" s="1470"/>
      <c r="I69" s="1470"/>
      <c r="J69" s="1470"/>
      <c r="K69" s="1470"/>
      <c r="L69" s="1596"/>
      <c r="M69" s="1596">
        <f t="shared" ref="M69:W69" si="102">+M68/L68-1</f>
        <v>9.4232917842167474E-2</v>
      </c>
      <c r="N69" s="1596">
        <f t="shared" si="102"/>
        <v>-0.10506931263189501</v>
      </c>
      <c r="O69" s="1596">
        <f t="shared" si="102"/>
        <v>5.052002136615541E-2</v>
      </c>
      <c r="P69" s="1596">
        <f t="shared" si="102"/>
        <v>4.7373109049386963E-2</v>
      </c>
      <c r="Q69" s="1596">
        <f t="shared" si="102"/>
        <v>4.9149183885853764E-2</v>
      </c>
      <c r="R69" s="1596">
        <f t="shared" si="102"/>
        <v>0.13796799002229743</v>
      </c>
      <c r="S69" s="1596">
        <f t="shared" si="102"/>
        <v>4.0000000000000036E-2</v>
      </c>
      <c r="T69" s="1596">
        <f t="shared" si="102"/>
        <v>2.6803019098810443E-2</v>
      </c>
      <c r="U69" s="1596">
        <f t="shared" si="102"/>
        <v>2.1999999999999797E-2</v>
      </c>
      <c r="V69" s="1596">
        <f t="shared" si="102"/>
        <v>2.000000000000024E-2</v>
      </c>
      <c r="W69" s="1596">
        <f t="shared" si="102"/>
        <v>2.0000000000000018E-2</v>
      </c>
      <c r="X69" s="1605">
        <f>+MAX(0.5%,W69-0.1%)</f>
        <v>1.9000000000000017E-2</v>
      </c>
      <c r="Y69" s="1605">
        <f t="shared" ref="Y69:AG69" si="103">+MAX(0.5%,X69-0.2%)</f>
        <v>1.7000000000000015E-2</v>
      </c>
      <c r="Z69" s="1605">
        <f t="shared" si="103"/>
        <v>1.5000000000000015E-2</v>
      </c>
      <c r="AA69" s="1605">
        <f t="shared" si="103"/>
        <v>1.3000000000000015E-2</v>
      </c>
      <c r="AB69" s="1605">
        <f t="shared" si="103"/>
        <v>1.1000000000000015E-2</v>
      </c>
      <c r="AC69" s="1605">
        <f t="shared" si="103"/>
        <v>9.0000000000000149E-3</v>
      </c>
      <c r="AD69" s="1605">
        <f t="shared" si="103"/>
        <v>7.0000000000000149E-3</v>
      </c>
      <c r="AE69" s="1605">
        <f t="shared" si="103"/>
        <v>5.0000000000000148E-3</v>
      </c>
      <c r="AF69" s="1605">
        <f t="shared" si="103"/>
        <v>5.0000000000000001E-3</v>
      </c>
      <c r="AG69" s="1605">
        <f t="shared" si="103"/>
        <v>5.0000000000000001E-3</v>
      </c>
      <c r="AH69" s="962"/>
      <c r="AI69" s="962"/>
      <c r="AJ69" s="962"/>
      <c r="AK69" s="962"/>
      <c r="AL69" s="962"/>
      <c r="AM69" s="862"/>
      <c r="AN69" s="1470"/>
      <c r="AO69" s="1470"/>
      <c r="AP69" s="1470"/>
      <c r="AQ69" s="1470"/>
      <c r="AR69" s="1578"/>
      <c r="AS69" s="1470"/>
      <c r="AT69" s="1470"/>
      <c r="AU69" s="1470"/>
      <c r="AV69" s="1470"/>
      <c r="AW69" s="1660"/>
      <c r="AX69" s="1596"/>
      <c r="AY69" s="1596"/>
      <c r="AZ69" s="1596"/>
      <c r="BA69" s="1596"/>
      <c r="BB69" s="1660"/>
      <c r="BC69" s="1596">
        <f>BC68/AX68-1</f>
        <v>0.26160100705070777</v>
      </c>
      <c r="BD69" s="1605">
        <v>0.04</v>
      </c>
      <c r="BE69" s="1605">
        <v>0.04</v>
      </c>
      <c r="BF69" s="1605">
        <v>0.05</v>
      </c>
      <c r="BG69" s="1660"/>
      <c r="BH69" s="1605">
        <v>-4.2000000000000003E-2</v>
      </c>
      <c r="BI69" s="1605">
        <v>-0.14299999999999999</v>
      </c>
      <c r="BJ69" s="1605">
        <v>-9.1999999999999998E-2</v>
      </c>
      <c r="BK69" s="1605">
        <v>-0.125</v>
      </c>
      <c r="BL69" s="1660"/>
      <c r="BM69" s="1605">
        <v>0.05</v>
      </c>
      <c r="BN69" s="1605">
        <v>0.05</v>
      </c>
      <c r="BO69" s="1605">
        <v>0.05</v>
      </c>
      <c r="BP69" s="1605">
        <v>0.05</v>
      </c>
      <c r="BQ69" s="1577"/>
      <c r="BR69" s="1605">
        <v>5.1999999999999998E-2</v>
      </c>
      <c r="BS69" s="1605">
        <v>5.1999999999999998E-2</v>
      </c>
      <c r="BT69" s="1605">
        <v>4.5199999999999997E-2</v>
      </c>
      <c r="BU69" s="1605">
        <v>4.514E-2</v>
      </c>
      <c r="BV69" s="1577"/>
      <c r="BW69" s="1605">
        <v>4.9779999999999998E-2</v>
      </c>
      <c r="BX69" s="1605">
        <v>4.9000000000000002E-2</v>
      </c>
      <c r="BY69" s="1605">
        <v>4.9000000000000002E-2</v>
      </c>
      <c r="BZ69" s="1605">
        <v>4.9000000000000002E-2</v>
      </c>
      <c r="CA69" s="1577"/>
      <c r="CB69" s="1605">
        <v>0.2</v>
      </c>
      <c r="CC69" s="1605">
        <v>0.15</v>
      </c>
      <c r="CD69" s="1605">
        <v>0.115</v>
      </c>
      <c r="CE69" s="1605">
        <v>0.11</v>
      </c>
      <c r="CF69" s="1048"/>
      <c r="CG69" s="1605">
        <v>0.04</v>
      </c>
      <c r="CH69" s="1605">
        <v>0.04</v>
      </c>
      <c r="CI69" s="1605">
        <v>0.04</v>
      </c>
      <c r="CJ69" s="1605">
        <v>0.04</v>
      </c>
      <c r="CK69" s="1048"/>
      <c r="CL69" s="1600">
        <v>3.5000000000000003E-2</v>
      </c>
      <c r="CM69" s="1600">
        <v>2.8000000000000001E-2</v>
      </c>
      <c r="CN69" s="1600">
        <v>2.5000000000000001E-2</v>
      </c>
      <c r="CO69" s="1605">
        <v>2.1999999999999999E-2</v>
      </c>
      <c r="CP69" s="2203"/>
      <c r="CQ69" s="1600">
        <v>2.1999999999999999E-2</v>
      </c>
      <c r="CR69" s="1600">
        <v>2.1999999999999999E-2</v>
      </c>
      <c r="CS69" s="1600">
        <v>2.1999999999999999E-2</v>
      </c>
      <c r="CT69" s="1600">
        <v>2.1999999999999999E-2</v>
      </c>
      <c r="CU69" s="1048"/>
      <c r="CV69" s="1600">
        <v>0.02</v>
      </c>
      <c r="CW69" s="1600">
        <v>0.02</v>
      </c>
      <c r="CX69" s="1600">
        <v>0.02</v>
      </c>
      <c r="CY69" s="1600">
        <v>0.02</v>
      </c>
      <c r="CZ69" s="1048"/>
      <c r="DA69" s="1600">
        <v>0.02</v>
      </c>
      <c r="DB69" s="1600">
        <v>0.02</v>
      </c>
      <c r="DC69" s="1600">
        <v>0.02</v>
      </c>
      <c r="DD69" s="1600">
        <v>0.02</v>
      </c>
    </row>
    <row r="70" spans="1:108" hidden="1" outlineLevel="2">
      <c r="A70" s="1746"/>
      <c r="B70" s="1470"/>
      <c r="C70" s="1470"/>
      <c r="D70" s="1470"/>
      <c r="E70" s="1470"/>
      <c r="F70" s="1470"/>
      <c r="G70" s="1470"/>
      <c r="H70" s="1470"/>
      <c r="I70" s="1470"/>
      <c r="J70" s="1470"/>
      <c r="K70" s="1470"/>
      <c r="L70" s="1596"/>
      <c r="M70" s="1470"/>
      <c r="N70" s="1470"/>
      <c r="O70" s="1470"/>
      <c r="P70" s="1470"/>
      <c r="Q70" s="1470"/>
      <c r="R70" s="1470"/>
      <c r="S70" s="1470"/>
      <c r="T70" s="1470"/>
      <c r="U70" s="1470"/>
      <c r="V70" s="1470"/>
      <c r="W70" s="1470"/>
      <c r="X70" s="1470"/>
      <c r="Y70" s="1470"/>
      <c r="Z70" s="1470"/>
      <c r="AA70" s="1470"/>
      <c r="AB70" s="1470"/>
      <c r="AC70" s="1470"/>
      <c r="AD70" s="1470"/>
      <c r="AE70" s="1470"/>
      <c r="AF70" s="1470"/>
      <c r="AG70" s="1470"/>
      <c r="AH70" s="962"/>
      <c r="AI70" s="962"/>
      <c r="AJ70" s="962"/>
      <c r="AK70" s="962"/>
      <c r="AL70" s="962"/>
      <c r="AM70" s="862"/>
      <c r="AN70" s="1470"/>
      <c r="AO70" s="1470"/>
      <c r="AP70" s="1470"/>
      <c r="AQ70" s="1470"/>
      <c r="AR70" s="1578"/>
      <c r="AS70" s="1470"/>
      <c r="AT70" s="1470"/>
      <c r="AU70" s="1470"/>
      <c r="AV70" s="1470"/>
      <c r="AW70" s="1660"/>
      <c r="AX70" s="1470"/>
      <c r="AY70" s="1470"/>
      <c r="AZ70" s="1470"/>
      <c r="BA70" s="1470"/>
      <c r="BB70" s="1660"/>
      <c r="BC70" s="1470"/>
      <c r="BD70" s="1470"/>
      <c r="BE70" s="1470"/>
      <c r="BF70" s="1470"/>
      <c r="BG70" s="1660"/>
      <c r="BH70" s="1470"/>
      <c r="BI70" s="1470"/>
      <c r="BJ70" s="1470"/>
      <c r="BK70" s="1470"/>
      <c r="BL70" s="1660"/>
      <c r="BM70" s="1577"/>
      <c r="BN70" s="1577"/>
      <c r="BO70" s="1577"/>
      <c r="BP70" s="1577"/>
      <c r="BQ70" s="1577"/>
      <c r="BR70" s="1577"/>
      <c r="BS70" s="1577"/>
      <c r="BT70" s="1577"/>
      <c r="BU70" s="1577"/>
      <c r="BV70" s="1577"/>
      <c r="BW70" s="1577"/>
      <c r="BX70" s="1577"/>
      <c r="BY70" s="1577"/>
      <c r="BZ70" s="1577"/>
      <c r="CA70" s="1577"/>
      <c r="CB70" s="1577"/>
      <c r="CC70" s="1577"/>
      <c r="CD70" s="1577"/>
      <c r="CE70" s="1577"/>
      <c r="CF70" s="1048"/>
      <c r="CG70" s="1577"/>
      <c r="CH70" s="1577"/>
      <c r="CI70" s="1577"/>
      <c r="CJ70" s="1577"/>
      <c r="CK70" s="1048"/>
      <c r="CP70" s="2203"/>
      <c r="CQ70" s="1577"/>
      <c r="CR70" s="1577"/>
      <c r="CS70" s="1577"/>
      <c r="CT70" s="1577"/>
      <c r="CU70" s="1048"/>
      <c r="CZ70" s="1048"/>
      <c r="DA70" s="1577"/>
      <c r="DB70" s="1577"/>
      <c r="DC70" s="1577"/>
      <c r="DD70" s="1577"/>
    </row>
    <row r="71" spans="1:108" hidden="1" outlineLevel="2">
      <c r="A71" s="1747" t="s">
        <v>22</v>
      </c>
      <c r="B71" s="1470"/>
      <c r="C71" s="1470"/>
      <c r="D71" s="1470"/>
      <c r="E71" s="1470"/>
      <c r="F71" s="1470"/>
      <c r="G71" s="1470"/>
      <c r="H71" s="1470"/>
      <c r="I71" s="1470"/>
      <c r="J71" s="1470"/>
      <c r="K71" s="1470"/>
      <c r="L71" s="1606">
        <f t="shared" ref="L71:V71" si="104">L13/L60/12</f>
        <v>0.38205029215080161</v>
      </c>
      <c r="M71" s="1606">
        <f t="shared" si="104"/>
        <v>0.39358824799554881</v>
      </c>
      <c r="N71" s="1606">
        <f t="shared" si="104"/>
        <v>0.33802813388630121</v>
      </c>
      <c r="O71" s="1606">
        <f t="shared" si="104"/>
        <v>0.35081243945233492</v>
      </c>
      <c r="P71" s="1606">
        <f t="shared" si="104"/>
        <v>0.34216438579141578</v>
      </c>
      <c r="Q71" s="1606">
        <f t="shared" si="104"/>
        <v>0.35977451272369704</v>
      </c>
      <c r="R71" s="1606">
        <f>R13/R60/12</f>
        <v>0.41085117095616691</v>
      </c>
      <c r="S71" s="1606">
        <f t="shared" si="104"/>
        <v>0.42992720542275747</v>
      </c>
      <c r="T71" s="1606">
        <f>T13/T60/12</f>
        <v>0.44141034334013923</v>
      </c>
      <c r="U71" s="1606">
        <f t="shared" si="104"/>
        <v>0.41482008136233556</v>
      </c>
      <c r="V71" s="1606">
        <f t="shared" si="104"/>
        <v>0.42152195556635563</v>
      </c>
      <c r="W71" s="1606">
        <f t="shared" ref="W71" si="105">W13/W60/12</f>
        <v>0.42835786725445596</v>
      </c>
      <c r="X71" s="1606">
        <f t="shared" ref="X71:AC71" si="106">X13/X60/12</f>
        <v>0.43498186568022534</v>
      </c>
      <c r="Y71" s="1606">
        <f t="shared" si="106"/>
        <v>0.4410212090870464</v>
      </c>
      <c r="Z71" s="1606">
        <f t="shared" si="106"/>
        <v>0.44644063165593212</v>
      </c>
      <c r="AA71" s="1606">
        <f t="shared" si="106"/>
        <v>0.45120791704236196</v>
      </c>
      <c r="AB71" s="1606">
        <f t="shared" si="106"/>
        <v>0.45529421404705323</v>
      </c>
      <c r="AC71" s="1606">
        <f t="shared" si="106"/>
        <v>0.45867432463302454</v>
      </c>
      <c r="AD71" s="1606">
        <f>AD13/AD60/12</f>
        <v>0.46132696030732645</v>
      </c>
      <c r="AE71" s="1606">
        <f>AE13/AE60/12</f>
        <v>0.46323496325305652</v>
      </c>
      <c r="AF71" s="1606">
        <f>AF13/AF60/12</f>
        <v>0.46515250621351495</v>
      </c>
      <c r="AG71" s="1606">
        <f>AG13/AG60/12</f>
        <v>0.46707963688877591</v>
      </c>
      <c r="AH71" s="962"/>
      <c r="AI71" s="962"/>
      <c r="AJ71" s="962"/>
      <c r="AK71" s="962"/>
      <c r="AL71" s="962"/>
      <c r="AM71" s="862"/>
      <c r="AN71" s="1470"/>
      <c r="AO71" s="1470"/>
      <c r="AP71" s="1470"/>
      <c r="AQ71" s="1470"/>
      <c r="AR71" s="1578"/>
      <c r="AS71" s="1470"/>
      <c r="AT71" s="1470"/>
      <c r="AU71" s="1470"/>
      <c r="AV71" s="1470"/>
      <c r="AW71" s="1660"/>
      <c r="AX71" s="1606"/>
      <c r="AY71" s="1606">
        <f>AY13/AY60/12</f>
        <v>8.7919593795645831E-2</v>
      </c>
      <c r="AZ71" s="1606">
        <f>AZ13/AZ60/12</f>
        <v>9.0156476211787503E-2</v>
      </c>
      <c r="BA71" s="1606">
        <f>BA13/BA60/12</f>
        <v>0.11728444597297055</v>
      </c>
      <c r="BB71" s="1660"/>
      <c r="BC71" s="1606">
        <f>BC13/BC60/12</f>
        <v>9.4412200317149628E-2</v>
      </c>
      <c r="BD71" s="1606">
        <f>BD13/BD60/12</f>
        <v>9.5579888859701048E-2</v>
      </c>
      <c r="BE71" s="1606">
        <f>BE13/BE60/12</f>
        <v>9.3771290761751905E-2</v>
      </c>
      <c r="BF71" s="1606">
        <f>BF13/BF60/12</f>
        <v>0.10843213749324031</v>
      </c>
      <c r="BG71" s="1660"/>
      <c r="BH71" s="1606">
        <f>BH13/BH60/12</f>
        <v>8.5298302199220147E-2</v>
      </c>
      <c r="BI71" s="1606">
        <f>BI13/BI60/12</f>
        <v>8.3330277562008878E-2</v>
      </c>
      <c r="BJ71" s="1606">
        <f>BJ13/BJ60/12</f>
        <v>7.7565138578867668E-2</v>
      </c>
      <c r="BK71" s="1606">
        <f>BK13/BK60/12</f>
        <v>9.1151365881386351E-2</v>
      </c>
      <c r="BL71" s="1660"/>
      <c r="BM71" s="1606">
        <f>BM13/BM60/12</f>
        <v>8.8443040900859818E-2</v>
      </c>
      <c r="BN71" s="1606">
        <f>BN13/BN60/12</f>
        <v>8.5652933194182657E-2</v>
      </c>
      <c r="BO71" s="1606">
        <f>BO13/BO60/12</f>
        <v>8.0908385278118541E-2</v>
      </c>
      <c r="BP71" s="1606">
        <f>BP13/BP60/12</f>
        <v>9.5038118378919886E-2</v>
      </c>
      <c r="BQ71" s="1577"/>
      <c r="BR71" s="1606">
        <f>BR13/BR60/12</f>
        <v>7.3115607651312323E-2</v>
      </c>
      <c r="BS71" s="1606">
        <f>BS13/BS60/12</f>
        <v>8.3485611190869335E-2</v>
      </c>
      <c r="BT71" s="1606">
        <f>BT13/BT60/12</f>
        <v>8.4566308784466582E-2</v>
      </c>
      <c r="BU71" s="1606">
        <f>BU13/BU60/12</f>
        <v>9.9330591438828608E-2</v>
      </c>
      <c r="BV71" s="1577"/>
      <c r="BW71" s="1606">
        <f>BW13/BW60/12</f>
        <v>7.6950932028430549E-2</v>
      </c>
      <c r="BX71" s="1606">
        <f>BX13/BX60/12</f>
        <v>8.775980125083345E-2</v>
      </c>
      <c r="BY71" s="1606">
        <f>BY13/BY60/12</f>
        <v>8.8890305098797015E-2</v>
      </c>
      <c r="BZ71" s="1606">
        <f>BZ13/BZ60/12</f>
        <v>0.10442379106665532</v>
      </c>
      <c r="CA71" s="1577"/>
      <c r="CB71" s="1606">
        <f>CB13/CB60/12</f>
        <v>9.2626732002667203E-2</v>
      </c>
      <c r="CC71" s="1606">
        <f>CC13/CC60/12</f>
        <v>0.10115925463086288</v>
      </c>
      <c r="CD71" s="1606">
        <f>CD13/CD60/12</f>
        <v>9.9304564991676073E-2</v>
      </c>
      <c r="CE71" s="1606">
        <f>CE13/CE60/12</f>
        <v>0.11619050413182434</v>
      </c>
      <c r="CF71" s="1048"/>
      <c r="CG71" s="1748">
        <f>CG13/CG60/12</f>
        <v>9.7197210395482014E-2</v>
      </c>
      <c r="CH71" s="1748">
        <f>CH13/CH60/12</f>
        <v>0.10615697691341118</v>
      </c>
      <c r="CI71" s="1748">
        <f>CI13/CI60/12</f>
        <v>0.10418201188197575</v>
      </c>
      <c r="CJ71" s="1606">
        <f>CJ13/CJ60/12</f>
        <v>0.12083812429709732</v>
      </c>
      <c r="CK71" s="1577"/>
      <c r="CL71" s="1606">
        <f>CL13/CL60/12</f>
        <v>0.1004447814675576</v>
      </c>
      <c r="CM71" s="1606">
        <f>CM13/CM60/12</f>
        <v>0.1091293722669867</v>
      </c>
      <c r="CN71" s="1606">
        <f>CN13/CN60/12</f>
        <v>0.10678656217902514</v>
      </c>
      <c r="CO71" s="1606">
        <f>CO13/CO60/12</f>
        <v>0.12352598432049826</v>
      </c>
      <c r="CP71" s="2203"/>
      <c r="CQ71" s="1606">
        <f>CQ13/CQ60/12</f>
        <v>9.3371230797518523E-2</v>
      </c>
      <c r="CR71" s="1606">
        <f>CR13/CR60/12</f>
        <v>0.10249945920280025</v>
      </c>
      <c r="CS71" s="1606">
        <f>CS13/CS60/12</f>
        <v>0.10056767582576964</v>
      </c>
      <c r="CT71" s="1606">
        <f>CT13/CT60/12</f>
        <v>0.11685298668084097</v>
      </c>
      <c r="CU71" s="1048"/>
      <c r="CV71" s="1606">
        <f>CV13/CV60/12</f>
        <v>9.4774488620352634E-2</v>
      </c>
      <c r="CW71" s="1606">
        <f>CW13/CW60/12</f>
        <v>0.10419033047499891</v>
      </c>
      <c r="CX71" s="1606">
        <f>CX13/CX60/12</f>
        <v>0.10223830596857673</v>
      </c>
      <c r="CY71" s="1606">
        <f>CY13/CY60/12</f>
        <v>0.11876265511963456</v>
      </c>
      <c r="CZ71" s="1048"/>
      <c r="DA71" s="1606">
        <f>DA13/DA60/12</f>
        <v>9.620581159964342E-2</v>
      </c>
      <c r="DB71" s="1606">
        <f>DB13/DB60/12</f>
        <v>0.10591501917264151</v>
      </c>
      <c r="DC71" s="1606">
        <f>DC13/DC60/12</f>
        <v>0.10394234871423996</v>
      </c>
      <c r="DD71" s="1606">
        <f>DD13/DD60/12</f>
        <v>0.12071051692720397</v>
      </c>
    </row>
    <row r="72" spans="1:108" hidden="1" outlineLevel="2">
      <c r="A72" s="1746" t="s">
        <v>676</v>
      </c>
      <c r="B72" s="1470"/>
      <c r="C72" s="1470"/>
      <c r="D72" s="1470"/>
      <c r="E72" s="1470"/>
      <c r="F72" s="1470"/>
      <c r="G72" s="1470"/>
      <c r="H72" s="1470"/>
      <c r="I72" s="1470"/>
      <c r="J72" s="1470"/>
      <c r="K72" s="1470"/>
      <c r="L72" s="1596"/>
      <c r="M72" s="1596">
        <f t="shared" ref="M72:Y72" si="107">M71/L71-1</f>
        <v>3.0200096902930795E-2</v>
      </c>
      <c r="N72" s="1596">
        <f t="shared" si="107"/>
        <v>-0.1411630413057352</v>
      </c>
      <c r="O72" s="1596">
        <f t="shared" si="107"/>
        <v>3.7820241229784335E-2</v>
      </c>
      <c r="P72" s="1596">
        <f t="shared" si="107"/>
        <v>-2.4651502308241757E-2</v>
      </c>
      <c r="Q72" s="1596">
        <f t="shared" si="107"/>
        <v>5.1466861144971565E-2</v>
      </c>
      <c r="R72" s="1596">
        <f t="shared" si="107"/>
        <v>0.14196852869257093</v>
      </c>
      <c r="S72" s="1596">
        <f t="shared" si="107"/>
        <v>4.6430522328061663E-2</v>
      </c>
      <c r="T72" s="1596">
        <f t="shared" si="107"/>
        <v>2.6709493543424667E-2</v>
      </c>
      <c r="U72" s="1596">
        <f t="shared" si="107"/>
        <v>-6.0239326918793856E-2</v>
      </c>
      <c r="V72" s="1596">
        <f t="shared" si="107"/>
        <v>1.6156098764577687E-2</v>
      </c>
      <c r="W72" s="1596">
        <f t="shared" si="107"/>
        <v>1.6217213831520638E-2</v>
      </c>
      <c r="X72" s="1596">
        <f t="shared" si="107"/>
        <v>1.5463702040132032E-2</v>
      </c>
      <c r="Y72" s="1596">
        <f t="shared" si="107"/>
        <v>1.3884126864407875E-2</v>
      </c>
      <c r="Z72" s="1596">
        <f t="shared" ref="Z72:AE72" si="108">Z71/Y71-1</f>
        <v>1.2288349079864869E-2</v>
      </c>
      <c r="AA72" s="1596">
        <f t="shared" si="108"/>
        <v>1.0678430788763738E-2</v>
      </c>
      <c r="AB72" s="1596">
        <f t="shared" si="108"/>
        <v>9.0563504104197445E-3</v>
      </c>
      <c r="AC72" s="1596">
        <f t="shared" si="108"/>
        <v>7.4240139270076444E-3</v>
      </c>
      <c r="AD72" s="1596">
        <f t="shared" si="108"/>
        <v>5.7832661037311439E-3</v>
      </c>
      <c r="AE72" s="1596">
        <f t="shared" si="108"/>
        <v>4.1359016703879092E-3</v>
      </c>
      <c r="AF72" s="1596">
        <f>AF71/AE71-1</f>
        <v>4.139460776001247E-3</v>
      </c>
      <c r="AG72" s="1596">
        <f>AG71/AF71-1</f>
        <v>4.143008259696046E-3</v>
      </c>
      <c r="AH72" s="962"/>
      <c r="AI72" s="962"/>
      <c r="AJ72" s="962"/>
      <c r="AK72" s="962"/>
      <c r="AL72" s="962"/>
      <c r="AM72" s="862"/>
      <c r="AN72" s="1470"/>
      <c r="AO72" s="1470"/>
      <c r="AP72" s="1470"/>
      <c r="AQ72" s="1470"/>
      <c r="AR72" s="1578"/>
      <c r="AS72" s="1470"/>
      <c r="AT72" s="1470"/>
      <c r="AU72" s="1470"/>
      <c r="AV72" s="1470"/>
      <c r="AW72" s="1660"/>
      <c r="AX72" s="1596"/>
      <c r="AY72" s="1470"/>
      <c r="AZ72" s="1470"/>
      <c r="BA72" s="1470"/>
      <c r="BB72" s="1660"/>
      <c r="BC72" s="1596"/>
      <c r="BD72" s="1596">
        <f>BD71/AY71-1</f>
        <v>8.7128417379410017E-2</v>
      </c>
      <c r="BE72" s="1596">
        <f>BE71/AZ71-1</f>
        <v>4.0094896138939573E-2</v>
      </c>
      <c r="BF72" s="1596">
        <f>BF71/BA71-1</f>
        <v>-7.5477258781359247E-2</v>
      </c>
      <c r="BG72" s="1660"/>
      <c r="BH72" s="1596">
        <f>BH71/BC71-1</f>
        <v>-9.6533054915721284E-2</v>
      </c>
      <c r="BI72" s="1596">
        <f>BI71/BD71-1</f>
        <v>-0.12816097030279061</v>
      </c>
      <c r="BJ72" s="1596">
        <f>BJ71/BE71-1</f>
        <v>-0.17282637416242663</v>
      </c>
      <c r="BK72" s="1596">
        <f>BK71/BF71-1</f>
        <v>-0.15936946380800843</v>
      </c>
      <c r="BL72" s="1660"/>
      <c r="BM72" s="1596">
        <f>BM71/BH71-1</f>
        <v>3.6867541563663453E-2</v>
      </c>
      <c r="BN72" s="1596">
        <f>BN71/BI71-1</f>
        <v>2.7872889664208866E-2</v>
      </c>
      <c r="BO72" s="1596">
        <f>BO71/BJ71-1</f>
        <v>4.3102439581816476E-2</v>
      </c>
      <c r="BP72" s="1596">
        <f>BP71/BK71-1</f>
        <v>4.2640639116601875E-2</v>
      </c>
      <c r="BQ72" s="1577"/>
      <c r="BR72" s="1596">
        <f>BR71/BM71-1</f>
        <v>-0.17330287486076801</v>
      </c>
      <c r="BS72" s="1596">
        <f>BS71/BN71-1</f>
        <v>-2.5303535121206089E-2</v>
      </c>
      <c r="BT72" s="1596">
        <f>BT71/BO71-1</f>
        <v>4.5210684823014491E-2</v>
      </c>
      <c r="BU72" s="1596">
        <f>BU71/BP71-1</f>
        <v>4.516580434383699E-2</v>
      </c>
      <c r="BV72" s="1577"/>
      <c r="BW72" s="1596">
        <f>BW71/BR71-1</f>
        <v>5.2455617895003304E-2</v>
      </c>
      <c r="BX72" s="1596">
        <f>BX71/BS71-1</f>
        <v>5.119672718442736E-2</v>
      </c>
      <c r="BY72" s="1596">
        <f>BY71/BT71-1</f>
        <v>5.1131430193446903E-2</v>
      </c>
      <c r="BZ72" s="1596">
        <f>BZ71/BU71-1</f>
        <v>5.1275237105210314E-2</v>
      </c>
      <c r="CA72" s="1577"/>
      <c r="CB72" s="1596">
        <f>CB71/BW71-1</f>
        <v>0.2037116323483259</v>
      </c>
      <c r="CC72" s="1596">
        <f>CC71/BX71-1</f>
        <v>0.15268326943598431</v>
      </c>
      <c r="CD72" s="1596">
        <f>CD71/BY71-1</f>
        <v>0.11715855718240742</v>
      </c>
      <c r="CE72" s="1596">
        <f>CE71/BZ71-1</f>
        <v>0.1126823010826925</v>
      </c>
      <c r="CF72" s="1577"/>
      <c r="CG72" s="1749">
        <f>CG71/CB71-1</f>
        <v>4.9342973610287943E-2</v>
      </c>
      <c r="CH72" s="1749">
        <f>CH71/CC71-1</f>
        <v>4.9404498884312087E-2</v>
      </c>
      <c r="CI72" s="1749">
        <f>CI71/CD71-1</f>
        <v>4.9116039033135106E-2</v>
      </c>
      <c r="CJ72" s="1596">
        <f>CJ71/CE71-1</f>
        <v>4.0000000000000036E-2</v>
      </c>
      <c r="CK72" s="1577"/>
      <c r="CL72" s="1596">
        <f>CL71/CG71-1</f>
        <v>3.3412183938835938E-2</v>
      </c>
      <c r="CM72" s="1596">
        <f>CM71/CH71-1</f>
        <v>2.8000000000000025E-2</v>
      </c>
      <c r="CN72" s="1596">
        <f>CN71/CI71-1</f>
        <v>2.5000000000000133E-2</v>
      </c>
      <c r="CO72" s="1596">
        <f>CO71/CJ71-1</f>
        <v>2.2243476874835189E-2</v>
      </c>
      <c r="CP72" s="2207"/>
      <c r="CQ72" s="1596">
        <f>CQ71/CL71-1</f>
        <v>-7.0422281443498824E-2</v>
      </c>
      <c r="CR72" s="1596">
        <f>CR71/CM71-1</f>
        <v>-6.0752782925995952E-2</v>
      </c>
      <c r="CS72" s="1596">
        <f>CS71/CN71-1</f>
        <v>-5.823660043320511E-2</v>
      </c>
      <c r="CT72" s="1596">
        <f>CT71/CO71-1</f>
        <v>-5.4021003567505721E-2</v>
      </c>
      <c r="CU72" s="1577"/>
      <c r="CV72" s="1596">
        <f>CV71/CQ71-1</f>
        <v>1.5028802885517889E-2</v>
      </c>
      <c r="CW72" s="1596">
        <f>CW71/CR71-1</f>
        <v>1.6496392130744608E-2</v>
      </c>
      <c r="CX72" s="1596">
        <f>CX71/CS71-1</f>
        <v>1.6611999124862109E-2</v>
      </c>
      <c r="CY72" s="1596">
        <f>CY71/CT71-1</f>
        <v>1.6342487197263056E-2</v>
      </c>
      <c r="CZ72" s="1577"/>
      <c r="DA72" s="1596">
        <f>DA71/CV71-1</f>
        <v>1.5102407832812137E-2</v>
      </c>
      <c r="DB72" s="1596">
        <f>DB71/CW71-1</f>
        <v>1.6553251052951135E-2</v>
      </c>
      <c r="DC72" s="1596">
        <f>DC71/CX71-1</f>
        <v>1.6667360922304031E-2</v>
      </c>
      <c r="DD72" s="1596">
        <f>DD71/CY71-1</f>
        <v>1.6401298923531593E-2</v>
      </c>
    </row>
    <row r="73" spans="1:108" hidden="1" outlineLevel="2">
      <c r="A73" s="1470"/>
      <c r="B73" s="1470"/>
      <c r="C73" s="1470"/>
      <c r="D73" s="1470"/>
      <c r="E73" s="1470"/>
      <c r="F73" s="1470"/>
      <c r="G73" s="1470"/>
      <c r="H73" s="1470"/>
      <c r="I73" s="1470"/>
      <c r="J73" s="1470"/>
      <c r="K73" s="1470"/>
      <c r="L73" s="1596"/>
      <c r="M73" s="1470"/>
      <c r="N73" s="1470"/>
      <c r="O73" s="1470"/>
      <c r="P73" s="1470"/>
      <c r="Q73" s="1470"/>
      <c r="R73" s="1470"/>
      <c r="S73" s="1470"/>
      <c r="T73" s="1470"/>
      <c r="U73" s="1470"/>
      <c r="V73" s="1470"/>
      <c r="W73" s="1470"/>
      <c r="X73" s="1470"/>
      <c r="Y73" s="1470"/>
      <c r="Z73" s="1470"/>
      <c r="AA73" s="1470"/>
      <c r="AB73" s="1470"/>
      <c r="AC73" s="1470"/>
      <c r="AD73" s="1470"/>
      <c r="AE73" s="1470"/>
      <c r="AF73" s="1470"/>
      <c r="AG73" s="1470"/>
      <c r="AH73" s="962"/>
      <c r="AI73" s="962"/>
      <c r="AJ73" s="962"/>
      <c r="AK73" s="962"/>
      <c r="AL73" s="962"/>
      <c r="AM73" s="862"/>
      <c r="AN73" s="1470"/>
      <c r="AO73" s="1470"/>
      <c r="AP73" s="1470"/>
      <c r="AQ73" s="1470"/>
      <c r="AR73" s="1578"/>
      <c r="AS73" s="1470"/>
      <c r="AT73" s="1470"/>
      <c r="AU73" s="1470"/>
      <c r="AV73" s="1470"/>
      <c r="AW73" s="1660"/>
      <c r="AX73" s="1470"/>
      <c r="AY73" s="1470"/>
      <c r="AZ73" s="1470"/>
      <c r="BA73" s="1470"/>
      <c r="BB73" s="1660"/>
      <c r="BC73" s="1470"/>
      <c r="BD73" s="1470"/>
      <c r="BE73" s="1470"/>
      <c r="BF73" s="1470"/>
      <c r="BG73" s="1660"/>
      <c r="BH73" s="1470"/>
      <c r="BI73" s="1470"/>
      <c r="BJ73" s="1470"/>
      <c r="BK73" s="1470"/>
      <c r="BL73" s="1660"/>
      <c r="BM73" s="1470"/>
      <c r="BN73" s="1470"/>
      <c r="BO73" s="1470"/>
      <c r="BP73" s="1470"/>
      <c r="BQ73" s="1577"/>
      <c r="BR73" s="1470"/>
      <c r="BS73" s="1470"/>
      <c r="BT73" s="1470"/>
      <c r="BU73" s="1470"/>
      <c r="BV73" s="1577"/>
      <c r="BW73" s="1470"/>
      <c r="BX73" s="1470"/>
      <c r="BY73" s="1470"/>
      <c r="BZ73" s="1470"/>
      <c r="CA73" s="1577"/>
      <c r="CB73" s="1470"/>
      <c r="CC73" s="1470"/>
      <c r="CD73" s="1470"/>
      <c r="CE73" s="1470"/>
      <c r="CF73" s="1577"/>
      <c r="CG73" s="1750"/>
      <c r="CH73" s="1750"/>
      <c r="CI73" s="1750"/>
      <c r="CJ73" s="1470"/>
      <c r="CK73" s="1577"/>
      <c r="CL73" s="1470"/>
      <c r="CM73" s="1470"/>
      <c r="CN73" s="1470"/>
      <c r="CO73" s="1470"/>
      <c r="CP73" s="2207"/>
      <c r="CQ73" s="1470"/>
      <c r="CR73" s="1470"/>
      <c r="CS73" s="1470"/>
      <c r="CT73" s="1470"/>
      <c r="CU73" s="1577"/>
      <c r="CV73" s="1470"/>
      <c r="CW73" s="1470"/>
      <c r="CX73" s="1470"/>
      <c r="CY73" s="1470"/>
      <c r="CZ73" s="1577"/>
      <c r="DA73" s="1470"/>
      <c r="DB73" s="1470"/>
      <c r="DC73" s="1470"/>
      <c r="DD73" s="1470"/>
    </row>
    <row r="74" spans="1:108" hidden="1" outlineLevel="2">
      <c r="A74" s="1470" t="s">
        <v>17</v>
      </c>
      <c r="B74" s="1470"/>
      <c r="C74" s="1470"/>
      <c r="D74" s="1470"/>
      <c r="E74" s="1470"/>
      <c r="F74" s="1470"/>
      <c r="G74" s="1470"/>
      <c r="H74" s="1470"/>
      <c r="I74" s="1470"/>
      <c r="J74" s="1470"/>
      <c r="K74" s="1470"/>
      <c r="L74" s="1751">
        <f>SUM(AX74:BA74)</f>
        <v>6755</v>
      </c>
      <c r="M74" s="1751">
        <f>SUM(BC74:BF74)</f>
        <v>6907.43</v>
      </c>
      <c r="N74" s="1751">
        <f>SUM(BH74:BK74)</f>
        <v>7114.652900000001</v>
      </c>
      <c r="O74" s="1603">
        <f t="shared" ref="O74:Q74" si="109">N74*(1+O75)</f>
        <v>7328.0924870000008</v>
      </c>
      <c r="P74" s="1603">
        <f t="shared" si="109"/>
        <v>7547.9352616100014</v>
      </c>
      <c r="Q74" s="1603">
        <f t="shared" si="109"/>
        <v>7774.3733194583019</v>
      </c>
      <c r="R74" s="1751">
        <f>SUM(CB74:CE74)</f>
        <v>8007.6045190420491</v>
      </c>
      <c r="S74" s="1751">
        <f>SUM(CG74:CJ74)</f>
        <v>8247.8326546133103</v>
      </c>
      <c r="T74" s="1751">
        <f>SUM(CL74:CO74)</f>
        <v>8495.2676342517116</v>
      </c>
      <c r="U74" s="1751">
        <f>SUM(CQ74:CT74)</f>
        <v>8750.1256632792629</v>
      </c>
      <c r="V74" s="1751">
        <f>SUM(CV74:CY74)</f>
        <v>9012.6294331776407</v>
      </c>
      <c r="W74" s="1751">
        <f>SUM(DA74:DD74)</f>
        <v>9283.0083161729708</v>
      </c>
      <c r="X74" s="1603">
        <f t="shared" ref="X74:AE74" si="110">W74*(1+X75)</f>
        <v>9561.4985656581594</v>
      </c>
      <c r="Y74" s="1603">
        <f t="shared" si="110"/>
        <v>9848.3435226279053</v>
      </c>
      <c r="Z74" s="1603">
        <f t="shared" si="110"/>
        <v>10143.793828306743</v>
      </c>
      <c r="AA74" s="1603">
        <f t="shared" si="110"/>
        <v>10448.107643155945</v>
      </c>
      <c r="AB74" s="1603">
        <f t="shared" si="110"/>
        <v>10761.550872450624</v>
      </c>
      <c r="AC74" s="1603">
        <f t="shared" si="110"/>
        <v>11084.397398624142</v>
      </c>
      <c r="AD74" s="1603">
        <f t="shared" si="110"/>
        <v>11416.929320582867</v>
      </c>
      <c r="AE74" s="1603">
        <f t="shared" si="110"/>
        <v>11759.437200200353</v>
      </c>
      <c r="AF74" s="1603">
        <f>AE74*(1+AF75)</f>
        <v>12112.220316206363</v>
      </c>
      <c r="AG74" s="1603">
        <f>AF74*(1+AG75)</f>
        <v>12475.586925692554</v>
      </c>
      <c r="AH74" s="962"/>
      <c r="AI74" s="962"/>
      <c r="AJ74" s="962"/>
      <c r="AK74" s="962"/>
      <c r="AL74" s="962"/>
      <c r="AM74" s="862"/>
      <c r="AN74" s="1470"/>
      <c r="AO74" s="1470"/>
      <c r="AP74" s="1470"/>
      <c r="AQ74" s="1470"/>
      <c r="AR74" s="1578"/>
      <c r="AS74" s="1470"/>
      <c r="AT74" s="1470"/>
      <c r="AU74" s="1470"/>
      <c r="AV74" s="1470"/>
      <c r="AW74" s="1660"/>
      <c r="AX74" s="1752">
        <v>1574</v>
      </c>
      <c r="AY74" s="1752">
        <v>1644</v>
      </c>
      <c r="AZ74" s="1752">
        <v>1987</v>
      </c>
      <c r="BA74" s="1752">
        <v>1550</v>
      </c>
      <c r="BB74" s="1660"/>
      <c r="BC74" s="1752">
        <v>1571</v>
      </c>
      <c r="BD74" s="1603">
        <f>AY74*(1+BD75)</f>
        <v>1693.32</v>
      </c>
      <c r="BE74" s="1603">
        <f>AZ74*(1+BE75)</f>
        <v>2046.6100000000001</v>
      </c>
      <c r="BF74" s="1603">
        <f>BA74*(1+BF75)</f>
        <v>1596.5</v>
      </c>
      <c r="BG74" s="1660"/>
      <c r="BH74" s="1603">
        <f>BC74*(1+BH75)</f>
        <v>1618.13</v>
      </c>
      <c r="BI74" s="1603">
        <f>BD74*(1+BI75)</f>
        <v>1744.1196</v>
      </c>
      <c r="BJ74" s="1603">
        <f>BE74*(1+BJ75)</f>
        <v>2108.0083</v>
      </c>
      <c r="BK74" s="1603">
        <f>BF74*(1+BK75)</f>
        <v>1644.395</v>
      </c>
      <c r="BL74" s="1660"/>
      <c r="BM74" s="1603">
        <f>BH74*(1+BM75)</f>
        <v>1666.6739000000002</v>
      </c>
      <c r="BN74" s="1603">
        <f>BI74*(1+BN75)</f>
        <v>1796.443188</v>
      </c>
      <c r="BO74" s="1603">
        <f>BJ74*(1+BO75)</f>
        <v>2171.2485489999999</v>
      </c>
      <c r="BP74" s="1603">
        <f>BK74*(1+BP75)</f>
        <v>1693.72685</v>
      </c>
      <c r="BQ74" s="1577"/>
      <c r="BR74" s="1603">
        <f>BM74*(1+BR75)</f>
        <v>1716.6741170000003</v>
      </c>
      <c r="BS74" s="1603">
        <f>BN74*(1+BS75)</f>
        <v>1850.3364836400001</v>
      </c>
      <c r="BT74" s="1603">
        <f>BO74*(1+BT75)</f>
        <v>2236.3860054699999</v>
      </c>
      <c r="BU74" s="1603">
        <f>BP74*(1+BU75)</f>
        <v>1744.5386555</v>
      </c>
      <c r="BV74" s="1577"/>
      <c r="BW74" s="1603">
        <f>BR74*(1+BW75)</f>
        <v>1768.1743405100003</v>
      </c>
      <c r="BX74" s="1603">
        <f>BS74*(1+BX75)</f>
        <v>1905.8465781492002</v>
      </c>
      <c r="BY74" s="1603">
        <f>BT74*(1+BY75)</f>
        <v>2303.4775856340998</v>
      </c>
      <c r="BZ74" s="1603">
        <f>BU74*(1+BZ75)</f>
        <v>1796.874815165</v>
      </c>
      <c r="CA74" s="1577"/>
      <c r="CB74" s="1603">
        <f>BW74*(1+CB75)</f>
        <v>1821.2195707253004</v>
      </c>
      <c r="CC74" s="1603">
        <f>BX74*(1+CC75)</f>
        <v>1963.0219754936763</v>
      </c>
      <c r="CD74" s="1603">
        <f>BY74*(1+CD75)</f>
        <v>2372.5819132031229</v>
      </c>
      <c r="CE74" s="1603">
        <f>BZ74*(1+CE75)</f>
        <v>1850.7810596199499</v>
      </c>
      <c r="CF74" s="1577"/>
      <c r="CG74" s="1753">
        <f>CB74*(1+CG75)</f>
        <v>1875.8561578470594</v>
      </c>
      <c r="CH74" s="1753">
        <f>CC74*(1+CH75)</f>
        <v>2021.9126347584868</v>
      </c>
      <c r="CI74" s="1753">
        <f>CD74*(1+CI75)</f>
        <v>2443.7593705992167</v>
      </c>
      <c r="CJ74" s="1603">
        <f>CE74*(1+CJ75)</f>
        <v>1906.3044914085485</v>
      </c>
      <c r="CK74" s="1577"/>
      <c r="CL74" s="1603">
        <f>CG74*(1+CL75)</f>
        <v>1932.1318425824713</v>
      </c>
      <c r="CM74" s="1603">
        <f>CH74*(1+CM75)</f>
        <v>2082.5700138012417</v>
      </c>
      <c r="CN74" s="1603">
        <f>CI74*(1+CN75)</f>
        <v>2517.0721517171933</v>
      </c>
      <c r="CO74" s="1603">
        <f>CJ74*(1+CO75)</f>
        <v>1963.4936261508051</v>
      </c>
      <c r="CP74" s="2207"/>
      <c r="CQ74" s="1603">
        <f>CL74*(1+CQ75)</f>
        <v>1990.0957978599456</v>
      </c>
      <c r="CR74" s="1603">
        <f>CM74*(1+CR75)</f>
        <v>2145.0471142152792</v>
      </c>
      <c r="CS74" s="1603">
        <f>CN74*(1+CS75)</f>
        <v>2592.5843162687092</v>
      </c>
      <c r="CT74" s="1603">
        <f>CO74*(1+CT75)</f>
        <v>2022.3984349353293</v>
      </c>
      <c r="CU74" s="1577"/>
      <c r="CV74" s="1603">
        <f>CQ74*(1+CV75)</f>
        <v>2049.7986717957442</v>
      </c>
      <c r="CW74" s="1603">
        <f>CR74*(1+CW75)</f>
        <v>2209.3985276417375</v>
      </c>
      <c r="CX74" s="1603">
        <f>CS74*(1+CX75)</f>
        <v>2670.3618457567704</v>
      </c>
      <c r="CY74" s="1603">
        <f>CT74*(1+CY75)</f>
        <v>2083.0703879833891</v>
      </c>
      <c r="CZ74" s="1577"/>
      <c r="DA74" s="1603">
        <f>CV74*(1+DA75)</f>
        <v>2111.2926319496164</v>
      </c>
      <c r="DB74" s="1603">
        <f>CW74*(1+DB75)</f>
        <v>2275.6804834709897</v>
      </c>
      <c r="DC74" s="1603">
        <f>CX74*(1+DC75)</f>
        <v>2750.4727011294735</v>
      </c>
      <c r="DD74" s="1603">
        <f>CY74*(1+DD75)</f>
        <v>2145.5624996228908</v>
      </c>
    </row>
    <row r="75" spans="1:108" hidden="1" outlineLevel="2">
      <c r="A75" s="1746" t="s">
        <v>676</v>
      </c>
      <c r="B75" s="1470"/>
      <c r="C75" s="1470"/>
      <c r="D75" s="1470"/>
      <c r="E75" s="1470"/>
      <c r="F75" s="1470"/>
      <c r="G75" s="1470"/>
      <c r="H75" s="1470"/>
      <c r="I75" s="1470"/>
      <c r="J75" s="1470"/>
      <c r="K75" s="1470"/>
      <c r="L75" s="1606"/>
      <c r="M75" s="1596">
        <f>M74/L74-1</f>
        <v>2.2565507031828247E-2</v>
      </c>
      <c r="N75" s="1596">
        <f>N74/M74-1</f>
        <v>3.0000000000000027E-2</v>
      </c>
      <c r="O75" s="1605">
        <v>0.03</v>
      </c>
      <c r="P75" s="1605">
        <v>0.03</v>
      </c>
      <c r="Q75" s="1605">
        <v>0.03</v>
      </c>
      <c r="R75" s="1596">
        <f t="shared" ref="R75:W75" si="111">R74/Q74-1</f>
        <v>2.9999999999999805E-2</v>
      </c>
      <c r="S75" s="1596">
        <f t="shared" si="111"/>
        <v>3.0000000000000027E-2</v>
      </c>
      <c r="T75" s="1596">
        <f t="shared" si="111"/>
        <v>3.0000000000000249E-2</v>
      </c>
      <c r="U75" s="1596">
        <f t="shared" si="111"/>
        <v>3.0000000000000027E-2</v>
      </c>
      <c r="V75" s="1596">
        <f t="shared" si="111"/>
        <v>3.0000000000000027E-2</v>
      </c>
      <c r="W75" s="1596">
        <f t="shared" si="111"/>
        <v>3.0000000000000027E-2</v>
      </c>
      <c r="X75" s="1605">
        <v>0.03</v>
      </c>
      <c r="Y75" s="1605">
        <v>0.03</v>
      </c>
      <c r="Z75" s="1605">
        <v>0.03</v>
      </c>
      <c r="AA75" s="1605">
        <v>0.03</v>
      </c>
      <c r="AB75" s="1605">
        <v>0.03</v>
      </c>
      <c r="AC75" s="1605">
        <v>0.03</v>
      </c>
      <c r="AD75" s="1605">
        <v>0.03</v>
      </c>
      <c r="AE75" s="1605">
        <v>0.03</v>
      </c>
      <c r="AF75" s="1605">
        <v>0.03</v>
      </c>
      <c r="AG75" s="1605">
        <v>0.03</v>
      </c>
      <c r="AH75" s="962"/>
      <c r="AI75" s="962"/>
      <c r="AJ75" s="962"/>
      <c r="AK75" s="962"/>
      <c r="AL75" s="962"/>
      <c r="AM75" s="862"/>
      <c r="AN75" s="1470"/>
      <c r="AO75" s="1470"/>
      <c r="AP75" s="1470"/>
      <c r="AQ75" s="1470"/>
      <c r="AR75" s="1578"/>
      <c r="AS75" s="1470"/>
      <c r="AT75" s="1470"/>
      <c r="AU75" s="1470"/>
      <c r="AV75" s="1470"/>
      <c r="AW75" s="1660"/>
      <c r="AX75" s="1470"/>
      <c r="AY75" s="1470"/>
      <c r="AZ75" s="1470"/>
      <c r="BA75" s="1470"/>
      <c r="BB75" s="1660"/>
      <c r="BC75" s="1596">
        <f>BC74/AX74-1</f>
        <v>-1.9059720457432761E-3</v>
      </c>
      <c r="BD75" s="1604">
        <v>0.03</v>
      </c>
      <c r="BE75" s="1604">
        <v>0.03</v>
      </c>
      <c r="BF75" s="1604">
        <v>0.03</v>
      </c>
      <c r="BG75" s="1660"/>
      <c r="BH75" s="1604">
        <v>0.03</v>
      </c>
      <c r="BI75" s="1604">
        <v>0.03</v>
      </c>
      <c r="BJ75" s="1604">
        <v>0.03</v>
      </c>
      <c r="BK75" s="1604">
        <v>0.03</v>
      </c>
      <c r="BL75" s="1660"/>
      <c r="BM75" s="1604">
        <v>0.03</v>
      </c>
      <c r="BN75" s="1604">
        <v>0.03</v>
      </c>
      <c r="BO75" s="1604">
        <v>0.03</v>
      </c>
      <c r="BP75" s="1604">
        <v>0.03</v>
      </c>
      <c r="BQ75" s="1577"/>
      <c r="BR75" s="1604">
        <v>0.03</v>
      </c>
      <c r="BS75" s="1604">
        <v>0.03</v>
      </c>
      <c r="BT75" s="1604">
        <v>0.03</v>
      </c>
      <c r="BU75" s="1604">
        <v>0.03</v>
      </c>
      <c r="BV75" s="1577"/>
      <c r="BW75" s="1604">
        <v>0.03</v>
      </c>
      <c r="BX75" s="1604">
        <v>0.03</v>
      </c>
      <c r="BY75" s="1604">
        <v>0.03</v>
      </c>
      <c r="BZ75" s="1604">
        <v>0.03</v>
      </c>
      <c r="CA75" s="1577"/>
      <c r="CB75" s="1604">
        <v>0.03</v>
      </c>
      <c r="CC75" s="1604">
        <v>0.03</v>
      </c>
      <c r="CD75" s="1604">
        <v>0.03</v>
      </c>
      <c r="CE75" s="1604">
        <v>0.03</v>
      </c>
      <c r="CF75" s="1577"/>
      <c r="CG75" s="1459">
        <v>0.03</v>
      </c>
      <c r="CH75" s="1459">
        <v>0.03</v>
      </c>
      <c r="CI75" s="1459">
        <v>0.03</v>
      </c>
      <c r="CJ75" s="1604">
        <v>0.03</v>
      </c>
      <c r="CK75" s="1577"/>
      <c r="CL75" s="1602">
        <v>0.03</v>
      </c>
      <c r="CM75" s="1602">
        <v>0.03</v>
      </c>
      <c r="CN75" s="1602">
        <v>0.03</v>
      </c>
      <c r="CO75" s="1604">
        <v>0.03</v>
      </c>
      <c r="CP75" s="2207"/>
      <c r="CQ75" s="1602">
        <v>0.03</v>
      </c>
      <c r="CR75" s="1602">
        <v>0.03</v>
      </c>
      <c r="CS75" s="1602">
        <v>0.03</v>
      </c>
      <c r="CT75" s="1604">
        <v>0.03</v>
      </c>
      <c r="CU75" s="1577"/>
      <c r="CV75" s="1602">
        <v>0.03</v>
      </c>
      <c r="CW75" s="1602">
        <v>0.03</v>
      </c>
      <c r="CX75" s="1602">
        <v>0.03</v>
      </c>
      <c r="CY75" s="1604">
        <v>0.03</v>
      </c>
      <c r="CZ75" s="1577"/>
      <c r="DA75" s="1602">
        <v>0.03</v>
      </c>
      <c r="DB75" s="1602">
        <v>0.03</v>
      </c>
      <c r="DC75" s="1602">
        <v>0.03</v>
      </c>
      <c r="DD75" s="1604">
        <v>0.03</v>
      </c>
    </row>
    <row r="76" spans="1:108" hidden="1" outlineLevel="2">
      <c r="A76" s="1754"/>
      <c r="B76" s="1470"/>
      <c r="C76" s="1470"/>
      <c r="D76" s="1470"/>
      <c r="E76" s="1470"/>
      <c r="F76" s="1470"/>
      <c r="G76" s="1470"/>
      <c r="H76" s="1470"/>
      <c r="I76" s="1470"/>
      <c r="J76" s="1470"/>
      <c r="K76" s="1470"/>
      <c r="L76" s="1606"/>
      <c r="M76" s="1606"/>
      <c r="N76" s="1606"/>
      <c r="O76" s="1606"/>
      <c r="P76" s="1606"/>
      <c r="Q76" s="1606"/>
      <c r="R76" s="1606"/>
      <c r="S76" s="1606"/>
      <c r="T76" s="1606"/>
      <c r="U76" s="1606"/>
      <c r="V76" s="1606"/>
      <c r="W76" s="1606"/>
      <c r="X76" s="1606"/>
      <c r="Y76" s="1606"/>
      <c r="Z76" s="1606"/>
      <c r="AA76" s="1606"/>
      <c r="AB76" s="1606"/>
      <c r="AC76" s="1606"/>
      <c r="AD76" s="1606"/>
      <c r="AE76" s="1606"/>
      <c r="AF76" s="1606"/>
      <c r="AG76" s="1606"/>
      <c r="AH76" s="962"/>
      <c r="AI76" s="962"/>
      <c r="AJ76" s="962"/>
      <c r="AK76" s="962"/>
      <c r="AL76" s="962"/>
      <c r="AM76" s="862"/>
      <c r="AN76" s="1470"/>
      <c r="AO76" s="1470"/>
      <c r="AP76" s="1470"/>
      <c r="AQ76" s="1470"/>
      <c r="AR76" s="1578"/>
      <c r="AS76" s="1470"/>
      <c r="AT76" s="1470"/>
      <c r="AU76" s="1470"/>
      <c r="AV76" s="1470"/>
      <c r="AW76" s="1660"/>
      <c r="AX76" s="1470"/>
      <c r="AY76" s="1470"/>
      <c r="AZ76" s="1470"/>
      <c r="BA76" s="1470"/>
      <c r="BB76" s="1660"/>
      <c r="BC76" s="1470"/>
      <c r="BD76" s="1470"/>
      <c r="BE76" s="1470"/>
      <c r="BF76" s="1470"/>
      <c r="BG76" s="1660"/>
      <c r="BH76" s="1470"/>
      <c r="BI76" s="1470"/>
      <c r="BJ76" s="1470"/>
      <c r="BK76" s="1470"/>
      <c r="BL76" s="1660"/>
      <c r="BM76" s="1577"/>
      <c r="BN76" s="1577"/>
      <c r="BO76" s="1577"/>
      <c r="BP76" s="1577"/>
      <c r="BQ76" s="1577"/>
      <c r="BR76" s="1577"/>
      <c r="BS76" s="1577"/>
      <c r="BT76" s="1577"/>
      <c r="BU76" s="1577"/>
      <c r="BV76" s="1577"/>
      <c r="BW76" s="1577"/>
      <c r="BX76" s="1577"/>
      <c r="BY76" s="1577"/>
      <c r="BZ76" s="1577"/>
      <c r="CA76" s="1577"/>
      <c r="CB76" s="1577"/>
      <c r="CC76" s="1577"/>
      <c r="CD76" s="1577"/>
      <c r="CE76" s="1577"/>
      <c r="CF76" s="1577"/>
      <c r="CG76" s="1577"/>
      <c r="CH76" s="1577"/>
      <c r="CI76" s="1577"/>
      <c r="CJ76" s="1577"/>
      <c r="CK76" s="1577"/>
      <c r="CP76" s="2207"/>
      <c r="CQ76" s="1577"/>
      <c r="CR76" s="1577"/>
      <c r="CS76" s="1577"/>
      <c r="CT76" s="1577"/>
      <c r="CU76" s="1577"/>
      <c r="CZ76" s="1577"/>
    </row>
    <row r="77" spans="1:108" hidden="1" outlineLevel="2">
      <c r="A77" s="1747" t="s">
        <v>23</v>
      </c>
      <c r="B77" s="1470"/>
      <c r="C77" s="1470"/>
      <c r="D77" s="1470"/>
      <c r="E77" s="1470"/>
      <c r="F77" s="1470"/>
      <c r="G77" s="1470"/>
      <c r="H77" s="1470"/>
      <c r="I77" s="1470"/>
      <c r="J77" s="1470"/>
      <c r="K77" s="1470"/>
      <c r="L77" s="1607">
        <f>L74/L60/12</f>
        <v>4.5118396550296156</v>
      </c>
      <c r="M77" s="1607">
        <f t="shared" ref="M77:V77" si="112">M74/M60/12</f>
        <v>4.4103205368530887</v>
      </c>
      <c r="N77" s="1607">
        <f t="shared" si="112"/>
        <v>4.4460215322662586</v>
      </c>
      <c r="O77" s="1607">
        <f t="shared" si="112"/>
        <v>4.5451308201730489</v>
      </c>
      <c r="P77" s="1607">
        <f t="shared" si="112"/>
        <v>4.65740616213193</v>
      </c>
      <c r="Q77" s="1607">
        <f t="shared" si="112"/>
        <v>4.7971283469958879</v>
      </c>
      <c r="R77" s="1607">
        <f>R74/R60/12</f>
        <v>4.9410421974057632</v>
      </c>
      <c r="S77" s="1607">
        <f t="shared" si="112"/>
        <v>5.0892734633279364</v>
      </c>
      <c r="T77" s="1607">
        <f t="shared" si="112"/>
        <v>5.2419516672277764</v>
      </c>
      <c r="U77" s="1607">
        <f t="shared" si="112"/>
        <v>5.399210217244609</v>
      </c>
      <c r="V77" s="1607">
        <f t="shared" si="112"/>
        <v>5.5611865237619469</v>
      </c>
      <c r="W77" s="1607">
        <f t="shared" ref="W77" si="113">W74/W60/12</f>
        <v>5.7280221194748071</v>
      </c>
      <c r="X77" s="1607">
        <f t="shared" ref="X77:AC77" si="114">X74/X60/12</f>
        <v>5.8998627830590502</v>
      </c>
      <c r="Y77" s="1607">
        <f t="shared" si="114"/>
        <v>6.0768586665508222</v>
      </c>
      <c r="Z77" s="1607">
        <f t="shared" si="114"/>
        <v>6.2591644265473469</v>
      </c>
      <c r="AA77" s="1607">
        <f t="shared" si="114"/>
        <v>6.4469393593437667</v>
      </c>
      <c r="AB77" s="1607">
        <f t="shared" si="114"/>
        <v>6.6403475401240799</v>
      </c>
      <c r="AC77" s="1607">
        <f t="shared" si="114"/>
        <v>6.8395579663278028</v>
      </c>
      <c r="AD77" s="1607">
        <f>AD74/AD60/12</f>
        <v>7.0447447053176377</v>
      </c>
      <c r="AE77" s="1607">
        <f>AE74/AE60/12</f>
        <v>7.2560870464771661</v>
      </c>
      <c r="AF77" s="1607">
        <f>AF74/AF60/12</f>
        <v>7.4737696578714816</v>
      </c>
      <c r="AG77" s="1607">
        <f>AG74/AG60/12</f>
        <v>7.6979827476076261</v>
      </c>
      <c r="AH77" s="962"/>
      <c r="AI77" s="962"/>
      <c r="AJ77" s="962"/>
      <c r="AK77" s="962"/>
      <c r="AL77" s="962"/>
      <c r="AM77" s="1470"/>
      <c r="AN77" s="1470"/>
      <c r="AO77" s="1470"/>
      <c r="AP77" s="1470"/>
      <c r="AQ77" s="1470"/>
      <c r="AR77" s="1578"/>
      <c r="AS77" s="1470"/>
      <c r="AT77" s="1470"/>
      <c r="AU77" s="1470"/>
      <c r="AV77" s="1470"/>
      <c r="AW77" s="1660"/>
      <c r="AX77" s="1470"/>
      <c r="AY77" s="1470"/>
      <c r="AZ77" s="1470"/>
      <c r="BA77" s="1470"/>
      <c r="BB77" s="1660"/>
      <c r="BC77" s="1470"/>
      <c r="BD77" s="1470"/>
      <c r="BE77" s="1470"/>
      <c r="BF77" s="1470"/>
      <c r="BG77" s="1660"/>
      <c r="BH77" s="1470"/>
      <c r="BI77" s="1470"/>
      <c r="BJ77" s="1470"/>
      <c r="BK77" s="1470"/>
      <c r="BL77" s="1660"/>
      <c r="BM77" s="1577"/>
      <c r="BN77" s="1577"/>
      <c r="BO77" s="1577"/>
      <c r="BP77" s="1577"/>
      <c r="BQ77" s="1577"/>
      <c r="BR77" s="1577"/>
      <c r="BS77" s="1577"/>
      <c r="BT77" s="1577"/>
      <c r="BU77" s="1577"/>
      <c r="BV77" s="1577"/>
      <c r="BW77" s="1577"/>
      <c r="BX77" s="1577"/>
      <c r="BY77" s="1577"/>
      <c r="BZ77" s="1577"/>
      <c r="CA77" s="1577"/>
      <c r="CB77" s="1577"/>
      <c r="CC77" s="1577"/>
      <c r="CD77" s="1577"/>
      <c r="CE77" s="1577"/>
      <c r="CF77" s="1577"/>
      <c r="CG77" s="1577"/>
      <c r="CH77" s="1577"/>
      <c r="CI77" s="1577"/>
      <c r="CJ77" s="1577"/>
      <c r="CK77" s="1577"/>
      <c r="CP77" s="2207"/>
      <c r="CQ77" s="1577"/>
      <c r="CR77" s="1577"/>
      <c r="CS77" s="1577"/>
      <c r="CT77" s="1577"/>
      <c r="CU77" s="1577"/>
      <c r="CZ77" s="1577"/>
    </row>
    <row r="78" spans="1:108" hidden="1" outlineLevel="2">
      <c r="A78" s="1747" t="s">
        <v>24</v>
      </c>
      <c r="B78" s="1470"/>
      <c r="C78" s="1470"/>
      <c r="D78" s="1470"/>
      <c r="E78" s="1470"/>
      <c r="F78" s="1470"/>
      <c r="G78" s="1470"/>
      <c r="H78" s="1470"/>
      <c r="I78" s="1470"/>
      <c r="J78" s="1470"/>
      <c r="K78" s="1470"/>
      <c r="L78" s="1578">
        <f>L74/L65</f>
        <v>0.24200193458245262</v>
      </c>
      <c r="M78" s="1578">
        <f t="shared" ref="M78:V78" si="115">M74/M65</f>
        <v>0.25436690629996705</v>
      </c>
      <c r="N78" s="1578">
        <f t="shared" si="115"/>
        <v>0.25812509038673753</v>
      </c>
      <c r="O78" s="1578">
        <f t="shared" si="115"/>
        <v>0.26456588625528971</v>
      </c>
      <c r="P78" s="1578">
        <f t="shared" si="115"/>
        <v>0.28374526143553025</v>
      </c>
      <c r="Q78" s="1578">
        <f t="shared" si="115"/>
        <v>0.29225761927859617</v>
      </c>
      <c r="R78" s="1578">
        <f>R74/R65</f>
        <v>0.30102534785695401</v>
      </c>
      <c r="S78" s="1578">
        <f t="shared" si="115"/>
        <v>0.31005610829266261</v>
      </c>
      <c r="T78" s="1578">
        <f t="shared" si="115"/>
        <v>0.31935779154144256</v>
      </c>
      <c r="U78" s="1578">
        <f t="shared" si="115"/>
        <v>0.3289385252876858</v>
      </c>
      <c r="V78" s="1578">
        <f t="shared" si="115"/>
        <v>0.33880668104631639</v>
      </c>
      <c r="W78" s="1578">
        <f t="shared" ref="W78" si="116">W74/W65</f>
        <v>0.34897088147770594</v>
      </c>
      <c r="X78" s="1578">
        <f t="shared" ref="X78:AC78" si="117">X74/X65</f>
        <v>0.35944000792203706</v>
      </c>
      <c r="Y78" s="1578">
        <f t="shared" si="117"/>
        <v>0.37022320815969822</v>
      </c>
      <c r="Z78" s="1578">
        <f t="shared" si="117"/>
        <v>0.38132990440448922</v>
      </c>
      <c r="AA78" s="1578">
        <f t="shared" si="117"/>
        <v>0.39276980153662389</v>
      </c>
      <c r="AB78" s="1578">
        <f t="shared" si="117"/>
        <v>0.40455289558272256</v>
      </c>
      <c r="AC78" s="1578">
        <f t="shared" si="117"/>
        <v>0.41668948245020426</v>
      </c>
      <c r="AD78" s="1578">
        <f>AD74/AD65</f>
        <v>0.42919016692371043</v>
      </c>
      <c r="AE78" s="1578">
        <f>AE74/AE65</f>
        <v>0.44206587193142172</v>
      </c>
      <c r="AF78" s="1578">
        <f>AF74/AF65</f>
        <v>0.45532784808936438</v>
      </c>
      <c r="AG78" s="1578">
        <f>AG74/AG65</f>
        <v>0.46898768353204529</v>
      </c>
      <c r="AH78" s="962"/>
      <c r="AI78" s="962"/>
      <c r="AJ78" s="962"/>
      <c r="AK78" s="962"/>
      <c r="AL78" s="962"/>
      <c r="AM78" s="1470"/>
      <c r="AN78" s="1470"/>
      <c r="AO78" s="1470"/>
      <c r="AP78" s="1470"/>
      <c r="AQ78" s="1470"/>
      <c r="AR78" s="1578"/>
      <c r="AS78" s="1470"/>
      <c r="AT78" s="1470"/>
      <c r="AU78" s="1470"/>
      <c r="AV78" s="1470"/>
      <c r="AW78" s="1660"/>
      <c r="AX78" s="1470"/>
      <c r="AY78" s="1470"/>
      <c r="AZ78" s="1470"/>
      <c r="BA78" s="1470"/>
      <c r="BB78" s="1660"/>
      <c r="BC78" s="1470"/>
      <c r="BD78" s="1470"/>
      <c r="BE78" s="1470"/>
      <c r="BF78" s="1470"/>
      <c r="BG78" s="1660"/>
      <c r="BH78" s="1470"/>
      <c r="BI78" s="1470"/>
      <c r="BJ78" s="1470"/>
      <c r="BK78" s="1470"/>
      <c r="BL78" s="1660"/>
      <c r="BM78" s="1577"/>
      <c r="BN78" s="1577"/>
      <c r="BO78" s="1577"/>
      <c r="BP78" s="1577"/>
      <c r="BQ78" s="1577"/>
      <c r="BR78" s="1577"/>
      <c r="BS78" s="1577"/>
      <c r="BT78" s="1577"/>
      <c r="BU78" s="1577"/>
      <c r="BV78" s="1577"/>
      <c r="BW78" s="1577"/>
      <c r="BX78" s="1577"/>
      <c r="BY78" s="1577"/>
      <c r="BZ78" s="1577"/>
      <c r="CA78" s="1577"/>
      <c r="CB78" s="1577"/>
      <c r="CC78" s="1577"/>
      <c r="CD78" s="1577"/>
      <c r="CE78" s="1577"/>
      <c r="CF78" s="1577"/>
      <c r="CG78" s="1577"/>
      <c r="CH78" s="1577"/>
      <c r="CI78" s="1577"/>
      <c r="CJ78" s="1577"/>
      <c r="CK78" s="1577"/>
      <c r="CP78" s="2207"/>
      <c r="CQ78" s="1577"/>
      <c r="CR78" s="1577"/>
      <c r="CS78" s="1577"/>
      <c r="CT78" s="1577"/>
      <c r="CU78" s="1577"/>
      <c r="CZ78" s="1577"/>
    </row>
    <row r="79" spans="1:108" hidden="1" outlineLevel="2">
      <c r="A79" s="1747" t="s">
        <v>25</v>
      </c>
      <c r="B79" s="1470"/>
      <c r="C79" s="1470"/>
      <c r="D79" s="1470"/>
      <c r="E79" s="1470"/>
      <c r="F79" s="1470"/>
      <c r="G79" s="1470"/>
      <c r="H79" s="1470"/>
      <c r="I79" s="1470"/>
      <c r="J79" s="1470"/>
      <c r="K79" s="1470"/>
      <c r="L79" s="1605">
        <v>0.6</v>
      </c>
      <c r="M79" s="1605">
        <f>L79</f>
        <v>0.6</v>
      </c>
      <c r="N79" s="1605">
        <f t="shared" ref="N79:W79" si="118">M79</f>
        <v>0.6</v>
      </c>
      <c r="O79" s="1605">
        <f t="shared" si="118"/>
        <v>0.6</v>
      </c>
      <c r="P79" s="1605">
        <f t="shared" si="118"/>
        <v>0.6</v>
      </c>
      <c r="Q79" s="1605">
        <f t="shared" si="118"/>
        <v>0.6</v>
      </c>
      <c r="R79" s="1605">
        <f>Q79</f>
        <v>0.6</v>
      </c>
      <c r="S79" s="1605">
        <f t="shared" si="118"/>
        <v>0.6</v>
      </c>
      <c r="T79" s="1605">
        <f t="shared" si="118"/>
        <v>0.6</v>
      </c>
      <c r="U79" s="1605">
        <f t="shared" si="118"/>
        <v>0.6</v>
      </c>
      <c r="V79" s="1605">
        <f t="shared" si="118"/>
        <v>0.6</v>
      </c>
      <c r="W79" s="1605">
        <f t="shared" si="118"/>
        <v>0.6</v>
      </c>
      <c r="X79" s="1605">
        <f t="shared" ref="X79:AG79" si="119">W79</f>
        <v>0.6</v>
      </c>
      <c r="Y79" s="1605">
        <f t="shared" si="119"/>
        <v>0.6</v>
      </c>
      <c r="Z79" s="1605">
        <f t="shared" si="119"/>
        <v>0.6</v>
      </c>
      <c r="AA79" s="1605">
        <f t="shared" si="119"/>
        <v>0.6</v>
      </c>
      <c r="AB79" s="1605">
        <f t="shared" si="119"/>
        <v>0.6</v>
      </c>
      <c r="AC79" s="1605">
        <f t="shared" si="119"/>
        <v>0.6</v>
      </c>
      <c r="AD79" s="1605">
        <f t="shared" si="119"/>
        <v>0.6</v>
      </c>
      <c r="AE79" s="1605">
        <f t="shared" si="119"/>
        <v>0.6</v>
      </c>
      <c r="AF79" s="1605">
        <f t="shared" si="119"/>
        <v>0.6</v>
      </c>
      <c r="AG79" s="1605">
        <f t="shared" si="119"/>
        <v>0.6</v>
      </c>
      <c r="AH79" s="962"/>
      <c r="AI79" s="962"/>
      <c r="AJ79" s="962"/>
      <c r="AK79" s="962"/>
      <c r="AL79" s="962"/>
      <c r="AM79" s="1470"/>
      <c r="AN79" s="1470"/>
      <c r="AO79" s="1470"/>
      <c r="AP79" s="1470"/>
      <c r="AQ79" s="1470"/>
      <c r="AR79" s="1578"/>
      <c r="AS79" s="1470"/>
      <c r="AT79" s="1470"/>
      <c r="AU79" s="1470"/>
      <c r="AV79" s="1470"/>
      <c r="AW79" s="1660"/>
      <c r="AX79" s="1470"/>
      <c r="AY79" s="1470"/>
      <c r="AZ79" s="1470"/>
      <c r="BA79" s="1470"/>
      <c r="BB79" s="1660"/>
      <c r="BC79" s="1470"/>
      <c r="BD79" s="1470"/>
      <c r="BE79" s="1470"/>
      <c r="BF79" s="1470"/>
      <c r="BG79" s="1660"/>
      <c r="BH79" s="1470"/>
      <c r="BI79" s="1470"/>
      <c r="BJ79" s="1470"/>
      <c r="BK79" s="1470"/>
      <c r="BL79" s="1660"/>
      <c r="BM79" s="1577"/>
      <c r="BN79" s="1577"/>
      <c r="BO79" s="1577"/>
      <c r="BP79" s="1577"/>
      <c r="BQ79" s="1577"/>
      <c r="BR79" s="1577"/>
      <c r="BS79" s="1577"/>
      <c r="BT79" s="1577"/>
      <c r="BU79" s="1577"/>
      <c r="BV79" s="1577"/>
      <c r="BW79" s="1577"/>
      <c r="BX79" s="1577"/>
      <c r="BY79" s="1577"/>
      <c r="BZ79" s="1577"/>
      <c r="CA79" s="1577"/>
      <c r="CB79" s="1577"/>
      <c r="CC79" s="1577"/>
      <c r="CD79" s="1577"/>
      <c r="CE79" s="1577"/>
      <c r="CF79" s="1577"/>
      <c r="CG79" s="1577"/>
      <c r="CH79" s="1577"/>
      <c r="CI79" s="1577"/>
      <c r="CJ79" s="1577"/>
      <c r="CK79" s="1577"/>
      <c r="CP79" s="2207"/>
      <c r="CQ79" s="1577"/>
      <c r="CR79" s="1577"/>
      <c r="CS79" s="1577"/>
      <c r="CT79" s="1577"/>
      <c r="CU79" s="1577"/>
      <c r="CZ79" s="1577"/>
    </row>
    <row r="80" spans="1:108" hidden="1" outlineLevel="2">
      <c r="A80" s="1747" t="s">
        <v>26</v>
      </c>
      <c r="B80" s="1470"/>
      <c r="C80" s="1470"/>
      <c r="D80" s="1470"/>
      <c r="E80" s="1470"/>
      <c r="F80" s="1470"/>
      <c r="G80" s="1470"/>
      <c r="H80" s="1470"/>
      <c r="I80" s="1470"/>
      <c r="J80" s="1470"/>
      <c r="K80" s="1470"/>
      <c r="L80" s="1608">
        <f>+L65*L79</f>
        <v>16747.8</v>
      </c>
      <c r="M80" s="1608">
        <f t="shared" ref="M80:Y80" si="120">+M65*M79</f>
        <v>16293.228000000003</v>
      </c>
      <c r="N80" s="1608">
        <f t="shared" si="120"/>
        <v>16537.686180000001</v>
      </c>
      <c r="O80" s="1608">
        <f t="shared" si="120"/>
        <v>16619.132400000002</v>
      </c>
      <c r="P80" s="1608">
        <f t="shared" si="120"/>
        <v>15960.658282200002</v>
      </c>
      <c r="Q80" s="1608">
        <f t="shared" si="120"/>
        <v>15960.658282200002</v>
      </c>
      <c r="R80" s="1608">
        <f>+R65*R79</f>
        <v>15960.658282200002</v>
      </c>
      <c r="S80" s="1608">
        <f t="shared" si="120"/>
        <v>15960.658282200002</v>
      </c>
      <c r="T80" s="1608">
        <f t="shared" si="120"/>
        <v>15960.658282200002</v>
      </c>
      <c r="U80" s="1608">
        <f t="shared" si="120"/>
        <v>15960.658282200002</v>
      </c>
      <c r="V80" s="1608">
        <f t="shared" si="120"/>
        <v>15960.658282200002</v>
      </c>
      <c r="W80" s="1608">
        <f t="shared" ref="W80" si="121">+W65*W79</f>
        <v>15960.658282200002</v>
      </c>
      <c r="X80" s="1608">
        <f t="shared" si="120"/>
        <v>15960.658282200002</v>
      </c>
      <c r="Y80" s="1608">
        <f t="shared" si="120"/>
        <v>15960.658282200002</v>
      </c>
      <c r="Z80" s="1608">
        <f t="shared" ref="Z80:AE80" si="122">+Z65*Z79</f>
        <v>15960.658282200002</v>
      </c>
      <c r="AA80" s="1608">
        <f t="shared" si="122"/>
        <v>15960.658282200002</v>
      </c>
      <c r="AB80" s="1608">
        <f t="shared" si="122"/>
        <v>15960.658282200002</v>
      </c>
      <c r="AC80" s="1608">
        <f t="shared" si="122"/>
        <v>15960.658282200002</v>
      </c>
      <c r="AD80" s="1608">
        <f t="shared" si="122"/>
        <v>15960.658282200002</v>
      </c>
      <c r="AE80" s="1608">
        <f t="shared" si="122"/>
        <v>15960.658282200002</v>
      </c>
      <c r="AF80" s="1608">
        <f>+AF65*AF79</f>
        <v>15960.658282200002</v>
      </c>
      <c r="AG80" s="1608">
        <f>+AG65*AG79</f>
        <v>15960.658282200002</v>
      </c>
      <c r="AH80" s="962"/>
      <c r="AI80" s="962"/>
      <c r="AJ80" s="962"/>
      <c r="AK80" s="962"/>
      <c r="AL80" s="962"/>
      <c r="AM80" s="1470"/>
      <c r="AN80" s="1470"/>
      <c r="AO80" s="1470"/>
      <c r="AP80" s="1470"/>
      <c r="AQ80" s="1470"/>
      <c r="AR80" s="1578"/>
      <c r="AS80" s="1470"/>
      <c r="AT80" s="1470"/>
      <c r="AU80" s="1470"/>
      <c r="AV80" s="1470"/>
      <c r="AW80" s="1660"/>
      <c r="AX80" s="1470"/>
      <c r="AY80" s="1470"/>
      <c r="AZ80" s="1470"/>
      <c r="BA80" s="1470"/>
      <c r="BB80" s="1660"/>
      <c r="BC80" s="1470"/>
      <c r="BD80" s="1470"/>
      <c r="BE80" s="1470"/>
      <c r="BF80" s="1470"/>
      <c r="BG80" s="1660"/>
      <c r="BH80" s="1470"/>
      <c r="BI80" s="1470"/>
      <c r="BJ80" s="1470"/>
      <c r="BK80" s="1470"/>
      <c r="BL80" s="1660"/>
      <c r="BM80" s="1577"/>
      <c r="BN80" s="1577"/>
      <c r="BO80" s="1577"/>
      <c r="BP80" s="1577"/>
      <c r="BQ80" s="1577"/>
      <c r="BR80" s="1577"/>
      <c r="BS80" s="1577"/>
      <c r="BT80" s="1577"/>
      <c r="BU80" s="1577"/>
      <c r="BV80" s="1577"/>
      <c r="BW80" s="1577"/>
      <c r="BX80" s="1577"/>
      <c r="BY80" s="1577"/>
      <c r="BZ80" s="1577"/>
      <c r="CA80" s="1577"/>
      <c r="CB80" s="1577"/>
      <c r="CC80" s="1577"/>
      <c r="CD80" s="1577"/>
      <c r="CE80" s="1577"/>
      <c r="CF80" s="1577"/>
      <c r="CG80" s="1577"/>
      <c r="CH80" s="1577"/>
      <c r="CI80" s="1577"/>
      <c r="CJ80" s="1577"/>
      <c r="CK80" s="1577"/>
      <c r="CP80" s="2207"/>
      <c r="CQ80" s="1577"/>
      <c r="CR80" s="1577"/>
      <c r="CS80" s="1577"/>
      <c r="CT80" s="1577"/>
      <c r="CU80" s="1577"/>
      <c r="CZ80" s="1577"/>
    </row>
    <row r="81" spans="1:108" hidden="1" outlineLevel="2">
      <c r="A81" s="1747" t="s">
        <v>27</v>
      </c>
      <c r="B81" s="1470"/>
      <c r="C81" s="1470"/>
      <c r="D81" s="1470"/>
      <c r="E81" s="1470"/>
      <c r="F81" s="1470"/>
      <c r="G81" s="1470"/>
      <c r="H81" s="1470"/>
      <c r="I81" s="1470"/>
      <c r="J81" s="1470"/>
      <c r="K81" s="1470"/>
      <c r="L81" s="1606">
        <f>L8/L80*1000</f>
        <v>24.235720512544933</v>
      </c>
      <c r="M81" s="1606">
        <f t="shared" ref="M81:Y81" si="123">M8/M80*1000</f>
        <v>26.519523172449311</v>
      </c>
      <c r="N81" s="1606">
        <f t="shared" si="123"/>
        <v>23.733135101394453</v>
      </c>
      <c r="O81" s="1606">
        <f t="shared" si="123"/>
        <v>24.932133593802753</v>
      </c>
      <c r="P81" s="1606">
        <f t="shared" si="123"/>
        <v>26.11324627737585</v>
      </c>
      <c r="Q81" s="1606">
        <f t="shared" si="123"/>
        <v>27.396691020519182</v>
      </c>
      <c r="R81" s="1606">
        <f t="shared" si="123"/>
        <v>31.176557413882136</v>
      </c>
      <c r="S81" s="1606">
        <f t="shared" si="123"/>
        <v>32.423619710437421</v>
      </c>
      <c r="T81" s="1606">
        <f t="shared" si="123"/>
        <v>33.292670608788846</v>
      </c>
      <c r="U81" s="1606">
        <f t="shared" si="123"/>
        <v>34.025109362182199</v>
      </c>
      <c r="V81" s="1606">
        <f t="shared" si="123"/>
        <v>34.705611549425839</v>
      </c>
      <c r="W81" s="1606">
        <f t="shared" ref="W81" si="124">W8/W80*1000</f>
        <v>35.399723780414362</v>
      </c>
      <c r="X81" s="1606">
        <f t="shared" si="123"/>
        <v>36.072318532242242</v>
      </c>
      <c r="Y81" s="1606">
        <f t="shared" si="123"/>
        <v>36.68554794729036</v>
      </c>
      <c r="Z81" s="1606">
        <f t="shared" ref="Z81:AE81" si="125">Z8/Z80*1000</f>
        <v>37.235831166499722</v>
      </c>
      <c r="AA81" s="1606">
        <f t="shared" si="125"/>
        <v>37.719896971664227</v>
      </c>
      <c r="AB81" s="1606">
        <f t="shared" si="125"/>
        <v>38.13481583835253</v>
      </c>
      <c r="AC81" s="1606">
        <f t="shared" si="125"/>
        <v>38.478029180897707</v>
      </c>
      <c r="AD81" s="1606">
        <f t="shared" si="125"/>
        <v>38.747375385163991</v>
      </c>
      <c r="AE81" s="1606">
        <f t="shared" si="125"/>
        <v>38.941112262089824</v>
      </c>
      <c r="AF81" s="1606">
        <f>AF8/AF80*1000</f>
        <v>39.135817823400259</v>
      </c>
      <c r="AG81" s="1606">
        <f>AG8/AG80*1000</f>
        <v>39.33149691251726</v>
      </c>
      <c r="AH81" s="962"/>
      <c r="AI81" s="962"/>
      <c r="AJ81" s="962"/>
      <c r="AK81" s="962"/>
      <c r="AL81" s="962"/>
      <c r="AM81" s="1470"/>
      <c r="AN81" s="1470"/>
      <c r="AO81" s="1470"/>
      <c r="AP81" s="1470"/>
      <c r="AQ81" s="1470"/>
      <c r="AR81" s="1578"/>
      <c r="AS81" s="1470"/>
      <c r="AT81" s="1470"/>
      <c r="AU81" s="1470"/>
      <c r="AV81" s="1470"/>
      <c r="AW81" s="1660"/>
      <c r="AX81" s="1470"/>
      <c r="AY81" s="1470"/>
      <c r="AZ81" s="1470"/>
      <c r="BA81" s="1470"/>
      <c r="BB81" s="1660"/>
      <c r="BC81" s="1470"/>
      <c r="BD81" s="1470"/>
      <c r="BE81" s="1470"/>
      <c r="BF81" s="1470"/>
      <c r="BG81" s="1660"/>
      <c r="BH81" s="1470"/>
      <c r="BI81" s="1470"/>
      <c r="BJ81" s="1470"/>
      <c r="BK81" s="1470"/>
      <c r="BL81" s="1660"/>
      <c r="BM81" s="1577"/>
      <c r="BN81" s="1577"/>
      <c r="BO81" s="1577"/>
      <c r="BP81" s="1577"/>
      <c r="BQ81" s="1577"/>
      <c r="BR81" s="1577"/>
      <c r="BS81" s="1577"/>
      <c r="BT81" s="1577"/>
      <c r="BU81" s="1577"/>
      <c r="BV81" s="1577"/>
      <c r="BW81" s="1577"/>
      <c r="BX81" s="1577"/>
      <c r="BY81" s="1577"/>
      <c r="BZ81" s="1577"/>
      <c r="CA81" s="1577"/>
      <c r="CB81" s="1577"/>
      <c r="CC81" s="1577"/>
      <c r="CD81" s="1577"/>
      <c r="CE81" s="1577"/>
      <c r="CF81" s="1577"/>
      <c r="CG81" s="1577"/>
      <c r="CH81" s="1577"/>
      <c r="CI81" s="1577"/>
      <c r="CJ81" s="1577"/>
      <c r="CK81" s="1577"/>
      <c r="CP81" s="2207"/>
      <c r="CQ81" s="1577"/>
      <c r="CR81" s="1577"/>
      <c r="CS81" s="1577"/>
      <c r="CT81" s="1577"/>
      <c r="CU81" s="1577"/>
      <c r="CZ81" s="1577"/>
    </row>
    <row r="82" spans="1:108" hidden="1" outlineLevel="2">
      <c r="A82" s="1470"/>
      <c r="B82" s="1470"/>
      <c r="C82" s="1470"/>
      <c r="D82" s="1470"/>
      <c r="E82" s="1470"/>
      <c r="F82" s="1470"/>
      <c r="G82" s="1470"/>
      <c r="H82" s="1470"/>
      <c r="I82" s="1470"/>
      <c r="J82" s="1470"/>
      <c r="K82" s="1470"/>
      <c r="L82" s="1470"/>
      <c r="M82" s="1470"/>
      <c r="N82" s="1470"/>
      <c r="O82" s="1470"/>
      <c r="P82" s="1470"/>
      <c r="Q82" s="1470"/>
      <c r="R82" s="1470"/>
      <c r="S82" s="1470"/>
      <c r="T82" s="1470"/>
      <c r="U82" s="1470"/>
      <c r="V82" s="1470"/>
      <c r="W82" s="1470"/>
      <c r="X82" s="1470"/>
      <c r="Y82" s="1470"/>
      <c r="Z82" s="1470"/>
      <c r="AA82" s="1470"/>
      <c r="AB82" s="1470"/>
      <c r="AC82" s="1470"/>
      <c r="AD82" s="1470"/>
      <c r="AE82" s="1470"/>
      <c r="AF82" s="1470"/>
      <c r="AG82" s="962"/>
      <c r="AH82" s="962"/>
      <c r="AI82" s="962"/>
      <c r="AJ82" s="962"/>
      <c r="AK82" s="962"/>
      <c r="AL82" s="962"/>
      <c r="AM82" s="1470"/>
      <c r="AN82" s="1470"/>
      <c r="AO82" s="1470"/>
      <c r="AP82" s="1470"/>
      <c r="AQ82" s="1470"/>
      <c r="AR82" s="1578"/>
      <c r="AS82" s="1470"/>
      <c r="AT82" s="1470"/>
      <c r="AU82" s="1470"/>
      <c r="AV82" s="1470"/>
      <c r="AW82" s="1660"/>
      <c r="AX82" s="1470"/>
      <c r="AY82" s="1470"/>
      <c r="AZ82" s="1470"/>
      <c r="BA82" s="1470"/>
      <c r="BB82" s="1660"/>
      <c r="BC82" s="1470"/>
      <c r="BD82" s="1470"/>
      <c r="BE82" s="1470"/>
      <c r="BF82" s="1470"/>
      <c r="BG82" s="1660"/>
      <c r="BH82" s="1470"/>
      <c r="BI82" s="1470"/>
      <c r="BJ82" s="1470"/>
      <c r="BK82" s="1470"/>
      <c r="BL82" s="1660"/>
      <c r="BM82" s="1577"/>
      <c r="BN82" s="1577"/>
      <c r="BO82" s="1577"/>
      <c r="BP82" s="1577"/>
      <c r="BQ82" s="1577"/>
      <c r="BR82" s="1577"/>
      <c r="BS82" s="1577"/>
      <c r="BT82" s="1577"/>
      <c r="BU82" s="1577"/>
      <c r="BV82" s="1577"/>
      <c r="BW82" s="1577"/>
      <c r="BX82" s="1577"/>
      <c r="BY82" s="1577"/>
      <c r="BZ82" s="1577"/>
      <c r="CA82" s="1577"/>
      <c r="CB82" s="1577"/>
      <c r="CC82" s="1577"/>
      <c r="CD82" s="1577"/>
      <c r="CE82" s="1577"/>
      <c r="CF82" s="1577"/>
      <c r="CG82" s="1577"/>
      <c r="CH82" s="1577"/>
      <c r="CI82" s="1577"/>
      <c r="CJ82" s="1577"/>
      <c r="CK82" s="1577"/>
      <c r="CP82" s="2207"/>
      <c r="CQ82" s="1577"/>
      <c r="CR82" s="1577"/>
      <c r="CS82" s="1577"/>
      <c r="CT82" s="1577"/>
      <c r="CU82" s="1577"/>
      <c r="CZ82" s="1577"/>
    </row>
    <row r="83" spans="1:108" hidden="1" outlineLevel="2">
      <c r="A83" s="1754" t="s">
        <v>509</v>
      </c>
      <c r="B83" s="1470"/>
      <c r="C83" s="1470"/>
      <c r="D83" s="1470"/>
      <c r="E83" s="1470"/>
      <c r="F83" s="1470"/>
      <c r="G83" s="1470"/>
      <c r="H83" s="1470"/>
      <c r="I83" s="1470"/>
      <c r="J83" s="1470"/>
      <c r="K83" s="1470"/>
      <c r="L83" s="1470"/>
      <c r="M83" s="1470"/>
      <c r="N83" s="1470"/>
      <c r="O83" s="1470"/>
      <c r="P83" s="1470"/>
      <c r="Q83" s="1470"/>
      <c r="R83" s="1470"/>
      <c r="S83" s="1470"/>
      <c r="T83" s="1470"/>
      <c r="U83" s="1470"/>
      <c r="V83" s="1470"/>
      <c r="W83" s="1470"/>
      <c r="X83" s="1470"/>
      <c r="Y83" s="1470"/>
      <c r="Z83" s="1470"/>
      <c r="AA83" s="1470"/>
      <c r="AB83" s="1470"/>
      <c r="AC83" s="1470"/>
      <c r="AD83" s="1470"/>
      <c r="AE83" s="1470"/>
      <c r="AF83" s="1470"/>
      <c r="AG83" s="962"/>
      <c r="AH83" s="962"/>
      <c r="AI83" s="962"/>
      <c r="AJ83" s="962"/>
      <c r="AK83" s="962"/>
      <c r="AL83" s="962"/>
      <c r="AM83" s="1470"/>
      <c r="AN83" s="1470"/>
      <c r="AO83" s="1470"/>
      <c r="AP83" s="1470"/>
      <c r="AQ83" s="1470"/>
      <c r="AR83" s="1578"/>
      <c r="AS83" s="1470"/>
      <c r="AT83" s="1470"/>
      <c r="AU83" s="1470"/>
      <c r="AV83" s="1470"/>
      <c r="AW83" s="1660"/>
      <c r="AX83" s="1470"/>
      <c r="AY83" s="1470"/>
      <c r="AZ83" s="1470"/>
      <c r="BA83" s="1470"/>
      <c r="BB83" s="1660"/>
      <c r="BC83" s="1470"/>
      <c r="BD83" s="1470"/>
      <c r="BE83" s="1470"/>
      <c r="BF83" s="1470"/>
      <c r="BG83" s="1660"/>
      <c r="BH83" s="1470"/>
      <c r="BI83" s="1470"/>
      <c r="BJ83" s="1470"/>
      <c r="BK83" s="1470"/>
      <c r="BL83" s="1660"/>
      <c r="BM83" s="1577"/>
      <c r="BN83" s="1577"/>
      <c r="BO83" s="1577"/>
      <c r="BP83" s="1577"/>
      <c r="BQ83" s="1577"/>
      <c r="BR83" s="1577"/>
      <c r="BS83" s="1577"/>
      <c r="BT83" s="1577"/>
      <c r="BU83" s="1577"/>
      <c r="BV83" s="1577"/>
      <c r="BW83" s="1577"/>
      <c r="BX83" s="1577"/>
      <c r="BY83" s="1577"/>
      <c r="BZ83" s="1577"/>
      <c r="CA83" s="1577"/>
      <c r="CB83" s="1577"/>
      <c r="CC83" s="1577"/>
      <c r="CD83" s="1577"/>
      <c r="CE83" s="1577"/>
      <c r="CF83" s="1577"/>
      <c r="CG83" s="1577"/>
      <c r="CH83" s="1577"/>
      <c r="CI83" s="1577"/>
      <c r="CJ83" s="1577"/>
      <c r="CK83" s="1577"/>
      <c r="CP83" s="2207"/>
      <c r="CQ83" s="1577"/>
      <c r="CR83" s="1577"/>
      <c r="CS83" s="1577"/>
      <c r="CT83" s="1577"/>
      <c r="CU83" s="1577"/>
      <c r="CZ83" s="1577"/>
    </row>
    <row r="84" spans="1:108" hidden="1" outlineLevel="2">
      <c r="A84" s="1747" t="s">
        <v>14</v>
      </c>
      <c r="B84" s="1470"/>
      <c r="C84" s="1470"/>
      <c r="D84" s="1470"/>
      <c r="E84" s="1470"/>
      <c r="F84" s="1470"/>
      <c r="G84" s="1470"/>
      <c r="H84" s="1470"/>
      <c r="I84" s="1470"/>
      <c r="J84" s="1470"/>
      <c r="K84" s="1470"/>
      <c r="L84" s="1755">
        <f>AVERAGE(AY84:BA84)</f>
        <v>32.665888888888894</v>
      </c>
      <c r="M84" s="1755">
        <f>AVERAGE(BC84:BF84)</f>
        <v>36.531750000000002</v>
      </c>
      <c r="N84" s="1755">
        <f>AVERAGE(BH84:BK84)</f>
        <v>40.561709166666667</v>
      </c>
      <c r="O84" s="1756">
        <f>AVERAGE(BM84:BP84)</f>
        <v>40.561709166666667</v>
      </c>
      <c r="P84" s="1756">
        <f>AVERAGE(BR84:BU84)</f>
        <v>40.561709166666667</v>
      </c>
      <c r="Q84" s="1756">
        <f>AVERAGE(BW84:BZ84)</f>
        <v>40.967326258333337</v>
      </c>
      <c r="R84" s="1757">
        <f>AVERAGE(CB84:CE84)</f>
        <v>41.376999520916669</v>
      </c>
      <c r="S84" s="1757">
        <f>AVERAGE(CG84:CJ84)</f>
        <v>41.376999520916669</v>
      </c>
      <c r="T84" s="1757">
        <f>AVERAGE(CL84:CO84)</f>
        <v>41.376999520916669</v>
      </c>
      <c r="U84" s="1757">
        <f>AVERAGE(CQ84:CT84)</f>
        <v>41.376999520916669</v>
      </c>
      <c r="V84" s="1757">
        <f>AVERAGE(CV84:CY84)</f>
        <v>41.376999520916669</v>
      </c>
      <c r="W84" s="1757">
        <f>AVERAGE(DA84:DD84)</f>
        <v>41.376999520916669</v>
      </c>
      <c r="X84" s="1578">
        <f t="shared" ref="X84:AG84" si="126">W84*(1+X85)</f>
        <v>41.376999520916669</v>
      </c>
      <c r="Y84" s="1578">
        <f t="shared" si="126"/>
        <v>41.376999520916669</v>
      </c>
      <c r="Z84" s="1578">
        <f t="shared" si="126"/>
        <v>41.376999520916669</v>
      </c>
      <c r="AA84" s="1578">
        <f t="shared" si="126"/>
        <v>41.376999520916669</v>
      </c>
      <c r="AB84" s="1578">
        <f t="shared" si="126"/>
        <v>41.376999520916669</v>
      </c>
      <c r="AC84" s="1578">
        <f t="shared" si="126"/>
        <v>41.376999520916669</v>
      </c>
      <c r="AD84" s="1578">
        <f t="shared" si="126"/>
        <v>41.376999520916669</v>
      </c>
      <c r="AE84" s="1578">
        <f t="shared" si="126"/>
        <v>41.376999520916669</v>
      </c>
      <c r="AF84" s="1578">
        <f t="shared" si="126"/>
        <v>41.376999520916669</v>
      </c>
      <c r="AG84" s="1578">
        <f t="shared" si="126"/>
        <v>41.376999520916669</v>
      </c>
      <c r="AH84" s="962"/>
      <c r="AI84" s="962"/>
      <c r="AJ84" s="962"/>
      <c r="AK84" s="962"/>
      <c r="AL84" s="962"/>
      <c r="AM84" s="1470"/>
      <c r="AN84" s="1470"/>
      <c r="AO84" s="1470"/>
      <c r="AP84" s="1470"/>
      <c r="AQ84" s="1470"/>
      <c r="AR84" s="1578"/>
      <c r="AS84" s="1470"/>
      <c r="AT84" s="1470"/>
      <c r="AU84" s="1470"/>
      <c r="AV84" s="1470"/>
      <c r="AW84" s="1660"/>
      <c r="AX84" s="1470"/>
      <c r="AY84" s="1758">
        <v>26.733999999999998</v>
      </c>
      <c r="AZ84" s="1758">
        <v>34.974666666666671</v>
      </c>
      <c r="BA84" s="1758">
        <v>36.288999999999994</v>
      </c>
      <c r="BB84" s="1660"/>
      <c r="BC84" s="1758">
        <v>34.207666666666668</v>
      </c>
      <c r="BD84" s="1758">
        <v>31.362000000000005</v>
      </c>
      <c r="BE84" s="1758">
        <v>38.398333333333333</v>
      </c>
      <c r="BF84" s="1758">
        <v>42.158999999999999</v>
      </c>
      <c r="BG84" s="1660"/>
      <c r="BH84" s="1758">
        <v>42.854666666666667</v>
      </c>
      <c r="BI84" s="1601">
        <f>BD84*(1+BI85)</f>
        <v>34.498200000000011</v>
      </c>
      <c r="BJ84" s="1601">
        <f>BE84*(1+BJ85)</f>
        <v>41.470200000000006</v>
      </c>
      <c r="BK84" s="1601">
        <f>BF84*(1+BK85)</f>
        <v>43.423769999999998</v>
      </c>
      <c r="BL84" s="1660"/>
      <c r="BM84" s="1601">
        <f>BH84*(1+BM85)</f>
        <v>42.854666666666667</v>
      </c>
      <c r="BN84" s="1601">
        <f>BI84*(1+BN85)</f>
        <v>34.498200000000011</v>
      </c>
      <c r="BO84" s="1601">
        <f>BJ84*(1+BO85)</f>
        <v>41.470200000000006</v>
      </c>
      <c r="BP84" s="1601">
        <f>BK84*(1+BP85)</f>
        <v>43.423769999999998</v>
      </c>
      <c r="BQ84" s="1577"/>
      <c r="BR84" s="1601">
        <f>BM84*(1+BR85)</f>
        <v>42.854666666666667</v>
      </c>
      <c r="BS84" s="1601">
        <f>BN84*(1+BS85)</f>
        <v>34.498200000000011</v>
      </c>
      <c r="BT84" s="1601">
        <f>BO84*(1+BT85)</f>
        <v>41.470200000000006</v>
      </c>
      <c r="BU84" s="1601">
        <f>BP84*(1+BU85)</f>
        <v>43.423769999999998</v>
      </c>
      <c r="BV84" s="1577"/>
      <c r="BW84" s="1601">
        <f>BR84*(1+BW85)</f>
        <v>43.283213333333336</v>
      </c>
      <c r="BX84" s="1601">
        <f>BS84*(1+BX85)</f>
        <v>34.843182000000013</v>
      </c>
      <c r="BY84" s="1601">
        <f>BT84*(1+BY85)</f>
        <v>41.884902000000004</v>
      </c>
      <c r="BZ84" s="1601">
        <f>BU84*(1+BZ85)</f>
        <v>43.858007699999995</v>
      </c>
      <c r="CA84" s="1577"/>
      <c r="CB84" s="1601">
        <f>BW84*(1+CB85)</f>
        <v>43.716045466666671</v>
      </c>
      <c r="CC84" s="1601">
        <f>BX84*(1+CC85)</f>
        <v>35.191613820000015</v>
      </c>
      <c r="CD84" s="1601">
        <f>BY84*(1+CD85)</f>
        <v>42.303751020000007</v>
      </c>
      <c r="CE84" s="1601">
        <f>BZ84*(1+CE85)</f>
        <v>44.296587776999992</v>
      </c>
      <c r="CF84" s="1577"/>
      <c r="CG84" s="1759">
        <f>CB84*(1+CG85)</f>
        <v>43.716045466666671</v>
      </c>
      <c r="CH84" s="1759">
        <f>CC84*(1+CH85)</f>
        <v>35.191613820000015</v>
      </c>
      <c r="CI84" s="1759">
        <f>CD84*(1+CI85)</f>
        <v>42.303751020000007</v>
      </c>
      <c r="CJ84" s="1601">
        <f>CE84*(1+CJ85)</f>
        <v>44.296587776999992</v>
      </c>
      <c r="CK84" s="1577"/>
      <c r="CL84" s="1601">
        <f>CG84*(1+CL85)</f>
        <v>43.716045466666671</v>
      </c>
      <c r="CM84" s="1601">
        <f>CH84*(1+CM85)</f>
        <v>35.191613820000015</v>
      </c>
      <c r="CN84" s="1601">
        <f>CI84*(1+CN85)</f>
        <v>42.303751020000007</v>
      </c>
      <c r="CO84" s="1601">
        <f>CJ84*(1+CO85)</f>
        <v>44.296587776999992</v>
      </c>
      <c r="CP84" s="2207"/>
      <c r="CQ84" s="1601">
        <f>CL84*(1+CQ85)</f>
        <v>43.716045466666671</v>
      </c>
      <c r="CR84" s="1601">
        <f>CM84*(1+CR85)</f>
        <v>35.191613820000015</v>
      </c>
      <c r="CS84" s="1601">
        <f>CN84*(1+CS85)</f>
        <v>42.303751020000007</v>
      </c>
      <c r="CT84" s="1601">
        <f>CO84*(1+CT85)</f>
        <v>44.296587776999992</v>
      </c>
      <c r="CU84" s="1577"/>
      <c r="CV84" s="1601">
        <f>CQ84*(1+CV85)</f>
        <v>43.716045466666671</v>
      </c>
      <c r="CW84" s="1601">
        <f>CR84*(1+CW85)</f>
        <v>35.191613820000015</v>
      </c>
      <c r="CX84" s="1601">
        <f>CS84*(1+CX85)</f>
        <v>42.303751020000007</v>
      </c>
      <c r="CY84" s="1601">
        <f>CT84*(1+CY85)</f>
        <v>44.296587776999992</v>
      </c>
      <c r="CZ84" s="1577"/>
      <c r="DA84" s="1601">
        <f>CV84*(1+DA85)</f>
        <v>43.716045466666671</v>
      </c>
      <c r="DB84" s="1601">
        <f>CW84*(1+DB85)</f>
        <v>35.191613820000015</v>
      </c>
      <c r="DC84" s="1601">
        <f>CX84*(1+DC85)</f>
        <v>42.303751020000007</v>
      </c>
      <c r="DD84" s="1601">
        <f>CY84*(1+DD85)</f>
        <v>44.296587776999992</v>
      </c>
    </row>
    <row r="85" spans="1:108" hidden="1" outlineLevel="2">
      <c r="A85" s="1746" t="s">
        <v>676</v>
      </c>
      <c r="B85" s="1470"/>
      <c r="C85" s="1470"/>
      <c r="D85" s="1470"/>
      <c r="E85" s="1470"/>
      <c r="F85" s="1470"/>
      <c r="G85" s="1470"/>
      <c r="H85" s="1470"/>
      <c r="I85" s="1470"/>
      <c r="J85" s="1470"/>
      <c r="K85" s="1470"/>
      <c r="L85" s="1470"/>
      <c r="M85" s="1596">
        <f t="shared" ref="M85:W85" si="127">M84/L84-1</f>
        <v>0.11834550482494466</v>
      </c>
      <c r="N85" s="1596">
        <f t="shared" si="127"/>
        <v>0.11031388221661054</v>
      </c>
      <c r="O85" s="1596">
        <f t="shared" si="127"/>
        <v>0</v>
      </c>
      <c r="P85" s="1596">
        <f t="shared" si="127"/>
        <v>0</v>
      </c>
      <c r="Q85" s="1596">
        <f t="shared" si="127"/>
        <v>1.0000000000000009E-2</v>
      </c>
      <c r="R85" s="1596">
        <f t="shared" si="127"/>
        <v>1.0000000000000009E-2</v>
      </c>
      <c r="S85" s="1596">
        <f t="shared" si="127"/>
        <v>0</v>
      </c>
      <c r="T85" s="1596">
        <f t="shared" si="127"/>
        <v>0</v>
      </c>
      <c r="U85" s="1596">
        <f t="shared" si="127"/>
        <v>0</v>
      </c>
      <c r="V85" s="1596">
        <f t="shared" si="127"/>
        <v>0</v>
      </c>
      <c r="W85" s="1596">
        <f t="shared" si="127"/>
        <v>0</v>
      </c>
      <c r="X85" s="1605">
        <v>0</v>
      </c>
      <c r="Y85" s="1605">
        <v>0</v>
      </c>
      <c r="Z85" s="1605">
        <v>0</v>
      </c>
      <c r="AA85" s="1605">
        <v>0</v>
      </c>
      <c r="AB85" s="1605">
        <v>0</v>
      </c>
      <c r="AC85" s="1605">
        <v>0</v>
      </c>
      <c r="AD85" s="1605">
        <v>0</v>
      </c>
      <c r="AE85" s="1605">
        <v>0</v>
      </c>
      <c r="AF85" s="1605">
        <v>0</v>
      </c>
      <c r="AG85" s="1605">
        <v>0</v>
      </c>
      <c r="AH85" s="962"/>
      <c r="AI85" s="962"/>
      <c r="AJ85" s="962"/>
      <c r="AK85" s="962"/>
      <c r="AL85" s="962"/>
      <c r="AM85" s="1470"/>
      <c r="AN85" s="1470"/>
      <c r="AO85" s="1470"/>
      <c r="AP85" s="1470"/>
      <c r="AQ85" s="1470"/>
      <c r="AR85" s="1578"/>
      <c r="AS85" s="1470"/>
      <c r="AT85" s="1470"/>
      <c r="AU85" s="1470"/>
      <c r="AV85" s="1470"/>
      <c r="AW85" s="1660"/>
      <c r="AX85" s="1470"/>
      <c r="AY85" s="1470"/>
      <c r="AZ85" s="1470"/>
      <c r="BA85" s="1470"/>
      <c r="BB85" s="1660"/>
      <c r="BC85" s="1470"/>
      <c r="BD85" s="1737">
        <f>+BD84/AY84-1</f>
        <v>0.17311288995286933</v>
      </c>
      <c r="BE85" s="1737">
        <f>+BE84/AZ84-1</f>
        <v>9.7889901261865697E-2</v>
      </c>
      <c r="BF85" s="1737">
        <f>+BF84/BA84-1</f>
        <v>0.16175700625533929</v>
      </c>
      <c r="BG85" s="1660"/>
      <c r="BH85" s="1737">
        <f>+BH84/BC84-1</f>
        <v>0.25277959131968464</v>
      </c>
      <c r="BI85" s="1604">
        <v>0.1</v>
      </c>
      <c r="BJ85" s="1604">
        <v>0.08</v>
      </c>
      <c r="BK85" s="1604">
        <v>0.03</v>
      </c>
      <c r="BL85" s="1660"/>
      <c r="BM85" s="1604">
        <v>0</v>
      </c>
      <c r="BN85" s="1604">
        <f>BM85</f>
        <v>0</v>
      </c>
      <c r="BO85" s="1604">
        <f>BN85</f>
        <v>0</v>
      </c>
      <c r="BP85" s="1604">
        <f>BO85</f>
        <v>0</v>
      </c>
      <c r="BQ85" s="1577"/>
      <c r="BR85" s="1604">
        <v>0</v>
      </c>
      <c r="BS85" s="1604">
        <f>BR85</f>
        <v>0</v>
      </c>
      <c r="BT85" s="1604">
        <f>BS85</f>
        <v>0</v>
      </c>
      <c r="BU85" s="1604">
        <f>BT85</f>
        <v>0</v>
      </c>
      <c r="BV85" s="1577"/>
      <c r="BW85" s="1604">
        <v>0.01</v>
      </c>
      <c r="BX85" s="1604">
        <v>0.01</v>
      </c>
      <c r="BY85" s="1604">
        <v>0.01</v>
      </c>
      <c r="BZ85" s="1604">
        <v>0.01</v>
      </c>
      <c r="CA85" s="1577"/>
      <c r="CB85" s="1604">
        <v>0.01</v>
      </c>
      <c r="CC85" s="1604">
        <f>CB85</f>
        <v>0.01</v>
      </c>
      <c r="CD85" s="1604">
        <f>CC85</f>
        <v>0.01</v>
      </c>
      <c r="CE85" s="1604">
        <f>CD85</f>
        <v>0.01</v>
      </c>
      <c r="CF85" s="1577"/>
      <c r="CG85" s="1459">
        <v>0</v>
      </c>
      <c r="CH85" s="1459">
        <v>0</v>
      </c>
      <c r="CI85" s="1459">
        <v>0</v>
      </c>
      <c r="CJ85" s="1459">
        <v>0</v>
      </c>
      <c r="CK85" s="1577"/>
      <c r="CL85" s="1602">
        <v>0</v>
      </c>
      <c r="CM85" s="1602">
        <v>0</v>
      </c>
      <c r="CN85" s="1602">
        <v>0</v>
      </c>
      <c r="CO85" s="1459">
        <v>0</v>
      </c>
      <c r="CP85" s="2207"/>
      <c r="CQ85" s="1602">
        <v>0</v>
      </c>
      <c r="CR85" s="1602">
        <v>0</v>
      </c>
      <c r="CS85" s="1602">
        <v>0</v>
      </c>
      <c r="CT85" s="1459">
        <v>0</v>
      </c>
      <c r="CU85" s="1577"/>
      <c r="CV85" s="1602">
        <v>0</v>
      </c>
      <c r="CW85" s="1602">
        <v>0</v>
      </c>
      <c r="CX85" s="1602">
        <v>0</v>
      </c>
      <c r="CY85" s="1459">
        <v>0</v>
      </c>
      <c r="CZ85" s="1577"/>
      <c r="DA85" s="1602">
        <v>0</v>
      </c>
      <c r="DB85" s="1602">
        <v>0</v>
      </c>
      <c r="DC85" s="1602">
        <v>0</v>
      </c>
      <c r="DD85" s="1459">
        <v>0</v>
      </c>
    </row>
    <row r="86" spans="1:108" hidden="1" outlineLevel="2">
      <c r="A86" s="1746" t="s">
        <v>19</v>
      </c>
      <c r="B86" s="1470"/>
      <c r="C86" s="1470"/>
      <c r="D86" s="1470"/>
      <c r="E86" s="1470"/>
      <c r="F86" s="1470"/>
      <c r="G86" s="1470"/>
      <c r="H86" s="1470"/>
      <c r="I86" s="1470"/>
      <c r="J86" s="1470"/>
      <c r="K86" s="1470"/>
      <c r="L86" s="1470"/>
      <c r="M86" s="1596">
        <f t="shared" ref="M86:Q86" si="128">M84/M46</f>
        <v>0.16805324267878666</v>
      </c>
      <c r="N86" s="1596">
        <f t="shared" si="128"/>
        <v>0.1811571342696833</v>
      </c>
      <c r="O86" s="1596">
        <f t="shared" si="128"/>
        <v>0.17588071288318766</v>
      </c>
      <c r="P86" s="1596">
        <f t="shared" si="128"/>
        <v>0.17075797367299772</v>
      </c>
      <c r="Q86" s="1596">
        <f t="shared" si="128"/>
        <v>0.1674422848638133</v>
      </c>
      <c r="R86" s="1596">
        <f t="shared" ref="R86:W86" si="129">R84/R46</f>
        <v>0.16419097836160332</v>
      </c>
      <c r="S86" s="1596">
        <f t="shared" si="129"/>
        <v>0.15940871685592556</v>
      </c>
      <c r="T86" s="1596">
        <f t="shared" si="129"/>
        <v>0.15476574452031605</v>
      </c>
      <c r="U86" s="1596">
        <f t="shared" si="129"/>
        <v>0.15025800438865636</v>
      </c>
      <c r="V86" s="1596">
        <f t="shared" si="129"/>
        <v>0.14588155765888966</v>
      </c>
      <c r="W86" s="1596">
        <f t="shared" si="129"/>
        <v>0.14163258025134917</v>
      </c>
      <c r="X86" s="1596">
        <f t="shared" ref="X86:AC86" si="130">X84/X46</f>
        <v>0.13750735946732928</v>
      </c>
      <c r="Y86" s="1596">
        <f t="shared" si="130"/>
        <v>0.13350229074497988</v>
      </c>
      <c r="Z86" s="1596">
        <f t="shared" si="130"/>
        <v>0.1296138745096892</v>
      </c>
      <c r="AA86" s="1596">
        <f t="shared" si="130"/>
        <v>0.12583871311620309</v>
      </c>
      <c r="AB86" s="1596">
        <f t="shared" si="130"/>
        <v>0.12217350787980882</v>
      </c>
      <c r="AC86" s="1596">
        <f t="shared" si="130"/>
        <v>0.11861505619398915</v>
      </c>
      <c r="AD86" s="1596">
        <f>AD84/AD46</f>
        <v>0.11516024873202831</v>
      </c>
      <c r="AE86" s="1596">
        <f>AE84/AE46</f>
        <v>0.11180606673012457</v>
      </c>
      <c r="AF86" s="1596">
        <f>AF84/AF46</f>
        <v>0.10854957934963549</v>
      </c>
      <c r="AG86" s="1596">
        <f>AG84/AG46</f>
        <v>0.10538794111615096</v>
      </c>
      <c r="AH86" s="962"/>
      <c r="AI86" s="962"/>
      <c r="AJ86" s="962"/>
      <c r="AK86" s="962"/>
      <c r="AL86" s="962"/>
      <c r="AM86" s="1470"/>
      <c r="AN86" s="1470"/>
      <c r="AO86" s="1470"/>
      <c r="AP86" s="1470"/>
      <c r="AQ86" s="1470"/>
      <c r="AR86" s="1578"/>
      <c r="AS86" s="1470"/>
      <c r="AT86" s="1470"/>
      <c r="AU86" s="1470"/>
      <c r="AV86" s="1470"/>
      <c r="AW86" s="1660"/>
      <c r="AX86" s="1470"/>
      <c r="AY86" s="1470"/>
      <c r="AZ86" s="1470"/>
      <c r="BA86" s="1470"/>
      <c r="BB86" s="1660"/>
      <c r="BC86" s="1470"/>
      <c r="BD86" s="1470"/>
      <c r="BE86" s="1470"/>
      <c r="BF86" s="1470"/>
      <c r="BG86" s="1660"/>
      <c r="BH86" s="1470"/>
      <c r="BI86" s="1470"/>
      <c r="BJ86" s="1470"/>
      <c r="BK86" s="1470"/>
      <c r="BL86" s="1660"/>
      <c r="BM86" s="1577"/>
      <c r="BN86" s="1577"/>
      <c r="BO86" s="1577"/>
      <c r="BP86" s="1577"/>
      <c r="BQ86" s="1577"/>
      <c r="BR86" s="1577"/>
      <c r="BS86" s="1577"/>
      <c r="BT86" s="1577"/>
      <c r="BU86" s="1577"/>
      <c r="BV86" s="1577"/>
      <c r="BW86" s="1577"/>
      <c r="BX86" s="1577"/>
      <c r="BY86" s="1577"/>
      <c r="BZ86" s="1577"/>
      <c r="CA86" s="1577"/>
      <c r="CB86" s="1577"/>
      <c r="CC86" s="1577"/>
      <c r="CD86" s="1577"/>
      <c r="CE86" s="1577"/>
      <c r="CF86" s="1577"/>
      <c r="CG86" s="1577"/>
      <c r="CH86" s="1577"/>
      <c r="CI86" s="1577"/>
      <c r="CJ86" s="1577"/>
      <c r="CK86" s="1577"/>
      <c r="CP86" s="2207"/>
      <c r="CQ86" s="1577"/>
      <c r="CR86" s="1577"/>
      <c r="CS86" s="1577"/>
      <c r="CT86" s="1577"/>
      <c r="CU86" s="1577"/>
      <c r="CZ86" s="1577"/>
      <c r="DA86" s="1577"/>
      <c r="DB86" s="1577"/>
      <c r="DC86" s="1577"/>
      <c r="DD86" s="1577"/>
    </row>
    <row r="87" spans="1:108" hidden="1" outlineLevel="2">
      <c r="A87" s="1760" t="s">
        <v>20</v>
      </c>
      <c r="B87" s="1470"/>
      <c r="C87" s="1470"/>
      <c r="D87" s="1470"/>
      <c r="E87" s="1470"/>
      <c r="F87" s="1470"/>
      <c r="G87" s="1470"/>
      <c r="H87" s="1470"/>
      <c r="I87" s="1470"/>
      <c r="J87" s="1470"/>
      <c r="K87" s="1470"/>
      <c r="L87" s="1761">
        <f t="shared" ref="L87:Q87" si="131">L89/L84/12</f>
        <v>22.847482763195035</v>
      </c>
      <c r="M87" s="1761">
        <f t="shared" si="131"/>
        <v>25.354657250200166</v>
      </c>
      <c r="N87" s="1761">
        <f t="shared" si="131"/>
        <v>25.150793386808918</v>
      </c>
      <c r="O87" s="1761">
        <f t="shared" si="131"/>
        <v>25.446275264822319</v>
      </c>
      <c r="P87" s="1761">
        <f t="shared" si="131"/>
        <v>23.153491908861252</v>
      </c>
      <c r="Q87" s="1761">
        <f t="shared" si="131"/>
        <v>23.153491908861252</v>
      </c>
      <c r="R87" s="1761">
        <f t="shared" ref="R87:W87" si="132">R89/R84/12</f>
        <v>23.153491908861252</v>
      </c>
      <c r="S87" s="1761">
        <f t="shared" si="132"/>
        <v>23.153491908861252</v>
      </c>
      <c r="T87" s="1761">
        <f t="shared" si="132"/>
        <v>23.153491908861252</v>
      </c>
      <c r="U87" s="1761">
        <f t="shared" si="132"/>
        <v>16.217699769431558</v>
      </c>
      <c r="V87" s="1761">
        <f t="shared" si="132"/>
        <v>16.217699769431558</v>
      </c>
      <c r="W87" s="1761">
        <f t="shared" si="132"/>
        <v>16.217699769431558</v>
      </c>
      <c r="X87" s="1762">
        <f t="shared" ref="X87:AG87" si="133">W87</f>
        <v>16.217699769431558</v>
      </c>
      <c r="Y87" s="1762">
        <f t="shared" si="133"/>
        <v>16.217699769431558</v>
      </c>
      <c r="Z87" s="1762">
        <f t="shared" si="133"/>
        <v>16.217699769431558</v>
      </c>
      <c r="AA87" s="1762">
        <f t="shared" si="133"/>
        <v>16.217699769431558</v>
      </c>
      <c r="AB87" s="1762">
        <f t="shared" si="133"/>
        <v>16.217699769431558</v>
      </c>
      <c r="AC87" s="1762">
        <f t="shared" si="133"/>
        <v>16.217699769431558</v>
      </c>
      <c r="AD87" s="1762">
        <f t="shared" si="133"/>
        <v>16.217699769431558</v>
      </c>
      <c r="AE87" s="1762">
        <f t="shared" si="133"/>
        <v>16.217699769431558</v>
      </c>
      <c r="AF87" s="1762">
        <f t="shared" si="133"/>
        <v>16.217699769431558</v>
      </c>
      <c r="AG87" s="1762">
        <f t="shared" si="133"/>
        <v>16.217699769431558</v>
      </c>
      <c r="AH87" s="962"/>
      <c r="AI87" s="962"/>
      <c r="AJ87" s="962"/>
      <c r="AK87" s="962"/>
      <c r="AL87" s="962"/>
      <c r="AM87" s="1470"/>
      <c r="AN87" s="1470"/>
      <c r="AO87" s="1470"/>
      <c r="AP87" s="1470"/>
      <c r="AQ87" s="1470"/>
      <c r="AR87" s="1578"/>
      <c r="AS87" s="1470"/>
      <c r="AT87" s="1470"/>
      <c r="AU87" s="1470"/>
      <c r="AV87" s="1470"/>
      <c r="AW87" s="1660"/>
      <c r="AX87" s="1470"/>
      <c r="AY87" s="1470"/>
      <c r="AZ87" s="1470"/>
      <c r="BA87" s="1470"/>
      <c r="BB87" s="1660"/>
      <c r="BC87" s="1470"/>
      <c r="BD87" s="1470"/>
      <c r="BE87" s="1470"/>
      <c r="BF87" s="1470"/>
      <c r="BG87" s="1660"/>
      <c r="BH87" s="1470"/>
      <c r="BI87" s="1470"/>
      <c r="BJ87" s="1470"/>
      <c r="BK87" s="1470"/>
      <c r="BL87" s="1660"/>
      <c r="BM87" s="1577"/>
      <c r="BN87" s="1577"/>
      <c r="BO87" s="1577"/>
      <c r="BP87" s="1577"/>
      <c r="BQ87" s="1577"/>
      <c r="BR87" s="1577"/>
      <c r="BS87" s="1577"/>
      <c r="BT87" s="1577"/>
      <c r="BU87" s="1577"/>
      <c r="BV87" s="1577"/>
      <c r="BW87" s="1577"/>
      <c r="BX87" s="1577"/>
      <c r="BY87" s="1577"/>
      <c r="BZ87" s="1577"/>
      <c r="CA87" s="1577"/>
      <c r="CB87" s="1577"/>
      <c r="CC87" s="1577"/>
      <c r="CD87" s="1577"/>
      <c r="CE87" s="1577"/>
      <c r="CF87" s="1577"/>
      <c r="CG87" s="1577"/>
      <c r="CH87" s="1577"/>
      <c r="CI87" s="1577"/>
      <c r="CJ87" s="1577"/>
      <c r="CK87" s="1577"/>
      <c r="CP87" s="2207"/>
      <c r="CQ87" s="1577"/>
      <c r="CR87" s="1577"/>
      <c r="CS87" s="1577"/>
      <c r="CT87" s="1577"/>
      <c r="CU87" s="1577"/>
      <c r="CZ87" s="1577"/>
      <c r="DA87" s="1577"/>
      <c r="DB87" s="1577"/>
      <c r="DC87" s="1577"/>
      <c r="DD87" s="1577"/>
    </row>
    <row r="88" spans="1:108" hidden="1" outlineLevel="2">
      <c r="A88" s="1746" t="s">
        <v>676</v>
      </c>
      <c r="B88" s="1470"/>
      <c r="C88" s="1470"/>
      <c r="D88" s="1470"/>
      <c r="E88" s="1470"/>
      <c r="F88" s="1470"/>
      <c r="G88" s="1470"/>
      <c r="H88" s="1470"/>
      <c r="I88" s="1470"/>
      <c r="J88" s="1470"/>
      <c r="K88" s="1470"/>
      <c r="L88" s="1472"/>
      <c r="M88" s="1472"/>
      <c r="N88" s="1472"/>
      <c r="O88" s="1472"/>
      <c r="P88" s="1472"/>
      <c r="Q88" s="1472"/>
      <c r="R88" s="1472"/>
      <c r="S88" s="1472"/>
      <c r="T88" s="1472"/>
      <c r="U88" s="1472"/>
      <c r="V88" s="1472"/>
      <c r="W88" s="1472"/>
      <c r="X88" s="1472"/>
      <c r="Y88" s="1472"/>
      <c r="Z88" s="1472"/>
      <c r="AA88" s="1472"/>
      <c r="AB88" s="1472"/>
      <c r="AC88" s="1472"/>
      <c r="AD88" s="1472"/>
      <c r="AE88" s="1472"/>
      <c r="AF88" s="1472"/>
      <c r="AG88" s="1472"/>
      <c r="AH88" s="962"/>
      <c r="AI88" s="962"/>
      <c r="AJ88" s="962"/>
      <c r="AK88" s="962"/>
      <c r="AL88" s="962"/>
      <c r="AM88" s="1470"/>
      <c r="AN88" s="1470"/>
      <c r="AO88" s="1470"/>
      <c r="AP88" s="1470"/>
      <c r="AQ88" s="1470"/>
      <c r="AR88" s="1578"/>
      <c r="AS88" s="1470"/>
      <c r="AT88" s="1470"/>
      <c r="AU88" s="1470"/>
      <c r="AV88" s="1470"/>
      <c r="AW88" s="1660"/>
      <c r="AX88" s="1470"/>
      <c r="AY88" s="1470"/>
      <c r="AZ88" s="1470"/>
      <c r="BA88" s="1470"/>
      <c r="BB88" s="1660"/>
      <c r="BC88" s="1470"/>
      <c r="BD88" s="1470"/>
      <c r="BE88" s="1470"/>
      <c r="BF88" s="1470"/>
      <c r="BG88" s="1660"/>
      <c r="BH88" s="1470"/>
      <c r="BI88" s="1470"/>
      <c r="BJ88" s="1470"/>
      <c r="BK88" s="1470"/>
      <c r="BL88" s="1660"/>
      <c r="BM88" s="1577"/>
      <c r="BN88" s="1577"/>
      <c r="BO88" s="1577"/>
      <c r="BP88" s="1577"/>
      <c r="BQ88" s="1577"/>
      <c r="BR88" s="1577"/>
      <c r="BS88" s="1577"/>
      <c r="BT88" s="1577"/>
      <c r="BU88" s="1577"/>
      <c r="BV88" s="1577"/>
      <c r="BW88" s="1577"/>
      <c r="BX88" s="1577"/>
      <c r="BY88" s="1577"/>
      <c r="BZ88" s="1577"/>
      <c r="CA88" s="1577"/>
      <c r="CB88" s="1577"/>
      <c r="CC88" s="1577"/>
      <c r="CD88" s="1577"/>
      <c r="CE88" s="1577"/>
      <c r="CF88" s="1577"/>
      <c r="CG88" s="1577"/>
      <c r="CH88" s="1577"/>
      <c r="CI88" s="1577"/>
      <c r="CJ88" s="1577"/>
      <c r="CK88" s="1577"/>
      <c r="CP88" s="2207"/>
      <c r="CQ88" s="1577"/>
      <c r="CR88" s="1577"/>
      <c r="CS88" s="1577"/>
      <c r="CT88" s="1577"/>
      <c r="CU88" s="1577"/>
      <c r="CZ88" s="1577"/>
      <c r="DA88" s="1577"/>
      <c r="DB88" s="1577"/>
      <c r="DC88" s="1577"/>
      <c r="DD88" s="1577"/>
    </row>
    <row r="89" spans="1:108" hidden="1" outlineLevel="2">
      <c r="A89" s="1192" t="s">
        <v>15</v>
      </c>
      <c r="B89" s="1192"/>
      <c r="C89" s="1192"/>
      <c r="D89" s="1192"/>
      <c r="E89" s="1192"/>
      <c r="F89" s="1192"/>
      <c r="G89" s="1192"/>
      <c r="H89" s="1192"/>
      <c r="I89" s="1192"/>
      <c r="J89" s="1192"/>
      <c r="K89" s="1192"/>
      <c r="L89" s="1193">
        <f>SUM(AX89:BA89)</f>
        <v>8956</v>
      </c>
      <c r="M89" s="1193">
        <f>SUM(BC89:BF89)</f>
        <v>11115</v>
      </c>
      <c r="N89" s="1193">
        <f>SUM(BH89:BK89)</f>
        <v>12241.91</v>
      </c>
      <c r="O89" s="1193">
        <f>SUM(BM89:BP89)</f>
        <v>12385.733</v>
      </c>
      <c r="P89" s="1193">
        <f>SUM(BR89:BU89)</f>
        <v>11269.742459999999</v>
      </c>
      <c r="Q89" s="1193">
        <f>SUM(BW89:BZ89)</f>
        <v>11382.4398846</v>
      </c>
      <c r="R89" s="1193">
        <f>SUM(CB89:CE89)</f>
        <v>11496.264283446</v>
      </c>
      <c r="S89" s="1193">
        <f>SUM(CG89:CJ89)</f>
        <v>11496.264283446</v>
      </c>
      <c r="T89" s="1193">
        <f>SUM(CL89:CO89)</f>
        <v>11496.264283446</v>
      </c>
      <c r="U89" s="1193">
        <f>SUM(CQ89:CT89)</f>
        <v>8052.4770670816797</v>
      </c>
      <c r="V89" s="1193">
        <f>SUM(CV89:CY89)</f>
        <v>8052.4770670816797</v>
      </c>
      <c r="W89" s="1193">
        <f>SUM(DA89:DD89)</f>
        <v>8052.4770670816797</v>
      </c>
      <c r="X89" s="1205">
        <f t="shared" ref="X89:AF89" si="134">X87*X$84*12</f>
        <v>8052.4770670816797</v>
      </c>
      <c r="Y89" s="1205">
        <f t="shared" si="134"/>
        <v>8052.4770670816797</v>
      </c>
      <c r="Z89" s="1205">
        <f t="shared" si="134"/>
        <v>8052.4770670816797</v>
      </c>
      <c r="AA89" s="1205">
        <f t="shared" si="134"/>
        <v>8052.4770670816797</v>
      </c>
      <c r="AB89" s="1205">
        <f t="shared" si="134"/>
        <v>8052.4770670816797</v>
      </c>
      <c r="AC89" s="1205">
        <f t="shared" si="134"/>
        <v>8052.4770670816797</v>
      </c>
      <c r="AD89" s="1205">
        <f t="shared" si="134"/>
        <v>8052.4770670816797</v>
      </c>
      <c r="AE89" s="1205">
        <f t="shared" si="134"/>
        <v>8052.4770670816797</v>
      </c>
      <c r="AF89" s="1205">
        <f t="shared" si="134"/>
        <v>8052.4770670816797</v>
      </c>
      <c r="AG89" s="1205">
        <f t="shared" ref="AG89" si="135">AG87*AG$84*12</f>
        <v>8052.4770670816797</v>
      </c>
      <c r="AH89" s="962"/>
      <c r="AI89" s="962"/>
      <c r="AJ89" s="962"/>
      <c r="AK89" s="962"/>
      <c r="AL89" s="962"/>
      <c r="AM89" s="1470"/>
      <c r="AN89" s="1192"/>
      <c r="AO89" s="1192"/>
      <c r="AP89" s="1192"/>
      <c r="AQ89" s="1192"/>
      <c r="AR89" s="1195"/>
      <c r="AS89" s="1192"/>
      <c r="AT89" s="1192"/>
      <c r="AU89" s="1192"/>
      <c r="AV89" s="1192"/>
      <c r="AW89" s="1189"/>
      <c r="AX89" s="1194">
        <f>AY89</f>
        <v>1837</v>
      </c>
      <c r="AY89" s="1190">
        <v>1837</v>
      </c>
      <c r="AZ89" s="1190">
        <v>2470</v>
      </c>
      <c r="BA89" s="1190">
        <v>2812</v>
      </c>
      <c r="BB89" s="1189"/>
      <c r="BC89" s="1190">
        <v>2163</v>
      </c>
      <c r="BD89" s="1190">
        <v>1922</v>
      </c>
      <c r="BE89" s="1190">
        <v>3223</v>
      </c>
      <c r="BF89" s="1190">
        <v>3807</v>
      </c>
      <c r="BG89" s="1189"/>
      <c r="BH89" s="1190">
        <v>2975</v>
      </c>
      <c r="BI89" s="1194">
        <f>BD89*(1+BI90)</f>
        <v>2075.7600000000002</v>
      </c>
      <c r="BJ89" s="1194">
        <f>BE89*(1+BJ90)</f>
        <v>3384.15</v>
      </c>
      <c r="BK89" s="1194">
        <f>BF89*(1+BK90)</f>
        <v>3807</v>
      </c>
      <c r="BL89" s="1189"/>
      <c r="BM89" s="1194">
        <f>BH89*(1+BM90)</f>
        <v>2975</v>
      </c>
      <c r="BN89" s="1194">
        <f>BI89*(1+BN90)</f>
        <v>2075.7600000000002</v>
      </c>
      <c r="BO89" s="1194">
        <f>BJ89*(1+BO90)</f>
        <v>3451.8330000000001</v>
      </c>
      <c r="BP89" s="1194">
        <f>BK89*(1+BP90)</f>
        <v>3883.14</v>
      </c>
      <c r="BQ89" s="1196"/>
      <c r="BR89" s="1194">
        <f>BM89*(1+BR90)</f>
        <v>2231.25</v>
      </c>
      <c r="BS89" s="1194">
        <f>BN89*(1+BS90)</f>
        <v>1556.8200000000002</v>
      </c>
      <c r="BT89" s="1194">
        <f>BO89*(1+BT90)</f>
        <v>3520.8696600000003</v>
      </c>
      <c r="BU89" s="1194">
        <f>BP89*(1+BU90)</f>
        <v>3960.8027999999999</v>
      </c>
      <c r="BV89" s="1196"/>
      <c r="BW89" s="1194">
        <f>BR89*(1+BW90)</f>
        <v>2253.5625</v>
      </c>
      <c r="BX89" s="1194">
        <f>BS89*(1+BX90)</f>
        <v>1572.3882000000001</v>
      </c>
      <c r="BY89" s="1194">
        <f>BT89*(1+BY90)</f>
        <v>3556.0783566000005</v>
      </c>
      <c r="BZ89" s="1194">
        <f>BU89*(1+BZ90)</f>
        <v>4000.410828</v>
      </c>
      <c r="CA89" s="1577"/>
      <c r="CB89" s="2201">
        <f>BW89*(1+CB90)</f>
        <v>2276.098125</v>
      </c>
      <c r="CC89" s="2201">
        <f>BX89*(1+CC90)</f>
        <v>1588.1120820000001</v>
      </c>
      <c r="CD89" s="2201">
        <f>BY89*(1+CD90)</f>
        <v>3591.6391401660003</v>
      </c>
      <c r="CE89" s="2201">
        <f>BZ89*(1+CE90)</f>
        <v>4040.4149362799999</v>
      </c>
      <c r="CF89" s="1577"/>
      <c r="CG89" s="2200">
        <f>CB89*(1+CG90)</f>
        <v>2276.098125</v>
      </c>
      <c r="CH89" s="2200">
        <f>CC89*(1+CH90)</f>
        <v>1588.1120820000001</v>
      </c>
      <c r="CI89" s="2200">
        <f>CD89*(1+CI90)</f>
        <v>3591.6391401660003</v>
      </c>
      <c r="CJ89" s="2201">
        <f>CE89*(1+CJ90)</f>
        <v>4040.4149362799999</v>
      </c>
      <c r="CK89" s="1577"/>
      <c r="CL89" s="2200">
        <f>CG89*(1+CL90)</f>
        <v>2276.098125</v>
      </c>
      <c r="CM89" s="2200">
        <f>CH89*(1+CM90)</f>
        <v>1588.1120820000001</v>
      </c>
      <c r="CN89" s="2200">
        <f>CI89*(1+CN90)</f>
        <v>3591.6391401660003</v>
      </c>
      <c r="CO89" s="2201">
        <f>CJ89*(1+CO90)</f>
        <v>4040.4149362799999</v>
      </c>
      <c r="CP89" s="2207"/>
      <c r="CQ89" s="2200">
        <f>CL89*(1+CQ90)</f>
        <v>1661.5516312499999</v>
      </c>
      <c r="CR89" s="2200">
        <f>CM89*(1+CR90)</f>
        <v>1079.9162157599999</v>
      </c>
      <c r="CS89" s="2200">
        <f>CN89*(1+CS90)</f>
        <v>2442.3146153128801</v>
      </c>
      <c r="CT89" s="2201">
        <f>CO89*(1+CT90)</f>
        <v>2868.6946047587999</v>
      </c>
      <c r="CU89" s="1577"/>
      <c r="CV89" s="2200">
        <f>CQ89*(1+CV90)</f>
        <v>1661.5516312499999</v>
      </c>
      <c r="CW89" s="2200">
        <f>CR89*(1+CW90)</f>
        <v>1079.9162157599999</v>
      </c>
      <c r="CX89" s="2200">
        <f>CS89*(1+CX90)</f>
        <v>2442.3146153128801</v>
      </c>
      <c r="CY89" s="2201">
        <f>CT89*(1+CY90)</f>
        <v>2868.6946047587999</v>
      </c>
      <c r="CZ89" s="1577"/>
      <c r="DA89" s="2200">
        <f>CV89*(1+DA90)</f>
        <v>1661.5516312499999</v>
      </c>
      <c r="DB89" s="2200">
        <f>CW89*(1+DB90)</f>
        <v>1079.9162157599999</v>
      </c>
      <c r="DC89" s="2200">
        <f>CX89*(1+DC90)</f>
        <v>2442.3146153128801</v>
      </c>
      <c r="DD89" s="2201">
        <f>CY89*(1+DD90)</f>
        <v>2868.6946047587999</v>
      </c>
    </row>
    <row r="90" spans="1:108" hidden="1" outlineLevel="2">
      <c r="A90" s="1746" t="s">
        <v>676</v>
      </c>
      <c r="B90" s="1470"/>
      <c r="C90" s="1470"/>
      <c r="D90" s="1470"/>
      <c r="E90" s="1470"/>
      <c r="F90" s="1470"/>
      <c r="G90" s="1470"/>
      <c r="H90" s="1470"/>
      <c r="I90" s="1470"/>
      <c r="J90" s="1470"/>
      <c r="K90" s="1470"/>
      <c r="L90" s="1596"/>
      <c r="M90" s="1596">
        <f>M89/L89-1</f>
        <v>0.24106744082179543</v>
      </c>
      <c r="N90" s="1596">
        <f>N89/M89-1</f>
        <v>0.10138641475483579</v>
      </c>
      <c r="O90" s="1596">
        <f>O89/N89-1</f>
        <v>1.1748411808288006E-2</v>
      </c>
      <c r="P90" s="1596">
        <f>P89/O89-1</f>
        <v>-9.010290630356721E-2</v>
      </c>
      <c r="Q90" s="1596">
        <f t="shared" ref="Q90:Y90" si="136">Q89/P89-1</f>
        <v>1.0000000000000009E-2</v>
      </c>
      <c r="R90" s="1596">
        <f t="shared" si="136"/>
        <v>1.0000000000000009E-2</v>
      </c>
      <c r="S90" s="1596">
        <f t="shared" si="136"/>
        <v>0</v>
      </c>
      <c r="T90" s="1596">
        <f t="shared" si="136"/>
        <v>0</v>
      </c>
      <c r="U90" s="1596">
        <f t="shared" si="136"/>
        <v>-0.29955706753568534</v>
      </c>
      <c r="V90" s="1596">
        <f t="shared" si="136"/>
        <v>0</v>
      </c>
      <c r="W90" s="1596">
        <f t="shared" si="136"/>
        <v>0</v>
      </c>
      <c r="X90" s="1596">
        <f t="shared" si="136"/>
        <v>0</v>
      </c>
      <c r="Y90" s="1596">
        <f t="shared" si="136"/>
        <v>0</v>
      </c>
      <c r="Z90" s="1596">
        <f t="shared" ref="Z90:AG90" si="137">Z89/Y89-1</f>
        <v>0</v>
      </c>
      <c r="AA90" s="1596">
        <f t="shared" si="137"/>
        <v>0</v>
      </c>
      <c r="AB90" s="1596">
        <f t="shared" si="137"/>
        <v>0</v>
      </c>
      <c r="AC90" s="1596">
        <f t="shared" si="137"/>
        <v>0</v>
      </c>
      <c r="AD90" s="1596">
        <f t="shared" si="137"/>
        <v>0</v>
      </c>
      <c r="AE90" s="1596">
        <f t="shared" si="137"/>
        <v>0</v>
      </c>
      <c r="AF90" s="1596">
        <f t="shared" si="137"/>
        <v>0</v>
      </c>
      <c r="AG90" s="1596">
        <f t="shared" si="137"/>
        <v>0</v>
      </c>
      <c r="AH90" s="962"/>
      <c r="AI90" s="962"/>
      <c r="AJ90" s="962"/>
      <c r="AK90" s="962"/>
      <c r="AL90" s="962"/>
      <c r="AM90" s="1470"/>
      <c r="AN90" s="1470"/>
      <c r="AO90" s="1470"/>
      <c r="AP90" s="1470"/>
      <c r="AQ90" s="1470"/>
      <c r="AR90" s="1578"/>
      <c r="AS90" s="1470"/>
      <c r="AT90" s="1470"/>
      <c r="AU90" s="1470"/>
      <c r="AV90" s="1470"/>
      <c r="AW90" s="1660"/>
      <c r="AX90" s="1470"/>
      <c r="AY90" s="1470"/>
      <c r="AZ90" s="1470"/>
      <c r="BA90" s="1470"/>
      <c r="BB90" s="1660"/>
      <c r="BC90" s="1737">
        <f>+BC89/AX89-1</f>
        <v>0.17746325530756679</v>
      </c>
      <c r="BD90" s="1737">
        <f>+BD89/AY89-1</f>
        <v>4.6271094175285743E-2</v>
      </c>
      <c r="BE90" s="1737">
        <f>+BE89/AZ89-1</f>
        <v>0.30485829959514166</v>
      </c>
      <c r="BF90" s="1737">
        <f>+BF89/BA89-1</f>
        <v>0.35384068278805114</v>
      </c>
      <c r="BG90" s="1660"/>
      <c r="BH90" s="1737">
        <f>+BH89/BC89-1</f>
        <v>0.37540453074433655</v>
      </c>
      <c r="BI90" s="1604">
        <v>0.08</v>
      </c>
      <c r="BJ90" s="1604">
        <v>0.05</v>
      </c>
      <c r="BK90" s="1604">
        <v>0</v>
      </c>
      <c r="BL90" s="1660"/>
      <c r="BM90" s="1604">
        <v>0</v>
      </c>
      <c r="BN90" s="1604">
        <v>0</v>
      </c>
      <c r="BO90" s="1604">
        <v>0.02</v>
      </c>
      <c r="BP90" s="1604">
        <v>0.02</v>
      </c>
      <c r="BQ90" s="1577"/>
      <c r="BR90" s="1604">
        <f>+-0.25</f>
        <v>-0.25</v>
      </c>
      <c r="BS90" s="1604">
        <f>+-0.25</f>
        <v>-0.25</v>
      </c>
      <c r="BT90" s="1604">
        <v>0.02</v>
      </c>
      <c r="BU90" s="1604">
        <v>0.02</v>
      </c>
      <c r="BV90" s="1577"/>
      <c r="BW90" s="1604">
        <v>0.01</v>
      </c>
      <c r="BX90" s="1604">
        <v>0.01</v>
      </c>
      <c r="BY90" s="1604">
        <v>0.01</v>
      </c>
      <c r="BZ90" s="1604">
        <v>0.01</v>
      </c>
      <c r="CA90" s="1577"/>
      <c r="CB90" s="1604">
        <v>0.01</v>
      </c>
      <c r="CC90" s="1604">
        <v>0.01</v>
      </c>
      <c r="CD90" s="1604">
        <v>0.01</v>
      </c>
      <c r="CE90" s="1604">
        <v>0.01</v>
      </c>
      <c r="CF90" s="1577"/>
      <c r="CG90" s="1459">
        <v>0</v>
      </c>
      <c r="CH90" s="1459">
        <v>0</v>
      </c>
      <c r="CI90" s="1459">
        <v>0</v>
      </c>
      <c r="CJ90" s="1459">
        <v>0</v>
      </c>
      <c r="CK90" s="1577"/>
      <c r="CL90" s="1459">
        <v>0</v>
      </c>
      <c r="CM90" s="1459">
        <v>0</v>
      </c>
      <c r="CN90" s="1459">
        <v>0</v>
      </c>
      <c r="CO90" s="1459">
        <v>0</v>
      </c>
      <c r="CP90" s="2207"/>
      <c r="CQ90" s="1602">
        <v>-0.27</v>
      </c>
      <c r="CR90" s="1602">
        <v>-0.32</v>
      </c>
      <c r="CS90" s="1602">
        <v>-0.32</v>
      </c>
      <c r="CT90" s="1602">
        <v>-0.28999999999999998</v>
      </c>
      <c r="CU90" s="1577"/>
      <c r="CV90" s="1602">
        <v>0</v>
      </c>
      <c r="CW90" s="1602">
        <v>0</v>
      </c>
      <c r="CX90" s="1602">
        <v>0</v>
      </c>
      <c r="CY90" s="1602">
        <v>0</v>
      </c>
      <c r="CZ90" s="1577"/>
      <c r="DA90" s="1602">
        <v>0</v>
      </c>
      <c r="DB90" s="1602">
        <v>0</v>
      </c>
      <c r="DC90" s="1602">
        <v>0</v>
      </c>
      <c r="DD90" s="1602">
        <v>0</v>
      </c>
    </row>
    <row r="91" spans="1:108" hidden="1" outlineLevel="2">
      <c r="A91" s="1470"/>
      <c r="B91" s="1470"/>
      <c r="C91" s="1470"/>
      <c r="D91" s="1470"/>
      <c r="E91" s="1470"/>
      <c r="F91" s="1470"/>
      <c r="G91" s="1470"/>
      <c r="H91" s="1470"/>
      <c r="I91" s="1470"/>
      <c r="J91" s="1470"/>
      <c r="K91" s="1470"/>
      <c r="L91" s="1470"/>
      <c r="M91" s="1470"/>
      <c r="N91" s="1470"/>
      <c r="O91" s="1470"/>
      <c r="P91" s="1470"/>
      <c r="Q91" s="1470"/>
      <c r="R91" s="1470"/>
      <c r="S91" s="1470"/>
      <c r="T91" s="1470"/>
      <c r="U91" s="1470"/>
      <c r="V91" s="1470"/>
      <c r="W91" s="1470"/>
      <c r="X91" s="1470"/>
      <c r="Y91" s="1470"/>
      <c r="Z91" s="1470"/>
      <c r="AA91" s="1470"/>
      <c r="AB91" s="1470"/>
      <c r="AC91" s="1470"/>
      <c r="AD91" s="1470"/>
      <c r="AE91" s="1470"/>
      <c r="AF91" s="1470"/>
      <c r="AG91" s="1470"/>
      <c r="AH91" s="962"/>
      <c r="AI91" s="962"/>
      <c r="AJ91" s="962"/>
      <c r="AK91" s="962"/>
      <c r="AL91" s="962"/>
      <c r="AM91" s="1470"/>
      <c r="AN91" s="1470"/>
      <c r="AO91" s="1470"/>
      <c r="AP91" s="1470"/>
      <c r="AQ91" s="1470"/>
      <c r="AR91" s="1578"/>
      <c r="AS91" s="1470"/>
      <c r="AT91" s="1470"/>
      <c r="AU91" s="1470"/>
      <c r="AV91" s="1470"/>
      <c r="AW91" s="1660"/>
      <c r="AX91" s="1470"/>
      <c r="AY91" s="1470"/>
      <c r="AZ91" s="1470"/>
      <c r="BA91" s="1470"/>
      <c r="BB91" s="1660"/>
      <c r="BC91" s="1470"/>
      <c r="BD91" s="1470"/>
      <c r="BE91" s="1470"/>
      <c r="BF91" s="1470"/>
      <c r="BG91" s="1660"/>
      <c r="BH91" s="1470"/>
      <c r="BI91" s="1470"/>
      <c r="BJ91" s="1470"/>
      <c r="BK91" s="1470"/>
      <c r="BL91" s="1660"/>
      <c r="BM91" s="1577"/>
      <c r="BN91" s="1577"/>
      <c r="BO91" s="1577"/>
      <c r="BP91" s="1577"/>
      <c r="BQ91" s="1577"/>
      <c r="BR91" s="1577"/>
      <c r="BS91" s="1577"/>
      <c r="BT91" s="1577"/>
      <c r="BU91" s="1577"/>
      <c r="BV91" s="1577"/>
      <c r="BW91" s="1577"/>
      <c r="BX91" s="1577"/>
      <c r="BY91" s="1577"/>
      <c r="BZ91" s="1577"/>
      <c r="CA91" s="1577"/>
      <c r="CB91" s="1577"/>
      <c r="CC91" s="1577"/>
      <c r="CD91" s="1577"/>
      <c r="CE91" s="1577"/>
      <c r="CF91" s="1577"/>
      <c r="CG91" s="1577"/>
      <c r="CH91" s="1577"/>
      <c r="CI91" s="1577"/>
      <c r="CJ91" s="1577"/>
      <c r="CK91" s="1577"/>
      <c r="CP91" s="2207"/>
      <c r="CQ91" s="1577"/>
      <c r="CR91" s="1577"/>
      <c r="CS91" s="1577"/>
      <c r="CT91" s="1577"/>
      <c r="CU91" s="1577"/>
      <c r="CZ91" s="1577"/>
      <c r="DA91" s="1577"/>
      <c r="DB91" s="1577"/>
      <c r="DC91" s="1577"/>
      <c r="DD91" s="1577"/>
    </row>
    <row r="92" spans="1:108" hidden="1" outlineLevel="2">
      <c r="A92" s="1197" t="s">
        <v>21</v>
      </c>
      <c r="B92" s="1192"/>
      <c r="C92" s="1192"/>
      <c r="D92" s="1192"/>
      <c r="E92" s="1192"/>
      <c r="F92" s="1192"/>
      <c r="G92" s="1192"/>
      <c r="H92" s="1192"/>
      <c r="I92" s="1192"/>
      <c r="J92" s="1192"/>
      <c r="K92" s="1192"/>
      <c r="L92" s="1204">
        <f t="shared" ref="L92:Q92" si="138">(SUM(L11))/L89*1000/12</f>
        <v>1.5455188328122675</v>
      </c>
      <c r="M92" s="1204">
        <f t="shared" si="138"/>
        <v>1.3821264424951265</v>
      </c>
      <c r="N92" s="1204">
        <f t="shared" si="138"/>
        <v>1.0104040533237599</v>
      </c>
      <c r="O92" s="1204">
        <f t="shared" si="138"/>
        <v>1.0177218547336484</v>
      </c>
      <c r="P92" s="1204">
        <f t="shared" si="138"/>
        <v>1.0184904200285025</v>
      </c>
      <c r="Q92" s="1204">
        <f t="shared" si="138"/>
        <v>1.0673779601898705</v>
      </c>
      <c r="R92" s="1204">
        <f t="shared" ref="R92:W92" si="139">(SUM(R11))/R89*1000/12</f>
        <v>1.2195238989441579</v>
      </c>
      <c r="S92" s="1204">
        <f t="shared" si="139"/>
        <v>1.299341648467329</v>
      </c>
      <c r="T92" s="1204">
        <f t="shared" si="139"/>
        <v>1.3336955694690944</v>
      </c>
      <c r="U92" s="1204">
        <f t="shared" si="139"/>
        <v>1.3371351563524085</v>
      </c>
      <c r="V92" s="1204">
        <f t="shared" si="139"/>
        <v>1.3371351563524085</v>
      </c>
      <c r="W92" s="1204">
        <f t="shared" si="139"/>
        <v>1.3371351563524085</v>
      </c>
      <c r="X92" s="1198">
        <f t="shared" ref="X92:AG92" si="140">W92*(1+X93)</f>
        <v>1.3371351563524085</v>
      </c>
      <c r="Y92" s="1198">
        <f t="shared" si="140"/>
        <v>1.3371351563524085</v>
      </c>
      <c r="Z92" s="1198">
        <f t="shared" si="140"/>
        <v>1.3371351563524085</v>
      </c>
      <c r="AA92" s="1198">
        <f t="shared" si="140"/>
        <v>1.3371351563524085</v>
      </c>
      <c r="AB92" s="1198">
        <f t="shared" si="140"/>
        <v>1.3371351563524085</v>
      </c>
      <c r="AC92" s="1198">
        <f t="shared" si="140"/>
        <v>1.3371351563524085</v>
      </c>
      <c r="AD92" s="1198">
        <f t="shared" si="140"/>
        <v>1.3371351563524085</v>
      </c>
      <c r="AE92" s="1198">
        <f t="shared" si="140"/>
        <v>1.3371351563524085</v>
      </c>
      <c r="AF92" s="1198">
        <f t="shared" si="140"/>
        <v>1.3371351563524085</v>
      </c>
      <c r="AG92" s="1198">
        <f t="shared" si="140"/>
        <v>1.3371351563524085</v>
      </c>
      <c r="AH92" s="962"/>
      <c r="AI92" s="962"/>
      <c r="AJ92" s="962"/>
      <c r="AK92" s="962"/>
      <c r="AL92" s="962"/>
      <c r="AM92" s="1470"/>
      <c r="AN92" s="1192"/>
      <c r="AO92" s="1192"/>
      <c r="AP92" s="1192"/>
      <c r="AQ92" s="1192"/>
      <c r="AR92" s="1195"/>
      <c r="AS92" s="1192"/>
      <c r="AT92" s="1192"/>
      <c r="AU92" s="1192"/>
      <c r="AV92" s="1192"/>
      <c r="AW92" s="1189"/>
      <c r="AX92" s="1192"/>
      <c r="AY92" s="1192"/>
      <c r="AZ92" s="1192"/>
      <c r="BA92" s="1192"/>
      <c r="BB92" s="1189"/>
      <c r="BC92" s="1198">
        <f>(SUM(BC11))/BC89*1000/12</f>
        <v>2.0380644167051933</v>
      </c>
      <c r="BD92" s="1198">
        <f>(SUM(BD11))/BD89*1000/12</f>
        <v>1.7429760665972944</v>
      </c>
      <c r="BE92" s="1198">
        <f>(SUM(BE11))/BE89*1000/12</f>
        <v>1.0278879511841972</v>
      </c>
      <c r="BF92" s="1198">
        <f>(SUM(BF11))/BF89*1000/12</f>
        <v>1.1271655393573241</v>
      </c>
      <c r="BG92" s="1189"/>
      <c r="BH92" s="1198">
        <f>(SUM(BH11))/BH89*1000/12</f>
        <v>1.2350764481792722</v>
      </c>
      <c r="BI92" s="1198">
        <f>(SUM(BI11))/BI89*1000/12</f>
        <v>1.5114236080156986</v>
      </c>
      <c r="BJ92" s="1198">
        <f>(SUM(BJ11))/BJ89*1000/12</f>
        <v>0.69123146913306666</v>
      </c>
      <c r="BK92" s="1198">
        <f>BF92*(1+BK93)</f>
        <v>0.84537415451799314</v>
      </c>
      <c r="BL92" s="1189"/>
      <c r="BM92" s="1198">
        <f>BH92*(1+BM93)</f>
        <v>1.247427212661065</v>
      </c>
      <c r="BN92" s="1198">
        <f>BI92*(1+BN93)</f>
        <v>1.5265378440958557</v>
      </c>
      <c r="BO92" s="1198">
        <f>BJ92*(1+BO93)</f>
        <v>0.69814378382439735</v>
      </c>
      <c r="BP92" s="1198">
        <f>BK92*(1+BP93)</f>
        <v>0.85382789606317311</v>
      </c>
      <c r="BQ92" s="1196"/>
      <c r="BR92" s="1198">
        <f>BM92*(1+BR93)</f>
        <v>1.3222728454207291</v>
      </c>
      <c r="BS92" s="1198">
        <f>BN92*(1+BS93)</f>
        <v>1.5952320470801691</v>
      </c>
      <c r="BT92" s="1198">
        <f>BO92*(1+BT93)</f>
        <v>0.72257881625825116</v>
      </c>
      <c r="BU92" s="1198">
        <f>BP92*(1+BU93)</f>
        <v>0.88371187242538407</v>
      </c>
      <c r="BV92" s="1196"/>
      <c r="BW92" s="1198">
        <f>BR92*(1+BW93)</f>
        <v>1.385741942000924</v>
      </c>
      <c r="BX92" s="1198">
        <f>BS92*(1+BX93)</f>
        <v>1.6718031853400173</v>
      </c>
      <c r="BY92" s="1198">
        <f>BT92*(1+BY93)</f>
        <v>0.75726259943864727</v>
      </c>
      <c r="BZ92" s="1198">
        <f>BU92*(1+BZ93)</f>
        <v>0.92613004230180251</v>
      </c>
      <c r="CA92" s="1577"/>
      <c r="CB92" s="1198">
        <f>BW92*(1+CB93)</f>
        <v>1.6628903304011089</v>
      </c>
      <c r="CC92" s="1198">
        <f>BX92*(1+CC93)</f>
        <v>1.9225736631410197</v>
      </c>
      <c r="CD92" s="1198">
        <f>BY92*(1+CD93)</f>
        <v>0.84313617821498987</v>
      </c>
      <c r="CE92" s="1198">
        <f>BZ92*(1+CE93)</f>
        <v>1.0280043469550009</v>
      </c>
      <c r="CF92" s="1577"/>
      <c r="CG92" s="1455">
        <f>CB92*(1+CG93)</f>
        <v>1.7792926535291866</v>
      </c>
      <c r="CH92" s="1455">
        <f>CC92*(1+CH93)</f>
        <v>2.0763795561923013</v>
      </c>
      <c r="CI92" s="1455">
        <f>CD92*(1+CI93)</f>
        <v>0.91058707247218917</v>
      </c>
      <c r="CJ92" s="1198">
        <f>CE92*(1+CJ93)</f>
        <v>1.069124520833201</v>
      </c>
      <c r="CK92" s="1577"/>
      <c r="CL92" s="1455">
        <f>CG92*(1+CL93)</f>
        <v>1.8326714331350622</v>
      </c>
      <c r="CM92" s="1455">
        <f>CH92*(1+CM93)</f>
        <v>2.1345181837656857</v>
      </c>
      <c r="CN92" s="1455">
        <f>CI92*(1+CN93)</f>
        <v>0.93335174928399378</v>
      </c>
      <c r="CO92" s="1198">
        <f>CJ92*(1+CO93)</f>
        <v>1.0937143848123645</v>
      </c>
      <c r="CP92" s="2207"/>
      <c r="CQ92" s="1455">
        <f>CL92*(1+CQ93)</f>
        <v>1.8326714331350622</v>
      </c>
      <c r="CR92" s="1455">
        <f>CM92*(1+CR93)</f>
        <v>2.1345181837656857</v>
      </c>
      <c r="CS92" s="1455">
        <f>CN92*(1+CS93)</f>
        <v>0.93335174928399378</v>
      </c>
      <c r="CT92" s="1198">
        <f>CO92*(1+CT93)</f>
        <v>1.0937143848123645</v>
      </c>
      <c r="CU92" s="1577"/>
      <c r="CV92" s="1455">
        <f>CQ92*(1+CV93)</f>
        <v>1.8326714331350622</v>
      </c>
      <c r="CW92" s="1455">
        <f>CR92*(1+CW93)</f>
        <v>2.1345181837656857</v>
      </c>
      <c r="CX92" s="1455">
        <f>CS92*(1+CX93)</f>
        <v>0.93335174928399378</v>
      </c>
      <c r="CY92" s="1198">
        <f>CT92*(1+CY93)</f>
        <v>1.0937143848123645</v>
      </c>
      <c r="CZ92" s="1577"/>
      <c r="DA92" s="1455">
        <f>CV92*(1+DA93)</f>
        <v>1.8326714331350622</v>
      </c>
      <c r="DB92" s="1455">
        <f>CW92*(1+DB93)</f>
        <v>2.1345181837656857</v>
      </c>
      <c r="DC92" s="1455">
        <f>CX92*(1+DC93)</f>
        <v>0.93335174928399378</v>
      </c>
      <c r="DD92" s="1198">
        <f>CY92*(1+DD93)</f>
        <v>1.0937143848123645</v>
      </c>
    </row>
    <row r="93" spans="1:108" hidden="1" outlineLevel="2">
      <c r="A93" s="1746" t="s">
        <v>676</v>
      </c>
      <c r="B93" s="1470"/>
      <c r="C93" s="1470"/>
      <c r="D93" s="1470"/>
      <c r="E93" s="1470"/>
      <c r="F93" s="1470"/>
      <c r="G93" s="1470"/>
      <c r="H93" s="1470"/>
      <c r="I93" s="1470"/>
      <c r="J93" s="1470"/>
      <c r="K93" s="1470"/>
      <c r="L93" s="1596"/>
      <c r="M93" s="1596">
        <f t="shared" ref="M93:W93" si="141">M92/L92-1</f>
        <v>-0.10572009013945682</v>
      </c>
      <c r="N93" s="1596">
        <f t="shared" si="141"/>
        <v>-0.2689496255496735</v>
      </c>
      <c r="O93" s="1596">
        <f t="shared" si="141"/>
        <v>7.2424505679844486E-3</v>
      </c>
      <c r="P93" s="1596">
        <f t="shared" si="141"/>
        <v>7.5518206794855658E-4</v>
      </c>
      <c r="Q93" s="1596">
        <f t="shared" si="141"/>
        <v>4.7999999999999821E-2</v>
      </c>
      <c r="R93" s="1596">
        <f t="shared" si="141"/>
        <v>0.14254176536231178</v>
      </c>
      <c r="S93" s="1596">
        <f t="shared" si="141"/>
        <v>6.544992647727188E-2</v>
      </c>
      <c r="T93" s="1596">
        <f t="shared" si="141"/>
        <v>2.6439482673620507E-2</v>
      </c>
      <c r="U93" s="1596">
        <f t="shared" si="141"/>
        <v>2.5789895100898352E-3</v>
      </c>
      <c r="V93" s="1596">
        <f t="shared" si="141"/>
        <v>0</v>
      </c>
      <c r="W93" s="1596">
        <f t="shared" si="141"/>
        <v>0</v>
      </c>
      <c r="X93" s="1605">
        <f t="shared" ref="X93:AG93" si="142">+MAX(0%,W93-0.1%)</f>
        <v>0</v>
      </c>
      <c r="Y93" s="1605">
        <f t="shared" si="142"/>
        <v>0</v>
      </c>
      <c r="Z93" s="1605">
        <f t="shared" si="142"/>
        <v>0</v>
      </c>
      <c r="AA93" s="1605">
        <f t="shared" si="142"/>
        <v>0</v>
      </c>
      <c r="AB93" s="1605">
        <f t="shared" si="142"/>
        <v>0</v>
      </c>
      <c r="AC93" s="1605">
        <f t="shared" si="142"/>
        <v>0</v>
      </c>
      <c r="AD93" s="1605">
        <f t="shared" si="142"/>
        <v>0</v>
      </c>
      <c r="AE93" s="1605">
        <f t="shared" si="142"/>
        <v>0</v>
      </c>
      <c r="AF93" s="1605">
        <f t="shared" si="142"/>
        <v>0</v>
      </c>
      <c r="AG93" s="1605">
        <f t="shared" si="142"/>
        <v>0</v>
      </c>
      <c r="AH93" s="962"/>
      <c r="AI93" s="962"/>
      <c r="AJ93" s="962"/>
      <c r="AK93" s="962"/>
      <c r="AL93" s="962"/>
      <c r="AM93" s="1470"/>
      <c r="AN93" s="1470"/>
      <c r="AO93" s="1470"/>
      <c r="AP93" s="1470"/>
      <c r="AQ93" s="1470"/>
      <c r="AR93" s="1578"/>
      <c r="AS93" s="1470"/>
      <c r="AT93" s="1470"/>
      <c r="AU93" s="1470"/>
      <c r="AV93" s="1470"/>
      <c r="AW93" s="1660"/>
      <c r="AX93" s="1470"/>
      <c r="AY93" s="1470"/>
      <c r="AZ93" s="1470"/>
      <c r="BA93" s="1470"/>
      <c r="BB93" s="1660"/>
      <c r="BC93" s="1596"/>
      <c r="BD93" s="1470"/>
      <c r="BE93" s="1470"/>
      <c r="BF93" s="1470"/>
      <c r="BG93" s="1660"/>
      <c r="BH93" s="1596">
        <f>+BH92/BC92-1</f>
        <v>-0.39399538206160323</v>
      </c>
      <c r="BI93" s="1596">
        <f>+BI92/BD92-1</f>
        <v>-0.13284890310263497</v>
      </c>
      <c r="BJ93" s="1596">
        <f>+BJ92/BE92-1</f>
        <v>-0.32752254918766122</v>
      </c>
      <c r="BK93" s="1459">
        <v>-0.25</v>
      </c>
      <c r="BL93" s="1660"/>
      <c r="BM93" s="1459">
        <v>0.01</v>
      </c>
      <c r="BN93" s="1459">
        <v>0.01</v>
      </c>
      <c r="BO93" s="1459">
        <v>0.01</v>
      </c>
      <c r="BP93" s="1459">
        <v>0.01</v>
      </c>
      <c r="BQ93" s="1577"/>
      <c r="BR93" s="1459">
        <v>0.06</v>
      </c>
      <c r="BS93" s="1459">
        <v>4.4999999999999998E-2</v>
      </c>
      <c r="BT93" s="1459">
        <v>3.5000000000000003E-2</v>
      </c>
      <c r="BU93" s="1459">
        <v>3.5000000000000003E-2</v>
      </c>
      <c r="BV93" s="1577"/>
      <c r="BW93" s="1459">
        <v>4.8000000000000001E-2</v>
      </c>
      <c r="BX93" s="1459">
        <v>4.8000000000000001E-2</v>
      </c>
      <c r="BY93" s="1459">
        <v>4.8000000000000001E-2</v>
      </c>
      <c r="BZ93" s="1459">
        <v>4.8000000000000001E-2</v>
      </c>
      <c r="CA93" s="1577"/>
      <c r="CB93" s="1459">
        <v>0.2</v>
      </c>
      <c r="CC93" s="1459">
        <v>0.15</v>
      </c>
      <c r="CD93" s="1459">
        <v>0.1134</v>
      </c>
      <c r="CE93" s="1459">
        <v>0.11</v>
      </c>
      <c r="CF93" s="1577"/>
      <c r="CG93" s="1459">
        <v>7.0000000000000007E-2</v>
      </c>
      <c r="CH93" s="1459">
        <v>0.08</v>
      </c>
      <c r="CI93" s="1459">
        <v>0.08</v>
      </c>
      <c r="CJ93" s="1459">
        <v>0.04</v>
      </c>
      <c r="CK93" s="1577"/>
      <c r="CL93" s="1602">
        <v>0.03</v>
      </c>
      <c r="CM93" s="1602">
        <v>2.8000000000000001E-2</v>
      </c>
      <c r="CN93" s="1602">
        <v>2.5000000000000001E-2</v>
      </c>
      <c r="CO93" s="1459">
        <v>2.3E-2</v>
      </c>
      <c r="CP93" s="2207"/>
      <c r="CQ93" s="1602">
        <v>0</v>
      </c>
      <c r="CR93" s="1602">
        <v>0</v>
      </c>
      <c r="CS93" s="1602">
        <v>0</v>
      </c>
      <c r="CT93" s="1602">
        <v>0</v>
      </c>
      <c r="CU93" s="1577"/>
      <c r="CV93" s="1602">
        <v>0</v>
      </c>
      <c r="CW93" s="1602">
        <v>0</v>
      </c>
      <c r="CX93" s="1602">
        <v>0</v>
      </c>
      <c r="CY93" s="1602">
        <v>0</v>
      </c>
      <c r="CZ93" s="1577"/>
      <c r="DA93" s="1602">
        <v>0</v>
      </c>
      <c r="DB93" s="1602">
        <v>0</v>
      </c>
      <c r="DC93" s="1602">
        <v>0</v>
      </c>
      <c r="DD93" s="1602">
        <v>0</v>
      </c>
    </row>
    <row r="94" spans="1:108" hidden="1" outlineLevel="2">
      <c r="A94" s="1746"/>
      <c r="B94" s="1470"/>
      <c r="C94" s="1470"/>
      <c r="D94" s="1470"/>
      <c r="E94" s="1470"/>
      <c r="F94" s="1470"/>
      <c r="G94" s="1470"/>
      <c r="H94" s="1470"/>
      <c r="I94" s="1470"/>
      <c r="J94" s="1470"/>
      <c r="K94" s="1470"/>
      <c r="L94" s="1470"/>
      <c r="M94" s="1470"/>
      <c r="N94" s="1470"/>
      <c r="O94" s="1470"/>
      <c r="P94" s="1470"/>
      <c r="Q94" s="1470"/>
      <c r="R94" s="1470"/>
      <c r="S94" s="1470"/>
      <c r="T94" s="1470"/>
      <c r="U94" s="1470"/>
      <c r="V94" s="1470"/>
      <c r="W94" s="1470"/>
      <c r="X94" s="1470"/>
      <c r="Y94" s="1470"/>
      <c r="Z94" s="1470"/>
      <c r="AA94" s="1470"/>
      <c r="AB94" s="1470"/>
      <c r="AC94" s="1470"/>
      <c r="AD94" s="1470"/>
      <c r="AE94" s="1470"/>
      <c r="AF94" s="1470"/>
      <c r="AG94" s="1470"/>
      <c r="AH94" s="962"/>
      <c r="AI94" s="962"/>
      <c r="AJ94" s="962"/>
      <c r="AK94" s="962"/>
      <c r="AL94" s="962"/>
      <c r="AM94" s="1470"/>
      <c r="AN94" s="1470"/>
      <c r="AO94" s="1470"/>
      <c r="AP94" s="1470"/>
      <c r="AQ94" s="1470"/>
      <c r="AR94" s="1578"/>
      <c r="AS94" s="1470"/>
      <c r="AT94" s="1470"/>
      <c r="AU94" s="1470"/>
      <c r="AV94" s="1470"/>
      <c r="AW94" s="1660"/>
      <c r="AX94" s="1470"/>
      <c r="AY94" s="1470"/>
      <c r="AZ94" s="1470"/>
      <c r="BA94" s="1470"/>
      <c r="BB94" s="1660"/>
      <c r="BC94" s="1470"/>
      <c r="BD94" s="1470"/>
      <c r="BE94" s="1470"/>
      <c r="BF94" s="1470"/>
      <c r="BG94" s="1660"/>
      <c r="BH94" s="1470"/>
      <c r="BI94" s="1470"/>
      <c r="BJ94" s="1470"/>
      <c r="BK94" s="1470"/>
      <c r="BL94" s="1660"/>
      <c r="BM94" s="1577"/>
      <c r="BN94" s="1577"/>
      <c r="BO94" s="1577"/>
      <c r="BP94" s="1577"/>
      <c r="BQ94" s="1577"/>
      <c r="BR94" s="1577"/>
      <c r="BS94" s="1577"/>
      <c r="BT94" s="1577"/>
      <c r="BU94" s="1577"/>
      <c r="BV94" s="1577"/>
      <c r="BW94" s="1577"/>
      <c r="BX94" s="1577"/>
      <c r="BY94" s="1577"/>
      <c r="BZ94" s="1577"/>
      <c r="CA94" s="1577"/>
      <c r="CB94" s="1577"/>
      <c r="CC94" s="1577"/>
      <c r="CD94" s="1577"/>
      <c r="CE94" s="1577"/>
      <c r="CF94" s="1577"/>
      <c r="CG94" s="1577"/>
      <c r="CH94" s="1577"/>
      <c r="CI94" s="1577"/>
      <c r="CJ94" s="1577"/>
      <c r="CK94" s="1577"/>
      <c r="CP94" s="2207"/>
      <c r="CQ94" s="1577"/>
      <c r="CR94" s="1577"/>
      <c r="CS94" s="1577"/>
      <c r="CT94" s="1577"/>
      <c r="CU94" s="1577"/>
      <c r="CZ94" s="1577"/>
      <c r="DA94" s="1577"/>
      <c r="DB94" s="1577"/>
      <c r="DC94" s="1577"/>
      <c r="DD94" s="1577"/>
    </row>
    <row r="95" spans="1:108" hidden="1" outlineLevel="2">
      <c r="A95" s="1747" t="s">
        <v>22</v>
      </c>
      <c r="B95" s="1470"/>
      <c r="C95" s="1470"/>
      <c r="D95" s="1470"/>
      <c r="E95" s="1470"/>
      <c r="F95" s="1470"/>
      <c r="G95" s="1470"/>
      <c r="H95" s="1470"/>
      <c r="I95" s="1470"/>
      <c r="J95" s="1470"/>
      <c r="K95" s="1470"/>
      <c r="L95" s="1606">
        <f>L46/L84/12</f>
        <v>0.54103328990826305</v>
      </c>
      <c r="M95" s="1606">
        <f>M46/M84/12</f>
        <v>0.49587459310508436</v>
      </c>
      <c r="N95" s="1606">
        <f>N46/N84/12</f>
        <v>0.46000580473566915</v>
      </c>
      <c r="O95" s="1606">
        <f t="shared" ref="O95:U95" si="143">O11/O84/12</f>
        <v>0.31076676550293514</v>
      </c>
      <c r="P95" s="1606">
        <f t="shared" si="143"/>
        <v>0.28297931639259155</v>
      </c>
      <c r="Q95" s="1606">
        <f t="shared" si="143"/>
        <v>0.2965623235794359</v>
      </c>
      <c r="R95" s="1606">
        <f>R11/R84/12</f>
        <v>0.33883484072239783</v>
      </c>
      <c r="S95" s="1606">
        <f t="shared" si="143"/>
        <v>0.36101155613561686</v>
      </c>
      <c r="T95" s="1606">
        <f>T11/T84/12</f>
        <v>0.37055651491904135</v>
      </c>
      <c r="U95" s="1606">
        <f t="shared" si="143"/>
        <v>0.26022307820250346</v>
      </c>
      <c r="V95" s="1606">
        <f>V11/V84/12</f>
        <v>0.26022307820250346</v>
      </c>
      <c r="W95" s="1606">
        <f>W11/W84/12</f>
        <v>0.26022307820250346</v>
      </c>
      <c r="X95" s="1606">
        <f t="shared" ref="X95:AC95" si="144">X11/X84/12</f>
        <v>0.26022307820250346</v>
      </c>
      <c r="Y95" s="1606">
        <f t="shared" si="144"/>
        <v>0.26022307820250346</v>
      </c>
      <c r="Z95" s="1606">
        <f t="shared" si="144"/>
        <v>0.26022307820250346</v>
      </c>
      <c r="AA95" s="1606">
        <f t="shared" si="144"/>
        <v>0.26022307820250346</v>
      </c>
      <c r="AB95" s="1606">
        <f t="shared" si="144"/>
        <v>0.26022307820250346</v>
      </c>
      <c r="AC95" s="1606">
        <f t="shared" si="144"/>
        <v>0.26022307820250346</v>
      </c>
      <c r="AD95" s="1606">
        <f>AD11/AD84/12</f>
        <v>0.26022307820250346</v>
      </c>
      <c r="AE95" s="1606">
        <f>AE11/AE84/12</f>
        <v>0.26022307820250346</v>
      </c>
      <c r="AF95" s="1606">
        <f>AF11/AF84/12</f>
        <v>0.26022307820250346</v>
      </c>
      <c r="AG95" s="1606">
        <f>AG11/AG84/12</f>
        <v>0.26022307820250346</v>
      </c>
      <c r="AH95" s="962"/>
      <c r="AI95" s="962"/>
      <c r="AJ95" s="962"/>
      <c r="AK95" s="962"/>
      <c r="AL95" s="962"/>
      <c r="AM95" s="1470"/>
      <c r="AN95" s="1470"/>
      <c r="AO95" s="1470"/>
      <c r="AP95" s="1470"/>
      <c r="AQ95" s="1470"/>
      <c r="AR95" s="1578"/>
      <c r="AS95" s="1470"/>
      <c r="AT95" s="1470"/>
      <c r="AU95" s="1470"/>
      <c r="AV95" s="1470"/>
      <c r="AW95" s="1660"/>
      <c r="AX95" s="1470"/>
      <c r="AY95" s="1470"/>
      <c r="AZ95" s="1470"/>
      <c r="BA95" s="1470"/>
      <c r="BB95" s="1660"/>
      <c r="BC95" s="1606">
        <f>BC11/BC84/12</f>
        <v>0.12886974654804478</v>
      </c>
      <c r="BD95" s="1606">
        <f>BD11/BD84/12</f>
        <v>0.10681716727249536</v>
      </c>
      <c r="BE95" s="1606">
        <f>BE11/BE84/12</f>
        <v>8.6276735969443144E-2</v>
      </c>
      <c r="BF95" s="1606">
        <f>BF11/BF84/12</f>
        <v>0.10178417913929012</v>
      </c>
      <c r="BG95" s="1660"/>
      <c r="BH95" s="1606">
        <f>BH11/BH84/12</f>
        <v>8.5739843968762677E-2</v>
      </c>
      <c r="BI95" s="1606">
        <f>BI11/BI84/12</f>
        <v>9.0942503335671568E-2</v>
      </c>
      <c r="BJ95" s="1606">
        <f>BJ11/BJ84/12</f>
        <v>5.6407516150553096E-2</v>
      </c>
      <c r="BK95" s="1606">
        <f>BK11/BK84/12</f>
        <v>7.4114693548026814E-2</v>
      </c>
      <c r="BL95" s="1660"/>
      <c r="BM95" s="1606">
        <f>BM11/BM84/12</f>
        <v>8.6597242408450334E-2</v>
      </c>
      <c r="BN95" s="1606">
        <f>BN11/BN84/12</f>
        <v>9.1851928369028321E-2</v>
      </c>
      <c r="BO95" s="1606">
        <f>BO11/BO84/12</f>
        <v>5.8111023138299807E-2</v>
      </c>
      <c r="BP95" s="1606">
        <f>BP11/BP84/12</f>
        <v>7.6352957293177218E-2</v>
      </c>
      <c r="BQ95" s="1577"/>
      <c r="BR95" s="1606">
        <f>BR11/BR84/12</f>
        <v>6.8844807714718001E-2</v>
      </c>
      <c r="BS95" s="1606">
        <f>BS11/BS84/12</f>
        <v>7.1988948859225951E-2</v>
      </c>
      <c r="BT95" s="1606">
        <f>BT11/BT84/12</f>
        <v>6.1347807127103103E-2</v>
      </c>
      <c r="BU95" s="1606">
        <f>BU11/BU84/12</f>
        <v>8.060581701440718E-2</v>
      </c>
      <c r="BV95" s="1577"/>
      <c r="BW95" s="1606">
        <f>BW11/BW84/12</f>
        <v>7.2149358485024448E-2</v>
      </c>
      <c r="BX95" s="1606">
        <f>BX11/BX84/12</f>
        <v>7.5444418404468777E-2</v>
      </c>
      <c r="BY95" s="1606">
        <f>BY11/BY84/12</f>
        <v>6.4292501869204058E-2</v>
      </c>
      <c r="BZ95" s="1606">
        <f>BZ11/BZ84/12</f>
        <v>8.4474896231098731E-2</v>
      </c>
      <c r="CA95" s="1577"/>
      <c r="CB95" s="1606">
        <f>CB11/CB84/12</f>
        <v>8.6579230182029343E-2</v>
      </c>
      <c r="CC95" s="1606">
        <f>CC11/CC84/12</f>
        <v>8.6761081165139087E-2</v>
      </c>
      <c r="CD95" s="1606">
        <f>CD11/CD84/12</f>
        <v>7.1583271581171795E-2</v>
      </c>
      <c r="CE95" s="1606">
        <f>CE11/CE84/12</f>
        <v>9.3767134816519618E-2</v>
      </c>
      <c r="CF95" s="1577"/>
      <c r="CG95" s="1748">
        <f>CG11/CG84/12</f>
        <v>9.2639776294771423E-2</v>
      </c>
      <c r="CH95" s="1748">
        <f>CH11/CH84/12</f>
        <v>9.3701967658350219E-2</v>
      </c>
      <c r="CI95" s="1748">
        <f>CI11/CI84/12</f>
        <v>7.7309933307665543E-2</v>
      </c>
      <c r="CJ95" s="1606">
        <f>CJ11/CJ84/12</f>
        <v>9.7517820209180386E-2</v>
      </c>
      <c r="CK95" s="1577"/>
      <c r="CL95" s="1606">
        <f>CL11/CL84/12</f>
        <v>9.5418969583614552E-2</v>
      </c>
      <c r="CM95" s="1606">
        <f>CM11/CM84/12</f>
        <v>9.6325622752784015E-2</v>
      </c>
      <c r="CN95" s="1606">
        <f>CN11/CN84/12</f>
        <v>7.9242681640357179E-2</v>
      </c>
      <c r="CO95" s="1606">
        <f>CO11/CO84/12</f>
        <v>9.9760730073991541E-2</v>
      </c>
      <c r="CP95" s="2207"/>
      <c r="CQ95" s="1606">
        <f>CQ11/CQ84/12</f>
        <v>6.9655847796038631E-2</v>
      </c>
      <c r="CR95" s="1606">
        <f>CR11/CR84/12</f>
        <v>6.5501423471893125E-2</v>
      </c>
      <c r="CS95" s="1606">
        <f>CS11/CS84/12</f>
        <v>5.3885023515442887E-2</v>
      </c>
      <c r="CT95" s="1606">
        <f>CT11/CT84/12</f>
        <v>7.0830118352533986E-2</v>
      </c>
      <c r="CU95" s="1577"/>
      <c r="CV95" s="1606">
        <f>CV11/CV84/12</f>
        <v>6.9655847796038631E-2</v>
      </c>
      <c r="CW95" s="1606">
        <f>CW11/CW84/12</f>
        <v>6.5501423471893125E-2</v>
      </c>
      <c r="CX95" s="1606">
        <f>CX11/CX84/12</f>
        <v>5.3885023515442887E-2</v>
      </c>
      <c r="CY95" s="1606">
        <f>CY11/CY84/12</f>
        <v>7.0830118352533986E-2</v>
      </c>
      <c r="CZ95" s="1577"/>
      <c r="DA95" s="1606">
        <f>DA11/DA84/12</f>
        <v>6.9655847796038631E-2</v>
      </c>
      <c r="DB95" s="1606">
        <f>DB11/DB84/12</f>
        <v>6.5501423471893125E-2</v>
      </c>
      <c r="DC95" s="1606">
        <f>DC11/DC84/12</f>
        <v>5.3885023515442887E-2</v>
      </c>
      <c r="DD95" s="1606">
        <f>DD11/DD84/12</f>
        <v>7.0830118352533986E-2</v>
      </c>
    </row>
    <row r="96" spans="1:108" hidden="1" outlineLevel="2">
      <c r="A96" s="1746" t="s">
        <v>676</v>
      </c>
      <c r="B96" s="1470"/>
      <c r="C96" s="1470"/>
      <c r="D96" s="1470"/>
      <c r="E96" s="1470"/>
      <c r="F96" s="1470"/>
      <c r="G96" s="1470"/>
      <c r="H96" s="1470"/>
      <c r="I96" s="1470"/>
      <c r="J96" s="1470"/>
      <c r="K96" s="1470"/>
      <c r="L96" s="1596"/>
      <c r="M96" s="1596">
        <f t="shared" ref="M96:Y96" si="145">M95/L95-1</f>
        <v>-8.3467501252715404E-2</v>
      </c>
      <c r="N96" s="1596">
        <f t="shared" si="145"/>
        <v>-7.2334394357272513E-2</v>
      </c>
      <c r="O96" s="1596">
        <f t="shared" si="145"/>
        <v>-0.3244286000227552</v>
      </c>
      <c r="P96" s="1596">
        <f t="shared" si="145"/>
        <v>-8.9415768334729306E-2</v>
      </c>
      <c r="Q96" s="1596">
        <f t="shared" si="145"/>
        <v>4.7999999999999821E-2</v>
      </c>
      <c r="R96" s="1596">
        <f>R95/Q95-1</f>
        <v>0.14254176536231178</v>
      </c>
      <c r="S96" s="1596">
        <f t="shared" si="145"/>
        <v>6.5449926477271658E-2</v>
      </c>
      <c r="T96" s="1596">
        <f t="shared" si="145"/>
        <v>2.6439482673620729E-2</v>
      </c>
      <c r="U96" s="1596">
        <f t="shared" si="145"/>
        <v>-0.29775063256044321</v>
      </c>
      <c r="V96" s="1596">
        <f t="shared" si="145"/>
        <v>0</v>
      </c>
      <c r="W96" s="1596">
        <f t="shared" si="145"/>
        <v>0</v>
      </c>
      <c r="X96" s="1596">
        <f t="shared" si="145"/>
        <v>0</v>
      </c>
      <c r="Y96" s="1596">
        <f t="shared" si="145"/>
        <v>0</v>
      </c>
      <c r="Z96" s="1596">
        <f t="shared" ref="Z96:AG96" si="146">Z95/Y95-1</f>
        <v>0</v>
      </c>
      <c r="AA96" s="1596">
        <f t="shared" si="146"/>
        <v>0</v>
      </c>
      <c r="AB96" s="1596">
        <f t="shared" si="146"/>
        <v>0</v>
      </c>
      <c r="AC96" s="1596">
        <f t="shared" si="146"/>
        <v>0</v>
      </c>
      <c r="AD96" s="1596">
        <f t="shared" si="146"/>
        <v>0</v>
      </c>
      <c r="AE96" s="1596">
        <f t="shared" si="146"/>
        <v>0</v>
      </c>
      <c r="AF96" s="1596">
        <f t="shared" si="146"/>
        <v>0</v>
      </c>
      <c r="AG96" s="1596">
        <f t="shared" si="146"/>
        <v>0</v>
      </c>
      <c r="AH96" s="962"/>
      <c r="AI96" s="962"/>
      <c r="AJ96" s="962"/>
      <c r="AK96" s="962"/>
      <c r="AL96" s="962"/>
      <c r="AM96" s="1470"/>
      <c r="AN96" s="1470"/>
      <c r="AO96" s="1470"/>
      <c r="AP96" s="1470"/>
      <c r="AQ96" s="1470"/>
      <c r="AR96" s="1578"/>
      <c r="AS96" s="1470"/>
      <c r="AT96" s="1470"/>
      <c r="AU96" s="1470"/>
      <c r="AV96" s="1470"/>
      <c r="AW96" s="1660"/>
      <c r="AX96" s="1470"/>
      <c r="AY96" s="1470"/>
      <c r="AZ96" s="1470"/>
      <c r="BA96" s="1470"/>
      <c r="BB96" s="1660"/>
      <c r="BC96" s="1763"/>
      <c r="BD96" s="1470"/>
      <c r="BE96" s="1470"/>
      <c r="BF96" s="1470"/>
      <c r="BG96" s="1660"/>
      <c r="BH96" s="1596">
        <f>BH95/BC95-1</f>
        <v>-0.33467826029441716</v>
      </c>
      <c r="BI96" s="1596">
        <f>BI95/BD95-1</f>
        <v>-0.1486152866825875</v>
      </c>
      <c r="BJ96" s="1596">
        <f>BJ95/BE95-1</f>
        <v>-0.346202478376893</v>
      </c>
      <c r="BK96" s="1596">
        <f>BK95/BF95-1</f>
        <v>-0.27184466019417453</v>
      </c>
      <c r="BL96" s="1660"/>
      <c r="BM96" s="1596">
        <f>BM95/BH95-1</f>
        <v>1.0000000000000453E-2</v>
      </c>
      <c r="BN96" s="1596">
        <f>BN95/BI95-1</f>
        <v>1.0000000000000453E-2</v>
      </c>
      <c r="BO96" s="1596">
        <f>BO95/BJ95-1</f>
        <v>3.0200000000000227E-2</v>
      </c>
      <c r="BP96" s="1596">
        <f>BP95/BK95-1</f>
        <v>3.0200000000000005E-2</v>
      </c>
      <c r="BQ96" s="1577"/>
      <c r="BR96" s="1596">
        <f>BR95/BM95-1</f>
        <v>-0.20500000000000018</v>
      </c>
      <c r="BS96" s="1596">
        <f>BS95/BN95-1</f>
        <v>-0.21624999999999994</v>
      </c>
      <c r="BT96" s="1596">
        <f>BT95/BO95-1</f>
        <v>5.5699999999999861E-2</v>
      </c>
      <c r="BU96" s="1596">
        <f>BU95/BP95-1</f>
        <v>5.5699999999999861E-2</v>
      </c>
      <c r="BV96" s="1577"/>
      <c r="BW96" s="1596">
        <f>BW95/BR95-1</f>
        <v>4.7999999999999821E-2</v>
      </c>
      <c r="BX96" s="1596">
        <f>BX95/BS95-1</f>
        <v>4.7999999999999821E-2</v>
      </c>
      <c r="BY96" s="1596">
        <f>BY95/BT95-1</f>
        <v>4.8000000000000043E-2</v>
      </c>
      <c r="BZ96" s="1596">
        <f>BZ95/BU95-1</f>
        <v>4.8000000000000043E-2</v>
      </c>
      <c r="CA96" s="1577"/>
      <c r="CB96" s="1596">
        <f>CB95/BW95-1</f>
        <v>0.20000000000000018</v>
      </c>
      <c r="CC96" s="1596">
        <f>CC95/BX95-1</f>
        <v>0.14999999999999991</v>
      </c>
      <c r="CD96" s="1596">
        <f>CD95/BY95-1</f>
        <v>0.11339999999999995</v>
      </c>
      <c r="CE96" s="1596">
        <f>CE95/BZ95-1</f>
        <v>0.11000000000000032</v>
      </c>
      <c r="CF96" s="1577"/>
      <c r="CG96" s="1749">
        <f>CG95/CB95-1</f>
        <v>7.0000000000000284E-2</v>
      </c>
      <c r="CH96" s="1749">
        <f>CH95/CC95-1</f>
        <v>8.0000000000000071E-2</v>
      </c>
      <c r="CI96" s="1749">
        <f>CI95/CD95-1</f>
        <v>8.0000000000000071E-2</v>
      </c>
      <c r="CJ96" s="1596">
        <f>CJ95/CE95-1</f>
        <v>3.9999999999999813E-2</v>
      </c>
      <c r="CK96" s="1577"/>
      <c r="CL96" s="1596">
        <f>CL95/CG95-1</f>
        <v>2.9999999999999805E-2</v>
      </c>
      <c r="CM96" s="1596">
        <f>CM95/CH95-1</f>
        <v>2.7999999999999803E-2</v>
      </c>
      <c r="CN96" s="1596">
        <f>CN95/CI95-1</f>
        <v>2.4999999999999911E-2</v>
      </c>
      <c r="CO96" s="1596">
        <f>CO95/CJ95-1</f>
        <v>2.3000000000000131E-2</v>
      </c>
      <c r="CP96" s="2207"/>
      <c r="CQ96" s="1596">
        <f>CQ95/CL95-1</f>
        <v>-0.26999999999999991</v>
      </c>
      <c r="CR96" s="1596">
        <f>CR95/CM95-1</f>
        <v>-0.32000000000000006</v>
      </c>
      <c r="CS96" s="1596">
        <f>CS95/CN95-1</f>
        <v>-0.31999999999999995</v>
      </c>
      <c r="CT96" s="1596">
        <f>CT95/CO95-1</f>
        <v>-0.29000000000000004</v>
      </c>
      <c r="CU96" s="1577"/>
      <c r="CV96" s="1596">
        <f>CV95/CQ95-1</f>
        <v>0</v>
      </c>
      <c r="CW96" s="1596">
        <f>CW95/CR95-1</f>
        <v>0</v>
      </c>
      <c r="CX96" s="1596">
        <f>CX95/CS95-1</f>
        <v>0</v>
      </c>
      <c r="CY96" s="1596">
        <f>CY95/CT95-1</f>
        <v>0</v>
      </c>
      <c r="CZ96" s="1577"/>
      <c r="DA96" s="1596">
        <f>DA95/CV95-1</f>
        <v>0</v>
      </c>
      <c r="DB96" s="1596">
        <f>DB95/CW95-1</f>
        <v>0</v>
      </c>
      <c r="DC96" s="1596">
        <f>DC95/CX95-1</f>
        <v>0</v>
      </c>
      <c r="DD96" s="1596">
        <f>DD95/CY95-1</f>
        <v>0</v>
      </c>
    </row>
    <row r="97" spans="1:109" hidden="1" outlineLevel="2">
      <c r="A97" s="1470"/>
      <c r="B97" s="1470"/>
      <c r="C97" s="1470"/>
      <c r="D97" s="1470"/>
      <c r="E97" s="1470"/>
      <c r="F97" s="1470"/>
      <c r="G97" s="1470"/>
      <c r="H97" s="1470"/>
      <c r="I97" s="1470"/>
      <c r="J97" s="1470"/>
      <c r="K97" s="1470"/>
      <c r="L97" s="1470"/>
      <c r="M97" s="1470"/>
      <c r="N97" s="1470"/>
      <c r="O97" s="1470"/>
      <c r="P97" s="1470"/>
      <c r="Q97" s="1470"/>
      <c r="R97" s="1470"/>
      <c r="S97" s="1470"/>
      <c r="T97" s="1470"/>
      <c r="U97" s="1470"/>
      <c r="V97" s="1470"/>
      <c r="W97" s="1470"/>
      <c r="X97" s="1470"/>
      <c r="Y97" s="1470"/>
      <c r="Z97" s="1470"/>
      <c r="AA97" s="1470"/>
      <c r="AB97" s="1470"/>
      <c r="AC97" s="1470"/>
      <c r="AD97" s="1470"/>
      <c r="AE97" s="1470"/>
      <c r="AF97" s="1470"/>
      <c r="AG97" s="1470"/>
      <c r="AH97" s="962"/>
      <c r="AI97" s="962"/>
      <c r="AJ97" s="962"/>
      <c r="AK97" s="962"/>
      <c r="AL97" s="962"/>
      <c r="AM97" s="1470"/>
      <c r="AN97" s="1470"/>
      <c r="AO97" s="1470"/>
      <c r="AP97" s="1470"/>
      <c r="AQ97" s="1470"/>
      <c r="AR97" s="1578"/>
      <c r="AS97" s="1470"/>
      <c r="AT97" s="1470"/>
      <c r="AU97" s="1470"/>
      <c r="AV97" s="1470"/>
      <c r="AW97" s="1660"/>
      <c r="AX97" s="1470"/>
      <c r="AY97" s="1470"/>
      <c r="AZ97" s="1470"/>
      <c r="BA97" s="1470"/>
      <c r="BB97" s="1660"/>
      <c r="BC97" s="1470"/>
      <c r="BD97" s="1470"/>
      <c r="BE97" s="1470"/>
      <c r="BF97" s="1470"/>
      <c r="BG97" s="1660"/>
      <c r="BH97" s="1470"/>
      <c r="BI97" s="1470"/>
      <c r="BJ97" s="1470"/>
      <c r="BK97" s="1470"/>
      <c r="BL97" s="1660"/>
      <c r="BM97" s="1577"/>
      <c r="BN97" s="1577"/>
      <c r="BO97" s="1577"/>
      <c r="BP97" s="1577"/>
      <c r="BQ97" s="1577"/>
      <c r="BR97" s="1577"/>
      <c r="BS97" s="1577"/>
      <c r="BT97" s="1577"/>
      <c r="BU97" s="1577"/>
      <c r="BV97" s="1577"/>
      <c r="BW97" s="1577"/>
      <c r="BX97" s="1577"/>
      <c r="BY97" s="1577"/>
      <c r="BZ97" s="1577"/>
      <c r="CA97" s="1577"/>
      <c r="CB97" s="1577"/>
      <c r="CC97" s="1577"/>
      <c r="CD97" s="1577"/>
      <c r="CE97" s="1577"/>
      <c r="CF97" s="1577"/>
      <c r="CG97" s="1577"/>
      <c r="CH97" s="1577"/>
      <c r="CI97" s="1577"/>
      <c r="CJ97" s="1577"/>
      <c r="CK97" s="1577"/>
      <c r="CP97" s="2207"/>
      <c r="CQ97" s="1577"/>
      <c r="CR97" s="1577"/>
      <c r="CS97" s="1577"/>
      <c r="CT97" s="1577"/>
      <c r="CU97" s="1577"/>
      <c r="CZ97" s="1577"/>
      <c r="DA97" s="1577"/>
      <c r="DB97" s="1577"/>
      <c r="DC97" s="1577"/>
      <c r="DD97" s="1577"/>
    </row>
    <row r="98" spans="1:109" hidden="1" outlineLevel="2">
      <c r="A98" s="1470" t="s">
        <v>17</v>
      </c>
      <c r="B98" s="1470"/>
      <c r="C98" s="1470"/>
      <c r="D98" s="1470"/>
      <c r="E98" s="1470"/>
      <c r="F98" s="1470"/>
      <c r="G98" s="1470"/>
      <c r="H98" s="1470"/>
      <c r="I98" s="1470"/>
      <c r="J98" s="1470"/>
      <c r="K98" s="1470"/>
      <c r="L98" s="1603"/>
      <c r="M98" s="1751">
        <f>SUM(BC98:BF98)</f>
        <v>9855</v>
      </c>
      <c r="N98" s="1751">
        <f>SUM(BH98:BK98)</f>
        <v>11068.17</v>
      </c>
      <c r="O98" s="1603">
        <f>N98*(1+O99)</f>
        <v>11400.215100000001</v>
      </c>
      <c r="P98" s="1603">
        <f>O98*(1+P99)</f>
        <v>11742.221553000001</v>
      </c>
      <c r="Q98" s="1603">
        <f>P98*(1+Q99)</f>
        <v>12094.488199590001</v>
      </c>
      <c r="R98" s="1751">
        <f>SUM(CB98:CE98)</f>
        <v>12457.322845577703</v>
      </c>
      <c r="S98" s="1751">
        <f>SUM(CG98:CJ98)</f>
        <v>12831.042530945033</v>
      </c>
      <c r="T98" s="1751">
        <f>SUM(CL98:CO98)</f>
        <v>13215.973806873384</v>
      </c>
      <c r="U98" s="1751">
        <f>SUM(CQ98:CT98)</f>
        <v>13612.453021079587</v>
      </c>
      <c r="V98" s="1751">
        <f>SUM(CV98:CY98)</f>
        <v>14020.826611711975</v>
      </c>
      <c r="W98" s="1751">
        <f>SUM(DA98:DD98)</f>
        <v>14441.451410063335</v>
      </c>
      <c r="X98" s="1603">
        <f t="shared" ref="X98:AG98" si="147">W98*(1+X99)</f>
        <v>14874.694952365235</v>
      </c>
      <c r="Y98" s="1603">
        <f t="shared" si="147"/>
        <v>15320.935800936191</v>
      </c>
      <c r="Z98" s="1603">
        <f t="shared" si="147"/>
        <v>15780.563874964277</v>
      </c>
      <c r="AA98" s="1603">
        <f t="shared" si="147"/>
        <v>16253.980791213206</v>
      </c>
      <c r="AB98" s="1603">
        <f t="shared" si="147"/>
        <v>16741.600214949602</v>
      </c>
      <c r="AC98" s="1603">
        <f t="shared" si="147"/>
        <v>17243.84822139809</v>
      </c>
      <c r="AD98" s="1603">
        <f t="shared" si="147"/>
        <v>17761.163668040033</v>
      </c>
      <c r="AE98" s="1603">
        <f t="shared" si="147"/>
        <v>18293.998578081235</v>
      </c>
      <c r="AF98" s="1603">
        <f t="shared" si="147"/>
        <v>18842.818535423674</v>
      </c>
      <c r="AG98" s="1603">
        <f t="shared" si="147"/>
        <v>19408.103091486384</v>
      </c>
      <c r="AH98" s="962"/>
      <c r="AI98" s="962"/>
      <c r="AJ98" s="962"/>
      <c r="AK98" s="962"/>
      <c r="AL98" s="962"/>
      <c r="AM98" s="1470"/>
      <c r="AN98" s="1470"/>
      <c r="AO98" s="1470"/>
      <c r="AP98" s="1470"/>
      <c r="AQ98" s="1470"/>
      <c r="AR98" s="1578"/>
      <c r="AS98" s="1470"/>
      <c r="AT98" s="1470"/>
      <c r="AU98" s="1470"/>
      <c r="AV98" s="1470"/>
      <c r="AW98" s="1660"/>
      <c r="AX98" s="1470"/>
      <c r="AY98" s="1752">
        <v>1553</v>
      </c>
      <c r="AZ98" s="1752">
        <v>2006</v>
      </c>
      <c r="BA98" s="1752">
        <v>2217</v>
      </c>
      <c r="BB98" s="1660"/>
      <c r="BC98" s="1752">
        <v>1759</v>
      </c>
      <c r="BD98" s="1752">
        <v>1643</v>
      </c>
      <c r="BE98" s="1752">
        <v>2952</v>
      </c>
      <c r="BF98" s="1752">
        <v>3501</v>
      </c>
      <c r="BG98" s="1660"/>
      <c r="BH98" s="1752">
        <v>2680</v>
      </c>
      <c r="BI98" s="1603">
        <f>BD98*(1+BI99)</f>
        <v>1741.5800000000002</v>
      </c>
      <c r="BJ98" s="1603">
        <f>BE98*(1+BJ99)</f>
        <v>3040.56</v>
      </c>
      <c r="BK98" s="1603">
        <f>BF98*(1+BK99)</f>
        <v>3606.03</v>
      </c>
      <c r="BL98" s="1660"/>
      <c r="BM98" s="1603">
        <f>BH98*(1+BM99)</f>
        <v>2760.4</v>
      </c>
      <c r="BN98" s="1603">
        <f>BI98*(1+BN99)</f>
        <v>1793.8274000000001</v>
      </c>
      <c r="BO98" s="1603">
        <f>BJ98*(1+BO99)</f>
        <v>3131.7768000000001</v>
      </c>
      <c r="BP98" s="1603">
        <f>BK98*(1+BP99)</f>
        <v>3714.2109000000005</v>
      </c>
      <c r="BQ98" s="1577"/>
      <c r="BR98" s="1603">
        <f>BM98*(1+BR99)</f>
        <v>2843.212</v>
      </c>
      <c r="BS98" s="1603">
        <f>BN98*(1+BS99)</f>
        <v>1847.6422220000002</v>
      </c>
      <c r="BT98" s="1603">
        <f>BO98*(1+BT99)</f>
        <v>3225.7301040000002</v>
      </c>
      <c r="BU98" s="1603">
        <f>BP98*(1+BU99)</f>
        <v>3825.6372270000006</v>
      </c>
      <c r="BV98" s="1577"/>
      <c r="BW98" s="1603">
        <f>BR98*(1+BW99)</f>
        <v>2928.5083600000003</v>
      </c>
      <c r="BX98" s="1603">
        <f>BS98*(1+BX99)</f>
        <v>1903.0714886600003</v>
      </c>
      <c r="BY98" s="1603">
        <f>BT98*(1+BY99)</f>
        <v>3322.5020071200001</v>
      </c>
      <c r="BZ98" s="1603">
        <f>BU98*(1+BZ99)</f>
        <v>3940.4063438100006</v>
      </c>
      <c r="CA98" s="1577"/>
      <c r="CB98" s="1603">
        <f>BW98*(1+CB99)</f>
        <v>3016.3636108000005</v>
      </c>
      <c r="CC98" s="1603">
        <f>BX98*(1+CC99)</f>
        <v>1960.1636333198005</v>
      </c>
      <c r="CD98" s="1603">
        <f>BY98*(1+CD99)</f>
        <v>3422.1770673336005</v>
      </c>
      <c r="CE98" s="1603">
        <f>BZ98*(1+CE99)</f>
        <v>4058.6185341243008</v>
      </c>
      <c r="CF98" s="1577"/>
      <c r="CG98" s="1753">
        <f>CB98*(1+CG99)</f>
        <v>3106.8545191240005</v>
      </c>
      <c r="CH98" s="1753">
        <f>CC98*(1+CH99)</f>
        <v>2018.9685423193946</v>
      </c>
      <c r="CI98" s="1753">
        <f>CD98*(1+CI99)</f>
        <v>3524.8423793536085</v>
      </c>
      <c r="CJ98" s="1603">
        <f>CE98*(1+CJ99)</f>
        <v>4180.3770901480302</v>
      </c>
      <c r="CK98" s="1577"/>
      <c r="CL98" s="1603">
        <f>CG98*(1+CL99)</f>
        <v>3200.0601546977205</v>
      </c>
      <c r="CM98" s="1603">
        <f>CH98*(1+CM99)</f>
        <v>2079.5375985889764</v>
      </c>
      <c r="CN98" s="1603">
        <f>CI98*(1+CN99)</f>
        <v>3630.5876507342168</v>
      </c>
      <c r="CO98" s="1603">
        <f>CJ98*(1+CO99)</f>
        <v>4305.7884028524713</v>
      </c>
      <c r="CP98" s="2207"/>
      <c r="CQ98" s="1603">
        <f>CL98*(1+CQ99)</f>
        <v>3296.0619593386523</v>
      </c>
      <c r="CR98" s="1603">
        <f>CM98*(1+CR99)</f>
        <v>2141.9237265466459</v>
      </c>
      <c r="CS98" s="1603">
        <f>CN98*(1+CS99)</f>
        <v>3739.5052802562436</v>
      </c>
      <c r="CT98" s="1603">
        <f>CO98*(1+CT99)</f>
        <v>4434.9620549380452</v>
      </c>
      <c r="CU98" s="1577"/>
      <c r="CV98" s="1603">
        <f>CQ98*(1+CV99)</f>
        <v>3394.943818118812</v>
      </c>
      <c r="CW98" s="1603">
        <f>CR98*(1+CW99)</f>
        <v>2206.1814383430451</v>
      </c>
      <c r="CX98" s="1603">
        <f>CS98*(1+CX99)</f>
        <v>3851.6904386639312</v>
      </c>
      <c r="CY98" s="1603">
        <f>CT98*(1+CY99)</f>
        <v>4568.0109165861868</v>
      </c>
      <c r="CZ98" s="1577"/>
      <c r="DA98" s="1603">
        <f>CV98*(1+DA99)</f>
        <v>3496.7921326623764</v>
      </c>
      <c r="DB98" s="1603">
        <f>CW98*(1+DB99)</f>
        <v>2272.3668814933367</v>
      </c>
      <c r="DC98" s="1603">
        <f>CX98*(1+DC99)</f>
        <v>3967.2411518238491</v>
      </c>
      <c r="DD98" s="1603">
        <f>CY98*(1+DD99)</f>
        <v>4705.0512440837729</v>
      </c>
    </row>
    <row r="99" spans="1:109" hidden="1" outlineLevel="2">
      <c r="A99" s="1746" t="s">
        <v>676</v>
      </c>
      <c r="B99" s="1470"/>
      <c r="C99" s="1470"/>
      <c r="D99" s="1470"/>
      <c r="E99" s="1470"/>
      <c r="F99" s="1470"/>
      <c r="G99" s="1470"/>
      <c r="H99" s="1470"/>
      <c r="I99" s="1470"/>
      <c r="J99" s="1470"/>
      <c r="K99" s="1470"/>
      <c r="L99" s="1605"/>
      <c r="M99" s="1470"/>
      <c r="N99" s="1596">
        <f>N98/M98-1</f>
        <v>0.12310197869101969</v>
      </c>
      <c r="O99" s="1605">
        <v>0.03</v>
      </c>
      <c r="P99" s="1605">
        <v>0.03</v>
      </c>
      <c r="Q99" s="1605">
        <v>0.03</v>
      </c>
      <c r="R99" s="1596">
        <f t="shared" ref="R99:W99" si="148">R98/Q98-1</f>
        <v>3.0000000000000027E-2</v>
      </c>
      <c r="S99" s="1596">
        <f t="shared" si="148"/>
        <v>3.0000000000000027E-2</v>
      </c>
      <c r="T99" s="1596">
        <f t="shared" si="148"/>
        <v>3.0000000000000027E-2</v>
      </c>
      <c r="U99" s="1596">
        <f t="shared" si="148"/>
        <v>3.0000000000000027E-2</v>
      </c>
      <c r="V99" s="1596">
        <f t="shared" si="148"/>
        <v>3.0000000000000027E-2</v>
      </c>
      <c r="W99" s="1596">
        <f t="shared" si="148"/>
        <v>3.0000000000000027E-2</v>
      </c>
      <c r="X99" s="1605">
        <v>0.03</v>
      </c>
      <c r="Y99" s="1605">
        <v>0.03</v>
      </c>
      <c r="Z99" s="1605">
        <v>0.03</v>
      </c>
      <c r="AA99" s="1605">
        <v>0.03</v>
      </c>
      <c r="AB99" s="1605">
        <v>0.03</v>
      </c>
      <c r="AC99" s="1605">
        <v>0.03</v>
      </c>
      <c r="AD99" s="1605">
        <v>0.03</v>
      </c>
      <c r="AE99" s="1605">
        <v>0.03</v>
      </c>
      <c r="AF99" s="1605">
        <v>0.03</v>
      </c>
      <c r="AG99" s="1605">
        <v>0.03</v>
      </c>
      <c r="AH99" s="962"/>
      <c r="AI99" s="962"/>
      <c r="AJ99" s="962"/>
      <c r="AK99" s="962"/>
      <c r="AL99" s="962"/>
      <c r="AM99" s="1470"/>
      <c r="AN99" s="1470"/>
      <c r="AO99" s="1470"/>
      <c r="AP99" s="1470"/>
      <c r="AQ99" s="1470"/>
      <c r="AR99" s="1578"/>
      <c r="AS99" s="1470"/>
      <c r="AT99" s="1470"/>
      <c r="AU99" s="1470"/>
      <c r="AV99" s="1470"/>
      <c r="AW99" s="1660"/>
      <c r="AX99" s="1470"/>
      <c r="AY99" s="1470"/>
      <c r="AZ99" s="1470"/>
      <c r="BA99" s="1470"/>
      <c r="BB99" s="1660"/>
      <c r="BC99" s="1605"/>
      <c r="BD99" s="1737">
        <f>+BD98/AY98-1</f>
        <v>5.7952350289761645E-2</v>
      </c>
      <c r="BE99" s="1737">
        <f>+BE98/AZ98-1</f>
        <v>0.47158524426719839</v>
      </c>
      <c r="BF99" s="1737">
        <f>+BF98/BA98-1</f>
        <v>0.57916102841677941</v>
      </c>
      <c r="BG99" s="1660"/>
      <c r="BH99" s="1737">
        <f>+BH98/BC98-1</f>
        <v>0.52359295054007959</v>
      </c>
      <c r="BI99" s="1604">
        <v>0.06</v>
      </c>
      <c r="BJ99" s="1604">
        <v>0.03</v>
      </c>
      <c r="BK99" s="1604">
        <v>0.03</v>
      </c>
      <c r="BL99" s="1660"/>
      <c r="BM99" s="1604">
        <v>0.03</v>
      </c>
      <c r="BN99" s="1604">
        <v>0.03</v>
      </c>
      <c r="BO99" s="1604">
        <v>0.03</v>
      </c>
      <c r="BP99" s="1604">
        <v>0.03</v>
      </c>
      <c r="BQ99" s="1577"/>
      <c r="BR99" s="1604">
        <v>0.03</v>
      </c>
      <c r="BS99" s="1604">
        <v>0.03</v>
      </c>
      <c r="BT99" s="1604">
        <v>0.03</v>
      </c>
      <c r="BU99" s="1604">
        <v>0.03</v>
      </c>
      <c r="BV99" s="1577"/>
      <c r="BW99" s="1604">
        <v>0.03</v>
      </c>
      <c r="BX99" s="1604">
        <v>0.03</v>
      </c>
      <c r="BY99" s="1604">
        <v>0.03</v>
      </c>
      <c r="BZ99" s="1604">
        <v>0.03</v>
      </c>
      <c r="CA99" s="1577"/>
      <c r="CB99" s="1604">
        <v>0.03</v>
      </c>
      <c r="CC99" s="1604">
        <v>0.03</v>
      </c>
      <c r="CD99" s="1604">
        <v>0.03</v>
      </c>
      <c r="CE99" s="1604">
        <v>0.03</v>
      </c>
      <c r="CF99" s="1577"/>
      <c r="CG99" s="1459">
        <v>0.03</v>
      </c>
      <c r="CH99" s="1459">
        <v>0.03</v>
      </c>
      <c r="CI99" s="1459">
        <v>0.03</v>
      </c>
      <c r="CJ99" s="1604">
        <v>0.03</v>
      </c>
      <c r="CK99" s="1577"/>
      <c r="CL99" s="1602">
        <v>0.03</v>
      </c>
      <c r="CM99" s="1602">
        <v>0.03</v>
      </c>
      <c r="CN99" s="1602">
        <v>0.03</v>
      </c>
      <c r="CO99" s="1604">
        <v>0.03</v>
      </c>
      <c r="CP99" s="2207"/>
      <c r="CQ99" s="1602">
        <v>0.03</v>
      </c>
      <c r="CR99" s="1602">
        <v>0.03</v>
      </c>
      <c r="CS99" s="1602">
        <v>0.03</v>
      </c>
      <c r="CT99" s="1604">
        <v>0.03</v>
      </c>
      <c r="CU99" s="1577"/>
      <c r="CV99" s="1602">
        <v>0.03</v>
      </c>
      <c r="CW99" s="1602">
        <v>0.03</v>
      </c>
      <c r="CX99" s="1602">
        <v>0.03</v>
      </c>
      <c r="CY99" s="1604">
        <v>0.03</v>
      </c>
      <c r="CZ99" s="1577"/>
      <c r="DA99" s="1602">
        <v>0.03</v>
      </c>
      <c r="DB99" s="1602">
        <v>0.03</v>
      </c>
      <c r="DC99" s="1602">
        <v>0.03</v>
      </c>
      <c r="DD99" s="1604">
        <v>0.03</v>
      </c>
    </row>
    <row r="100" spans="1:109" hidden="1" outlineLevel="2">
      <c r="A100" s="1754"/>
      <c r="B100" s="1470"/>
      <c r="C100" s="1470"/>
      <c r="D100" s="1470"/>
      <c r="E100" s="1470"/>
      <c r="F100" s="1470"/>
      <c r="G100" s="1470"/>
      <c r="H100" s="1470"/>
      <c r="I100" s="1470"/>
      <c r="J100" s="1470"/>
      <c r="K100" s="1470"/>
      <c r="L100" s="1470"/>
      <c r="M100" s="1470"/>
      <c r="N100" s="1470"/>
      <c r="O100" s="1470"/>
      <c r="P100" s="1470"/>
      <c r="Q100" s="1470"/>
      <c r="R100" s="1470"/>
      <c r="S100" s="1470"/>
      <c r="T100" s="1470"/>
      <c r="U100" s="1470"/>
      <c r="V100" s="1470"/>
      <c r="W100" s="1470"/>
      <c r="X100" s="1470"/>
      <c r="Y100" s="1470"/>
      <c r="Z100" s="1470"/>
      <c r="AA100" s="1470"/>
      <c r="AB100" s="1470"/>
      <c r="AC100" s="1470"/>
      <c r="AD100" s="1470"/>
      <c r="AE100" s="1470"/>
      <c r="AF100" s="1470"/>
      <c r="AG100" s="1470"/>
      <c r="AH100" s="962"/>
      <c r="AI100" s="962"/>
      <c r="AJ100" s="962"/>
      <c r="AK100" s="962"/>
      <c r="AL100" s="962"/>
      <c r="AM100" s="1470"/>
      <c r="AN100" s="1470"/>
      <c r="AO100" s="1470"/>
      <c r="AP100" s="1470"/>
      <c r="AQ100" s="1470"/>
      <c r="AR100" s="1578"/>
      <c r="AS100" s="1470"/>
      <c r="AT100" s="1470"/>
      <c r="AU100" s="1470"/>
      <c r="AV100" s="1470"/>
      <c r="AW100" s="1660"/>
      <c r="AX100" s="1470"/>
      <c r="AY100" s="1470"/>
      <c r="AZ100" s="1470"/>
      <c r="BA100" s="1470"/>
      <c r="BB100" s="1660"/>
      <c r="BC100" s="1470"/>
      <c r="BD100" s="1470"/>
      <c r="BE100" s="1470"/>
      <c r="BF100" s="1470"/>
      <c r="BG100" s="1660"/>
      <c r="BH100" s="1470"/>
      <c r="BI100" s="1470"/>
      <c r="BJ100" s="1470"/>
      <c r="BK100" s="1470"/>
      <c r="BL100" s="1660"/>
      <c r="BM100" s="1577"/>
      <c r="BN100" s="1577"/>
      <c r="BO100" s="1577"/>
      <c r="BP100" s="1577"/>
      <c r="BQ100" s="1577"/>
      <c r="BR100" s="1577"/>
      <c r="BS100" s="1577"/>
      <c r="BT100" s="1577"/>
      <c r="BU100" s="1577"/>
      <c r="BV100" s="1577"/>
      <c r="BW100" s="1577"/>
      <c r="BX100" s="1577"/>
      <c r="BY100" s="1577"/>
      <c r="BZ100" s="1577"/>
      <c r="CA100" s="1577"/>
      <c r="CB100" s="1577"/>
      <c r="CC100" s="1577"/>
      <c r="CD100" s="1577"/>
      <c r="CE100" s="1577"/>
      <c r="CF100" s="1577"/>
      <c r="CG100" s="1577"/>
      <c r="CH100" s="1577"/>
      <c r="CI100" s="1577"/>
      <c r="CJ100" s="1577"/>
      <c r="CK100" s="1577"/>
      <c r="CP100" s="2207"/>
      <c r="CQ100" s="1577"/>
      <c r="CR100" s="1577"/>
      <c r="CS100" s="1577"/>
      <c r="CT100" s="1577"/>
      <c r="CU100" s="1577"/>
      <c r="CZ100" s="1577"/>
      <c r="DA100" s="1577"/>
      <c r="DB100" s="1577"/>
      <c r="DC100" s="1577"/>
      <c r="DD100" s="1577"/>
    </row>
    <row r="101" spans="1:109" hidden="1" outlineLevel="2">
      <c r="A101" s="1747" t="s">
        <v>23</v>
      </c>
      <c r="B101" s="1470"/>
      <c r="C101" s="1470"/>
      <c r="D101" s="1470"/>
      <c r="E101" s="1470"/>
      <c r="F101" s="1470"/>
      <c r="G101" s="1470"/>
      <c r="H101" s="1470"/>
      <c r="I101" s="1470"/>
      <c r="J101" s="1470"/>
      <c r="K101" s="1470"/>
      <c r="L101" s="1607"/>
      <c r="M101" s="1607">
        <f>M98/M84/12</f>
        <v>22.480445092282739</v>
      </c>
      <c r="N101" s="1607">
        <f t="shared" ref="N101:V101" si="149">N98/N84/12</f>
        <v>22.739364759263619</v>
      </c>
      <c r="O101" s="1607">
        <f t="shared" si="149"/>
        <v>23.421545702041527</v>
      </c>
      <c r="P101" s="1607">
        <f t="shared" si="149"/>
        <v>24.124192073102773</v>
      </c>
      <c r="Q101" s="1607">
        <f t="shared" si="149"/>
        <v>24.601898846827581</v>
      </c>
      <c r="R101" s="1607">
        <f>R98/R84/12</f>
        <v>25.089065160626149</v>
      </c>
      <c r="S101" s="1607">
        <f t="shared" si="149"/>
        <v>25.841737115444928</v>
      </c>
      <c r="T101" s="1607">
        <f>T98/T84/12</f>
        <v>26.616989228908281</v>
      </c>
      <c r="U101" s="1607">
        <f t="shared" si="149"/>
        <v>27.415498905775532</v>
      </c>
      <c r="V101" s="1607">
        <f t="shared" si="149"/>
        <v>28.237963872948797</v>
      </c>
      <c r="W101" s="1607">
        <f t="shared" ref="W101" si="150">W98/W84/12</f>
        <v>29.085102789137263</v>
      </c>
      <c r="X101" s="1607">
        <f t="shared" ref="X101:AC101" si="151">X98/X84/12</f>
        <v>29.957655872811376</v>
      </c>
      <c r="Y101" s="1607">
        <f t="shared" si="151"/>
        <v>30.856385548995718</v>
      </c>
      <c r="Z101" s="1607">
        <f t="shared" si="151"/>
        <v>31.782077115465594</v>
      </c>
      <c r="AA101" s="1607">
        <f t="shared" si="151"/>
        <v>32.735539428929563</v>
      </c>
      <c r="AB101" s="1607">
        <f t="shared" si="151"/>
        <v>33.717605611797445</v>
      </c>
      <c r="AC101" s="1607">
        <f t="shared" si="151"/>
        <v>34.729133780151365</v>
      </c>
      <c r="AD101" s="1607">
        <f>AD98/AD84/12</f>
        <v>35.771007793555917</v>
      </c>
      <c r="AE101" s="1607">
        <f>AE98/AE84/12</f>
        <v>36.84413802736259</v>
      </c>
      <c r="AF101" s="1607">
        <f>AF98/AF84/12</f>
        <v>37.949462168183473</v>
      </c>
      <c r="AG101" s="1607">
        <f>AG98/AG84/12</f>
        <v>39.087946033228981</v>
      </c>
      <c r="AH101" s="962"/>
      <c r="AI101" s="962"/>
      <c r="AJ101" s="962"/>
      <c r="AK101" s="962"/>
      <c r="AL101" s="962"/>
      <c r="AM101" s="1470"/>
      <c r="AN101" s="1470"/>
      <c r="AO101" s="1470"/>
      <c r="AP101" s="1470"/>
      <c r="AQ101" s="1470"/>
      <c r="AR101" s="1578"/>
      <c r="AS101" s="1470"/>
      <c r="AT101" s="1470"/>
      <c r="AU101" s="1470"/>
      <c r="AV101" s="1470"/>
      <c r="AW101" s="1660"/>
      <c r="AX101" s="1470"/>
      <c r="AY101" s="1607">
        <f>AY98/AY84/3</f>
        <v>19.363606892596195</v>
      </c>
      <c r="AZ101" s="1607">
        <f>AZ98/AZ84/3</f>
        <v>19.118600129617626</v>
      </c>
      <c r="BA101" s="1607">
        <f>BA98/BA84/3</f>
        <v>20.364297721072504</v>
      </c>
      <c r="BB101" s="1660"/>
      <c r="BC101" s="1607">
        <f>BC98/BC84/3</f>
        <v>17.140407121210643</v>
      </c>
      <c r="BD101" s="1607">
        <f>BD98/BD84/3</f>
        <v>17.462746848627848</v>
      </c>
      <c r="BE101" s="1607">
        <f>BE98/BE84/3</f>
        <v>25.626112244455054</v>
      </c>
      <c r="BF101" s="1607">
        <f>BF98/BF84/3</f>
        <v>27.680922223012882</v>
      </c>
      <c r="BG101" s="1660"/>
      <c r="BH101" s="1607">
        <f>BH98/BH84/3</f>
        <v>20.845648859711893</v>
      </c>
      <c r="BI101" s="1607">
        <f>BI98/BI84/3</f>
        <v>16.827737872314106</v>
      </c>
      <c r="BJ101" s="1607">
        <f>BJ98/BJ84/3</f>
        <v>24.439718159063613</v>
      </c>
      <c r="BK101" s="1607">
        <f>BK98/BK84/3</f>
        <v>27.680922223012882</v>
      </c>
      <c r="BL101" s="1660"/>
      <c r="BM101" s="1607">
        <f>BM98/BM84/3</f>
        <v>21.471018325503252</v>
      </c>
      <c r="BN101" s="1607">
        <f>BN98/BN84/3</f>
        <v>17.332570008483529</v>
      </c>
      <c r="BO101" s="1607">
        <f>BO98/BO84/3</f>
        <v>25.172909703835526</v>
      </c>
      <c r="BP101" s="1607">
        <f>BP98/BP84/3</f>
        <v>28.511349889703272</v>
      </c>
      <c r="BQ101" s="1577"/>
      <c r="BR101" s="1607">
        <f>BR98/BR84/3</f>
        <v>22.11514887526835</v>
      </c>
      <c r="BS101" s="1607">
        <f>BS98/BS84/3</f>
        <v>17.852547108738037</v>
      </c>
      <c r="BT101" s="1607">
        <f>BT98/BT84/3</f>
        <v>25.92809699495059</v>
      </c>
      <c r="BU101" s="1607">
        <f>BU98/BU84/3</f>
        <v>29.366690386394371</v>
      </c>
      <c r="BV101" s="1577"/>
      <c r="BW101" s="1607">
        <f>BW98/BW84/3</f>
        <v>22.553072615372674</v>
      </c>
      <c r="BX101" s="1607">
        <f>BX98/BX84/3</f>
        <v>18.206062893069483</v>
      </c>
      <c r="BY101" s="1607">
        <f>BY98/BY84/3</f>
        <v>26.441524658216938</v>
      </c>
      <c r="BZ101" s="1607">
        <f>BZ98/BZ84/3</f>
        <v>29.948209007907135</v>
      </c>
      <c r="CA101" s="1577"/>
      <c r="CB101" s="1607">
        <f>CB98/CB84/3</f>
        <v>22.999668112706786</v>
      </c>
      <c r="CC101" s="1607">
        <f>CC98/CC84/3</f>
        <v>18.56657898996195</v>
      </c>
      <c r="CD101" s="1607">
        <f>CD98/CD84/3</f>
        <v>26.965119205904401</v>
      </c>
      <c r="CE101" s="1607">
        <f>CE98/CE84/3</f>
        <v>30.541242849647873</v>
      </c>
      <c r="CF101" s="1577"/>
      <c r="CG101" s="1764">
        <f>CG98/CG84/3</f>
        <v>23.68965815608799</v>
      </c>
      <c r="CH101" s="1764">
        <f>CH98/CH84/3</f>
        <v>19.123576359660806</v>
      </c>
      <c r="CI101" s="1764">
        <f>CI98/CI84/3</f>
        <v>27.774072782081536</v>
      </c>
      <c r="CJ101" s="1607">
        <f>CJ98/CJ84/3</f>
        <v>31.457480135137306</v>
      </c>
      <c r="CK101" s="1577"/>
      <c r="CL101" s="1607">
        <f>CL98/CL84/3</f>
        <v>24.40034790077063</v>
      </c>
      <c r="CM101" s="1607">
        <f>CM98/CM84/3</f>
        <v>19.697283650450633</v>
      </c>
      <c r="CN101" s="1607">
        <f>CN98/CN84/3</f>
        <v>28.607294965543982</v>
      </c>
      <c r="CO101" s="1607">
        <f>CO98/CO84/3</f>
        <v>32.401204539191433</v>
      </c>
      <c r="CP101" s="2207"/>
      <c r="CQ101" s="1607">
        <f>CQ98/CQ84/3</f>
        <v>25.13235833779375</v>
      </c>
      <c r="CR101" s="1607">
        <f>CR98/CR84/3</f>
        <v>20.288202159964154</v>
      </c>
      <c r="CS101" s="1607">
        <f>CS98/CS84/3</f>
        <v>29.465513814510302</v>
      </c>
      <c r="CT101" s="1607">
        <f>CT98/CT84/3</f>
        <v>33.373240675367171</v>
      </c>
      <c r="CU101" s="1577"/>
      <c r="CV101" s="1607">
        <f>CV98/CV84/3</f>
        <v>25.886329087927564</v>
      </c>
      <c r="CW101" s="1607">
        <f>CW98/CW84/3</f>
        <v>20.896848224763076</v>
      </c>
      <c r="CX101" s="1607">
        <f>CX98/CX84/3</f>
        <v>30.349479228945615</v>
      </c>
      <c r="CY101" s="1607">
        <f>CY98/CY84/3</f>
        <v>34.374437895628184</v>
      </c>
      <c r="CZ101" s="1577"/>
      <c r="DA101" s="1607">
        <f>DA98/DA84/3</f>
        <v>26.662918960565392</v>
      </c>
      <c r="DB101" s="1607">
        <f>DB98/DB84/3</f>
        <v>21.523753671505972</v>
      </c>
      <c r="DC101" s="1607">
        <f>DC98/DC84/3</f>
        <v>31.259963605813983</v>
      </c>
      <c r="DD101" s="1607">
        <f>DD98/DD84/3</f>
        <v>35.40567103249704</v>
      </c>
    </row>
    <row r="102" spans="1:109" hidden="1" outlineLevel="2">
      <c r="A102" s="1747" t="s">
        <v>24</v>
      </c>
      <c r="B102" s="1470"/>
      <c r="C102" s="1470"/>
      <c r="D102" s="1470"/>
      <c r="E102" s="1470"/>
      <c r="F102" s="1470"/>
      <c r="G102" s="1470"/>
      <c r="H102" s="1470"/>
      <c r="I102" s="1470"/>
      <c r="J102" s="1470"/>
      <c r="K102" s="1470"/>
      <c r="L102" s="1578"/>
      <c r="M102" s="1578">
        <f>M98/M89</f>
        <v>0.88663967611336036</v>
      </c>
      <c r="N102" s="1578">
        <f t="shared" ref="N102:V102" si="152">N98/N89</f>
        <v>0.90412117063432096</v>
      </c>
      <c r="O102" s="1578">
        <f t="shared" si="152"/>
        <v>0.92043120096323738</v>
      </c>
      <c r="P102" s="1578">
        <f t="shared" si="152"/>
        <v>1.0419245687891259</v>
      </c>
      <c r="Q102" s="1578">
        <f t="shared" si="152"/>
        <v>1.0625567384681183</v>
      </c>
      <c r="R102" s="1578">
        <f>R98/R89</f>
        <v>1.0835974659625367</v>
      </c>
      <c r="S102" s="1578">
        <f t="shared" si="152"/>
        <v>1.1161053899414126</v>
      </c>
      <c r="T102" s="1578">
        <f>T98/T89</f>
        <v>1.1495885516396551</v>
      </c>
      <c r="U102" s="1578">
        <f t="shared" si="152"/>
        <v>1.6904677787567937</v>
      </c>
      <c r="V102" s="1578">
        <f t="shared" si="152"/>
        <v>1.7411818121194973</v>
      </c>
      <c r="W102" s="1578">
        <f t="shared" ref="W102" si="153">W98/W89</f>
        <v>1.7934172664830825</v>
      </c>
      <c r="X102" s="1578">
        <f t="shared" ref="X102:AC102" si="154">X98/X89</f>
        <v>1.8472197844775748</v>
      </c>
      <c r="Y102" s="1578">
        <f t="shared" si="154"/>
        <v>1.902636378011902</v>
      </c>
      <c r="Z102" s="1578">
        <f t="shared" si="154"/>
        <v>1.9597154693522592</v>
      </c>
      <c r="AA102" s="1578">
        <f t="shared" si="154"/>
        <v>2.0185069334328269</v>
      </c>
      <c r="AB102" s="1578">
        <f t="shared" si="154"/>
        <v>2.0790621414358119</v>
      </c>
      <c r="AC102" s="1578">
        <f t="shared" si="154"/>
        <v>2.1414340056788861</v>
      </c>
      <c r="AD102" s="1578">
        <f>AD98/AD89</f>
        <v>2.2056770258492526</v>
      </c>
      <c r="AE102" s="1578">
        <f>AE98/AE89</f>
        <v>2.2718473366247305</v>
      </c>
      <c r="AF102" s="1578">
        <f>AF98/AF89</f>
        <v>2.3400027567234725</v>
      </c>
      <c r="AG102" s="1578">
        <f>AG98/AG89</f>
        <v>2.4102028394251769</v>
      </c>
      <c r="AH102" s="962"/>
      <c r="AI102" s="962"/>
      <c r="AJ102" s="962"/>
      <c r="AK102" s="962"/>
      <c r="AL102" s="962"/>
      <c r="AM102" s="1470"/>
      <c r="AN102" s="1470"/>
      <c r="AO102" s="1470"/>
      <c r="AP102" s="1470"/>
      <c r="AQ102" s="1470"/>
      <c r="AR102" s="1578"/>
      <c r="AS102" s="1470"/>
      <c r="AT102" s="1470"/>
      <c r="AU102" s="1470"/>
      <c r="AV102" s="1470"/>
      <c r="AW102" s="1660"/>
      <c r="AX102" s="1470"/>
      <c r="AY102" s="1578">
        <f>AY98/AY89</f>
        <v>0.84540010887316275</v>
      </c>
      <c r="AZ102" s="1578">
        <f>AZ98/AZ89</f>
        <v>0.8121457489878543</v>
      </c>
      <c r="BA102" s="1578">
        <f>BA98/BA89</f>
        <v>0.78840682788051208</v>
      </c>
      <c r="BB102" s="1660"/>
      <c r="BC102" s="1578">
        <f>BC98/BC89</f>
        <v>0.81322237632917249</v>
      </c>
      <c r="BD102" s="1578">
        <f>BD98/BD89</f>
        <v>0.85483870967741937</v>
      </c>
      <c r="BE102" s="1578">
        <f>BE98/BE89</f>
        <v>0.91591684765746195</v>
      </c>
      <c r="BF102" s="1578">
        <f>BF98/BF89</f>
        <v>0.91962174940898345</v>
      </c>
      <c r="BG102" s="1660"/>
      <c r="BH102" s="1578">
        <f>BH98/BH89</f>
        <v>0.9008403361344538</v>
      </c>
      <c r="BI102" s="1578">
        <f>BI98/BI89</f>
        <v>0.83900836320191152</v>
      </c>
      <c r="BJ102" s="1578">
        <f>BJ98/BJ89</f>
        <v>0.89847081246398652</v>
      </c>
      <c r="BK102" s="1578">
        <f>BK98/BK89</f>
        <v>0.94721040189125305</v>
      </c>
      <c r="BL102" s="1660"/>
      <c r="BM102" s="1578">
        <f>BM98/BM89</f>
        <v>0.92786554621848738</v>
      </c>
      <c r="BN102" s="1578">
        <f>BN98/BN89</f>
        <v>0.86417861409796892</v>
      </c>
      <c r="BO102" s="1578">
        <f>BO98/BO89</f>
        <v>0.90727934984108449</v>
      </c>
      <c r="BP102" s="1578">
        <f>BP98/BP89</f>
        <v>0.95649677838038305</v>
      </c>
      <c r="BQ102" s="1577"/>
      <c r="BR102" s="1578">
        <f>BR98/BR89</f>
        <v>1.2742686834733894</v>
      </c>
      <c r="BS102" s="1578">
        <f>BS98/BS89</f>
        <v>1.1868052966945439</v>
      </c>
      <c r="BT102" s="1578">
        <f>BT98/BT89</f>
        <v>0.91617424542776171</v>
      </c>
      <c r="BU102" s="1578">
        <f>BU98/BU89</f>
        <v>0.96587419777626915</v>
      </c>
      <c r="BV102" s="1577"/>
      <c r="BW102" s="1578">
        <f>BW98/BW89</f>
        <v>1.2995017267104862</v>
      </c>
      <c r="BX102" s="1578">
        <f>BX98/BX89</f>
        <v>1.2103063916785946</v>
      </c>
      <c r="BY102" s="1578">
        <f>BY98/BY89</f>
        <v>0.93431630969365798</v>
      </c>
      <c r="BZ102" s="1578">
        <f>BZ98/BZ89</f>
        <v>0.98500041951441308</v>
      </c>
      <c r="CA102" s="1577"/>
      <c r="CB102" s="1578">
        <f>CB98/CB89</f>
        <v>1.3252344341700999</v>
      </c>
      <c r="CC102" s="1578">
        <f>CC98/CC89</f>
        <v>1.2342728548801509</v>
      </c>
      <c r="CD102" s="1578">
        <f>CD98/CD89</f>
        <v>0.95281762275689885</v>
      </c>
      <c r="CE102" s="1578">
        <f>CE98/CE89</f>
        <v>1.0045053783166789</v>
      </c>
      <c r="CF102" s="1577"/>
      <c r="CG102" s="1765">
        <f>CG98/CG89</f>
        <v>1.364991467195203</v>
      </c>
      <c r="CH102" s="1765">
        <f>CH98/CH89</f>
        <v>1.2713010405265555</v>
      </c>
      <c r="CI102" s="1765">
        <f>CI98/CI89</f>
        <v>0.98140215143960574</v>
      </c>
      <c r="CJ102" s="1578">
        <f>CJ98/CJ89</f>
        <v>1.0346405396661793</v>
      </c>
      <c r="CK102" s="1577"/>
      <c r="CL102" s="1578">
        <f>CL98/CL89</f>
        <v>1.405941211211059</v>
      </c>
      <c r="CM102" s="1578">
        <f>CM98/CM89</f>
        <v>1.3094400717423522</v>
      </c>
      <c r="CN102" s="1578">
        <f>CN98/CN89</f>
        <v>1.0108442159827939</v>
      </c>
      <c r="CO102" s="1578">
        <f>CO98/CO89</f>
        <v>1.0656797558561646</v>
      </c>
      <c r="CP102" s="2207"/>
      <c r="CQ102" s="1578">
        <f>CQ98/CQ89</f>
        <v>1.9837252706128643</v>
      </c>
      <c r="CR102" s="1578">
        <f>CR98/CR89</f>
        <v>1.9834165792567986</v>
      </c>
      <c r="CS102" s="1578">
        <f>CS98/CS89</f>
        <v>1.5311316800915853</v>
      </c>
      <c r="CT102" s="1578">
        <f>CT98/CT89</f>
        <v>1.5459861246927458</v>
      </c>
      <c r="CU102" s="1577"/>
      <c r="CV102" s="1578">
        <f>CV98/CV89</f>
        <v>2.0432370287312502</v>
      </c>
      <c r="CW102" s="1578">
        <f>CW98/CW89</f>
        <v>2.0429190766345027</v>
      </c>
      <c r="CX102" s="1578">
        <f>CX98/CX89</f>
        <v>1.5770656304943329</v>
      </c>
      <c r="CY102" s="1578">
        <f>CY98/CY89</f>
        <v>1.5923657084335283</v>
      </c>
      <c r="CZ102" s="1577"/>
      <c r="DA102" s="1578">
        <f>DA98/DA89</f>
        <v>2.1045341395931878</v>
      </c>
      <c r="DB102" s="1578">
        <f>DB98/DB89</f>
        <v>2.1042066489335376</v>
      </c>
      <c r="DC102" s="1578">
        <f>DC98/DC89</f>
        <v>1.6243775994091629</v>
      </c>
      <c r="DD102" s="1578">
        <f>DD98/DD89</f>
        <v>1.6401366796865342</v>
      </c>
    </row>
    <row r="103" spans="1:109" hidden="1" outlineLevel="2">
      <c r="A103" s="1747" t="s">
        <v>25</v>
      </c>
      <c r="B103" s="1470"/>
      <c r="C103" s="1470"/>
      <c r="D103" s="1470"/>
      <c r="E103" s="1470"/>
      <c r="F103" s="1470"/>
      <c r="G103" s="1470"/>
      <c r="H103" s="1470"/>
      <c r="I103" s="1470"/>
      <c r="J103" s="1470"/>
      <c r="K103" s="1470"/>
      <c r="L103" s="1605"/>
      <c r="M103" s="1605">
        <v>0.6</v>
      </c>
      <c r="N103" s="1605">
        <v>0.6</v>
      </c>
      <c r="O103" s="1605">
        <v>0.6</v>
      </c>
      <c r="P103" s="1605">
        <v>0.6</v>
      </c>
      <c r="Q103" s="1605">
        <v>0.6</v>
      </c>
      <c r="R103" s="1605">
        <v>0.6</v>
      </c>
      <c r="S103" s="1605">
        <v>0.6</v>
      </c>
      <c r="T103" s="1605">
        <v>0.6</v>
      </c>
      <c r="U103" s="1605">
        <v>0.6</v>
      </c>
      <c r="V103" s="1605">
        <v>0.6</v>
      </c>
      <c r="W103" s="1605">
        <v>0.6</v>
      </c>
      <c r="X103" s="1605">
        <v>0.6</v>
      </c>
      <c r="Y103" s="1605">
        <v>0.6</v>
      </c>
      <c r="Z103" s="1605">
        <v>0.6</v>
      </c>
      <c r="AA103" s="1605">
        <v>0.6</v>
      </c>
      <c r="AB103" s="1605">
        <v>0.6</v>
      </c>
      <c r="AC103" s="1605">
        <v>0.6</v>
      </c>
      <c r="AD103" s="1605">
        <v>0.6</v>
      </c>
      <c r="AE103" s="1605">
        <v>0.6</v>
      </c>
      <c r="AF103" s="1605">
        <v>0.6</v>
      </c>
      <c r="AG103" s="1605">
        <v>0.6</v>
      </c>
      <c r="AH103" s="962"/>
      <c r="AI103" s="962"/>
      <c r="AJ103" s="962"/>
      <c r="AK103" s="962"/>
      <c r="AL103" s="962"/>
      <c r="AM103" s="1470"/>
      <c r="AN103" s="1470"/>
      <c r="AO103" s="1470"/>
      <c r="AP103" s="1470"/>
      <c r="AQ103" s="1470"/>
      <c r="AR103" s="1578"/>
      <c r="AS103" s="1470"/>
      <c r="AT103" s="1470"/>
      <c r="AU103" s="1470"/>
      <c r="AV103" s="1470"/>
      <c r="AW103" s="1660"/>
      <c r="AX103" s="1470"/>
      <c r="AY103" s="1605">
        <v>0.6</v>
      </c>
      <c r="AZ103" s="1605">
        <v>0.6</v>
      </c>
      <c r="BA103" s="1605">
        <v>0.6</v>
      </c>
      <c r="BB103" s="1660"/>
      <c r="BC103" s="1605">
        <v>0.6</v>
      </c>
      <c r="BD103" s="1605">
        <v>0.6</v>
      </c>
      <c r="BE103" s="1605">
        <v>0.6</v>
      </c>
      <c r="BF103" s="1605">
        <v>0.6</v>
      </c>
      <c r="BG103" s="1660"/>
      <c r="BH103" s="1605">
        <v>0.6</v>
      </c>
      <c r="BI103" s="1605">
        <v>0.6</v>
      </c>
      <c r="BJ103" s="1605">
        <v>0.6</v>
      </c>
      <c r="BK103" s="1605">
        <v>0.6</v>
      </c>
      <c r="BL103" s="1660"/>
      <c r="BM103" s="1605">
        <v>0.6</v>
      </c>
      <c r="BN103" s="1605">
        <v>0.6</v>
      </c>
      <c r="BO103" s="1605">
        <v>0.6</v>
      </c>
      <c r="BP103" s="1605">
        <v>0.6</v>
      </c>
      <c r="BQ103" s="1577"/>
      <c r="BR103" s="1605">
        <v>0.6</v>
      </c>
      <c r="BS103" s="1605">
        <v>0.6</v>
      </c>
      <c r="BT103" s="1605">
        <v>0.6</v>
      </c>
      <c r="BU103" s="1605">
        <v>0.6</v>
      </c>
      <c r="BV103" s="1577"/>
      <c r="BW103" s="1605">
        <v>0.6</v>
      </c>
      <c r="BX103" s="1605">
        <v>0.6</v>
      </c>
      <c r="BY103" s="1605">
        <v>0.6</v>
      </c>
      <c r="BZ103" s="1605">
        <v>0.6</v>
      </c>
      <c r="CA103" s="1577"/>
      <c r="CB103" s="1605">
        <v>0.6</v>
      </c>
      <c r="CC103" s="1605">
        <v>0.6</v>
      </c>
      <c r="CD103" s="1605">
        <v>0.6</v>
      </c>
      <c r="CE103" s="1605">
        <v>0.6</v>
      </c>
      <c r="CF103" s="1577"/>
      <c r="CG103" s="1413">
        <v>0.6</v>
      </c>
      <c r="CH103" s="1413">
        <v>0.6</v>
      </c>
      <c r="CI103" s="1413">
        <v>0.6</v>
      </c>
      <c r="CJ103" s="1605">
        <v>0.6</v>
      </c>
      <c r="CK103" s="1577"/>
      <c r="CL103" s="1600">
        <v>0.6</v>
      </c>
      <c r="CM103" s="1600">
        <v>0.6</v>
      </c>
      <c r="CN103" s="1600">
        <v>0.6</v>
      </c>
      <c r="CO103" s="1605">
        <v>0.6</v>
      </c>
      <c r="CP103" s="2207"/>
      <c r="CQ103" s="1600">
        <v>0.6</v>
      </c>
      <c r="CR103" s="1600">
        <v>0.6</v>
      </c>
      <c r="CS103" s="1600">
        <v>0.6</v>
      </c>
      <c r="CT103" s="1605">
        <v>0.6</v>
      </c>
      <c r="CU103" s="1577"/>
      <c r="CV103" s="1600">
        <v>0.6</v>
      </c>
      <c r="CW103" s="1600">
        <v>0.6</v>
      </c>
      <c r="CX103" s="1600">
        <v>0.6</v>
      </c>
      <c r="CY103" s="1605">
        <v>0.6</v>
      </c>
      <c r="CZ103" s="1577"/>
      <c r="DA103" s="1600">
        <v>0.6</v>
      </c>
      <c r="DB103" s="1600">
        <v>0.6</v>
      </c>
      <c r="DC103" s="1600">
        <v>0.6</v>
      </c>
      <c r="DD103" s="1605">
        <v>0.6</v>
      </c>
    </row>
    <row r="104" spans="1:109" hidden="1" outlineLevel="2">
      <c r="A104" s="1747" t="s">
        <v>26</v>
      </c>
      <c r="B104" s="1470"/>
      <c r="C104" s="1470"/>
      <c r="D104" s="1470"/>
      <c r="E104" s="1470"/>
      <c r="F104" s="1470"/>
      <c r="G104" s="1470"/>
      <c r="H104" s="1470"/>
      <c r="I104" s="1470"/>
      <c r="J104" s="1470"/>
      <c r="K104" s="1470"/>
      <c r="L104" s="1608"/>
      <c r="M104" s="1608">
        <f t="shared" ref="M104:Y104" si="155">+M89*M103</f>
        <v>6669</v>
      </c>
      <c r="N104" s="1608">
        <f t="shared" si="155"/>
        <v>7345.1459999999997</v>
      </c>
      <c r="O104" s="1608">
        <f t="shared" si="155"/>
        <v>7431.4398000000001</v>
      </c>
      <c r="P104" s="1608">
        <f t="shared" si="155"/>
        <v>6761.8454759999995</v>
      </c>
      <c r="Q104" s="1608">
        <f t="shared" si="155"/>
        <v>6829.46393076</v>
      </c>
      <c r="R104" s="1608">
        <f>+R89*R103</f>
        <v>6897.7585700676</v>
      </c>
      <c r="S104" s="1608">
        <f t="shared" si="155"/>
        <v>6897.7585700676</v>
      </c>
      <c r="T104" s="1608">
        <f>+T89*T103</f>
        <v>6897.7585700676</v>
      </c>
      <c r="U104" s="1608">
        <f t="shared" si="155"/>
        <v>4831.486240249008</v>
      </c>
      <c r="V104" s="1608">
        <f t="shared" si="155"/>
        <v>4831.486240249008</v>
      </c>
      <c r="W104" s="1608">
        <f t="shared" ref="W104" si="156">+W89*W103</f>
        <v>4831.486240249008</v>
      </c>
      <c r="X104" s="1608">
        <f t="shared" si="155"/>
        <v>4831.486240249008</v>
      </c>
      <c r="Y104" s="1608">
        <f t="shared" si="155"/>
        <v>4831.486240249008</v>
      </c>
      <c r="Z104" s="1608">
        <f t="shared" ref="Z104:AE104" si="157">+Z89*Z103</f>
        <v>4831.486240249008</v>
      </c>
      <c r="AA104" s="1608">
        <f t="shared" si="157"/>
        <v>4831.486240249008</v>
      </c>
      <c r="AB104" s="1608">
        <f t="shared" si="157"/>
        <v>4831.486240249008</v>
      </c>
      <c r="AC104" s="1608">
        <f t="shared" si="157"/>
        <v>4831.486240249008</v>
      </c>
      <c r="AD104" s="1608">
        <f t="shared" si="157"/>
        <v>4831.486240249008</v>
      </c>
      <c r="AE104" s="1608">
        <f t="shared" si="157"/>
        <v>4831.486240249008</v>
      </c>
      <c r="AF104" s="1608">
        <f>+AF89*AF103</f>
        <v>4831.486240249008</v>
      </c>
      <c r="AG104" s="1608">
        <f>+AG89*AG103</f>
        <v>4831.486240249008</v>
      </c>
      <c r="AH104" s="962"/>
      <c r="AI104" s="962"/>
      <c r="AJ104" s="962"/>
      <c r="AK104" s="962"/>
      <c r="AL104" s="962"/>
      <c r="AM104" s="1470"/>
      <c r="AN104" s="1470"/>
      <c r="AO104" s="1470"/>
      <c r="AP104" s="1470"/>
      <c r="AQ104" s="1470"/>
      <c r="AR104" s="1578"/>
      <c r="AS104" s="1470"/>
      <c r="AT104" s="1470"/>
      <c r="AU104" s="1470"/>
      <c r="AV104" s="1470"/>
      <c r="AW104" s="1660"/>
      <c r="AX104" s="1470"/>
      <c r="AY104" s="1608">
        <f t="shared" ref="AY104:BK104" si="158">+AY89*AY103</f>
        <v>1102.2</v>
      </c>
      <c r="AZ104" s="1608">
        <f t="shared" si="158"/>
        <v>1482</v>
      </c>
      <c r="BA104" s="1608">
        <f t="shared" si="158"/>
        <v>1687.2</v>
      </c>
      <c r="BB104" s="1660"/>
      <c r="BC104" s="1608">
        <f t="shared" si="158"/>
        <v>1297.8</v>
      </c>
      <c r="BD104" s="1608">
        <f t="shared" si="158"/>
        <v>1153.2</v>
      </c>
      <c r="BE104" s="1608">
        <f t="shared" si="158"/>
        <v>1933.8</v>
      </c>
      <c r="BF104" s="1608">
        <f t="shared" si="158"/>
        <v>2284.1999999999998</v>
      </c>
      <c r="BG104" s="1660"/>
      <c r="BH104" s="1608">
        <f t="shared" si="158"/>
        <v>1785</v>
      </c>
      <c r="BI104" s="1608">
        <f t="shared" si="158"/>
        <v>1245.4560000000001</v>
      </c>
      <c r="BJ104" s="1608">
        <f t="shared" si="158"/>
        <v>2030.49</v>
      </c>
      <c r="BK104" s="1608">
        <f t="shared" si="158"/>
        <v>2284.1999999999998</v>
      </c>
      <c r="BL104" s="1660"/>
      <c r="BM104" s="1608">
        <f>+BM89*BM103</f>
        <v>1785</v>
      </c>
      <c r="BN104" s="1608">
        <f>+BN89*BN103</f>
        <v>1245.4560000000001</v>
      </c>
      <c r="BO104" s="1608">
        <f>+BO89*BO103</f>
        <v>2071.0998</v>
      </c>
      <c r="BP104" s="1608">
        <f>+BP89*BP103</f>
        <v>2329.884</v>
      </c>
      <c r="BQ104" s="1577"/>
      <c r="BR104" s="1608">
        <f>+BR89*BR103</f>
        <v>1338.75</v>
      </c>
      <c r="BS104" s="1608">
        <f>+BS89*BS103</f>
        <v>934.0920000000001</v>
      </c>
      <c r="BT104" s="1608">
        <f>+BT89*BT103</f>
        <v>2112.521796</v>
      </c>
      <c r="BU104" s="1608">
        <f>+BU89*BU103</f>
        <v>2376.4816799999999</v>
      </c>
      <c r="BV104" s="1577"/>
      <c r="BW104" s="1608">
        <f>+BW89*BW103</f>
        <v>1352.1375</v>
      </c>
      <c r="BX104" s="1608">
        <f>+BX89*BX103</f>
        <v>943.43291999999997</v>
      </c>
      <c r="BY104" s="1608">
        <f>+BY89*BY103</f>
        <v>2133.6470139600001</v>
      </c>
      <c r="BZ104" s="1608">
        <f>+BZ89*BZ103</f>
        <v>2400.2464967999999</v>
      </c>
      <c r="CA104" s="1577"/>
      <c r="CB104" s="1608">
        <f>+CB89*CB103</f>
        <v>1365.6588749999999</v>
      </c>
      <c r="CC104" s="1608">
        <f>+CC89*CC103</f>
        <v>952.86724920000006</v>
      </c>
      <c r="CD104" s="1608">
        <f>+CD89*CD103</f>
        <v>2154.9834840996</v>
      </c>
      <c r="CE104" s="1608">
        <f>+CE89*CE103</f>
        <v>2424.2489617679998</v>
      </c>
      <c r="CF104" s="1577"/>
      <c r="CG104" s="1766">
        <f>+CG89*CG103</f>
        <v>1365.6588749999999</v>
      </c>
      <c r="CH104" s="1766">
        <f>+CH89*CH103</f>
        <v>952.86724920000006</v>
      </c>
      <c r="CI104" s="1766">
        <f>+CI89*CI103</f>
        <v>2154.9834840996</v>
      </c>
      <c r="CJ104" s="1608">
        <f>+CJ89*CJ103</f>
        <v>2424.2489617679998</v>
      </c>
      <c r="CK104" s="1577"/>
      <c r="CL104" s="1608">
        <f>+CL89*CL103</f>
        <v>1365.6588749999999</v>
      </c>
      <c r="CM104" s="1608">
        <f>+CM89*CM103</f>
        <v>952.86724920000006</v>
      </c>
      <c r="CN104" s="1608">
        <f>+CN89*CN103</f>
        <v>2154.9834840996</v>
      </c>
      <c r="CO104" s="1608">
        <f>+CO89*CO103</f>
        <v>2424.2489617679998</v>
      </c>
      <c r="CP104" s="2207"/>
      <c r="CQ104" s="1608">
        <f>+CQ89*CQ103</f>
        <v>996.93097874999989</v>
      </c>
      <c r="CR104" s="1608">
        <f>+CR89*CR103</f>
        <v>647.94972945599989</v>
      </c>
      <c r="CS104" s="1608">
        <f>+CS89*CS103</f>
        <v>1465.388769187728</v>
      </c>
      <c r="CT104" s="1608">
        <f>+CT89*CT103</f>
        <v>1721.21676285528</v>
      </c>
      <c r="CU104" s="1577"/>
      <c r="CV104" s="1608">
        <f>+CV89*CV103</f>
        <v>996.93097874999989</v>
      </c>
      <c r="CW104" s="1608">
        <f>+CW89*CW103</f>
        <v>647.94972945599989</v>
      </c>
      <c r="CX104" s="1608">
        <f>+CX89*CX103</f>
        <v>1465.388769187728</v>
      </c>
      <c r="CY104" s="1608">
        <f>+CY89*CY103</f>
        <v>1721.21676285528</v>
      </c>
      <c r="CZ104" s="1577"/>
      <c r="DA104" s="1608">
        <f>+DA89*DA103</f>
        <v>996.93097874999989</v>
      </c>
      <c r="DB104" s="1608">
        <f>+DB89*DB103</f>
        <v>647.94972945599989</v>
      </c>
      <c r="DC104" s="1608">
        <f>+DC89*DC103</f>
        <v>1465.388769187728</v>
      </c>
      <c r="DD104" s="1608">
        <f>+DD89*DD103</f>
        <v>1721.21676285528</v>
      </c>
    </row>
    <row r="105" spans="1:109" hidden="1" outlineLevel="2">
      <c r="A105" s="1747" t="s">
        <v>27</v>
      </c>
      <c r="B105" s="1470"/>
      <c r="C105" s="1470"/>
      <c r="D105" s="1470"/>
      <c r="E105" s="1470"/>
      <c r="F105" s="1470"/>
      <c r="G105" s="1470"/>
      <c r="H105" s="1470"/>
      <c r="I105" s="1470"/>
      <c r="J105" s="1470"/>
      <c r="K105" s="1470"/>
      <c r="L105" s="1606"/>
      <c r="M105" s="1606">
        <f t="shared" ref="M105:Y105" si="159">+M11/M104*1000</f>
        <v>27.642528849902533</v>
      </c>
      <c r="N105" s="1606">
        <f t="shared" si="159"/>
        <v>20.208081066475199</v>
      </c>
      <c r="O105" s="1606">
        <f t="shared" si="159"/>
        <v>20.354437094672967</v>
      </c>
      <c r="P105" s="1606">
        <f t="shared" si="159"/>
        <v>20.369808400570047</v>
      </c>
      <c r="Q105" s="1606">
        <f t="shared" si="159"/>
        <v>21.34755920379741</v>
      </c>
      <c r="R105" s="1606">
        <f>+R11/R104*1000</f>
        <v>24.390477978883158</v>
      </c>
      <c r="S105" s="1606">
        <f t="shared" si="159"/>
        <v>25.986832969346576</v>
      </c>
      <c r="T105" s="1606">
        <f>+T11/T104*1000</f>
        <v>26.673911389381892</v>
      </c>
      <c r="U105" s="1606">
        <f t="shared" si="159"/>
        <v>26.74270312704817</v>
      </c>
      <c r="V105" s="1606">
        <f t="shared" si="159"/>
        <v>26.74270312704817</v>
      </c>
      <c r="W105" s="1606">
        <f t="shared" ref="W105" si="160">+W11/W104*1000</f>
        <v>26.74270312704817</v>
      </c>
      <c r="X105" s="1606">
        <f t="shared" si="159"/>
        <v>26.74270312704817</v>
      </c>
      <c r="Y105" s="1606">
        <f t="shared" si="159"/>
        <v>26.74270312704817</v>
      </c>
      <c r="Z105" s="1606">
        <f t="shared" ref="Z105:AE105" si="161">+Z11/Z104*1000</f>
        <v>26.74270312704817</v>
      </c>
      <c r="AA105" s="1606">
        <f t="shared" si="161"/>
        <v>26.74270312704817</v>
      </c>
      <c r="AB105" s="1606">
        <f t="shared" si="161"/>
        <v>26.74270312704817</v>
      </c>
      <c r="AC105" s="1606">
        <f t="shared" si="161"/>
        <v>26.74270312704817</v>
      </c>
      <c r="AD105" s="1606">
        <f t="shared" si="161"/>
        <v>26.74270312704817</v>
      </c>
      <c r="AE105" s="1606">
        <f t="shared" si="161"/>
        <v>26.74270312704817</v>
      </c>
      <c r="AF105" s="1606">
        <f>+AF11/AF104*1000</f>
        <v>26.74270312704817</v>
      </c>
      <c r="AG105" s="1606">
        <f>+AG11/AG104*1000</f>
        <v>26.74270312704817</v>
      </c>
      <c r="AH105" s="962"/>
      <c r="AI105" s="962"/>
      <c r="AJ105" s="962"/>
      <c r="AK105" s="962"/>
      <c r="AL105" s="962"/>
      <c r="AM105" s="1470"/>
      <c r="AN105" s="1470"/>
      <c r="AO105" s="1470"/>
      <c r="AP105" s="1470"/>
      <c r="AQ105" s="1470"/>
      <c r="AR105" s="1578"/>
      <c r="AS105" s="1470"/>
      <c r="AT105" s="1470"/>
      <c r="AU105" s="1470"/>
      <c r="AV105" s="1470"/>
      <c r="AW105" s="1660"/>
      <c r="AX105" s="1470"/>
      <c r="AY105" s="1606">
        <f>+AY11/AY104*1000</f>
        <v>28.851388132825257</v>
      </c>
      <c r="AZ105" s="1606">
        <f>+AZ11/AZ104*1000</f>
        <v>25.033738191632928</v>
      </c>
      <c r="BA105" s="1606">
        <f>+BA11/BA104*1000</f>
        <v>34.732100521574203</v>
      </c>
      <c r="BB105" s="1660"/>
      <c r="BC105" s="1606">
        <f>+BC11/BC104*1000</f>
        <v>40.761288334103867</v>
      </c>
      <c r="BD105" s="1606">
        <f>+BD11/BD104*1000</f>
        <v>34.859521331945892</v>
      </c>
      <c r="BE105" s="1606">
        <f>+BE11/BE104*1000</f>
        <v>20.557759023683946</v>
      </c>
      <c r="BF105" s="1606">
        <f>+BF11/BF104*1000</f>
        <v>22.543310787146481</v>
      </c>
      <c r="BG105" s="1660"/>
      <c r="BH105" s="1606">
        <f>+BH11/BH104*1000</f>
        <v>24.701528963585446</v>
      </c>
      <c r="BI105" s="1606">
        <f>+BI11/BI104*1000</f>
        <v>30.228472160313967</v>
      </c>
      <c r="BJ105" s="1606">
        <f>+BJ11/BJ104*1000</f>
        <v>13.824629382661334</v>
      </c>
      <c r="BK105" s="1606">
        <f>+BK11/BK104*1000</f>
        <v>16.907483090359865</v>
      </c>
      <c r="BL105" s="1660"/>
      <c r="BM105" s="1606">
        <f>+BM11/BM104*1000</f>
        <v>24.948544253221304</v>
      </c>
      <c r="BN105" s="1606">
        <f>+BN11/BN104*1000</f>
        <v>30.53075688191711</v>
      </c>
      <c r="BO105" s="1606">
        <f>+BO11/BO104*1000</f>
        <v>13.962875676487949</v>
      </c>
      <c r="BP105" s="1606">
        <f>+BP11/BP104*1000</f>
        <v>17.076557921263465</v>
      </c>
      <c r="BQ105" s="1577"/>
      <c r="BR105" s="1606">
        <f>+BR11/BR104*1000</f>
        <v>26.445456908414581</v>
      </c>
      <c r="BS105" s="1606">
        <f>+BS11/BS104*1000</f>
        <v>31.904640941603382</v>
      </c>
      <c r="BT105" s="1606">
        <f>+BT11/BT104*1000</f>
        <v>14.451576325165025</v>
      </c>
      <c r="BU105" s="1606">
        <f>+BU11/BU104*1000</f>
        <v>17.674237448507682</v>
      </c>
      <c r="BV105" s="1577"/>
      <c r="BW105" s="1606">
        <f>+BW11/BW104*1000</f>
        <v>27.714838840018476</v>
      </c>
      <c r="BX105" s="1606">
        <f>+BX11/BX104*1000</f>
        <v>33.436063706800347</v>
      </c>
      <c r="BY105" s="1606">
        <f>+BY11/BY104*1000</f>
        <v>15.145251988772948</v>
      </c>
      <c r="BZ105" s="1606">
        <f>+BZ11/BZ104*1000</f>
        <v>18.522600846036049</v>
      </c>
      <c r="CA105" s="1577"/>
      <c r="CB105" s="1606">
        <f>+CB11/CB104*1000</f>
        <v>33.257806608022179</v>
      </c>
      <c r="CC105" s="1606">
        <f>+CC11/CC104*1000</f>
        <v>38.4514732628204</v>
      </c>
      <c r="CD105" s="1606">
        <f>+CD11/CD104*1000</f>
        <v>16.862723564299799</v>
      </c>
      <c r="CE105" s="1606">
        <f>+CE11/CE104*1000</f>
        <v>20.560086939100021</v>
      </c>
      <c r="CF105" s="1577"/>
      <c r="CG105" s="1748">
        <f>+CG11/CG104*1000</f>
        <v>35.585853070583731</v>
      </c>
      <c r="CH105" s="1748">
        <f>+CH11/CH104*1000</f>
        <v>41.527591123846037</v>
      </c>
      <c r="CI105" s="1748">
        <f>+CI11/CI104*1000</f>
        <v>18.211741449443785</v>
      </c>
      <c r="CJ105" s="1606">
        <f>+CJ11/CJ104*1000</f>
        <v>21.38249041666402</v>
      </c>
      <c r="CK105" s="1577"/>
      <c r="CL105" s="1606">
        <f>+CL11/CL104*1000</f>
        <v>36.653428662701252</v>
      </c>
      <c r="CM105" s="1606">
        <f>+CM11/CM104*1000</f>
        <v>42.690363675313719</v>
      </c>
      <c r="CN105" s="1606">
        <f>+CN11/CN104*1000</f>
        <v>18.667034985679877</v>
      </c>
      <c r="CO105" s="1606">
        <f>+CO11/CO104*1000</f>
        <v>21.87428769624729</v>
      </c>
      <c r="CP105" s="2207"/>
      <c r="CQ105" s="1606">
        <f>+CQ11/CQ104*1000</f>
        <v>36.653428662701252</v>
      </c>
      <c r="CR105" s="1606">
        <f>+CR11/CR104*1000</f>
        <v>42.690363675313726</v>
      </c>
      <c r="CS105" s="1606">
        <f>+CS11/CS104*1000</f>
        <v>18.66703498567988</v>
      </c>
      <c r="CT105" s="1606">
        <f>+CT11/CT104*1000</f>
        <v>21.874287696247293</v>
      </c>
      <c r="CU105" s="1577"/>
      <c r="CV105" s="1606">
        <f>+CV11/CV104*1000</f>
        <v>36.653428662701252</v>
      </c>
      <c r="CW105" s="1606">
        <f>+CW11/CW104*1000</f>
        <v>42.690363675313726</v>
      </c>
      <c r="CX105" s="1606">
        <f>+CX11/CX104*1000</f>
        <v>18.66703498567988</v>
      </c>
      <c r="CY105" s="1606">
        <f>+CY11/CY104*1000</f>
        <v>21.874287696247293</v>
      </c>
      <c r="CZ105" s="1577"/>
      <c r="DA105" s="1606">
        <f>+DA11/DA104*1000</f>
        <v>36.653428662701252</v>
      </c>
      <c r="DB105" s="1606">
        <f>+DB11/DB104*1000</f>
        <v>42.690363675313726</v>
      </c>
      <c r="DC105" s="1606">
        <f>+DC11/DC104*1000</f>
        <v>18.66703498567988</v>
      </c>
      <c r="DD105" s="1606">
        <f>+DD11/DD104*1000</f>
        <v>21.874287696247293</v>
      </c>
    </row>
    <row r="106" spans="1:109" hidden="1" outlineLevel="2">
      <c r="A106" s="1577"/>
      <c r="B106" s="1577"/>
      <c r="C106" s="1577"/>
      <c r="D106" s="1577"/>
      <c r="E106" s="1577"/>
      <c r="F106" s="1577"/>
      <c r="G106" s="1577"/>
      <c r="H106" s="1577"/>
      <c r="I106" s="1577"/>
      <c r="J106" s="1577"/>
      <c r="K106" s="1577"/>
      <c r="L106" s="1577"/>
      <c r="M106" s="1577"/>
      <c r="N106" s="1577"/>
      <c r="O106" s="1577"/>
      <c r="P106" s="1577"/>
      <c r="Q106" s="1577"/>
      <c r="R106" s="1577"/>
      <c r="S106" s="1577"/>
      <c r="T106" s="1577"/>
      <c r="U106" s="1577"/>
      <c r="V106" s="1577"/>
      <c r="W106" s="1577"/>
      <c r="X106" s="1577"/>
      <c r="Y106" s="1577"/>
      <c r="Z106" s="1577"/>
      <c r="AA106" s="1577"/>
      <c r="AB106" s="1577"/>
      <c r="AC106" s="1577"/>
      <c r="AD106" s="1577"/>
      <c r="AE106" s="1577"/>
      <c r="AF106" s="1577"/>
      <c r="AG106" s="962"/>
      <c r="AH106" s="962"/>
      <c r="AI106" s="962"/>
      <c r="AJ106" s="962"/>
      <c r="AK106" s="962"/>
      <c r="AL106" s="962"/>
      <c r="AM106" s="1577"/>
      <c r="AN106" s="1577"/>
      <c r="AO106" s="1577"/>
      <c r="AP106" s="1577"/>
      <c r="AQ106" s="1577"/>
      <c r="AR106" s="1577"/>
      <c r="AS106" s="1577"/>
      <c r="AT106" s="1577"/>
      <c r="AU106" s="1577"/>
      <c r="AV106" s="1577"/>
      <c r="AW106" s="1577"/>
      <c r="AX106" s="1577"/>
      <c r="AY106" s="1577"/>
      <c r="AZ106" s="1577"/>
      <c r="BA106" s="1577"/>
      <c r="BB106" s="1577"/>
      <c r="BC106" s="1577"/>
      <c r="BD106" s="1577"/>
      <c r="BE106" s="1577"/>
      <c r="BF106" s="1577"/>
      <c r="BG106" s="1577"/>
      <c r="BH106" s="1577"/>
      <c r="BI106" s="1577"/>
      <c r="BJ106" s="1577"/>
      <c r="BK106" s="1577"/>
      <c r="BL106" s="1577"/>
      <c r="BM106" s="1577"/>
      <c r="BN106" s="1577"/>
      <c r="BO106" s="1577"/>
      <c r="BP106" s="1577"/>
      <c r="BQ106" s="1577"/>
      <c r="BR106" s="1577"/>
      <c r="BS106" s="1577"/>
      <c r="BT106" s="1577"/>
      <c r="BU106" s="1577"/>
      <c r="BV106" s="1577"/>
      <c r="BW106" s="1577"/>
      <c r="BX106" s="1577"/>
      <c r="BY106" s="1577"/>
      <c r="BZ106" s="1577"/>
      <c r="CA106" s="1577"/>
      <c r="CB106" s="1577"/>
      <c r="CC106" s="1577"/>
      <c r="CD106" s="1577"/>
      <c r="CE106" s="1577"/>
      <c r="CF106" s="1577"/>
      <c r="CG106" s="1577"/>
      <c r="CH106" s="1577"/>
      <c r="CI106" s="2807"/>
      <c r="CJ106" s="2807"/>
      <c r="CK106" s="2807"/>
      <c r="CL106" s="2807"/>
      <c r="CM106" s="2807"/>
      <c r="CN106" s="2807"/>
      <c r="CO106" s="2807"/>
      <c r="CP106" s="2807"/>
      <c r="CQ106" s="2807"/>
      <c r="CR106" s="2807"/>
      <c r="CS106" s="2807"/>
      <c r="CT106" s="2807"/>
      <c r="CU106" s="2807"/>
      <c r="CV106" s="2807"/>
      <c r="CW106" s="2807"/>
      <c r="CX106" s="2807"/>
      <c r="CY106" s="2807"/>
      <c r="CZ106" s="2807"/>
      <c r="DA106" s="2807"/>
      <c r="DB106" s="2807"/>
      <c r="DC106" s="2807"/>
      <c r="DD106" s="2807"/>
    </row>
    <row r="107" spans="1:109" hidden="1" outlineLevel="1" collapsed="1">
      <c r="CI107" s="2807"/>
      <c r="CJ107" s="2807"/>
      <c r="CK107" s="2807"/>
      <c r="CL107" s="2807"/>
      <c r="CM107" s="2807"/>
      <c r="CN107" s="2807"/>
      <c r="CO107" s="2807"/>
      <c r="CP107" s="2807"/>
      <c r="CQ107" s="2807"/>
      <c r="CR107" s="2807"/>
      <c r="CS107" s="2807"/>
      <c r="CT107" s="2807"/>
      <c r="CU107" s="2807"/>
      <c r="CV107" s="2807"/>
      <c r="CW107" s="2807"/>
      <c r="CX107" s="2807"/>
      <c r="CY107" s="2807"/>
      <c r="CZ107" s="2807"/>
      <c r="DA107" s="2807"/>
      <c r="DB107" s="2807"/>
      <c r="DC107" s="2807"/>
      <c r="DD107" s="2807"/>
    </row>
    <row r="108" spans="1:109" hidden="1" outlineLevel="1"/>
    <row r="109" spans="1:109" s="1577" customFormat="1" collapsed="1">
      <c r="Q109" s="2807"/>
      <c r="R109" s="2807"/>
      <c r="S109" s="2807"/>
      <c r="T109" s="2807"/>
      <c r="U109" s="2807"/>
      <c r="V109" s="2807"/>
      <c r="W109" s="2807"/>
      <c r="X109" s="2807"/>
      <c r="Y109" s="2807"/>
      <c r="AG109" s="962"/>
      <c r="AH109" s="962"/>
      <c r="AI109" s="962"/>
      <c r="AJ109" s="962"/>
      <c r="AK109" s="962"/>
      <c r="AL109" s="962"/>
      <c r="CP109" s="2207"/>
      <c r="DE109" s="2807"/>
    </row>
    <row r="110" spans="1:109" s="862" customFormat="1" ht="11.25">
      <c r="A110" s="1666" t="s">
        <v>1702</v>
      </c>
      <c r="B110" s="1667"/>
      <c r="C110" s="1667"/>
      <c r="D110" s="1667"/>
      <c r="E110" s="1667"/>
      <c r="F110" s="1667"/>
      <c r="G110" s="1667"/>
      <c r="H110" s="1667"/>
      <c r="I110" s="1667"/>
      <c r="J110" s="1667"/>
      <c r="K110" s="1667"/>
      <c r="L110" s="1667"/>
      <c r="M110" s="1667"/>
      <c r="N110" s="1667"/>
      <c r="O110" s="1667"/>
      <c r="P110" s="1667"/>
      <c r="Q110" s="1667"/>
      <c r="R110" s="1667"/>
      <c r="S110" s="2524"/>
      <c r="T110" s="2524"/>
      <c r="U110" s="2524"/>
      <c r="V110" s="2524"/>
      <c r="W110" s="2524"/>
      <c r="X110" s="2524"/>
      <c r="Y110" s="2524"/>
      <c r="Z110" s="2524"/>
      <c r="AA110" s="2524"/>
      <c r="AB110" s="2524"/>
      <c r="AC110" s="2524"/>
      <c r="AD110" s="2524"/>
      <c r="AE110" s="2524"/>
      <c r="AF110" s="2524"/>
      <c r="AG110" s="2524"/>
      <c r="AH110" s="962"/>
      <c r="AI110" s="962"/>
      <c r="AJ110" s="962"/>
      <c r="AK110" s="962"/>
      <c r="AL110" s="962"/>
      <c r="CG110" s="1667"/>
      <c r="CH110" s="1667"/>
      <c r="CI110" s="1667"/>
      <c r="CJ110" s="1667"/>
      <c r="CL110" s="1667"/>
      <c r="CM110" s="1667"/>
      <c r="CN110" s="1667"/>
      <c r="CO110" s="1667"/>
      <c r="CP110" s="2503"/>
      <c r="CQ110" s="1667"/>
      <c r="CR110" s="1667"/>
      <c r="CS110" s="1667"/>
      <c r="CT110" s="1667"/>
      <c r="CU110" s="865"/>
      <c r="CV110" s="1667"/>
      <c r="CW110" s="1667"/>
      <c r="CX110" s="1667"/>
      <c r="CY110" s="1667"/>
      <c r="DA110" s="1667"/>
      <c r="DB110" s="1667"/>
      <c r="DC110" s="1667"/>
      <c r="DD110" s="1667"/>
      <c r="DE110" s="2867"/>
    </row>
    <row r="111" spans="1:109" s="1470" customFormat="1" ht="11.25">
      <c r="A111" s="1746" t="s">
        <v>1704</v>
      </c>
      <c r="S111" s="2502">
        <f>CJ111</f>
        <v>0.05</v>
      </c>
      <c r="T111" s="2502">
        <f>CO111</f>
        <v>0.57000000000000006</v>
      </c>
      <c r="U111" s="2502">
        <f>CT111</f>
        <v>1.17</v>
      </c>
      <c r="V111" s="2502">
        <f>CY111</f>
        <v>2.1</v>
      </c>
      <c r="W111" s="2502">
        <f>DD111</f>
        <v>2.9000000000000004</v>
      </c>
      <c r="X111" s="2502">
        <f t="shared" ref="X111:AG111" si="162">W111+X112</f>
        <v>3.3500000000000005</v>
      </c>
      <c r="Y111" s="3428">
        <f t="shared" si="162"/>
        <v>3.7500000000000004</v>
      </c>
      <c r="Z111" s="2502">
        <f t="shared" si="162"/>
        <v>4.1300000000000008</v>
      </c>
      <c r="AA111" s="2502">
        <f t="shared" si="162"/>
        <v>4.4910000000000005</v>
      </c>
      <c r="AB111" s="2502">
        <f t="shared" si="162"/>
        <v>4.8339500000000006</v>
      </c>
      <c r="AC111" s="2502">
        <f t="shared" si="162"/>
        <v>5.1597525000000006</v>
      </c>
      <c r="AD111" s="2502">
        <f t="shared" si="162"/>
        <v>5.4692648750000004</v>
      </c>
      <c r="AE111" s="2502">
        <f t="shared" si="162"/>
        <v>5.7633016312500001</v>
      </c>
      <c r="AF111" s="2502">
        <f t="shared" si="162"/>
        <v>6.0426365496874999</v>
      </c>
      <c r="AG111" s="2502">
        <f t="shared" si="162"/>
        <v>6.3080047222031244</v>
      </c>
      <c r="AH111" s="962"/>
      <c r="AI111" s="962"/>
      <c r="AJ111" s="962"/>
      <c r="AK111" s="962"/>
      <c r="AL111" s="962"/>
      <c r="CJ111" s="2502">
        <f>CJ112</f>
        <v>0.05</v>
      </c>
      <c r="CK111" s="2504"/>
      <c r="CL111" s="2502">
        <f>CJ112+CL112</f>
        <v>0.12000000000000001</v>
      </c>
      <c r="CM111" s="2502">
        <f>CL111+CM112</f>
        <v>0.24</v>
      </c>
      <c r="CN111" s="2502">
        <f>CM111+CN112</f>
        <v>0.39</v>
      </c>
      <c r="CO111" s="2502">
        <f>CN111+CO112</f>
        <v>0.57000000000000006</v>
      </c>
      <c r="CP111" s="2502"/>
      <c r="CQ111" s="2502">
        <f>CO111+CQ112</f>
        <v>0.77</v>
      </c>
      <c r="CR111" s="2502">
        <f>CQ111+CR112</f>
        <v>0.97</v>
      </c>
      <c r="CS111" s="2502">
        <f>CR111+CS112</f>
        <v>1.0899999999999999</v>
      </c>
      <c r="CT111" s="2502">
        <f>CS111+CT112</f>
        <v>1.17</v>
      </c>
      <c r="CU111" s="2502"/>
      <c r="CV111" s="2502">
        <f>CT111+CV112</f>
        <v>1.29</v>
      </c>
      <c r="CW111" s="2502">
        <f>CV111+CW112</f>
        <v>1.52</v>
      </c>
      <c r="CX111" s="2502">
        <f>CW111+CX112</f>
        <v>1.8</v>
      </c>
      <c r="CY111" s="2502">
        <f>CX111+CY112</f>
        <v>2.1</v>
      </c>
      <c r="CZ111" s="862"/>
      <c r="DA111" s="2502">
        <f>CY111+DA112</f>
        <v>2.3000000000000003</v>
      </c>
      <c r="DB111" s="2502">
        <f>DA111+DB112</f>
        <v>2.4700000000000002</v>
      </c>
      <c r="DC111" s="2502">
        <f>DB111+DC112</f>
        <v>2.6500000000000004</v>
      </c>
      <c r="DD111" s="2502">
        <f>DC111+DD112</f>
        <v>2.9000000000000004</v>
      </c>
      <c r="DE111" s="2867"/>
    </row>
    <row r="112" spans="1:109" s="1470" customFormat="1" ht="11.25">
      <c r="A112" s="1746" t="s">
        <v>1555</v>
      </c>
      <c r="S112" s="2515">
        <f>SUM(CJ112)</f>
        <v>0.05</v>
      </c>
      <c r="T112" s="2515">
        <f>SUM(CL112:CO112)</f>
        <v>0.52</v>
      </c>
      <c r="U112" s="2515">
        <f>SUM(CQ112:CT112)</f>
        <v>0.6</v>
      </c>
      <c r="V112" s="2515">
        <f>SUM(CV112:CY112)</f>
        <v>0.92999999999999994</v>
      </c>
      <c r="W112" s="2515">
        <f>SUM(DA112:DD112)</f>
        <v>0.8</v>
      </c>
      <c r="X112" s="2544">
        <f>Scenarios!N103</f>
        <v>0.45</v>
      </c>
      <c r="Y112" s="2544">
        <f>Scenarios!O103</f>
        <v>0.4</v>
      </c>
      <c r="Z112" s="2544">
        <f>Scenarios!P103</f>
        <v>0.38</v>
      </c>
      <c r="AA112" s="2544">
        <f>Scenarios!Q103</f>
        <v>0.36099999999999999</v>
      </c>
      <c r="AB112" s="2544">
        <f>Scenarios!R103</f>
        <v>0.34294999999999998</v>
      </c>
      <c r="AC112" s="2544">
        <f>Scenarios!S103</f>
        <v>0.32580249999999994</v>
      </c>
      <c r="AD112" s="2544">
        <f>Scenarios!T103</f>
        <v>0.30951237499999995</v>
      </c>
      <c r="AE112" s="2544">
        <f>Scenarios!U103</f>
        <v>0.29403675624999992</v>
      </c>
      <c r="AF112" s="2544">
        <f>Scenarios!V103</f>
        <v>0.27933491843749991</v>
      </c>
      <c r="AG112" s="2544">
        <f>Scenarios!W103</f>
        <v>0.26536817251562489</v>
      </c>
      <c r="AH112" s="962"/>
      <c r="AI112" s="962"/>
      <c r="AJ112" s="962"/>
      <c r="AK112" s="962"/>
      <c r="AL112" s="962"/>
      <c r="CJ112" s="2516">
        <v>0.05</v>
      </c>
      <c r="CK112" s="2516"/>
      <c r="CL112" s="2516">
        <v>7.0000000000000007E-2</v>
      </c>
      <c r="CM112" s="2516">
        <v>0.12</v>
      </c>
      <c r="CN112" s="2516">
        <v>0.15</v>
      </c>
      <c r="CO112" s="2516">
        <v>0.18</v>
      </c>
      <c r="CP112" s="2516"/>
      <c r="CQ112" s="2516">
        <v>0.2</v>
      </c>
      <c r="CR112" s="2516">
        <v>0.2</v>
      </c>
      <c r="CS112" s="2516">
        <v>0.12</v>
      </c>
      <c r="CT112" s="2516">
        <v>0.08</v>
      </c>
      <c r="CU112" s="2516"/>
      <c r="CV112" s="2516">
        <v>0.12</v>
      </c>
      <c r="CW112" s="2516">
        <v>0.23</v>
      </c>
      <c r="CX112" s="2516">
        <v>0.28000000000000003</v>
      </c>
      <c r="CY112" s="2544">
        <f>Scenarios!BZ103</f>
        <v>0.3</v>
      </c>
      <c r="CZ112" s="862"/>
      <c r="DA112" s="2544">
        <f>Scenarios!CB103</f>
        <v>0.2</v>
      </c>
      <c r="DB112" s="2544">
        <f>Scenarios!CC103</f>
        <v>0.17</v>
      </c>
      <c r="DC112" s="2544">
        <f>Scenarios!CD103</f>
        <v>0.18</v>
      </c>
      <c r="DD112" s="2544">
        <f>Scenarios!CE103</f>
        <v>0.25</v>
      </c>
      <c r="DE112" s="2867"/>
    </row>
    <row r="113" spans="1:109" s="1494" customFormat="1" ht="11.25">
      <c r="A113" s="2500" t="s">
        <v>1703</v>
      </c>
      <c r="S113" s="2517">
        <f>AVERAGE(CJ113)</f>
        <v>2.5000000000000001E-2</v>
      </c>
      <c r="T113" s="2517">
        <f>AVERAGE(CL113:CO113)</f>
        <v>0.26500000000000001</v>
      </c>
      <c r="U113" s="2517">
        <f>AVERAGE(CQ113:CT113)</f>
        <v>0.92499999999999993</v>
      </c>
      <c r="V113" s="2517">
        <f>AVERAGE(CV113:CY113)</f>
        <v>1.56125</v>
      </c>
      <c r="W113" s="2517">
        <f>AVERAGE(DA113:DD113)</f>
        <v>2.4800000000000004</v>
      </c>
      <c r="X113" s="2518">
        <f t="shared" ref="X113:AG113" si="163">AVERAGE(W111:X111)</f>
        <v>3.1250000000000004</v>
      </c>
      <c r="Y113" s="2518">
        <f t="shared" si="163"/>
        <v>3.5500000000000007</v>
      </c>
      <c r="Z113" s="2518">
        <f t="shared" si="163"/>
        <v>3.9400000000000004</v>
      </c>
      <c r="AA113" s="2518">
        <f t="shared" si="163"/>
        <v>4.3105000000000011</v>
      </c>
      <c r="AB113" s="2518">
        <f t="shared" si="163"/>
        <v>4.6624750000000006</v>
      </c>
      <c r="AC113" s="2518">
        <f t="shared" si="163"/>
        <v>4.9968512500000006</v>
      </c>
      <c r="AD113" s="2518">
        <f t="shared" si="163"/>
        <v>5.3145086875000001</v>
      </c>
      <c r="AE113" s="2518">
        <f t="shared" si="163"/>
        <v>5.6162832531250002</v>
      </c>
      <c r="AF113" s="2518">
        <f t="shared" si="163"/>
        <v>5.9029690904687495</v>
      </c>
      <c r="AG113" s="2518">
        <f t="shared" si="163"/>
        <v>6.1753206359453117</v>
      </c>
      <c r="AH113" s="962"/>
      <c r="AI113" s="962"/>
      <c r="AJ113" s="962"/>
      <c r="AK113" s="962"/>
      <c r="AL113" s="962"/>
      <c r="CJ113" s="2518">
        <f>CJ111*0.5</f>
        <v>2.5000000000000001E-2</v>
      </c>
      <c r="CK113" s="2519"/>
      <c r="CL113" s="2518">
        <f>AVERAGE(CJ111,CL111)</f>
        <v>8.5000000000000006E-2</v>
      </c>
      <c r="CM113" s="2518">
        <f>AVERAGE(CL111:CM111)</f>
        <v>0.18</v>
      </c>
      <c r="CN113" s="2518">
        <f>AVERAGE(CM111:CN111)</f>
        <v>0.315</v>
      </c>
      <c r="CO113" s="2518">
        <f>AVERAGE(CN111:CO111)</f>
        <v>0.48000000000000004</v>
      </c>
      <c r="CP113" s="2518"/>
      <c r="CQ113" s="2518">
        <f>AVERAGE(CO111,CQ111)</f>
        <v>0.67</v>
      </c>
      <c r="CR113" s="2518">
        <f>AVERAGE(CQ111:CR111)</f>
        <v>0.87</v>
      </c>
      <c r="CS113" s="2518">
        <f>AVERAGE(CR111:CS111)</f>
        <v>1.0299999999999998</v>
      </c>
      <c r="CT113" s="2518">
        <f>AVERAGE(CS111:CT111)</f>
        <v>1.1299999999999999</v>
      </c>
      <c r="CU113" s="2518"/>
      <c r="CV113" s="2518">
        <f>AVERAGE(CT111,CV111)</f>
        <v>1.23</v>
      </c>
      <c r="CW113" s="2518">
        <f>AVERAGE(CV111:CW111)</f>
        <v>1.405</v>
      </c>
      <c r="CX113" s="2518">
        <f>AVERAGE(CW111:CX111)</f>
        <v>1.6600000000000001</v>
      </c>
      <c r="CY113" s="2518">
        <f>AVERAGE(CX111:CY111)</f>
        <v>1.9500000000000002</v>
      </c>
      <c r="CZ113" s="862"/>
      <c r="DA113" s="2518">
        <f>AVERAGE(CY111,DA111)</f>
        <v>2.2000000000000002</v>
      </c>
      <c r="DB113" s="2518">
        <f>AVERAGE(DA111,DB111)</f>
        <v>2.3850000000000002</v>
      </c>
      <c r="DC113" s="2518">
        <f t="shared" ref="DC113:DD113" si="164">AVERAGE(DB111,DC111)</f>
        <v>2.5600000000000005</v>
      </c>
      <c r="DD113" s="2518">
        <f t="shared" si="164"/>
        <v>2.7750000000000004</v>
      </c>
      <c r="DE113" s="2894"/>
    </row>
    <row r="114" spans="1:109" s="1477" customFormat="1" ht="11.25">
      <c r="A114" s="2501" t="s">
        <v>676</v>
      </c>
      <c r="T114" s="1640"/>
      <c r="U114" s="1640"/>
      <c r="V114" s="1640">
        <f t="shared" ref="V114:AG114" si="165">V113/U113-1</f>
        <v>0.68783783783783803</v>
      </c>
      <c r="W114" s="1640">
        <f t="shared" si="165"/>
        <v>0.58847077662129732</v>
      </c>
      <c r="X114" s="1640">
        <f t="shared" si="165"/>
        <v>0.26008064516129026</v>
      </c>
      <c r="Y114" s="1640">
        <f t="shared" si="165"/>
        <v>0.13600000000000012</v>
      </c>
      <c r="Z114" s="1640">
        <f t="shared" si="165"/>
        <v>0.10985915492957732</v>
      </c>
      <c r="AA114" s="1640">
        <f t="shared" si="165"/>
        <v>9.4035532994924065E-2</v>
      </c>
      <c r="AB114" s="1640">
        <f t="shared" si="165"/>
        <v>8.1655260410625097E-2</v>
      </c>
      <c r="AC114" s="1640">
        <f t="shared" si="165"/>
        <v>7.1716470329599602E-2</v>
      </c>
      <c r="AD114" s="1640">
        <f t="shared" si="165"/>
        <v>6.3571521665768849E-2</v>
      </c>
      <c r="AE114" s="1640">
        <f t="shared" si="165"/>
        <v>5.6783154073073439E-2</v>
      </c>
      <c r="AF114" s="1640">
        <f t="shared" si="165"/>
        <v>5.104547338922627E-2</v>
      </c>
      <c r="AG114" s="1640">
        <f t="shared" si="165"/>
        <v>4.6138060576382811E-2</v>
      </c>
      <c r="AH114" s="962"/>
      <c r="AI114" s="962"/>
      <c r="AJ114" s="962"/>
      <c r="AK114" s="962"/>
      <c r="AL114" s="962"/>
      <c r="CP114" s="2508"/>
      <c r="CQ114" s="1644">
        <f>CQ113/CL113-1</f>
        <v>6.8823529411764701</v>
      </c>
      <c r="CR114" s="1644">
        <f>CR113/CM113-1</f>
        <v>3.8333333333333339</v>
      </c>
      <c r="CS114" s="1644">
        <f>CS113/CN113-1</f>
        <v>2.2698412698412693</v>
      </c>
      <c r="CT114" s="1644">
        <f>CT113/CO113-1</f>
        <v>1.3541666666666661</v>
      </c>
      <c r="CV114" s="1644">
        <f>CV113/CQ113-1</f>
        <v>0.83582089552238803</v>
      </c>
      <c r="CW114" s="1644">
        <f>CW113/CR113-1</f>
        <v>0.61494252873563227</v>
      </c>
      <c r="CX114" s="1644">
        <f>CX113/CS113-1</f>
        <v>0.6116504854368936</v>
      </c>
      <c r="CY114" s="1644">
        <f>CY113/CT113-1</f>
        <v>0.72566371681415953</v>
      </c>
      <c r="CZ114" s="862"/>
      <c r="DA114" s="1644">
        <f>DA113/CV113-1</f>
        <v>0.78861788617886197</v>
      </c>
      <c r="DB114" s="1644">
        <f>DB113/CW113-1</f>
        <v>0.69750889679715322</v>
      </c>
      <c r="DC114" s="1644">
        <f>DC113/CX113-1</f>
        <v>0.54216867469879526</v>
      </c>
      <c r="DD114" s="1644">
        <f>DD113/CY113-1</f>
        <v>0.42307692307692313</v>
      </c>
      <c r="DE114" s="2937"/>
    </row>
    <row r="115" spans="1:109" s="1477" customFormat="1" ht="11.25">
      <c r="A115" s="2501"/>
      <c r="AG115" s="962"/>
      <c r="AH115" s="962"/>
      <c r="AI115" s="962"/>
      <c r="AJ115" s="962"/>
      <c r="AK115" s="962"/>
      <c r="AL115" s="962"/>
      <c r="CP115" s="2508"/>
      <c r="CQ115" s="1644"/>
      <c r="CR115" s="1644"/>
      <c r="CS115" s="1644"/>
      <c r="CT115" s="1644"/>
      <c r="CV115" s="1644"/>
      <c r="CW115" s="1644"/>
      <c r="CX115" s="1644"/>
      <c r="CY115" s="1644"/>
      <c r="CZ115" s="862"/>
      <c r="DE115" s="2937"/>
    </row>
    <row r="116" spans="1:109" s="1477" customFormat="1" ht="11.25">
      <c r="A116" s="2501" t="s">
        <v>1707</v>
      </c>
      <c r="S116" s="1644">
        <f>S119/S113</f>
        <v>1</v>
      </c>
      <c r="T116" s="1644">
        <f>T119/T113</f>
        <v>1</v>
      </c>
      <c r="U116" s="1644">
        <f>U119/U113</f>
        <v>0.98472972972972972</v>
      </c>
      <c r="V116" s="1644">
        <f>V119/V113</f>
        <v>0.83094475580464378</v>
      </c>
      <c r="W116" s="1644">
        <f>W119/W113</f>
        <v>0.76404233870967742</v>
      </c>
      <c r="X116" s="2512">
        <v>0.73</v>
      </c>
      <c r="Y116" s="2512">
        <v>0.7</v>
      </c>
      <c r="Z116" s="2512">
        <f t="shared" ref="Z116:AG116" si="166">Y116</f>
        <v>0.7</v>
      </c>
      <c r="AA116" s="2512">
        <f t="shared" si="166"/>
        <v>0.7</v>
      </c>
      <c r="AB116" s="2512">
        <f t="shared" si="166"/>
        <v>0.7</v>
      </c>
      <c r="AC116" s="2512">
        <f t="shared" si="166"/>
        <v>0.7</v>
      </c>
      <c r="AD116" s="2512">
        <f t="shared" si="166"/>
        <v>0.7</v>
      </c>
      <c r="AE116" s="2512">
        <f t="shared" si="166"/>
        <v>0.7</v>
      </c>
      <c r="AF116" s="2512">
        <f t="shared" si="166"/>
        <v>0.7</v>
      </c>
      <c r="AG116" s="2512">
        <f t="shared" si="166"/>
        <v>0.7</v>
      </c>
      <c r="AH116" s="962"/>
      <c r="AI116" s="962"/>
      <c r="AJ116" s="962"/>
      <c r="AK116" s="962"/>
      <c r="AL116" s="962"/>
      <c r="CJ116" s="2512">
        <v>1</v>
      </c>
      <c r="CL116" s="2512">
        <v>1</v>
      </c>
      <c r="CM116" s="2512">
        <v>1</v>
      </c>
      <c r="CN116" s="2512">
        <v>1</v>
      </c>
      <c r="CO116" s="2512">
        <v>1</v>
      </c>
      <c r="CP116" s="2508"/>
      <c r="CQ116" s="2512">
        <v>1</v>
      </c>
      <c r="CR116" s="2512">
        <v>1</v>
      </c>
      <c r="CS116" s="2512">
        <v>1</v>
      </c>
      <c r="CT116" s="2512">
        <v>0.95</v>
      </c>
      <c r="CV116" s="2512">
        <v>0.9</v>
      </c>
      <c r="CW116" s="2512">
        <v>0.85</v>
      </c>
      <c r="CX116" s="2512">
        <v>0.8</v>
      </c>
      <c r="CY116" s="2512">
        <v>0.8</v>
      </c>
      <c r="CZ116" s="862"/>
      <c r="DA116" s="2512">
        <v>0.78</v>
      </c>
      <c r="DB116" s="2512">
        <v>0.77</v>
      </c>
      <c r="DC116" s="2512">
        <v>0.76</v>
      </c>
      <c r="DD116" s="2512">
        <v>0.75</v>
      </c>
      <c r="DE116" s="2937"/>
    </row>
    <row r="117" spans="1:109" s="1470" customFormat="1" ht="11.25">
      <c r="A117" s="2501" t="s">
        <v>1708</v>
      </c>
      <c r="S117" s="1644">
        <f t="shared" ref="S117:X117" si="167">1-S116</f>
        <v>0</v>
      </c>
      <c r="T117" s="1644">
        <f t="shared" si="167"/>
        <v>0</v>
      </c>
      <c r="U117" s="1644">
        <f t="shared" si="167"/>
        <v>1.5270270270270281E-2</v>
      </c>
      <c r="V117" s="1644">
        <f t="shared" si="167"/>
        <v>0.16905524419535622</v>
      </c>
      <c r="W117" s="1644">
        <f>1-W116</f>
        <v>0.23595766129032258</v>
      </c>
      <c r="X117" s="2512">
        <f t="shared" si="167"/>
        <v>0.27</v>
      </c>
      <c r="Y117" s="2512">
        <f t="shared" ref="Y117:AF117" si="168">1-Y116</f>
        <v>0.30000000000000004</v>
      </c>
      <c r="Z117" s="2512">
        <f t="shared" si="168"/>
        <v>0.30000000000000004</v>
      </c>
      <c r="AA117" s="2512">
        <f t="shared" si="168"/>
        <v>0.30000000000000004</v>
      </c>
      <c r="AB117" s="2512">
        <f t="shared" si="168"/>
        <v>0.30000000000000004</v>
      </c>
      <c r="AC117" s="2512">
        <f t="shared" si="168"/>
        <v>0.30000000000000004</v>
      </c>
      <c r="AD117" s="2512">
        <f t="shared" si="168"/>
        <v>0.30000000000000004</v>
      </c>
      <c r="AE117" s="2512">
        <f t="shared" si="168"/>
        <v>0.30000000000000004</v>
      </c>
      <c r="AF117" s="2512">
        <f t="shared" si="168"/>
        <v>0.30000000000000004</v>
      </c>
      <c r="AG117" s="2512">
        <f t="shared" ref="AG117" si="169">1-AG116</f>
        <v>0.30000000000000004</v>
      </c>
      <c r="AH117" s="962"/>
      <c r="AI117" s="962"/>
      <c r="AJ117" s="962"/>
      <c r="AK117" s="962"/>
      <c r="AL117" s="962"/>
      <c r="CJ117" s="2512">
        <f>1-CJ116</f>
        <v>0</v>
      </c>
      <c r="CL117" s="2512">
        <f>1-CL116</f>
        <v>0</v>
      </c>
      <c r="CM117" s="2512">
        <f>1-CM116</f>
        <v>0</v>
      </c>
      <c r="CN117" s="2512">
        <f>1-CN116</f>
        <v>0</v>
      </c>
      <c r="CO117" s="2512">
        <f>1-CO116</f>
        <v>0</v>
      </c>
      <c r="CP117" s="2511"/>
      <c r="CQ117" s="2512">
        <f>1-CQ116</f>
        <v>0</v>
      </c>
      <c r="CR117" s="2512">
        <f>1-CR116</f>
        <v>0</v>
      </c>
      <c r="CS117" s="2512">
        <f>1-CS116</f>
        <v>0</v>
      </c>
      <c r="CT117" s="2512">
        <f>1-CT116</f>
        <v>5.0000000000000044E-2</v>
      </c>
      <c r="CV117" s="2512">
        <f>1-CV116</f>
        <v>9.9999999999999978E-2</v>
      </c>
      <c r="CW117" s="2512">
        <f>1-CW116</f>
        <v>0.15000000000000002</v>
      </c>
      <c r="CX117" s="2512">
        <f>1-CX116</f>
        <v>0.19999999999999996</v>
      </c>
      <c r="CY117" s="2512">
        <f>1-CY116</f>
        <v>0.19999999999999996</v>
      </c>
      <c r="CZ117" s="862"/>
      <c r="DA117" s="2512">
        <f>1-DA116</f>
        <v>0.21999999999999997</v>
      </c>
      <c r="DB117" s="2512">
        <f>1-DB116</f>
        <v>0.22999999999999998</v>
      </c>
      <c r="DC117" s="2512">
        <f>1-DC116</f>
        <v>0.24</v>
      </c>
      <c r="DD117" s="2512">
        <f>1-DD116</f>
        <v>0.25</v>
      </c>
      <c r="DE117" s="2867"/>
    </row>
    <row r="118" spans="1:109" s="1470" customFormat="1" ht="11.25">
      <c r="A118" s="2501"/>
      <c r="AG118" s="962"/>
      <c r="AH118" s="962"/>
      <c r="AI118" s="962"/>
      <c r="AJ118" s="962"/>
      <c r="AK118" s="962"/>
      <c r="AL118" s="962"/>
      <c r="CP118" s="2511"/>
      <c r="DE118" s="2867"/>
    </row>
    <row r="119" spans="1:109" s="1470" customFormat="1" ht="11.25">
      <c r="A119" s="1746" t="s">
        <v>1710</v>
      </c>
      <c r="S119" s="2515">
        <f>AVERAGE(CJ119)</f>
        <v>2.5000000000000001E-2</v>
      </c>
      <c r="T119" s="2515">
        <f>AVERAGE(CL119:CO119)</f>
        <v>0.26500000000000001</v>
      </c>
      <c r="U119" s="2515">
        <f>AVERAGE(CQ119:CT119)</f>
        <v>0.91087499999999988</v>
      </c>
      <c r="V119" s="2515">
        <f>AVERAGE(CV119:CY119)</f>
        <v>1.2973125000000001</v>
      </c>
      <c r="W119" s="2515">
        <f>AVERAGE(DA119:DD119)</f>
        <v>1.8948250000000004</v>
      </c>
      <c r="X119" s="1578">
        <f t="shared" ref="X119:AF119" si="170">X113*X116</f>
        <v>2.2812500000000004</v>
      </c>
      <c r="Y119" s="1578">
        <f t="shared" si="170"/>
        <v>2.4850000000000003</v>
      </c>
      <c r="Z119" s="1578">
        <f t="shared" si="170"/>
        <v>2.758</v>
      </c>
      <c r="AA119" s="1578">
        <f t="shared" si="170"/>
        <v>3.0173500000000004</v>
      </c>
      <c r="AB119" s="1578">
        <f t="shared" si="170"/>
        <v>3.2637325000000001</v>
      </c>
      <c r="AC119" s="1578">
        <f t="shared" si="170"/>
        <v>3.4977958750000004</v>
      </c>
      <c r="AD119" s="1578">
        <f t="shared" si="170"/>
        <v>3.7201560812499999</v>
      </c>
      <c r="AE119" s="1578">
        <f t="shared" si="170"/>
        <v>3.9313982771874998</v>
      </c>
      <c r="AF119" s="1578">
        <f t="shared" si="170"/>
        <v>4.1320783633281248</v>
      </c>
      <c r="AG119" s="1578">
        <f t="shared" ref="AG119" si="171">AG113*AG116</f>
        <v>4.3227244451617182</v>
      </c>
      <c r="AH119" s="962"/>
      <c r="AI119" s="962"/>
      <c r="AJ119" s="962"/>
      <c r="AK119" s="962"/>
      <c r="AL119" s="962"/>
      <c r="CJ119" s="1578">
        <f>CJ113*CJ116</f>
        <v>2.5000000000000001E-2</v>
      </c>
      <c r="CL119" s="1578">
        <f>CL113*CL116</f>
        <v>8.5000000000000006E-2</v>
      </c>
      <c r="CM119" s="1578">
        <f>CM113*CM116</f>
        <v>0.18</v>
      </c>
      <c r="CN119" s="1578">
        <f>CN113*CN116</f>
        <v>0.315</v>
      </c>
      <c r="CO119" s="1578">
        <f>CO113*CO116</f>
        <v>0.48000000000000004</v>
      </c>
      <c r="CP119" s="2511"/>
      <c r="CQ119" s="1578">
        <f>CQ113*CQ116</f>
        <v>0.67</v>
      </c>
      <c r="CR119" s="1578">
        <f>CR113*CR116</f>
        <v>0.87</v>
      </c>
      <c r="CS119" s="1578">
        <f>CS113*CS116</f>
        <v>1.0299999999999998</v>
      </c>
      <c r="CT119" s="1578">
        <f>CT113*CT116</f>
        <v>1.0734999999999999</v>
      </c>
      <c r="CV119" s="1578">
        <f>CV113*CV116</f>
        <v>1.107</v>
      </c>
      <c r="CW119" s="1578">
        <f>CW113*CW116</f>
        <v>1.19425</v>
      </c>
      <c r="CX119" s="1578">
        <f>CX113*CX116</f>
        <v>1.3280000000000003</v>
      </c>
      <c r="CY119" s="1578">
        <f>CY113*CY116</f>
        <v>1.5600000000000003</v>
      </c>
      <c r="DA119" s="1578">
        <f>DA113*DA116</f>
        <v>1.7160000000000002</v>
      </c>
      <c r="DB119" s="1578">
        <f>DB113*DB116</f>
        <v>1.8364500000000001</v>
      </c>
      <c r="DC119" s="1578">
        <f>DC113*DC116</f>
        <v>1.9456000000000004</v>
      </c>
      <c r="DD119" s="1578">
        <f>DD113*DD116</f>
        <v>2.0812500000000003</v>
      </c>
      <c r="DE119" s="2867"/>
    </row>
    <row r="120" spans="1:109" s="1470" customFormat="1" ht="11.25">
      <c r="A120" s="1746" t="s">
        <v>1711</v>
      </c>
      <c r="S120" s="2515">
        <f>AVERAGE(CJ120)</f>
        <v>0</v>
      </c>
      <c r="T120" s="2515">
        <f>AVERAGE(CL120:CO120)</f>
        <v>0</v>
      </c>
      <c r="U120" s="2515">
        <f>AVERAGE(CQ120:CT120)</f>
        <v>1.4125000000000011E-2</v>
      </c>
      <c r="V120" s="2515">
        <f>AVERAGE(CV120:CY120)</f>
        <v>0.26393749999999999</v>
      </c>
      <c r="W120" s="2515">
        <f>AVERAGE(DA120:DD120)</f>
        <v>0.585175</v>
      </c>
      <c r="X120" s="1578">
        <f t="shared" ref="X120:AF120" si="172">X113*X117</f>
        <v>0.84375000000000022</v>
      </c>
      <c r="Y120" s="1578">
        <f t="shared" si="172"/>
        <v>1.0650000000000004</v>
      </c>
      <c r="Z120" s="1578">
        <f t="shared" si="172"/>
        <v>1.1820000000000004</v>
      </c>
      <c r="AA120" s="1578">
        <f t="shared" si="172"/>
        <v>1.2931500000000005</v>
      </c>
      <c r="AB120" s="1578">
        <f t="shared" si="172"/>
        <v>1.3987425000000004</v>
      </c>
      <c r="AC120" s="1578">
        <f t="shared" si="172"/>
        <v>1.4990553750000004</v>
      </c>
      <c r="AD120" s="1578">
        <f t="shared" si="172"/>
        <v>1.5943526062500002</v>
      </c>
      <c r="AE120" s="1578">
        <f t="shared" si="172"/>
        <v>1.6848849759375004</v>
      </c>
      <c r="AF120" s="1578">
        <f t="shared" si="172"/>
        <v>1.7708907271406251</v>
      </c>
      <c r="AG120" s="1578">
        <f t="shared" ref="AG120" si="173">AG113*AG117</f>
        <v>1.8525961907835937</v>
      </c>
      <c r="AH120" s="962"/>
      <c r="AI120" s="962"/>
      <c r="AJ120" s="962"/>
      <c r="AK120" s="962"/>
      <c r="AL120" s="962"/>
      <c r="CJ120" s="1578">
        <f>CJ113*CJ117</f>
        <v>0</v>
      </c>
      <c r="CL120" s="1578">
        <f>CL113*CL117</f>
        <v>0</v>
      </c>
      <c r="CM120" s="1578">
        <f>CM113*CM117</f>
        <v>0</v>
      </c>
      <c r="CN120" s="1578">
        <f>CN113*CN117</f>
        <v>0</v>
      </c>
      <c r="CO120" s="1578">
        <f>CO113*CO117</f>
        <v>0</v>
      </c>
      <c r="CP120" s="2511"/>
      <c r="CQ120" s="1578">
        <f>CQ113*CQ117</f>
        <v>0</v>
      </c>
      <c r="CR120" s="1578">
        <f>CR113*CR117</f>
        <v>0</v>
      </c>
      <c r="CS120" s="1578">
        <f>CS113*CS117</f>
        <v>0</v>
      </c>
      <c r="CT120" s="1578">
        <f>CT113*CT117</f>
        <v>5.6500000000000043E-2</v>
      </c>
      <c r="CV120" s="1578">
        <f>CV113*CV117</f>
        <v>0.12299999999999997</v>
      </c>
      <c r="CW120" s="1578">
        <f>CW113*CW117</f>
        <v>0.21075000000000005</v>
      </c>
      <c r="CX120" s="1578">
        <f>CX113*CX117</f>
        <v>0.33199999999999996</v>
      </c>
      <c r="CY120" s="1578">
        <f>CY113*CY117</f>
        <v>0.38999999999999996</v>
      </c>
      <c r="DA120" s="1578">
        <f>DA113*DA117</f>
        <v>0.48399999999999999</v>
      </c>
      <c r="DB120" s="1578">
        <f>DB113*DB117</f>
        <v>0.54854999999999998</v>
      </c>
      <c r="DC120" s="1578">
        <f>DC113*DC117</f>
        <v>0.61440000000000006</v>
      </c>
      <c r="DD120" s="1578">
        <f>DD113*DD117</f>
        <v>0.69375000000000009</v>
      </c>
      <c r="DE120" s="2867"/>
    </row>
    <row r="121" spans="1:109" s="1470" customFormat="1" ht="11.25">
      <c r="AH121" s="962"/>
      <c r="AI121" s="962"/>
      <c r="AJ121" s="962"/>
      <c r="AK121" s="962"/>
      <c r="AL121" s="962"/>
      <c r="CP121" s="2511"/>
      <c r="DE121" s="2867"/>
    </row>
    <row r="122" spans="1:109" s="1470" customFormat="1" ht="11.25">
      <c r="A122" s="1494" t="s">
        <v>1717</v>
      </c>
      <c r="AH122" s="962"/>
      <c r="AI122" s="962"/>
      <c r="AJ122" s="962"/>
      <c r="AK122" s="962"/>
      <c r="AL122" s="962"/>
      <c r="CP122" s="2511"/>
      <c r="DE122" s="2867"/>
    </row>
    <row r="123" spans="1:109" s="1470" customFormat="1" ht="11.25">
      <c r="A123" s="1746" t="s">
        <v>1705</v>
      </c>
      <c r="S123" s="2505">
        <v>5.99</v>
      </c>
      <c r="T123" s="2505">
        <v>5.99</v>
      </c>
      <c r="U123" s="2505">
        <v>5.99</v>
      </c>
      <c r="V123" s="2505">
        <v>5.99</v>
      </c>
      <c r="W123" s="2505">
        <v>5.99</v>
      </c>
      <c r="X123" s="2505">
        <v>5.99</v>
      </c>
      <c r="Y123" s="2505">
        <v>5.99</v>
      </c>
      <c r="Z123" s="3536">
        <v>5.99</v>
      </c>
      <c r="AA123" s="3536">
        <f>Z123*1.02</f>
        <v>6.1097999999999999</v>
      </c>
      <c r="AB123" s="3536">
        <f t="shared" ref="AB123:AL123" si="174">AA123*1.03</f>
        <v>6.293094</v>
      </c>
      <c r="AC123" s="3536">
        <f t="shared" si="174"/>
        <v>6.4818868199999997</v>
      </c>
      <c r="AD123" s="3536">
        <f t="shared" si="174"/>
        <v>6.6763434245999997</v>
      </c>
      <c r="AE123" s="3536">
        <f t="shared" si="174"/>
        <v>6.8766337273379996</v>
      </c>
      <c r="AF123" s="3536">
        <f t="shared" si="174"/>
        <v>7.0829327391581396</v>
      </c>
      <c r="AG123" s="3536">
        <f t="shared" si="174"/>
        <v>7.2954207213328841</v>
      </c>
      <c r="AH123" s="2505">
        <f t="shared" si="174"/>
        <v>7.5142833429728713</v>
      </c>
      <c r="AI123" s="2505">
        <f t="shared" si="174"/>
        <v>7.7397118432620573</v>
      </c>
      <c r="AJ123" s="2505">
        <f t="shared" si="174"/>
        <v>7.9719031985599189</v>
      </c>
      <c r="AK123" s="2505">
        <f t="shared" si="174"/>
        <v>8.2110602945167166</v>
      </c>
      <c r="AL123" s="2505">
        <f t="shared" si="174"/>
        <v>8.4573921033522179</v>
      </c>
      <c r="CJ123" s="2505">
        <v>5.99</v>
      </c>
      <c r="CK123" s="2505"/>
      <c r="CL123" s="2505">
        <v>5.99</v>
      </c>
      <c r="CM123" s="2505">
        <v>5.99</v>
      </c>
      <c r="CN123" s="2505">
        <v>5.99</v>
      </c>
      <c r="CO123" s="2505">
        <v>5.99</v>
      </c>
      <c r="CP123" s="2505"/>
      <c r="CQ123" s="2505">
        <v>5.99</v>
      </c>
      <c r="CR123" s="2505">
        <v>5.99</v>
      </c>
      <c r="CS123" s="2505">
        <v>5.99</v>
      </c>
      <c r="CT123" s="2505">
        <v>5.99</v>
      </c>
      <c r="CU123" s="2505"/>
      <c r="CV123" s="2505">
        <v>5.99</v>
      </c>
      <c r="CW123" s="2505">
        <v>5.99</v>
      </c>
      <c r="CX123" s="2505">
        <v>5.99</v>
      </c>
      <c r="CY123" s="2505">
        <v>5.99</v>
      </c>
      <c r="DA123" s="2505">
        <v>5.99</v>
      </c>
      <c r="DB123" s="2505">
        <v>5.99</v>
      </c>
      <c r="DC123" s="2505">
        <v>5.99</v>
      </c>
      <c r="DD123" s="2505">
        <v>5.99</v>
      </c>
      <c r="DE123" s="2867"/>
    </row>
    <row r="124" spans="1:109" s="1470" customFormat="1" ht="11.25">
      <c r="A124" s="1746" t="s">
        <v>1709</v>
      </c>
      <c r="S124" s="2505">
        <f>S123*0.9</f>
        <v>5.391</v>
      </c>
      <c r="T124" s="2505">
        <f t="shared" ref="T124:AL124" si="175">T123*0.9</f>
        <v>5.391</v>
      </c>
      <c r="U124" s="2505">
        <f t="shared" si="175"/>
        <v>5.391</v>
      </c>
      <c r="V124" s="2505">
        <f t="shared" si="175"/>
        <v>5.391</v>
      </c>
      <c r="W124" s="2505">
        <f t="shared" si="175"/>
        <v>5.391</v>
      </c>
      <c r="X124" s="2505">
        <f t="shared" si="175"/>
        <v>5.391</v>
      </c>
      <c r="Y124" s="2505">
        <f t="shared" si="175"/>
        <v>5.391</v>
      </c>
      <c r="Z124" s="2505">
        <f t="shared" si="175"/>
        <v>5.391</v>
      </c>
      <c r="AA124" s="2505">
        <f t="shared" si="175"/>
        <v>5.4988200000000003</v>
      </c>
      <c r="AB124" s="2505">
        <f t="shared" si="175"/>
        <v>5.6637846000000005</v>
      </c>
      <c r="AC124" s="2505">
        <f t="shared" si="175"/>
        <v>5.8336981379999999</v>
      </c>
      <c r="AD124" s="2505">
        <f t="shared" si="175"/>
        <v>6.0087090821400002</v>
      </c>
      <c r="AE124" s="2505">
        <f t="shared" si="175"/>
        <v>6.1889703546041996</v>
      </c>
      <c r="AF124" s="2505">
        <f t="shared" si="175"/>
        <v>6.3746394652423257</v>
      </c>
      <c r="AG124" s="2505">
        <f t="shared" si="175"/>
        <v>6.565878649199596</v>
      </c>
      <c r="AH124" s="2505">
        <f t="shared" si="175"/>
        <v>6.7628550086755839</v>
      </c>
      <c r="AI124" s="2505">
        <f t="shared" si="175"/>
        <v>6.9657406589358519</v>
      </c>
      <c r="AJ124" s="2505">
        <f t="shared" si="175"/>
        <v>7.1747128787039269</v>
      </c>
      <c r="AK124" s="2505">
        <f t="shared" si="175"/>
        <v>7.3899542650650449</v>
      </c>
      <c r="AL124" s="2505">
        <f t="shared" si="175"/>
        <v>7.6116528930169967</v>
      </c>
      <c r="CJ124" s="2505">
        <f>CJ123*0.9</f>
        <v>5.391</v>
      </c>
      <c r="CK124" s="2505"/>
      <c r="CL124" s="2505">
        <f>CL123*0.9</f>
        <v>5.391</v>
      </c>
      <c r="CM124" s="2505">
        <f t="shared" ref="CM124:CO124" si="176">CM123*0.9</f>
        <v>5.391</v>
      </c>
      <c r="CN124" s="2505">
        <f t="shared" si="176"/>
        <v>5.391</v>
      </c>
      <c r="CO124" s="2505">
        <f t="shared" si="176"/>
        <v>5.391</v>
      </c>
      <c r="CP124" s="2505"/>
      <c r="CQ124" s="2505">
        <f>CQ123*0.9</f>
        <v>5.391</v>
      </c>
      <c r="CR124" s="2505">
        <f t="shared" ref="CR124" si="177">CR123*0.9</f>
        <v>5.391</v>
      </c>
      <c r="CS124" s="2505">
        <f t="shared" ref="CS124" si="178">CS123*0.9</f>
        <v>5.391</v>
      </c>
      <c r="CT124" s="2505">
        <f t="shared" ref="CT124" si="179">CT123*0.9</f>
        <v>5.391</v>
      </c>
      <c r="CU124" s="2505"/>
      <c r="CV124" s="2505">
        <f>CV123*0.9</f>
        <v>5.391</v>
      </c>
      <c r="CW124" s="2505">
        <f t="shared" ref="CW124" si="180">CW123*0.9</f>
        <v>5.391</v>
      </c>
      <c r="CX124" s="2505">
        <f t="shared" ref="CX124" si="181">CX123*0.9</f>
        <v>5.391</v>
      </c>
      <c r="CY124" s="2505">
        <f t="shared" ref="CY124" si="182">CY123*0.9</f>
        <v>5.391</v>
      </c>
      <c r="DA124" s="2505">
        <f>DA123*0.9</f>
        <v>5.391</v>
      </c>
      <c r="DB124" s="2505">
        <f t="shared" ref="DB124" si="183">DB123*0.9</f>
        <v>5.391</v>
      </c>
      <c r="DC124" s="2505">
        <f t="shared" ref="DC124" si="184">DC123*0.9</f>
        <v>5.391</v>
      </c>
      <c r="DD124" s="2505">
        <f t="shared" ref="DD124" si="185">DD123*0.9</f>
        <v>5.391</v>
      </c>
      <c r="DE124" s="2867"/>
    </row>
    <row r="125" spans="1:109" s="862" customFormat="1" ht="11.25">
      <c r="A125" s="2500" t="s">
        <v>1706</v>
      </c>
      <c r="S125" s="2506">
        <f>SUM(CJ125)</f>
        <v>0.40432500000000005</v>
      </c>
      <c r="T125" s="2506">
        <f>SUM(CL125:CO125)</f>
        <v>17.143380000000001</v>
      </c>
      <c r="U125" s="2506">
        <f>SUM(CQ125:CT125)</f>
        <v>58.926325499999997</v>
      </c>
      <c r="V125" s="2506">
        <f>SUM(CV125:CY125)</f>
        <v>83.925740250000018</v>
      </c>
      <c r="W125" s="2506">
        <f>SUM(DA125:DD125)</f>
        <v>122.58001890000003</v>
      </c>
      <c r="X125" s="2507">
        <f t="shared" ref="X125:AF125" si="186">X119*X124*12</f>
        <v>147.57862500000002</v>
      </c>
      <c r="Y125" s="2507">
        <f t="shared" si="186"/>
        <v>160.75962000000001</v>
      </c>
      <c r="Z125" s="2507">
        <f t="shared" si="186"/>
        <v>178.420536</v>
      </c>
      <c r="AA125" s="2507">
        <f t="shared" si="186"/>
        <v>199.10237432400004</v>
      </c>
      <c r="AB125" s="2507">
        <f t="shared" si="186"/>
        <v>221.82093446423403</v>
      </c>
      <c r="AC125" s="2507">
        <f t="shared" si="186"/>
        <v>244.86102339709902</v>
      </c>
      <c r="AD125" s="2507">
        <f t="shared" si="186"/>
        <v>268.24002758862275</v>
      </c>
      <c r="AE125" s="2507">
        <f t="shared" si="186"/>
        <v>291.97568867586551</v>
      </c>
      <c r="AF125" s="2507">
        <f t="shared" si="186"/>
        <v>316.08611770014454</v>
      </c>
      <c r="AG125" s="2507">
        <f t="shared" ref="AG125" si="187">AG119*AG124*12</f>
        <v>340.58980969032592</v>
      </c>
      <c r="CJ125" s="2507">
        <f>CJ119*CJ124*3</f>
        <v>0.40432500000000005</v>
      </c>
      <c r="CK125" s="1589"/>
      <c r="CL125" s="2507">
        <f>CL119*CL124*3</f>
        <v>1.3747050000000001</v>
      </c>
      <c r="CM125" s="2507">
        <f>CM119*CM124*3</f>
        <v>2.9111400000000001</v>
      </c>
      <c r="CN125" s="2507">
        <f>CN119*CN124*3</f>
        <v>5.0944950000000002</v>
      </c>
      <c r="CO125" s="2507">
        <f>CO119*CO124*3</f>
        <v>7.7630400000000002</v>
      </c>
      <c r="CP125" s="965">
        <f>T125-SUM(CL125:CO125)</f>
        <v>0</v>
      </c>
      <c r="CQ125" s="2507">
        <f>CQ119*CQ124*3</f>
        <v>10.835910000000002</v>
      </c>
      <c r="CR125" s="2507">
        <f>CR119*CR124*3</f>
        <v>14.070510000000001</v>
      </c>
      <c r="CS125" s="2507">
        <f>CS119*CS124*3</f>
        <v>16.658189999999998</v>
      </c>
      <c r="CT125" s="2507">
        <f>CT119*CT124*3</f>
        <v>17.361715499999995</v>
      </c>
      <c r="CU125" s="965">
        <f>U125-SUM(CQ125:CT125)</f>
        <v>0</v>
      </c>
      <c r="CV125" s="2507">
        <f>CV119*CV124*3</f>
        <v>17.903511000000002</v>
      </c>
      <c r="CW125" s="2507">
        <f>CW119*CW124*3</f>
        <v>19.31460525</v>
      </c>
      <c r="CX125" s="2507">
        <f>CX119*CX124*3</f>
        <v>21.477744000000005</v>
      </c>
      <c r="CY125" s="2507">
        <f>CY119*CY124*3</f>
        <v>25.229880000000005</v>
      </c>
      <c r="CZ125" s="965">
        <f>V125-SUM(CV125:CY125)</f>
        <v>0</v>
      </c>
      <c r="DA125" s="2507">
        <f>DA119*DA124*3</f>
        <v>27.752867999999999</v>
      </c>
      <c r="DB125" s="2507">
        <f>DB119*DB124*3</f>
        <v>29.700905850000005</v>
      </c>
      <c r="DC125" s="2507">
        <f>DC119*DC124*3</f>
        <v>31.466188800000008</v>
      </c>
      <c r="DD125" s="2507">
        <f>DD119*DD124*3</f>
        <v>33.660056250000004</v>
      </c>
      <c r="DE125" s="965">
        <f>W125-SUM(DA125:DD125)</f>
        <v>0</v>
      </c>
    </row>
    <row r="126" spans="1:109" s="1477" customFormat="1" ht="11.25">
      <c r="A126" s="2501" t="s">
        <v>676</v>
      </c>
      <c r="T126" s="1640"/>
      <c r="U126" s="1644">
        <f>U125/T125-1</f>
        <v>2.4372641509433959</v>
      </c>
      <c r="V126" s="1640">
        <f t="shared" ref="V126:AG126" si="188">V125/U125-1</f>
        <v>0.42424866200082367</v>
      </c>
      <c r="W126" s="1640">
        <f t="shared" si="188"/>
        <v>0.46057715469480187</v>
      </c>
      <c r="X126" s="1640">
        <f t="shared" si="188"/>
        <v>0.20393703904054461</v>
      </c>
      <c r="Y126" s="1640">
        <f t="shared" si="188"/>
        <v>8.931506849315074E-2</v>
      </c>
      <c r="Z126" s="1640">
        <f t="shared" si="188"/>
        <v>0.10985915492957732</v>
      </c>
      <c r="AA126" s="1640">
        <f t="shared" si="188"/>
        <v>0.11591624365482267</v>
      </c>
      <c r="AB126" s="1640">
        <f t="shared" si="188"/>
        <v>0.11410491822294389</v>
      </c>
      <c r="AC126" s="1640">
        <f t="shared" si="188"/>
        <v>0.10386796443948776</v>
      </c>
      <c r="AD126" s="1640">
        <f t="shared" si="188"/>
        <v>9.547866731574195E-2</v>
      </c>
      <c r="AE126" s="1640">
        <f t="shared" si="188"/>
        <v>8.8486648695265346E-2</v>
      </c>
      <c r="AF126" s="1640">
        <f t="shared" si="188"/>
        <v>8.2576837590903063E-2</v>
      </c>
      <c r="AG126" s="1640">
        <f t="shared" si="188"/>
        <v>7.7522202393674355E-2</v>
      </c>
      <c r="CP126" s="2508"/>
      <c r="CZ126" s="1660"/>
      <c r="DE126" s="2937"/>
    </row>
    <row r="127" spans="1:109" s="1470" customFormat="1" ht="11.25">
      <c r="CP127" s="2511"/>
      <c r="CZ127" s="1660"/>
      <c r="DE127" s="2867"/>
    </row>
    <row r="128" spans="1:109" s="1470" customFormat="1" ht="11.25">
      <c r="A128" s="1494" t="s">
        <v>1718</v>
      </c>
      <c r="CP128" s="2511"/>
      <c r="CZ128" s="1660"/>
      <c r="DE128" s="2867"/>
    </row>
    <row r="129" spans="1:109" s="1470" customFormat="1" ht="11.25">
      <c r="A129" s="1746" t="s">
        <v>1705</v>
      </c>
      <c r="S129" s="2505"/>
      <c r="T129" s="2505"/>
      <c r="U129" s="2505">
        <v>9.99</v>
      </c>
      <c r="V129" s="2505">
        <f>U129</f>
        <v>9.99</v>
      </c>
      <c r="W129" s="2505">
        <f t="shared" ref="W129:Z129" si="189">V129</f>
        <v>9.99</v>
      </c>
      <c r="X129" s="2505">
        <f t="shared" si="189"/>
        <v>9.99</v>
      </c>
      <c r="Y129" s="2505">
        <f t="shared" si="189"/>
        <v>9.99</v>
      </c>
      <c r="Z129" s="3536">
        <f t="shared" si="189"/>
        <v>9.99</v>
      </c>
      <c r="AA129" s="3536">
        <f>Z129*1.02</f>
        <v>10.1898</v>
      </c>
      <c r="AB129" s="3536">
        <f>AA129*1.03</f>
        <v>10.495494000000001</v>
      </c>
      <c r="AC129" s="3536">
        <f t="shared" ref="AC129:AG129" si="190">AB129*1.03</f>
        <v>10.810358820000001</v>
      </c>
      <c r="AD129" s="3536">
        <f t="shared" si="190"/>
        <v>11.134669584600001</v>
      </c>
      <c r="AE129" s="3536">
        <f t="shared" si="190"/>
        <v>11.468709672138001</v>
      </c>
      <c r="AF129" s="3536">
        <f t="shared" si="190"/>
        <v>11.812770962302141</v>
      </c>
      <c r="AG129" s="3536">
        <f t="shared" si="190"/>
        <v>12.167154091171206</v>
      </c>
      <c r="CP129" s="2511"/>
      <c r="CQ129" s="2505">
        <v>9.99</v>
      </c>
      <c r="CR129" s="2505">
        <v>9.99</v>
      </c>
      <c r="CS129" s="2505">
        <v>9.99</v>
      </c>
      <c r="CT129" s="2505">
        <v>9.99</v>
      </c>
      <c r="CU129" s="2505"/>
      <c r="CV129" s="2505">
        <v>9.99</v>
      </c>
      <c r="CW129" s="2505">
        <v>9.99</v>
      </c>
      <c r="CX129" s="2505">
        <v>9.99</v>
      </c>
      <c r="CY129" s="2505">
        <v>9.99</v>
      </c>
      <c r="CZ129" s="1660"/>
      <c r="DA129" s="2505">
        <v>9.99</v>
      </c>
      <c r="DB129" s="2505">
        <v>9.99</v>
      </c>
      <c r="DC129" s="2505">
        <v>9.99</v>
      </c>
      <c r="DD129" s="2505">
        <v>9.99</v>
      </c>
      <c r="DE129" s="2867"/>
    </row>
    <row r="130" spans="1:109" s="1470" customFormat="1" ht="11.25">
      <c r="A130" s="1746" t="s">
        <v>1719</v>
      </c>
      <c r="S130" s="2505"/>
      <c r="T130" s="2505"/>
      <c r="U130" s="2505">
        <f>U129*0.9</f>
        <v>8.9909999999999997</v>
      </c>
      <c r="V130" s="2505">
        <f t="shared" ref="V130:AG130" si="191">V129*0.9</f>
        <v>8.9909999999999997</v>
      </c>
      <c r="W130" s="2505">
        <f t="shared" si="191"/>
        <v>8.9909999999999997</v>
      </c>
      <c r="X130" s="2505">
        <f t="shared" si="191"/>
        <v>8.9909999999999997</v>
      </c>
      <c r="Y130" s="2505">
        <f t="shared" si="191"/>
        <v>8.9909999999999997</v>
      </c>
      <c r="Z130" s="2505">
        <f t="shared" si="191"/>
        <v>8.9909999999999997</v>
      </c>
      <c r="AA130" s="2505">
        <f t="shared" si="191"/>
        <v>9.1708200000000009</v>
      </c>
      <c r="AB130" s="2505">
        <f t="shared" si="191"/>
        <v>9.4459446000000007</v>
      </c>
      <c r="AC130" s="2505">
        <f t="shared" si="191"/>
        <v>9.729322938000001</v>
      </c>
      <c r="AD130" s="2505">
        <f t="shared" si="191"/>
        <v>10.021202626140001</v>
      </c>
      <c r="AE130" s="2505">
        <f t="shared" si="191"/>
        <v>10.3218387049242</v>
      </c>
      <c r="AF130" s="2505">
        <f t="shared" si="191"/>
        <v>10.631493866071926</v>
      </c>
      <c r="AG130" s="2505">
        <f t="shared" si="191"/>
        <v>10.950438682054086</v>
      </c>
      <c r="CP130" s="2511"/>
      <c r="CQ130" s="2505">
        <f>CQ129*0.9</f>
        <v>8.9909999999999997</v>
      </c>
      <c r="CR130" s="2505">
        <f t="shared" ref="CR130:CT130" si="192">CR129*0.9</f>
        <v>8.9909999999999997</v>
      </c>
      <c r="CS130" s="2505">
        <f t="shared" si="192"/>
        <v>8.9909999999999997</v>
      </c>
      <c r="CT130" s="2505">
        <f t="shared" si="192"/>
        <v>8.9909999999999997</v>
      </c>
      <c r="CU130" s="2505"/>
      <c r="CV130" s="2505">
        <f>CV129*0.9</f>
        <v>8.9909999999999997</v>
      </c>
      <c r="CW130" s="2505">
        <f t="shared" ref="CW130" si="193">CW129*0.9</f>
        <v>8.9909999999999997</v>
      </c>
      <c r="CX130" s="2505">
        <f t="shared" ref="CX130" si="194">CX129*0.9</f>
        <v>8.9909999999999997</v>
      </c>
      <c r="CY130" s="2505">
        <f t="shared" ref="CY130" si="195">CY129*0.9</f>
        <v>8.9909999999999997</v>
      </c>
      <c r="CZ130" s="1660"/>
      <c r="DA130" s="2505">
        <f>DA129*0.9</f>
        <v>8.9909999999999997</v>
      </c>
      <c r="DB130" s="2505">
        <f t="shared" ref="DB130" si="196">DB129*0.9</f>
        <v>8.9909999999999997</v>
      </c>
      <c r="DC130" s="2505">
        <f t="shared" ref="DC130" si="197">DC129*0.9</f>
        <v>8.9909999999999997</v>
      </c>
      <c r="DD130" s="2505">
        <f t="shared" ref="DD130" si="198">DD129*0.9</f>
        <v>8.9909999999999997</v>
      </c>
      <c r="DE130" s="2867"/>
    </row>
    <row r="131" spans="1:109" s="862" customFormat="1" ht="11.25">
      <c r="A131" s="2500" t="s">
        <v>1706</v>
      </c>
      <c r="S131" s="1667"/>
      <c r="T131" s="1667"/>
      <c r="U131" s="2506">
        <f>SUM(CQ131:CT131)</f>
        <v>1.5239745000000011</v>
      </c>
      <c r="V131" s="2506">
        <f>SUM(CV131:CY131)</f>
        <v>28.476744749999995</v>
      </c>
      <c r="W131" s="2506">
        <f>SUM(DA131:DD131)</f>
        <v>63.135701099999999</v>
      </c>
      <c r="X131" s="2507">
        <f t="shared" ref="X131:AF131" si="199">X120*X130*12</f>
        <v>91.033875000000023</v>
      </c>
      <c r="Y131" s="2507">
        <f t="shared" si="199"/>
        <v>114.90498000000004</v>
      </c>
      <c r="Z131" s="2507">
        <f t="shared" si="199"/>
        <v>127.52834400000003</v>
      </c>
      <c r="AA131" s="2507">
        <f t="shared" si="199"/>
        <v>142.31095059600005</v>
      </c>
      <c r="AB131" s="2507">
        <f t="shared" si="199"/>
        <v>158.54932997598607</v>
      </c>
      <c r="AC131" s="2507">
        <f t="shared" si="199"/>
        <v>175.01752614383639</v>
      </c>
      <c r="AD131" s="2507">
        <f t="shared" si="199"/>
        <v>191.7279662969479</v>
      </c>
      <c r="AE131" s="2507">
        <f t="shared" si="199"/>
        <v>208.69333149572367</v>
      </c>
      <c r="AF131" s="2507">
        <f t="shared" si="199"/>
        <v>225.92656683695049</v>
      </c>
      <c r="AG131" s="2507">
        <f t="shared" ref="AG131" si="200">AG120*AG130*12</f>
        <v>243.44089187739263</v>
      </c>
      <c r="AM131" s="863"/>
      <c r="CJ131" s="2507"/>
      <c r="CK131" s="1589"/>
      <c r="CL131" s="2507"/>
      <c r="CM131" s="2507"/>
      <c r="CN131" s="2507"/>
      <c r="CO131" s="2507"/>
      <c r="CP131" s="965">
        <f>T131-SUM(CL131:CO131)</f>
        <v>0</v>
      </c>
      <c r="CQ131" s="2507">
        <f>CQ120*CQ130*3</f>
        <v>0</v>
      </c>
      <c r="CR131" s="2507">
        <f>CR120*CR130*3</f>
        <v>0</v>
      </c>
      <c r="CS131" s="2507">
        <f>CS120*CS130*3</f>
        <v>0</v>
      </c>
      <c r="CT131" s="2507">
        <f>CT120*CT130*3</f>
        <v>1.5239745000000011</v>
      </c>
      <c r="CU131" s="965">
        <f>U131-SUM(CQ131:CT131)</f>
        <v>0</v>
      </c>
      <c r="CV131" s="2507">
        <f>CV120*CV130*3</f>
        <v>3.3176789999999992</v>
      </c>
      <c r="CW131" s="2507">
        <f>CW120*CW130*3</f>
        <v>5.6845597500000009</v>
      </c>
      <c r="CX131" s="2507">
        <f>CX120*CX130*3</f>
        <v>8.955035999999998</v>
      </c>
      <c r="CY131" s="2507">
        <f>CY120*CY130*3</f>
        <v>10.519469999999998</v>
      </c>
      <c r="CZ131" s="965">
        <f>V131-SUM(CV131:CY131)</f>
        <v>0</v>
      </c>
      <c r="DA131" s="2507">
        <f>DA120*DA130*3</f>
        <v>13.054931999999997</v>
      </c>
      <c r="DB131" s="2507">
        <f>DB120*DB130*3</f>
        <v>14.796039149999999</v>
      </c>
      <c r="DC131" s="2507">
        <f>DC120*DC130*3</f>
        <v>16.572211200000002</v>
      </c>
      <c r="DD131" s="2507">
        <f>DD120*DD130*3</f>
        <v>18.712518750000001</v>
      </c>
      <c r="DE131" s="965">
        <f>W131-SUM(DA131:DD131)</f>
        <v>0</v>
      </c>
    </row>
    <row r="132" spans="1:109" s="1470" customFormat="1" ht="11.25">
      <c r="A132" s="2501" t="s">
        <v>676</v>
      </c>
      <c r="U132" s="1640"/>
      <c r="V132" s="1640"/>
      <c r="W132" s="1644">
        <f t="shared" ref="W132:AE132" si="201">W131/V131-1</f>
        <v>1.2170968505801567</v>
      </c>
      <c r="X132" s="1640">
        <f t="shared" si="201"/>
        <v>0.44187636177211975</v>
      </c>
      <c r="Y132" s="1640">
        <f t="shared" si="201"/>
        <v>0.26222222222222236</v>
      </c>
      <c r="Z132" s="1640">
        <f t="shared" si="201"/>
        <v>0.10985915492957732</v>
      </c>
      <c r="AA132" s="1640">
        <f t="shared" si="201"/>
        <v>0.11591624365482245</v>
      </c>
      <c r="AB132" s="1640">
        <f t="shared" si="201"/>
        <v>0.11410491822294411</v>
      </c>
      <c r="AC132" s="1640">
        <f t="shared" si="201"/>
        <v>0.10386796443948776</v>
      </c>
      <c r="AD132" s="1640">
        <f t="shared" si="201"/>
        <v>9.547866731574195E-2</v>
      </c>
      <c r="AE132" s="1640">
        <f t="shared" si="201"/>
        <v>8.848664869526579E-2</v>
      </c>
      <c r="AF132" s="1640">
        <f>AF131/AE131-1</f>
        <v>8.2576837590902841E-2</v>
      </c>
      <c r="AG132" s="1640">
        <f>AG131/AF131-1</f>
        <v>7.7522202393674577E-2</v>
      </c>
      <c r="CP132" s="2511"/>
      <c r="CQ132" s="1438"/>
      <c r="CV132" s="1438"/>
      <c r="CZ132" s="1660"/>
      <c r="DE132" s="2867"/>
    </row>
    <row r="133" spans="1:109" s="1470" customFormat="1" ht="11.25">
      <c r="CP133" s="2511"/>
      <c r="CZ133" s="1660"/>
      <c r="DE133" s="2867"/>
    </row>
    <row r="134" spans="1:109" s="1470" customFormat="1" ht="11.25">
      <c r="A134" s="1494" t="s">
        <v>1716</v>
      </c>
      <c r="CP134" s="2511"/>
      <c r="CZ134" s="1660"/>
      <c r="DE134" s="2867"/>
    </row>
    <row r="135" spans="1:109" s="1470" customFormat="1" ht="11.25">
      <c r="A135" s="1746" t="s">
        <v>1712</v>
      </c>
      <c r="S135" s="2514">
        <f t="shared" ref="S135:X135" si="202">T135/1.03</f>
        <v>2.9311948983927896</v>
      </c>
      <c r="T135" s="2514">
        <f t="shared" si="202"/>
        <v>3.0191307453445733</v>
      </c>
      <c r="U135" s="2514">
        <f t="shared" si="202"/>
        <v>3.1097046677049107</v>
      </c>
      <c r="V135" s="2514">
        <f t="shared" si="202"/>
        <v>3.2029958077360581</v>
      </c>
      <c r="W135" s="2514">
        <f t="shared" si="202"/>
        <v>3.29908568196814</v>
      </c>
      <c r="X135" s="2514">
        <f t="shared" si="202"/>
        <v>3.3980582524271843</v>
      </c>
      <c r="Y135" s="2505">
        <v>3.5</v>
      </c>
      <c r="Z135" s="2514">
        <f>Y135*(1+Z136)</f>
        <v>3.5979999999999999</v>
      </c>
      <c r="AA135" s="2514">
        <f t="shared" ref="AA135:AG135" si="203">Z135*(1+AA136)</f>
        <v>3.6915480000000001</v>
      </c>
      <c r="AB135" s="2514">
        <f t="shared" si="203"/>
        <v>3.7801451520000002</v>
      </c>
      <c r="AC135" s="2514">
        <f t="shared" si="203"/>
        <v>3.8633083453440005</v>
      </c>
      <c r="AD135" s="2514">
        <f t="shared" si="203"/>
        <v>3.9405745122508806</v>
      </c>
      <c r="AE135" s="2514">
        <f t="shared" si="203"/>
        <v>4.0193860024958985</v>
      </c>
      <c r="AF135" s="2514">
        <f t="shared" si="203"/>
        <v>4.0997737225458168</v>
      </c>
      <c r="AG135" s="2514">
        <f t="shared" si="203"/>
        <v>4.1817691969967337</v>
      </c>
      <c r="CJ135" s="2505">
        <v>0</v>
      </c>
      <c r="CL135" s="2509">
        <f>T135</f>
        <v>3.0191307453445733</v>
      </c>
      <c r="CM135" s="2514">
        <f>CL135</f>
        <v>3.0191307453445733</v>
      </c>
      <c r="CN135" s="2514">
        <f>CM135</f>
        <v>3.0191307453445733</v>
      </c>
      <c r="CO135" s="2514">
        <f>CN135</f>
        <v>3.0191307453445733</v>
      </c>
      <c r="CP135" s="2511"/>
      <c r="CQ135" s="2509">
        <f>U135</f>
        <v>3.1097046677049107</v>
      </c>
      <c r="CR135" s="2514">
        <f>CQ135</f>
        <v>3.1097046677049107</v>
      </c>
      <c r="CS135" s="2514">
        <f>CR135</f>
        <v>3.1097046677049107</v>
      </c>
      <c r="CT135" s="2514">
        <f>CS135</f>
        <v>3.1097046677049107</v>
      </c>
      <c r="CV135" s="2509">
        <f>V135</f>
        <v>3.2029958077360581</v>
      </c>
      <c r="CW135" s="2514">
        <f>CV135</f>
        <v>3.2029958077360581</v>
      </c>
      <c r="CX135" s="2514">
        <f>CW135</f>
        <v>3.2029958077360581</v>
      </c>
      <c r="CY135" s="2514">
        <f>CX135</f>
        <v>3.2029958077360581</v>
      </c>
      <c r="CZ135" s="1660"/>
      <c r="DA135" s="2509">
        <f>W135</f>
        <v>3.29908568196814</v>
      </c>
      <c r="DB135" s="2514">
        <f>DA135</f>
        <v>3.29908568196814</v>
      </c>
      <c r="DC135" s="2514">
        <f>DB135</f>
        <v>3.29908568196814</v>
      </c>
      <c r="DD135" s="2514">
        <f>DC135</f>
        <v>3.29908568196814</v>
      </c>
      <c r="DE135" s="2867"/>
    </row>
    <row r="136" spans="1:109" s="1470" customFormat="1" ht="11.25">
      <c r="A136" s="2501" t="s">
        <v>676</v>
      </c>
      <c r="T136" s="1640">
        <f t="shared" ref="T136:Y136" si="204">T135/S135-1</f>
        <v>3.0000000000000027E-2</v>
      </c>
      <c r="U136" s="1640">
        <f t="shared" si="204"/>
        <v>3.0000000000000027E-2</v>
      </c>
      <c r="V136" s="1640">
        <f t="shared" si="204"/>
        <v>3.0000000000000027E-2</v>
      </c>
      <c r="W136" s="1640">
        <f t="shared" si="204"/>
        <v>3.0000000000000027E-2</v>
      </c>
      <c r="X136" s="1640">
        <f t="shared" si="204"/>
        <v>3.0000000000000027E-2</v>
      </c>
      <c r="Y136" s="1640">
        <f t="shared" si="204"/>
        <v>3.0000000000000027E-2</v>
      </c>
      <c r="Z136" s="1641">
        <f>MAX(Y136-0.2%, 2%)</f>
        <v>2.8000000000000025E-2</v>
      </c>
      <c r="AA136" s="1641">
        <f t="shared" ref="AA136:AG136" si="205">MAX(Z136-0.2%, 2%)</f>
        <v>2.6000000000000023E-2</v>
      </c>
      <c r="AB136" s="1641">
        <f t="shared" si="205"/>
        <v>2.4000000000000021E-2</v>
      </c>
      <c r="AC136" s="1641">
        <f t="shared" si="205"/>
        <v>2.200000000000002E-2</v>
      </c>
      <c r="AD136" s="1641">
        <f t="shared" si="205"/>
        <v>2.0000000000000018E-2</v>
      </c>
      <c r="AE136" s="1641">
        <f t="shared" si="205"/>
        <v>0.02</v>
      </c>
      <c r="AF136" s="1641">
        <f t="shared" si="205"/>
        <v>0.02</v>
      </c>
      <c r="AG136" s="1641">
        <f t="shared" si="205"/>
        <v>0.02</v>
      </c>
      <c r="CL136" s="1579"/>
      <c r="CP136" s="2511"/>
      <c r="CV136" s="1640">
        <f>CV135/CQ135-1</f>
        <v>3.0000000000000027E-2</v>
      </c>
      <c r="CW136" s="1640">
        <f t="shared" ref="CW136" si="206">CW135/CR135-1</f>
        <v>3.0000000000000027E-2</v>
      </c>
      <c r="CX136" s="1640">
        <f t="shared" ref="CX136" si="207">CX135/CS135-1</f>
        <v>3.0000000000000027E-2</v>
      </c>
      <c r="CY136" s="1640">
        <f t="shared" ref="CY136" si="208">CY135/CT135-1</f>
        <v>3.0000000000000027E-2</v>
      </c>
      <c r="CZ136" s="1660"/>
      <c r="DA136" s="1640">
        <f>DA135/CV135-1</f>
        <v>3.0000000000000027E-2</v>
      </c>
      <c r="DB136" s="1640">
        <f t="shared" ref="DB136:DD136" si="209">DB135/CW135-1</f>
        <v>3.0000000000000027E-2</v>
      </c>
      <c r="DC136" s="1640">
        <f t="shared" si="209"/>
        <v>3.0000000000000027E-2</v>
      </c>
      <c r="DD136" s="1640">
        <f t="shared" si="209"/>
        <v>3.0000000000000027E-2</v>
      </c>
      <c r="DE136" s="2867"/>
    </row>
    <row r="137" spans="1:109" s="862" customFormat="1" ht="11.25">
      <c r="A137" s="2500" t="s">
        <v>1713</v>
      </c>
      <c r="S137" s="2506">
        <f>SUM(CJ137)</f>
        <v>0</v>
      </c>
      <c r="T137" s="2506">
        <f>SUM(CL137:CO137)</f>
        <v>9.6008357701957436</v>
      </c>
      <c r="U137" s="2506">
        <f>SUM(CQ137:CT137)</f>
        <v>33.990626870348521</v>
      </c>
      <c r="V137" s="2506">
        <f>SUM(CV137:CY137)</f>
        <v>49.863437985883024</v>
      </c>
      <c r="W137" s="2507">
        <f t="shared" ref="W137:AF137" si="210">W119*W135*12</f>
        <v>75.014280328023389</v>
      </c>
      <c r="X137" s="2507">
        <f t="shared" si="210"/>
        <v>93.021844660194191</v>
      </c>
      <c r="Y137" s="2507">
        <f t="shared" si="210"/>
        <v>104.37000000000002</v>
      </c>
      <c r="Z137" s="2507">
        <f t="shared" si="210"/>
        <v>119.07940799999999</v>
      </c>
      <c r="AA137" s="2507">
        <f t="shared" si="210"/>
        <v>133.66430829360002</v>
      </c>
      <c r="AB137" s="2507">
        <f t="shared" si="210"/>
        <v>148.04859104759808</v>
      </c>
      <c r="AC137" s="2507">
        <f t="shared" si="210"/>
        <v>162.15676793036786</v>
      </c>
      <c r="AD137" s="2507">
        <f t="shared" si="210"/>
        <v>175.91462682442639</v>
      </c>
      <c r="AE137" s="2507">
        <f t="shared" si="210"/>
        <v>189.62168646676713</v>
      </c>
      <c r="AF137" s="2507">
        <f t="shared" si="210"/>
        <v>203.28703552167326</v>
      </c>
      <c r="AG137" s="2507">
        <f t="shared" ref="AG137" si="211">AG119*AG135*12</f>
        <v>216.91963118258485</v>
      </c>
      <c r="CJ137" s="2507">
        <f>CJ119*CJ135*3</f>
        <v>0</v>
      </c>
      <c r="CK137" s="1589"/>
      <c r="CL137" s="2507">
        <f>CL119*CL135*3</f>
        <v>0.76987834006286626</v>
      </c>
      <c r="CM137" s="2507">
        <f>CM119*CM135*3</f>
        <v>1.6303306024860695</v>
      </c>
      <c r="CN137" s="2507">
        <f>CN119*CN135*3</f>
        <v>2.8530785543506219</v>
      </c>
      <c r="CO137" s="2507">
        <f>CO119*CO135*3</f>
        <v>4.3475482732961854</v>
      </c>
      <c r="CP137" s="965">
        <f>T137-SUM(CL137:CO137)</f>
        <v>0</v>
      </c>
      <c r="CQ137" s="2507">
        <f>CQ119*CQ135*3</f>
        <v>6.2505063820868703</v>
      </c>
      <c r="CR137" s="2507">
        <f>CR119*CR135*3</f>
        <v>8.1163291827098174</v>
      </c>
      <c r="CS137" s="2507">
        <f>CS119*CS135*3</f>
        <v>9.6089874232081733</v>
      </c>
      <c r="CT137" s="2507">
        <f>CT119*CT135*3</f>
        <v>10.014803882343664</v>
      </c>
      <c r="CU137" s="965">
        <f>U137-SUM(CQ137:CT137)</f>
        <v>0</v>
      </c>
      <c r="CV137" s="2507">
        <f>CV119*CV135*3</f>
        <v>10.637149077491449</v>
      </c>
      <c r="CW137" s="2507">
        <f>CW119*CW135*3</f>
        <v>11.475533230166363</v>
      </c>
      <c r="CX137" s="2507">
        <f>CX119*CX135*3</f>
        <v>12.76073529802046</v>
      </c>
      <c r="CY137" s="2507">
        <f>CY119*CY135*3</f>
        <v>14.990020380204754</v>
      </c>
      <c r="CZ137" s="965">
        <f>V137-SUM(CV137:CY137)</f>
        <v>0</v>
      </c>
      <c r="DA137" s="2507">
        <f>DA119*DA135*3</f>
        <v>16.983693090771986</v>
      </c>
      <c r="DB137" s="2507">
        <f>DB119*DB135*3</f>
        <v>18.175817701951171</v>
      </c>
      <c r="DC137" s="2507">
        <f>DC119*DC135*3</f>
        <v>19.256103308511644</v>
      </c>
      <c r="DD137" s="2507">
        <f>DD119*DD135*3</f>
        <v>20.598666226788577</v>
      </c>
      <c r="DE137" s="965">
        <f>W137-SUM(DA137:DD137)</f>
        <v>0</v>
      </c>
    </row>
    <row r="138" spans="1:109" s="1470" customFormat="1" ht="11.25">
      <c r="A138" s="2501" t="s">
        <v>676</v>
      </c>
      <c r="S138" s="1477"/>
      <c r="T138" s="1640"/>
      <c r="U138" s="1644">
        <f t="shared" ref="U138:Z138" si="212">U137/T137-1</f>
        <v>2.5403820754716975</v>
      </c>
      <c r="V138" s="1640">
        <f t="shared" si="212"/>
        <v>0.46697612186084858</v>
      </c>
      <c r="W138" s="1640">
        <f t="shared" si="212"/>
        <v>0.50439446933564613</v>
      </c>
      <c r="X138" s="1640">
        <f t="shared" si="212"/>
        <v>0.24005515021176094</v>
      </c>
      <c r="Y138" s="1640">
        <f t="shared" si="212"/>
        <v>0.12199452054794513</v>
      </c>
      <c r="Z138" s="1640">
        <f t="shared" si="212"/>
        <v>0.14093521126760522</v>
      </c>
      <c r="AA138" s="1640">
        <f t="shared" ref="AA138:AG138" si="213">AA137/Z137-1</f>
        <v>0.12248045685279219</v>
      </c>
      <c r="AB138" s="1640">
        <f t="shared" si="213"/>
        <v>0.10761498666048008</v>
      </c>
      <c r="AC138" s="1640">
        <f t="shared" si="213"/>
        <v>9.5294232676851109E-2</v>
      </c>
      <c r="AD138" s="1640">
        <f t="shared" si="213"/>
        <v>8.4842952099084323E-2</v>
      </c>
      <c r="AE138" s="1640">
        <f t="shared" si="213"/>
        <v>7.7918817154535081E-2</v>
      </c>
      <c r="AF138" s="1640">
        <f t="shared" si="213"/>
        <v>7.2066382857010947E-2</v>
      </c>
      <c r="AG138" s="1640">
        <f t="shared" si="213"/>
        <v>6.7060821787910729E-2</v>
      </c>
      <c r="CP138" s="2511"/>
      <c r="CV138" s="2510">
        <f>CV137/CQ137-1</f>
        <v>0.70180597014925383</v>
      </c>
      <c r="CW138" s="2510">
        <f>CW137/CR137-1</f>
        <v>0.41388218390804599</v>
      </c>
      <c r="CX138" s="2510">
        <f>CX137/CS137-1</f>
        <v>0.32800000000000074</v>
      </c>
      <c r="CY138" s="2510">
        <f>CY137/CT137-1</f>
        <v>0.49678621332091333</v>
      </c>
      <c r="DA138" s="2510">
        <f>DA137/CV137-1</f>
        <v>0.59663956639566429</v>
      </c>
      <c r="DB138" s="2510">
        <f>DB137/CW137-1</f>
        <v>0.58387565417626108</v>
      </c>
      <c r="DC138" s="2510">
        <f>DC137/CX137-1</f>
        <v>0.50901204819277091</v>
      </c>
      <c r="DD138" s="2510">
        <f>DD137/CY137-1</f>
        <v>0.37415865384615388</v>
      </c>
      <c r="DE138" s="2867"/>
    </row>
    <row r="139" spans="1:109" s="862" customFormat="1" ht="11.25">
      <c r="CL139" s="1470"/>
      <c r="CM139" s="1470"/>
      <c r="CN139" s="1470"/>
      <c r="CO139" s="1470"/>
      <c r="CP139" s="2503"/>
      <c r="CV139" s="1470"/>
      <c r="CW139" s="1470"/>
      <c r="CX139" s="1470"/>
      <c r="CY139" s="1470"/>
      <c r="DA139" s="1470"/>
      <c r="DB139" s="1470"/>
      <c r="DC139" s="1470"/>
      <c r="DD139" s="1470"/>
      <c r="DE139" s="2867"/>
    </row>
    <row r="140" spans="1:109" s="43" customFormat="1" ht="11.25">
      <c r="A140" s="43" t="s">
        <v>1715</v>
      </c>
      <c r="S140" s="2513">
        <f t="shared" ref="S140:AF140" si="214">(S125+S131)/S143</f>
        <v>1</v>
      </c>
      <c r="T140" s="2066">
        <f t="shared" si="214"/>
        <v>0.64101262670430981</v>
      </c>
      <c r="U140" s="2066">
        <f t="shared" si="214"/>
        <v>0.64008583993450296</v>
      </c>
      <c r="V140" s="2066">
        <f t="shared" si="214"/>
        <v>0.69270542410669256</v>
      </c>
      <c r="W140" s="2066">
        <f t="shared" si="214"/>
        <v>0.71229133496855668</v>
      </c>
      <c r="X140" s="2066">
        <f t="shared" si="214"/>
        <v>0.71950479147294566</v>
      </c>
      <c r="Y140" s="2066">
        <f t="shared" si="214"/>
        <v>0.72536711131039122</v>
      </c>
      <c r="Z140" s="2066">
        <f t="shared" si="214"/>
        <v>0.71983180564207527</v>
      </c>
      <c r="AA140" s="2066">
        <f t="shared" si="214"/>
        <v>0.71864744002060166</v>
      </c>
      <c r="AB140" s="2066">
        <f t="shared" si="214"/>
        <v>0.71982719861325795</v>
      </c>
      <c r="AC140" s="2066">
        <f t="shared" si="214"/>
        <v>0.72139703027838531</v>
      </c>
      <c r="AD140" s="2066">
        <f t="shared" si="214"/>
        <v>0.72335361732640491</v>
      </c>
      <c r="AE140" s="2066">
        <f t="shared" si="214"/>
        <v>0.72530169587505389</v>
      </c>
      <c r="AF140" s="2066">
        <f t="shared" si="214"/>
        <v>0.72724122919884682</v>
      </c>
      <c r="AG140" s="2066">
        <f t="shared" ref="AG140" si="215">(AG125+AG131)/AG143</f>
        <v>0.72917218170354436</v>
      </c>
      <c r="CJ140" s="2066">
        <f>(CJ125+CJ131)/CJ143</f>
        <v>1</v>
      </c>
      <c r="CL140" s="2066">
        <f>(CL125+CL131)/CL143</f>
        <v>0.64101262670430981</v>
      </c>
      <c r="CM140" s="2066">
        <f>(CM125+CM131)/CM143</f>
        <v>0.64101262670430992</v>
      </c>
      <c r="CN140" s="2066">
        <f>(CN125+CN131)/CN143</f>
        <v>0.64101262670430981</v>
      </c>
      <c r="CO140" s="2066">
        <f>(CO125+CO131)/CO143</f>
        <v>0.64101262670430981</v>
      </c>
      <c r="CP140" s="2503"/>
      <c r="CQ140" s="2066">
        <f t="shared" ref="CQ140:CY140" si="216">(CQ125+CQ131)/CQ143</f>
        <v>0.63418271904927925</v>
      </c>
      <c r="CR140" s="2066">
        <f t="shared" si="216"/>
        <v>0.63418271904927925</v>
      </c>
      <c r="CS140" s="2066">
        <f t="shared" si="216"/>
        <v>0.63418271904927925</v>
      </c>
      <c r="CT140" s="2066">
        <f t="shared" si="216"/>
        <v>0.65347291561470289</v>
      </c>
      <c r="CU140" s="862"/>
      <c r="CV140" s="2066">
        <f t="shared" si="216"/>
        <v>0.66611099682196528</v>
      </c>
      <c r="CW140" s="2066">
        <f t="shared" si="216"/>
        <v>0.68538373757742188</v>
      </c>
      <c r="CX140" s="2066">
        <f t="shared" si="216"/>
        <v>0.70456826192599153</v>
      </c>
      <c r="CY140" s="2066">
        <f t="shared" si="216"/>
        <v>0.70456826192599153</v>
      </c>
      <c r="DA140" s="2066">
        <f t="shared" ref="DA140:DD140" si="217">(DA125+DA131)/DA143</f>
        <v>0.70612122680242873</v>
      </c>
      <c r="DB140" s="2066">
        <f t="shared" si="217"/>
        <v>0.70998856730811855</v>
      </c>
      <c r="DC140" s="2066">
        <f t="shared" si="217"/>
        <v>0.71385325157640234</v>
      </c>
      <c r="DD140" s="2066">
        <f t="shared" si="217"/>
        <v>0.71771528234294901</v>
      </c>
      <c r="DE140" s="2937"/>
    </row>
    <row r="141" spans="1:109" s="43" customFormat="1" ht="11.25">
      <c r="A141" s="43" t="s">
        <v>1714</v>
      </c>
      <c r="S141" s="2513">
        <f t="shared" ref="S141:X141" si="218">S137/S143</f>
        <v>0</v>
      </c>
      <c r="T141" s="2066">
        <f t="shared" si="218"/>
        <v>0.35898737329569019</v>
      </c>
      <c r="U141" s="2066">
        <f t="shared" si="218"/>
        <v>0.35991416006549709</v>
      </c>
      <c r="V141" s="2066">
        <f t="shared" si="218"/>
        <v>0.3072945758933075</v>
      </c>
      <c r="W141" s="2066">
        <f t="shared" si="218"/>
        <v>0.28770866503144327</v>
      </c>
      <c r="X141" s="2066">
        <f t="shared" si="218"/>
        <v>0.28049520852705434</v>
      </c>
      <c r="Y141" s="2066">
        <f t="shared" ref="Y141:AF141" si="219">Y137/Y143</f>
        <v>0.27463288868960878</v>
      </c>
      <c r="Z141" s="2066">
        <f t="shared" si="219"/>
        <v>0.28016819435792467</v>
      </c>
      <c r="AA141" s="2066">
        <f t="shared" si="219"/>
        <v>0.28135255997939829</v>
      </c>
      <c r="AB141" s="2066">
        <f t="shared" si="219"/>
        <v>0.28017280138674217</v>
      </c>
      <c r="AC141" s="2066">
        <f t="shared" si="219"/>
        <v>0.27860296972161464</v>
      </c>
      <c r="AD141" s="2066">
        <f t="shared" si="219"/>
        <v>0.27664638267359515</v>
      </c>
      <c r="AE141" s="2066">
        <f t="shared" si="219"/>
        <v>0.27469830412494606</v>
      </c>
      <c r="AF141" s="2066">
        <f t="shared" si="219"/>
        <v>0.27275877080115324</v>
      </c>
      <c r="AG141" s="2066">
        <f t="shared" ref="AG141" si="220">AG137/AG143</f>
        <v>0.27082781829645564</v>
      </c>
      <c r="CJ141" s="2066">
        <f>CJ137/CJ143</f>
        <v>0</v>
      </c>
      <c r="CL141" s="2066">
        <f>CL137/CL143</f>
        <v>0.35898737329569019</v>
      </c>
      <c r="CM141" s="2066">
        <f>CM137/CM143</f>
        <v>0.35898737329569019</v>
      </c>
      <c r="CN141" s="2066">
        <f>CN137/CN143</f>
        <v>0.35898737329569014</v>
      </c>
      <c r="CO141" s="2066">
        <f>CO137/CO143</f>
        <v>0.35898737329569014</v>
      </c>
      <c r="CP141" s="2503"/>
      <c r="CQ141" s="2066">
        <f t="shared" ref="CQ141:CY141" si="221">CQ137/CQ143</f>
        <v>0.36581728095072069</v>
      </c>
      <c r="CR141" s="2066">
        <f t="shared" si="221"/>
        <v>0.36581728095072075</v>
      </c>
      <c r="CS141" s="2066">
        <f t="shared" si="221"/>
        <v>0.3658172809507208</v>
      </c>
      <c r="CT141" s="2066">
        <f t="shared" si="221"/>
        <v>0.34652708438529706</v>
      </c>
      <c r="CU141" s="862"/>
      <c r="CV141" s="2066">
        <f t="shared" si="221"/>
        <v>0.33388900317803466</v>
      </c>
      <c r="CW141" s="2066">
        <f t="shared" si="221"/>
        <v>0.31461626242257801</v>
      </c>
      <c r="CX141" s="2066">
        <f t="shared" si="221"/>
        <v>0.29543173807400852</v>
      </c>
      <c r="CY141" s="2066">
        <f t="shared" si="221"/>
        <v>0.29543173807400841</v>
      </c>
      <c r="DA141" s="2066">
        <f t="shared" ref="DA141:DD141" si="222">DA137/DA143</f>
        <v>0.29387877319757122</v>
      </c>
      <c r="DB141" s="2066">
        <f t="shared" si="222"/>
        <v>0.29001143269188145</v>
      </c>
      <c r="DC141" s="2066">
        <f t="shared" si="222"/>
        <v>0.28614674842359766</v>
      </c>
      <c r="DD141" s="2066">
        <f t="shared" si="222"/>
        <v>0.28228471765705104</v>
      </c>
      <c r="DE141" s="2937"/>
    </row>
    <row r="142" spans="1:109" s="862" customFormat="1" ht="11.25">
      <c r="CL142" s="1470"/>
      <c r="CM142" s="1470"/>
      <c r="CN142" s="1470"/>
      <c r="CO142" s="1470"/>
      <c r="CP142" s="1470"/>
      <c r="CQ142" s="1470"/>
      <c r="CR142" s="1470"/>
      <c r="CS142" s="1470"/>
      <c r="CT142" s="1470"/>
      <c r="CV142" s="1470"/>
      <c r="CW142" s="1470"/>
      <c r="CX142" s="1470"/>
      <c r="CY142" s="1470"/>
      <c r="DA142" s="1470"/>
      <c r="DB142" s="1470"/>
      <c r="DC142" s="1470"/>
      <c r="DD142" s="1470"/>
      <c r="DE142" s="2867"/>
    </row>
    <row r="143" spans="1:109" s="862" customFormat="1" ht="11.25">
      <c r="A143" s="36" t="s">
        <v>675</v>
      </c>
      <c r="S143" s="2373">
        <f t="shared" ref="S143:AF143" si="223">S125+S131+S137</f>
        <v>0.40432500000000005</v>
      </c>
      <c r="T143" s="2373">
        <f t="shared" si="223"/>
        <v>26.744215770195744</v>
      </c>
      <c r="U143" s="2373">
        <f t="shared" si="223"/>
        <v>94.44092687034852</v>
      </c>
      <c r="V143" s="2373">
        <f t="shared" si="223"/>
        <v>162.26592298588304</v>
      </c>
      <c r="W143" s="2373">
        <f t="shared" si="223"/>
        <v>260.73000032802344</v>
      </c>
      <c r="X143" s="2373">
        <f t="shared" si="223"/>
        <v>331.63434466019424</v>
      </c>
      <c r="Y143" s="2373">
        <f t="shared" si="223"/>
        <v>380.03460000000007</v>
      </c>
      <c r="Z143" s="2373">
        <f t="shared" si="223"/>
        <v>425.02828800000003</v>
      </c>
      <c r="AA143" s="2373">
        <f t="shared" si="223"/>
        <v>475.07763321360011</v>
      </c>
      <c r="AB143" s="2373">
        <f t="shared" si="223"/>
        <v>528.41885548781818</v>
      </c>
      <c r="AC143" s="2373">
        <f t="shared" si="223"/>
        <v>582.0353174713033</v>
      </c>
      <c r="AD143" s="2373">
        <f t="shared" si="223"/>
        <v>635.88262070999701</v>
      </c>
      <c r="AE143" s="2373">
        <f t="shared" si="223"/>
        <v>690.29070663835637</v>
      </c>
      <c r="AF143" s="2373">
        <f t="shared" si="223"/>
        <v>745.29972005876834</v>
      </c>
      <c r="AG143" s="2373">
        <f t="shared" ref="AG143" si="224">AG125+AG131+AG137</f>
        <v>800.95033275030346</v>
      </c>
      <c r="CJ143" s="2373">
        <f>CJ125+CJ131+CJ137</f>
        <v>0.40432500000000005</v>
      </c>
      <c r="CK143" s="863"/>
      <c r="CL143" s="2373">
        <f>CL125+CL131+CL137</f>
        <v>2.1445833400628662</v>
      </c>
      <c r="CM143" s="2373">
        <f>CM125+CM131+CM137</f>
        <v>4.5414706024860694</v>
      </c>
      <c r="CN143" s="2373">
        <f>CN125+CN131+CN137</f>
        <v>7.9475735543506225</v>
      </c>
      <c r="CO143" s="2373">
        <f>CO125+CO131+CO137</f>
        <v>12.110588273296186</v>
      </c>
      <c r="CP143" s="965">
        <f>T143-SUM(CL143:CO143)</f>
        <v>0</v>
      </c>
      <c r="CQ143" s="2373">
        <f>CQ125+CQ131+CQ137</f>
        <v>17.086416382086874</v>
      </c>
      <c r="CR143" s="2373">
        <f>CR125+CR131+CR137</f>
        <v>22.186839182709818</v>
      </c>
      <c r="CS143" s="2373">
        <f>CS125+CS131+CS137</f>
        <v>26.267177423208171</v>
      </c>
      <c r="CT143" s="2373">
        <f>CT125+CT131+CT137</f>
        <v>28.90049388234366</v>
      </c>
      <c r="CU143" s="965">
        <f>U143-SUM(CQ143:CT143)</f>
        <v>0</v>
      </c>
      <c r="CV143" s="2373">
        <f>CV125+CV131+CV137</f>
        <v>31.858339077491451</v>
      </c>
      <c r="CW143" s="2373">
        <f>CW125+CW131+CW137</f>
        <v>36.474698230166368</v>
      </c>
      <c r="CX143" s="2373">
        <f>CX125+CX131+CX137</f>
        <v>43.193515298020458</v>
      </c>
      <c r="CY143" s="2373">
        <f>CY125+CY131+CY137</f>
        <v>50.739370380204761</v>
      </c>
      <c r="CZ143" s="965">
        <f>V143-SUM(CV143:CY143)</f>
        <v>0</v>
      </c>
      <c r="DA143" s="2373">
        <f>DA125+DA131+DA137</f>
        <v>57.791493090771986</v>
      </c>
      <c r="DB143" s="2373">
        <f>DB125+DB131+DB137</f>
        <v>62.672762701951171</v>
      </c>
      <c r="DC143" s="2373">
        <f>DC125+DC131+DC137</f>
        <v>67.294503308511651</v>
      </c>
      <c r="DD143" s="2373">
        <f>DD125+DD131+DD137</f>
        <v>72.971241226788578</v>
      </c>
      <c r="DE143" s="965">
        <f>W143-SUM(DA143:DD143)</f>
        <v>0</v>
      </c>
    </row>
    <row r="144" spans="1:109" s="862" customFormat="1" ht="11.25">
      <c r="A144" s="2501" t="s">
        <v>676</v>
      </c>
      <c r="U144" s="1644">
        <f t="shared" ref="U144:Z144" si="225">U143/T143-1</f>
        <v>2.5312655148256491</v>
      </c>
      <c r="V144" s="1640">
        <f t="shared" si="225"/>
        <v>0.7181737660055667</v>
      </c>
      <c r="W144" s="1640">
        <f t="shared" si="225"/>
        <v>0.60680687312706239</v>
      </c>
      <c r="X144" s="1640">
        <f t="shared" si="225"/>
        <v>0.27194547709495009</v>
      </c>
      <c r="Y144" s="1640">
        <f t="shared" si="225"/>
        <v>0.14594464089477421</v>
      </c>
      <c r="Z144" s="1640">
        <f t="shared" si="225"/>
        <v>0.11839366205077106</v>
      </c>
      <c r="AA144" s="1640">
        <f t="shared" ref="AA144:AG144" si="226">AA143/Z143-1</f>
        <v>0.11775532741387806</v>
      </c>
      <c r="AB144" s="1640">
        <f t="shared" si="226"/>
        <v>0.11227895936375365</v>
      </c>
      <c r="AC144" s="1640">
        <f t="shared" si="226"/>
        <v>0.10146583799321141</v>
      </c>
      <c r="AD144" s="1640">
        <f t="shared" si="226"/>
        <v>9.2515525471267734E-2</v>
      </c>
      <c r="AE144" s="1640">
        <f t="shared" si="226"/>
        <v>8.5563096326818577E-2</v>
      </c>
      <c r="AF144" s="1640">
        <f t="shared" si="226"/>
        <v>7.9689633499920864E-2</v>
      </c>
      <c r="AG144" s="1640">
        <f t="shared" si="226"/>
        <v>7.4668769078763297E-2</v>
      </c>
      <c r="CL144" s="1470"/>
      <c r="CM144" s="1470"/>
      <c r="CN144" s="1470"/>
      <c r="CO144" s="1470"/>
      <c r="CP144" s="2503"/>
      <c r="CQ144" s="2510">
        <f>CQ143/CL143-1</f>
        <v>6.967242896508747</v>
      </c>
      <c r="CR144" s="2510">
        <f>CR143/CM143-1</f>
        <v>3.8853865024612091</v>
      </c>
      <c r="CS144" s="2510">
        <f>CS143/CN143-1</f>
        <v>2.3050562216978943</v>
      </c>
      <c r="CT144" s="2510">
        <f>CT143/CO143-1</f>
        <v>1.3863823317376887</v>
      </c>
      <c r="CV144" s="2510">
        <f>CV143/CQ143-1</f>
        <v>0.86454188901139184</v>
      </c>
      <c r="CW144" s="2510">
        <f>CW143/CR143-1</f>
        <v>0.64397902422220943</v>
      </c>
      <c r="CX144" s="2510">
        <f>CX143/CS143-1</f>
        <v>0.6443911959819919</v>
      </c>
      <c r="CY144" s="2510">
        <f>CY143/CT143-1</f>
        <v>0.75565755335424378</v>
      </c>
      <c r="CZ144" s="965"/>
      <c r="DA144" s="2510">
        <f>DA143/CV143-1</f>
        <v>0.81401462738535613</v>
      </c>
      <c r="DB144" s="2510">
        <f>DB143/CW143-1</f>
        <v>0.71825308345163275</v>
      </c>
      <c r="DC144" s="2510">
        <f>DC143/CX143-1</f>
        <v>0.55797699826473091</v>
      </c>
      <c r="DD144" s="2510">
        <f>DD143/CY143-1</f>
        <v>0.43815819313471938</v>
      </c>
      <c r="DE144" s="2867"/>
    </row>
    <row r="145" spans="1:109">
      <c r="CL145"/>
      <c r="CM145"/>
      <c r="CN145"/>
      <c r="CO145"/>
      <c r="CP145"/>
      <c r="CV145"/>
      <c r="CW145"/>
      <c r="CX145"/>
      <c r="CY145"/>
    </row>
    <row r="146" spans="1:109">
      <c r="A146" s="1494" t="s">
        <v>1816</v>
      </c>
      <c r="CL146"/>
      <c r="CM146"/>
      <c r="CN146"/>
      <c r="CO146"/>
      <c r="CP146"/>
      <c r="CV146"/>
      <c r="CW146"/>
      <c r="CX146"/>
      <c r="CY146"/>
    </row>
    <row r="147" spans="1:109">
      <c r="A147" s="1746" t="s">
        <v>1818</v>
      </c>
      <c r="S147" s="2505">
        <v>0.75</v>
      </c>
      <c r="T147" s="2505">
        <v>0.75</v>
      </c>
      <c r="U147" s="2505">
        <v>0.75</v>
      </c>
      <c r="V147" s="2505">
        <v>0.75</v>
      </c>
      <c r="W147" s="2505">
        <v>0.75</v>
      </c>
      <c r="X147" s="2505">
        <v>0.75</v>
      </c>
      <c r="Y147" s="2505">
        <v>0.75</v>
      </c>
      <c r="Z147" s="2505">
        <v>0.75</v>
      </c>
      <c r="AA147" s="2505">
        <v>0.75</v>
      </c>
      <c r="AB147" s="2505">
        <v>0.75</v>
      </c>
      <c r="AC147" s="2505">
        <v>0.75</v>
      </c>
      <c r="AD147" s="2505">
        <v>0.75</v>
      </c>
      <c r="AE147" s="2505">
        <v>0.75</v>
      </c>
      <c r="AF147" s="2505">
        <v>0.75</v>
      </c>
      <c r="AG147" s="2505">
        <v>0.75</v>
      </c>
      <c r="CJ147" s="2505">
        <v>0.75</v>
      </c>
      <c r="CL147" s="2505">
        <v>0.75</v>
      </c>
      <c r="CM147" s="2505">
        <v>0.75</v>
      </c>
      <c r="CN147" s="2505">
        <v>0.75</v>
      </c>
      <c r="CO147" s="2505">
        <v>0.75</v>
      </c>
      <c r="CP147"/>
      <c r="CQ147" s="2505">
        <v>0.75</v>
      </c>
      <c r="CR147" s="2505">
        <v>0.75</v>
      </c>
      <c r="CS147" s="2505">
        <v>0.75</v>
      </c>
      <c r="CT147" s="2505">
        <v>0.75</v>
      </c>
      <c r="CV147" s="2505">
        <v>0.75</v>
      </c>
      <c r="CW147" s="2505">
        <v>0.75</v>
      </c>
      <c r="CX147" s="2505">
        <v>0.75</v>
      </c>
      <c r="CY147" s="2505">
        <v>0.75</v>
      </c>
      <c r="DA147" s="2505">
        <v>0.75</v>
      </c>
      <c r="DB147" s="2505">
        <v>0.75</v>
      </c>
      <c r="DC147" s="2505">
        <v>0.75</v>
      </c>
      <c r="DD147" s="2505">
        <v>0.75</v>
      </c>
    </row>
    <row r="148" spans="1:109">
      <c r="A148" s="1746" t="s">
        <v>1819</v>
      </c>
      <c r="S148" s="3398">
        <f>CJ148</f>
        <v>0</v>
      </c>
      <c r="T148" s="3398">
        <f>AVERAGE(CL148:CO148)</f>
        <v>0.36250000000000004</v>
      </c>
      <c r="U148" s="3398">
        <f>AVERAGE(CQ148:CT148)</f>
        <v>0.73749999999999993</v>
      </c>
      <c r="V148" s="3398">
        <f>AVERAGE(CV148:CY148)</f>
        <v>1</v>
      </c>
      <c r="W148" s="3398">
        <f>AVERAGE(DA148:DD148)</f>
        <v>1</v>
      </c>
      <c r="X148" s="2512">
        <v>1</v>
      </c>
      <c r="Y148" s="2512">
        <v>1</v>
      </c>
      <c r="Z148" s="2512">
        <v>1</v>
      </c>
      <c r="AA148" s="2512">
        <v>1</v>
      </c>
      <c r="AB148" s="2512">
        <v>1</v>
      </c>
      <c r="AC148" s="2512">
        <v>1</v>
      </c>
      <c r="AD148" s="2512">
        <v>1</v>
      </c>
      <c r="AE148" s="2512">
        <v>1</v>
      </c>
      <c r="AF148" s="2512">
        <v>1</v>
      </c>
      <c r="AG148" s="2512">
        <v>1</v>
      </c>
      <c r="AH148" s="2512">
        <v>1</v>
      </c>
      <c r="AI148" s="2512">
        <v>1</v>
      </c>
      <c r="AJ148" s="2512">
        <v>1</v>
      </c>
      <c r="AK148" s="2512">
        <v>1</v>
      </c>
      <c r="AL148" s="2512">
        <v>1</v>
      </c>
      <c r="CJ148" s="1641">
        <v>0</v>
      </c>
      <c r="CL148" s="2512">
        <v>0.25</v>
      </c>
      <c r="CM148" s="2512">
        <v>0.3</v>
      </c>
      <c r="CN148" s="2512">
        <v>0.4</v>
      </c>
      <c r="CO148" s="2512">
        <v>0.5</v>
      </c>
      <c r="CP148"/>
      <c r="CQ148" s="2512">
        <v>0.6</v>
      </c>
      <c r="CR148" s="2512">
        <v>0.7</v>
      </c>
      <c r="CS148" s="2512">
        <v>0.8</v>
      </c>
      <c r="CT148" s="2512">
        <v>0.85</v>
      </c>
      <c r="CV148" s="2512">
        <v>1</v>
      </c>
      <c r="CW148" s="2512">
        <v>1</v>
      </c>
      <c r="CX148" s="2512">
        <v>1</v>
      </c>
      <c r="CY148" s="2512">
        <v>1</v>
      </c>
      <c r="DA148" s="2512">
        <v>1</v>
      </c>
      <c r="DB148" s="2512">
        <v>1</v>
      </c>
      <c r="DC148" s="2512">
        <v>1</v>
      </c>
      <c r="DD148" s="2512">
        <v>1</v>
      </c>
    </row>
    <row r="149" spans="1:109">
      <c r="A149" s="2500" t="s">
        <v>1817</v>
      </c>
      <c r="S149" s="3397">
        <f>CJ149</f>
        <v>0</v>
      </c>
      <c r="T149" s="3397">
        <f>SUM(CL149:CO149)</f>
        <v>0.9928125000000001</v>
      </c>
      <c r="U149" s="3397">
        <f>SUM(CQ149:CT149)</f>
        <v>6.2898750000000003</v>
      </c>
      <c r="V149" s="3397">
        <f>SUM(CV149:CY149)</f>
        <v>14.05125</v>
      </c>
      <c r="W149" s="3397">
        <f>SUM(DA149:DD149)</f>
        <v>22.32</v>
      </c>
      <c r="X149" s="2373">
        <f>X147*X113*X148*12</f>
        <v>28.125000000000007</v>
      </c>
      <c r="Y149" s="2373">
        <f t="shared" ref="Y149:AL149" si="227">Y147*Y113*Y148*12</f>
        <v>31.950000000000006</v>
      </c>
      <c r="Z149" s="2373">
        <f t="shared" si="227"/>
        <v>35.46</v>
      </c>
      <c r="AA149" s="2373">
        <f t="shared" si="227"/>
        <v>38.794500000000014</v>
      </c>
      <c r="AB149" s="2373">
        <f t="shared" si="227"/>
        <v>41.962275000000005</v>
      </c>
      <c r="AC149" s="2373">
        <f t="shared" si="227"/>
        <v>44.971661250000004</v>
      </c>
      <c r="AD149" s="2373">
        <f t="shared" si="227"/>
        <v>47.830578187500002</v>
      </c>
      <c r="AE149" s="2373">
        <f t="shared" si="227"/>
        <v>50.546549278124999</v>
      </c>
      <c r="AF149" s="2373">
        <f t="shared" si="227"/>
        <v>53.12672181421874</v>
      </c>
      <c r="AG149" s="2373">
        <f t="shared" si="227"/>
        <v>55.577885723507805</v>
      </c>
      <c r="AH149" s="2373">
        <f t="shared" si="227"/>
        <v>0</v>
      </c>
      <c r="AI149" s="2373">
        <f t="shared" si="227"/>
        <v>0</v>
      </c>
      <c r="AJ149" s="2373">
        <f t="shared" si="227"/>
        <v>0</v>
      </c>
      <c r="AK149" s="2373">
        <f t="shared" si="227"/>
        <v>0</v>
      </c>
      <c r="AL149" s="2373">
        <f t="shared" si="227"/>
        <v>0</v>
      </c>
      <c r="CJ149" s="2373">
        <f>CJ147*CJ113*3*0%</f>
        <v>0</v>
      </c>
      <c r="CL149" s="2373">
        <f>CL147*CL113*3*CL148</f>
        <v>4.7812500000000001E-2</v>
      </c>
      <c r="CM149" s="2373">
        <f t="shared" ref="CM149:CO149" si="228">CM147*CM113*3*CM148</f>
        <v>0.1215</v>
      </c>
      <c r="CN149" s="2373">
        <f t="shared" si="228"/>
        <v>0.28350000000000003</v>
      </c>
      <c r="CO149" s="2373">
        <f t="shared" si="228"/>
        <v>0.54</v>
      </c>
      <c r="CP149"/>
      <c r="CQ149" s="2373">
        <f>CQ147*CQ113*3*CQ148</f>
        <v>0.90450000000000008</v>
      </c>
      <c r="CR149" s="2373">
        <f t="shared" ref="CR149" si="229">CR147*CR113*3*CR148</f>
        <v>1.37025</v>
      </c>
      <c r="CS149" s="2373">
        <f t="shared" ref="CS149" si="230">CS147*CS113*3*CS148</f>
        <v>1.8539999999999996</v>
      </c>
      <c r="CT149" s="2373">
        <f t="shared" ref="CT149" si="231">CT147*CT113*3*CT148</f>
        <v>2.1611249999999997</v>
      </c>
      <c r="CV149" s="2373">
        <f>CV147*CV113*3*CV148</f>
        <v>2.7675000000000001</v>
      </c>
      <c r="CW149" s="2373">
        <f t="shared" ref="CW149" si="232">CW147*CW113*3*CW148</f>
        <v>3.1612499999999999</v>
      </c>
      <c r="CX149" s="2373">
        <f t="shared" ref="CX149" si="233">CX147*CX113*3*CX148</f>
        <v>3.7350000000000003</v>
      </c>
      <c r="CY149" s="2373">
        <f t="shared" ref="CY149" si="234">CY147*CY113*3*CY148</f>
        <v>4.3875000000000002</v>
      </c>
      <c r="DA149" s="2373">
        <f>DA147*DA113*3*DA148</f>
        <v>4.95</v>
      </c>
      <c r="DB149" s="2373">
        <f t="shared" ref="DB149" si="235">DB147*DB113*3*DB148</f>
        <v>5.3662500000000009</v>
      </c>
      <c r="DC149" s="2373">
        <f t="shared" ref="DC149" si="236">DC147*DC113*3*DC148</f>
        <v>5.7600000000000016</v>
      </c>
      <c r="DD149" s="2373">
        <f t="shared" ref="DD149" si="237">DD147*DD113*3*DD148</f>
        <v>6.2437500000000004</v>
      </c>
    </row>
    <row r="150" spans="1:109">
      <c r="A150" s="2501" t="s">
        <v>676</v>
      </c>
      <c r="T150" s="3399" t="s">
        <v>348</v>
      </c>
      <c r="U150" s="3399" t="s">
        <v>348</v>
      </c>
      <c r="V150" s="1644">
        <f t="shared" ref="V150" si="238">V149/U149-1</f>
        <v>1.2339474154891787</v>
      </c>
      <c r="W150" s="1640">
        <f t="shared" ref="W150" si="239">W149/V149-1</f>
        <v>0.5884707766212971</v>
      </c>
      <c r="X150" s="1640">
        <f t="shared" ref="X150" si="240">X149/W149-1</f>
        <v>0.2600806451612907</v>
      </c>
      <c r="Y150" s="1640">
        <f t="shared" ref="Y150" si="241">Y149/X149-1</f>
        <v>0.1359999999999999</v>
      </c>
      <c r="Z150" s="1640">
        <f t="shared" ref="Z150" si="242">Z149/Y149-1</f>
        <v>0.10985915492957732</v>
      </c>
      <c r="AA150" s="1640">
        <f t="shared" ref="AA150" si="243">AA149/Z149-1</f>
        <v>9.4035532994924287E-2</v>
      </c>
      <c r="AB150" s="1640">
        <f t="shared" ref="AB150" si="244">AB149/AA149-1</f>
        <v>8.1655260410624875E-2</v>
      </c>
      <c r="AC150" s="1640">
        <f t="shared" ref="AC150" si="245">AC149/AB149-1</f>
        <v>7.1716470329599602E-2</v>
      </c>
      <c r="AD150" s="1640">
        <f t="shared" ref="AD150" si="246">AD149/AC149-1</f>
        <v>6.3571521665769071E-2</v>
      </c>
      <c r="AE150" s="1640">
        <f t="shared" ref="AE150" si="247">AE149/AD149-1</f>
        <v>5.6783154073073439E-2</v>
      </c>
      <c r="AF150" s="1640">
        <f t="shared" ref="AF150" si="248">AF149/AE149-1</f>
        <v>5.104547338922627E-2</v>
      </c>
      <c r="AG150" s="1640">
        <f t="shared" ref="AG150" si="249">AG149/AF149-1</f>
        <v>4.6138060576382811E-2</v>
      </c>
      <c r="CL150"/>
      <c r="CM150"/>
      <c r="CN150"/>
      <c r="CO150"/>
      <c r="CP150"/>
      <c r="CV150"/>
      <c r="CW150"/>
      <c r="CX150"/>
      <c r="CY150"/>
    </row>
    <row r="151" spans="1:109">
      <c r="A151" s="2501"/>
      <c r="CL151"/>
      <c r="CM151"/>
      <c r="CN151"/>
      <c r="CO151"/>
      <c r="CP151"/>
      <c r="CV151"/>
      <c r="CW151"/>
      <c r="CX151"/>
      <c r="CY151"/>
    </row>
    <row r="152" spans="1:109">
      <c r="A152" s="1494" t="s">
        <v>8</v>
      </c>
      <c r="S152" s="2373">
        <f>S143-S149</f>
        <v>0.40432500000000005</v>
      </c>
      <c r="T152" s="2373">
        <f t="shared" ref="T152:AG152" si="250">T143-T149</f>
        <v>25.751403270195745</v>
      </c>
      <c r="U152" s="2373">
        <f>U143-U149</f>
        <v>88.151051870348525</v>
      </c>
      <c r="V152" s="2373">
        <f t="shared" si="250"/>
        <v>148.21467298588303</v>
      </c>
      <c r="W152" s="2373">
        <f t="shared" si="250"/>
        <v>238.41000032802344</v>
      </c>
      <c r="X152" s="2373">
        <f t="shared" si="250"/>
        <v>303.50934466019424</v>
      </c>
      <c r="Y152" s="2373">
        <f t="shared" si="250"/>
        <v>348.08460000000008</v>
      </c>
      <c r="Z152" s="2373">
        <f t="shared" si="250"/>
        <v>389.56828800000005</v>
      </c>
      <c r="AA152" s="2373">
        <f t="shared" si="250"/>
        <v>436.28313321360008</v>
      </c>
      <c r="AB152" s="2373">
        <f t="shared" si="250"/>
        <v>486.4565804878182</v>
      </c>
      <c r="AC152" s="2373">
        <f t="shared" si="250"/>
        <v>537.06365622130329</v>
      </c>
      <c r="AD152" s="2373">
        <f t="shared" si="250"/>
        <v>588.052042522497</v>
      </c>
      <c r="AE152" s="2373">
        <f t="shared" si="250"/>
        <v>639.74415736023138</v>
      </c>
      <c r="AF152" s="2373">
        <f t="shared" si="250"/>
        <v>692.1729982445496</v>
      </c>
      <c r="AG152" s="2373">
        <f t="shared" si="250"/>
        <v>745.37244702679561</v>
      </c>
      <c r="CJ152" s="2373">
        <f>CJ143-CJ149</f>
        <v>0.40432500000000005</v>
      </c>
      <c r="CL152" s="2373">
        <f>CL143-CL149</f>
        <v>2.0967708400628662</v>
      </c>
      <c r="CM152" s="2373">
        <f>CM143-CM149</f>
        <v>4.4199706024860692</v>
      </c>
      <c r="CN152" s="2373">
        <f>CN143-CN149</f>
        <v>7.6640735543506224</v>
      </c>
      <c r="CO152" s="2373">
        <f>CO143-CO149</f>
        <v>11.570588273296185</v>
      </c>
      <c r="CP152"/>
      <c r="CQ152" s="2373">
        <f>CQ143-CQ149</f>
        <v>16.181916382086875</v>
      </c>
      <c r="CR152" s="2373">
        <f>CR143-CR149</f>
        <v>20.816589182709819</v>
      </c>
      <c r="CS152" s="2373">
        <f>CS143-CS149</f>
        <v>24.413177423208172</v>
      </c>
      <c r="CT152" s="2373">
        <f>CT143-CT149</f>
        <v>26.739368882343662</v>
      </c>
      <c r="CV152" s="2373">
        <f>CV143-CV149</f>
        <v>29.090839077491452</v>
      </c>
      <c r="CW152" s="2373">
        <f>CW143-CW149</f>
        <v>33.313448230166365</v>
      </c>
      <c r="CX152" s="2373">
        <f>CX143-CX149</f>
        <v>39.458515298020458</v>
      </c>
      <c r="CY152" s="2373">
        <f>CY143-CY149</f>
        <v>46.351870380204758</v>
      </c>
      <c r="DA152" s="2373">
        <f t="shared" ref="DA152:DD152" si="251">DA143-DA149</f>
        <v>52.841493090771984</v>
      </c>
      <c r="DB152" s="2373">
        <f t="shared" si="251"/>
        <v>57.306512701951171</v>
      </c>
      <c r="DC152" s="2373">
        <f t="shared" si="251"/>
        <v>61.534503308511646</v>
      </c>
      <c r="DD152" s="2373">
        <f t="shared" si="251"/>
        <v>66.727491226788572</v>
      </c>
    </row>
    <row r="153" spans="1:109">
      <c r="A153" s="2501" t="s">
        <v>676</v>
      </c>
      <c r="T153" s="3399" t="s">
        <v>348</v>
      </c>
      <c r="U153" s="3399" t="s">
        <v>348</v>
      </c>
      <c r="V153" s="1644">
        <f t="shared" ref="V153" si="252">V152/U152-1</f>
        <v>0.68137157573428997</v>
      </c>
      <c r="W153" s="1640">
        <f t="shared" ref="W153" si="253">W152/V152-1</f>
        <v>0.60854519680876162</v>
      </c>
      <c r="X153" s="1640">
        <f t="shared" ref="X153" si="254">X152/W152-1</f>
        <v>0.27305626543602179</v>
      </c>
      <c r="Y153" s="1640">
        <f t="shared" ref="Y153" si="255">Y152/X152-1</f>
        <v>0.14686617108844469</v>
      </c>
      <c r="Z153" s="1640">
        <f t="shared" ref="Z153" si="256">Z152/Y152-1</f>
        <v>0.11917702765362193</v>
      </c>
      <c r="AA153" s="1640">
        <f t="shared" ref="AA153" si="257">AA152/Z152-1</f>
        <v>0.11991439409359739</v>
      </c>
      <c r="AB153" s="1640">
        <f t="shared" ref="AB153" si="258">AB152/AA152-1</f>
        <v>0.11500203297947276</v>
      </c>
      <c r="AC153" s="1640">
        <f t="shared" ref="AC153" si="259">AC152/AB152-1</f>
        <v>0.10403205088260159</v>
      </c>
      <c r="AD153" s="1640">
        <f t="shared" ref="AD153" si="260">AD152/AC152-1</f>
        <v>9.4939185905708268E-2</v>
      </c>
      <c r="AE153" s="1640">
        <f t="shared" ref="AE153" si="261">AE152/AD152-1</f>
        <v>8.790397974981401E-2</v>
      </c>
      <c r="AF153" s="1640">
        <f t="shared" ref="AF153" si="262">AF152/AE152-1</f>
        <v>8.1952824861511342E-2</v>
      </c>
      <c r="AG153" s="1640">
        <f t="shared" ref="AG153" si="263">AG152/AF152-1</f>
        <v>7.6858601703862384E-2</v>
      </c>
      <c r="CJ153" s="1640"/>
      <c r="CL153" s="1640"/>
      <c r="CM153" s="1640"/>
      <c r="CN153" s="1640"/>
      <c r="CO153" s="1640"/>
      <c r="CP153"/>
      <c r="CQ153" s="3399" t="s">
        <v>348</v>
      </c>
      <c r="CR153" s="3399" t="s">
        <v>348</v>
      </c>
      <c r="CS153" s="3399" t="s">
        <v>348</v>
      </c>
      <c r="CT153" s="3399" t="s">
        <v>348</v>
      </c>
      <c r="CV153" s="1640">
        <f>CV152/CQ152-1</f>
        <v>0.79773757264587952</v>
      </c>
      <c r="CW153" s="1640">
        <f t="shared" ref="CW153:CY153" si="264">CW152/CR152-1</f>
        <v>0.600331732435609</v>
      </c>
      <c r="CX153" s="1640">
        <f t="shared" si="264"/>
        <v>0.61627938117180792</v>
      </c>
      <c r="CY153" s="1640">
        <f t="shared" si="264"/>
        <v>0.73346912502529094</v>
      </c>
      <c r="DA153" s="1640">
        <f>DA152/CV152-1</f>
        <v>0.81643069661944545</v>
      </c>
      <c r="DB153" s="1640">
        <f t="shared" ref="DB153" si="265">DB152/CW152-1</f>
        <v>0.72022158456891106</v>
      </c>
      <c r="DC153" s="1640">
        <f t="shared" ref="DC153" si="266">DC152/CX152-1</f>
        <v>0.55947335685989907</v>
      </c>
      <c r="DD153" s="1640">
        <f t="shared" ref="DD153" si="267">DD152/CY152-1</f>
        <v>0.43958573148076296</v>
      </c>
    </row>
    <row r="154" spans="1:109">
      <c r="A154" s="2501" t="s">
        <v>753</v>
      </c>
      <c r="S154" s="1644"/>
      <c r="T154" s="1644">
        <f>T152/T143</f>
        <v>0.96287748691040664</v>
      </c>
      <c r="U154" s="1644">
        <f t="shared" ref="U154:AG154" si="268">U152/U143</f>
        <v>0.93339884297583253</v>
      </c>
      <c r="V154" s="1644">
        <f t="shared" si="268"/>
        <v>0.91340603287837308</v>
      </c>
      <c r="W154" s="1644">
        <f t="shared" si="268"/>
        <v>0.91439420100518054</v>
      </c>
      <c r="X154" s="1644">
        <f t="shared" si="268"/>
        <v>0.91519274027900221</v>
      </c>
      <c r="Y154" s="1644">
        <f t="shared" si="268"/>
        <v>0.91592870754399736</v>
      </c>
      <c r="Z154" s="1644">
        <f t="shared" si="268"/>
        <v>0.91657025896591626</v>
      </c>
      <c r="AA154" s="1644">
        <f t="shared" si="268"/>
        <v>0.918340714679452</v>
      </c>
      <c r="AB154" s="1644">
        <f t="shared" si="268"/>
        <v>0.92058899003279915</v>
      </c>
      <c r="AC154" s="1644">
        <f t="shared" si="268"/>
        <v>0.92273379312206893</v>
      </c>
      <c r="AD154" s="1644">
        <f t="shared" si="268"/>
        <v>0.92478080603288926</v>
      </c>
      <c r="AE154" s="1644">
        <f t="shared" si="268"/>
        <v>0.92677498220382915</v>
      </c>
      <c r="AF154" s="1644">
        <f t="shared" si="268"/>
        <v>0.92871764152812297</v>
      </c>
      <c r="AG154" s="1644">
        <f t="shared" si="268"/>
        <v>0.93061007224672165</v>
      </c>
      <c r="CJ154" s="1644"/>
      <c r="CL154" s="1644">
        <f t="shared" ref="CL154:CO154" si="269">CL152/CL143</f>
        <v>0.97770545956092414</v>
      </c>
      <c r="CM154" s="1644">
        <f t="shared" si="269"/>
        <v>0.9732465514731089</v>
      </c>
      <c r="CN154" s="1644">
        <f t="shared" si="269"/>
        <v>0.96432873529747853</v>
      </c>
      <c r="CO154" s="1644">
        <f t="shared" si="269"/>
        <v>0.95541091912184817</v>
      </c>
      <c r="CP154"/>
      <c r="CQ154" s="1644">
        <f t="shared" ref="CQ154:CT154" si="270">CQ152/CQ143</f>
        <v>0.94706321209939248</v>
      </c>
      <c r="CR154" s="1644">
        <f t="shared" si="270"/>
        <v>0.93824041411595782</v>
      </c>
      <c r="CS154" s="1644">
        <f t="shared" si="270"/>
        <v>0.92941761613252316</v>
      </c>
      <c r="CT154" s="1644">
        <f t="shared" si="270"/>
        <v>0.92522186614532886</v>
      </c>
      <c r="CV154" s="1644">
        <f t="shared" ref="CV154:CY154" si="271">CV152/CV143</f>
        <v>0.9131310645772085</v>
      </c>
      <c r="CW154" s="1644">
        <f t="shared" si="271"/>
        <v>0.91333033161641097</v>
      </c>
      <c r="CX154" s="1644">
        <f t="shared" si="271"/>
        <v>0.9135286865579294</v>
      </c>
      <c r="CY154" s="1644">
        <f t="shared" si="271"/>
        <v>0.91352868655792929</v>
      </c>
      <c r="DA154" s="1644">
        <f t="shared" ref="DA154:DD154" si="272">DA152/DA143</f>
        <v>0.91434725536118033</v>
      </c>
      <c r="DB154" s="1644">
        <f t="shared" si="272"/>
        <v>0.91437668025710095</v>
      </c>
      <c r="DC154" s="1644">
        <f t="shared" si="272"/>
        <v>0.91440608494287734</v>
      </c>
      <c r="DD154" s="1644">
        <f t="shared" si="272"/>
        <v>0.91443546943932408</v>
      </c>
    </row>
    <row r="155" spans="1:109">
      <c r="CL155"/>
      <c r="CM155"/>
      <c r="CN155"/>
      <c r="CO155"/>
      <c r="CP155"/>
      <c r="CV155"/>
      <c r="CW155"/>
      <c r="CX155"/>
      <c r="CY155"/>
    </row>
    <row r="156" spans="1:109">
      <c r="A156" s="143" t="s">
        <v>511</v>
      </c>
      <c r="CL156"/>
      <c r="CM156"/>
      <c r="CN156"/>
      <c r="CO156"/>
      <c r="CP156"/>
      <c r="CV156"/>
      <c r="CW156"/>
      <c r="CX156"/>
      <c r="CY156" s="2521">
        <f>SUM(CV158:CY158)</f>
        <v>64.906369194353232</v>
      </c>
      <c r="CZ156" s="2521"/>
      <c r="DA156" s="2521"/>
      <c r="DB156" s="2521"/>
      <c r="DC156" s="2521"/>
      <c r="DD156" s="2521">
        <f>SUM(DA158:DD158)</f>
        <v>117.32850014761053</v>
      </c>
    </row>
    <row r="157" spans="1:109">
      <c r="A157" s="938" t="s">
        <v>1720</v>
      </c>
      <c r="S157" s="2521">
        <f t="shared" ref="S157:AF157" si="273">S143*S165</f>
        <v>4.043250000000001E-2</v>
      </c>
      <c r="T157" s="2523">
        <f>SUM(CL157:CO157)</f>
        <v>2.6744215770195745</v>
      </c>
      <c r="U157" s="2523">
        <f>SUM(CQ157:CT157)</f>
        <v>9.4440926870348534</v>
      </c>
      <c r="V157" s="2523">
        <f>SUM(CV157:CY157)</f>
        <v>16.226592298588308</v>
      </c>
      <c r="W157" s="2523">
        <f t="shared" ref="W157:W160" si="274">SUM(DA157:DD157)</f>
        <v>26.073000032802341</v>
      </c>
      <c r="X157" s="2521">
        <f t="shared" si="273"/>
        <v>33.163434466019424</v>
      </c>
      <c r="Y157" s="2521">
        <f t="shared" si="273"/>
        <v>38.003460000000004</v>
      </c>
      <c r="Z157" s="2521">
        <f t="shared" si="273"/>
        <v>42.502828800000003</v>
      </c>
      <c r="AA157" s="2521">
        <f t="shared" si="273"/>
        <v>47.507763321360009</v>
      </c>
      <c r="AB157" s="2521">
        <f t="shared" si="273"/>
        <v>52.841885548781811</v>
      </c>
      <c r="AC157" s="2521">
        <f t="shared" si="273"/>
        <v>58.203531747130327</v>
      </c>
      <c r="AD157" s="2521">
        <f t="shared" si="273"/>
        <v>63.588262070999697</v>
      </c>
      <c r="AE157" s="2521">
        <f t="shared" si="273"/>
        <v>69.029070663835626</v>
      </c>
      <c r="AF157" s="2521">
        <f t="shared" si="273"/>
        <v>74.529972005876829</v>
      </c>
      <c r="AG157" s="2521">
        <f t="shared" ref="AG157" si="275">AG143*AG165</f>
        <v>80.095033275030346</v>
      </c>
      <c r="CJ157" s="2521">
        <f>CJ143*CJ165</f>
        <v>4.043250000000001E-2</v>
      </c>
      <c r="CL157" s="2521">
        <f>CL143*CL165</f>
        <v>0.21445833400628664</v>
      </c>
      <c r="CM157" s="2521">
        <f t="shared" ref="CM157:CY157" si="276">CM143*CM165</f>
        <v>0.45414706024860696</v>
      </c>
      <c r="CN157" s="2521">
        <f t="shared" si="276"/>
        <v>0.79475735543506232</v>
      </c>
      <c r="CO157" s="2521">
        <f t="shared" si="276"/>
        <v>1.2110588273296186</v>
      </c>
      <c r="CP157" s="965">
        <f>T157-SUM(CL157:CO157)</f>
        <v>0</v>
      </c>
      <c r="CQ157" s="2521">
        <f t="shared" si="276"/>
        <v>1.7086416382086875</v>
      </c>
      <c r="CR157" s="2521">
        <f t="shared" si="276"/>
        <v>2.2186839182709819</v>
      </c>
      <c r="CS157" s="2521">
        <f t="shared" si="276"/>
        <v>2.6267177423208175</v>
      </c>
      <c r="CT157" s="2521">
        <f t="shared" si="276"/>
        <v>2.8900493882343663</v>
      </c>
      <c r="CU157" s="965">
        <f>U157-SUM(CQ157:CT157)</f>
        <v>0</v>
      </c>
      <c r="CV157" s="2521">
        <f t="shared" si="276"/>
        <v>3.1858339077491453</v>
      </c>
      <c r="CW157" s="2521">
        <f t="shared" si="276"/>
        <v>3.6474698230166371</v>
      </c>
      <c r="CX157" s="2521">
        <f>CX143*CX165</f>
        <v>4.319351529802046</v>
      </c>
      <c r="CY157" s="2521">
        <f t="shared" si="276"/>
        <v>5.0739370380204765</v>
      </c>
      <c r="CZ157" s="965">
        <f>V157-SUM(CV157:CY157)</f>
        <v>0</v>
      </c>
      <c r="DA157" s="2521">
        <f>DA143*DA165</f>
        <v>5.7791493090771988</v>
      </c>
      <c r="DB157" s="2521">
        <f>DB143*DB165</f>
        <v>6.2672762701951177</v>
      </c>
      <c r="DC157" s="2521">
        <f>DC143*DC165</f>
        <v>6.7294503308511651</v>
      </c>
      <c r="DD157" s="2521">
        <f>DD143*DD165</f>
        <v>7.2971241226788583</v>
      </c>
      <c r="DE157" s="965">
        <f t="shared" ref="DE157:DE161" si="277">W157-SUM(DA157:DD157)</f>
        <v>0</v>
      </c>
    </row>
    <row r="158" spans="1:109">
      <c r="A158" s="938" t="s">
        <v>1721</v>
      </c>
      <c r="S158" s="2521">
        <f t="shared" ref="S158:AF158" si="278">S143*S166</f>
        <v>0.16173000000000004</v>
      </c>
      <c r="T158" s="2523">
        <f>SUM(CL158:CO158)</f>
        <v>10.697686308078298</v>
      </c>
      <c r="U158" s="2523">
        <f>SUM(CQ158:CT158)</f>
        <v>37.776370748139414</v>
      </c>
      <c r="V158" s="2523">
        <f>SUM(CV158:CY158)</f>
        <v>64.906369194353232</v>
      </c>
      <c r="W158" s="2523">
        <f t="shared" si="274"/>
        <v>117.32850014761053</v>
      </c>
      <c r="X158" s="2521">
        <f t="shared" si="278"/>
        <v>147.5772833737864</v>
      </c>
      <c r="Y158" s="2521">
        <f t="shared" si="278"/>
        <v>167.21522399999998</v>
      </c>
      <c r="Z158" s="2521">
        <f t="shared" si="278"/>
        <v>184.03724870399998</v>
      </c>
      <c r="AA158" s="2521">
        <f t="shared" si="278"/>
        <v>202.38307174899359</v>
      </c>
      <c r="AB158" s="2521">
        <f t="shared" si="278"/>
        <v>221.40750044939574</v>
      </c>
      <c r="AC158" s="2521">
        <f t="shared" si="278"/>
        <v>239.79855079817688</v>
      </c>
      <c r="AD158" s="2521">
        <f t="shared" si="278"/>
        <v>257.53246138754872</v>
      </c>
      <c r="AE158" s="2521">
        <f t="shared" si="278"/>
        <v>274.73570124206572</v>
      </c>
      <c r="AF158" s="2521">
        <f t="shared" si="278"/>
        <v>291.41219054297829</v>
      </c>
      <c r="AG158" s="2521">
        <f t="shared" ref="AG158" si="279">AG143*AG166</f>
        <v>307.56492777611641</v>
      </c>
      <c r="CJ158" s="2521">
        <f>CJ143*CJ166</f>
        <v>0.16173000000000004</v>
      </c>
      <c r="CL158" s="2521">
        <f>CL143*CL166</f>
        <v>0.85783333602514655</v>
      </c>
      <c r="CM158" s="2521">
        <f t="shared" ref="CM158:CY158" si="280">CM143*CM166</f>
        <v>1.8165882409944278</v>
      </c>
      <c r="CN158" s="2521">
        <f t="shared" si="280"/>
        <v>3.1790294217402493</v>
      </c>
      <c r="CO158" s="2521">
        <f t="shared" si="280"/>
        <v>4.8442353093184742</v>
      </c>
      <c r="CP158" s="965">
        <f>T158-SUM(CL158:CO158)</f>
        <v>0</v>
      </c>
      <c r="CQ158" s="2521">
        <f t="shared" si="280"/>
        <v>6.8345665528347501</v>
      </c>
      <c r="CR158" s="2521">
        <f t="shared" si="280"/>
        <v>8.8747356730839275</v>
      </c>
      <c r="CS158" s="2521">
        <f t="shared" si="280"/>
        <v>10.50687096928327</v>
      </c>
      <c r="CT158" s="2521">
        <f t="shared" si="280"/>
        <v>11.560197552937465</v>
      </c>
      <c r="CU158" s="965">
        <f>U158-SUM(CQ158:CT158)</f>
        <v>0</v>
      </c>
      <c r="CV158" s="2521">
        <f t="shared" si="280"/>
        <v>12.743335630996581</v>
      </c>
      <c r="CW158" s="2521">
        <f t="shared" si="280"/>
        <v>14.589879292066549</v>
      </c>
      <c r="CX158" s="2521">
        <f t="shared" si="280"/>
        <v>17.277406119208184</v>
      </c>
      <c r="CY158" s="2521">
        <f t="shared" si="280"/>
        <v>20.295748152081906</v>
      </c>
      <c r="CZ158" s="965">
        <f>V158-SUM(CV158:CY158)</f>
        <v>0</v>
      </c>
      <c r="DA158" s="2521">
        <f>DA143*DA166</f>
        <v>26.006171890847394</v>
      </c>
      <c r="DB158" s="2521">
        <f>DB143*DB166</f>
        <v>28.202743215878026</v>
      </c>
      <c r="DC158" s="2521">
        <f>DC143*DC166</f>
        <v>30.282526488830243</v>
      </c>
      <c r="DD158" s="2521">
        <f>DD143*DD166</f>
        <v>32.837058552054863</v>
      </c>
      <c r="DE158" s="965">
        <f t="shared" si="277"/>
        <v>0</v>
      </c>
    </row>
    <row r="159" spans="1:109">
      <c r="A159" s="938" t="s">
        <v>9</v>
      </c>
      <c r="S159" s="2521">
        <f t="shared" ref="S159:AF159" si="281">S143*S167</f>
        <v>0.10108125000000001</v>
      </c>
      <c r="T159" s="2523">
        <f>SUM(CL159:CO159)</f>
        <v>6.2394759999711393</v>
      </c>
      <c r="U159" s="2523">
        <f>SUM(CQ159:CT159)</f>
        <v>20.947868075297542</v>
      </c>
      <c r="V159" s="2523">
        <f>SUM(CV159:CY159)</f>
        <v>34.235135522422894</v>
      </c>
      <c r="W159" s="2523">
        <f t="shared" si="274"/>
        <v>57.360600072165141</v>
      </c>
      <c r="X159" s="2521">
        <f t="shared" si="281"/>
        <v>70.63811541262136</v>
      </c>
      <c r="Y159" s="2521">
        <f t="shared" si="281"/>
        <v>78.287127599999991</v>
      </c>
      <c r="Z159" s="2521">
        <f t="shared" si="281"/>
        <v>85.430685887999971</v>
      </c>
      <c r="AA159" s="2521">
        <f t="shared" si="281"/>
        <v>93.115216109865585</v>
      </c>
      <c r="AB159" s="2521">
        <f t="shared" si="281"/>
        <v>100.92800139817322</v>
      </c>
      <c r="AC159" s="2521">
        <f t="shared" si="281"/>
        <v>108.25856904966237</v>
      </c>
      <c r="AD159" s="2521">
        <f t="shared" si="281"/>
        <v>115.0947543485094</v>
      </c>
      <c r="AE159" s="2521">
        <f t="shared" si="281"/>
        <v>121.49116436835065</v>
      </c>
      <c r="AF159" s="2521">
        <f t="shared" si="281"/>
        <v>127.44625213004932</v>
      </c>
      <c r="AG159" s="2521">
        <f t="shared" ref="AG159" si="282">AG143*AG167</f>
        <v>132.9577552365503</v>
      </c>
      <c r="CJ159" s="2521">
        <f>CJ143*CJ167</f>
        <v>0.10108125000000001</v>
      </c>
      <c r="CL159" s="2521">
        <f>CL143*CL167</f>
        <v>0.53614583501571655</v>
      </c>
      <c r="CM159" s="2521">
        <f t="shared" ref="CM159:CY159" si="283">CM143*CM167</f>
        <v>1.0899529445966567</v>
      </c>
      <c r="CN159" s="2521">
        <f t="shared" si="283"/>
        <v>1.8279419175006433</v>
      </c>
      <c r="CO159" s="2521">
        <f t="shared" si="283"/>
        <v>2.7854353028581227</v>
      </c>
      <c r="CP159" s="965">
        <f>T159-SUM(CL159:CO159)</f>
        <v>0</v>
      </c>
      <c r="CQ159" s="2521">
        <f t="shared" si="283"/>
        <v>3.9298757678799814</v>
      </c>
      <c r="CR159" s="2521">
        <f t="shared" si="283"/>
        <v>4.8811046201961599</v>
      </c>
      <c r="CS159" s="2521">
        <f t="shared" si="283"/>
        <v>5.7787790331057973</v>
      </c>
      <c r="CT159" s="2521">
        <f t="shared" si="283"/>
        <v>6.3581086541156049</v>
      </c>
      <c r="CU159" s="965">
        <f>U159-SUM(CQ159:CT159)</f>
        <v>0</v>
      </c>
      <c r="CV159" s="2521">
        <f t="shared" si="283"/>
        <v>6.8495429016606622</v>
      </c>
      <c r="CW159" s="2521">
        <f t="shared" si="283"/>
        <v>7.6596866283349367</v>
      </c>
      <c r="CX159" s="2521">
        <f t="shared" si="283"/>
        <v>9.0706382125842957</v>
      </c>
      <c r="CY159" s="2521">
        <f t="shared" si="283"/>
        <v>10.655267779842999</v>
      </c>
      <c r="CZ159" s="965">
        <f>V159-SUM(CV159:CY159)</f>
        <v>0</v>
      </c>
      <c r="DA159" s="2521">
        <f>DA143*DA167</f>
        <v>12.714128479969837</v>
      </c>
      <c r="DB159" s="2521">
        <f>DB143*DB167</f>
        <v>13.788007794429257</v>
      </c>
      <c r="DC159" s="2521">
        <f>DC143*DC167</f>
        <v>14.804790727872563</v>
      </c>
      <c r="DD159" s="2521">
        <f>DD143*DD167</f>
        <v>16.053673069893488</v>
      </c>
      <c r="DE159" s="965">
        <f t="shared" si="277"/>
        <v>0</v>
      </c>
    </row>
    <row r="160" spans="1:109">
      <c r="A160" s="938" t="s">
        <v>1143</v>
      </c>
      <c r="S160" s="2521">
        <f t="shared" ref="S160:AF160" si="284">S143*S168</f>
        <v>8.086500000000002E-2</v>
      </c>
      <c r="T160" s="2523">
        <f>SUM(CL160:CO160)</f>
        <v>5.348843154039149</v>
      </c>
      <c r="U160" s="2523">
        <f>SUM(CQ160:CT160)</f>
        <v>17.523435279426742</v>
      </c>
      <c r="V160" s="2523">
        <f>SUM(CV160:CY160)</f>
        <v>29.207866137458947</v>
      </c>
      <c r="W160" s="2523">
        <f t="shared" si="274"/>
        <v>46.931400059044208</v>
      </c>
      <c r="X160" s="2521">
        <f t="shared" si="284"/>
        <v>58.036010315533979</v>
      </c>
      <c r="Y160" s="2521">
        <f t="shared" si="284"/>
        <v>64.605881999999994</v>
      </c>
      <c r="Z160" s="2521">
        <f t="shared" si="284"/>
        <v>70.129667519999984</v>
      </c>
      <c r="AA160" s="2521">
        <f t="shared" si="284"/>
        <v>76.012421314175995</v>
      </c>
      <c r="AB160" s="2521">
        <f t="shared" si="284"/>
        <v>81.904922600611783</v>
      </c>
      <c r="AC160" s="2521">
        <f t="shared" si="284"/>
        <v>87.305297620695455</v>
      </c>
      <c r="AD160" s="2521">
        <f t="shared" si="284"/>
        <v>92.202980002949531</v>
      </c>
      <c r="AE160" s="2521">
        <f t="shared" si="284"/>
        <v>96.640698929369847</v>
      </c>
      <c r="AF160" s="2521">
        <f t="shared" si="284"/>
        <v>100.61546220793367</v>
      </c>
      <c r="AG160" s="2521">
        <f t="shared" ref="AG160" si="285">AG143*AG168</f>
        <v>104.12354325753938</v>
      </c>
      <c r="CJ160" s="2521">
        <f>CJ143*CJ168</f>
        <v>8.086500000000002E-2</v>
      </c>
      <c r="CL160" s="2521">
        <f>CL143*CL168</f>
        <v>0.42891666801257328</v>
      </c>
      <c r="CM160" s="2521">
        <f t="shared" ref="CM160:CY160" si="286">CM143*CM168</f>
        <v>0.90829412049721392</v>
      </c>
      <c r="CN160" s="2521">
        <f t="shared" si="286"/>
        <v>1.5895147108701246</v>
      </c>
      <c r="CO160" s="2521">
        <f t="shared" si="286"/>
        <v>2.4221176546592371</v>
      </c>
      <c r="CP160" s="965">
        <f>T160-SUM(CL160:CO160)</f>
        <v>0</v>
      </c>
      <c r="CQ160" s="2521">
        <f t="shared" si="286"/>
        <v>3.2464191125965063</v>
      </c>
      <c r="CR160" s="2521">
        <f t="shared" si="286"/>
        <v>4.2154994447148653</v>
      </c>
      <c r="CS160" s="2521">
        <f t="shared" si="286"/>
        <v>4.8594278232935118</v>
      </c>
      <c r="CT160" s="2521">
        <f t="shared" si="286"/>
        <v>5.2020888988218585</v>
      </c>
      <c r="CU160" s="965">
        <f>U160-SUM(CQ160:CT160)</f>
        <v>0</v>
      </c>
      <c r="CV160" s="2521">
        <f t="shared" si="286"/>
        <v>5.7345010339484608</v>
      </c>
      <c r="CW160" s="2521">
        <f t="shared" si="286"/>
        <v>6.5654456814299458</v>
      </c>
      <c r="CX160" s="2521">
        <f t="shared" si="286"/>
        <v>7.7748327536436825</v>
      </c>
      <c r="CY160" s="2521">
        <f t="shared" si="286"/>
        <v>9.1330866684368566</v>
      </c>
      <c r="CZ160" s="965">
        <f>V160-SUM(CV160:CY160)</f>
        <v>0</v>
      </c>
      <c r="DA160" s="2521">
        <f>DA143*DA168</f>
        <v>10.402468756338957</v>
      </c>
      <c r="DB160" s="2521">
        <f>DB143*DB168</f>
        <v>11.28109728635121</v>
      </c>
      <c r="DC160" s="2521">
        <f>DC143*DC168</f>
        <v>12.113010595532097</v>
      </c>
      <c r="DD160" s="2521">
        <f>DD143*DD168</f>
        <v>13.134823420821943</v>
      </c>
      <c r="DE160" s="965">
        <f t="shared" si="277"/>
        <v>0</v>
      </c>
    </row>
    <row r="161" spans="1:109">
      <c r="A161" s="36" t="s">
        <v>826</v>
      </c>
      <c r="S161" s="2373">
        <f>SUM(S157:S160)</f>
        <v>0.38410875000000005</v>
      </c>
      <c r="T161" s="2373">
        <f>SUM(T157:T160)</f>
        <v>24.960427039108158</v>
      </c>
      <c r="U161" s="2373">
        <f>SUM(U157:U160)</f>
        <v>85.691766789898537</v>
      </c>
      <c r="V161" s="2373">
        <f>SUM(V157:V160)</f>
        <v>144.57596315282339</v>
      </c>
      <c r="W161" s="2373">
        <f t="shared" ref="W161:AF161" si="287">SUM(W157:W160)</f>
        <v>247.69350031162224</v>
      </c>
      <c r="X161" s="2373">
        <f t="shared" si="287"/>
        <v>309.41484356796116</v>
      </c>
      <c r="Y161" s="2373">
        <f t="shared" si="287"/>
        <v>348.11169360000002</v>
      </c>
      <c r="Z161" s="2373">
        <f t="shared" si="287"/>
        <v>382.10043091199998</v>
      </c>
      <c r="AA161" s="2373">
        <f t="shared" si="287"/>
        <v>419.01847249439516</v>
      </c>
      <c r="AB161" s="2373">
        <f t="shared" si="287"/>
        <v>457.08230999696258</v>
      </c>
      <c r="AC161" s="2373">
        <f t="shared" si="287"/>
        <v>493.565949215665</v>
      </c>
      <c r="AD161" s="2373">
        <f t="shared" si="287"/>
        <v>528.41845781000734</v>
      </c>
      <c r="AE161" s="2373">
        <f t="shared" si="287"/>
        <v>561.89663520362183</v>
      </c>
      <c r="AF161" s="2373">
        <f t="shared" si="287"/>
        <v>594.00387688683804</v>
      </c>
      <c r="AG161" s="2373">
        <f t="shared" ref="AG161" si="288">SUM(AG157:AG160)</f>
        <v>624.7412595452364</v>
      </c>
      <c r="CJ161" s="2373">
        <f>SUM(CJ157:CJ160)</f>
        <v>0.38410875000000005</v>
      </c>
      <c r="CL161" s="2373">
        <f>SUM(CL157:CL160)</f>
        <v>2.0373541730597231</v>
      </c>
      <c r="CM161" s="2373">
        <f t="shared" ref="CM161:CY161" si="289">SUM(CM157:CM160)</f>
        <v>4.2689823663369051</v>
      </c>
      <c r="CN161" s="2373">
        <f t="shared" si="289"/>
        <v>7.3912434055460796</v>
      </c>
      <c r="CO161" s="2373">
        <f t="shared" si="289"/>
        <v>11.262847094165453</v>
      </c>
      <c r="CP161" s="965">
        <f>T161-SUM(CL161:CO161)</f>
        <v>0</v>
      </c>
      <c r="CQ161" s="2373">
        <f t="shared" si="289"/>
        <v>15.719503071519924</v>
      </c>
      <c r="CR161" s="2373">
        <f t="shared" si="289"/>
        <v>20.190023656265936</v>
      </c>
      <c r="CS161" s="2373">
        <f t="shared" si="289"/>
        <v>23.771795568003395</v>
      </c>
      <c r="CT161" s="2373">
        <f t="shared" si="289"/>
        <v>26.010444494109297</v>
      </c>
      <c r="CU161" s="965">
        <f>U161-SUM(CQ161:CT161)</f>
        <v>0</v>
      </c>
      <c r="CV161" s="2373">
        <f t="shared" si="289"/>
        <v>28.513213474354849</v>
      </c>
      <c r="CW161" s="2373">
        <f t="shared" si="289"/>
        <v>32.462481424848065</v>
      </c>
      <c r="CX161" s="2373">
        <f t="shared" si="289"/>
        <v>38.442228615238207</v>
      </c>
      <c r="CY161" s="2373">
        <f t="shared" si="289"/>
        <v>45.158039638382235</v>
      </c>
      <c r="CZ161" s="965">
        <f>V161-SUM(CV161:CY161)</f>
        <v>0</v>
      </c>
      <c r="DA161" s="2373">
        <f t="shared" ref="DA161:DD161" si="290">SUM(DA157:DA160)</f>
        <v>54.90191843623338</v>
      </c>
      <c r="DB161" s="2373">
        <f t="shared" si="290"/>
        <v>59.539124566853609</v>
      </c>
      <c r="DC161" s="2373">
        <f t="shared" si="290"/>
        <v>63.929778143086068</v>
      </c>
      <c r="DD161" s="2373">
        <f t="shared" si="290"/>
        <v>69.322679165449159</v>
      </c>
      <c r="DE161" s="965">
        <f t="shared" si="277"/>
        <v>0</v>
      </c>
    </row>
    <row r="162" spans="1:109">
      <c r="A162" s="2501" t="s">
        <v>676</v>
      </c>
      <c r="U162" s="1644">
        <f>U161/T161-1</f>
        <v>2.4331049967869589</v>
      </c>
      <c r="V162" s="1644">
        <f t="shared" ref="V162:AG162" si="291">V161/U161-1</f>
        <v>0.68716282285670194</v>
      </c>
      <c r="W162" s="1644">
        <f t="shared" si="291"/>
        <v>0.71324122565103654</v>
      </c>
      <c r="X162" s="1644">
        <f t="shared" si="291"/>
        <v>0.24918434750482965</v>
      </c>
      <c r="Y162" s="1644">
        <f t="shared" si="291"/>
        <v>0.12506462064267243</v>
      </c>
      <c r="Z162" s="1644">
        <f t="shared" si="291"/>
        <v>9.7637447798737176E-2</v>
      </c>
      <c r="AA162" s="1644">
        <f t="shared" si="291"/>
        <v>9.6618686072347248E-2</v>
      </c>
      <c r="AB162" s="1644">
        <f t="shared" si="291"/>
        <v>9.0840476020007888E-2</v>
      </c>
      <c r="AC162" s="1644">
        <f t="shared" si="291"/>
        <v>7.9818532506639395E-2</v>
      </c>
      <c r="AD162" s="1644">
        <f t="shared" si="291"/>
        <v>7.0613681210640822E-2</v>
      </c>
      <c r="AE162" s="1644">
        <f t="shared" si="291"/>
        <v>6.3355427689567145E-2</v>
      </c>
      <c r="AF162" s="1644">
        <f t="shared" si="291"/>
        <v>5.7140832800290919E-2</v>
      </c>
      <c r="AG162" s="1644">
        <f t="shared" si="291"/>
        <v>5.1746097718237793E-2</v>
      </c>
      <c r="CL162"/>
      <c r="CM162"/>
      <c r="CN162"/>
      <c r="CP162"/>
      <c r="CQ162" s="2510">
        <f>CQ161/CL161-1</f>
        <v>6.7156457524084701</v>
      </c>
      <c r="CR162" s="2510">
        <f t="shared" ref="CR162:CY162" si="292">CR161/CM161-1</f>
        <v>3.7294699119571284</v>
      </c>
      <c r="CS162" s="2510">
        <f t="shared" si="292"/>
        <v>2.2162106243404236</v>
      </c>
      <c r="CT162" s="2510">
        <f t="shared" si="292"/>
        <v>1.309402256520344</v>
      </c>
      <c r="CU162" s="965"/>
      <c r="CV162" s="2510">
        <f t="shared" si="292"/>
        <v>0.81387498985347362</v>
      </c>
      <c r="CW162" s="2510">
        <f t="shared" si="292"/>
        <v>0.60784761709644619</v>
      </c>
      <c r="CX162" s="2510">
        <f t="shared" si="292"/>
        <v>0.61713609328615759</v>
      </c>
      <c r="CY162" s="2510">
        <f t="shared" si="292"/>
        <v>0.73615024720586297</v>
      </c>
      <c r="CZ162" s="965"/>
      <c r="DA162" s="2510">
        <f t="shared" ref="DA162" si="293">DA161/CV161-1</f>
        <v>0.92549038661015426</v>
      </c>
      <c r="DB162" s="2510">
        <f t="shared" ref="DB162" si="294">DB161/CW161-1</f>
        <v>0.83409036997646191</v>
      </c>
      <c r="DC162" s="2510">
        <f t="shared" ref="DC162" si="295">DC161/CX161-1</f>
        <v>0.66300915545111727</v>
      </c>
      <c r="DD162" s="2510">
        <f t="shared" ref="DD162" si="296">DD161/CY161-1</f>
        <v>0.53511267806515028</v>
      </c>
    </row>
    <row r="163" spans="1:109">
      <c r="CP163"/>
      <c r="CU163" s="965"/>
      <c r="CZ163" s="965"/>
    </row>
    <row r="164" spans="1:109" s="2068" customFormat="1">
      <c r="A164" s="2367" t="s">
        <v>1723</v>
      </c>
      <c r="CK164"/>
      <c r="CL164" s="2258"/>
      <c r="CM164" s="2258"/>
      <c r="CN164" s="2258"/>
      <c r="CO164" s="2258"/>
      <c r="CP164"/>
      <c r="CU164" s="965"/>
      <c r="CV164" s="2258"/>
      <c r="CW164" s="2258"/>
      <c r="CX164" s="2258"/>
      <c r="CY164" s="2258"/>
      <c r="CZ164" s="965"/>
      <c r="DE164" s="2915"/>
    </row>
    <row r="165" spans="1:109" s="2068" customFormat="1">
      <c r="A165" s="189" t="s">
        <v>1720</v>
      </c>
      <c r="S165" s="1641">
        <v>0.1</v>
      </c>
      <c r="T165" s="1640">
        <f>T157/T143</f>
        <v>0.1</v>
      </c>
      <c r="U165" s="1640">
        <f>U157/U143</f>
        <v>0.10000000000000002</v>
      </c>
      <c r="V165" s="1640">
        <f>V157/V143</f>
        <v>0.10000000000000002</v>
      </c>
      <c r="W165" s="1640">
        <f>W157/W143</f>
        <v>9.9999999999999992E-2</v>
      </c>
      <c r="X165" s="1641">
        <f>W165</f>
        <v>9.9999999999999992E-2</v>
      </c>
      <c r="Y165" s="1641">
        <f t="shared" ref="Y165:AG165" si="297">X165</f>
        <v>9.9999999999999992E-2</v>
      </c>
      <c r="Z165" s="1641">
        <f t="shared" si="297"/>
        <v>9.9999999999999992E-2</v>
      </c>
      <c r="AA165" s="1641">
        <f t="shared" si="297"/>
        <v>9.9999999999999992E-2</v>
      </c>
      <c r="AB165" s="1641">
        <f t="shared" si="297"/>
        <v>9.9999999999999992E-2</v>
      </c>
      <c r="AC165" s="1641">
        <f t="shared" si="297"/>
        <v>9.9999999999999992E-2</v>
      </c>
      <c r="AD165" s="1641">
        <f t="shared" si="297"/>
        <v>9.9999999999999992E-2</v>
      </c>
      <c r="AE165" s="1641">
        <f t="shared" si="297"/>
        <v>9.9999999999999992E-2</v>
      </c>
      <c r="AF165" s="1641">
        <f t="shared" si="297"/>
        <v>9.9999999999999992E-2</v>
      </c>
      <c r="AG165" s="1641">
        <f t="shared" si="297"/>
        <v>9.9999999999999992E-2</v>
      </c>
      <c r="CJ165" s="1641">
        <v>0.1</v>
      </c>
      <c r="CK165"/>
      <c r="CL165" s="1641">
        <v>0.1</v>
      </c>
      <c r="CM165" s="1641">
        <v>0.1</v>
      </c>
      <c r="CN165" s="1641">
        <v>0.1</v>
      </c>
      <c r="CO165" s="1641">
        <v>0.1</v>
      </c>
      <c r="CP165"/>
      <c r="CQ165" s="1641">
        <v>0.1</v>
      </c>
      <c r="CR165" s="1641">
        <v>0.1</v>
      </c>
      <c r="CS165" s="1641">
        <v>0.1</v>
      </c>
      <c r="CT165" s="1641">
        <v>0.1</v>
      </c>
      <c r="CU165" s="965"/>
      <c r="CV165" s="1641">
        <v>0.1</v>
      </c>
      <c r="CW165" s="1641">
        <v>0.1</v>
      </c>
      <c r="CX165" s="1641">
        <v>0.1</v>
      </c>
      <c r="CY165" s="1641">
        <v>0.1</v>
      </c>
      <c r="CZ165" s="965"/>
      <c r="DA165" s="1641">
        <v>0.1</v>
      </c>
      <c r="DB165" s="1641">
        <v>0.1</v>
      </c>
      <c r="DC165" s="1641">
        <v>0.1</v>
      </c>
      <c r="DD165" s="1641">
        <v>0.1</v>
      </c>
      <c r="DE165" s="2915"/>
    </row>
    <row r="166" spans="1:109" s="2068" customFormat="1">
      <c r="A166" s="189" t="s">
        <v>1721</v>
      </c>
      <c r="S166" s="1641">
        <v>0.4</v>
      </c>
      <c r="T166" s="1640">
        <f>T158/T143</f>
        <v>0.4</v>
      </c>
      <c r="U166" s="1640">
        <f>U158/U143</f>
        <v>0.40000000000000008</v>
      </c>
      <c r="V166" s="1640">
        <f>V158/V143</f>
        <v>0.40000000000000008</v>
      </c>
      <c r="W166" s="1640">
        <f>W158/W143</f>
        <v>0.4499999999999999</v>
      </c>
      <c r="X166" s="1641">
        <f>MAX(W166-0.005,25%)</f>
        <v>0.4449999999999999</v>
      </c>
      <c r="Y166" s="1641">
        <f t="shared" ref="Y166" si="298">MAX(X166-0.005,25%)</f>
        <v>0.43999999999999989</v>
      </c>
      <c r="Z166" s="1641">
        <f>MAX(Y166-0.007,25%)</f>
        <v>0.43299999999999988</v>
      </c>
      <c r="AA166" s="1641">
        <f t="shared" ref="AA166:AG166" si="299">MAX(Z166-0.007,25%)</f>
        <v>0.42599999999999988</v>
      </c>
      <c r="AB166" s="1641">
        <f t="shared" si="299"/>
        <v>0.41899999999999987</v>
      </c>
      <c r="AC166" s="1641">
        <f t="shared" si="299"/>
        <v>0.41199999999999987</v>
      </c>
      <c r="AD166" s="1641">
        <f t="shared" si="299"/>
        <v>0.40499999999999986</v>
      </c>
      <c r="AE166" s="1641">
        <f t="shared" si="299"/>
        <v>0.39799999999999985</v>
      </c>
      <c r="AF166" s="1641">
        <f t="shared" si="299"/>
        <v>0.39099999999999985</v>
      </c>
      <c r="AG166" s="1641">
        <f t="shared" si="299"/>
        <v>0.38399999999999984</v>
      </c>
      <c r="CJ166" s="1641">
        <v>0.4</v>
      </c>
      <c r="CK166"/>
      <c r="CL166" s="1641">
        <v>0.4</v>
      </c>
      <c r="CM166" s="1641">
        <v>0.4</v>
      </c>
      <c r="CN166" s="1641">
        <v>0.4</v>
      </c>
      <c r="CO166" s="1641">
        <v>0.4</v>
      </c>
      <c r="CP166"/>
      <c r="CQ166" s="1641">
        <v>0.4</v>
      </c>
      <c r="CR166" s="1641">
        <v>0.4</v>
      </c>
      <c r="CS166" s="1641">
        <v>0.4</v>
      </c>
      <c r="CT166" s="1641">
        <v>0.4</v>
      </c>
      <c r="CU166" s="965"/>
      <c r="CV166" s="1641">
        <v>0.4</v>
      </c>
      <c r="CW166" s="1641">
        <v>0.4</v>
      </c>
      <c r="CX166" s="1641">
        <v>0.4</v>
      </c>
      <c r="CY166" s="1641">
        <v>0.4</v>
      </c>
      <c r="CZ166" s="965"/>
      <c r="DA166" s="1641">
        <v>0.45</v>
      </c>
      <c r="DB166" s="1641">
        <v>0.45</v>
      </c>
      <c r="DC166" s="1641">
        <v>0.45</v>
      </c>
      <c r="DD166" s="1641">
        <v>0.45</v>
      </c>
      <c r="DE166" s="2915"/>
    </row>
    <row r="167" spans="1:109" s="2068" customFormat="1">
      <c r="A167" s="189" t="s">
        <v>9</v>
      </c>
      <c r="S167" s="1641">
        <v>0.25</v>
      </c>
      <c r="T167" s="1640">
        <f>T159/T143</f>
        <v>0.23330188679245284</v>
      </c>
      <c r="U167" s="1640">
        <f>U159/U143</f>
        <v>0.22180921735399139</v>
      </c>
      <c r="V167" s="1640">
        <f>V159/V143</f>
        <v>0.21098167065799339</v>
      </c>
      <c r="W167" s="1640">
        <f>W159/W143</f>
        <v>0.21999999999999995</v>
      </c>
      <c r="X167" s="1641">
        <f>MAX(W167-0.007,15%)</f>
        <v>0.21299999999999994</v>
      </c>
      <c r="Y167" s="1641">
        <f>MAX(X167-0.007,15%)</f>
        <v>0.20599999999999993</v>
      </c>
      <c r="Z167" s="1641">
        <f>MAX(Y167-0.005,15%)</f>
        <v>0.20099999999999993</v>
      </c>
      <c r="AA167" s="1641">
        <f t="shared" ref="AA167:AG167" si="300">MAX(Z167-0.005,15%)</f>
        <v>0.19599999999999992</v>
      </c>
      <c r="AB167" s="1641">
        <f t="shared" si="300"/>
        <v>0.19099999999999992</v>
      </c>
      <c r="AC167" s="1641">
        <f t="shared" si="300"/>
        <v>0.18599999999999992</v>
      </c>
      <c r="AD167" s="1641">
        <f t="shared" si="300"/>
        <v>0.18099999999999991</v>
      </c>
      <c r="AE167" s="1641">
        <f t="shared" si="300"/>
        <v>0.17599999999999991</v>
      </c>
      <c r="AF167" s="1641">
        <f t="shared" si="300"/>
        <v>0.1709999999999999</v>
      </c>
      <c r="AG167" s="1641">
        <f t="shared" si="300"/>
        <v>0.1659999999999999</v>
      </c>
      <c r="CJ167" s="1641">
        <v>0.25</v>
      </c>
      <c r="CK167"/>
      <c r="CL167" s="1641">
        <v>0.25</v>
      </c>
      <c r="CM167" s="1641">
        <v>0.24</v>
      </c>
      <c r="CN167" s="1641">
        <v>0.23</v>
      </c>
      <c r="CO167" s="1641">
        <v>0.23</v>
      </c>
      <c r="CP167"/>
      <c r="CQ167" s="1641">
        <v>0.23</v>
      </c>
      <c r="CR167" s="1641">
        <v>0.22</v>
      </c>
      <c r="CS167" s="1641">
        <v>0.22</v>
      </c>
      <c r="CT167" s="1641">
        <v>0.22</v>
      </c>
      <c r="CU167" s="965"/>
      <c r="CV167" s="1641">
        <v>0.215</v>
      </c>
      <c r="CW167" s="1641">
        <v>0.21</v>
      </c>
      <c r="CX167" s="1641">
        <v>0.21</v>
      </c>
      <c r="CY167" s="1641">
        <v>0.21</v>
      </c>
      <c r="CZ167" s="965"/>
      <c r="DA167" s="1641">
        <v>0.22</v>
      </c>
      <c r="DB167" s="1641">
        <v>0.22</v>
      </c>
      <c r="DC167" s="1641">
        <v>0.22</v>
      </c>
      <c r="DD167" s="1641">
        <v>0.22</v>
      </c>
      <c r="DE167" s="2915"/>
    </row>
    <row r="168" spans="1:109" s="2068" customFormat="1">
      <c r="A168" s="189" t="s">
        <v>1722</v>
      </c>
      <c r="S168" s="1641">
        <v>0.2</v>
      </c>
      <c r="T168" s="1640">
        <f>T160/T143</f>
        <v>0.2</v>
      </c>
      <c r="U168" s="1640">
        <f>U160/U143</f>
        <v>0.18554916666037666</v>
      </c>
      <c r="V168" s="1640">
        <f>V160/V143</f>
        <v>0.18</v>
      </c>
      <c r="W168" s="1640">
        <f>W160/W143</f>
        <v>0.17999999999999997</v>
      </c>
      <c r="X168" s="1641">
        <f t="shared" ref="X168:AG168" si="301">MAX(W168-0.005,10%)</f>
        <v>0.17499999999999996</v>
      </c>
      <c r="Y168" s="1641">
        <f t="shared" si="301"/>
        <v>0.16999999999999996</v>
      </c>
      <c r="Z168" s="1641">
        <f t="shared" si="301"/>
        <v>0.16499999999999995</v>
      </c>
      <c r="AA168" s="1641">
        <f t="shared" si="301"/>
        <v>0.15999999999999995</v>
      </c>
      <c r="AB168" s="1641">
        <f t="shared" si="301"/>
        <v>0.15499999999999994</v>
      </c>
      <c r="AC168" s="1641">
        <f t="shared" si="301"/>
        <v>0.14999999999999994</v>
      </c>
      <c r="AD168" s="1641">
        <f t="shared" si="301"/>
        <v>0.14499999999999993</v>
      </c>
      <c r="AE168" s="1641">
        <f t="shared" si="301"/>
        <v>0.13999999999999993</v>
      </c>
      <c r="AF168" s="1641">
        <f t="shared" si="301"/>
        <v>0.13499999999999993</v>
      </c>
      <c r="AG168" s="1641">
        <f t="shared" si="301"/>
        <v>0.12999999999999992</v>
      </c>
      <c r="CJ168" s="1641">
        <v>0.2</v>
      </c>
      <c r="CK168"/>
      <c r="CL168" s="1641">
        <v>0.2</v>
      </c>
      <c r="CM168" s="1641">
        <v>0.2</v>
      </c>
      <c r="CN168" s="1641">
        <v>0.2</v>
      </c>
      <c r="CO168" s="1641">
        <v>0.2</v>
      </c>
      <c r="CP168"/>
      <c r="CQ168" s="1641">
        <v>0.19</v>
      </c>
      <c r="CR168" s="1641">
        <v>0.19</v>
      </c>
      <c r="CS168" s="1641">
        <v>0.185</v>
      </c>
      <c r="CT168" s="1641">
        <v>0.18</v>
      </c>
      <c r="CU168" s="965"/>
      <c r="CV168" s="1641">
        <v>0.18</v>
      </c>
      <c r="CW168" s="1641">
        <v>0.18</v>
      </c>
      <c r="CX168" s="1641">
        <v>0.18</v>
      </c>
      <c r="CY168" s="1641">
        <v>0.18</v>
      </c>
      <c r="CZ168" s="965"/>
      <c r="DA168" s="1641">
        <v>0.18</v>
      </c>
      <c r="DB168" s="1641">
        <v>0.18</v>
      </c>
      <c r="DC168" s="1641">
        <v>0.18</v>
      </c>
      <c r="DD168" s="1641">
        <v>0.18</v>
      </c>
      <c r="DE168" s="2915"/>
    </row>
    <row r="169" spans="1:109">
      <c r="T169" s="2807"/>
      <c r="U169" s="2807"/>
      <c r="V169" s="2807"/>
      <c r="W169" s="2807"/>
      <c r="X169" s="2807"/>
      <c r="Y169" s="2807"/>
      <c r="Z169" s="2807"/>
      <c r="AA169" s="2807"/>
      <c r="AB169" s="2807"/>
      <c r="AC169" s="2807"/>
      <c r="AD169" s="2807"/>
      <c r="AE169" s="2807"/>
      <c r="AF169" s="2807"/>
      <c r="AG169" s="2807"/>
      <c r="AH169" s="2807"/>
      <c r="AI169" s="2807"/>
      <c r="AJ169" s="2807"/>
      <c r="AK169" s="2807"/>
      <c r="AL169" s="2807"/>
      <c r="AM169" s="2807"/>
      <c r="AN169" s="2807"/>
      <c r="AO169" s="2807"/>
      <c r="AP169" s="2807"/>
      <c r="AQ169" s="2807"/>
      <c r="AR169" s="2807"/>
      <c r="AS169" s="2807"/>
      <c r="AT169" s="2807"/>
      <c r="AU169" s="2807"/>
      <c r="AV169" s="2807"/>
      <c r="AW169" s="2807"/>
      <c r="AX169" s="2807"/>
      <c r="AY169" s="2807"/>
      <c r="AZ169" s="2807"/>
      <c r="BA169" s="2807"/>
      <c r="BB169" s="2807"/>
      <c r="BC169" s="2807"/>
      <c r="BD169" s="2807"/>
      <c r="BE169" s="2807"/>
      <c r="BF169" s="2807"/>
      <c r="BG169" s="2807"/>
      <c r="BH169" s="2807"/>
      <c r="BI169" s="2807"/>
      <c r="BJ169" s="2807"/>
      <c r="BK169" s="2807"/>
      <c r="BL169" s="2807"/>
      <c r="BM169" s="2807"/>
      <c r="BN169" s="2807"/>
      <c r="BO169" s="2807"/>
      <c r="BP169" s="2807"/>
      <c r="BQ169" s="2807"/>
      <c r="BR169" s="2807"/>
      <c r="BS169" s="2807"/>
      <c r="BT169" s="2807"/>
      <c r="BU169" s="2807"/>
      <c r="BV169" s="2807"/>
      <c r="BW169" s="2807"/>
      <c r="BX169" s="2807"/>
      <c r="BY169" s="2807"/>
      <c r="BZ169" s="2807"/>
      <c r="CA169" s="2807"/>
      <c r="CB169" s="2807"/>
      <c r="CC169" s="2807"/>
      <c r="CD169" s="2807"/>
      <c r="CE169" s="2807"/>
      <c r="CF169" s="2807"/>
      <c r="CG169" s="2807"/>
      <c r="CH169" s="2807"/>
      <c r="CL169"/>
      <c r="CM169"/>
      <c r="CN169"/>
      <c r="CO169"/>
      <c r="CP169"/>
      <c r="CU169" s="965"/>
      <c r="CV169"/>
      <c r="CW169"/>
      <c r="CX169"/>
      <c r="CY169"/>
      <c r="CZ169" s="965"/>
    </row>
    <row r="170" spans="1:109">
      <c r="A170" s="918" t="s">
        <v>678</v>
      </c>
      <c r="S170" s="1597">
        <f>S152-S161</f>
        <v>2.0216249999999991E-2</v>
      </c>
      <c r="T170" s="1597">
        <f>T152-T161</f>
        <v>0.79097623108758697</v>
      </c>
      <c r="U170" s="1597">
        <f t="shared" ref="U170:AL170" si="302">U152-U161</f>
        <v>2.4592850804499875</v>
      </c>
      <c r="V170" s="1597">
        <f t="shared" si="302"/>
        <v>3.6387098330596359</v>
      </c>
      <c r="W170" s="1597">
        <f t="shared" si="302"/>
        <v>-9.2834999835988015</v>
      </c>
      <c r="X170" s="1597">
        <f t="shared" si="302"/>
        <v>-5.905498907766912</v>
      </c>
      <c r="Y170" s="1597">
        <f t="shared" si="302"/>
        <v>-2.7093599999943763E-2</v>
      </c>
      <c r="Z170" s="1597">
        <f t="shared" si="302"/>
        <v>7.4678570880000734</v>
      </c>
      <c r="AA170" s="1597">
        <f t="shared" si="302"/>
        <v>17.264660719204926</v>
      </c>
      <c r="AB170" s="1597">
        <f t="shared" si="302"/>
        <v>29.374270490855622</v>
      </c>
      <c r="AC170" s="1597">
        <f t="shared" si="302"/>
        <v>43.49770700563829</v>
      </c>
      <c r="AD170" s="1597">
        <f t="shared" si="302"/>
        <v>59.633584712489665</v>
      </c>
      <c r="AE170" s="1597">
        <f t="shared" si="302"/>
        <v>77.847522156609557</v>
      </c>
      <c r="AF170" s="1597">
        <f t="shared" si="302"/>
        <v>98.16912135771156</v>
      </c>
      <c r="AG170" s="1597">
        <f t="shared" si="302"/>
        <v>120.63118748155921</v>
      </c>
      <c r="AH170" s="1597">
        <f t="shared" si="302"/>
        <v>0</v>
      </c>
      <c r="AI170" s="1597">
        <f t="shared" si="302"/>
        <v>0</v>
      </c>
      <c r="AJ170" s="1597">
        <f t="shared" si="302"/>
        <v>0</v>
      </c>
      <c r="AK170" s="1597">
        <f t="shared" si="302"/>
        <v>0</v>
      </c>
      <c r="AL170" s="1597">
        <f t="shared" si="302"/>
        <v>0</v>
      </c>
      <c r="AM170" s="2807"/>
      <c r="AN170" s="2807"/>
      <c r="AO170" s="2807"/>
      <c r="AP170" s="2807"/>
      <c r="AQ170" s="2807"/>
      <c r="AR170" s="2807"/>
      <c r="AS170" s="2807"/>
      <c r="AT170" s="2807"/>
      <c r="AU170" s="2807"/>
      <c r="AV170" s="2807"/>
      <c r="AW170" s="2807"/>
      <c r="AX170" s="2807"/>
      <c r="AY170" s="2807"/>
      <c r="AZ170" s="2807"/>
      <c r="BA170" s="2807"/>
      <c r="BB170" s="2807"/>
      <c r="BC170" s="2807"/>
      <c r="BD170" s="2807"/>
      <c r="BE170" s="2807"/>
      <c r="BF170" s="2807"/>
      <c r="BG170" s="2807"/>
      <c r="BH170" s="2807"/>
      <c r="BI170" s="2807"/>
      <c r="BJ170" s="2807"/>
      <c r="BK170" s="2807"/>
      <c r="BL170" s="2807"/>
      <c r="BM170" s="2807"/>
      <c r="BN170" s="2807"/>
      <c r="BO170" s="2807"/>
      <c r="BP170" s="2807"/>
      <c r="BQ170" s="2807"/>
      <c r="BR170" s="2807"/>
      <c r="BS170" s="2807"/>
      <c r="BT170" s="2807"/>
      <c r="BU170" s="2807"/>
      <c r="BV170" s="2807"/>
      <c r="BW170" s="2807"/>
      <c r="BX170" s="2807"/>
      <c r="BY170" s="2807"/>
      <c r="BZ170" s="2807"/>
      <c r="CA170" s="2807"/>
      <c r="CB170" s="2807"/>
      <c r="CC170" s="2807"/>
      <c r="CD170" s="2807"/>
      <c r="CE170" s="2807"/>
      <c r="CF170" s="2807"/>
      <c r="CG170" s="2807"/>
      <c r="CH170" s="2807"/>
      <c r="CJ170" s="1597">
        <f>CJ152-CJ161</f>
        <v>2.0216249999999991E-2</v>
      </c>
      <c r="CL170" s="1597">
        <f t="shared" ref="CL170:DD170" si="303">CL152-CL161</f>
        <v>5.9416667003143075E-2</v>
      </c>
      <c r="CM170" s="1597">
        <f t="shared" si="303"/>
        <v>0.15098823614916412</v>
      </c>
      <c r="CN170" s="1597">
        <f t="shared" si="303"/>
        <v>0.27283014880454282</v>
      </c>
      <c r="CO170" s="1597">
        <f t="shared" si="303"/>
        <v>0.30774117913073162</v>
      </c>
      <c r="CP170" s="965">
        <f t="shared" ref="CP170:CP176" si="304">T170-SUM(CL170:CO170)</f>
        <v>5.3290705182007514E-15</v>
      </c>
      <c r="CQ170" s="1597">
        <f t="shared" si="303"/>
        <v>0.46241331056695145</v>
      </c>
      <c r="CR170" s="1597">
        <f t="shared" si="303"/>
        <v>0.62656552644388341</v>
      </c>
      <c r="CS170" s="1597">
        <f t="shared" si="303"/>
        <v>0.6413818552047772</v>
      </c>
      <c r="CT170" s="1597">
        <f t="shared" si="303"/>
        <v>0.72892438823436478</v>
      </c>
      <c r="CU170" s="965">
        <f>U170-SUM(CQ170:CT170)</f>
        <v>1.0658141036401503E-14</v>
      </c>
      <c r="CV170" s="1597">
        <f t="shared" si="303"/>
        <v>0.57762560313660316</v>
      </c>
      <c r="CW170" s="1597">
        <f t="shared" si="303"/>
        <v>0.8509668053183006</v>
      </c>
      <c r="CX170" s="1597">
        <f t="shared" si="303"/>
        <v>1.0162866827822512</v>
      </c>
      <c r="CY170" s="1597">
        <f t="shared" si="303"/>
        <v>1.1938307418225236</v>
      </c>
      <c r="CZ170" s="1660">
        <f>V170-SUM(CV170:CY170)</f>
        <v>-4.2632564145606011E-14</v>
      </c>
      <c r="DA170" s="1597">
        <f t="shared" si="303"/>
        <v>-2.0604253454613968</v>
      </c>
      <c r="DB170" s="1597">
        <f t="shared" si="303"/>
        <v>-2.232611864902438</v>
      </c>
      <c r="DC170" s="1597">
        <f t="shared" si="303"/>
        <v>-2.3952748345744226</v>
      </c>
      <c r="DD170" s="1597">
        <f t="shared" si="303"/>
        <v>-2.5951879386605867</v>
      </c>
      <c r="DE170" s="965">
        <f t="shared" ref="DE170" si="305">W170-SUM(DA170:DD170)</f>
        <v>4.2632564145606011E-14</v>
      </c>
    </row>
    <row r="171" spans="1:109" s="2068" customFormat="1">
      <c r="A171" s="2520" t="s">
        <v>676</v>
      </c>
      <c r="T171" s="2915"/>
      <c r="U171" s="2916"/>
      <c r="V171" s="2916">
        <f>V170/U170-1</f>
        <v>0.47958033087967311</v>
      </c>
      <c r="W171" s="2916">
        <f t="shared" ref="W171:AG171" si="306">W170/V170-1</f>
        <v>-3.5513163757255968</v>
      </c>
      <c r="X171" s="2916">
        <f t="shared" si="306"/>
        <v>-0.36387150124412326</v>
      </c>
      <c r="Y171" s="2916">
        <f t="shared" si="306"/>
        <v>-0.99541214037575887</v>
      </c>
      <c r="Z171" s="2916">
        <f t="shared" si="306"/>
        <v>-276.63177606577102</v>
      </c>
      <c r="AA171" s="2916">
        <f t="shared" si="306"/>
        <v>1.3118627627391408</v>
      </c>
      <c r="AB171" s="2916">
        <f t="shared" si="306"/>
        <v>0.70141023728199681</v>
      </c>
      <c r="AC171" s="2916">
        <f t="shared" si="306"/>
        <v>0.48080977940130887</v>
      </c>
      <c r="AD171" s="2916">
        <f t="shared" si="306"/>
        <v>0.37095927159470254</v>
      </c>
      <c r="AE171" s="2916">
        <f t="shared" si="306"/>
        <v>0.30543086638065486</v>
      </c>
      <c r="AF171" s="2916">
        <f t="shared" si="306"/>
        <v>0.26104362268872316</v>
      </c>
      <c r="AG171" s="2916">
        <f t="shared" si="306"/>
        <v>0.22880989269527752</v>
      </c>
      <c r="AH171" s="2915"/>
      <c r="AI171" s="2915"/>
      <c r="AJ171" s="2915"/>
      <c r="AK171" s="2915"/>
      <c r="AL171" s="2915"/>
      <c r="AM171" s="2915"/>
      <c r="AN171" s="2915"/>
      <c r="AO171" s="2915"/>
      <c r="AP171" s="2915"/>
      <c r="AQ171" s="2915"/>
      <c r="AR171" s="2915"/>
      <c r="AS171" s="2915"/>
      <c r="AT171" s="2915"/>
      <c r="AU171" s="2915"/>
      <c r="AV171" s="2915"/>
      <c r="AW171" s="2915"/>
      <c r="AX171" s="2915"/>
      <c r="AY171" s="2915"/>
      <c r="AZ171" s="2915"/>
      <c r="BA171" s="2915"/>
      <c r="BB171" s="2915"/>
      <c r="BC171" s="2915"/>
      <c r="BD171" s="2915"/>
      <c r="BE171" s="2915"/>
      <c r="BF171" s="2915"/>
      <c r="BG171" s="2915"/>
      <c r="BH171" s="2915"/>
      <c r="BI171" s="2915"/>
      <c r="BJ171" s="2915"/>
      <c r="BK171" s="2915"/>
      <c r="BL171" s="2915"/>
      <c r="BM171" s="2915"/>
      <c r="BN171" s="2915"/>
      <c r="BO171" s="2915"/>
      <c r="BP171" s="2915"/>
      <c r="BQ171" s="2915"/>
      <c r="BR171" s="2915"/>
      <c r="BS171" s="2915"/>
      <c r="BT171" s="2915"/>
      <c r="BU171" s="2915"/>
      <c r="BV171" s="2915"/>
      <c r="BW171" s="2915"/>
      <c r="BX171" s="2915"/>
      <c r="BY171" s="2915"/>
      <c r="BZ171" s="2915"/>
      <c r="CA171" s="2915"/>
      <c r="CB171" s="2915"/>
      <c r="CC171" s="2915"/>
      <c r="CD171" s="2915"/>
      <c r="CE171" s="2915"/>
      <c r="CF171" s="2915"/>
      <c r="CG171" s="2915"/>
      <c r="CH171" s="2915"/>
      <c r="CK171"/>
      <c r="CP171" s="965"/>
      <c r="CU171" s="965"/>
      <c r="CZ171" s="1660"/>
      <c r="DE171" s="2915"/>
    </row>
    <row r="172" spans="1:109" s="2068" customFormat="1">
      <c r="A172" s="2520" t="s">
        <v>690</v>
      </c>
      <c r="S172" s="1640">
        <f t="shared" ref="S172:AF172" si="307">S170/S143</f>
        <v>4.9999999999999975E-2</v>
      </c>
      <c r="T172" s="2917">
        <f t="shared" si="307"/>
        <v>2.9575600117953942E-2</v>
      </c>
      <c r="U172" s="2917">
        <f t="shared" si="307"/>
        <v>2.6040458961464574E-2</v>
      </c>
      <c r="V172" s="2917">
        <f t="shared" si="307"/>
        <v>2.2424362220379444E-2</v>
      </c>
      <c r="W172" s="2917">
        <f t="shared" si="307"/>
        <v>-3.5605798994819408E-2</v>
      </c>
      <c r="X172" s="2917">
        <f t="shared" si="307"/>
        <v>-1.7807259720997597E-2</v>
      </c>
      <c r="Y172" s="2917">
        <f t="shared" si="307"/>
        <v>-7.1292456002542293E-5</v>
      </c>
      <c r="Z172" s="2917">
        <f t="shared" si="307"/>
        <v>1.7570258965916342E-2</v>
      </c>
      <c r="AA172" s="2917">
        <f t="shared" si="307"/>
        <v>3.6340714679452282E-2</v>
      </c>
      <c r="AB172" s="2917">
        <f t="shared" si="307"/>
        <v>5.5588990032799455E-2</v>
      </c>
      <c r="AC172" s="2917">
        <f t="shared" si="307"/>
        <v>7.4733793122069264E-2</v>
      </c>
      <c r="AD172" s="2917">
        <f t="shared" si="307"/>
        <v>9.3780806032889491E-2</v>
      </c>
      <c r="AE172" s="2917">
        <f t="shared" si="307"/>
        <v>0.11277498220382955</v>
      </c>
      <c r="AF172" s="2917">
        <f t="shared" si="307"/>
        <v>0.13171764152812337</v>
      </c>
      <c r="AG172" s="2917">
        <f t="shared" ref="AG172" si="308">AG170/AG143</f>
        <v>0.15061007224672199</v>
      </c>
      <c r="AH172" s="2915"/>
      <c r="AI172" s="2915"/>
      <c r="AJ172" s="2915"/>
      <c r="AK172" s="2915"/>
      <c r="AL172" s="2915"/>
      <c r="AM172" s="2915"/>
      <c r="AN172" s="2915"/>
      <c r="AO172" s="2915"/>
      <c r="AP172" s="2915"/>
      <c r="AQ172" s="2915"/>
      <c r="AR172" s="2915"/>
      <c r="AS172" s="2915"/>
      <c r="AT172" s="2915"/>
      <c r="AU172" s="2915"/>
      <c r="AV172" s="2915"/>
      <c r="AW172" s="2915"/>
      <c r="AX172" s="2915"/>
      <c r="AY172" s="2915"/>
      <c r="AZ172" s="2915"/>
      <c r="BA172" s="2915"/>
      <c r="BB172" s="2915"/>
      <c r="BC172" s="2915"/>
      <c r="BD172" s="2915"/>
      <c r="BE172" s="2915"/>
      <c r="BF172" s="2915"/>
      <c r="BG172" s="2915"/>
      <c r="BH172" s="2915"/>
      <c r="BI172" s="2915"/>
      <c r="BJ172" s="2915"/>
      <c r="BK172" s="2915"/>
      <c r="BL172" s="2915"/>
      <c r="BM172" s="2915"/>
      <c r="BN172" s="2915"/>
      <c r="BO172" s="2915"/>
      <c r="BP172" s="2915"/>
      <c r="BQ172" s="2915"/>
      <c r="BR172" s="2915"/>
      <c r="BS172" s="2915"/>
      <c r="BT172" s="2915"/>
      <c r="BU172" s="2915"/>
      <c r="BV172" s="2915"/>
      <c r="BW172" s="2915"/>
      <c r="BX172" s="2915"/>
      <c r="BY172" s="2915"/>
      <c r="BZ172" s="2915"/>
      <c r="CA172" s="2915"/>
      <c r="CB172" s="2915"/>
      <c r="CC172" s="2915"/>
      <c r="CD172" s="2915"/>
      <c r="CE172" s="2915"/>
      <c r="CF172" s="2915"/>
      <c r="CG172" s="2915"/>
      <c r="CH172" s="2915"/>
      <c r="CJ172" s="1640">
        <f>CJ170/CJ143</f>
        <v>4.9999999999999975E-2</v>
      </c>
      <c r="CK172"/>
      <c r="CL172" s="1640">
        <f>CL170/CL143</f>
        <v>2.7705459560924007E-2</v>
      </c>
      <c r="CM172" s="1640">
        <f>CM170/CM143</f>
        <v>3.3246551473108926E-2</v>
      </c>
      <c r="CN172" s="1640">
        <f>CN170/CN143</f>
        <v>3.4328735297478492E-2</v>
      </c>
      <c r="CO172" s="1640">
        <f>CO170/CO143</f>
        <v>2.5410919121848119E-2</v>
      </c>
      <c r="CP172" s="965"/>
      <c r="CQ172" s="1640">
        <f t="shared" ref="CQ172:CY172" si="309">CQ170/CQ143</f>
        <v>2.7063212099392484E-2</v>
      </c>
      <c r="CR172" s="1640">
        <f t="shared" si="309"/>
        <v>2.8240414115957777E-2</v>
      </c>
      <c r="CS172" s="1640">
        <f t="shared" si="309"/>
        <v>2.4417616132523207E-2</v>
      </c>
      <c r="CT172" s="1640">
        <f t="shared" si="309"/>
        <v>2.5221866145328769E-2</v>
      </c>
      <c r="CU172" s="965"/>
      <c r="CV172" s="1640">
        <f t="shared" si="309"/>
        <v>1.8131064577208519E-2</v>
      </c>
      <c r="CW172" s="1640">
        <f t="shared" si="309"/>
        <v>2.3330331616410994E-2</v>
      </c>
      <c r="CX172" s="1640">
        <f t="shared" si="309"/>
        <v>2.3528686557929387E-2</v>
      </c>
      <c r="CY172" s="1640">
        <f t="shared" si="309"/>
        <v>2.3528686557929373E-2</v>
      </c>
      <c r="CZ172" s="1660"/>
      <c r="DA172" s="1640">
        <f t="shared" ref="DA172:DD172" si="310">DA170/DA143</f>
        <v>-3.5652744638819532E-2</v>
      </c>
      <c r="DB172" s="1640">
        <f t="shared" si="310"/>
        <v>-3.5623319742898951E-2</v>
      </c>
      <c r="DC172" s="1640">
        <f t="shared" si="310"/>
        <v>-3.5593915057122644E-2</v>
      </c>
      <c r="DD172" s="1640">
        <f t="shared" si="310"/>
        <v>-3.5564530560676051E-2</v>
      </c>
      <c r="DE172" s="2915"/>
    </row>
    <row r="173" spans="1:109">
      <c r="A173" s="862"/>
      <c r="T173" s="2807"/>
      <c r="U173" s="2807"/>
      <c r="V173" s="2807"/>
      <c r="W173" s="2807"/>
      <c r="X173" s="2807"/>
      <c r="Y173" s="2807"/>
      <c r="Z173" s="2807"/>
      <c r="AA173" s="2807"/>
      <c r="AB173" s="2807"/>
      <c r="AC173" s="2807"/>
      <c r="AD173" s="2807"/>
      <c r="AE173" s="2807"/>
      <c r="AF173" s="2807"/>
      <c r="AG173" s="2807"/>
      <c r="AH173" s="2807"/>
      <c r="AI173" s="2807"/>
      <c r="AJ173" s="2807"/>
      <c r="AK173" s="2807"/>
      <c r="AL173" s="2807"/>
      <c r="AM173" s="2807"/>
      <c r="AN173" s="2807"/>
      <c r="AO173" s="2807"/>
      <c r="AP173" s="2807"/>
      <c r="AQ173" s="2807"/>
      <c r="AR173" s="2807"/>
      <c r="AS173" s="2807"/>
      <c r="AT173" s="2807"/>
      <c r="AU173" s="2807"/>
      <c r="AV173" s="2807"/>
      <c r="AW173" s="2807"/>
      <c r="AX173" s="2807"/>
      <c r="AY173" s="2807"/>
      <c r="AZ173" s="2807"/>
      <c r="BA173" s="2807"/>
      <c r="BB173" s="2807"/>
      <c r="BC173" s="2807"/>
      <c r="BD173" s="2807"/>
      <c r="BE173" s="2807"/>
      <c r="BF173" s="2807"/>
      <c r="BG173" s="2807"/>
      <c r="BH173" s="2807"/>
      <c r="BI173" s="2807"/>
      <c r="BJ173" s="2807"/>
      <c r="BK173" s="2807"/>
      <c r="BL173" s="2807"/>
      <c r="BM173" s="2807"/>
      <c r="BN173" s="2807"/>
      <c r="BO173" s="2807"/>
      <c r="BP173" s="2807"/>
      <c r="BQ173" s="2807"/>
      <c r="BR173" s="2807"/>
      <c r="BS173" s="2807"/>
      <c r="BT173" s="2807"/>
      <c r="BU173" s="2807"/>
      <c r="BV173" s="2807"/>
      <c r="BW173" s="2807"/>
      <c r="BX173" s="2807"/>
      <c r="BY173" s="2807"/>
      <c r="BZ173" s="2807"/>
      <c r="CA173" s="2807"/>
      <c r="CB173" s="2807"/>
      <c r="CC173" s="2807"/>
      <c r="CD173" s="2807"/>
      <c r="CE173" s="2807"/>
      <c r="CF173" s="2807"/>
      <c r="CG173" s="2807"/>
      <c r="CH173" s="2807"/>
      <c r="CL173"/>
      <c r="CM173"/>
      <c r="CN173"/>
      <c r="CO173"/>
      <c r="CP173" s="965"/>
      <c r="CU173" s="965"/>
      <c r="CV173"/>
      <c r="CW173"/>
      <c r="CX173"/>
      <c r="CY173"/>
      <c r="CZ173" s="1660"/>
    </row>
    <row r="174" spans="1:109">
      <c r="A174" s="938" t="s">
        <v>692</v>
      </c>
      <c r="S174" s="2521">
        <f>S143*0.02</f>
        <v>8.0865000000000017E-3</v>
      </c>
      <c r="T174" s="2918">
        <f>SUM(CL174:CO174)</f>
        <v>0.5348843154039149</v>
      </c>
      <c r="U174" s="2918">
        <f>SUM(CQ174:CT174)</f>
        <v>1.8888185374069706</v>
      </c>
      <c r="V174" s="2918">
        <f>SUM(CV174:CY174)</f>
        <v>3.2453184597176605</v>
      </c>
      <c r="W174" s="2523">
        <f t="shared" ref="W174:W175" si="311">SUM(DA174:DD174)</f>
        <v>5.2146000065604676</v>
      </c>
      <c r="X174" s="2919">
        <f>X143*0.016</f>
        <v>5.3061495145631081</v>
      </c>
      <c r="Y174" s="2919">
        <f>Y143*0.015</f>
        <v>5.7005190000000008</v>
      </c>
      <c r="Z174" s="2919">
        <f>Z143*0.014</f>
        <v>5.9503960320000004</v>
      </c>
      <c r="AA174" s="2919">
        <f>AA143*0.013</f>
        <v>6.1760092317768009</v>
      </c>
      <c r="AB174" s="2919">
        <f t="shared" ref="AB174:AG174" si="312">AA174</f>
        <v>6.1760092317768009</v>
      </c>
      <c r="AC174" s="2919">
        <f t="shared" si="312"/>
        <v>6.1760092317768009</v>
      </c>
      <c r="AD174" s="2919">
        <f t="shared" si="312"/>
        <v>6.1760092317768009</v>
      </c>
      <c r="AE174" s="2919">
        <f t="shared" si="312"/>
        <v>6.1760092317768009</v>
      </c>
      <c r="AF174" s="2919">
        <f t="shared" si="312"/>
        <v>6.1760092317768009</v>
      </c>
      <c r="AG174" s="2919">
        <f t="shared" si="312"/>
        <v>6.1760092317768009</v>
      </c>
      <c r="AH174" s="2807"/>
      <c r="AI174" s="2807"/>
      <c r="AJ174" s="2807"/>
      <c r="AK174" s="2807"/>
      <c r="AL174" s="2807"/>
      <c r="AM174" s="2807"/>
      <c r="AN174" s="2807"/>
      <c r="AO174" s="2807"/>
      <c r="AP174" s="2807"/>
      <c r="AQ174" s="2807"/>
      <c r="AR174" s="2807"/>
      <c r="AS174" s="2807"/>
      <c r="AT174" s="2807"/>
      <c r="AU174" s="2807"/>
      <c r="AV174" s="2807"/>
      <c r="AW174" s="2807"/>
      <c r="AX174" s="2807"/>
      <c r="AY174" s="2807"/>
      <c r="AZ174" s="2807"/>
      <c r="BA174" s="2807"/>
      <c r="BB174" s="2807"/>
      <c r="BC174" s="2807"/>
      <c r="BD174" s="2807"/>
      <c r="BE174" s="2807"/>
      <c r="BF174" s="2807"/>
      <c r="BG174" s="2807"/>
      <c r="BH174" s="2807"/>
      <c r="BI174" s="2807"/>
      <c r="BJ174" s="2807"/>
      <c r="BK174" s="2807"/>
      <c r="BL174" s="2807"/>
      <c r="BM174" s="2807"/>
      <c r="BN174" s="2807"/>
      <c r="BO174" s="2807"/>
      <c r="BP174" s="2807"/>
      <c r="BQ174" s="2807"/>
      <c r="BR174" s="2807"/>
      <c r="BS174" s="2807"/>
      <c r="BT174" s="2807"/>
      <c r="BU174" s="2807"/>
      <c r="BV174" s="2807"/>
      <c r="BW174" s="2807"/>
      <c r="BX174" s="2807"/>
      <c r="BY174" s="2807"/>
      <c r="BZ174" s="2807"/>
      <c r="CA174" s="2807"/>
      <c r="CB174" s="2807"/>
      <c r="CC174" s="2807"/>
      <c r="CD174" s="2807"/>
      <c r="CE174" s="2807"/>
      <c r="CF174" s="2807"/>
      <c r="CG174" s="2807"/>
      <c r="CH174" s="2807"/>
      <c r="CJ174" s="2521">
        <f>CJ143*0.02</f>
        <v>8.0865000000000017E-3</v>
      </c>
      <c r="CL174" s="2521">
        <f>CL143*0.02</f>
        <v>4.2891666801257326E-2</v>
      </c>
      <c r="CM174" s="2521">
        <f>CM143*0.02</f>
        <v>9.0829412049721392E-2</v>
      </c>
      <c r="CN174" s="2521">
        <f>CN143*0.02</f>
        <v>0.15895147108701246</v>
      </c>
      <c r="CO174" s="2521">
        <f>CO143*0.02</f>
        <v>0.24221176546592371</v>
      </c>
      <c r="CP174" s="965">
        <f t="shared" si="304"/>
        <v>0</v>
      </c>
      <c r="CQ174" s="2521">
        <f t="shared" ref="CQ174:CY174" si="313">CQ143*0.02</f>
        <v>0.34172832764173749</v>
      </c>
      <c r="CR174" s="2521">
        <f t="shared" si="313"/>
        <v>0.44373678365419639</v>
      </c>
      <c r="CS174" s="2521">
        <f t="shared" si="313"/>
        <v>0.52534354846416342</v>
      </c>
      <c r="CT174" s="2521">
        <f t="shared" si="313"/>
        <v>0.57800987764687317</v>
      </c>
      <c r="CU174" s="965">
        <f>U174-SUM(CQ174:CT174)</f>
        <v>0</v>
      </c>
      <c r="CV174" s="2521">
        <f t="shared" si="313"/>
        <v>0.63716678154982898</v>
      </c>
      <c r="CW174" s="2521">
        <f t="shared" si="313"/>
        <v>0.72949396460332738</v>
      </c>
      <c r="CX174" s="2521">
        <f t="shared" si="313"/>
        <v>0.86387030596040915</v>
      </c>
      <c r="CY174" s="2521">
        <f t="shared" si="313"/>
        <v>1.0147874076040952</v>
      </c>
      <c r="CZ174" s="1660">
        <f>V174-SUM(CV174:CY174)</f>
        <v>0</v>
      </c>
      <c r="DA174" s="2521">
        <f t="shared" ref="DA174:DD174" si="314">DA143*0.02</f>
        <v>1.1558298618154397</v>
      </c>
      <c r="DB174" s="2521">
        <f t="shared" si="314"/>
        <v>1.2534552540390234</v>
      </c>
      <c r="DC174" s="2521">
        <f t="shared" si="314"/>
        <v>1.3458900661702331</v>
      </c>
      <c r="DD174" s="2521">
        <f t="shared" si="314"/>
        <v>1.4594248245357715</v>
      </c>
      <c r="DE174" s="965">
        <f t="shared" ref="DE174:DE176" si="315">W174-SUM(DA174:DD174)</f>
        <v>0</v>
      </c>
    </row>
    <row r="175" spans="1:109">
      <c r="A175" s="938" t="s">
        <v>684</v>
      </c>
      <c r="S175" s="1762">
        <v>0</v>
      </c>
      <c r="T175" s="2918">
        <f>SUM(CL175:CO175)</f>
        <v>0</v>
      </c>
      <c r="U175" s="2918">
        <f>SUM(CQ175:CT175)</f>
        <v>0</v>
      </c>
      <c r="V175" s="2918">
        <f>SUM(CV175:CY175)</f>
        <v>0</v>
      </c>
      <c r="W175" s="2523">
        <f t="shared" si="311"/>
        <v>0</v>
      </c>
      <c r="X175" s="2920">
        <v>0</v>
      </c>
      <c r="Y175" s="2920">
        <v>0</v>
      </c>
      <c r="Z175" s="2920">
        <v>0</v>
      </c>
      <c r="AA175" s="2920">
        <v>0</v>
      </c>
      <c r="AB175" s="2920">
        <v>0</v>
      </c>
      <c r="AC175" s="2920">
        <v>0</v>
      </c>
      <c r="AD175" s="2920">
        <v>0</v>
      </c>
      <c r="AE175" s="2920">
        <v>0</v>
      </c>
      <c r="AF175" s="2920">
        <v>0</v>
      </c>
      <c r="AG175" s="2920">
        <v>0</v>
      </c>
      <c r="AH175" s="2807"/>
      <c r="AI175" s="2807"/>
      <c r="AJ175" s="2807"/>
      <c r="AK175" s="2807"/>
      <c r="AL175" s="2807"/>
      <c r="AM175" s="2807"/>
      <c r="AN175" s="2807"/>
      <c r="AO175" s="2807"/>
      <c r="AP175" s="2807"/>
      <c r="AQ175" s="2807"/>
      <c r="AR175" s="2807"/>
      <c r="AS175" s="2807"/>
      <c r="AT175" s="2807"/>
      <c r="AU175" s="2807"/>
      <c r="AV175" s="2807"/>
      <c r="AW175" s="2807"/>
      <c r="AX175" s="2807"/>
      <c r="AY175" s="2807"/>
      <c r="AZ175" s="2807"/>
      <c r="BA175" s="2807"/>
      <c r="BB175" s="2807"/>
      <c r="BC175" s="2807"/>
      <c r="BD175" s="2807"/>
      <c r="BE175" s="2807"/>
      <c r="BF175" s="2807"/>
      <c r="BG175" s="2807"/>
      <c r="BH175" s="2807"/>
      <c r="BI175" s="2807"/>
      <c r="BJ175" s="2807"/>
      <c r="BK175" s="2807"/>
      <c r="BL175" s="2807"/>
      <c r="BM175" s="2807"/>
      <c r="BN175" s="2807"/>
      <c r="BO175" s="2807"/>
      <c r="BP175" s="2807"/>
      <c r="BQ175" s="2807"/>
      <c r="BR175" s="2807"/>
      <c r="BS175" s="2807"/>
      <c r="BT175" s="2807"/>
      <c r="BU175" s="2807"/>
      <c r="BV175" s="2807"/>
      <c r="BW175" s="2807"/>
      <c r="BX175" s="2807"/>
      <c r="BY175" s="2807"/>
      <c r="BZ175" s="2807"/>
      <c r="CA175" s="2807"/>
      <c r="CB175" s="2807"/>
      <c r="CC175" s="2807"/>
      <c r="CD175" s="2807"/>
      <c r="CE175" s="2807"/>
      <c r="CF175" s="2807"/>
      <c r="CG175" s="2807"/>
      <c r="CH175" s="2807"/>
      <c r="CJ175" s="1762">
        <v>0</v>
      </c>
      <c r="CL175" s="1762">
        <v>0</v>
      </c>
      <c r="CM175" s="1762">
        <v>0</v>
      </c>
      <c r="CN175" s="1762">
        <v>0</v>
      </c>
      <c r="CO175" s="1762">
        <v>0</v>
      </c>
      <c r="CP175" s="965">
        <f t="shared" si="304"/>
        <v>0</v>
      </c>
      <c r="CQ175" s="1762">
        <v>0</v>
      </c>
      <c r="CR175" s="1762">
        <v>0</v>
      </c>
      <c r="CS175" s="1762">
        <v>0</v>
      </c>
      <c r="CT175" s="1762">
        <v>0</v>
      </c>
      <c r="CU175" s="965">
        <f>U175-SUM(CQ175:CT175)</f>
        <v>0</v>
      </c>
      <c r="CV175" s="1762">
        <v>0</v>
      </c>
      <c r="CW175" s="1762">
        <v>0</v>
      </c>
      <c r="CX175" s="1762">
        <v>0</v>
      </c>
      <c r="CY175" s="1762">
        <v>0</v>
      </c>
      <c r="CZ175" s="1660">
        <f>V175-SUM(CV175:CY175)</f>
        <v>0</v>
      </c>
      <c r="DA175" s="1762">
        <v>0</v>
      </c>
      <c r="DB175" s="1762">
        <v>0</v>
      </c>
      <c r="DC175" s="1762">
        <v>0</v>
      </c>
      <c r="DD175" s="1762">
        <v>0</v>
      </c>
      <c r="DE175" s="965">
        <f t="shared" si="315"/>
        <v>0</v>
      </c>
    </row>
    <row r="176" spans="1:109">
      <c r="A176" s="36" t="s">
        <v>685</v>
      </c>
      <c r="S176" s="2373">
        <f>S170-S174-S175</f>
        <v>1.2129749999999989E-2</v>
      </c>
      <c r="T176" s="2921">
        <f>T170-T174-T175</f>
        <v>0.25609191568367207</v>
      </c>
      <c r="U176" s="2921">
        <f>U170-U174-U175</f>
        <v>0.57046654304301692</v>
      </c>
      <c r="V176" s="2921">
        <f>V170-V174-V175</f>
        <v>0.39339137334197538</v>
      </c>
      <c r="W176" s="2921">
        <f t="shared" ref="W176:AF176" si="316">W170-W174-W175</f>
        <v>-14.498099990159268</v>
      </c>
      <c r="X176" s="2921">
        <f t="shared" si="316"/>
        <v>-11.21164842233002</v>
      </c>
      <c r="Y176" s="2921">
        <f t="shared" si="316"/>
        <v>-5.7276125999999445</v>
      </c>
      <c r="Z176" s="2921">
        <f t="shared" si="316"/>
        <v>1.517461056000073</v>
      </c>
      <c r="AA176" s="2921">
        <f t="shared" si="316"/>
        <v>11.088651487428125</v>
      </c>
      <c r="AB176" s="2921">
        <f t="shared" si="316"/>
        <v>23.198261259078819</v>
      </c>
      <c r="AC176" s="2921">
        <f t="shared" si="316"/>
        <v>37.321697773861487</v>
      </c>
      <c r="AD176" s="2921">
        <f t="shared" si="316"/>
        <v>53.457575480712862</v>
      </c>
      <c r="AE176" s="2921">
        <f t="shared" si="316"/>
        <v>71.671512924832754</v>
      </c>
      <c r="AF176" s="2921">
        <f t="shared" si="316"/>
        <v>91.993112125934758</v>
      </c>
      <c r="AG176" s="2921">
        <f t="shared" ref="AG176" si="317">AG170-AG174-AG175</f>
        <v>114.45517824978241</v>
      </c>
      <c r="AH176" s="2807"/>
      <c r="AI176" s="2807"/>
      <c r="AJ176" s="2807"/>
      <c r="AK176" s="2807"/>
      <c r="AL176" s="2807"/>
      <c r="AM176" s="2807"/>
      <c r="AN176" s="2807"/>
      <c r="AO176" s="2807"/>
      <c r="AP176" s="2807"/>
      <c r="AQ176" s="2807"/>
      <c r="AR176" s="2807"/>
      <c r="AS176" s="2807"/>
      <c r="AT176" s="2807"/>
      <c r="AU176" s="2807"/>
      <c r="AV176" s="2807"/>
      <c r="AW176" s="2807"/>
      <c r="AX176" s="2807"/>
      <c r="AY176" s="2807"/>
      <c r="AZ176" s="2807"/>
      <c r="BA176" s="2807"/>
      <c r="BB176" s="2807"/>
      <c r="BC176" s="2807"/>
      <c r="BD176" s="2807"/>
      <c r="BE176" s="2807"/>
      <c r="BF176" s="2807"/>
      <c r="BG176" s="2807"/>
      <c r="BH176" s="2807"/>
      <c r="BI176" s="2807"/>
      <c r="BJ176" s="2807"/>
      <c r="BK176" s="2807"/>
      <c r="BL176" s="2807"/>
      <c r="BM176" s="2807"/>
      <c r="BN176" s="2807"/>
      <c r="BO176" s="2807"/>
      <c r="BP176" s="2807"/>
      <c r="BQ176" s="2807"/>
      <c r="BR176" s="2807"/>
      <c r="BS176" s="2807"/>
      <c r="BT176" s="2807"/>
      <c r="BU176" s="2807"/>
      <c r="BV176" s="2807"/>
      <c r="BW176" s="2807"/>
      <c r="BX176" s="2807"/>
      <c r="BY176" s="2807"/>
      <c r="BZ176" s="2807"/>
      <c r="CA176" s="2807"/>
      <c r="CB176" s="2807"/>
      <c r="CC176" s="2807"/>
      <c r="CD176" s="2807"/>
      <c r="CE176" s="2807"/>
      <c r="CF176" s="2807"/>
      <c r="CG176" s="2807"/>
      <c r="CH176" s="2807"/>
      <c r="CJ176" s="2373">
        <f>CJ170-CJ174-CJ175</f>
        <v>1.2129749999999989E-2</v>
      </c>
      <c r="CL176" s="2373">
        <f>CL170-CL174-CL175</f>
        <v>1.6525000201885749E-2</v>
      </c>
      <c r="CM176" s="2373">
        <f>CM170-CM174-CM175</f>
        <v>6.0158824099442731E-2</v>
      </c>
      <c r="CN176" s="2373">
        <f>CN170-CN174-CN175</f>
        <v>0.11387867771753035</v>
      </c>
      <c r="CO176" s="2373">
        <f>CO170-CO174-CO175</f>
        <v>6.5529413664807912E-2</v>
      </c>
      <c r="CP176" s="965">
        <f t="shared" si="304"/>
        <v>5.3290705182007514E-15</v>
      </c>
      <c r="CQ176" s="2373">
        <f t="shared" ref="CQ176:CY176" si="318">CQ170-CQ174-CQ175</f>
        <v>0.12068498292521396</v>
      </c>
      <c r="CR176" s="2373">
        <f t="shared" si="318"/>
        <v>0.18282874278968703</v>
      </c>
      <c r="CS176" s="2373">
        <f t="shared" si="318"/>
        <v>0.11603830674061377</v>
      </c>
      <c r="CT176" s="2373">
        <f t="shared" si="318"/>
        <v>0.15091451058749161</v>
      </c>
      <c r="CU176" s="965">
        <f>U176-SUM(CQ176:CT176)</f>
        <v>1.0547118733938987E-14</v>
      </c>
      <c r="CV176" s="2373">
        <f t="shared" si="318"/>
        <v>-5.9541178413225815E-2</v>
      </c>
      <c r="CW176" s="2373">
        <f t="shared" si="318"/>
        <v>0.12147284071497322</v>
      </c>
      <c r="CX176" s="2373">
        <f t="shared" si="318"/>
        <v>0.15241637682184206</v>
      </c>
      <c r="CY176" s="2373">
        <f t="shared" si="318"/>
        <v>0.17904333421842833</v>
      </c>
      <c r="CZ176" s="1660">
        <f>V176-SUM(CV176:CY176)</f>
        <v>-4.241051954068098E-14</v>
      </c>
      <c r="DA176" s="2373">
        <f t="shared" ref="DA176:DD176" si="319">DA170-DA174-DA175</f>
        <v>-3.2162552072768364</v>
      </c>
      <c r="DB176" s="2373">
        <f t="shared" si="319"/>
        <v>-3.4860671189414614</v>
      </c>
      <c r="DC176" s="2373">
        <f t="shared" si="319"/>
        <v>-3.7411649007446557</v>
      </c>
      <c r="DD176" s="2373">
        <f t="shared" si="319"/>
        <v>-4.0546127631963582</v>
      </c>
      <c r="DE176" s="965">
        <f t="shared" si="315"/>
        <v>4.2632564145606011E-14</v>
      </c>
    </row>
    <row r="177" spans="1:108">
      <c r="A177" s="2520" t="s">
        <v>676</v>
      </c>
      <c r="S177" s="2068"/>
      <c r="T177" s="2915"/>
      <c r="U177" s="2916">
        <f t="shared" ref="U177:AG177" si="320">U176/T176-1</f>
        <v>1.2275851290349373</v>
      </c>
      <c r="V177" s="2916">
        <f t="shared" si="320"/>
        <v>-0.31040412774511983</v>
      </c>
      <c r="W177" s="2916">
        <f t="shared" si="320"/>
        <v>-37.854138073729594</v>
      </c>
      <c r="X177" s="2916">
        <f t="shared" si="320"/>
        <v>-0.22668153551568548</v>
      </c>
      <c r="Y177" s="2916">
        <f t="shared" si="320"/>
        <v>-0.48913733429311157</v>
      </c>
      <c r="Z177" s="2916">
        <f t="shared" si="320"/>
        <v>-1.2649377955485481</v>
      </c>
      <c r="AA177" s="2916">
        <f t="shared" si="320"/>
        <v>6.3073713777255529</v>
      </c>
      <c r="AB177" s="2916">
        <f t="shared" si="320"/>
        <v>1.092072357525177</v>
      </c>
      <c r="AC177" s="2916">
        <f t="shared" si="320"/>
        <v>0.60881444333485768</v>
      </c>
      <c r="AD177" s="2916">
        <f t="shared" si="320"/>
        <v>0.43234575781148554</v>
      </c>
      <c r="AE177" s="2916">
        <f t="shared" si="320"/>
        <v>0.34071761168239578</v>
      </c>
      <c r="AF177" s="2916">
        <f t="shared" si="320"/>
        <v>0.28353802468792266</v>
      </c>
      <c r="AG177" s="2916">
        <f t="shared" si="320"/>
        <v>0.24417117330586668</v>
      </c>
      <c r="AH177" s="2807"/>
      <c r="AI177" s="2807"/>
      <c r="AJ177" s="2807"/>
      <c r="AK177" s="2807"/>
      <c r="AL177" s="2807"/>
      <c r="AM177" s="2807"/>
      <c r="AN177" s="2807"/>
      <c r="AO177" s="2807"/>
      <c r="AP177" s="2807"/>
      <c r="AQ177" s="2807"/>
      <c r="AR177" s="2807"/>
      <c r="AS177" s="2807"/>
      <c r="AT177" s="2807"/>
      <c r="AU177" s="2807"/>
      <c r="AV177" s="2807"/>
      <c r="AW177" s="2807"/>
      <c r="AX177" s="2807"/>
      <c r="AY177" s="2807"/>
      <c r="AZ177" s="2807"/>
      <c r="BA177" s="2807"/>
      <c r="BB177" s="2807"/>
      <c r="BC177" s="2807"/>
      <c r="BD177" s="2807"/>
      <c r="BE177" s="2807"/>
      <c r="BF177" s="2807"/>
      <c r="BG177" s="2807"/>
      <c r="BH177" s="2807"/>
      <c r="BI177" s="2807"/>
      <c r="BJ177" s="2807"/>
      <c r="BK177" s="2807"/>
      <c r="BL177" s="2807"/>
      <c r="BM177" s="2807"/>
      <c r="BN177" s="2807"/>
      <c r="BO177" s="2807"/>
      <c r="BP177" s="2807"/>
      <c r="BQ177" s="2807"/>
      <c r="BR177" s="2807"/>
      <c r="BS177" s="2807"/>
      <c r="BT177" s="2807"/>
      <c r="BU177" s="2807"/>
      <c r="BV177" s="2807"/>
      <c r="BW177" s="2807"/>
      <c r="BX177" s="2807"/>
      <c r="BY177" s="2807"/>
      <c r="BZ177" s="2807"/>
      <c r="CA177" s="2807"/>
      <c r="CB177" s="2807"/>
      <c r="CC177" s="2807"/>
      <c r="CD177" s="2807"/>
      <c r="CE177" s="2807"/>
      <c r="CF177" s="2807"/>
      <c r="CG177" s="2807"/>
      <c r="CH177" s="2807"/>
      <c r="CJ177" s="2068"/>
      <c r="CL177" s="2068"/>
      <c r="CM177" s="2068"/>
      <c r="CN177" s="2068"/>
      <c r="CO177" s="2068"/>
      <c r="CP177"/>
      <c r="CQ177" s="2068"/>
      <c r="CR177" s="2068"/>
      <c r="CS177" s="2068"/>
      <c r="CT177" s="2068"/>
      <c r="CV177" s="2068"/>
      <c r="CW177" s="2068"/>
      <c r="CX177" s="2068"/>
      <c r="CY177" s="2068"/>
      <c r="CZ177" s="1577"/>
      <c r="DA177" s="2068"/>
      <c r="DB177" s="2068"/>
      <c r="DC177" s="2068"/>
      <c r="DD177" s="2068"/>
    </row>
    <row r="178" spans="1:108">
      <c r="A178" s="2520" t="s">
        <v>690</v>
      </c>
      <c r="S178" s="1640">
        <f>S176/S143</f>
        <v>2.9999999999999971E-2</v>
      </c>
      <c r="T178" s="2917">
        <f t="shared" ref="T178:AF178" si="321">T176/T143</f>
        <v>9.5756001179539436E-3</v>
      </c>
      <c r="U178" s="2917">
        <f t="shared" si="321"/>
        <v>6.0404589614645706E-3</v>
      </c>
      <c r="V178" s="2917">
        <f t="shared" si="321"/>
        <v>2.4243622203794449E-3</v>
      </c>
      <c r="W178" s="2917">
        <f t="shared" si="321"/>
        <v>-5.5605798994819405E-2</v>
      </c>
      <c r="X178" s="2917">
        <f t="shared" si="321"/>
        <v>-3.3807259720997601E-2</v>
      </c>
      <c r="Y178" s="2917">
        <f t="shared" si="321"/>
        <v>-1.5071292456002541E-2</v>
      </c>
      <c r="Z178" s="2917">
        <f t="shared" si="321"/>
        <v>3.570258965916341E-3</v>
      </c>
      <c r="AA178" s="2917">
        <f t="shared" si="321"/>
        <v>2.3340714679452285E-2</v>
      </c>
      <c r="AB178" s="2917">
        <f t="shared" si="321"/>
        <v>4.3901274563079282E-2</v>
      </c>
      <c r="AC178" s="2917">
        <f t="shared" si="321"/>
        <v>6.4122737321179138E-2</v>
      </c>
      <c r="AD178" s="2917">
        <f t="shared" si="321"/>
        <v>8.4068307168113227E-2</v>
      </c>
      <c r="AE178" s="2917">
        <f t="shared" si="321"/>
        <v>0.10382801366958211</v>
      </c>
      <c r="AF178" s="2917">
        <f t="shared" si="321"/>
        <v>0.12343103002733037</v>
      </c>
      <c r="AG178" s="2917">
        <f t="shared" ref="AG178" si="322">AG176/AG143</f>
        <v>0.1428992205506254</v>
      </c>
      <c r="AH178" s="2807"/>
      <c r="AI178" s="2807"/>
      <c r="AJ178" s="2807"/>
      <c r="AK178" s="2807"/>
      <c r="AL178" s="2807"/>
      <c r="AM178" s="2807"/>
      <c r="AN178" s="2807"/>
      <c r="AO178" s="2807"/>
      <c r="AP178" s="2807"/>
      <c r="AQ178" s="2807"/>
      <c r="AR178" s="2807"/>
      <c r="AS178" s="2807"/>
      <c r="AT178" s="2807"/>
      <c r="AU178" s="2807"/>
      <c r="AV178" s="2807"/>
      <c r="AW178" s="2807"/>
      <c r="AX178" s="2807"/>
      <c r="AY178" s="2807"/>
      <c r="AZ178" s="2807"/>
      <c r="BA178" s="2807"/>
      <c r="BB178" s="2807"/>
      <c r="BC178" s="2807"/>
      <c r="BD178" s="2807"/>
      <c r="BE178" s="2807"/>
      <c r="BF178" s="2807"/>
      <c r="BG178" s="2807"/>
      <c r="BH178" s="2807"/>
      <c r="BI178" s="2807"/>
      <c r="BJ178" s="2807"/>
      <c r="BK178" s="2807"/>
      <c r="BL178" s="2807"/>
      <c r="BM178" s="2807"/>
      <c r="BN178" s="2807"/>
      <c r="BO178" s="2807"/>
      <c r="BP178" s="2807"/>
      <c r="BQ178" s="2807"/>
      <c r="BR178" s="2807"/>
      <c r="BS178" s="2807"/>
      <c r="BT178" s="2807"/>
      <c r="BU178" s="2807"/>
      <c r="BV178" s="2807"/>
      <c r="BW178" s="2807"/>
      <c r="BX178" s="2807"/>
      <c r="BY178" s="2807"/>
      <c r="BZ178" s="2807"/>
      <c r="CA178" s="2807"/>
      <c r="CB178" s="2807"/>
      <c r="CC178" s="2807"/>
      <c r="CD178" s="2807"/>
      <c r="CE178" s="2807"/>
      <c r="CF178" s="2807"/>
      <c r="CG178" s="2807"/>
      <c r="CH178" s="2807"/>
      <c r="CJ178" s="1640">
        <f>CJ176/CJ143</f>
        <v>2.9999999999999971E-2</v>
      </c>
      <c r="CL178" s="1640">
        <f>CL176/CL143</f>
        <v>7.7054595609240047E-3</v>
      </c>
      <c r="CM178" s="1640">
        <f>CM176/CM143</f>
        <v>1.3246551473108928E-2</v>
      </c>
      <c r="CN178" s="1640">
        <f>CN176/CN143</f>
        <v>1.432873529747849E-2</v>
      </c>
      <c r="CO178" s="1640">
        <f>CO176/CO143</f>
        <v>5.4109191218481177E-3</v>
      </c>
      <c r="CP178"/>
      <c r="CQ178" s="1640">
        <f t="shared" ref="CQ178:CY178" si="323">CQ176/CQ143</f>
        <v>7.063212099392484E-3</v>
      </c>
      <c r="CR178" s="1640">
        <f t="shared" si="323"/>
        <v>8.2404141159577744E-3</v>
      </c>
      <c r="CS178" s="1640">
        <f t="shared" si="323"/>
        <v>4.4176161325232069E-3</v>
      </c>
      <c r="CT178" s="1640">
        <f t="shared" si="323"/>
        <v>5.2218661453287711E-3</v>
      </c>
      <c r="CV178" s="1640">
        <f t="shared" si="323"/>
        <v>-1.8689354227914799E-3</v>
      </c>
      <c r="CW178" s="1640">
        <f t="shared" si="323"/>
        <v>3.3303316164109949E-3</v>
      </c>
      <c r="CX178" s="1640">
        <f t="shared" si="323"/>
        <v>3.5286865579293855E-3</v>
      </c>
      <c r="CY178" s="1640">
        <f t="shared" si="323"/>
        <v>3.5286865579293733E-3</v>
      </c>
      <c r="CZ178" s="1577"/>
      <c r="DA178" s="1640">
        <f t="shared" ref="DA178:DD178" si="324">DA176/DA143</f>
        <v>-5.5652744638819529E-2</v>
      </c>
      <c r="DB178" s="1640">
        <f t="shared" si="324"/>
        <v>-5.5623319742898948E-2</v>
      </c>
      <c r="DC178" s="1640">
        <f t="shared" si="324"/>
        <v>-5.5593915057122648E-2</v>
      </c>
      <c r="DD178" s="1640">
        <f t="shared" si="324"/>
        <v>-5.5564530560676055E-2</v>
      </c>
    </row>
    <row r="179" spans="1:108">
      <c r="T179" s="2807"/>
      <c r="U179" s="2807"/>
      <c r="V179" s="2807"/>
      <c r="W179" s="2807"/>
      <c r="X179" s="2807"/>
      <c r="Y179" s="2807"/>
      <c r="Z179" s="2807"/>
      <c r="AA179" s="2807"/>
      <c r="AB179" s="2807"/>
      <c r="AC179" s="2807"/>
      <c r="AD179" s="2807"/>
      <c r="AE179" s="2807"/>
      <c r="AF179" s="2807"/>
      <c r="AG179" s="2807"/>
      <c r="AH179" s="2807"/>
      <c r="AI179" s="2807"/>
      <c r="AJ179" s="2807"/>
      <c r="AK179" s="2807"/>
      <c r="AL179" s="2807"/>
      <c r="AM179" s="2807"/>
      <c r="AN179" s="2807"/>
      <c r="AO179" s="2807"/>
      <c r="AP179" s="2807"/>
      <c r="AQ179" s="2807"/>
      <c r="AR179" s="2807"/>
      <c r="AS179" s="2807"/>
      <c r="AT179" s="2807"/>
      <c r="AU179" s="2807"/>
      <c r="AV179" s="2807"/>
      <c r="AW179" s="2807"/>
      <c r="AX179" s="2807"/>
      <c r="AY179" s="2807"/>
      <c r="AZ179" s="2807"/>
      <c r="BA179" s="2807"/>
      <c r="BB179" s="2807"/>
      <c r="BC179" s="2807"/>
      <c r="BD179" s="2807"/>
      <c r="BE179" s="2807"/>
      <c r="BF179" s="2807"/>
      <c r="BG179" s="2807"/>
      <c r="BH179" s="2807"/>
      <c r="BI179" s="2807"/>
      <c r="BJ179" s="2807"/>
      <c r="BK179" s="2807"/>
      <c r="BL179" s="2807"/>
      <c r="BM179" s="2807"/>
      <c r="BN179" s="2807"/>
      <c r="BO179" s="2807"/>
      <c r="BP179" s="2807"/>
      <c r="BQ179" s="2807"/>
      <c r="BR179" s="2807"/>
      <c r="BS179" s="2807"/>
      <c r="BT179" s="2807"/>
      <c r="BU179" s="2807"/>
      <c r="BV179" s="2807"/>
      <c r="BW179" s="2807"/>
      <c r="BX179" s="2807"/>
      <c r="BY179" s="2807"/>
      <c r="BZ179" s="2807"/>
      <c r="CA179" s="2807"/>
      <c r="CB179" s="2807"/>
      <c r="CC179" s="2807"/>
      <c r="CD179" s="2807"/>
      <c r="CE179" s="2807"/>
      <c r="CF179" s="2807"/>
      <c r="CG179" s="2807"/>
      <c r="CH179" s="2807"/>
      <c r="CP179"/>
      <c r="CZ179" s="1577"/>
    </row>
    <row r="180" spans="1:108">
      <c r="CZ180" s="1577"/>
    </row>
    <row r="181" spans="1:108">
      <c r="CZ181" s="1577"/>
    </row>
  </sheetData>
  <phoneticPr fontId="3" type="noConversion"/>
  <pageMargins left="0" right="0" top="0" bottom="0" header="0" footer="0"/>
  <pageSetup paperSize="5" orientation="landscape" r:id="rId1"/>
  <headerFooter alignWithMargins="0"/>
  <ignoredErrors>
    <ignoredError sqref="T20:T21 S45:AD57 S67:AD67 CK8:CK33 CF8:CF34 CH38 S20:S21 Q23:S29 S13:S14 Q52:R65 CP8:CP33 T13:U13 X13:AD13 T14 X14:AD14 T19 T16 X16:AD16 T17 T18 X18:AD18 Q34:S37 Q32:R32 S65 X65:AD65 S16:S19 AE45:AG45 AE65 AE13:AF13 Q31 Q30 S30 S31 CU8:CU14 V14 V13 V16:V20 U17:U20 U65 T111 CU125 U137:V137 CU131:CU137 CP137 W137:Y137 Q38 Q33 S33 CU143 CP143 CP157:CP177 CU157:CU161 CU170 CU174:CU176 T174 AE18:AF18 CU16:CU33 CZ8:CZ33 V65:W65 S66:V66 X66:AD66 CV137:CY137 DA137:DD137 CZ157:CZ161 W13:W20 CZ170:CZ176 AE52:AF57 AG13:AG18 AF65:AG65 CZ125:CZ129 DA18:DD18 CZ131:CZ143 BL8:BQ28 L12:P20 K17:K20 AG52:AG56 CA8:CA33 CB18:CE18 BV8:BV33" formula="1"/>
    <ignoredError sqref="Q20:R21 Q13:R14 Q22:S22 Q16:R19" numberStoredAsText="1" formula="1"/>
    <ignoredError sqref="Q8:S12 T7:V7 Q7:S7 N7:P7" numberStoredAsText="1"/>
  </ignoredErrors>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F122"/>
  <sheetViews>
    <sheetView showGridLines="0" zoomScaleNormal="100" workbookViewId="0">
      <pane xSplit="1" ySplit="3" topLeftCell="M4" activePane="bottomRight" state="frozen"/>
      <selection activeCell="Z16" sqref="Z16"/>
      <selection pane="topRight" activeCell="Z16" sqref="Z16"/>
      <selection pane="bottomLeft" activeCell="Z16" sqref="Z16"/>
      <selection pane="bottomRight" activeCell="R72" sqref="R72"/>
    </sheetView>
  </sheetViews>
  <sheetFormatPr defaultRowHeight="12.75" outlineLevelCol="1"/>
  <cols>
    <col min="1" max="1" width="37.5703125" customWidth="1"/>
    <col min="2" max="2" width="10.7109375" hidden="1" customWidth="1" outlineLevel="1"/>
    <col min="3" max="9" width="9.140625" hidden="1" customWidth="1" outlineLevel="1"/>
    <col min="10" max="10" width="9.140625" hidden="1" customWidth="1" outlineLevel="1" collapsed="1"/>
    <col min="11" max="11" width="8.7109375" hidden="1" customWidth="1" outlineLevel="1"/>
    <col min="12" max="12" width="8.7109375" hidden="1" customWidth="1" outlineLevel="1" collapsed="1"/>
    <col min="13" max="13" width="8.7109375" customWidth="1" collapsed="1"/>
    <col min="14" max="16" width="8.7109375" customWidth="1"/>
  </cols>
  <sheetData>
    <row r="1" spans="1:29">
      <c r="A1" s="259" t="s">
        <v>1354</v>
      </c>
      <c r="B1" s="6"/>
      <c r="C1" s="6"/>
      <c r="D1" s="6"/>
      <c r="E1" s="6"/>
      <c r="F1" s="6"/>
      <c r="G1" s="6"/>
      <c r="H1" s="6"/>
      <c r="I1" s="6"/>
      <c r="J1" s="6"/>
      <c r="K1" s="6"/>
      <c r="L1" s="6"/>
      <c r="M1" s="6"/>
      <c r="N1" s="6"/>
      <c r="O1" s="6"/>
      <c r="P1" s="6"/>
      <c r="Q1" s="6"/>
      <c r="R1" s="6"/>
      <c r="S1" s="6"/>
      <c r="T1" s="6"/>
      <c r="U1" s="6"/>
      <c r="V1" s="6"/>
      <c r="W1" s="6"/>
      <c r="X1" s="6"/>
      <c r="Y1" s="6"/>
      <c r="Z1" s="6"/>
      <c r="AA1" s="6"/>
      <c r="AB1" s="6"/>
      <c r="AC1" s="6"/>
    </row>
    <row r="2" spans="1:29">
      <c r="A2" s="259"/>
      <c r="B2" s="15"/>
      <c r="C2" s="15"/>
      <c r="D2" s="15"/>
      <c r="E2" s="6"/>
      <c r="F2" s="6"/>
      <c r="G2" s="6"/>
      <c r="H2" s="6"/>
      <c r="I2" s="6"/>
      <c r="J2" s="6"/>
      <c r="K2" s="6"/>
      <c r="L2" s="6"/>
      <c r="M2" s="6"/>
      <c r="N2" s="6"/>
      <c r="O2" s="6"/>
      <c r="P2" s="11"/>
      <c r="Q2" s="11"/>
      <c r="R2" s="11"/>
      <c r="S2" s="11"/>
      <c r="T2" s="11"/>
      <c r="U2" s="11"/>
      <c r="V2" s="11"/>
      <c r="W2" s="11"/>
      <c r="X2" s="1048"/>
      <c r="Y2" s="1048"/>
      <c r="Z2" s="1048"/>
      <c r="AA2" s="1048"/>
    </row>
    <row r="3" spans="1:29">
      <c r="A3" s="36" t="s">
        <v>1355</v>
      </c>
      <c r="B3" s="20">
        <v>2001</v>
      </c>
      <c r="C3" s="592">
        <v>2002</v>
      </c>
      <c r="D3" s="592">
        <v>2003</v>
      </c>
      <c r="E3" s="592">
        <v>2004</v>
      </c>
      <c r="F3" s="592">
        <v>2005</v>
      </c>
      <c r="G3" s="592">
        <v>2006</v>
      </c>
      <c r="H3" s="592">
        <v>2007</v>
      </c>
      <c r="I3" s="592">
        <v>2008</v>
      </c>
      <c r="J3" s="592">
        <v>2009</v>
      </c>
      <c r="K3" s="592">
        <v>2010</v>
      </c>
      <c r="L3" s="344">
        <v>2011</v>
      </c>
      <c r="M3" s="344">
        <v>2012</v>
      </c>
      <c r="N3" s="344">
        <v>2013</v>
      </c>
      <c r="O3" s="1529">
        <v>2014</v>
      </c>
      <c r="P3" s="1529">
        <v>2015</v>
      </c>
      <c r="Q3" s="1529">
        <v>2016</v>
      </c>
      <c r="R3" s="1529" t="s">
        <v>469</v>
      </c>
      <c r="S3" s="1529" t="s">
        <v>618</v>
      </c>
      <c r="T3" s="592" t="s">
        <v>385</v>
      </c>
      <c r="U3" s="592" t="s">
        <v>1080</v>
      </c>
      <c r="V3" s="344" t="s">
        <v>345</v>
      </c>
      <c r="W3" s="344" t="s">
        <v>346</v>
      </c>
      <c r="X3" s="344" t="s">
        <v>1122</v>
      </c>
      <c r="Y3" s="344" t="s">
        <v>1123</v>
      </c>
      <c r="Z3" s="1145" t="s">
        <v>1519</v>
      </c>
      <c r="AA3" s="1145" t="s">
        <v>1609</v>
      </c>
      <c r="AB3" s="1145" t="s">
        <v>1698</v>
      </c>
      <c r="AC3" s="1145" t="s">
        <v>1803</v>
      </c>
    </row>
    <row r="4" spans="1:29">
      <c r="A4" s="11" t="s">
        <v>1357</v>
      </c>
      <c r="B4" s="327">
        <f t="shared" ref="B4:K4" si="0">B6-B5</f>
        <v>2892.5593488166014</v>
      </c>
      <c r="C4" s="327">
        <f t="shared" si="0"/>
        <v>2750.5878584671755</v>
      </c>
      <c r="D4" s="327">
        <f t="shared" si="0"/>
        <v>2918.0675294595876</v>
      </c>
      <c r="E4" s="327">
        <f t="shared" si="0"/>
        <v>3052.8860530420125</v>
      </c>
      <c r="F4" s="327">
        <f>F6-F5</f>
        <v>2578.9304438670983</v>
      </c>
      <c r="G4" s="327">
        <f t="shared" si="0"/>
        <v>2634.0805741974946</v>
      </c>
      <c r="H4" s="327">
        <f>H6-H5</f>
        <v>2421.6510014816699</v>
      </c>
      <c r="I4" s="327">
        <f t="shared" si="0"/>
        <v>3252.8576208710542</v>
      </c>
      <c r="J4" s="327">
        <f t="shared" si="0"/>
        <v>3242.8744895181417</v>
      </c>
      <c r="K4" s="327">
        <f t="shared" si="0"/>
        <v>3101.8268360853194</v>
      </c>
      <c r="L4" s="1081">
        <f t="shared" ref="L4:U4" si="1">L6-L5</f>
        <v>3179.0015911248192</v>
      </c>
      <c r="M4" s="1081">
        <f t="shared" si="1"/>
        <v>3623.4807572636778</v>
      </c>
      <c r="N4" s="1081">
        <f t="shared" si="1"/>
        <v>3914.1764993143674</v>
      </c>
      <c r="O4" s="1081">
        <f t="shared" si="1"/>
        <v>3872.8001049316963</v>
      </c>
      <c r="P4" s="1081">
        <f t="shared" si="1"/>
        <v>3820.9875405813514</v>
      </c>
      <c r="Q4" s="1081">
        <f t="shared" si="1"/>
        <v>3642.0022461450021</v>
      </c>
      <c r="R4" s="1081">
        <f t="shared" si="1"/>
        <v>3796.2136623234292</v>
      </c>
      <c r="S4" s="1081">
        <f t="shared" si="1"/>
        <v>3943.65068120243</v>
      </c>
      <c r="T4" s="1081">
        <f t="shared" si="1"/>
        <v>4082.0606824694996</v>
      </c>
      <c r="U4" s="1081">
        <f t="shared" si="1"/>
        <v>4222.6617099172527</v>
      </c>
      <c r="V4" s="1081">
        <f t="shared" ref="V4:W4" si="2">V6-V5</f>
        <v>4370.6142307549881</v>
      </c>
      <c r="W4" s="1081">
        <f t="shared" si="2"/>
        <v>4516.6538220311468</v>
      </c>
      <c r="X4" s="1081">
        <f t="shared" ref="X4:AC4" si="3">X6-X5</f>
        <v>4660.2042511095351</v>
      </c>
      <c r="Y4" s="1081">
        <f t="shared" si="3"/>
        <v>4799.5582043300574</v>
      </c>
      <c r="Z4" s="1081">
        <f t="shared" si="3"/>
        <v>4933.9568277560393</v>
      </c>
      <c r="AA4" s="1081">
        <f t="shared" si="3"/>
        <v>5062.6411391702777</v>
      </c>
      <c r="AB4" s="1081">
        <f t="shared" si="3"/>
        <v>5183.569863120124</v>
      </c>
      <c r="AC4" s="1081">
        <f t="shared" si="3"/>
        <v>5298.5344323997469</v>
      </c>
    </row>
    <row r="5" spans="1:29">
      <c r="A5" s="11" t="s">
        <v>1358</v>
      </c>
      <c r="B5" s="229">
        <f>-(('TV Production'!BC$409/1000)+('Off-network Syndication'!L$99/1000)+('First-run Syndication'!I$38/1000))</f>
        <v>-869.67151631660136</v>
      </c>
      <c r="C5" s="229">
        <f>-((0.67*'TV Production'!BC$409/1000)+(0.33*'TV Production'!BD$409/1000)+('Off-network Syndication'!M$99/1000)+(0.33*'First-run Syndication'!J$38/1000)+(0.67*'First-run Syndication'!I$38/1000))</f>
        <v>-837.03272913967021</v>
      </c>
      <c r="D5" s="229">
        <f>-((0.67*'TV Production'!BD$409/1000)+(0.33*'TV Production'!BE$409/1000)+('Off-network Syndication'!N$99/1000)+(0.33*'First-run Syndication'!K$38/1000)+(0.67*'First-run Syndication'!J$38/1000))</f>
        <v>-936.38983650129489</v>
      </c>
      <c r="E5" s="229">
        <f>-((0.67*'TV Production'!BE$409/1000)+(0.33*'TV Production'!BF$409/1000)+('Off-network Syndication'!O$99/1000)+(0.33*'First-run Syndication'!L$38/1000)+(0.67*'First-run Syndication'!K$38/1000))</f>
        <v>-924.43024318066011</v>
      </c>
      <c r="F5" s="229">
        <f>-((0.67*'TV Production'!BF$409/1000)+(0.33*'TV Production'!BG$409/1000)+('Off-network Syndication'!P$99/1000)+(0.33*'First-run Syndication'!M$38/1000)+(0.67*'First-run Syndication'!L$38/1000))</f>
        <v>-733.04426234003097</v>
      </c>
      <c r="G5" s="229">
        <f>-((0.67*'TV Production'!BG$409/1000)+(0.33*'TV Production'!BH$409/1000)+('Off-network Syndication'!Q$99/1000)+(0.33*'First-run Syndication'!N$38/1000)+(0.67*'First-run Syndication'!M$38/1000))</f>
        <v>-632.01121514171336</v>
      </c>
      <c r="H5" s="229">
        <f>-((0.67*'TV Production'!BH$409/1000)+(0.33*'TV Production'!BI$409/1000)+('Off-network Syndication'!R$99/1000)+(0.33*'First-run Syndication'!O$38/1000)+(0.67*'First-run Syndication'!N$38/1000))</f>
        <v>-633.26080085079286</v>
      </c>
      <c r="I5" s="229">
        <f>-((0.67*'TV Production'!BI$409/1000)+(0.33*'TV Production'!BJ$409/1000)+('Off-network Syndication'!S$99/1000)+(0.33*'First-run Syndication'!P$38/1000)+(0.67*'First-run Syndication'!O$38/1000))</f>
        <v>-682.91354311336579</v>
      </c>
      <c r="J5" s="229">
        <f>-((0.67*'TV Production'!BJ$409/1000)+(0.33*'TV Production'!BK$409/1000)+('Off-network Syndication'!T$99/1000)+(0.33*'First-run Syndication'!Q$38/1000)+(0.67*'First-run Syndication'!P$38/1000))</f>
        <v>-654.25853099893698</v>
      </c>
      <c r="K5" s="229">
        <f>-((0.67*'TV Production'!BK$409/1000)+(0.33*'TV Production'!BL$409/1000)+('Off-network Syndication'!U$99/1000)+(0.33*'First-run Syndication'!R$38/1000)+(0.67*'First-run Syndication'!Q$38/1000))</f>
        <v>-685.19350377486307</v>
      </c>
      <c r="L5" s="229">
        <f>-((0.67*'TV Production'!BL$409/1000)+(0.33*'TV Production'!BM$409/1000)+('Off-network Syndication'!V$99/1000)+(0.33*'First-run Syndication'!S$38/1000)+(0.67*'First-run Syndication'!R$38/1000))</f>
        <v>-710.24124371836035</v>
      </c>
      <c r="M5" s="229">
        <f>-((0.67*'TV Production'!BM$409/1000)+(0.33*'TV Production'!BN$409/1000)+('Off-network Syndication'!W$99/1000)+(0.33*'First-run Syndication'!T$38/1000)+(0.67*'First-run Syndication'!S$38/1000))</f>
        <v>-756.25111493954557</v>
      </c>
      <c r="N5" s="229">
        <f>-((0.67*'TV Production'!BN$409/1000)+(0.33*'TV Production'!BO$409/1000)+('Off-network Syndication'!X$99/1000)+(0.33*'First-run Syndication'!U$38/1000)+(0.67*'First-run Syndication'!T$38/1000))</f>
        <v>-692.37260790217385</v>
      </c>
      <c r="O5" s="229">
        <f>-((0.67*'TV Production'!BO$409/1000)+(0.33*'TV Production'!BP$409/1000)+('Off-network Syndication'!Y$99/1000)+(0.33*'First-run Syndication'!V$38/1000)+(0.67*'First-run Syndication'!U$38/1000))</f>
        <v>-711.96556144604824</v>
      </c>
      <c r="P5" s="229">
        <f>-((0.67*'TV Production'!BP$409/1000)+(0.33*'TV Production'!BQ$409/1000)+('Off-network Syndication'!Z$99/1000)+(0.33*'First-run Syndication'!W$38/1000)+(0.67*'First-run Syndication'!V$38/1000))</f>
        <v>-807.95885179577056</v>
      </c>
      <c r="Q5" s="230">
        <f>+P5*1.03</f>
        <v>-832.19761734964368</v>
      </c>
      <c r="R5" s="230">
        <f>+Q5*1.03</f>
        <v>-857.16354587013302</v>
      </c>
      <c r="S5" s="230">
        <f>+R5*1.03</f>
        <v>-882.87845224623709</v>
      </c>
      <c r="T5" s="230">
        <f>+S5*1.03</f>
        <v>-909.36480581362423</v>
      </c>
      <c r="U5" s="230">
        <f>+T5*1.03</f>
        <v>-936.645749988033</v>
      </c>
      <c r="V5" s="230">
        <f t="shared" ref="V5" si="4">+U5*1.03</f>
        <v>-964.74512248767405</v>
      </c>
      <c r="W5" s="230">
        <f>+V5*1.03</f>
        <v>-993.68747616230428</v>
      </c>
      <c r="X5" s="230">
        <f t="shared" ref="X5" si="5">+W5*1.03</f>
        <v>-1023.4981004471734</v>
      </c>
      <c r="Y5" s="230">
        <f t="shared" ref="Y5" si="6">+X5*1.03</f>
        <v>-1054.2030434605886</v>
      </c>
      <c r="Z5" s="230">
        <f t="shared" ref="Z5" si="7">+Y5*1.03</f>
        <v>-1085.8291347644063</v>
      </c>
      <c r="AA5" s="230">
        <f t="shared" ref="AA5" si="8">+Z5*1.03</f>
        <v>-1118.4040088073384</v>
      </c>
      <c r="AB5" s="230">
        <f t="shared" ref="AB5" si="9">+AA5*1.03</f>
        <v>-1151.9561290715585</v>
      </c>
      <c r="AC5" s="230">
        <f t="shared" ref="AC5" si="10">+AB5*1.03</f>
        <v>-1186.5148129437052</v>
      </c>
    </row>
    <row r="6" spans="1:29">
      <c r="A6" s="11" t="s">
        <v>1359</v>
      </c>
      <c r="B6" s="625">
        <f>'Segment Detail'!R103</f>
        <v>2022.8878325000001</v>
      </c>
      <c r="C6" s="625">
        <f>'Segment Detail'!Y103</f>
        <v>1913.555129327505</v>
      </c>
      <c r="D6" s="625">
        <f>'Segment Detail'!Z103</f>
        <v>1981.6776929582929</v>
      </c>
      <c r="E6" s="625">
        <f>'Segment Detail'!AA103</f>
        <v>2128.4558098613525</v>
      </c>
      <c r="F6" s="625">
        <f>'Segment Detail'!AB103</f>
        <v>1845.8861815270673</v>
      </c>
      <c r="G6" s="625">
        <f>'Segment Detail'!AC103</f>
        <v>2002.0693590557812</v>
      </c>
      <c r="H6" s="625">
        <f>'Segment Detail'!AD103</f>
        <v>1788.3902006308772</v>
      </c>
      <c r="I6" s="625">
        <f>'Segment Detail'!AE103</f>
        <v>2569.9440777576883</v>
      </c>
      <c r="J6" s="625">
        <f>'Segment Detail'!AF103</f>
        <v>2588.6159585192045</v>
      </c>
      <c r="K6" s="625">
        <f>'Segment Detail'!AG103</f>
        <v>2416.6333323104564</v>
      </c>
      <c r="L6" s="234">
        <f>'Segment Detail'!AH103</f>
        <v>2468.760347406459</v>
      </c>
      <c r="M6" s="234">
        <f>'Segment Detail'!AI103</f>
        <v>2867.2296423241323</v>
      </c>
      <c r="N6" s="234">
        <f>'Segment Detail'!AJ103</f>
        <v>3221.8038914121935</v>
      </c>
      <c r="O6" s="234">
        <f>'Segment Detail'!AK103</f>
        <v>3160.8345434856483</v>
      </c>
      <c r="P6" s="234">
        <f>'Segment Detail'!AL103</f>
        <v>3013.0286887855809</v>
      </c>
      <c r="Q6" s="1513">
        <f>+Q46</f>
        <v>2809.8046287953584</v>
      </c>
      <c r="R6" s="1513">
        <f>+R46</f>
        <v>2939.0501164532961</v>
      </c>
      <c r="S6" s="1513">
        <f>+S46</f>
        <v>3060.772228956193</v>
      </c>
      <c r="T6" s="1513">
        <f>+T46</f>
        <v>3172.6958766558755</v>
      </c>
      <c r="U6" s="1513">
        <f>+U46</f>
        <v>3286.0159599292197</v>
      </c>
      <c r="V6" s="1513">
        <f t="shared" ref="V6:AC6" si="11">+V46</f>
        <v>3405.869108267314</v>
      </c>
      <c r="W6" s="1513">
        <f t="shared" si="11"/>
        <v>3522.9663458688424</v>
      </c>
      <c r="X6" s="1513">
        <f t="shared" si="11"/>
        <v>3636.7061506623618</v>
      </c>
      <c r="Y6" s="1513">
        <f t="shared" si="11"/>
        <v>3745.3551608694688</v>
      </c>
      <c r="Z6" s="1513">
        <f t="shared" si="11"/>
        <v>3848.127692991633</v>
      </c>
      <c r="AA6" s="1513">
        <f t="shared" si="11"/>
        <v>3944.2371303629393</v>
      </c>
      <c r="AB6" s="1513">
        <f t="shared" si="11"/>
        <v>4031.6137340485657</v>
      </c>
      <c r="AC6" s="1513">
        <f t="shared" si="11"/>
        <v>4112.0196194560413</v>
      </c>
    </row>
    <row r="7" spans="1:29">
      <c r="A7" s="11" t="s">
        <v>1360</v>
      </c>
      <c r="B7" s="626">
        <f>-'Off-network Syndication'!L98/1000</f>
        <v>0</v>
      </c>
      <c r="C7" s="626">
        <f>-'Off-network Syndication'!M98/1000</f>
        <v>0</v>
      </c>
      <c r="D7" s="626">
        <f>-'Off-network Syndication'!N98/1000</f>
        <v>0</v>
      </c>
      <c r="E7" s="626">
        <f>-'Off-network Syndication'!O98/1000</f>
        <v>0</v>
      </c>
      <c r="F7" s="626">
        <f>-'Off-network Syndication'!P98/1000</f>
        <v>0</v>
      </c>
      <c r="G7" s="626">
        <f>-'Off-network Syndication'!Q98/1000</f>
        <v>0</v>
      </c>
      <c r="H7" s="229">
        <f>-'Off-network Syndication'!V98/1000</f>
        <v>0</v>
      </c>
      <c r="I7" s="229">
        <f>-'Off-network Syndication'!AK98/1000</f>
        <v>0</v>
      </c>
      <c r="J7" s="229">
        <f>-'Off-network Syndication'!AL98/1000</f>
        <v>0</v>
      </c>
      <c r="K7" s="229">
        <f>-'Off-network Syndication'!AM98/1000</f>
        <v>0</v>
      </c>
      <c r="L7" s="230">
        <f>-'Off-network Syndication'!AN98/1000</f>
        <v>0</v>
      </c>
      <c r="M7" s="230">
        <f>-'Off-network Syndication'!AO98/1000</f>
        <v>0</v>
      </c>
      <c r="N7" s="230">
        <f>-'Off-network Syndication'!AP98/1000</f>
        <v>0</v>
      </c>
      <c r="O7" s="230">
        <f>-'Off-network Syndication'!AQ98/1000</f>
        <v>0</v>
      </c>
      <c r="P7" s="230">
        <f>-'Off-network Syndication'!AR98/1000</f>
        <v>0</v>
      </c>
      <c r="Q7" s="230">
        <f>-'Off-network Syndication'!AS98/1000</f>
        <v>0</v>
      </c>
      <c r="R7" s="229">
        <f>-'Off-network Syndication'!AT98/1000</f>
        <v>0</v>
      </c>
      <c r="S7" s="229">
        <f>-'Off-network Syndication'!AU98/1000</f>
        <v>0</v>
      </c>
      <c r="T7" s="229">
        <f>-'Off-network Syndication'!AV98/1000</f>
        <v>0</v>
      </c>
      <c r="U7" s="229">
        <f>-'Off-network Syndication'!AW98/1000</f>
        <v>0</v>
      </c>
      <c r="V7" s="230">
        <f>-'Off-network Syndication'!AX98/1000</f>
        <v>0</v>
      </c>
      <c r="W7" s="230">
        <f>-'Off-network Syndication'!AY98/1000</f>
        <v>0</v>
      </c>
      <c r="X7" s="230">
        <f>-'Off-network Syndication'!AZ98/1000</f>
        <v>0</v>
      </c>
      <c r="Y7" s="230">
        <f>-'Off-network Syndication'!BA98/1000</f>
        <v>0</v>
      </c>
      <c r="Z7" s="230">
        <f>-'Off-network Syndication'!BB98/1000</f>
        <v>0</v>
      </c>
      <c r="AA7" s="230">
        <f>-'Off-network Syndication'!BC98/1000</f>
        <v>0</v>
      </c>
      <c r="AB7" s="230">
        <f>-'Off-network Syndication'!BD98/1000</f>
        <v>0</v>
      </c>
      <c r="AC7" s="230">
        <f>-'Off-network Syndication'!BE98/1000</f>
        <v>0</v>
      </c>
    </row>
    <row r="8" spans="1:29">
      <c r="A8" s="11" t="s">
        <v>1361</v>
      </c>
      <c r="B8" s="229">
        <f>B9-B6-B7</f>
        <v>-398.68814993206365</v>
      </c>
      <c r="C8" s="229">
        <f>C9-C6-C7</f>
        <v>-317.38225856982126</v>
      </c>
      <c r="D8" s="229">
        <f>D9-D6-D7</f>
        <v>-337.36118597716086</v>
      </c>
      <c r="E8" s="230">
        <f>E9-E6-E7</f>
        <v>-388.69121771135246</v>
      </c>
      <c r="F8" s="627">
        <f>E8</f>
        <v>-388.69121771135246</v>
      </c>
      <c r="G8" s="627">
        <v>0</v>
      </c>
      <c r="H8" s="627">
        <f>G8</f>
        <v>0</v>
      </c>
      <c r="I8" s="627">
        <f>H8</f>
        <v>0</v>
      </c>
      <c r="J8" s="627">
        <f>I8</f>
        <v>0</v>
      </c>
      <c r="K8" s="627">
        <f t="shared" ref="K8:P8" si="12">J8</f>
        <v>0</v>
      </c>
      <c r="L8" s="1185">
        <f t="shared" si="12"/>
        <v>0</v>
      </c>
      <c r="M8" s="1185">
        <f t="shared" si="12"/>
        <v>0</v>
      </c>
      <c r="N8" s="1185">
        <f t="shared" si="12"/>
        <v>0</v>
      </c>
      <c r="O8" s="1185">
        <f t="shared" si="12"/>
        <v>0</v>
      </c>
      <c r="P8" s="1185">
        <f t="shared" si="12"/>
        <v>0</v>
      </c>
      <c r="Q8" s="1185">
        <f t="shared" ref="Q8:W8" si="13">P8</f>
        <v>0</v>
      </c>
      <c r="R8" s="627">
        <f t="shared" si="13"/>
        <v>0</v>
      </c>
      <c r="S8" s="627">
        <f t="shared" si="13"/>
        <v>0</v>
      </c>
      <c r="T8" s="627">
        <f t="shared" si="13"/>
        <v>0</v>
      </c>
      <c r="U8" s="627">
        <f t="shared" si="13"/>
        <v>0</v>
      </c>
      <c r="V8" s="1185">
        <f t="shared" si="13"/>
        <v>0</v>
      </c>
      <c r="W8" s="1185">
        <f t="shared" si="13"/>
        <v>0</v>
      </c>
      <c r="X8" s="1185">
        <f t="shared" ref="X8:AC8" si="14">W8</f>
        <v>0</v>
      </c>
      <c r="Y8" s="1185">
        <f t="shared" si="14"/>
        <v>0</v>
      </c>
      <c r="Z8" s="1185">
        <f t="shared" si="14"/>
        <v>0</v>
      </c>
      <c r="AA8" s="1185">
        <f t="shared" si="14"/>
        <v>0</v>
      </c>
      <c r="AB8" s="1185">
        <f t="shared" si="14"/>
        <v>0</v>
      </c>
      <c r="AC8" s="1185">
        <f t="shared" si="14"/>
        <v>0</v>
      </c>
    </row>
    <row r="9" spans="1:29">
      <c r="A9" s="11" t="s">
        <v>1362</v>
      </c>
      <c r="B9" s="95">
        <f>B11+B10</f>
        <v>1624.1996825679364</v>
      </c>
      <c r="C9" s="95">
        <f>C11+C10</f>
        <v>1596.1728707576838</v>
      </c>
      <c r="D9" s="95">
        <f>D11+D10</f>
        <v>1644.3165069811321</v>
      </c>
      <c r="E9" s="95">
        <f>E11+E10</f>
        <v>1739.76459215</v>
      </c>
      <c r="F9" s="628">
        <f t="shared" ref="F9:L9" si="15">F6+F7+F8</f>
        <v>1457.1949638157148</v>
      </c>
      <c r="G9" s="628">
        <f t="shared" si="15"/>
        <v>2002.0693590557812</v>
      </c>
      <c r="H9" s="628">
        <f t="shared" si="15"/>
        <v>1788.3902006308772</v>
      </c>
      <c r="I9" s="628">
        <f t="shared" si="15"/>
        <v>2569.9440777576883</v>
      </c>
      <c r="J9" s="628">
        <f t="shared" si="15"/>
        <v>2588.6159585192045</v>
      </c>
      <c r="K9" s="628">
        <f t="shared" si="15"/>
        <v>2416.6333323104564</v>
      </c>
      <c r="L9" s="628">
        <f t="shared" si="15"/>
        <v>2468.760347406459</v>
      </c>
      <c r="M9" s="628">
        <f t="shared" ref="M9:U9" si="16">M6+M7+M8</f>
        <v>2867.2296423241323</v>
      </c>
      <c r="N9" s="628">
        <f t="shared" si="16"/>
        <v>3221.8038914121935</v>
      </c>
      <c r="O9" s="628">
        <f t="shared" si="16"/>
        <v>3160.8345434856483</v>
      </c>
      <c r="P9" s="628">
        <f>P6+P7+P8</f>
        <v>3013.0286887855809</v>
      </c>
      <c r="Q9" s="628">
        <f t="shared" si="16"/>
        <v>2809.8046287953584</v>
      </c>
      <c r="R9" s="628">
        <f t="shared" si="16"/>
        <v>2939.0501164532961</v>
      </c>
      <c r="S9" s="628">
        <f t="shared" si="16"/>
        <v>3060.772228956193</v>
      </c>
      <c r="T9" s="628">
        <f t="shared" si="16"/>
        <v>3172.6958766558755</v>
      </c>
      <c r="U9" s="628">
        <f t="shared" si="16"/>
        <v>3286.0159599292197</v>
      </c>
      <c r="V9" s="628">
        <f t="shared" ref="V9:AA9" si="17">V6+V7+V8</f>
        <v>3405.869108267314</v>
      </c>
      <c r="W9" s="628">
        <f t="shared" si="17"/>
        <v>3522.9663458688424</v>
      </c>
      <c r="X9" s="628">
        <f>X6+X7+X8</f>
        <v>3636.7061506623618</v>
      </c>
      <c r="Y9" s="628">
        <f t="shared" si="17"/>
        <v>3745.3551608694688</v>
      </c>
      <c r="Z9" s="628">
        <f t="shared" si="17"/>
        <v>3848.127692991633</v>
      </c>
      <c r="AA9" s="628">
        <f t="shared" si="17"/>
        <v>3944.2371303629393</v>
      </c>
      <c r="AB9" s="628">
        <f>AB6+AB7+AB8</f>
        <v>4031.6137340485657</v>
      </c>
      <c r="AC9" s="628">
        <f>AC6+AC7+AC8</f>
        <v>4112.0196194560413</v>
      </c>
    </row>
    <row r="10" spans="1:29">
      <c r="A10" s="11" t="s">
        <v>1363</v>
      </c>
      <c r="B10" s="1071">
        <f>('Off-network Syndication'!L92/1000)+('First-run Syndication'!I39/1000*0.5)</f>
        <v>111.7996825679364</v>
      </c>
      <c r="C10" s="1071">
        <f>(0.67*'Off-network Syndication'!M92/1000)+(0.33*'Off-network Syndication'!L92/1000)+(0.67*'First-run Syndication'!J39/1000*0.5)+(0.33*'First-run Syndication'!I39/1000*0.4)</f>
        <v>110.77287075768363</v>
      </c>
      <c r="D10" s="1071">
        <f>(0.67*'Off-network Syndication'!N92/1000)+(0.33*'Off-network Syndication'!M92/1000)+(0.67*'First-run Syndication'!K39/1000*0.5)+(0.33*'First-run Syndication'!J39/1000*0.25)</f>
        <v>116.61650698113208</v>
      </c>
      <c r="E10" s="1071">
        <f>(0.67*'Off-network Syndication'!O92/1000)+(0.33*'Off-network Syndication'!N92/1000)+(0.67*'First-run Syndication'!L39/1000*0.5)+(0.33*'First-run Syndication'!K39/1000*0.3)</f>
        <v>130.66459215</v>
      </c>
      <c r="F10" s="1071">
        <f>(0.67*'Off-network Syndication'!P92/1000)+(0.33*'Off-network Syndication'!O92/1000)+(0.67*'First-run Syndication'!M39/1000*0.5)+(0.33*'First-run Syndication'!L39/1000*0.3)</f>
        <v>136.389167679</v>
      </c>
      <c r="G10" s="1071">
        <f>(0.67*'Off-network Syndication'!Q92/1000)+(0.33*'Off-network Syndication'!P92/1000)+(0.67*'First-run Syndication'!N39/1000*0.5)+(0.33*'First-run Syndication'!M39/1000*0.3)</f>
        <v>141.33851773974001</v>
      </c>
      <c r="H10" s="1071">
        <f>(0.67*'Off-network Syndication'!R92/1000)+(0.33*'Off-network Syndication'!Q92/1000)+(0.67*'First-run Syndication'!O39/1000*0.5)+(0.33*'First-run Syndication'!N39/1000*0.3)</f>
        <v>151.25829551160439</v>
      </c>
      <c r="I10" s="1071">
        <f>(0.67*'Off-network Syndication'!S92/1000)+(0.33*'Off-network Syndication'!R92/1000)+(0.67*'First-run Syndication'!P39/1000*0.5)+(0.33*'First-run Syndication'!O39/1000*0.3)</f>
        <v>154.35661567577802</v>
      </c>
      <c r="J10" s="1071">
        <f>(0.67*'Off-network Syndication'!T92/1000)+(0.33*'Off-network Syndication'!S92/1000)+(0.67*'First-run Syndication'!Q39/1000*0.5)+(0.33*'First-run Syndication'!P39/1000*0.3)</f>
        <v>157.79942506225115</v>
      </c>
      <c r="K10" s="1071">
        <f>(0.67*'Off-network Syndication'!U92/1000)+(0.33*'Off-network Syndication'!T92/1000)+(0.67*'First-run Syndication'!R39/1000*0.5)+(0.33*'First-run Syndication'!Q39/1000*0.3)</f>
        <v>158.70821003010204</v>
      </c>
      <c r="L10" s="1071">
        <f>(0.67*'Off-network Syndication'!V92/1000)+(0.33*'Off-network Syndication'!U92/1000)+(0.67*'First-run Syndication'!S39/1000*0.5)+(0.33*'First-run Syndication'!R39/1000*0.3)</f>
        <v>164.12015369349206</v>
      </c>
      <c r="M10" s="1071">
        <f>(0.67*'Off-network Syndication'!W92/1000)+(0.33*'Off-network Syndication'!V92/1000)+(0.67*'First-run Syndication'!T39/1000*0.5)+(0.33*'First-run Syndication'!S39/1000*0.3)</f>
        <v>154.53208209220892</v>
      </c>
      <c r="N10" s="1071">
        <f>(0.67*'Off-network Syndication'!X92/1000)+(0.33*'Off-network Syndication'!W92/1000)+(0.67*'First-run Syndication'!U39/1000*0.5)+(0.33*'First-run Syndication'!T39/1000*0.3)</f>
        <v>154.68147429544376</v>
      </c>
      <c r="O10" s="1071">
        <f>(0.67*'Off-network Syndication'!Y92/1000)+(0.33*'Off-network Syndication'!X92/1000)+(0.67*'First-run Syndication'!V39/1000*0.5)+(0.33*'First-run Syndication'!U39/1000*0.3)</f>
        <v>158.56964451041111</v>
      </c>
      <c r="P10" s="1071">
        <f>(0.67*'Off-network Syndication'!Z92/1000)+(0.33*'Off-network Syndication'!Y92/1000)+(0.67*'First-run Syndication'!W39/1000*0.5)+(0.33*'First-run Syndication'!V39/1000*0.3)</f>
        <v>161.53341047566292</v>
      </c>
      <c r="Q10" s="1071">
        <f>(0.67*'Off-network Syndication'!AA92/1000)+(0.33*'Off-network Syndication'!Z92/1000)+(0.67*'First-run Syndication'!X39/1000*0.5)+(0.33*'First-run Syndication'!W39/1000*0.3)</f>
        <v>164.10770216437052</v>
      </c>
      <c r="R10" s="1071">
        <f>(0.67*'Off-network Syndication'!AB92/1000)+(0.33*'Off-network Syndication'!AA92/1000)+(0.67*'First-run Syndication'!Y39/1000*0.5)+(0.33*'First-run Syndication'!X39/1000*0.3)</f>
        <v>166.44536950514899</v>
      </c>
      <c r="S10" s="2002">
        <f>(0.67*'Off-network Syndication'!AC92/1000)+(0.33*'Off-network Syndication'!AB92/1000)+(0.67*'First-run Syndication'!Z39/1000*0.5)+(0.33*'First-run Syndication'!Y39/1000*0.3)</f>
        <v>168.53269977828035</v>
      </c>
      <c r="T10" s="2002">
        <f>(0.67*'Off-network Syndication'!AD92/1000)+(0.33*'Off-network Syndication'!AC92/1000)+(0.67*'First-run Syndication'!AA39/1000*0.5)+(0.33*'First-run Syndication'!Z39/1000*0.3)</f>
        <v>170.3572287972799</v>
      </c>
      <c r="U10" s="2002">
        <f>(0.67*'Off-network Syndication'!AE92/1000)+(0.33*'Off-network Syndication'!AD92/1000)+(0.67*'First-run Syndication'!AB39/1000*0.5)+(0.33*'First-run Syndication'!AA39/1000*0.3)</f>
        <v>171.90786361961617</v>
      </c>
      <c r="V10" s="2002">
        <f>(0.67*'Off-network Syndication'!AF92/1000)+(0.33*'Off-network Syndication'!AE92/1000)+(0.67*'First-run Syndication'!AC39/1000*0.5)+(0.33*'First-run Syndication'!AB39/1000*0.3)</f>
        <v>158.6669422558123</v>
      </c>
      <c r="W10" s="2002">
        <f>(0.67*'Off-network Syndication'!AG92/1000)+(0.33*'Off-network Syndication'!AF92/1000)+(0.67*'First-run Syndication'!AD39/1000*0.5)+(0.33*'First-run Syndication'!AC39/1000*0.3)</f>
        <v>152.92101167837046</v>
      </c>
      <c r="X10" s="230">
        <f>W10*1</f>
        <v>152.92101167837046</v>
      </c>
      <c r="Y10" s="230">
        <f t="shared" ref="Y10:AC10" si="18">X10*1</f>
        <v>152.92101167837046</v>
      </c>
      <c r="Z10" s="230">
        <f t="shared" si="18"/>
        <v>152.92101167837046</v>
      </c>
      <c r="AA10" s="230">
        <f t="shared" si="18"/>
        <v>152.92101167837046</v>
      </c>
      <c r="AB10" s="230">
        <f t="shared" si="18"/>
        <v>152.92101167837046</v>
      </c>
      <c r="AC10" s="230">
        <f t="shared" si="18"/>
        <v>152.92101167837046</v>
      </c>
    </row>
    <row r="11" spans="1:29">
      <c r="A11" s="11" t="s">
        <v>1364</v>
      </c>
      <c r="B11" s="327">
        <f>1359.2+('Off-network Syndication'!L19+'Off-network Syndication'!L20+'Off-network Syndication'!L21+'Off-network Syndication'!L22+'Off-network Syndication'!L28)/1000</f>
        <v>1512.4</v>
      </c>
      <c r="C11" s="327">
        <f>1472.2+('Off-network Syndication'!M19+'Off-network Syndication'!M20+'Off-network Syndication'!M21+'Off-network Syndication'!M22+'Off-network Syndication'!M28)/1000</f>
        <v>1485.4</v>
      </c>
      <c r="D11" s="327">
        <f>1514.5+('Off-network Syndication'!N19+'Off-network Syndication'!N20+'Off-network Syndication'!N21+'Off-network Syndication'!N22+'Off-network Syndication'!N28)/1000</f>
        <v>1527.7</v>
      </c>
      <c r="E11" s="327">
        <f>1402.3+('Off-network Syndication'!O19+'Off-network Syndication'!O20+'Off-network Syndication'!O21+'Off-network Syndication'!O22+'Off-network Syndication'!O28)/1000</f>
        <v>1609.1</v>
      </c>
      <c r="F11" s="327">
        <f t="shared" ref="F11:AC11" si="19">F9-F10</f>
        <v>1320.8057961367149</v>
      </c>
      <c r="G11" s="327">
        <f t="shared" si="19"/>
        <v>1860.7308413160413</v>
      </c>
      <c r="H11" s="327">
        <f t="shared" si="19"/>
        <v>1637.1319051192727</v>
      </c>
      <c r="I11" s="327">
        <f t="shared" si="19"/>
        <v>2415.5874620819104</v>
      </c>
      <c r="J11" s="327">
        <f>J9-J10</f>
        <v>2430.8165334569535</v>
      </c>
      <c r="K11" s="327">
        <f>K9-K10</f>
        <v>2257.9251222803541</v>
      </c>
      <c r="L11" s="1081">
        <f t="shared" si="19"/>
        <v>2304.6401937129667</v>
      </c>
      <c r="M11" s="1081">
        <f t="shared" si="19"/>
        <v>2712.6975602319235</v>
      </c>
      <c r="N11" s="1081">
        <f t="shared" si="19"/>
        <v>3067.1224171167496</v>
      </c>
      <c r="O11" s="1081">
        <f t="shared" si="19"/>
        <v>3002.264898975237</v>
      </c>
      <c r="P11" s="1081">
        <f t="shared" si="19"/>
        <v>2851.4952783099179</v>
      </c>
      <c r="Q11" s="1081">
        <f>Q9-Q10</f>
        <v>2645.6969266309879</v>
      </c>
      <c r="R11" s="1081">
        <f t="shared" si="19"/>
        <v>2772.6047469481473</v>
      </c>
      <c r="S11" s="2003">
        <f t="shared" si="19"/>
        <v>2892.2395291779126</v>
      </c>
      <c r="T11" s="2003">
        <f t="shared" si="19"/>
        <v>3002.3386478585958</v>
      </c>
      <c r="U11" s="2003">
        <f t="shared" si="19"/>
        <v>3114.1080963096033</v>
      </c>
      <c r="V11" s="2003">
        <f t="shared" si="19"/>
        <v>3247.2021660115015</v>
      </c>
      <c r="W11" s="2003">
        <f t="shared" si="19"/>
        <v>3370.0453341904717</v>
      </c>
      <c r="X11" s="2003">
        <f t="shared" si="19"/>
        <v>3483.7851389839911</v>
      </c>
      <c r="Y11" s="2003">
        <f t="shared" si="19"/>
        <v>3592.4341491910982</v>
      </c>
      <c r="Z11" s="2003">
        <f t="shared" si="19"/>
        <v>3695.2066813132624</v>
      </c>
      <c r="AA11" s="2003">
        <f>AA9-AA10</f>
        <v>3791.3161186845687</v>
      </c>
      <c r="AB11" s="2003">
        <f t="shared" si="19"/>
        <v>3878.692722370195</v>
      </c>
      <c r="AC11" s="2003">
        <f t="shared" si="19"/>
        <v>3959.0986077776706</v>
      </c>
    </row>
    <row r="12" spans="1:29">
      <c r="A12" s="11"/>
      <c r="B12" s="11"/>
      <c r="C12" s="11"/>
      <c r="D12" s="11"/>
      <c r="E12" s="11"/>
      <c r="F12" s="6"/>
      <c r="G12" s="6"/>
      <c r="H12" s="6"/>
      <c r="I12" s="6"/>
      <c r="J12" s="6"/>
      <c r="K12" s="6"/>
      <c r="L12" s="11"/>
      <c r="M12" s="11"/>
      <c r="N12" s="11"/>
      <c r="O12" s="11"/>
      <c r="P12" s="11"/>
      <c r="Q12" s="11"/>
      <c r="R12" s="11"/>
      <c r="S12" s="11"/>
      <c r="T12" s="11"/>
      <c r="U12" s="11"/>
      <c r="V12" s="11"/>
      <c r="W12" s="11"/>
      <c r="X12" s="11"/>
      <c r="Y12" s="11"/>
      <c r="Z12" s="11"/>
      <c r="AA12" s="11"/>
      <c r="AB12" s="11"/>
      <c r="AC12" s="11"/>
    </row>
    <row r="13" spans="1:29">
      <c r="A13" s="6"/>
      <c r="B13" s="592">
        <f t="shared" ref="B13:K13" si="20">B3</f>
        <v>2001</v>
      </c>
      <c r="C13" s="592">
        <f t="shared" si="20"/>
        <v>2002</v>
      </c>
      <c r="D13" s="592">
        <f t="shared" si="20"/>
        <v>2003</v>
      </c>
      <c r="E13" s="592">
        <f t="shared" si="20"/>
        <v>2004</v>
      </c>
      <c r="F13" s="592">
        <f t="shared" si="20"/>
        <v>2005</v>
      </c>
      <c r="G13" s="592">
        <f t="shared" si="20"/>
        <v>2006</v>
      </c>
      <c r="H13" s="592">
        <f t="shared" si="20"/>
        <v>2007</v>
      </c>
      <c r="I13" s="592">
        <f t="shared" si="20"/>
        <v>2008</v>
      </c>
      <c r="J13" s="592">
        <f t="shared" si="20"/>
        <v>2009</v>
      </c>
      <c r="K13" s="592">
        <f t="shared" si="20"/>
        <v>2010</v>
      </c>
      <c r="L13" s="344">
        <f t="shared" ref="L13:S13" si="21">L3</f>
        <v>2011</v>
      </c>
      <c r="M13" s="344">
        <f t="shared" si="21"/>
        <v>2012</v>
      </c>
      <c r="N13" s="344">
        <f t="shared" si="21"/>
        <v>2013</v>
      </c>
      <c r="O13" s="344">
        <f t="shared" si="21"/>
        <v>2014</v>
      </c>
      <c r="P13" s="344">
        <f t="shared" si="21"/>
        <v>2015</v>
      </c>
      <c r="Q13" s="344">
        <f t="shared" si="21"/>
        <v>2016</v>
      </c>
      <c r="R13" s="344" t="str">
        <f t="shared" si="21"/>
        <v>2017E</v>
      </c>
      <c r="S13" s="274" t="str">
        <f t="shared" si="21"/>
        <v>2018E</v>
      </c>
      <c r="T13" s="274" t="str">
        <f>T3</f>
        <v>2019E</v>
      </c>
      <c r="U13" s="274" t="str">
        <f>U3</f>
        <v>2020E</v>
      </c>
      <c r="V13" s="274" t="str">
        <f t="shared" ref="V13:W13" si="22">V3</f>
        <v>2021E</v>
      </c>
      <c r="W13" s="274" t="str">
        <f t="shared" si="22"/>
        <v>2022E</v>
      </c>
      <c r="X13" s="274" t="str">
        <f t="shared" ref="X13:AC13" si="23">X3</f>
        <v>2023E</v>
      </c>
      <c r="Y13" s="274" t="str">
        <f t="shared" si="23"/>
        <v>2024E</v>
      </c>
      <c r="Z13" s="274" t="str">
        <f t="shared" si="23"/>
        <v>2025E</v>
      </c>
      <c r="AA13" s="274" t="str">
        <f t="shared" si="23"/>
        <v>2026E</v>
      </c>
      <c r="AB13" s="274" t="str">
        <f t="shared" si="23"/>
        <v>2027E</v>
      </c>
      <c r="AC13" s="274" t="str">
        <f t="shared" si="23"/>
        <v>2028E</v>
      </c>
    </row>
    <row r="14" spans="1:29">
      <c r="A14" s="6" t="s">
        <v>1365</v>
      </c>
      <c r="B14" s="625">
        <f>'TV Production'!BC412</f>
        <v>30</v>
      </c>
      <c r="C14" s="625">
        <f>ROUND((0.67*'TV Production'!BC412)+(0.33*'TV Production'!BD412),0)</f>
        <v>30</v>
      </c>
      <c r="D14" s="625">
        <f>ROUND((0.67*'TV Production'!BD412)+(0.33*'TV Production'!BE412),0)</f>
        <v>30</v>
      </c>
      <c r="E14" s="625">
        <f>ROUND((0.67*'TV Production'!BE412)+(0.33*'TV Production'!BF412),0)</f>
        <v>29</v>
      </c>
      <c r="F14" s="625">
        <f>'TV Production'!BF412</f>
        <v>26</v>
      </c>
      <c r="G14" s="625">
        <f>'TV Production'!BG412</f>
        <v>25</v>
      </c>
      <c r="H14" s="625">
        <f>'TV Production'!BH412</f>
        <v>19</v>
      </c>
      <c r="I14" s="625">
        <f>'TV Production'!BI412</f>
        <v>25</v>
      </c>
      <c r="J14" s="234">
        <f>'TV Production'!BJ412</f>
        <v>25</v>
      </c>
      <c r="K14" s="234">
        <f>'TV Production'!BK412</f>
        <v>28</v>
      </c>
      <c r="L14" s="2059">
        <f>'TV Production'!BL412</f>
        <v>25</v>
      </c>
      <c r="M14" s="2059">
        <f>'TV Production'!BM412</f>
        <v>22</v>
      </c>
      <c r="N14" s="2059">
        <f>'TV Production'!BN412</f>
        <v>18</v>
      </c>
      <c r="O14" s="2059">
        <f>'TV Production'!BO412</f>
        <v>21</v>
      </c>
      <c r="P14" s="2059">
        <f>'TV Production'!BP412</f>
        <v>29</v>
      </c>
      <c r="Q14" s="3244">
        <v>26</v>
      </c>
      <c r="R14" s="3244">
        <f>+Q14</f>
        <v>26</v>
      </c>
      <c r="S14" s="3563">
        <f>+R14</f>
        <v>26</v>
      </c>
      <c r="T14" s="3563">
        <f>+S14</f>
        <v>26</v>
      </c>
      <c r="U14" s="3563">
        <f>+T14</f>
        <v>26</v>
      </c>
      <c r="V14" s="3563">
        <f t="shared" ref="V14:W14" si="24">+U14</f>
        <v>26</v>
      </c>
      <c r="W14" s="3563">
        <f t="shared" si="24"/>
        <v>26</v>
      </c>
      <c r="X14" s="3563">
        <f t="shared" ref="X14" si="25">+W14</f>
        <v>26</v>
      </c>
      <c r="Y14" s="3563">
        <f t="shared" ref="Y14" si="26">+X14</f>
        <v>26</v>
      </c>
      <c r="Z14" s="3563">
        <f t="shared" ref="Z14" si="27">+Y14</f>
        <v>26</v>
      </c>
      <c r="AA14" s="3563">
        <f t="shared" ref="AA14" si="28">+Z14</f>
        <v>26</v>
      </c>
      <c r="AB14" s="3563">
        <f t="shared" ref="AB14" si="29">+AA14</f>
        <v>26</v>
      </c>
      <c r="AC14" s="3563">
        <f t="shared" ref="AC14" si="30">+AB14</f>
        <v>26</v>
      </c>
    </row>
    <row r="15" spans="1:29">
      <c r="A15" s="6" t="s">
        <v>1366</v>
      </c>
      <c r="B15" s="1516">
        <f t="shared" ref="B15:P15" si="31">+B16/B14</f>
        <v>29.194800000000001</v>
      </c>
      <c r="C15" s="1516">
        <f t="shared" si="31"/>
        <v>29.885721</v>
      </c>
      <c r="D15" s="1516">
        <f t="shared" si="31"/>
        <v>31.849038532822441</v>
      </c>
      <c r="E15" s="1516">
        <f t="shared" si="31"/>
        <v>31.023607048429987</v>
      </c>
      <c r="F15" s="1516">
        <f t="shared" si="31"/>
        <v>25.258157161872987</v>
      </c>
      <c r="G15" s="1516">
        <f t="shared" si="31"/>
        <v>22.121707302499999</v>
      </c>
      <c r="H15" s="1516">
        <f t="shared" si="31"/>
        <v>33.35855789473684</v>
      </c>
      <c r="I15" s="1516">
        <f t="shared" si="31"/>
        <v>28.094969060000004</v>
      </c>
      <c r="J15" s="1516">
        <f t="shared" si="31"/>
        <v>26.991065749600001</v>
      </c>
      <c r="K15" s="1516">
        <f t="shared" si="31"/>
        <v>24.694559529810714</v>
      </c>
      <c r="L15" s="2156">
        <f t="shared" si="31"/>
        <v>28.825846684441402</v>
      </c>
      <c r="M15" s="2156">
        <f t="shared" si="31"/>
        <v>34.390112297779289</v>
      </c>
      <c r="N15" s="2156">
        <f t="shared" si="31"/>
        <v>37.937818431524349</v>
      </c>
      <c r="O15" s="2156">
        <f t="shared" si="31"/>
        <v>32.072814180339137</v>
      </c>
      <c r="P15" s="2156">
        <f t="shared" si="31"/>
        <v>27.071024098298043</v>
      </c>
      <c r="Q15" s="3362">
        <v>31.8</v>
      </c>
      <c r="R15" s="3362">
        <f>+Q15*1.05</f>
        <v>33.39</v>
      </c>
      <c r="S15" s="3363">
        <f>+R15*1.03</f>
        <v>34.3917</v>
      </c>
      <c r="T15" s="3363">
        <f>+S15*1.025</f>
        <v>35.251492499999998</v>
      </c>
      <c r="U15" s="3363">
        <f>+T15*1.022</f>
        <v>36.027025334999998</v>
      </c>
      <c r="V15" s="3363">
        <f>+U15*1.02</f>
        <v>36.747565841699995</v>
      </c>
      <c r="W15" s="3363">
        <f>+V15*1.019</f>
        <v>37.445769592692294</v>
      </c>
      <c r="X15" s="3363">
        <f>+W15*1.018</f>
        <v>38.119793445360756</v>
      </c>
      <c r="Y15" s="3363">
        <f>+X15*1.017</f>
        <v>38.767829933931885</v>
      </c>
      <c r="Z15" s="3363">
        <f>+Y15*1.016</f>
        <v>39.388115212874794</v>
      </c>
      <c r="AA15" s="3363">
        <f>+Z15*1.015</f>
        <v>39.978936941067914</v>
      </c>
      <c r="AB15" s="3363">
        <f>+AA15*1.014</f>
        <v>40.538642058242864</v>
      </c>
      <c r="AC15" s="3363">
        <f>+AB15*1.013</f>
        <v>41.065644405000015</v>
      </c>
    </row>
    <row r="16" spans="1:29">
      <c r="A16" s="1506" t="s">
        <v>1367</v>
      </c>
      <c r="B16" s="1517">
        <f>'TV Production'!BC405/1000</f>
        <v>875.84400000000005</v>
      </c>
      <c r="C16" s="1517">
        <f>(0.67*'TV Production'!BC405/1000)+(0.33*'TV Production'!BD405/1000)</f>
        <v>896.57163000000003</v>
      </c>
      <c r="D16" s="1517">
        <f>(0.67*'TV Production'!BD405/1000)+(0.33*'TV Production'!BE405/1000)</f>
        <v>955.47115598467326</v>
      </c>
      <c r="E16" s="1517">
        <f>(0.67*'TV Production'!BE405/1000)+(0.33*'TV Production'!BF405/1000)</f>
        <v>899.68460440446961</v>
      </c>
      <c r="F16" s="1517">
        <f>(0.67*'TV Production'!BF405/1000)+(0.33*'TV Production'!BG405/1000)</f>
        <v>656.71208620869766</v>
      </c>
      <c r="G16" s="1517">
        <f>(0.67*'TV Production'!BG405/1000)+(0.33*'TV Production'!BH405/1000)</f>
        <v>553.04268256249998</v>
      </c>
      <c r="H16" s="1517">
        <f>(0.67*'TV Production'!BH405/1000)+(0.33*'TV Production'!BI405/1000)</f>
        <v>633.81259999999997</v>
      </c>
      <c r="I16" s="1517">
        <f>(0.67*'TV Production'!BI405/1000)+(0.33*'TV Production'!BJ405/1000)</f>
        <v>702.37422650000008</v>
      </c>
      <c r="J16" s="1517">
        <f>(0.67*'TV Production'!BJ405/1000)+(0.33*'TV Production'!BK405/1000)</f>
        <v>674.77664374000005</v>
      </c>
      <c r="K16" s="1517">
        <f>(0.67*'TV Production'!BK405/1000)+(0.33*'TV Production'!BL405/1000)</f>
        <v>691.44766683470004</v>
      </c>
      <c r="L16" s="2157">
        <f>(0.67*'TV Production'!BL405/1000)+(0.33*'TV Production'!BM405/1000)</f>
        <v>720.64616711103508</v>
      </c>
      <c r="M16" s="2157">
        <f>(0.67*'TV Production'!BM405/1000)+(0.33*'TV Production'!BN405/1000)</f>
        <v>756.5824705511443</v>
      </c>
      <c r="N16" s="2157">
        <f>(0.67*'TV Production'!BN405/1000)+(0.33*'TV Production'!BO405/1000)</f>
        <v>682.88073176743831</v>
      </c>
      <c r="O16" s="2157">
        <f>(0.67*'TV Production'!BO405/1000)+(0.33*'TV Production'!BP405/1000)</f>
        <v>673.52909778712183</v>
      </c>
      <c r="P16" s="2157">
        <f>(0.67*'TV Production'!BP405/1000)+(0.33*'TV Production'!BQ405/1000)</f>
        <v>785.05969885064326</v>
      </c>
      <c r="Q16" s="3248">
        <f>+Q14*Q15</f>
        <v>826.80000000000007</v>
      </c>
      <c r="R16" s="3248">
        <f>+R14*R15</f>
        <v>868.14</v>
      </c>
      <c r="S16" s="3249">
        <f>+S14*S15</f>
        <v>894.18420000000003</v>
      </c>
      <c r="T16" s="3249">
        <f>+T14*T15</f>
        <v>916.53880499999991</v>
      </c>
      <c r="U16" s="3249">
        <f>+U14*U15</f>
        <v>936.70265870999992</v>
      </c>
      <c r="V16" s="3249">
        <f t="shared" ref="V16:W16" si="32">+V14*V15</f>
        <v>955.43671188419989</v>
      </c>
      <c r="W16" s="3249">
        <f t="shared" si="32"/>
        <v>973.59000940999965</v>
      </c>
      <c r="X16" s="3249">
        <f t="shared" ref="X16:AC16" si="33">+X14*X15</f>
        <v>991.11462957937965</v>
      </c>
      <c r="Y16" s="3249">
        <f t="shared" si="33"/>
        <v>1007.963578282229</v>
      </c>
      <c r="Z16" s="3249">
        <f t="shared" si="33"/>
        <v>1024.0909955347447</v>
      </c>
      <c r="AA16" s="3249">
        <f t="shared" si="33"/>
        <v>1039.4523604677659</v>
      </c>
      <c r="AB16" s="3249">
        <f t="shared" si="33"/>
        <v>1054.0046935143146</v>
      </c>
      <c r="AC16" s="3249">
        <f t="shared" si="33"/>
        <v>1067.7067545300004</v>
      </c>
    </row>
    <row r="17" spans="1:30">
      <c r="A17" s="186" t="s">
        <v>534</v>
      </c>
      <c r="B17" s="1072"/>
      <c r="C17" s="1072"/>
      <c r="D17" s="1072"/>
      <c r="E17" s="1072"/>
      <c r="F17" s="1072"/>
      <c r="G17" s="1072"/>
      <c r="H17" s="1072"/>
      <c r="I17" s="1364">
        <f>+I16/H16-1</f>
        <v>0.10817334098438569</v>
      </c>
      <c r="J17" s="1364">
        <f>+J16/I16-1</f>
        <v>-3.9291850012096119E-2</v>
      </c>
      <c r="K17" s="1364">
        <f>+K16/J16-1</f>
        <v>2.4705987157912945E-2</v>
      </c>
      <c r="L17" s="1364">
        <f>+L16/K16-1</f>
        <v>4.2228069710610994E-2</v>
      </c>
      <c r="M17" s="1364">
        <f>+M16/L16-1</f>
        <v>4.9866779399067029E-2</v>
      </c>
      <c r="N17" s="1364">
        <f t="shared" ref="N17:S17" si="34">+N16/M16-1</f>
        <v>-9.7414018500873834E-2</v>
      </c>
      <c r="O17" s="1364">
        <f t="shared" si="34"/>
        <v>-1.3694388412618497E-2</v>
      </c>
      <c r="P17" s="1364">
        <f t="shared" si="34"/>
        <v>0.16559136261514906</v>
      </c>
      <c r="Q17" s="2827">
        <f t="shared" si="34"/>
        <v>5.3168314728760269E-2</v>
      </c>
      <c r="R17" s="2827">
        <f t="shared" si="34"/>
        <v>4.9999999999999822E-2</v>
      </c>
      <c r="S17" s="2827">
        <f t="shared" si="34"/>
        <v>3.0000000000000027E-2</v>
      </c>
      <c r="T17" s="2827">
        <f>+T16/S16-1</f>
        <v>2.4999999999999911E-2</v>
      </c>
      <c r="U17" s="2827">
        <f>+U16/T16-1</f>
        <v>2.200000000000002E-2</v>
      </c>
      <c r="V17" s="2827">
        <f t="shared" ref="V17" si="35">+V16/U16-1</f>
        <v>2.0000000000000018E-2</v>
      </c>
      <c r="W17" s="2827">
        <f>+W16/V16-1</f>
        <v>1.8999999999999906E-2</v>
      </c>
      <c r="X17" s="2827">
        <f t="shared" ref="X17" si="36">+X16/W16-1</f>
        <v>1.8000000000000016E-2</v>
      </c>
      <c r="Y17" s="2827">
        <f t="shared" ref="Y17" si="37">+Y16/X16-1</f>
        <v>1.6999999999999904E-2</v>
      </c>
      <c r="Z17" s="2827">
        <f t="shared" ref="Z17" si="38">+Z16/Y16-1</f>
        <v>1.6000000000000014E-2</v>
      </c>
      <c r="AA17" s="2827">
        <f t="shared" ref="AA17" si="39">+AA16/Z16-1</f>
        <v>1.4999999999999902E-2</v>
      </c>
      <c r="AB17" s="2827">
        <f t="shared" ref="AB17" si="40">+AB16/AA16-1</f>
        <v>1.4000000000000012E-2</v>
      </c>
      <c r="AC17" s="2827">
        <f t="shared" ref="AC17" si="41">+AC16/AB16-1</f>
        <v>1.2999999999999678E-2</v>
      </c>
    </row>
    <row r="18" spans="1:30">
      <c r="A18" s="6"/>
      <c r="B18" s="126"/>
      <c r="C18" s="126"/>
      <c r="D18" s="126"/>
      <c r="E18" s="126"/>
      <c r="F18" s="6"/>
      <c r="G18" s="210"/>
      <c r="H18" s="210"/>
      <c r="I18" s="210"/>
      <c r="J18" s="210"/>
      <c r="K18" s="6"/>
      <c r="L18" s="1108"/>
      <c r="M18" s="1108"/>
      <c r="N18" s="1108"/>
      <c r="O18" s="1108"/>
      <c r="P18" s="1108"/>
      <c r="Q18" s="2862"/>
      <c r="R18" s="2862"/>
      <c r="S18" s="2862"/>
      <c r="T18" s="2807"/>
      <c r="U18" s="2807"/>
      <c r="V18" s="2807"/>
      <c r="W18" s="2807"/>
      <c r="X18" s="2807"/>
      <c r="Y18" s="2807"/>
      <c r="Z18" s="2807"/>
      <c r="AA18" s="2807"/>
      <c r="AB18" s="2807"/>
      <c r="AC18" s="2807"/>
    </row>
    <row r="19" spans="1:30">
      <c r="A19" s="6" t="s">
        <v>1368</v>
      </c>
      <c r="B19" s="4">
        <f t="shared" ref="B19:J19" si="42">ROUND(+B14*0.85,0)</f>
        <v>26</v>
      </c>
      <c r="C19" s="4">
        <f t="shared" si="42"/>
        <v>26</v>
      </c>
      <c r="D19" s="4">
        <f t="shared" si="42"/>
        <v>26</v>
      </c>
      <c r="E19" s="4">
        <f t="shared" si="42"/>
        <v>25</v>
      </c>
      <c r="F19" s="4">
        <f t="shared" si="42"/>
        <v>22</v>
      </c>
      <c r="G19" s="4">
        <f t="shared" si="42"/>
        <v>21</v>
      </c>
      <c r="H19" s="4">
        <f t="shared" si="42"/>
        <v>16</v>
      </c>
      <c r="I19" s="4">
        <f t="shared" si="42"/>
        <v>21</v>
      </c>
      <c r="J19" s="4">
        <f t="shared" si="42"/>
        <v>21</v>
      </c>
      <c r="K19" s="4">
        <f>J19</f>
        <v>21</v>
      </c>
      <c r="L19" s="1690">
        <f>K19</f>
        <v>21</v>
      </c>
      <c r="M19" s="1690">
        <f>+L19</f>
        <v>21</v>
      </c>
      <c r="N19" s="1690">
        <f>+M19</f>
        <v>21</v>
      </c>
      <c r="O19" s="1690">
        <f>+N19</f>
        <v>21</v>
      </c>
      <c r="P19" s="1690">
        <f>+O19</f>
        <v>21</v>
      </c>
      <c r="Q19" s="2914">
        <f>+P19</f>
        <v>21</v>
      </c>
      <c r="R19" s="3364">
        <f>Q19*1.01</f>
        <v>21.21</v>
      </c>
      <c r="S19" s="3364">
        <f>R19*1.01</f>
        <v>21.4221</v>
      </c>
      <c r="T19" s="3364">
        <f>S19*1.01</f>
        <v>21.636320999999999</v>
      </c>
      <c r="U19" s="3364">
        <f>T19*1.01</f>
        <v>21.85268421</v>
      </c>
      <c r="V19" s="3364">
        <f t="shared" ref="V19:W19" si="43">U19*1.01</f>
        <v>22.071211052100001</v>
      </c>
      <c r="W19" s="3364">
        <f t="shared" si="43"/>
        <v>22.291923162621</v>
      </c>
      <c r="X19" s="3364">
        <f t="shared" ref="X19" si="44">W19*1.01</f>
        <v>22.514842394247211</v>
      </c>
      <c r="Y19" s="3364">
        <f t="shared" ref="Y19" si="45">X19*1.01</f>
        <v>22.739990818189682</v>
      </c>
      <c r="Z19" s="3364">
        <f t="shared" ref="Z19" si="46">Y19*1.01</f>
        <v>22.96739072637158</v>
      </c>
      <c r="AA19" s="3364">
        <f t="shared" ref="AA19" si="47">Z19*1.01</f>
        <v>23.197064633635296</v>
      </c>
      <c r="AB19" s="3364">
        <f t="shared" ref="AB19" si="48">AA19*1.01</f>
        <v>23.42903527997165</v>
      </c>
      <c r="AC19" s="3364">
        <f t="shared" ref="AC19" si="49">AB19*1.01</f>
        <v>23.663325632771368</v>
      </c>
    </row>
    <row r="20" spans="1:30">
      <c r="A20" s="6" t="s">
        <v>1369</v>
      </c>
      <c r="B20" s="4">
        <f t="shared" ref="B20:AC20" si="50">22*0.75+13*0.25</f>
        <v>19.75</v>
      </c>
      <c r="C20" s="4">
        <f t="shared" si="50"/>
        <v>19.75</v>
      </c>
      <c r="D20" s="4">
        <f t="shared" si="50"/>
        <v>19.75</v>
      </c>
      <c r="E20" s="4">
        <f t="shared" si="50"/>
        <v>19.75</v>
      </c>
      <c r="F20" s="4">
        <f t="shared" si="50"/>
        <v>19.75</v>
      </c>
      <c r="G20" s="4">
        <f t="shared" si="50"/>
        <v>19.75</v>
      </c>
      <c r="H20" s="4">
        <f t="shared" si="50"/>
        <v>19.75</v>
      </c>
      <c r="I20" s="4">
        <f t="shared" si="50"/>
        <v>19.75</v>
      </c>
      <c r="J20" s="4">
        <f t="shared" si="50"/>
        <v>19.75</v>
      </c>
      <c r="K20" s="4">
        <f t="shared" si="50"/>
        <v>19.75</v>
      </c>
      <c r="L20" s="1690">
        <f t="shared" si="50"/>
        <v>19.75</v>
      </c>
      <c r="M20" s="1690">
        <f t="shared" si="50"/>
        <v>19.75</v>
      </c>
      <c r="N20" s="1690">
        <f t="shared" si="50"/>
        <v>19.75</v>
      </c>
      <c r="O20" s="1690">
        <f t="shared" si="50"/>
        <v>19.75</v>
      </c>
      <c r="P20" s="1690">
        <f t="shared" si="50"/>
        <v>19.75</v>
      </c>
      <c r="Q20" s="2914">
        <f t="shared" si="50"/>
        <v>19.75</v>
      </c>
      <c r="R20" s="2914">
        <f t="shared" si="50"/>
        <v>19.75</v>
      </c>
      <c r="S20" s="2914">
        <f t="shared" si="50"/>
        <v>19.75</v>
      </c>
      <c r="T20" s="2914">
        <f t="shared" si="50"/>
        <v>19.75</v>
      </c>
      <c r="U20" s="2914">
        <f t="shared" si="50"/>
        <v>19.75</v>
      </c>
      <c r="V20" s="2914">
        <f t="shared" si="50"/>
        <v>19.75</v>
      </c>
      <c r="W20" s="2914">
        <f t="shared" si="50"/>
        <v>19.75</v>
      </c>
      <c r="X20" s="2914">
        <f t="shared" si="50"/>
        <v>19.75</v>
      </c>
      <c r="Y20" s="2914">
        <f t="shared" si="50"/>
        <v>19.75</v>
      </c>
      <c r="Z20" s="2914">
        <f t="shared" si="50"/>
        <v>19.75</v>
      </c>
      <c r="AA20" s="2914">
        <f t="shared" si="50"/>
        <v>19.75</v>
      </c>
      <c r="AB20" s="2914">
        <f t="shared" si="50"/>
        <v>19.75</v>
      </c>
      <c r="AC20" s="2914">
        <f t="shared" si="50"/>
        <v>19.75</v>
      </c>
    </row>
    <row r="21" spans="1:30">
      <c r="A21" s="6" t="s">
        <v>1370</v>
      </c>
      <c r="B21" s="4">
        <f t="shared" ref="B21:O21" si="51">+B20*B19</f>
        <v>513.5</v>
      </c>
      <c r="C21" s="4">
        <f t="shared" si="51"/>
        <v>513.5</v>
      </c>
      <c r="D21" s="4">
        <f t="shared" si="51"/>
        <v>513.5</v>
      </c>
      <c r="E21" s="4">
        <f t="shared" si="51"/>
        <v>493.75</v>
      </c>
      <c r="F21" s="4">
        <f t="shared" si="51"/>
        <v>434.5</v>
      </c>
      <c r="G21" s="4">
        <f t="shared" si="51"/>
        <v>414.75</v>
      </c>
      <c r="H21" s="4">
        <f t="shared" si="51"/>
        <v>316</v>
      </c>
      <c r="I21" s="4">
        <f t="shared" si="51"/>
        <v>414.75</v>
      </c>
      <c r="J21" s="4">
        <f t="shared" si="51"/>
        <v>414.75</v>
      </c>
      <c r="K21" s="4">
        <f t="shared" si="51"/>
        <v>414.75</v>
      </c>
      <c r="L21" s="1690">
        <f t="shared" si="51"/>
        <v>414.75</v>
      </c>
      <c r="M21" s="1690">
        <f t="shared" si="51"/>
        <v>414.75</v>
      </c>
      <c r="N21" s="1690">
        <f t="shared" si="51"/>
        <v>414.75</v>
      </c>
      <c r="O21" s="1690">
        <f t="shared" si="51"/>
        <v>414.75</v>
      </c>
      <c r="P21" s="1690">
        <f t="shared" ref="P21:U21" si="52">+P20*P19</f>
        <v>414.75</v>
      </c>
      <c r="Q21" s="2914">
        <f t="shared" si="52"/>
        <v>414.75</v>
      </c>
      <c r="R21" s="2914">
        <f t="shared" si="52"/>
        <v>418.89750000000004</v>
      </c>
      <c r="S21" s="2914">
        <f t="shared" si="52"/>
        <v>423.08647500000001</v>
      </c>
      <c r="T21" s="2914">
        <f t="shared" si="52"/>
        <v>427.31733974999997</v>
      </c>
      <c r="U21" s="2914">
        <f t="shared" si="52"/>
        <v>431.59051314750002</v>
      </c>
      <c r="V21" s="2914">
        <f t="shared" ref="V21:W21" si="53">+V20*V19</f>
        <v>435.90641827897502</v>
      </c>
      <c r="W21" s="2914">
        <f t="shared" si="53"/>
        <v>440.26548246176475</v>
      </c>
      <c r="X21" s="2914">
        <f t="shared" ref="X21:AC21" si="54">+X20*X19</f>
        <v>444.66813728638243</v>
      </c>
      <c r="Y21" s="2914">
        <f t="shared" si="54"/>
        <v>449.11481865924623</v>
      </c>
      <c r="Z21" s="2914">
        <f t="shared" si="54"/>
        <v>453.60596684583868</v>
      </c>
      <c r="AA21" s="2914">
        <f t="shared" si="54"/>
        <v>458.14202651429713</v>
      </c>
      <c r="AB21" s="2914">
        <f t="shared" si="54"/>
        <v>462.72344677944011</v>
      </c>
      <c r="AC21" s="2914">
        <f t="shared" si="54"/>
        <v>467.35068124723455</v>
      </c>
    </row>
    <row r="22" spans="1:30">
      <c r="A22" s="6" t="s">
        <v>1371</v>
      </c>
      <c r="B22" s="630">
        <f>+C22/1.04</f>
        <v>0.49001479289940825</v>
      </c>
      <c r="C22" s="630">
        <f>+D22/1.04</f>
        <v>0.50961538461538458</v>
      </c>
      <c r="D22" s="631">
        <f>(15+15+15+10+50+10+60+75+10+50+25+10+25+25+25+35+75)/1000</f>
        <v>0.53</v>
      </c>
      <c r="E22" s="631">
        <f t="shared" ref="E22:I23" si="55">D22*1.2</f>
        <v>0.63600000000000001</v>
      </c>
      <c r="F22" s="631">
        <f t="shared" si="55"/>
        <v>0.76319999999999999</v>
      </c>
      <c r="G22" s="631">
        <f t="shared" si="55"/>
        <v>0.91583999999999999</v>
      </c>
      <c r="H22" s="631">
        <f t="shared" si="55"/>
        <v>1.099008</v>
      </c>
      <c r="I22" s="631">
        <f t="shared" si="55"/>
        <v>1.3188096</v>
      </c>
      <c r="J22" s="631">
        <f>I22*1.03</f>
        <v>1.358373888</v>
      </c>
      <c r="K22" s="631">
        <f>J22*1.1</f>
        <v>1.4942112768000002</v>
      </c>
      <c r="L22" s="2159">
        <f>K22*1.1</f>
        <v>1.6436324044800004</v>
      </c>
      <c r="M22" s="2159">
        <f>L22*1.15</f>
        <v>1.8901772651520004</v>
      </c>
      <c r="N22" s="2159">
        <f>M22*1.1</f>
        <v>2.0791949916672006</v>
      </c>
      <c r="O22" s="2159">
        <f>N22*1.07</f>
        <v>2.224738641083905</v>
      </c>
      <c r="P22" s="2159">
        <f>+O22</f>
        <v>2.224738641083905</v>
      </c>
      <c r="Q22" s="3564">
        <f>P22*1.04</f>
        <v>2.3137281867272614</v>
      </c>
      <c r="R22" s="3564">
        <f t="shared" ref="R22:T23" si="56">Q22*1.05</f>
        <v>2.4294145960636246</v>
      </c>
      <c r="S22" s="3564">
        <f t="shared" si="56"/>
        <v>2.5508853258668061</v>
      </c>
      <c r="T22" s="3564">
        <f t="shared" si="56"/>
        <v>2.6784295921601466</v>
      </c>
      <c r="U22" s="3564">
        <f>T22*1.049</f>
        <v>2.8096726421759937</v>
      </c>
      <c r="V22" s="3564">
        <f>U22*1.047</f>
        <v>2.941727256358265</v>
      </c>
      <c r="W22" s="3564">
        <f>V22*1.045</f>
        <v>3.0741049828943869</v>
      </c>
      <c r="X22" s="3564">
        <f>W22*1.043</f>
        <v>3.2062914971588454</v>
      </c>
      <c r="Y22" s="3564">
        <f>X22*1.04</f>
        <v>3.3345431570451995</v>
      </c>
      <c r="Z22" s="3564">
        <f>Y22*1.037</f>
        <v>3.4579212538558717</v>
      </c>
      <c r="AA22" s="3564">
        <f>Z22*1.034</f>
        <v>3.5754905764869713</v>
      </c>
      <c r="AB22" s="3564">
        <f>AA22*1.03</f>
        <v>3.6827552937815806</v>
      </c>
      <c r="AC22" s="3564">
        <f>AB22*1.028</f>
        <v>3.7858724420074648</v>
      </c>
    </row>
    <row r="23" spans="1:30">
      <c r="A23" s="6" t="s">
        <v>1372</v>
      </c>
      <c r="B23" s="630">
        <f>+C23/1.04</f>
        <v>0.26442307692307687</v>
      </c>
      <c r="C23" s="630">
        <f>+D23/1.04</f>
        <v>0.27499999999999997</v>
      </c>
      <c r="D23" s="631">
        <f>(10+10+5+5+35+5+25+30+5+25+15+6+15+10+15+20+50)/1000</f>
        <v>0.28599999999999998</v>
      </c>
      <c r="E23" s="631">
        <f t="shared" si="55"/>
        <v>0.34319999999999995</v>
      </c>
      <c r="F23" s="631">
        <f t="shared" si="55"/>
        <v>0.41183999999999993</v>
      </c>
      <c r="G23" s="631">
        <f t="shared" si="55"/>
        <v>0.49420799999999987</v>
      </c>
      <c r="H23" s="631">
        <f t="shared" si="55"/>
        <v>0.59304959999999984</v>
      </c>
      <c r="I23" s="631">
        <f t="shared" si="55"/>
        <v>0.71165951999999977</v>
      </c>
      <c r="J23" s="631">
        <f>I23*1.03</f>
        <v>0.73300930559999977</v>
      </c>
      <c r="K23" s="631">
        <f>+J23*1.1</f>
        <v>0.80631023615999986</v>
      </c>
      <c r="L23" s="2159">
        <f>+K23*1.1</f>
        <v>0.88694125977599991</v>
      </c>
      <c r="M23" s="2159">
        <f>+L23*1.15</f>
        <v>1.0199824487423998</v>
      </c>
      <c r="N23" s="2159">
        <f>+M23*1.1</f>
        <v>1.1219806936166399</v>
      </c>
      <c r="O23" s="2159">
        <f>N23*1.07</f>
        <v>1.2005193421698048</v>
      </c>
      <c r="P23" s="2159">
        <f>O23*1.035</f>
        <v>1.2425375191457479</v>
      </c>
      <c r="Q23" s="3564">
        <f>P23*1.04</f>
        <v>1.2922390199115779</v>
      </c>
      <c r="R23" s="3564">
        <f t="shared" si="56"/>
        <v>1.3568509709071568</v>
      </c>
      <c r="S23" s="3564">
        <f t="shared" si="56"/>
        <v>1.4246935194525148</v>
      </c>
      <c r="T23" s="3564">
        <f t="shared" si="56"/>
        <v>1.4959281954251407</v>
      </c>
      <c r="U23" s="3564">
        <f>T23*1.049</f>
        <v>1.5692286770009725</v>
      </c>
      <c r="V23" s="3564">
        <f>U23*1.047</f>
        <v>1.642982424820018</v>
      </c>
      <c r="W23" s="3564">
        <f>V23*1.045</f>
        <v>1.7169166339369186</v>
      </c>
      <c r="X23" s="3564">
        <f>W23*1.043</f>
        <v>1.7907440491962059</v>
      </c>
      <c r="Y23" s="3564">
        <f>X23*1.04</f>
        <v>1.8623738111640542</v>
      </c>
      <c r="Z23" s="3564">
        <f>Y23*1.037</f>
        <v>1.9312816421771242</v>
      </c>
      <c r="AA23" s="3564">
        <f>Z23*1.034</f>
        <v>1.9969452180111464</v>
      </c>
      <c r="AB23" s="3564">
        <f>AA23*1.03</f>
        <v>2.0568535745514809</v>
      </c>
      <c r="AC23" s="3564">
        <f>AB23*1.028</f>
        <v>2.1144454746389223</v>
      </c>
    </row>
    <row r="24" spans="1:30">
      <c r="A24" s="6" t="s">
        <v>1373</v>
      </c>
      <c r="B24" s="1519">
        <f t="shared" ref="B24:O24" si="57">+B22*0.5+B23*0.5</f>
        <v>0.37721893491124259</v>
      </c>
      <c r="C24" s="1519">
        <f t="shared" si="57"/>
        <v>0.39230769230769225</v>
      </c>
      <c r="D24" s="1519">
        <f t="shared" si="57"/>
        <v>0.40800000000000003</v>
      </c>
      <c r="E24" s="1519">
        <f t="shared" si="57"/>
        <v>0.48959999999999998</v>
      </c>
      <c r="F24" s="1519">
        <f t="shared" si="57"/>
        <v>0.58751999999999993</v>
      </c>
      <c r="G24" s="1519">
        <f t="shared" si="57"/>
        <v>0.70502399999999987</v>
      </c>
      <c r="H24" s="1519">
        <f t="shared" si="57"/>
        <v>0.84602879999999991</v>
      </c>
      <c r="I24" s="1519">
        <f t="shared" si="57"/>
        <v>1.0152345599999999</v>
      </c>
      <c r="J24" s="1519">
        <f t="shared" si="57"/>
        <v>1.0456915967999998</v>
      </c>
      <c r="K24" s="1519">
        <f t="shared" si="57"/>
        <v>1.15026075648</v>
      </c>
      <c r="L24" s="2160">
        <f t="shared" si="57"/>
        <v>1.2652868321280002</v>
      </c>
      <c r="M24" s="2160">
        <f t="shared" si="57"/>
        <v>1.4550798569472001</v>
      </c>
      <c r="N24" s="2160">
        <f t="shared" si="57"/>
        <v>1.6005878426419202</v>
      </c>
      <c r="O24" s="2160">
        <f t="shared" si="57"/>
        <v>1.7126289916268549</v>
      </c>
      <c r="P24" s="2160">
        <f t="shared" ref="P24:U24" si="58">+P22*0.5+P23*0.5</f>
        <v>1.7336380801148263</v>
      </c>
      <c r="Q24" s="2160">
        <f t="shared" si="58"/>
        <v>1.8029836033194195</v>
      </c>
      <c r="R24" s="2160">
        <f t="shared" si="58"/>
        <v>1.8931327834853908</v>
      </c>
      <c r="S24" s="2160">
        <f t="shared" si="58"/>
        <v>1.9877894226596604</v>
      </c>
      <c r="T24" s="2160">
        <f t="shared" si="58"/>
        <v>2.0871788937926437</v>
      </c>
      <c r="U24" s="2160">
        <f t="shared" si="58"/>
        <v>2.1894506595884833</v>
      </c>
      <c r="V24" s="2160">
        <f t="shared" ref="V24:W24" si="59">+V22*0.5+V23*0.5</f>
        <v>2.2923548405891414</v>
      </c>
      <c r="W24" s="2160">
        <f t="shared" si="59"/>
        <v>2.3955108084156529</v>
      </c>
      <c r="X24" s="2160">
        <f t="shared" ref="X24:AC24" si="60">+X22*0.5+X23*0.5</f>
        <v>2.4985177731775257</v>
      </c>
      <c r="Y24" s="2160">
        <f t="shared" si="60"/>
        <v>2.598458484104627</v>
      </c>
      <c r="Z24" s="2160">
        <f t="shared" si="60"/>
        <v>2.6946014480164981</v>
      </c>
      <c r="AA24" s="2160">
        <f t="shared" si="60"/>
        <v>2.7862178972490588</v>
      </c>
      <c r="AB24" s="2160">
        <f t="shared" si="60"/>
        <v>2.8698044341665305</v>
      </c>
      <c r="AC24" s="2160">
        <f t="shared" si="60"/>
        <v>2.9501589583231933</v>
      </c>
    </row>
    <row r="25" spans="1:30">
      <c r="A25" s="1506" t="s">
        <v>1374</v>
      </c>
      <c r="B25" s="1520">
        <f t="shared" ref="B25:O25" si="61">+B21*B24</f>
        <v>193.70192307692307</v>
      </c>
      <c r="C25" s="1520">
        <f t="shared" si="61"/>
        <v>201.44999999999996</v>
      </c>
      <c r="D25" s="1520">
        <f t="shared" si="61"/>
        <v>209.50800000000001</v>
      </c>
      <c r="E25" s="1520">
        <f t="shared" si="61"/>
        <v>241.73999999999998</v>
      </c>
      <c r="F25" s="1520">
        <f t="shared" si="61"/>
        <v>255.27743999999996</v>
      </c>
      <c r="G25" s="1520">
        <f t="shared" si="61"/>
        <v>292.40870399999994</v>
      </c>
      <c r="H25" s="1520">
        <f t="shared" si="61"/>
        <v>267.34510079999995</v>
      </c>
      <c r="I25" s="1520">
        <f t="shared" si="61"/>
        <v>421.06853375999998</v>
      </c>
      <c r="J25" s="1520">
        <f t="shared" si="61"/>
        <v>433.7005897727999</v>
      </c>
      <c r="K25" s="1520">
        <f t="shared" si="61"/>
        <v>477.07064875008001</v>
      </c>
      <c r="L25" s="2158">
        <f>+L21*L24</f>
        <v>524.77771362508804</v>
      </c>
      <c r="M25" s="2158">
        <f t="shared" si="61"/>
        <v>603.49437066885127</v>
      </c>
      <c r="N25" s="2158">
        <f t="shared" si="61"/>
        <v>663.84380773573639</v>
      </c>
      <c r="O25" s="2158">
        <f t="shared" si="61"/>
        <v>710.31287427723805</v>
      </c>
      <c r="P25" s="2158">
        <f t="shared" ref="P25:U25" si="62">+P21*P24</f>
        <v>719.02639372762428</v>
      </c>
      <c r="Q25" s="3248">
        <f t="shared" si="62"/>
        <v>747.78744947672931</v>
      </c>
      <c r="R25" s="3248">
        <f t="shared" si="62"/>
        <v>793.02859017007154</v>
      </c>
      <c r="S25" s="3248">
        <f t="shared" si="62"/>
        <v>841.00681987536086</v>
      </c>
      <c r="T25" s="3248">
        <f t="shared" si="62"/>
        <v>891.88773247782024</v>
      </c>
      <c r="U25" s="3248">
        <f t="shared" si="62"/>
        <v>944.94613368292585</v>
      </c>
      <c r="V25" s="3248">
        <f t="shared" ref="V25:W25" si="63">+V21*V24</f>
        <v>999.25218798568335</v>
      </c>
      <c r="W25" s="3248">
        <f t="shared" si="63"/>
        <v>1054.6607218094896</v>
      </c>
      <c r="X25" s="3248">
        <f>+X21*X24</f>
        <v>1111.0112441757706</v>
      </c>
      <c r="Y25" s="3248">
        <f t="shared" ref="Y25:AC25" si="64">+Y21*Y24</f>
        <v>1167.0062108822294</v>
      </c>
      <c r="Z25" s="3248">
        <f t="shared" si="64"/>
        <v>1222.2872950917206</v>
      </c>
      <c r="AA25" s="3248">
        <f t="shared" si="64"/>
        <v>1276.4835137560874</v>
      </c>
      <c r="AB25" s="3248">
        <f t="shared" si="64"/>
        <v>1327.9257993604579</v>
      </c>
      <c r="AC25" s="3248">
        <f t="shared" si="64"/>
        <v>1378.7587989599763</v>
      </c>
      <c r="AD25" s="2807"/>
    </row>
    <row r="26" spans="1:30">
      <c r="A26" s="186" t="s">
        <v>534</v>
      </c>
      <c r="B26" s="327"/>
      <c r="C26" s="327"/>
      <c r="D26" s="327"/>
      <c r="E26" s="327"/>
      <c r="F26" s="327"/>
      <c r="G26" s="327"/>
      <c r="H26" s="327"/>
      <c r="I26" s="1364"/>
      <c r="J26" s="1364">
        <f>+J25/I25-1</f>
        <v>2.9999999999999805E-2</v>
      </c>
      <c r="K26" s="1364">
        <f>+K25/J25-1</f>
        <v>0.10000000000000031</v>
      </c>
      <c r="L26" s="1364">
        <f>+L25/K25-1</f>
        <v>0.10000000000000009</v>
      </c>
      <c r="M26" s="1364">
        <f>+M25/L25-1</f>
        <v>0.15000000000000013</v>
      </c>
      <c r="N26" s="1364">
        <f t="shared" ref="N26:S26" si="65">+N25/M25-1</f>
        <v>0.10000000000000009</v>
      </c>
      <c r="O26" s="1364">
        <f t="shared" si="65"/>
        <v>7.0000000000000062E-2</v>
      </c>
      <c r="P26" s="1364">
        <f t="shared" si="65"/>
        <v>1.2267156862745043E-2</v>
      </c>
      <c r="Q26" s="2827">
        <f t="shared" si="65"/>
        <v>4.0000000000000036E-2</v>
      </c>
      <c r="R26" s="2827">
        <f t="shared" si="65"/>
        <v>6.050000000000022E-2</v>
      </c>
      <c r="S26" s="2833">
        <f t="shared" si="65"/>
        <v>6.0499999999999998E-2</v>
      </c>
      <c r="T26" s="2827">
        <f>+T25/S25-1</f>
        <v>6.0499999999999998E-2</v>
      </c>
      <c r="U26" s="2833">
        <f>+U25/T25-1</f>
        <v>5.9490000000000043E-2</v>
      </c>
      <c r="V26" s="2833">
        <f t="shared" ref="V26:W26" si="66">+V25/U25-1</f>
        <v>5.7469999999999688E-2</v>
      </c>
      <c r="W26" s="2833">
        <f t="shared" si="66"/>
        <v>5.5449999999999999E-2</v>
      </c>
      <c r="X26" s="2833">
        <f>+X25/W25-1</f>
        <v>5.3429999999999866E-2</v>
      </c>
      <c r="Y26" s="2833">
        <f t="shared" ref="Y26" si="67">+Y25/X25-1</f>
        <v>5.04E-2</v>
      </c>
      <c r="Z26" s="2833">
        <f t="shared" ref="Z26" si="68">+Z25/Y25-1</f>
        <v>4.7369999999999912E-2</v>
      </c>
      <c r="AA26" s="2833">
        <f t="shared" ref="AA26" si="69">+AA25/Z25-1</f>
        <v>4.4340000000000046E-2</v>
      </c>
      <c r="AB26" s="2833">
        <f t="shared" ref="AB26" si="70">+AB25/AA25-1</f>
        <v>4.0300000000000002E-2</v>
      </c>
      <c r="AC26" s="2833">
        <f t="shared" ref="AC26" si="71">+AC25/AB25-1</f>
        <v>3.8280000000000092E-2</v>
      </c>
      <c r="AD26" s="2807"/>
    </row>
    <row r="27" spans="1:30">
      <c r="B27" s="6"/>
      <c r="C27" s="6"/>
      <c r="D27" s="6"/>
      <c r="E27" s="211"/>
      <c r="F27" s="6"/>
      <c r="G27" s="6"/>
      <c r="H27" s="6"/>
      <c r="I27" s="83"/>
      <c r="J27" s="6"/>
      <c r="K27" s="6"/>
      <c r="L27" s="1108"/>
      <c r="M27" s="1859"/>
      <c r="N27" s="1859"/>
      <c r="O27" s="1859"/>
      <c r="P27" s="1859"/>
      <c r="Q27" s="3560"/>
      <c r="R27" s="3560"/>
      <c r="S27" s="3560"/>
      <c r="T27" s="3560"/>
      <c r="U27" s="3561"/>
      <c r="V27" s="3561"/>
      <c r="W27" s="3561"/>
      <c r="X27" s="3561"/>
      <c r="Y27" s="3561"/>
      <c r="Z27" s="3561"/>
      <c r="AA27" s="3561"/>
      <c r="AB27" s="3561"/>
      <c r="AC27" s="3561"/>
      <c r="AD27" s="2807"/>
    </row>
    <row r="28" spans="1:30">
      <c r="A28" s="862" t="s">
        <v>571</v>
      </c>
      <c r="B28" s="625">
        <f>'Off-network Syndication'!L94/1000</f>
        <v>511.43333333333334</v>
      </c>
      <c r="C28" s="625">
        <f>'Off-network Syndication'!M94/1000</f>
        <v>441.83333333333331</v>
      </c>
      <c r="D28" s="625">
        <f>'Off-network Syndication'!N94/1000</f>
        <v>472.08333333333337</v>
      </c>
      <c r="E28" s="234">
        <f>'Off-network Syndication'!O94/1000</f>
        <v>569.98333333333323</v>
      </c>
      <c r="F28" s="625">
        <f>'Off-network Syndication'!P94/1000</f>
        <v>252.08333333333334</v>
      </c>
      <c r="G28" s="625">
        <f>'Off-network Syndication'!Q94/1000</f>
        <v>597.72333333333336</v>
      </c>
      <c r="H28" s="625">
        <f>'Off-network Syndication'!R94/1000</f>
        <v>305.8</v>
      </c>
      <c r="I28" s="625">
        <f>'Off-network Syndication'!S94/1000</f>
        <v>292.98333333333329</v>
      </c>
      <c r="J28" s="625">
        <f>'Off-network Syndication'!T94/1000</f>
        <v>486.15</v>
      </c>
      <c r="K28" s="625">
        <f>'Off-network Syndication'!U94/1000</f>
        <v>260.22000000000003</v>
      </c>
      <c r="L28" s="2059">
        <f>'Off-network Syndication'!V94/1000</f>
        <v>249.44</v>
      </c>
      <c r="M28" s="2059">
        <f>'Off-network Syndication'!W94/1000</f>
        <v>234.49</v>
      </c>
      <c r="N28" s="2059">
        <f>'Off-network Syndication'!X94/1000</f>
        <v>316.14</v>
      </c>
      <c r="O28" s="2059">
        <f>'Off-network Syndication'!Y94/1000</f>
        <v>416.24</v>
      </c>
      <c r="P28" s="2059">
        <f>'Off-network Syndication'!Z94/1000</f>
        <v>326.44</v>
      </c>
      <c r="Q28" s="3242">
        <f>'Off-network Syndication'!AA94/1000</f>
        <v>235.24</v>
      </c>
      <c r="R28" s="3242">
        <f>'Off-network Syndication'!AB94/1000</f>
        <v>349.04</v>
      </c>
      <c r="S28" s="3243">
        <f>'Off-network Syndication'!AC94/1000</f>
        <v>367.44</v>
      </c>
      <c r="T28" s="3243">
        <f>'Off-network Syndication'!AD94/1000</f>
        <v>391.94</v>
      </c>
      <c r="U28" s="3243">
        <f>'Off-network Syndication'!AE94/1000</f>
        <v>417.94</v>
      </c>
      <c r="V28" s="3561"/>
      <c r="W28" s="3561"/>
      <c r="X28" s="3561"/>
      <c r="Y28" s="3561"/>
      <c r="Z28" s="3561"/>
      <c r="AA28" s="3561"/>
      <c r="AB28" s="3561"/>
      <c r="AC28" s="3561"/>
      <c r="AD28" s="2807"/>
    </row>
    <row r="29" spans="1:30">
      <c r="A29" s="6" t="s">
        <v>1375</v>
      </c>
      <c r="B29" s="234">
        <f>('First-run Syndication'!I35/1000)</f>
        <v>229.63688145247423</v>
      </c>
      <c r="C29" s="234">
        <f>(0.67*'First-run Syndication'!I35/1000)+(0.33*'First-run Syndication'!J35/1000)</f>
        <v>235.3386917052332</v>
      </c>
      <c r="D29" s="234">
        <f>(0.67*'First-run Syndication'!J35/1000)+(0.33*'First-run Syndication'!K35/1000)</f>
        <v>257.83971320754722</v>
      </c>
      <c r="E29" s="234">
        <f>(0.67*'First-run Syndication'!K35/1000)+(0.33*'First-run Syndication'!L35/1000)</f>
        <v>288.16479600000002</v>
      </c>
      <c r="F29" s="234">
        <f>(0.67*'First-run Syndication'!L35/1000)+(0.33*'First-run Syndication'!M35/1000)</f>
        <v>310.73428376000004</v>
      </c>
      <c r="G29" s="234">
        <f>(0.67*'First-run Syndication'!M35/1000)+(0.33*'First-run Syndication'!N35/1000)</f>
        <v>329.37834078560002</v>
      </c>
      <c r="H29" s="234">
        <f>(0.67*'First-run Syndication'!N35/1000)+(0.33*'First-run Syndication'!O35/1000)</f>
        <v>357.056923835936</v>
      </c>
      <c r="I29" s="234">
        <f>(0.67*'First-run Syndication'!O35/1000)+(0.33*'First-run Syndication'!P35/1000)</f>
        <v>393.88955804198019</v>
      </c>
      <c r="J29" s="2059">
        <f>(0.67*'First-run Syndication'!P35/1000)+(0.33*'First-run Syndication'!Q35/1000)</f>
        <v>430.58519803549791</v>
      </c>
      <c r="K29" s="2059">
        <f>(0.67*'First-run Syndication'!Q35/1000)+(0.33*'First-run Syndication'!R35/1000)</f>
        <v>479.05297158972223</v>
      </c>
      <c r="L29" s="2059">
        <f>(0.67*'First-run Syndication'!R35/1000)+(0.33*'First-run Syndication'!S35/1000)</f>
        <v>491.13943127256528</v>
      </c>
      <c r="M29" s="2059">
        <f>(0.67*'First-run Syndication'!S35/1000)+(0.33*'First-run Syndication'!T35/1000)</f>
        <v>494.90393898386492</v>
      </c>
      <c r="N29" s="2059">
        <f>(0.67*'First-run Syndication'!T35/1000)+(0.33*'First-run Syndication'!U35/1000)</f>
        <v>481.50708859829376</v>
      </c>
      <c r="O29" s="2059">
        <f>(0.67*'First-run Syndication'!U35/1000)+(0.33*'First-run Syndication'!V35/1000)</f>
        <v>496.51447778021748</v>
      </c>
      <c r="P29" s="2059">
        <f>(0.67*'First-run Syndication'!V35/1000)+(0.33*'First-run Syndication'!W35/1000)</f>
        <v>508.66245813334149</v>
      </c>
      <c r="Q29" s="3242">
        <f>(0.67*'First-run Syndication'!W35/1000)+(0.33*'First-run Syndication'!X35/1000)</f>
        <v>518.49552095901709</v>
      </c>
      <c r="R29" s="3242">
        <f>(0.67*'First-run Syndication'!X35/1000)+(0.33*'First-run Syndication'!Y35/1000)</f>
        <v>527.48213064522247</v>
      </c>
      <c r="S29" s="3243">
        <f>(0.67*'First-run Syndication'!Y35/1000)+(0.33*'First-run Syndication'!Z35/1000)</f>
        <v>535.56999408943216</v>
      </c>
      <c r="T29" s="3243">
        <f>(0.67*'First-run Syndication'!Z35/1000)+(0.33*'First-run Syndication'!AA35/1000)</f>
        <v>542.71119745152464</v>
      </c>
      <c r="U29" s="3243">
        <f>(0.67*'First-run Syndication'!AA35/1000)+(0.33*'First-run Syndication'!AB35/1000)</f>
        <v>548.86267394712172</v>
      </c>
      <c r="V29" s="3561"/>
      <c r="W29" s="3561"/>
      <c r="X29" s="3561"/>
      <c r="Y29" s="3561"/>
      <c r="Z29" s="3561"/>
      <c r="AA29" s="3561"/>
      <c r="AB29" s="3561"/>
      <c r="AC29" s="3561"/>
      <c r="AD29" s="2807"/>
    </row>
    <row r="30" spans="1:30">
      <c r="A30" s="11" t="s">
        <v>1376</v>
      </c>
      <c r="B30" s="430">
        <v>50</v>
      </c>
      <c r="C30" s="430">
        <v>150</v>
      </c>
      <c r="D30" s="430">
        <v>50</v>
      </c>
      <c r="E30" s="430">
        <v>125</v>
      </c>
      <c r="F30" s="430">
        <v>259.7</v>
      </c>
      <c r="G30" s="430">
        <v>83.4</v>
      </c>
      <c r="H30" s="430">
        <v>201.9</v>
      </c>
      <c r="I30" s="430">
        <v>234</v>
      </c>
      <c r="J30" s="2155">
        <f>I30*0.89</f>
        <v>208.26</v>
      </c>
      <c r="K30" s="2155">
        <f>+J30*0.95</f>
        <v>197.84699999999998</v>
      </c>
      <c r="L30" s="2155">
        <f>+K30*1.1</f>
        <v>217.6317</v>
      </c>
      <c r="M30" s="2155">
        <f>L30*0.985</f>
        <v>214.36722449999999</v>
      </c>
      <c r="N30" s="2155">
        <f>M30*0.975</f>
        <v>209.00804388749998</v>
      </c>
      <c r="O30" s="2155">
        <f>N30*0.9</f>
        <v>188.10723949874998</v>
      </c>
      <c r="P30" s="2155">
        <f>+O30*0.95</f>
        <v>178.70187752381247</v>
      </c>
      <c r="Q30" s="3244">
        <f>+P30*0.95</f>
        <v>169.76678364762185</v>
      </c>
      <c r="R30" s="3244">
        <f>+Q30*1</f>
        <v>169.76678364762185</v>
      </c>
      <c r="S30" s="3245">
        <f>+R30*1.01</f>
        <v>171.46445148409808</v>
      </c>
      <c r="T30" s="3245">
        <f>+S30*1.01</f>
        <v>173.17909599893906</v>
      </c>
      <c r="U30" s="3245">
        <f>+T30*1.01</f>
        <v>174.91088695892844</v>
      </c>
      <c r="V30" s="3561"/>
      <c r="W30" s="3561"/>
      <c r="X30" s="3561"/>
      <c r="Y30" s="3561"/>
      <c r="Z30" s="3561"/>
      <c r="AA30" s="3561"/>
      <c r="AB30" s="3561"/>
      <c r="AC30" s="3561"/>
      <c r="AD30" s="2807"/>
    </row>
    <row r="31" spans="1:30">
      <c r="A31" s="6" t="s">
        <v>354</v>
      </c>
      <c r="B31" s="430">
        <v>0</v>
      </c>
      <c r="C31" s="430">
        <v>0</v>
      </c>
      <c r="D31" s="430">
        <v>0</v>
      </c>
      <c r="E31" s="430">
        <v>0</v>
      </c>
      <c r="F31" s="430">
        <v>0</v>
      </c>
      <c r="G31" s="430">
        <v>0</v>
      </c>
      <c r="H31" s="430">
        <v>0</v>
      </c>
      <c r="I31" s="430">
        <v>0</v>
      </c>
      <c r="J31" s="2155">
        <v>0</v>
      </c>
      <c r="K31" s="2155">
        <v>0</v>
      </c>
      <c r="L31" s="2155">
        <f>(190+10)</f>
        <v>200</v>
      </c>
      <c r="M31" s="2059">
        <f>Scenarios!G124</f>
        <v>274</v>
      </c>
      <c r="N31" s="2059">
        <f>'Off-network Syndication'!X85/1000</f>
        <v>639.20000000000005</v>
      </c>
      <c r="O31" s="2059">
        <f>'Off-network Syndication'!Y85/1000</f>
        <v>488</v>
      </c>
      <c r="P31" s="2059">
        <f>'Off-network Syndication'!Z85/1000</f>
        <v>592.79999999999995</v>
      </c>
      <c r="Q31" s="3242">
        <f>'Off-network Syndication'!AA85/1000</f>
        <v>581.1</v>
      </c>
      <c r="R31" s="3242">
        <f>'Off-network Syndication'!AB85/1000</f>
        <v>515.42499999999995</v>
      </c>
      <c r="S31" s="3243">
        <f>'Off-network Syndication'!AC85/1000</f>
        <v>531.98749999999995</v>
      </c>
      <c r="T31" s="3243">
        <f>'Off-network Syndication'!AD85/1000</f>
        <v>533.70624999999995</v>
      </c>
      <c r="U31" s="3243">
        <f>'Off-network Syndication'!AE85/1000</f>
        <v>535.59687499999995</v>
      </c>
      <c r="V31" s="3561"/>
      <c r="W31" s="3561"/>
      <c r="X31" s="3561"/>
      <c r="Y31" s="3561"/>
      <c r="Z31" s="3561"/>
      <c r="AA31" s="3561"/>
      <c r="AB31" s="3561"/>
      <c r="AC31" s="3561"/>
      <c r="AD31" s="2807"/>
    </row>
    <row r="32" spans="1:30">
      <c r="A32" s="11" t="s">
        <v>1377</v>
      </c>
      <c r="B32" s="1521">
        <f>B33-SUM(B28:B31)</f>
        <v>1031.9432109538709</v>
      </c>
      <c r="C32" s="1521">
        <f>C33-SUM(C28:C31)</f>
        <v>825.39420342860922</v>
      </c>
      <c r="D32" s="1521">
        <f t="shared" ref="D32:I32" si="72">D33-SUM(D28:D31)</f>
        <v>973.16532693403394</v>
      </c>
      <c r="E32" s="1521">
        <f t="shared" si="72"/>
        <v>928.31331930420981</v>
      </c>
      <c r="F32" s="1521">
        <f t="shared" si="72"/>
        <v>844.42330056506739</v>
      </c>
      <c r="G32" s="1521">
        <f t="shared" si="72"/>
        <v>778.1275135160613</v>
      </c>
      <c r="H32" s="1521">
        <f t="shared" si="72"/>
        <v>655.7363768457343</v>
      </c>
      <c r="I32" s="1521">
        <f t="shared" si="72"/>
        <v>1208.5419692357409</v>
      </c>
      <c r="J32" s="2359">
        <f t="shared" ref="J32:P32" si="73">J42-SUM(J28:J31)-J25-J16</f>
        <v>1009.4020579698436</v>
      </c>
      <c r="K32" s="2359">
        <f t="shared" si="73"/>
        <v>996.18854891081708</v>
      </c>
      <c r="L32" s="2359">
        <f t="shared" si="73"/>
        <v>775.36657911613111</v>
      </c>
      <c r="M32" s="2359">
        <f t="shared" si="73"/>
        <v>1045.6427525598172</v>
      </c>
      <c r="N32" s="2359">
        <f t="shared" si="73"/>
        <v>921.59682732539875</v>
      </c>
      <c r="O32" s="2359">
        <f t="shared" si="73"/>
        <v>900.09641558836915</v>
      </c>
      <c r="P32" s="2359">
        <f t="shared" si="73"/>
        <v>710.2971123459298</v>
      </c>
      <c r="Q32" s="3246">
        <f>Q42-SUM(Q28:Q31)-Q25-Q16</f>
        <v>562.81249206163386</v>
      </c>
      <c r="R32" s="3246">
        <f>R42-SUM(R28:R31)-R25-R16</f>
        <v>573.33115786051314</v>
      </c>
      <c r="S32" s="3247">
        <f>(1+Scenarios!M130)*'TV Production and Syndication'!R32</f>
        <v>601.99771575353884</v>
      </c>
      <c r="T32" s="3247">
        <f>(1+Scenarios!N130)*S32</f>
        <v>632.09760154121579</v>
      </c>
      <c r="U32" s="3247">
        <f>(1+Scenarios!O130)*T32</f>
        <v>663.70248161827658</v>
      </c>
      <c r="V32" s="3562"/>
      <c r="W32" s="3562"/>
      <c r="X32" s="3562"/>
      <c r="Y32" s="3562"/>
      <c r="Z32" s="3562"/>
      <c r="AA32" s="3562"/>
      <c r="AB32" s="3562"/>
      <c r="AC32" s="3562"/>
      <c r="AD32" s="2807"/>
    </row>
    <row r="33" spans="1:32">
      <c r="A33" s="1392" t="s">
        <v>1378</v>
      </c>
      <c r="B33" s="1518">
        <f t="shared" ref="B33:I33" si="74">B42-B25-B16</f>
        <v>1823.0134257396785</v>
      </c>
      <c r="C33" s="1518">
        <f t="shared" si="74"/>
        <v>1652.5662284671757</v>
      </c>
      <c r="D33" s="1518">
        <f t="shared" si="74"/>
        <v>1753.0883734749145</v>
      </c>
      <c r="E33" s="1518">
        <f t="shared" si="74"/>
        <v>1911.4614486375431</v>
      </c>
      <c r="F33" s="1518">
        <f t="shared" si="74"/>
        <v>1666.9409176584008</v>
      </c>
      <c r="G33" s="1518">
        <f t="shared" si="74"/>
        <v>1788.6291876349947</v>
      </c>
      <c r="H33" s="1522">
        <f t="shared" si="74"/>
        <v>1520.4933006816702</v>
      </c>
      <c r="I33" s="1522">
        <f t="shared" si="74"/>
        <v>2129.4148606110543</v>
      </c>
      <c r="J33" s="2158">
        <f>SUM(J28:J32)</f>
        <v>2134.3972560053417</v>
      </c>
      <c r="K33" s="2158">
        <f>SUM(K28:K32)</f>
        <v>1933.3085205005393</v>
      </c>
      <c r="L33" s="2158">
        <f t="shared" ref="L33:S33" si="75">SUM(L28:L32)</f>
        <v>1933.5777103886962</v>
      </c>
      <c r="M33" s="2158">
        <f>SUM(M28:M32)</f>
        <v>2263.4039160436823</v>
      </c>
      <c r="N33" s="2158">
        <f>SUM(N28:N32)</f>
        <v>2567.4519598111924</v>
      </c>
      <c r="O33" s="2158">
        <f t="shared" si="75"/>
        <v>2488.9581328673366</v>
      </c>
      <c r="P33" s="2158">
        <f>SUM(P28:P32)</f>
        <v>2316.9014480030837</v>
      </c>
      <c r="Q33" s="3248">
        <f>SUM(Q28:Q32)</f>
        <v>2067.4147966682726</v>
      </c>
      <c r="R33" s="3248">
        <f>SUM(R28:R32)</f>
        <v>2135.0450721533575</v>
      </c>
      <c r="S33" s="3249">
        <f t="shared" si="75"/>
        <v>2208.4596613270692</v>
      </c>
      <c r="T33" s="3249">
        <f>SUM(T28:T32)</f>
        <v>2273.6341449916795</v>
      </c>
      <c r="U33" s="3249">
        <f>SUM(U28:U32)</f>
        <v>2341.0129175243264</v>
      </c>
      <c r="V33" s="3249">
        <f>U33*(1+V34)</f>
        <v>2415.9253308851048</v>
      </c>
      <c r="W33" s="3249">
        <f>V33*(1+W34)</f>
        <v>2488.4030908116579</v>
      </c>
      <c r="X33" s="3249">
        <f t="shared" ref="X33:AC33" si="76">W33*(1+X34)</f>
        <v>2558.0783773543844</v>
      </c>
      <c r="Y33" s="3249">
        <f t="shared" si="76"/>
        <v>2624.5884151655987</v>
      </c>
      <c r="Z33" s="3249">
        <f t="shared" si="76"/>
        <v>2687.5785371295733</v>
      </c>
      <c r="AA33" s="3249">
        <f t="shared" si="76"/>
        <v>2746.705264946424</v>
      </c>
      <c r="AB33" s="3249">
        <f t="shared" si="76"/>
        <v>2801.6393702453524</v>
      </c>
      <c r="AC33" s="3249">
        <f t="shared" si="76"/>
        <v>2852.068878909769</v>
      </c>
    </row>
    <row r="34" spans="1:32">
      <c r="A34" s="186" t="s">
        <v>534</v>
      </c>
      <c r="B34" s="1515"/>
      <c r="C34" s="1515" t="s">
        <v>337</v>
      </c>
      <c r="D34" s="1515"/>
      <c r="E34" s="1515"/>
      <c r="F34" s="1515"/>
      <c r="G34" s="1515"/>
      <c r="H34" s="1104"/>
      <c r="I34" s="1515"/>
      <c r="J34" s="2360"/>
      <c r="K34" s="1364"/>
      <c r="L34" s="1364"/>
      <c r="M34" s="1364">
        <f>+M33/L33-1</f>
        <v>0.17057820013279068</v>
      </c>
      <c r="N34" s="1364">
        <f t="shared" ref="N34:S34" si="77">+N33/M33-1</f>
        <v>0.13433220717359684</v>
      </c>
      <c r="O34" s="1364">
        <f t="shared" si="77"/>
        <v>-3.0572656537506626E-2</v>
      </c>
      <c r="P34" s="1364">
        <f t="shared" si="77"/>
        <v>-6.9127994799189185E-2</v>
      </c>
      <c r="Q34" s="2827">
        <f t="shared" si="77"/>
        <v>-0.10768116682297446</v>
      </c>
      <c r="R34" s="2827">
        <f t="shared" si="77"/>
        <v>3.2712484980795375E-2</v>
      </c>
      <c r="S34" s="2827">
        <f t="shared" si="77"/>
        <v>3.4385498522364832E-2</v>
      </c>
      <c r="T34" s="2827">
        <f>+T33/S33-1</f>
        <v>2.9511285538014631E-2</v>
      </c>
      <c r="U34" s="2827">
        <f>+U33/T33-1</f>
        <v>2.9634834910035046E-2</v>
      </c>
      <c r="V34" s="3361">
        <v>3.2000000000000001E-2</v>
      </c>
      <c r="W34" s="3361">
        <v>0.03</v>
      </c>
      <c r="X34" s="3361">
        <v>2.8000000000000001E-2</v>
      </c>
      <c r="Y34" s="3361">
        <v>2.5999999999999999E-2</v>
      </c>
      <c r="Z34" s="3361">
        <v>2.4E-2</v>
      </c>
      <c r="AA34" s="3361">
        <v>2.1999999999999999E-2</v>
      </c>
      <c r="AB34" s="3361">
        <v>0.02</v>
      </c>
      <c r="AC34" s="3361">
        <v>1.7999999999999999E-2</v>
      </c>
    </row>
    <row r="35" spans="1:32">
      <c r="A35" s="1291" t="s">
        <v>573</v>
      </c>
      <c r="B35" s="211"/>
      <c r="C35" s="211"/>
      <c r="D35" s="211"/>
      <c r="E35" s="211"/>
      <c r="F35" s="211"/>
      <c r="G35" s="211"/>
      <c r="H35" s="39"/>
      <c r="I35" s="211"/>
      <c r="J35" s="211"/>
      <c r="K35" s="39"/>
      <c r="L35" s="1110"/>
      <c r="M35" s="1110"/>
      <c r="N35" s="1110"/>
      <c r="O35" s="1110"/>
      <c r="P35" s="1110"/>
      <c r="Q35" s="2802"/>
      <c r="R35" s="2802"/>
      <c r="S35" s="2802"/>
      <c r="T35" s="2807"/>
      <c r="U35" s="2807"/>
      <c r="V35" s="1577"/>
      <c r="W35" s="1577"/>
      <c r="X35" s="1577"/>
      <c r="Y35" s="1577"/>
      <c r="Z35" s="1577"/>
      <c r="AA35" s="1048"/>
      <c r="AB35" s="1048"/>
      <c r="AC35" s="1048"/>
    </row>
    <row r="36" spans="1:32">
      <c r="A36" s="11" t="str">
        <f>+A28</f>
        <v>Off-network Syndication Revenue (Traditional)</v>
      </c>
      <c r="B36" s="211"/>
      <c r="C36" s="211"/>
      <c r="D36" s="211"/>
      <c r="E36" s="211"/>
      <c r="F36" s="211"/>
      <c r="G36" s="211"/>
      <c r="H36" s="39"/>
      <c r="I36" s="211"/>
      <c r="J36" s="211"/>
      <c r="K36" s="39"/>
      <c r="L36" s="1110"/>
      <c r="M36" s="1110">
        <f t="shared" ref="M36:S40" si="78">+M28/L28-1</f>
        <v>-5.9934252726106418E-2</v>
      </c>
      <c r="N36" s="1110">
        <f t="shared" si="78"/>
        <v>0.34820248198217407</v>
      </c>
      <c r="O36" s="1110">
        <f t="shared" si="78"/>
        <v>0.31663187195546283</v>
      </c>
      <c r="P36" s="1110">
        <f t="shared" si="78"/>
        <v>-0.21574091870074963</v>
      </c>
      <c r="Q36" s="2802">
        <f t="shared" si="78"/>
        <v>-0.27937752726381571</v>
      </c>
      <c r="R36" s="2802">
        <f t="shared" si="78"/>
        <v>0.48376126509097106</v>
      </c>
      <c r="S36" s="2802">
        <f t="shared" si="78"/>
        <v>5.2716021086408382E-2</v>
      </c>
      <c r="T36" s="2802">
        <f t="shared" ref="T36:U40" si="79">+T28/S28-1</f>
        <v>6.6677552797735684E-2</v>
      </c>
      <c r="U36" s="2802">
        <f t="shared" si="79"/>
        <v>6.6336684186355077E-2</v>
      </c>
      <c r="V36" s="1577"/>
      <c r="W36" s="1577"/>
      <c r="X36" s="1577"/>
      <c r="Y36" s="1577"/>
      <c r="Z36" s="1577"/>
      <c r="AA36" s="1048"/>
      <c r="AB36" s="1048"/>
    </row>
    <row r="37" spans="1:32">
      <c r="A37" s="11" t="str">
        <f>+A29</f>
        <v>First Run &amp; Reality Syndication Revenue</v>
      </c>
      <c r="B37" s="211"/>
      <c r="C37" s="211"/>
      <c r="D37" s="211"/>
      <c r="E37" s="211"/>
      <c r="F37" s="211"/>
      <c r="G37" s="211"/>
      <c r="H37" s="39"/>
      <c r="I37" s="211"/>
      <c r="J37" s="211"/>
      <c r="K37" s="39"/>
      <c r="L37" s="1110"/>
      <c r="M37" s="1110">
        <f t="shared" si="78"/>
        <v>7.6648451979219878E-3</v>
      </c>
      <c r="N37" s="1110">
        <f t="shared" si="78"/>
        <v>-2.7069597411322976E-2</v>
      </c>
      <c r="O37" s="1110">
        <f t="shared" si="78"/>
        <v>3.116753530173666E-2</v>
      </c>
      <c r="P37" s="1110">
        <f t="shared" si="78"/>
        <v>2.4466517889738748E-2</v>
      </c>
      <c r="Q37" s="1110">
        <f t="shared" si="78"/>
        <v>1.9331213987681339E-2</v>
      </c>
      <c r="R37" s="1110">
        <f t="shared" si="78"/>
        <v>1.7332087400839358E-2</v>
      </c>
      <c r="S37" s="1110">
        <f t="shared" si="78"/>
        <v>1.533296196084688E-2</v>
      </c>
      <c r="T37" s="1110">
        <f t="shared" si="79"/>
        <v>1.3333837669964765E-2</v>
      </c>
      <c r="U37" s="1110">
        <f t="shared" si="79"/>
        <v>1.1334714530459866E-2</v>
      </c>
      <c r="V37" s="1577"/>
      <c r="W37" s="1577"/>
      <c r="X37" s="1577"/>
      <c r="Y37" s="1577"/>
      <c r="Z37" s="1577"/>
      <c r="AA37" s="1048"/>
      <c r="AB37" s="1048"/>
    </row>
    <row r="38" spans="1:32">
      <c r="A38" s="11" t="str">
        <f>+A30</f>
        <v>Television DVD/VHS Revenue</v>
      </c>
      <c r="B38" s="211"/>
      <c r="C38" s="211"/>
      <c r="D38" s="211"/>
      <c r="E38" s="211"/>
      <c r="F38" s="211"/>
      <c r="G38" s="211"/>
      <c r="H38" s="39"/>
      <c r="I38" s="211"/>
      <c r="J38" s="211"/>
      <c r="K38" s="39"/>
      <c r="L38" s="1110"/>
      <c r="M38" s="1110">
        <f t="shared" si="78"/>
        <v>-1.5000000000000013E-2</v>
      </c>
      <c r="N38" s="1110">
        <f t="shared" si="78"/>
        <v>-2.5000000000000022E-2</v>
      </c>
      <c r="O38" s="1110">
        <f t="shared" si="78"/>
        <v>-9.9999999999999978E-2</v>
      </c>
      <c r="P38" s="1110">
        <f t="shared" si="78"/>
        <v>-5.0000000000000044E-2</v>
      </c>
      <c r="Q38" s="1110">
        <f t="shared" si="78"/>
        <v>-4.9999999999999933E-2</v>
      </c>
      <c r="R38" s="1110">
        <f t="shared" si="78"/>
        <v>0</v>
      </c>
      <c r="S38" s="1110">
        <f t="shared" si="78"/>
        <v>1.0000000000000009E-2</v>
      </c>
      <c r="T38" s="1110">
        <f t="shared" si="79"/>
        <v>1.0000000000000009E-2</v>
      </c>
      <c r="U38" s="1110">
        <f t="shared" si="79"/>
        <v>1.0000000000000009E-2</v>
      </c>
      <c r="V38" s="1048"/>
      <c r="W38" s="1048"/>
      <c r="X38" s="1048"/>
      <c r="Y38" s="1048"/>
      <c r="Z38" s="1048"/>
      <c r="AA38" s="1048"/>
      <c r="AB38" s="1048"/>
    </row>
    <row r="39" spans="1:32">
      <c r="A39" s="11" t="str">
        <f>+A31</f>
        <v>OVD Revenue</v>
      </c>
      <c r="B39" s="211"/>
      <c r="C39" s="211"/>
      <c r="D39" s="211"/>
      <c r="E39" s="211"/>
      <c r="F39" s="211"/>
      <c r="G39" s="211"/>
      <c r="H39" s="39"/>
      <c r="I39" s="211"/>
      <c r="J39" s="211"/>
      <c r="K39" s="39"/>
      <c r="L39" s="1110"/>
      <c r="M39" s="1110">
        <f t="shared" si="78"/>
        <v>0.37000000000000011</v>
      </c>
      <c r="N39" s="1110">
        <f t="shared" si="78"/>
        <v>1.3328467153284671</v>
      </c>
      <c r="O39" s="1110">
        <f t="shared" si="78"/>
        <v>-0.23654568210262839</v>
      </c>
      <c r="P39" s="1110">
        <f t="shared" si="78"/>
        <v>0.21475409836065573</v>
      </c>
      <c r="Q39" s="1110">
        <f t="shared" si="78"/>
        <v>-1.9736842105263053E-2</v>
      </c>
      <c r="R39" s="1110">
        <f t="shared" si="78"/>
        <v>-0.11301841335398388</v>
      </c>
      <c r="S39" s="1110">
        <f t="shared" si="78"/>
        <v>3.2133676092545027E-2</v>
      </c>
      <c r="T39" s="1110">
        <f t="shared" si="79"/>
        <v>3.2308089945722873E-3</v>
      </c>
      <c r="U39" s="1110">
        <f t="shared" si="79"/>
        <v>3.542444931083244E-3</v>
      </c>
      <c r="V39" s="1048"/>
      <c r="W39" s="1048"/>
      <c r="X39" s="1048"/>
      <c r="Y39" s="1048"/>
      <c r="Z39" s="1048"/>
      <c r="AA39" s="1048"/>
      <c r="AB39" s="1048"/>
    </row>
    <row r="40" spans="1:32">
      <c r="A40" s="11" t="str">
        <f>+A32</f>
        <v>Global Library Syndication &amp; Other Revenue</v>
      </c>
      <c r="B40" s="211"/>
      <c r="C40" s="211"/>
      <c r="D40" s="211"/>
      <c r="E40" s="211"/>
      <c r="F40" s="211"/>
      <c r="G40" s="211"/>
      <c r="H40" s="39"/>
      <c r="I40" s="211"/>
      <c r="J40" s="211"/>
      <c r="K40" s="39"/>
      <c r="L40" s="1110"/>
      <c r="M40" s="1110">
        <f t="shared" si="78"/>
        <v>0.34857857008975524</v>
      </c>
      <c r="N40" s="1110">
        <f t="shared" si="78"/>
        <v>-0.1186312676396829</v>
      </c>
      <c r="O40" s="1110">
        <f t="shared" si="78"/>
        <v>-2.332952013238454E-2</v>
      </c>
      <c r="P40" s="1110">
        <f t="shared" si="78"/>
        <v>-0.21086552502086409</v>
      </c>
      <c r="Q40" s="1110">
        <f t="shared" si="78"/>
        <v>-0.20763792745431831</v>
      </c>
      <c r="R40" s="1110">
        <f t="shared" si="78"/>
        <v>1.8689467535357052E-2</v>
      </c>
      <c r="S40" s="1110">
        <f t="shared" si="78"/>
        <v>5.0000000000000044E-2</v>
      </c>
      <c r="T40" s="1110">
        <f t="shared" si="79"/>
        <v>5.0000000000000044E-2</v>
      </c>
      <c r="U40" s="1110">
        <f t="shared" si="79"/>
        <v>5.0000000000000044E-2</v>
      </c>
      <c r="V40" s="1048"/>
      <c r="W40" s="1048"/>
      <c r="X40" s="1048"/>
      <c r="Y40" s="1048"/>
      <c r="Z40" s="1048"/>
      <c r="AA40" s="1048"/>
      <c r="AB40" s="1048"/>
    </row>
    <row r="41" spans="1:32">
      <c r="A41" s="11"/>
      <c r="B41" s="211"/>
      <c r="C41" s="211"/>
      <c r="D41" s="211"/>
      <c r="E41" s="211"/>
      <c r="F41" s="211"/>
      <c r="G41" s="211"/>
      <c r="H41" s="211"/>
      <c r="I41" s="211"/>
      <c r="J41" s="211"/>
      <c r="K41" s="211"/>
      <c r="L41" s="211"/>
      <c r="M41" s="211"/>
      <c r="N41" s="211"/>
      <c r="O41" s="211"/>
      <c r="P41" s="211"/>
      <c r="Q41" s="211"/>
      <c r="R41" s="211"/>
      <c r="S41" s="211"/>
      <c r="T41" s="211"/>
      <c r="U41" s="211"/>
      <c r="V41" s="211"/>
      <c r="W41" s="211"/>
      <c r="X41" s="211"/>
      <c r="Y41" s="211"/>
      <c r="Z41" s="211"/>
      <c r="AA41" s="1048"/>
      <c r="AB41" s="1048"/>
    </row>
    <row r="42" spans="1:32">
      <c r="A42" s="11" t="s">
        <v>1357</v>
      </c>
      <c r="B42" s="628">
        <f t="shared" ref="B42:M42" si="80">B4</f>
        <v>2892.5593488166014</v>
      </c>
      <c r="C42" s="628">
        <f t="shared" si="80"/>
        <v>2750.5878584671755</v>
      </c>
      <c r="D42" s="628">
        <f t="shared" si="80"/>
        <v>2918.0675294595876</v>
      </c>
      <c r="E42" s="628">
        <f t="shared" si="80"/>
        <v>3052.8860530420125</v>
      </c>
      <c r="F42" s="628">
        <f t="shared" si="80"/>
        <v>2578.9304438670983</v>
      </c>
      <c r="G42" s="628">
        <f t="shared" si="80"/>
        <v>2634.0805741974946</v>
      </c>
      <c r="H42" s="628">
        <f t="shared" si="80"/>
        <v>2421.6510014816699</v>
      </c>
      <c r="I42" s="628">
        <f t="shared" si="80"/>
        <v>3252.8576208710542</v>
      </c>
      <c r="J42" s="628">
        <f t="shared" si="80"/>
        <v>3242.8744895181417</v>
      </c>
      <c r="K42" s="628">
        <f t="shared" si="80"/>
        <v>3101.8268360853194</v>
      </c>
      <c r="L42" s="2015">
        <f>L4</f>
        <v>3179.0015911248192</v>
      </c>
      <c r="M42" s="2015">
        <f t="shared" si="80"/>
        <v>3623.4807572636778</v>
      </c>
      <c r="N42" s="2161">
        <f>N46-SUM(N43:N45)</f>
        <v>3914.1764993143674</v>
      </c>
      <c r="O42" s="2161">
        <f>O46-SUM(O43:O45)</f>
        <v>3872.8001049316963</v>
      </c>
      <c r="P42" s="2161">
        <f>P46-SUM(P43:P45)</f>
        <v>3820.9875405813514</v>
      </c>
      <c r="Q42" s="2161">
        <f>Q46-SUM(Q43:Q45)</f>
        <v>3642.0022461450021</v>
      </c>
      <c r="R42" s="2161">
        <f>R46-SUM(R43:R45)</f>
        <v>3796.2136623234292</v>
      </c>
      <c r="S42" s="1690">
        <f>+S33+S25+S16</f>
        <v>3943.6506812024304</v>
      </c>
      <c r="T42" s="1690">
        <f>+T33+T25+T16</f>
        <v>4082.0606824694996</v>
      </c>
      <c r="U42" s="1690">
        <f>+U33+U25+U16</f>
        <v>4222.6617099172527</v>
      </c>
      <c r="V42" s="1690">
        <f>+V33+V25+V16</f>
        <v>4370.6142307549881</v>
      </c>
      <c r="W42" s="1690">
        <f>+W33+W25+W16</f>
        <v>4516.6538220311468</v>
      </c>
      <c r="X42" s="1690">
        <f t="shared" ref="X42:AB42" si="81">+X33+X25+X16</f>
        <v>4660.2042511095351</v>
      </c>
      <c r="Y42" s="1690">
        <f t="shared" si="81"/>
        <v>4799.5582043300574</v>
      </c>
      <c r="Z42" s="1690">
        <f t="shared" si="81"/>
        <v>4933.9568277560393</v>
      </c>
      <c r="AA42" s="1690">
        <f t="shared" si="81"/>
        <v>5062.6411391702777</v>
      </c>
      <c r="AB42" s="1690">
        <f t="shared" si="81"/>
        <v>5183.5698631201249</v>
      </c>
      <c r="AC42" s="1690">
        <f>+AC33+AC25+AC16</f>
        <v>5298.534432399746</v>
      </c>
    </row>
    <row r="43" spans="1:32">
      <c r="A43" s="11" t="s">
        <v>1379</v>
      </c>
      <c r="B43" s="230">
        <f>-'TV Production'!BC$409/1000</f>
        <v>-640.55399999999997</v>
      </c>
      <c r="C43" s="230">
        <f>-((0.5*'TV Production'!BD$409/1000)+(0.5*'TV Production'!BC$409/1000))</f>
        <v>-680.86950000000002</v>
      </c>
      <c r="D43" s="230">
        <f>-((0.5*'TV Production'!BE$409/1000)+(0.5*'TV Production'!BD$409/1000))</f>
        <v>-734.96473850491611</v>
      </c>
      <c r="E43" s="230">
        <f>-((0.5*'TV Production'!BF$409/1000)+(0.5*'TV Production'!BE$409/1000))</f>
        <v>-676.51754449088446</v>
      </c>
      <c r="F43" s="230">
        <f>-((0.5*'TV Production'!BG$409/1000)+(0.5*'TV Production'!BF$409/1000))</f>
        <v>-532.13451536096841</v>
      </c>
      <c r="G43" s="230">
        <f>-((0.5*'TV Production'!BH$409/1000)+(0.5*'TV Production'!BG$409/1000))</f>
        <v>-441.98920937500003</v>
      </c>
      <c r="H43" s="230">
        <f>-((0.5*'TV Production'!BI$409/1000)+(0.5*'TV Production'!BH$409/1000))</f>
        <v>-476.41750000000002</v>
      </c>
      <c r="I43" s="230">
        <f>-((0.5*'TV Production'!BJ$409/1000)+(0.5*'TV Production'!BI$409/1000))</f>
        <v>-497.23897499999998</v>
      </c>
      <c r="J43" s="230">
        <f>-((0.5*'TV Production'!BK$409/1000)+(0.5*'TV Production'!BJ$409/1000))</f>
        <v>-493.25010300000008</v>
      </c>
      <c r="K43" s="230">
        <f>-((0.5*'TV Production'!BL$409/1000)+(0.5*'TV Production'!BK$409/1000))+150</f>
        <v>-363.22192429500001</v>
      </c>
      <c r="L43" s="2162">
        <f>-((0.5*'TV Production'!BM$409/1000)+(0.5*'TV Production'!BL$409/1000))+150</f>
        <v>-405.17359849975003</v>
      </c>
      <c r="M43" s="2162">
        <f>+L43</f>
        <v>-405.17359849975003</v>
      </c>
      <c r="N43" s="2162">
        <f>+M43</f>
        <v>-405.17359849975003</v>
      </c>
      <c r="O43" s="2162">
        <f t="shared" ref="O43:U43" si="82">+N43*1.03</f>
        <v>-417.32880645474256</v>
      </c>
      <c r="P43" s="2162">
        <f t="shared" si="82"/>
        <v>-429.84867064838483</v>
      </c>
      <c r="Q43" s="2162">
        <f t="shared" si="82"/>
        <v>-442.7441307678364</v>
      </c>
      <c r="R43" s="2162">
        <f t="shared" si="82"/>
        <v>-456.0264546908715</v>
      </c>
      <c r="S43" s="2162">
        <f t="shared" si="82"/>
        <v>-469.70724833159767</v>
      </c>
      <c r="T43" s="2162">
        <f t="shared" si="82"/>
        <v>-483.79846578154559</v>
      </c>
      <c r="U43" s="2162">
        <f t="shared" si="82"/>
        <v>-498.31241975499199</v>
      </c>
      <c r="V43" s="2162">
        <f>+U43*1.03</f>
        <v>-513.26179234764174</v>
      </c>
      <c r="W43" s="2162">
        <f t="shared" ref="W43:AC43" si="83">+V43*1.03</f>
        <v>-528.65964611807101</v>
      </c>
      <c r="X43" s="2162">
        <f t="shared" si="83"/>
        <v>-544.5194355016132</v>
      </c>
      <c r="Y43" s="2162">
        <f t="shared" si="83"/>
        <v>-560.85501856666156</v>
      </c>
      <c r="Z43" s="2162">
        <f t="shared" si="83"/>
        <v>-577.68066912366146</v>
      </c>
      <c r="AA43" s="2162">
        <f t="shared" si="83"/>
        <v>-595.01108919737135</v>
      </c>
      <c r="AB43" s="2162">
        <f t="shared" si="83"/>
        <v>-612.86142187329256</v>
      </c>
      <c r="AC43" s="2162">
        <f t="shared" si="83"/>
        <v>-631.2472645294913</v>
      </c>
    </row>
    <row r="44" spans="1:32">
      <c r="A44" s="11" t="s">
        <v>1380</v>
      </c>
      <c r="B44" s="230">
        <f>-('Off-network Syndication'!L$99/1000)</f>
        <v>-133.61333333333334</v>
      </c>
      <c r="C44" s="230">
        <f>-('Off-network Syndication'!M$99/1000)</f>
        <v>-72.01333333333335</v>
      </c>
      <c r="D44" s="230">
        <f>-('Off-network Syndication'!N$99/1000)</f>
        <v>-97.973333333333343</v>
      </c>
      <c r="E44" s="230">
        <f>-('Off-network Syndication'!O$99/1000)</f>
        <v>-102.81333333333335</v>
      </c>
      <c r="F44" s="230">
        <f>-('Off-network Syndication'!P$99/1000)</f>
        <v>-50.893333333333345</v>
      </c>
      <c r="G44" s="230">
        <f>-('Off-network Syndication'!Q$99/1000)</f>
        <v>-50.893333333333345</v>
      </c>
      <c r="H44" s="230">
        <f>-('Off-network Syndication'!R$99/1000)</f>
        <v>-30.36</v>
      </c>
      <c r="I44" s="230">
        <f>-('Off-network Syndication'!S$99/1000)</f>
        <v>-17.893333333333331</v>
      </c>
      <c r="J44" s="230">
        <f>-('Off-network Syndication'!T$99/1000)</f>
        <v>-8.8000000000000007</v>
      </c>
      <c r="K44" s="230">
        <f>-('Off-network Syndication'!U$99/1000)</f>
        <v>0</v>
      </c>
      <c r="L44" s="2162">
        <f>-('Off-network Syndication'!V$99/1000)</f>
        <v>0</v>
      </c>
      <c r="M44" s="2162">
        <f>-('Off-network Syndication'!W$99/1000)</f>
        <v>0</v>
      </c>
      <c r="N44" s="2162">
        <f>-('Off-network Syndication'!X$99/1000)</f>
        <v>0</v>
      </c>
      <c r="O44" s="2162">
        <f>-('Off-network Syndication'!Y$99/1000)</f>
        <v>0</v>
      </c>
      <c r="P44" s="2162">
        <f>-('Off-network Syndication'!Z$99/1000)</f>
        <v>0</v>
      </c>
      <c r="Q44" s="2162">
        <f>-('Off-network Syndication'!AA$99/1000)</f>
        <v>0</v>
      </c>
      <c r="R44" s="2162">
        <f>-('Off-network Syndication'!AB$99/1000)</f>
        <v>0</v>
      </c>
      <c r="S44" s="2162">
        <f>-('Off-network Syndication'!AC$99/1000)</f>
        <v>0</v>
      </c>
      <c r="T44" s="2162">
        <v>0</v>
      </c>
      <c r="U44" s="2162">
        <v>0</v>
      </c>
      <c r="V44" s="2162">
        <v>0</v>
      </c>
      <c r="W44" s="2162">
        <v>0</v>
      </c>
      <c r="X44" s="2162">
        <v>0</v>
      </c>
      <c r="Y44" s="2162">
        <v>0</v>
      </c>
      <c r="Z44" s="2162">
        <v>0</v>
      </c>
      <c r="AA44" s="2162">
        <v>0</v>
      </c>
      <c r="AB44" s="2162">
        <v>0</v>
      </c>
      <c r="AC44" s="2162">
        <v>0</v>
      </c>
    </row>
    <row r="45" spans="1:32">
      <c r="A45" s="11" t="s">
        <v>1381</v>
      </c>
      <c r="B45" s="632">
        <f t="shared" ref="B45:S45" si="84">B5-B44-B43</f>
        <v>-95.504182983268038</v>
      </c>
      <c r="C45" s="632">
        <f t="shared" si="84"/>
        <v>-84.149895806336872</v>
      </c>
      <c r="D45" s="632">
        <f t="shared" si="84"/>
        <v>-103.45176466304542</v>
      </c>
      <c r="E45" s="632">
        <f t="shared" si="84"/>
        <v>-145.09936535644226</v>
      </c>
      <c r="F45" s="632">
        <f t="shared" si="84"/>
        <v>-150.01641364572924</v>
      </c>
      <c r="G45" s="632">
        <f t="shared" si="84"/>
        <v>-139.12867243338002</v>
      </c>
      <c r="H45" s="632">
        <f t="shared" si="84"/>
        <v>-126.48330085079283</v>
      </c>
      <c r="I45" s="632">
        <f t="shared" si="84"/>
        <v>-167.78123478003249</v>
      </c>
      <c r="J45" s="632">
        <f t="shared" si="84"/>
        <v>-152.20842799893694</v>
      </c>
      <c r="K45" s="632">
        <f t="shared" si="84"/>
        <v>-321.97157947986307</v>
      </c>
      <c r="L45" s="2163">
        <f t="shared" si="84"/>
        <v>-305.06764521861032</v>
      </c>
      <c r="M45" s="2163">
        <f t="shared" si="84"/>
        <v>-351.07751643979555</v>
      </c>
      <c r="N45" s="2163">
        <f t="shared" si="84"/>
        <v>-287.19900940242383</v>
      </c>
      <c r="O45" s="2163">
        <f t="shared" si="84"/>
        <v>-294.63675499130568</v>
      </c>
      <c r="P45" s="2163">
        <f t="shared" si="84"/>
        <v>-378.11018114738573</v>
      </c>
      <c r="Q45" s="2163">
        <f>Q5-Q44-Q43</f>
        <v>-389.45348658180728</v>
      </c>
      <c r="R45" s="2163">
        <f t="shared" si="84"/>
        <v>-401.13709117926152</v>
      </c>
      <c r="S45" s="2163">
        <f t="shared" si="84"/>
        <v>-413.17120391463942</v>
      </c>
      <c r="T45" s="2163">
        <f>T5-T44-T43</f>
        <v>-425.56634003207864</v>
      </c>
      <c r="U45" s="2163">
        <f>U5-U44-U43</f>
        <v>-438.33333023304101</v>
      </c>
      <c r="V45" s="2163">
        <f>V5-V44-V43</f>
        <v>-451.48333014003231</v>
      </c>
      <c r="W45" s="2163">
        <f>W5-W44-W43</f>
        <v>-465.02783004423327</v>
      </c>
      <c r="X45" s="2163">
        <f t="shared" ref="X45:AC45" si="85">X5-X44-X43</f>
        <v>-478.97866494556024</v>
      </c>
      <c r="Y45" s="2163">
        <f t="shared" si="85"/>
        <v>-493.348024893927</v>
      </c>
      <c r="Z45" s="2163">
        <f t="shared" si="85"/>
        <v>-508.1484656407448</v>
      </c>
      <c r="AA45" s="2163">
        <f t="shared" si="85"/>
        <v>-523.39291960996707</v>
      </c>
      <c r="AB45" s="2163">
        <f t="shared" si="85"/>
        <v>-539.09470719826595</v>
      </c>
      <c r="AC45" s="2163">
        <f t="shared" si="85"/>
        <v>-555.26754841421393</v>
      </c>
    </row>
    <row r="46" spans="1:32" s="1577" customFormat="1">
      <c r="A46" s="2016" t="s">
        <v>1359</v>
      </c>
      <c r="B46" s="2013">
        <f t="shared" ref="B46:G46" si="86">B6</f>
        <v>2022.8878325000001</v>
      </c>
      <c r="C46" s="2013">
        <f t="shared" si="86"/>
        <v>1913.555129327505</v>
      </c>
      <c r="D46" s="2013">
        <f t="shared" si="86"/>
        <v>1981.6776929582929</v>
      </c>
      <c r="E46" s="2013">
        <f t="shared" si="86"/>
        <v>2128.4558098613525</v>
      </c>
      <c r="F46" s="2013">
        <f t="shared" si="86"/>
        <v>1845.8861815270673</v>
      </c>
      <c r="G46" s="2013">
        <f t="shared" si="86"/>
        <v>2002.0693590557812</v>
      </c>
      <c r="H46" s="2013">
        <f t="shared" ref="H46:M46" si="87">H42+H45+H44+H43</f>
        <v>1788.3902006308772</v>
      </c>
      <c r="I46" s="2013">
        <f t="shared" si="87"/>
        <v>2569.9440777576883</v>
      </c>
      <c r="J46" s="2013">
        <f t="shared" si="87"/>
        <v>2588.6159585192045</v>
      </c>
      <c r="K46" s="2013">
        <f t="shared" si="87"/>
        <v>2416.6333323104564</v>
      </c>
      <c r="L46" s="2013">
        <f t="shared" si="87"/>
        <v>2468.760347406459</v>
      </c>
      <c r="M46" s="2013">
        <f t="shared" si="87"/>
        <v>2867.2296423241323</v>
      </c>
      <c r="N46" s="2014">
        <f>'Segment Detail'!AJ103</f>
        <v>3221.8038914121935</v>
      </c>
      <c r="O46" s="2014">
        <f>'Segment Detail'!AK103</f>
        <v>3160.8345434856483</v>
      </c>
      <c r="P46" s="2014">
        <f>'Segment Detail'!AL103</f>
        <v>3013.0286887855809</v>
      </c>
      <c r="Q46" s="2014">
        <f>'Segment Detail'!AM103</f>
        <v>2809.8046287953584</v>
      </c>
      <c r="R46" s="2014">
        <f>'Segment Detail'!AN103</f>
        <v>2939.0501164532961</v>
      </c>
      <c r="S46" s="2013">
        <f>S42+S45+S44+S43</f>
        <v>3060.772228956193</v>
      </c>
      <c r="T46" s="2013">
        <f>T42+T45+T44+T43</f>
        <v>3172.6958766558755</v>
      </c>
      <c r="U46" s="2013">
        <f>U42+U45+U44+U43</f>
        <v>3286.0159599292197</v>
      </c>
      <c r="V46" s="2013">
        <f t="shared" ref="V46" si="88">V42+V45+V44+V43</f>
        <v>3405.869108267314</v>
      </c>
      <c r="W46" s="2013">
        <f>W42+W45+W44+W43</f>
        <v>3522.9663458688424</v>
      </c>
      <c r="X46" s="2013">
        <f t="shared" ref="X46:AC46" si="89">X42+X45+X44+X43</f>
        <v>3636.7061506623618</v>
      </c>
      <c r="Y46" s="2013">
        <f t="shared" si="89"/>
        <v>3745.3551608694688</v>
      </c>
      <c r="Z46" s="2013">
        <f t="shared" si="89"/>
        <v>3848.127692991633</v>
      </c>
      <c r="AA46" s="2013">
        <f t="shared" si="89"/>
        <v>3944.2371303629393</v>
      </c>
      <c r="AB46" s="2013">
        <f t="shared" si="89"/>
        <v>4031.6137340485657</v>
      </c>
      <c r="AC46" s="2013">
        <f t="shared" si="89"/>
        <v>4112.0196194560413</v>
      </c>
    </row>
    <row r="47" spans="1:32">
      <c r="A47" s="11" t="s">
        <v>676</v>
      </c>
      <c r="B47" s="11"/>
      <c r="C47" s="11"/>
      <c r="D47" s="39">
        <f t="shared" ref="D47:M47" si="90">+D46/C46-1</f>
        <v>3.5600000536555543E-2</v>
      </c>
      <c r="E47" s="39">
        <f t="shared" si="90"/>
        <v>7.4067603134769122E-2</v>
      </c>
      <c r="F47" s="39">
        <f t="shared" si="90"/>
        <v>-0.13275804319033135</v>
      </c>
      <c r="G47" s="39">
        <f t="shared" si="90"/>
        <v>8.4611488558577586E-2</v>
      </c>
      <c r="H47" s="39">
        <f t="shared" si="90"/>
        <v>-0.10672914874721406</v>
      </c>
      <c r="I47" s="39">
        <f t="shared" si="90"/>
        <v>0.43701529836783282</v>
      </c>
      <c r="J47" s="39">
        <f t="shared" si="90"/>
        <v>7.2654813476749069E-3</v>
      </c>
      <c r="K47" s="39">
        <f t="shared" si="90"/>
        <v>-6.6438061483299116E-2</v>
      </c>
      <c r="L47" s="1110">
        <f t="shared" si="90"/>
        <v>2.1570096877777445E-2</v>
      </c>
      <c r="M47" s="1110">
        <f t="shared" si="90"/>
        <v>0.16140460751335506</v>
      </c>
      <c r="N47" s="1110">
        <f>+N46/M46-1</f>
        <v>0.12366440547840063</v>
      </c>
      <c r="O47" s="1110">
        <f>+O46/N46-1</f>
        <v>-1.8923978609952208E-2</v>
      </c>
      <c r="P47" s="1110">
        <f t="shared" ref="P47:U47" si="91">+P46/O46-1</f>
        <v>-4.6761655083999654E-2</v>
      </c>
      <c r="Q47" s="1110">
        <f t="shared" si="91"/>
        <v>-6.7448431787794583E-2</v>
      </c>
      <c r="R47" s="1110">
        <f>+R46/Q46-1</f>
        <v>4.5998033576216679E-2</v>
      </c>
      <c r="S47" s="1110">
        <f t="shared" si="91"/>
        <v>4.141545998874796E-2</v>
      </c>
      <c r="T47" s="1110">
        <f t="shared" si="91"/>
        <v>3.6567127289263146E-2</v>
      </c>
      <c r="U47" s="1110">
        <f t="shared" si="91"/>
        <v>3.5717285135059118E-2</v>
      </c>
      <c r="V47" s="1110">
        <f t="shared" ref="V47" si="92">+V46/U46-1</f>
        <v>3.6473696354376806E-2</v>
      </c>
      <c r="W47" s="1110">
        <f t="shared" ref="W47" si="93">+W46/V46-1</f>
        <v>3.4381015206159882E-2</v>
      </c>
      <c r="X47" s="1110">
        <f t="shared" ref="X47" si="94">+X46/W46-1</f>
        <v>3.2285237390046184E-2</v>
      </c>
      <c r="Y47" s="1110">
        <f t="shared" ref="Y47" si="95">+Y46/X46-1</f>
        <v>2.9875663775396966E-2</v>
      </c>
      <c r="Z47" s="1110">
        <f t="shared" ref="Z47" si="96">+Z46/Y46-1</f>
        <v>2.7439996397646382E-2</v>
      </c>
      <c r="AA47" s="1110">
        <f t="shared" ref="AA47" si="97">+AA46/Z46-1</f>
        <v>2.4975636215592401E-2</v>
      </c>
      <c r="AB47" s="1110">
        <f t="shared" ref="AB47" si="98">+AB46/AA46-1</f>
        <v>2.2152979346245827E-2</v>
      </c>
      <c r="AC47" s="1110">
        <f t="shared" ref="AC47" si="99">+AC46/AB46-1</f>
        <v>1.9943846487181061E-2</v>
      </c>
    </row>
    <row r="48" spans="1:32">
      <c r="A48" s="11"/>
      <c r="B48" s="211"/>
      <c r="C48" s="211"/>
      <c r="D48" s="211"/>
      <c r="E48" s="634"/>
      <c r="F48" s="2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row>
    <row r="49" spans="1:29">
      <c r="A49" s="11" t="s">
        <v>1382</v>
      </c>
      <c r="B49" s="211">
        <f t="shared" ref="B49:O49" si="100">(B50*B16)</f>
        <v>963.42840000000012</v>
      </c>
      <c r="C49" s="211">
        <f t="shared" si="100"/>
        <v>986.22879300000011</v>
      </c>
      <c r="D49" s="211">
        <f t="shared" si="100"/>
        <v>1051.0182715831406</v>
      </c>
      <c r="E49" s="211">
        <f t="shared" si="100"/>
        <v>944.66883462469309</v>
      </c>
      <c r="F49" s="211">
        <f t="shared" si="100"/>
        <v>788.05450345043721</v>
      </c>
      <c r="G49" s="211">
        <f t="shared" si="100"/>
        <v>663.65121907499997</v>
      </c>
      <c r="H49" s="211">
        <f t="shared" si="100"/>
        <v>760.57511999999997</v>
      </c>
      <c r="I49" s="211">
        <f t="shared" si="100"/>
        <v>842.84907180000005</v>
      </c>
      <c r="J49" s="211">
        <f t="shared" si="100"/>
        <v>836.72303823760001</v>
      </c>
      <c r="K49" s="211">
        <f t="shared" si="100"/>
        <v>829.73720020164001</v>
      </c>
      <c r="L49" s="1859">
        <f t="shared" si="100"/>
        <v>864.77540053324208</v>
      </c>
      <c r="M49" s="1859">
        <f t="shared" si="100"/>
        <v>907.89896466137316</v>
      </c>
      <c r="N49" s="1859">
        <f t="shared" si="100"/>
        <v>819.45687812092592</v>
      </c>
      <c r="O49" s="1859">
        <f t="shared" si="100"/>
        <v>808.23491734454615</v>
      </c>
      <c r="P49" s="1859">
        <f>(P50*P16)</f>
        <v>942.07163862077186</v>
      </c>
      <c r="Q49" s="1859">
        <f>(Q50*Q16)</f>
        <v>992.16000000000008</v>
      </c>
      <c r="R49" s="1048"/>
      <c r="S49" s="1048"/>
      <c r="T49" s="1048"/>
      <c r="U49" s="1048"/>
      <c r="V49" s="1048"/>
      <c r="W49" s="1048"/>
      <c r="X49" s="1048"/>
      <c r="Y49" s="1048"/>
      <c r="Z49" s="1048"/>
      <c r="AA49" s="1048"/>
      <c r="AB49" s="1048"/>
      <c r="AC49" s="1048"/>
    </row>
    <row r="50" spans="1:29">
      <c r="A50" s="11" t="s">
        <v>1386</v>
      </c>
      <c r="B50" s="398">
        <v>1.1000000000000001</v>
      </c>
      <c r="C50" s="398">
        <f>B50</f>
        <v>1.1000000000000001</v>
      </c>
      <c r="D50" s="398">
        <f>C50</f>
        <v>1.1000000000000001</v>
      </c>
      <c r="E50" s="398">
        <v>1.05</v>
      </c>
      <c r="F50" s="398">
        <v>1.2</v>
      </c>
      <c r="G50" s="398">
        <f>F50</f>
        <v>1.2</v>
      </c>
      <c r="H50" s="398">
        <f>+G50</f>
        <v>1.2</v>
      </c>
      <c r="I50" s="398">
        <f>+H50</f>
        <v>1.2</v>
      </c>
      <c r="J50" s="398">
        <v>1.24</v>
      </c>
      <c r="K50" s="398">
        <v>1.2</v>
      </c>
      <c r="L50" s="1820">
        <v>1.2</v>
      </c>
      <c r="M50" s="1820">
        <v>1.2</v>
      </c>
      <c r="N50" s="1820">
        <v>1.2</v>
      </c>
      <c r="O50" s="1820">
        <v>1.2</v>
      </c>
      <c r="P50" s="1820">
        <v>1.2</v>
      </c>
      <c r="Q50" s="1820">
        <v>1.2</v>
      </c>
      <c r="R50" s="1820"/>
      <c r="S50" s="1820"/>
      <c r="T50" s="1577"/>
      <c r="U50" s="1577"/>
      <c r="V50" s="1048"/>
      <c r="W50" s="1048"/>
      <c r="X50" s="1048"/>
      <c r="Y50" s="1048"/>
      <c r="Z50" s="1048"/>
      <c r="AA50" s="1048"/>
    </row>
    <row r="51" spans="1:29">
      <c r="A51" s="6" t="s">
        <v>1387</v>
      </c>
      <c r="B51" s="4">
        <f t="shared" ref="B51:O51" si="101">B52*B16</f>
        <v>87.584400000000016</v>
      </c>
      <c r="C51" s="4">
        <f t="shared" si="101"/>
        <v>89.657163000000011</v>
      </c>
      <c r="D51" s="4">
        <f t="shared" si="101"/>
        <v>95.547115598467329</v>
      </c>
      <c r="E51" s="4">
        <f t="shared" si="101"/>
        <v>89.968460440446961</v>
      </c>
      <c r="F51" s="4">
        <f t="shared" si="101"/>
        <v>65.671208620869763</v>
      </c>
      <c r="G51" s="4">
        <f t="shared" si="101"/>
        <v>55.304268256249998</v>
      </c>
      <c r="H51" s="4">
        <f t="shared" si="101"/>
        <v>63.381259999999997</v>
      </c>
      <c r="I51" s="4">
        <f t="shared" si="101"/>
        <v>70.237422650000013</v>
      </c>
      <c r="J51" s="4">
        <f t="shared" si="101"/>
        <v>67.477664374000014</v>
      </c>
      <c r="K51" s="4">
        <f t="shared" si="101"/>
        <v>69.14476668347001</v>
      </c>
      <c r="L51" s="4">
        <f t="shared" si="101"/>
        <v>72.064616711103511</v>
      </c>
      <c r="M51" s="4">
        <f t="shared" si="101"/>
        <v>75.65824705511443</v>
      </c>
      <c r="N51" s="4">
        <f t="shared" si="101"/>
        <v>68.288073176743836</v>
      </c>
      <c r="O51" s="4">
        <f t="shared" si="101"/>
        <v>67.352909778712188</v>
      </c>
      <c r="P51" s="4">
        <f>P52*P16</f>
        <v>78.505969885064331</v>
      </c>
      <c r="Q51" s="4">
        <f>Q52*Q16</f>
        <v>82.68</v>
      </c>
      <c r="R51" s="95"/>
      <c r="S51" s="95"/>
      <c r="T51" s="95"/>
      <c r="U51" s="95"/>
      <c r="V51" s="95"/>
      <c r="W51" s="95"/>
      <c r="X51" s="95"/>
      <c r="Y51" s="1048"/>
      <c r="Z51" s="1048"/>
      <c r="AA51" s="1048"/>
    </row>
    <row r="52" spans="1:29">
      <c r="A52" s="6" t="s">
        <v>1386</v>
      </c>
      <c r="B52" s="558">
        <v>0.1</v>
      </c>
      <c r="C52" s="558">
        <f t="shared" ref="C52:I52" si="102">B52</f>
        <v>0.1</v>
      </c>
      <c r="D52" s="558">
        <f t="shared" si="102"/>
        <v>0.1</v>
      </c>
      <c r="E52" s="558">
        <f t="shared" si="102"/>
        <v>0.1</v>
      </c>
      <c r="F52" s="558">
        <f t="shared" si="102"/>
        <v>0.1</v>
      </c>
      <c r="G52" s="558">
        <f t="shared" si="102"/>
        <v>0.1</v>
      </c>
      <c r="H52" s="558">
        <f t="shared" si="102"/>
        <v>0.1</v>
      </c>
      <c r="I52" s="558">
        <f t="shared" si="102"/>
        <v>0.1</v>
      </c>
      <c r="J52" s="558">
        <v>0.1</v>
      </c>
      <c r="K52" s="558">
        <v>0.1</v>
      </c>
      <c r="L52" s="558">
        <v>0.1</v>
      </c>
      <c r="M52" s="558">
        <v>0.1</v>
      </c>
      <c r="N52" s="558">
        <v>0.1</v>
      </c>
      <c r="O52" s="558">
        <v>0.1</v>
      </c>
      <c r="P52" s="558">
        <v>0.1</v>
      </c>
      <c r="Q52" s="398">
        <v>0.1</v>
      </c>
      <c r="R52" s="398"/>
      <c r="S52" s="398"/>
      <c r="V52" s="95"/>
      <c r="W52" s="95"/>
      <c r="X52" s="95"/>
      <c r="Y52" s="1048"/>
      <c r="Z52" s="1048"/>
      <c r="AA52" s="1048"/>
    </row>
    <row r="53" spans="1:29">
      <c r="A53" s="6" t="s">
        <v>1388</v>
      </c>
      <c r="B53" s="4">
        <f t="shared" ref="B53:J53" si="103">B43</f>
        <v>-640.55399999999997</v>
      </c>
      <c r="C53" s="4">
        <f t="shared" si="103"/>
        <v>-680.86950000000002</v>
      </c>
      <c r="D53" s="4">
        <f t="shared" si="103"/>
        <v>-734.96473850491611</v>
      </c>
      <c r="E53" s="4">
        <f t="shared" si="103"/>
        <v>-676.51754449088446</v>
      </c>
      <c r="F53" s="4">
        <f t="shared" si="103"/>
        <v>-532.13451536096841</v>
      </c>
      <c r="G53" s="4">
        <f t="shared" si="103"/>
        <v>-441.98920937500003</v>
      </c>
      <c r="H53" s="4">
        <f t="shared" si="103"/>
        <v>-476.41750000000002</v>
      </c>
      <c r="I53" s="4">
        <f t="shared" si="103"/>
        <v>-497.23897499999998</v>
      </c>
      <c r="J53" s="4">
        <f t="shared" si="103"/>
        <v>-493.25010300000008</v>
      </c>
      <c r="K53" s="4">
        <f t="shared" ref="K53:P53" si="104">K43</f>
        <v>-363.22192429500001</v>
      </c>
      <c r="L53" s="4">
        <f t="shared" si="104"/>
        <v>-405.17359849975003</v>
      </c>
      <c r="M53" s="4">
        <f t="shared" si="104"/>
        <v>-405.17359849975003</v>
      </c>
      <c r="N53" s="4">
        <f t="shared" si="104"/>
        <v>-405.17359849975003</v>
      </c>
      <c r="O53" s="4">
        <f t="shared" si="104"/>
        <v>-417.32880645474256</v>
      </c>
      <c r="P53" s="4">
        <f t="shared" si="104"/>
        <v>-429.84867064838483</v>
      </c>
      <c r="Q53" s="4">
        <f>Q43</f>
        <v>-442.7441307678364</v>
      </c>
      <c r="R53" s="95"/>
      <c r="S53" s="95"/>
      <c r="V53" s="95"/>
      <c r="W53" s="95"/>
      <c r="X53" s="95"/>
      <c r="Y53" s="1048"/>
      <c r="Z53" s="1048"/>
      <c r="AA53" s="1048"/>
    </row>
    <row r="54" spans="1:29">
      <c r="A54" s="6" t="s">
        <v>1389</v>
      </c>
      <c r="B54" s="4">
        <f t="shared" ref="B54:O54" si="105">B55*B25</f>
        <v>38.740384615384613</v>
      </c>
      <c r="C54" s="4">
        <f t="shared" si="105"/>
        <v>40.289999999999992</v>
      </c>
      <c r="D54" s="4">
        <f t="shared" si="105"/>
        <v>41.901600000000002</v>
      </c>
      <c r="E54" s="4">
        <f t="shared" si="105"/>
        <v>48.347999999999999</v>
      </c>
      <c r="F54" s="4">
        <f t="shared" si="105"/>
        <v>51.055487999999997</v>
      </c>
      <c r="G54" s="4">
        <f t="shared" si="105"/>
        <v>58.48174079999999</v>
      </c>
      <c r="H54" s="4">
        <f t="shared" si="105"/>
        <v>53.469020159999992</v>
      </c>
      <c r="I54" s="4">
        <f t="shared" si="105"/>
        <v>84.213706752000007</v>
      </c>
      <c r="J54" s="4">
        <f t="shared" si="105"/>
        <v>95.414129750015974</v>
      </c>
      <c r="K54" s="4">
        <f t="shared" si="105"/>
        <v>104.95554272501761</v>
      </c>
      <c r="L54" s="4">
        <f t="shared" si="105"/>
        <v>110.20331986126848</v>
      </c>
      <c r="M54" s="4">
        <f t="shared" si="105"/>
        <v>126.73381784045877</v>
      </c>
      <c r="N54" s="4">
        <f t="shared" si="105"/>
        <v>139.40719962450464</v>
      </c>
      <c r="O54" s="4">
        <f t="shared" si="105"/>
        <v>149.16570359821998</v>
      </c>
      <c r="P54" s="4">
        <f>P55*P25</f>
        <v>150.9955426828011</v>
      </c>
      <c r="Q54" s="4">
        <f>Q55*Q25</f>
        <v>157.03536439011316</v>
      </c>
      <c r="R54" s="95"/>
      <c r="S54" s="95"/>
      <c r="V54" s="95"/>
      <c r="W54" s="95"/>
      <c r="X54" s="95"/>
      <c r="Y54" s="1048"/>
      <c r="Z54" s="1048"/>
      <c r="AA54" s="1048"/>
    </row>
    <row r="55" spans="1:29">
      <c r="A55" s="6" t="s">
        <v>1390</v>
      </c>
      <c r="B55" s="558">
        <v>0.2</v>
      </c>
      <c r="C55" s="558">
        <f t="shared" ref="C55:I55" si="106">+B55</f>
        <v>0.2</v>
      </c>
      <c r="D55" s="558">
        <f t="shared" si="106"/>
        <v>0.2</v>
      </c>
      <c r="E55" s="558">
        <f t="shared" si="106"/>
        <v>0.2</v>
      </c>
      <c r="F55" s="558">
        <f t="shared" si="106"/>
        <v>0.2</v>
      </c>
      <c r="G55" s="558">
        <f t="shared" si="106"/>
        <v>0.2</v>
      </c>
      <c r="H55" s="558">
        <f t="shared" si="106"/>
        <v>0.2</v>
      </c>
      <c r="I55" s="558">
        <f t="shared" si="106"/>
        <v>0.2</v>
      </c>
      <c r="J55" s="558">
        <v>0.22</v>
      </c>
      <c r="K55" s="558">
        <v>0.22</v>
      </c>
      <c r="L55" s="558">
        <v>0.21</v>
      </c>
      <c r="M55" s="558">
        <v>0.21</v>
      </c>
      <c r="N55" s="558">
        <v>0.21</v>
      </c>
      <c r="O55" s="558">
        <v>0.21</v>
      </c>
      <c r="P55" s="558">
        <v>0.21</v>
      </c>
      <c r="Q55" s="398">
        <v>0.21</v>
      </c>
      <c r="R55" s="398"/>
      <c r="S55" s="398"/>
      <c r="V55" s="95"/>
      <c r="W55" s="95"/>
      <c r="X55" s="95"/>
      <c r="Y55" s="1048"/>
      <c r="Z55" s="1048"/>
      <c r="AA55" s="1048"/>
    </row>
    <row r="56" spans="1:29">
      <c r="A56" s="6" t="s">
        <v>1391</v>
      </c>
      <c r="B56" s="4">
        <f t="shared" ref="B56:O56" si="107">B57*B29</f>
        <v>68.891064435742265</v>
      </c>
      <c r="C56" s="4">
        <f t="shared" si="107"/>
        <v>70.601607511569952</v>
      </c>
      <c r="D56" s="4">
        <f t="shared" si="107"/>
        <v>77.351913962264163</v>
      </c>
      <c r="E56" s="4">
        <f t="shared" si="107"/>
        <v>86.44943880000001</v>
      </c>
      <c r="F56" s="4">
        <f t="shared" si="107"/>
        <v>93.220285128000015</v>
      </c>
      <c r="G56" s="4">
        <f t="shared" si="107"/>
        <v>98.813502235680005</v>
      </c>
      <c r="H56" s="4">
        <f t="shared" si="107"/>
        <v>107.1170771507808</v>
      </c>
      <c r="I56" s="4">
        <f t="shared" si="107"/>
        <v>118.16686741259406</v>
      </c>
      <c r="J56" s="4">
        <f t="shared" si="107"/>
        <v>133.48141139100434</v>
      </c>
      <c r="K56" s="4">
        <f t="shared" si="107"/>
        <v>148.50642119281389</v>
      </c>
      <c r="L56" s="4">
        <f t="shared" si="107"/>
        <v>147.34182938176957</v>
      </c>
      <c r="M56" s="4">
        <f t="shared" si="107"/>
        <v>148.47118169515946</v>
      </c>
      <c r="N56" s="4">
        <f t="shared" si="107"/>
        <v>144.45212657948812</v>
      </c>
      <c r="O56" s="4">
        <f t="shared" si="107"/>
        <v>148.95434333406524</v>
      </c>
      <c r="P56" s="4">
        <f>P57*P29</f>
        <v>152.59873744000245</v>
      </c>
      <c r="Q56" s="4">
        <f>Q57*Q29</f>
        <v>155.54865628770511</v>
      </c>
      <c r="R56" s="95"/>
      <c r="S56" s="95"/>
      <c r="V56" s="1048"/>
      <c r="W56" s="1048"/>
      <c r="X56" s="1048"/>
      <c r="Y56" s="1048"/>
      <c r="Z56" s="1048"/>
      <c r="AA56" s="1048"/>
    </row>
    <row r="57" spans="1:29">
      <c r="A57" s="6" t="s">
        <v>1392</v>
      </c>
      <c r="B57" s="558">
        <v>0.3</v>
      </c>
      <c r="C57" s="558">
        <f>+B57</f>
        <v>0.3</v>
      </c>
      <c r="D57" s="558">
        <f t="shared" ref="D57:I57" si="108">+C57</f>
        <v>0.3</v>
      </c>
      <c r="E57" s="558">
        <f t="shared" si="108"/>
        <v>0.3</v>
      </c>
      <c r="F57" s="558">
        <f t="shared" si="108"/>
        <v>0.3</v>
      </c>
      <c r="G57" s="558">
        <f t="shared" si="108"/>
        <v>0.3</v>
      </c>
      <c r="H57" s="558">
        <f t="shared" si="108"/>
        <v>0.3</v>
      </c>
      <c r="I57" s="558">
        <f t="shared" si="108"/>
        <v>0.3</v>
      </c>
      <c r="J57" s="558">
        <v>0.31</v>
      </c>
      <c r="K57" s="558">
        <v>0.31</v>
      </c>
      <c r="L57" s="558">
        <v>0.3</v>
      </c>
      <c r="M57" s="558">
        <v>0.3</v>
      </c>
      <c r="N57" s="558">
        <v>0.3</v>
      </c>
      <c r="O57" s="558">
        <v>0.3</v>
      </c>
      <c r="P57" s="558">
        <v>0.3</v>
      </c>
      <c r="Q57" s="398">
        <v>0.3</v>
      </c>
      <c r="R57" s="398"/>
      <c r="S57" s="398"/>
      <c r="V57" s="1048"/>
      <c r="W57" s="1048"/>
      <c r="X57" s="1048"/>
      <c r="Y57" s="1048"/>
      <c r="Z57" s="1048"/>
      <c r="AA57" s="1048"/>
    </row>
    <row r="58" spans="1:29">
      <c r="A58" s="6" t="s">
        <v>1393</v>
      </c>
      <c r="B58" s="635">
        <f t="shared" ref="B58:J58" si="109">B45</f>
        <v>-95.504182983268038</v>
      </c>
      <c r="C58" s="635">
        <f t="shared" si="109"/>
        <v>-84.149895806336872</v>
      </c>
      <c r="D58" s="635">
        <f t="shared" si="109"/>
        <v>-103.45176466304542</v>
      </c>
      <c r="E58" s="635">
        <f t="shared" si="109"/>
        <v>-145.09936535644226</v>
      </c>
      <c r="F58" s="635">
        <f t="shared" si="109"/>
        <v>-150.01641364572924</v>
      </c>
      <c r="G58" s="635">
        <f t="shared" si="109"/>
        <v>-139.12867243338002</v>
      </c>
      <c r="H58" s="635">
        <f t="shared" si="109"/>
        <v>-126.48330085079283</v>
      </c>
      <c r="I58" s="635">
        <f t="shared" si="109"/>
        <v>-167.78123478003249</v>
      </c>
      <c r="J58" s="635">
        <f t="shared" si="109"/>
        <v>-152.20842799893694</v>
      </c>
      <c r="K58" s="635">
        <f t="shared" ref="K58:P58" si="110">K45</f>
        <v>-321.97157947986307</v>
      </c>
      <c r="L58" s="635">
        <f t="shared" si="110"/>
        <v>-305.06764521861032</v>
      </c>
      <c r="M58" s="635">
        <f t="shared" si="110"/>
        <v>-351.07751643979555</v>
      </c>
      <c r="N58" s="635">
        <f t="shared" si="110"/>
        <v>-287.19900940242383</v>
      </c>
      <c r="O58" s="635">
        <f t="shared" si="110"/>
        <v>-294.63675499130568</v>
      </c>
      <c r="P58" s="635">
        <f t="shared" si="110"/>
        <v>-378.11018114738573</v>
      </c>
      <c r="Q58" s="635">
        <f>Q45</f>
        <v>-389.45348658180728</v>
      </c>
      <c r="R58" s="634"/>
      <c r="S58" s="634"/>
      <c r="V58" s="1048"/>
      <c r="W58" s="1048"/>
      <c r="X58" s="1048"/>
      <c r="Y58" s="1048"/>
      <c r="Z58" s="1048"/>
      <c r="AA58" s="1048"/>
    </row>
    <row r="59" spans="1:29">
      <c r="A59" s="6" t="s">
        <v>1394</v>
      </c>
      <c r="B59" s="4">
        <f t="shared" ref="B59:O59" si="111">B60*B28</f>
        <v>306.86</v>
      </c>
      <c r="C59" s="4">
        <f t="shared" si="111"/>
        <v>265.09999999999997</v>
      </c>
      <c r="D59" s="4">
        <f t="shared" si="111"/>
        <v>283.25</v>
      </c>
      <c r="E59" s="4">
        <f t="shared" si="111"/>
        <v>313.49083333333328</v>
      </c>
      <c r="F59" s="4">
        <f t="shared" si="111"/>
        <v>151.25</v>
      </c>
      <c r="G59" s="4">
        <f t="shared" si="111"/>
        <v>358.63400000000001</v>
      </c>
      <c r="H59" s="4">
        <f t="shared" si="111"/>
        <v>183.48</v>
      </c>
      <c r="I59" s="4">
        <f t="shared" si="111"/>
        <v>175.78999999999996</v>
      </c>
      <c r="J59" s="4">
        <f t="shared" si="111"/>
        <v>296.55149999999998</v>
      </c>
      <c r="K59" s="4">
        <f t="shared" si="111"/>
        <v>158.73420000000002</v>
      </c>
      <c r="L59" s="4">
        <f t="shared" si="111"/>
        <v>152.1584</v>
      </c>
      <c r="M59" s="4">
        <f t="shared" si="111"/>
        <v>143.03890000000001</v>
      </c>
      <c r="N59" s="4">
        <f t="shared" si="111"/>
        <v>192.84539999999998</v>
      </c>
      <c r="O59" s="4">
        <f t="shared" si="111"/>
        <v>253.90639999999999</v>
      </c>
      <c r="P59" s="4">
        <f>P60*P28</f>
        <v>199.1284</v>
      </c>
      <c r="Q59" s="4">
        <f>Q60*Q28</f>
        <v>143.49639999999999</v>
      </c>
      <c r="R59" s="95"/>
      <c r="S59" s="95"/>
      <c r="V59" s="1048"/>
      <c r="W59" s="1048"/>
      <c r="X59" s="1048"/>
      <c r="Y59" s="1048"/>
      <c r="Z59" s="1048"/>
      <c r="AA59" s="1048"/>
    </row>
    <row r="60" spans="1:29">
      <c r="A60" s="6" t="s">
        <v>1392</v>
      </c>
      <c r="B60" s="558">
        <v>0.6</v>
      </c>
      <c r="C60" s="558">
        <v>0.6</v>
      </c>
      <c r="D60" s="558">
        <v>0.6</v>
      </c>
      <c r="E60" s="558">
        <v>0.55000000000000004</v>
      </c>
      <c r="F60" s="558">
        <v>0.6</v>
      </c>
      <c r="G60" s="558">
        <v>0.6</v>
      </c>
      <c r="H60" s="558">
        <v>0.6</v>
      </c>
      <c r="I60" s="558">
        <v>0.6</v>
      </c>
      <c r="J60" s="558">
        <v>0.61</v>
      </c>
      <c r="K60" s="558">
        <v>0.61</v>
      </c>
      <c r="L60" s="558">
        <v>0.61</v>
      </c>
      <c r="M60" s="558">
        <v>0.61</v>
      </c>
      <c r="N60" s="558">
        <v>0.61</v>
      </c>
      <c r="O60" s="558">
        <v>0.61</v>
      </c>
      <c r="P60" s="558">
        <v>0.61</v>
      </c>
      <c r="Q60" s="558">
        <v>0.61</v>
      </c>
      <c r="R60" s="398"/>
      <c r="S60" s="398"/>
      <c r="V60" s="1048"/>
      <c r="W60" s="1048"/>
      <c r="X60" s="1048"/>
      <c r="Y60" s="1048"/>
      <c r="Z60" s="1048"/>
      <c r="AA60" s="1048"/>
    </row>
    <row r="61" spans="1:29">
      <c r="A61" s="6" t="s">
        <v>1401</v>
      </c>
      <c r="B61" s="4">
        <f t="shared" ref="B61:J61" si="112">B44</f>
        <v>-133.61333333333334</v>
      </c>
      <c r="C61" s="4">
        <f t="shared" si="112"/>
        <v>-72.01333333333335</v>
      </c>
      <c r="D61" s="4">
        <f t="shared" si="112"/>
        <v>-97.973333333333343</v>
      </c>
      <c r="E61" s="4">
        <f t="shared" si="112"/>
        <v>-102.81333333333335</v>
      </c>
      <c r="F61" s="4">
        <f t="shared" si="112"/>
        <v>-50.893333333333345</v>
      </c>
      <c r="G61" s="4">
        <f t="shared" si="112"/>
        <v>-50.893333333333345</v>
      </c>
      <c r="H61" s="4">
        <f t="shared" si="112"/>
        <v>-30.36</v>
      </c>
      <c r="I61" s="4">
        <f t="shared" si="112"/>
        <v>-17.893333333333331</v>
      </c>
      <c r="J61" s="4">
        <f t="shared" si="112"/>
        <v>-8.8000000000000007</v>
      </c>
      <c r="K61" s="4">
        <f t="shared" ref="K61:P61" si="113">K44</f>
        <v>0</v>
      </c>
      <c r="L61" s="4">
        <f t="shared" si="113"/>
        <v>0</v>
      </c>
      <c r="M61" s="4">
        <f t="shared" si="113"/>
        <v>0</v>
      </c>
      <c r="N61" s="4">
        <f t="shared" si="113"/>
        <v>0</v>
      </c>
      <c r="O61" s="4">
        <f t="shared" si="113"/>
        <v>0</v>
      </c>
      <c r="P61" s="4">
        <f t="shared" si="113"/>
        <v>0</v>
      </c>
      <c r="Q61" s="95">
        <f>P61</f>
        <v>0</v>
      </c>
      <c r="R61" s="95"/>
      <c r="S61" s="95"/>
      <c r="V61" s="1048"/>
      <c r="W61" s="1048"/>
      <c r="X61" s="1048"/>
      <c r="Y61" s="1048"/>
      <c r="Z61" s="1048"/>
      <c r="AA61" s="1048"/>
    </row>
    <row r="62" spans="1:29">
      <c r="A62" s="6" t="s">
        <v>355</v>
      </c>
      <c r="B62" s="4">
        <f t="shared" ref="B62:O62" si="114">B31*B63</f>
        <v>0</v>
      </c>
      <c r="C62" s="4">
        <f t="shared" si="114"/>
        <v>0</v>
      </c>
      <c r="D62" s="4">
        <f t="shared" si="114"/>
        <v>0</v>
      </c>
      <c r="E62" s="4">
        <f t="shared" si="114"/>
        <v>0</v>
      </c>
      <c r="F62" s="4">
        <f t="shared" si="114"/>
        <v>0</v>
      </c>
      <c r="G62" s="4">
        <f t="shared" si="114"/>
        <v>0</v>
      </c>
      <c r="H62" s="4">
        <f t="shared" si="114"/>
        <v>0</v>
      </c>
      <c r="I62" s="4">
        <f t="shared" si="114"/>
        <v>0</v>
      </c>
      <c r="J62" s="4">
        <f t="shared" si="114"/>
        <v>0</v>
      </c>
      <c r="K62" s="4">
        <f t="shared" si="114"/>
        <v>0</v>
      </c>
      <c r="L62" s="4">
        <f t="shared" si="114"/>
        <v>80</v>
      </c>
      <c r="M62" s="4">
        <f t="shared" si="114"/>
        <v>109.60000000000001</v>
      </c>
      <c r="N62" s="4">
        <f t="shared" si="114"/>
        <v>274.85599999999999</v>
      </c>
      <c r="O62" s="4">
        <f t="shared" si="114"/>
        <v>204.95999999999998</v>
      </c>
      <c r="P62" s="4">
        <f>P31*P63</f>
        <v>248.97599999999997</v>
      </c>
      <c r="Q62" s="4">
        <f>Q31*Q63</f>
        <v>244.06200000000001</v>
      </c>
      <c r="R62" s="95"/>
      <c r="S62" s="95"/>
      <c r="V62" s="1048"/>
      <c r="W62" s="1048"/>
      <c r="X62" s="1048"/>
      <c r="Y62" s="1048"/>
      <c r="Z62" s="1048"/>
      <c r="AA62" s="1048"/>
    </row>
    <row r="63" spans="1:29">
      <c r="A63" s="6" t="s">
        <v>356</v>
      </c>
      <c r="B63" s="558">
        <v>0.4</v>
      </c>
      <c r="C63" s="558">
        <v>0.4</v>
      </c>
      <c r="D63" s="558">
        <v>0.4</v>
      </c>
      <c r="E63" s="558">
        <v>0.4</v>
      </c>
      <c r="F63" s="558">
        <v>0.4</v>
      </c>
      <c r="G63" s="558">
        <v>0.4</v>
      </c>
      <c r="H63" s="558">
        <v>0.4</v>
      </c>
      <c r="I63" s="558">
        <v>0.4</v>
      </c>
      <c r="J63" s="558">
        <v>0.4</v>
      </c>
      <c r="K63" s="558">
        <v>0.4</v>
      </c>
      <c r="L63" s="558">
        <v>0.4</v>
      </c>
      <c r="M63" s="558">
        <v>0.4</v>
      </c>
      <c r="N63" s="558">
        <v>0.43</v>
      </c>
      <c r="O63" s="558">
        <v>0.42</v>
      </c>
      <c r="P63" s="558">
        <v>0.42</v>
      </c>
      <c r="Q63" s="558">
        <v>0.42</v>
      </c>
      <c r="R63" s="95"/>
      <c r="S63" s="95"/>
      <c r="V63" s="1048"/>
      <c r="W63" s="1048"/>
      <c r="X63" s="1048"/>
      <c r="Y63" s="1048"/>
      <c r="Z63" s="1048"/>
      <c r="AA63" s="1048"/>
    </row>
    <row r="64" spans="1:29">
      <c r="A64" s="6" t="s">
        <v>1402</v>
      </c>
      <c r="B64" s="4">
        <f t="shared" ref="B64:O64" si="115">B65*B32</f>
        <v>619.16592657232252</v>
      </c>
      <c r="C64" s="4">
        <f t="shared" si="115"/>
        <v>495.23652205716553</v>
      </c>
      <c r="D64" s="4">
        <f t="shared" si="115"/>
        <v>583.89919616042039</v>
      </c>
      <c r="E64" s="4">
        <f t="shared" si="115"/>
        <v>510.57232561731541</v>
      </c>
      <c r="F64" s="4">
        <f t="shared" si="115"/>
        <v>506.6539803390404</v>
      </c>
      <c r="G64" s="4">
        <f t="shared" si="115"/>
        <v>466.87650810963675</v>
      </c>
      <c r="H64" s="4">
        <f t="shared" si="115"/>
        <v>393.44182610744059</v>
      </c>
      <c r="I64" s="4">
        <f t="shared" si="115"/>
        <v>725.12518154144448</v>
      </c>
      <c r="J64" s="4">
        <f t="shared" si="115"/>
        <v>615.73525536160457</v>
      </c>
      <c r="K64" s="4">
        <f t="shared" si="115"/>
        <v>607.6750148355984</v>
      </c>
      <c r="L64" s="4">
        <f t="shared" si="115"/>
        <v>466.77068062791091</v>
      </c>
      <c r="M64" s="4">
        <f t="shared" si="115"/>
        <v>639.93336456660813</v>
      </c>
      <c r="N64" s="4">
        <f t="shared" si="115"/>
        <v>564.01725832314401</v>
      </c>
      <c r="O64" s="4">
        <f t="shared" si="115"/>
        <v>550.85900634008192</v>
      </c>
      <c r="P64" s="4">
        <f>P65*P32</f>
        <v>434.70183275570901</v>
      </c>
      <c r="Q64" s="4">
        <f>Q65*Q32</f>
        <v>343.31562015759664</v>
      </c>
      <c r="R64" s="95"/>
      <c r="S64" s="95"/>
      <c r="V64" s="1048"/>
      <c r="W64" s="1048"/>
      <c r="X64" s="1048"/>
      <c r="Y64" s="1048"/>
      <c r="Z64" s="1048"/>
      <c r="AA64" s="1048"/>
    </row>
    <row r="65" spans="1:29">
      <c r="A65" s="6" t="s">
        <v>1403</v>
      </c>
      <c r="B65" s="558">
        <v>0.6</v>
      </c>
      <c r="C65" s="558">
        <v>0.6</v>
      </c>
      <c r="D65" s="558">
        <v>0.6</v>
      </c>
      <c r="E65" s="558">
        <v>0.55000000000000004</v>
      </c>
      <c r="F65" s="558">
        <v>0.6</v>
      </c>
      <c r="G65" s="558">
        <v>0.6</v>
      </c>
      <c r="H65" s="558">
        <v>0.6</v>
      </c>
      <c r="I65" s="558">
        <v>0.6</v>
      </c>
      <c r="J65" s="558">
        <v>0.61</v>
      </c>
      <c r="K65" s="558">
        <v>0.61</v>
      </c>
      <c r="L65" s="558">
        <f>K65-0.8%</f>
        <v>0.60199999999999998</v>
      </c>
      <c r="M65" s="558">
        <f>+L65+1%</f>
        <v>0.61199999999999999</v>
      </c>
      <c r="N65" s="558">
        <f>+M65</f>
        <v>0.61199999999999999</v>
      </c>
      <c r="O65" s="558">
        <f>+N65</f>
        <v>0.61199999999999999</v>
      </c>
      <c r="P65" s="558">
        <f>+O65</f>
        <v>0.61199999999999999</v>
      </c>
      <c r="Q65" s="558">
        <v>0.61</v>
      </c>
      <c r="R65" s="95"/>
      <c r="S65" s="95"/>
      <c r="V65" s="1048"/>
      <c r="W65" s="1048"/>
      <c r="X65" s="1048"/>
      <c r="Y65" s="1048"/>
      <c r="Z65" s="1048"/>
      <c r="AA65" s="1048"/>
    </row>
    <row r="66" spans="1:29">
      <c r="A66" s="6" t="s">
        <v>1404</v>
      </c>
      <c r="B66" s="4">
        <f t="shared" ref="B66:O66" si="116">B67*B30</f>
        <v>20</v>
      </c>
      <c r="C66" s="4">
        <f t="shared" si="116"/>
        <v>60</v>
      </c>
      <c r="D66" s="4">
        <f t="shared" si="116"/>
        <v>20</v>
      </c>
      <c r="E66" s="4">
        <f t="shared" si="116"/>
        <v>50</v>
      </c>
      <c r="F66" s="4">
        <f t="shared" si="116"/>
        <v>103.88</v>
      </c>
      <c r="G66" s="95">
        <f t="shared" si="116"/>
        <v>33.360000000000007</v>
      </c>
      <c r="H66" s="95">
        <f t="shared" si="116"/>
        <v>80.760000000000005</v>
      </c>
      <c r="I66" s="95">
        <f t="shared" si="116"/>
        <v>93.600000000000009</v>
      </c>
      <c r="J66" s="95">
        <f t="shared" si="116"/>
        <v>87.469199999999987</v>
      </c>
      <c r="K66" s="95">
        <f t="shared" si="116"/>
        <v>83.095739999999992</v>
      </c>
      <c r="L66" s="95">
        <f t="shared" si="116"/>
        <v>91.40531399999999</v>
      </c>
      <c r="M66" s="95">
        <f t="shared" si="116"/>
        <v>90.034234289999986</v>
      </c>
      <c r="N66" s="95">
        <f t="shared" si="116"/>
        <v>87.783378432749984</v>
      </c>
      <c r="O66" s="95">
        <f t="shared" si="116"/>
        <v>79.005040589474987</v>
      </c>
      <c r="P66" s="95">
        <f>P67*P30</f>
        <v>75.054788560001228</v>
      </c>
      <c r="Q66" s="95">
        <f>Q67*Q30</f>
        <v>71.302049132001173</v>
      </c>
      <c r="R66" s="95"/>
      <c r="S66" s="95"/>
      <c r="V66" s="1048"/>
      <c r="W66" s="1048"/>
      <c r="X66" s="1048"/>
      <c r="Y66" s="1048"/>
      <c r="Z66" s="1048"/>
      <c r="AA66" s="1048"/>
    </row>
    <row r="67" spans="1:29">
      <c r="A67" s="6" t="s">
        <v>1405</v>
      </c>
      <c r="B67" s="558">
        <v>0.4</v>
      </c>
      <c r="C67" s="558">
        <f>+B67</f>
        <v>0.4</v>
      </c>
      <c r="D67" s="558">
        <f>+C67</f>
        <v>0.4</v>
      </c>
      <c r="E67" s="558">
        <f>+D67</f>
        <v>0.4</v>
      </c>
      <c r="F67" s="558">
        <v>0.4</v>
      </c>
      <c r="G67" s="558">
        <f>+F67</f>
        <v>0.4</v>
      </c>
      <c r="H67" s="558">
        <f>+G67</f>
        <v>0.4</v>
      </c>
      <c r="I67" s="558">
        <f>+H67</f>
        <v>0.4</v>
      </c>
      <c r="J67" s="398">
        <v>0.42</v>
      </c>
      <c r="K67" s="398">
        <v>0.42</v>
      </c>
      <c r="L67" s="398">
        <v>0.42</v>
      </c>
      <c r="M67" s="398">
        <v>0.42</v>
      </c>
      <c r="N67" s="398">
        <v>0.42</v>
      </c>
      <c r="O67" s="398">
        <v>0.42</v>
      </c>
      <c r="P67" s="398">
        <v>0.42</v>
      </c>
      <c r="Q67" s="398">
        <v>0.42</v>
      </c>
      <c r="R67" s="398"/>
      <c r="S67" s="398"/>
      <c r="T67" s="1048"/>
      <c r="U67" s="1048"/>
      <c r="V67" s="1048"/>
      <c r="W67" s="1048"/>
      <c r="X67" s="1048"/>
      <c r="Y67" s="1048"/>
      <c r="Z67" s="1048"/>
      <c r="AA67" s="1048"/>
    </row>
    <row r="68" spans="1:29">
      <c r="A68" s="6" t="s">
        <v>1406</v>
      </c>
      <c r="B68" s="439">
        <f t="shared" ref="B68:I68" si="117">B70-B66-B61-B59-B58-B56-B54-B53-B51-B49-B64-B62</f>
        <v>214.28897319315206</v>
      </c>
      <c r="C68" s="439">
        <f t="shared" si="117"/>
        <v>308.36273932777056</v>
      </c>
      <c r="D68" s="439">
        <f t="shared" si="117"/>
        <v>441.00772840755394</v>
      </c>
      <c r="E68" s="439">
        <f t="shared" si="117"/>
        <v>420.15131519313843</v>
      </c>
      <c r="F68" s="439">
        <f t="shared" si="117"/>
        <v>256.7047987382478</v>
      </c>
      <c r="G68" s="439">
        <f t="shared" ca="1" si="117"/>
        <v>310.04858120565103</v>
      </c>
      <c r="H68" s="439">
        <f t="shared" ca="1" si="117"/>
        <v>205.20196603258961</v>
      </c>
      <c r="I68" s="439">
        <f t="shared" si="117"/>
        <v>358.27702854634242</v>
      </c>
      <c r="J68" s="439">
        <f>J70-J66-J61-J59-J58-J56-J54-J53-J51-J49-J64-J62</f>
        <v>298.30933851820305</v>
      </c>
      <c r="K68" s="439">
        <f>K70-K66-K61-K59-K58-K56-K54-K53-K51-K49-K64-K62</f>
        <v>371.77001003313217</v>
      </c>
      <c r="L68" s="439">
        <f>L70-L66-L61-L59-L58-L56-L54-L53-L51-L49-L64-L62</f>
        <v>405.49839085682731</v>
      </c>
      <c r="M68" s="439">
        <f>M70-M66-M61-M59-M58-M56-M54-M53-M51-M49-M64-M62</f>
        <v>252.87122727871213</v>
      </c>
      <c r="N68" s="73">
        <f>N46-N72-N49-N51-N53-N54-N56-N58-N59-N61-N62-N64-N66</f>
        <v>525.9459069683196</v>
      </c>
      <c r="O68" s="73">
        <f>O46-O72-O49-O51-O53-O54-O56-O58-O59-O61-O62-O64-O66</f>
        <v>567.66623451108876</v>
      </c>
      <c r="P68" s="73">
        <f>P46-P72-P49-P51-P53-P54-P56-P58-P59-P61-P62-P64-P66</f>
        <v>586.23702258059473</v>
      </c>
      <c r="Q68" s="73">
        <f>Q46-Q72-Q49-Q51-Q53-Q54-Q56-Q58-Q59-Q61-Q62-Q64-Q66</f>
        <v>527.82286044889429</v>
      </c>
      <c r="R68" s="64"/>
      <c r="S68" s="64"/>
      <c r="T68" s="1048"/>
      <c r="U68" s="1048"/>
      <c r="V68" s="1048"/>
      <c r="W68" s="1048"/>
      <c r="X68" s="1048"/>
      <c r="Y68" s="1048"/>
      <c r="Z68" s="1048"/>
      <c r="AA68" s="1048"/>
    </row>
    <row r="69" spans="1:29">
      <c r="A69" s="6" t="s">
        <v>1410</v>
      </c>
      <c r="B69" s="281">
        <f t="shared" ref="B69:M69" si="118">+B68/B42</f>
        <v>7.4082826781349045E-2</v>
      </c>
      <c r="C69" s="281">
        <f t="shared" si="118"/>
        <v>0.11210794026394502</v>
      </c>
      <c r="D69" s="281">
        <f t="shared" si="118"/>
        <v>0.15113006260318673</v>
      </c>
      <c r="E69" s="281">
        <f t="shared" si="118"/>
        <v>0.13762430300157569</v>
      </c>
      <c r="F69" s="281">
        <f t="shared" si="118"/>
        <v>9.9539248663612551E-2</v>
      </c>
      <c r="G69" s="281">
        <f t="shared" ca="1" si="118"/>
        <v>0.11770656685401934</v>
      </c>
      <c r="H69" s="281">
        <f t="shared" ca="1" si="118"/>
        <v>8.4736390960975905E-2</v>
      </c>
      <c r="I69" s="281">
        <f t="shared" si="118"/>
        <v>0.1101422411628341</v>
      </c>
      <c r="J69" s="366">
        <f t="shared" si="118"/>
        <v>9.1989171792624266E-2</v>
      </c>
      <c r="K69" s="366">
        <f t="shared" si="118"/>
        <v>0.11985517879596622</v>
      </c>
      <c r="L69" s="366">
        <f t="shared" si="118"/>
        <v>0.12755526514642312</v>
      </c>
      <c r="M69" s="366">
        <f t="shared" si="118"/>
        <v>6.9786827699251083E-2</v>
      </c>
      <c r="N69" s="1321">
        <f>N68/N42</f>
        <v>0.13436949178465704</v>
      </c>
      <c r="O69" s="1321">
        <f>O68/O42</f>
        <v>0.14657772648482734</v>
      </c>
      <c r="P69" s="1321">
        <f>P68/P42</f>
        <v>0.1534255258239865</v>
      </c>
      <c r="Q69" s="1321">
        <f>Q68/Q42</f>
        <v>0.14492656093432832</v>
      </c>
      <c r="R69" s="39"/>
      <c r="S69" s="39"/>
      <c r="T69" s="1048"/>
      <c r="U69" s="1048"/>
      <c r="V69" s="1048"/>
      <c r="W69" s="1048"/>
      <c r="X69" s="1048"/>
      <c r="Y69" s="1048"/>
      <c r="Z69" s="1048"/>
      <c r="AA69" s="1048"/>
    </row>
    <row r="70" spans="1:29">
      <c r="A70" s="6" t="s">
        <v>826</v>
      </c>
      <c r="B70" s="324">
        <f t="shared" ref="B70:G70" si="119">B46-B72</f>
        <v>1449.2876325</v>
      </c>
      <c r="C70" s="324">
        <f t="shared" si="119"/>
        <v>1478.4440957568358</v>
      </c>
      <c r="D70" s="324">
        <f t="shared" si="119"/>
        <v>1657.5859892105518</v>
      </c>
      <c r="E70" s="324">
        <f t="shared" si="119"/>
        <v>1539.2189648282674</v>
      </c>
      <c r="F70" s="324">
        <f t="shared" si="119"/>
        <v>1283.4460019365642</v>
      </c>
      <c r="G70" s="324">
        <f t="shared" ca="1" si="119"/>
        <v>1413.1586045405043</v>
      </c>
      <c r="H70" s="324">
        <f t="shared" ref="H70:M70" ca="1" si="120">H46-H72</f>
        <v>1214.1654686000184</v>
      </c>
      <c r="I70" s="324">
        <f t="shared" si="120"/>
        <v>1785.345735589015</v>
      </c>
      <c r="J70" s="325">
        <f t="shared" si="120"/>
        <v>1776.9030066334908</v>
      </c>
      <c r="K70" s="325">
        <f t="shared" si="120"/>
        <v>1688.4253918968088</v>
      </c>
      <c r="L70" s="325">
        <f t="shared" si="120"/>
        <v>1679.9767082537619</v>
      </c>
      <c r="M70" s="325">
        <f t="shared" si="120"/>
        <v>1737.9888224478807</v>
      </c>
      <c r="N70" s="1081">
        <f>N49+N51+N53+N54+N56+N58+N59+N61+N64+N66+N68+N62</f>
        <v>2124.6796133237021</v>
      </c>
      <c r="O70" s="1081">
        <f>O49+O51+O53+O54+O56+O58+O59+O61+O64+O66+O68+O62</f>
        <v>2118.1389940501408</v>
      </c>
      <c r="P70" s="1081">
        <f>P49+P51+P53+P54+P56+P58+P59+P61+P64+P66+P68+P62</f>
        <v>2060.3110807291746</v>
      </c>
      <c r="Q70" s="1081">
        <f>Q49+Q51+Q53+Q54+Q56+Q58+Q59+Q61+Q64+Q66+Q68+Q62</f>
        <v>1885.2253330666667</v>
      </c>
      <c r="R70" s="628">
        <f t="shared" ref="R70:Z70" si="121">R46-R72</f>
        <v>2026.2305541454798</v>
      </c>
      <c r="S70" s="628">
        <f t="shared" si="121"/>
        <v>2077.1037251939065</v>
      </c>
      <c r="T70" s="628">
        <f t="shared" si="121"/>
        <v>2149.8847456294188</v>
      </c>
      <c r="U70" s="628">
        <f t="shared" si="121"/>
        <v>2223.3867761366491</v>
      </c>
      <c r="V70" s="628">
        <f t="shared" si="121"/>
        <v>2301.0760411795268</v>
      </c>
      <c r="W70" s="628">
        <f t="shared" si="121"/>
        <v>2376.6664051959815</v>
      </c>
      <c r="X70" s="628">
        <f t="shared" si="121"/>
        <v>2449.7609381340189</v>
      </c>
      <c r="Y70" s="628">
        <f t="shared" si="121"/>
        <v>2519.2038170909427</v>
      </c>
      <c r="Z70" s="628">
        <f t="shared" si="121"/>
        <v>2584.4826330638634</v>
      </c>
      <c r="AA70" s="628">
        <f>AA46-AA72</f>
        <v>2645.0874939824198</v>
      </c>
      <c r="AB70" s="628">
        <f>AB46-AB72</f>
        <v>2699.6524488715777</v>
      </c>
      <c r="AC70" s="628">
        <f>AC46-AC72</f>
        <v>2749.3818832611587</v>
      </c>
    </row>
    <row r="71" spans="1:29">
      <c r="A71" s="11"/>
      <c r="B71" s="1081"/>
      <c r="C71" s="1081"/>
      <c r="D71" s="1081"/>
      <c r="E71" s="1081"/>
      <c r="F71" s="1081"/>
      <c r="G71" s="1081"/>
      <c r="H71" s="1081"/>
      <c r="I71" s="1081"/>
      <c r="J71" s="1081"/>
      <c r="K71" s="1081"/>
      <c r="L71" s="1081"/>
      <c r="M71" s="1081"/>
      <c r="N71" s="2062"/>
      <c r="O71" s="88"/>
      <c r="P71" s="88"/>
      <c r="Q71" s="628">
        <f>Q70-Q66-Q68</f>
        <v>1286.1004234857712</v>
      </c>
      <c r="R71" s="628"/>
      <c r="S71" s="628"/>
      <c r="T71" s="628"/>
      <c r="U71" s="628"/>
      <c r="V71" s="628"/>
      <c r="W71" s="628"/>
      <c r="X71" s="628"/>
      <c r="Y71" s="628"/>
      <c r="Z71" s="628"/>
      <c r="AA71" s="628"/>
      <c r="AB71" s="628"/>
      <c r="AC71" s="628"/>
    </row>
    <row r="72" spans="1:29">
      <c r="A72" s="6" t="s">
        <v>1082</v>
      </c>
      <c r="B72" s="1072">
        <f>'Segment Detail'!R140</f>
        <v>573.60020000000009</v>
      </c>
      <c r="C72" s="1072">
        <f>'Segment Detail'!Y140</f>
        <v>435.11103357066918</v>
      </c>
      <c r="D72" s="1072">
        <f>'Segment Detail'!Z140</f>
        <v>324.09170374774101</v>
      </c>
      <c r="E72" s="1072">
        <f>'Segment Detail'!AA140</f>
        <v>589.23684503308505</v>
      </c>
      <c r="F72" s="1072">
        <f>'Segment Detail'!AB140</f>
        <v>562.44017959050313</v>
      </c>
      <c r="G72" s="1072">
        <f ca="1">'Segment Detail'!AC140</f>
        <v>588.91075451527695</v>
      </c>
      <c r="H72" s="1072">
        <f ca="1">'Segment Detail'!AD140</f>
        <v>574.22473203085883</v>
      </c>
      <c r="I72" s="1072">
        <f>'Segment Detail'!AE140</f>
        <v>784.5983421686733</v>
      </c>
      <c r="J72" s="1186">
        <f>'Segment Detail'!AF140</f>
        <v>811.71295188571366</v>
      </c>
      <c r="K72" s="1186">
        <f>'Segment Detail'!AG140</f>
        <v>728.20794041364763</v>
      </c>
      <c r="L72" s="1186">
        <f>'Segment Detail'!AH140</f>
        <v>788.78363915269722</v>
      </c>
      <c r="M72" s="1186">
        <f>'Segment Detail'!AI140</f>
        <v>1129.2408198762516</v>
      </c>
      <c r="N72" s="1186">
        <f>'Segment Detail'!AJ140</f>
        <v>1097.1242780884916</v>
      </c>
      <c r="O72" s="1186">
        <f>'Segment Detail'!AK140</f>
        <v>1042.695549435507</v>
      </c>
      <c r="P72" s="234">
        <f>'Segment Detail'!AL140</f>
        <v>952.71760805640679</v>
      </c>
      <c r="Q72" s="234">
        <f>'Segment Detail'!AM140</f>
        <v>924.57929572869148</v>
      </c>
      <c r="R72" s="234">
        <f>'Segment Detail'!AN140</f>
        <v>912.81956230781645</v>
      </c>
      <c r="S72" s="234">
        <f>'Segment Detail'!AO140</f>
        <v>983.6685037622866</v>
      </c>
      <c r="T72" s="234">
        <f>'Segment Detail'!AP140</f>
        <v>1022.8111310264569</v>
      </c>
      <c r="U72" s="234">
        <f>'Segment Detail'!AQ140</f>
        <v>1062.6291837925703</v>
      </c>
      <c r="V72" s="234">
        <f>'Segment Detail'!AR140</f>
        <v>1104.7930670877872</v>
      </c>
      <c r="W72" s="234">
        <f>'Segment Detail'!AS140</f>
        <v>1146.2999406728611</v>
      </c>
      <c r="X72" s="234">
        <f>'Segment Detail'!AT140</f>
        <v>1186.9452125283426</v>
      </c>
      <c r="Y72" s="234">
        <f>'Segment Detail'!AU140</f>
        <v>1226.1513437785261</v>
      </c>
      <c r="Z72" s="234">
        <f>'Segment Detail'!AV140</f>
        <v>1263.6450599277696</v>
      </c>
      <c r="AA72" s="234">
        <f>'Segment Detail'!AW140</f>
        <v>1299.1496363805193</v>
      </c>
      <c r="AB72" s="234">
        <f>'Segment Detail'!AX140</f>
        <v>1331.9612851769882</v>
      </c>
      <c r="AC72" s="234">
        <f>'Segment Detail'!AY140</f>
        <v>1362.6377361948826</v>
      </c>
    </row>
    <row r="73" spans="1:29">
      <c r="A73" s="6" t="s">
        <v>1411</v>
      </c>
      <c r="B73" s="38">
        <f t="shared" ref="B73:J73" si="122">+B72/B46</f>
        <v>0.28355511896629099</v>
      </c>
      <c r="C73" s="38">
        <f t="shared" si="122"/>
        <v>0.22738358926903951</v>
      </c>
      <c r="D73" s="38">
        <f t="shared" si="122"/>
        <v>0.16354410452283472</v>
      </c>
      <c r="E73" s="38">
        <f t="shared" si="122"/>
        <v>0.27683771601134061</v>
      </c>
      <c r="F73" s="38">
        <f t="shared" si="122"/>
        <v>0.30469927410432579</v>
      </c>
      <c r="G73" s="38">
        <f t="shared" ca="1" si="122"/>
        <v>0.29415102521374176</v>
      </c>
      <c r="H73" s="39">
        <f t="shared" ca="1" si="122"/>
        <v>0.32108470054705834</v>
      </c>
      <c r="I73" s="38">
        <f t="shared" si="122"/>
        <v>0.30529782689016571</v>
      </c>
      <c r="J73" s="39">
        <f t="shared" si="122"/>
        <v>0.31357024946645506</v>
      </c>
      <c r="K73" s="39">
        <f t="shared" ref="K73:S73" si="123">+K72/K46</f>
        <v>0.30133158004463761</v>
      </c>
      <c r="L73" s="39">
        <f t="shared" si="123"/>
        <v>0.31950595770924017</v>
      </c>
      <c r="M73" s="39">
        <f t="shared" si="123"/>
        <v>0.39384387047592961</v>
      </c>
      <c r="N73" s="39">
        <f t="shared" si="123"/>
        <v>0.34053105498224345</v>
      </c>
      <c r="O73" s="39">
        <f t="shared" si="123"/>
        <v>0.32987982606823257</v>
      </c>
      <c r="P73" s="39">
        <f t="shared" si="123"/>
        <v>0.31619931519483979</v>
      </c>
      <c r="Q73" s="39">
        <f t="shared" si="123"/>
        <v>0.32905465606165096</v>
      </c>
      <c r="R73" s="39">
        <f t="shared" si="123"/>
        <v>0.31058319053414546</v>
      </c>
      <c r="S73" s="39">
        <f t="shared" si="123"/>
        <v>0.32137919132183984</v>
      </c>
      <c r="T73" s="39">
        <f t="shared" ref="T73:Y73" si="124">+T72/T46</f>
        <v>0.32237919132183984</v>
      </c>
      <c r="U73" s="39">
        <f t="shared" si="124"/>
        <v>0.32337919132183984</v>
      </c>
      <c r="V73" s="39">
        <f t="shared" si="124"/>
        <v>0.3243791913218399</v>
      </c>
      <c r="W73" s="39">
        <f t="shared" si="124"/>
        <v>0.32537919132183984</v>
      </c>
      <c r="X73" s="39">
        <f t="shared" si="124"/>
        <v>0.32637919132183985</v>
      </c>
      <c r="Y73" s="39">
        <f t="shared" si="124"/>
        <v>0.32737919132183985</v>
      </c>
      <c r="Z73" s="39">
        <f>+Z72/Z46</f>
        <v>0.32837919132183985</v>
      </c>
      <c r="AA73" s="39">
        <f>+AA72/AA46</f>
        <v>0.32937919132183985</v>
      </c>
      <c r="AB73" s="39">
        <f>+AB72/AB46</f>
        <v>0.33037919132183985</v>
      </c>
      <c r="AC73" s="39">
        <f>+AC72/AC46</f>
        <v>0.33137919132183985</v>
      </c>
    </row>
    <row r="74" spans="1:29">
      <c r="A74" s="6"/>
      <c r="B74" s="38"/>
      <c r="C74" s="38"/>
      <c r="D74" s="38"/>
      <c r="E74" s="38"/>
      <c r="F74" s="38"/>
      <c r="G74" s="38"/>
      <c r="H74" s="39"/>
      <c r="I74" s="38"/>
      <c r="J74" s="39"/>
      <c r="K74" s="39">
        <f>(K72-K31*0.6-'Off-network Syndication'!U62/1000*0.4)/(J72-J31*0.6-'Off-network Syndication'!T62/1000*0.4)-1</f>
        <v>1.0962398697635489E-2</v>
      </c>
      <c r="L74" s="39">
        <f>(L72-L31*0.6-'Off-network Syndication'!V62/1000*0.4)/(K72-K31*0.6-'Off-network Syndication'!U62/1000*0.4)-1</f>
        <v>-8.7026759800653108E-2</v>
      </c>
      <c r="M74" s="39">
        <f>(M72-M31*0.6-'Off-network Syndication'!W62/1000*0.4)/(L72-L31*0.6-'Off-network Syndication'!V62/1000*0.4)-1</f>
        <v>0.52178150469587226</v>
      </c>
      <c r="N74" s="39">
        <f>(N72-N31*0.6-'Off-network Syndication'!X62/1000*0.4)/(M72-M31*0.6-'Off-network Syndication'!W62/1000*0.4)-1</f>
        <v>-0.32266660594500007</v>
      </c>
      <c r="O74" s="39">
        <f>(O72-O31*0.6-'Off-network Syndication'!Y62/1000*0.4)/(N72-N31*0.6-'Off-network Syndication'!X62/1000*0.4)-1</f>
        <v>-6.2903590643951235E-3</v>
      </c>
      <c r="P74" s="39">
        <f>P72/(O72-215*0.4)-1</f>
        <v>-4.1580013426919527E-3</v>
      </c>
      <c r="Q74" s="39">
        <f t="shared" ref="Q74:W74" si="125">Q72/P72-1</f>
        <v>-2.9534787737490187E-2</v>
      </c>
      <c r="R74" s="39">
        <f>R72/Q72-1</f>
        <v>-1.2719010121902796E-2</v>
      </c>
      <c r="S74" s="39">
        <f t="shared" si="125"/>
        <v>7.7615494211526137E-2</v>
      </c>
      <c r="T74" s="39">
        <f t="shared" si="125"/>
        <v>3.9792498300453394E-2</v>
      </c>
      <c r="U74" s="39">
        <f t="shared" si="125"/>
        <v>3.893001509101035E-2</v>
      </c>
      <c r="V74" s="39">
        <f t="shared" si="125"/>
        <v>3.967883052555754E-2</v>
      </c>
      <c r="W74" s="39">
        <f t="shared" si="125"/>
        <v>3.7569817209737844E-2</v>
      </c>
      <c r="X74" s="39">
        <f t="shared" ref="X74:AC74" si="126">X72/W72-1</f>
        <v>3.5457798097436211E-2</v>
      </c>
      <c r="Y74" s="39">
        <f t="shared" si="126"/>
        <v>3.3031121265209462E-2</v>
      </c>
      <c r="Z74" s="39">
        <f t="shared" si="126"/>
        <v>3.0578375450539541E-2</v>
      </c>
      <c r="AA74" s="39">
        <f t="shared" si="126"/>
        <v>2.8096953471079322E-2</v>
      </c>
      <c r="AB74" s="39">
        <f t="shared" si="126"/>
        <v>2.5256250610117048E-2</v>
      </c>
      <c r="AC74" s="39">
        <f t="shared" si="126"/>
        <v>2.303103803337514E-2</v>
      </c>
    </row>
    <row r="75" spans="1:29">
      <c r="A75" s="6" t="s">
        <v>1412</v>
      </c>
      <c r="B75" s="229">
        <f t="shared" ref="B75:O75" si="127">(B16+B43)-(B49+B51+B53)</f>
        <v>-175.16880000000015</v>
      </c>
      <c r="C75" s="229">
        <f t="shared" si="127"/>
        <v>-179.31432600000005</v>
      </c>
      <c r="D75" s="229">
        <f t="shared" si="127"/>
        <v>-191.09423119693474</v>
      </c>
      <c r="E75" s="229">
        <f t="shared" si="127"/>
        <v>-134.95269066067044</v>
      </c>
      <c r="F75" s="229">
        <f t="shared" si="127"/>
        <v>-197.01362586260927</v>
      </c>
      <c r="G75" s="229">
        <f t="shared" si="127"/>
        <v>-165.91280476874999</v>
      </c>
      <c r="H75" s="229">
        <f t="shared" si="127"/>
        <v>-190.14377999999999</v>
      </c>
      <c r="I75" s="229">
        <f t="shared" si="127"/>
        <v>-210.71226794999995</v>
      </c>
      <c r="J75" s="230">
        <f t="shared" si="127"/>
        <v>-229.42405887159998</v>
      </c>
      <c r="K75" s="230">
        <f t="shared" si="127"/>
        <v>-207.43430005041</v>
      </c>
      <c r="L75" s="230">
        <f t="shared" si="127"/>
        <v>-216.19385013331055</v>
      </c>
      <c r="M75" s="230">
        <f t="shared" si="127"/>
        <v>-226.97474116534329</v>
      </c>
      <c r="N75" s="230">
        <f t="shared" si="127"/>
        <v>-204.86421953023148</v>
      </c>
      <c r="O75" s="230">
        <f t="shared" si="127"/>
        <v>-202.05872933613648</v>
      </c>
      <c r="P75" s="230">
        <f>(P16+P43)-(P49+P51+P53)</f>
        <v>-235.51790965519302</v>
      </c>
      <c r="Q75" s="230">
        <f>(Q16+Q43)-(Q49+Q51+Q53)</f>
        <v>-248.04000000000008</v>
      </c>
      <c r="R75" s="230"/>
      <c r="S75" s="230"/>
      <c r="T75" s="230"/>
      <c r="U75" s="230"/>
      <c r="V75" s="230"/>
      <c r="W75" s="230"/>
      <c r="X75" s="230"/>
      <c r="Y75" s="230"/>
      <c r="Z75" s="230"/>
      <c r="AA75" s="230"/>
    </row>
    <row r="76" spans="1:29">
      <c r="A76" s="6" t="s">
        <v>1413</v>
      </c>
      <c r="B76" s="229">
        <f t="shared" ref="B76:O76" si="128">B25-B54</f>
        <v>154.96153846153845</v>
      </c>
      <c r="C76" s="229">
        <f t="shared" si="128"/>
        <v>161.15999999999997</v>
      </c>
      <c r="D76" s="229">
        <f t="shared" si="128"/>
        <v>167.60640000000001</v>
      </c>
      <c r="E76" s="229">
        <f t="shared" si="128"/>
        <v>193.392</v>
      </c>
      <c r="F76" s="229">
        <f t="shared" si="128"/>
        <v>204.22195199999996</v>
      </c>
      <c r="G76" s="229">
        <f t="shared" si="128"/>
        <v>233.92696319999996</v>
      </c>
      <c r="H76" s="229">
        <f t="shared" si="128"/>
        <v>213.87608063999997</v>
      </c>
      <c r="I76" s="229">
        <f t="shared" si="128"/>
        <v>336.85482700799997</v>
      </c>
      <c r="J76" s="230">
        <f t="shared" si="128"/>
        <v>338.2864600227839</v>
      </c>
      <c r="K76" s="230">
        <f t="shared" si="128"/>
        <v>372.1151060250624</v>
      </c>
      <c r="L76" s="230">
        <f t="shared" si="128"/>
        <v>414.57439376381956</v>
      </c>
      <c r="M76" s="230">
        <f t="shared" si="128"/>
        <v>476.76055282839252</v>
      </c>
      <c r="N76" s="230">
        <f t="shared" si="128"/>
        <v>524.43660811123175</v>
      </c>
      <c r="O76" s="230">
        <f t="shared" si="128"/>
        <v>561.14717067901802</v>
      </c>
      <c r="P76" s="230">
        <f>P25-P54</f>
        <v>568.03085104482318</v>
      </c>
      <c r="Q76" s="230">
        <f>Q25-Q54</f>
        <v>590.75208508661615</v>
      </c>
      <c r="R76" s="230"/>
      <c r="S76" s="230"/>
      <c r="T76" s="230"/>
      <c r="U76" s="230"/>
      <c r="V76" s="230"/>
      <c r="W76" s="230"/>
      <c r="X76" s="230"/>
      <c r="Y76" s="230"/>
      <c r="Z76" s="230"/>
      <c r="AA76" s="230"/>
    </row>
    <row r="77" spans="1:29">
      <c r="A77" s="6" t="s">
        <v>1414</v>
      </c>
      <c r="B77" s="229">
        <f t="shared" ref="B77:O77" si="129">(B29+B45)-(B56+B58)</f>
        <v>160.74581701673196</v>
      </c>
      <c r="C77" s="229">
        <f t="shared" si="129"/>
        <v>164.73708419366324</v>
      </c>
      <c r="D77" s="229">
        <f t="shared" si="129"/>
        <v>180.48779924528304</v>
      </c>
      <c r="E77" s="229">
        <f t="shared" si="129"/>
        <v>201.71535720000003</v>
      </c>
      <c r="F77" s="229">
        <f t="shared" si="129"/>
        <v>217.51399863200004</v>
      </c>
      <c r="G77" s="229">
        <f t="shared" si="129"/>
        <v>230.56483854992001</v>
      </c>
      <c r="H77" s="229">
        <f t="shared" si="129"/>
        <v>249.9398466851552</v>
      </c>
      <c r="I77" s="229">
        <f t="shared" si="129"/>
        <v>275.72269062938614</v>
      </c>
      <c r="J77" s="230">
        <f t="shared" si="129"/>
        <v>297.10378664449354</v>
      </c>
      <c r="K77" s="230">
        <f t="shared" si="129"/>
        <v>330.54655039690834</v>
      </c>
      <c r="L77" s="230">
        <f t="shared" si="129"/>
        <v>343.7976018907957</v>
      </c>
      <c r="M77" s="230">
        <f t="shared" si="129"/>
        <v>346.43275728870549</v>
      </c>
      <c r="N77" s="230">
        <f t="shared" si="129"/>
        <v>337.05496201880567</v>
      </c>
      <c r="O77" s="230">
        <f t="shared" si="129"/>
        <v>347.56013444615223</v>
      </c>
      <c r="P77" s="230">
        <f>(P29+P45)-(P56+P58)</f>
        <v>356.06372069333906</v>
      </c>
      <c r="Q77" s="230">
        <f>(Q29+Q45)-(Q56+Q58)</f>
        <v>362.94686467131197</v>
      </c>
      <c r="R77" s="230"/>
      <c r="S77" s="230"/>
      <c r="T77" s="230"/>
      <c r="U77" s="230"/>
      <c r="V77" s="230"/>
      <c r="W77" s="230"/>
      <c r="X77" s="230"/>
      <c r="Y77" s="230"/>
      <c r="Z77" s="230"/>
      <c r="AA77" s="230"/>
    </row>
    <row r="78" spans="1:29">
      <c r="A78" s="6" t="s">
        <v>1415</v>
      </c>
      <c r="B78" s="123">
        <f t="shared" ref="B78:O78" si="130">(B28+B44)-(B59+B61)</f>
        <v>204.57333333333332</v>
      </c>
      <c r="C78" s="123">
        <f t="shared" si="130"/>
        <v>176.73333333333332</v>
      </c>
      <c r="D78" s="123">
        <f t="shared" si="130"/>
        <v>188.83333333333337</v>
      </c>
      <c r="E78" s="123">
        <f t="shared" si="130"/>
        <v>256.49249999999995</v>
      </c>
      <c r="F78" s="123">
        <f t="shared" si="130"/>
        <v>100.83333333333334</v>
      </c>
      <c r="G78" s="123">
        <f t="shared" si="130"/>
        <v>239.08933333333334</v>
      </c>
      <c r="H78" s="123">
        <f t="shared" si="130"/>
        <v>122.32</v>
      </c>
      <c r="I78" s="123">
        <f t="shared" si="130"/>
        <v>117.19333333333333</v>
      </c>
      <c r="J78" s="127">
        <f t="shared" si="130"/>
        <v>189.5985</v>
      </c>
      <c r="K78" s="127">
        <f t="shared" si="130"/>
        <v>101.48580000000001</v>
      </c>
      <c r="L78" s="127">
        <f t="shared" si="130"/>
        <v>97.281599999999997</v>
      </c>
      <c r="M78" s="127">
        <f t="shared" si="130"/>
        <v>91.451099999999997</v>
      </c>
      <c r="N78" s="127">
        <f t="shared" si="130"/>
        <v>123.2946</v>
      </c>
      <c r="O78" s="127">
        <f t="shared" si="130"/>
        <v>162.33360000000002</v>
      </c>
      <c r="P78" s="127">
        <f>(P28+P44)-(P59+P61)</f>
        <v>127.3116</v>
      </c>
      <c r="Q78" s="127">
        <f>(Q28+Q44)-(Q59+Q61)</f>
        <v>91.743600000000015</v>
      </c>
      <c r="R78" s="127"/>
      <c r="S78" s="127"/>
      <c r="T78" s="127"/>
      <c r="U78" s="127"/>
      <c r="V78" s="127"/>
      <c r="W78" s="127"/>
      <c r="X78" s="127"/>
      <c r="Y78" s="127"/>
      <c r="Z78" s="127"/>
      <c r="AA78" s="127"/>
    </row>
    <row r="79" spans="1:29">
      <c r="A79" s="6" t="s">
        <v>357</v>
      </c>
      <c r="B79" s="123">
        <f t="shared" ref="B79:O79" si="131">B31-B62</f>
        <v>0</v>
      </c>
      <c r="C79" s="123">
        <f t="shared" si="131"/>
        <v>0</v>
      </c>
      <c r="D79" s="123">
        <f t="shared" si="131"/>
        <v>0</v>
      </c>
      <c r="E79" s="123">
        <f t="shared" si="131"/>
        <v>0</v>
      </c>
      <c r="F79" s="123">
        <f t="shared" si="131"/>
        <v>0</v>
      </c>
      <c r="G79" s="123">
        <f t="shared" si="131"/>
        <v>0</v>
      </c>
      <c r="H79" s="123">
        <f t="shared" si="131"/>
        <v>0</v>
      </c>
      <c r="I79" s="123">
        <f t="shared" si="131"/>
        <v>0</v>
      </c>
      <c r="J79" s="127">
        <f t="shared" si="131"/>
        <v>0</v>
      </c>
      <c r="K79" s="127">
        <f t="shared" si="131"/>
        <v>0</v>
      </c>
      <c r="L79" s="127">
        <f t="shared" si="131"/>
        <v>120</v>
      </c>
      <c r="M79" s="127">
        <f t="shared" si="131"/>
        <v>164.39999999999998</v>
      </c>
      <c r="N79" s="127">
        <f t="shared" si="131"/>
        <v>364.34400000000005</v>
      </c>
      <c r="O79" s="127">
        <f t="shared" si="131"/>
        <v>283.04000000000002</v>
      </c>
      <c r="P79" s="127">
        <f>P31-P62</f>
        <v>343.82399999999996</v>
      </c>
      <c r="Q79" s="127">
        <f>Q31-Q62</f>
        <v>337.03800000000001</v>
      </c>
      <c r="R79" s="127"/>
      <c r="S79" s="127"/>
      <c r="T79" s="127"/>
      <c r="U79" s="127"/>
      <c r="V79" s="127"/>
      <c r="W79" s="127"/>
      <c r="X79" s="127"/>
      <c r="Y79" s="127"/>
      <c r="Z79" s="127"/>
      <c r="AA79" s="127"/>
    </row>
    <row r="80" spans="1:29">
      <c r="A80" s="6" t="s">
        <v>1416</v>
      </c>
      <c r="B80" s="123">
        <f t="shared" ref="B80:O80" si="132">B32-B64</f>
        <v>412.77728438154838</v>
      </c>
      <c r="C80" s="123">
        <f t="shared" si="132"/>
        <v>330.15768137144369</v>
      </c>
      <c r="D80" s="123">
        <f t="shared" si="132"/>
        <v>389.26613077361355</v>
      </c>
      <c r="E80" s="123">
        <f t="shared" si="132"/>
        <v>417.7409936868944</v>
      </c>
      <c r="F80" s="123">
        <f t="shared" si="132"/>
        <v>337.76932022602699</v>
      </c>
      <c r="G80" s="123">
        <f t="shared" si="132"/>
        <v>311.25100540642455</v>
      </c>
      <c r="H80" s="123">
        <f t="shared" si="132"/>
        <v>262.29455073829371</v>
      </c>
      <c r="I80" s="123">
        <f t="shared" si="132"/>
        <v>483.41678769429643</v>
      </c>
      <c r="J80" s="123">
        <f t="shared" si="132"/>
        <v>393.66680260823898</v>
      </c>
      <c r="K80" s="123">
        <f t="shared" si="132"/>
        <v>388.51353407521867</v>
      </c>
      <c r="L80" s="123">
        <f t="shared" si="132"/>
        <v>308.5958984882202</v>
      </c>
      <c r="M80" s="123">
        <f t="shared" si="132"/>
        <v>405.70938799320902</v>
      </c>
      <c r="N80" s="123">
        <f t="shared" si="132"/>
        <v>357.57956900225474</v>
      </c>
      <c r="O80" s="123">
        <f t="shared" si="132"/>
        <v>349.23740924828724</v>
      </c>
      <c r="P80" s="123">
        <f>P32-P64</f>
        <v>275.5952795902208</v>
      </c>
      <c r="Q80" s="123">
        <f>Q32-Q64</f>
        <v>219.49687190403722</v>
      </c>
      <c r="R80" s="123"/>
      <c r="S80" s="123"/>
      <c r="T80" s="123"/>
      <c r="U80" s="123"/>
      <c r="V80" s="127"/>
      <c r="W80" s="127"/>
      <c r="X80" s="127"/>
      <c r="Y80" s="127"/>
      <c r="Z80" s="127"/>
      <c r="AA80" s="127"/>
    </row>
    <row r="81" spans="1:30">
      <c r="A81" s="6" t="s">
        <v>1417</v>
      </c>
      <c r="B81" s="123">
        <f t="shared" ref="B81:O81" si="133">B30-B66</f>
        <v>30</v>
      </c>
      <c r="C81" s="123">
        <f t="shared" si="133"/>
        <v>90</v>
      </c>
      <c r="D81" s="123">
        <f t="shared" si="133"/>
        <v>30</v>
      </c>
      <c r="E81" s="123">
        <f t="shared" si="133"/>
        <v>75</v>
      </c>
      <c r="F81" s="123">
        <f t="shared" si="133"/>
        <v>155.82</v>
      </c>
      <c r="G81" s="123">
        <f t="shared" si="133"/>
        <v>50.04</v>
      </c>
      <c r="H81" s="123">
        <f t="shared" si="133"/>
        <v>121.14</v>
      </c>
      <c r="I81" s="123">
        <f t="shared" si="133"/>
        <v>140.39999999999998</v>
      </c>
      <c r="J81" s="123">
        <f t="shared" si="133"/>
        <v>120.7908</v>
      </c>
      <c r="K81" s="123">
        <f t="shared" si="133"/>
        <v>114.75125999999999</v>
      </c>
      <c r="L81" s="123">
        <f t="shared" si="133"/>
        <v>126.22638600000001</v>
      </c>
      <c r="M81" s="123">
        <f t="shared" si="133"/>
        <v>124.33299021000001</v>
      </c>
      <c r="N81" s="123">
        <f t="shared" si="133"/>
        <v>121.22466545475</v>
      </c>
      <c r="O81" s="123">
        <f t="shared" si="133"/>
        <v>109.10219890927499</v>
      </c>
      <c r="P81" s="123">
        <f>P30-P66</f>
        <v>103.64708896381124</v>
      </c>
      <c r="Q81" s="123">
        <f>Q30-Q66</f>
        <v>98.464734515620677</v>
      </c>
      <c r="R81" s="123"/>
      <c r="S81" s="123"/>
      <c r="T81" s="123"/>
      <c r="U81" s="123"/>
      <c r="V81" s="127"/>
      <c r="W81" s="127"/>
      <c r="X81" s="127"/>
      <c r="Y81" s="127"/>
      <c r="Z81" s="127"/>
      <c r="AA81" s="127"/>
    </row>
    <row r="82" spans="1:30">
      <c r="A82" s="6" t="s">
        <v>1418</v>
      </c>
      <c r="B82" s="916">
        <f t="shared" ref="B82:J82" si="134">-B68</f>
        <v>-214.28897319315206</v>
      </c>
      <c r="C82" s="916">
        <f t="shared" si="134"/>
        <v>-308.36273932777056</v>
      </c>
      <c r="D82" s="916">
        <f t="shared" si="134"/>
        <v>-441.00772840755394</v>
      </c>
      <c r="E82" s="916">
        <f t="shared" si="134"/>
        <v>-420.15131519313843</v>
      </c>
      <c r="F82" s="916">
        <f t="shared" si="134"/>
        <v>-256.7047987382478</v>
      </c>
      <c r="G82" s="916">
        <f t="shared" ca="1" si="134"/>
        <v>-310.04858120565103</v>
      </c>
      <c r="H82" s="916">
        <f t="shared" ca="1" si="134"/>
        <v>-205.20196603258961</v>
      </c>
      <c r="I82" s="916">
        <f t="shared" si="134"/>
        <v>-358.27702854634242</v>
      </c>
      <c r="J82" s="916">
        <f t="shared" si="134"/>
        <v>-298.30933851820305</v>
      </c>
      <c r="K82" s="916">
        <f t="shared" ref="K82:P82" si="135">-K68</f>
        <v>-371.77001003313217</v>
      </c>
      <c r="L82" s="916">
        <f t="shared" si="135"/>
        <v>-405.49839085682731</v>
      </c>
      <c r="M82" s="916">
        <f t="shared" si="135"/>
        <v>-252.87122727871213</v>
      </c>
      <c r="N82" s="916">
        <f t="shared" si="135"/>
        <v>-525.9459069683196</v>
      </c>
      <c r="O82" s="916">
        <f t="shared" si="135"/>
        <v>-567.66623451108876</v>
      </c>
      <c r="P82" s="916">
        <f t="shared" si="135"/>
        <v>-586.23702258059473</v>
      </c>
      <c r="Q82" s="916">
        <f>-Q68</f>
        <v>-527.82286044889429</v>
      </c>
      <c r="R82" s="123"/>
      <c r="S82" s="123"/>
      <c r="T82" s="123"/>
      <c r="U82" s="123"/>
      <c r="V82" s="127"/>
      <c r="W82" s="127"/>
      <c r="X82" s="127"/>
      <c r="Y82" s="127"/>
      <c r="Z82" s="127"/>
      <c r="AA82" s="127"/>
    </row>
    <row r="83" spans="1:30">
      <c r="A83" s="6" t="s">
        <v>732</v>
      </c>
      <c r="B83" s="327">
        <f t="shared" ref="B83:L83" si="136">SUM(B75:B82)</f>
        <v>573.60019999999986</v>
      </c>
      <c r="C83" s="327">
        <f t="shared" si="136"/>
        <v>435.11103357066963</v>
      </c>
      <c r="D83" s="327">
        <f t="shared" si="136"/>
        <v>324.09170374774135</v>
      </c>
      <c r="E83" s="327">
        <f t="shared" si="136"/>
        <v>589.2368450330855</v>
      </c>
      <c r="F83" s="327">
        <f t="shared" si="136"/>
        <v>562.44017959050325</v>
      </c>
      <c r="G83" s="327">
        <f t="shared" ca="1" si="136"/>
        <v>588.91075451527672</v>
      </c>
      <c r="H83" s="327">
        <f t="shared" ca="1" si="136"/>
        <v>574.22473203085929</v>
      </c>
      <c r="I83" s="327">
        <f t="shared" si="136"/>
        <v>784.59834216867341</v>
      </c>
      <c r="J83" s="327">
        <f t="shared" si="136"/>
        <v>811.71295188571344</v>
      </c>
      <c r="K83" s="327">
        <f t="shared" si="136"/>
        <v>728.20794041364729</v>
      </c>
      <c r="L83" s="327">
        <f t="shared" si="136"/>
        <v>788.78363915269767</v>
      </c>
      <c r="M83" s="327">
        <f>SUM(M75:M82)</f>
        <v>1129.2408198762514</v>
      </c>
      <c r="N83" s="327">
        <f>SUM(N75:N82)</f>
        <v>1097.1242780884913</v>
      </c>
      <c r="O83" s="327">
        <f>SUM(O75:O82)</f>
        <v>1042.6955494355072</v>
      </c>
      <c r="P83" s="327">
        <f>SUM(P75:P82)</f>
        <v>952.71760805640645</v>
      </c>
      <c r="Q83" s="327">
        <f>SUM(Q75:Q82)</f>
        <v>924.5792957286917</v>
      </c>
      <c r="R83" s="123"/>
      <c r="S83" s="123"/>
      <c r="T83" s="123"/>
      <c r="U83" s="123"/>
      <c r="V83" s="127"/>
      <c r="W83" s="127"/>
      <c r="X83" s="127"/>
      <c r="Y83" s="127"/>
      <c r="Z83" s="127"/>
      <c r="AA83" s="127"/>
    </row>
    <row r="84" spans="1:30">
      <c r="A84" s="11"/>
      <c r="B84" s="1081"/>
      <c r="C84" s="1081"/>
      <c r="D84" s="1081"/>
      <c r="E84" s="1081"/>
      <c r="F84" s="1081"/>
      <c r="G84" s="1081"/>
      <c r="H84" s="1081"/>
      <c r="I84" s="1081"/>
      <c r="J84" s="1081"/>
      <c r="K84" s="1081"/>
      <c r="L84" s="1081"/>
      <c r="M84" s="1081"/>
      <c r="N84" s="1081"/>
      <c r="O84" s="1081"/>
      <c r="P84" s="6"/>
      <c r="Q84" s="6"/>
      <c r="R84" s="6"/>
      <c r="S84" s="6"/>
      <c r="T84" s="6"/>
      <c r="U84" s="6"/>
      <c r="V84" s="11"/>
      <c r="W84" s="11"/>
      <c r="X84" s="11"/>
      <c r="Y84" s="11"/>
      <c r="Z84" s="11"/>
      <c r="AA84" s="11"/>
    </row>
    <row r="85" spans="1:30">
      <c r="A85" s="6" t="s">
        <v>681</v>
      </c>
      <c r="B85" s="6"/>
      <c r="C85" s="145">
        <f>C86*C46</f>
        <v>34.794407006744073</v>
      </c>
      <c r="D85" s="145">
        <f t="shared" ref="D85:J85" si="137">D86*D46</f>
        <v>37.21138920018452</v>
      </c>
      <c r="E85" s="145">
        <f t="shared" si="137"/>
        <v>36.763929530546932</v>
      </c>
      <c r="F85" s="145">
        <f t="shared" si="137"/>
        <v>31.61197863744184</v>
      </c>
      <c r="G85" s="145">
        <f t="shared" si="137"/>
        <v>32.393212532287251</v>
      </c>
      <c r="H85" s="145">
        <f t="shared" si="137"/>
        <v>33.519061799781582</v>
      </c>
      <c r="I85" s="145">
        <f t="shared" si="137"/>
        <v>49.452376632101796</v>
      </c>
      <c r="J85" s="145">
        <f t="shared" si="137"/>
        <v>51.105979931380134</v>
      </c>
      <c r="K85" s="145">
        <f t="shared" ref="K85:P85" si="138">K86*K46</f>
        <v>38.424469983736259</v>
      </c>
      <c r="L85" s="145">
        <f t="shared" si="138"/>
        <v>36.661091158985919</v>
      </c>
      <c r="M85" s="145">
        <f t="shared" si="138"/>
        <v>53.513861933798523</v>
      </c>
      <c r="N85" s="145">
        <f t="shared" si="138"/>
        <v>50.847842138186323</v>
      </c>
      <c r="O85" s="145">
        <f t="shared" si="138"/>
        <v>49.994018524550725</v>
      </c>
      <c r="P85" s="145">
        <f t="shared" si="138"/>
        <v>43.204377763642533</v>
      </c>
      <c r="Q85" s="145">
        <f t="shared" ref="Q85:W85" ca="1" si="139">Q86*Q46</f>
        <v>35.518439672971581</v>
      </c>
      <c r="R85" s="145">
        <f t="shared" ca="1" si="139"/>
        <v>35.079676917982589</v>
      </c>
      <c r="S85" s="145">
        <f t="shared" ca="1" si="139"/>
        <v>34.333321303247402</v>
      </c>
      <c r="T85" s="145">
        <f t="shared" ca="1" si="139"/>
        <v>32.416096356950547</v>
      </c>
      <c r="U85" s="145">
        <f t="shared" ca="1" si="139"/>
        <v>32.860159599292196</v>
      </c>
      <c r="V85" s="54">
        <f t="shared" ca="1" si="139"/>
        <v>34.058691082673143</v>
      </c>
      <c r="W85" s="54">
        <f t="shared" ca="1" si="139"/>
        <v>35.229663458688428</v>
      </c>
      <c r="X85" s="54">
        <f t="shared" ref="X85:AC85" ca="1" si="140">X86*X46</f>
        <v>36.367061506623621</v>
      </c>
      <c r="Y85" s="54">
        <f t="shared" ca="1" si="140"/>
        <v>37.453551608694688</v>
      </c>
      <c r="Z85" s="54">
        <f t="shared" ca="1" si="140"/>
        <v>38.481276929916334</v>
      </c>
      <c r="AA85" s="54">
        <f t="shared" ca="1" si="140"/>
        <v>39.442371303629393</v>
      </c>
      <c r="AB85" s="54">
        <f t="shared" ca="1" si="140"/>
        <v>40.31613734048566</v>
      </c>
      <c r="AC85" s="54">
        <f t="shared" ca="1" si="140"/>
        <v>41.120196194560414</v>
      </c>
    </row>
    <row r="86" spans="1:30">
      <c r="A86" s="508" t="s">
        <v>836</v>
      </c>
      <c r="B86" s="6"/>
      <c r="C86" s="511">
        <f>'Segment Detail'!Y152</f>
        <v>1.8183122332604097E-2</v>
      </c>
      <c r="D86" s="511">
        <f>'Segment Detail'!Z152</f>
        <v>1.8777720177409134E-2</v>
      </c>
      <c r="E86" s="511">
        <f>'Segment Detail'!AA152</f>
        <v>1.7272582949674549E-2</v>
      </c>
      <c r="F86" s="511">
        <f>'Segment Detail'!AB152</f>
        <v>1.7125638056020246E-2</v>
      </c>
      <c r="G86" s="511">
        <f>'Segment Detail'!AC152</f>
        <v>1.6179865290763245E-2</v>
      </c>
      <c r="H86" s="511">
        <f>'Segment Detail'!AD152</f>
        <v>1.8742588607316965E-2</v>
      </c>
      <c r="I86" s="511">
        <f>'Segment Detail'!AE152</f>
        <v>1.9242588607316966E-2</v>
      </c>
      <c r="J86" s="511">
        <f>'Segment Detail'!AF152</f>
        <v>1.9742588607316966E-2</v>
      </c>
      <c r="K86" s="511">
        <f>'Segment Detail'!AG152</f>
        <v>1.5900000000000001E-2</v>
      </c>
      <c r="L86" s="511">
        <f>'Segment Detail'!AH152</f>
        <v>1.485E-2</v>
      </c>
      <c r="M86" s="511">
        <f>'Segment Detail'!AI152</f>
        <v>1.8663960899351267E-2</v>
      </c>
      <c r="N86" s="511">
        <f>'Segment Detail'!AJ152</f>
        <v>1.5782413781832792E-2</v>
      </c>
      <c r="O86" s="511">
        <f>'Segment Detail'!AK152</f>
        <v>1.5816714806406545E-2</v>
      </c>
      <c r="P86" s="511">
        <f>'Segment Detail'!AL152</f>
        <v>1.4339185658751996E-2</v>
      </c>
      <c r="Q86" s="511">
        <f ca="1">'Segment Detail'!AM152</f>
        <v>1.2640893003368469E-2</v>
      </c>
      <c r="R86" s="511">
        <f ca="1">'Segment Detail'!AN152</f>
        <v>1.1935719204514639E-2</v>
      </c>
      <c r="S86" s="511">
        <f ca="1">'Segment Detail'!AO152</f>
        <v>1.1217208839795311E-2</v>
      </c>
      <c r="T86" s="511">
        <f ca="1">'Segment Detail'!AP152</f>
        <v>1.0217208839795312E-2</v>
      </c>
      <c r="U86" s="511">
        <f ca="1">'Segment Detail'!AQ152</f>
        <v>0.01</v>
      </c>
      <c r="V86" s="514">
        <f ca="1">'Segment Detail'!AR152</f>
        <v>0.01</v>
      </c>
      <c r="W86" s="514">
        <f ca="1">'Segment Detail'!AS152</f>
        <v>0.01</v>
      </c>
      <c r="X86" s="514">
        <f ca="1">'Segment Detail'!AT152</f>
        <v>0.01</v>
      </c>
      <c r="Y86" s="514">
        <f ca="1">'Segment Detail'!AU152</f>
        <v>0.01</v>
      </c>
      <c r="Z86" s="514">
        <f ca="1">'Segment Detail'!AV152</f>
        <v>0.01</v>
      </c>
      <c r="AA86" s="514">
        <f ca="1">'Segment Detail'!AW152</f>
        <v>0.01</v>
      </c>
      <c r="AB86" s="514">
        <f ca="1">'Segment Detail'!AX152</f>
        <v>0.01</v>
      </c>
      <c r="AC86" s="514">
        <f ca="1">'Segment Detail'!AY152</f>
        <v>0.01</v>
      </c>
    </row>
    <row r="87" spans="1:30">
      <c r="A87" s="6"/>
      <c r="B87" s="6"/>
      <c r="C87" s="6"/>
      <c r="D87" s="6"/>
      <c r="E87" s="6"/>
      <c r="F87" s="6"/>
      <c r="G87" s="6"/>
      <c r="H87" s="6"/>
      <c r="I87" s="6"/>
      <c r="J87" s="6"/>
      <c r="K87" s="6"/>
      <c r="L87" s="6"/>
      <c r="M87" s="6"/>
      <c r="N87" s="6"/>
      <c r="O87" s="6"/>
      <c r="P87" s="6"/>
      <c r="Q87" s="6"/>
      <c r="R87" s="6"/>
      <c r="S87" s="6"/>
      <c r="T87" s="6"/>
      <c r="U87" s="6"/>
      <c r="V87" s="11"/>
      <c r="W87" s="11"/>
      <c r="X87" s="11"/>
      <c r="Y87" s="11"/>
      <c r="Z87" s="11"/>
      <c r="AA87" s="11"/>
      <c r="AB87" s="11"/>
      <c r="AC87" s="11"/>
    </row>
    <row r="88" spans="1:30">
      <c r="A88" s="483" t="s">
        <v>1100</v>
      </c>
      <c r="B88" s="6"/>
      <c r="C88" s="210">
        <f>C72-C85</f>
        <v>400.31662656392513</v>
      </c>
      <c r="D88" s="210">
        <f t="shared" ref="D88:J88" si="141">D72-D85</f>
        <v>286.88031454755651</v>
      </c>
      <c r="E88" s="210">
        <f t="shared" si="141"/>
        <v>552.47291550253817</v>
      </c>
      <c r="F88" s="210">
        <f t="shared" si="141"/>
        <v>530.82820095306124</v>
      </c>
      <c r="G88" s="210">
        <f t="shared" ca="1" si="141"/>
        <v>556.51754198298966</v>
      </c>
      <c r="H88" s="210">
        <f t="shared" ca="1" si="141"/>
        <v>540.70567023107719</v>
      </c>
      <c r="I88" s="210">
        <f t="shared" si="141"/>
        <v>735.14596553657145</v>
      </c>
      <c r="J88" s="210">
        <f t="shared" si="141"/>
        <v>760.60697195433352</v>
      </c>
      <c r="K88" s="210">
        <f t="shared" ref="K88:P88" si="142">K72-K85</f>
        <v>689.7834704299114</v>
      </c>
      <c r="L88" s="210">
        <f t="shared" si="142"/>
        <v>752.12254799371135</v>
      </c>
      <c r="M88" s="210">
        <f t="shared" si="142"/>
        <v>1075.7269579424531</v>
      </c>
      <c r="N88" s="210">
        <f t="shared" si="142"/>
        <v>1046.2764359503053</v>
      </c>
      <c r="O88" s="210">
        <f t="shared" si="142"/>
        <v>992.70153091095631</v>
      </c>
      <c r="P88" s="210">
        <f t="shared" si="142"/>
        <v>909.51323029276421</v>
      </c>
      <c r="Q88" s="210">
        <f t="shared" ref="Q88:W88" ca="1" si="143">Q72-Q85</f>
        <v>889.06085605571991</v>
      </c>
      <c r="R88" s="210">
        <f t="shared" ca="1" si="143"/>
        <v>877.73988538983383</v>
      </c>
      <c r="S88" s="210">
        <f t="shared" ca="1" si="143"/>
        <v>949.33518245903917</v>
      </c>
      <c r="T88" s="210">
        <f t="shared" ca="1" si="143"/>
        <v>990.39503466950634</v>
      </c>
      <c r="U88" s="210">
        <f t="shared" ca="1" si="143"/>
        <v>1029.769024193278</v>
      </c>
      <c r="V88" s="211">
        <f t="shared" ca="1" si="143"/>
        <v>1070.734376005114</v>
      </c>
      <c r="W88" s="211">
        <f t="shared" ca="1" si="143"/>
        <v>1111.0702772141726</v>
      </c>
      <c r="X88" s="211">
        <f t="shared" ref="X88:AC88" ca="1" si="144">X72-X85</f>
        <v>1150.5781510217189</v>
      </c>
      <c r="Y88" s="211">
        <f t="shared" ca="1" si="144"/>
        <v>1188.6977921698315</v>
      </c>
      <c r="Z88" s="211">
        <f t="shared" ca="1" si="144"/>
        <v>1225.1637829978533</v>
      </c>
      <c r="AA88" s="211">
        <f t="shared" ca="1" si="144"/>
        <v>1259.7072650768898</v>
      </c>
      <c r="AB88" s="211">
        <f t="shared" ca="1" si="144"/>
        <v>1291.6451478365025</v>
      </c>
      <c r="AC88" s="211">
        <f t="shared" ca="1" si="144"/>
        <v>1321.5175400003222</v>
      </c>
    </row>
    <row r="89" spans="1:30">
      <c r="A89" s="314" t="s">
        <v>1101</v>
      </c>
      <c r="B89" s="6"/>
      <c r="C89" s="38">
        <f>C88/C46</f>
        <v>0.20920046693643543</v>
      </c>
      <c r="D89" s="38">
        <f t="shared" ref="D89:J89" si="145">D88/D46</f>
        <v>0.14476638434542557</v>
      </c>
      <c r="E89" s="38">
        <f t="shared" si="145"/>
        <v>0.25956513306166606</v>
      </c>
      <c r="F89" s="38">
        <f t="shared" si="145"/>
        <v>0.28757363604830549</v>
      </c>
      <c r="G89" s="38">
        <f t="shared" ca="1" si="145"/>
        <v>0.27797115992297849</v>
      </c>
      <c r="H89" s="38">
        <f t="shared" ca="1" si="145"/>
        <v>0.30234211193974136</v>
      </c>
      <c r="I89" s="38">
        <f t="shared" si="145"/>
        <v>0.28605523828284873</v>
      </c>
      <c r="J89" s="38">
        <f t="shared" si="145"/>
        <v>0.29382766085913808</v>
      </c>
      <c r="K89" s="38">
        <f t="shared" ref="K89:S89" si="146">K88/K46</f>
        <v>0.28543158004463764</v>
      </c>
      <c r="L89" s="38">
        <f t="shared" si="146"/>
        <v>0.3046559577092402</v>
      </c>
      <c r="M89" s="38">
        <f t="shared" si="146"/>
        <v>0.37517990957657837</v>
      </c>
      <c r="N89" s="38">
        <f t="shared" si="146"/>
        <v>0.32474864120041069</v>
      </c>
      <c r="O89" s="38">
        <f t="shared" si="146"/>
        <v>0.31406311126182607</v>
      </c>
      <c r="P89" s="38">
        <f t="shared" si="146"/>
        <v>0.30186012953608782</v>
      </c>
      <c r="Q89" s="38">
        <f t="shared" ca="1" si="146"/>
        <v>0.3164137630582825</v>
      </c>
      <c r="R89" s="38">
        <f t="shared" ca="1" si="146"/>
        <v>0.29864747132963082</v>
      </c>
      <c r="S89" s="38">
        <f t="shared" ca="1" si="146"/>
        <v>0.31016198248204457</v>
      </c>
      <c r="T89" s="38">
        <f t="shared" ref="T89:Y89" ca="1" si="147">T88/T46</f>
        <v>0.31216198248204452</v>
      </c>
      <c r="U89" s="38">
        <f t="shared" ca="1" si="147"/>
        <v>0.31337919132183983</v>
      </c>
      <c r="V89" s="39">
        <f t="shared" ca="1" si="147"/>
        <v>0.31437919132183983</v>
      </c>
      <c r="W89" s="39">
        <f t="shared" ca="1" si="147"/>
        <v>0.31537919132183984</v>
      </c>
      <c r="X89" s="39">
        <f t="shared" ca="1" si="147"/>
        <v>0.31637919132183978</v>
      </c>
      <c r="Y89" s="39">
        <f t="shared" ca="1" si="147"/>
        <v>0.31737919132183989</v>
      </c>
      <c r="Z89" s="39">
        <f ca="1">Z88/Z46</f>
        <v>0.31837919132183984</v>
      </c>
      <c r="AA89" s="39">
        <f ca="1">AA88/AA46</f>
        <v>0.31937919132183984</v>
      </c>
      <c r="AB89" s="39">
        <f ca="1">AB88/AB46</f>
        <v>0.32037919132183984</v>
      </c>
      <c r="AC89" s="39">
        <f ca="1">AC88/AC46</f>
        <v>0.32137919132183984</v>
      </c>
    </row>
    <row r="90" spans="1:30">
      <c r="A90" s="484"/>
      <c r="B90" s="11"/>
      <c r="C90" s="211"/>
      <c r="D90" s="211"/>
      <c r="E90" s="211"/>
      <c r="F90" s="211"/>
      <c r="G90" s="211"/>
      <c r="H90" s="211"/>
      <c r="I90" s="211"/>
      <c r="J90" s="211"/>
      <c r="K90" s="211"/>
      <c r="L90" s="211"/>
      <c r="M90" s="211"/>
      <c r="N90" s="211"/>
      <c r="O90" s="211"/>
      <c r="P90" s="211"/>
      <c r="Q90" s="211"/>
      <c r="R90" s="211"/>
      <c r="S90" s="211"/>
      <c r="T90" s="211"/>
      <c r="U90" s="211"/>
      <c r="V90" s="211"/>
      <c r="W90" s="211"/>
      <c r="X90" s="211"/>
      <c r="Y90" s="211"/>
      <c r="Z90" s="211"/>
      <c r="AA90" s="211"/>
      <c r="AB90" s="211"/>
      <c r="AC90" s="211"/>
    </row>
    <row r="91" spans="1:30">
      <c r="A91" s="484" t="s">
        <v>686</v>
      </c>
      <c r="B91" s="6"/>
      <c r="C91" s="4">
        <f>C92*C46</f>
        <v>34.794407006744073</v>
      </c>
      <c r="D91" s="4">
        <f t="shared" ref="D91:J91" si="148">D92*D46</f>
        <v>37.21138920018452</v>
      </c>
      <c r="E91" s="4">
        <f t="shared" si="148"/>
        <v>36.763929530546932</v>
      </c>
      <c r="F91" s="4">
        <f t="shared" si="148"/>
        <v>31.61197863744184</v>
      </c>
      <c r="G91" s="4">
        <f t="shared" si="148"/>
        <v>32.393212532287251</v>
      </c>
      <c r="H91" s="4">
        <f t="shared" si="148"/>
        <v>33.519061799781582</v>
      </c>
      <c r="I91" s="4">
        <f t="shared" si="148"/>
        <v>49.452376632101796</v>
      </c>
      <c r="J91" s="48">
        <f t="shared" si="148"/>
        <v>51.105979931380134</v>
      </c>
      <c r="K91" s="48">
        <f t="shared" ref="K91:P91" si="149">K92*K46</f>
        <v>38.424469983736259</v>
      </c>
      <c r="L91" s="48">
        <f t="shared" si="149"/>
        <v>36.661091158985919</v>
      </c>
      <c r="M91" s="48">
        <f t="shared" si="149"/>
        <v>53.513861933798523</v>
      </c>
      <c r="N91" s="48">
        <f t="shared" si="149"/>
        <v>50.847842138186323</v>
      </c>
      <c r="O91" s="48">
        <f t="shared" si="149"/>
        <v>49.994018524550725</v>
      </c>
      <c r="P91" s="48">
        <f t="shared" si="149"/>
        <v>43.204377763642533</v>
      </c>
      <c r="Q91" s="48">
        <f t="shared" ref="Q91:W91" ca="1" si="150">Q92*Q46</f>
        <v>35.518439672971581</v>
      </c>
      <c r="R91" s="48">
        <f t="shared" ca="1" si="150"/>
        <v>35.079676917982589</v>
      </c>
      <c r="S91" s="48">
        <f t="shared" ca="1" si="150"/>
        <v>34.333321303247402</v>
      </c>
      <c r="T91" s="48">
        <f t="shared" ca="1" si="150"/>
        <v>32.416096356950547</v>
      </c>
      <c r="U91" s="48">
        <f t="shared" ca="1" si="150"/>
        <v>32.860159599292196</v>
      </c>
      <c r="V91" s="49">
        <f t="shared" ca="1" si="150"/>
        <v>34.058691082673143</v>
      </c>
      <c r="W91" s="49">
        <f t="shared" ca="1" si="150"/>
        <v>35.229663458688428</v>
      </c>
      <c r="X91" s="49">
        <f t="shared" ref="X91:AC91" ca="1" si="151">X92*X46</f>
        <v>36.367061506623621</v>
      </c>
      <c r="Y91" s="49">
        <f t="shared" ca="1" si="151"/>
        <v>37.453551608694688</v>
      </c>
      <c r="Z91" s="49">
        <f t="shared" ca="1" si="151"/>
        <v>38.481276929916334</v>
      </c>
      <c r="AA91" s="49">
        <f t="shared" ca="1" si="151"/>
        <v>39.442371303629393</v>
      </c>
      <c r="AB91" s="49">
        <f t="shared" ca="1" si="151"/>
        <v>40.31613734048566</v>
      </c>
      <c r="AC91" s="49">
        <f t="shared" ca="1" si="151"/>
        <v>41.120196194560414</v>
      </c>
    </row>
    <row r="92" spans="1:30">
      <c r="A92" s="3478" t="s">
        <v>1102</v>
      </c>
      <c r="B92" s="2862"/>
      <c r="C92" s="2951">
        <f>'Segment Detail'!Y152</f>
        <v>1.8183122332604097E-2</v>
      </c>
      <c r="D92" s="2951">
        <f>'Segment Detail'!Z152</f>
        <v>1.8777720177409134E-2</v>
      </c>
      <c r="E92" s="2951">
        <f>'Segment Detail'!AA152</f>
        <v>1.7272582949674549E-2</v>
      </c>
      <c r="F92" s="2951">
        <f>'Segment Detail'!AB152</f>
        <v>1.7125638056020246E-2</v>
      </c>
      <c r="G92" s="2951">
        <f>'Segment Detail'!AC152</f>
        <v>1.6179865290763245E-2</v>
      </c>
      <c r="H92" s="2951">
        <f>'Segment Detail'!AD152</f>
        <v>1.8742588607316965E-2</v>
      </c>
      <c r="I92" s="2951">
        <f>'Segment Detail'!AE152</f>
        <v>1.9242588607316966E-2</v>
      </c>
      <c r="J92" s="2951">
        <f>'Segment Detail'!AF152</f>
        <v>1.9742588607316966E-2</v>
      </c>
      <c r="K92" s="2951">
        <f>'Segment Detail'!AG152</f>
        <v>1.5900000000000001E-2</v>
      </c>
      <c r="L92" s="2951">
        <f>'Segment Detail'!AH152</f>
        <v>1.485E-2</v>
      </c>
      <c r="M92" s="2951">
        <f>'Segment Detail'!AI152</f>
        <v>1.8663960899351267E-2</v>
      </c>
      <c r="N92" s="2951">
        <f>'Segment Detail'!AJ152</f>
        <v>1.5782413781832792E-2</v>
      </c>
      <c r="O92" s="2951">
        <f>'Segment Detail'!AK152</f>
        <v>1.5816714806406545E-2</v>
      </c>
      <c r="P92" s="2951">
        <f>'Segment Detail'!AL152</f>
        <v>1.4339185658751996E-2</v>
      </c>
      <c r="Q92" s="2951">
        <f ca="1">'Segment Detail'!AM152</f>
        <v>1.2640893003368469E-2</v>
      </c>
      <c r="R92" s="2951">
        <f ca="1">'Segment Detail'!AN152</f>
        <v>1.1935719204514639E-2</v>
      </c>
      <c r="S92" s="2951">
        <f ca="1">'Segment Detail'!AO152</f>
        <v>1.1217208839795311E-2</v>
      </c>
      <c r="T92" s="2951">
        <f ca="1">'Segment Detail'!AP152</f>
        <v>1.0217208839795312E-2</v>
      </c>
      <c r="U92" s="2951">
        <f ca="1">'Segment Detail'!AQ152</f>
        <v>0.01</v>
      </c>
      <c r="V92" s="2951">
        <f ca="1">'Segment Detail'!AR152</f>
        <v>0.01</v>
      </c>
      <c r="W92" s="2951">
        <f ca="1">'Segment Detail'!AS152</f>
        <v>0.01</v>
      </c>
      <c r="X92" s="2951">
        <f ca="1">'Segment Detail'!AT152</f>
        <v>0.01</v>
      </c>
      <c r="Y92" s="2951">
        <f ca="1">'Segment Detail'!AU152</f>
        <v>0.01</v>
      </c>
      <c r="Z92" s="2951">
        <f ca="1">'Segment Detail'!AV152</f>
        <v>0.01</v>
      </c>
      <c r="AA92" s="2951">
        <f ca="1">'Segment Detail'!AW152</f>
        <v>0.01</v>
      </c>
      <c r="AB92" s="2951">
        <f ca="1">'Segment Detail'!AX152</f>
        <v>0.01</v>
      </c>
      <c r="AC92" s="2951">
        <f ca="1">'Segment Detail'!AY152</f>
        <v>0.01</v>
      </c>
      <c r="AD92" s="2807"/>
    </row>
    <row r="93" spans="1:30">
      <c r="A93" s="3477" t="s">
        <v>1830</v>
      </c>
      <c r="B93" s="2862"/>
      <c r="C93" s="2862"/>
      <c r="D93" s="2862"/>
      <c r="E93" s="2862"/>
      <c r="F93" s="2862"/>
      <c r="G93" s="2862"/>
      <c r="H93" s="2862"/>
      <c r="I93" s="2862"/>
      <c r="J93" s="2862"/>
      <c r="K93" s="2862"/>
      <c r="L93" s="2862"/>
      <c r="M93" s="2862"/>
      <c r="N93" s="2862"/>
      <c r="O93" s="2862"/>
      <c r="P93" s="2862"/>
      <c r="Q93" s="3097">
        <f ca="1">-'Free Cash Flow'!S11*2/3</f>
        <v>490</v>
      </c>
      <c r="R93" s="3097">
        <f>-'Free Cash Flow'!T11*2/3</f>
        <v>556.29785941859666</v>
      </c>
      <c r="S93" s="3097">
        <f>-'Free Cash Flow'!U11*2/3</f>
        <v>588.1652494051865</v>
      </c>
      <c r="T93" s="3097">
        <f>-'Free Cash Flow'!V11*2/3</f>
        <v>435.79048086250458</v>
      </c>
      <c r="U93" s="3097">
        <f>-'Free Cash Flow'!W11*2/3</f>
        <v>363.32264481415314</v>
      </c>
      <c r="V93" s="3097">
        <f>-'Free Cash Flow'!X11*2/3</f>
        <v>355.14967972417077</v>
      </c>
      <c r="W93" s="3097">
        <f>-'Free Cash Flow'!Y11*2/3</f>
        <v>372.92613871317934</v>
      </c>
      <c r="X93" s="3097">
        <f>-'Free Cash Flow'!Z11*2/3</f>
        <v>325.80055315245028</v>
      </c>
      <c r="Y93" s="3097">
        <f>-'Free Cash Flow'!AA11*2/3</f>
        <v>307.41517396317391</v>
      </c>
      <c r="Z93" s="3097">
        <f>-'Free Cash Flow'!AB11*2/3</f>
        <v>298.60684681590351</v>
      </c>
      <c r="AA93" s="3097">
        <f>-'Free Cash Flow'!AC11*2/3</f>
        <v>271.19966647600353</v>
      </c>
      <c r="AB93" s="3097">
        <f>-'Free Cash Flow'!AD11*2/3</f>
        <v>268.29135178771122</v>
      </c>
      <c r="AC93" s="3097">
        <v>0</v>
      </c>
      <c r="AD93" s="2807"/>
    </row>
    <row r="94" spans="1:30">
      <c r="A94" s="2806" t="s">
        <v>74</v>
      </c>
      <c r="B94" s="2862"/>
      <c r="C94" s="2862"/>
      <c r="D94" s="2862"/>
      <c r="E94" s="2862"/>
      <c r="F94" s="2804">
        <f>F104*F88</f>
        <v>130.0529092335</v>
      </c>
      <c r="G94" s="2804">
        <f t="shared" ref="G94:Q94" ca="1" si="152">G104*G88</f>
        <v>136.34679778583245</v>
      </c>
      <c r="H94" s="2804">
        <f t="shared" ca="1" si="152"/>
        <v>132.4728892066139</v>
      </c>
      <c r="I94" s="2804">
        <f t="shared" si="152"/>
        <v>180.11076155646001</v>
      </c>
      <c r="J94" s="2804">
        <f t="shared" si="152"/>
        <v>186.34870812881172</v>
      </c>
      <c r="K94" s="2804">
        <f t="shared" si="152"/>
        <v>168.9969502553283</v>
      </c>
      <c r="L94" s="2804">
        <f t="shared" si="152"/>
        <v>184.27002425845927</v>
      </c>
      <c r="M94" s="2804">
        <f t="shared" si="152"/>
        <v>263.55310469590097</v>
      </c>
      <c r="N94" s="2804">
        <f t="shared" si="152"/>
        <v>256.33772680782482</v>
      </c>
      <c r="O94" s="2804">
        <f t="shared" si="152"/>
        <v>243.2118750731843</v>
      </c>
      <c r="P94" s="2804">
        <f t="shared" si="152"/>
        <v>222.83074142172723</v>
      </c>
      <c r="Q94" s="2804">
        <f t="shared" ca="1" si="152"/>
        <v>217.81990973365137</v>
      </c>
      <c r="R94" s="2804">
        <f ca="1">R104*R88</f>
        <v>215.0462719205093</v>
      </c>
      <c r="S94" s="2804">
        <f t="shared" ref="S94:Y94" ca="1" si="153">S104*S88</f>
        <v>232.58711970246461</v>
      </c>
      <c r="T94" s="2804">
        <f t="shared" ca="1" si="153"/>
        <v>242.64678349402905</v>
      </c>
      <c r="U94" s="2804">
        <f t="shared" ca="1" si="153"/>
        <v>252.29341092735311</v>
      </c>
      <c r="V94" s="2804">
        <f t="shared" ca="1" si="153"/>
        <v>262.32992212125293</v>
      </c>
      <c r="W94" s="2804">
        <f t="shared" ca="1" si="153"/>
        <v>272.21221791747229</v>
      </c>
      <c r="X94" s="2804">
        <f t="shared" ca="1" si="153"/>
        <v>281.89164700032114</v>
      </c>
      <c r="Y94" s="2804">
        <f t="shared" ca="1" si="153"/>
        <v>291.23095908160872</v>
      </c>
      <c r="Z94" s="2804">
        <f ca="1">Z104*Z88</f>
        <v>300.16512683447405</v>
      </c>
      <c r="AA94" s="2804">
        <f ca="1">AA104*AA88</f>
        <v>308.62827994383798</v>
      </c>
      <c r="AB94" s="2804">
        <f ca="1">AB104*AB88</f>
        <v>316.45306121994309</v>
      </c>
      <c r="AC94" s="2804">
        <f ca="1">AC104*AC88</f>
        <v>323.77179730007896</v>
      </c>
      <c r="AD94" s="2807"/>
    </row>
    <row r="95" spans="1:30">
      <c r="A95" s="3478"/>
      <c r="B95" s="2862"/>
      <c r="C95" s="2862"/>
      <c r="D95" s="2862"/>
      <c r="E95" s="2862"/>
      <c r="F95" s="2862"/>
      <c r="G95" s="2862"/>
      <c r="H95" s="2862"/>
      <c r="I95" s="2862"/>
      <c r="J95" s="2862"/>
      <c r="K95" s="2862"/>
      <c r="L95" s="2862"/>
      <c r="M95" s="2862"/>
      <c r="N95" s="2862"/>
      <c r="O95" s="2862"/>
      <c r="P95" s="2862"/>
      <c r="Q95" s="2862"/>
      <c r="R95" s="2862"/>
      <c r="S95" s="2862"/>
      <c r="T95" s="2862"/>
      <c r="U95" s="2862"/>
      <c r="V95" s="2862"/>
      <c r="W95" s="2862"/>
      <c r="X95" s="2862"/>
      <c r="Y95" s="2862"/>
      <c r="Z95" s="2862"/>
      <c r="AA95" s="2862"/>
      <c r="AB95" s="2862"/>
      <c r="AC95" s="2862"/>
      <c r="AD95" s="2807"/>
    </row>
    <row r="96" spans="1:30">
      <c r="A96" s="3479" t="s">
        <v>75</v>
      </c>
      <c r="B96" s="2862"/>
      <c r="C96" s="2862"/>
      <c r="D96" s="2862"/>
      <c r="E96" s="2862"/>
      <c r="F96" s="2806">
        <f>F88-F91-F94</f>
        <v>369.16331308211943</v>
      </c>
      <c r="G96" s="2806">
        <f t="shared" ref="G96:P96" ca="1" si="154">G88-G91-G94</f>
        <v>387.77753166486991</v>
      </c>
      <c r="H96" s="2806">
        <f t="shared" ca="1" si="154"/>
        <v>374.71371922468171</v>
      </c>
      <c r="I96" s="2806">
        <f t="shared" si="154"/>
        <v>505.58282734800957</v>
      </c>
      <c r="J96" s="2806">
        <f t="shared" si="154"/>
        <v>523.15228389414165</v>
      </c>
      <c r="K96" s="2806">
        <f t="shared" si="154"/>
        <v>482.36205019084684</v>
      </c>
      <c r="L96" s="2806">
        <f t="shared" si="154"/>
        <v>531.19143257626615</v>
      </c>
      <c r="M96" s="2806">
        <f t="shared" si="154"/>
        <v>758.6599913127535</v>
      </c>
      <c r="N96" s="2806">
        <f t="shared" si="154"/>
        <v>739.09086700429407</v>
      </c>
      <c r="O96" s="2806">
        <f t="shared" si="154"/>
        <v>699.49563731322132</v>
      </c>
      <c r="P96" s="2806">
        <f t="shared" si="154"/>
        <v>643.4781111073944</v>
      </c>
      <c r="Q96" s="2806">
        <f t="shared" ref="Q96" ca="1" si="155">Q88-Q91-Q94</f>
        <v>635.722506649097</v>
      </c>
      <c r="R96" s="2806">
        <f ca="1">R88-R91-R93-R94</f>
        <v>71.316077132745249</v>
      </c>
      <c r="S96" s="2806">
        <f t="shared" ref="S96:AC96" ca="1" si="156">S88-S91-S93-S94</f>
        <v>94.249492048140638</v>
      </c>
      <c r="T96" s="2806">
        <f t="shared" ca="1" si="156"/>
        <v>279.54167395602212</v>
      </c>
      <c r="U96" s="2806">
        <f t="shared" ca="1" si="156"/>
        <v>381.29280885247965</v>
      </c>
      <c r="V96" s="2806">
        <f t="shared" ca="1" si="156"/>
        <v>419.19608307701708</v>
      </c>
      <c r="W96" s="2806">
        <f t="shared" ca="1" si="156"/>
        <v>430.70225712483244</v>
      </c>
      <c r="X96" s="2806">
        <f t="shared" ca="1" si="156"/>
        <v>506.51888936232382</v>
      </c>
      <c r="Y96" s="2806">
        <f t="shared" ca="1" si="156"/>
        <v>552.59810751635428</v>
      </c>
      <c r="Z96" s="2806">
        <f t="shared" ca="1" si="156"/>
        <v>587.91053241755958</v>
      </c>
      <c r="AA96" s="2806">
        <f t="shared" ca="1" si="156"/>
        <v>640.43694735341887</v>
      </c>
      <c r="AB96" s="2806">
        <f t="shared" ca="1" si="156"/>
        <v>666.58459748836253</v>
      </c>
      <c r="AC96" s="2806">
        <f t="shared" ca="1" si="156"/>
        <v>956.62554650568291</v>
      </c>
      <c r="AD96" s="2807"/>
    </row>
    <row r="97" spans="1:30">
      <c r="A97" s="3478" t="s">
        <v>1103</v>
      </c>
      <c r="B97" s="2862"/>
      <c r="C97" s="2862"/>
      <c r="D97" s="2862"/>
      <c r="E97" s="2862"/>
      <c r="F97" s="2802">
        <f>F96/F46</f>
        <v>0.19999245716045044</v>
      </c>
      <c r="G97" s="2802">
        <f t="shared" ref="G97:S97" ca="1" si="157">G96/G46</f>
        <v>0.19368836045108553</v>
      </c>
      <c r="H97" s="2802">
        <f t="shared" ca="1" si="157"/>
        <v>0.20952570590718778</v>
      </c>
      <c r="I97" s="2802">
        <f t="shared" si="157"/>
        <v>0.1967291162962338</v>
      </c>
      <c r="J97" s="2802">
        <f t="shared" si="157"/>
        <v>0.20209729534133228</v>
      </c>
      <c r="K97" s="2802">
        <f t="shared" si="157"/>
        <v>0.19960084293370142</v>
      </c>
      <c r="L97" s="2802">
        <f t="shared" si="157"/>
        <v>0.21516524807047635</v>
      </c>
      <c r="M97" s="2802">
        <f t="shared" si="157"/>
        <v>0.26459687083096539</v>
      </c>
      <c r="N97" s="2802">
        <f t="shared" si="157"/>
        <v>0.22940281032447724</v>
      </c>
      <c r="O97" s="2802">
        <f t="shared" si="157"/>
        <v>0.22130093419627214</v>
      </c>
      <c r="P97" s="2802">
        <f t="shared" si="157"/>
        <v>0.21356521214099428</v>
      </c>
      <c r="Q97" s="2802">
        <f t="shared" ca="1" si="157"/>
        <v>0.22625149810563483</v>
      </c>
      <c r="R97" s="2802">
        <f t="shared" ca="1" si="157"/>
        <v>2.4265008865791662E-2</v>
      </c>
      <c r="S97" s="2802">
        <f t="shared" ca="1" si="157"/>
        <v>3.0792716673426656E-2</v>
      </c>
      <c r="T97" s="2802">
        <f t="shared" ref="T97:Y97" ca="1" si="158">T96/T46</f>
        <v>8.8108562819663672E-2</v>
      </c>
      <c r="U97" s="2802">
        <f t="shared" ca="1" si="158"/>
        <v>0.11603498385342371</v>
      </c>
      <c r="V97" s="2802">
        <f t="shared" ca="1" si="158"/>
        <v>0.12308050302328763</v>
      </c>
      <c r="W97" s="2802">
        <f t="shared" ca="1" si="158"/>
        <v>0.1222555695514632</v>
      </c>
      <c r="X97" s="2802">
        <f t="shared" ca="1" si="158"/>
        <v>0.1392795756319411</v>
      </c>
      <c r="Y97" s="2802">
        <f t="shared" ca="1" si="158"/>
        <v>0.14754224466874616</v>
      </c>
      <c r="Z97" s="2802">
        <f ca="1">Z96/Z46</f>
        <v>0.15277833256112738</v>
      </c>
      <c r="AA97" s="2802">
        <f ca="1">AA96/AA46</f>
        <v>0.16237283058447538</v>
      </c>
      <c r="AB97" s="2802">
        <f ca="1">AB96/AB46</f>
        <v>0.1653394004139814</v>
      </c>
      <c r="AC97" s="2802">
        <f ca="1">AC96/AC46</f>
        <v>0.23264128944798909</v>
      </c>
      <c r="AD97" s="2807"/>
    </row>
    <row r="98" spans="1:30">
      <c r="A98" s="2862"/>
      <c r="B98" s="2862"/>
      <c r="C98" s="2862"/>
      <c r="D98" s="2862"/>
      <c r="E98" s="2862"/>
      <c r="F98" s="2862"/>
      <c r="G98" s="2862"/>
      <c r="H98" s="2862"/>
      <c r="I98" s="2862"/>
      <c r="J98" s="2862"/>
      <c r="K98" s="2862"/>
      <c r="L98" s="2862"/>
      <c r="M98" s="2862"/>
      <c r="N98" s="2862"/>
      <c r="O98" s="2862"/>
      <c r="P98" s="2862"/>
      <c r="Q98" s="2862"/>
      <c r="R98" s="2862"/>
      <c r="S98" s="2862"/>
      <c r="T98" s="2862"/>
      <c r="U98" s="2862"/>
      <c r="V98" s="2862"/>
      <c r="W98" s="2862"/>
      <c r="X98" s="2862"/>
      <c r="Y98" s="2862"/>
      <c r="Z98" s="2862"/>
      <c r="AA98" s="2862"/>
      <c r="AB98" s="2807"/>
      <c r="AC98" s="2807"/>
      <c r="AD98" s="2807"/>
    </row>
    <row r="99" spans="1:30">
      <c r="A99" s="2862"/>
      <c r="B99" s="2862"/>
      <c r="C99" s="2862"/>
      <c r="D99" s="2862"/>
      <c r="E99" s="2862"/>
      <c r="F99" s="2862"/>
      <c r="G99" s="2862"/>
      <c r="H99" s="2862"/>
      <c r="I99" s="2862"/>
      <c r="J99" s="2862"/>
      <c r="K99" s="2862"/>
      <c r="L99" s="2862"/>
      <c r="M99" s="2862"/>
      <c r="N99" s="2862"/>
      <c r="O99" s="2862"/>
      <c r="P99" s="2862"/>
      <c r="Q99" s="2862"/>
      <c r="R99" s="2862"/>
      <c r="S99" s="2862"/>
      <c r="T99" s="2807"/>
      <c r="U99" s="2807"/>
      <c r="V99" s="2807"/>
      <c r="W99" s="2807"/>
      <c r="X99" s="2807"/>
      <c r="Y99" s="2807"/>
      <c r="Z99" s="2807"/>
      <c r="AA99" s="2807"/>
      <c r="AB99" s="2807"/>
      <c r="AC99" s="2807"/>
      <c r="AD99" s="2807"/>
    </row>
    <row r="100" spans="1:30">
      <c r="A100" s="36" t="s">
        <v>65</v>
      </c>
      <c r="B100" s="6"/>
      <c r="C100" s="6"/>
      <c r="D100" s="6"/>
      <c r="E100" s="6"/>
      <c r="F100" s="6"/>
      <c r="G100" s="6"/>
      <c r="H100" s="6"/>
      <c r="I100" s="6"/>
      <c r="J100" s="6"/>
      <c r="K100" s="6"/>
      <c r="L100" s="6"/>
      <c r="M100" s="6"/>
      <c r="N100" s="6"/>
      <c r="O100" s="6"/>
      <c r="P100" s="6"/>
      <c r="Q100" s="6"/>
      <c r="R100" s="6"/>
      <c r="S100" s="6"/>
      <c r="V100" s="1048"/>
      <c r="W100" s="1048"/>
      <c r="X100" s="1048"/>
      <c r="Y100" s="1048"/>
      <c r="Z100" s="1048"/>
      <c r="AA100" s="1048"/>
    </row>
    <row r="101" spans="1:30">
      <c r="A101" s="295" t="s">
        <v>246</v>
      </c>
      <c r="B101" s="6"/>
      <c r="C101" s="6"/>
      <c r="D101" s="6"/>
      <c r="E101" s="6"/>
      <c r="F101" s="488">
        <f ca="1">FMV!B153</f>
        <v>4.6359932385549224E-2</v>
      </c>
      <c r="G101" s="298">
        <f t="shared" ref="G101:P104" ca="1" si="159">+F101</f>
        <v>4.6359932385549224E-2</v>
      </c>
      <c r="H101" s="298">
        <f t="shared" ca="1" si="159"/>
        <v>4.6359932385549224E-2</v>
      </c>
      <c r="I101" s="298">
        <f t="shared" ca="1" si="159"/>
        <v>4.6359932385549224E-2</v>
      </c>
      <c r="J101" s="298">
        <f t="shared" ca="1" si="159"/>
        <v>4.6359932385549224E-2</v>
      </c>
      <c r="K101" s="298">
        <f t="shared" ca="1" si="159"/>
        <v>4.6359932385549224E-2</v>
      </c>
      <c r="L101" s="298">
        <f t="shared" ca="1" si="159"/>
        <v>4.6359932385549224E-2</v>
      </c>
      <c r="M101" s="298">
        <f t="shared" ca="1" si="159"/>
        <v>4.6359932385549224E-2</v>
      </c>
      <c r="N101" s="298">
        <f t="shared" ca="1" si="159"/>
        <v>4.6359932385549224E-2</v>
      </c>
      <c r="O101" s="298">
        <f t="shared" ca="1" si="159"/>
        <v>4.6359932385549224E-2</v>
      </c>
      <c r="P101" s="298">
        <f t="shared" ca="1" si="159"/>
        <v>4.6359932385549224E-2</v>
      </c>
      <c r="Q101" s="298">
        <f t="shared" ref="Q101:R104" ca="1" si="160">+P101</f>
        <v>4.6359932385549224E-2</v>
      </c>
      <c r="R101" s="298">
        <f t="shared" ca="1" si="160"/>
        <v>4.6359932385549224E-2</v>
      </c>
      <c r="S101" s="298">
        <f t="shared" ref="S101:U104" ca="1" si="161">+R101</f>
        <v>4.6359932385549224E-2</v>
      </c>
      <c r="T101" s="298">
        <f t="shared" ca="1" si="161"/>
        <v>4.6359932385549224E-2</v>
      </c>
      <c r="U101" s="298">
        <f t="shared" ca="1" si="161"/>
        <v>4.6359932385549224E-2</v>
      </c>
      <c r="V101" s="536">
        <f t="shared" ref="V101:W104" ca="1" si="162">+U101</f>
        <v>4.6359932385549224E-2</v>
      </c>
      <c r="W101" s="536">
        <f t="shared" ca="1" si="162"/>
        <v>4.6359932385549224E-2</v>
      </c>
      <c r="X101" s="536">
        <f t="shared" ref="X101:AC104" ca="1" si="163">+W101</f>
        <v>4.6359932385549224E-2</v>
      </c>
      <c r="Y101" s="536">
        <f t="shared" ca="1" si="163"/>
        <v>4.6359932385549224E-2</v>
      </c>
      <c r="Z101" s="536">
        <f t="shared" ca="1" si="163"/>
        <v>4.6359932385549224E-2</v>
      </c>
      <c r="AA101" s="536">
        <f t="shared" ca="1" si="163"/>
        <v>4.6359932385549224E-2</v>
      </c>
      <c r="AB101" s="536">
        <f t="shared" ca="1" si="163"/>
        <v>4.6359932385549224E-2</v>
      </c>
      <c r="AC101" s="536">
        <f t="shared" ca="1" si="163"/>
        <v>4.6359932385549224E-2</v>
      </c>
    </row>
    <row r="102" spans="1:30">
      <c r="A102" s="295" t="s">
        <v>247</v>
      </c>
      <c r="B102" s="6"/>
      <c r="C102" s="6"/>
      <c r="D102" s="6"/>
      <c r="E102" s="6"/>
      <c r="F102" s="488">
        <f>FMV!B154</f>
        <v>0.1</v>
      </c>
      <c r="G102" s="298">
        <f t="shared" si="159"/>
        <v>0.1</v>
      </c>
      <c r="H102" s="298">
        <f t="shared" si="159"/>
        <v>0.1</v>
      </c>
      <c r="I102" s="298">
        <f t="shared" si="159"/>
        <v>0.1</v>
      </c>
      <c r="J102" s="298">
        <f t="shared" si="159"/>
        <v>0.1</v>
      </c>
      <c r="K102" s="298">
        <f t="shared" si="159"/>
        <v>0.1</v>
      </c>
      <c r="L102" s="298">
        <f t="shared" si="159"/>
        <v>0.1</v>
      </c>
      <c r="M102" s="298">
        <f t="shared" si="159"/>
        <v>0.1</v>
      </c>
      <c r="N102" s="298">
        <f t="shared" si="159"/>
        <v>0.1</v>
      </c>
      <c r="O102" s="298">
        <f t="shared" si="159"/>
        <v>0.1</v>
      </c>
      <c r="P102" s="298">
        <f t="shared" si="159"/>
        <v>0.1</v>
      </c>
      <c r="Q102" s="298">
        <f t="shared" si="160"/>
        <v>0.1</v>
      </c>
      <c r="R102" s="298">
        <f t="shared" si="160"/>
        <v>0.1</v>
      </c>
      <c r="S102" s="298">
        <f t="shared" si="161"/>
        <v>0.1</v>
      </c>
      <c r="T102" s="298">
        <f t="shared" si="161"/>
        <v>0.1</v>
      </c>
      <c r="U102" s="298">
        <f t="shared" si="161"/>
        <v>0.1</v>
      </c>
      <c r="V102" s="536">
        <f t="shared" si="162"/>
        <v>0.1</v>
      </c>
      <c r="W102" s="536">
        <f t="shared" si="162"/>
        <v>0.1</v>
      </c>
      <c r="X102" s="536">
        <f t="shared" si="163"/>
        <v>0.1</v>
      </c>
      <c r="Y102" s="536">
        <f t="shared" si="163"/>
        <v>0.1</v>
      </c>
      <c r="Z102" s="536">
        <f t="shared" si="163"/>
        <v>0.1</v>
      </c>
      <c r="AA102" s="536">
        <f t="shared" si="163"/>
        <v>0.1</v>
      </c>
      <c r="AB102" s="536">
        <f t="shared" si="163"/>
        <v>0.1</v>
      </c>
      <c r="AC102" s="536">
        <f t="shared" si="163"/>
        <v>0.1</v>
      </c>
    </row>
    <row r="103" spans="1:30">
      <c r="A103" s="295" t="s">
        <v>248</v>
      </c>
      <c r="B103" s="6"/>
      <c r="C103" s="6"/>
      <c r="D103" s="6"/>
      <c r="E103" s="6"/>
      <c r="F103" s="488">
        <f>FMV!B155</f>
        <v>0.3</v>
      </c>
      <c r="G103" s="298">
        <f t="shared" si="159"/>
        <v>0.3</v>
      </c>
      <c r="H103" s="298">
        <f t="shared" si="159"/>
        <v>0.3</v>
      </c>
      <c r="I103" s="298">
        <f t="shared" si="159"/>
        <v>0.3</v>
      </c>
      <c r="J103" s="298">
        <f t="shared" si="159"/>
        <v>0.3</v>
      </c>
      <c r="K103" s="298">
        <f t="shared" si="159"/>
        <v>0.3</v>
      </c>
      <c r="L103" s="298">
        <f t="shared" si="159"/>
        <v>0.3</v>
      </c>
      <c r="M103" s="298">
        <f t="shared" si="159"/>
        <v>0.3</v>
      </c>
      <c r="N103" s="298">
        <f t="shared" si="159"/>
        <v>0.3</v>
      </c>
      <c r="O103" s="298">
        <f t="shared" si="159"/>
        <v>0.3</v>
      </c>
      <c r="P103" s="298">
        <f t="shared" si="159"/>
        <v>0.3</v>
      </c>
      <c r="Q103" s="298">
        <f t="shared" si="160"/>
        <v>0.3</v>
      </c>
      <c r="R103" s="298">
        <f t="shared" si="160"/>
        <v>0.3</v>
      </c>
      <c r="S103" s="298">
        <f t="shared" si="161"/>
        <v>0.3</v>
      </c>
      <c r="T103" s="298">
        <f t="shared" si="161"/>
        <v>0.3</v>
      </c>
      <c r="U103" s="298">
        <f t="shared" si="161"/>
        <v>0.3</v>
      </c>
      <c r="V103" s="536">
        <f t="shared" si="162"/>
        <v>0.3</v>
      </c>
      <c r="W103" s="536">
        <f t="shared" si="162"/>
        <v>0.3</v>
      </c>
      <c r="X103" s="536">
        <f t="shared" si="163"/>
        <v>0.3</v>
      </c>
      <c r="Y103" s="536">
        <f t="shared" si="163"/>
        <v>0.3</v>
      </c>
      <c r="Z103" s="536">
        <f t="shared" si="163"/>
        <v>0.3</v>
      </c>
      <c r="AA103" s="536">
        <f t="shared" si="163"/>
        <v>0.3</v>
      </c>
      <c r="AB103" s="536">
        <f t="shared" si="163"/>
        <v>0.3</v>
      </c>
      <c r="AC103" s="536">
        <f t="shared" si="163"/>
        <v>0.3</v>
      </c>
    </row>
    <row r="104" spans="1:30">
      <c r="A104" s="295" t="s">
        <v>249</v>
      </c>
      <c r="B104" s="6"/>
      <c r="C104" s="6"/>
      <c r="D104" s="6"/>
      <c r="E104" s="6"/>
      <c r="F104" s="488">
        <f>FMV!B156</f>
        <v>0.245</v>
      </c>
      <c r="G104" s="298">
        <f t="shared" si="159"/>
        <v>0.245</v>
      </c>
      <c r="H104" s="298">
        <f t="shared" si="159"/>
        <v>0.245</v>
      </c>
      <c r="I104" s="298">
        <f t="shared" si="159"/>
        <v>0.245</v>
      </c>
      <c r="J104" s="298">
        <f t="shared" si="159"/>
        <v>0.245</v>
      </c>
      <c r="K104" s="298">
        <f t="shared" si="159"/>
        <v>0.245</v>
      </c>
      <c r="L104" s="298">
        <f t="shared" si="159"/>
        <v>0.245</v>
      </c>
      <c r="M104" s="298">
        <f t="shared" si="159"/>
        <v>0.245</v>
      </c>
      <c r="N104" s="298">
        <f t="shared" si="159"/>
        <v>0.245</v>
      </c>
      <c r="O104" s="298">
        <f t="shared" si="159"/>
        <v>0.245</v>
      </c>
      <c r="P104" s="298">
        <f t="shared" si="159"/>
        <v>0.245</v>
      </c>
      <c r="Q104" s="298">
        <f t="shared" si="160"/>
        <v>0.245</v>
      </c>
      <c r="R104" s="298">
        <f t="shared" si="160"/>
        <v>0.245</v>
      </c>
      <c r="S104" s="298">
        <f t="shared" si="161"/>
        <v>0.245</v>
      </c>
      <c r="T104" s="298">
        <f t="shared" si="161"/>
        <v>0.245</v>
      </c>
      <c r="U104" s="298">
        <f t="shared" si="161"/>
        <v>0.245</v>
      </c>
      <c r="V104" s="536">
        <f t="shared" si="162"/>
        <v>0.245</v>
      </c>
      <c r="W104" s="536">
        <f t="shared" si="162"/>
        <v>0.245</v>
      </c>
      <c r="X104" s="536">
        <f t="shared" si="163"/>
        <v>0.245</v>
      </c>
      <c r="Y104" s="536">
        <f t="shared" si="163"/>
        <v>0.245</v>
      </c>
      <c r="Z104" s="536">
        <f t="shared" si="163"/>
        <v>0.245</v>
      </c>
      <c r="AA104" s="536">
        <f t="shared" si="163"/>
        <v>0.245</v>
      </c>
      <c r="AB104" s="536">
        <f t="shared" si="163"/>
        <v>0.245</v>
      </c>
      <c r="AC104" s="536">
        <f t="shared" si="163"/>
        <v>0.245</v>
      </c>
    </row>
    <row r="105" spans="1:30">
      <c r="A105" s="295" t="s">
        <v>250</v>
      </c>
      <c r="B105" s="6"/>
      <c r="C105" s="6"/>
      <c r="D105" s="6"/>
      <c r="E105" s="6"/>
      <c r="F105" s="298">
        <f ca="1">((F101*(1-F104)*F103))+(F102*(1-F103))</f>
        <v>8.0500524685326896E-2</v>
      </c>
      <c r="G105" s="298">
        <f t="shared" ref="G105:S105" ca="1" si="164">((G101*(1-G104)*G103))+(G102*(1-G103))</f>
        <v>8.0500524685326896E-2</v>
      </c>
      <c r="H105" s="298">
        <f t="shared" ca="1" si="164"/>
        <v>8.0500524685326896E-2</v>
      </c>
      <c r="I105" s="298">
        <f t="shared" ca="1" si="164"/>
        <v>8.0500524685326896E-2</v>
      </c>
      <c r="J105" s="298">
        <f t="shared" ca="1" si="164"/>
        <v>8.0500524685326896E-2</v>
      </c>
      <c r="K105" s="298">
        <f t="shared" ca="1" si="164"/>
        <v>8.0500524685326896E-2</v>
      </c>
      <c r="L105" s="298">
        <f t="shared" ca="1" si="164"/>
        <v>8.0500524685326896E-2</v>
      </c>
      <c r="M105" s="298">
        <f t="shared" ca="1" si="164"/>
        <v>8.0500524685326896E-2</v>
      </c>
      <c r="N105" s="298">
        <f t="shared" ca="1" si="164"/>
        <v>8.0500524685326896E-2</v>
      </c>
      <c r="O105" s="298">
        <f t="shared" ca="1" si="164"/>
        <v>8.0500524685326896E-2</v>
      </c>
      <c r="P105" s="298">
        <f t="shared" ca="1" si="164"/>
        <v>8.0500524685326896E-2</v>
      </c>
      <c r="Q105" s="298">
        <f t="shared" ca="1" si="164"/>
        <v>8.0500524685326896E-2</v>
      </c>
      <c r="R105" s="298">
        <f t="shared" ca="1" si="164"/>
        <v>8.0500524685326896E-2</v>
      </c>
      <c r="S105" s="298">
        <f t="shared" ca="1" si="164"/>
        <v>8.0500524685326896E-2</v>
      </c>
      <c r="T105" s="298">
        <f t="shared" ref="T105:Y105" ca="1" si="165">((T101*(1-T104)*T103))+(T102*(1-T103))</f>
        <v>8.0500524685326896E-2</v>
      </c>
      <c r="U105" s="298">
        <f t="shared" ca="1" si="165"/>
        <v>8.0500524685326896E-2</v>
      </c>
      <c r="V105" s="536">
        <f t="shared" ca="1" si="165"/>
        <v>8.0500524685326896E-2</v>
      </c>
      <c r="W105" s="536">
        <f t="shared" ca="1" si="165"/>
        <v>8.0500524685326896E-2</v>
      </c>
      <c r="X105" s="536">
        <f t="shared" ca="1" si="165"/>
        <v>8.0500524685326896E-2</v>
      </c>
      <c r="Y105" s="536">
        <f t="shared" ca="1" si="165"/>
        <v>8.0500524685326896E-2</v>
      </c>
      <c r="Z105" s="536">
        <f ca="1">((Z101*(1-Z104)*Z103))+(Z102*(1-Z103))</f>
        <v>8.0500524685326896E-2</v>
      </c>
      <c r="AA105" s="536">
        <f ca="1">((AA101*(1-AA104)*AA103))+(AA102*(1-AA103))</f>
        <v>8.0500524685326896E-2</v>
      </c>
      <c r="AB105" s="536">
        <f ca="1">((AB101*(1-AB104)*AB103))+(AB102*(1-AB103))</f>
        <v>8.0500524685326896E-2</v>
      </c>
      <c r="AC105" s="536">
        <f ca="1">((AC101*(1-AC104)*AC103))+(AC102*(1-AC103))</f>
        <v>8.0500524685326896E-2</v>
      </c>
    </row>
    <row r="106" spans="1:30">
      <c r="A106" s="295" t="s">
        <v>251</v>
      </c>
      <c r="B106" s="6"/>
      <c r="C106" s="6"/>
      <c r="D106" s="6"/>
      <c r="E106" s="6"/>
      <c r="F106" s="488">
        <f>FMV!B158</f>
        <v>0.02</v>
      </c>
      <c r="G106" s="298">
        <f t="shared" ref="G106:P106" si="166">+F106</f>
        <v>0.02</v>
      </c>
      <c r="H106" s="298">
        <f t="shared" si="166"/>
        <v>0.02</v>
      </c>
      <c r="I106" s="298">
        <f t="shared" si="166"/>
        <v>0.02</v>
      </c>
      <c r="J106" s="298">
        <f t="shared" si="166"/>
        <v>0.02</v>
      </c>
      <c r="K106" s="298">
        <f t="shared" si="166"/>
        <v>0.02</v>
      </c>
      <c r="L106" s="298">
        <f t="shared" si="166"/>
        <v>0.02</v>
      </c>
      <c r="M106" s="298">
        <f t="shared" si="166"/>
        <v>0.02</v>
      </c>
      <c r="N106" s="298">
        <f t="shared" si="166"/>
        <v>0.02</v>
      </c>
      <c r="O106" s="298">
        <f t="shared" si="166"/>
        <v>0.02</v>
      </c>
      <c r="P106" s="298">
        <f t="shared" si="166"/>
        <v>0.02</v>
      </c>
      <c r="Q106" s="298">
        <f t="shared" ref="Q106:W106" si="167">+P106</f>
        <v>0.02</v>
      </c>
      <c r="R106" s="298">
        <f t="shared" si="167"/>
        <v>0.02</v>
      </c>
      <c r="S106" s="298">
        <f t="shared" si="167"/>
        <v>0.02</v>
      </c>
      <c r="T106" s="298">
        <f t="shared" si="167"/>
        <v>0.02</v>
      </c>
      <c r="U106" s="298">
        <f t="shared" si="167"/>
        <v>0.02</v>
      </c>
      <c r="V106" s="536">
        <f t="shared" si="167"/>
        <v>0.02</v>
      </c>
      <c r="W106" s="536">
        <f t="shared" si="167"/>
        <v>0.02</v>
      </c>
      <c r="X106" s="536">
        <f t="shared" ref="X106:AC106" si="168">+W106</f>
        <v>0.02</v>
      </c>
      <c r="Y106" s="536">
        <f t="shared" si="168"/>
        <v>0.02</v>
      </c>
      <c r="Z106" s="536">
        <f t="shared" si="168"/>
        <v>0.02</v>
      </c>
      <c r="AA106" s="536">
        <f t="shared" si="168"/>
        <v>0.02</v>
      </c>
      <c r="AB106" s="536">
        <f t="shared" si="168"/>
        <v>0.02</v>
      </c>
      <c r="AC106" s="536">
        <f t="shared" si="168"/>
        <v>0.02</v>
      </c>
    </row>
    <row r="107" spans="1:30">
      <c r="A107" s="295"/>
      <c r="B107" s="6"/>
      <c r="C107" s="6"/>
      <c r="D107" s="6"/>
      <c r="E107" s="6"/>
      <c r="F107" s="6"/>
      <c r="G107" s="6"/>
      <c r="H107" s="6"/>
      <c r="I107" s="6"/>
      <c r="J107" s="6"/>
      <c r="K107" s="6"/>
      <c r="L107" s="6"/>
      <c r="M107" s="6"/>
      <c r="N107" s="6"/>
      <c r="O107" s="6"/>
      <c r="P107" s="6"/>
      <c r="Q107" s="6"/>
      <c r="R107" s="6"/>
      <c r="S107" s="6"/>
      <c r="T107" s="6"/>
      <c r="U107" s="6"/>
      <c r="V107" s="11"/>
      <c r="W107" s="11"/>
      <c r="X107" s="11"/>
      <c r="Y107" s="11"/>
      <c r="Z107" s="11"/>
      <c r="AA107" s="11"/>
    </row>
    <row r="108" spans="1:30">
      <c r="A108" s="295" t="s">
        <v>1009</v>
      </c>
      <c r="B108" s="6"/>
      <c r="C108" s="6"/>
      <c r="D108" s="6"/>
      <c r="E108" s="6"/>
      <c r="F108" s="489">
        <f>AC72*(1+F106)</f>
        <v>1389.8904909187802</v>
      </c>
      <c r="G108" s="489">
        <f t="shared" ref="G108:P110" si="169">+F108</f>
        <v>1389.8904909187802</v>
      </c>
      <c r="H108" s="489">
        <f t="shared" si="169"/>
        <v>1389.8904909187802</v>
      </c>
      <c r="I108" s="489">
        <f t="shared" si="169"/>
        <v>1389.8904909187802</v>
      </c>
      <c r="J108" s="489">
        <f t="shared" si="169"/>
        <v>1389.8904909187802</v>
      </c>
      <c r="K108" s="489">
        <f t="shared" si="169"/>
        <v>1389.8904909187802</v>
      </c>
      <c r="L108" s="489">
        <f t="shared" si="169"/>
        <v>1389.8904909187802</v>
      </c>
      <c r="M108" s="489">
        <f t="shared" si="169"/>
        <v>1389.8904909187802</v>
      </c>
      <c r="N108" s="489">
        <f t="shared" si="169"/>
        <v>1389.8904909187802</v>
      </c>
      <c r="O108" s="489">
        <f t="shared" si="169"/>
        <v>1389.8904909187802</v>
      </c>
      <c r="P108" s="489">
        <f t="shared" si="169"/>
        <v>1389.8904909187802</v>
      </c>
      <c r="Q108" s="489">
        <f t="shared" ref="Q108:R110" si="170">+P108</f>
        <v>1389.8904909187802</v>
      </c>
      <c r="R108" s="489">
        <f t="shared" si="170"/>
        <v>1389.8904909187802</v>
      </c>
      <c r="S108" s="489">
        <f t="shared" ref="S108:U110" si="171">+R108</f>
        <v>1389.8904909187802</v>
      </c>
      <c r="T108" s="489">
        <f t="shared" si="171"/>
        <v>1389.8904909187802</v>
      </c>
      <c r="U108" s="489">
        <f t="shared" si="171"/>
        <v>1389.8904909187802</v>
      </c>
      <c r="V108" s="181">
        <f t="shared" ref="V108:W110" si="172">+U108</f>
        <v>1389.8904909187802</v>
      </c>
      <c r="W108" s="181">
        <f t="shared" si="172"/>
        <v>1389.8904909187802</v>
      </c>
      <c r="X108" s="181">
        <f t="shared" ref="X108:AC110" si="173">+W108</f>
        <v>1389.8904909187802</v>
      </c>
      <c r="Y108" s="181">
        <f t="shared" si="173"/>
        <v>1389.8904909187802</v>
      </c>
      <c r="Z108" s="181">
        <f t="shared" si="173"/>
        <v>1389.8904909187802</v>
      </c>
      <c r="AA108" s="181">
        <f t="shared" si="173"/>
        <v>1389.8904909187802</v>
      </c>
      <c r="AB108" s="181">
        <f>+AA108</f>
        <v>1389.8904909187802</v>
      </c>
      <c r="AC108" s="181">
        <f t="shared" si="173"/>
        <v>1389.8904909187802</v>
      </c>
    </row>
    <row r="109" spans="1:30" s="2807" customFormat="1">
      <c r="A109" s="3487" t="s">
        <v>54</v>
      </c>
      <c r="B109" s="2862"/>
      <c r="C109" s="2862"/>
      <c r="D109" s="2862"/>
      <c r="E109" s="2862"/>
      <c r="F109" s="2887">
        <f ca="1">AC94*(1+F106)</f>
        <v>330.24723324608055</v>
      </c>
      <c r="G109" s="2887">
        <f t="shared" ca="1" si="169"/>
        <v>330.24723324608055</v>
      </c>
      <c r="H109" s="2887">
        <f t="shared" ca="1" si="169"/>
        <v>330.24723324608055</v>
      </c>
      <c r="I109" s="2887">
        <f t="shared" ca="1" si="169"/>
        <v>330.24723324608055</v>
      </c>
      <c r="J109" s="2887">
        <f t="shared" ca="1" si="169"/>
        <v>330.24723324608055</v>
      </c>
      <c r="K109" s="2887">
        <f t="shared" ca="1" si="169"/>
        <v>330.24723324608055</v>
      </c>
      <c r="L109" s="2887">
        <f t="shared" ca="1" si="169"/>
        <v>330.24723324608055</v>
      </c>
      <c r="M109" s="2887">
        <f t="shared" ca="1" si="169"/>
        <v>330.24723324608055</v>
      </c>
      <c r="N109" s="2887">
        <f t="shared" ca="1" si="169"/>
        <v>330.24723324608055</v>
      </c>
      <c r="O109" s="2887">
        <f t="shared" ca="1" si="169"/>
        <v>330.24723324608055</v>
      </c>
      <c r="P109" s="2887">
        <f t="shared" ca="1" si="169"/>
        <v>330.24723324608055</v>
      </c>
      <c r="Q109" s="2887">
        <f t="shared" ca="1" si="170"/>
        <v>330.24723324608055</v>
      </c>
      <c r="R109" s="2887">
        <f t="shared" ca="1" si="170"/>
        <v>330.24723324608055</v>
      </c>
      <c r="S109" s="2887">
        <f t="shared" ca="1" si="171"/>
        <v>330.24723324608055</v>
      </c>
      <c r="T109" s="2887">
        <f t="shared" ca="1" si="171"/>
        <v>330.24723324608055</v>
      </c>
      <c r="U109" s="2887">
        <f t="shared" ca="1" si="171"/>
        <v>330.24723324608055</v>
      </c>
      <c r="V109" s="2887">
        <f t="shared" ca="1" si="172"/>
        <v>330.24723324608055</v>
      </c>
      <c r="W109" s="2887">
        <f t="shared" ca="1" si="172"/>
        <v>330.24723324608055</v>
      </c>
      <c r="X109" s="2887">
        <f t="shared" ca="1" si="173"/>
        <v>330.24723324608055</v>
      </c>
      <c r="Y109" s="2887">
        <f t="shared" ca="1" si="173"/>
        <v>330.24723324608055</v>
      </c>
      <c r="Z109" s="2887">
        <f t="shared" ca="1" si="173"/>
        <v>330.24723324608055</v>
      </c>
      <c r="AA109" s="2887">
        <f t="shared" ca="1" si="173"/>
        <v>330.24723324608055</v>
      </c>
      <c r="AB109" s="2887">
        <f t="shared" ca="1" si="173"/>
        <v>330.24723324608055</v>
      </c>
      <c r="AC109" s="2887">
        <f t="shared" ca="1" si="173"/>
        <v>330.24723324608055</v>
      </c>
    </row>
    <row r="110" spans="1:30" s="2807" customFormat="1">
      <c r="A110" s="3487" t="s">
        <v>67</v>
      </c>
      <c r="B110" s="2862"/>
      <c r="C110" s="2862"/>
      <c r="D110" s="2862"/>
      <c r="E110" s="2862"/>
      <c r="F110" s="3036">
        <f ca="1">AC91*(1+F106)</f>
        <v>41.942600118451622</v>
      </c>
      <c r="G110" s="3036">
        <f t="shared" ca="1" si="169"/>
        <v>41.942600118451622</v>
      </c>
      <c r="H110" s="3036">
        <f t="shared" ca="1" si="169"/>
        <v>41.942600118451622</v>
      </c>
      <c r="I110" s="3036">
        <f t="shared" ca="1" si="169"/>
        <v>41.942600118451622</v>
      </c>
      <c r="J110" s="3036">
        <f t="shared" ca="1" si="169"/>
        <v>41.942600118451622</v>
      </c>
      <c r="K110" s="3036">
        <f t="shared" ca="1" si="169"/>
        <v>41.942600118451622</v>
      </c>
      <c r="L110" s="3036">
        <f t="shared" ca="1" si="169"/>
        <v>41.942600118451622</v>
      </c>
      <c r="M110" s="3036">
        <f t="shared" ca="1" si="169"/>
        <v>41.942600118451622</v>
      </c>
      <c r="N110" s="3036">
        <f t="shared" ca="1" si="169"/>
        <v>41.942600118451622</v>
      </c>
      <c r="O110" s="3036">
        <f t="shared" ca="1" si="169"/>
        <v>41.942600118451622</v>
      </c>
      <c r="P110" s="3036">
        <f t="shared" ca="1" si="169"/>
        <v>41.942600118451622</v>
      </c>
      <c r="Q110" s="3036">
        <f t="shared" ca="1" si="170"/>
        <v>41.942600118451622</v>
      </c>
      <c r="R110" s="3036">
        <f t="shared" ca="1" si="170"/>
        <v>41.942600118451622</v>
      </c>
      <c r="S110" s="3036">
        <f t="shared" ca="1" si="171"/>
        <v>41.942600118451622</v>
      </c>
      <c r="T110" s="3036">
        <f t="shared" ca="1" si="171"/>
        <v>41.942600118451622</v>
      </c>
      <c r="U110" s="3036">
        <f t="shared" ca="1" si="171"/>
        <v>41.942600118451622</v>
      </c>
      <c r="V110" s="3036">
        <f t="shared" ca="1" si="172"/>
        <v>41.942600118451622</v>
      </c>
      <c r="W110" s="3036">
        <f t="shared" ca="1" si="172"/>
        <v>41.942600118451622</v>
      </c>
      <c r="X110" s="3036">
        <f t="shared" ca="1" si="173"/>
        <v>41.942600118451622</v>
      </c>
      <c r="Y110" s="3036">
        <f t="shared" ca="1" si="173"/>
        <v>41.942600118451622</v>
      </c>
      <c r="Z110" s="3036">
        <f t="shared" ca="1" si="173"/>
        <v>41.942600118451622</v>
      </c>
      <c r="AA110" s="3036">
        <f t="shared" ca="1" si="173"/>
        <v>41.942600118451622</v>
      </c>
      <c r="AB110" s="3036">
        <f t="shared" ca="1" si="173"/>
        <v>41.942600118451622</v>
      </c>
      <c r="AC110" s="3036">
        <f t="shared" ca="1" si="173"/>
        <v>41.942600118451622</v>
      </c>
    </row>
    <row r="111" spans="1:30" s="2807" customFormat="1">
      <c r="A111" s="3488" t="s">
        <v>1831</v>
      </c>
      <c r="B111" s="2862"/>
      <c r="C111" s="2862"/>
      <c r="D111" s="2862"/>
      <c r="E111" s="2862"/>
      <c r="F111" s="3303">
        <f>AC93*(1+F106)</f>
        <v>0</v>
      </c>
      <c r="G111" s="3303">
        <f>F111</f>
        <v>0</v>
      </c>
      <c r="H111" s="3303">
        <f t="shared" ref="H111:AC111" si="174">G111</f>
        <v>0</v>
      </c>
      <c r="I111" s="3303">
        <f t="shared" si="174"/>
        <v>0</v>
      </c>
      <c r="J111" s="3303">
        <f t="shared" si="174"/>
        <v>0</v>
      </c>
      <c r="K111" s="3303">
        <f t="shared" si="174"/>
        <v>0</v>
      </c>
      <c r="L111" s="3303">
        <f t="shared" si="174"/>
        <v>0</v>
      </c>
      <c r="M111" s="3303">
        <f t="shared" si="174"/>
        <v>0</v>
      </c>
      <c r="N111" s="3303">
        <f t="shared" si="174"/>
        <v>0</v>
      </c>
      <c r="O111" s="3303">
        <f t="shared" si="174"/>
        <v>0</v>
      </c>
      <c r="P111" s="3303">
        <f t="shared" si="174"/>
        <v>0</v>
      </c>
      <c r="Q111" s="3303">
        <f t="shared" si="174"/>
        <v>0</v>
      </c>
      <c r="R111" s="3303">
        <f t="shared" si="174"/>
        <v>0</v>
      </c>
      <c r="S111" s="3303">
        <f t="shared" si="174"/>
        <v>0</v>
      </c>
      <c r="T111" s="3303">
        <f t="shared" si="174"/>
        <v>0</v>
      </c>
      <c r="U111" s="3303">
        <f t="shared" si="174"/>
        <v>0</v>
      </c>
      <c r="V111" s="3303">
        <f t="shared" si="174"/>
        <v>0</v>
      </c>
      <c r="W111" s="3303">
        <f t="shared" si="174"/>
        <v>0</v>
      </c>
      <c r="X111" s="3303">
        <f t="shared" si="174"/>
        <v>0</v>
      </c>
      <c r="Y111" s="3303">
        <f t="shared" si="174"/>
        <v>0</v>
      </c>
      <c r="Z111" s="3303">
        <f t="shared" si="174"/>
        <v>0</v>
      </c>
      <c r="AA111" s="3303">
        <f t="shared" si="174"/>
        <v>0</v>
      </c>
      <c r="AB111" s="3303">
        <f t="shared" si="174"/>
        <v>0</v>
      </c>
      <c r="AC111" s="3303">
        <f t="shared" si="174"/>
        <v>0</v>
      </c>
    </row>
    <row r="112" spans="1:30" s="2807" customFormat="1">
      <c r="A112" s="3482" t="s">
        <v>56</v>
      </c>
      <c r="B112" s="2862"/>
      <c r="C112" s="2862"/>
      <c r="D112" s="2862"/>
      <c r="E112" s="2862"/>
      <c r="F112" s="2887">
        <f ca="1">+F108-F109-F110-F111</f>
        <v>1017.7006575542481</v>
      </c>
      <c r="G112" s="2887">
        <f t="shared" ref="G112:AC112" ca="1" si="175">+G108-G109-G110-G111</f>
        <v>1017.7006575542481</v>
      </c>
      <c r="H112" s="2887">
        <f t="shared" ca="1" si="175"/>
        <v>1017.7006575542481</v>
      </c>
      <c r="I112" s="2887">
        <f t="shared" ca="1" si="175"/>
        <v>1017.7006575542481</v>
      </c>
      <c r="J112" s="2887">
        <f t="shared" ca="1" si="175"/>
        <v>1017.7006575542481</v>
      </c>
      <c r="K112" s="2887">
        <f t="shared" ca="1" si="175"/>
        <v>1017.7006575542481</v>
      </c>
      <c r="L112" s="2887">
        <f t="shared" ca="1" si="175"/>
        <v>1017.7006575542481</v>
      </c>
      <c r="M112" s="2887">
        <f t="shared" ca="1" si="175"/>
        <v>1017.7006575542481</v>
      </c>
      <c r="N112" s="2887">
        <f t="shared" ca="1" si="175"/>
        <v>1017.7006575542481</v>
      </c>
      <c r="O112" s="2887">
        <f t="shared" ca="1" si="175"/>
        <v>1017.7006575542481</v>
      </c>
      <c r="P112" s="2887">
        <f t="shared" ca="1" si="175"/>
        <v>1017.7006575542481</v>
      </c>
      <c r="Q112" s="2887">
        <f t="shared" ca="1" si="175"/>
        <v>1017.7006575542481</v>
      </c>
      <c r="R112" s="2887">
        <f t="shared" ca="1" si="175"/>
        <v>1017.7006575542481</v>
      </c>
      <c r="S112" s="2887">
        <f t="shared" ca="1" si="175"/>
        <v>1017.7006575542481</v>
      </c>
      <c r="T112" s="2887">
        <f t="shared" ca="1" si="175"/>
        <v>1017.7006575542481</v>
      </c>
      <c r="U112" s="2887">
        <f t="shared" ca="1" si="175"/>
        <v>1017.7006575542481</v>
      </c>
      <c r="V112" s="2887">
        <f t="shared" ca="1" si="175"/>
        <v>1017.7006575542481</v>
      </c>
      <c r="W112" s="2887">
        <f t="shared" ca="1" si="175"/>
        <v>1017.7006575542481</v>
      </c>
      <c r="X112" s="2887">
        <f t="shared" ca="1" si="175"/>
        <v>1017.7006575542481</v>
      </c>
      <c r="Y112" s="2887">
        <f t="shared" ca="1" si="175"/>
        <v>1017.7006575542481</v>
      </c>
      <c r="Z112" s="2887">
        <f t="shared" ca="1" si="175"/>
        <v>1017.7006575542481</v>
      </c>
      <c r="AA112" s="2887">
        <f t="shared" ca="1" si="175"/>
        <v>1017.7006575542481</v>
      </c>
      <c r="AB112" s="2887">
        <f t="shared" ca="1" si="175"/>
        <v>1017.7006575542481</v>
      </c>
      <c r="AC112" s="2887">
        <f t="shared" ca="1" si="175"/>
        <v>1017.7006575542481</v>
      </c>
    </row>
    <row r="113" spans="1:30" s="2807" customFormat="1">
      <c r="A113" s="3487" t="s">
        <v>57</v>
      </c>
      <c r="B113" s="2862"/>
      <c r="C113" s="2862"/>
      <c r="D113" s="2862"/>
      <c r="E113" s="2862"/>
      <c r="F113" s="2887">
        <f ca="1">1/(F105-F106)</f>
        <v>16.528782274222632</v>
      </c>
      <c r="G113" s="2887">
        <f t="shared" ref="G113:P113" ca="1" si="176">1/(G105-G106)</f>
        <v>16.528782274222632</v>
      </c>
      <c r="H113" s="2887">
        <f t="shared" ca="1" si="176"/>
        <v>16.528782274222632</v>
      </c>
      <c r="I113" s="2887">
        <f t="shared" ca="1" si="176"/>
        <v>16.528782274222632</v>
      </c>
      <c r="J113" s="2887">
        <f t="shared" ca="1" si="176"/>
        <v>16.528782274222632</v>
      </c>
      <c r="K113" s="2887">
        <f t="shared" ca="1" si="176"/>
        <v>16.528782274222632</v>
      </c>
      <c r="L113" s="2887">
        <f t="shared" ca="1" si="176"/>
        <v>16.528782274222632</v>
      </c>
      <c r="M113" s="2887">
        <f t="shared" ca="1" si="176"/>
        <v>16.528782274222632</v>
      </c>
      <c r="N113" s="2887">
        <f t="shared" ca="1" si="176"/>
        <v>16.528782274222632</v>
      </c>
      <c r="O113" s="2887">
        <f t="shared" ca="1" si="176"/>
        <v>16.528782274222632</v>
      </c>
      <c r="P113" s="2887">
        <f t="shared" ca="1" si="176"/>
        <v>16.528782274222632</v>
      </c>
      <c r="Q113" s="2887">
        <f t="shared" ref="Q113:W113" ca="1" si="177">1/(Q105-Q106)</f>
        <v>16.528782274222632</v>
      </c>
      <c r="R113" s="2887">
        <f t="shared" ca="1" si="177"/>
        <v>16.528782274222632</v>
      </c>
      <c r="S113" s="2887">
        <f t="shared" ca="1" si="177"/>
        <v>16.528782274222632</v>
      </c>
      <c r="T113" s="2887">
        <f t="shared" ca="1" si="177"/>
        <v>16.528782274222632</v>
      </c>
      <c r="U113" s="2887">
        <f t="shared" ca="1" si="177"/>
        <v>16.528782274222632</v>
      </c>
      <c r="V113" s="2887">
        <f t="shared" ca="1" si="177"/>
        <v>16.528782274222632</v>
      </c>
      <c r="W113" s="2887">
        <f t="shared" ca="1" si="177"/>
        <v>16.528782274222632</v>
      </c>
      <c r="X113" s="2887">
        <f t="shared" ref="X113:AC113" ca="1" si="178">1/(X105-X106)</f>
        <v>16.528782274222632</v>
      </c>
      <c r="Y113" s="2887">
        <f t="shared" ca="1" si="178"/>
        <v>16.528782274222632</v>
      </c>
      <c r="Z113" s="2887">
        <f t="shared" ca="1" si="178"/>
        <v>16.528782274222632</v>
      </c>
      <c r="AA113" s="2887">
        <f t="shared" ca="1" si="178"/>
        <v>16.528782274222632</v>
      </c>
      <c r="AB113" s="2887">
        <f t="shared" ca="1" si="178"/>
        <v>16.528782274222632</v>
      </c>
      <c r="AC113" s="2887">
        <f t="shared" ca="1" si="178"/>
        <v>16.528782274222632</v>
      </c>
    </row>
    <row r="114" spans="1:30" s="2807" customFormat="1">
      <c r="A114" s="3487" t="s">
        <v>58</v>
      </c>
      <c r="B114" s="2862"/>
      <c r="C114" s="2862"/>
      <c r="D114" s="2862"/>
      <c r="E114" s="2862"/>
      <c r="F114" s="2887">
        <f ca="1">+F115/F108</f>
        <v>12.102645999058314</v>
      </c>
      <c r="G114" s="2887">
        <f t="shared" ref="G114:P114" ca="1" si="179">+G115/G108</f>
        <v>12.102645999058314</v>
      </c>
      <c r="H114" s="2887">
        <f t="shared" ca="1" si="179"/>
        <v>12.102645999058314</v>
      </c>
      <c r="I114" s="2887">
        <f t="shared" ca="1" si="179"/>
        <v>12.102645999058314</v>
      </c>
      <c r="J114" s="2887">
        <f t="shared" ca="1" si="179"/>
        <v>12.102645999058314</v>
      </c>
      <c r="K114" s="2887">
        <f t="shared" ca="1" si="179"/>
        <v>12.102645999058314</v>
      </c>
      <c r="L114" s="2887">
        <f t="shared" ca="1" si="179"/>
        <v>12.102645999058314</v>
      </c>
      <c r="M114" s="2887">
        <f t="shared" ca="1" si="179"/>
        <v>12.102645999058314</v>
      </c>
      <c r="N114" s="2887">
        <f t="shared" ca="1" si="179"/>
        <v>12.102645999058314</v>
      </c>
      <c r="O114" s="2887">
        <f t="shared" ca="1" si="179"/>
        <v>12.102645999058314</v>
      </c>
      <c r="P114" s="2887">
        <f t="shared" ca="1" si="179"/>
        <v>12.102645999058314</v>
      </c>
      <c r="Q114" s="2887">
        <f t="shared" ref="Q114:W114" ca="1" si="180">+Q115/Q108</f>
        <v>12.102645999058314</v>
      </c>
      <c r="R114" s="2887">
        <f t="shared" ca="1" si="180"/>
        <v>12.102645999058314</v>
      </c>
      <c r="S114" s="2887">
        <f t="shared" ca="1" si="180"/>
        <v>12.102645999058314</v>
      </c>
      <c r="T114" s="2887">
        <f t="shared" ca="1" si="180"/>
        <v>12.102645999058314</v>
      </c>
      <c r="U114" s="2887">
        <f t="shared" ca="1" si="180"/>
        <v>12.102645999058314</v>
      </c>
      <c r="V114" s="2887">
        <f t="shared" ca="1" si="180"/>
        <v>12.102645999058314</v>
      </c>
      <c r="W114" s="2887">
        <f t="shared" ca="1" si="180"/>
        <v>12.102645999058314</v>
      </c>
      <c r="X114" s="2887">
        <f t="shared" ref="X114:AC114" ca="1" si="181">+X115/X108</f>
        <v>12.102645999058314</v>
      </c>
      <c r="Y114" s="2887">
        <f t="shared" ca="1" si="181"/>
        <v>12.102645999058314</v>
      </c>
      <c r="Z114" s="2887">
        <f t="shared" ca="1" si="181"/>
        <v>12.102645999058314</v>
      </c>
      <c r="AA114" s="2887">
        <f t="shared" ca="1" si="181"/>
        <v>12.102645999058314</v>
      </c>
      <c r="AB114" s="2887">
        <f t="shared" ca="1" si="181"/>
        <v>12.102645999058314</v>
      </c>
      <c r="AC114" s="2887">
        <f t="shared" ca="1" si="181"/>
        <v>12.102645999058314</v>
      </c>
    </row>
    <row r="115" spans="1:30" s="2807" customFormat="1">
      <c r="A115" s="3482" t="s">
        <v>59</v>
      </c>
      <c r="B115" s="2862"/>
      <c r="C115" s="2862"/>
      <c r="D115" s="2862"/>
      <c r="E115" s="2862"/>
      <c r="F115" s="2887">
        <f ca="1">F113*F112</f>
        <v>16821.352589047372</v>
      </c>
      <c r="G115" s="2887">
        <f t="shared" ref="G115:P115" ca="1" si="182">G113*G112</f>
        <v>16821.352589047372</v>
      </c>
      <c r="H115" s="2887">
        <f t="shared" ca="1" si="182"/>
        <v>16821.352589047372</v>
      </c>
      <c r="I115" s="2887">
        <f t="shared" ca="1" si="182"/>
        <v>16821.352589047372</v>
      </c>
      <c r="J115" s="2887">
        <f t="shared" ca="1" si="182"/>
        <v>16821.352589047372</v>
      </c>
      <c r="K115" s="2887">
        <f t="shared" ca="1" si="182"/>
        <v>16821.352589047372</v>
      </c>
      <c r="L115" s="2887">
        <f t="shared" ca="1" si="182"/>
        <v>16821.352589047372</v>
      </c>
      <c r="M115" s="2887">
        <f t="shared" ca="1" si="182"/>
        <v>16821.352589047372</v>
      </c>
      <c r="N115" s="2887">
        <f t="shared" ca="1" si="182"/>
        <v>16821.352589047372</v>
      </c>
      <c r="O115" s="2887">
        <f t="shared" ca="1" si="182"/>
        <v>16821.352589047372</v>
      </c>
      <c r="P115" s="2887">
        <f t="shared" ca="1" si="182"/>
        <v>16821.352589047372</v>
      </c>
      <c r="Q115" s="2887">
        <f t="shared" ref="Q115:W115" ca="1" si="183">Q113*Q112</f>
        <v>16821.352589047372</v>
      </c>
      <c r="R115" s="2887">
        <f t="shared" ca="1" si="183"/>
        <v>16821.352589047372</v>
      </c>
      <c r="S115" s="2887">
        <f t="shared" ca="1" si="183"/>
        <v>16821.352589047372</v>
      </c>
      <c r="T115" s="2887">
        <f t="shared" ca="1" si="183"/>
        <v>16821.352589047372</v>
      </c>
      <c r="U115" s="2887">
        <f t="shared" ca="1" si="183"/>
        <v>16821.352589047372</v>
      </c>
      <c r="V115" s="2887">
        <f t="shared" ca="1" si="183"/>
        <v>16821.352589047372</v>
      </c>
      <c r="W115" s="2887">
        <f t="shared" ca="1" si="183"/>
        <v>16821.352589047372</v>
      </c>
      <c r="X115" s="2887">
        <f t="shared" ref="X115:AC115" ca="1" si="184">X113*X112</f>
        <v>16821.352589047372</v>
      </c>
      <c r="Y115" s="2887">
        <f t="shared" ca="1" si="184"/>
        <v>16821.352589047372</v>
      </c>
      <c r="Z115" s="2887">
        <f t="shared" ca="1" si="184"/>
        <v>16821.352589047372</v>
      </c>
      <c r="AA115" s="2887">
        <f t="shared" ca="1" si="184"/>
        <v>16821.352589047372</v>
      </c>
      <c r="AB115" s="2887">
        <f t="shared" ca="1" si="184"/>
        <v>16821.352589047372</v>
      </c>
      <c r="AC115" s="2887">
        <f t="shared" ca="1" si="184"/>
        <v>16821.352589047372</v>
      </c>
    </row>
    <row r="116" spans="1:30" s="2807" customFormat="1">
      <c r="A116" s="3482" t="s">
        <v>60</v>
      </c>
      <c r="B116" s="2862"/>
      <c r="C116" s="2862"/>
      <c r="D116" s="2862"/>
      <c r="E116" s="2862"/>
      <c r="F116" s="2887">
        <f ca="1">F115/((1+F105)^F122)</f>
        <v>2834.5643812347935</v>
      </c>
      <c r="G116" s="2887">
        <f t="shared" ref="G116:S116" ca="1" si="185">G115/((1+G105)^G122)</f>
        <v>3062.7483011785334</v>
      </c>
      <c r="H116" s="2887">
        <f t="shared" ca="1" si="185"/>
        <v>3309.3011464024989</v>
      </c>
      <c r="I116" s="2887">
        <f t="shared" ca="1" si="185"/>
        <v>3575.7016250296547</v>
      </c>
      <c r="J116" s="2887">
        <f t="shared" ca="1" si="185"/>
        <v>3863.5474819627179</v>
      </c>
      <c r="K116" s="2887">
        <f t="shared" ca="1" si="185"/>
        <v>4174.5650814073915</v>
      </c>
      <c r="L116" s="2887">
        <f t="shared" ca="1" si="185"/>
        <v>4510.6197607937311</v>
      </c>
      <c r="M116" s="2887">
        <f t="shared" ca="1" si="185"/>
        <v>4873.7270181936301</v>
      </c>
      <c r="N116" s="2887">
        <f t="shared" ca="1" si="185"/>
        <v>5266.0646003312731</v>
      </c>
      <c r="O116" s="2887">
        <f t="shared" ca="1" si="185"/>
        <v>5689.9855636847669</v>
      </c>
      <c r="P116" s="2887">
        <f t="shared" ca="1" si="185"/>
        <v>6148.032387013327</v>
      </c>
      <c r="Q116" s="2887">
        <f t="shared" ca="1" si="185"/>
        <v>6642.9522199502826</v>
      </c>
      <c r="R116" s="2887">
        <f t="shared" ca="1" si="185"/>
        <v>7177.7133591158381</v>
      </c>
      <c r="S116" s="2887">
        <f t="shared" ca="1" si="185"/>
        <v>7755.5230505655436</v>
      </c>
      <c r="T116" s="2887">
        <f t="shared" ref="T116:Y116" ca="1" si="186">T115/((1+T105)^T122)</f>
        <v>8379.8467253452181</v>
      </c>
      <c r="U116" s="2887">
        <f t="shared" ca="1" si="186"/>
        <v>9054.4287835181276</v>
      </c>
      <c r="V116" s="2887">
        <f t="shared" ca="1" si="186"/>
        <v>9783.3150513172641</v>
      </c>
      <c r="W116" s="2887">
        <f t="shared" ca="1" si="186"/>
        <v>10570.877046110161</v>
      </c>
      <c r="X116" s="2887">
        <f t="shared" ca="1" si="186"/>
        <v>11421.838194706108</v>
      </c>
      <c r="Y116" s="2887">
        <f t="shared" ca="1" si="186"/>
        <v>12341.302162250859</v>
      </c>
      <c r="Z116" s="2887">
        <f ca="1">Z115/((1+Z105)^Z122)</f>
        <v>13334.783461612213</v>
      </c>
      <c r="AA116" s="2887">
        <f ca="1">AA115/((1+AA105)^AA122)</f>
        <v>14408.240526837217</v>
      </c>
      <c r="AB116" s="2887">
        <f ca="1">AB115/((1+AB105)^AB122)</f>
        <v>15568.111449040005</v>
      </c>
      <c r="AC116" s="2887">
        <f ca="1">AC115/((1+AC105)^AC122)</f>
        <v>16821.352589047372</v>
      </c>
    </row>
    <row r="117" spans="1:30">
      <c r="A117" s="295" t="s">
        <v>63</v>
      </c>
      <c r="B117" s="6"/>
      <c r="C117" s="6"/>
      <c r="D117" s="6"/>
      <c r="E117" s="6"/>
      <c r="F117" s="172">
        <f ca="1">NPV(F105,G96:$AC96)</f>
        <v>5180.9143404627102</v>
      </c>
      <c r="G117" s="172">
        <f ca="1">NPV(G105,H96:$AC96)</f>
        <v>5210.2031315548238</v>
      </c>
      <c r="H117" s="172">
        <f ca="1">NPV(H105,I96:$AC96)</f>
        <v>5254.91349813744</v>
      </c>
      <c r="I117" s="172">
        <f ca="1">NPV(I105,J96:$AC96)</f>
        <v>5172.3539645654992</v>
      </c>
      <c r="J117" s="172">
        <f ca="1">NPV(J105,K96:$AC96)</f>
        <v>5065.5788886771124</v>
      </c>
      <c r="K117" s="172">
        <f ca="1">NPV(K105,L96:$AC96)</f>
        <v>4990.9985968596902</v>
      </c>
      <c r="L117" s="172">
        <f ca="1">NPV(L105,M96:$AC96)</f>
        <v>4861.5851700343592</v>
      </c>
      <c r="M117" s="172">
        <f ca="1">NPV(M105,N96:$AC96)</f>
        <v>4494.2853357117756</v>
      </c>
      <c r="N117" s="172">
        <f ca="1">NPV(N105,O96:$AC96)</f>
        <v>4116.9867963178494</v>
      </c>
      <c r="O117" s="172">
        <f ca="1">NPV(O105,P96:$AC96)</f>
        <v>3748.9107562307795</v>
      </c>
      <c r="P117" s="172">
        <f ca="1">NPV(P105,Q96:$AC96)</f>
        <v>3407.2219279984292</v>
      </c>
      <c r="Q117" s="172">
        <f ca="1">NPV(Q105,R96:$AC96)</f>
        <v>3045.7825742725572</v>
      </c>
      <c r="R117" s="172">
        <f ca="1">NPV(R105,S96:$AC96)</f>
        <v>3219.6535924461787</v>
      </c>
      <c r="S117" s="172">
        <f ca="1">NPV(S105,T96:$AC96)</f>
        <v>3384.5879038949538</v>
      </c>
      <c r="T117" s="172">
        <f ca="1">NPV(T105,U96:$AC96)</f>
        <v>3377.5073320460856</v>
      </c>
      <c r="U117" s="172">
        <f ca="1">NPV(U105,V96:$AC96)</f>
        <v>3268.1056355518554</v>
      </c>
      <c r="V117" s="172">
        <f ca="1">NPV(V105,W96:$AC96)</f>
        <v>3111.9937708638367</v>
      </c>
      <c r="W117" s="172">
        <f ca="1">NPV(W105,X96:$AC96)</f>
        <v>2931.8086451110121</v>
      </c>
      <c r="X117" s="172">
        <f ca="1">NPV(X105,Y96:$AC96)</f>
        <v>2661.301889957102</v>
      </c>
      <c r="Y117" s="172">
        <f ca="1">NPV(Y105,Z96:$AC96)</f>
        <v>2322.9399809283468</v>
      </c>
      <c r="Z117" s="172">
        <f ca="1">NPV(Z105,AA96:$AC96)</f>
        <v>1922.0273357880428</v>
      </c>
      <c r="AA117" s="172">
        <f ca="1">NPV(AA105,AB96:$AC96)</f>
        <v>1436.3145974251024</v>
      </c>
      <c r="AB117" s="172">
        <f ca="1">NPV(AB105,AC96:$AC96)</f>
        <v>885.35407864265494</v>
      </c>
      <c r="AC117" s="771">
        <v>0</v>
      </c>
      <c r="AD117" s="1396"/>
    </row>
    <row r="118" spans="1:30">
      <c r="A118" s="295"/>
      <c r="B118" s="6"/>
      <c r="C118" s="6"/>
      <c r="D118" s="6"/>
      <c r="E118" s="6"/>
      <c r="F118" s="492"/>
      <c r="G118" s="492"/>
      <c r="H118" s="492"/>
      <c r="I118" s="492"/>
      <c r="J118" s="492"/>
      <c r="K118" s="492"/>
      <c r="L118" s="492"/>
      <c r="M118" s="492"/>
      <c r="N118" s="492"/>
      <c r="O118" s="492"/>
      <c r="P118" s="492"/>
      <c r="Q118" s="492"/>
      <c r="R118" s="492"/>
      <c r="S118" s="492"/>
      <c r="T118" s="492"/>
      <c r="U118" s="492"/>
      <c r="V118" s="539"/>
      <c r="W118" s="539"/>
      <c r="X118" s="539"/>
      <c r="Y118" s="539"/>
      <c r="Z118" s="539"/>
      <c r="AA118" s="539"/>
    </row>
    <row r="119" spans="1:30">
      <c r="A119" s="295" t="s">
        <v>64</v>
      </c>
      <c r="B119" s="6"/>
      <c r="C119" s="6"/>
      <c r="D119" s="6"/>
      <c r="E119" s="6"/>
      <c r="F119" s="493">
        <f ca="1">F117+F116</f>
        <v>8015.4787216975037</v>
      </c>
      <c r="G119" s="493">
        <f t="shared" ref="G119:P119" ca="1" si="187">G117+G116</f>
        <v>8272.9514327333563</v>
      </c>
      <c r="H119" s="493">
        <f t="shared" ca="1" si="187"/>
        <v>8564.2146445399394</v>
      </c>
      <c r="I119" s="493">
        <f t="shared" ca="1" si="187"/>
        <v>8748.0555895951547</v>
      </c>
      <c r="J119" s="493">
        <f t="shared" ca="1" si="187"/>
        <v>8929.1263706398313</v>
      </c>
      <c r="K119" s="493">
        <f t="shared" ca="1" si="187"/>
        <v>9165.5636782670808</v>
      </c>
      <c r="L119" s="493">
        <f t="shared" ca="1" si="187"/>
        <v>9372.2049308280912</v>
      </c>
      <c r="M119" s="493">
        <f t="shared" ca="1" si="187"/>
        <v>9368.0123539054057</v>
      </c>
      <c r="N119" s="493">
        <f t="shared" ca="1" si="187"/>
        <v>9383.0513966491235</v>
      </c>
      <c r="O119" s="493">
        <f t="shared" ca="1" si="187"/>
        <v>9438.896319915546</v>
      </c>
      <c r="P119" s="493">
        <f t="shared" ca="1" si="187"/>
        <v>9555.2543150117563</v>
      </c>
      <c r="Q119" s="493">
        <f t="shared" ref="Q119:W119" ca="1" si="188">Q117+Q116</f>
        <v>9688.7347942228407</v>
      </c>
      <c r="R119" s="493">
        <f t="shared" ca="1" si="188"/>
        <v>10397.366951562017</v>
      </c>
      <c r="S119" s="493">
        <f t="shared" ca="1" si="188"/>
        <v>11140.110954460497</v>
      </c>
      <c r="T119" s="493">
        <f t="shared" ca="1" si="188"/>
        <v>11757.354057391303</v>
      </c>
      <c r="U119" s="493">
        <f t="shared" ca="1" si="188"/>
        <v>12322.534419069983</v>
      </c>
      <c r="V119" s="540">
        <f t="shared" ca="1" si="188"/>
        <v>12895.308822181101</v>
      </c>
      <c r="W119" s="540">
        <f t="shared" ca="1" si="188"/>
        <v>13502.685691221173</v>
      </c>
      <c r="X119" s="540">
        <f t="shared" ref="X119:AC119" ca="1" si="189">X117+X116</f>
        <v>14083.14008466321</v>
      </c>
      <c r="Y119" s="540">
        <f t="shared" ca="1" si="189"/>
        <v>14664.242143179206</v>
      </c>
      <c r="Z119" s="540">
        <f t="shared" ca="1" si="189"/>
        <v>15256.810797400256</v>
      </c>
      <c r="AA119" s="540">
        <f t="shared" ca="1" si="189"/>
        <v>15844.555124262319</v>
      </c>
      <c r="AB119" s="540">
        <f t="shared" ca="1" si="189"/>
        <v>16453.46552768266</v>
      </c>
      <c r="AC119" s="540">
        <f t="shared" ca="1" si="189"/>
        <v>16821.352589047372</v>
      </c>
    </row>
    <row r="120" spans="1:30">
      <c r="A120" s="490" t="s">
        <v>72</v>
      </c>
      <c r="B120" s="6"/>
      <c r="C120" s="6"/>
      <c r="D120" s="6"/>
      <c r="E120" s="6"/>
      <c r="F120" s="494">
        <f ca="1">F119/F72</f>
        <v>14.251255533581096</v>
      </c>
      <c r="G120" s="494">
        <f ca="1">G119/G72</f>
        <v>14.047886490955138</v>
      </c>
      <c r="H120" s="494">
        <f t="shared" ref="H120:S120" ca="1" si="190">H119/H72</f>
        <v>14.914395299991535</v>
      </c>
      <c r="I120" s="494">
        <f t="shared" ca="1" si="190"/>
        <v>11.149724794746627</v>
      </c>
      <c r="J120" s="494">
        <f t="shared" ca="1" si="190"/>
        <v>11.000349754055694</v>
      </c>
      <c r="K120" s="494">
        <f t="shared" ca="1" si="190"/>
        <v>12.586464894986889</v>
      </c>
      <c r="L120" s="494">
        <f t="shared" ca="1" si="190"/>
        <v>11.88184498970543</v>
      </c>
      <c r="M120" s="494">
        <f t="shared" ca="1" si="190"/>
        <v>8.2958499099704905</v>
      </c>
      <c r="N120" s="494">
        <f t="shared" ca="1" si="190"/>
        <v>8.5524052142908715</v>
      </c>
      <c r="O120" s="494">
        <f t="shared" ca="1" si="190"/>
        <v>9.0523991639031749</v>
      </c>
      <c r="P120" s="494">
        <f t="shared" ca="1" si="190"/>
        <v>10.029471728254261</v>
      </c>
      <c r="Q120" s="494">
        <f t="shared" ca="1" si="190"/>
        <v>10.479073930145525</v>
      </c>
      <c r="R120" s="494">
        <f t="shared" ca="1" si="190"/>
        <v>11.390385768327638</v>
      </c>
      <c r="S120" s="494">
        <f t="shared" ca="1" si="190"/>
        <v>11.325066231003994</v>
      </c>
      <c r="T120" s="494">
        <f t="shared" ref="T120:Y120" ca="1" si="191">T119/T72</f>
        <v>11.495136981538362</v>
      </c>
      <c r="U120" s="494">
        <f t="shared" ca="1" si="191"/>
        <v>11.596269523758341</v>
      </c>
      <c r="V120" s="541">
        <f t="shared" ca="1" si="191"/>
        <v>11.672148573644549</v>
      </c>
      <c r="W120" s="541">
        <f t="shared" ca="1" si="191"/>
        <v>11.779365253473969</v>
      </c>
      <c r="X120" s="541">
        <f t="shared" ca="1" si="191"/>
        <v>11.865029603737437</v>
      </c>
      <c r="Y120" s="541">
        <f t="shared" ca="1" si="191"/>
        <v>11.959569442700003</v>
      </c>
      <c r="Z120" s="541">
        <f ca="1">Z119/Z72</f>
        <v>12.073652073053125</v>
      </c>
      <c r="AA120" s="541">
        <f ca="1">AA119/AA72</f>
        <v>12.196097108879512</v>
      </c>
      <c r="AB120" s="541">
        <f ca="1">AB119/AB72</f>
        <v>12.352810634054096</v>
      </c>
      <c r="AC120" s="541">
        <f ca="1">AC119/AC72</f>
        <v>12.34469891903948</v>
      </c>
    </row>
    <row r="121" spans="1:30">
      <c r="A121" s="490" t="s">
        <v>73</v>
      </c>
      <c r="B121" s="6"/>
      <c r="C121" s="6"/>
      <c r="D121" s="6"/>
      <c r="E121" s="6"/>
      <c r="F121" s="494">
        <f ca="1">F119/G72</f>
        <v>13.610684913191841</v>
      </c>
      <c r="G121" s="494">
        <f ca="1">G119/H72</f>
        <v>14.40716669147014</v>
      </c>
      <c r="H121" s="494">
        <f t="shared" ref="H121:U121" ca="1" si="192">H119/I72</f>
        <v>10.915412618471734</v>
      </c>
      <c r="I121" s="494">
        <f t="shared" ca="1" si="192"/>
        <v>10.777277323556678</v>
      </c>
      <c r="J121" s="494">
        <f t="shared" ca="1" si="192"/>
        <v>12.261781113740362</v>
      </c>
      <c r="K121" s="494">
        <f t="shared" ca="1" si="192"/>
        <v>11.619870422404588</v>
      </c>
      <c r="L121" s="494">
        <f t="shared" ca="1" si="192"/>
        <v>8.2995626494047112</v>
      </c>
      <c r="M121" s="494">
        <f t="shared" ca="1" si="192"/>
        <v>8.5386975213302154</v>
      </c>
      <c r="N121" s="494">
        <f t="shared" ca="1" si="192"/>
        <v>8.9988409384972492</v>
      </c>
      <c r="O121" s="494">
        <f t="shared" ca="1" si="192"/>
        <v>9.9073390059110835</v>
      </c>
      <c r="P121" s="494">
        <f t="shared" ca="1" si="192"/>
        <v>10.334705048181881</v>
      </c>
      <c r="Q121" s="494">
        <f t="shared" ca="1" si="192"/>
        <v>10.614074450516272</v>
      </c>
      <c r="R121" s="494">
        <f t="shared" ca="1" si="192"/>
        <v>10.569990715159307</v>
      </c>
      <c r="S121" s="494">
        <f t="shared" ca="1" si="192"/>
        <v>10.891659873979547</v>
      </c>
      <c r="T121" s="494">
        <f t="shared" ca="1" si="192"/>
        <v>11.06439973296121</v>
      </c>
      <c r="U121" s="494">
        <f t="shared" ca="1" si="192"/>
        <v>11.153703608542676</v>
      </c>
      <c r="V121" s="541">
        <f t="shared" ref="V121:AB121" ca="1" si="193">V119/W72</f>
        <v>11.249506664557398</v>
      </c>
      <c r="W121" s="541">
        <f t="shared" ca="1" si="193"/>
        <v>11.375997433326138</v>
      </c>
      <c r="X121" s="541">
        <f t="shared" ca="1" si="193"/>
        <v>11.485645843085241</v>
      </c>
      <c r="Y121" s="541">
        <f t="shared" ca="1" si="193"/>
        <v>11.60471607748573</v>
      </c>
      <c r="Z121" s="541">
        <f t="shared" ca="1" si="193"/>
        <v>11.743690157129487</v>
      </c>
      <c r="AA121" s="541">
        <f t="shared" ca="1" si="193"/>
        <v>11.895657404304306</v>
      </c>
      <c r="AB121" s="541">
        <f t="shared" ca="1" si="193"/>
        <v>12.074717359309583</v>
      </c>
    </row>
    <row r="122" spans="1:30">
      <c r="A122" s="495" t="s">
        <v>61</v>
      </c>
      <c r="B122" s="6"/>
      <c r="C122" s="6"/>
      <c r="D122" s="6"/>
      <c r="E122" s="6"/>
      <c r="F122" s="510">
        <f t="shared" ref="F122:W122" si="194">G122+1</f>
        <v>23</v>
      </c>
      <c r="G122" s="510">
        <f t="shared" si="194"/>
        <v>22</v>
      </c>
      <c r="H122" s="510">
        <f t="shared" si="194"/>
        <v>21</v>
      </c>
      <c r="I122" s="510">
        <f t="shared" si="194"/>
        <v>20</v>
      </c>
      <c r="J122" s="510">
        <f t="shared" si="194"/>
        <v>19</v>
      </c>
      <c r="K122" s="510">
        <f t="shared" si="194"/>
        <v>18</v>
      </c>
      <c r="L122" s="510">
        <f t="shared" si="194"/>
        <v>17</v>
      </c>
      <c r="M122" s="510">
        <f t="shared" si="194"/>
        <v>16</v>
      </c>
      <c r="N122" s="510">
        <f t="shared" si="194"/>
        <v>15</v>
      </c>
      <c r="O122" s="510">
        <f t="shared" si="194"/>
        <v>14</v>
      </c>
      <c r="P122" s="510">
        <f t="shared" si="194"/>
        <v>13</v>
      </c>
      <c r="Q122" s="510">
        <f t="shared" si="194"/>
        <v>12</v>
      </c>
      <c r="R122" s="510">
        <f t="shared" si="194"/>
        <v>11</v>
      </c>
      <c r="S122" s="510">
        <f t="shared" si="194"/>
        <v>10</v>
      </c>
      <c r="T122" s="510">
        <f t="shared" si="194"/>
        <v>9</v>
      </c>
      <c r="U122" s="510">
        <f t="shared" si="194"/>
        <v>8</v>
      </c>
      <c r="V122" s="510">
        <f t="shared" si="194"/>
        <v>7</v>
      </c>
      <c r="W122" s="510">
        <f t="shared" si="194"/>
        <v>6</v>
      </c>
      <c r="X122" s="510">
        <f>Y122+1</f>
        <v>5</v>
      </c>
      <c r="Y122" s="510">
        <f>Z122+1</f>
        <v>4</v>
      </c>
      <c r="Z122" s="510">
        <f>AA122+1</f>
        <v>3</v>
      </c>
      <c r="AA122" s="510">
        <f>AB122+1</f>
        <v>2</v>
      </c>
      <c r="AB122" s="510">
        <f>AC122+1</f>
        <v>1</v>
      </c>
      <c r="AC122" s="1401">
        <v>0</v>
      </c>
      <c r="AD122" s="1396"/>
    </row>
  </sheetData>
  <phoneticPr fontId="3" type="noConversion"/>
  <pageMargins left="0.75" right="0.75" top="1" bottom="1" header="0.5" footer="0.5"/>
  <pageSetup orientation="landscape" horizontalDpi="1200" verticalDpi="1200" r:id="rId1"/>
  <headerFooter alignWithMargins="0"/>
  <ignoredErrors>
    <ignoredError sqref="P105:AC105" formula="1"/>
  </ignoredErrors>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DO418"/>
  <sheetViews>
    <sheetView showGridLines="0" workbookViewId="0">
      <pane xSplit="8" ySplit="4" topLeftCell="U5" activePane="bottomRight" state="frozen"/>
      <selection activeCell="Z16" sqref="Z16"/>
      <selection pane="topRight" activeCell="Z16" sqref="Z16"/>
      <selection pane="bottomLeft" activeCell="Z16" sqref="Z16"/>
      <selection pane="bottomRight" activeCell="BM42" sqref="BM42"/>
    </sheetView>
  </sheetViews>
  <sheetFormatPr defaultRowHeight="12.75" outlineLevelRow="1" outlineLevelCol="1"/>
  <cols>
    <col min="1" max="1" width="6.28515625" customWidth="1"/>
    <col min="2" max="2" width="22.42578125" customWidth="1"/>
    <col min="3" max="3" width="22.5703125" customWidth="1"/>
    <col min="4" max="4" width="6.7109375" customWidth="1"/>
    <col min="5" max="5" width="10.7109375" customWidth="1"/>
    <col min="6" max="6" width="8.42578125" customWidth="1"/>
    <col min="7" max="7" width="7.5703125" customWidth="1"/>
    <col min="8" max="8" width="0.85546875" customWidth="1"/>
    <col min="9" max="19" width="8.7109375" hidden="1" customWidth="1" outlineLevel="1"/>
    <col min="20" max="20" width="5.7109375" hidden="1" customWidth="1" outlineLevel="1"/>
    <col min="21" max="21" width="8.7109375" customWidth="1" collapsed="1"/>
    <col min="22" max="36" width="8.7109375" hidden="1" customWidth="1" outlineLevel="1"/>
    <col min="37" max="37" width="1.85546875" hidden="1" customWidth="1" outlineLevel="1"/>
    <col min="38" max="53" width="8.7109375" hidden="1" customWidth="1" outlineLevel="1"/>
    <col min="54" max="54" width="2.7109375" customWidth="1" collapsed="1"/>
    <col min="55" max="62" width="8.7109375" customWidth="1"/>
    <col min="65" max="70" width="9.85546875" customWidth="1"/>
    <col min="71" max="71" width="2.42578125" hidden="1" customWidth="1" outlineLevel="1"/>
    <col min="72" max="82" width="8.7109375" hidden="1" customWidth="1" outlineLevel="1"/>
    <col min="83" max="83" width="9.85546875" customWidth="1" collapsed="1"/>
    <col min="84" max="87" width="9.85546875" customWidth="1"/>
    <col min="88" max="88" width="1.28515625" hidden="1" customWidth="1" outlineLevel="1"/>
    <col min="89" max="103" width="8.7109375" hidden="1" customWidth="1" outlineLevel="1"/>
    <col min="104" max="104" width="1.5703125" hidden="1" customWidth="1" outlineLevel="1"/>
    <col min="105" max="115" width="8.7109375" hidden="1" customWidth="1" outlineLevel="1"/>
    <col min="116" max="116" width="9.140625" hidden="1" customWidth="1" outlineLevel="1"/>
    <col min="117" max="118" width="0" hidden="1" customWidth="1" outlineLevel="1"/>
    <col min="119" max="119" width="9.140625" customWidth="1" collapsed="1"/>
  </cols>
  <sheetData>
    <row r="1" spans="1:118">
      <c r="A1" s="36" t="s">
        <v>1419</v>
      </c>
      <c r="B1" s="6"/>
      <c r="C1" s="6"/>
      <c r="D1" s="6"/>
      <c r="E1" s="6"/>
      <c r="F1" s="6"/>
      <c r="G1" s="6"/>
      <c r="H1" s="84"/>
      <c r="I1" s="84"/>
      <c r="J1" s="84"/>
      <c r="K1" s="84"/>
      <c r="L1" s="84"/>
      <c r="M1" s="84"/>
      <c r="N1" s="84"/>
      <c r="O1" s="84"/>
      <c r="P1" s="84"/>
      <c r="Q1" s="84"/>
      <c r="R1" s="84"/>
      <c r="S1" s="84"/>
      <c r="T1" s="84"/>
      <c r="U1" s="6"/>
      <c r="V1" s="6"/>
      <c r="W1" s="6"/>
      <c r="X1" s="6"/>
      <c r="Y1" s="6"/>
      <c r="Z1" s="6"/>
      <c r="AA1" s="6"/>
      <c r="AB1" s="6"/>
      <c r="AC1" s="6"/>
      <c r="AD1" s="84"/>
      <c r="AE1" s="84"/>
      <c r="AF1" s="84"/>
      <c r="AG1" s="84"/>
      <c r="AH1" s="84"/>
      <c r="AI1" s="84"/>
      <c r="AJ1" s="84"/>
      <c r="AK1" s="6"/>
      <c r="AL1" s="6"/>
      <c r="AM1" s="6"/>
      <c r="AN1" s="6"/>
      <c r="AO1" s="6"/>
      <c r="AP1" s="6"/>
      <c r="AQ1" s="6"/>
      <c r="AR1" s="6"/>
      <c r="AS1" s="6"/>
      <c r="AT1" s="6"/>
      <c r="AU1" s="6"/>
      <c r="AV1" s="84"/>
      <c r="AW1" s="84"/>
      <c r="AX1" s="84"/>
      <c r="AY1" s="84"/>
      <c r="AZ1" s="84"/>
      <c r="BA1" s="84"/>
      <c r="BB1" s="6"/>
      <c r="BC1" s="6"/>
      <c r="BD1" s="6"/>
      <c r="BE1" s="6"/>
      <c r="BF1" s="6"/>
      <c r="BG1" s="6"/>
      <c r="BH1" s="6"/>
      <c r="BI1" s="6"/>
      <c r="BJ1" s="6"/>
      <c r="BK1" s="6"/>
      <c r="BL1" s="6"/>
      <c r="BM1" s="6"/>
      <c r="BN1" s="6"/>
      <c r="BO1" s="6"/>
      <c r="BP1" s="6"/>
      <c r="BQ1" s="6"/>
      <c r="BR1" s="6"/>
      <c r="BS1" s="6"/>
      <c r="BT1" s="6"/>
      <c r="BU1" s="6"/>
      <c r="BV1" s="6"/>
      <c r="BW1" s="6"/>
      <c r="BX1" s="6"/>
      <c r="BY1" s="6"/>
      <c r="BZ1" s="6"/>
      <c r="CA1" s="6"/>
      <c r="CB1" s="6"/>
      <c r="CC1" s="84"/>
      <c r="CD1" s="84"/>
      <c r="CE1" s="6"/>
      <c r="CF1" s="6"/>
      <c r="CG1" s="6"/>
      <c r="CH1" s="6"/>
      <c r="CI1" s="6"/>
      <c r="CJ1" s="6"/>
      <c r="CK1" s="6"/>
      <c r="CL1" s="6"/>
      <c r="CM1" s="6"/>
      <c r="CN1" s="6"/>
      <c r="CO1" s="6"/>
      <c r="CP1" s="6"/>
      <c r="CQ1" s="6"/>
      <c r="CR1" s="6"/>
      <c r="CS1" s="6"/>
      <c r="CT1" s="84"/>
      <c r="CU1" s="84"/>
      <c r="CV1" s="84"/>
      <c r="CW1" s="84"/>
      <c r="CX1" s="84"/>
      <c r="CY1" s="84"/>
      <c r="CZ1" s="6"/>
      <c r="DA1" s="6"/>
      <c r="DB1" s="6"/>
      <c r="DC1" s="6"/>
      <c r="DD1" s="6"/>
      <c r="DE1" s="6"/>
      <c r="DF1" s="6"/>
      <c r="DG1" s="6"/>
      <c r="DH1" s="6"/>
      <c r="DI1" s="6"/>
      <c r="DJ1" s="84"/>
      <c r="DK1" s="84"/>
    </row>
    <row r="2" spans="1:118">
      <c r="A2" s="2399" t="s">
        <v>697</v>
      </c>
      <c r="B2" s="9"/>
      <c r="C2" s="9"/>
      <c r="D2" s="9"/>
      <c r="E2" s="6"/>
      <c r="F2" s="6"/>
      <c r="G2" s="6"/>
      <c r="H2" s="84"/>
      <c r="I2" s="84"/>
      <c r="J2" s="84"/>
      <c r="K2" s="84"/>
      <c r="L2" s="84"/>
      <c r="M2" s="84"/>
      <c r="N2" s="84"/>
      <c r="O2" s="84"/>
      <c r="P2" s="84"/>
      <c r="Q2" s="84"/>
      <c r="R2" s="84"/>
      <c r="S2" s="84"/>
      <c r="T2" s="84"/>
      <c r="U2" s="6"/>
      <c r="V2" s="6"/>
      <c r="W2" s="6"/>
      <c r="X2" s="6"/>
      <c r="Y2" s="6"/>
      <c r="Z2" s="6"/>
      <c r="AA2" s="6"/>
      <c r="AB2" s="6"/>
      <c r="AC2" s="6"/>
      <c r="AD2" s="84"/>
      <c r="AE2" s="84"/>
      <c r="AF2" s="84"/>
      <c r="AG2" s="84"/>
      <c r="AH2" s="84"/>
      <c r="AI2" s="84"/>
      <c r="AJ2" s="84"/>
      <c r="AK2" s="6"/>
      <c r="AL2" s="6"/>
      <c r="AM2" s="6"/>
      <c r="AN2" s="6"/>
      <c r="AO2" s="6"/>
      <c r="AP2" s="6"/>
      <c r="AQ2" s="6"/>
      <c r="AR2" s="6"/>
      <c r="AS2" s="6"/>
      <c r="AT2" s="6"/>
      <c r="AU2" s="6"/>
      <c r="AV2" s="84"/>
      <c r="AW2" s="84"/>
      <c r="AX2" s="84"/>
      <c r="AY2" s="84"/>
      <c r="AZ2" s="84"/>
      <c r="BA2" s="84"/>
      <c r="BB2" s="6"/>
      <c r="BC2" s="6"/>
      <c r="BD2" s="6"/>
      <c r="BE2" s="6"/>
      <c r="BF2" s="6"/>
      <c r="BG2" s="6"/>
      <c r="BH2" s="6"/>
      <c r="BI2" s="6"/>
      <c r="BJ2" s="6"/>
      <c r="BK2" s="6"/>
      <c r="BL2" s="6"/>
      <c r="BM2" s="6"/>
      <c r="BN2" s="6"/>
      <c r="BO2" s="6"/>
      <c r="BP2" s="6"/>
      <c r="BQ2" s="6"/>
      <c r="BR2" s="6"/>
      <c r="BS2" s="6"/>
      <c r="BT2" s="6"/>
      <c r="BU2" s="6"/>
      <c r="BV2" s="6"/>
      <c r="BW2" s="6"/>
      <c r="BX2" s="6"/>
      <c r="BY2" s="6"/>
      <c r="BZ2" s="6"/>
      <c r="CA2" s="6"/>
      <c r="CB2" s="6"/>
      <c r="CC2" s="84"/>
      <c r="CD2" s="84"/>
      <c r="CE2" s="6"/>
      <c r="CF2" s="6"/>
      <c r="CG2" s="6"/>
      <c r="CH2" s="6"/>
      <c r="CI2" s="6"/>
      <c r="CJ2" s="6"/>
      <c r="CK2" s="6"/>
      <c r="CL2" s="6"/>
      <c r="CM2" s="6"/>
      <c r="CN2" s="6"/>
      <c r="CO2" s="6"/>
      <c r="CP2" s="6"/>
      <c r="CQ2" s="6"/>
      <c r="CR2" s="6"/>
      <c r="CS2" s="6"/>
      <c r="CT2" s="84"/>
      <c r="CU2" s="84"/>
      <c r="CV2" s="84"/>
      <c r="CW2" s="84"/>
      <c r="CX2" s="84"/>
      <c r="CY2" s="84"/>
      <c r="CZ2" s="6"/>
      <c r="DA2" s="6"/>
      <c r="DB2" s="6"/>
      <c r="DC2" s="6"/>
      <c r="DD2" s="6"/>
      <c r="DE2" s="6"/>
      <c r="DF2" s="6"/>
      <c r="DG2" s="6"/>
      <c r="DH2" s="6"/>
      <c r="DI2" s="6"/>
      <c r="DJ2" s="84"/>
      <c r="DK2" s="84"/>
    </row>
    <row r="3" spans="1:118">
      <c r="A3" s="36"/>
      <c r="B3" s="36"/>
      <c r="C3" s="36"/>
      <c r="D3" s="36"/>
      <c r="E3" s="762" t="s">
        <v>921</v>
      </c>
      <c r="F3" s="36" t="s">
        <v>1420</v>
      </c>
      <c r="G3" s="637" t="s">
        <v>1421</v>
      </c>
      <c r="H3" s="259"/>
      <c r="I3" s="16" t="s">
        <v>1422</v>
      </c>
      <c r="J3" s="16"/>
      <c r="K3" s="16"/>
      <c r="L3" s="16"/>
      <c r="M3" s="723"/>
      <c r="N3" s="723"/>
      <c r="O3" s="723"/>
      <c r="P3" s="723"/>
      <c r="Q3" s="723"/>
      <c r="R3" s="723"/>
      <c r="S3" s="723"/>
      <c r="T3" s="259"/>
      <c r="U3" s="16" t="s">
        <v>1423</v>
      </c>
      <c r="V3" s="16"/>
      <c r="W3" s="16"/>
      <c r="X3" s="16"/>
      <c r="Y3" s="723"/>
      <c r="Z3" s="723"/>
      <c r="AA3" s="723"/>
      <c r="AB3" s="723"/>
      <c r="AC3" s="723"/>
      <c r="AD3" s="723"/>
      <c r="AE3" s="723"/>
      <c r="AF3" s="723"/>
      <c r="AG3" s="723"/>
      <c r="AH3" s="723"/>
      <c r="AI3" s="723"/>
      <c r="AJ3" s="723"/>
      <c r="AK3" s="6"/>
      <c r="AL3" s="16" t="s">
        <v>1424</v>
      </c>
      <c r="AM3" s="16"/>
      <c r="AN3" s="16"/>
      <c r="AO3" s="16"/>
      <c r="AP3" s="16"/>
      <c r="AQ3" s="16"/>
      <c r="AR3" s="16"/>
      <c r="AS3" s="16"/>
      <c r="AT3" s="723"/>
      <c r="AU3" s="723"/>
      <c r="AV3" s="723"/>
      <c r="AW3" s="723"/>
      <c r="AX3" s="723"/>
      <c r="AY3" s="723"/>
      <c r="AZ3" s="723"/>
      <c r="BA3" s="723"/>
      <c r="BB3" s="6"/>
      <c r="BC3" s="16" t="s">
        <v>1425</v>
      </c>
      <c r="BD3" s="16"/>
      <c r="BE3" s="16"/>
      <c r="BF3" s="16"/>
      <c r="BG3" s="16"/>
      <c r="BH3" s="16"/>
      <c r="BI3" s="16"/>
      <c r="BJ3" s="16"/>
      <c r="BK3" s="6"/>
      <c r="BL3" s="6"/>
      <c r="BM3" s="6"/>
      <c r="BN3" s="6"/>
      <c r="BO3" s="6"/>
      <c r="BP3" s="6"/>
      <c r="BQ3" s="6"/>
      <c r="BR3" s="6"/>
      <c r="BS3" s="6"/>
      <c r="BT3" s="16" t="s">
        <v>1426</v>
      </c>
      <c r="BU3" s="16"/>
      <c r="BV3" s="16"/>
      <c r="BW3" s="16"/>
      <c r="BX3" s="16"/>
      <c r="BY3" s="16"/>
      <c r="BZ3" s="16"/>
      <c r="CA3" s="16"/>
      <c r="CB3" s="723"/>
      <c r="CC3" s="723"/>
      <c r="CD3" s="723"/>
      <c r="CE3" s="6"/>
      <c r="CF3" s="6"/>
      <c r="CG3" s="6"/>
      <c r="CH3" s="6"/>
      <c r="CI3" s="6"/>
      <c r="CJ3" s="6"/>
      <c r="CK3" s="16" t="s">
        <v>1429</v>
      </c>
      <c r="CL3" s="16"/>
      <c r="CM3" s="16"/>
      <c r="CN3" s="16"/>
      <c r="CO3" s="16"/>
      <c r="CP3" s="16"/>
      <c r="CQ3" s="16"/>
      <c r="CR3" s="723"/>
      <c r="CS3" s="723"/>
      <c r="CT3" s="723"/>
      <c r="CU3" s="723"/>
      <c r="CV3" s="723"/>
      <c r="CW3" s="723"/>
      <c r="CX3" s="723"/>
      <c r="CY3" s="723"/>
      <c r="CZ3" s="6"/>
      <c r="DA3" s="587" t="s">
        <v>615</v>
      </c>
      <c r="DB3" s="587"/>
      <c r="DC3" s="587"/>
      <c r="DD3" s="587"/>
      <c r="DE3" s="587"/>
      <c r="DF3" s="587"/>
      <c r="DG3" s="587"/>
      <c r="DH3" s="587"/>
      <c r="DI3" s="587"/>
      <c r="DJ3" s="723"/>
      <c r="DK3" s="723"/>
    </row>
    <row r="4" spans="1:118">
      <c r="A4" s="316" t="s">
        <v>1430</v>
      </c>
      <c r="B4" s="638" t="s">
        <v>1431</v>
      </c>
      <c r="C4" s="638" t="s">
        <v>1432</v>
      </c>
      <c r="D4" s="638" t="s">
        <v>1433</v>
      </c>
      <c r="E4" s="638" t="s">
        <v>814</v>
      </c>
      <c r="F4" s="638"/>
      <c r="G4" s="638" t="s">
        <v>1434</v>
      </c>
      <c r="H4" s="1"/>
      <c r="I4" s="639" t="s">
        <v>1435</v>
      </c>
      <c r="J4" s="639" t="s">
        <v>1436</v>
      </c>
      <c r="K4" s="639" t="s">
        <v>1437</v>
      </c>
      <c r="L4" s="326" t="s">
        <v>1438</v>
      </c>
      <c r="M4" s="326" t="s">
        <v>1439</v>
      </c>
      <c r="N4" s="326" t="s">
        <v>116</v>
      </c>
      <c r="O4" s="326" t="s">
        <v>196</v>
      </c>
      <c r="P4" s="326" t="s">
        <v>608</v>
      </c>
      <c r="Q4" s="326" t="s">
        <v>923</v>
      </c>
      <c r="R4" s="326" t="s">
        <v>360</v>
      </c>
      <c r="S4" s="326" t="s">
        <v>1153</v>
      </c>
      <c r="T4" s="1"/>
      <c r="U4" s="639" t="s">
        <v>1435</v>
      </c>
      <c r="V4" s="639" t="s">
        <v>1436</v>
      </c>
      <c r="W4" s="639" t="s">
        <v>1437</v>
      </c>
      <c r="X4" s="326" t="s">
        <v>1438</v>
      </c>
      <c r="Y4" s="326" t="s">
        <v>1439</v>
      </c>
      <c r="Z4" s="326" t="s">
        <v>116</v>
      </c>
      <c r="AA4" s="326" t="s">
        <v>196</v>
      </c>
      <c r="AB4" s="326" t="s">
        <v>608</v>
      </c>
      <c r="AC4" s="326" t="s">
        <v>923</v>
      </c>
      <c r="AD4" s="326" t="s">
        <v>360</v>
      </c>
      <c r="AE4" s="326" t="s">
        <v>1153</v>
      </c>
      <c r="AF4" s="326" t="s">
        <v>255</v>
      </c>
      <c r="AG4" s="2181" t="s">
        <v>840</v>
      </c>
      <c r="AH4" s="2181" t="s">
        <v>473</v>
      </c>
      <c r="AI4" s="2181" t="s">
        <v>350</v>
      </c>
      <c r="AJ4" s="2181" t="s">
        <v>1668</v>
      </c>
      <c r="AK4" s="6"/>
      <c r="AL4" s="275" t="s">
        <v>1435</v>
      </c>
      <c r="AM4" s="275" t="s">
        <v>1436</v>
      </c>
      <c r="AN4" s="275" t="s">
        <v>1437</v>
      </c>
      <c r="AO4" s="6" t="s">
        <v>1438</v>
      </c>
      <c r="AP4" s="326" t="s">
        <v>1439</v>
      </c>
      <c r="AQ4" s="326" t="s">
        <v>116</v>
      </c>
      <c r="AR4" s="326" t="s">
        <v>196</v>
      </c>
      <c r="AS4" s="326" t="s">
        <v>608</v>
      </c>
      <c r="AT4" s="326" t="s">
        <v>923</v>
      </c>
      <c r="AU4" s="326" t="s">
        <v>360</v>
      </c>
      <c r="AV4" s="326" t="s">
        <v>1153</v>
      </c>
      <c r="AW4" s="326" t="s">
        <v>255</v>
      </c>
      <c r="AX4" s="2181" t="s">
        <v>840</v>
      </c>
      <c r="AY4" s="2181" t="s">
        <v>473</v>
      </c>
      <c r="AZ4" s="2181" t="s">
        <v>350</v>
      </c>
      <c r="BA4" s="2181" t="s">
        <v>1668</v>
      </c>
      <c r="BB4" s="6"/>
      <c r="BC4" s="639" t="s">
        <v>1435</v>
      </c>
      <c r="BD4" s="639" t="s">
        <v>1436</v>
      </c>
      <c r="BE4" s="639" t="s">
        <v>1437</v>
      </c>
      <c r="BF4" s="326" t="s">
        <v>1438</v>
      </c>
      <c r="BG4" s="326" t="s">
        <v>1439</v>
      </c>
      <c r="BH4" s="326" t="s">
        <v>116</v>
      </c>
      <c r="BI4" s="326" t="s">
        <v>196</v>
      </c>
      <c r="BJ4" s="326" t="s">
        <v>608</v>
      </c>
      <c r="BK4" s="326" t="s">
        <v>923</v>
      </c>
      <c r="BL4" s="326" t="s">
        <v>360</v>
      </c>
      <c r="BM4" s="326" t="s">
        <v>1153</v>
      </c>
      <c r="BN4" s="326" t="s">
        <v>255</v>
      </c>
      <c r="BO4" s="2181" t="s">
        <v>840</v>
      </c>
      <c r="BP4" s="2181" t="s">
        <v>473</v>
      </c>
      <c r="BQ4" s="2181" t="s">
        <v>350</v>
      </c>
      <c r="BR4" s="2181" t="s">
        <v>1668</v>
      </c>
      <c r="BS4" s="326"/>
      <c r="BT4" s="639" t="s">
        <v>1435</v>
      </c>
      <c r="BU4" s="639" t="s">
        <v>1436</v>
      </c>
      <c r="BV4" s="639" t="s">
        <v>1437</v>
      </c>
      <c r="BW4" s="326" t="s">
        <v>1438</v>
      </c>
      <c r="BX4" s="326" t="s">
        <v>1439</v>
      </c>
      <c r="BY4" s="326" t="s">
        <v>116</v>
      </c>
      <c r="BZ4" s="326" t="s">
        <v>196</v>
      </c>
      <c r="CA4" s="326" t="s">
        <v>608</v>
      </c>
      <c r="CB4" s="326" t="s">
        <v>316</v>
      </c>
      <c r="CC4" s="326" t="s">
        <v>360</v>
      </c>
      <c r="CD4" s="326" t="s">
        <v>1153</v>
      </c>
      <c r="CE4" s="326" t="s">
        <v>255</v>
      </c>
      <c r="CF4" s="2181" t="s">
        <v>840</v>
      </c>
      <c r="CG4" s="2181" t="s">
        <v>473</v>
      </c>
      <c r="CH4" s="2181" t="s">
        <v>350</v>
      </c>
      <c r="CI4" s="2181" t="s">
        <v>1668</v>
      </c>
      <c r="CJ4" s="6"/>
      <c r="CK4" s="639" t="s">
        <v>1435</v>
      </c>
      <c r="CL4" s="639" t="s">
        <v>1436</v>
      </c>
      <c r="CM4" s="639" t="s">
        <v>1437</v>
      </c>
      <c r="CN4" s="326" t="s">
        <v>1438</v>
      </c>
      <c r="CO4" s="326" t="s">
        <v>1439</v>
      </c>
      <c r="CP4" s="326" t="s">
        <v>116</v>
      </c>
      <c r="CQ4" s="326" t="s">
        <v>196</v>
      </c>
      <c r="CR4" s="326" t="s">
        <v>608</v>
      </c>
      <c r="CS4" s="326" t="s">
        <v>923</v>
      </c>
      <c r="CT4" s="326" t="s">
        <v>360</v>
      </c>
      <c r="CU4" s="326" t="s">
        <v>1153</v>
      </c>
      <c r="CV4" s="326" t="s">
        <v>255</v>
      </c>
      <c r="CW4" s="2181" t="s">
        <v>840</v>
      </c>
      <c r="CX4" s="2181" t="s">
        <v>473</v>
      </c>
      <c r="CY4" s="2181" t="s">
        <v>350</v>
      </c>
      <c r="CZ4" s="6"/>
      <c r="DA4" s="639" t="s">
        <v>1435</v>
      </c>
      <c r="DB4" s="639" t="s">
        <v>1436</v>
      </c>
      <c r="DC4" s="639" t="s">
        <v>1437</v>
      </c>
      <c r="DD4" s="326" t="s">
        <v>1438</v>
      </c>
      <c r="DE4" s="326" t="s">
        <v>1439</v>
      </c>
      <c r="DF4" s="326" t="s">
        <v>116</v>
      </c>
      <c r="DG4" s="326" t="s">
        <v>196</v>
      </c>
      <c r="DH4" s="326" t="s">
        <v>608</v>
      </c>
      <c r="DI4" s="326" t="s">
        <v>923</v>
      </c>
      <c r="DJ4" s="326" t="s">
        <v>360</v>
      </c>
      <c r="DK4" s="326" t="s">
        <v>1153</v>
      </c>
      <c r="DL4" s="2181" t="s">
        <v>255</v>
      </c>
      <c r="DM4" s="2181" t="s">
        <v>840</v>
      </c>
      <c r="DN4" s="2181" t="s">
        <v>473</v>
      </c>
    </row>
    <row r="5" spans="1:118" s="1577" customFormat="1">
      <c r="A5" s="2417" t="s">
        <v>1671</v>
      </c>
      <c r="B5" s="2401"/>
      <c r="C5" s="2401"/>
      <c r="D5" s="2401"/>
      <c r="E5" s="2401"/>
      <c r="F5" s="2401"/>
      <c r="G5" s="2401"/>
      <c r="H5" s="2401"/>
      <c r="I5" s="2402"/>
      <c r="J5" s="2402"/>
      <c r="K5" s="2402"/>
      <c r="L5" s="1109"/>
      <c r="M5" s="1109"/>
      <c r="N5" s="1109"/>
      <c r="O5" s="1109"/>
      <c r="P5" s="1109"/>
      <c r="Q5" s="1109"/>
      <c r="R5" s="1109"/>
      <c r="S5" s="1109"/>
      <c r="T5" s="2401"/>
      <c r="U5" s="2402"/>
      <c r="V5" s="2402"/>
      <c r="W5" s="2402"/>
      <c r="X5" s="1109"/>
      <c r="Y5" s="1109"/>
      <c r="Z5" s="1109"/>
      <c r="AA5" s="1109"/>
      <c r="AB5" s="1109"/>
      <c r="AC5" s="1109"/>
      <c r="AD5" s="1109"/>
      <c r="AE5" s="1109"/>
      <c r="AF5" s="1109"/>
      <c r="AG5" s="1579"/>
      <c r="AH5" s="1579"/>
      <c r="AI5" s="1579"/>
      <c r="AJ5" s="1579"/>
      <c r="AK5" s="1108"/>
      <c r="AL5" s="2403"/>
      <c r="AM5" s="2403"/>
      <c r="AN5" s="2403"/>
      <c r="AO5" s="1108"/>
      <c r="AP5" s="1109"/>
      <c r="AQ5" s="1109"/>
      <c r="AR5" s="1109"/>
      <c r="AS5" s="1109"/>
      <c r="AT5" s="1109"/>
      <c r="AU5" s="1109"/>
      <c r="AV5" s="1109"/>
      <c r="AW5" s="1109"/>
      <c r="AX5" s="1579"/>
      <c r="AY5" s="1579"/>
      <c r="AZ5" s="1579"/>
      <c r="BA5" s="1579"/>
      <c r="BB5" s="1108"/>
      <c r="BC5" s="2402"/>
      <c r="BD5" s="2402"/>
      <c r="BE5" s="2402"/>
      <c r="BF5" s="1109"/>
      <c r="BG5" s="1109"/>
      <c r="BH5" s="1109"/>
      <c r="BI5" s="1109"/>
      <c r="BJ5" s="1109"/>
      <c r="BK5" s="1109"/>
      <c r="BL5" s="1109"/>
      <c r="BM5" s="1109"/>
      <c r="BN5" s="1109"/>
      <c r="BO5" s="1579"/>
      <c r="BP5" s="1579"/>
      <c r="BQ5" s="1579"/>
      <c r="BR5" s="1579"/>
      <c r="BS5" s="1109"/>
      <c r="BT5" s="2402"/>
      <c r="BU5" s="2402"/>
      <c r="BV5" s="2402"/>
      <c r="BW5" s="1109"/>
      <c r="BX5" s="1109"/>
      <c r="BY5" s="1109"/>
      <c r="BZ5" s="1109"/>
      <c r="CA5" s="1109"/>
      <c r="CB5" s="1109"/>
      <c r="CC5" s="1109"/>
      <c r="CD5" s="1109"/>
      <c r="CE5" s="1109"/>
      <c r="CF5" s="1579"/>
      <c r="CG5" s="1579"/>
      <c r="CH5" s="1579"/>
      <c r="CI5" s="1579"/>
      <c r="CJ5" s="1108"/>
      <c r="CK5" s="2402"/>
      <c r="CL5" s="2402"/>
      <c r="CM5" s="2402"/>
      <c r="CN5" s="1109"/>
      <c r="CO5" s="1109"/>
      <c r="CP5" s="1109"/>
      <c r="CQ5" s="1109"/>
      <c r="CR5" s="1109"/>
      <c r="CS5" s="1109"/>
      <c r="CT5" s="1109"/>
      <c r="CU5" s="1109"/>
      <c r="CV5" s="1109"/>
      <c r="CW5" s="1109"/>
      <c r="CX5" s="1109"/>
      <c r="CY5" s="1109"/>
      <c r="CZ5" s="1108"/>
      <c r="DA5" s="2402"/>
      <c r="DB5" s="2402"/>
      <c r="DC5" s="2402"/>
      <c r="DD5" s="1109"/>
      <c r="DE5" s="1109"/>
      <c r="DF5" s="1109"/>
      <c r="DG5" s="1109"/>
      <c r="DH5" s="1109"/>
      <c r="DI5" s="1109"/>
      <c r="DJ5" s="1109"/>
      <c r="DK5" s="1109"/>
      <c r="DL5" s="1579"/>
      <c r="DM5" s="1579"/>
      <c r="DN5" s="1579"/>
    </row>
    <row r="6" spans="1:118" s="1577" customFormat="1">
      <c r="A6" s="1494">
        <v>5</v>
      </c>
      <c r="B6" s="2400" t="s">
        <v>1636</v>
      </c>
      <c r="C6" s="2400" t="s">
        <v>296</v>
      </c>
      <c r="D6" s="2400" t="s">
        <v>1669</v>
      </c>
      <c r="E6" s="2410">
        <v>1</v>
      </c>
      <c r="F6" s="1359"/>
      <c r="G6" s="1361">
        <v>30</v>
      </c>
      <c r="H6" s="2401"/>
      <c r="I6" s="2402"/>
      <c r="J6" s="2402"/>
      <c r="K6" s="2402"/>
      <c r="L6" s="1109"/>
      <c r="M6" s="1109"/>
      <c r="N6" s="1109"/>
      <c r="O6" s="1109"/>
      <c r="P6" s="1109"/>
      <c r="Q6" s="1109"/>
      <c r="R6" s="1109"/>
      <c r="S6" s="1109"/>
      <c r="T6" s="2401"/>
      <c r="U6" s="2402"/>
      <c r="V6" s="2402"/>
      <c r="W6" s="2402"/>
      <c r="X6" s="1109"/>
      <c r="Y6" s="1109"/>
      <c r="Z6" s="1109"/>
      <c r="AA6" s="1109"/>
      <c r="AB6" s="1109"/>
      <c r="AE6" s="2406"/>
      <c r="AF6" s="2406"/>
      <c r="AG6" s="2406"/>
      <c r="AH6" s="2406"/>
      <c r="AI6" s="2406"/>
      <c r="AJ6" s="2420">
        <f t="shared" ref="AJ6:AJ12" si="0">AI32*(1+CI6)</f>
        <v>1639.0905000000002</v>
      </c>
      <c r="AK6" s="1108"/>
      <c r="AL6" s="2403"/>
      <c r="AM6" s="2403"/>
      <c r="AN6" s="2403"/>
      <c r="AO6" s="1108"/>
      <c r="AP6" s="1109"/>
      <c r="AQ6" s="1109"/>
      <c r="AR6" s="1109"/>
      <c r="AS6" s="1109"/>
      <c r="AT6" s="1109"/>
      <c r="AU6" s="1109"/>
      <c r="AV6" s="2409"/>
      <c r="AW6" s="2406"/>
      <c r="AX6" s="2406"/>
      <c r="AY6" s="2406"/>
      <c r="AZ6" s="2406"/>
      <c r="BA6" s="2406">
        <v>10</v>
      </c>
      <c r="BB6" s="1108"/>
      <c r="BC6" s="2402"/>
      <c r="BD6" s="2402"/>
      <c r="BE6" s="2402"/>
      <c r="BF6" s="1109"/>
      <c r="BG6" s="1109"/>
      <c r="BH6" s="1109"/>
      <c r="BI6" s="1109"/>
      <c r="BJ6" s="1109"/>
      <c r="BK6" s="1109"/>
      <c r="BL6" s="1109"/>
      <c r="BM6" s="2165"/>
      <c r="BN6" s="1109"/>
      <c r="BO6" s="1109"/>
      <c r="BP6" s="1109"/>
      <c r="BQ6" s="1109"/>
      <c r="BR6" s="2165">
        <f>$E6*AJ6*BA6</f>
        <v>16390.905000000002</v>
      </c>
      <c r="BS6" s="1109"/>
      <c r="BT6" s="2402"/>
      <c r="BU6" s="2402"/>
      <c r="BV6" s="2402"/>
      <c r="BW6" s="1109"/>
      <c r="BX6" s="1109"/>
      <c r="BY6" s="1109"/>
      <c r="BZ6" s="1109"/>
      <c r="CA6" s="1109"/>
      <c r="CB6" s="1109"/>
      <c r="CC6" s="1109"/>
      <c r="CD6" s="2407"/>
      <c r="CE6" s="1109"/>
      <c r="CF6" s="2407"/>
      <c r="CG6" s="2407"/>
      <c r="CH6" s="2407"/>
      <c r="CI6" s="2407">
        <v>0.03</v>
      </c>
      <c r="CJ6" s="1108"/>
      <c r="CK6" s="2402"/>
      <c r="CL6" s="2402"/>
      <c r="CM6" s="2402"/>
      <c r="CN6" s="1109"/>
      <c r="CO6" s="1109"/>
      <c r="CP6" s="1109"/>
      <c r="CQ6" s="1109"/>
      <c r="CR6" s="1109"/>
      <c r="CS6" s="1109"/>
      <c r="CT6" s="1109"/>
      <c r="CU6" s="1109"/>
      <c r="CV6" s="1109"/>
      <c r="CW6" s="1109"/>
      <c r="CX6" s="1109"/>
      <c r="CY6" s="1109"/>
      <c r="CZ6" s="1108"/>
      <c r="DA6" s="2402"/>
      <c r="DB6" s="2402"/>
      <c r="DC6" s="2402"/>
      <c r="DD6" s="1109"/>
      <c r="DE6" s="1109"/>
      <c r="DF6" s="1109"/>
      <c r="DG6" s="1109"/>
      <c r="DH6" s="1109"/>
      <c r="DI6" s="1109"/>
      <c r="DJ6" s="1109"/>
      <c r="DK6" s="1109"/>
    </row>
    <row r="7" spans="1:118" s="1577" customFormat="1">
      <c r="A7" s="1494">
        <v>2</v>
      </c>
      <c r="B7" s="2400" t="s">
        <v>1637</v>
      </c>
      <c r="C7" s="2400" t="s">
        <v>296</v>
      </c>
      <c r="D7" s="2400" t="s">
        <v>638</v>
      </c>
      <c r="E7" s="2089">
        <v>1</v>
      </c>
      <c r="F7" s="1359"/>
      <c r="G7" s="1361">
        <v>60</v>
      </c>
      <c r="H7" s="2401"/>
      <c r="I7" s="2402"/>
      <c r="J7" s="2402"/>
      <c r="K7" s="2402"/>
      <c r="L7" s="1109"/>
      <c r="M7" s="1109"/>
      <c r="N7" s="1109"/>
      <c r="O7" s="1109"/>
      <c r="P7" s="1109"/>
      <c r="Q7" s="1109"/>
      <c r="R7" s="1109"/>
      <c r="S7" s="1109"/>
      <c r="T7" s="2401"/>
      <c r="U7" s="2402"/>
      <c r="V7" s="2402"/>
      <c r="W7" s="2402"/>
      <c r="X7" s="1109"/>
      <c r="Y7" s="1109"/>
      <c r="Z7" s="1109"/>
      <c r="AA7" s="1109"/>
      <c r="AB7" s="1109"/>
      <c r="AE7" s="2406"/>
      <c r="AF7" s="2406"/>
      <c r="AG7" s="2406"/>
      <c r="AH7" s="2406"/>
      <c r="AI7" s="2406"/>
      <c r="AJ7" s="2420">
        <f t="shared" si="0"/>
        <v>1545</v>
      </c>
      <c r="AK7" s="2406"/>
      <c r="AL7" s="2406"/>
      <c r="AM7" s="2406"/>
      <c r="AN7" s="2403"/>
      <c r="AO7" s="1108"/>
      <c r="AP7" s="1109"/>
      <c r="AQ7" s="1109"/>
      <c r="AR7" s="1109"/>
      <c r="AS7" s="1109"/>
      <c r="AT7" s="1109"/>
      <c r="AU7" s="1109"/>
      <c r="AV7" s="2409"/>
      <c r="AW7" s="2406"/>
      <c r="AX7" s="2406"/>
      <c r="AY7" s="2406"/>
      <c r="AZ7" s="2406"/>
      <c r="BA7" s="2406">
        <v>10</v>
      </c>
      <c r="BB7" s="1108"/>
      <c r="BC7" s="2402"/>
      <c r="BD7" s="2402"/>
      <c r="BE7" s="2402"/>
      <c r="BF7" s="1109"/>
      <c r="BG7" s="1109"/>
      <c r="BH7" s="1109"/>
      <c r="BI7" s="1109"/>
      <c r="BJ7" s="1109"/>
      <c r="BK7" s="1109"/>
      <c r="BL7" s="1109"/>
      <c r="BM7" s="2165"/>
      <c r="BN7" s="1109"/>
      <c r="BO7" s="1109"/>
      <c r="BP7" s="1109"/>
      <c r="BQ7" s="1109"/>
      <c r="BR7" s="2165">
        <f>$E7*AJ7*BA7</f>
        <v>15450</v>
      </c>
      <c r="BS7" s="1109"/>
      <c r="BT7" s="2402"/>
      <c r="BU7" s="2402"/>
      <c r="BV7" s="2402"/>
      <c r="BW7" s="1109"/>
      <c r="BX7" s="1109"/>
      <c r="BY7" s="1109"/>
      <c r="BZ7" s="1109"/>
      <c r="CA7" s="1109"/>
      <c r="CB7" s="1109"/>
      <c r="CC7" s="1109"/>
      <c r="CD7" s="2407"/>
      <c r="CE7" s="1109"/>
      <c r="CF7" s="2407"/>
      <c r="CG7" s="2407"/>
      <c r="CH7" s="2407"/>
      <c r="CI7" s="2407">
        <v>0.03</v>
      </c>
      <c r="CJ7" s="1108"/>
      <c r="CK7" s="2402"/>
      <c r="CL7" s="2402"/>
      <c r="CM7" s="2402"/>
      <c r="CN7" s="1109"/>
      <c r="CO7" s="1109"/>
      <c r="CP7" s="1109"/>
      <c r="CQ7" s="1109"/>
      <c r="CR7" s="1109"/>
      <c r="CS7" s="1109"/>
      <c r="CT7" s="1109"/>
      <c r="CU7" s="1109"/>
      <c r="CV7" s="1109"/>
      <c r="CW7" s="1109"/>
      <c r="CX7" s="1109"/>
      <c r="CY7" s="1109"/>
      <c r="CZ7" s="1108"/>
      <c r="DA7" s="2402"/>
      <c r="DB7" s="2402"/>
      <c r="DC7" s="2402"/>
      <c r="DD7" s="1109"/>
      <c r="DE7" s="1109"/>
      <c r="DF7" s="1109"/>
      <c r="DG7" s="1109"/>
      <c r="DH7" s="1109"/>
      <c r="DI7" s="1109"/>
      <c r="DJ7" s="1109"/>
      <c r="DK7" s="1109"/>
    </row>
    <row r="8" spans="1:118" s="1577" customFormat="1">
      <c r="A8" s="1494">
        <v>7</v>
      </c>
      <c r="B8" s="2400" t="s">
        <v>1157</v>
      </c>
      <c r="C8" s="2400" t="s">
        <v>296</v>
      </c>
      <c r="D8" s="2400" t="s">
        <v>638</v>
      </c>
      <c r="E8" s="2411">
        <v>1</v>
      </c>
      <c r="F8" s="1359"/>
      <c r="G8" s="1361">
        <v>60</v>
      </c>
      <c r="H8" s="2401"/>
      <c r="I8" s="2402"/>
      <c r="J8" s="2402"/>
      <c r="K8" s="2402"/>
      <c r="L8" s="1109"/>
      <c r="M8" s="1109"/>
      <c r="N8" s="1109"/>
      <c r="O8" s="1109"/>
      <c r="P8" s="1109"/>
      <c r="Q8" s="1109"/>
      <c r="R8" s="1109"/>
      <c r="S8" s="1109"/>
      <c r="T8" s="2401"/>
      <c r="U8" s="2402"/>
      <c r="V8" s="2402"/>
      <c r="W8" s="2402"/>
      <c r="X8" s="1109"/>
      <c r="Y8" s="1109"/>
      <c r="Z8" s="1109"/>
      <c r="AA8" s="1109"/>
      <c r="AB8" s="1109"/>
      <c r="AE8" s="2406"/>
      <c r="AF8" s="2406"/>
      <c r="AG8" s="2406"/>
      <c r="AH8" s="2406"/>
      <c r="AI8" s="2406"/>
      <c r="AJ8" s="2420">
        <f t="shared" si="0"/>
        <v>1791.0784447935005</v>
      </c>
      <c r="AK8" s="1108"/>
      <c r="AL8" s="2403"/>
      <c r="AM8" s="2403"/>
      <c r="AN8" s="2403"/>
      <c r="AO8" s="1108"/>
      <c r="AP8" s="1109"/>
      <c r="AQ8" s="1109"/>
      <c r="AR8" s="1109"/>
      <c r="AS8" s="1109"/>
      <c r="AT8" s="1109"/>
      <c r="AU8" s="1109"/>
      <c r="AV8" s="2409"/>
      <c r="AW8" s="2406"/>
      <c r="AX8" s="2406"/>
      <c r="AY8" s="2406"/>
      <c r="AZ8" s="2406"/>
      <c r="BA8" s="2406">
        <v>22</v>
      </c>
      <c r="BB8" s="1108"/>
      <c r="BC8" s="2402"/>
      <c r="BD8" s="2402"/>
      <c r="BE8" s="2402"/>
      <c r="BF8" s="1109"/>
      <c r="BG8" s="1109"/>
      <c r="BH8" s="1109"/>
      <c r="BI8" s="1109"/>
      <c r="BJ8" s="1109"/>
      <c r="BK8" s="1109"/>
      <c r="BL8" s="1109"/>
      <c r="BM8" s="2165"/>
      <c r="BN8" s="1109"/>
      <c r="BO8" s="1109"/>
      <c r="BP8" s="1109"/>
      <c r="BQ8" s="1109"/>
      <c r="BR8" s="2165">
        <f>$E8*AJ8*BA8</f>
        <v>39403.725785457013</v>
      </c>
      <c r="BS8" s="1109"/>
      <c r="BT8" s="2402"/>
      <c r="BU8" s="2402"/>
      <c r="BV8" s="2402"/>
      <c r="BW8" s="1109"/>
      <c r="BX8" s="1109"/>
      <c r="BY8" s="1109"/>
      <c r="BZ8" s="1109"/>
      <c r="CA8" s="1109"/>
      <c r="CB8" s="1109"/>
      <c r="CC8" s="1109"/>
      <c r="CD8" s="2407"/>
      <c r="CE8" s="1109"/>
      <c r="CF8" s="2407"/>
      <c r="CG8" s="2407"/>
      <c r="CH8" s="2407"/>
      <c r="CI8" s="2407">
        <v>0.03</v>
      </c>
      <c r="CJ8" s="1108"/>
      <c r="CK8" s="2402"/>
      <c r="CL8" s="2402"/>
      <c r="CM8" s="2402"/>
      <c r="CN8" s="1109"/>
      <c r="CO8" s="1109"/>
      <c r="CP8" s="1109"/>
      <c r="CQ8" s="1109"/>
      <c r="CR8" s="1109"/>
      <c r="CS8" s="1109"/>
      <c r="CT8" s="1109"/>
      <c r="CU8" s="1109"/>
      <c r="CV8" s="1109"/>
      <c r="CW8" s="1109"/>
      <c r="CX8" s="1109"/>
      <c r="CY8" s="1109"/>
      <c r="CZ8" s="1108"/>
      <c r="DA8" s="2402"/>
      <c r="DB8" s="2402"/>
      <c r="DC8" s="2402"/>
      <c r="DD8" s="1109"/>
      <c r="DE8" s="1109"/>
      <c r="DF8" s="1109"/>
      <c r="DG8" s="1109"/>
      <c r="DH8" s="1109"/>
      <c r="DI8" s="1109"/>
      <c r="DJ8" s="1109"/>
      <c r="DK8" s="1109"/>
    </row>
    <row r="9" spans="1:118" s="1577" customFormat="1">
      <c r="A9" s="1494">
        <v>2</v>
      </c>
      <c r="B9" s="2400" t="s">
        <v>1638</v>
      </c>
      <c r="C9" s="2400" t="s">
        <v>296</v>
      </c>
      <c r="D9" s="2400" t="s">
        <v>638</v>
      </c>
      <c r="E9" s="2089">
        <v>1</v>
      </c>
      <c r="F9" s="1359"/>
      <c r="G9" s="1361">
        <v>60</v>
      </c>
      <c r="H9" s="2401"/>
      <c r="I9" s="2402"/>
      <c r="J9" s="2402"/>
      <c r="K9" s="2402"/>
      <c r="L9" s="1109"/>
      <c r="M9" s="1109"/>
      <c r="N9" s="1109"/>
      <c r="O9" s="1109"/>
      <c r="P9" s="1109"/>
      <c r="Q9" s="1109"/>
      <c r="R9" s="1109"/>
      <c r="S9" s="1109"/>
      <c r="T9" s="2401"/>
      <c r="U9" s="2402"/>
      <c r="V9" s="2402"/>
      <c r="W9" s="2402"/>
      <c r="X9" s="1109"/>
      <c r="Y9" s="1109"/>
      <c r="Z9" s="1109"/>
      <c r="AA9" s="1109"/>
      <c r="AB9" s="1109"/>
      <c r="AE9" s="2406"/>
      <c r="AF9" s="2406"/>
      <c r="AG9" s="2406"/>
      <c r="AH9" s="2406"/>
      <c r="AI9" s="2406"/>
      <c r="AJ9" s="2420">
        <f t="shared" si="0"/>
        <v>1030</v>
      </c>
      <c r="AK9" s="2406"/>
      <c r="AL9" s="2406"/>
      <c r="AM9" s="2403"/>
      <c r="AN9" s="2403"/>
      <c r="AO9" s="1108"/>
      <c r="AP9" s="1109"/>
      <c r="AQ9" s="1109"/>
      <c r="AR9" s="1109"/>
      <c r="AS9" s="1109"/>
      <c r="AT9" s="1109"/>
      <c r="AU9" s="1109"/>
      <c r="AV9" s="2409"/>
      <c r="AW9" s="2406"/>
      <c r="AX9" s="2406"/>
      <c r="AY9" s="2406"/>
      <c r="AZ9" s="2406"/>
      <c r="BA9" s="2406">
        <v>10</v>
      </c>
      <c r="BB9" s="1108"/>
      <c r="BC9" s="2402"/>
      <c r="BD9" s="2402"/>
      <c r="BE9" s="2402"/>
      <c r="BF9" s="1109"/>
      <c r="BG9" s="1109"/>
      <c r="BH9" s="1109"/>
      <c r="BI9" s="1109"/>
      <c r="BJ9" s="1109"/>
      <c r="BK9" s="1109"/>
      <c r="BL9" s="1109"/>
      <c r="BM9" s="2165"/>
      <c r="BN9" s="1109"/>
      <c r="BO9" s="1109"/>
      <c r="BP9" s="1109"/>
      <c r="BQ9" s="1109"/>
      <c r="BR9" s="2165">
        <f>$E9*AJ9*BA9</f>
        <v>10300</v>
      </c>
      <c r="BS9" s="1109"/>
      <c r="BT9" s="2402"/>
      <c r="BU9" s="2402"/>
      <c r="BV9" s="2402"/>
      <c r="BW9" s="1109"/>
      <c r="BX9" s="1109"/>
      <c r="BY9" s="1109"/>
      <c r="BZ9" s="1109"/>
      <c r="CA9" s="1109"/>
      <c r="CB9" s="1109"/>
      <c r="CC9" s="1109"/>
      <c r="CD9" s="2407"/>
      <c r="CE9" s="1109"/>
      <c r="CF9" s="2407"/>
      <c r="CG9" s="2407"/>
      <c r="CH9" s="2407"/>
      <c r="CI9" s="2407">
        <v>0.03</v>
      </c>
      <c r="CJ9" s="1108"/>
      <c r="CK9" s="2402"/>
      <c r="CL9" s="2402"/>
      <c r="CM9" s="2402"/>
      <c r="CN9" s="1109"/>
      <c r="CO9" s="1109"/>
      <c r="CP9" s="1109"/>
      <c r="CQ9" s="1109"/>
      <c r="CR9" s="1109"/>
      <c r="CS9" s="1109"/>
      <c r="CT9" s="1109"/>
      <c r="CU9" s="1109"/>
      <c r="CV9" s="1109"/>
      <c r="CW9" s="1109"/>
      <c r="CX9" s="1109"/>
      <c r="CY9" s="1109"/>
      <c r="CZ9" s="1108"/>
      <c r="DA9" s="2402"/>
      <c r="DB9" s="2402"/>
      <c r="DC9" s="2402"/>
      <c r="DD9" s="1109"/>
      <c r="DE9" s="1109"/>
      <c r="DF9" s="1109"/>
      <c r="DG9" s="1109"/>
      <c r="DH9" s="1109"/>
      <c r="DI9" s="1109"/>
      <c r="DJ9" s="1109"/>
      <c r="DK9" s="1109"/>
    </row>
    <row r="10" spans="1:118" s="1577" customFormat="1">
      <c r="A10" s="1494">
        <v>12</v>
      </c>
      <c r="B10" s="2400" t="s">
        <v>593</v>
      </c>
      <c r="C10" s="2088" t="s">
        <v>329</v>
      </c>
      <c r="D10" s="2088" t="s">
        <v>638</v>
      </c>
      <c r="E10" s="2089">
        <v>0.5</v>
      </c>
      <c r="F10" s="2401"/>
      <c r="G10" s="1361">
        <v>60</v>
      </c>
      <c r="H10" s="2401"/>
      <c r="I10" s="2402"/>
      <c r="J10" s="2402"/>
      <c r="K10" s="2402"/>
      <c r="L10" s="1109"/>
      <c r="M10" s="1109"/>
      <c r="N10" s="1109"/>
      <c r="O10" s="1109"/>
      <c r="P10" s="1109"/>
      <c r="Q10" s="1109"/>
      <c r="R10" s="1109"/>
      <c r="S10" s="1109"/>
      <c r="T10" s="2401"/>
      <c r="U10" s="2402"/>
      <c r="V10" s="2402"/>
      <c r="W10" s="2402"/>
      <c r="X10" s="1109"/>
      <c r="Y10" s="1109"/>
      <c r="Z10" s="1109"/>
      <c r="AA10" s="1109"/>
      <c r="AB10" s="1109"/>
      <c r="AE10" s="2406"/>
      <c r="AF10" s="2406"/>
      <c r="AG10" s="2406"/>
      <c r="AH10" s="2406"/>
      <c r="AI10" s="2406"/>
      <c r="AJ10" s="2420">
        <f t="shared" si="0"/>
        <v>3490.26826674323</v>
      </c>
      <c r="AK10" s="1108"/>
      <c r="AL10" s="2403"/>
      <c r="AM10" s="2403"/>
      <c r="AN10" s="2403"/>
      <c r="AO10" s="1108"/>
      <c r="AP10" s="1109"/>
      <c r="AQ10" s="1109"/>
      <c r="AR10" s="1109"/>
      <c r="AS10" s="1109"/>
      <c r="AT10" s="1109"/>
      <c r="AU10" s="1109"/>
      <c r="AV10" s="2409"/>
      <c r="AW10" s="2406"/>
      <c r="AX10" s="2406"/>
      <c r="AY10" s="2406"/>
      <c r="AZ10" s="2406"/>
      <c r="BA10" s="2406">
        <v>22</v>
      </c>
      <c r="BB10" s="1108"/>
      <c r="BC10" s="2402"/>
      <c r="BD10" s="2402"/>
      <c r="BE10" s="2402"/>
      <c r="BF10" s="1109"/>
      <c r="BG10" s="1109"/>
      <c r="BH10" s="1109"/>
      <c r="BI10" s="1109"/>
      <c r="BJ10" s="1109"/>
      <c r="BK10" s="1109"/>
      <c r="BL10" s="1109"/>
      <c r="BM10" s="2165"/>
      <c r="BN10" s="1109"/>
      <c r="BO10" s="1109"/>
      <c r="BP10" s="1109"/>
      <c r="BQ10" s="1109"/>
      <c r="BR10" s="2165">
        <f t="shared" ref="BR10:BR16" si="1">$E10*AJ10*BA10</f>
        <v>38392.950934175533</v>
      </c>
      <c r="BS10" s="1109"/>
      <c r="BT10" s="2402"/>
      <c r="BU10" s="2402"/>
      <c r="BV10" s="2402"/>
      <c r="BW10" s="1109"/>
      <c r="BX10" s="1109"/>
      <c r="BY10" s="1109"/>
      <c r="BZ10" s="1109"/>
      <c r="CA10" s="1109"/>
      <c r="CB10" s="1109"/>
      <c r="CC10" s="1109"/>
      <c r="CD10" s="2407"/>
      <c r="CE10" s="1109"/>
      <c r="CF10" s="2407"/>
      <c r="CG10" s="2407"/>
      <c r="CH10" s="2407"/>
      <c r="CI10" s="2407">
        <v>0.03</v>
      </c>
      <c r="CJ10" s="1108"/>
      <c r="CK10" s="2402"/>
      <c r="CL10" s="2402"/>
      <c r="CM10" s="2402"/>
      <c r="CN10" s="1109"/>
      <c r="CO10" s="1109"/>
      <c r="CP10" s="1109"/>
      <c r="CQ10" s="1109"/>
      <c r="CR10" s="1109"/>
      <c r="CS10" s="1109"/>
      <c r="CT10" s="1109"/>
      <c r="CU10" s="1109"/>
      <c r="CV10" s="1109"/>
      <c r="CW10" s="1109"/>
      <c r="CX10" s="1109"/>
      <c r="CY10" s="1109"/>
      <c r="CZ10" s="1108"/>
      <c r="DA10" s="2402"/>
      <c r="DB10" s="2402"/>
      <c r="DC10" s="2402"/>
      <c r="DD10" s="1109"/>
      <c r="DE10" s="1109"/>
      <c r="DF10" s="1109"/>
      <c r="DG10" s="1109"/>
      <c r="DH10" s="1109"/>
      <c r="DI10" s="1109"/>
      <c r="DJ10" s="1109"/>
      <c r="DK10" s="1109"/>
    </row>
    <row r="11" spans="1:118" s="1577" customFormat="1">
      <c r="A11" s="1494">
        <v>2</v>
      </c>
      <c r="B11" s="2400" t="s">
        <v>1639</v>
      </c>
      <c r="C11" s="2400" t="s">
        <v>329</v>
      </c>
      <c r="D11" s="2400" t="s">
        <v>638</v>
      </c>
      <c r="E11" s="2089">
        <v>0.5</v>
      </c>
      <c r="F11" s="1359"/>
      <c r="G11" s="1361">
        <v>60</v>
      </c>
      <c r="H11" s="2401"/>
      <c r="I11" s="2402"/>
      <c r="J11" s="2402"/>
      <c r="K11" s="2402"/>
      <c r="L11" s="1109"/>
      <c r="M11" s="1109"/>
      <c r="N11" s="1109"/>
      <c r="O11" s="1109"/>
      <c r="P11" s="1109"/>
      <c r="Q11" s="1109"/>
      <c r="R11" s="1109"/>
      <c r="S11" s="1109"/>
      <c r="T11" s="2401"/>
      <c r="U11" s="2402"/>
      <c r="V11" s="2402"/>
      <c r="W11" s="2402"/>
      <c r="X11" s="1109"/>
      <c r="Y11" s="1109"/>
      <c r="Z11" s="1109"/>
      <c r="AA11" s="1109"/>
      <c r="AB11" s="1109"/>
      <c r="AE11" s="2406"/>
      <c r="AF11" s="2406"/>
      <c r="AG11" s="2406"/>
      <c r="AH11" s="2406"/>
      <c r="AI11" s="2406"/>
      <c r="AJ11" s="2420">
        <f t="shared" si="0"/>
        <v>2060</v>
      </c>
      <c r="AK11" s="2406"/>
      <c r="AL11" s="2406"/>
      <c r="AM11" s="2406"/>
      <c r="AN11" s="2403"/>
      <c r="AO11" s="1108"/>
      <c r="AP11" s="1109"/>
      <c r="AQ11" s="1109"/>
      <c r="AR11" s="1109"/>
      <c r="AS11" s="1109"/>
      <c r="AT11" s="1109"/>
      <c r="AU11" s="1109"/>
      <c r="AV11" s="2409"/>
      <c r="AW11" s="2406"/>
      <c r="AX11" s="2406"/>
      <c r="AY11" s="2406"/>
      <c r="AZ11" s="2406"/>
      <c r="BA11" s="2406">
        <v>13</v>
      </c>
      <c r="BB11" s="1108"/>
      <c r="BC11" s="2402"/>
      <c r="BD11" s="2402"/>
      <c r="BE11" s="2402"/>
      <c r="BF11" s="1109"/>
      <c r="BG11" s="1109"/>
      <c r="BH11" s="1109"/>
      <c r="BI11" s="1109"/>
      <c r="BJ11" s="1109"/>
      <c r="BK11" s="1109"/>
      <c r="BL11" s="1109"/>
      <c r="BM11" s="2165"/>
      <c r="BN11" s="1109"/>
      <c r="BO11" s="1109"/>
      <c r="BP11" s="1109"/>
      <c r="BQ11" s="1109"/>
      <c r="BR11" s="2165">
        <f t="shared" si="1"/>
        <v>13390</v>
      </c>
      <c r="BS11" s="1109"/>
      <c r="BT11" s="2402"/>
      <c r="BU11" s="2402"/>
      <c r="BV11" s="2402"/>
      <c r="BW11" s="1109"/>
      <c r="BX11" s="1109"/>
      <c r="BY11" s="1109"/>
      <c r="BZ11" s="1109"/>
      <c r="CA11" s="1109"/>
      <c r="CB11" s="1109"/>
      <c r="CC11" s="1109"/>
      <c r="CD11" s="2407"/>
      <c r="CE11" s="1109"/>
      <c r="CF11" s="2407"/>
      <c r="CG11" s="2407"/>
      <c r="CH11" s="2407"/>
      <c r="CI11" s="2407">
        <v>0.03</v>
      </c>
      <c r="CJ11" s="1108"/>
      <c r="CK11" s="2402"/>
      <c r="CL11" s="2402"/>
      <c r="CM11" s="2402"/>
      <c r="CN11" s="1109"/>
      <c r="CO11" s="1109"/>
      <c r="CP11" s="1109"/>
      <c r="CQ11" s="1109"/>
      <c r="CR11" s="1109"/>
      <c r="CS11" s="1109"/>
      <c r="CT11" s="1109"/>
      <c r="CU11" s="1109"/>
      <c r="CV11" s="1109"/>
      <c r="CW11" s="1109"/>
      <c r="CX11" s="1109"/>
      <c r="CY11" s="1109"/>
      <c r="CZ11" s="1108"/>
      <c r="DA11" s="2402"/>
      <c r="DB11" s="2402"/>
      <c r="DC11" s="2402"/>
      <c r="DD11" s="1109"/>
      <c r="DE11" s="1109"/>
      <c r="DF11" s="1109"/>
      <c r="DG11" s="1109"/>
      <c r="DH11" s="1109"/>
      <c r="DI11" s="1109"/>
      <c r="DJ11" s="1109"/>
      <c r="DK11" s="1109"/>
    </row>
    <row r="12" spans="1:118" s="2135" customFormat="1">
      <c r="A12" s="1470">
        <v>5</v>
      </c>
      <c r="B12" s="2400" t="s">
        <v>326</v>
      </c>
      <c r="C12" s="2400" t="s">
        <v>296</v>
      </c>
      <c r="D12" s="2400" t="s">
        <v>638</v>
      </c>
      <c r="E12" s="2410">
        <v>1</v>
      </c>
      <c r="F12" s="1768"/>
      <c r="G12" s="1361">
        <v>60</v>
      </c>
      <c r="H12" s="1768"/>
      <c r="I12" s="2412"/>
      <c r="J12" s="2412"/>
      <c r="K12" s="2412"/>
      <c r="L12" s="1579"/>
      <c r="M12" s="1579"/>
      <c r="N12" s="1579"/>
      <c r="O12" s="1579"/>
      <c r="P12" s="1579"/>
      <c r="Q12" s="1579"/>
      <c r="R12" s="1579"/>
      <c r="S12" s="1579"/>
      <c r="T12" s="1768"/>
      <c r="U12" s="2412"/>
      <c r="V12" s="2412"/>
      <c r="W12" s="2412"/>
      <c r="X12" s="1579"/>
      <c r="Y12" s="1579"/>
      <c r="Z12" s="1579"/>
      <c r="AA12" s="1579"/>
      <c r="AB12" s="1579"/>
      <c r="AE12" s="2406"/>
      <c r="AF12" s="2406"/>
      <c r="AG12" s="2406"/>
      <c r="AH12" s="2406"/>
      <c r="AI12" s="2406"/>
      <c r="AJ12" s="2420">
        <f t="shared" si="0"/>
        <v>2251.0176200000001</v>
      </c>
      <c r="AK12" s="1470"/>
      <c r="AL12" s="2413"/>
      <c r="AM12" s="2413"/>
      <c r="AN12" s="2413"/>
      <c r="AO12" s="1470"/>
      <c r="AP12" s="1579"/>
      <c r="AQ12" s="1579"/>
      <c r="AR12" s="1579"/>
      <c r="AS12" s="1579"/>
      <c r="AT12" s="1579"/>
      <c r="AU12" s="1579"/>
      <c r="AV12" s="2409"/>
      <c r="AW12" s="2406"/>
      <c r="AX12" s="2406"/>
      <c r="AY12" s="2406"/>
      <c r="AZ12" s="2406"/>
      <c r="BA12" s="2406">
        <v>24</v>
      </c>
      <c r="BB12" s="1470"/>
      <c r="BC12" s="2412"/>
      <c r="BD12" s="2412"/>
      <c r="BE12" s="2412"/>
      <c r="BF12" s="1579"/>
      <c r="BG12" s="1579"/>
      <c r="BH12" s="1579"/>
      <c r="BI12" s="1579"/>
      <c r="BJ12" s="1579"/>
      <c r="BK12" s="1579"/>
      <c r="BL12" s="1579"/>
      <c r="BM12" s="2414"/>
      <c r="BN12" s="1579"/>
      <c r="BO12" s="1579"/>
      <c r="BP12" s="1579"/>
      <c r="BQ12" s="1579"/>
      <c r="BR12" s="2165">
        <f t="shared" si="1"/>
        <v>54024.422879999998</v>
      </c>
      <c r="BS12" s="1579"/>
      <c r="BT12" s="2412"/>
      <c r="BU12" s="2412"/>
      <c r="BV12" s="2412"/>
      <c r="BW12" s="1579"/>
      <c r="BX12" s="1579"/>
      <c r="BY12" s="1579"/>
      <c r="BZ12" s="1579"/>
      <c r="CA12" s="1579"/>
      <c r="CB12" s="1579"/>
      <c r="CC12" s="1579"/>
      <c r="CD12" s="2407"/>
      <c r="CE12" s="1579"/>
      <c r="CF12" s="2407"/>
      <c r="CG12" s="2407"/>
      <c r="CH12" s="2407"/>
      <c r="CI12" s="2407">
        <v>0.03</v>
      </c>
      <c r="CJ12" s="1470"/>
      <c r="CK12" s="2412"/>
      <c r="CL12" s="2412"/>
      <c r="CM12" s="2412"/>
      <c r="CN12" s="1579"/>
      <c r="CO12" s="1579"/>
      <c r="CP12" s="1579"/>
      <c r="CQ12" s="1579"/>
      <c r="CR12" s="1579"/>
      <c r="CS12" s="1579"/>
      <c r="CT12" s="1579"/>
      <c r="CU12" s="1579"/>
      <c r="CV12" s="1579"/>
      <c r="CW12" s="1579"/>
      <c r="CX12" s="1579"/>
      <c r="CY12" s="1579"/>
      <c r="CZ12" s="1470"/>
      <c r="DA12" s="2412"/>
      <c r="DB12" s="2412"/>
      <c r="DC12" s="2412"/>
      <c r="DD12" s="1579"/>
      <c r="DE12" s="1579"/>
      <c r="DF12" s="1579"/>
      <c r="DG12" s="1579"/>
      <c r="DH12" s="1579"/>
      <c r="DI12" s="1579"/>
      <c r="DJ12" s="1579"/>
      <c r="DK12" s="1579"/>
    </row>
    <row r="13" spans="1:118" s="1577" customFormat="1">
      <c r="A13" s="1494">
        <v>7</v>
      </c>
      <c r="B13" s="2400" t="s">
        <v>1641</v>
      </c>
      <c r="C13" s="2088" t="s">
        <v>296</v>
      </c>
      <c r="D13" s="2088" t="s">
        <v>638</v>
      </c>
      <c r="E13" s="2089">
        <v>1</v>
      </c>
      <c r="F13" s="2401"/>
      <c r="G13" s="1361">
        <v>60</v>
      </c>
      <c r="H13" s="2401"/>
      <c r="I13" s="2402"/>
      <c r="J13" s="2402"/>
      <c r="K13" s="2402"/>
      <c r="L13" s="1109"/>
      <c r="M13" s="1109"/>
      <c r="N13" s="1109"/>
      <c r="O13" s="1109"/>
      <c r="P13" s="1109"/>
      <c r="Q13" s="1109"/>
      <c r="R13" s="1109"/>
      <c r="S13" s="1109"/>
      <c r="T13" s="2401"/>
      <c r="U13" s="2402"/>
      <c r="V13" s="2402"/>
      <c r="W13" s="2402"/>
      <c r="X13" s="1109"/>
      <c r="Y13" s="1109"/>
      <c r="Z13" s="1109"/>
      <c r="AA13" s="1109"/>
      <c r="AB13" s="1109"/>
      <c r="AE13" s="2406"/>
      <c r="AF13" s="2406"/>
      <c r="AG13" s="2406"/>
      <c r="AH13" s="2406"/>
      <c r="AI13" s="2406"/>
      <c r="AJ13" s="2420">
        <f t="shared" ref="AJ13:AJ19" si="2">AI40*(1+CI13)</f>
        <v>1791.0784447935005</v>
      </c>
      <c r="AK13" s="1108"/>
      <c r="AL13" s="2403"/>
      <c r="AM13" s="2403"/>
      <c r="AN13" s="2403"/>
      <c r="AO13" s="1108"/>
      <c r="AP13" s="1109"/>
      <c r="AQ13" s="1109"/>
      <c r="AR13" s="1109"/>
      <c r="AS13" s="1109"/>
      <c r="AT13" s="1109"/>
      <c r="AU13" s="1109"/>
      <c r="AV13" s="2409"/>
      <c r="AW13" s="2406"/>
      <c r="AX13" s="2406"/>
      <c r="AY13" s="2406"/>
      <c r="AZ13" s="2406"/>
      <c r="BA13" s="2406">
        <v>25</v>
      </c>
      <c r="BB13" s="1108"/>
      <c r="BC13" s="2402"/>
      <c r="BD13" s="2402"/>
      <c r="BE13" s="2402"/>
      <c r="BF13" s="1109"/>
      <c r="BG13" s="1109"/>
      <c r="BH13" s="1109"/>
      <c r="BI13" s="1109"/>
      <c r="BJ13" s="1109"/>
      <c r="BK13" s="1109"/>
      <c r="BL13" s="1109"/>
      <c r="BM13" s="2165"/>
      <c r="BN13" s="1109"/>
      <c r="BO13" s="1109"/>
      <c r="BP13" s="1109"/>
      <c r="BQ13" s="1109"/>
      <c r="BR13" s="2165">
        <f t="shared" si="1"/>
        <v>44776.961119837513</v>
      </c>
      <c r="BS13" s="1109"/>
      <c r="BT13" s="2402"/>
      <c r="BU13" s="2402"/>
      <c r="BV13" s="2402"/>
      <c r="BW13" s="1109"/>
      <c r="BX13" s="1109"/>
      <c r="BY13" s="1109"/>
      <c r="BZ13" s="1109"/>
      <c r="CA13" s="1109"/>
      <c r="CB13" s="1109"/>
      <c r="CC13" s="1109"/>
      <c r="CD13" s="2407"/>
      <c r="CE13" s="1109"/>
      <c r="CF13" s="2407"/>
      <c r="CG13" s="2407"/>
      <c r="CH13" s="2407"/>
      <c r="CI13" s="2407">
        <v>0.03</v>
      </c>
      <c r="CJ13" s="1108"/>
      <c r="CK13" s="2402"/>
      <c r="CL13" s="2402"/>
      <c r="CM13" s="2402"/>
      <c r="CN13" s="1109"/>
      <c r="CO13" s="1109"/>
      <c r="CP13" s="1109"/>
      <c r="CQ13" s="1109"/>
      <c r="CR13" s="1109"/>
      <c r="CS13" s="1109"/>
      <c r="CT13" s="1109"/>
      <c r="CU13" s="1109"/>
      <c r="CV13" s="1109"/>
      <c r="CW13" s="1109"/>
      <c r="CX13" s="1109"/>
      <c r="CY13" s="1109"/>
      <c r="CZ13" s="1108"/>
      <c r="DA13" s="2402"/>
      <c r="DB13" s="2402"/>
      <c r="DC13" s="2402"/>
      <c r="DD13" s="1109"/>
      <c r="DE13" s="1109"/>
      <c r="DF13" s="1109"/>
      <c r="DG13" s="1109"/>
      <c r="DH13" s="1109"/>
      <c r="DI13" s="1109"/>
      <c r="DJ13" s="1109"/>
      <c r="DK13" s="1109"/>
    </row>
    <row r="14" spans="1:118" s="1577" customFormat="1">
      <c r="A14" s="1494">
        <v>3</v>
      </c>
      <c r="B14" s="2400" t="s">
        <v>1546</v>
      </c>
      <c r="C14" s="2088" t="s">
        <v>296</v>
      </c>
      <c r="D14" s="2088" t="s">
        <v>638</v>
      </c>
      <c r="E14" s="2089">
        <v>1</v>
      </c>
      <c r="F14" s="2401"/>
      <c r="G14" s="1361">
        <v>60</v>
      </c>
      <c r="H14" s="2401"/>
      <c r="I14" s="2402"/>
      <c r="J14" s="2402"/>
      <c r="K14" s="2402"/>
      <c r="L14" s="1109"/>
      <c r="M14" s="1109"/>
      <c r="N14" s="1109"/>
      <c r="O14" s="1109"/>
      <c r="P14" s="1109"/>
      <c r="Q14" s="1109"/>
      <c r="R14" s="1109"/>
      <c r="S14" s="1109"/>
      <c r="T14" s="2401"/>
      <c r="U14" s="2402"/>
      <c r="V14" s="2402"/>
      <c r="W14" s="2402"/>
      <c r="X14" s="1109"/>
      <c r="Y14" s="1109"/>
      <c r="Z14" s="1109"/>
      <c r="AA14" s="1109"/>
      <c r="AB14" s="1109"/>
      <c r="AE14" s="2406"/>
      <c r="AF14" s="2406"/>
      <c r="AG14" s="2406"/>
      <c r="AH14" s="2406"/>
      <c r="AI14" s="2406"/>
      <c r="AJ14" s="2420">
        <f t="shared" si="2"/>
        <v>1591.3500000000001</v>
      </c>
      <c r="AK14" s="1108"/>
      <c r="AL14" s="2403"/>
      <c r="AM14" s="2403"/>
      <c r="AN14" s="2403"/>
      <c r="AO14" s="1108"/>
      <c r="AP14" s="1109"/>
      <c r="AQ14" s="1109"/>
      <c r="AR14" s="1109"/>
      <c r="AS14" s="1109"/>
      <c r="AT14" s="1109"/>
      <c r="AU14" s="1109"/>
      <c r="AV14" s="2409"/>
      <c r="AW14" s="2406"/>
      <c r="AX14" s="2406"/>
      <c r="AY14" s="2406"/>
      <c r="AZ14" s="2406"/>
      <c r="BA14" s="2406">
        <v>23</v>
      </c>
      <c r="BB14" s="1108"/>
      <c r="BC14" s="2402"/>
      <c r="BD14" s="2402"/>
      <c r="BE14" s="2402"/>
      <c r="BF14" s="1109"/>
      <c r="BG14" s="1109"/>
      <c r="BH14" s="1109"/>
      <c r="BI14" s="1109"/>
      <c r="BJ14" s="1109"/>
      <c r="BK14" s="1109"/>
      <c r="BL14" s="1109"/>
      <c r="BM14" s="2165"/>
      <c r="BN14" s="1109"/>
      <c r="BO14" s="1109"/>
      <c r="BP14" s="1109"/>
      <c r="BQ14" s="1109"/>
      <c r="BR14" s="2165">
        <f t="shared" si="1"/>
        <v>36601.050000000003</v>
      </c>
      <c r="BS14" s="1109"/>
      <c r="BT14" s="2402"/>
      <c r="BU14" s="2402"/>
      <c r="BV14" s="2402"/>
      <c r="BW14" s="1109"/>
      <c r="BX14" s="1109"/>
      <c r="BY14" s="1109"/>
      <c r="BZ14" s="1109"/>
      <c r="CA14" s="1109"/>
      <c r="CB14" s="1109"/>
      <c r="CC14" s="1109"/>
      <c r="CD14" s="2407"/>
      <c r="CE14" s="1109"/>
      <c r="CF14" s="2407"/>
      <c r="CG14" s="2407"/>
      <c r="CH14" s="2407"/>
      <c r="CI14" s="2407">
        <v>0.03</v>
      </c>
      <c r="CJ14" s="1108"/>
      <c r="CK14" s="2402"/>
      <c r="CL14" s="2402"/>
      <c r="CM14" s="2402"/>
      <c r="CN14" s="1109"/>
      <c r="CO14" s="1109"/>
      <c r="CP14" s="1109"/>
      <c r="CQ14" s="1109"/>
      <c r="CR14" s="1109"/>
      <c r="CS14" s="1109"/>
      <c r="CT14" s="1109"/>
      <c r="CU14" s="1109"/>
      <c r="CV14" s="1109"/>
      <c r="CW14" s="1109"/>
      <c r="CX14" s="1109"/>
      <c r="CY14" s="1109"/>
      <c r="CZ14" s="1108"/>
      <c r="DA14" s="2402"/>
      <c r="DB14" s="2402"/>
      <c r="DC14" s="2402"/>
      <c r="DD14" s="1109"/>
      <c r="DE14" s="1109"/>
      <c r="DF14" s="1109"/>
      <c r="DG14" s="1109"/>
      <c r="DH14" s="1109"/>
      <c r="DI14" s="1109"/>
      <c r="DJ14" s="1109"/>
      <c r="DK14" s="1109"/>
    </row>
    <row r="15" spans="1:118" s="1577" customFormat="1">
      <c r="A15" s="1494">
        <v>14</v>
      </c>
      <c r="B15" s="2400" t="s">
        <v>920</v>
      </c>
      <c r="C15" s="2088" t="s">
        <v>296</v>
      </c>
      <c r="D15" s="2088" t="s">
        <v>638</v>
      </c>
      <c r="E15" s="2089">
        <v>1</v>
      </c>
      <c r="F15" s="1359"/>
      <c r="G15" s="1361">
        <v>60</v>
      </c>
      <c r="H15" s="2401"/>
      <c r="I15" s="2402"/>
      <c r="J15" s="2402"/>
      <c r="K15" s="2402"/>
      <c r="L15" s="1109"/>
      <c r="M15" s="1109"/>
      <c r="N15" s="1109"/>
      <c r="O15" s="1109"/>
      <c r="P15" s="1109"/>
      <c r="Q15" s="1109"/>
      <c r="R15" s="1109"/>
      <c r="S15" s="1109"/>
      <c r="T15" s="2401"/>
      <c r="U15" s="2402"/>
      <c r="V15" s="2402"/>
      <c r="W15" s="2402"/>
      <c r="X15" s="1109"/>
      <c r="Y15" s="1109"/>
      <c r="Z15" s="1109"/>
      <c r="AA15" s="1109"/>
      <c r="AB15" s="1109"/>
      <c r="AE15" s="2406"/>
      <c r="AF15" s="2406"/>
      <c r="AG15" s="2406"/>
      <c r="AH15" s="2406"/>
      <c r="AI15" s="2406"/>
      <c r="AJ15" s="2420">
        <f t="shared" si="2"/>
        <v>3490.26826674323</v>
      </c>
      <c r="AK15" s="1108"/>
      <c r="AL15" s="2403"/>
      <c r="AM15" s="2403"/>
      <c r="AN15" s="2403"/>
      <c r="AO15" s="1108"/>
      <c r="AP15" s="1109"/>
      <c r="AQ15" s="1109"/>
      <c r="AR15" s="1109"/>
      <c r="AS15" s="1109"/>
      <c r="AT15" s="1109"/>
      <c r="AU15" s="1109"/>
      <c r="AV15" s="2409"/>
      <c r="AW15" s="2406"/>
      <c r="AX15" s="2406"/>
      <c r="AY15" s="2406"/>
      <c r="AZ15" s="2406"/>
      <c r="BA15" s="2406">
        <v>24</v>
      </c>
      <c r="BB15" s="1108"/>
      <c r="BC15" s="2402"/>
      <c r="BD15" s="2402"/>
      <c r="BE15" s="2402"/>
      <c r="BF15" s="1109"/>
      <c r="BG15" s="1109"/>
      <c r="BH15" s="1109"/>
      <c r="BI15" s="1109"/>
      <c r="BJ15" s="1109"/>
      <c r="BK15" s="1109"/>
      <c r="BL15" s="1109"/>
      <c r="BM15" s="2165"/>
      <c r="BN15" s="1109"/>
      <c r="BO15" s="1109"/>
      <c r="BP15" s="1109"/>
      <c r="BQ15" s="1109"/>
      <c r="BR15" s="2165">
        <f t="shared" si="1"/>
        <v>83766.438401837513</v>
      </c>
      <c r="BS15" s="1109"/>
      <c r="BT15" s="2402"/>
      <c r="BU15" s="2402"/>
      <c r="BV15" s="2402"/>
      <c r="BW15" s="1109"/>
      <c r="BX15" s="1109"/>
      <c r="BY15" s="1109"/>
      <c r="BZ15" s="1109"/>
      <c r="CA15" s="1109"/>
      <c r="CB15" s="1109"/>
      <c r="CC15" s="1109"/>
      <c r="CD15" s="2407"/>
      <c r="CE15" s="1109"/>
      <c r="CF15" s="2407"/>
      <c r="CG15" s="2407"/>
      <c r="CH15" s="2407"/>
      <c r="CI15" s="2407">
        <v>0.03</v>
      </c>
      <c r="CJ15" s="1108"/>
      <c r="CK15" s="2402"/>
      <c r="CL15" s="2402"/>
      <c r="CM15" s="2402"/>
      <c r="CN15" s="1109"/>
      <c r="CO15" s="1109"/>
      <c r="CP15" s="1109"/>
      <c r="CQ15" s="1109"/>
      <c r="CR15" s="1109"/>
      <c r="CS15" s="1109"/>
      <c r="CT15" s="1109"/>
      <c r="CU15" s="1109"/>
      <c r="CV15" s="1109"/>
      <c r="CW15" s="1109"/>
      <c r="CX15" s="1109"/>
      <c r="CY15" s="1109"/>
      <c r="CZ15" s="1108"/>
      <c r="DA15" s="2402"/>
      <c r="DB15" s="2402"/>
      <c r="DC15" s="2402"/>
      <c r="DD15" s="1109"/>
      <c r="DE15" s="1109"/>
      <c r="DF15" s="1109"/>
      <c r="DG15" s="1109"/>
      <c r="DH15" s="1109"/>
      <c r="DI15" s="1109"/>
      <c r="DJ15" s="1109"/>
      <c r="DK15" s="1109"/>
    </row>
    <row r="16" spans="1:118" s="1577" customFormat="1">
      <c r="A16" s="1494">
        <v>8</v>
      </c>
      <c r="B16" s="2400" t="s">
        <v>1644</v>
      </c>
      <c r="C16" s="2088" t="s">
        <v>296</v>
      </c>
      <c r="D16" s="2088" t="s">
        <v>638</v>
      </c>
      <c r="E16" s="2089">
        <v>1</v>
      </c>
      <c r="F16" s="1359"/>
      <c r="G16" s="1361">
        <v>60</v>
      </c>
      <c r="H16" s="2401"/>
      <c r="I16" s="2402"/>
      <c r="J16" s="2402"/>
      <c r="K16" s="2402"/>
      <c r="L16" s="1109"/>
      <c r="M16" s="1109"/>
      <c r="N16" s="1109"/>
      <c r="O16" s="1109"/>
      <c r="P16" s="1109"/>
      <c r="Q16" s="1109"/>
      <c r="R16" s="1109"/>
      <c r="S16" s="1109"/>
      <c r="T16" s="2401"/>
      <c r="U16" s="2402"/>
      <c r="V16" s="2402"/>
      <c r="W16" s="2402"/>
      <c r="X16" s="1109"/>
      <c r="Y16" s="1109"/>
      <c r="Z16" s="1109"/>
      <c r="AA16" s="1109"/>
      <c r="AB16" s="1109"/>
      <c r="AE16" s="2406"/>
      <c r="AF16" s="2406"/>
      <c r="AG16" s="2406"/>
      <c r="AH16" s="2406"/>
      <c r="AI16" s="2406"/>
      <c r="AJ16" s="2420">
        <f t="shared" si="2"/>
        <v>3074.684663562175</v>
      </c>
      <c r="AK16" s="1108"/>
      <c r="AL16" s="2403"/>
      <c r="AM16" s="2403"/>
      <c r="AN16" s="2403"/>
      <c r="AO16" s="1108"/>
      <c r="AP16" s="1109"/>
      <c r="AQ16" s="1109"/>
      <c r="AR16" s="1109"/>
      <c r="AS16" s="1109"/>
      <c r="AT16" s="1109"/>
      <c r="AU16" s="1109"/>
      <c r="AV16" s="2409"/>
      <c r="AW16" s="2406"/>
      <c r="AX16" s="2406"/>
      <c r="AY16" s="2406"/>
      <c r="AZ16" s="2406"/>
      <c r="BA16" s="2406">
        <v>24</v>
      </c>
      <c r="BB16" s="1108"/>
      <c r="BC16" s="2402"/>
      <c r="BD16" s="2402"/>
      <c r="BE16" s="2402"/>
      <c r="BF16" s="1109"/>
      <c r="BG16" s="1109"/>
      <c r="BH16" s="1109"/>
      <c r="BI16" s="1109"/>
      <c r="BJ16" s="1109"/>
      <c r="BK16" s="1109"/>
      <c r="BL16" s="1109"/>
      <c r="BM16" s="2165"/>
      <c r="BN16" s="1109"/>
      <c r="BO16" s="1109"/>
      <c r="BP16" s="1109"/>
      <c r="BQ16" s="1109"/>
      <c r="BR16" s="2165">
        <f t="shared" si="1"/>
        <v>73792.431925492201</v>
      </c>
      <c r="BS16" s="1109"/>
      <c r="BT16" s="2402"/>
      <c r="BU16" s="2402"/>
      <c r="BV16" s="2402"/>
      <c r="BW16" s="1109"/>
      <c r="BX16" s="1109"/>
      <c r="BY16" s="1109"/>
      <c r="BZ16" s="1109"/>
      <c r="CA16" s="1109"/>
      <c r="CB16" s="1109"/>
      <c r="CC16" s="1109"/>
      <c r="CD16" s="2407"/>
      <c r="CE16" s="1109"/>
      <c r="CF16" s="2407"/>
      <c r="CG16" s="2407"/>
      <c r="CH16" s="2407"/>
      <c r="CI16" s="2407">
        <v>0.03</v>
      </c>
      <c r="CJ16" s="1108"/>
      <c r="CK16" s="2402"/>
      <c r="CL16" s="2402"/>
      <c r="CM16" s="2402"/>
      <c r="CN16" s="1109"/>
      <c r="CO16" s="1109"/>
      <c r="CP16" s="1109"/>
      <c r="CQ16" s="1109"/>
      <c r="CR16" s="1109"/>
      <c r="CS16" s="1109"/>
      <c r="CT16" s="1109"/>
      <c r="CU16" s="1109"/>
      <c r="CV16" s="1109"/>
      <c r="CW16" s="1109"/>
      <c r="CX16" s="1109"/>
      <c r="CY16" s="1109"/>
      <c r="CZ16" s="1108"/>
      <c r="DA16" s="2402"/>
      <c r="DB16" s="2402"/>
      <c r="DC16" s="2402"/>
      <c r="DD16" s="1109"/>
      <c r="DE16" s="1109"/>
      <c r="DF16" s="1109"/>
      <c r="DG16" s="1109"/>
      <c r="DH16" s="1109"/>
      <c r="DI16" s="1109"/>
      <c r="DJ16" s="1109"/>
      <c r="DK16" s="1109"/>
    </row>
    <row r="17" spans="1:118" s="1577" customFormat="1">
      <c r="A17" s="1494">
        <v>3</v>
      </c>
      <c r="B17" s="2400" t="s">
        <v>1645</v>
      </c>
      <c r="C17" s="2088" t="s">
        <v>296</v>
      </c>
      <c r="D17" s="2088" t="s">
        <v>638</v>
      </c>
      <c r="E17" s="2089">
        <v>1</v>
      </c>
      <c r="F17" s="1359"/>
      <c r="G17" s="1361">
        <v>60</v>
      </c>
      <c r="H17" s="2401"/>
      <c r="I17" s="2402"/>
      <c r="J17" s="2402"/>
      <c r="K17" s="2402"/>
      <c r="L17" s="1109"/>
      <c r="M17" s="1109"/>
      <c r="N17" s="1109"/>
      <c r="O17" s="1109"/>
      <c r="P17" s="1109"/>
      <c r="Q17" s="1109"/>
      <c r="R17" s="1109"/>
      <c r="S17" s="1109"/>
      <c r="T17" s="2401"/>
      <c r="U17" s="2402"/>
      <c r="V17" s="2402"/>
      <c r="W17" s="2402"/>
      <c r="X17" s="1109"/>
      <c r="Y17" s="1109"/>
      <c r="Z17" s="1109"/>
      <c r="AA17" s="1109"/>
      <c r="AB17" s="1109"/>
      <c r="AE17" s="2406"/>
      <c r="AF17" s="2406"/>
      <c r="AG17" s="2406"/>
      <c r="AH17" s="2406"/>
      <c r="AI17" s="2406"/>
      <c r="AJ17" s="2420">
        <f t="shared" si="2"/>
        <v>1591.3500000000001</v>
      </c>
      <c r="AK17" s="1108"/>
      <c r="AL17" s="2403"/>
      <c r="AM17" s="2403"/>
      <c r="AN17" s="2403"/>
      <c r="AO17" s="1108"/>
      <c r="AP17" s="1109"/>
      <c r="AQ17" s="1109"/>
      <c r="AR17" s="1109"/>
      <c r="AS17" s="1109"/>
      <c r="AT17" s="1109"/>
      <c r="AU17" s="1109"/>
      <c r="AV17" s="2409"/>
      <c r="AW17" s="2406"/>
      <c r="AX17" s="2406"/>
      <c r="AY17" s="2406"/>
      <c r="AZ17" s="2406"/>
      <c r="BA17" s="2406">
        <v>24</v>
      </c>
      <c r="BB17" s="1108"/>
      <c r="BC17" s="2402"/>
      <c r="BD17" s="2402"/>
      <c r="BE17" s="2402"/>
      <c r="BF17" s="1109"/>
      <c r="BG17" s="1109"/>
      <c r="BH17" s="1109"/>
      <c r="BI17" s="1109"/>
      <c r="BJ17" s="1109"/>
      <c r="BK17" s="1109"/>
      <c r="BL17" s="1109"/>
      <c r="BM17" s="2165"/>
      <c r="BN17" s="1109"/>
      <c r="BO17" s="1109"/>
      <c r="BP17" s="1109"/>
      <c r="BQ17" s="1109"/>
      <c r="BR17" s="2165">
        <f t="shared" ref="BR17:BR27" si="3">$E17*AJ17*BA17</f>
        <v>38192.400000000001</v>
      </c>
      <c r="BS17" s="1109"/>
      <c r="BT17" s="2402"/>
      <c r="BU17" s="2402"/>
      <c r="BV17" s="2402"/>
      <c r="BW17" s="1109"/>
      <c r="BX17" s="1109"/>
      <c r="BY17" s="1109"/>
      <c r="BZ17" s="1109"/>
      <c r="CA17" s="1109"/>
      <c r="CB17" s="1109"/>
      <c r="CC17" s="1109"/>
      <c r="CD17" s="2407"/>
      <c r="CE17" s="1109"/>
      <c r="CF17" s="2407"/>
      <c r="CG17" s="2407"/>
      <c r="CH17" s="2407"/>
      <c r="CI17" s="2407">
        <v>0.03</v>
      </c>
      <c r="CJ17" s="1108"/>
      <c r="CK17" s="2402"/>
      <c r="CL17" s="2402"/>
      <c r="CM17" s="2402"/>
      <c r="CN17" s="1109"/>
      <c r="CO17" s="1109"/>
      <c r="CP17" s="1109"/>
      <c r="CQ17" s="1109"/>
      <c r="CR17" s="1109"/>
      <c r="CS17" s="1109"/>
      <c r="CT17" s="1109"/>
      <c r="CU17" s="1109"/>
      <c r="CV17" s="1109"/>
      <c r="CW17" s="1109"/>
      <c r="CX17" s="1109"/>
      <c r="CY17" s="1109"/>
      <c r="CZ17" s="1108"/>
      <c r="DA17" s="2402"/>
      <c r="DB17" s="2402"/>
      <c r="DC17" s="2402"/>
      <c r="DD17" s="1109"/>
      <c r="DE17" s="1109"/>
      <c r="DF17" s="1109"/>
      <c r="DG17" s="1109"/>
      <c r="DH17" s="1109"/>
      <c r="DI17" s="1109"/>
      <c r="DJ17" s="1109"/>
      <c r="DK17" s="1109"/>
    </row>
    <row r="18" spans="1:118" s="1577" customFormat="1">
      <c r="A18" s="1494">
        <v>3</v>
      </c>
      <c r="B18" s="2400" t="s">
        <v>1646</v>
      </c>
      <c r="C18" s="2088" t="s">
        <v>296</v>
      </c>
      <c r="D18" s="2088" t="s">
        <v>638</v>
      </c>
      <c r="E18" s="2089">
        <v>1</v>
      </c>
      <c r="F18" s="2401"/>
      <c r="G18" s="1361">
        <v>30</v>
      </c>
      <c r="H18" s="2401"/>
      <c r="I18" s="2402"/>
      <c r="J18" s="2402"/>
      <c r="K18" s="2402"/>
      <c r="L18" s="1109"/>
      <c r="M18" s="1109"/>
      <c r="N18" s="1109"/>
      <c r="O18" s="1109"/>
      <c r="P18" s="1109"/>
      <c r="Q18" s="1109"/>
      <c r="R18" s="1109"/>
      <c r="S18" s="1109"/>
      <c r="T18" s="2401"/>
      <c r="U18" s="2402"/>
      <c r="V18" s="2402"/>
      <c r="W18" s="2402"/>
      <c r="X18" s="1109"/>
      <c r="Y18" s="1109"/>
      <c r="Z18" s="1109"/>
      <c r="AA18" s="1109"/>
      <c r="AB18" s="1109"/>
      <c r="AE18" s="2406"/>
      <c r="AF18" s="2406"/>
      <c r="AG18" s="2406"/>
      <c r="AH18" s="2406"/>
      <c r="AI18" s="2406"/>
      <c r="AJ18" s="2420">
        <f t="shared" si="2"/>
        <v>1591.3500000000001</v>
      </c>
      <c r="AK18" s="1108"/>
      <c r="AL18" s="2403"/>
      <c r="AM18" s="2403"/>
      <c r="AN18" s="2403"/>
      <c r="AO18" s="1108"/>
      <c r="AP18" s="1109"/>
      <c r="AQ18" s="1109"/>
      <c r="AR18" s="1109"/>
      <c r="AS18" s="1109"/>
      <c r="AT18" s="1109"/>
      <c r="AU18" s="1109"/>
      <c r="AV18" s="2409"/>
      <c r="AW18" s="2406"/>
      <c r="AX18" s="2406"/>
      <c r="AY18" s="2406"/>
      <c r="AZ18" s="2406"/>
      <c r="BA18" s="2406">
        <v>13</v>
      </c>
      <c r="BB18" s="1108"/>
      <c r="BC18" s="2402"/>
      <c r="BD18" s="2402"/>
      <c r="BE18" s="2402"/>
      <c r="BF18" s="1109"/>
      <c r="BG18" s="1109"/>
      <c r="BH18" s="1109"/>
      <c r="BI18" s="1109"/>
      <c r="BJ18" s="1109"/>
      <c r="BK18" s="1109"/>
      <c r="BL18" s="1109"/>
      <c r="BM18" s="2165"/>
      <c r="BN18" s="1109"/>
      <c r="BO18" s="1109"/>
      <c r="BP18" s="1109"/>
      <c r="BQ18" s="1109"/>
      <c r="BR18" s="2165">
        <f t="shared" si="3"/>
        <v>20687.550000000003</v>
      </c>
      <c r="BS18" s="1109"/>
      <c r="BT18" s="2402"/>
      <c r="BU18" s="2402"/>
      <c r="BV18" s="2402"/>
      <c r="BW18" s="1109"/>
      <c r="BX18" s="1109"/>
      <c r="BY18" s="1109"/>
      <c r="BZ18" s="1109"/>
      <c r="CA18" s="1109"/>
      <c r="CB18" s="1109"/>
      <c r="CC18" s="1109"/>
      <c r="CD18" s="2407"/>
      <c r="CE18" s="1109"/>
      <c r="CF18" s="2407"/>
      <c r="CG18" s="2407"/>
      <c r="CH18" s="2407"/>
      <c r="CI18" s="2407">
        <v>0.03</v>
      </c>
      <c r="CJ18" s="1108"/>
      <c r="CK18" s="2402"/>
      <c r="CL18" s="2402"/>
      <c r="CM18" s="2402"/>
      <c r="CN18" s="1109"/>
      <c r="CO18" s="1109"/>
      <c r="CP18" s="1109"/>
      <c r="CQ18" s="1109"/>
      <c r="CR18" s="1109"/>
      <c r="CS18" s="1109"/>
      <c r="CT18" s="1109"/>
      <c r="CU18" s="1109"/>
      <c r="CV18" s="1109"/>
      <c r="CW18" s="1109"/>
      <c r="CX18" s="1109"/>
      <c r="CY18" s="1109"/>
      <c r="CZ18" s="1108"/>
      <c r="DA18" s="2402"/>
      <c r="DB18" s="2402"/>
      <c r="DC18" s="2402"/>
      <c r="DD18" s="1109"/>
      <c r="DE18" s="1109"/>
      <c r="DF18" s="1109"/>
      <c r="DG18" s="1109"/>
      <c r="DH18" s="1109"/>
      <c r="DI18" s="1109"/>
      <c r="DJ18" s="1109"/>
      <c r="DK18" s="1109"/>
    </row>
    <row r="19" spans="1:118" s="1577" customFormat="1">
      <c r="A19" s="1494">
        <v>3</v>
      </c>
      <c r="B19" s="2400" t="s">
        <v>1647</v>
      </c>
      <c r="C19" s="2088" t="s">
        <v>296</v>
      </c>
      <c r="D19" s="2088" t="s">
        <v>638</v>
      </c>
      <c r="E19" s="2089">
        <v>1</v>
      </c>
      <c r="F19" s="2401"/>
      <c r="G19" s="1361">
        <v>60</v>
      </c>
      <c r="H19" s="2401"/>
      <c r="I19" s="2402"/>
      <c r="J19" s="2402"/>
      <c r="K19" s="2402"/>
      <c r="L19" s="1109"/>
      <c r="M19" s="1109"/>
      <c r="N19" s="1109"/>
      <c r="O19" s="1109"/>
      <c r="P19" s="1109"/>
      <c r="Q19" s="1109"/>
      <c r="R19" s="1109"/>
      <c r="S19" s="1109"/>
      <c r="T19" s="2401"/>
      <c r="U19" s="2402"/>
      <c r="V19" s="2402"/>
      <c r="W19" s="2402"/>
      <c r="X19" s="1109"/>
      <c r="Y19" s="1109"/>
      <c r="Z19" s="1109"/>
      <c r="AA19" s="1109"/>
      <c r="AB19" s="1109"/>
      <c r="AE19" s="2406"/>
      <c r="AF19" s="2406"/>
      <c r="AG19" s="2406"/>
      <c r="AH19" s="2406"/>
      <c r="AI19" s="2406"/>
      <c r="AJ19" s="2420">
        <f t="shared" si="2"/>
        <v>2121.8000000000002</v>
      </c>
      <c r="AK19" s="1108"/>
      <c r="AL19" s="2403"/>
      <c r="AM19" s="2403"/>
      <c r="AN19" s="2403"/>
      <c r="AO19" s="1108"/>
      <c r="AP19" s="1109"/>
      <c r="AQ19" s="1109"/>
      <c r="AR19" s="1109"/>
      <c r="AS19" s="1109"/>
      <c r="AT19" s="1109"/>
      <c r="AU19" s="1109"/>
      <c r="AV19" s="2409"/>
      <c r="AW19" s="2406"/>
      <c r="AX19" s="2406"/>
      <c r="AY19" s="2406"/>
      <c r="AZ19" s="2406"/>
      <c r="BA19" s="2406">
        <v>24</v>
      </c>
      <c r="BB19" s="1108"/>
      <c r="BC19" s="2402"/>
      <c r="BD19" s="2402"/>
      <c r="BE19" s="2402"/>
      <c r="BF19" s="1109"/>
      <c r="BG19" s="1109"/>
      <c r="BH19" s="1109"/>
      <c r="BI19" s="1109"/>
      <c r="BJ19" s="1109"/>
      <c r="BK19" s="1109"/>
      <c r="BL19" s="1109"/>
      <c r="BM19" s="2165"/>
      <c r="BN19" s="1109"/>
      <c r="BO19" s="1109"/>
      <c r="BP19" s="1109"/>
      <c r="BQ19" s="1109"/>
      <c r="BR19" s="2165">
        <f t="shared" si="3"/>
        <v>50923.200000000004</v>
      </c>
      <c r="BS19" s="1109"/>
      <c r="BT19" s="2402"/>
      <c r="BU19" s="2402"/>
      <c r="BV19" s="2402"/>
      <c r="BW19" s="1109"/>
      <c r="BX19" s="1109"/>
      <c r="BY19" s="1109"/>
      <c r="BZ19" s="1109"/>
      <c r="CA19" s="1109"/>
      <c r="CB19" s="1109"/>
      <c r="CC19" s="1109"/>
      <c r="CD19" s="2407"/>
      <c r="CE19" s="1109"/>
      <c r="CF19" s="2407"/>
      <c r="CG19" s="2407"/>
      <c r="CH19" s="2407"/>
      <c r="CI19" s="2407">
        <v>0.03</v>
      </c>
      <c r="CJ19" s="1108"/>
      <c r="CK19" s="2402"/>
      <c r="CL19" s="2402"/>
      <c r="CM19" s="2402"/>
      <c r="CN19" s="1109"/>
      <c r="CO19" s="1109"/>
      <c r="CP19" s="1109"/>
      <c r="CQ19" s="1109"/>
      <c r="CR19" s="1109"/>
      <c r="CS19" s="1109"/>
      <c r="CT19" s="1109"/>
      <c r="CU19" s="1109"/>
      <c r="CV19" s="1109"/>
      <c r="CW19" s="1109"/>
      <c r="CX19" s="1109"/>
      <c r="CY19" s="1109"/>
      <c r="CZ19" s="1108"/>
      <c r="DA19" s="2402"/>
      <c r="DB19" s="2402"/>
      <c r="DC19" s="2402"/>
      <c r="DD19" s="1109"/>
      <c r="DE19" s="1109"/>
      <c r="DF19" s="1109"/>
      <c r="DG19" s="1109"/>
      <c r="DH19" s="1109"/>
      <c r="DI19" s="1109"/>
      <c r="DJ19" s="1109"/>
      <c r="DK19" s="1109"/>
    </row>
    <row r="20" spans="1:118" s="1577" customFormat="1">
      <c r="A20" s="1494">
        <v>4</v>
      </c>
      <c r="B20" s="2400" t="s">
        <v>1575</v>
      </c>
      <c r="C20" s="2400" t="s">
        <v>1666</v>
      </c>
      <c r="D20" s="2400" t="s">
        <v>595</v>
      </c>
      <c r="E20" s="2089">
        <v>0.5</v>
      </c>
      <c r="F20" s="2401"/>
      <c r="G20" s="1361">
        <v>60</v>
      </c>
      <c r="H20" s="2401"/>
      <c r="I20" s="2402"/>
      <c r="J20" s="2402"/>
      <c r="K20" s="2402"/>
      <c r="L20" s="1109"/>
      <c r="M20" s="1109"/>
      <c r="N20" s="1109"/>
      <c r="O20" s="1109"/>
      <c r="P20" s="1109"/>
      <c r="Q20" s="1109"/>
      <c r="R20" s="1109"/>
      <c r="S20" s="1109"/>
      <c r="T20" s="2401"/>
      <c r="U20" s="2402"/>
      <c r="V20" s="2402"/>
      <c r="W20" s="2402"/>
      <c r="X20" s="1109"/>
      <c r="Y20" s="1109"/>
      <c r="Z20" s="1109"/>
      <c r="AA20" s="1109"/>
      <c r="AB20" s="1109"/>
      <c r="AE20" s="2406"/>
      <c r="AF20" s="2406"/>
      <c r="AG20" s="2406"/>
      <c r="AH20" s="2406"/>
      <c r="AI20" s="2406"/>
      <c r="AJ20" s="2420">
        <f>AI48*(1+CI20)</f>
        <v>1092.7270000000001</v>
      </c>
      <c r="AK20" s="1108"/>
      <c r="AL20" s="2403"/>
      <c r="AM20" s="2403"/>
      <c r="AN20" s="2403"/>
      <c r="AO20" s="1108"/>
      <c r="AP20" s="1109"/>
      <c r="AQ20" s="1109"/>
      <c r="AR20" s="1109"/>
      <c r="AS20" s="1109"/>
      <c r="AT20" s="1109"/>
      <c r="AU20" s="1109"/>
      <c r="AV20" s="2409"/>
      <c r="AW20" s="2406"/>
      <c r="AX20" s="2406"/>
      <c r="AY20" s="2406"/>
      <c r="AZ20" s="2406"/>
      <c r="BA20" s="2406">
        <v>16</v>
      </c>
      <c r="BB20" s="1108"/>
      <c r="BC20" s="2402"/>
      <c r="BD20" s="2402"/>
      <c r="BE20" s="2402"/>
      <c r="BF20" s="1109"/>
      <c r="BG20" s="1109"/>
      <c r="BH20" s="1109"/>
      <c r="BI20" s="1109"/>
      <c r="BJ20" s="1109"/>
      <c r="BK20" s="1109"/>
      <c r="BL20" s="1109"/>
      <c r="BM20" s="2165"/>
      <c r="BN20" s="1109"/>
      <c r="BO20" s="1109"/>
      <c r="BP20" s="1109"/>
      <c r="BQ20" s="1109"/>
      <c r="BR20" s="2165">
        <f t="shared" si="3"/>
        <v>8741.8160000000007</v>
      </c>
      <c r="BS20" s="1109"/>
      <c r="BT20" s="2402"/>
      <c r="BU20" s="2402"/>
      <c r="BV20" s="2402"/>
      <c r="BW20" s="1109"/>
      <c r="BX20" s="1109"/>
      <c r="BY20" s="1109"/>
      <c r="BZ20" s="1109"/>
      <c r="CA20" s="1109"/>
      <c r="CB20" s="1109"/>
      <c r="CC20" s="1109"/>
      <c r="CD20" s="2407"/>
      <c r="CE20" s="1109"/>
      <c r="CF20" s="2407"/>
      <c r="CG20" s="2407"/>
      <c r="CH20" s="2407"/>
      <c r="CI20" s="2407">
        <v>0.03</v>
      </c>
      <c r="CJ20" s="1108"/>
      <c r="CK20" s="2402"/>
      <c r="CL20" s="2402"/>
      <c r="CM20" s="2402"/>
      <c r="CN20" s="1109"/>
      <c r="CO20" s="1109"/>
      <c r="CP20" s="1109"/>
      <c r="CQ20" s="1109"/>
      <c r="CR20" s="1109"/>
      <c r="CS20" s="1109"/>
      <c r="CT20" s="1109"/>
      <c r="CU20" s="1109"/>
      <c r="CV20" s="1109"/>
      <c r="CW20" s="1109"/>
      <c r="CX20" s="1109"/>
      <c r="CY20" s="1109"/>
      <c r="CZ20" s="1108"/>
      <c r="DA20" s="2402"/>
      <c r="DB20" s="2402"/>
      <c r="DC20" s="2402"/>
      <c r="DD20" s="1109"/>
      <c r="DE20" s="1109"/>
      <c r="DF20" s="1109"/>
      <c r="DG20" s="1109"/>
      <c r="DH20" s="1109"/>
      <c r="DI20" s="1109"/>
      <c r="DJ20" s="1109"/>
      <c r="DK20" s="1109"/>
    </row>
    <row r="21" spans="1:118" s="1577" customFormat="1">
      <c r="A21" s="1494">
        <v>3</v>
      </c>
      <c r="B21" s="2400" t="s">
        <v>1649</v>
      </c>
      <c r="C21" s="2088" t="s">
        <v>296</v>
      </c>
      <c r="D21" s="2088" t="s">
        <v>638</v>
      </c>
      <c r="E21" s="2089">
        <v>1</v>
      </c>
      <c r="F21" s="2401"/>
      <c r="G21" s="1361">
        <v>60</v>
      </c>
      <c r="H21" s="2401"/>
      <c r="I21" s="2402"/>
      <c r="J21" s="2402"/>
      <c r="K21" s="2402"/>
      <c r="L21" s="1109"/>
      <c r="M21" s="1109"/>
      <c r="N21" s="1109"/>
      <c r="O21" s="1109"/>
      <c r="P21" s="1109"/>
      <c r="Q21" s="1109"/>
      <c r="R21" s="1109"/>
      <c r="S21" s="1109"/>
      <c r="T21" s="2401"/>
      <c r="U21" s="2402"/>
      <c r="V21" s="2402"/>
      <c r="W21" s="2402"/>
      <c r="X21" s="1109"/>
      <c r="Y21" s="1109"/>
      <c r="Z21" s="1109"/>
      <c r="AA21" s="1109"/>
      <c r="AB21" s="1109"/>
      <c r="AE21" s="2406"/>
      <c r="AF21" s="2406"/>
      <c r="AG21" s="2406"/>
      <c r="AH21" s="2406"/>
      <c r="AI21" s="2406"/>
      <c r="AJ21" s="2420">
        <f>AI49*(1+CI21)</f>
        <v>1060.9000000000001</v>
      </c>
      <c r="AK21" s="1108"/>
      <c r="AL21" s="2403"/>
      <c r="AM21" s="2403"/>
      <c r="AN21" s="2403"/>
      <c r="AO21" s="1108"/>
      <c r="AP21" s="1109"/>
      <c r="AQ21" s="1109"/>
      <c r="AR21" s="1109"/>
      <c r="AS21" s="1109"/>
      <c r="AT21" s="1109"/>
      <c r="AU21" s="1109"/>
      <c r="AV21" s="2409"/>
      <c r="AW21" s="2406"/>
      <c r="AX21" s="2406"/>
      <c r="AY21" s="2406"/>
      <c r="AZ21" s="2406"/>
      <c r="BA21" s="2406">
        <v>13</v>
      </c>
      <c r="BB21" s="1108"/>
      <c r="BC21" s="2402"/>
      <c r="BD21" s="2402"/>
      <c r="BE21" s="2402"/>
      <c r="BF21" s="1109"/>
      <c r="BG21" s="1109"/>
      <c r="BH21" s="1109"/>
      <c r="BI21" s="1109"/>
      <c r="BJ21" s="1109"/>
      <c r="BK21" s="1109"/>
      <c r="BL21" s="1109"/>
      <c r="BM21" s="2165"/>
      <c r="BN21" s="1109"/>
      <c r="BO21" s="1109"/>
      <c r="BP21" s="1109"/>
      <c r="BQ21" s="1109"/>
      <c r="BR21" s="2165">
        <f t="shared" si="3"/>
        <v>13791.7</v>
      </c>
      <c r="BS21" s="1109"/>
      <c r="BT21" s="2402"/>
      <c r="BU21" s="2402"/>
      <c r="BV21" s="2402"/>
      <c r="BW21" s="1109"/>
      <c r="BX21" s="1109"/>
      <c r="BY21" s="1109"/>
      <c r="BZ21" s="1109"/>
      <c r="CA21" s="1109"/>
      <c r="CB21" s="1109"/>
      <c r="CC21" s="1109"/>
      <c r="CD21" s="2407"/>
      <c r="CE21" s="1109"/>
      <c r="CF21" s="2407"/>
      <c r="CG21" s="2407"/>
      <c r="CH21" s="2407"/>
      <c r="CI21" s="2407">
        <v>0.03</v>
      </c>
      <c r="CJ21" s="1108"/>
      <c r="CK21" s="2402"/>
      <c r="CL21" s="2402"/>
      <c r="CM21" s="2402"/>
      <c r="CN21" s="1109"/>
      <c r="CO21" s="1109"/>
      <c r="CP21" s="1109"/>
      <c r="CQ21" s="1109"/>
      <c r="CR21" s="1109"/>
      <c r="CS21" s="1109"/>
      <c r="CT21" s="1109"/>
      <c r="CU21" s="1109"/>
      <c r="CV21" s="1109"/>
      <c r="CW21" s="1109"/>
      <c r="CX21" s="1109"/>
      <c r="CY21" s="1109"/>
      <c r="CZ21" s="1108"/>
      <c r="DA21" s="2402"/>
      <c r="DB21" s="2402"/>
      <c r="DC21" s="2402"/>
      <c r="DD21" s="1109"/>
      <c r="DE21" s="1109"/>
      <c r="DF21" s="1109"/>
      <c r="DG21" s="1109"/>
      <c r="DH21" s="1109"/>
      <c r="DI21" s="1109"/>
      <c r="DJ21" s="1109"/>
      <c r="DK21" s="1109"/>
    </row>
    <row r="22" spans="1:118" s="1577" customFormat="1">
      <c r="A22" s="1494">
        <v>3</v>
      </c>
      <c r="B22" s="2400" t="s">
        <v>1651</v>
      </c>
      <c r="C22" s="2088" t="s">
        <v>1666</v>
      </c>
      <c r="D22" s="2088" t="s">
        <v>595</v>
      </c>
      <c r="E22" s="2089">
        <v>0.5</v>
      </c>
      <c r="F22" s="2401"/>
      <c r="G22" s="1361">
        <v>60</v>
      </c>
      <c r="H22" s="2401"/>
      <c r="I22" s="2402"/>
      <c r="J22" s="2402"/>
      <c r="K22" s="2402"/>
      <c r="L22" s="1109"/>
      <c r="M22" s="1109"/>
      <c r="N22" s="1109"/>
      <c r="O22" s="1109"/>
      <c r="P22" s="1109"/>
      <c r="Q22" s="1109"/>
      <c r="R22" s="1109"/>
      <c r="S22" s="1109"/>
      <c r="T22" s="2401"/>
      <c r="U22" s="2402"/>
      <c r="V22" s="2402"/>
      <c r="W22" s="2402"/>
      <c r="X22" s="1109"/>
      <c r="Y22" s="1109"/>
      <c r="Z22" s="1109"/>
      <c r="AA22" s="1109"/>
      <c r="AB22" s="1109"/>
      <c r="AE22" s="2406"/>
      <c r="AF22" s="2406"/>
      <c r="AG22" s="2406"/>
      <c r="AH22" s="2406"/>
      <c r="AI22" s="2406"/>
      <c r="AJ22" s="2420">
        <f t="shared" ref="AJ22:AJ27" si="4">AI51*(1+CI22)</f>
        <v>1591.3500000000001</v>
      </c>
      <c r="AK22" s="1108"/>
      <c r="AL22" s="2403"/>
      <c r="AM22" s="2403"/>
      <c r="AN22" s="2403"/>
      <c r="AO22" s="1108"/>
      <c r="AP22" s="1109"/>
      <c r="AQ22" s="1109"/>
      <c r="AR22" s="1109"/>
      <c r="AS22" s="1109"/>
      <c r="AT22" s="1109"/>
      <c r="AU22" s="1109"/>
      <c r="AV22" s="2409"/>
      <c r="AW22" s="2406"/>
      <c r="AX22" s="2406"/>
      <c r="AY22" s="2406"/>
      <c r="AZ22" s="2406"/>
      <c r="BA22" s="2406">
        <v>20</v>
      </c>
      <c r="BB22" s="1108"/>
      <c r="BC22" s="2402"/>
      <c r="BD22" s="2402"/>
      <c r="BE22" s="2402"/>
      <c r="BF22" s="1109"/>
      <c r="BG22" s="1109"/>
      <c r="BH22" s="1109"/>
      <c r="BI22" s="1109"/>
      <c r="BJ22" s="1109"/>
      <c r="BK22" s="1109"/>
      <c r="BL22" s="1109"/>
      <c r="BM22" s="2165"/>
      <c r="BN22" s="1109"/>
      <c r="BO22" s="1109"/>
      <c r="BP22" s="1109"/>
      <c r="BQ22" s="1109"/>
      <c r="BR22" s="2165">
        <f t="shared" si="3"/>
        <v>15913.500000000002</v>
      </c>
      <c r="BS22" s="1109"/>
      <c r="BT22" s="2402"/>
      <c r="BU22" s="2402"/>
      <c r="BV22" s="2402"/>
      <c r="BW22" s="1109"/>
      <c r="BX22" s="1109"/>
      <c r="BY22" s="1109"/>
      <c r="BZ22" s="1109"/>
      <c r="CA22" s="1109"/>
      <c r="CB22" s="1109"/>
      <c r="CC22" s="1109"/>
      <c r="CD22" s="2407"/>
      <c r="CE22" s="1109"/>
      <c r="CF22" s="2407"/>
      <c r="CG22" s="2407"/>
      <c r="CH22" s="2407"/>
      <c r="CI22" s="2407">
        <v>0.03</v>
      </c>
      <c r="CJ22" s="1108"/>
      <c r="CK22" s="2402"/>
      <c r="CL22" s="2402"/>
      <c r="CM22" s="2402"/>
      <c r="CN22" s="1109"/>
      <c r="CO22" s="1109"/>
      <c r="CP22" s="1109"/>
      <c r="CQ22" s="1109"/>
      <c r="CR22" s="1109"/>
      <c r="CS22" s="1109"/>
      <c r="CT22" s="1109"/>
      <c r="CU22" s="1109"/>
      <c r="CV22" s="1109"/>
      <c r="CW22" s="1109"/>
      <c r="CX22" s="1109"/>
      <c r="CY22" s="1109"/>
      <c r="CZ22" s="1108"/>
      <c r="DA22" s="2402"/>
      <c r="DB22" s="2402"/>
      <c r="DC22" s="2402"/>
      <c r="DD22" s="1109"/>
      <c r="DE22" s="1109"/>
      <c r="DF22" s="1109"/>
      <c r="DG22" s="1109"/>
      <c r="DH22" s="1109"/>
      <c r="DI22" s="1109"/>
      <c r="DJ22" s="1109"/>
      <c r="DK22" s="1109"/>
    </row>
    <row r="23" spans="1:118" s="1577" customFormat="1">
      <c r="A23" s="1494">
        <v>4</v>
      </c>
      <c r="B23" s="2400" t="s">
        <v>1652</v>
      </c>
      <c r="C23" s="2400" t="s">
        <v>1666</v>
      </c>
      <c r="D23" s="2400" t="s">
        <v>595</v>
      </c>
      <c r="E23" s="2410">
        <v>0.5</v>
      </c>
      <c r="F23" s="2401"/>
      <c r="G23" s="1361">
        <v>60</v>
      </c>
      <c r="H23" s="2401"/>
      <c r="I23" s="2402"/>
      <c r="J23" s="2402"/>
      <c r="K23" s="2402"/>
      <c r="L23" s="1109"/>
      <c r="M23" s="1109"/>
      <c r="N23" s="1109"/>
      <c r="O23" s="1109"/>
      <c r="P23" s="1109"/>
      <c r="Q23" s="1109"/>
      <c r="R23" s="1109"/>
      <c r="S23" s="1109"/>
      <c r="T23" s="2401"/>
      <c r="U23" s="2402"/>
      <c r="V23" s="2402"/>
      <c r="W23" s="2402"/>
      <c r="X23" s="1109"/>
      <c r="Y23" s="1109"/>
      <c r="Z23" s="1109"/>
      <c r="AA23" s="1109"/>
      <c r="AB23" s="1109"/>
      <c r="AE23" s="2406"/>
      <c r="AF23" s="2406"/>
      <c r="AG23" s="2406"/>
      <c r="AH23" s="2406"/>
      <c r="AI23" s="2406"/>
      <c r="AJ23" s="2420">
        <f t="shared" si="4"/>
        <v>1092.7270000000001</v>
      </c>
      <c r="AK23" s="1108"/>
      <c r="AL23" s="2403"/>
      <c r="AM23" s="2403"/>
      <c r="AN23" s="2403"/>
      <c r="AO23" s="1108"/>
      <c r="AP23" s="1109"/>
      <c r="AQ23" s="1109"/>
      <c r="AR23" s="1109"/>
      <c r="AS23" s="1109"/>
      <c r="AT23" s="1109"/>
      <c r="AU23" s="1109"/>
      <c r="AV23" s="2409"/>
      <c r="AW23" s="2406"/>
      <c r="AX23" s="2406"/>
      <c r="AY23" s="2406"/>
      <c r="AZ23" s="2406"/>
      <c r="BA23" s="2406">
        <v>13</v>
      </c>
      <c r="BB23" s="1108"/>
      <c r="BC23" s="2402"/>
      <c r="BD23" s="2402"/>
      <c r="BE23" s="2402"/>
      <c r="BF23" s="1109"/>
      <c r="BG23" s="1109"/>
      <c r="BH23" s="1109"/>
      <c r="BI23" s="1109"/>
      <c r="BJ23" s="1109"/>
      <c r="BK23" s="1109"/>
      <c r="BL23" s="1109"/>
      <c r="BM23" s="2165"/>
      <c r="BN23" s="1109"/>
      <c r="BO23" s="1109"/>
      <c r="BP23" s="1109"/>
      <c r="BQ23" s="1109"/>
      <c r="BR23" s="2165">
        <f t="shared" si="3"/>
        <v>7102.7255000000005</v>
      </c>
      <c r="BS23" s="1109"/>
      <c r="BT23" s="2402"/>
      <c r="BU23" s="2402"/>
      <c r="BV23" s="2402"/>
      <c r="BW23" s="1109"/>
      <c r="BX23" s="1109"/>
      <c r="BY23" s="1109"/>
      <c r="BZ23" s="1109"/>
      <c r="CA23" s="1109"/>
      <c r="CB23" s="1109"/>
      <c r="CC23" s="1109"/>
      <c r="CD23" s="2407"/>
      <c r="CE23" s="1109"/>
      <c r="CF23" s="2407"/>
      <c r="CG23" s="2407"/>
      <c r="CH23" s="2407"/>
      <c r="CI23" s="2407">
        <v>0.03</v>
      </c>
      <c r="CJ23" s="1108"/>
      <c r="CK23" s="2402"/>
      <c r="CL23" s="2402"/>
      <c r="CM23" s="2402"/>
      <c r="CN23" s="1109"/>
      <c r="CO23" s="1109"/>
      <c r="CP23" s="1109"/>
      <c r="CQ23" s="1109"/>
      <c r="CR23" s="1109"/>
      <c r="CS23" s="1109"/>
      <c r="CT23" s="1109"/>
      <c r="CU23" s="1109"/>
      <c r="CV23" s="1109"/>
      <c r="CW23" s="1109"/>
      <c r="CX23" s="1109"/>
      <c r="CY23" s="1109"/>
      <c r="CZ23" s="1108"/>
      <c r="DA23" s="2402"/>
      <c r="DB23" s="2402"/>
      <c r="DC23" s="2402"/>
      <c r="DD23" s="1109"/>
      <c r="DE23" s="1109"/>
      <c r="DF23" s="1109"/>
      <c r="DG23" s="1109"/>
      <c r="DH23" s="1109"/>
      <c r="DI23" s="1109"/>
      <c r="DJ23" s="1109"/>
      <c r="DK23" s="1109"/>
    </row>
    <row r="24" spans="1:118" s="1577" customFormat="1">
      <c r="A24" s="1494">
        <v>4</v>
      </c>
      <c r="B24" s="2400" t="s">
        <v>1653</v>
      </c>
      <c r="C24" s="2400" t="s">
        <v>1666</v>
      </c>
      <c r="D24" s="2400" t="s">
        <v>595</v>
      </c>
      <c r="E24" s="2410">
        <v>0.5</v>
      </c>
      <c r="F24" s="2401"/>
      <c r="G24" s="1361">
        <v>60</v>
      </c>
      <c r="H24" s="2401"/>
      <c r="I24" s="2402"/>
      <c r="J24" s="2402"/>
      <c r="K24" s="2402"/>
      <c r="L24" s="1109"/>
      <c r="M24" s="1109"/>
      <c r="N24" s="1109"/>
      <c r="O24" s="1109"/>
      <c r="P24" s="1109"/>
      <c r="Q24" s="1109"/>
      <c r="R24" s="1109"/>
      <c r="S24" s="1109"/>
      <c r="T24" s="2401"/>
      <c r="U24" s="2402"/>
      <c r="V24" s="2402"/>
      <c r="W24" s="2402"/>
      <c r="X24" s="1109"/>
      <c r="Y24" s="1109"/>
      <c r="Z24" s="1109"/>
      <c r="AA24" s="1109"/>
      <c r="AB24" s="1109"/>
      <c r="AE24" s="2406"/>
      <c r="AF24" s="2406"/>
      <c r="AG24" s="2406"/>
      <c r="AH24" s="2406"/>
      <c r="AI24" s="2406"/>
      <c r="AJ24" s="2420">
        <f t="shared" si="4"/>
        <v>1092.7270000000001</v>
      </c>
      <c r="AK24" s="1108"/>
      <c r="AL24" s="2403"/>
      <c r="AM24" s="2403"/>
      <c r="AN24" s="2403"/>
      <c r="AO24" s="1108"/>
      <c r="AP24" s="1109"/>
      <c r="AQ24" s="1109"/>
      <c r="AR24" s="1109"/>
      <c r="AS24" s="1109"/>
      <c r="AT24" s="1109"/>
      <c r="AU24" s="1109"/>
      <c r="AV24" s="2409"/>
      <c r="AW24" s="2406"/>
      <c r="AX24" s="2406"/>
      <c r="AY24" s="2406"/>
      <c r="AZ24" s="2406"/>
      <c r="BA24" s="2406">
        <v>18</v>
      </c>
      <c r="BB24" s="1108"/>
      <c r="BC24" s="2402"/>
      <c r="BD24" s="2402"/>
      <c r="BE24" s="2402"/>
      <c r="BF24" s="1109"/>
      <c r="BG24" s="1109"/>
      <c r="BH24" s="1109"/>
      <c r="BI24" s="1109"/>
      <c r="BJ24" s="1109"/>
      <c r="BK24" s="1109"/>
      <c r="BL24" s="1109"/>
      <c r="BM24" s="2165"/>
      <c r="BN24" s="1109"/>
      <c r="BO24" s="1109"/>
      <c r="BP24" s="1109"/>
      <c r="BQ24" s="1109"/>
      <c r="BR24" s="2165">
        <f t="shared" si="3"/>
        <v>9834.5430000000015</v>
      </c>
      <c r="BS24" s="1109"/>
      <c r="BT24" s="2402"/>
      <c r="BU24" s="2402"/>
      <c r="BV24" s="2402"/>
      <c r="BW24" s="1109"/>
      <c r="BX24" s="1109"/>
      <c r="BY24" s="1109"/>
      <c r="BZ24" s="1109"/>
      <c r="CA24" s="1109"/>
      <c r="CB24" s="1109"/>
      <c r="CC24" s="1109"/>
      <c r="CD24" s="2407"/>
      <c r="CE24" s="1109"/>
      <c r="CF24" s="2407"/>
      <c r="CG24" s="2407"/>
      <c r="CH24" s="2407"/>
      <c r="CI24" s="2407">
        <v>0.03</v>
      </c>
      <c r="CJ24" s="1108"/>
      <c r="CK24" s="2402"/>
      <c r="CL24" s="2402"/>
      <c r="CM24" s="2402"/>
      <c r="CN24" s="1109"/>
      <c r="CO24" s="1109"/>
      <c r="CP24" s="1109"/>
      <c r="CQ24" s="1109"/>
      <c r="CR24" s="1109"/>
      <c r="CS24" s="1109"/>
      <c r="CT24" s="1109"/>
      <c r="CU24" s="1109"/>
      <c r="CV24" s="1109"/>
      <c r="CW24" s="1109"/>
      <c r="CX24" s="1109"/>
      <c r="CY24" s="1109"/>
      <c r="CZ24" s="1108"/>
      <c r="DA24" s="2402"/>
      <c r="DB24" s="2402"/>
      <c r="DC24" s="2402"/>
      <c r="DD24" s="1109"/>
      <c r="DE24" s="1109"/>
      <c r="DF24" s="1109"/>
      <c r="DG24" s="1109"/>
      <c r="DH24" s="1109"/>
      <c r="DI24" s="1109"/>
      <c r="DJ24" s="1109"/>
      <c r="DK24" s="1109"/>
    </row>
    <row r="25" spans="1:118" s="1577" customFormat="1">
      <c r="A25" s="1494">
        <v>8</v>
      </c>
      <c r="B25" s="2088" t="s">
        <v>312</v>
      </c>
      <c r="C25" s="2088" t="s">
        <v>301</v>
      </c>
      <c r="D25" s="2088" t="s">
        <v>595</v>
      </c>
      <c r="E25" s="2089">
        <v>0.5</v>
      </c>
      <c r="F25" s="1359"/>
      <c r="G25" s="1361">
        <v>60</v>
      </c>
      <c r="H25" s="2401"/>
      <c r="I25" s="2402"/>
      <c r="J25" s="2402"/>
      <c r="K25" s="2402"/>
      <c r="L25" s="1109"/>
      <c r="M25" s="1109"/>
      <c r="N25" s="1109"/>
      <c r="O25" s="1109"/>
      <c r="P25" s="1109"/>
      <c r="Q25" s="1109"/>
      <c r="R25" s="1109"/>
      <c r="S25" s="1109"/>
      <c r="T25" s="2401"/>
      <c r="U25" s="2402"/>
      <c r="V25" s="2402"/>
      <c r="W25" s="2402"/>
      <c r="X25" s="1109"/>
      <c r="Y25" s="1109"/>
      <c r="Z25" s="1109"/>
      <c r="AA25" s="1109"/>
      <c r="AB25" s="1109"/>
      <c r="AE25" s="2406"/>
      <c r="AF25" s="2406"/>
      <c r="AG25" s="2406"/>
      <c r="AH25" s="2406"/>
      <c r="AI25" s="2406"/>
      <c r="AJ25" s="2420">
        <f t="shared" si="4"/>
        <v>1844.8107981373055</v>
      </c>
      <c r="AK25" s="1108"/>
      <c r="AL25" s="2403"/>
      <c r="AM25" s="2403"/>
      <c r="AN25" s="2403"/>
      <c r="AO25" s="1108"/>
      <c r="AP25" s="1109"/>
      <c r="AQ25" s="1109"/>
      <c r="AR25" s="1109"/>
      <c r="AS25" s="1109"/>
      <c r="AT25" s="1109"/>
      <c r="AU25" s="1109"/>
      <c r="AV25" s="2409"/>
      <c r="AW25" s="2406"/>
      <c r="AX25" s="2406"/>
      <c r="AY25" s="2406"/>
      <c r="AZ25" s="2406"/>
      <c r="BA25" s="2406">
        <v>16</v>
      </c>
      <c r="BB25" s="1108"/>
      <c r="BC25" s="2402"/>
      <c r="BD25" s="2402"/>
      <c r="BE25" s="2402"/>
      <c r="BF25" s="1109"/>
      <c r="BG25" s="1109"/>
      <c r="BH25" s="1109"/>
      <c r="BI25" s="1109"/>
      <c r="BJ25" s="1109"/>
      <c r="BK25" s="1109"/>
      <c r="BL25" s="1109"/>
      <c r="BM25" s="2165"/>
      <c r="BN25" s="1109"/>
      <c r="BO25" s="1109"/>
      <c r="BP25" s="1109"/>
      <c r="BQ25" s="1109"/>
      <c r="BR25" s="2165">
        <f t="shared" si="3"/>
        <v>14758.486385098444</v>
      </c>
      <c r="BS25" s="1109"/>
      <c r="BT25" s="2402"/>
      <c r="BU25" s="2402"/>
      <c r="BV25" s="2402"/>
      <c r="BW25" s="1109"/>
      <c r="BX25" s="1109"/>
      <c r="BY25" s="1109"/>
      <c r="BZ25" s="1109"/>
      <c r="CA25" s="1109"/>
      <c r="CB25" s="1109"/>
      <c r="CC25" s="1109"/>
      <c r="CD25" s="2407"/>
      <c r="CE25" s="1109"/>
      <c r="CF25" s="2407"/>
      <c r="CG25" s="2407"/>
      <c r="CH25" s="2407"/>
      <c r="CI25" s="2407">
        <v>0.03</v>
      </c>
      <c r="CJ25" s="1108"/>
      <c r="CK25" s="2402"/>
      <c r="CL25" s="2402"/>
      <c r="CM25" s="2402"/>
      <c r="CN25" s="1109"/>
      <c r="CO25" s="1109"/>
      <c r="CP25" s="1109"/>
      <c r="CQ25" s="1109"/>
      <c r="CR25" s="1109"/>
      <c r="CS25" s="1109"/>
      <c r="CT25" s="1109"/>
      <c r="CU25" s="1109"/>
      <c r="CV25" s="1109"/>
      <c r="CW25" s="1109"/>
      <c r="CX25" s="1109"/>
      <c r="CY25" s="1109"/>
      <c r="CZ25" s="1108"/>
      <c r="DA25" s="2402"/>
      <c r="DB25" s="2402"/>
      <c r="DC25" s="2402"/>
      <c r="DD25" s="1109"/>
      <c r="DE25" s="1109"/>
      <c r="DF25" s="1109"/>
      <c r="DG25" s="1109"/>
      <c r="DH25" s="1109"/>
      <c r="DI25" s="1109"/>
      <c r="DJ25" s="1109"/>
      <c r="DK25" s="1109"/>
    </row>
    <row r="26" spans="1:118" s="1577" customFormat="1">
      <c r="A26" s="1494">
        <v>2</v>
      </c>
      <c r="B26" s="2400" t="s">
        <v>1650</v>
      </c>
      <c r="C26" s="2400" t="s">
        <v>1666</v>
      </c>
      <c r="D26" s="2400" t="s">
        <v>595</v>
      </c>
      <c r="E26" s="2089">
        <v>0.5</v>
      </c>
      <c r="F26" s="1359"/>
      <c r="G26" s="1361">
        <v>60</v>
      </c>
      <c r="H26" s="2401"/>
      <c r="I26" s="2402"/>
      <c r="J26" s="2402"/>
      <c r="K26" s="2402"/>
      <c r="L26" s="1109"/>
      <c r="M26" s="1109"/>
      <c r="N26" s="1109"/>
      <c r="O26" s="1109"/>
      <c r="P26" s="1109"/>
      <c r="Q26" s="1109"/>
      <c r="R26" s="1109"/>
      <c r="S26" s="1109"/>
      <c r="T26" s="2401"/>
      <c r="U26" s="2402"/>
      <c r="V26" s="2402"/>
      <c r="W26" s="2402"/>
      <c r="X26" s="1109"/>
      <c r="Y26" s="1109"/>
      <c r="Z26" s="1109"/>
      <c r="AA26" s="1109"/>
      <c r="AB26" s="1109"/>
      <c r="AE26" s="2406"/>
      <c r="AF26" s="2406"/>
      <c r="AG26" s="2406"/>
      <c r="AH26" s="2406"/>
      <c r="AI26" s="2406"/>
      <c r="AJ26" s="2420">
        <f t="shared" si="4"/>
        <v>1030</v>
      </c>
      <c r="AK26" s="1108"/>
      <c r="AL26" s="2403"/>
      <c r="AM26" s="2403"/>
      <c r="AN26" s="2403"/>
      <c r="AO26" s="1108"/>
      <c r="AP26" s="1109"/>
      <c r="AQ26" s="1109"/>
      <c r="AR26" s="1109"/>
      <c r="AS26" s="1109"/>
      <c r="AT26" s="1109"/>
      <c r="AU26" s="1109"/>
      <c r="AV26" s="2409"/>
      <c r="AW26" s="2406"/>
      <c r="AX26" s="2406"/>
      <c r="AY26" s="2406"/>
      <c r="AZ26" s="2406"/>
      <c r="BA26" s="2406">
        <v>18</v>
      </c>
      <c r="BB26" s="1108"/>
      <c r="BC26" s="2402"/>
      <c r="BD26" s="2402"/>
      <c r="BE26" s="2402"/>
      <c r="BF26" s="1109"/>
      <c r="BG26" s="1109"/>
      <c r="BH26" s="1109"/>
      <c r="BI26" s="1109"/>
      <c r="BJ26" s="1109"/>
      <c r="BK26" s="1109"/>
      <c r="BL26" s="1109"/>
      <c r="BM26" s="2165"/>
      <c r="BN26" s="1109"/>
      <c r="BO26" s="1109"/>
      <c r="BP26" s="1109"/>
      <c r="BQ26" s="1109"/>
      <c r="BR26" s="2165">
        <f t="shared" si="3"/>
        <v>9270</v>
      </c>
      <c r="BS26" s="1109"/>
      <c r="BT26" s="2402"/>
      <c r="BU26" s="2402"/>
      <c r="BV26" s="2402"/>
      <c r="BW26" s="1109"/>
      <c r="BX26" s="1109"/>
      <c r="BY26" s="1109"/>
      <c r="BZ26" s="1109"/>
      <c r="CA26" s="1109"/>
      <c r="CB26" s="1109"/>
      <c r="CC26" s="1109"/>
      <c r="CD26" s="2407"/>
      <c r="CE26" s="1109"/>
      <c r="CF26" s="2407"/>
      <c r="CG26" s="2407"/>
      <c r="CH26" s="2407"/>
      <c r="CI26" s="2407">
        <v>0.03</v>
      </c>
      <c r="CJ26" s="1108"/>
      <c r="CK26" s="2402"/>
      <c r="CL26" s="2402"/>
      <c r="CM26" s="2402"/>
      <c r="CN26" s="1109"/>
      <c r="CO26" s="1109"/>
      <c r="CP26" s="1109"/>
      <c r="CQ26" s="1109"/>
      <c r="CR26" s="1109"/>
      <c r="CS26" s="1109"/>
      <c r="CT26" s="1109"/>
      <c r="CU26" s="1109"/>
      <c r="CV26" s="1109"/>
      <c r="CW26" s="1109"/>
      <c r="CX26" s="1109"/>
      <c r="CY26" s="1109"/>
      <c r="CZ26" s="1108"/>
      <c r="DA26" s="2402"/>
      <c r="DB26" s="2402"/>
      <c r="DC26" s="2402"/>
      <c r="DD26" s="1109"/>
      <c r="DE26" s="1109"/>
      <c r="DF26" s="1109"/>
      <c r="DG26" s="1109"/>
      <c r="DH26" s="1109"/>
      <c r="DI26" s="1109"/>
      <c r="DJ26" s="1109"/>
      <c r="DK26" s="1109"/>
    </row>
    <row r="27" spans="1:118" s="1577" customFormat="1">
      <c r="A27" s="1494">
        <v>2</v>
      </c>
      <c r="B27" s="2400" t="s">
        <v>1654</v>
      </c>
      <c r="C27" s="2400" t="s">
        <v>329</v>
      </c>
      <c r="D27" s="2400" t="s">
        <v>638</v>
      </c>
      <c r="E27" s="2411">
        <v>0.5</v>
      </c>
      <c r="F27" s="1768"/>
      <c r="G27" s="1361">
        <v>60</v>
      </c>
      <c r="H27" s="2401"/>
      <c r="I27" s="2402"/>
      <c r="J27" s="2402"/>
      <c r="K27" s="2402"/>
      <c r="L27" s="1109"/>
      <c r="M27" s="1109"/>
      <c r="N27" s="1109"/>
      <c r="O27" s="1109"/>
      <c r="P27" s="1109"/>
      <c r="Q27" s="1109"/>
      <c r="R27" s="1109"/>
      <c r="S27" s="1109"/>
      <c r="T27" s="2401"/>
      <c r="U27" s="2402"/>
      <c r="V27" s="2402"/>
      <c r="W27" s="2402"/>
      <c r="X27" s="1109"/>
      <c r="Y27" s="1109"/>
      <c r="Z27" s="1109"/>
      <c r="AA27" s="1109"/>
      <c r="AB27" s="1109"/>
      <c r="AE27" s="2406"/>
      <c r="AF27" s="2406"/>
      <c r="AG27" s="2406"/>
      <c r="AH27" s="2406"/>
      <c r="AI27" s="2406"/>
      <c r="AJ27" s="2420">
        <f t="shared" si="4"/>
        <v>1545</v>
      </c>
      <c r="AK27" s="1108"/>
      <c r="AL27" s="2403"/>
      <c r="AM27" s="2403"/>
      <c r="AN27" s="2403"/>
      <c r="AO27" s="1108"/>
      <c r="AP27" s="1109"/>
      <c r="AQ27" s="1109"/>
      <c r="AR27" s="1109"/>
      <c r="AS27" s="1109"/>
      <c r="AT27" s="1109"/>
      <c r="AU27" s="1109"/>
      <c r="AV27" s="2409"/>
      <c r="AW27" s="2406"/>
      <c r="AX27" s="2406"/>
      <c r="AY27" s="2406"/>
      <c r="AZ27" s="2406"/>
      <c r="BA27" s="2406">
        <v>18</v>
      </c>
      <c r="BB27" s="1108"/>
      <c r="BC27" s="2402"/>
      <c r="BD27" s="2402"/>
      <c r="BE27" s="2402"/>
      <c r="BF27" s="1109"/>
      <c r="BG27" s="1109"/>
      <c r="BH27" s="1109"/>
      <c r="BI27" s="1109"/>
      <c r="BJ27" s="1109"/>
      <c r="BK27" s="1109"/>
      <c r="BL27" s="1109"/>
      <c r="BM27" s="2165"/>
      <c r="BN27" s="1109"/>
      <c r="BO27" s="1109"/>
      <c r="BP27" s="1109"/>
      <c r="BQ27" s="1109"/>
      <c r="BR27" s="2165">
        <f t="shared" si="3"/>
        <v>13905</v>
      </c>
      <c r="BS27" s="1109"/>
      <c r="BT27" s="2402"/>
      <c r="BU27" s="2402"/>
      <c r="BV27" s="2402"/>
      <c r="BW27" s="1109"/>
      <c r="BX27" s="1109"/>
      <c r="BY27" s="1109"/>
      <c r="BZ27" s="1109"/>
      <c r="CA27" s="1109"/>
      <c r="CB27" s="1109"/>
      <c r="CC27" s="1109"/>
      <c r="CD27" s="2407"/>
      <c r="CE27" s="1109"/>
      <c r="CF27" s="2407"/>
      <c r="CG27" s="2407"/>
      <c r="CH27" s="2407"/>
      <c r="CI27" s="2407">
        <v>0.03</v>
      </c>
      <c r="CJ27" s="1108"/>
      <c r="CK27" s="2402"/>
      <c r="CL27" s="2402"/>
      <c r="CM27" s="2402"/>
      <c r="CN27" s="1109"/>
      <c r="CO27" s="1109"/>
      <c r="CP27" s="1109"/>
      <c r="CQ27" s="1109"/>
      <c r="CR27" s="1109"/>
      <c r="CS27" s="1109"/>
      <c r="CT27" s="1109"/>
      <c r="CU27" s="1109"/>
      <c r="CV27" s="1109"/>
      <c r="CW27" s="1109"/>
      <c r="CX27" s="1109"/>
      <c r="CY27" s="1109"/>
      <c r="CZ27" s="1108"/>
      <c r="DA27" s="2402"/>
      <c r="DB27" s="2402"/>
      <c r="DC27" s="2402"/>
      <c r="DD27" s="1109"/>
      <c r="DE27" s="1109"/>
      <c r="DF27" s="1109"/>
      <c r="DG27" s="1109"/>
      <c r="DH27" s="1109"/>
      <c r="DI27" s="1109"/>
      <c r="DJ27" s="1109"/>
      <c r="DK27" s="1109"/>
    </row>
    <row r="28" spans="1:118" s="1577" customFormat="1">
      <c r="A28" s="1822">
        <v>4</v>
      </c>
      <c r="B28" s="2400" t="s">
        <v>1655</v>
      </c>
      <c r="C28" s="2088" t="s">
        <v>296</v>
      </c>
      <c r="D28" s="2400" t="s">
        <v>1656</v>
      </c>
      <c r="E28" s="2410">
        <v>1</v>
      </c>
      <c r="F28" s="2401"/>
      <c r="G28" s="1361">
        <v>60</v>
      </c>
      <c r="H28" s="2401"/>
      <c r="I28" s="2402"/>
      <c r="J28" s="2402"/>
      <c r="K28" s="2402"/>
      <c r="L28" s="1109"/>
      <c r="M28" s="1109"/>
      <c r="N28" s="1109"/>
      <c r="O28" s="1109"/>
      <c r="P28" s="1109"/>
      <c r="Q28" s="1109"/>
      <c r="R28" s="1109"/>
      <c r="S28" s="1109"/>
      <c r="T28" s="2401"/>
      <c r="U28" s="2402"/>
      <c r="V28" s="2402"/>
      <c r="W28" s="2402"/>
      <c r="X28" s="1109"/>
      <c r="Y28" s="1109"/>
      <c r="Z28" s="1109"/>
      <c r="AA28" s="1109"/>
      <c r="AB28" s="1109"/>
      <c r="AC28" s="1109"/>
      <c r="AD28" s="1109"/>
      <c r="AE28" s="1109"/>
      <c r="AF28" s="1109"/>
      <c r="AG28" s="1579"/>
      <c r="AH28" s="1579"/>
      <c r="AI28" s="1579"/>
      <c r="AJ28" s="2420">
        <f>AI58*(1+CI28)</f>
        <v>1092.7270000000001</v>
      </c>
      <c r="AK28" s="1108"/>
      <c r="AL28" s="2403"/>
      <c r="AM28" s="2403"/>
      <c r="AN28" s="2403"/>
      <c r="AO28" s="1108"/>
      <c r="AP28" s="1109"/>
      <c r="AQ28" s="1109"/>
      <c r="AR28" s="1109"/>
      <c r="AS28" s="1109"/>
      <c r="AT28" s="1109"/>
      <c r="AU28" s="1109"/>
      <c r="AV28" s="1109"/>
      <c r="AW28" s="1109"/>
      <c r="AX28" s="1579"/>
      <c r="AY28" s="1579"/>
      <c r="AZ28" s="1579"/>
      <c r="BA28" s="2406">
        <v>10</v>
      </c>
      <c r="BB28" s="1108"/>
      <c r="BC28" s="2402"/>
      <c r="BD28" s="2402"/>
      <c r="BE28" s="2402"/>
      <c r="BF28" s="1109"/>
      <c r="BG28" s="1109"/>
      <c r="BH28" s="1109"/>
      <c r="BI28" s="1109"/>
      <c r="BJ28" s="1109"/>
      <c r="BK28" s="1109"/>
      <c r="BL28" s="1109"/>
      <c r="BM28" s="1109"/>
      <c r="BN28" s="1109"/>
      <c r="BO28" s="1579"/>
      <c r="BP28" s="1579"/>
      <c r="BQ28" s="1579"/>
      <c r="BR28" s="2165">
        <f>$E28*AJ28*BA28</f>
        <v>10927.27</v>
      </c>
      <c r="BS28" s="1109"/>
      <c r="BT28" s="2402"/>
      <c r="BU28" s="2402"/>
      <c r="BV28" s="2402"/>
      <c r="BW28" s="1109"/>
      <c r="BX28" s="1109"/>
      <c r="BY28" s="1109"/>
      <c r="BZ28" s="1109"/>
      <c r="CA28" s="1109"/>
      <c r="CB28" s="1109"/>
      <c r="CC28" s="1109"/>
      <c r="CD28" s="1109"/>
      <c r="CE28" s="1109"/>
      <c r="CF28" s="2407"/>
      <c r="CG28" s="2407"/>
      <c r="CH28" s="2407"/>
      <c r="CI28" s="2407">
        <v>0.03</v>
      </c>
      <c r="CJ28" s="1108"/>
      <c r="CK28" s="2402"/>
      <c r="CL28" s="2402"/>
      <c r="CM28" s="2402"/>
      <c r="CN28" s="1109"/>
      <c r="CO28" s="1109"/>
      <c r="CP28" s="1109"/>
      <c r="CQ28" s="1109"/>
      <c r="CR28" s="1109"/>
      <c r="CS28" s="1109"/>
      <c r="CT28" s="1109"/>
      <c r="CU28" s="1109"/>
      <c r="CV28" s="1109"/>
      <c r="CW28" s="1109"/>
      <c r="CX28" s="1109"/>
      <c r="CY28" s="1109"/>
      <c r="CZ28" s="1108"/>
      <c r="DA28" s="2402"/>
      <c r="DB28" s="2402"/>
      <c r="DC28" s="2402"/>
      <c r="DD28" s="1109"/>
      <c r="DE28" s="1109"/>
      <c r="DF28" s="1109"/>
      <c r="DG28" s="1109"/>
      <c r="DH28" s="1109"/>
      <c r="DI28" s="1109"/>
      <c r="DJ28" s="1109"/>
      <c r="DK28" s="1109"/>
      <c r="DL28" s="1579"/>
      <c r="DM28" s="1579"/>
      <c r="DN28" s="1579"/>
    </row>
    <row r="29" spans="1:118" s="1577" customFormat="1">
      <c r="A29" s="1822">
        <v>2</v>
      </c>
      <c r="B29" s="2400" t="s">
        <v>1661</v>
      </c>
      <c r="C29" s="2400" t="s">
        <v>296</v>
      </c>
      <c r="D29" s="2400" t="s">
        <v>1662</v>
      </c>
      <c r="E29" s="2410">
        <v>1</v>
      </c>
      <c r="F29" s="2401"/>
      <c r="G29" s="1361">
        <v>30</v>
      </c>
      <c r="H29" s="2401"/>
      <c r="I29" s="2402"/>
      <c r="J29" s="2402"/>
      <c r="K29" s="2402"/>
      <c r="L29" s="1109"/>
      <c r="M29" s="1109"/>
      <c r="N29" s="1109"/>
      <c r="O29" s="1109"/>
      <c r="P29" s="1109"/>
      <c r="Q29" s="1109"/>
      <c r="R29" s="1109"/>
      <c r="S29" s="1109"/>
      <c r="T29" s="2401"/>
      <c r="U29" s="2402"/>
      <c r="V29" s="2402"/>
      <c r="W29" s="2402"/>
      <c r="X29" s="1109"/>
      <c r="Y29" s="1109"/>
      <c r="Z29" s="1109"/>
      <c r="AA29" s="1109"/>
      <c r="AB29" s="1109"/>
      <c r="AC29" s="1109"/>
      <c r="AD29" s="1109"/>
      <c r="AE29" s="1109"/>
      <c r="AF29" s="1109"/>
      <c r="AG29" s="1579"/>
      <c r="AH29" s="1579"/>
      <c r="AI29" s="1579"/>
      <c r="AJ29" s="2420">
        <f>AH98*(1+CI29)</f>
        <v>1030</v>
      </c>
      <c r="AK29" s="1108"/>
      <c r="AL29" s="2403"/>
      <c r="AM29" s="2403"/>
      <c r="AN29" s="2403"/>
      <c r="AO29" s="1108"/>
      <c r="AP29" s="1109"/>
      <c r="AQ29" s="1109"/>
      <c r="AR29" s="1109"/>
      <c r="AS29" s="1109"/>
      <c r="AT29" s="1109"/>
      <c r="AU29" s="1109"/>
      <c r="AV29" s="1109"/>
      <c r="AW29" s="1109"/>
      <c r="AX29" s="1579"/>
      <c r="AY29" s="1579"/>
      <c r="AZ29" s="1579"/>
      <c r="BA29" s="2406">
        <v>10</v>
      </c>
      <c r="BB29" s="1108"/>
      <c r="BC29" s="2402"/>
      <c r="BD29" s="2402"/>
      <c r="BE29" s="2402"/>
      <c r="BF29" s="1109"/>
      <c r="BG29" s="1109"/>
      <c r="BH29" s="1109"/>
      <c r="BI29" s="1109"/>
      <c r="BJ29" s="1109"/>
      <c r="BK29" s="1109"/>
      <c r="BL29" s="1109"/>
      <c r="BM29" s="1109"/>
      <c r="BN29" s="1109"/>
      <c r="BO29" s="1579"/>
      <c r="BP29" s="1579"/>
      <c r="BQ29" s="1579"/>
      <c r="BR29" s="2165">
        <f>$E29*AJ29*BA29</f>
        <v>10300</v>
      </c>
      <c r="BS29" s="1109"/>
      <c r="BT29" s="2402"/>
      <c r="BU29" s="2402"/>
      <c r="BV29" s="2402"/>
      <c r="BW29" s="1109"/>
      <c r="BX29" s="1109"/>
      <c r="BY29" s="1109"/>
      <c r="BZ29" s="1109"/>
      <c r="CA29" s="1109"/>
      <c r="CB29" s="1109"/>
      <c r="CC29" s="1109"/>
      <c r="CD29" s="1109"/>
      <c r="CE29" s="1109"/>
      <c r="CF29" s="2407"/>
      <c r="CG29" s="2407"/>
      <c r="CH29" s="2407"/>
      <c r="CI29" s="2407">
        <v>0.03</v>
      </c>
      <c r="CJ29" s="1108"/>
      <c r="CK29" s="2402"/>
      <c r="CL29" s="2402"/>
      <c r="CM29" s="2402"/>
      <c r="CN29" s="1109"/>
      <c r="CO29" s="1109"/>
      <c r="CP29" s="1109"/>
      <c r="CQ29" s="1109"/>
      <c r="CR29" s="1109"/>
      <c r="CS29" s="1109"/>
      <c r="CT29" s="1109"/>
      <c r="CU29" s="1109"/>
      <c r="CV29" s="1109"/>
      <c r="CW29" s="1109"/>
      <c r="CX29" s="1109"/>
      <c r="CY29" s="1109"/>
      <c r="CZ29" s="1108"/>
      <c r="DA29" s="2402"/>
      <c r="DB29" s="2402"/>
      <c r="DC29" s="2402"/>
      <c r="DD29" s="1109"/>
      <c r="DE29" s="1109"/>
      <c r="DF29" s="1109"/>
      <c r="DG29" s="1109"/>
      <c r="DH29" s="1109"/>
      <c r="DI29" s="1109"/>
      <c r="DJ29" s="1109"/>
      <c r="DK29" s="1109"/>
      <c r="DL29" s="1579"/>
      <c r="DM29" s="1579"/>
      <c r="DN29" s="1579"/>
    </row>
    <row r="30" spans="1:118" s="1577" customFormat="1">
      <c r="A30" s="1822"/>
      <c r="B30" s="2401"/>
      <c r="C30" s="2401"/>
      <c r="D30" s="2401"/>
      <c r="E30" s="2401"/>
      <c r="F30" s="2401"/>
      <c r="G30" s="2401"/>
      <c r="H30" s="2401"/>
      <c r="I30" s="2402"/>
      <c r="J30" s="2402"/>
      <c r="K30" s="2402"/>
      <c r="L30" s="1109"/>
      <c r="M30" s="1109"/>
      <c r="N30" s="1109"/>
      <c r="O30" s="1109"/>
      <c r="P30" s="1109"/>
      <c r="Q30" s="1109"/>
      <c r="R30" s="1109"/>
      <c r="S30" s="1109"/>
      <c r="T30" s="2401"/>
      <c r="U30" s="2402"/>
      <c r="V30" s="2402"/>
      <c r="W30" s="2402"/>
      <c r="X30" s="1109"/>
      <c r="Y30" s="1109"/>
      <c r="Z30" s="1109"/>
      <c r="AA30" s="1109"/>
      <c r="AB30" s="1109"/>
      <c r="AC30" s="1109"/>
      <c r="AD30" s="1109"/>
      <c r="AE30" s="1109"/>
      <c r="AF30" s="1109"/>
      <c r="AG30" s="1579"/>
      <c r="AH30" s="1579"/>
      <c r="AI30" s="1579"/>
      <c r="AJ30" s="1579"/>
      <c r="AK30" s="1108"/>
      <c r="AL30" s="2403"/>
      <c r="AM30" s="2403"/>
      <c r="AN30" s="2403"/>
      <c r="AO30" s="1108"/>
      <c r="AP30" s="1109"/>
      <c r="AQ30" s="1109"/>
      <c r="AR30" s="1109"/>
      <c r="AS30" s="1109"/>
      <c r="AT30" s="1109"/>
      <c r="AU30" s="1109"/>
      <c r="AV30" s="1109"/>
      <c r="AW30" s="1109"/>
      <c r="AX30" s="1579"/>
      <c r="AY30" s="1579"/>
      <c r="AZ30" s="1579"/>
      <c r="BA30" s="1579"/>
      <c r="BB30" s="1108"/>
      <c r="BC30" s="2402"/>
      <c r="BD30" s="2402"/>
      <c r="BE30" s="2402"/>
      <c r="BF30" s="1109"/>
      <c r="BG30" s="1109"/>
      <c r="BH30" s="1109"/>
      <c r="BI30" s="1109"/>
      <c r="BJ30" s="1109"/>
      <c r="BK30" s="1109"/>
      <c r="BL30" s="1109"/>
      <c r="BM30" s="1109"/>
      <c r="BN30" s="1109"/>
      <c r="BO30" s="1579"/>
      <c r="BP30" s="1579"/>
      <c r="BQ30" s="1579"/>
      <c r="BR30" s="1579"/>
      <c r="BS30" s="1579"/>
      <c r="BT30" s="1579"/>
      <c r="BU30" s="1579"/>
      <c r="BV30" s="2402"/>
      <c r="BW30" s="1109"/>
      <c r="BX30" s="1109"/>
      <c r="BY30" s="1109"/>
      <c r="BZ30" s="1109"/>
      <c r="CA30" s="1109"/>
      <c r="CB30" s="1109"/>
      <c r="CC30" s="1109"/>
      <c r="CD30" s="1109"/>
      <c r="CE30" s="1109"/>
      <c r="CF30" s="2407"/>
      <c r="CG30" s="2407"/>
      <c r="CH30" s="2407"/>
      <c r="CI30" s="2407"/>
      <c r="CJ30" s="1108"/>
      <c r="CK30" s="2402"/>
      <c r="CL30" s="2402"/>
      <c r="CM30" s="2402"/>
      <c r="CN30" s="1109"/>
      <c r="CO30" s="1109"/>
      <c r="CP30" s="1109"/>
      <c r="CQ30" s="1109"/>
      <c r="CR30" s="1109"/>
      <c r="CS30" s="1109"/>
      <c r="CT30" s="1109"/>
      <c r="CU30" s="1109"/>
      <c r="CV30" s="1109"/>
      <c r="CW30" s="1579"/>
      <c r="CX30" s="1579"/>
      <c r="CY30" s="1579"/>
      <c r="CZ30" s="1108"/>
      <c r="DA30" s="2402"/>
      <c r="DB30" s="2402"/>
      <c r="DC30" s="2402"/>
      <c r="DD30" s="1109"/>
      <c r="DE30" s="1109"/>
      <c r="DF30" s="1109"/>
      <c r="DG30" s="1109"/>
      <c r="DH30" s="1109"/>
      <c r="DI30" s="1109"/>
      <c r="DJ30" s="1109"/>
      <c r="DK30" s="1109"/>
      <c r="DL30" s="1579"/>
      <c r="DM30" s="1579"/>
      <c r="DN30" s="1579"/>
    </row>
    <row r="31" spans="1:118" s="1577" customFormat="1">
      <c r="A31" s="2417" t="s">
        <v>1672</v>
      </c>
      <c r="B31" s="2401"/>
      <c r="C31" s="2401"/>
      <c r="D31" s="2401"/>
      <c r="E31" s="2401"/>
      <c r="F31" s="2401"/>
      <c r="G31" s="2401"/>
      <c r="H31" s="2401"/>
      <c r="I31" s="2402"/>
      <c r="J31" s="2402"/>
      <c r="K31" s="2402"/>
      <c r="L31" s="1109"/>
      <c r="M31" s="1109"/>
      <c r="N31" s="1109"/>
      <c r="O31" s="1109"/>
      <c r="P31" s="1109"/>
      <c r="Q31" s="1109"/>
      <c r="R31" s="1109"/>
      <c r="S31" s="1109"/>
      <c r="T31" s="2401"/>
      <c r="U31" s="2402"/>
      <c r="V31" s="2402"/>
      <c r="W31" s="2402"/>
      <c r="X31" s="1109"/>
      <c r="Y31" s="1109"/>
      <c r="Z31" s="1109"/>
      <c r="AA31" s="1109"/>
      <c r="AB31" s="1109"/>
      <c r="AC31" s="1109"/>
      <c r="AD31" s="1109"/>
      <c r="AE31" s="1109"/>
      <c r="AF31" s="1109"/>
      <c r="AG31" s="1579"/>
      <c r="AH31" s="1579"/>
      <c r="AI31" s="1579"/>
      <c r="AJ31" s="1579"/>
      <c r="AK31" s="1108"/>
      <c r="AL31" s="2403"/>
      <c r="AM31" s="2403"/>
      <c r="AN31" s="2403"/>
      <c r="AO31" s="1108"/>
      <c r="AP31" s="1109"/>
      <c r="AQ31" s="1109"/>
      <c r="AR31" s="1109"/>
      <c r="AS31" s="1109"/>
      <c r="AT31" s="1109"/>
      <c r="AU31" s="1109"/>
      <c r="AV31" s="1109"/>
      <c r="AW31" s="1109"/>
      <c r="AX31" s="1579"/>
      <c r="AY31" s="1579"/>
      <c r="AZ31" s="1579"/>
      <c r="BA31" s="1579"/>
      <c r="BB31" s="1108"/>
      <c r="BC31" s="2402"/>
      <c r="BD31" s="2402"/>
      <c r="BE31" s="2402"/>
      <c r="BF31" s="1109"/>
      <c r="BG31" s="1109"/>
      <c r="BH31" s="1109"/>
      <c r="BI31" s="1109"/>
      <c r="BJ31" s="1109"/>
      <c r="BK31" s="1109"/>
      <c r="BL31" s="1109"/>
      <c r="BM31" s="1109"/>
      <c r="BN31" s="1109"/>
      <c r="BO31" s="1579"/>
      <c r="BP31" s="1579"/>
      <c r="BQ31" s="1579"/>
      <c r="BR31" s="1579"/>
      <c r="BS31" s="1109"/>
      <c r="BT31" s="2402"/>
      <c r="BU31" s="2402"/>
      <c r="BV31" s="2402"/>
      <c r="BW31" s="1109"/>
      <c r="BX31" s="1109"/>
      <c r="BY31" s="1109"/>
      <c r="BZ31" s="1109"/>
      <c r="CA31" s="1109"/>
      <c r="CB31" s="1109"/>
      <c r="CC31" s="1109"/>
      <c r="CD31" s="1109"/>
      <c r="CE31" s="1109"/>
      <c r="CF31" s="2407"/>
      <c r="CG31" s="2407"/>
      <c r="CH31" s="2407"/>
      <c r="CI31" s="2407"/>
      <c r="CJ31" s="1108"/>
      <c r="CK31" s="2402"/>
      <c r="CL31" s="2402"/>
      <c r="CM31" s="2402"/>
      <c r="CN31" s="1109"/>
      <c r="CO31" s="1109"/>
      <c r="CP31" s="1109"/>
      <c r="CQ31" s="1109"/>
      <c r="CR31" s="1109"/>
      <c r="CS31" s="1109"/>
      <c r="CT31" s="1109"/>
      <c r="CU31" s="1109"/>
      <c r="CV31" s="1109"/>
      <c r="CW31" s="1109"/>
      <c r="CX31" s="1109"/>
      <c r="CY31" s="1109"/>
      <c r="CZ31" s="1108"/>
      <c r="DA31" s="2402"/>
      <c r="DB31" s="2402"/>
      <c r="DC31" s="2402"/>
      <c r="DD31" s="1109"/>
      <c r="DE31" s="1109"/>
      <c r="DF31" s="1109"/>
      <c r="DG31" s="1109"/>
      <c r="DH31" s="1109"/>
      <c r="DI31" s="1109"/>
      <c r="DJ31" s="1109"/>
      <c r="DK31" s="1109"/>
      <c r="DL31" s="1579"/>
      <c r="DM31" s="1579"/>
      <c r="DN31" s="1579"/>
    </row>
    <row r="32" spans="1:118" s="1577" customFormat="1">
      <c r="A32" s="2408" t="s">
        <v>1667</v>
      </c>
      <c r="B32" s="2400" t="s">
        <v>1636</v>
      </c>
      <c r="C32" s="2400" t="s">
        <v>296</v>
      </c>
      <c r="D32" s="2400" t="s">
        <v>1669</v>
      </c>
      <c r="E32" s="2089">
        <v>1</v>
      </c>
      <c r="F32" s="1359"/>
      <c r="G32" s="1361">
        <v>30</v>
      </c>
      <c r="H32" s="2401"/>
      <c r="I32" s="2402"/>
      <c r="J32" s="2402"/>
      <c r="K32" s="2402"/>
      <c r="L32" s="1109"/>
      <c r="M32" s="1109"/>
      <c r="N32" s="1109"/>
      <c r="O32" s="1109"/>
      <c r="P32" s="1109"/>
      <c r="Q32" s="1109"/>
      <c r="R32" s="1109"/>
      <c r="S32" s="1109"/>
      <c r="T32" s="2401"/>
      <c r="U32" s="2402"/>
      <c r="V32" s="2402"/>
      <c r="W32" s="2402"/>
      <c r="X32" s="1109"/>
      <c r="Y32" s="1109"/>
      <c r="Z32" s="1109"/>
      <c r="AA32" s="1109"/>
      <c r="AB32" s="1109"/>
      <c r="AE32" s="2406"/>
      <c r="AF32" s="2406"/>
      <c r="AG32" s="2406"/>
      <c r="AH32" s="2406"/>
      <c r="AI32" s="2420">
        <f>AH70*(1+CH32)</f>
        <v>1591.3500000000001</v>
      </c>
      <c r="AJ32" s="2406"/>
      <c r="AK32" s="1108"/>
      <c r="AL32" s="2403"/>
      <c r="AM32" s="2403"/>
      <c r="AN32" s="2403"/>
      <c r="AO32" s="1108"/>
      <c r="AP32" s="1109"/>
      <c r="AQ32" s="1109"/>
      <c r="AR32" s="1109"/>
      <c r="AS32" s="1109"/>
      <c r="AT32" s="1109"/>
      <c r="AU32" s="1109"/>
      <c r="AV32" s="2409"/>
      <c r="AW32" s="2406"/>
      <c r="AX32" s="2406"/>
      <c r="AZ32" s="2406">
        <f>10+10</f>
        <v>20</v>
      </c>
      <c r="BA32" s="1579"/>
      <c r="BB32" s="1108"/>
      <c r="BC32" s="2402"/>
      <c r="BD32" s="2402"/>
      <c r="BE32" s="2402"/>
      <c r="BF32" s="1109"/>
      <c r="BG32" s="1109"/>
      <c r="BH32" s="1109"/>
      <c r="BI32" s="1109"/>
      <c r="BJ32" s="1109"/>
      <c r="BK32" s="1109"/>
      <c r="BL32" s="1109"/>
      <c r="BM32" s="2165"/>
      <c r="BN32" s="1109"/>
      <c r="BO32" s="1109"/>
      <c r="BP32" s="1109"/>
      <c r="BQ32" s="2165">
        <f>$E32*AI32*AZ32</f>
        <v>31827.000000000004</v>
      </c>
      <c r="BR32" s="1109"/>
      <c r="BS32" s="1109"/>
      <c r="BT32" s="2402"/>
      <c r="BU32" s="2402"/>
      <c r="BV32" s="2402"/>
      <c r="BW32" s="1109"/>
      <c r="BX32" s="1109"/>
      <c r="BY32" s="1109"/>
      <c r="BZ32" s="1109"/>
      <c r="CA32" s="1109"/>
      <c r="CB32" s="1109"/>
      <c r="CC32" s="1109"/>
      <c r="CD32" s="2407"/>
      <c r="CE32" s="1109"/>
      <c r="CF32" s="2407"/>
      <c r="CG32" s="2407"/>
      <c r="CH32" s="2407">
        <v>0.03</v>
      </c>
      <c r="CI32" s="2407"/>
      <c r="CJ32" s="1108"/>
      <c r="CK32" s="2402"/>
      <c r="CL32" s="2402"/>
      <c r="CM32" s="2402"/>
      <c r="CN32" s="1109"/>
      <c r="CO32" s="1109"/>
      <c r="CP32" s="1109"/>
      <c r="CQ32" s="1109"/>
      <c r="CR32" s="1109"/>
      <c r="CS32" s="1109"/>
      <c r="CT32" s="1109"/>
      <c r="CU32" s="1109"/>
      <c r="CV32" s="1109"/>
      <c r="CW32" s="1109"/>
      <c r="CX32" s="1109"/>
      <c r="CY32" s="1109"/>
      <c r="CZ32" s="1108"/>
      <c r="DA32" s="2402"/>
      <c r="DB32" s="2402"/>
      <c r="DC32" s="2402"/>
      <c r="DD32" s="1109"/>
      <c r="DE32" s="1109"/>
      <c r="DF32" s="1109"/>
      <c r="DG32" s="1109"/>
      <c r="DH32" s="1109"/>
      <c r="DI32" s="1109"/>
      <c r="DJ32" s="1109"/>
      <c r="DK32" s="1109"/>
    </row>
    <row r="33" spans="1:115" s="1577" customFormat="1">
      <c r="A33" s="1494">
        <v>1</v>
      </c>
      <c r="B33" s="2400" t="s">
        <v>1637</v>
      </c>
      <c r="C33" s="2400" t="s">
        <v>296</v>
      </c>
      <c r="D33" s="2400" t="s">
        <v>638</v>
      </c>
      <c r="E33" s="2089">
        <v>1</v>
      </c>
      <c r="F33" s="1359"/>
      <c r="G33" s="1361">
        <v>60</v>
      </c>
      <c r="H33" s="2401"/>
      <c r="I33" s="2402"/>
      <c r="J33" s="2402"/>
      <c r="K33" s="2402"/>
      <c r="L33" s="1109"/>
      <c r="M33" s="1109"/>
      <c r="N33" s="1109"/>
      <c r="O33" s="1109"/>
      <c r="P33" s="1109"/>
      <c r="Q33" s="1109"/>
      <c r="R33" s="1109"/>
      <c r="S33" s="1109"/>
      <c r="T33" s="2401"/>
      <c r="U33" s="2402"/>
      <c r="V33" s="2402"/>
      <c r="W33" s="2402"/>
      <c r="X33" s="1109"/>
      <c r="Y33" s="1109"/>
      <c r="Z33" s="1109"/>
      <c r="AA33" s="1109"/>
      <c r="AB33" s="1109"/>
      <c r="AE33" s="2406"/>
      <c r="AF33" s="2406"/>
      <c r="AG33" s="2406"/>
      <c r="AH33" s="2406"/>
      <c r="AI33" s="2420">
        <v>1500</v>
      </c>
      <c r="AJ33" s="2406"/>
      <c r="AK33" s="1108"/>
      <c r="AL33" s="2403"/>
      <c r="AM33" s="2403"/>
      <c r="AN33" s="2403"/>
      <c r="AO33" s="1108"/>
      <c r="AP33" s="1109"/>
      <c r="AQ33" s="1109"/>
      <c r="AR33" s="1109"/>
      <c r="AS33" s="1109"/>
      <c r="AT33" s="1109"/>
      <c r="AU33" s="1109"/>
      <c r="AV33" s="2409"/>
      <c r="AW33" s="2406"/>
      <c r="AX33" s="2406"/>
      <c r="AY33" s="2406"/>
      <c r="AZ33" s="2406">
        <v>10</v>
      </c>
      <c r="BA33" s="1579"/>
      <c r="BB33" s="1108"/>
      <c r="BC33" s="2402"/>
      <c r="BD33" s="2402"/>
      <c r="BE33" s="2402"/>
      <c r="BF33" s="1109"/>
      <c r="BG33" s="1109"/>
      <c r="BH33" s="1109"/>
      <c r="BI33" s="1109"/>
      <c r="BJ33" s="1109"/>
      <c r="BK33" s="1109"/>
      <c r="BL33" s="1109"/>
      <c r="BM33" s="2165"/>
      <c r="BN33" s="1109"/>
      <c r="BO33" s="1109"/>
      <c r="BP33" s="1109"/>
      <c r="BQ33" s="2165">
        <f t="shared" ref="BQ33:BQ45" si="5">$E33*AI33*AZ33</f>
        <v>15000</v>
      </c>
      <c r="BR33" s="1109"/>
      <c r="BS33" s="1109"/>
      <c r="BT33" s="2402"/>
      <c r="BU33" s="2402"/>
      <c r="BV33" s="2402"/>
      <c r="BW33" s="1109"/>
      <c r="BX33" s="1109"/>
      <c r="BY33" s="1109"/>
      <c r="BZ33" s="1109"/>
      <c r="CA33" s="1109"/>
      <c r="CB33" s="1109"/>
      <c r="CC33" s="1109"/>
      <c r="CD33" s="2407"/>
      <c r="CE33" s="1109"/>
      <c r="CF33" s="2407"/>
      <c r="CG33" s="2407"/>
      <c r="CH33" s="2407">
        <v>0.03</v>
      </c>
      <c r="CI33" s="2407"/>
      <c r="CJ33" s="1108"/>
      <c r="CK33" s="2402"/>
      <c r="CL33" s="2402"/>
      <c r="CM33" s="2402"/>
      <c r="CN33" s="1109"/>
      <c r="CO33" s="1109"/>
      <c r="CP33" s="1109"/>
      <c r="CQ33" s="1109"/>
      <c r="CR33" s="1109"/>
      <c r="CS33" s="1109"/>
      <c r="CT33" s="1109"/>
      <c r="CU33" s="1109"/>
      <c r="CV33" s="1109"/>
      <c r="CW33" s="1109"/>
      <c r="CX33" s="1109"/>
      <c r="CY33" s="1109"/>
      <c r="CZ33" s="1108"/>
      <c r="DA33" s="2402"/>
      <c r="DB33" s="2402"/>
      <c r="DC33" s="2402"/>
      <c r="DD33" s="1109"/>
      <c r="DE33" s="1109"/>
      <c r="DF33" s="1109"/>
      <c r="DG33" s="1109"/>
      <c r="DH33" s="1109"/>
      <c r="DI33" s="1109"/>
      <c r="DJ33" s="1109"/>
      <c r="DK33" s="1109"/>
    </row>
    <row r="34" spans="1:115" s="1577" customFormat="1">
      <c r="A34" s="1494">
        <v>6</v>
      </c>
      <c r="B34" s="2400" t="s">
        <v>1157</v>
      </c>
      <c r="C34" s="2400" t="s">
        <v>296</v>
      </c>
      <c r="D34" s="2400" t="s">
        <v>638</v>
      </c>
      <c r="E34" s="2089">
        <v>1</v>
      </c>
      <c r="F34" s="1359"/>
      <c r="G34" s="1361">
        <v>60</v>
      </c>
      <c r="H34" s="2401"/>
      <c r="I34" s="2402"/>
      <c r="J34" s="2402"/>
      <c r="K34" s="2402"/>
      <c r="L34" s="1109"/>
      <c r="M34" s="1109"/>
      <c r="N34" s="1109"/>
      <c r="O34" s="1109"/>
      <c r="P34" s="1109"/>
      <c r="Q34" s="1109"/>
      <c r="R34" s="1109"/>
      <c r="S34" s="1109"/>
      <c r="T34" s="2401"/>
      <c r="U34" s="2402"/>
      <c r="V34" s="2402"/>
      <c r="W34" s="2402"/>
      <c r="X34" s="1109"/>
      <c r="Y34" s="1109"/>
      <c r="Z34" s="1109"/>
      <c r="AA34" s="1109"/>
      <c r="AB34" s="1109"/>
      <c r="AE34" s="2406"/>
      <c r="AF34" s="2406"/>
      <c r="AG34" s="2406"/>
      <c r="AH34" s="2406"/>
      <c r="AI34" s="2420">
        <f>AH72*(1+CH34)</f>
        <v>1738.9111114500004</v>
      </c>
      <c r="AJ34" s="2406"/>
      <c r="AK34" s="1108"/>
      <c r="AL34" s="2403"/>
      <c r="AM34" s="2403"/>
      <c r="AN34" s="2403"/>
      <c r="AO34" s="1108"/>
      <c r="AP34" s="1109"/>
      <c r="AQ34" s="1109"/>
      <c r="AR34" s="1109"/>
      <c r="AS34" s="1109"/>
      <c r="AT34" s="1109"/>
      <c r="AU34" s="1109"/>
      <c r="AV34" s="2409"/>
      <c r="AW34" s="2406"/>
      <c r="AX34" s="2406"/>
      <c r="AY34" s="2406"/>
      <c r="AZ34" s="2406">
        <v>22</v>
      </c>
      <c r="BA34" s="1579"/>
      <c r="BB34" s="1108"/>
      <c r="BC34" s="2402"/>
      <c r="BD34" s="2402"/>
      <c r="BE34" s="2402"/>
      <c r="BF34" s="1109"/>
      <c r="BG34" s="1109"/>
      <c r="BH34" s="1109"/>
      <c r="BI34" s="1109"/>
      <c r="BJ34" s="1109"/>
      <c r="BK34" s="1109"/>
      <c r="BL34" s="1109"/>
      <c r="BM34" s="2165"/>
      <c r="BN34" s="1109"/>
      <c r="BO34" s="1109"/>
      <c r="BP34" s="1109"/>
      <c r="BQ34" s="2165">
        <f t="shared" si="5"/>
        <v>38256.044451900008</v>
      </c>
      <c r="BR34" s="1109"/>
      <c r="BS34" s="1109"/>
      <c r="BT34" s="2402"/>
      <c r="BU34" s="2402"/>
      <c r="BV34" s="2402"/>
      <c r="BW34" s="1109"/>
      <c r="BX34" s="1109"/>
      <c r="BY34" s="1109"/>
      <c r="BZ34" s="1109"/>
      <c r="CA34" s="1109"/>
      <c r="CB34" s="1109"/>
      <c r="CC34" s="1109"/>
      <c r="CD34" s="2407"/>
      <c r="CE34" s="1109"/>
      <c r="CF34" s="2407"/>
      <c r="CG34" s="2407"/>
      <c r="CH34" s="2407">
        <v>0.03</v>
      </c>
      <c r="CI34" s="2407"/>
      <c r="CJ34" s="1108"/>
      <c r="CK34" s="2402"/>
      <c r="CL34" s="2402"/>
      <c r="CM34" s="2402"/>
      <c r="CN34" s="1109"/>
      <c r="CO34" s="1109"/>
      <c r="CP34" s="1109"/>
      <c r="CQ34" s="1109"/>
      <c r="CR34" s="1109"/>
      <c r="CS34" s="1109"/>
      <c r="CT34" s="1109"/>
      <c r="CU34" s="1109"/>
      <c r="CV34" s="1109"/>
      <c r="CW34" s="1109"/>
      <c r="CX34" s="1109"/>
      <c r="CY34" s="1109"/>
      <c r="CZ34" s="1108"/>
      <c r="DA34" s="2402"/>
      <c r="DB34" s="2402"/>
      <c r="DC34" s="2402"/>
      <c r="DD34" s="1109"/>
      <c r="DE34" s="1109"/>
      <c r="DF34" s="1109"/>
      <c r="DG34" s="1109"/>
      <c r="DH34" s="1109"/>
      <c r="DI34" s="1109"/>
      <c r="DJ34" s="1109"/>
      <c r="DK34" s="1109"/>
    </row>
    <row r="35" spans="1:115" s="1577" customFormat="1">
      <c r="A35" s="1494">
        <v>1</v>
      </c>
      <c r="B35" s="2400" t="s">
        <v>1638</v>
      </c>
      <c r="C35" s="2400" t="s">
        <v>296</v>
      </c>
      <c r="D35" s="2400" t="s">
        <v>638</v>
      </c>
      <c r="E35" s="2089">
        <v>1</v>
      </c>
      <c r="F35" s="1359"/>
      <c r="G35" s="1361">
        <v>60</v>
      </c>
      <c r="H35" s="2401"/>
      <c r="I35" s="2402"/>
      <c r="J35" s="2402"/>
      <c r="K35" s="2402"/>
      <c r="L35" s="1109"/>
      <c r="M35" s="1109"/>
      <c r="N35" s="1109"/>
      <c r="O35" s="1109"/>
      <c r="P35" s="1109"/>
      <c r="Q35" s="1109"/>
      <c r="R35" s="1109"/>
      <c r="S35" s="1109"/>
      <c r="T35" s="2401"/>
      <c r="U35" s="2402"/>
      <c r="V35" s="2402"/>
      <c r="W35" s="2402"/>
      <c r="X35" s="1109"/>
      <c r="Y35" s="1109"/>
      <c r="Z35" s="1109"/>
      <c r="AA35" s="1109"/>
      <c r="AB35" s="1109"/>
      <c r="AE35" s="2406"/>
      <c r="AF35" s="2406"/>
      <c r="AG35" s="2406"/>
      <c r="AH35" s="2406"/>
      <c r="AI35" s="2420">
        <v>1000</v>
      </c>
      <c r="AJ35" s="2406"/>
      <c r="AK35" s="1108"/>
      <c r="AL35" s="2403"/>
      <c r="AM35" s="2403"/>
      <c r="AN35" s="2403"/>
      <c r="AO35" s="1108"/>
      <c r="AP35" s="1109"/>
      <c r="AQ35" s="1109"/>
      <c r="AR35" s="1109"/>
      <c r="AS35" s="1109"/>
      <c r="AT35" s="1109"/>
      <c r="AU35" s="1109"/>
      <c r="AV35" s="2409"/>
      <c r="AW35" s="2406"/>
      <c r="AX35" s="2406"/>
      <c r="AY35" s="2406"/>
      <c r="AZ35" s="2406">
        <v>10</v>
      </c>
      <c r="BA35" s="1579"/>
      <c r="BB35" s="1108"/>
      <c r="BC35" s="2402"/>
      <c r="BD35" s="2402"/>
      <c r="BE35" s="2402"/>
      <c r="BF35" s="1109"/>
      <c r="BG35" s="1109"/>
      <c r="BH35" s="1109"/>
      <c r="BI35" s="1109"/>
      <c r="BJ35" s="1109"/>
      <c r="BK35" s="1109"/>
      <c r="BL35" s="1109"/>
      <c r="BM35" s="2165"/>
      <c r="BN35" s="1109"/>
      <c r="BO35" s="1109"/>
      <c r="BP35" s="1109"/>
      <c r="BQ35" s="2165">
        <f t="shared" si="5"/>
        <v>10000</v>
      </c>
      <c r="BR35" s="1109"/>
      <c r="BS35" s="1109"/>
      <c r="BT35" s="2402"/>
      <c r="BU35" s="2402"/>
      <c r="BV35" s="2402"/>
      <c r="BW35" s="1109"/>
      <c r="BX35" s="1109"/>
      <c r="BY35" s="1109"/>
      <c r="BZ35" s="1109"/>
      <c r="CA35" s="1109"/>
      <c r="CB35" s="1109"/>
      <c r="CC35" s="1109"/>
      <c r="CD35" s="2407"/>
      <c r="CE35" s="1109"/>
      <c r="CF35" s="2407"/>
      <c r="CG35" s="2407"/>
      <c r="CH35" s="2407">
        <v>0.03</v>
      </c>
      <c r="CI35" s="2407"/>
      <c r="CJ35" s="1108"/>
      <c r="CK35" s="2402"/>
      <c r="CL35" s="2402"/>
      <c r="CM35" s="2402"/>
      <c r="CN35" s="1109"/>
      <c r="CO35" s="1109"/>
      <c r="CP35" s="1109"/>
      <c r="CQ35" s="1109"/>
      <c r="CR35" s="1109"/>
      <c r="CS35" s="1109"/>
      <c r="CT35" s="1109"/>
      <c r="CU35" s="1109"/>
      <c r="CV35" s="1109"/>
      <c r="CW35" s="1109"/>
      <c r="CX35" s="1109"/>
      <c r="CY35" s="1109"/>
      <c r="CZ35" s="1108"/>
      <c r="DA35" s="2402"/>
      <c r="DB35" s="2402"/>
      <c r="DC35" s="2402"/>
      <c r="DD35" s="1109"/>
      <c r="DE35" s="1109"/>
      <c r="DF35" s="1109"/>
      <c r="DG35" s="1109"/>
      <c r="DH35" s="1109"/>
      <c r="DI35" s="1109"/>
      <c r="DJ35" s="1109"/>
      <c r="DK35" s="1109"/>
    </row>
    <row r="36" spans="1:115" s="2135" customFormat="1">
      <c r="A36" s="1470">
        <v>11</v>
      </c>
      <c r="B36" s="2400" t="s">
        <v>593</v>
      </c>
      <c r="C36" s="2400" t="s">
        <v>329</v>
      </c>
      <c r="D36" s="2400" t="s">
        <v>638</v>
      </c>
      <c r="E36" s="2411">
        <v>0.5</v>
      </c>
      <c r="F36" s="1768"/>
      <c r="G36" s="1361">
        <v>60</v>
      </c>
      <c r="H36" s="1768"/>
      <c r="I36" s="2412"/>
      <c r="J36" s="2412"/>
      <c r="K36" s="2412"/>
      <c r="L36" s="1579"/>
      <c r="M36" s="1579"/>
      <c r="N36" s="1579"/>
      <c r="O36" s="1579"/>
      <c r="P36" s="1579"/>
      <c r="Q36" s="1579"/>
      <c r="R36" s="1579"/>
      <c r="S36" s="1579"/>
      <c r="T36" s="1768"/>
      <c r="U36" s="2412"/>
      <c r="V36" s="2412"/>
      <c r="W36" s="2412"/>
      <c r="X36" s="1579"/>
      <c r="Y36" s="1579"/>
      <c r="Z36" s="1579"/>
      <c r="AA36" s="1579"/>
      <c r="AB36" s="1579"/>
      <c r="AE36" s="2406"/>
      <c r="AF36" s="2406"/>
      <c r="AG36" s="2406"/>
      <c r="AH36" s="2406"/>
      <c r="AI36" s="2420">
        <f>AH73*(1+CH36)</f>
        <v>3388.6099677118737</v>
      </c>
      <c r="AJ36" s="2406"/>
      <c r="AK36" s="1470"/>
      <c r="AL36" s="2413"/>
      <c r="AM36" s="2413"/>
      <c r="AN36" s="2413"/>
      <c r="AO36" s="1470"/>
      <c r="AP36" s="1579"/>
      <c r="AQ36" s="1579"/>
      <c r="AR36" s="1579"/>
      <c r="AS36" s="1579"/>
      <c r="AT36" s="1579"/>
      <c r="AU36" s="1579"/>
      <c r="AV36" s="2409"/>
      <c r="AW36" s="2406"/>
      <c r="AX36" s="2406"/>
      <c r="AY36" s="2406"/>
      <c r="AZ36" s="2406">
        <v>22</v>
      </c>
      <c r="BA36" s="1579"/>
      <c r="BB36" s="1470"/>
      <c r="BC36" s="2412"/>
      <c r="BD36" s="2412"/>
      <c r="BE36" s="2412"/>
      <c r="BF36" s="1579"/>
      <c r="BG36" s="1579"/>
      <c r="BH36" s="1579"/>
      <c r="BI36" s="1579"/>
      <c r="BJ36" s="1579"/>
      <c r="BK36" s="1579"/>
      <c r="BL36" s="1579"/>
      <c r="BM36" s="2414"/>
      <c r="BN36" s="1579"/>
      <c r="BO36" s="1579"/>
      <c r="BP36" s="1579"/>
      <c r="BQ36" s="2165">
        <f t="shared" si="5"/>
        <v>37274.709644830611</v>
      </c>
      <c r="BR36" s="1579"/>
      <c r="BS36" s="1579"/>
      <c r="BT36" s="2412"/>
      <c r="BU36" s="2412"/>
      <c r="BV36" s="2412"/>
      <c r="BW36" s="1579"/>
      <c r="BX36" s="1579"/>
      <c r="BY36" s="1579"/>
      <c r="BZ36" s="1579"/>
      <c r="CA36" s="1579"/>
      <c r="CB36" s="1579"/>
      <c r="CC36" s="1579"/>
      <c r="CD36" s="2407"/>
      <c r="CE36" s="1579"/>
      <c r="CF36" s="2407"/>
      <c r="CG36" s="2407"/>
      <c r="CH36" s="2407">
        <v>0.03</v>
      </c>
      <c r="CI36" s="2407"/>
      <c r="CJ36" s="1470"/>
      <c r="CK36" s="2412"/>
      <c r="CL36" s="2412"/>
      <c r="CM36" s="2412"/>
      <c r="CN36" s="1579"/>
      <c r="CO36" s="1579"/>
      <c r="CP36" s="1579"/>
      <c r="CQ36" s="1579"/>
      <c r="CR36" s="1579"/>
      <c r="CS36" s="1579"/>
      <c r="CT36" s="1579"/>
      <c r="CU36" s="1579"/>
      <c r="CV36" s="1579"/>
      <c r="CW36" s="1579"/>
      <c r="CX36" s="1579"/>
      <c r="CY36" s="1579"/>
      <c r="CZ36" s="1470"/>
      <c r="DA36" s="2412"/>
      <c r="DB36" s="2412"/>
      <c r="DC36" s="2412"/>
      <c r="DD36" s="1579"/>
      <c r="DE36" s="1579"/>
      <c r="DF36" s="1579"/>
      <c r="DG36" s="1579"/>
      <c r="DH36" s="1579"/>
      <c r="DI36" s="1579"/>
      <c r="DJ36" s="1579"/>
      <c r="DK36" s="1579"/>
    </row>
    <row r="37" spans="1:115" s="1577" customFormat="1">
      <c r="A37" s="1494">
        <v>1</v>
      </c>
      <c r="B37" s="2400" t="s">
        <v>1639</v>
      </c>
      <c r="C37" s="2400" t="s">
        <v>329</v>
      </c>
      <c r="D37" s="2400" t="s">
        <v>638</v>
      </c>
      <c r="E37" s="2089">
        <v>0.5</v>
      </c>
      <c r="F37" s="1359"/>
      <c r="G37" s="1361">
        <v>60</v>
      </c>
      <c r="H37" s="2401"/>
      <c r="I37" s="2402"/>
      <c r="J37" s="2402"/>
      <c r="K37" s="2402"/>
      <c r="L37" s="1109"/>
      <c r="M37" s="1109"/>
      <c r="N37" s="1109"/>
      <c r="O37" s="1109"/>
      <c r="P37" s="1109"/>
      <c r="Q37" s="1109"/>
      <c r="R37" s="1109"/>
      <c r="S37" s="1109"/>
      <c r="T37" s="2401"/>
      <c r="U37" s="2402"/>
      <c r="V37" s="2402"/>
      <c r="W37" s="2402"/>
      <c r="X37" s="1109"/>
      <c r="Y37" s="1109"/>
      <c r="Z37" s="1109"/>
      <c r="AA37" s="1109"/>
      <c r="AB37" s="1109"/>
      <c r="AE37" s="2406"/>
      <c r="AF37" s="2406"/>
      <c r="AG37" s="2406"/>
      <c r="AH37" s="2406"/>
      <c r="AI37" s="2420">
        <v>2000</v>
      </c>
      <c r="AJ37" s="2406"/>
      <c r="AK37" s="1108"/>
      <c r="AL37" s="2403"/>
      <c r="AM37" s="2403"/>
      <c r="AN37" s="2403"/>
      <c r="AO37" s="1108"/>
      <c r="AP37" s="1109"/>
      <c r="AQ37" s="1109"/>
      <c r="AR37" s="1109"/>
      <c r="AS37" s="1109"/>
      <c r="AT37" s="1109"/>
      <c r="AU37" s="1109"/>
      <c r="AV37" s="2409"/>
      <c r="AW37" s="2406"/>
      <c r="AX37" s="2406"/>
      <c r="AY37" s="2406"/>
      <c r="AZ37" s="2406">
        <v>13</v>
      </c>
      <c r="BA37" s="2406"/>
      <c r="BB37" s="1108"/>
      <c r="BC37" s="2402"/>
      <c r="BD37" s="2402"/>
      <c r="BE37" s="2402"/>
      <c r="BF37" s="1109"/>
      <c r="BG37" s="1109"/>
      <c r="BH37" s="1109"/>
      <c r="BI37" s="1109"/>
      <c r="BJ37" s="1109"/>
      <c r="BK37" s="1109"/>
      <c r="BL37" s="1109"/>
      <c r="BM37" s="2165"/>
      <c r="BN37" s="1109"/>
      <c r="BO37" s="1109"/>
      <c r="BP37" s="1109"/>
      <c r="BQ37" s="2165">
        <f t="shared" si="5"/>
        <v>13000</v>
      </c>
      <c r="BR37" s="1109"/>
      <c r="BS37" s="1109"/>
      <c r="BT37" s="2402"/>
      <c r="BU37" s="2402"/>
      <c r="BV37" s="2402"/>
      <c r="BW37" s="1109"/>
      <c r="BX37" s="1109"/>
      <c r="BY37" s="1109"/>
      <c r="BZ37" s="1109"/>
      <c r="CA37" s="1109"/>
      <c r="CB37" s="1109"/>
      <c r="CC37" s="1109"/>
      <c r="CD37" s="2407"/>
      <c r="CE37" s="1109"/>
      <c r="CF37" s="2407"/>
      <c r="CG37" s="2407"/>
      <c r="CH37" s="2407">
        <v>0.03</v>
      </c>
      <c r="CI37" s="2407"/>
      <c r="CJ37" s="1108"/>
      <c r="CK37" s="2402"/>
      <c r="CL37" s="2402"/>
      <c r="CM37" s="2402"/>
      <c r="CN37" s="1109"/>
      <c r="CO37" s="1109"/>
      <c r="CP37" s="1109"/>
      <c r="CQ37" s="1109"/>
      <c r="CR37" s="1109"/>
      <c r="CS37" s="1109"/>
      <c r="CT37" s="1109"/>
      <c r="CU37" s="1109"/>
      <c r="CV37" s="1109"/>
      <c r="CW37" s="1109"/>
      <c r="CX37" s="1109"/>
      <c r="CY37" s="1109"/>
      <c r="CZ37" s="1108"/>
      <c r="DA37" s="2402"/>
      <c r="DB37" s="2402"/>
      <c r="DC37" s="2402"/>
      <c r="DD37" s="1109"/>
      <c r="DE37" s="1109"/>
      <c r="DF37" s="1109"/>
      <c r="DG37" s="1109"/>
      <c r="DH37" s="1109"/>
      <c r="DI37" s="1109"/>
      <c r="DJ37" s="1109"/>
      <c r="DK37" s="1109"/>
    </row>
    <row r="38" spans="1:115" s="2135" customFormat="1">
      <c r="A38" s="1470">
        <v>4</v>
      </c>
      <c r="B38" s="2400" t="s">
        <v>326</v>
      </c>
      <c r="C38" s="2400" t="s">
        <v>296</v>
      </c>
      <c r="D38" s="2400" t="s">
        <v>638</v>
      </c>
      <c r="E38" s="2410">
        <v>1</v>
      </c>
      <c r="F38" s="1768"/>
      <c r="G38" s="1361">
        <v>45</v>
      </c>
      <c r="H38" s="1768"/>
      <c r="I38" s="2412"/>
      <c r="J38" s="2412"/>
      <c r="K38" s="2412"/>
      <c r="L38" s="1579"/>
      <c r="M38" s="1579"/>
      <c r="N38" s="1579"/>
      <c r="O38" s="1579"/>
      <c r="P38" s="1579"/>
      <c r="Q38" s="1579"/>
      <c r="R38" s="1579"/>
      <c r="S38" s="1579"/>
      <c r="T38" s="1768"/>
      <c r="U38" s="2412"/>
      <c r="V38" s="2412"/>
      <c r="W38" s="2412"/>
      <c r="X38" s="1579"/>
      <c r="Y38" s="1579"/>
      <c r="Z38" s="1579"/>
      <c r="AA38" s="1579"/>
      <c r="AB38" s="1579"/>
      <c r="AE38" s="2406"/>
      <c r="AF38" s="2406"/>
      <c r="AG38" s="2406"/>
      <c r="AH38" s="2406"/>
      <c r="AI38" s="2420">
        <f>AH76*(1+CH38)</f>
        <v>2185.4540000000002</v>
      </c>
      <c r="AJ38" s="2406"/>
      <c r="AK38" s="1470"/>
      <c r="AL38" s="2413"/>
      <c r="AM38" s="2413"/>
      <c r="AN38" s="2413"/>
      <c r="AO38" s="1470"/>
      <c r="AP38" s="1579"/>
      <c r="AQ38" s="1579"/>
      <c r="AR38" s="1579"/>
      <c r="AS38" s="1579"/>
      <c r="AT38" s="1579"/>
      <c r="AU38" s="1579"/>
      <c r="AV38" s="2409"/>
      <c r="AW38" s="2406"/>
      <c r="AX38" s="2406"/>
      <c r="AY38" s="2406"/>
      <c r="AZ38" s="2406">
        <v>24</v>
      </c>
      <c r="BA38" s="2406"/>
      <c r="BB38" s="1470"/>
      <c r="BC38" s="2412"/>
      <c r="BD38" s="2412"/>
      <c r="BE38" s="2412"/>
      <c r="BF38" s="1579"/>
      <c r="BG38" s="1579"/>
      <c r="BH38" s="1579"/>
      <c r="BI38" s="1579"/>
      <c r="BJ38" s="1579"/>
      <c r="BK38" s="1579"/>
      <c r="BL38" s="1579"/>
      <c r="BM38" s="2414"/>
      <c r="BN38" s="1579"/>
      <c r="BO38" s="1579"/>
      <c r="BP38" s="1579"/>
      <c r="BQ38" s="2414">
        <f t="shared" si="5"/>
        <v>52450.896000000008</v>
      </c>
      <c r="BR38" s="1579"/>
      <c r="BS38" s="1579"/>
      <c r="BT38" s="2412"/>
      <c r="BU38" s="2412"/>
      <c r="BV38" s="2412"/>
      <c r="BW38" s="1579"/>
      <c r="BX38" s="1579"/>
      <c r="BY38" s="1579"/>
      <c r="BZ38" s="1579"/>
      <c r="CA38" s="1579"/>
      <c r="CB38" s="1579"/>
      <c r="CC38" s="1579"/>
      <c r="CD38" s="2407"/>
      <c r="CE38" s="1579"/>
      <c r="CF38" s="2407"/>
      <c r="CG38" s="2407"/>
      <c r="CH38" s="2407">
        <v>0.03</v>
      </c>
      <c r="CI38" s="2407"/>
      <c r="CJ38" s="1470"/>
      <c r="CK38" s="2412"/>
      <c r="CL38" s="2412"/>
      <c r="CM38" s="2412"/>
      <c r="CN38" s="1579"/>
      <c r="CO38" s="1579"/>
      <c r="CP38" s="1579"/>
      <c r="CQ38" s="1579"/>
      <c r="CR38" s="1579"/>
      <c r="CS38" s="1579"/>
      <c r="CT38" s="1579"/>
      <c r="CU38" s="1579"/>
      <c r="CV38" s="1579"/>
      <c r="CW38" s="1579"/>
      <c r="CX38" s="1579"/>
      <c r="CY38" s="1579"/>
      <c r="CZ38" s="1470"/>
      <c r="DA38" s="2412"/>
      <c r="DB38" s="2412"/>
      <c r="DC38" s="2412"/>
      <c r="DD38" s="1579"/>
      <c r="DE38" s="1579"/>
      <c r="DF38" s="1579"/>
      <c r="DG38" s="1579"/>
      <c r="DH38" s="1579"/>
      <c r="DI38" s="1579"/>
      <c r="DJ38" s="1579"/>
      <c r="DK38" s="1579"/>
    </row>
    <row r="39" spans="1:115" s="2135" customFormat="1">
      <c r="A39" s="1470">
        <v>7</v>
      </c>
      <c r="B39" s="2400" t="s">
        <v>1640</v>
      </c>
      <c r="C39" s="2400" t="s">
        <v>296</v>
      </c>
      <c r="D39" s="2400" t="s">
        <v>638</v>
      </c>
      <c r="E39" s="2410">
        <v>1</v>
      </c>
      <c r="F39" s="1768"/>
      <c r="G39" s="1361">
        <v>60</v>
      </c>
      <c r="H39" s="1768"/>
      <c r="I39" s="2412"/>
      <c r="J39" s="2412"/>
      <c r="K39" s="2412"/>
      <c r="L39" s="1579"/>
      <c r="M39" s="1579"/>
      <c r="N39" s="1579"/>
      <c r="O39" s="1579"/>
      <c r="P39" s="1579"/>
      <c r="Q39" s="1579"/>
      <c r="R39" s="1579"/>
      <c r="S39" s="1579"/>
      <c r="T39" s="1768"/>
      <c r="U39" s="2412"/>
      <c r="V39" s="2412"/>
      <c r="W39" s="2412"/>
      <c r="X39" s="1579"/>
      <c r="Y39" s="1579"/>
      <c r="Z39" s="1579"/>
      <c r="AA39" s="1579"/>
      <c r="AB39" s="1579"/>
      <c r="AE39" s="2406"/>
      <c r="AF39" s="2406"/>
      <c r="AG39" s="2406"/>
      <c r="AH39" s="2406"/>
      <c r="AI39" s="2420">
        <f>AH78*(1+CH39)</f>
        <v>1791.0784447935005</v>
      </c>
      <c r="AJ39" s="2406"/>
      <c r="AK39" s="1470"/>
      <c r="AL39" s="2413"/>
      <c r="AM39" s="2413"/>
      <c r="AN39" s="2413"/>
      <c r="AO39" s="1470"/>
      <c r="AP39" s="1579"/>
      <c r="AQ39" s="1579"/>
      <c r="AR39" s="1579"/>
      <c r="AS39" s="1579"/>
      <c r="AT39" s="1579"/>
      <c r="AU39" s="1579"/>
      <c r="AV39" s="2409"/>
      <c r="AW39" s="2406"/>
      <c r="AX39" s="2406"/>
      <c r="AY39" s="2406"/>
      <c r="AZ39" s="2406">
        <v>22</v>
      </c>
      <c r="BA39" s="2406"/>
      <c r="BB39" s="1470"/>
      <c r="BC39" s="2412"/>
      <c r="BD39" s="2412"/>
      <c r="BE39" s="2412"/>
      <c r="BF39" s="1579"/>
      <c r="BG39" s="1579"/>
      <c r="BH39" s="1579"/>
      <c r="BI39" s="1579"/>
      <c r="BJ39" s="1579"/>
      <c r="BK39" s="1579"/>
      <c r="BL39" s="1579"/>
      <c r="BM39" s="2414"/>
      <c r="BN39" s="1579"/>
      <c r="BO39" s="1579"/>
      <c r="BP39" s="1579"/>
      <c r="BQ39" s="2414">
        <f t="shared" si="5"/>
        <v>39403.725785457013</v>
      </c>
      <c r="BR39" s="1579"/>
      <c r="BS39" s="1579"/>
      <c r="BT39" s="2412"/>
      <c r="BU39" s="2412"/>
      <c r="BV39" s="2412"/>
      <c r="BW39" s="1579"/>
      <c r="BX39" s="1579"/>
      <c r="BY39" s="1579"/>
      <c r="BZ39" s="1579"/>
      <c r="CA39" s="1579"/>
      <c r="CB39" s="1579"/>
      <c r="CC39" s="1579"/>
      <c r="CD39" s="2407"/>
      <c r="CE39" s="1579"/>
      <c r="CF39" s="2407"/>
      <c r="CG39" s="2407"/>
      <c r="CH39" s="2407">
        <v>0.03</v>
      </c>
      <c r="CI39" s="2407"/>
      <c r="CJ39" s="1470"/>
      <c r="CK39" s="2412"/>
      <c r="CL39" s="2412"/>
      <c r="CM39" s="2412"/>
      <c r="CN39" s="1579"/>
      <c r="CO39" s="1579"/>
      <c r="CP39" s="1579"/>
      <c r="CQ39" s="1579"/>
      <c r="CR39" s="1579"/>
      <c r="CS39" s="1579"/>
      <c r="CT39" s="1579"/>
      <c r="CU39" s="1579"/>
      <c r="CV39" s="1579"/>
      <c r="CW39" s="1579"/>
      <c r="CX39" s="1579"/>
      <c r="CY39" s="1579"/>
      <c r="CZ39" s="1470"/>
      <c r="DA39" s="2412"/>
      <c r="DB39" s="2412"/>
      <c r="DC39" s="2412"/>
      <c r="DD39" s="1579"/>
      <c r="DE39" s="1579"/>
      <c r="DF39" s="1579"/>
      <c r="DG39" s="1579"/>
      <c r="DH39" s="1579"/>
      <c r="DI39" s="1579"/>
      <c r="DJ39" s="1579"/>
      <c r="DK39" s="1579"/>
    </row>
    <row r="40" spans="1:115" s="1577" customFormat="1">
      <c r="A40" s="1494">
        <v>6</v>
      </c>
      <c r="B40" s="2400" t="s">
        <v>1641</v>
      </c>
      <c r="C40" s="2088" t="s">
        <v>296</v>
      </c>
      <c r="D40" s="2088" t="s">
        <v>638</v>
      </c>
      <c r="E40" s="2089">
        <v>1</v>
      </c>
      <c r="F40" s="2401"/>
      <c r="G40" s="1361">
        <v>60</v>
      </c>
      <c r="H40" s="2401"/>
      <c r="I40" s="2402"/>
      <c r="J40" s="2402"/>
      <c r="K40" s="2402"/>
      <c r="L40" s="1109"/>
      <c r="M40" s="1109"/>
      <c r="N40" s="1109"/>
      <c r="O40" s="1109"/>
      <c r="P40" s="1109"/>
      <c r="Q40" s="1109"/>
      <c r="R40" s="1109"/>
      <c r="S40" s="1109"/>
      <c r="T40" s="2401"/>
      <c r="U40" s="2402"/>
      <c r="V40" s="2402"/>
      <c r="W40" s="2402"/>
      <c r="X40" s="1109"/>
      <c r="Y40" s="1109"/>
      <c r="Z40" s="1109"/>
      <c r="AA40" s="1109"/>
      <c r="AB40" s="1109"/>
      <c r="AE40" s="2406"/>
      <c r="AF40" s="2406"/>
      <c r="AG40" s="2406"/>
      <c r="AH40" s="2406"/>
      <c r="AI40" s="2420">
        <f>AH79*(1+CH40)</f>
        <v>1738.9111114500004</v>
      </c>
      <c r="AJ40" s="2406"/>
      <c r="AK40" s="1108"/>
      <c r="AL40" s="2403"/>
      <c r="AM40" s="2403"/>
      <c r="AN40" s="2403"/>
      <c r="AO40" s="1108"/>
      <c r="AP40" s="1109"/>
      <c r="AQ40" s="1109"/>
      <c r="AR40" s="1109"/>
      <c r="AS40" s="1109"/>
      <c r="AT40" s="1109"/>
      <c r="AU40" s="1109"/>
      <c r="AV40" s="2409"/>
      <c r="AW40" s="2406"/>
      <c r="AX40" s="2406"/>
      <c r="AY40" s="2406"/>
      <c r="AZ40" s="2406">
        <v>25</v>
      </c>
      <c r="BA40" s="2406"/>
      <c r="BB40" s="1108"/>
      <c r="BC40" s="2402"/>
      <c r="BD40" s="2402"/>
      <c r="BE40" s="2402"/>
      <c r="BF40" s="1109"/>
      <c r="BG40" s="1109"/>
      <c r="BH40" s="1109"/>
      <c r="BI40" s="1109"/>
      <c r="BJ40" s="1109"/>
      <c r="BK40" s="1109"/>
      <c r="BL40" s="1109"/>
      <c r="BM40" s="2165"/>
      <c r="BN40" s="1109"/>
      <c r="BO40" s="1109"/>
      <c r="BP40" s="1109"/>
      <c r="BQ40" s="2414">
        <f>$E40*AI40*AZ40</f>
        <v>43472.777786250008</v>
      </c>
      <c r="BR40" s="1109"/>
      <c r="BS40" s="1109"/>
      <c r="BT40" s="2402"/>
      <c r="BU40" s="2402"/>
      <c r="BV40" s="2402"/>
      <c r="BW40" s="1109"/>
      <c r="BX40" s="1109"/>
      <c r="BY40" s="1109"/>
      <c r="BZ40" s="1109"/>
      <c r="CA40" s="1109"/>
      <c r="CB40" s="1109"/>
      <c r="CC40" s="1109"/>
      <c r="CD40" s="2407"/>
      <c r="CE40" s="1109"/>
      <c r="CF40" s="2407"/>
      <c r="CG40" s="2407"/>
      <c r="CH40" s="2407">
        <v>0.03</v>
      </c>
      <c r="CI40" s="2407"/>
      <c r="CJ40" s="1108"/>
      <c r="CK40" s="2402"/>
      <c r="CL40" s="2402"/>
      <c r="CM40" s="2402"/>
      <c r="CN40" s="1109"/>
      <c r="CO40" s="1109"/>
      <c r="CP40" s="1109"/>
      <c r="CQ40" s="1109"/>
      <c r="CR40" s="1109"/>
      <c r="CS40" s="1109"/>
      <c r="CT40" s="1109"/>
      <c r="CU40" s="1109"/>
      <c r="CV40" s="1109"/>
      <c r="CW40" s="1109"/>
      <c r="CX40" s="1109"/>
      <c r="CY40" s="1109"/>
      <c r="CZ40" s="1108"/>
      <c r="DA40" s="2402"/>
      <c r="DB40" s="2402"/>
      <c r="DC40" s="2402"/>
      <c r="DD40" s="1109"/>
      <c r="DE40" s="1109"/>
      <c r="DF40" s="1109"/>
      <c r="DG40" s="1109"/>
      <c r="DH40" s="1109"/>
      <c r="DI40" s="1109"/>
      <c r="DJ40" s="1109"/>
      <c r="DK40" s="1109"/>
    </row>
    <row r="41" spans="1:115" s="1577" customFormat="1">
      <c r="A41" s="1494">
        <v>2</v>
      </c>
      <c r="B41" s="2400" t="s">
        <v>1546</v>
      </c>
      <c r="C41" s="2088" t="s">
        <v>296</v>
      </c>
      <c r="D41" s="2088" t="s">
        <v>638</v>
      </c>
      <c r="E41" s="2089">
        <v>1</v>
      </c>
      <c r="F41" s="2401"/>
      <c r="G41" s="1361">
        <v>60</v>
      </c>
      <c r="H41" s="2401"/>
      <c r="I41" s="2402"/>
      <c r="J41" s="2402"/>
      <c r="K41" s="2402"/>
      <c r="L41" s="1109"/>
      <c r="M41" s="1109"/>
      <c r="N41" s="1109"/>
      <c r="O41" s="1109"/>
      <c r="P41" s="1109"/>
      <c r="Q41" s="1109"/>
      <c r="R41" s="1109"/>
      <c r="S41" s="1109"/>
      <c r="T41" s="2401"/>
      <c r="U41" s="2402"/>
      <c r="V41" s="2402"/>
      <c r="W41" s="2402"/>
      <c r="X41" s="1109"/>
      <c r="Y41" s="1109"/>
      <c r="Z41" s="1109"/>
      <c r="AA41" s="1109"/>
      <c r="AB41" s="1109"/>
      <c r="AE41" s="2406"/>
      <c r="AF41" s="2406"/>
      <c r="AG41" s="2406"/>
      <c r="AH41" s="2406"/>
      <c r="AI41" s="2420">
        <f>AH80*(1+CH41)</f>
        <v>1545</v>
      </c>
      <c r="AJ41" s="2406"/>
      <c r="AK41" s="1108"/>
      <c r="AL41" s="2403"/>
      <c r="AM41" s="2403"/>
      <c r="AN41" s="2403"/>
      <c r="AO41" s="1108"/>
      <c r="AP41" s="1109"/>
      <c r="AQ41" s="1109"/>
      <c r="AR41" s="1109"/>
      <c r="AS41" s="1109"/>
      <c r="AT41" s="1109"/>
      <c r="AU41" s="1109"/>
      <c r="AV41" s="2409"/>
      <c r="AW41" s="2406"/>
      <c r="AX41" s="2406"/>
      <c r="AY41" s="2406"/>
      <c r="AZ41" s="2406">
        <v>23</v>
      </c>
      <c r="BA41" s="2406"/>
      <c r="BB41" s="1108"/>
      <c r="BC41" s="2402"/>
      <c r="BD41" s="2402"/>
      <c r="BE41" s="2402"/>
      <c r="BF41" s="1109"/>
      <c r="BG41" s="1109"/>
      <c r="BH41" s="1109"/>
      <c r="BI41" s="1109"/>
      <c r="BJ41" s="1109"/>
      <c r="BK41" s="1109"/>
      <c r="BL41" s="1109"/>
      <c r="BM41" s="2165"/>
      <c r="BN41" s="1109"/>
      <c r="BO41" s="1109"/>
      <c r="BP41" s="1109"/>
      <c r="BQ41" s="2414">
        <f>$E41*AI41*AZ41</f>
        <v>35535</v>
      </c>
      <c r="BR41" s="1109"/>
      <c r="BS41" s="1109"/>
      <c r="BT41" s="2402"/>
      <c r="BU41" s="2402"/>
      <c r="BV41" s="2402"/>
      <c r="BW41" s="1109"/>
      <c r="BX41" s="1109"/>
      <c r="BY41" s="1109"/>
      <c r="BZ41" s="1109"/>
      <c r="CA41" s="1109"/>
      <c r="CB41" s="1109"/>
      <c r="CC41" s="1109"/>
      <c r="CD41" s="2407"/>
      <c r="CE41" s="1109"/>
      <c r="CF41" s="2407"/>
      <c r="CG41" s="2407"/>
      <c r="CH41" s="2407">
        <v>0.03</v>
      </c>
      <c r="CI41" s="2407"/>
      <c r="CJ41" s="1108"/>
      <c r="CK41" s="2402"/>
      <c r="CL41" s="2402"/>
      <c r="CM41" s="2402"/>
      <c r="CN41" s="1109"/>
      <c r="CO41" s="1109"/>
      <c r="CP41" s="1109"/>
      <c r="CQ41" s="1109"/>
      <c r="CR41" s="1109"/>
      <c r="CS41" s="1109"/>
      <c r="CT41" s="1109"/>
      <c r="CU41" s="1109"/>
      <c r="CV41" s="1109"/>
      <c r="CW41" s="1109"/>
      <c r="CX41" s="1109"/>
      <c r="CY41" s="1109"/>
      <c r="CZ41" s="1108"/>
      <c r="DA41" s="2402"/>
      <c r="DB41" s="2402"/>
      <c r="DC41" s="2402"/>
      <c r="DD41" s="1109"/>
      <c r="DE41" s="1109"/>
      <c r="DF41" s="1109"/>
      <c r="DG41" s="1109"/>
      <c r="DH41" s="1109"/>
      <c r="DI41" s="1109"/>
      <c r="DJ41" s="1109"/>
      <c r="DK41" s="1109"/>
    </row>
    <row r="42" spans="1:115" s="1577" customFormat="1">
      <c r="A42" s="1494">
        <v>13</v>
      </c>
      <c r="B42" s="2400" t="s">
        <v>920</v>
      </c>
      <c r="C42" s="2088" t="s">
        <v>296</v>
      </c>
      <c r="D42" s="2088" t="s">
        <v>638</v>
      </c>
      <c r="E42" s="2089">
        <v>1</v>
      </c>
      <c r="F42" s="1359"/>
      <c r="G42" s="1361">
        <v>60</v>
      </c>
      <c r="H42" s="2401"/>
      <c r="I42" s="2402"/>
      <c r="J42" s="2402"/>
      <c r="K42" s="2402"/>
      <c r="L42" s="1109"/>
      <c r="M42" s="1109"/>
      <c r="N42" s="1109"/>
      <c r="O42" s="1109"/>
      <c r="P42" s="1109"/>
      <c r="Q42" s="1109"/>
      <c r="R42" s="1109"/>
      <c r="S42" s="1109"/>
      <c r="T42" s="2401"/>
      <c r="U42" s="2402"/>
      <c r="V42" s="2402"/>
      <c r="W42" s="2402"/>
      <c r="X42" s="1109"/>
      <c r="Y42" s="1109"/>
      <c r="Z42" s="1109"/>
      <c r="AA42" s="1109"/>
      <c r="AB42" s="1109"/>
      <c r="AE42" s="2406"/>
      <c r="AF42" s="2406"/>
      <c r="AG42" s="2406"/>
      <c r="AH42" s="2406"/>
      <c r="AI42" s="2420">
        <f>AH82*(1+CH42)</f>
        <v>3388.6099677118737</v>
      </c>
      <c r="AJ42" s="2406"/>
      <c r="AK42" s="1108"/>
      <c r="AL42" s="2403"/>
      <c r="AM42" s="2403"/>
      <c r="AN42" s="2403"/>
      <c r="AO42" s="1108"/>
      <c r="AP42" s="1109"/>
      <c r="AQ42" s="1109"/>
      <c r="AR42" s="1109"/>
      <c r="AS42" s="1109"/>
      <c r="AT42" s="1109"/>
      <c r="AU42" s="1109"/>
      <c r="AV42" s="2409"/>
      <c r="AW42" s="2406"/>
      <c r="AX42" s="2406"/>
      <c r="AY42" s="2406"/>
      <c r="AZ42" s="2406">
        <v>24</v>
      </c>
      <c r="BA42" s="2406"/>
      <c r="BB42" s="1108"/>
      <c r="BC42" s="2402"/>
      <c r="BD42" s="2402"/>
      <c r="BE42" s="2402"/>
      <c r="BF42" s="1109"/>
      <c r="BG42" s="1109"/>
      <c r="BH42" s="1109"/>
      <c r="BI42" s="1109"/>
      <c r="BJ42" s="1109"/>
      <c r="BK42" s="1109"/>
      <c r="BL42" s="1109"/>
      <c r="BM42" s="2165"/>
      <c r="BN42" s="1109"/>
      <c r="BO42" s="1109"/>
      <c r="BP42" s="1109"/>
      <c r="BQ42" s="2414">
        <f>$E42*AI42*AZ42</f>
        <v>81326.639225084975</v>
      </c>
      <c r="BR42" s="1109"/>
      <c r="BS42" s="1109"/>
      <c r="BT42" s="2402"/>
      <c r="BU42" s="2402"/>
      <c r="BV42" s="2402"/>
      <c r="BW42" s="1109"/>
      <c r="BX42" s="1109"/>
      <c r="BY42" s="1109"/>
      <c r="BZ42" s="1109"/>
      <c r="CA42" s="1109"/>
      <c r="CB42" s="1109"/>
      <c r="CC42" s="1109"/>
      <c r="CD42" s="2407"/>
      <c r="CE42" s="1109"/>
      <c r="CF42" s="2407"/>
      <c r="CG42" s="2407"/>
      <c r="CH42" s="2407">
        <v>0.03</v>
      </c>
      <c r="CI42" s="2407"/>
      <c r="CJ42" s="1108"/>
      <c r="CK42" s="2402"/>
      <c r="CL42" s="2402"/>
      <c r="CM42" s="2402"/>
      <c r="CN42" s="1109"/>
      <c r="CO42" s="1109"/>
      <c r="CP42" s="1109"/>
      <c r="CQ42" s="1109"/>
      <c r="CR42" s="1109"/>
      <c r="CS42" s="1109"/>
      <c r="CT42" s="1109"/>
      <c r="CU42" s="1109"/>
      <c r="CV42" s="1109"/>
      <c r="CW42" s="1109"/>
      <c r="CX42" s="1109"/>
      <c r="CY42" s="1109"/>
      <c r="CZ42" s="1108"/>
      <c r="DA42" s="2402"/>
      <c r="DB42" s="2402"/>
      <c r="DC42" s="2402"/>
      <c r="DD42" s="1109"/>
      <c r="DE42" s="1109"/>
      <c r="DF42" s="1109"/>
      <c r="DG42" s="1109"/>
      <c r="DH42" s="1109"/>
      <c r="DI42" s="1109"/>
      <c r="DJ42" s="1109"/>
      <c r="DK42" s="1109"/>
    </row>
    <row r="43" spans="1:115" s="1577" customFormat="1">
      <c r="A43" s="1494">
        <v>7</v>
      </c>
      <c r="B43" s="2400" t="s">
        <v>1644</v>
      </c>
      <c r="C43" s="2088" t="s">
        <v>296</v>
      </c>
      <c r="D43" s="2088" t="s">
        <v>638</v>
      </c>
      <c r="E43" s="2089">
        <v>1</v>
      </c>
      <c r="F43" s="1359"/>
      <c r="G43" s="1361">
        <v>60</v>
      </c>
      <c r="H43" s="2401"/>
      <c r="I43" s="2402"/>
      <c r="J43" s="2402"/>
      <c r="K43" s="2402"/>
      <c r="L43" s="1109"/>
      <c r="M43" s="1109"/>
      <c r="N43" s="1109"/>
      <c r="O43" s="1109"/>
      <c r="P43" s="1109"/>
      <c r="Q43" s="1109"/>
      <c r="R43" s="1109"/>
      <c r="S43" s="1109"/>
      <c r="T43" s="2401"/>
      <c r="U43" s="2402"/>
      <c r="V43" s="2402"/>
      <c r="W43" s="2402"/>
      <c r="X43" s="1109"/>
      <c r="Y43" s="1109"/>
      <c r="Z43" s="1109"/>
      <c r="AA43" s="1109"/>
      <c r="AB43" s="1109"/>
      <c r="AE43" s="2406"/>
      <c r="AF43" s="2406"/>
      <c r="AG43" s="2406"/>
      <c r="AH43" s="2406"/>
      <c r="AI43" s="2420">
        <f>AH83*(1+CH43)</f>
        <v>2985.1307413224999</v>
      </c>
      <c r="AJ43" s="2406"/>
      <c r="AK43" s="1108"/>
      <c r="AL43" s="2403"/>
      <c r="AM43" s="2403"/>
      <c r="AN43" s="2403"/>
      <c r="AO43" s="1108"/>
      <c r="AP43" s="1109"/>
      <c r="AQ43" s="1109"/>
      <c r="AR43" s="1109"/>
      <c r="AS43" s="1109"/>
      <c r="AT43" s="1109"/>
      <c r="AU43" s="1109"/>
      <c r="AV43" s="2409"/>
      <c r="AW43" s="2406"/>
      <c r="AX43" s="2406"/>
      <c r="AY43" s="2406"/>
      <c r="AZ43" s="2406">
        <v>24</v>
      </c>
      <c r="BA43" s="2406"/>
      <c r="BB43" s="1108"/>
      <c r="BC43" s="2402"/>
      <c r="BD43" s="2402"/>
      <c r="BE43" s="2402"/>
      <c r="BF43" s="1109"/>
      <c r="BG43" s="1109"/>
      <c r="BH43" s="1109"/>
      <c r="BI43" s="1109"/>
      <c r="BJ43" s="1109"/>
      <c r="BK43" s="1109"/>
      <c r="BL43" s="1109"/>
      <c r="BM43" s="2165"/>
      <c r="BN43" s="1109"/>
      <c r="BO43" s="1109"/>
      <c r="BP43" s="1109"/>
      <c r="BQ43" s="2414">
        <f>$E43*AI43*AZ43</f>
        <v>71643.137791739995</v>
      </c>
      <c r="BR43" s="1109"/>
      <c r="BS43" s="1109"/>
      <c r="BT43" s="2402"/>
      <c r="BU43" s="2402"/>
      <c r="BV43" s="2402"/>
      <c r="BW43" s="1109"/>
      <c r="BX43" s="1109"/>
      <c r="BY43" s="1109"/>
      <c r="BZ43" s="1109"/>
      <c r="CA43" s="1109"/>
      <c r="CB43" s="1109"/>
      <c r="CC43" s="1109"/>
      <c r="CD43" s="2407"/>
      <c r="CE43" s="1109"/>
      <c r="CF43" s="2407"/>
      <c r="CG43" s="2407"/>
      <c r="CH43" s="2407">
        <v>0.03</v>
      </c>
      <c r="CI43" s="2407"/>
      <c r="CJ43" s="1108"/>
      <c r="CK43" s="2402"/>
      <c r="CL43" s="2402"/>
      <c r="CM43" s="2402"/>
      <c r="CN43" s="1109"/>
      <c r="CO43" s="1109"/>
      <c r="CP43" s="1109"/>
      <c r="CQ43" s="1109"/>
      <c r="CR43" s="1109"/>
      <c r="CS43" s="1109"/>
      <c r="CT43" s="1109"/>
      <c r="CU43" s="1109"/>
      <c r="CV43" s="1109"/>
      <c r="CW43" s="1109"/>
      <c r="CX43" s="1109"/>
      <c r="CY43" s="1109"/>
      <c r="CZ43" s="1108"/>
      <c r="DA43" s="2402"/>
      <c r="DB43" s="2402"/>
      <c r="DC43" s="2402"/>
      <c r="DD43" s="1109"/>
      <c r="DE43" s="1109"/>
      <c r="DF43" s="1109"/>
      <c r="DG43" s="1109"/>
      <c r="DH43" s="1109"/>
      <c r="DI43" s="1109"/>
      <c r="DJ43" s="1109"/>
      <c r="DK43" s="1109"/>
    </row>
    <row r="44" spans="1:115" s="1577" customFormat="1">
      <c r="A44" s="1494">
        <v>2</v>
      </c>
      <c r="B44" s="2400" t="s">
        <v>1645</v>
      </c>
      <c r="C44" s="2088" t="s">
        <v>296</v>
      </c>
      <c r="D44" s="2088" t="s">
        <v>638</v>
      </c>
      <c r="E44" s="2089">
        <v>1</v>
      </c>
      <c r="F44" s="1359"/>
      <c r="G44" s="1361">
        <v>60</v>
      </c>
      <c r="H44" s="2401"/>
      <c r="I44" s="2402"/>
      <c r="J44" s="2402"/>
      <c r="K44" s="2402"/>
      <c r="L44" s="1109"/>
      <c r="M44" s="1109"/>
      <c r="N44" s="1109"/>
      <c r="O44" s="1109"/>
      <c r="P44" s="1109"/>
      <c r="Q44" s="1109"/>
      <c r="R44" s="1109"/>
      <c r="S44" s="1109"/>
      <c r="T44" s="2401"/>
      <c r="U44" s="2402"/>
      <c r="V44" s="2402"/>
      <c r="W44" s="2402"/>
      <c r="X44" s="1109"/>
      <c r="Y44" s="1109"/>
      <c r="Z44" s="1109"/>
      <c r="AA44" s="1109"/>
      <c r="AB44" s="1109"/>
      <c r="AE44" s="2406"/>
      <c r="AF44" s="2406"/>
      <c r="AG44" s="2406"/>
      <c r="AH44" s="2406"/>
      <c r="AI44" s="2420">
        <f>AH84*(1+CH44)</f>
        <v>1545</v>
      </c>
      <c r="AJ44" s="2406"/>
      <c r="AK44" s="1108"/>
      <c r="AL44" s="2403"/>
      <c r="AM44" s="2403"/>
      <c r="AN44" s="2403"/>
      <c r="AO44" s="1108"/>
      <c r="AP44" s="1109"/>
      <c r="AQ44" s="1109"/>
      <c r="AR44" s="1109"/>
      <c r="AS44" s="1109"/>
      <c r="AT44" s="1109"/>
      <c r="AU44" s="1109"/>
      <c r="AV44" s="2409"/>
      <c r="AW44" s="2406"/>
      <c r="AX44" s="2406"/>
      <c r="AY44" s="2406"/>
      <c r="AZ44" s="2406">
        <v>24</v>
      </c>
      <c r="BA44" s="2406"/>
      <c r="BB44" s="1108"/>
      <c r="BC44" s="2402"/>
      <c r="BD44" s="2402"/>
      <c r="BE44" s="2402"/>
      <c r="BF44" s="1109"/>
      <c r="BG44" s="1109"/>
      <c r="BH44" s="1109"/>
      <c r="BI44" s="1109"/>
      <c r="BJ44" s="1109"/>
      <c r="BK44" s="1109"/>
      <c r="BL44" s="1109"/>
      <c r="BM44" s="2165"/>
      <c r="BN44" s="1109"/>
      <c r="BO44" s="1109"/>
      <c r="BP44" s="1109"/>
      <c r="BQ44" s="2414">
        <f>$E44*AI44*AZ44</f>
        <v>37080</v>
      </c>
      <c r="BR44" s="1109"/>
      <c r="BS44" s="1109"/>
      <c r="BT44" s="2402"/>
      <c r="BU44" s="2402"/>
      <c r="BV44" s="2402"/>
      <c r="BW44" s="1109"/>
      <c r="BX44" s="1109"/>
      <c r="BY44" s="1109"/>
      <c r="BZ44" s="1109"/>
      <c r="CA44" s="1109"/>
      <c r="CB44" s="1109"/>
      <c r="CC44" s="1109"/>
      <c r="CD44" s="2407"/>
      <c r="CE44" s="1109"/>
      <c r="CF44" s="2407"/>
      <c r="CG44" s="2407"/>
      <c r="CH44" s="2407">
        <v>0.03</v>
      </c>
      <c r="CI44" s="2407"/>
      <c r="CJ44" s="1108"/>
      <c r="CK44" s="2402"/>
      <c r="CL44" s="2402"/>
      <c r="CM44" s="2402"/>
      <c r="CN44" s="1109"/>
      <c r="CO44" s="1109"/>
      <c r="CP44" s="1109"/>
      <c r="CQ44" s="1109"/>
      <c r="CR44" s="1109"/>
      <c r="CS44" s="1109"/>
      <c r="CT44" s="1109"/>
      <c r="CU44" s="1109"/>
      <c r="CV44" s="1109"/>
      <c r="CW44" s="1109"/>
      <c r="CX44" s="1109"/>
      <c r="CY44" s="1109"/>
      <c r="CZ44" s="1108"/>
      <c r="DA44" s="2402"/>
      <c r="DB44" s="2402"/>
      <c r="DC44" s="2402"/>
      <c r="DD44" s="1109"/>
      <c r="DE44" s="1109"/>
      <c r="DF44" s="1109"/>
      <c r="DG44" s="1109"/>
      <c r="DH44" s="1109"/>
      <c r="DI44" s="1109"/>
      <c r="DJ44" s="1109"/>
      <c r="DK44" s="1109"/>
    </row>
    <row r="45" spans="1:115" s="1577" customFormat="1">
      <c r="A45" s="1494">
        <v>2</v>
      </c>
      <c r="B45" s="2400" t="s">
        <v>1646</v>
      </c>
      <c r="C45" s="2088" t="s">
        <v>296</v>
      </c>
      <c r="D45" s="2088" t="s">
        <v>638</v>
      </c>
      <c r="E45" s="2089">
        <v>1</v>
      </c>
      <c r="F45" s="2401"/>
      <c r="G45" s="1361">
        <v>30</v>
      </c>
      <c r="H45" s="2401"/>
      <c r="I45" s="2402"/>
      <c r="J45" s="2402"/>
      <c r="K45" s="2402"/>
      <c r="L45" s="1109"/>
      <c r="M45" s="1109"/>
      <c r="N45" s="1109"/>
      <c r="O45" s="1109"/>
      <c r="P45" s="1109"/>
      <c r="Q45" s="1109"/>
      <c r="R45" s="1109"/>
      <c r="S45" s="1109"/>
      <c r="T45" s="2401"/>
      <c r="U45" s="2402"/>
      <c r="V45" s="2402"/>
      <c r="W45" s="2402"/>
      <c r="X45" s="1109"/>
      <c r="Y45" s="1109"/>
      <c r="Z45" s="1109"/>
      <c r="AA45" s="1109"/>
      <c r="AB45" s="1109"/>
      <c r="AE45" s="2406"/>
      <c r="AF45" s="2406"/>
      <c r="AG45" s="2406"/>
      <c r="AH45" s="2406"/>
      <c r="AI45" s="2420">
        <f>AH85*(1+CH45)</f>
        <v>1545</v>
      </c>
      <c r="AJ45" s="2406"/>
      <c r="AK45" s="1108"/>
      <c r="AL45" s="2403"/>
      <c r="AM45" s="2403"/>
      <c r="AN45" s="2403"/>
      <c r="AO45" s="1108"/>
      <c r="AP45" s="1109"/>
      <c r="AQ45" s="1109"/>
      <c r="AR45" s="1109"/>
      <c r="AS45" s="1109"/>
      <c r="AT45" s="1109"/>
      <c r="AU45" s="1109"/>
      <c r="AV45" s="2409"/>
      <c r="AW45" s="2406"/>
      <c r="AX45" s="2406"/>
      <c r="AY45" s="2406"/>
      <c r="AZ45" s="2406">
        <v>13</v>
      </c>
      <c r="BA45" s="2406"/>
      <c r="BB45" s="1108"/>
      <c r="BC45" s="2402"/>
      <c r="BD45" s="2402"/>
      <c r="BE45" s="2402"/>
      <c r="BF45" s="1109"/>
      <c r="BG45" s="1109"/>
      <c r="BH45" s="1109"/>
      <c r="BI45" s="1109"/>
      <c r="BJ45" s="1109"/>
      <c r="BK45" s="1109"/>
      <c r="BL45" s="1109"/>
      <c r="BM45" s="2165"/>
      <c r="BN45" s="1109"/>
      <c r="BO45" s="1109"/>
      <c r="BP45" s="1109"/>
      <c r="BQ45" s="2414">
        <f t="shared" si="5"/>
        <v>20085</v>
      </c>
      <c r="BR45" s="1109"/>
      <c r="BS45" s="1109"/>
      <c r="BT45" s="2402"/>
      <c r="BU45" s="2402"/>
      <c r="BV45" s="2402"/>
      <c r="BW45" s="1109"/>
      <c r="BX45" s="1109"/>
      <c r="BY45" s="1109"/>
      <c r="BZ45" s="1109"/>
      <c r="CA45" s="1109"/>
      <c r="CB45" s="1109"/>
      <c r="CC45" s="1109"/>
      <c r="CD45" s="2407"/>
      <c r="CE45" s="1109"/>
      <c r="CF45" s="2407"/>
      <c r="CG45" s="2407"/>
      <c r="CH45" s="2407">
        <v>0.03</v>
      </c>
      <c r="CI45" s="2407"/>
      <c r="CJ45" s="1108"/>
      <c r="CK45" s="2402"/>
      <c r="CL45" s="2402"/>
      <c r="CM45" s="2402"/>
      <c r="CN45" s="1109"/>
      <c r="CO45" s="1109"/>
      <c r="CP45" s="1109"/>
      <c r="CQ45" s="1109"/>
      <c r="CR45" s="1109"/>
      <c r="CS45" s="1109"/>
      <c r="CT45" s="1109"/>
      <c r="CU45" s="1109"/>
      <c r="CV45" s="1109"/>
      <c r="CW45" s="1109"/>
      <c r="CX45" s="1109"/>
      <c r="CY45" s="1109"/>
      <c r="CZ45" s="1108"/>
      <c r="DA45" s="2402"/>
      <c r="DB45" s="2402"/>
      <c r="DC45" s="2402"/>
      <c r="DD45" s="1109"/>
      <c r="DE45" s="1109"/>
      <c r="DF45" s="1109"/>
      <c r="DG45" s="1109"/>
      <c r="DH45" s="1109"/>
      <c r="DI45" s="1109"/>
      <c r="DJ45" s="1109"/>
      <c r="DK45" s="1109"/>
    </row>
    <row r="46" spans="1:115" s="1577" customFormat="1">
      <c r="A46" s="1494">
        <v>2</v>
      </c>
      <c r="B46" s="2400" t="s">
        <v>1647</v>
      </c>
      <c r="C46" s="2088" t="s">
        <v>296</v>
      </c>
      <c r="D46" s="2088" t="s">
        <v>638</v>
      </c>
      <c r="E46" s="2089">
        <v>1</v>
      </c>
      <c r="F46" s="2401"/>
      <c r="G46" s="1361">
        <v>60</v>
      </c>
      <c r="H46" s="2401"/>
      <c r="I46" s="2402"/>
      <c r="J46" s="2402"/>
      <c r="K46" s="2402"/>
      <c r="L46" s="1109"/>
      <c r="M46" s="1109"/>
      <c r="N46" s="1109"/>
      <c r="O46" s="1109"/>
      <c r="P46" s="1109"/>
      <c r="Q46" s="1109"/>
      <c r="R46" s="1109"/>
      <c r="S46" s="1109"/>
      <c r="T46" s="2401"/>
      <c r="U46" s="2402"/>
      <c r="V46" s="2402"/>
      <c r="W46" s="2402"/>
      <c r="X46" s="1109"/>
      <c r="Y46" s="1109"/>
      <c r="Z46" s="1109"/>
      <c r="AA46" s="1109"/>
      <c r="AB46" s="1109"/>
      <c r="AE46" s="2406"/>
      <c r="AF46" s="2406"/>
      <c r="AG46" s="2406"/>
      <c r="AH46" s="2406"/>
      <c r="AI46" s="2420">
        <f>AH86*(1+CH46)</f>
        <v>2060</v>
      </c>
      <c r="AJ46" s="2406"/>
      <c r="AK46" s="1108"/>
      <c r="AL46" s="2403"/>
      <c r="AM46" s="2403"/>
      <c r="AN46" s="2403"/>
      <c r="AO46" s="1108"/>
      <c r="AP46" s="1109"/>
      <c r="AQ46" s="1109"/>
      <c r="AR46" s="1109"/>
      <c r="AS46" s="1109"/>
      <c r="AT46" s="1109"/>
      <c r="AU46" s="1109"/>
      <c r="AV46" s="2409"/>
      <c r="AW46" s="2406"/>
      <c r="AX46" s="2406"/>
      <c r="AY46" s="2406"/>
      <c r="AZ46" s="2406">
        <v>24</v>
      </c>
      <c r="BA46" s="2406"/>
      <c r="BB46" s="1108"/>
      <c r="BC46" s="2402"/>
      <c r="BD46" s="2402"/>
      <c r="BE46" s="2402"/>
      <c r="BF46" s="1109"/>
      <c r="BG46" s="1109"/>
      <c r="BH46" s="1109"/>
      <c r="BI46" s="1109"/>
      <c r="BJ46" s="1109"/>
      <c r="BK46" s="1109"/>
      <c r="BL46" s="1109"/>
      <c r="BM46" s="2165"/>
      <c r="BN46" s="1109"/>
      <c r="BO46" s="1109"/>
      <c r="BP46" s="1109"/>
      <c r="BQ46" s="2414">
        <f t="shared" ref="BQ46:BQ52" si="6">$E46*AI46*AZ46</f>
        <v>49440</v>
      </c>
      <c r="BR46" s="1109"/>
      <c r="BS46" s="1109"/>
      <c r="BT46" s="2402"/>
      <c r="BU46" s="2402"/>
      <c r="BV46" s="2402"/>
      <c r="BW46" s="1109"/>
      <c r="BX46" s="1109"/>
      <c r="BY46" s="1109"/>
      <c r="BZ46" s="1109"/>
      <c r="CA46" s="1109"/>
      <c r="CB46" s="1109"/>
      <c r="CC46" s="1109"/>
      <c r="CD46" s="2407"/>
      <c r="CE46" s="1109"/>
      <c r="CF46" s="2407"/>
      <c r="CG46" s="2407"/>
      <c r="CH46" s="2407">
        <v>0.03</v>
      </c>
      <c r="CI46" s="2407"/>
      <c r="CJ46" s="1108"/>
      <c r="CK46" s="2402"/>
      <c r="CL46" s="2402"/>
      <c r="CM46" s="2402"/>
      <c r="CN46" s="1109"/>
      <c r="CO46" s="1109"/>
      <c r="CP46" s="1109"/>
      <c r="CQ46" s="1109"/>
      <c r="CR46" s="1109"/>
      <c r="CS46" s="1109"/>
      <c r="CT46" s="1109"/>
      <c r="CU46" s="1109"/>
      <c r="CV46" s="1109"/>
      <c r="CW46" s="1109"/>
      <c r="CX46" s="1109"/>
      <c r="CY46" s="1109"/>
      <c r="CZ46" s="1108"/>
      <c r="DA46" s="2402"/>
      <c r="DB46" s="2402"/>
      <c r="DC46" s="2402"/>
      <c r="DD46" s="1109"/>
      <c r="DE46" s="1109"/>
      <c r="DF46" s="1109"/>
      <c r="DG46" s="1109"/>
      <c r="DH46" s="1109"/>
      <c r="DI46" s="1109"/>
      <c r="DJ46" s="1109"/>
      <c r="DK46" s="1109"/>
    </row>
    <row r="47" spans="1:115" s="1577" customFormat="1">
      <c r="A47" s="1494">
        <v>4</v>
      </c>
      <c r="B47" s="2400" t="s">
        <v>294</v>
      </c>
      <c r="C47" s="1108" t="s">
        <v>303</v>
      </c>
      <c r="D47" s="2400" t="s">
        <v>277</v>
      </c>
      <c r="E47" s="2089">
        <v>0.5</v>
      </c>
      <c r="F47" s="1359"/>
      <c r="G47" s="1361">
        <v>60</v>
      </c>
      <c r="H47" s="2401"/>
      <c r="I47" s="2402"/>
      <c r="J47" s="2402"/>
      <c r="K47" s="2402"/>
      <c r="L47" s="1109"/>
      <c r="M47" s="1109"/>
      <c r="N47" s="1109"/>
      <c r="O47" s="1109"/>
      <c r="P47" s="1109"/>
      <c r="Q47" s="1109"/>
      <c r="R47" s="1109"/>
      <c r="S47" s="1109"/>
      <c r="T47" s="2401"/>
      <c r="U47" s="2402"/>
      <c r="V47" s="2402"/>
      <c r="W47" s="2402"/>
      <c r="X47" s="1109"/>
      <c r="Y47" s="1109"/>
      <c r="Z47" s="1109"/>
      <c r="AA47" s="1109"/>
      <c r="AB47" s="1109"/>
      <c r="AE47" s="2406"/>
      <c r="AF47" s="2406"/>
      <c r="AG47" s="2406"/>
      <c r="AH47" s="2406"/>
      <c r="AI47" s="2420">
        <f>AH88*(1+CH47)</f>
        <v>1639.0905000000002</v>
      </c>
      <c r="AJ47" s="2406"/>
      <c r="AK47" s="1108"/>
      <c r="AL47" s="2403"/>
      <c r="AM47" s="2403"/>
      <c r="AN47" s="2403"/>
      <c r="AO47" s="1108"/>
      <c r="AP47" s="1109"/>
      <c r="AQ47" s="1109"/>
      <c r="AR47" s="1109"/>
      <c r="AS47" s="1109"/>
      <c r="AT47" s="1109"/>
      <c r="AU47" s="1109"/>
      <c r="AV47" s="2409"/>
      <c r="AW47" s="2406"/>
      <c r="AX47" s="2406"/>
      <c r="AY47" s="2406"/>
      <c r="AZ47" s="2406">
        <v>13</v>
      </c>
      <c r="BA47" s="2406"/>
      <c r="BB47" s="1108"/>
      <c r="BC47" s="2402"/>
      <c r="BD47" s="2402"/>
      <c r="BE47" s="2402"/>
      <c r="BF47" s="1109"/>
      <c r="BG47" s="1109"/>
      <c r="BH47" s="1109"/>
      <c r="BI47" s="1109"/>
      <c r="BJ47" s="1109"/>
      <c r="BK47" s="1109"/>
      <c r="BL47" s="1109"/>
      <c r="BM47" s="2165"/>
      <c r="BN47" s="1109"/>
      <c r="BO47" s="1109"/>
      <c r="BP47" s="1109"/>
      <c r="BQ47" s="2414">
        <f t="shared" si="6"/>
        <v>10654.088250000001</v>
      </c>
      <c r="BR47" s="1109"/>
      <c r="BS47" s="1109"/>
      <c r="BT47" s="2402"/>
      <c r="BU47" s="2402"/>
      <c r="BV47" s="2402"/>
      <c r="BW47" s="1109"/>
      <c r="BX47" s="1109"/>
      <c r="BY47" s="1109"/>
      <c r="BZ47" s="1109"/>
      <c r="CA47" s="1109"/>
      <c r="CB47" s="1109"/>
      <c r="CC47" s="1109"/>
      <c r="CD47" s="2407"/>
      <c r="CE47" s="1109"/>
      <c r="CF47" s="2407"/>
      <c r="CG47" s="2407"/>
      <c r="CH47" s="2407">
        <v>0.03</v>
      </c>
      <c r="CI47" s="2407"/>
      <c r="CJ47" s="1108"/>
      <c r="CK47" s="2402"/>
      <c r="CL47" s="2402"/>
      <c r="CM47" s="2402"/>
      <c r="CN47" s="1109"/>
      <c r="CO47" s="1109"/>
      <c r="CP47" s="1109"/>
      <c r="CQ47" s="1109"/>
      <c r="CR47" s="1109"/>
      <c r="CS47" s="1109"/>
      <c r="CT47" s="1109"/>
      <c r="CU47" s="1109"/>
      <c r="CV47" s="1109"/>
      <c r="CW47" s="1109"/>
      <c r="CX47" s="1109"/>
      <c r="CY47" s="1109"/>
      <c r="CZ47" s="1108"/>
      <c r="DA47" s="2402"/>
      <c r="DB47" s="2402"/>
      <c r="DC47" s="2402"/>
      <c r="DD47" s="1109"/>
      <c r="DE47" s="1109"/>
      <c r="DF47" s="1109"/>
      <c r="DG47" s="1109"/>
      <c r="DH47" s="1109"/>
      <c r="DI47" s="1109"/>
      <c r="DJ47" s="1109"/>
      <c r="DK47" s="1109"/>
    </row>
    <row r="48" spans="1:115" s="1577" customFormat="1">
      <c r="A48" s="1494">
        <v>3</v>
      </c>
      <c r="B48" s="2400" t="s">
        <v>1575</v>
      </c>
      <c r="C48" s="2400" t="s">
        <v>1666</v>
      </c>
      <c r="D48" s="2400" t="s">
        <v>595</v>
      </c>
      <c r="E48" s="2089">
        <v>0.5</v>
      </c>
      <c r="F48" s="2401"/>
      <c r="G48" s="1361">
        <v>60</v>
      </c>
      <c r="H48" s="2401"/>
      <c r="I48" s="2402"/>
      <c r="J48" s="2402"/>
      <c r="K48" s="2402"/>
      <c r="L48" s="1109"/>
      <c r="M48" s="1109"/>
      <c r="N48" s="1109"/>
      <c r="O48" s="1109"/>
      <c r="P48" s="1109"/>
      <c r="Q48" s="1109"/>
      <c r="R48" s="1109"/>
      <c r="S48" s="1109"/>
      <c r="T48" s="2401"/>
      <c r="U48" s="2402"/>
      <c r="V48" s="2402"/>
      <c r="W48" s="2402"/>
      <c r="X48" s="1109"/>
      <c r="Y48" s="1109"/>
      <c r="Z48" s="1109"/>
      <c r="AA48" s="1109"/>
      <c r="AB48" s="1109"/>
      <c r="AE48" s="2406"/>
      <c r="AF48" s="2406"/>
      <c r="AG48" s="2406"/>
      <c r="AH48" s="2406"/>
      <c r="AI48" s="2420">
        <f>AH89*(1+CH48)</f>
        <v>1060.9000000000001</v>
      </c>
      <c r="AJ48" s="2406"/>
      <c r="AK48" s="1108"/>
      <c r="AL48" s="2403"/>
      <c r="AM48" s="2403"/>
      <c r="AN48" s="2403"/>
      <c r="AO48" s="1108"/>
      <c r="AP48" s="1109"/>
      <c r="AQ48" s="1109"/>
      <c r="AR48" s="1109"/>
      <c r="AS48" s="1109"/>
      <c r="AT48" s="1109"/>
      <c r="AU48" s="1109"/>
      <c r="AV48" s="2409"/>
      <c r="AW48" s="2406"/>
      <c r="AX48" s="2406"/>
      <c r="AY48" s="2406"/>
      <c r="AZ48" s="2406">
        <v>16</v>
      </c>
      <c r="BA48" s="2406"/>
      <c r="BB48" s="1108"/>
      <c r="BC48" s="2402"/>
      <c r="BD48" s="2402"/>
      <c r="BE48" s="2402"/>
      <c r="BF48" s="1109"/>
      <c r="BG48" s="1109"/>
      <c r="BH48" s="1109"/>
      <c r="BI48" s="1109"/>
      <c r="BJ48" s="1109"/>
      <c r="BK48" s="1109"/>
      <c r="BL48" s="1109"/>
      <c r="BM48" s="2165"/>
      <c r="BN48" s="1109"/>
      <c r="BO48" s="1109"/>
      <c r="BP48" s="1109"/>
      <c r="BQ48" s="2414">
        <f t="shared" si="6"/>
        <v>8487.2000000000007</v>
      </c>
      <c r="BR48" s="1109"/>
      <c r="BS48" s="1109"/>
      <c r="BT48" s="2402"/>
      <c r="BU48" s="2402"/>
      <c r="BV48" s="2402"/>
      <c r="BW48" s="1109"/>
      <c r="BX48" s="1109"/>
      <c r="BY48" s="1109"/>
      <c r="BZ48" s="1109"/>
      <c r="CA48" s="1109"/>
      <c r="CB48" s="1109"/>
      <c r="CC48" s="1109"/>
      <c r="CD48" s="2407"/>
      <c r="CE48" s="1109"/>
      <c r="CF48" s="2407"/>
      <c r="CG48" s="2407"/>
      <c r="CH48" s="2407">
        <v>0.03</v>
      </c>
      <c r="CI48" s="2407"/>
      <c r="CJ48" s="1108"/>
      <c r="CK48" s="2402"/>
      <c r="CL48" s="2402"/>
      <c r="CM48" s="2402"/>
      <c r="CN48" s="1109"/>
      <c r="CO48" s="1109"/>
      <c r="CP48" s="1109"/>
      <c r="CQ48" s="1109"/>
      <c r="CR48" s="1109"/>
      <c r="CS48" s="1109"/>
      <c r="CT48" s="1109"/>
      <c r="CU48" s="1109"/>
      <c r="CV48" s="1109"/>
      <c r="CW48" s="1109"/>
      <c r="CX48" s="1109"/>
      <c r="CY48" s="1109"/>
      <c r="CZ48" s="1108"/>
      <c r="DA48" s="2402"/>
      <c r="DB48" s="2402"/>
      <c r="DC48" s="2402"/>
      <c r="DD48" s="1109"/>
      <c r="DE48" s="1109"/>
      <c r="DF48" s="1109"/>
      <c r="DG48" s="1109"/>
      <c r="DH48" s="1109"/>
      <c r="DI48" s="1109"/>
      <c r="DJ48" s="1109"/>
      <c r="DK48" s="1109"/>
    </row>
    <row r="49" spans="1:118" s="1577" customFormat="1">
      <c r="A49" s="1494">
        <v>2</v>
      </c>
      <c r="B49" s="2400" t="s">
        <v>1649</v>
      </c>
      <c r="C49" s="2088" t="s">
        <v>296</v>
      </c>
      <c r="D49" s="2088" t="s">
        <v>638</v>
      </c>
      <c r="E49" s="2089">
        <v>1</v>
      </c>
      <c r="F49" s="2401"/>
      <c r="G49" s="1361">
        <v>60</v>
      </c>
      <c r="H49" s="2401"/>
      <c r="I49" s="2402"/>
      <c r="J49" s="2402"/>
      <c r="K49" s="2402"/>
      <c r="L49" s="1109"/>
      <c r="M49" s="1109"/>
      <c r="N49" s="1109"/>
      <c r="O49" s="1109"/>
      <c r="P49" s="1109"/>
      <c r="Q49" s="1109"/>
      <c r="R49" s="1109"/>
      <c r="S49" s="1109"/>
      <c r="T49" s="2401"/>
      <c r="U49" s="2402"/>
      <c r="V49" s="2402"/>
      <c r="W49" s="2402"/>
      <c r="X49" s="1109"/>
      <c r="Y49" s="1109"/>
      <c r="Z49" s="1109"/>
      <c r="AA49" s="1109"/>
      <c r="AB49" s="1109"/>
      <c r="AE49" s="2406"/>
      <c r="AF49" s="2406"/>
      <c r="AG49" s="2406"/>
      <c r="AH49" s="2406"/>
      <c r="AI49" s="2420">
        <f>AH90*(1+CH49)</f>
        <v>1030</v>
      </c>
      <c r="AJ49" s="2406"/>
      <c r="AK49" s="1108"/>
      <c r="AL49" s="2403"/>
      <c r="AM49" s="2403"/>
      <c r="AN49" s="2403"/>
      <c r="AO49" s="1108"/>
      <c r="AP49" s="1109"/>
      <c r="AQ49" s="1109"/>
      <c r="AR49" s="1109"/>
      <c r="AS49" s="1109"/>
      <c r="AT49" s="1109"/>
      <c r="AU49" s="1109"/>
      <c r="AV49" s="2409"/>
      <c r="AW49" s="2406"/>
      <c r="AX49" s="2406"/>
      <c r="AY49" s="2406"/>
      <c r="AZ49" s="2406">
        <v>13</v>
      </c>
      <c r="BA49" s="2406"/>
      <c r="BB49" s="1108"/>
      <c r="BC49" s="2402"/>
      <c r="BD49" s="2402"/>
      <c r="BE49" s="2402"/>
      <c r="BF49" s="1109"/>
      <c r="BG49" s="1109"/>
      <c r="BH49" s="1109"/>
      <c r="BI49" s="1109"/>
      <c r="BJ49" s="1109"/>
      <c r="BK49" s="1109"/>
      <c r="BL49" s="1109"/>
      <c r="BM49" s="2165"/>
      <c r="BN49" s="1109"/>
      <c r="BO49" s="1109"/>
      <c r="BP49" s="1109"/>
      <c r="BQ49" s="2414">
        <f t="shared" si="6"/>
        <v>13390</v>
      </c>
      <c r="BR49" s="1109"/>
      <c r="BS49" s="1109"/>
      <c r="BT49" s="2402"/>
      <c r="BU49" s="2402"/>
      <c r="BV49" s="2402"/>
      <c r="BW49" s="1109"/>
      <c r="BX49" s="1109"/>
      <c r="BY49" s="1109"/>
      <c r="BZ49" s="1109"/>
      <c r="CA49" s="1109"/>
      <c r="CB49" s="1109"/>
      <c r="CC49" s="1109"/>
      <c r="CD49" s="2407"/>
      <c r="CE49" s="1109"/>
      <c r="CF49" s="2407"/>
      <c r="CG49" s="2407"/>
      <c r="CH49" s="2407">
        <v>0.03</v>
      </c>
      <c r="CI49" s="2407"/>
      <c r="CJ49" s="1108"/>
      <c r="CK49" s="2402"/>
      <c r="CL49" s="2402"/>
      <c r="CM49" s="2402"/>
      <c r="CN49" s="1109"/>
      <c r="CO49" s="1109"/>
      <c r="CP49" s="1109"/>
      <c r="CQ49" s="1109"/>
      <c r="CR49" s="1109"/>
      <c r="CS49" s="1109"/>
      <c r="CT49" s="1109"/>
      <c r="CU49" s="1109"/>
      <c r="CV49" s="1109"/>
      <c r="CW49" s="1109"/>
      <c r="CX49" s="1109"/>
      <c r="CY49" s="1109"/>
      <c r="CZ49" s="1108"/>
      <c r="DA49" s="2402"/>
      <c r="DB49" s="2402"/>
      <c r="DC49" s="2402"/>
      <c r="DD49" s="1109"/>
      <c r="DE49" s="1109"/>
      <c r="DF49" s="1109"/>
      <c r="DG49" s="1109"/>
      <c r="DH49" s="1109"/>
      <c r="DI49" s="1109"/>
      <c r="DJ49" s="1109"/>
      <c r="DK49" s="1109"/>
    </row>
    <row r="50" spans="1:118" s="1577" customFormat="1">
      <c r="A50" s="1822">
        <v>4</v>
      </c>
      <c r="B50" s="2400" t="s">
        <v>1544</v>
      </c>
      <c r="C50" s="2088" t="s">
        <v>296</v>
      </c>
      <c r="D50" s="2088" t="s">
        <v>595</v>
      </c>
      <c r="E50" s="2089">
        <v>1</v>
      </c>
      <c r="F50" s="2401"/>
      <c r="G50" s="1361">
        <v>60</v>
      </c>
      <c r="H50" s="2401"/>
      <c r="I50" s="2402"/>
      <c r="J50" s="2402"/>
      <c r="K50" s="2402"/>
      <c r="L50" s="1109"/>
      <c r="M50" s="1109"/>
      <c r="N50" s="1109"/>
      <c r="O50" s="1109"/>
      <c r="P50" s="1109"/>
      <c r="Q50" s="1109"/>
      <c r="R50" s="1109"/>
      <c r="S50" s="1109"/>
      <c r="T50" s="2401"/>
      <c r="U50" s="2402"/>
      <c r="V50" s="2402"/>
      <c r="W50" s="2402"/>
      <c r="X50" s="1109"/>
      <c r="Y50" s="1109"/>
      <c r="Z50" s="1109"/>
      <c r="AA50" s="1109"/>
      <c r="AB50" s="1109"/>
      <c r="AE50" s="2406"/>
      <c r="AF50" s="2406"/>
      <c r="AG50" s="2406"/>
      <c r="AH50" s="2406"/>
      <c r="AI50" s="2420">
        <f>AH91*(1+CH50)</f>
        <v>1092.7270000000001</v>
      </c>
      <c r="AJ50" s="2406"/>
      <c r="AK50" s="1108"/>
      <c r="AL50" s="2403"/>
      <c r="AM50" s="2403"/>
      <c r="AN50" s="2403"/>
      <c r="AO50" s="1108"/>
      <c r="AP50" s="1109"/>
      <c r="AQ50" s="1109"/>
      <c r="AR50" s="1109"/>
      <c r="AS50" s="1109"/>
      <c r="AT50" s="1109"/>
      <c r="AU50" s="1109"/>
      <c r="AV50" s="2409"/>
      <c r="AW50" s="2406"/>
      <c r="AX50" s="2406"/>
      <c r="AY50" s="2406"/>
      <c r="AZ50" s="2406">
        <v>13</v>
      </c>
      <c r="BA50" s="2406"/>
      <c r="BB50" s="1108"/>
      <c r="BC50" s="2402"/>
      <c r="BD50" s="2402"/>
      <c r="BE50" s="2402"/>
      <c r="BF50" s="1109"/>
      <c r="BG50" s="1109"/>
      <c r="BH50" s="1109"/>
      <c r="BI50" s="1109"/>
      <c r="BJ50" s="1109"/>
      <c r="BK50" s="1109"/>
      <c r="BL50" s="1109"/>
      <c r="BM50" s="2165"/>
      <c r="BN50" s="1109"/>
      <c r="BO50" s="1109"/>
      <c r="BP50" s="1109"/>
      <c r="BQ50" s="2414">
        <f t="shared" si="6"/>
        <v>14205.451000000001</v>
      </c>
      <c r="BR50" s="1109"/>
      <c r="BS50" s="1109"/>
      <c r="BT50" s="2402"/>
      <c r="BU50" s="2402"/>
      <c r="BV50" s="2402"/>
      <c r="BW50" s="1109"/>
      <c r="BX50" s="1109"/>
      <c r="BY50" s="1109"/>
      <c r="BZ50" s="1109"/>
      <c r="CA50" s="1109"/>
      <c r="CB50" s="1109"/>
      <c r="CC50" s="1109"/>
      <c r="CD50" s="2407"/>
      <c r="CE50" s="1109"/>
      <c r="CF50" s="2407"/>
      <c r="CG50" s="2407"/>
      <c r="CH50" s="2407">
        <v>0.03</v>
      </c>
      <c r="CI50" s="2407"/>
      <c r="CJ50" s="1108"/>
      <c r="CK50" s="2402"/>
      <c r="CL50" s="2402"/>
      <c r="CM50" s="2402"/>
      <c r="CN50" s="1109"/>
      <c r="CO50" s="1109"/>
      <c r="CP50" s="1109"/>
      <c r="CQ50" s="1109"/>
      <c r="CR50" s="1109"/>
      <c r="CS50" s="1109"/>
      <c r="CT50" s="1109"/>
      <c r="CU50" s="1109"/>
      <c r="CV50" s="1109"/>
      <c r="CW50" s="1109"/>
      <c r="CX50" s="1109"/>
      <c r="CY50" s="1109"/>
      <c r="CZ50" s="1108"/>
      <c r="DA50" s="2402"/>
      <c r="DB50" s="2402"/>
      <c r="DC50" s="2402"/>
      <c r="DD50" s="1109"/>
      <c r="DE50" s="1109"/>
      <c r="DF50" s="1109"/>
      <c r="DG50" s="1109"/>
      <c r="DH50" s="1109"/>
      <c r="DI50" s="1109"/>
      <c r="DJ50" s="1109"/>
      <c r="DK50" s="1109"/>
    </row>
    <row r="51" spans="1:118" s="1577" customFormat="1">
      <c r="A51" s="1494">
        <v>2</v>
      </c>
      <c r="B51" s="2400" t="s">
        <v>1651</v>
      </c>
      <c r="C51" s="2088" t="s">
        <v>1666</v>
      </c>
      <c r="D51" s="2088" t="s">
        <v>595</v>
      </c>
      <c r="E51" s="2089">
        <v>0.5</v>
      </c>
      <c r="F51" s="2401"/>
      <c r="G51" s="1361">
        <v>60</v>
      </c>
      <c r="H51" s="2401"/>
      <c r="I51" s="2402"/>
      <c r="J51" s="2402"/>
      <c r="K51" s="2402"/>
      <c r="L51" s="1109"/>
      <c r="M51" s="1109"/>
      <c r="N51" s="1109"/>
      <c r="O51" s="1109"/>
      <c r="P51" s="1109"/>
      <c r="Q51" s="1109"/>
      <c r="R51" s="1109"/>
      <c r="S51" s="1109"/>
      <c r="T51" s="2401"/>
      <c r="U51" s="2402"/>
      <c r="V51" s="2402"/>
      <c r="W51" s="2402"/>
      <c r="X51" s="1109"/>
      <c r="Y51" s="1109"/>
      <c r="Z51" s="1109"/>
      <c r="AA51" s="1109"/>
      <c r="AB51" s="1109"/>
      <c r="AE51" s="2406"/>
      <c r="AF51" s="2406"/>
      <c r="AG51" s="2406"/>
      <c r="AH51" s="2406"/>
      <c r="AI51" s="2420">
        <f>AH93*(1+CH51)</f>
        <v>1545</v>
      </c>
      <c r="AJ51" s="2406"/>
      <c r="AK51" s="1108"/>
      <c r="AL51" s="2403"/>
      <c r="AM51" s="2403"/>
      <c r="AN51" s="2403"/>
      <c r="AO51" s="1108"/>
      <c r="AP51" s="1109"/>
      <c r="AQ51" s="1109"/>
      <c r="AR51" s="1109"/>
      <c r="AS51" s="1109"/>
      <c r="AT51" s="1109"/>
      <c r="AU51" s="1109"/>
      <c r="AV51" s="2409"/>
      <c r="AW51" s="2406"/>
      <c r="AX51" s="2406"/>
      <c r="AY51" s="2406"/>
      <c r="AZ51" s="2406">
        <v>22</v>
      </c>
      <c r="BA51" s="2406"/>
      <c r="BB51" s="1108"/>
      <c r="BC51" s="2402"/>
      <c r="BD51" s="2402"/>
      <c r="BE51" s="2402"/>
      <c r="BF51" s="1109"/>
      <c r="BG51" s="1109"/>
      <c r="BH51" s="1109"/>
      <c r="BI51" s="1109"/>
      <c r="BJ51" s="1109"/>
      <c r="BK51" s="1109"/>
      <c r="BL51" s="1109"/>
      <c r="BM51" s="2165"/>
      <c r="BN51" s="1109"/>
      <c r="BO51" s="1109"/>
      <c r="BP51" s="1109"/>
      <c r="BQ51" s="2414">
        <f t="shared" si="6"/>
        <v>16995</v>
      </c>
      <c r="BR51" s="1109"/>
      <c r="BS51" s="1109"/>
      <c r="BT51" s="2402"/>
      <c r="BU51" s="2402"/>
      <c r="BV51" s="2402"/>
      <c r="BW51" s="1109"/>
      <c r="BX51" s="1109"/>
      <c r="BY51" s="1109"/>
      <c r="BZ51" s="1109"/>
      <c r="CA51" s="1109"/>
      <c r="CB51" s="1109"/>
      <c r="CC51" s="1109"/>
      <c r="CD51" s="2407"/>
      <c r="CE51" s="1109"/>
      <c r="CF51" s="2407"/>
      <c r="CG51" s="2407"/>
      <c r="CH51" s="2407">
        <v>0.03</v>
      </c>
      <c r="CI51" s="2407"/>
      <c r="CJ51" s="1108"/>
      <c r="CK51" s="2402"/>
      <c r="CL51" s="2402"/>
      <c r="CM51" s="2402"/>
      <c r="CN51" s="1109"/>
      <c r="CO51" s="1109"/>
      <c r="CP51" s="1109"/>
      <c r="CQ51" s="1109"/>
      <c r="CR51" s="1109"/>
      <c r="CS51" s="1109"/>
      <c r="CT51" s="1109"/>
      <c r="CU51" s="1109"/>
      <c r="CV51" s="1109"/>
      <c r="CW51" s="1109"/>
      <c r="CX51" s="1109"/>
      <c r="CY51" s="1109"/>
      <c r="CZ51" s="1108"/>
      <c r="DA51" s="2402"/>
      <c r="DB51" s="2402"/>
      <c r="DC51" s="2402"/>
      <c r="DD51" s="1109"/>
      <c r="DE51" s="1109"/>
      <c r="DF51" s="1109"/>
      <c r="DG51" s="1109"/>
      <c r="DH51" s="1109"/>
      <c r="DI51" s="1109"/>
      <c r="DJ51" s="1109"/>
      <c r="DK51" s="1109"/>
    </row>
    <row r="52" spans="1:118" s="1577" customFormat="1">
      <c r="A52" s="1494">
        <v>3</v>
      </c>
      <c r="B52" s="2400" t="s">
        <v>1652</v>
      </c>
      <c r="C52" s="2400" t="s">
        <v>1666</v>
      </c>
      <c r="D52" s="2400" t="s">
        <v>595</v>
      </c>
      <c r="E52" s="2410">
        <v>0.5</v>
      </c>
      <c r="F52" s="2401"/>
      <c r="G52" s="1361">
        <v>60</v>
      </c>
      <c r="H52" s="2401"/>
      <c r="I52" s="2402"/>
      <c r="J52" s="2402"/>
      <c r="K52" s="2402"/>
      <c r="L52" s="1109"/>
      <c r="M52" s="1109"/>
      <c r="N52" s="1109"/>
      <c r="O52" s="1109"/>
      <c r="P52" s="1109"/>
      <c r="Q52" s="1109"/>
      <c r="R52" s="1109"/>
      <c r="S52" s="1109"/>
      <c r="T52" s="2401"/>
      <c r="U52" s="2402"/>
      <c r="V52" s="2402"/>
      <c r="W52" s="2402"/>
      <c r="X52" s="1109"/>
      <c r="Y52" s="1109"/>
      <c r="Z52" s="1109"/>
      <c r="AA52" s="1109"/>
      <c r="AB52" s="1109"/>
      <c r="AE52" s="2406"/>
      <c r="AF52" s="2406"/>
      <c r="AG52" s="2406"/>
      <c r="AH52" s="2406"/>
      <c r="AI52" s="2420">
        <f>AH94*(1+CH52)</f>
        <v>1060.9000000000001</v>
      </c>
      <c r="AJ52" s="2406"/>
      <c r="AK52" s="1108"/>
      <c r="AL52" s="2403"/>
      <c r="AM52" s="2403"/>
      <c r="AN52" s="2403"/>
      <c r="AO52" s="1108"/>
      <c r="AP52" s="1109"/>
      <c r="AQ52" s="1109"/>
      <c r="AR52" s="1109"/>
      <c r="AS52" s="1109"/>
      <c r="AT52" s="1109"/>
      <c r="AU52" s="1109"/>
      <c r="AV52" s="2409"/>
      <c r="AW52" s="2406"/>
      <c r="AX52" s="2406"/>
      <c r="AY52" s="2406"/>
      <c r="AZ52" s="2406">
        <v>22</v>
      </c>
      <c r="BA52" s="2406"/>
      <c r="BB52" s="1108"/>
      <c r="BC52" s="2402"/>
      <c r="BD52" s="2402"/>
      <c r="BE52" s="2402"/>
      <c r="BF52" s="1109"/>
      <c r="BG52" s="1109"/>
      <c r="BH52" s="1109"/>
      <c r="BI52" s="1109"/>
      <c r="BJ52" s="1109"/>
      <c r="BK52" s="1109"/>
      <c r="BL52" s="1109"/>
      <c r="BM52" s="2165"/>
      <c r="BN52" s="1109"/>
      <c r="BO52" s="1109"/>
      <c r="BP52" s="1109"/>
      <c r="BQ52" s="2414">
        <f t="shared" si="6"/>
        <v>11669.900000000001</v>
      </c>
      <c r="BR52" s="1109"/>
      <c r="BS52" s="1109"/>
      <c r="BT52" s="2402"/>
      <c r="BU52" s="2402"/>
      <c r="BV52" s="2402"/>
      <c r="BW52" s="1109"/>
      <c r="BX52" s="1109"/>
      <c r="BY52" s="1109"/>
      <c r="BZ52" s="1109"/>
      <c r="CA52" s="1109"/>
      <c r="CB52" s="1109"/>
      <c r="CC52" s="1109"/>
      <c r="CD52" s="2407"/>
      <c r="CE52" s="1109"/>
      <c r="CF52" s="2407"/>
      <c r="CG52" s="2407"/>
      <c r="CH52" s="2407">
        <v>0.03</v>
      </c>
      <c r="CI52" s="2407"/>
      <c r="CJ52" s="1108"/>
      <c r="CK52" s="2402"/>
      <c r="CL52" s="2402"/>
      <c r="CM52" s="2402"/>
      <c r="CN52" s="1109"/>
      <c r="CO52" s="1109"/>
      <c r="CP52" s="1109"/>
      <c r="CQ52" s="1109"/>
      <c r="CR52" s="1109"/>
      <c r="CS52" s="1109"/>
      <c r="CT52" s="1109"/>
      <c r="CU52" s="1109"/>
      <c r="CV52" s="1109"/>
      <c r="CW52" s="1109"/>
      <c r="CX52" s="1109"/>
      <c r="CY52" s="1109"/>
      <c r="CZ52" s="1108"/>
      <c r="DA52" s="2402"/>
      <c r="DB52" s="2402"/>
      <c r="DC52" s="2402"/>
      <c r="DD52" s="1109"/>
      <c r="DE52" s="1109"/>
      <c r="DF52" s="1109"/>
      <c r="DG52" s="1109"/>
      <c r="DH52" s="1109"/>
      <c r="DI52" s="1109"/>
      <c r="DJ52" s="1109"/>
      <c r="DK52" s="1109"/>
    </row>
    <row r="53" spans="1:118" s="1577" customFormat="1">
      <c r="A53" s="1494">
        <v>3</v>
      </c>
      <c r="B53" s="2400" t="s">
        <v>1653</v>
      </c>
      <c r="C53" s="2400" t="s">
        <v>1666</v>
      </c>
      <c r="D53" s="2400" t="s">
        <v>595</v>
      </c>
      <c r="E53" s="2410">
        <v>0.5</v>
      </c>
      <c r="F53" s="2401"/>
      <c r="G53" s="1361">
        <v>60</v>
      </c>
      <c r="H53" s="2401"/>
      <c r="I53" s="2402"/>
      <c r="J53" s="2402"/>
      <c r="K53" s="2402"/>
      <c r="L53" s="1109"/>
      <c r="M53" s="1109"/>
      <c r="N53" s="1109"/>
      <c r="O53" s="1109"/>
      <c r="P53" s="1109"/>
      <c r="Q53" s="1109"/>
      <c r="R53" s="1109"/>
      <c r="S53" s="1109"/>
      <c r="T53" s="2401"/>
      <c r="U53" s="2402"/>
      <c r="V53" s="2402"/>
      <c r="W53" s="2402"/>
      <c r="X53" s="1109"/>
      <c r="Y53" s="1109"/>
      <c r="Z53" s="1109"/>
      <c r="AA53" s="1109"/>
      <c r="AB53" s="1109"/>
      <c r="AE53" s="2406"/>
      <c r="AF53" s="2406"/>
      <c r="AG53" s="2406"/>
      <c r="AH53" s="2406"/>
      <c r="AI53" s="2420">
        <f>AH95*(1+CH53)</f>
        <v>1060.9000000000001</v>
      </c>
      <c r="AJ53" s="2406"/>
      <c r="AK53" s="1108"/>
      <c r="AL53" s="2403"/>
      <c r="AM53" s="2403"/>
      <c r="AN53" s="2403"/>
      <c r="AO53" s="1108"/>
      <c r="AP53" s="1109"/>
      <c r="AQ53" s="1109"/>
      <c r="AR53" s="1109"/>
      <c r="AS53" s="1109"/>
      <c r="AT53" s="1109"/>
      <c r="AU53" s="1109"/>
      <c r="AV53" s="2409"/>
      <c r="AW53" s="2406"/>
      <c r="AX53" s="2406"/>
      <c r="AY53" s="2406"/>
      <c r="AZ53" s="2406">
        <v>18</v>
      </c>
      <c r="BA53" s="2406"/>
      <c r="BB53" s="1108"/>
      <c r="BC53" s="2402"/>
      <c r="BD53" s="2402"/>
      <c r="BE53" s="2402"/>
      <c r="BF53" s="1109"/>
      <c r="BG53" s="1109"/>
      <c r="BH53" s="1109"/>
      <c r="BI53" s="1109"/>
      <c r="BJ53" s="1109"/>
      <c r="BK53" s="1109"/>
      <c r="BL53" s="1109"/>
      <c r="BM53" s="2165"/>
      <c r="BN53" s="1109"/>
      <c r="BO53" s="1109"/>
      <c r="BP53" s="1109"/>
      <c r="BQ53" s="2414">
        <f t="shared" ref="BQ53:BQ58" si="7">$E53*AI53*AZ53</f>
        <v>9548.1</v>
      </c>
      <c r="BR53" s="1109"/>
      <c r="BS53" s="1109"/>
      <c r="BT53" s="2402"/>
      <c r="BU53" s="2402"/>
      <c r="BV53" s="2402"/>
      <c r="BW53" s="1109"/>
      <c r="BX53" s="1109"/>
      <c r="BY53" s="1109"/>
      <c r="BZ53" s="1109"/>
      <c r="CA53" s="1109"/>
      <c r="CB53" s="1109"/>
      <c r="CC53" s="1109"/>
      <c r="CD53" s="2407"/>
      <c r="CE53" s="1109"/>
      <c r="CF53" s="2407"/>
      <c r="CG53" s="2407"/>
      <c r="CH53" s="2407">
        <v>0.03</v>
      </c>
      <c r="CI53" s="2407"/>
      <c r="CJ53" s="1108"/>
      <c r="CK53" s="2402"/>
      <c r="CL53" s="2402"/>
      <c r="CM53" s="2402"/>
      <c r="CN53" s="1109"/>
      <c r="CO53" s="1109"/>
      <c r="CP53" s="1109"/>
      <c r="CQ53" s="1109"/>
      <c r="CR53" s="1109"/>
      <c r="CS53" s="1109"/>
      <c r="CT53" s="1109"/>
      <c r="CU53" s="1109"/>
      <c r="CV53" s="1109"/>
      <c r="CW53" s="1109"/>
      <c r="CX53" s="1109"/>
      <c r="CY53" s="1109"/>
      <c r="CZ53" s="1108"/>
      <c r="DA53" s="2402"/>
      <c r="DB53" s="2402"/>
      <c r="DC53" s="2402"/>
      <c r="DD53" s="1109"/>
      <c r="DE53" s="1109"/>
      <c r="DF53" s="1109"/>
      <c r="DG53" s="1109"/>
      <c r="DH53" s="1109"/>
      <c r="DI53" s="1109"/>
      <c r="DJ53" s="1109"/>
      <c r="DK53" s="1109"/>
    </row>
    <row r="54" spans="1:118" s="1577" customFormat="1">
      <c r="A54" s="1494">
        <v>7</v>
      </c>
      <c r="B54" s="2088" t="s">
        <v>312</v>
      </c>
      <c r="C54" s="2088" t="s">
        <v>301</v>
      </c>
      <c r="D54" s="2088" t="s">
        <v>595</v>
      </c>
      <c r="E54" s="2089">
        <v>0.5</v>
      </c>
      <c r="F54" s="1359"/>
      <c r="G54" s="1361">
        <v>60</v>
      </c>
      <c r="H54" s="2401"/>
      <c r="I54" s="2402"/>
      <c r="J54" s="2402"/>
      <c r="K54" s="2402"/>
      <c r="L54" s="1109"/>
      <c r="M54" s="1109"/>
      <c r="N54" s="1109"/>
      <c r="O54" s="1109"/>
      <c r="P54" s="1109"/>
      <c r="Q54" s="1109"/>
      <c r="R54" s="1109"/>
      <c r="S54" s="1109"/>
      <c r="T54" s="2401"/>
      <c r="U54" s="2402"/>
      <c r="V54" s="2402"/>
      <c r="W54" s="2402"/>
      <c r="X54" s="1109"/>
      <c r="Y54" s="1109"/>
      <c r="Z54" s="1109"/>
      <c r="AA54" s="1109"/>
      <c r="AB54" s="1109"/>
      <c r="AE54" s="2406"/>
      <c r="AF54" s="2406"/>
      <c r="AG54" s="2406"/>
      <c r="AH54" s="2406"/>
      <c r="AI54" s="2420">
        <f>AH96*(1+CH54)</f>
        <v>1791.0784447935005</v>
      </c>
      <c r="AJ54" s="2406"/>
      <c r="AK54" s="1108"/>
      <c r="AL54" s="2403"/>
      <c r="AM54" s="2403"/>
      <c r="AN54" s="2403"/>
      <c r="AO54" s="1108"/>
      <c r="AP54" s="1109"/>
      <c r="AQ54" s="1109"/>
      <c r="AR54" s="1109"/>
      <c r="AS54" s="1109"/>
      <c r="AT54" s="1109"/>
      <c r="AU54" s="1109"/>
      <c r="AV54" s="2409"/>
      <c r="AW54" s="2406"/>
      <c r="AX54" s="2406"/>
      <c r="AY54" s="2406"/>
      <c r="AZ54" s="2406">
        <v>22</v>
      </c>
      <c r="BA54" s="2406"/>
      <c r="BB54" s="1108"/>
      <c r="BC54" s="2402"/>
      <c r="BD54" s="2402"/>
      <c r="BE54" s="2402"/>
      <c r="BF54" s="1109"/>
      <c r="BG54" s="1109"/>
      <c r="BH54" s="1109"/>
      <c r="BI54" s="1109"/>
      <c r="BJ54" s="1109"/>
      <c r="BK54" s="1109"/>
      <c r="BL54" s="1109"/>
      <c r="BM54" s="2165"/>
      <c r="BN54" s="1109"/>
      <c r="BO54" s="1109"/>
      <c r="BP54" s="1109"/>
      <c r="BQ54" s="2414">
        <f t="shared" si="7"/>
        <v>19701.862892728506</v>
      </c>
      <c r="BR54" s="1109"/>
      <c r="BS54" s="1109"/>
      <c r="BT54" s="2402"/>
      <c r="BU54" s="2402"/>
      <c r="BV54" s="2402"/>
      <c r="BW54" s="1109"/>
      <c r="BX54" s="1109"/>
      <c r="BY54" s="1109"/>
      <c r="BZ54" s="1109"/>
      <c r="CA54" s="1109"/>
      <c r="CB54" s="1109"/>
      <c r="CC54" s="1109"/>
      <c r="CD54" s="2407"/>
      <c r="CE54" s="1109"/>
      <c r="CF54" s="2407"/>
      <c r="CG54" s="2407"/>
      <c r="CH54" s="2407">
        <v>0.03</v>
      </c>
      <c r="CI54" s="2407"/>
      <c r="CJ54" s="1108"/>
      <c r="CK54" s="2402"/>
      <c r="CL54" s="2402"/>
      <c r="CM54" s="2402"/>
      <c r="CN54" s="1109"/>
      <c r="CO54" s="1109"/>
      <c r="CP54" s="1109"/>
      <c r="CQ54" s="1109"/>
      <c r="CR54" s="1109"/>
      <c r="CS54" s="1109"/>
      <c r="CT54" s="1109"/>
      <c r="CU54" s="1109"/>
      <c r="CV54" s="1109"/>
      <c r="CW54" s="1109"/>
      <c r="CX54" s="1109"/>
      <c r="CY54" s="1109"/>
      <c r="CZ54" s="1108"/>
      <c r="DA54" s="2402"/>
      <c r="DB54" s="2402"/>
      <c r="DC54" s="2402"/>
      <c r="DD54" s="1109"/>
      <c r="DE54" s="1109"/>
      <c r="DF54" s="1109"/>
      <c r="DG54" s="1109"/>
      <c r="DH54" s="1109"/>
      <c r="DI54" s="1109"/>
      <c r="DJ54" s="1109"/>
      <c r="DK54" s="1109"/>
    </row>
    <row r="55" spans="1:118" s="1577" customFormat="1">
      <c r="A55" s="1494">
        <v>1</v>
      </c>
      <c r="B55" s="2400" t="s">
        <v>1650</v>
      </c>
      <c r="C55" s="2400" t="s">
        <v>1666</v>
      </c>
      <c r="D55" s="2400" t="s">
        <v>595</v>
      </c>
      <c r="E55" s="2089">
        <v>0.5</v>
      </c>
      <c r="F55" s="1359"/>
      <c r="G55" s="1361">
        <v>60</v>
      </c>
      <c r="H55" s="2401"/>
      <c r="I55" s="2402"/>
      <c r="J55" s="2402"/>
      <c r="K55" s="2402"/>
      <c r="L55" s="1109"/>
      <c r="M55" s="1109"/>
      <c r="N55" s="1109"/>
      <c r="O55" s="1109"/>
      <c r="P55" s="1109"/>
      <c r="Q55" s="1109"/>
      <c r="R55" s="1109"/>
      <c r="S55" s="1109"/>
      <c r="T55" s="2401"/>
      <c r="U55" s="2402"/>
      <c r="V55" s="2402"/>
      <c r="W55" s="2402"/>
      <c r="X55" s="1109"/>
      <c r="Y55" s="1109"/>
      <c r="Z55" s="1109"/>
      <c r="AA55" s="1109"/>
      <c r="AB55" s="1109"/>
      <c r="AE55" s="2406"/>
      <c r="AF55" s="2406"/>
      <c r="AG55" s="2406"/>
      <c r="AH55" s="2406"/>
      <c r="AI55" s="2420">
        <v>1000</v>
      </c>
      <c r="AJ55" s="2406"/>
      <c r="AK55" s="1108"/>
      <c r="AL55" s="2403"/>
      <c r="AM55" s="2403"/>
      <c r="AN55" s="2403"/>
      <c r="AO55" s="1108"/>
      <c r="AP55" s="1109"/>
      <c r="AQ55" s="1109"/>
      <c r="AR55" s="1109"/>
      <c r="AS55" s="1109"/>
      <c r="AT55" s="1109"/>
      <c r="AU55" s="1109"/>
      <c r="AV55" s="2409"/>
      <c r="AW55" s="2406"/>
      <c r="AX55" s="2406"/>
      <c r="AY55" s="2406"/>
      <c r="AZ55" s="2406">
        <v>18</v>
      </c>
      <c r="BA55" s="2406"/>
      <c r="BB55" s="1108"/>
      <c r="BC55" s="2402"/>
      <c r="BD55" s="2402"/>
      <c r="BE55" s="2402"/>
      <c r="BF55" s="1109"/>
      <c r="BG55" s="1109"/>
      <c r="BH55" s="1109"/>
      <c r="BI55" s="1109"/>
      <c r="BJ55" s="1109"/>
      <c r="BK55" s="1109"/>
      <c r="BL55" s="1109"/>
      <c r="BM55" s="2165"/>
      <c r="BN55" s="1109"/>
      <c r="BO55" s="1109"/>
      <c r="BP55" s="1109"/>
      <c r="BQ55" s="2414">
        <f t="shared" si="7"/>
        <v>9000</v>
      </c>
      <c r="BR55" s="1109"/>
      <c r="BS55" s="1109"/>
      <c r="BT55" s="2402"/>
      <c r="BU55" s="2402"/>
      <c r="BV55" s="2402"/>
      <c r="BW55" s="1109"/>
      <c r="BX55" s="1109"/>
      <c r="BY55" s="1109"/>
      <c r="BZ55" s="1109"/>
      <c r="CA55" s="1109"/>
      <c r="CB55" s="1109"/>
      <c r="CC55" s="1109"/>
      <c r="CD55" s="2407"/>
      <c r="CE55" s="1109"/>
      <c r="CF55" s="2407"/>
      <c r="CG55" s="2407"/>
      <c r="CH55" s="2407">
        <v>0.03</v>
      </c>
      <c r="CI55" s="2407"/>
      <c r="CJ55" s="1108"/>
      <c r="CK55" s="2402"/>
      <c r="CL55" s="2402"/>
      <c r="CM55" s="2402"/>
      <c r="CN55" s="1109"/>
      <c r="CO55" s="1109"/>
      <c r="CP55" s="1109"/>
      <c r="CQ55" s="1109"/>
      <c r="CR55" s="1109"/>
      <c r="CS55" s="1109"/>
      <c r="CT55" s="1109"/>
      <c r="CU55" s="1109"/>
      <c r="CV55" s="1109"/>
      <c r="CW55" s="1109"/>
      <c r="CX55" s="1109"/>
      <c r="CY55" s="1109"/>
      <c r="CZ55" s="1108"/>
      <c r="DA55" s="2402"/>
      <c r="DB55" s="2402"/>
      <c r="DC55" s="2402"/>
      <c r="DD55" s="1109"/>
      <c r="DE55" s="1109"/>
      <c r="DF55" s="1109"/>
      <c r="DG55" s="1109"/>
      <c r="DH55" s="1109"/>
      <c r="DI55" s="1109"/>
      <c r="DJ55" s="1109"/>
      <c r="DK55" s="1109"/>
    </row>
    <row r="56" spans="1:118" s="1577" customFormat="1">
      <c r="A56" s="1494">
        <v>1</v>
      </c>
      <c r="B56" s="2400" t="s">
        <v>1654</v>
      </c>
      <c r="C56" s="2400" t="s">
        <v>329</v>
      </c>
      <c r="D56" s="2400" t="s">
        <v>638</v>
      </c>
      <c r="E56" s="2411">
        <v>0.5</v>
      </c>
      <c r="F56" s="1768"/>
      <c r="G56" s="1361">
        <v>60</v>
      </c>
      <c r="H56" s="2401"/>
      <c r="I56" s="2402"/>
      <c r="J56" s="2402"/>
      <c r="K56" s="2402"/>
      <c r="L56" s="1109"/>
      <c r="M56" s="1109"/>
      <c r="N56" s="1109"/>
      <c r="O56" s="1109"/>
      <c r="P56" s="1109"/>
      <c r="Q56" s="1109"/>
      <c r="R56" s="1109"/>
      <c r="S56" s="1109"/>
      <c r="T56" s="2401"/>
      <c r="U56" s="2402"/>
      <c r="V56" s="2402"/>
      <c r="W56" s="2402"/>
      <c r="X56" s="1109"/>
      <c r="Y56" s="1109"/>
      <c r="Z56" s="1109"/>
      <c r="AA56" s="1109"/>
      <c r="AB56" s="1109"/>
      <c r="AE56" s="2406"/>
      <c r="AF56" s="2406"/>
      <c r="AG56" s="2406"/>
      <c r="AH56" s="2406"/>
      <c r="AI56" s="2420">
        <v>1500</v>
      </c>
      <c r="AJ56" s="2406"/>
      <c r="AK56" s="1108"/>
      <c r="AL56" s="2403"/>
      <c r="AM56" s="2403"/>
      <c r="AN56" s="2403"/>
      <c r="AO56" s="1108"/>
      <c r="AP56" s="1109"/>
      <c r="AQ56" s="1109"/>
      <c r="AR56" s="1109"/>
      <c r="AS56" s="1109"/>
      <c r="AT56" s="1109"/>
      <c r="AU56" s="1109"/>
      <c r="AV56" s="2409"/>
      <c r="AW56" s="2406"/>
      <c r="AX56" s="2406"/>
      <c r="AY56" s="2406"/>
      <c r="AZ56" s="2406">
        <v>18</v>
      </c>
      <c r="BA56" s="2406"/>
      <c r="BB56" s="1108"/>
      <c r="BC56" s="2402"/>
      <c r="BD56" s="2402"/>
      <c r="BE56" s="2402"/>
      <c r="BF56" s="1109"/>
      <c r="BG56" s="1109"/>
      <c r="BH56" s="1109"/>
      <c r="BI56" s="1109"/>
      <c r="BJ56" s="1109"/>
      <c r="BK56" s="1109"/>
      <c r="BL56" s="1109"/>
      <c r="BM56" s="2165"/>
      <c r="BN56" s="1109"/>
      <c r="BO56" s="1109"/>
      <c r="BP56" s="1109"/>
      <c r="BQ56" s="2414">
        <f t="shared" si="7"/>
        <v>13500</v>
      </c>
      <c r="BR56" s="1109"/>
      <c r="BS56" s="1109"/>
      <c r="BT56" s="2402"/>
      <c r="BU56" s="2402"/>
      <c r="BV56" s="2402"/>
      <c r="BW56" s="1109"/>
      <c r="BX56" s="1109"/>
      <c r="BY56" s="1109"/>
      <c r="BZ56" s="1109"/>
      <c r="CA56" s="1109"/>
      <c r="CB56" s="1109"/>
      <c r="CC56" s="1109"/>
      <c r="CD56" s="2407"/>
      <c r="CE56" s="1109"/>
      <c r="CF56" s="2407"/>
      <c r="CG56" s="2407"/>
      <c r="CH56" s="2407">
        <v>0.03</v>
      </c>
      <c r="CI56" s="2407"/>
      <c r="CJ56" s="1108"/>
      <c r="CK56" s="2402"/>
      <c r="CL56" s="2402"/>
      <c r="CM56" s="2402"/>
      <c r="CN56" s="1109"/>
      <c r="CO56" s="1109"/>
      <c r="CP56" s="1109"/>
      <c r="CQ56" s="1109"/>
      <c r="CR56" s="1109"/>
      <c r="CS56" s="1109"/>
      <c r="CT56" s="1109"/>
      <c r="CU56" s="1109"/>
      <c r="CV56" s="1109"/>
      <c r="CW56" s="1109"/>
      <c r="CX56" s="1109"/>
      <c r="CY56" s="1109"/>
      <c r="CZ56" s="1108"/>
      <c r="DA56" s="2402"/>
      <c r="DB56" s="2402"/>
      <c r="DC56" s="2402"/>
      <c r="DD56" s="1109"/>
      <c r="DE56" s="1109"/>
      <c r="DF56" s="1109"/>
      <c r="DG56" s="1109"/>
      <c r="DH56" s="1109"/>
      <c r="DI56" s="1109"/>
      <c r="DJ56" s="1109"/>
      <c r="DK56" s="1109"/>
    </row>
    <row r="57" spans="1:118" s="1577" customFormat="1">
      <c r="A57" s="1494">
        <v>2</v>
      </c>
      <c r="B57" s="2400" t="s">
        <v>1574</v>
      </c>
      <c r="C57" s="2400" t="s">
        <v>296</v>
      </c>
      <c r="D57" s="2400" t="s">
        <v>638</v>
      </c>
      <c r="E57" s="2410">
        <v>1</v>
      </c>
      <c r="F57" s="2401"/>
      <c r="G57" s="1361">
        <v>60</v>
      </c>
      <c r="H57" s="2401"/>
      <c r="I57" s="2402"/>
      <c r="J57" s="2402"/>
      <c r="K57" s="2402"/>
      <c r="L57" s="1109"/>
      <c r="M57" s="1109"/>
      <c r="N57" s="1109"/>
      <c r="O57" s="1109"/>
      <c r="P57" s="1109"/>
      <c r="Q57" s="1109"/>
      <c r="R57" s="1109"/>
      <c r="S57" s="1109"/>
      <c r="T57" s="2401"/>
      <c r="U57" s="2402"/>
      <c r="V57" s="2402"/>
      <c r="W57" s="2402"/>
      <c r="X57" s="1109"/>
      <c r="Y57" s="1109"/>
      <c r="Z57" s="1109"/>
      <c r="AA57" s="1109"/>
      <c r="AB57" s="1109"/>
      <c r="AE57" s="2406"/>
      <c r="AF57" s="2406"/>
      <c r="AG57" s="2406"/>
      <c r="AH57" s="2406"/>
      <c r="AI57" s="2420">
        <f>AH96*(1+CH57)</f>
        <v>1791.0784447935005</v>
      </c>
      <c r="AJ57" s="2406"/>
      <c r="AK57" s="1108"/>
      <c r="AL57" s="2403"/>
      <c r="AM57" s="2403"/>
      <c r="AN57" s="2403"/>
      <c r="AO57" s="1108"/>
      <c r="AP57" s="1109"/>
      <c r="AQ57" s="1109"/>
      <c r="AR57" s="1109"/>
      <c r="AS57" s="1109"/>
      <c r="AT57" s="1109"/>
      <c r="AU57" s="1109"/>
      <c r="AV57" s="2409"/>
      <c r="AW57" s="2406"/>
      <c r="AX57" s="2406"/>
      <c r="AY57" s="2406"/>
      <c r="AZ57" s="2406">
        <v>18</v>
      </c>
      <c r="BA57" s="2406"/>
      <c r="BB57" s="1108"/>
      <c r="BC57" s="2402"/>
      <c r="BD57" s="2402"/>
      <c r="BE57" s="2402"/>
      <c r="BF57" s="1109"/>
      <c r="BG57" s="1109"/>
      <c r="BH57" s="1109"/>
      <c r="BI57" s="1109"/>
      <c r="BJ57" s="1109"/>
      <c r="BK57" s="1109"/>
      <c r="BL57" s="1109"/>
      <c r="BM57" s="2165"/>
      <c r="BN57" s="1109"/>
      <c r="BO57" s="1109"/>
      <c r="BP57" s="1109"/>
      <c r="BQ57" s="2414">
        <f t="shared" si="7"/>
        <v>32239.412006283008</v>
      </c>
      <c r="BR57" s="1109"/>
      <c r="BS57" s="1109"/>
      <c r="BT57" s="2402"/>
      <c r="BU57" s="2402"/>
      <c r="BV57" s="2402"/>
      <c r="BW57" s="1109"/>
      <c r="BX57" s="1109"/>
      <c r="BY57" s="1109"/>
      <c r="BZ57" s="1109"/>
      <c r="CA57" s="1109"/>
      <c r="CB57" s="1109"/>
      <c r="CC57" s="1109"/>
      <c r="CD57" s="2407"/>
      <c r="CE57" s="1109"/>
      <c r="CF57" s="2407"/>
      <c r="CG57" s="2407"/>
      <c r="CH57" s="2407">
        <v>0.03</v>
      </c>
      <c r="CI57" s="2407"/>
      <c r="CJ57" s="1108"/>
      <c r="CK57" s="2402"/>
      <c r="CL57" s="2402"/>
      <c r="CM57" s="2402"/>
      <c r="CN57" s="1109"/>
      <c r="CO57" s="1109"/>
      <c r="CP57" s="1109"/>
      <c r="CQ57" s="1109"/>
      <c r="CR57" s="1109"/>
      <c r="CS57" s="1109"/>
      <c r="CT57" s="1109"/>
      <c r="CU57" s="1109"/>
      <c r="CV57" s="1109"/>
      <c r="CW57" s="1109"/>
      <c r="CX57" s="1109"/>
      <c r="CY57" s="1109"/>
      <c r="CZ57" s="1108"/>
      <c r="DA57" s="2402"/>
      <c r="DB57" s="2402"/>
      <c r="DC57" s="2402"/>
      <c r="DD57" s="1109"/>
      <c r="DE57" s="1109"/>
      <c r="DF57" s="1109"/>
      <c r="DG57" s="1109"/>
      <c r="DH57" s="1109"/>
      <c r="DI57" s="1109"/>
      <c r="DJ57" s="1109"/>
      <c r="DK57" s="1109"/>
    </row>
    <row r="58" spans="1:118" s="1577" customFormat="1">
      <c r="A58" s="1822">
        <v>3</v>
      </c>
      <c r="B58" s="2400" t="s">
        <v>1655</v>
      </c>
      <c r="C58" s="2088" t="s">
        <v>296</v>
      </c>
      <c r="D58" s="2400" t="s">
        <v>1656</v>
      </c>
      <c r="E58" s="2410">
        <v>1</v>
      </c>
      <c r="F58" s="2401"/>
      <c r="G58" s="1361">
        <v>60</v>
      </c>
      <c r="H58" s="2401"/>
      <c r="I58" s="2402"/>
      <c r="J58" s="2402"/>
      <c r="K58" s="2402"/>
      <c r="L58" s="1109"/>
      <c r="M58" s="1109"/>
      <c r="N58" s="1109"/>
      <c r="O58" s="1109"/>
      <c r="P58" s="1109"/>
      <c r="Q58" s="1109"/>
      <c r="R58" s="1109"/>
      <c r="S58" s="1109"/>
      <c r="T58" s="2401"/>
      <c r="U58" s="2402"/>
      <c r="V58" s="2402"/>
      <c r="W58" s="2402"/>
      <c r="X58" s="1109"/>
      <c r="Y58" s="1109"/>
      <c r="Z58" s="1109"/>
      <c r="AA58" s="1109"/>
      <c r="AB58" s="1109"/>
      <c r="AC58" s="1109"/>
      <c r="AD58" s="1109"/>
      <c r="AE58" s="1109"/>
      <c r="AF58" s="1109"/>
      <c r="AG58" s="1579"/>
      <c r="AH58" s="1579"/>
      <c r="AI58" s="2420">
        <f>AH97*(1+CH58)</f>
        <v>1060.9000000000001</v>
      </c>
      <c r="AJ58" s="1579"/>
      <c r="AK58" s="1108"/>
      <c r="AL58" s="2403"/>
      <c r="AM58" s="2403"/>
      <c r="AN58" s="2403"/>
      <c r="AO58" s="1108"/>
      <c r="AP58" s="1109"/>
      <c r="AQ58" s="1109"/>
      <c r="AR58" s="1109"/>
      <c r="AS58" s="1109"/>
      <c r="AT58" s="1109"/>
      <c r="AU58" s="1109"/>
      <c r="AV58" s="1109"/>
      <c r="AW58" s="1109"/>
      <c r="AX58" s="1579"/>
      <c r="AY58" s="1579"/>
      <c r="AZ58" s="2406">
        <v>10</v>
      </c>
      <c r="BA58" s="1579"/>
      <c r="BB58" s="1108"/>
      <c r="BC58" s="2402"/>
      <c r="BD58" s="2402"/>
      <c r="BE58" s="2402"/>
      <c r="BF58" s="1109"/>
      <c r="BG58" s="1109"/>
      <c r="BH58" s="1109"/>
      <c r="BI58" s="1109"/>
      <c r="BJ58" s="1109"/>
      <c r="BK58" s="1109"/>
      <c r="BL58" s="1109"/>
      <c r="BM58" s="1109"/>
      <c r="BN58" s="1109"/>
      <c r="BO58" s="1579"/>
      <c r="BP58" s="1579"/>
      <c r="BQ58" s="2414">
        <f t="shared" si="7"/>
        <v>10609</v>
      </c>
      <c r="BR58" s="1579"/>
      <c r="BS58" s="1109"/>
      <c r="BT58" s="2402"/>
      <c r="BU58" s="2402"/>
      <c r="BV58" s="2402"/>
      <c r="BW58" s="1109"/>
      <c r="BX58" s="1109"/>
      <c r="BY58" s="1109"/>
      <c r="BZ58" s="1109"/>
      <c r="CA58" s="1109"/>
      <c r="CB58" s="1109"/>
      <c r="CC58" s="1109"/>
      <c r="CD58" s="1109"/>
      <c r="CE58" s="1109"/>
      <c r="CF58" s="2407"/>
      <c r="CG58" s="2407"/>
      <c r="CH58" s="2407">
        <v>0.03</v>
      </c>
      <c r="CI58" s="2407"/>
      <c r="CJ58" s="1108"/>
      <c r="CK58" s="2402"/>
      <c r="CL58" s="2402"/>
      <c r="CM58" s="2402"/>
      <c r="CN58" s="1109"/>
      <c r="CO58" s="1109"/>
      <c r="CP58" s="1109"/>
      <c r="CQ58" s="1109"/>
      <c r="CR58" s="1109"/>
      <c r="CS58" s="1109"/>
      <c r="CT58" s="1109"/>
      <c r="CU58" s="1109"/>
      <c r="CV58" s="1109"/>
      <c r="CW58" s="1109"/>
      <c r="CX58" s="1109"/>
      <c r="CY58" s="1109"/>
      <c r="CZ58" s="1108"/>
      <c r="DA58" s="2402"/>
      <c r="DB58" s="2402"/>
      <c r="DC58" s="2402"/>
      <c r="DD58" s="1109"/>
      <c r="DE58" s="1109"/>
      <c r="DF58" s="1109"/>
      <c r="DG58" s="1109"/>
      <c r="DH58" s="1109"/>
      <c r="DI58" s="1109"/>
      <c r="DJ58" s="1109"/>
      <c r="DK58" s="1109"/>
      <c r="DL58" s="1579"/>
      <c r="DM58" s="1579"/>
      <c r="DN58" s="1579"/>
    </row>
    <row r="59" spans="1:118" s="1577" customFormat="1">
      <c r="A59" s="1822"/>
      <c r="E59" s="2401"/>
      <c r="F59" s="2401"/>
      <c r="G59" s="2401"/>
      <c r="H59" s="2401"/>
      <c r="I59" s="2402"/>
      <c r="J59" s="2402"/>
      <c r="K59" s="2402"/>
      <c r="L59" s="1109"/>
      <c r="M59" s="1109"/>
      <c r="N59" s="1109"/>
      <c r="O59" s="1109"/>
      <c r="P59" s="1109"/>
      <c r="Q59" s="1109"/>
      <c r="R59" s="1109"/>
      <c r="S59" s="1109"/>
      <c r="T59" s="2401"/>
      <c r="U59" s="2402"/>
      <c r="V59" s="2402"/>
      <c r="W59" s="2402"/>
      <c r="X59" s="1109"/>
      <c r="Y59" s="1109"/>
      <c r="Z59" s="1109"/>
      <c r="AA59" s="1109"/>
      <c r="AB59" s="1109"/>
      <c r="AC59" s="1109"/>
      <c r="AD59" s="1109"/>
      <c r="AE59" s="1109"/>
      <c r="AF59" s="1109"/>
      <c r="AG59" s="1579"/>
      <c r="AH59" s="1579"/>
      <c r="AI59" s="1579"/>
      <c r="AJ59" s="1579"/>
      <c r="AK59" s="1108"/>
      <c r="AL59" s="2403"/>
      <c r="AM59" s="2403"/>
      <c r="AN59" s="2403"/>
      <c r="AO59" s="1108"/>
      <c r="AP59" s="1109"/>
      <c r="AQ59" s="1109"/>
      <c r="AR59" s="1109"/>
      <c r="AS59" s="1109"/>
      <c r="AT59" s="1109"/>
      <c r="AU59" s="1109"/>
      <c r="AV59" s="1109"/>
      <c r="AW59" s="1109"/>
      <c r="AX59" s="1579"/>
      <c r="AY59" s="1579"/>
      <c r="AZ59" s="1579"/>
      <c r="BA59" s="1579"/>
      <c r="BB59" s="1108"/>
      <c r="BC59" s="2402"/>
      <c r="BD59" s="2402"/>
      <c r="BE59" s="2402"/>
      <c r="BF59" s="1109"/>
      <c r="BG59" s="1109"/>
      <c r="BH59" s="1109"/>
      <c r="BI59" s="1109"/>
      <c r="BJ59" s="1109"/>
      <c r="BK59" s="1109"/>
      <c r="BL59" s="1109"/>
      <c r="BM59" s="1109"/>
      <c r="BN59" s="1109"/>
      <c r="BO59" s="1579"/>
      <c r="BP59" s="1579"/>
      <c r="BQ59" s="1579"/>
      <c r="BR59" s="1579"/>
      <c r="BS59" s="1109"/>
      <c r="BT59" s="2402"/>
      <c r="BU59" s="2402"/>
      <c r="BV59" s="2402"/>
      <c r="BW59" s="1109"/>
      <c r="BX59" s="1109"/>
      <c r="BY59" s="1109"/>
      <c r="BZ59" s="1109"/>
      <c r="CA59" s="1109"/>
      <c r="CB59" s="1109"/>
      <c r="CC59" s="1109"/>
      <c r="CD59" s="1109"/>
      <c r="CE59" s="1109"/>
      <c r="CF59" s="2407"/>
      <c r="CG59" s="2407"/>
      <c r="CH59" s="2407"/>
      <c r="CI59" s="2407"/>
      <c r="CJ59" s="1108"/>
      <c r="CK59" s="2402"/>
      <c r="CL59" s="2402"/>
      <c r="CM59" s="2402"/>
      <c r="CN59" s="1109"/>
      <c r="CO59" s="1109"/>
      <c r="CP59" s="1109"/>
      <c r="CQ59" s="1109"/>
      <c r="CR59" s="1109"/>
      <c r="CS59" s="1109"/>
      <c r="CT59" s="1109"/>
      <c r="CU59" s="1109"/>
      <c r="CV59" s="1109"/>
      <c r="CW59" s="1109"/>
      <c r="CX59" s="1109"/>
      <c r="CY59" s="1109"/>
      <c r="CZ59" s="1108"/>
      <c r="DA59" s="2402"/>
      <c r="DB59" s="2402"/>
      <c r="DC59" s="2402"/>
      <c r="DD59" s="1109"/>
      <c r="DE59" s="1109"/>
      <c r="DF59" s="1109"/>
      <c r="DG59" s="1109"/>
      <c r="DH59" s="1109"/>
      <c r="DI59" s="1109"/>
      <c r="DJ59" s="1109"/>
      <c r="DK59" s="1109"/>
      <c r="DL59" s="1579"/>
      <c r="DM59" s="1579"/>
      <c r="DN59" s="1579"/>
    </row>
    <row r="60" spans="1:118" s="1577" customFormat="1" hidden="1" outlineLevel="1">
      <c r="A60" s="1822" t="s">
        <v>1579</v>
      </c>
      <c r="B60" s="2400"/>
      <c r="C60" s="2088"/>
      <c r="D60" s="2400"/>
      <c r="E60" s="2401"/>
      <c r="F60" s="2401"/>
      <c r="G60" s="2401"/>
      <c r="H60" s="2401"/>
      <c r="I60" s="2402"/>
      <c r="J60" s="2402"/>
      <c r="K60" s="2402"/>
      <c r="L60" s="1109"/>
      <c r="M60" s="1109"/>
      <c r="N60" s="1109"/>
      <c r="O60" s="1109"/>
      <c r="P60" s="1109"/>
      <c r="Q60" s="1109"/>
      <c r="R60" s="1109"/>
      <c r="S60" s="1109"/>
      <c r="T60" s="2401"/>
      <c r="U60" s="2402"/>
      <c r="V60" s="2402"/>
      <c r="W60" s="2402"/>
      <c r="X60" s="1109"/>
      <c r="Y60" s="1109"/>
      <c r="Z60" s="1109"/>
      <c r="AA60" s="1109"/>
      <c r="AB60" s="1109"/>
      <c r="AC60" s="1109"/>
      <c r="AD60" s="1109"/>
      <c r="AE60" s="1109"/>
      <c r="AF60" s="1109"/>
      <c r="AG60" s="1579"/>
      <c r="AH60" s="1579"/>
      <c r="AI60" s="1579"/>
      <c r="AJ60" s="1579"/>
      <c r="AK60" s="1108"/>
      <c r="AL60" s="2403"/>
      <c r="AM60" s="2403"/>
      <c r="AN60" s="2403"/>
      <c r="AO60" s="1108"/>
      <c r="AP60" s="1109"/>
      <c r="AQ60" s="1109"/>
      <c r="AR60" s="1109"/>
      <c r="AS60" s="1109"/>
      <c r="AT60" s="1109"/>
      <c r="AU60" s="1109"/>
      <c r="AV60" s="1109"/>
      <c r="AW60" s="1109"/>
      <c r="AX60" s="1579"/>
      <c r="AY60" s="1579"/>
      <c r="AZ60" s="1579"/>
      <c r="BA60" s="1579"/>
      <c r="BB60" s="1108"/>
      <c r="BC60" s="2402"/>
      <c r="BD60" s="2402"/>
      <c r="BE60" s="2402"/>
      <c r="BF60" s="1109"/>
      <c r="BG60" s="1109"/>
      <c r="BH60" s="1109"/>
      <c r="BI60" s="1109"/>
      <c r="BJ60" s="1109"/>
      <c r="BK60" s="1109"/>
      <c r="BL60" s="1109"/>
      <c r="BM60" s="1109"/>
      <c r="BN60" s="1109"/>
      <c r="BO60" s="1579"/>
      <c r="BP60" s="1579"/>
      <c r="BQ60" s="1579"/>
      <c r="BR60" s="1579"/>
      <c r="BS60" s="1109"/>
      <c r="BT60" s="2402"/>
      <c r="BU60" s="2402"/>
      <c r="BV60" s="2402"/>
      <c r="BW60" s="1109"/>
      <c r="BX60" s="1109"/>
      <c r="BY60" s="1109"/>
      <c r="BZ60" s="1109"/>
      <c r="CA60" s="1109"/>
      <c r="CB60" s="1109"/>
      <c r="CC60" s="1109"/>
      <c r="CD60" s="1109"/>
      <c r="CE60" s="1109"/>
      <c r="CF60" s="1155"/>
      <c r="CG60" s="1155"/>
      <c r="CH60" s="1155"/>
      <c r="CI60" s="1155"/>
      <c r="CJ60" s="1108"/>
      <c r="CK60" s="2402"/>
      <c r="CL60" s="2402"/>
      <c r="CM60" s="2402"/>
      <c r="CN60" s="1109"/>
      <c r="CO60" s="1109"/>
      <c r="CP60" s="1109"/>
      <c r="CQ60" s="1109"/>
      <c r="CR60" s="1109"/>
      <c r="CS60" s="1109"/>
      <c r="CT60" s="1109"/>
      <c r="CU60" s="1109"/>
      <c r="CV60" s="1109"/>
      <c r="CW60" s="1109"/>
      <c r="CX60" s="1109"/>
      <c r="CY60" s="1109"/>
      <c r="CZ60" s="1108"/>
      <c r="DA60" s="2402"/>
      <c r="DB60" s="2402"/>
      <c r="DC60" s="2402"/>
      <c r="DD60" s="1109"/>
      <c r="DE60" s="1109"/>
      <c r="DF60" s="1109"/>
      <c r="DG60" s="1109"/>
      <c r="DH60" s="1109"/>
      <c r="DI60" s="1109"/>
      <c r="DJ60" s="1109"/>
      <c r="DK60" s="1109"/>
      <c r="DL60" s="1579"/>
      <c r="DM60" s="1579"/>
      <c r="DN60" s="1579"/>
    </row>
    <row r="61" spans="1:118" s="1577" customFormat="1" hidden="1" outlineLevel="1">
      <c r="A61" s="1822"/>
      <c r="B61" s="2400" t="s">
        <v>1495</v>
      </c>
      <c r="C61" s="2088"/>
      <c r="D61" s="2400" t="s">
        <v>638</v>
      </c>
      <c r="E61" s="2401"/>
      <c r="F61" s="2401"/>
      <c r="G61" s="2401"/>
      <c r="H61" s="2401"/>
      <c r="I61" s="2402"/>
      <c r="J61" s="2402"/>
      <c r="K61" s="2402"/>
      <c r="L61" s="1109"/>
      <c r="M61" s="1109"/>
      <c r="N61" s="1109"/>
      <c r="O61" s="1109"/>
      <c r="P61" s="1109"/>
      <c r="Q61" s="1109"/>
      <c r="R61" s="1109"/>
      <c r="S61" s="1109"/>
      <c r="T61" s="2401"/>
      <c r="U61" s="2402"/>
      <c r="V61" s="2402"/>
      <c r="W61" s="2402"/>
      <c r="X61" s="1109"/>
      <c r="Y61" s="1109"/>
      <c r="Z61" s="1109"/>
      <c r="AA61" s="1109"/>
      <c r="AB61" s="1109"/>
      <c r="AC61" s="1109"/>
      <c r="AD61" s="1109"/>
      <c r="AE61" s="1109"/>
      <c r="AF61" s="1109"/>
      <c r="AG61" s="1579"/>
      <c r="AH61" s="1579"/>
      <c r="AI61" s="1579"/>
      <c r="AJ61" s="1579"/>
      <c r="AK61" s="1108"/>
      <c r="AL61" s="2403"/>
      <c r="AM61" s="2403"/>
      <c r="AN61" s="2403"/>
      <c r="AO61" s="1108"/>
      <c r="AP61" s="1109"/>
      <c r="AQ61" s="1109"/>
      <c r="AR61" s="1109"/>
      <c r="AS61" s="1109"/>
      <c r="AT61" s="1109"/>
      <c r="AU61" s="1109"/>
      <c r="AV61" s="1109"/>
      <c r="AW61" s="1109"/>
      <c r="AX61" s="1579"/>
      <c r="AY61" s="1579"/>
      <c r="AZ61" s="1579"/>
      <c r="BA61" s="1579"/>
      <c r="BB61" s="1108"/>
      <c r="BC61" s="2402"/>
      <c r="BD61" s="2402"/>
      <c r="BE61" s="2402"/>
      <c r="BF61" s="1109"/>
      <c r="BG61" s="1109"/>
      <c r="BH61" s="1109"/>
      <c r="BI61" s="1109"/>
      <c r="BJ61" s="1109"/>
      <c r="BK61" s="1109"/>
      <c r="BL61" s="1109"/>
      <c r="BM61" s="1109"/>
      <c r="BN61" s="1109"/>
      <c r="BO61" s="1579"/>
      <c r="BP61" s="1579"/>
      <c r="BQ61" s="1579"/>
      <c r="BR61" s="1579"/>
      <c r="BS61" s="1109"/>
      <c r="BT61" s="2402"/>
      <c r="BU61" s="2402"/>
      <c r="BV61" s="2402"/>
      <c r="BW61" s="1109"/>
      <c r="BX61" s="1109"/>
      <c r="BY61" s="1109"/>
      <c r="BZ61" s="1109"/>
      <c r="CA61" s="1109"/>
      <c r="CB61" s="1109"/>
      <c r="CC61" s="1109"/>
      <c r="CD61" s="1109"/>
      <c r="CE61" s="1109"/>
      <c r="CF61" s="1155"/>
      <c r="CG61" s="1155"/>
      <c r="CH61" s="1155"/>
      <c r="CI61" s="1155"/>
      <c r="CJ61" s="1108"/>
      <c r="CK61" s="2402"/>
      <c r="CL61" s="2402"/>
      <c r="CM61" s="2402"/>
      <c r="CN61" s="1109"/>
      <c r="CO61" s="1109"/>
      <c r="CP61" s="1109"/>
      <c r="CQ61" s="1109"/>
      <c r="CR61" s="1109"/>
      <c r="CS61" s="1109"/>
      <c r="CT61" s="1109"/>
      <c r="CU61" s="1109"/>
      <c r="CV61" s="1109"/>
      <c r="CW61" s="1109"/>
      <c r="CX61" s="1109"/>
      <c r="CY61" s="1109"/>
      <c r="CZ61" s="1108"/>
      <c r="DA61" s="2402"/>
      <c r="DB61" s="2402"/>
      <c r="DC61" s="2402"/>
      <c r="DD61" s="1109"/>
      <c r="DE61" s="1109"/>
      <c r="DF61" s="1109"/>
      <c r="DG61" s="1109"/>
      <c r="DH61" s="1109"/>
      <c r="DI61" s="1109"/>
      <c r="DJ61" s="1109"/>
      <c r="DK61" s="1109"/>
      <c r="DL61" s="1579"/>
      <c r="DM61" s="1579"/>
      <c r="DN61" s="1579"/>
    </row>
    <row r="62" spans="1:118" s="1577" customFormat="1" hidden="1" outlineLevel="1">
      <c r="A62" s="1822"/>
      <c r="B62" s="2400" t="s">
        <v>1642</v>
      </c>
      <c r="C62" s="2088"/>
      <c r="D62" s="2400" t="s">
        <v>638</v>
      </c>
      <c r="E62" s="2401"/>
      <c r="F62" s="2401"/>
      <c r="G62" s="2401"/>
      <c r="H62" s="2401"/>
      <c r="I62" s="2402"/>
      <c r="J62" s="2402"/>
      <c r="K62" s="2402"/>
      <c r="L62" s="1109"/>
      <c r="M62" s="1109"/>
      <c r="N62" s="1109"/>
      <c r="O62" s="1109"/>
      <c r="P62" s="1109"/>
      <c r="Q62" s="1109"/>
      <c r="R62" s="1109"/>
      <c r="S62" s="1109"/>
      <c r="T62" s="2401"/>
      <c r="U62" s="2402"/>
      <c r="V62" s="2402"/>
      <c r="W62" s="2402"/>
      <c r="X62" s="1109"/>
      <c r="Y62" s="1109"/>
      <c r="Z62" s="1109"/>
      <c r="AA62" s="1109"/>
      <c r="AB62" s="1109"/>
      <c r="AC62" s="1109"/>
      <c r="AD62" s="1109"/>
      <c r="AE62" s="1109"/>
      <c r="AF62" s="1109"/>
      <c r="AG62" s="1579"/>
      <c r="AH62" s="1579"/>
      <c r="AI62" s="1579"/>
      <c r="AJ62" s="1579"/>
      <c r="AK62" s="1108"/>
      <c r="AL62" s="2403"/>
      <c r="AM62" s="2403"/>
      <c r="AN62" s="2403"/>
      <c r="AO62" s="1108"/>
      <c r="AP62" s="1109"/>
      <c r="AQ62" s="1109"/>
      <c r="AR62" s="1109"/>
      <c r="AS62" s="1109"/>
      <c r="AT62" s="1109"/>
      <c r="AU62" s="1109"/>
      <c r="AV62" s="1109"/>
      <c r="AW62" s="1109"/>
      <c r="AX62" s="1579"/>
      <c r="AY62" s="1579"/>
      <c r="AZ62" s="1579"/>
      <c r="BA62" s="1579"/>
      <c r="BB62" s="1108"/>
      <c r="BC62" s="2402"/>
      <c r="BD62" s="2402"/>
      <c r="BE62" s="2402"/>
      <c r="BF62" s="1109"/>
      <c r="BG62" s="1109"/>
      <c r="BH62" s="1109"/>
      <c r="BI62" s="1109"/>
      <c r="BJ62" s="1109"/>
      <c r="BK62" s="1109"/>
      <c r="BL62" s="1109"/>
      <c r="BM62" s="1109"/>
      <c r="BN62" s="1109"/>
      <c r="BO62" s="1579"/>
      <c r="BP62" s="1579"/>
      <c r="BQ62" s="1579"/>
      <c r="BR62" s="1579"/>
      <c r="BS62" s="1109"/>
      <c r="BT62" s="2402"/>
      <c r="BU62" s="2402"/>
      <c r="BV62" s="2402"/>
      <c r="BW62" s="1109"/>
      <c r="BX62" s="1109"/>
      <c r="BY62" s="1109"/>
      <c r="BZ62" s="1109"/>
      <c r="CA62" s="1109"/>
      <c r="CB62" s="1109"/>
      <c r="CC62" s="1109"/>
      <c r="CD62" s="1109"/>
      <c r="CE62" s="1109"/>
      <c r="CF62" s="1155"/>
      <c r="CG62" s="1155"/>
      <c r="CH62" s="1155"/>
      <c r="CI62" s="1155"/>
      <c r="CJ62" s="1108"/>
      <c r="CK62" s="2402"/>
      <c r="CL62" s="2402"/>
      <c r="CM62" s="2402"/>
      <c r="CN62" s="1109"/>
      <c r="CO62" s="1109"/>
      <c r="CP62" s="1109"/>
      <c r="CQ62" s="1109"/>
      <c r="CR62" s="1109"/>
      <c r="CS62" s="1109"/>
      <c r="CT62" s="1109"/>
      <c r="CU62" s="1109"/>
      <c r="CV62" s="1109"/>
      <c r="CW62" s="1109"/>
      <c r="CX62" s="1109"/>
      <c r="CY62" s="1109"/>
      <c r="CZ62" s="1108"/>
      <c r="DA62" s="2402"/>
      <c r="DB62" s="2402"/>
      <c r="DC62" s="2402"/>
      <c r="DD62" s="1109"/>
      <c r="DE62" s="1109"/>
      <c r="DF62" s="1109"/>
      <c r="DG62" s="1109"/>
      <c r="DH62" s="1109"/>
      <c r="DI62" s="1109"/>
      <c r="DJ62" s="1109"/>
      <c r="DK62" s="1109"/>
      <c r="DL62" s="1579"/>
      <c r="DM62" s="1579"/>
      <c r="DN62" s="1579"/>
    </row>
    <row r="63" spans="1:118" s="1577" customFormat="1" hidden="1" outlineLevel="1">
      <c r="A63" s="1822"/>
      <c r="B63" s="2400" t="s">
        <v>1643</v>
      </c>
      <c r="C63" s="2401"/>
      <c r="D63" s="2400" t="s">
        <v>638</v>
      </c>
      <c r="E63" s="2401"/>
      <c r="F63" s="2401"/>
      <c r="G63" s="2401"/>
      <c r="H63" s="2401"/>
      <c r="I63" s="2402"/>
      <c r="J63" s="2402"/>
      <c r="K63" s="2402"/>
      <c r="L63" s="1109"/>
      <c r="M63" s="1109"/>
      <c r="N63" s="1109"/>
      <c r="O63" s="1109"/>
      <c r="P63" s="1109"/>
      <c r="Q63" s="1109"/>
      <c r="R63" s="1109"/>
      <c r="S63" s="1109"/>
      <c r="T63" s="2401"/>
      <c r="U63" s="2402"/>
      <c r="V63" s="2402"/>
      <c r="W63" s="2402"/>
      <c r="X63" s="1109"/>
      <c r="Y63" s="1109"/>
      <c r="Z63" s="1109"/>
      <c r="AA63" s="1109"/>
      <c r="AB63" s="1109"/>
      <c r="AC63" s="1109"/>
      <c r="AD63" s="1109"/>
      <c r="AE63" s="1109"/>
      <c r="AF63" s="1109"/>
      <c r="AG63" s="1579"/>
      <c r="AH63" s="1579"/>
      <c r="AI63" s="1579"/>
      <c r="AJ63" s="1579"/>
      <c r="AK63" s="1108"/>
      <c r="AL63" s="2403"/>
      <c r="AM63" s="2403"/>
      <c r="AN63" s="2403"/>
      <c r="AO63" s="1108"/>
      <c r="AP63" s="1109"/>
      <c r="AQ63" s="1109"/>
      <c r="AR63" s="1109"/>
      <c r="AS63" s="1109"/>
      <c r="AT63" s="1109"/>
      <c r="AU63" s="1109"/>
      <c r="AV63" s="1109"/>
      <c r="AW63" s="1109"/>
      <c r="AX63" s="1579"/>
      <c r="AY63" s="1579"/>
      <c r="AZ63" s="1579"/>
      <c r="BA63" s="1579"/>
      <c r="BB63" s="1108"/>
      <c r="BC63" s="2402"/>
      <c r="BD63" s="2402"/>
      <c r="BE63" s="2402"/>
      <c r="BF63" s="1109"/>
      <c r="BG63" s="1109"/>
      <c r="BH63" s="1109"/>
      <c r="BI63" s="1109"/>
      <c r="BJ63" s="1109"/>
      <c r="BK63" s="1109"/>
      <c r="BL63" s="1109"/>
      <c r="BM63" s="1109"/>
      <c r="BN63" s="1109"/>
      <c r="BO63" s="1579"/>
      <c r="BP63" s="1579"/>
      <c r="BQ63" s="1579"/>
      <c r="BR63" s="1579"/>
      <c r="BS63" s="1109"/>
      <c r="BT63" s="2402"/>
      <c r="BU63" s="2402"/>
      <c r="BV63" s="2402"/>
      <c r="BW63" s="1109"/>
      <c r="BX63" s="1109"/>
      <c r="BY63" s="1109"/>
      <c r="BZ63" s="1109"/>
      <c r="CA63" s="1109"/>
      <c r="CB63" s="1109"/>
      <c r="CC63" s="1109"/>
      <c r="CD63" s="1109"/>
      <c r="CE63" s="1109"/>
      <c r="CF63" s="1155"/>
      <c r="CG63" s="1155"/>
      <c r="CH63" s="1155"/>
      <c r="CI63" s="1155"/>
      <c r="CJ63" s="1108"/>
      <c r="CK63" s="2402"/>
      <c r="CL63" s="2402"/>
      <c r="CM63" s="2402"/>
      <c r="CN63" s="1109"/>
      <c r="CO63" s="1109"/>
      <c r="CP63" s="1109"/>
      <c r="CQ63" s="1109"/>
      <c r="CR63" s="1109"/>
      <c r="CS63" s="1109"/>
      <c r="CT63" s="1109"/>
      <c r="CU63" s="1109"/>
      <c r="CV63" s="1109"/>
      <c r="CW63" s="1109"/>
      <c r="CX63" s="1109"/>
      <c r="CY63" s="1109"/>
      <c r="CZ63" s="1108"/>
      <c r="DA63" s="2402"/>
      <c r="DB63" s="2402"/>
      <c r="DC63" s="2402"/>
      <c r="DD63" s="1109"/>
      <c r="DE63" s="1109"/>
      <c r="DF63" s="1109"/>
      <c r="DG63" s="1109"/>
      <c r="DH63" s="1109"/>
      <c r="DI63" s="1109"/>
      <c r="DJ63" s="1109"/>
      <c r="DK63" s="1109"/>
      <c r="DL63" s="1579"/>
      <c r="DM63" s="1579"/>
      <c r="DN63" s="1579"/>
    </row>
    <row r="64" spans="1:118" s="1577" customFormat="1" hidden="1" outlineLevel="1">
      <c r="A64" s="1822"/>
      <c r="B64" s="2400" t="s">
        <v>614</v>
      </c>
      <c r="C64" s="2401"/>
      <c r="D64" s="2400" t="s">
        <v>638</v>
      </c>
      <c r="E64" s="2401"/>
      <c r="F64" s="2401"/>
      <c r="G64" s="2401"/>
      <c r="H64" s="2401"/>
      <c r="I64" s="2402"/>
      <c r="J64" s="2402"/>
      <c r="K64" s="2402"/>
      <c r="L64" s="1109"/>
      <c r="M64" s="1109"/>
      <c r="N64" s="1109"/>
      <c r="O64" s="1109"/>
      <c r="P64" s="1109"/>
      <c r="Q64" s="1109"/>
      <c r="R64" s="1109"/>
      <c r="S64" s="1109"/>
      <c r="T64" s="2401"/>
      <c r="U64" s="2402"/>
      <c r="V64" s="2402"/>
      <c r="W64" s="2402"/>
      <c r="X64" s="1109"/>
      <c r="Y64" s="1109"/>
      <c r="Z64" s="1109"/>
      <c r="AA64" s="1109"/>
      <c r="AB64" s="1109"/>
      <c r="AC64" s="1109"/>
      <c r="AD64" s="1109"/>
      <c r="AE64" s="1109"/>
      <c r="AF64" s="1109"/>
      <c r="AG64" s="1579"/>
      <c r="AH64" s="1579"/>
      <c r="AI64" s="1579"/>
      <c r="AJ64" s="1579"/>
      <c r="AK64" s="1108"/>
      <c r="AL64" s="2403"/>
      <c r="AM64" s="2403"/>
      <c r="AN64" s="2403"/>
      <c r="AO64" s="1108"/>
      <c r="AP64" s="1109"/>
      <c r="AQ64" s="1109"/>
      <c r="AR64" s="1109"/>
      <c r="AS64" s="1109"/>
      <c r="AT64" s="1109"/>
      <c r="AU64" s="1109"/>
      <c r="AV64" s="1109"/>
      <c r="AW64" s="1109"/>
      <c r="AX64" s="1579"/>
      <c r="AY64" s="1579"/>
      <c r="AZ64" s="1579"/>
      <c r="BA64" s="1579"/>
      <c r="BB64" s="1108"/>
      <c r="BC64" s="2402"/>
      <c r="BD64" s="2402"/>
      <c r="BE64" s="2402"/>
      <c r="BF64" s="1109"/>
      <c r="BG64" s="1109"/>
      <c r="BH64" s="1109"/>
      <c r="BI64" s="1109"/>
      <c r="BJ64" s="1109"/>
      <c r="BK64" s="1109"/>
      <c r="BL64" s="1109"/>
      <c r="BM64" s="1109"/>
      <c r="BN64" s="1109"/>
      <c r="BO64" s="1579"/>
      <c r="BP64" s="1579"/>
      <c r="BQ64" s="1579"/>
      <c r="BR64" s="1579"/>
      <c r="BS64" s="1109"/>
      <c r="BT64" s="2402"/>
      <c r="BU64" s="2402"/>
      <c r="BV64" s="2402"/>
      <c r="BW64" s="1109"/>
      <c r="BX64" s="1109"/>
      <c r="BY64" s="1109"/>
      <c r="BZ64" s="1109"/>
      <c r="CA64" s="1109"/>
      <c r="CB64" s="1109"/>
      <c r="CC64" s="1109"/>
      <c r="CD64" s="1109"/>
      <c r="CE64" s="1109"/>
      <c r="CF64" s="1155"/>
      <c r="CG64" s="1155"/>
      <c r="CH64" s="1155"/>
      <c r="CI64" s="1155"/>
      <c r="CJ64" s="1108"/>
      <c r="CK64" s="2402"/>
      <c r="CL64" s="2402"/>
      <c r="CM64" s="2402"/>
      <c r="CN64" s="1109"/>
      <c r="CO64" s="1109"/>
      <c r="CP64" s="1109"/>
      <c r="CQ64" s="1109"/>
      <c r="CR64" s="1109"/>
      <c r="CS64" s="1109"/>
      <c r="CT64" s="1109"/>
      <c r="CU64" s="1109"/>
      <c r="CV64" s="1109"/>
      <c r="CW64" s="1109"/>
      <c r="CX64" s="1109"/>
      <c r="CY64" s="1109"/>
      <c r="CZ64" s="1108"/>
      <c r="DA64" s="2402"/>
      <c r="DB64" s="2402"/>
      <c r="DC64" s="2402"/>
      <c r="DD64" s="1109"/>
      <c r="DE64" s="1109"/>
      <c r="DF64" s="1109"/>
      <c r="DG64" s="1109"/>
      <c r="DH64" s="1109"/>
      <c r="DI64" s="1109"/>
      <c r="DJ64" s="1109"/>
      <c r="DK64" s="1109"/>
      <c r="DL64" s="1579"/>
      <c r="DM64" s="1579"/>
      <c r="DN64" s="1579"/>
    </row>
    <row r="65" spans="1:118" s="1577" customFormat="1" hidden="1" outlineLevel="1">
      <c r="A65" s="1822"/>
      <c r="B65" s="2400" t="s">
        <v>1648</v>
      </c>
      <c r="C65" s="2401"/>
      <c r="D65" s="2400" t="s">
        <v>638</v>
      </c>
      <c r="E65" s="2401"/>
      <c r="F65" s="2401"/>
      <c r="G65" s="2401"/>
      <c r="H65" s="2401"/>
      <c r="I65" s="2402"/>
      <c r="J65" s="2402"/>
      <c r="K65" s="2402"/>
      <c r="L65" s="1109"/>
      <c r="M65" s="1109"/>
      <c r="N65" s="1109"/>
      <c r="O65" s="1109"/>
      <c r="P65" s="1109"/>
      <c r="Q65" s="1109"/>
      <c r="R65" s="1109"/>
      <c r="S65" s="1109"/>
      <c r="T65" s="2401"/>
      <c r="U65" s="2402"/>
      <c r="V65" s="2402"/>
      <c r="W65" s="2402"/>
      <c r="X65" s="1109"/>
      <c r="Y65" s="1109"/>
      <c r="Z65" s="1109"/>
      <c r="AA65" s="1109"/>
      <c r="AB65" s="1109"/>
      <c r="AC65" s="1109"/>
      <c r="AD65" s="1109"/>
      <c r="AE65" s="1109"/>
      <c r="AF65" s="1109"/>
      <c r="AG65" s="1579"/>
      <c r="AH65" s="1579"/>
      <c r="AI65" s="1579"/>
      <c r="AJ65" s="1579"/>
      <c r="AK65" s="1108"/>
      <c r="AL65" s="2403"/>
      <c r="AM65" s="2403"/>
      <c r="AN65" s="2403"/>
      <c r="AO65" s="1108"/>
      <c r="AP65" s="1109"/>
      <c r="AQ65" s="1109"/>
      <c r="AR65" s="1109"/>
      <c r="AS65" s="1109"/>
      <c r="AT65" s="1109"/>
      <c r="AU65" s="1109"/>
      <c r="AV65" s="1109"/>
      <c r="AW65" s="1109"/>
      <c r="AX65" s="1579"/>
      <c r="AY65" s="1579"/>
      <c r="AZ65" s="1579"/>
      <c r="BA65" s="1579"/>
      <c r="BB65" s="1108"/>
      <c r="BC65" s="2402"/>
      <c r="BD65" s="2402"/>
      <c r="BE65" s="2402"/>
      <c r="BF65" s="1109"/>
      <c r="BG65" s="1109"/>
      <c r="BH65" s="1109"/>
      <c r="BI65" s="1109"/>
      <c r="BJ65" s="1109"/>
      <c r="BK65" s="1109"/>
      <c r="BL65" s="1109"/>
      <c r="BM65" s="1109"/>
      <c r="BN65" s="1109"/>
      <c r="BO65" s="1579"/>
      <c r="BP65" s="1579"/>
      <c r="BQ65" s="1579"/>
      <c r="BR65" s="1579"/>
      <c r="BS65" s="1109"/>
      <c r="BT65" s="2402"/>
      <c r="BU65" s="2402"/>
      <c r="BV65" s="2402"/>
      <c r="BW65" s="1109"/>
      <c r="BX65" s="1109"/>
      <c r="BY65" s="1109"/>
      <c r="BZ65" s="1109"/>
      <c r="CA65" s="1109"/>
      <c r="CB65" s="1109"/>
      <c r="CC65" s="1109"/>
      <c r="CD65" s="1109"/>
      <c r="CE65" s="1109"/>
      <c r="CF65" s="1155"/>
      <c r="CG65" s="1155"/>
      <c r="CH65" s="1155"/>
      <c r="CI65" s="1155"/>
      <c r="CJ65" s="1108"/>
      <c r="CK65" s="2402"/>
      <c r="CL65" s="2402"/>
      <c r="CM65" s="2402"/>
      <c r="CN65" s="1109"/>
      <c r="CO65" s="1109"/>
      <c r="CP65" s="1109"/>
      <c r="CQ65" s="1109"/>
      <c r="CR65" s="1109"/>
      <c r="CS65" s="1109"/>
      <c r="CT65" s="1109"/>
      <c r="CU65" s="1109"/>
      <c r="CV65" s="1109"/>
      <c r="CW65" s="1109"/>
      <c r="CX65" s="1109"/>
      <c r="CY65" s="1109"/>
      <c r="CZ65" s="1108"/>
      <c r="DA65" s="2402"/>
      <c r="DB65" s="2402"/>
      <c r="DC65" s="2402"/>
      <c r="DD65" s="1109"/>
      <c r="DE65" s="1109"/>
      <c r="DF65" s="1109"/>
      <c r="DG65" s="1109"/>
      <c r="DH65" s="1109"/>
      <c r="DI65" s="1109"/>
      <c r="DJ65" s="1109"/>
      <c r="DK65" s="1109"/>
      <c r="DL65" s="1579"/>
      <c r="DM65" s="1579"/>
      <c r="DN65" s="1579"/>
    </row>
    <row r="66" spans="1:118" s="1577" customFormat="1" hidden="1" outlineLevel="1">
      <c r="A66" s="1822"/>
      <c r="B66" s="2400" t="s">
        <v>1576</v>
      </c>
      <c r="C66" s="2401"/>
      <c r="D66" s="2400" t="s">
        <v>638</v>
      </c>
      <c r="E66" s="2401"/>
      <c r="F66" s="2401"/>
      <c r="G66" s="2401"/>
      <c r="H66" s="2401"/>
      <c r="I66" s="2402"/>
      <c r="J66" s="2402"/>
      <c r="K66" s="2402"/>
      <c r="L66" s="1109"/>
      <c r="M66" s="1109"/>
      <c r="N66" s="1109"/>
      <c r="O66" s="1109"/>
      <c r="P66" s="1109"/>
      <c r="Q66" s="1109"/>
      <c r="R66" s="1109"/>
      <c r="S66" s="1109"/>
      <c r="T66" s="2401"/>
      <c r="U66" s="2402"/>
      <c r="V66" s="2402"/>
      <c r="W66" s="2402"/>
      <c r="X66" s="1109"/>
      <c r="Y66" s="1109"/>
      <c r="Z66" s="1109"/>
      <c r="AA66" s="1109"/>
      <c r="AB66" s="1109"/>
      <c r="AC66" s="1109"/>
      <c r="AD66" s="1109"/>
      <c r="AE66" s="1109"/>
      <c r="AF66" s="1109"/>
      <c r="AG66" s="1579"/>
      <c r="AH66" s="1579"/>
      <c r="AI66" s="1579"/>
      <c r="AJ66" s="1579"/>
      <c r="AK66" s="1108"/>
      <c r="AL66" s="2403"/>
      <c r="AM66" s="2403"/>
      <c r="AN66" s="2403"/>
      <c r="AO66" s="1108"/>
      <c r="AP66" s="1109"/>
      <c r="AQ66" s="1109"/>
      <c r="AR66" s="1109"/>
      <c r="AS66" s="1109"/>
      <c r="AT66" s="1109"/>
      <c r="AU66" s="1109"/>
      <c r="AV66" s="1109"/>
      <c r="AW66" s="1109"/>
      <c r="AX66" s="1579"/>
      <c r="AY66" s="1579"/>
      <c r="AZ66" s="1579"/>
      <c r="BA66" s="1579"/>
      <c r="BB66" s="1108"/>
      <c r="BC66" s="2402"/>
      <c r="BD66" s="2402"/>
      <c r="BE66" s="2402"/>
      <c r="BF66" s="1109"/>
      <c r="BG66" s="1109"/>
      <c r="BH66" s="1109"/>
      <c r="BI66" s="1109"/>
      <c r="BJ66" s="1109"/>
      <c r="BK66" s="1109"/>
      <c r="BL66" s="1109"/>
      <c r="BM66" s="1109"/>
      <c r="BN66" s="1109"/>
      <c r="BO66" s="1579"/>
      <c r="BP66" s="1579"/>
      <c r="BQ66" s="1579"/>
      <c r="BR66" s="1579"/>
      <c r="BS66" s="1109"/>
      <c r="BT66" s="2402"/>
      <c r="BU66" s="2402"/>
      <c r="BV66" s="2402"/>
      <c r="BW66" s="1109"/>
      <c r="BX66" s="1109"/>
      <c r="BY66" s="1109"/>
      <c r="BZ66" s="1109"/>
      <c r="CA66" s="1109"/>
      <c r="CB66" s="1109"/>
      <c r="CC66" s="1109"/>
      <c r="CD66" s="1109"/>
      <c r="CE66" s="1109"/>
      <c r="CF66" s="1155"/>
      <c r="CG66" s="1155"/>
      <c r="CH66" s="1155"/>
      <c r="CI66" s="1155"/>
      <c r="CJ66" s="1108"/>
      <c r="CK66" s="2402"/>
      <c r="CL66" s="2402"/>
      <c r="CM66" s="2402"/>
      <c r="CN66" s="1109"/>
      <c r="CO66" s="1109"/>
      <c r="CP66" s="1109"/>
      <c r="CQ66" s="1109"/>
      <c r="CR66" s="1109"/>
      <c r="CS66" s="1109"/>
      <c r="CT66" s="1109"/>
      <c r="CU66" s="1109"/>
      <c r="CV66" s="1109"/>
      <c r="CW66" s="1109"/>
      <c r="CX66" s="1109"/>
      <c r="CY66" s="1109"/>
      <c r="CZ66" s="1108"/>
      <c r="DA66" s="2402"/>
      <c r="DB66" s="2402"/>
      <c r="DC66" s="2402"/>
      <c r="DD66" s="1109"/>
      <c r="DE66" s="1109"/>
      <c r="DF66" s="1109"/>
      <c r="DG66" s="1109"/>
      <c r="DH66" s="1109"/>
      <c r="DI66" s="1109"/>
      <c r="DJ66" s="1109"/>
      <c r="DK66" s="1109"/>
      <c r="DL66" s="1579"/>
      <c r="DM66" s="1579"/>
      <c r="DN66" s="1579"/>
    </row>
    <row r="67" spans="1:118" s="1577" customFormat="1" hidden="1" outlineLevel="1">
      <c r="A67" s="1822"/>
      <c r="B67" s="2400" t="s">
        <v>1459</v>
      </c>
      <c r="C67" s="2401"/>
      <c r="D67" s="2400" t="s">
        <v>595</v>
      </c>
      <c r="E67" s="2401"/>
      <c r="F67" s="2401"/>
      <c r="G67" s="2401"/>
      <c r="H67" s="2401"/>
      <c r="I67" s="2402"/>
      <c r="J67" s="2402"/>
      <c r="K67" s="2402"/>
      <c r="L67" s="1109"/>
      <c r="M67" s="1109"/>
      <c r="N67" s="1109"/>
      <c r="O67" s="1109"/>
      <c r="P67" s="1109"/>
      <c r="Q67" s="1109"/>
      <c r="R67" s="1109"/>
      <c r="S67" s="1109"/>
      <c r="T67" s="2401"/>
      <c r="U67" s="2402"/>
      <c r="V67" s="2402"/>
      <c r="W67" s="2402"/>
      <c r="X67" s="1109"/>
      <c r="Y67" s="1109"/>
      <c r="Z67" s="1109"/>
      <c r="AA67" s="1109"/>
      <c r="AB67" s="1109"/>
      <c r="AC67" s="1109"/>
      <c r="AD67" s="1109"/>
      <c r="AE67" s="1109"/>
      <c r="AF67" s="1109"/>
      <c r="AG67" s="1579"/>
      <c r="AH67" s="1579"/>
      <c r="AI67" s="1579"/>
      <c r="AJ67" s="1579"/>
      <c r="AK67" s="1108"/>
      <c r="AL67" s="2403"/>
      <c r="AM67" s="2403"/>
      <c r="AN67" s="2403"/>
      <c r="AO67" s="1108"/>
      <c r="AP67" s="1109"/>
      <c r="AQ67" s="1109"/>
      <c r="AR67" s="1109"/>
      <c r="AS67" s="1109"/>
      <c r="AT67" s="1109"/>
      <c r="AU67" s="1109"/>
      <c r="AV67" s="1109"/>
      <c r="AW67" s="1109"/>
      <c r="AX67" s="1579"/>
      <c r="AY67" s="1579"/>
      <c r="AZ67" s="1579"/>
      <c r="BA67" s="1579"/>
      <c r="BB67" s="1108"/>
      <c r="BC67" s="2402"/>
      <c r="BD67" s="2402"/>
      <c r="BE67" s="2402"/>
      <c r="BF67" s="1109"/>
      <c r="BG67" s="1109"/>
      <c r="BH67" s="1109"/>
      <c r="BI67" s="1109"/>
      <c r="BJ67" s="1109"/>
      <c r="BK67" s="1109"/>
      <c r="BL67" s="1109"/>
      <c r="BM67" s="1109"/>
      <c r="BN67" s="1109"/>
      <c r="BO67" s="1579"/>
      <c r="BP67" s="1579"/>
      <c r="BQ67" s="1579"/>
      <c r="BR67" s="1579"/>
      <c r="BS67" s="1109"/>
      <c r="BT67" s="2402"/>
      <c r="BU67" s="2402"/>
      <c r="BV67" s="2402"/>
      <c r="BW67" s="1109"/>
      <c r="BX67" s="1109"/>
      <c r="BY67" s="1109"/>
      <c r="BZ67" s="1109"/>
      <c r="CA67" s="1109"/>
      <c r="CB67" s="1109"/>
      <c r="CC67" s="1109"/>
      <c r="CD67" s="1109"/>
      <c r="CE67" s="1109"/>
      <c r="CF67" s="1155"/>
      <c r="CG67" s="1155"/>
      <c r="CH67" s="1155"/>
      <c r="CI67" s="1155"/>
      <c r="CJ67" s="1108"/>
      <c r="CK67" s="2402"/>
      <c r="CL67" s="2402"/>
      <c r="CM67" s="2402"/>
      <c r="CN67" s="1109"/>
      <c r="CO67" s="1109"/>
      <c r="CP67" s="1109"/>
      <c r="CQ67" s="1109"/>
      <c r="CR67" s="1109"/>
      <c r="CS67" s="1109"/>
      <c r="CT67" s="1109"/>
      <c r="CU67" s="1109"/>
      <c r="CV67" s="1109"/>
      <c r="CW67" s="1109"/>
      <c r="CX67" s="1109"/>
      <c r="CY67" s="1109"/>
      <c r="CZ67" s="1108"/>
      <c r="DA67" s="2402"/>
      <c r="DB67" s="2402"/>
      <c r="DC67" s="2402"/>
      <c r="DD67" s="1109"/>
      <c r="DE67" s="1109"/>
      <c r="DF67" s="1109"/>
      <c r="DG67" s="1109"/>
      <c r="DH67" s="1109"/>
      <c r="DI67" s="1109"/>
      <c r="DJ67" s="1109"/>
      <c r="DK67" s="1109"/>
      <c r="DL67" s="1579"/>
      <c r="DM67" s="1579"/>
      <c r="DN67" s="1579"/>
    </row>
    <row r="68" spans="1:118" collapsed="1">
      <c r="A68" s="259"/>
      <c r="B68" s="1"/>
      <c r="C68" s="1"/>
      <c r="D68" s="1"/>
      <c r="E68" s="1"/>
      <c r="F68" s="1"/>
      <c r="G68" s="1"/>
      <c r="H68" s="1"/>
      <c r="I68" s="464"/>
      <c r="J68" s="464"/>
      <c r="K68" s="464"/>
      <c r="L68" s="84"/>
      <c r="M68" s="84"/>
      <c r="N68" s="84"/>
      <c r="O68" s="84"/>
      <c r="P68" s="84"/>
      <c r="Q68" s="84"/>
      <c r="R68" s="84"/>
      <c r="S68" s="84"/>
      <c r="T68" s="1"/>
      <c r="U68" s="464"/>
      <c r="V68" s="464"/>
      <c r="W68" s="464"/>
      <c r="X68" s="84"/>
      <c r="Y68" s="84"/>
      <c r="Z68" s="84"/>
      <c r="AA68" s="84"/>
      <c r="AB68" s="84"/>
      <c r="AC68" s="84"/>
      <c r="AD68" s="84"/>
      <c r="AE68" s="84"/>
      <c r="AF68" s="84"/>
      <c r="AG68" s="865"/>
      <c r="AH68" s="865"/>
      <c r="AI68" s="865"/>
      <c r="AJ68" s="865"/>
      <c r="AK68" s="6"/>
      <c r="AL68" s="275"/>
      <c r="AM68" s="275"/>
      <c r="AN68" s="275"/>
      <c r="AO68" s="6"/>
      <c r="AP68" s="84"/>
      <c r="AQ68" s="84"/>
      <c r="AR68" s="84"/>
      <c r="AS68" s="84"/>
      <c r="AT68" s="84"/>
      <c r="AU68" s="84"/>
      <c r="AV68" s="84"/>
      <c r="AW68" s="84"/>
      <c r="AX68" s="865"/>
      <c r="AY68" s="865"/>
      <c r="AZ68" s="865"/>
      <c r="BA68" s="865"/>
      <c r="BB68" s="6"/>
      <c r="BC68" s="464"/>
      <c r="BD68" s="464"/>
      <c r="BE68" s="464"/>
      <c r="BF68" s="84"/>
      <c r="BG68" s="84"/>
      <c r="BH68" s="84"/>
      <c r="BI68" s="84"/>
      <c r="BJ68" s="84"/>
      <c r="BK68" s="84"/>
      <c r="BL68" s="84"/>
      <c r="BM68" s="84"/>
      <c r="BN68" s="84"/>
      <c r="BO68" s="865"/>
      <c r="BP68" s="865"/>
      <c r="BQ68" s="865"/>
      <c r="BR68" s="865"/>
      <c r="BS68" s="84"/>
      <c r="BT68" s="464"/>
      <c r="BU68" s="464"/>
      <c r="BV68" s="464"/>
      <c r="BW68" s="84"/>
      <c r="BX68" s="84"/>
      <c r="BY68" s="84"/>
      <c r="BZ68" s="84"/>
      <c r="CA68" s="84"/>
      <c r="CB68" s="84"/>
      <c r="CC68" s="84"/>
      <c r="CD68" s="84"/>
      <c r="CE68" s="84"/>
      <c r="CF68" s="1155"/>
      <c r="CG68" s="1155"/>
      <c r="CH68" s="1155"/>
      <c r="CI68" s="1155"/>
      <c r="CJ68" s="6"/>
      <c r="CK68" s="464"/>
      <c r="CL68" s="464"/>
      <c r="CM68" s="464"/>
      <c r="CN68" s="84"/>
      <c r="CO68" s="84"/>
      <c r="CP68" s="84"/>
      <c r="CQ68" s="84"/>
      <c r="CR68" s="84"/>
      <c r="CS68" s="84"/>
      <c r="CT68" s="84"/>
      <c r="CU68" s="84"/>
      <c r="CV68" s="84"/>
      <c r="CW68" s="84"/>
      <c r="CX68" s="84"/>
      <c r="CY68" s="84"/>
      <c r="CZ68" s="6"/>
      <c r="DA68" s="464"/>
      <c r="DB68" s="464"/>
      <c r="DC68" s="464"/>
      <c r="DD68" s="84"/>
      <c r="DE68" s="84"/>
      <c r="DF68" s="84"/>
      <c r="DG68" s="84"/>
      <c r="DH68" s="84"/>
      <c r="DI68" s="84"/>
      <c r="DJ68" s="84"/>
      <c r="DK68" s="84"/>
      <c r="DL68" s="865"/>
      <c r="DM68" s="865"/>
      <c r="DN68" s="865"/>
    </row>
    <row r="69" spans="1:118" s="1577" customFormat="1">
      <c r="A69" s="2417" t="s">
        <v>1673</v>
      </c>
      <c r="B69" s="2401"/>
      <c r="C69" s="2401"/>
      <c r="D69" s="2401"/>
      <c r="E69" s="2401"/>
      <c r="F69" s="2401"/>
      <c r="G69" s="2401"/>
      <c r="H69" s="2401"/>
      <c r="I69" s="2402"/>
      <c r="J69" s="2402"/>
      <c r="K69" s="2402"/>
      <c r="L69" s="1109"/>
      <c r="M69" s="1109"/>
      <c r="N69" s="1109"/>
      <c r="O69" s="1109"/>
      <c r="P69" s="1109"/>
      <c r="Q69" s="1109"/>
      <c r="R69" s="1109"/>
      <c r="S69" s="1109"/>
      <c r="T69" s="2401"/>
      <c r="U69" s="2402"/>
      <c r="V69" s="2402"/>
      <c r="W69" s="2402"/>
      <c r="X69" s="1109"/>
      <c r="Y69" s="1109"/>
      <c r="Z69" s="1109"/>
      <c r="AA69" s="1109"/>
      <c r="AB69" s="1109"/>
      <c r="AC69" s="1109"/>
      <c r="AD69" s="1109"/>
      <c r="AE69" s="1109"/>
      <c r="AF69" s="1109"/>
      <c r="AG69" s="1579"/>
      <c r="AH69" s="1579"/>
      <c r="AI69" s="1579"/>
      <c r="AJ69" s="1579"/>
      <c r="AK69" s="1108"/>
      <c r="AL69" s="2403"/>
      <c r="AM69" s="2403"/>
      <c r="AN69" s="2403"/>
      <c r="AO69" s="1108"/>
      <c r="AP69" s="1109"/>
      <c r="AQ69" s="1109"/>
      <c r="AR69" s="1109"/>
      <c r="AS69" s="1109"/>
      <c r="AT69" s="1109"/>
      <c r="AU69" s="1109"/>
      <c r="AV69" s="1109"/>
      <c r="AW69" s="1109"/>
      <c r="AX69" s="1579"/>
      <c r="AY69" s="1579"/>
      <c r="AZ69" s="1579"/>
      <c r="BA69" s="1579"/>
      <c r="BB69" s="1108"/>
      <c r="BC69" s="2402"/>
      <c r="BD69" s="2402"/>
      <c r="BE69" s="2402"/>
      <c r="BF69" s="1109"/>
      <c r="BG69" s="1109"/>
      <c r="BH69" s="1109"/>
      <c r="BI69" s="1109"/>
      <c r="BJ69" s="1109"/>
      <c r="BK69" s="1109"/>
      <c r="BL69" s="1109"/>
      <c r="BM69" s="1109"/>
      <c r="BN69" s="1109"/>
      <c r="BO69" s="1579"/>
      <c r="BP69" s="1579"/>
      <c r="BQ69" s="1579"/>
      <c r="BR69" s="1579"/>
      <c r="BS69" s="1109"/>
      <c r="BT69" s="2402"/>
      <c r="BU69" s="2402"/>
      <c r="BV69" s="2402"/>
      <c r="BW69" s="1109"/>
      <c r="BX69" s="1109"/>
      <c r="BY69" s="1109"/>
      <c r="BZ69" s="1109"/>
      <c r="CA69" s="1109"/>
      <c r="CB69" s="1109"/>
      <c r="CC69" s="1109"/>
      <c r="CD69" s="1109"/>
      <c r="CE69" s="1109"/>
      <c r="CF69" s="2407"/>
      <c r="CG69" s="2407"/>
      <c r="CH69" s="2407"/>
      <c r="CI69" s="2407"/>
      <c r="CJ69" s="1108"/>
      <c r="CK69" s="2402"/>
      <c r="CL69" s="2402"/>
      <c r="CM69" s="2402"/>
      <c r="CN69" s="1109"/>
      <c r="CO69" s="1109"/>
      <c r="CP69" s="1109"/>
      <c r="CQ69" s="1109"/>
      <c r="CR69" s="1109"/>
      <c r="CS69" s="1109"/>
      <c r="CT69" s="1109"/>
      <c r="CU69" s="1109"/>
      <c r="CV69" s="1109"/>
      <c r="CW69" s="1109"/>
      <c r="CX69" s="1109"/>
      <c r="CY69" s="1109"/>
      <c r="CZ69" s="1108"/>
      <c r="DA69" s="2402"/>
      <c r="DB69" s="2402"/>
      <c r="DC69" s="2402"/>
      <c r="DD69" s="1109"/>
      <c r="DE69" s="1109"/>
      <c r="DF69" s="1109"/>
      <c r="DG69" s="1109"/>
      <c r="DH69" s="1109"/>
      <c r="DI69" s="1109"/>
      <c r="DJ69" s="1109"/>
      <c r="DK69" s="1109"/>
      <c r="DL69" s="1579"/>
      <c r="DM69" s="1579"/>
      <c r="DN69" s="1579"/>
    </row>
    <row r="70" spans="1:118" s="1577" customFormat="1">
      <c r="A70" s="1822">
        <v>2</v>
      </c>
      <c r="B70" s="2400" t="s">
        <v>1636</v>
      </c>
      <c r="C70" s="2400" t="s">
        <v>296</v>
      </c>
      <c r="D70" s="2400" t="s">
        <v>212</v>
      </c>
      <c r="E70" s="2410">
        <v>1</v>
      </c>
      <c r="F70" s="2401"/>
      <c r="G70" s="1361">
        <v>30</v>
      </c>
      <c r="H70" s="2401"/>
      <c r="I70" s="2402"/>
      <c r="J70" s="2402"/>
      <c r="K70" s="2402"/>
      <c r="L70" s="1109"/>
      <c r="M70" s="1109"/>
      <c r="N70" s="1109"/>
      <c r="O70" s="1109"/>
      <c r="P70" s="1109"/>
      <c r="Q70" s="1109"/>
      <c r="R70" s="1109"/>
      <c r="S70" s="1109"/>
      <c r="T70" s="2401"/>
      <c r="U70" s="2402"/>
      <c r="V70" s="2402"/>
      <c r="W70" s="2402"/>
      <c r="X70" s="1109"/>
      <c r="Y70" s="1109"/>
      <c r="Z70" s="1109"/>
      <c r="AA70" s="1109"/>
      <c r="AB70" s="1109"/>
      <c r="AC70" s="1109"/>
      <c r="AD70" s="1109"/>
      <c r="AE70" s="1109"/>
      <c r="AF70" s="1109"/>
      <c r="AG70" s="1579"/>
      <c r="AH70" s="2420">
        <f>AG110*(1+CG70)</f>
        <v>1545</v>
      </c>
      <c r="AI70" s="1579"/>
      <c r="AJ70" s="1579"/>
      <c r="AK70" s="1108"/>
      <c r="AL70" s="2403"/>
      <c r="AM70" s="2403"/>
      <c r="AN70" s="2403"/>
      <c r="AO70" s="1108"/>
      <c r="AP70" s="1109"/>
      <c r="AQ70" s="1109"/>
      <c r="AR70" s="1109"/>
      <c r="AS70" s="1109"/>
      <c r="AT70" s="1109"/>
      <c r="AU70" s="1109"/>
      <c r="AV70" s="1109"/>
      <c r="AW70" s="1109"/>
      <c r="AX70" s="1579"/>
      <c r="AY70" s="2409">
        <v>20</v>
      </c>
      <c r="AZ70" s="1579"/>
      <c r="BA70" s="1579"/>
      <c r="BB70" s="1108"/>
      <c r="BC70" s="2402"/>
      <c r="BD70" s="2402"/>
      <c r="BE70" s="2402"/>
      <c r="BF70" s="1109"/>
      <c r="BG70" s="1109"/>
      <c r="BH70" s="1109"/>
      <c r="BI70" s="1109"/>
      <c r="BJ70" s="1109"/>
      <c r="BK70" s="1109"/>
      <c r="BL70" s="1109"/>
      <c r="BM70" s="1109"/>
      <c r="BN70" s="1109"/>
      <c r="BO70" s="1579"/>
      <c r="BP70" s="2165">
        <f>$E70*AH70*AY70</f>
        <v>30900</v>
      </c>
      <c r="BQ70" s="1579"/>
      <c r="BR70" s="1579"/>
      <c r="BS70" s="1109"/>
      <c r="BT70" s="2402"/>
      <c r="BU70" s="2402"/>
      <c r="BV70" s="2402"/>
      <c r="BW70" s="1109"/>
      <c r="BX70" s="1109"/>
      <c r="BY70" s="1109"/>
      <c r="BZ70" s="1109"/>
      <c r="CA70" s="1109"/>
      <c r="CB70" s="1109"/>
      <c r="CC70" s="1109"/>
      <c r="CD70" s="1109"/>
      <c r="CE70" s="1109"/>
      <c r="CF70" s="2407"/>
      <c r="CG70" s="2407">
        <v>0.03</v>
      </c>
      <c r="CH70" s="2407"/>
      <c r="CI70" s="2407"/>
      <c r="CJ70" s="1108"/>
      <c r="CK70" s="2402"/>
      <c r="CL70" s="2402"/>
      <c r="CM70" s="2402"/>
      <c r="CN70" s="1109"/>
      <c r="CO70" s="1109"/>
      <c r="CP70" s="1109"/>
      <c r="CQ70" s="1109"/>
      <c r="CR70" s="1109"/>
      <c r="CS70" s="1109"/>
      <c r="CT70" s="1109"/>
      <c r="CU70" s="1109"/>
      <c r="CV70" s="1109"/>
      <c r="CW70" s="1109"/>
      <c r="CX70" s="1109"/>
      <c r="CY70" s="1109"/>
      <c r="CZ70" s="1108"/>
      <c r="DA70" s="2402"/>
      <c r="DB70" s="2402"/>
      <c r="DC70" s="2402"/>
      <c r="DD70" s="1109"/>
      <c r="DE70" s="1109"/>
      <c r="DF70" s="1109"/>
      <c r="DG70" s="1109"/>
      <c r="DH70" s="1109"/>
      <c r="DI70" s="1109"/>
      <c r="DJ70" s="1109"/>
      <c r="DK70" s="1109"/>
      <c r="DL70" s="1579"/>
      <c r="DM70" s="1579"/>
      <c r="DN70" s="1579"/>
    </row>
    <row r="71" spans="1:118" s="1577" customFormat="1">
      <c r="A71" s="2416" t="s">
        <v>1665</v>
      </c>
      <c r="B71" s="2400" t="s">
        <v>1657</v>
      </c>
      <c r="C71" s="2400" t="s">
        <v>296</v>
      </c>
      <c r="D71" s="2400" t="s">
        <v>1577</v>
      </c>
      <c r="E71" s="2410">
        <v>1</v>
      </c>
      <c r="F71" s="2401"/>
      <c r="G71" s="1361">
        <v>30</v>
      </c>
      <c r="H71" s="2401"/>
      <c r="I71" s="2402"/>
      <c r="J71" s="2402"/>
      <c r="K71" s="2402"/>
      <c r="L71" s="1109"/>
      <c r="M71" s="1109"/>
      <c r="N71" s="1109"/>
      <c r="O71" s="1109"/>
      <c r="P71" s="1109"/>
      <c r="Q71" s="1109"/>
      <c r="R71" s="1109"/>
      <c r="S71" s="1109"/>
      <c r="T71" s="2401"/>
      <c r="U71" s="2402"/>
      <c r="V71" s="2402"/>
      <c r="W71" s="2402"/>
      <c r="X71" s="1109"/>
      <c r="Y71" s="1109"/>
      <c r="Z71" s="1109"/>
      <c r="AA71" s="1109"/>
      <c r="AB71" s="1109"/>
      <c r="AC71" s="1109"/>
      <c r="AD71" s="1109"/>
      <c r="AE71" s="1109"/>
      <c r="AF71" s="1109"/>
      <c r="AG71" s="1579"/>
      <c r="AH71" s="2420">
        <f>AG111*(1+CG71)</f>
        <v>2185.4540000000002</v>
      </c>
      <c r="AI71" s="1579"/>
      <c r="AJ71" s="1579"/>
      <c r="AK71" s="1108"/>
      <c r="AL71" s="2403"/>
      <c r="AM71" s="2403"/>
      <c r="AN71" s="2403"/>
      <c r="AO71" s="1108"/>
      <c r="AP71" s="1109"/>
      <c r="AQ71" s="1109"/>
      <c r="AR71" s="1109"/>
      <c r="AS71" s="1109"/>
      <c r="AT71" s="1109"/>
      <c r="AU71" s="1109"/>
      <c r="AV71" s="1109"/>
      <c r="AW71" s="1109"/>
      <c r="AX71" s="1579"/>
      <c r="AY71" s="2409">
        <f>8+10</f>
        <v>18</v>
      </c>
      <c r="AZ71" s="1579"/>
      <c r="BA71" s="1579"/>
      <c r="BB71" s="1108"/>
      <c r="BC71" s="2402"/>
      <c r="BD71" s="2402"/>
      <c r="BE71" s="2402"/>
      <c r="BF71" s="1109"/>
      <c r="BG71" s="1109"/>
      <c r="BH71" s="1109"/>
      <c r="BI71" s="1109"/>
      <c r="BJ71" s="1109"/>
      <c r="BK71" s="1109"/>
      <c r="BL71" s="1109"/>
      <c r="BM71" s="1109"/>
      <c r="BN71" s="1109"/>
      <c r="BO71" s="1579"/>
      <c r="BP71" s="2165">
        <f t="shared" ref="BP71:BP91" si="8">$E71*AH71*AY71</f>
        <v>39338.172000000006</v>
      </c>
      <c r="BQ71" s="1579"/>
      <c r="BR71" s="1579"/>
      <c r="BS71" s="1109"/>
      <c r="BT71" s="2402"/>
      <c r="BU71" s="2402"/>
      <c r="BV71" s="2402"/>
      <c r="BW71" s="1109"/>
      <c r="BX71" s="1109"/>
      <c r="BY71" s="1109"/>
      <c r="BZ71" s="1109"/>
      <c r="CA71" s="1109"/>
      <c r="CB71" s="1109"/>
      <c r="CC71" s="1109"/>
      <c r="CD71" s="1109"/>
      <c r="CE71" s="1109"/>
      <c r="CF71" s="2407"/>
      <c r="CG71" s="2407">
        <v>0.03</v>
      </c>
      <c r="CH71" s="2407"/>
      <c r="CI71" s="2407"/>
      <c r="CJ71" s="1108"/>
      <c r="CK71" s="2402"/>
      <c r="CL71" s="2402"/>
      <c r="CM71" s="2402"/>
      <c r="CN71" s="1109"/>
      <c r="CO71" s="1109"/>
      <c r="CP71" s="1109"/>
      <c r="CQ71" s="1109"/>
      <c r="CR71" s="1109"/>
      <c r="CS71" s="1109"/>
      <c r="CT71" s="1109"/>
      <c r="CU71" s="1109"/>
      <c r="CV71" s="1109"/>
      <c r="CW71" s="1109"/>
      <c r="CX71" s="1109"/>
      <c r="CY71" s="1109"/>
      <c r="CZ71" s="1108"/>
      <c r="DA71" s="2402"/>
      <c r="DB71" s="2402"/>
      <c r="DC71" s="2402"/>
      <c r="DD71" s="1109"/>
      <c r="DE71" s="1109"/>
      <c r="DF71" s="1109"/>
      <c r="DG71" s="1109"/>
      <c r="DH71" s="1109"/>
      <c r="DI71" s="1109"/>
      <c r="DJ71" s="1109"/>
      <c r="DK71" s="1109"/>
      <c r="DL71" s="1579"/>
      <c r="DM71" s="1579"/>
      <c r="DN71" s="1579"/>
    </row>
    <row r="72" spans="1:118" s="1577" customFormat="1">
      <c r="A72" s="1822">
        <v>5</v>
      </c>
      <c r="B72" s="2400" t="s">
        <v>1157</v>
      </c>
      <c r="C72" s="2400" t="s">
        <v>296</v>
      </c>
      <c r="D72" s="2400" t="s">
        <v>638</v>
      </c>
      <c r="E72" s="2410">
        <v>1</v>
      </c>
      <c r="F72" s="2401"/>
      <c r="G72" s="1361">
        <v>60</v>
      </c>
      <c r="H72" s="2401"/>
      <c r="I72" s="2402"/>
      <c r="J72" s="2402"/>
      <c r="K72" s="2402"/>
      <c r="L72" s="1109"/>
      <c r="M72" s="1109"/>
      <c r="N72" s="1109"/>
      <c r="O72" s="1109"/>
      <c r="P72" s="1109"/>
      <c r="Q72" s="1109"/>
      <c r="R72" s="1109"/>
      <c r="S72" s="1109"/>
      <c r="T72" s="2401"/>
      <c r="U72" s="2402"/>
      <c r="V72" s="2402"/>
      <c r="W72" s="2402"/>
      <c r="X72" s="1109"/>
      <c r="Y72" s="1109"/>
      <c r="Z72" s="1109"/>
      <c r="AA72" s="1109"/>
      <c r="AB72" s="1109"/>
      <c r="AC72" s="1109"/>
      <c r="AD72" s="1109"/>
      <c r="AE72" s="1109"/>
      <c r="AF72" s="1109"/>
      <c r="AG72" s="1579"/>
      <c r="AH72" s="2420">
        <f>AG112*(1+CG72)</f>
        <v>1688.2632150000004</v>
      </c>
      <c r="AI72" s="1579"/>
      <c r="AJ72" s="1579"/>
      <c r="AK72" s="1108"/>
      <c r="AL72" s="2403"/>
      <c r="AM72" s="2403"/>
      <c r="AN72" s="2403"/>
      <c r="AO72" s="1108"/>
      <c r="AP72" s="1109"/>
      <c r="AQ72" s="1109"/>
      <c r="AR72" s="1109"/>
      <c r="AS72" s="1109"/>
      <c r="AT72" s="1109"/>
      <c r="AU72" s="1109"/>
      <c r="AV72" s="1109"/>
      <c r="AW72" s="1109"/>
      <c r="AX72" s="1579"/>
      <c r="AY72" s="2409">
        <v>22</v>
      </c>
      <c r="AZ72" s="1579"/>
      <c r="BA72" s="1579"/>
      <c r="BB72" s="1108"/>
      <c r="BC72" s="2402"/>
      <c r="BD72" s="2402"/>
      <c r="BE72" s="2402"/>
      <c r="BF72" s="1109"/>
      <c r="BG72" s="1109"/>
      <c r="BH72" s="1109"/>
      <c r="BI72" s="1109"/>
      <c r="BJ72" s="1109"/>
      <c r="BK72" s="1109"/>
      <c r="BL72" s="1109"/>
      <c r="BM72" s="1109"/>
      <c r="BN72" s="1109"/>
      <c r="BO72" s="1579"/>
      <c r="BP72" s="2165">
        <f t="shared" si="8"/>
        <v>37141.790730000008</v>
      </c>
      <c r="BQ72" s="1579"/>
      <c r="BR72" s="1579"/>
      <c r="BS72" s="1109"/>
      <c r="BT72" s="2402"/>
      <c r="BU72" s="2402"/>
      <c r="BV72" s="2402"/>
      <c r="BW72" s="1109"/>
      <c r="BX72" s="1109"/>
      <c r="BY72" s="1109"/>
      <c r="BZ72" s="1109"/>
      <c r="CA72" s="1109"/>
      <c r="CB72" s="1109"/>
      <c r="CC72" s="1109"/>
      <c r="CD72" s="1109"/>
      <c r="CE72" s="1109"/>
      <c r="CF72" s="2407"/>
      <c r="CG72" s="2407">
        <v>0.03</v>
      </c>
      <c r="CH72" s="2407"/>
      <c r="CI72" s="2407"/>
      <c r="CJ72" s="1108"/>
      <c r="CK72" s="2402"/>
      <c r="CL72" s="2402"/>
      <c r="CM72" s="2402"/>
      <c r="CN72" s="1109"/>
      <c r="CO72" s="1109"/>
      <c r="CP72" s="1109"/>
      <c r="CQ72" s="1109"/>
      <c r="CR72" s="1109"/>
      <c r="CS72" s="1109"/>
      <c r="CT72" s="1109"/>
      <c r="CU72" s="1109"/>
      <c r="CV72" s="1109"/>
      <c r="CW72" s="1109"/>
      <c r="CX72" s="1109"/>
      <c r="CY72" s="1109"/>
      <c r="CZ72" s="1108"/>
      <c r="DA72" s="2402"/>
      <c r="DB72" s="2402"/>
      <c r="DC72" s="2402"/>
      <c r="DD72" s="1109"/>
      <c r="DE72" s="1109"/>
      <c r="DF72" s="1109"/>
      <c r="DG72" s="1109"/>
      <c r="DH72" s="1109"/>
      <c r="DI72" s="1109"/>
      <c r="DJ72" s="1109"/>
      <c r="DK72" s="1109"/>
      <c r="DL72" s="1579"/>
      <c r="DM72" s="1579"/>
      <c r="DN72" s="1579"/>
    </row>
    <row r="73" spans="1:118" s="1577" customFormat="1">
      <c r="A73" s="1822">
        <v>10</v>
      </c>
      <c r="B73" s="2400" t="s">
        <v>593</v>
      </c>
      <c r="C73" s="2088" t="s">
        <v>329</v>
      </c>
      <c r="D73" s="2088" t="s">
        <v>638</v>
      </c>
      <c r="E73" s="2089">
        <v>0.5</v>
      </c>
      <c r="F73" s="2401"/>
      <c r="G73" s="1361">
        <v>60</v>
      </c>
      <c r="H73" s="2401"/>
      <c r="I73" s="2402"/>
      <c r="J73" s="2402"/>
      <c r="K73" s="2402"/>
      <c r="L73" s="1109"/>
      <c r="M73" s="1109"/>
      <c r="N73" s="1109"/>
      <c r="O73" s="1109"/>
      <c r="P73" s="1109"/>
      <c r="Q73" s="1109"/>
      <c r="R73" s="1109"/>
      <c r="S73" s="1109"/>
      <c r="T73" s="2401"/>
      <c r="U73" s="2402"/>
      <c r="V73" s="2402"/>
      <c r="W73" s="2402"/>
      <c r="X73" s="1109"/>
      <c r="Y73" s="1109"/>
      <c r="Z73" s="1109"/>
      <c r="AA73" s="1109"/>
      <c r="AB73" s="1109"/>
      <c r="AC73" s="1109"/>
      <c r="AD73" s="1109"/>
      <c r="AE73" s="1109"/>
      <c r="AF73" s="1109"/>
      <c r="AG73" s="1579"/>
      <c r="AH73" s="2420">
        <f>AG113*(1+CG73)</f>
        <v>3289.9125900115278</v>
      </c>
      <c r="AI73" s="1579"/>
      <c r="AJ73" s="1579"/>
      <c r="AK73" s="1108"/>
      <c r="AL73" s="2403"/>
      <c r="AM73" s="2403"/>
      <c r="AN73" s="2403"/>
      <c r="AO73" s="1108"/>
      <c r="AP73" s="1109"/>
      <c r="AQ73" s="1109"/>
      <c r="AR73" s="1109"/>
      <c r="AS73" s="1109"/>
      <c r="AT73" s="1109"/>
      <c r="AU73" s="1109"/>
      <c r="AV73" s="1109"/>
      <c r="AW73" s="1109"/>
      <c r="AX73" s="1579"/>
      <c r="AY73" s="2409">
        <v>23</v>
      </c>
      <c r="AZ73" s="1579"/>
      <c r="BA73" s="1579"/>
      <c r="BB73" s="1108"/>
      <c r="BC73" s="2402"/>
      <c r="BD73" s="2402"/>
      <c r="BE73" s="2402"/>
      <c r="BF73" s="1109"/>
      <c r="BG73" s="1109"/>
      <c r="BH73" s="1109"/>
      <c r="BI73" s="1109"/>
      <c r="BJ73" s="1109"/>
      <c r="BK73" s="1109"/>
      <c r="BL73" s="1109"/>
      <c r="BM73" s="1109"/>
      <c r="BN73" s="1109"/>
      <c r="BO73" s="1579"/>
      <c r="BP73" s="2165">
        <f t="shared" si="8"/>
        <v>37833.994785132571</v>
      </c>
      <c r="BQ73" s="1579"/>
      <c r="BR73" s="1579"/>
      <c r="BS73" s="1109"/>
      <c r="BT73" s="2402"/>
      <c r="BU73" s="2402"/>
      <c r="BV73" s="2402"/>
      <c r="BW73" s="1109"/>
      <c r="BX73" s="1109"/>
      <c r="BY73" s="1109"/>
      <c r="BZ73" s="1109"/>
      <c r="CA73" s="1109"/>
      <c r="CB73" s="1109"/>
      <c r="CC73" s="1109"/>
      <c r="CD73" s="1109"/>
      <c r="CE73" s="1109"/>
      <c r="CF73" s="2407"/>
      <c r="CG73" s="2407">
        <v>0.03</v>
      </c>
      <c r="CH73" s="2407"/>
      <c r="CI73" s="2407"/>
      <c r="CJ73" s="1108"/>
      <c r="CK73" s="2402"/>
      <c r="CL73" s="2402"/>
      <c r="CM73" s="2402"/>
      <c r="CN73" s="1109"/>
      <c r="CO73" s="1109"/>
      <c r="CP73" s="1109"/>
      <c r="CQ73" s="1109"/>
      <c r="CR73" s="1109"/>
      <c r="CS73" s="1109"/>
      <c r="CT73" s="1109"/>
      <c r="CU73" s="1109"/>
      <c r="CV73" s="1109"/>
      <c r="CW73" s="1109"/>
      <c r="CX73" s="1109"/>
      <c r="CY73" s="1109"/>
      <c r="CZ73" s="1108"/>
      <c r="DA73" s="2402"/>
      <c r="DB73" s="2402"/>
      <c r="DC73" s="2402"/>
      <c r="DD73" s="1109"/>
      <c r="DE73" s="1109"/>
      <c r="DF73" s="1109"/>
      <c r="DG73" s="1109"/>
      <c r="DH73" s="1109"/>
      <c r="DI73" s="1109"/>
      <c r="DJ73" s="1109"/>
      <c r="DK73" s="1109"/>
      <c r="DL73" s="1579"/>
      <c r="DM73" s="1579"/>
      <c r="DN73" s="1579"/>
    </row>
    <row r="74" spans="1:118" s="1577" customFormat="1">
      <c r="A74" s="1822">
        <v>15</v>
      </c>
      <c r="B74" s="2400" t="s">
        <v>1477</v>
      </c>
      <c r="C74" s="2400" t="s">
        <v>296</v>
      </c>
      <c r="D74" s="2400" t="s">
        <v>638</v>
      </c>
      <c r="E74" s="2410">
        <v>1</v>
      </c>
      <c r="F74" s="1768"/>
      <c r="G74" s="1361">
        <v>60</v>
      </c>
      <c r="H74" s="2401"/>
      <c r="I74" s="2402"/>
      <c r="J74" s="2402"/>
      <c r="K74" s="2402"/>
      <c r="L74" s="1109"/>
      <c r="M74" s="1109"/>
      <c r="N74" s="1109"/>
      <c r="O74" s="1109"/>
      <c r="P74" s="1109"/>
      <c r="Q74" s="1109"/>
      <c r="R74" s="1109"/>
      <c r="S74" s="1109"/>
      <c r="T74" s="2401"/>
      <c r="U74" s="2402"/>
      <c r="V74" s="2402"/>
      <c r="W74" s="2402"/>
      <c r="X74" s="1109"/>
      <c r="Y74" s="1109"/>
      <c r="Z74" s="1109"/>
      <c r="AA74" s="1109"/>
      <c r="AB74" s="1109"/>
      <c r="AC74" s="1109"/>
      <c r="AD74" s="1109"/>
      <c r="AE74" s="1109"/>
      <c r="AF74" s="1109"/>
      <c r="AG74" s="1579"/>
      <c r="AH74" s="2420">
        <f>AG114*(1+CG74)</f>
        <v>3289.9125900115278</v>
      </c>
      <c r="AI74" s="1579"/>
      <c r="AJ74" s="1579"/>
      <c r="AK74" s="1108"/>
      <c r="AL74" s="2403"/>
      <c r="AM74" s="2403"/>
      <c r="AN74" s="2403"/>
      <c r="AO74" s="1108"/>
      <c r="AP74" s="1109"/>
      <c r="AQ74" s="1109"/>
      <c r="AR74" s="1109"/>
      <c r="AS74" s="1109"/>
      <c r="AT74" s="1109"/>
      <c r="AU74" s="1109"/>
      <c r="AV74" s="1109"/>
      <c r="AW74" s="1109"/>
      <c r="AX74" s="1579"/>
      <c r="AY74" s="2409">
        <v>18</v>
      </c>
      <c r="AZ74" s="1579"/>
      <c r="BA74" s="1579"/>
      <c r="BB74" s="1108"/>
      <c r="BC74" s="2402"/>
      <c r="BD74" s="2402"/>
      <c r="BE74" s="2402"/>
      <c r="BF74" s="1109"/>
      <c r="BG74" s="1109"/>
      <c r="BH74" s="1109"/>
      <c r="BI74" s="1109"/>
      <c r="BJ74" s="1109"/>
      <c r="BK74" s="1109"/>
      <c r="BL74" s="1109"/>
      <c r="BM74" s="1109"/>
      <c r="BN74" s="1109"/>
      <c r="BO74" s="1579"/>
      <c r="BP74" s="2165">
        <f t="shared" si="8"/>
        <v>59218.426620207501</v>
      </c>
      <c r="BQ74" s="1579"/>
      <c r="BR74" s="1579"/>
      <c r="BS74" s="1109"/>
      <c r="BT74" s="2402"/>
      <c r="BU74" s="2402"/>
      <c r="BV74" s="2402"/>
      <c r="BW74" s="1109"/>
      <c r="BX74" s="1109"/>
      <c r="BY74" s="1109"/>
      <c r="BZ74" s="1109"/>
      <c r="CA74" s="1109"/>
      <c r="CB74" s="1109"/>
      <c r="CC74" s="1109"/>
      <c r="CD74" s="1109"/>
      <c r="CE74" s="1109"/>
      <c r="CF74" s="2407"/>
      <c r="CG74" s="2407">
        <v>0.03</v>
      </c>
      <c r="CH74" s="2407"/>
      <c r="CI74" s="2407"/>
      <c r="CJ74" s="1108"/>
      <c r="CK74" s="2402"/>
      <c r="CL74" s="2402"/>
      <c r="CM74" s="2402"/>
      <c r="CN74" s="1109"/>
      <c r="CO74" s="1109"/>
      <c r="CP74" s="1109"/>
      <c r="CQ74" s="1109"/>
      <c r="CR74" s="1109"/>
      <c r="CS74" s="1109"/>
      <c r="CT74" s="1109"/>
      <c r="CU74" s="1109"/>
      <c r="CV74" s="1109"/>
      <c r="CW74" s="1109"/>
      <c r="CX74" s="1109"/>
      <c r="CY74" s="1109"/>
      <c r="CZ74" s="1108"/>
      <c r="DA74" s="2402"/>
      <c r="DB74" s="2402"/>
      <c r="DC74" s="2402"/>
      <c r="DD74" s="1109"/>
      <c r="DE74" s="1109"/>
      <c r="DF74" s="1109"/>
      <c r="DG74" s="1109"/>
      <c r="DH74" s="1109"/>
      <c r="DI74" s="1109"/>
      <c r="DJ74" s="1109"/>
      <c r="DK74" s="1109"/>
      <c r="DL74" s="1579"/>
      <c r="DM74" s="1579"/>
      <c r="DN74" s="1579"/>
    </row>
    <row r="75" spans="1:118" s="1577" customFormat="1">
      <c r="A75" s="1822">
        <v>1</v>
      </c>
      <c r="B75" s="2400" t="s">
        <v>1658</v>
      </c>
      <c r="C75" s="2400" t="s">
        <v>296</v>
      </c>
      <c r="D75" s="2400" t="s">
        <v>638</v>
      </c>
      <c r="E75" s="2410">
        <v>1</v>
      </c>
      <c r="F75" s="2401"/>
      <c r="G75" s="1361">
        <v>60</v>
      </c>
      <c r="H75" s="2401"/>
      <c r="I75" s="2402"/>
      <c r="J75" s="2402"/>
      <c r="K75" s="2402"/>
      <c r="L75" s="1109"/>
      <c r="M75" s="1109"/>
      <c r="N75" s="1109"/>
      <c r="O75" s="1109"/>
      <c r="P75" s="1109"/>
      <c r="Q75" s="1109"/>
      <c r="R75" s="1109"/>
      <c r="S75" s="1109"/>
      <c r="T75" s="2401"/>
      <c r="U75" s="2402"/>
      <c r="V75" s="2402"/>
      <c r="W75" s="2402"/>
      <c r="X75" s="1109"/>
      <c r="Y75" s="1109"/>
      <c r="Z75" s="1109"/>
      <c r="AA75" s="1109"/>
      <c r="AB75" s="1109"/>
      <c r="AC75" s="1109"/>
      <c r="AD75" s="1109"/>
      <c r="AE75" s="1109"/>
      <c r="AF75" s="1109"/>
      <c r="AG75" s="1579"/>
      <c r="AH75" s="2420">
        <v>1000</v>
      </c>
      <c r="AI75" s="1579"/>
      <c r="AJ75" s="1579"/>
      <c r="AK75" s="1108"/>
      <c r="AL75" s="2403"/>
      <c r="AM75" s="2403"/>
      <c r="AN75" s="2403"/>
      <c r="AO75" s="1108"/>
      <c r="AP75" s="1109"/>
      <c r="AQ75" s="1109"/>
      <c r="AR75" s="1109"/>
      <c r="AS75" s="1109"/>
      <c r="AT75" s="1109"/>
      <c r="AU75" s="1109"/>
      <c r="AV75" s="1109"/>
      <c r="AW75" s="1109"/>
      <c r="AX75" s="1579"/>
      <c r="AY75" s="2409">
        <v>13</v>
      </c>
      <c r="AZ75" s="1579"/>
      <c r="BA75" s="1579"/>
      <c r="BB75" s="1108"/>
      <c r="BC75" s="2402"/>
      <c r="BD75" s="2402"/>
      <c r="BE75" s="2402"/>
      <c r="BF75" s="1109"/>
      <c r="BG75" s="1109"/>
      <c r="BH75" s="1109"/>
      <c r="BI75" s="1109"/>
      <c r="BJ75" s="1109"/>
      <c r="BK75" s="1109"/>
      <c r="BL75" s="1109"/>
      <c r="BM75" s="1109"/>
      <c r="BN75" s="1109"/>
      <c r="BO75" s="1579"/>
      <c r="BP75" s="2165">
        <f t="shared" si="8"/>
        <v>13000</v>
      </c>
      <c r="BQ75" s="1579"/>
      <c r="BR75" s="1579"/>
      <c r="BS75" s="1109"/>
      <c r="BT75" s="2402"/>
      <c r="BU75" s="2402"/>
      <c r="BV75" s="2402"/>
      <c r="BW75" s="1109"/>
      <c r="BX75" s="1109"/>
      <c r="BY75" s="1109"/>
      <c r="BZ75" s="1109"/>
      <c r="CA75" s="1109"/>
      <c r="CB75" s="1109"/>
      <c r="CC75" s="1109"/>
      <c r="CD75" s="1109"/>
      <c r="CE75" s="1109"/>
      <c r="CF75" s="2407"/>
      <c r="CG75" s="2407">
        <v>0.03</v>
      </c>
      <c r="CH75" s="2407"/>
      <c r="CI75" s="2407"/>
      <c r="CJ75" s="1108"/>
      <c r="CK75" s="2402"/>
      <c r="CL75" s="2402"/>
      <c r="CM75" s="2402"/>
      <c r="CN75" s="1109"/>
      <c r="CO75" s="1109"/>
      <c r="CP75" s="1109"/>
      <c r="CQ75" s="1109"/>
      <c r="CR75" s="1109"/>
      <c r="CS75" s="1109"/>
      <c r="CT75" s="1109"/>
      <c r="CU75" s="1109"/>
      <c r="CV75" s="1109"/>
      <c r="CW75" s="1109"/>
      <c r="CX75" s="1109"/>
      <c r="CY75" s="1109"/>
      <c r="CZ75" s="1108"/>
      <c r="DA75" s="2402"/>
      <c r="DB75" s="2402"/>
      <c r="DC75" s="2402"/>
      <c r="DD75" s="1109"/>
      <c r="DE75" s="1109"/>
      <c r="DF75" s="1109"/>
      <c r="DG75" s="1109"/>
      <c r="DH75" s="1109"/>
      <c r="DI75" s="1109"/>
      <c r="DJ75" s="1109"/>
      <c r="DK75" s="1109"/>
      <c r="DL75" s="1579"/>
      <c r="DM75" s="1579"/>
      <c r="DN75" s="1579"/>
    </row>
    <row r="76" spans="1:118" s="2135" customFormat="1">
      <c r="A76" s="1822">
        <v>3</v>
      </c>
      <c r="B76" s="2400" t="s">
        <v>326</v>
      </c>
      <c r="C76" s="2400" t="s">
        <v>296</v>
      </c>
      <c r="D76" s="2400" t="s">
        <v>638</v>
      </c>
      <c r="E76" s="2410">
        <v>1</v>
      </c>
      <c r="F76" s="1768"/>
      <c r="G76" s="1361">
        <v>60</v>
      </c>
      <c r="H76" s="1768"/>
      <c r="I76" s="2412"/>
      <c r="J76" s="2412"/>
      <c r="K76" s="2412"/>
      <c r="L76" s="1579"/>
      <c r="M76" s="1579"/>
      <c r="N76" s="1579"/>
      <c r="O76" s="1579"/>
      <c r="P76" s="1579"/>
      <c r="Q76" s="1579"/>
      <c r="R76" s="1579"/>
      <c r="S76" s="1579"/>
      <c r="T76" s="1768"/>
      <c r="U76" s="2412"/>
      <c r="V76" s="2412"/>
      <c r="W76" s="2412"/>
      <c r="X76" s="1579"/>
      <c r="Y76" s="1579"/>
      <c r="Z76" s="1579"/>
      <c r="AA76" s="1579"/>
      <c r="AB76" s="1579"/>
      <c r="AC76" s="1579"/>
      <c r="AD76" s="1579"/>
      <c r="AE76" s="1579"/>
      <c r="AF76" s="1579"/>
      <c r="AG76" s="1579"/>
      <c r="AH76" s="2420">
        <f>AG115*(1+CG76)</f>
        <v>2121.8000000000002</v>
      </c>
      <c r="AI76" s="1579"/>
      <c r="AJ76" s="1579"/>
      <c r="AK76" s="1470"/>
      <c r="AL76" s="2413"/>
      <c r="AM76" s="2413"/>
      <c r="AN76" s="2413"/>
      <c r="AO76" s="1470"/>
      <c r="AP76" s="1579"/>
      <c r="AQ76" s="1579"/>
      <c r="AR76" s="1579"/>
      <c r="AS76" s="1579"/>
      <c r="AT76" s="1579"/>
      <c r="AU76" s="1579"/>
      <c r="AV76" s="1579"/>
      <c r="AW76" s="1579"/>
      <c r="AX76" s="1579"/>
      <c r="AY76" s="2409">
        <v>24</v>
      </c>
      <c r="AZ76" s="1579"/>
      <c r="BA76" s="1579"/>
      <c r="BB76" s="1470"/>
      <c r="BC76" s="2412"/>
      <c r="BD76" s="2412"/>
      <c r="BE76" s="2412"/>
      <c r="BF76" s="1579"/>
      <c r="BG76" s="1579"/>
      <c r="BH76" s="1579"/>
      <c r="BI76" s="1579"/>
      <c r="BJ76" s="1579"/>
      <c r="BK76" s="1579"/>
      <c r="BL76" s="1579"/>
      <c r="BM76" s="1579"/>
      <c r="BN76" s="1579"/>
      <c r="BO76" s="1579"/>
      <c r="BP76" s="2414">
        <f t="shared" si="8"/>
        <v>50923.200000000004</v>
      </c>
      <c r="BQ76" s="1579"/>
      <c r="BR76" s="1579"/>
      <c r="BS76" s="1579"/>
      <c r="BT76" s="2412"/>
      <c r="BU76" s="2412"/>
      <c r="BV76" s="2412"/>
      <c r="BW76" s="1579"/>
      <c r="BX76" s="1579"/>
      <c r="BY76" s="1579"/>
      <c r="BZ76" s="1579"/>
      <c r="CA76" s="1579"/>
      <c r="CB76" s="1579"/>
      <c r="CC76" s="1579"/>
      <c r="CD76" s="1579"/>
      <c r="CE76" s="1579"/>
      <c r="CF76" s="2407"/>
      <c r="CG76" s="2407">
        <v>0.03</v>
      </c>
      <c r="CH76" s="2407"/>
      <c r="CI76" s="2407"/>
      <c r="CJ76" s="1470"/>
      <c r="CK76" s="2412"/>
      <c r="CL76" s="2412"/>
      <c r="CM76" s="2412"/>
      <c r="CN76" s="1579"/>
      <c r="CO76" s="1579"/>
      <c r="CP76" s="1579"/>
      <c r="CQ76" s="1579"/>
      <c r="CR76" s="1579"/>
      <c r="CS76" s="1579"/>
      <c r="CT76" s="1579"/>
      <c r="CU76" s="1579"/>
      <c r="CV76" s="1579"/>
      <c r="CW76" s="1579"/>
      <c r="CX76" s="1579"/>
      <c r="CY76" s="1579"/>
      <c r="CZ76" s="1470"/>
      <c r="DA76" s="2412"/>
      <c r="DB76" s="2412"/>
      <c r="DC76" s="2412"/>
      <c r="DD76" s="1579"/>
      <c r="DE76" s="1579"/>
      <c r="DF76" s="1579"/>
      <c r="DG76" s="1579"/>
      <c r="DH76" s="1579"/>
      <c r="DI76" s="1579"/>
      <c r="DJ76" s="1579"/>
      <c r="DK76" s="1579"/>
      <c r="DL76" s="1579"/>
      <c r="DM76" s="1579"/>
      <c r="DN76" s="1579"/>
    </row>
    <row r="77" spans="1:118" s="2135" customFormat="1">
      <c r="A77" s="1822">
        <v>2</v>
      </c>
      <c r="B77" s="2400" t="s">
        <v>1659</v>
      </c>
      <c r="C77" s="2400" t="s">
        <v>296</v>
      </c>
      <c r="D77" s="2400" t="s">
        <v>638</v>
      </c>
      <c r="E77" s="2410">
        <v>1</v>
      </c>
      <c r="F77" s="1768"/>
      <c r="G77" s="1361">
        <v>60</v>
      </c>
      <c r="H77" s="1768"/>
      <c r="I77" s="2412"/>
      <c r="J77" s="2412"/>
      <c r="K77" s="2412"/>
      <c r="L77" s="1579"/>
      <c r="M77" s="1579"/>
      <c r="N77" s="1579"/>
      <c r="O77" s="1579"/>
      <c r="P77" s="1579"/>
      <c r="Q77" s="1579"/>
      <c r="R77" s="1579"/>
      <c r="S77" s="1579"/>
      <c r="T77" s="1768"/>
      <c r="U77" s="2412"/>
      <c r="V77" s="2412"/>
      <c r="W77" s="2412"/>
      <c r="X77" s="1579"/>
      <c r="Y77" s="1579"/>
      <c r="Z77" s="1579"/>
      <c r="AA77" s="1579"/>
      <c r="AB77" s="1579"/>
      <c r="AC77" s="1579"/>
      <c r="AD77" s="1579"/>
      <c r="AE77" s="1579"/>
      <c r="AF77" s="1579"/>
      <c r="AG77" s="1579"/>
      <c r="AH77" s="2420">
        <f>AG116*(1+CG77)</f>
        <v>1030</v>
      </c>
      <c r="AI77" s="1579"/>
      <c r="AJ77" s="1579"/>
      <c r="AK77" s="1470"/>
      <c r="AL77" s="2413"/>
      <c r="AM77" s="2413"/>
      <c r="AN77" s="2413"/>
      <c r="AO77" s="1470"/>
      <c r="AP77" s="1579"/>
      <c r="AQ77" s="1579"/>
      <c r="AR77" s="1579"/>
      <c r="AS77" s="1579"/>
      <c r="AT77" s="1579"/>
      <c r="AU77" s="1579"/>
      <c r="AV77" s="1579"/>
      <c r="AW77" s="1579"/>
      <c r="AX77" s="1579"/>
      <c r="AY77" s="2409">
        <v>13</v>
      </c>
      <c r="AZ77" s="1579"/>
      <c r="BA77" s="1579"/>
      <c r="BB77" s="1470"/>
      <c r="BC77" s="2412"/>
      <c r="BD77" s="2412"/>
      <c r="BE77" s="2412"/>
      <c r="BF77" s="1579"/>
      <c r="BG77" s="1579"/>
      <c r="BH77" s="1579"/>
      <c r="BI77" s="1579"/>
      <c r="BJ77" s="1579"/>
      <c r="BK77" s="1579"/>
      <c r="BL77" s="1579"/>
      <c r="BM77" s="1579"/>
      <c r="BN77" s="1579"/>
      <c r="BO77" s="1579"/>
      <c r="BP77" s="2414">
        <f t="shared" ref="BP77:BP84" si="9">$E77*AH77*AY77</f>
        <v>13390</v>
      </c>
      <c r="BQ77" s="1579"/>
      <c r="BR77" s="1579"/>
      <c r="BS77" s="1579"/>
      <c r="BT77" s="2412"/>
      <c r="BU77" s="2412"/>
      <c r="BV77" s="2412"/>
      <c r="BW77" s="1579"/>
      <c r="BX77" s="1579"/>
      <c r="BY77" s="1579"/>
      <c r="BZ77" s="1579"/>
      <c r="CA77" s="1579"/>
      <c r="CB77" s="1579"/>
      <c r="CC77" s="1579"/>
      <c r="CD77" s="1579"/>
      <c r="CE77" s="1579"/>
      <c r="CF77" s="2407"/>
      <c r="CG77" s="2407">
        <v>0.03</v>
      </c>
      <c r="CH77" s="2407"/>
      <c r="CI77" s="2407"/>
      <c r="CJ77" s="1470"/>
      <c r="CK77" s="2412"/>
      <c r="CL77" s="2412"/>
      <c r="CM77" s="2412"/>
      <c r="CN77" s="1579"/>
      <c r="CO77" s="1579"/>
      <c r="CP77" s="1579"/>
      <c r="CQ77" s="1579"/>
      <c r="CR77" s="1579"/>
      <c r="CS77" s="1579"/>
      <c r="CT77" s="1579"/>
      <c r="CU77" s="1579"/>
      <c r="CV77" s="1579"/>
      <c r="CW77" s="1579"/>
      <c r="CX77" s="1579"/>
      <c r="CY77" s="1579"/>
      <c r="CZ77" s="1470"/>
      <c r="DA77" s="2412"/>
      <c r="DB77" s="2412"/>
      <c r="DC77" s="2412"/>
      <c r="DD77" s="1579"/>
      <c r="DE77" s="1579"/>
      <c r="DF77" s="1579"/>
      <c r="DG77" s="1579"/>
      <c r="DH77" s="1579"/>
      <c r="DI77" s="1579"/>
      <c r="DJ77" s="1579"/>
      <c r="DK77" s="1579"/>
      <c r="DL77" s="1579"/>
      <c r="DM77" s="1579"/>
      <c r="DN77" s="1579"/>
    </row>
    <row r="78" spans="1:118" s="2135" customFormat="1">
      <c r="A78" s="1822">
        <v>6</v>
      </c>
      <c r="B78" s="2400" t="s">
        <v>1640</v>
      </c>
      <c r="C78" s="2400" t="s">
        <v>296</v>
      </c>
      <c r="D78" s="2400" t="s">
        <v>638</v>
      </c>
      <c r="E78" s="2410">
        <v>1</v>
      </c>
      <c r="F78" s="1768"/>
      <c r="G78" s="1361">
        <v>60</v>
      </c>
      <c r="H78" s="1768"/>
      <c r="I78" s="2412"/>
      <c r="J78" s="2412"/>
      <c r="K78" s="2412"/>
      <c r="L78" s="1579"/>
      <c r="M78" s="1579"/>
      <c r="N78" s="1579"/>
      <c r="O78" s="1579"/>
      <c r="P78" s="1579"/>
      <c r="Q78" s="1579"/>
      <c r="R78" s="1579"/>
      <c r="S78" s="1579"/>
      <c r="T78" s="1768"/>
      <c r="U78" s="2412"/>
      <c r="V78" s="2412"/>
      <c r="W78" s="2412"/>
      <c r="X78" s="1579"/>
      <c r="Y78" s="1579"/>
      <c r="Z78" s="1579"/>
      <c r="AA78" s="1579"/>
      <c r="AB78" s="1579"/>
      <c r="AC78" s="1579"/>
      <c r="AD78" s="1579"/>
      <c r="AE78" s="1579"/>
      <c r="AF78" s="1579"/>
      <c r="AG78" s="1579"/>
      <c r="AH78" s="2420">
        <f>AG117*(1+CG78)</f>
        <v>1738.9111114500004</v>
      </c>
      <c r="AI78" s="1579"/>
      <c r="AJ78" s="1579"/>
      <c r="AK78" s="1470"/>
      <c r="AL78" s="2413"/>
      <c r="AM78" s="2413"/>
      <c r="AN78" s="2413"/>
      <c r="AO78" s="1470"/>
      <c r="AP78" s="1579"/>
      <c r="AQ78" s="1579"/>
      <c r="AR78" s="1579"/>
      <c r="AS78" s="1579"/>
      <c r="AT78" s="1579"/>
      <c r="AU78" s="1579"/>
      <c r="AV78" s="1579"/>
      <c r="AW78" s="1579"/>
      <c r="AX78" s="1579"/>
      <c r="AY78" s="2409">
        <v>22</v>
      </c>
      <c r="AZ78" s="1579"/>
      <c r="BA78" s="1579"/>
      <c r="BB78" s="1470"/>
      <c r="BC78" s="2412"/>
      <c r="BD78" s="2412"/>
      <c r="BE78" s="2412"/>
      <c r="BF78" s="1579"/>
      <c r="BG78" s="1579"/>
      <c r="BH78" s="1579"/>
      <c r="BI78" s="1579"/>
      <c r="BJ78" s="1579"/>
      <c r="BK78" s="1579"/>
      <c r="BL78" s="1579"/>
      <c r="BM78" s="1579"/>
      <c r="BN78" s="1579"/>
      <c r="BO78" s="1579"/>
      <c r="BP78" s="2414">
        <f t="shared" si="9"/>
        <v>38256.044451900008</v>
      </c>
      <c r="BQ78" s="1579"/>
      <c r="BR78" s="1579"/>
      <c r="BS78" s="1579"/>
      <c r="BT78" s="2412"/>
      <c r="BU78" s="2412"/>
      <c r="BV78" s="2412"/>
      <c r="BW78" s="1579"/>
      <c r="BX78" s="1579"/>
      <c r="BY78" s="1579"/>
      <c r="BZ78" s="1579"/>
      <c r="CA78" s="1579"/>
      <c r="CB78" s="1579"/>
      <c r="CC78" s="1579"/>
      <c r="CD78" s="1579"/>
      <c r="CE78" s="1579"/>
      <c r="CF78" s="2407"/>
      <c r="CG78" s="2407">
        <v>0.03</v>
      </c>
      <c r="CH78" s="2407"/>
      <c r="CI78" s="2407"/>
      <c r="CJ78" s="1470"/>
      <c r="CK78" s="2412"/>
      <c r="CL78" s="2412"/>
      <c r="CM78" s="2412"/>
      <c r="CN78" s="1579"/>
      <c r="CO78" s="1579"/>
      <c r="CP78" s="1579"/>
      <c r="CQ78" s="1579"/>
      <c r="CR78" s="1579"/>
      <c r="CS78" s="1579"/>
      <c r="CT78" s="1579"/>
      <c r="CU78" s="1579"/>
      <c r="CV78" s="1579"/>
      <c r="CW78" s="1579"/>
      <c r="CX78" s="1579"/>
      <c r="CY78" s="1579"/>
      <c r="CZ78" s="1470"/>
      <c r="DA78" s="2412"/>
      <c r="DB78" s="2412"/>
      <c r="DC78" s="2412"/>
      <c r="DD78" s="1579"/>
      <c r="DE78" s="1579"/>
      <c r="DF78" s="1579"/>
      <c r="DG78" s="1579"/>
      <c r="DH78" s="1579"/>
      <c r="DI78" s="1579"/>
      <c r="DJ78" s="1579"/>
      <c r="DK78" s="1579"/>
      <c r="DL78" s="1579"/>
      <c r="DM78" s="1579"/>
      <c r="DN78" s="1579"/>
    </row>
    <row r="79" spans="1:118" s="1577" customFormat="1">
      <c r="A79" s="1822">
        <v>5</v>
      </c>
      <c r="B79" s="2400" t="s">
        <v>1641</v>
      </c>
      <c r="C79" s="2088" t="s">
        <v>296</v>
      </c>
      <c r="D79" s="2088" t="s">
        <v>638</v>
      </c>
      <c r="E79" s="2089">
        <v>1</v>
      </c>
      <c r="F79" s="2401"/>
      <c r="G79" s="1361">
        <v>60</v>
      </c>
      <c r="H79" s="2401"/>
      <c r="I79" s="2402"/>
      <c r="J79" s="2402"/>
      <c r="K79" s="2402"/>
      <c r="L79" s="1109"/>
      <c r="M79" s="1109"/>
      <c r="N79" s="1109"/>
      <c r="O79" s="1109"/>
      <c r="P79" s="1109"/>
      <c r="Q79" s="1109"/>
      <c r="R79" s="1109"/>
      <c r="S79" s="1109"/>
      <c r="T79" s="2401"/>
      <c r="U79" s="2402"/>
      <c r="V79" s="2402"/>
      <c r="W79" s="2402"/>
      <c r="X79" s="1109"/>
      <c r="Y79" s="1109"/>
      <c r="Z79" s="1109"/>
      <c r="AA79" s="1109"/>
      <c r="AB79" s="1109"/>
      <c r="AC79" s="1109"/>
      <c r="AD79" s="1109"/>
      <c r="AE79" s="1109"/>
      <c r="AF79" s="1109"/>
      <c r="AG79" s="1579"/>
      <c r="AH79" s="2420">
        <f>AG118*(1+CG79)</f>
        <v>1688.2632150000004</v>
      </c>
      <c r="AI79" s="1579"/>
      <c r="AJ79" s="1579"/>
      <c r="AK79" s="1108"/>
      <c r="AL79" s="2403"/>
      <c r="AM79" s="2403"/>
      <c r="AN79" s="2403"/>
      <c r="AO79" s="1108"/>
      <c r="AP79" s="1109"/>
      <c r="AQ79" s="1109"/>
      <c r="AR79" s="1109"/>
      <c r="AS79" s="1109"/>
      <c r="AT79" s="1109"/>
      <c r="AU79" s="1109"/>
      <c r="AV79" s="1109"/>
      <c r="AW79" s="1109"/>
      <c r="AX79" s="1579"/>
      <c r="AY79" s="2409">
        <v>25</v>
      </c>
      <c r="AZ79" s="1579"/>
      <c r="BA79" s="1579"/>
      <c r="BB79" s="1108"/>
      <c r="BC79" s="2402"/>
      <c r="BD79" s="2402"/>
      <c r="BE79" s="2402"/>
      <c r="BF79" s="1109"/>
      <c r="BG79" s="1109"/>
      <c r="BH79" s="1109"/>
      <c r="BI79" s="1109"/>
      <c r="BJ79" s="1109"/>
      <c r="BK79" s="1109"/>
      <c r="BL79" s="1109"/>
      <c r="BM79" s="1109"/>
      <c r="BN79" s="1109"/>
      <c r="BO79" s="1579"/>
      <c r="BP79" s="2414">
        <f t="shared" si="9"/>
        <v>42206.580375000012</v>
      </c>
      <c r="BQ79" s="1579"/>
      <c r="BR79" s="1579"/>
      <c r="BS79" s="1109"/>
      <c r="BT79" s="2402"/>
      <c r="BU79" s="2402"/>
      <c r="BV79" s="2402"/>
      <c r="BW79" s="1109"/>
      <c r="BX79" s="1109"/>
      <c r="BY79" s="1109"/>
      <c r="BZ79" s="1109"/>
      <c r="CA79" s="1109"/>
      <c r="CB79" s="1109"/>
      <c r="CC79" s="1109"/>
      <c r="CD79" s="1109"/>
      <c r="CE79" s="1109"/>
      <c r="CF79" s="2407"/>
      <c r="CG79" s="2407">
        <v>0.03</v>
      </c>
      <c r="CH79" s="2407"/>
      <c r="CI79" s="2407"/>
      <c r="CJ79" s="1108"/>
      <c r="CK79" s="2402"/>
      <c r="CL79" s="2402"/>
      <c r="CM79" s="2402"/>
      <c r="CN79" s="1109"/>
      <c r="CO79" s="1109"/>
      <c r="CP79" s="1109"/>
      <c r="CQ79" s="1109"/>
      <c r="CR79" s="1109"/>
      <c r="CS79" s="1109"/>
      <c r="CT79" s="1109"/>
      <c r="CU79" s="1109"/>
      <c r="CV79" s="1109"/>
      <c r="CW79" s="1109"/>
      <c r="CX79" s="1109"/>
      <c r="CY79" s="1109"/>
      <c r="CZ79" s="1108"/>
      <c r="DA79" s="2402"/>
      <c r="DB79" s="2402"/>
      <c r="DC79" s="2402"/>
      <c r="DD79" s="1109"/>
      <c r="DE79" s="1109"/>
      <c r="DF79" s="1109"/>
      <c r="DG79" s="1109"/>
      <c r="DH79" s="1109"/>
      <c r="DI79" s="1109"/>
      <c r="DJ79" s="1109"/>
      <c r="DK79" s="1109"/>
      <c r="DL79" s="1579"/>
      <c r="DM79" s="1579"/>
      <c r="DN79" s="1579"/>
    </row>
    <row r="80" spans="1:118" s="1577" customFormat="1">
      <c r="A80" s="1822">
        <v>1</v>
      </c>
      <c r="B80" s="2400" t="s">
        <v>1546</v>
      </c>
      <c r="C80" s="2088" t="s">
        <v>296</v>
      </c>
      <c r="D80" s="2088" t="s">
        <v>638</v>
      </c>
      <c r="E80" s="2089">
        <v>1</v>
      </c>
      <c r="F80" s="2401"/>
      <c r="G80" s="1361">
        <v>60</v>
      </c>
      <c r="H80" s="2401"/>
      <c r="I80" s="2402"/>
      <c r="J80" s="2402"/>
      <c r="K80" s="2402"/>
      <c r="L80" s="1109"/>
      <c r="M80" s="1109"/>
      <c r="N80" s="1109"/>
      <c r="O80" s="1109"/>
      <c r="P80" s="1109"/>
      <c r="Q80" s="1109"/>
      <c r="R80" s="1109"/>
      <c r="S80" s="1109"/>
      <c r="T80" s="2401"/>
      <c r="U80" s="2402"/>
      <c r="V80" s="2402"/>
      <c r="W80" s="2402"/>
      <c r="X80" s="1109"/>
      <c r="Y80" s="1109"/>
      <c r="Z80" s="1109"/>
      <c r="AA80" s="1109"/>
      <c r="AB80" s="1109"/>
      <c r="AC80" s="1109"/>
      <c r="AD80" s="1109"/>
      <c r="AE80" s="1109"/>
      <c r="AF80" s="1109"/>
      <c r="AG80" s="1579"/>
      <c r="AH80" s="2420">
        <v>1500</v>
      </c>
      <c r="AI80" s="1579"/>
      <c r="AJ80" s="1579"/>
      <c r="AK80" s="1108"/>
      <c r="AL80" s="2403"/>
      <c r="AM80" s="2403"/>
      <c r="AN80" s="2403"/>
      <c r="AO80" s="1108"/>
      <c r="AP80" s="1109"/>
      <c r="AQ80" s="1109"/>
      <c r="AR80" s="1109"/>
      <c r="AS80" s="1109"/>
      <c r="AT80" s="1109"/>
      <c r="AU80" s="1109"/>
      <c r="AV80" s="1109"/>
      <c r="AW80" s="1109"/>
      <c r="AX80" s="1579"/>
      <c r="AY80" s="2409">
        <v>22</v>
      </c>
      <c r="AZ80" s="1579"/>
      <c r="BA80" s="1579"/>
      <c r="BB80" s="1108"/>
      <c r="BC80" s="2402"/>
      <c r="BD80" s="2402"/>
      <c r="BE80" s="2402"/>
      <c r="BF80" s="1109"/>
      <c r="BG80" s="1109"/>
      <c r="BH80" s="1109"/>
      <c r="BI80" s="1109"/>
      <c r="BJ80" s="1109"/>
      <c r="BK80" s="1109"/>
      <c r="BL80" s="1109"/>
      <c r="BM80" s="1109"/>
      <c r="BN80" s="1109"/>
      <c r="BO80" s="1579"/>
      <c r="BP80" s="2165">
        <f t="shared" si="9"/>
        <v>33000</v>
      </c>
      <c r="BQ80" s="1579"/>
      <c r="BR80" s="1579"/>
      <c r="BS80" s="1109"/>
      <c r="BT80" s="2402"/>
      <c r="BU80" s="2402"/>
      <c r="BV80" s="2402"/>
      <c r="BW80" s="1109"/>
      <c r="BX80" s="1109"/>
      <c r="BY80" s="1109"/>
      <c r="BZ80" s="1109"/>
      <c r="CA80" s="1109"/>
      <c r="CB80" s="1109"/>
      <c r="CC80" s="1109"/>
      <c r="CD80" s="1109"/>
      <c r="CE80" s="1109"/>
      <c r="CF80" s="2407"/>
      <c r="CG80" s="2407">
        <v>0.03</v>
      </c>
      <c r="CH80" s="2407"/>
      <c r="CI80" s="2407"/>
      <c r="CJ80" s="1108"/>
      <c r="CK80" s="2402"/>
      <c r="CL80" s="2402"/>
      <c r="CM80" s="2402"/>
      <c r="CN80" s="1109"/>
      <c r="CO80" s="1109"/>
      <c r="CP80" s="1109"/>
      <c r="CQ80" s="1109"/>
      <c r="CR80" s="1109"/>
      <c r="CS80" s="1109"/>
      <c r="CT80" s="1109"/>
      <c r="CU80" s="1109"/>
      <c r="CV80" s="1109"/>
      <c r="CW80" s="1109"/>
      <c r="CX80" s="1109"/>
      <c r="CY80" s="1109"/>
      <c r="CZ80" s="1108"/>
      <c r="DA80" s="2402"/>
      <c r="DB80" s="2402"/>
      <c r="DC80" s="2402"/>
      <c r="DD80" s="1109"/>
      <c r="DE80" s="1109"/>
      <c r="DF80" s="1109"/>
      <c r="DG80" s="1109"/>
      <c r="DH80" s="1109"/>
      <c r="DI80" s="1109"/>
      <c r="DJ80" s="1109"/>
      <c r="DK80" s="1109"/>
      <c r="DL80" s="1579"/>
      <c r="DM80" s="1579"/>
      <c r="DN80" s="1579"/>
    </row>
    <row r="81" spans="1:118" s="1577" customFormat="1">
      <c r="A81" s="1822">
        <v>2</v>
      </c>
      <c r="B81" s="2400" t="s">
        <v>554</v>
      </c>
      <c r="C81" s="2088" t="s">
        <v>296</v>
      </c>
      <c r="D81" s="2088" t="s">
        <v>638</v>
      </c>
      <c r="E81" s="2089">
        <v>1</v>
      </c>
      <c r="F81" s="2401"/>
      <c r="G81" s="1361">
        <v>30</v>
      </c>
      <c r="H81" s="2401"/>
      <c r="I81" s="2402"/>
      <c r="J81" s="2402"/>
      <c r="K81" s="2402"/>
      <c r="L81" s="1109"/>
      <c r="M81" s="1109"/>
      <c r="N81" s="1109"/>
      <c r="O81" s="1109"/>
      <c r="P81" s="1109"/>
      <c r="Q81" s="1109"/>
      <c r="R81" s="1109"/>
      <c r="S81" s="1109"/>
      <c r="T81" s="2401"/>
      <c r="U81" s="2402"/>
      <c r="V81" s="2402"/>
      <c r="W81" s="2402"/>
      <c r="X81" s="1109"/>
      <c r="Y81" s="1109"/>
      <c r="Z81" s="1109"/>
      <c r="AA81" s="1109"/>
      <c r="AB81" s="1109"/>
      <c r="AC81" s="1109"/>
      <c r="AD81" s="1109"/>
      <c r="AE81" s="1109"/>
      <c r="AF81" s="1109"/>
      <c r="AG81" s="1579"/>
      <c r="AH81" s="2420">
        <f>AG119*(1+CG81)</f>
        <v>1030</v>
      </c>
      <c r="AI81" s="1579"/>
      <c r="AJ81" s="1579"/>
      <c r="AK81" s="1108"/>
      <c r="AL81" s="2403"/>
      <c r="AM81" s="2403"/>
      <c r="AN81" s="2403"/>
      <c r="AO81" s="1108"/>
      <c r="AP81" s="1109"/>
      <c r="AQ81" s="1109"/>
      <c r="AR81" s="1109"/>
      <c r="AS81" s="1109"/>
      <c r="AT81" s="1109"/>
      <c r="AU81" s="1109"/>
      <c r="AV81" s="1109"/>
      <c r="AW81" s="1109"/>
      <c r="AX81" s="1579"/>
      <c r="AY81" s="2409">
        <v>11</v>
      </c>
      <c r="AZ81" s="1579"/>
      <c r="BA81" s="1579"/>
      <c r="BB81" s="1108"/>
      <c r="BC81" s="2402"/>
      <c r="BD81" s="2402"/>
      <c r="BE81" s="2402"/>
      <c r="BF81" s="1109"/>
      <c r="BG81" s="1109"/>
      <c r="BH81" s="1109"/>
      <c r="BI81" s="1109"/>
      <c r="BJ81" s="1109"/>
      <c r="BK81" s="1109"/>
      <c r="BL81" s="1109"/>
      <c r="BM81" s="1109"/>
      <c r="BN81" s="1109"/>
      <c r="BO81" s="1579"/>
      <c r="BP81" s="2165">
        <f t="shared" si="9"/>
        <v>11330</v>
      </c>
      <c r="BQ81" s="1579"/>
      <c r="BR81" s="1579"/>
      <c r="BS81" s="1109"/>
      <c r="BT81" s="2402"/>
      <c r="BU81" s="2402"/>
      <c r="BV81" s="2402"/>
      <c r="BW81" s="1109"/>
      <c r="BX81" s="1109"/>
      <c r="BY81" s="1109"/>
      <c r="BZ81" s="1109"/>
      <c r="CA81" s="1109"/>
      <c r="CB81" s="1109"/>
      <c r="CC81" s="1109"/>
      <c r="CD81" s="1109"/>
      <c r="CE81" s="1109"/>
      <c r="CF81" s="2407"/>
      <c r="CG81" s="2407">
        <v>0.03</v>
      </c>
      <c r="CH81" s="2407"/>
      <c r="CI81" s="2407"/>
      <c r="CJ81" s="1108"/>
      <c r="CK81" s="2402"/>
      <c r="CL81" s="2402"/>
      <c r="CM81" s="2402"/>
      <c r="CN81" s="1109"/>
      <c r="CO81" s="1109"/>
      <c r="CP81" s="1109"/>
      <c r="CQ81" s="1109"/>
      <c r="CR81" s="1109"/>
      <c r="CS81" s="1109"/>
      <c r="CT81" s="1109"/>
      <c r="CU81" s="1109"/>
      <c r="CV81" s="1109"/>
      <c r="CW81" s="1109"/>
      <c r="CX81" s="1109"/>
      <c r="CY81" s="1109"/>
      <c r="CZ81" s="1108"/>
      <c r="DA81" s="2402"/>
      <c r="DB81" s="2402"/>
      <c r="DC81" s="2402"/>
      <c r="DD81" s="1109"/>
      <c r="DE81" s="1109"/>
      <c r="DF81" s="1109"/>
      <c r="DG81" s="1109"/>
      <c r="DH81" s="1109"/>
      <c r="DI81" s="1109"/>
      <c r="DJ81" s="1109"/>
      <c r="DK81" s="1109"/>
      <c r="DL81" s="1579"/>
      <c r="DM81" s="1579"/>
      <c r="DN81" s="1579"/>
    </row>
    <row r="82" spans="1:118" s="1577" customFormat="1">
      <c r="A82" s="1822">
        <v>12</v>
      </c>
      <c r="B82" s="2400" t="s">
        <v>920</v>
      </c>
      <c r="C82" s="2088" t="s">
        <v>296</v>
      </c>
      <c r="D82" s="2088" t="s">
        <v>638</v>
      </c>
      <c r="E82" s="2089">
        <v>1</v>
      </c>
      <c r="F82" s="1359"/>
      <c r="G82" s="1361">
        <v>60</v>
      </c>
      <c r="H82" s="2401"/>
      <c r="I82" s="2402"/>
      <c r="J82" s="2402"/>
      <c r="K82" s="2402"/>
      <c r="L82" s="1109"/>
      <c r="M82" s="1109"/>
      <c r="N82" s="1109"/>
      <c r="O82" s="1109"/>
      <c r="P82" s="1109"/>
      <c r="Q82" s="1109"/>
      <c r="R82" s="1109"/>
      <c r="S82" s="1109"/>
      <c r="T82" s="2401"/>
      <c r="U82" s="2402"/>
      <c r="V82" s="2402"/>
      <c r="W82" s="2402"/>
      <c r="X82" s="1109"/>
      <c r="Y82" s="1109"/>
      <c r="Z82" s="1109"/>
      <c r="AA82" s="1109"/>
      <c r="AB82" s="1109"/>
      <c r="AC82" s="1109"/>
      <c r="AD82" s="1109"/>
      <c r="AE82" s="1109"/>
      <c r="AF82" s="1109"/>
      <c r="AG82" s="1579"/>
      <c r="AH82" s="2420">
        <f>AG120*(1+CG82)</f>
        <v>3289.9125900115278</v>
      </c>
      <c r="AI82" s="1579"/>
      <c r="AJ82" s="1579"/>
      <c r="AK82" s="1108"/>
      <c r="AL82" s="2403"/>
      <c r="AM82" s="2403"/>
      <c r="AN82" s="2403"/>
      <c r="AO82" s="1108"/>
      <c r="AP82" s="1109"/>
      <c r="AQ82" s="1109"/>
      <c r="AR82" s="1109"/>
      <c r="AS82" s="1109"/>
      <c r="AT82" s="1109"/>
      <c r="AU82" s="1109"/>
      <c r="AV82" s="1109"/>
      <c r="AW82" s="1109"/>
      <c r="AX82" s="1579"/>
      <c r="AY82" s="2409">
        <v>24</v>
      </c>
      <c r="AZ82" s="1579"/>
      <c r="BA82" s="1579"/>
      <c r="BB82" s="1108"/>
      <c r="BC82" s="2402"/>
      <c r="BD82" s="2402"/>
      <c r="BE82" s="2402"/>
      <c r="BF82" s="1109"/>
      <c r="BG82" s="1109"/>
      <c r="BH82" s="1109"/>
      <c r="BI82" s="1109"/>
      <c r="BJ82" s="1109"/>
      <c r="BK82" s="1109"/>
      <c r="BL82" s="1109"/>
      <c r="BM82" s="1109"/>
      <c r="BN82" s="1109"/>
      <c r="BO82" s="1579"/>
      <c r="BP82" s="2165">
        <f t="shared" si="9"/>
        <v>78957.902160276659</v>
      </c>
      <c r="BQ82" s="1579"/>
      <c r="BR82" s="1579"/>
      <c r="BS82" s="1109"/>
      <c r="BT82" s="2402"/>
      <c r="BU82" s="2402"/>
      <c r="BV82" s="2402"/>
      <c r="BW82" s="1109"/>
      <c r="BX82" s="1109"/>
      <c r="BY82" s="1109"/>
      <c r="BZ82" s="1109"/>
      <c r="CA82" s="1109"/>
      <c r="CB82" s="1109"/>
      <c r="CC82" s="1109"/>
      <c r="CD82" s="1109"/>
      <c r="CE82" s="1109"/>
      <c r="CF82" s="2407"/>
      <c r="CG82" s="2407">
        <v>0.03</v>
      </c>
      <c r="CH82" s="2407"/>
      <c r="CI82" s="2407"/>
      <c r="CJ82" s="1108"/>
      <c r="CK82" s="2402"/>
      <c r="CL82" s="2402"/>
      <c r="CM82" s="2402"/>
      <c r="CN82" s="1109"/>
      <c r="CO82" s="1109"/>
      <c r="CP82" s="1109"/>
      <c r="CQ82" s="1109"/>
      <c r="CR82" s="1109"/>
      <c r="CS82" s="1109"/>
      <c r="CT82" s="1109"/>
      <c r="CU82" s="1109"/>
      <c r="CV82" s="1109"/>
      <c r="CW82" s="1109"/>
      <c r="CX82" s="1109"/>
      <c r="CY82" s="1109"/>
      <c r="CZ82" s="1108"/>
      <c r="DA82" s="2402"/>
      <c r="DB82" s="2402"/>
      <c r="DC82" s="2402"/>
      <c r="DD82" s="1109"/>
      <c r="DE82" s="1109"/>
      <c r="DF82" s="1109"/>
      <c r="DG82" s="1109"/>
      <c r="DH82" s="1109"/>
      <c r="DI82" s="1109"/>
      <c r="DJ82" s="1109"/>
      <c r="DK82" s="1109"/>
      <c r="DL82" s="1579"/>
      <c r="DM82" s="1579"/>
      <c r="DN82" s="1579"/>
    </row>
    <row r="83" spans="1:118" s="1577" customFormat="1">
      <c r="A83" s="1822">
        <v>6</v>
      </c>
      <c r="B83" s="2400" t="s">
        <v>1644</v>
      </c>
      <c r="C83" s="2088" t="s">
        <v>296</v>
      </c>
      <c r="D83" s="2088" t="s">
        <v>638</v>
      </c>
      <c r="E83" s="2089">
        <v>1</v>
      </c>
      <c r="F83" s="1359"/>
      <c r="G83" s="1361">
        <v>60</v>
      </c>
      <c r="H83" s="2401"/>
      <c r="I83" s="2402"/>
      <c r="J83" s="2402"/>
      <c r="K83" s="2402"/>
      <c r="L83" s="1109"/>
      <c r="M83" s="1109"/>
      <c r="N83" s="1109"/>
      <c r="O83" s="1109"/>
      <c r="P83" s="1109"/>
      <c r="Q83" s="1109"/>
      <c r="R83" s="1109"/>
      <c r="S83" s="1109"/>
      <c r="T83" s="2401"/>
      <c r="U83" s="2402"/>
      <c r="V83" s="2402"/>
      <c r="W83" s="2402"/>
      <c r="X83" s="1109"/>
      <c r="Y83" s="1109"/>
      <c r="Z83" s="1109"/>
      <c r="AA83" s="1109"/>
      <c r="AB83" s="1109"/>
      <c r="AC83" s="1109"/>
      <c r="AD83" s="1109"/>
      <c r="AE83" s="1109"/>
      <c r="AF83" s="1109"/>
      <c r="AG83" s="1579"/>
      <c r="AH83" s="2420">
        <f>AG121*(1+CG83)</f>
        <v>2898.1851857500001</v>
      </c>
      <c r="AI83" s="1579"/>
      <c r="AJ83" s="1579"/>
      <c r="AK83" s="1108"/>
      <c r="AL83" s="2403"/>
      <c r="AM83" s="2403"/>
      <c r="AN83" s="2403"/>
      <c r="AO83" s="1108"/>
      <c r="AP83" s="1109"/>
      <c r="AQ83" s="1109"/>
      <c r="AR83" s="1109"/>
      <c r="AS83" s="1109"/>
      <c r="AT83" s="1109"/>
      <c r="AU83" s="1109"/>
      <c r="AV83" s="1109"/>
      <c r="AW83" s="1109"/>
      <c r="AX83" s="1579"/>
      <c r="AY83" s="2409">
        <v>24</v>
      </c>
      <c r="AZ83" s="1579"/>
      <c r="BA83" s="1579"/>
      <c r="BB83" s="1108"/>
      <c r="BC83" s="2402"/>
      <c r="BD83" s="2402"/>
      <c r="BE83" s="2402"/>
      <c r="BF83" s="1109"/>
      <c r="BG83" s="1109"/>
      <c r="BH83" s="1109"/>
      <c r="BI83" s="1109"/>
      <c r="BJ83" s="1109"/>
      <c r="BK83" s="1109"/>
      <c r="BL83" s="1109"/>
      <c r="BM83" s="1109"/>
      <c r="BN83" s="1109"/>
      <c r="BO83" s="1579"/>
      <c r="BP83" s="2165">
        <f t="shared" si="9"/>
        <v>69556.444457999998</v>
      </c>
      <c r="BQ83" s="1579"/>
      <c r="BR83" s="1579"/>
      <c r="BS83" s="1109"/>
      <c r="BT83" s="2402"/>
      <c r="BU83" s="2402"/>
      <c r="BV83" s="2402"/>
      <c r="BW83" s="1109"/>
      <c r="BX83" s="1109"/>
      <c r="BY83" s="1109"/>
      <c r="BZ83" s="1109"/>
      <c r="CA83" s="1109"/>
      <c r="CB83" s="1109"/>
      <c r="CC83" s="1109"/>
      <c r="CD83" s="1109"/>
      <c r="CE83" s="1109"/>
      <c r="CF83" s="2407"/>
      <c r="CG83" s="2407">
        <v>0.03</v>
      </c>
      <c r="CH83" s="2407"/>
      <c r="CI83" s="2407"/>
      <c r="CJ83" s="1108"/>
      <c r="CK83" s="2402"/>
      <c r="CL83" s="2402"/>
      <c r="CM83" s="2402"/>
      <c r="CN83" s="1109"/>
      <c r="CO83" s="1109"/>
      <c r="CP83" s="1109"/>
      <c r="CQ83" s="1109"/>
      <c r="CR83" s="1109"/>
      <c r="CS83" s="1109"/>
      <c r="CT83" s="1109"/>
      <c r="CU83" s="1109"/>
      <c r="CV83" s="1109"/>
      <c r="CW83" s="1109"/>
      <c r="CX83" s="1109"/>
      <c r="CY83" s="1109"/>
      <c r="CZ83" s="1108"/>
      <c r="DA83" s="2402"/>
      <c r="DB83" s="2402"/>
      <c r="DC83" s="2402"/>
      <c r="DD83" s="1109"/>
      <c r="DE83" s="1109"/>
      <c r="DF83" s="1109"/>
      <c r="DG83" s="1109"/>
      <c r="DH83" s="1109"/>
      <c r="DI83" s="1109"/>
      <c r="DJ83" s="1109"/>
      <c r="DK83" s="1109"/>
      <c r="DL83" s="1579"/>
      <c r="DM83" s="1579"/>
      <c r="DN83" s="1579"/>
    </row>
    <row r="84" spans="1:118" s="1577" customFormat="1">
      <c r="A84" s="1822">
        <v>1</v>
      </c>
      <c r="B84" s="2400" t="s">
        <v>1645</v>
      </c>
      <c r="C84" s="2088" t="s">
        <v>296</v>
      </c>
      <c r="D84" s="2088" t="s">
        <v>638</v>
      </c>
      <c r="E84" s="2089">
        <v>1</v>
      </c>
      <c r="F84" s="1359"/>
      <c r="G84" s="1361">
        <v>60</v>
      </c>
      <c r="H84" s="2401"/>
      <c r="I84" s="2402"/>
      <c r="J84" s="2402"/>
      <c r="K84" s="2402"/>
      <c r="L84" s="1109"/>
      <c r="M84" s="1109"/>
      <c r="N84" s="1109"/>
      <c r="O84" s="1109"/>
      <c r="P84" s="1109"/>
      <c r="Q84" s="1109"/>
      <c r="R84" s="1109"/>
      <c r="S84" s="1109"/>
      <c r="T84" s="2401"/>
      <c r="U84" s="2402"/>
      <c r="V84" s="2402"/>
      <c r="W84" s="2402"/>
      <c r="X84" s="1109"/>
      <c r="Y84" s="1109"/>
      <c r="Z84" s="1109"/>
      <c r="AA84" s="1109"/>
      <c r="AB84" s="1109"/>
      <c r="AC84" s="1109"/>
      <c r="AD84" s="1109"/>
      <c r="AE84" s="1109"/>
      <c r="AF84" s="1109"/>
      <c r="AG84" s="1579"/>
      <c r="AH84" s="2420">
        <v>1500</v>
      </c>
      <c r="AI84" s="1579"/>
      <c r="AJ84" s="1579"/>
      <c r="AK84" s="1108"/>
      <c r="AL84" s="2403"/>
      <c r="AM84" s="2403"/>
      <c r="AN84" s="2403"/>
      <c r="AO84" s="1108"/>
      <c r="AP84" s="1109"/>
      <c r="AQ84" s="1109"/>
      <c r="AR84" s="1109"/>
      <c r="AS84" s="1109"/>
      <c r="AT84" s="1109"/>
      <c r="AU84" s="1109"/>
      <c r="AV84" s="1109"/>
      <c r="AW84" s="1109"/>
      <c r="AX84" s="1579"/>
      <c r="AY84" s="2409">
        <v>23</v>
      </c>
      <c r="AZ84" s="1579"/>
      <c r="BA84" s="1579"/>
      <c r="BB84" s="1108"/>
      <c r="BC84" s="2402"/>
      <c r="BD84" s="2402"/>
      <c r="BE84" s="2402"/>
      <c r="BF84" s="1109"/>
      <c r="BG84" s="1109"/>
      <c r="BH84" s="1109"/>
      <c r="BI84" s="1109"/>
      <c r="BJ84" s="1109"/>
      <c r="BK84" s="1109"/>
      <c r="BL84" s="1109"/>
      <c r="BM84" s="1109"/>
      <c r="BN84" s="1109"/>
      <c r="BO84" s="1579"/>
      <c r="BP84" s="2165">
        <f t="shared" si="9"/>
        <v>34500</v>
      </c>
      <c r="BQ84" s="1579"/>
      <c r="BR84" s="1579"/>
      <c r="BS84" s="1109"/>
      <c r="BT84" s="2402"/>
      <c r="BU84" s="2402"/>
      <c r="BV84" s="2402"/>
      <c r="BW84" s="1109"/>
      <c r="BX84" s="1109"/>
      <c r="BY84" s="1109"/>
      <c r="BZ84" s="1109"/>
      <c r="CA84" s="1109"/>
      <c r="CB84" s="1109"/>
      <c r="CC84" s="1109"/>
      <c r="CD84" s="1109"/>
      <c r="CE84" s="1109"/>
      <c r="CF84" s="2407"/>
      <c r="CG84" s="2407">
        <v>0.03</v>
      </c>
      <c r="CH84" s="2407"/>
      <c r="CI84" s="2407"/>
      <c r="CJ84" s="1108"/>
      <c r="CK84" s="2402"/>
      <c r="CL84" s="2402"/>
      <c r="CM84" s="2402"/>
      <c r="CN84" s="1109"/>
      <c r="CO84" s="1109"/>
      <c r="CP84" s="1109"/>
      <c r="CQ84" s="1109"/>
      <c r="CR84" s="1109"/>
      <c r="CS84" s="1109"/>
      <c r="CT84" s="1109"/>
      <c r="CU84" s="1109"/>
      <c r="CV84" s="1109"/>
      <c r="CW84" s="1109"/>
      <c r="CX84" s="1109"/>
      <c r="CY84" s="1109"/>
      <c r="CZ84" s="1108"/>
      <c r="DA84" s="2402"/>
      <c r="DB84" s="2402"/>
      <c r="DC84" s="2402"/>
      <c r="DD84" s="1109"/>
      <c r="DE84" s="1109"/>
      <c r="DF84" s="1109"/>
      <c r="DG84" s="1109"/>
      <c r="DH84" s="1109"/>
      <c r="DI84" s="1109"/>
      <c r="DJ84" s="1109"/>
      <c r="DK84" s="1109"/>
      <c r="DL84" s="1579"/>
      <c r="DM84" s="1579"/>
      <c r="DN84" s="1579"/>
    </row>
    <row r="85" spans="1:118" s="1577" customFormat="1">
      <c r="A85" s="1822">
        <v>1</v>
      </c>
      <c r="B85" s="2400" t="s">
        <v>1663</v>
      </c>
      <c r="C85" s="2088" t="s">
        <v>296</v>
      </c>
      <c r="D85" s="2088" t="s">
        <v>638</v>
      </c>
      <c r="E85" s="2089">
        <v>1</v>
      </c>
      <c r="F85" s="2401"/>
      <c r="G85" s="1361">
        <v>30</v>
      </c>
      <c r="H85" s="2401"/>
      <c r="I85" s="2402"/>
      <c r="J85" s="2402"/>
      <c r="K85" s="2402"/>
      <c r="L85" s="1109"/>
      <c r="M85" s="1109"/>
      <c r="N85" s="1109"/>
      <c r="O85" s="1109"/>
      <c r="P85" s="1109"/>
      <c r="Q85" s="1109"/>
      <c r="R85" s="1109"/>
      <c r="S85" s="1109"/>
      <c r="T85" s="2401"/>
      <c r="U85" s="2402"/>
      <c r="V85" s="2402"/>
      <c r="W85" s="2402"/>
      <c r="X85" s="1109"/>
      <c r="Y85" s="1109"/>
      <c r="Z85" s="1109"/>
      <c r="AA85" s="1109"/>
      <c r="AB85" s="1109"/>
      <c r="AC85" s="1109"/>
      <c r="AD85" s="1109"/>
      <c r="AE85" s="1109"/>
      <c r="AF85" s="1109"/>
      <c r="AG85" s="1579"/>
      <c r="AH85" s="2420">
        <v>1500</v>
      </c>
      <c r="AI85" s="1579"/>
      <c r="AJ85" s="1579"/>
      <c r="AK85" s="1108"/>
      <c r="AL85" s="2403"/>
      <c r="AM85" s="2403"/>
      <c r="AN85" s="2403"/>
      <c r="AO85" s="1108"/>
      <c r="AP85" s="1109"/>
      <c r="AQ85" s="1109"/>
      <c r="AR85" s="1109"/>
      <c r="AS85" s="1109"/>
      <c r="AT85" s="1109"/>
      <c r="AU85" s="1109"/>
      <c r="AV85" s="1109"/>
      <c r="AW85" s="1109"/>
      <c r="AX85" s="1579"/>
      <c r="AY85" s="2409">
        <v>12</v>
      </c>
      <c r="AZ85" s="1579"/>
      <c r="BA85" s="1579"/>
      <c r="BB85" s="1108"/>
      <c r="BC85" s="2402"/>
      <c r="BD85" s="2402"/>
      <c r="BE85" s="2402"/>
      <c r="BF85" s="1109"/>
      <c r="BG85" s="1109"/>
      <c r="BH85" s="1109"/>
      <c r="BI85" s="1109"/>
      <c r="BJ85" s="1109"/>
      <c r="BK85" s="1109"/>
      <c r="BL85" s="1109"/>
      <c r="BM85" s="1109"/>
      <c r="BN85" s="1109"/>
      <c r="BO85" s="1579"/>
      <c r="BP85" s="2165">
        <f t="shared" si="8"/>
        <v>18000</v>
      </c>
      <c r="BQ85" s="1579"/>
      <c r="BR85" s="1579"/>
      <c r="BS85" s="1109"/>
      <c r="BT85" s="2402"/>
      <c r="BU85" s="2402"/>
      <c r="BV85" s="2402"/>
      <c r="BW85" s="1109"/>
      <c r="BX85" s="1109"/>
      <c r="BY85" s="1109"/>
      <c r="BZ85" s="1109"/>
      <c r="CA85" s="1109"/>
      <c r="CB85" s="1109"/>
      <c r="CC85" s="1109"/>
      <c r="CD85" s="1109"/>
      <c r="CE85" s="1109"/>
      <c r="CF85" s="2407"/>
      <c r="CG85" s="2407">
        <v>0.03</v>
      </c>
      <c r="CH85" s="2407"/>
      <c r="CI85" s="2407"/>
      <c r="CJ85" s="1108"/>
      <c r="CK85" s="2402"/>
      <c r="CL85" s="2402"/>
      <c r="CM85" s="2402"/>
      <c r="CN85" s="1109"/>
      <c r="CO85" s="1109"/>
      <c r="CP85" s="1109"/>
      <c r="CQ85" s="1109"/>
      <c r="CR85" s="1109"/>
      <c r="CS85" s="1109"/>
      <c r="CT85" s="1109"/>
      <c r="CU85" s="1109"/>
      <c r="CV85" s="1109"/>
      <c r="CW85" s="1109"/>
      <c r="CX85" s="1109"/>
      <c r="CY85" s="1109"/>
      <c r="CZ85" s="1108"/>
      <c r="DA85" s="2402"/>
      <c r="DB85" s="2402"/>
      <c r="DC85" s="2402"/>
      <c r="DD85" s="1109"/>
      <c r="DE85" s="1109"/>
      <c r="DF85" s="1109"/>
      <c r="DG85" s="1109"/>
      <c r="DH85" s="1109"/>
      <c r="DI85" s="1109"/>
      <c r="DJ85" s="1109"/>
      <c r="DK85" s="1109"/>
      <c r="DL85" s="1579"/>
      <c r="DM85" s="1579"/>
      <c r="DN85" s="1579"/>
    </row>
    <row r="86" spans="1:118" s="1577" customFormat="1">
      <c r="A86" s="1822">
        <v>1</v>
      </c>
      <c r="B86" s="2400" t="s">
        <v>1647</v>
      </c>
      <c r="C86" s="2088" t="s">
        <v>296</v>
      </c>
      <c r="D86" s="2088" t="s">
        <v>638</v>
      </c>
      <c r="E86" s="2089">
        <v>1</v>
      </c>
      <c r="F86" s="2401"/>
      <c r="G86" s="1361">
        <v>60</v>
      </c>
      <c r="H86" s="2401"/>
      <c r="I86" s="2402"/>
      <c r="J86" s="2402"/>
      <c r="K86" s="2402"/>
      <c r="L86" s="1109"/>
      <c r="M86" s="1109"/>
      <c r="N86" s="1109"/>
      <c r="O86" s="1109"/>
      <c r="P86" s="1109"/>
      <c r="Q86" s="1109"/>
      <c r="R86" s="1109"/>
      <c r="S86" s="1109"/>
      <c r="T86" s="2401"/>
      <c r="U86" s="2402"/>
      <c r="V86" s="2402"/>
      <c r="W86" s="2402"/>
      <c r="X86" s="1109"/>
      <c r="Y86" s="1109"/>
      <c r="Z86" s="1109"/>
      <c r="AA86" s="1109"/>
      <c r="AB86" s="1109"/>
      <c r="AC86" s="1109"/>
      <c r="AD86" s="1109"/>
      <c r="AE86" s="1109"/>
      <c r="AF86" s="1109"/>
      <c r="AG86" s="1579"/>
      <c r="AH86" s="2420">
        <v>2000</v>
      </c>
      <c r="AI86" s="1579"/>
      <c r="AJ86" s="1579"/>
      <c r="AK86" s="1108"/>
      <c r="AL86" s="2403"/>
      <c r="AM86" s="2403"/>
      <c r="AN86" s="2403"/>
      <c r="AO86" s="1108"/>
      <c r="AP86" s="1109"/>
      <c r="AQ86" s="1109"/>
      <c r="AR86" s="1109"/>
      <c r="AS86" s="1109"/>
      <c r="AT86" s="1109"/>
      <c r="AU86" s="1109"/>
      <c r="AV86" s="1109"/>
      <c r="AW86" s="1109"/>
      <c r="AX86" s="1579"/>
      <c r="AY86" s="2409">
        <v>22</v>
      </c>
      <c r="AZ86" s="1579"/>
      <c r="BA86" s="1579"/>
      <c r="BB86" s="1108"/>
      <c r="BC86" s="2402"/>
      <c r="BD86" s="2402"/>
      <c r="BE86" s="2402"/>
      <c r="BF86" s="1109"/>
      <c r="BG86" s="1109"/>
      <c r="BH86" s="1109"/>
      <c r="BI86" s="1109"/>
      <c r="BJ86" s="1109"/>
      <c r="BK86" s="1109"/>
      <c r="BL86" s="1109"/>
      <c r="BM86" s="1109"/>
      <c r="BN86" s="1109"/>
      <c r="BO86" s="1579"/>
      <c r="BP86" s="2165">
        <f>$E86*AH86*AY86</f>
        <v>44000</v>
      </c>
      <c r="BQ86" s="1579"/>
      <c r="BR86" s="1579"/>
      <c r="BS86" s="1109"/>
      <c r="BT86" s="2402"/>
      <c r="BU86" s="2402"/>
      <c r="BV86" s="2402"/>
      <c r="BW86" s="1109"/>
      <c r="BX86" s="1109"/>
      <c r="BY86" s="1109"/>
      <c r="BZ86" s="1109"/>
      <c r="CA86" s="1109"/>
      <c r="CB86" s="1109"/>
      <c r="CC86" s="1109"/>
      <c r="CD86" s="1109"/>
      <c r="CE86" s="1109"/>
      <c r="CF86" s="2407"/>
      <c r="CG86" s="2407">
        <v>0.03</v>
      </c>
      <c r="CH86" s="2407"/>
      <c r="CI86" s="2407"/>
      <c r="CJ86" s="1108"/>
      <c r="CK86" s="2402"/>
      <c r="CL86" s="2402"/>
      <c r="CM86" s="2402"/>
      <c r="CN86" s="1109"/>
      <c r="CO86" s="1109"/>
      <c r="CP86" s="1109"/>
      <c r="CQ86" s="1109"/>
      <c r="CR86" s="1109"/>
      <c r="CS86" s="1109"/>
      <c r="CT86" s="1109"/>
      <c r="CU86" s="1109"/>
      <c r="CV86" s="1109"/>
      <c r="CW86" s="1109"/>
      <c r="CX86" s="1109"/>
      <c r="CY86" s="1109"/>
      <c r="CZ86" s="1108"/>
      <c r="DA86" s="2402"/>
      <c r="DB86" s="2402"/>
      <c r="DC86" s="2402"/>
      <c r="DD86" s="1109"/>
      <c r="DE86" s="1109"/>
      <c r="DF86" s="1109"/>
      <c r="DG86" s="1109"/>
      <c r="DH86" s="1109"/>
      <c r="DI86" s="1109"/>
      <c r="DJ86" s="1109"/>
      <c r="DK86" s="1109"/>
      <c r="DL86" s="1579"/>
      <c r="DM86" s="1579"/>
      <c r="DN86" s="1579"/>
    </row>
    <row r="87" spans="1:118" s="1577" customFormat="1">
      <c r="A87" s="1822">
        <v>3</v>
      </c>
      <c r="B87" s="1470" t="s">
        <v>1660</v>
      </c>
      <c r="C87" s="2088" t="s">
        <v>296</v>
      </c>
      <c r="D87" s="2088" t="s">
        <v>638</v>
      </c>
      <c r="E87" s="2089">
        <v>1</v>
      </c>
      <c r="F87" s="2401"/>
      <c r="G87" s="1361">
        <v>60</v>
      </c>
      <c r="H87" s="2401"/>
      <c r="I87" s="2402"/>
      <c r="J87" s="2402"/>
      <c r="K87" s="2402"/>
      <c r="L87" s="1109"/>
      <c r="M87" s="1109"/>
      <c r="N87" s="1109"/>
      <c r="O87" s="1109"/>
      <c r="P87" s="1109"/>
      <c r="Q87" s="1109"/>
      <c r="R87" s="1109"/>
      <c r="S87" s="1109"/>
      <c r="T87" s="2401"/>
      <c r="U87" s="2402"/>
      <c r="V87" s="2402"/>
      <c r="W87" s="2402"/>
      <c r="X87" s="1109"/>
      <c r="Y87" s="1109"/>
      <c r="Z87" s="1109"/>
      <c r="AA87" s="1109"/>
      <c r="AB87" s="1109"/>
      <c r="AC87" s="1109"/>
      <c r="AD87" s="1109"/>
      <c r="AE87" s="1109"/>
      <c r="AF87" s="1109"/>
      <c r="AG87" s="1579"/>
      <c r="AH87" s="2420">
        <f>AG122*(1+CG87)</f>
        <v>1591.3500000000001</v>
      </c>
      <c r="AI87" s="1579"/>
      <c r="AJ87" s="1579"/>
      <c r="AK87" s="1108"/>
      <c r="AL87" s="2403"/>
      <c r="AM87" s="2403"/>
      <c r="AN87" s="2403"/>
      <c r="AO87" s="1108"/>
      <c r="AP87" s="1109"/>
      <c r="AQ87" s="1109"/>
      <c r="AR87" s="1109"/>
      <c r="AS87" s="1109"/>
      <c r="AT87" s="1109"/>
      <c r="AU87" s="1109"/>
      <c r="AV87" s="1109"/>
      <c r="AW87" s="1109"/>
      <c r="AX87" s="1579"/>
      <c r="AY87" s="2409">
        <v>13</v>
      </c>
      <c r="AZ87" s="1579"/>
      <c r="BA87" s="1579"/>
      <c r="BB87" s="1108"/>
      <c r="BC87" s="2402"/>
      <c r="BD87" s="2402"/>
      <c r="BE87" s="2402"/>
      <c r="BF87" s="1109"/>
      <c r="BG87" s="1109"/>
      <c r="BH87" s="1109"/>
      <c r="BI87" s="1109"/>
      <c r="BJ87" s="1109"/>
      <c r="BK87" s="1109"/>
      <c r="BL87" s="1109"/>
      <c r="BM87" s="1109"/>
      <c r="BN87" s="1109"/>
      <c r="BO87" s="1579"/>
      <c r="BP87" s="2165">
        <f t="shared" si="8"/>
        <v>20687.550000000003</v>
      </c>
      <c r="BQ87" s="1579"/>
      <c r="BR87" s="1579"/>
      <c r="BS87" s="1109"/>
      <c r="BT87" s="2402"/>
      <c r="BU87" s="2402"/>
      <c r="BV87" s="2402"/>
      <c r="BW87" s="1109"/>
      <c r="BX87" s="1109"/>
      <c r="BY87" s="1109"/>
      <c r="BZ87" s="1109"/>
      <c r="CA87" s="1109"/>
      <c r="CB87" s="1109"/>
      <c r="CC87" s="1109"/>
      <c r="CD87" s="1109"/>
      <c r="CE87" s="1109"/>
      <c r="CF87" s="2407"/>
      <c r="CG87" s="2407">
        <v>0.03</v>
      </c>
      <c r="CH87" s="2407"/>
      <c r="CI87" s="2407"/>
      <c r="CJ87" s="1108"/>
      <c r="CK87" s="2402"/>
      <c r="CL87" s="2402"/>
      <c r="CM87" s="2402"/>
      <c r="CN87" s="1109"/>
      <c r="CO87" s="1109"/>
      <c r="CP87" s="1109"/>
      <c r="CQ87" s="1109"/>
      <c r="CR87" s="1109"/>
      <c r="CS87" s="1109"/>
      <c r="CT87" s="1109"/>
      <c r="CU87" s="1109"/>
      <c r="CV87" s="1109"/>
      <c r="CW87" s="1109"/>
      <c r="CX87" s="1109"/>
      <c r="CY87" s="1109"/>
      <c r="CZ87" s="1108"/>
      <c r="DA87" s="2402"/>
      <c r="DB87" s="2402"/>
      <c r="DC87" s="2402"/>
      <c r="DD87" s="1109"/>
      <c r="DE87" s="1109"/>
      <c r="DF87" s="1109"/>
      <c r="DG87" s="1109"/>
      <c r="DH87" s="1109"/>
      <c r="DI87" s="1109"/>
      <c r="DJ87" s="1109"/>
      <c r="DK87" s="1109"/>
      <c r="DL87" s="1579"/>
      <c r="DM87" s="1579"/>
      <c r="DN87" s="1579"/>
    </row>
    <row r="88" spans="1:118" s="1577" customFormat="1">
      <c r="A88" s="1822">
        <v>3</v>
      </c>
      <c r="B88" s="2400" t="s">
        <v>294</v>
      </c>
      <c r="C88" s="1108" t="s">
        <v>303</v>
      </c>
      <c r="D88" s="2088" t="s">
        <v>638</v>
      </c>
      <c r="E88" s="2089">
        <v>0.5</v>
      </c>
      <c r="F88" s="1359"/>
      <c r="G88" s="1361">
        <v>60</v>
      </c>
      <c r="H88" s="2401"/>
      <c r="I88" s="2402"/>
      <c r="J88" s="2402"/>
      <c r="K88" s="2402"/>
      <c r="L88" s="1109"/>
      <c r="M88" s="1109"/>
      <c r="N88" s="1109"/>
      <c r="O88" s="1109"/>
      <c r="P88" s="1109"/>
      <c r="Q88" s="1109"/>
      <c r="R88" s="1109"/>
      <c r="S88" s="1109"/>
      <c r="T88" s="2401"/>
      <c r="U88" s="2402"/>
      <c r="V88" s="2402"/>
      <c r="W88" s="2402"/>
      <c r="X88" s="1109"/>
      <c r="Y88" s="1109"/>
      <c r="Z88" s="1109"/>
      <c r="AA88" s="1109"/>
      <c r="AB88" s="1109"/>
      <c r="AC88" s="1109"/>
      <c r="AD88" s="1109"/>
      <c r="AE88" s="1109"/>
      <c r="AF88" s="1109"/>
      <c r="AG88" s="1579"/>
      <c r="AH88" s="2420">
        <f>AG123*(1+CG88)</f>
        <v>1591.3500000000001</v>
      </c>
      <c r="AI88" s="1579"/>
      <c r="AJ88" s="1579"/>
      <c r="AK88" s="1108"/>
      <c r="AL88" s="2403"/>
      <c r="AM88" s="2403"/>
      <c r="AN88" s="2403"/>
      <c r="AO88" s="1108"/>
      <c r="AP88" s="1109"/>
      <c r="AQ88" s="1109"/>
      <c r="AR88" s="1109"/>
      <c r="AS88" s="1109"/>
      <c r="AT88" s="1109"/>
      <c r="AU88" s="1109"/>
      <c r="AV88" s="1109"/>
      <c r="AW88" s="1109"/>
      <c r="AX88" s="1579"/>
      <c r="AY88" s="2409">
        <v>13</v>
      </c>
      <c r="AZ88" s="1579"/>
      <c r="BA88" s="1579"/>
      <c r="BB88" s="1108"/>
      <c r="BC88" s="2402"/>
      <c r="BD88" s="2402"/>
      <c r="BE88" s="2402"/>
      <c r="BF88" s="1109"/>
      <c r="BG88" s="1109"/>
      <c r="BH88" s="1109"/>
      <c r="BI88" s="1109"/>
      <c r="BJ88" s="1109"/>
      <c r="BK88" s="1109"/>
      <c r="BL88" s="1109"/>
      <c r="BM88" s="1109"/>
      <c r="BN88" s="1109"/>
      <c r="BO88" s="1579"/>
      <c r="BP88" s="2165">
        <f t="shared" si="8"/>
        <v>10343.775000000001</v>
      </c>
      <c r="BQ88" s="1579"/>
      <c r="BR88" s="1579"/>
      <c r="BS88" s="1109"/>
      <c r="BT88" s="2402"/>
      <c r="BU88" s="2402"/>
      <c r="BV88" s="2402"/>
      <c r="BW88" s="1109"/>
      <c r="BX88" s="1109"/>
      <c r="BY88" s="1109"/>
      <c r="BZ88" s="1109"/>
      <c r="CA88" s="1109"/>
      <c r="CB88" s="1109"/>
      <c r="CC88" s="1109"/>
      <c r="CD88" s="1109"/>
      <c r="CE88" s="1109"/>
      <c r="CF88" s="2407"/>
      <c r="CG88" s="2407">
        <v>0.03</v>
      </c>
      <c r="CH88" s="2407"/>
      <c r="CI88" s="2407"/>
      <c r="CJ88" s="1108"/>
      <c r="CK88" s="2402"/>
      <c r="CL88" s="2402"/>
      <c r="CM88" s="2402"/>
      <c r="CN88" s="1109"/>
      <c r="CO88" s="1109"/>
      <c r="CP88" s="1109"/>
      <c r="CQ88" s="1109"/>
      <c r="CR88" s="1109"/>
      <c r="CS88" s="1109"/>
      <c r="CT88" s="1109"/>
      <c r="CU88" s="1109"/>
      <c r="CV88" s="1109"/>
      <c r="CW88" s="1109"/>
      <c r="CX88" s="1109"/>
      <c r="CY88" s="1109"/>
      <c r="CZ88" s="1108"/>
      <c r="DA88" s="2402"/>
      <c r="DB88" s="2402"/>
      <c r="DC88" s="2402"/>
      <c r="DD88" s="1109"/>
      <c r="DE88" s="1109"/>
      <c r="DF88" s="1109"/>
      <c r="DG88" s="1109"/>
      <c r="DH88" s="1109"/>
      <c r="DI88" s="1109"/>
      <c r="DJ88" s="1109"/>
      <c r="DK88" s="1109"/>
      <c r="DL88" s="1579"/>
      <c r="DM88" s="1579"/>
      <c r="DN88" s="1579"/>
    </row>
    <row r="89" spans="1:118" s="1577" customFormat="1">
      <c r="A89" s="1822">
        <v>2</v>
      </c>
      <c r="B89" s="2400" t="s">
        <v>1575</v>
      </c>
      <c r="C89" s="2400" t="s">
        <v>1666</v>
      </c>
      <c r="D89" s="2400" t="s">
        <v>595</v>
      </c>
      <c r="E89" s="2089">
        <v>0.5</v>
      </c>
      <c r="F89" s="2401"/>
      <c r="G89" s="1361">
        <v>60</v>
      </c>
      <c r="H89" s="2401"/>
      <c r="I89" s="2402"/>
      <c r="J89" s="2402"/>
      <c r="K89" s="2402"/>
      <c r="L89" s="1109"/>
      <c r="M89" s="1109"/>
      <c r="N89" s="1109"/>
      <c r="O89" s="1109"/>
      <c r="P89" s="1109"/>
      <c r="Q89" s="1109"/>
      <c r="R89" s="1109"/>
      <c r="S89" s="1109"/>
      <c r="T89" s="2401"/>
      <c r="U89" s="2402"/>
      <c r="V89" s="2402"/>
      <c r="W89" s="2402"/>
      <c r="X89" s="1109"/>
      <c r="Y89" s="1109"/>
      <c r="Z89" s="1109"/>
      <c r="AA89" s="1109"/>
      <c r="AB89" s="1109"/>
      <c r="AC89" s="1109"/>
      <c r="AD89" s="1109"/>
      <c r="AE89" s="1109"/>
      <c r="AF89" s="1109"/>
      <c r="AG89" s="1579"/>
      <c r="AH89" s="2420">
        <f>AG124*(1+CG89)</f>
        <v>1030</v>
      </c>
      <c r="AI89" s="1579"/>
      <c r="AJ89" s="1579"/>
      <c r="AK89" s="1108"/>
      <c r="AL89" s="2403"/>
      <c r="AM89" s="2403"/>
      <c r="AN89" s="2403"/>
      <c r="AO89" s="1108"/>
      <c r="AP89" s="1109"/>
      <c r="AQ89" s="1109"/>
      <c r="AR89" s="1109"/>
      <c r="AS89" s="1109"/>
      <c r="AT89" s="1109"/>
      <c r="AU89" s="1109"/>
      <c r="AV89" s="1109"/>
      <c r="AW89" s="1109"/>
      <c r="AX89" s="1579"/>
      <c r="AY89" s="2409">
        <v>16</v>
      </c>
      <c r="AZ89" s="1579"/>
      <c r="BA89" s="1579"/>
      <c r="BB89" s="1108"/>
      <c r="BC89" s="2402"/>
      <c r="BD89" s="2402"/>
      <c r="BE89" s="2402"/>
      <c r="BF89" s="1109"/>
      <c r="BG89" s="1109"/>
      <c r="BH89" s="1109"/>
      <c r="BI89" s="1109"/>
      <c r="BJ89" s="1109"/>
      <c r="BK89" s="1109"/>
      <c r="BL89" s="1109"/>
      <c r="BM89" s="1109"/>
      <c r="BN89" s="1109"/>
      <c r="BO89" s="1579"/>
      <c r="BP89" s="2165">
        <f t="shared" si="8"/>
        <v>8240</v>
      </c>
      <c r="BQ89" s="1579"/>
      <c r="BR89" s="1579"/>
      <c r="BS89" s="1109"/>
      <c r="BT89" s="2402"/>
      <c r="BU89" s="2402"/>
      <c r="BV89" s="2402"/>
      <c r="BW89" s="1109"/>
      <c r="BX89" s="1109"/>
      <c r="BY89" s="1109"/>
      <c r="BZ89" s="1109"/>
      <c r="CA89" s="1109"/>
      <c r="CB89" s="1109"/>
      <c r="CC89" s="1109"/>
      <c r="CD89" s="1109"/>
      <c r="CE89" s="1109"/>
      <c r="CF89" s="2407"/>
      <c r="CG89" s="2407">
        <v>0.03</v>
      </c>
      <c r="CH89" s="2407"/>
      <c r="CI89" s="2407"/>
      <c r="CJ89" s="1108"/>
      <c r="CK89" s="2402"/>
      <c r="CL89" s="2402"/>
      <c r="CM89" s="2402"/>
      <c r="CN89" s="1109"/>
      <c r="CO89" s="1109"/>
      <c r="CP89" s="1109"/>
      <c r="CQ89" s="1109"/>
      <c r="CR89" s="1109"/>
      <c r="CS89" s="1109"/>
      <c r="CT89" s="1109"/>
      <c r="CU89" s="1109"/>
      <c r="CV89" s="1109"/>
      <c r="CW89" s="1109"/>
      <c r="CX89" s="1109"/>
      <c r="CY89" s="1109"/>
      <c r="CZ89" s="1108"/>
      <c r="DA89" s="2402"/>
      <c r="DB89" s="2402"/>
      <c r="DC89" s="2402"/>
      <c r="DD89" s="1109"/>
      <c r="DE89" s="1109"/>
      <c r="DF89" s="1109"/>
      <c r="DG89" s="1109"/>
      <c r="DH89" s="1109"/>
      <c r="DI89" s="1109"/>
      <c r="DJ89" s="1109"/>
      <c r="DK89" s="1109"/>
      <c r="DL89" s="1579"/>
      <c r="DM89" s="1579"/>
      <c r="DN89" s="1579"/>
    </row>
    <row r="90" spans="1:118" s="1577" customFormat="1">
      <c r="A90" s="1822">
        <v>1</v>
      </c>
      <c r="B90" s="2400" t="s">
        <v>1649</v>
      </c>
      <c r="C90" s="2088" t="s">
        <v>296</v>
      </c>
      <c r="D90" s="2088" t="s">
        <v>638</v>
      </c>
      <c r="E90" s="2089">
        <v>1</v>
      </c>
      <c r="F90" s="2401"/>
      <c r="G90" s="1361">
        <v>60</v>
      </c>
      <c r="H90" s="2401"/>
      <c r="I90" s="2402"/>
      <c r="J90" s="2402"/>
      <c r="K90" s="2402"/>
      <c r="L90" s="1109"/>
      <c r="M90" s="1109"/>
      <c r="N90" s="1109"/>
      <c r="O90" s="1109"/>
      <c r="P90" s="1109"/>
      <c r="Q90" s="1109"/>
      <c r="R90" s="1109"/>
      <c r="S90" s="1109"/>
      <c r="T90" s="2401"/>
      <c r="U90" s="2402"/>
      <c r="V90" s="2402"/>
      <c r="W90" s="2402"/>
      <c r="X90" s="1109"/>
      <c r="Y90" s="1109"/>
      <c r="Z90" s="1109"/>
      <c r="AA90" s="1109"/>
      <c r="AB90" s="1109"/>
      <c r="AC90" s="1109"/>
      <c r="AD90" s="1109"/>
      <c r="AE90" s="1109"/>
      <c r="AF90" s="1109"/>
      <c r="AG90" s="1579"/>
      <c r="AH90" s="2420">
        <v>1000</v>
      </c>
      <c r="AI90" s="1579"/>
      <c r="AJ90" s="1579"/>
      <c r="AK90" s="1108"/>
      <c r="AL90" s="2403"/>
      <c r="AM90" s="2403"/>
      <c r="AN90" s="2403"/>
      <c r="AO90" s="1108"/>
      <c r="AP90" s="1109"/>
      <c r="AQ90" s="1109"/>
      <c r="AR90" s="1109"/>
      <c r="AS90" s="1109"/>
      <c r="AT90" s="1109"/>
      <c r="AU90" s="1109"/>
      <c r="AV90" s="1109"/>
      <c r="AW90" s="1109"/>
      <c r="AX90" s="1579"/>
      <c r="AY90" s="2409">
        <v>13</v>
      </c>
      <c r="AZ90" s="1579"/>
      <c r="BA90" s="1579"/>
      <c r="BB90" s="1108"/>
      <c r="BC90" s="2402"/>
      <c r="BD90" s="2402"/>
      <c r="BE90" s="2402"/>
      <c r="BF90" s="1109"/>
      <c r="BG90" s="1109"/>
      <c r="BH90" s="1109"/>
      <c r="BI90" s="1109"/>
      <c r="BJ90" s="1109"/>
      <c r="BK90" s="1109"/>
      <c r="BL90" s="1109"/>
      <c r="BM90" s="1109"/>
      <c r="BN90" s="1109"/>
      <c r="BO90" s="1579"/>
      <c r="BP90" s="2165">
        <f>$E90*AH90*AY90</f>
        <v>13000</v>
      </c>
      <c r="BQ90" s="1579"/>
      <c r="BR90" s="1579"/>
      <c r="BS90" s="1109"/>
      <c r="BT90" s="2402"/>
      <c r="BU90" s="2402"/>
      <c r="BV90" s="2402"/>
      <c r="BW90" s="1109"/>
      <c r="BX90" s="1109"/>
      <c r="BY90" s="1109"/>
      <c r="BZ90" s="1109"/>
      <c r="CA90" s="1109"/>
      <c r="CB90" s="1109"/>
      <c r="CC90" s="1109"/>
      <c r="CD90" s="1109"/>
      <c r="CE90" s="1109"/>
      <c r="CF90" s="2407"/>
      <c r="CG90" s="2407">
        <v>0.03</v>
      </c>
      <c r="CH90" s="2407"/>
      <c r="CI90" s="2407"/>
      <c r="CJ90" s="1108"/>
      <c r="CK90" s="2402"/>
      <c r="CL90" s="2402"/>
      <c r="CM90" s="2402"/>
      <c r="CN90" s="1109"/>
      <c r="CO90" s="1109"/>
      <c r="CP90" s="1109"/>
      <c r="CQ90" s="1109"/>
      <c r="CR90" s="1109"/>
      <c r="CS90" s="1109"/>
      <c r="CT90" s="1109"/>
      <c r="CU90" s="1109"/>
      <c r="CV90" s="1109"/>
      <c r="CW90" s="1109"/>
      <c r="CX90" s="1109"/>
      <c r="CY90" s="1109"/>
      <c r="CZ90" s="1108"/>
      <c r="DA90" s="2402"/>
      <c r="DB90" s="2402"/>
      <c r="DC90" s="2402"/>
      <c r="DD90" s="1109"/>
      <c r="DE90" s="1109"/>
      <c r="DF90" s="1109"/>
      <c r="DG90" s="1109"/>
      <c r="DH90" s="1109"/>
      <c r="DI90" s="1109"/>
      <c r="DJ90" s="1109"/>
      <c r="DK90" s="1109"/>
      <c r="DL90" s="1579"/>
      <c r="DM90" s="1579"/>
      <c r="DN90" s="1579"/>
    </row>
    <row r="91" spans="1:118" s="1577" customFormat="1">
      <c r="A91" s="1822">
        <v>3</v>
      </c>
      <c r="B91" s="2400" t="s">
        <v>1544</v>
      </c>
      <c r="C91" s="2088" t="s">
        <v>296</v>
      </c>
      <c r="D91" s="2088" t="s">
        <v>595</v>
      </c>
      <c r="E91" s="2089">
        <v>1</v>
      </c>
      <c r="F91" s="2401"/>
      <c r="G91" s="1361">
        <v>60</v>
      </c>
      <c r="H91" s="2401"/>
      <c r="I91" s="2402"/>
      <c r="J91" s="2402"/>
      <c r="K91" s="2402"/>
      <c r="L91" s="1109"/>
      <c r="M91" s="1109"/>
      <c r="N91" s="1109"/>
      <c r="O91" s="1109"/>
      <c r="P91" s="1109"/>
      <c r="Q91" s="1109"/>
      <c r="R91" s="1109"/>
      <c r="S91" s="1109"/>
      <c r="T91" s="2401"/>
      <c r="U91" s="2402"/>
      <c r="V91" s="2402"/>
      <c r="W91" s="2402"/>
      <c r="X91" s="1109"/>
      <c r="Y91" s="1109"/>
      <c r="Z91" s="1109"/>
      <c r="AA91" s="1109"/>
      <c r="AB91" s="1109"/>
      <c r="AC91" s="1109"/>
      <c r="AD91" s="1109"/>
      <c r="AE91" s="1109"/>
      <c r="AF91" s="1109"/>
      <c r="AG91" s="1579"/>
      <c r="AH91" s="2420">
        <f>AG125*(1+CG91)</f>
        <v>1060.9000000000001</v>
      </c>
      <c r="AI91" s="1579"/>
      <c r="AJ91" s="1579"/>
      <c r="AK91" s="1108"/>
      <c r="AL91" s="2403"/>
      <c r="AM91" s="2403"/>
      <c r="AN91" s="2403"/>
      <c r="AO91" s="1108"/>
      <c r="AP91" s="1109"/>
      <c r="AQ91" s="1109"/>
      <c r="AR91" s="1109"/>
      <c r="AS91" s="1109"/>
      <c r="AT91" s="1109"/>
      <c r="AU91" s="1109"/>
      <c r="AV91" s="1109"/>
      <c r="AW91" s="1109"/>
      <c r="AX91" s="1579"/>
      <c r="AY91" s="2409">
        <v>13</v>
      </c>
      <c r="AZ91" s="1579"/>
      <c r="BA91" s="1579"/>
      <c r="BB91" s="1108"/>
      <c r="BC91" s="2402"/>
      <c r="BD91" s="2402"/>
      <c r="BE91" s="2402"/>
      <c r="BF91" s="1109"/>
      <c r="BG91" s="1109"/>
      <c r="BH91" s="1109"/>
      <c r="BI91" s="1109"/>
      <c r="BJ91" s="1109"/>
      <c r="BK91" s="1109"/>
      <c r="BL91" s="1109"/>
      <c r="BM91" s="1109"/>
      <c r="BN91" s="1109"/>
      <c r="BO91" s="1579"/>
      <c r="BP91" s="2165">
        <f t="shared" si="8"/>
        <v>13791.7</v>
      </c>
      <c r="BQ91" s="1579"/>
      <c r="BR91" s="1579"/>
      <c r="BS91" s="1109"/>
      <c r="BT91" s="2402"/>
      <c r="BU91" s="2402"/>
      <c r="BV91" s="2402"/>
      <c r="BW91" s="1109"/>
      <c r="BX91" s="1109"/>
      <c r="BY91" s="1109"/>
      <c r="BZ91" s="1109"/>
      <c r="CA91" s="1109"/>
      <c r="CB91" s="1109"/>
      <c r="CC91" s="1109"/>
      <c r="CD91" s="1109"/>
      <c r="CE91" s="1109"/>
      <c r="CF91" s="2407"/>
      <c r="CG91" s="2407">
        <v>0.03</v>
      </c>
      <c r="CH91" s="2407"/>
      <c r="CI91" s="2407"/>
      <c r="CJ91" s="1108"/>
      <c r="CK91" s="2402"/>
      <c r="CL91" s="2402"/>
      <c r="CM91" s="2402"/>
      <c r="CN91" s="1109"/>
      <c r="CO91" s="1109"/>
      <c r="CP91" s="1109"/>
      <c r="CQ91" s="1109"/>
      <c r="CR91" s="1109"/>
      <c r="CS91" s="1109"/>
      <c r="CT91" s="1109"/>
      <c r="CU91" s="1109"/>
      <c r="CV91" s="1109"/>
      <c r="CW91" s="1109"/>
      <c r="CX91" s="1109"/>
      <c r="CY91" s="1109"/>
      <c r="CZ91" s="1108"/>
      <c r="DA91" s="2402"/>
      <c r="DB91" s="2402"/>
      <c r="DC91" s="2402"/>
      <c r="DD91" s="1109"/>
      <c r="DE91" s="1109"/>
      <c r="DF91" s="1109"/>
      <c r="DG91" s="1109"/>
      <c r="DH91" s="1109"/>
      <c r="DI91" s="1109"/>
      <c r="DJ91" s="1109"/>
      <c r="DK91" s="1109"/>
      <c r="DL91" s="1579"/>
      <c r="DM91" s="1579"/>
      <c r="DN91" s="1579"/>
    </row>
    <row r="92" spans="1:118" s="1577" customFormat="1">
      <c r="A92" s="1822">
        <v>4</v>
      </c>
      <c r="B92" s="2400" t="s">
        <v>1664</v>
      </c>
      <c r="C92" s="2088" t="s">
        <v>1666</v>
      </c>
      <c r="D92" s="2088" t="s">
        <v>595</v>
      </c>
      <c r="E92" s="2089">
        <v>0.5</v>
      </c>
      <c r="F92" s="2401"/>
      <c r="G92" s="1361">
        <v>60</v>
      </c>
      <c r="H92" s="2401"/>
      <c r="I92" s="2402"/>
      <c r="J92" s="2402"/>
      <c r="K92" s="2402"/>
      <c r="L92" s="1109"/>
      <c r="M92" s="1109"/>
      <c r="N92" s="1109"/>
      <c r="O92" s="1109"/>
      <c r="P92" s="1109"/>
      <c r="Q92" s="1109"/>
      <c r="R92" s="1109"/>
      <c r="S92" s="1109"/>
      <c r="T92" s="2401"/>
      <c r="U92" s="2402"/>
      <c r="V92" s="2402"/>
      <c r="W92" s="2402"/>
      <c r="X92" s="1109"/>
      <c r="Y92" s="1109"/>
      <c r="Z92" s="1109"/>
      <c r="AA92" s="1109"/>
      <c r="AB92" s="1109"/>
      <c r="AC92" s="1109"/>
      <c r="AD92" s="1109"/>
      <c r="AE92" s="1109"/>
      <c r="AF92" s="1109"/>
      <c r="AG92" s="1579"/>
      <c r="AH92" s="2420">
        <f>AG126*(1+CG92)</f>
        <v>1639.0905000000002</v>
      </c>
      <c r="AI92" s="1579"/>
      <c r="AJ92" s="1579"/>
      <c r="AK92" s="1108"/>
      <c r="AL92" s="2403"/>
      <c r="AM92" s="2403"/>
      <c r="AN92" s="2403"/>
      <c r="AO92" s="1108"/>
      <c r="AP92" s="1109"/>
      <c r="AQ92" s="1109"/>
      <c r="AR92" s="1109"/>
      <c r="AS92" s="1109"/>
      <c r="AT92" s="1109"/>
      <c r="AU92" s="1109"/>
      <c r="AV92" s="1109"/>
      <c r="AW92" s="1109"/>
      <c r="AX92" s="1579"/>
      <c r="AY92" s="2409">
        <v>10</v>
      </c>
      <c r="AZ92" s="1579"/>
      <c r="BA92" s="1579"/>
      <c r="BB92" s="1108"/>
      <c r="BC92" s="2402"/>
      <c r="BD92" s="2402"/>
      <c r="BE92" s="2402"/>
      <c r="BF92" s="1109"/>
      <c r="BG92" s="1109"/>
      <c r="BH92" s="1109"/>
      <c r="BI92" s="1109"/>
      <c r="BJ92" s="1109"/>
      <c r="BK92" s="1109"/>
      <c r="BL92" s="1109"/>
      <c r="BM92" s="1109"/>
      <c r="BN92" s="1109"/>
      <c r="BO92" s="1579"/>
      <c r="BP92" s="2165">
        <f t="shared" ref="BP92:BP98" si="10">$E92*AH92*AY92</f>
        <v>8195.4525000000012</v>
      </c>
      <c r="BQ92" s="1579"/>
      <c r="BR92" s="1579"/>
      <c r="BS92" s="1109"/>
      <c r="BT92" s="2402"/>
      <c r="BU92" s="2402"/>
      <c r="BV92" s="2402"/>
      <c r="BW92" s="1109"/>
      <c r="BX92" s="1109"/>
      <c r="BY92" s="1109"/>
      <c r="BZ92" s="1109"/>
      <c r="CA92" s="1109"/>
      <c r="CB92" s="1109"/>
      <c r="CC92" s="1109"/>
      <c r="CD92" s="1109"/>
      <c r="CE92" s="1109"/>
      <c r="CF92" s="2407"/>
      <c r="CG92" s="2407">
        <v>0.03</v>
      </c>
      <c r="CH92" s="2407"/>
      <c r="CI92" s="2407"/>
      <c r="CJ92" s="1108"/>
      <c r="CK92" s="2402"/>
      <c r="CL92" s="2402"/>
      <c r="CM92" s="2402"/>
      <c r="CN92" s="1109"/>
      <c r="CO92" s="1109"/>
      <c r="CP92" s="1109"/>
      <c r="CQ92" s="1109"/>
      <c r="CR92" s="1109"/>
      <c r="CS92" s="1109"/>
      <c r="CT92" s="1109"/>
      <c r="CU92" s="1109"/>
      <c r="CV92" s="1109"/>
      <c r="CW92" s="1109"/>
      <c r="CX92" s="1109"/>
      <c r="CY92" s="1109"/>
      <c r="CZ92" s="1108"/>
      <c r="DA92" s="2402"/>
      <c r="DB92" s="2402"/>
      <c r="DC92" s="2402"/>
      <c r="DD92" s="1109"/>
      <c r="DE92" s="1109"/>
      <c r="DF92" s="1109"/>
      <c r="DG92" s="1109"/>
      <c r="DH92" s="1109"/>
      <c r="DI92" s="1109"/>
      <c r="DJ92" s="1109"/>
      <c r="DK92" s="1109"/>
      <c r="DL92" s="1579"/>
      <c r="DM92" s="1579"/>
      <c r="DN92" s="1579"/>
    </row>
    <row r="93" spans="1:118" s="1577" customFormat="1">
      <c r="A93" s="1822">
        <v>1</v>
      </c>
      <c r="B93" s="2400" t="s">
        <v>1651</v>
      </c>
      <c r="C93" s="2088" t="s">
        <v>1666</v>
      </c>
      <c r="D93" s="2088" t="s">
        <v>595</v>
      </c>
      <c r="E93" s="2089">
        <v>0.5</v>
      </c>
      <c r="F93" s="2401"/>
      <c r="G93" s="1361">
        <v>60</v>
      </c>
      <c r="H93" s="2401"/>
      <c r="I93" s="2402"/>
      <c r="J93" s="2402"/>
      <c r="K93" s="2402"/>
      <c r="L93" s="1109"/>
      <c r="M93" s="1109"/>
      <c r="N93" s="1109"/>
      <c r="O93" s="1109"/>
      <c r="P93" s="1109"/>
      <c r="Q93" s="1109"/>
      <c r="R93" s="1109"/>
      <c r="S93" s="1109"/>
      <c r="T93" s="2401"/>
      <c r="U93" s="2402"/>
      <c r="V93" s="2402"/>
      <c r="W93" s="2402"/>
      <c r="X93" s="1109"/>
      <c r="Y93" s="1109"/>
      <c r="Z93" s="1109"/>
      <c r="AA93" s="1109"/>
      <c r="AB93" s="1109"/>
      <c r="AC93" s="1109"/>
      <c r="AD93" s="1109"/>
      <c r="AE93" s="1109"/>
      <c r="AF93" s="1109"/>
      <c r="AG93" s="1579"/>
      <c r="AH93" s="2420">
        <v>1500</v>
      </c>
      <c r="AI93" s="1579"/>
      <c r="AJ93" s="1579"/>
      <c r="AK93" s="1108"/>
      <c r="AL93" s="2403"/>
      <c r="AM93" s="2403"/>
      <c r="AN93" s="2403"/>
      <c r="AO93" s="1108"/>
      <c r="AP93" s="1109"/>
      <c r="AQ93" s="1109"/>
      <c r="AR93" s="1109"/>
      <c r="AS93" s="1109"/>
      <c r="AT93" s="1109"/>
      <c r="AU93" s="1109"/>
      <c r="AV93" s="1109"/>
      <c r="AW93" s="1109"/>
      <c r="AX93" s="1579"/>
      <c r="AY93" s="2409">
        <v>22</v>
      </c>
      <c r="AZ93" s="1579"/>
      <c r="BA93" s="1579"/>
      <c r="BB93" s="1108"/>
      <c r="BC93" s="2402"/>
      <c r="BD93" s="2402"/>
      <c r="BE93" s="2402"/>
      <c r="BF93" s="1109"/>
      <c r="BG93" s="1109"/>
      <c r="BH93" s="1109"/>
      <c r="BI93" s="1109"/>
      <c r="BJ93" s="1109"/>
      <c r="BK93" s="1109"/>
      <c r="BL93" s="1109"/>
      <c r="BM93" s="1109"/>
      <c r="BN93" s="1109"/>
      <c r="BO93" s="1579"/>
      <c r="BP93" s="2165">
        <f t="shared" si="10"/>
        <v>16500</v>
      </c>
      <c r="BQ93" s="1579"/>
      <c r="BR93" s="1579"/>
      <c r="BS93" s="1109"/>
      <c r="BT93" s="2402"/>
      <c r="BU93" s="2402"/>
      <c r="BV93" s="2402"/>
      <c r="BW93" s="1109"/>
      <c r="BX93" s="1109"/>
      <c r="BY93" s="1109"/>
      <c r="BZ93" s="1109"/>
      <c r="CA93" s="1109"/>
      <c r="CB93" s="1109"/>
      <c r="CC93" s="1109"/>
      <c r="CD93" s="1109"/>
      <c r="CE93" s="1109"/>
      <c r="CF93" s="2407"/>
      <c r="CG93" s="2407">
        <v>0.03</v>
      </c>
      <c r="CH93" s="2407"/>
      <c r="CI93" s="2407"/>
      <c r="CJ93" s="1108"/>
      <c r="CK93" s="2402"/>
      <c r="CL93" s="2402"/>
      <c r="CM93" s="2402"/>
      <c r="CN93" s="1109"/>
      <c r="CO93" s="1109"/>
      <c r="CP93" s="1109"/>
      <c r="CQ93" s="1109"/>
      <c r="CR93" s="1109"/>
      <c r="CS93" s="1109"/>
      <c r="CT93" s="1109"/>
      <c r="CU93" s="1109"/>
      <c r="CV93" s="1109"/>
      <c r="CW93" s="1109"/>
      <c r="CX93" s="1109"/>
      <c r="CY93" s="1109"/>
      <c r="CZ93" s="1108"/>
      <c r="DA93" s="2402"/>
      <c r="DB93" s="2402"/>
      <c r="DC93" s="2402"/>
      <c r="DD93" s="1109"/>
      <c r="DE93" s="1109"/>
      <c r="DF93" s="1109"/>
      <c r="DG93" s="1109"/>
      <c r="DH93" s="1109"/>
      <c r="DI93" s="1109"/>
      <c r="DJ93" s="1109"/>
      <c r="DK93" s="1109"/>
      <c r="DL93" s="1579"/>
      <c r="DM93" s="1579"/>
      <c r="DN93" s="1579"/>
    </row>
    <row r="94" spans="1:118" s="1577" customFormat="1">
      <c r="A94" s="1822">
        <v>2</v>
      </c>
      <c r="B94" s="2400" t="s">
        <v>1652</v>
      </c>
      <c r="C94" s="2400" t="s">
        <v>1666</v>
      </c>
      <c r="D94" s="2400" t="s">
        <v>595</v>
      </c>
      <c r="E94" s="2410">
        <v>0.5</v>
      </c>
      <c r="F94" s="2401"/>
      <c r="G94" s="1361">
        <v>60</v>
      </c>
      <c r="H94" s="2401"/>
      <c r="I94" s="2402"/>
      <c r="J94" s="2402"/>
      <c r="K94" s="2402"/>
      <c r="L94" s="1109"/>
      <c r="M94" s="1109"/>
      <c r="N94" s="1109"/>
      <c r="O94" s="1109"/>
      <c r="P94" s="1109"/>
      <c r="Q94" s="1109"/>
      <c r="R94" s="1109"/>
      <c r="S94" s="1109"/>
      <c r="T94" s="2401"/>
      <c r="U94" s="2402"/>
      <c r="V94" s="2402"/>
      <c r="W94" s="2402"/>
      <c r="X94" s="1109"/>
      <c r="Y94" s="1109"/>
      <c r="Z94" s="1109"/>
      <c r="AA94" s="1109"/>
      <c r="AB94" s="1109"/>
      <c r="AC94" s="1109"/>
      <c r="AD94" s="1109"/>
      <c r="AE94" s="1109"/>
      <c r="AF94" s="1109"/>
      <c r="AG94" s="1579"/>
      <c r="AH94" s="2420">
        <f>AG127*(1+CG94)</f>
        <v>1030</v>
      </c>
      <c r="AI94" s="1579"/>
      <c r="AJ94" s="1579"/>
      <c r="AK94" s="1108"/>
      <c r="AL94" s="2403"/>
      <c r="AM94" s="2403"/>
      <c r="AN94" s="2403"/>
      <c r="AO94" s="1108"/>
      <c r="AP94" s="1109"/>
      <c r="AQ94" s="1109"/>
      <c r="AR94" s="1109"/>
      <c r="AS94" s="1109"/>
      <c r="AT94" s="1109"/>
      <c r="AU94" s="1109"/>
      <c r="AV94" s="1109"/>
      <c r="AW94" s="1109"/>
      <c r="AX94" s="1579"/>
      <c r="AY94" s="2409">
        <v>22</v>
      </c>
      <c r="AZ94" s="1579"/>
      <c r="BA94" s="1579"/>
      <c r="BB94" s="1108"/>
      <c r="BC94" s="2402"/>
      <c r="BD94" s="2402"/>
      <c r="BE94" s="2402"/>
      <c r="BF94" s="1109"/>
      <c r="BG94" s="1109"/>
      <c r="BH94" s="1109"/>
      <c r="BI94" s="1109"/>
      <c r="BJ94" s="1109"/>
      <c r="BK94" s="1109"/>
      <c r="BL94" s="1109"/>
      <c r="BM94" s="1109"/>
      <c r="BN94" s="1109"/>
      <c r="BO94" s="1579"/>
      <c r="BP94" s="2165">
        <f t="shared" si="10"/>
        <v>11330</v>
      </c>
      <c r="BQ94" s="1579"/>
      <c r="BR94" s="1579"/>
      <c r="BS94" s="1109"/>
      <c r="BT94" s="2402"/>
      <c r="BU94" s="2402"/>
      <c r="BV94" s="2402"/>
      <c r="BW94" s="1109"/>
      <c r="BX94" s="1109"/>
      <c r="BY94" s="1109"/>
      <c r="BZ94" s="1109"/>
      <c r="CA94" s="1109"/>
      <c r="CB94" s="1109"/>
      <c r="CC94" s="1109"/>
      <c r="CD94" s="1109"/>
      <c r="CE94" s="1109"/>
      <c r="CF94" s="2407"/>
      <c r="CG94" s="2407">
        <v>0.03</v>
      </c>
      <c r="CH94" s="2407"/>
      <c r="CI94" s="2407"/>
      <c r="CJ94" s="1108"/>
      <c r="CK94" s="2402"/>
      <c r="CL94" s="2402"/>
      <c r="CM94" s="2402"/>
      <c r="CN94" s="1109"/>
      <c r="CO94" s="1109"/>
      <c r="CP94" s="1109"/>
      <c r="CQ94" s="1109"/>
      <c r="CR94" s="1109"/>
      <c r="CS94" s="1109"/>
      <c r="CT94" s="1109"/>
      <c r="CU94" s="1109"/>
      <c r="CV94" s="1109"/>
      <c r="CW94" s="1109"/>
      <c r="CX94" s="1109"/>
      <c r="CY94" s="1109"/>
      <c r="CZ94" s="1108"/>
      <c r="DA94" s="2402"/>
      <c r="DB94" s="2402"/>
      <c r="DC94" s="2402"/>
      <c r="DD94" s="1109"/>
      <c r="DE94" s="1109"/>
      <c r="DF94" s="1109"/>
      <c r="DG94" s="1109"/>
      <c r="DH94" s="1109"/>
      <c r="DI94" s="1109"/>
      <c r="DJ94" s="1109"/>
      <c r="DK94" s="1109"/>
      <c r="DL94" s="1579"/>
      <c r="DM94" s="1579"/>
      <c r="DN94" s="1579"/>
    </row>
    <row r="95" spans="1:118" s="1577" customFormat="1">
      <c r="A95" s="1822">
        <v>2</v>
      </c>
      <c r="B95" s="2400" t="s">
        <v>1653</v>
      </c>
      <c r="C95" s="2400" t="s">
        <v>1666</v>
      </c>
      <c r="D95" s="2400" t="s">
        <v>595</v>
      </c>
      <c r="E95" s="2410">
        <v>0.5</v>
      </c>
      <c r="F95" s="2401"/>
      <c r="G95" s="1361">
        <v>60</v>
      </c>
      <c r="H95" s="2401"/>
      <c r="I95" s="2402"/>
      <c r="J95" s="2402"/>
      <c r="K95" s="2402"/>
      <c r="L95" s="1109"/>
      <c r="M95" s="1109"/>
      <c r="N95" s="1109"/>
      <c r="O95" s="1109"/>
      <c r="P95" s="1109"/>
      <c r="Q95" s="1109"/>
      <c r="R95" s="1109"/>
      <c r="S95" s="1109"/>
      <c r="T95" s="2401"/>
      <c r="U95" s="2402"/>
      <c r="V95" s="2402"/>
      <c r="W95" s="2402"/>
      <c r="X95" s="1109"/>
      <c r="Y95" s="1109"/>
      <c r="Z95" s="1109"/>
      <c r="AA95" s="1109"/>
      <c r="AB95" s="1109"/>
      <c r="AC95" s="1109"/>
      <c r="AD95" s="1109"/>
      <c r="AE95" s="1109"/>
      <c r="AF95" s="1109"/>
      <c r="AG95" s="1579"/>
      <c r="AH95" s="2420">
        <f>AG128*(1+CG95)</f>
        <v>1030</v>
      </c>
      <c r="AI95" s="1579"/>
      <c r="AJ95" s="1579"/>
      <c r="AK95" s="1108"/>
      <c r="AL95" s="2403"/>
      <c r="AM95" s="2403"/>
      <c r="AN95" s="2403"/>
      <c r="AO95" s="1108"/>
      <c r="AP95" s="1109"/>
      <c r="AQ95" s="1109"/>
      <c r="AR95" s="1109"/>
      <c r="AS95" s="1109"/>
      <c r="AT95" s="1109"/>
      <c r="AU95" s="1109"/>
      <c r="AV95" s="1109"/>
      <c r="AW95" s="1109"/>
      <c r="AX95" s="1579"/>
      <c r="AY95" s="2409">
        <v>22</v>
      </c>
      <c r="AZ95" s="1579"/>
      <c r="BA95" s="1579"/>
      <c r="BB95" s="1108"/>
      <c r="BC95" s="2402"/>
      <c r="BD95" s="2402"/>
      <c r="BE95" s="2402"/>
      <c r="BF95" s="1109"/>
      <c r="BG95" s="1109"/>
      <c r="BH95" s="1109"/>
      <c r="BI95" s="1109"/>
      <c r="BJ95" s="1109"/>
      <c r="BK95" s="1109"/>
      <c r="BL95" s="1109"/>
      <c r="BM95" s="1109"/>
      <c r="BN95" s="1109"/>
      <c r="BO95" s="1579"/>
      <c r="BP95" s="2165">
        <f t="shared" si="10"/>
        <v>11330</v>
      </c>
      <c r="BQ95" s="1579"/>
      <c r="BR95" s="1579"/>
      <c r="BS95" s="1109"/>
      <c r="BT95" s="2402"/>
      <c r="BU95" s="2402"/>
      <c r="BV95" s="2402"/>
      <c r="BW95" s="1109"/>
      <c r="BX95" s="1109"/>
      <c r="BY95" s="1109"/>
      <c r="BZ95" s="1109"/>
      <c r="CA95" s="1109"/>
      <c r="CB95" s="1109"/>
      <c r="CC95" s="1109"/>
      <c r="CD95" s="1109"/>
      <c r="CE95" s="1109"/>
      <c r="CF95" s="2407"/>
      <c r="CG95" s="2407">
        <v>0.03</v>
      </c>
      <c r="CH95" s="2407"/>
      <c r="CI95" s="2407"/>
      <c r="CJ95" s="1108"/>
      <c r="CK95" s="2402"/>
      <c r="CL95" s="2402"/>
      <c r="CM95" s="2402"/>
      <c r="CN95" s="1109"/>
      <c r="CO95" s="1109"/>
      <c r="CP95" s="1109"/>
      <c r="CQ95" s="1109"/>
      <c r="CR95" s="1109"/>
      <c r="CS95" s="1109"/>
      <c r="CT95" s="1109"/>
      <c r="CU95" s="1109"/>
      <c r="CV95" s="1109"/>
      <c r="CW95" s="1109"/>
      <c r="CX95" s="1109"/>
      <c r="CY95" s="1109"/>
      <c r="CZ95" s="1108"/>
      <c r="DA95" s="2402"/>
      <c r="DB95" s="2402"/>
      <c r="DC95" s="2402"/>
      <c r="DD95" s="1109"/>
      <c r="DE95" s="1109"/>
      <c r="DF95" s="1109"/>
      <c r="DG95" s="1109"/>
      <c r="DH95" s="1109"/>
      <c r="DI95" s="1109"/>
      <c r="DJ95" s="1109"/>
      <c r="DK95" s="1109"/>
      <c r="DL95" s="1579"/>
      <c r="DM95" s="1579"/>
      <c r="DN95" s="1579"/>
    </row>
    <row r="96" spans="1:118" s="1577" customFormat="1">
      <c r="A96" s="1822">
        <v>6</v>
      </c>
      <c r="B96" s="2088" t="s">
        <v>312</v>
      </c>
      <c r="C96" s="2088" t="s">
        <v>301</v>
      </c>
      <c r="D96" s="2088" t="s">
        <v>595</v>
      </c>
      <c r="E96" s="2089">
        <v>0.5</v>
      </c>
      <c r="F96" s="1359"/>
      <c r="G96" s="1361">
        <v>60</v>
      </c>
      <c r="H96" s="2401"/>
      <c r="I96" s="2402"/>
      <c r="J96" s="2402"/>
      <c r="K96" s="2402"/>
      <c r="L96" s="1109"/>
      <c r="M96" s="1109"/>
      <c r="N96" s="1109"/>
      <c r="O96" s="1109"/>
      <c r="P96" s="1109"/>
      <c r="Q96" s="1109"/>
      <c r="R96" s="1109"/>
      <c r="S96" s="1109"/>
      <c r="T96" s="2401"/>
      <c r="U96" s="2402"/>
      <c r="V96" s="2402"/>
      <c r="W96" s="2402"/>
      <c r="X96" s="1109"/>
      <c r="Y96" s="1109"/>
      <c r="Z96" s="1109"/>
      <c r="AA96" s="1109"/>
      <c r="AB96" s="1109"/>
      <c r="AC96" s="1109"/>
      <c r="AD96" s="1109"/>
      <c r="AE96" s="1109"/>
      <c r="AF96" s="1109"/>
      <c r="AG96" s="1579"/>
      <c r="AH96" s="2420">
        <f>AG129*(1+CG96)</f>
        <v>1738.9111114500004</v>
      </c>
      <c r="AI96" s="1579"/>
      <c r="AJ96" s="1579"/>
      <c r="AK96" s="1108"/>
      <c r="AL96" s="2403"/>
      <c r="AM96" s="2403"/>
      <c r="AN96" s="2403"/>
      <c r="AO96" s="1108"/>
      <c r="AP96" s="1109"/>
      <c r="AQ96" s="1109"/>
      <c r="AR96" s="1109"/>
      <c r="AS96" s="1109"/>
      <c r="AT96" s="1109"/>
      <c r="AU96" s="1109"/>
      <c r="AV96" s="1109"/>
      <c r="AW96" s="1109"/>
      <c r="AX96" s="1579"/>
      <c r="AY96" s="2409">
        <v>22</v>
      </c>
      <c r="AZ96" s="1579"/>
      <c r="BA96" s="1579"/>
      <c r="BB96" s="1108"/>
      <c r="BC96" s="2402"/>
      <c r="BD96" s="2402"/>
      <c r="BE96" s="2402"/>
      <c r="BF96" s="1109"/>
      <c r="BG96" s="1109"/>
      <c r="BH96" s="1109"/>
      <c r="BI96" s="1109"/>
      <c r="BJ96" s="1109"/>
      <c r="BK96" s="1109"/>
      <c r="BL96" s="1109"/>
      <c r="BM96" s="1109"/>
      <c r="BN96" s="1109"/>
      <c r="BO96" s="1579"/>
      <c r="BP96" s="2165">
        <f t="shared" si="10"/>
        <v>19128.022225950004</v>
      </c>
      <c r="BQ96" s="1579"/>
      <c r="BR96" s="1579"/>
      <c r="BS96" s="1109"/>
      <c r="BT96" s="2402"/>
      <c r="BU96" s="2402"/>
      <c r="BV96" s="2402"/>
      <c r="BW96" s="1109"/>
      <c r="BX96" s="1109"/>
      <c r="BY96" s="1109"/>
      <c r="BZ96" s="1109"/>
      <c r="CA96" s="1109"/>
      <c r="CB96" s="1109"/>
      <c r="CC96" s="1109"/>
      <c r="CD96" s="1109"/>
      <c r="CE96" s="1109"/>
      <c r="CF96" s="2407"/>
      <c r="CG96" s="2407">
        <v>0.03</v>
      </c>
      <c r="CH96" s="2407"/>
      <c r="CI96" s="2407"/>
      <c r="CJ96" s="1108"/>
      <c r="CK96" s="2402"/>
      <c r="CL96" s="2402"/>
      <c r="CM96" s="2402"/>
      <c r="CN96" s="1109"/>
      <c r="CO96" s="1109"/>
      <c r="CP96" s="1109"/>
      <c r="CQ96" s="1109"/>
      <c r="CR96" s="1109"/>
      <c r="CS96" s="1109"/>
      <c r="CT96" s="1109"/>
      <c r="CU96" s="1109"/>
      <c r="CV96" s="1109"/>
      <c r="CW96" s="1109"/>
      <c r="CX96" s="1109"/>
      <c r="CY96" s="1109"/>
      <c r="CZ96" s="1108"/>
      <c r="DA96" s="2402"/>
      <c r="DB96" s="2402"/>
      <c r="DC96" s="2402"/>
      <c r="DD96" s="1109"/>
      <c r="DE96" s="1109"/>
      <c r="DF96" s="1109"/>
      <c r="DG96" s="1109"/>
      <c r="DH96" s="1109"/>
      <c r="DI96" s="1109"/>
      <c r="DJ96" s="1109"/>
      <c r="DK96" s="1109"/>
      <c r="DL96" s="1579"/>
      <c r="DM96" s="1579"/>
      <c r="DN96" s="1579"/>
    </row>
    <row r="97" spans="1:118" s="1577" customFormat="1">
      <c r="A97" s="1822">
        <v>2</v>
      </c>
      <c r="B97" s="2400" t="s">
        <v>1655</v>
      </c>
      <c r="C97" s="2088" t="s">
        <v>296</v>
      </c>
      <c r="D97" s="2400" t="s">
        <v>1656</v>
      </c>
      <c r="E97" s="2410">
        <v>1</v>
      </c>
      <c r="F97" s="2401"/>
      <c r="G97" s="1361">
        <v>60</v>
      </c>
      <c r="H97" s="2401"/>
      <c r="I97" s="2402"/>
      <c r="J97" s="2402"/>
      <c r="K97" s="2402"/>
      <c r="L97" s="1109"/>
      <c r="M97" s="1109"/>
      <c r="N97" s="1109"/>
      <c r="O97" s="1109"/>
      <c r="P97" s="1109"/>
      <c r="Q97" s="1109"/>
      <c r="R97" s="1109"/>
      <c r="S97" s="1109"/>
      <c r="T97" s="2401"/>
      <c r="U97" s="2402"/>
      <c r="V97" s="2402"/>
      <c r="W97" s="2402"/>
      <c r="X97" s="1109"/>
      <c r="Y97" s="1109"/>
      <c r="Z97" s="1109"/>
      <c r="AA97" s="1109"/>
      <c r="AB97" s="1109"/>
      <c r="AC97" s="1109"/>
      <c r="AD97" s="1109"/>
      <c r="AE97" s="1109"/>
      <c r="AF97" s="1109"/>
      <c r="AG97" s="1579"/>
      <c r="AH97" s="2420">
        <f>AG130*(1+CG97)</f>
        <v>1030</v>
      </c>
      <c r="AI97" s="1579"/>
      <c r="AJ97" s="1579"/>
      <c r="AK97" s="1108"/>
      <c r="AL97" s="2403"/>
      <c r="AM97" s="2403"/>
      <c r="AN97" s="2403"/>
      <c r="AO97" s="1108"/>
      <c r="AP97" s="1109"/>
      <c r="AQ97" s="1109"/>
      <c r="AR97" s="1109"/>
      <c r="AS97" s="1109"/>
      <c r="AT97" s="1109"/>
      <c r="AU97" s="1109"/>
      <c r="AV97" s="1109"/>
      <c r="AW97" s="1109"/>
      <c r="AX97" s="1579"/>
      <c r="AY97" s="2409">
        <v>10</v>
      </c>
      <c r="AZ97" s="1579"/>
      <c r="BA97" s="1579"/>
      <c r="BB97" s="1108"/>
      <c r="BC97" s="2402"/>
      <c r="BD97" s="2402"/>
      <c r="BE97" s="2402"/>
      <c r="BF97" s="1109"/>
      <c r="BG97" s="1109"/>
      <c r="BH97" s="1109"/>
      <c r="BI97" s="1109"/>
      <c r="BJ97" s="1109"/>
      <c r="BK97" s="1109"/>
      <c r="BL97" s="1109"/>
      <c r="BM97" s="1109"/>
      <c r="BN97" s="1109"/>
      <c r="BO97" s="1579"/>
      <c r="BP97" s="2165">
        <f t="shared" si="10"/>
        <v>10300</v>
      </c>
      <c r="BQ97" s="1579"/>
      <c r="BR97" s="1579"/>
      <c r="BS97" s="1109"/>
      <c r="BT97" s="2402"/>
      <c r="BU97" s="2402"/>
      <c r="BV97" s="2402"/>
      <c r="BW97" s="1109"/>
      <c r="BX97" s="1109"/>
      <c r="BY97" s="1109"/>
      <c r="BZ97" s="1109"/>
      <c r="CA97" s="1109"/>
      <c r="CB97" s="1109"/>
      <c r="CC97" s="1109"/>
      <c r="CD97" s="1109"/>
      <c r="CE97" s="1109"/>
      <c r="CF97" s="2407"/>
      <c r="CG97" s="2407">
        <v>0.03</v>
      </c>
      <c r="CH97" s="2407"/>
      <c r="CI97" s="2407"/>
      <c r="CJ97" s="1108"/>
      <c r="CK97" s="2402"/>
      <c r="CL97" s="2402"/>
      <c r="CM97" s="2402"/>
      <c r="CN97" s="1109"/>
      <c r="CO97" s="1109"/>
      <c r="CP97" s="1109"/>
      <c r="CQ97" s="1109"/>
      <c r="CR97" s="1109"/>
      <c r="CS97" s="1109"/>
      <c r="CT97" s="1109"/>
      <c r="CU97" s="1109"/>
      <c r="CV97" s="1109"/>
      <c r="CW97" s="1109"/>
      <c r="CX97" s="1109"/>
      <c r="CY97" s="1109"/>
      <c r="CZ97" s="1108"/>
      <c r="DA97" s="2402"/>
      <c r="DB97" s="2402"/>
      <c r="DC97" s="2402"/>
      <c r="DD97" s="1109"/>
      <c r="DE97" s="1109"/>
      <c r="DF97" s="1109"/>
      <c r="DG97" s="1109"/>
      <c r="DH97" s="1109"/>
      <c r="DI97" s="1109"/>
      <c r="DJ97" s="1109"/>
      <c r="DK97" s="1109"/>
      <c r="DL97" s="1579"/>
      <c r="DM97" s="1579"/>
      <c r="DN97" s="1579"/>
    </row>
    <row r="98" spans="1:118" s="1577" customFormat="1">
      <c r="A98" s="1822">
        <v>1</v>
      </c>
      <c r="B98" s="2400" t="s">
        <v>1661</v>
      </c>
      <c r="C98" s="2400" t="s">
        <v>296</v>
      </c>
      <c r="D98" s="2400" t="s">
        <v>1662</v>
      </c>
      <c r="E98" s="2410">
        <v>1</v>
      </c>
      <c r="F98" s="2401"/>
      <c r="G98" s="1361">
        <v>30</v>
      </c>
      <c r="H98" s="2401"/>
      <c r="I98" s="2402"/>
      <c r="J98" s="2402"/>
      <c r="K98" s="2402"/>
      <c r="L98" s="1109"/>
      <c r="M98" s="1109"/>
      <c r="N98" s="1109"/>
      <c r="O98" s="1109"/>
      <c r="P98" s="1109"/>
      <c r="Q98" s="1109"/>
      <c r="R98" s="1109"/>
      <c r="S98" s="1109"/>
      <c r="T98" s="2401"/>
      <c r="U98" s="2402"/>
      <c r="V98" s="2402"/>
      <c r="W98" s="2402"/>
      <c r="X98" s="1109"/>
      <c r="Y98" s="1109"/>
      <c r="Z98" s="1109"/>
      <c r="AA98" s="1109"/>
      <c r="AB98" s="1109"/>
      <c r="AC98" s="1109"/>
      <c r="AD98" s="1109"/>
      <c r="AE98" s="1109"/>
      <c r="AF98" s="1109"/>
      <c r="AG98" s="1579"/>
      <c r="AH98" s="2420">
        <v>1000</v>
      </c>
      <c r="AI98" s="1579"/>
      <c r="AJ98" s="1579"/>
      <c r="AK98" s="1108"/>
      <c r="AL98" s="2403"/>
      <c r="AM98" s="2403"/>
      <c r="AN98" s="2403"/>
      <c r="AO98" s="1108"/>
      <c r="AP98" s="1109"/>
      <c r="AQ98" s="1109"/>
      <c r="AR98" s="1109"/>
      <c r="AS98" s="1109"/>
      <c r="AT98" s="1109"/>
      <c r="AU98" s="1109"/>
      <c r="AV98" s="1109"/>
      <c r="AW98" s="1109"/>
      <c r="AX98" s="1579"/>
      <c r="AY98" s="2409">
        <v>10</v>
      </c>
      <c r="AZ98" s="1579"/>
      <c r="BA98" s="1579"/>
      <c r="BB98" s="1108"/>
      <c r="BC98" s="2402"/>
      <c r="BD98" s="2402"/>
      <c r="BE98" s="2402"/>
      <c r="BF98" s="1109"/>
      <c r="BG98" s="1109"/>
      <c r="BH98" s="1109"/>
      <c r="BI98" s="1109"/>
      <c r="BJ98" s="1109"/>
      <c r="BK98" s="1109"/>
      <c r="BL98" s="1109"/>
      <c r="BM98" s="1109"/>
      <c r="BN98" s="1109"/>
      <c r="BO98" s="1579"/>
      <c r="BP98" s="2165">
        <f t="shared" si="10"/>
        <v>10000</v>
      </c>
      <c r="BQ98" s="1579"/>
      <c r="BR98" s="1579"/>
      <c r="BS98" s="1109"/>
      <c r="BT98" s="2402"/>
      <c r="BU98" s="2402"/>
      <c r="BV98" s="2402"/>
      <c r="BW98" s="1109"/>
      <c r="BX98" s="1109"/>
      <c r="BY98" s="1109"/>
      <c r="BZ98" s="1109"/>
      <c r="CA98" s="1109"/>
      <c r="CB98" s="1109"/>
      <c r="CC98" s="1109"/>
      <c r="CD98" s="1109"/>
      <c r="CE98" s="1109"/>
      <c r="CF98" s="2407"/>
      <c r="CG98" s="2407">
        <v>0.03</v>
      </c>
      <c r="CH98" s="2407"/>
      <c r="CI98" s="2407"/>
      <c r="CJ98" s="1108"/>
      <c r="CK98" s="2402"/>
      <c r="CL98" s="2402"/>
      <c r="CM98" s="2402"/>
      <c r="CN98" s="1109"/>
      <c r="CO98" s="1109"/>
      <c r="CP98" s="1109"/>
      <c r="CQ98" s="1109"/>
      <c r="CR98" s="1109"/>
      <c r="CS98" s="1109"/>
      <c r="CT98" s="1109"/>
      <c r="CU98" s="1109"/>
      <c r="CV98" s="1109"/>
      <c r="CW98" s="1109"/>
      <c r="CX98" s="1109"/>
      <c r="CY98" s="1109"/>
      <c r="CZ98" s="1108"/>
      <c r="DA98" s="2402"/>
      <c r="DB98" s="2402"/>
      <c r="DC98" s="2402"/>
      <c r="DD98" s="1109"/>
      <c r="DE98" s="1109"/>
      <c r="DF98" s="1109"/>
      <c r="DG98" s="1109"/>
      <c r="DH98" s="1109"/>
      <c r="DI98" s="1109"/>
      <c r="DJ98" s="1109"/>
      <c r="DK98" s="1109"/>
      <c r="DL98" s="1579"/>
      <c r="DM98" s="1579"/>
      <c r="DN98" s="1579"/>
    </row>
    <row r="99" spans="1:118" s="1577" customFormat="1" hidden="1" outlineLevel="1">
      <c r="A99" s="1822"/>
      <c r="B99" s="2400"/>
      <c r="C99" s="2400"/>
      <c r="D99" s="2400"/>
      <c r="E99" s="2401"/>
      <c r="F99" s="2401"/>
      <c r="G99" s="2401"/>
      <c r="H99" s="2401"/>
      <c r="I99" s="2402"/>
      <c r="J99" s="2402"/>
      <c r="K99" s="2402"/>
      <c r="L99" s="1109"/>
      <c r="M99" s="1109"/>
      <c r="N99" s="1109"/>
      <c r="O99" s="1109"/>
      <c r="P99" s="1109"/>
      <c r="Q99" s="1109"/>
      <c r="R99" s="1109"/>
      <c r="S99" s="1109"/>
      <c r="T99" s="2401"/>
      <c r="U99" s="2402"/>
      <c r="V99" s="2402"/>
      <c r="W99" s="2402"/>
      <c r="X99" s="1109"/>
      <c r="Y99" s="1109"/>
      <c r="Z99" s="1109"/>
      <c r="AA99" s="1109"/>
      <c r="AB99" s="1109"/>
      <c r="AC99" s="1109"/>
      <c r="AD99" s="1109"/>
      <c r="AE99" s="1109"/>
      <c r="AF99" s="1109"/>
      <c r="AG99" s="1579"/>
      <c r="AH99" s="1579"/>
      <c r="AI99" s="1579"/>
      <c r="AJ99" s="1579"/>
      <c r="AK99" s="1108"/>
      <c r="AL99" s="2403"/>
      <c r="AM99" s="2403"/>
      <c r="AN99" s="2403"/>
      <c r="AO99" s="1108"/>
      <c r="AP99" s="1109"/>
      <c r="AQ99" s="1109"/>
      <c r="AR99" s="1109"/>
      <c r="AS99" s="1109"/>
      <c r="AT99" s="1109"/>
      <c r="AU99" s="1109"/>
      <c r="AV99" s="1109"/>
      <c r="AW99" s="1109"/>
      <c r="AX99" s="1579"/>
      <c r="AY99" s="1579"/>
      <c r="AZ99" s="1579"/>
      <c r="BA99" s="1579"/>
      <c r="BB99" s="1108"/>
      <c r="BC99" s="2402"/>
      <c r="BD99" s="2402"/>
      <c r="BE99" s="2402"/>
      <c r="BF99" s="1109"/>
      <c r="BG99" s="1109"/>
      <c r="BH99" s="1109"/>
      <c r="BI99" s="1109"/>
      <c r="BJ99" s="1109"/>
      <c r="BK99" s="1109"/>
      <c r="BL99" s="1109"/>
      <c r="BM99" s="1109"/>
      <c r="BN99" s="1109"/>
      <c r="BO99" s="1579"/>
      <c r="BP99" s="2165"/>
      <c r="BQ99" s="1579"/>
      <c r="BR99" s="1579"/>
      <c r="BS99" s="1109"/>
      <c r="BT99" s="2402"/>
      <c r="BU99" s="2402"/>
      <c r="BV99" s="2402"/>
      <c r="BW99" s="1109"/>
      <c r="BX99" s="1109"/>
      <c r="BY99" s="1109"/>
      <c r="BZ99" s="1109"/>
      <c r="CA99" s="1109"/>
      <c r="CB99" s="1109"/>
      <c r="CC99" s="1109"/>
      <c r="CD99" s="1109"/>
      <c r="CE99" s="1109"/>
      <c r="CF99" s="2407"/>
      <c r="CG99" s="2407"/>
      <c r="CH99" s="2407"/>
      <c r="CI99" s="2407"/>
      <c r="CJ99" s="1108"/>
      <c r="CK99" s="2402"/>
      <c r="CL99" s="2402"/>
      <c r="CM99" s="2402"/>
      <c r="CN99" s="1109"/>
      <c r="CO99" s="1109"/>
      <c r="CP99" s="1109"/>
      <c r="CQ99" s="1109"/>
      <c r="CR99" s="1109"/>
      <c r="CS99" s="1109"/>
      <c r="CT99" s="1109"/>
      <c r="CU99" s="1109"/>
      <c r="CV99" s="1109"/>
      <c r="CW99" s="1109"/>
      <c r="CX99" s="1109"/>
      <c r="CY99" s="1109"/>
      <c r="CZ99" s="1108"/>
      <c r="DA99" s="2402"/>
      <c r="DB99" s="2402"/>
      <c r="DC99" s="2402"/>
      <c r="DD99" s="1109"/>
      <c r="DE99" s="1109"/>
      <c r="DF99" s="1109"/>
      <c r="DG99" s="1109"/>
      <c r="DH99" s="1109"/>
      <c r="DI99" s="1109"/>
      <c r="DJ99" s="1109"/>
      <c r="DK99" s="1109"/>
      <c r="DL99" s="1579"/>
      <c r="DM99" s="1579"/>
      <c r="DN99" s="1579"/>
    </row>
    <row r="100" spans="1:118" s="1577" customFormat="1" hidden="1" outlineLevel="1">
      <c r="A100" s="1822" t="s">
        <v>1579</v>
      </c>
      <c r="E100" s="2401"/>
      <c r="F100" s="2401"/>
      <c r="G100" s="2401"/>
      <c r="H100" s="2401"/>
      <c r="I100" s="2402"/>
      <c r="J100" s="2402"/>
      <c r="K100" s="2402"/>
      <c r="L100" s="1109"/>
      <c r="M100" s="1109"/>
      <c r="N100" s="1109"/>
      <c r="O100" s="1109"/>
      <c r="P100" s="1109"/>
      <c r="Q100" s="1109"/>
      <c r="R100" s="1109"/>
      <c r="S100" s="1109"/>
      <c r="T100" s="2401"/>
      <c r="U100" s="2402"/>
      <c r="V100" s="2402"/>
      <c r="W100" s="2402"/>
      <c r="X100" s="1109"/>
      <c r="Y100" s="1109"/>
      <c r="Z100" s="1109"/>
      <c r="AA100" s="1109"/>
      <c r="AB100" s="1109"/>
      <c r="AC100" s="1109"/>
      <c r="AD100" s="1109"/>
      <c r="AE100" s="1109"/>
      <c r="AF100" s="1109"/>
      <c r="AG100" s="1579"/>
      <c r="AH100" s="1579"/>
      <c r="AI100" s="1579"/>
      <c r="AJ100" s="1579"/>
      <c r="AK100" s="1108"/>
      <c r="AL100" s="2403"/>
      <c r="AM100" s="2403"/>
      <c r="AN100" s="2403"/>
      <c r="AO100" s="1108"/>
      <c r="AP100" s="1109"/>
      <c r="AQ100" s="1109"/>
      <c r="AR100" s="1109"/>
      <c r="AS100" s="1109"/>
      <c r="AT100" s="1109"/>
      <c r="AU100" s="1109"/>
      <c r="AV100" s="1109"/>
      <c r="AW100" s="1109"/>
      <c r="AX100" s="1579"/>
      <c r="AY100" s="1579"/>
      <c r="AZ100" s="1579"/>
      <c r="BA100" s="1579"/>
      <c r="BB100" s="1108"/>
      <c r="BC100" s="2402"/>
      <c r="BD100" s="2402"/>
      <c r="BE100" s="2402"/>
      <c r="BF100" s="1109"/>
      <c r="BG100" s="1109"/>
      <c r="BH100" s="1109"/>
      <c r="BI100" s="1109"/>
      <c r="BJ100" s="1109"/>
      <c r="BK100" s="1109"/>
      <c r="BL100" s="1109"/>
      <c r="BM100" s="1109"/>
      <c r="BN100" s="1109"/>
      <c r="BO100" s="1579"/>
      <c r="BP100" s="1579"/>
      <c r="BQ100" s="1579"/>
      <c r="BR100" s="1579"/>
      <c r="BS100" s="1109"/>
      <c r="BT100" s="2402"/>
      <c r="BU100" s="2402"/>
      <c r="BV100" s="2402"/>
      <c r="BW100" s="1109"/>
      <c r="BX100" s="1109"/>
      <c r="BY100" s="1109"/>
      <c r="BZ100" s="1109"/>
      <c r="CA100" s="1109"/>
      <c r="CB100" s="1109"/>
      <c r="CC100" s="1109"/>
      <c r="CD100" s="1109"/>
      <c r="CE100" s="1109"/>
      <c r="CF100" s="2407"/>
      <c r="CG100" s="2407"/>
      <c r="CH100" s="2407"/>
      <c r="CI100" s="2407"/>
      <c r="CJ100" s="1108"/>
      <c r="CK100" s="2402"/>
      <c r="CL100" s="2402"/>
      <c r="CM100" s="2402"/>
      <c r="CN100" s="1109"/>
      <c r="CO100" s="1109"/>
      <c r="CP100" s="1109"/>
      <c r="CQ100" s="1109"/>
      <c r="CR100" s="1109"/>
      <c r="CS100" s="1109"/>
      <c r="CT100" s="1109"/>
      <c r="CU100" s="1109"/>
      <c r="CV100" s="1109"/>
      <c r="CW100" s="1109"/>
      <c r="CX100" s="1109"/>
      <c r="CY100" s="1109"/>
      <c r="CZ100" s="1108"/>
      <c r="DA100" s="2402"/>
      <c r="DB100" s="2402"/>
      <c r="DC100" s="2402"/>
      <c r="DD100" s="1109"/>
      <c r="DE100" s="1109"/>
      <c r="DF100" s="1109"/>
      <c r="DG100" s="1109"/>
      <c r="DH100" s="1109"/>
      <c r="DI100" s="1109"/>
      <c r="DJ100" s="1109"/>
      <c r="DK100" s="1109"/>
      <c r="DL100" s="1579"/>
      <c r="DM100" s="1579"/>
      <c r="DN100" s="1579"/>
    </row>
    <row r="101" spans="1:118" s="1577" customFormat="1" hidden="1" outlineLevel="1">
      <c r="A101" s="1822"/>
      <c r="B101" s="2400" t="s">
        <v>1495</v>
      </c>
      <c r="C101" s="2088"/>
      <c r="D101" s="2400" t="s">
        <v>638</v>
      </c>
      <c r="E101" s="2401"/>
      <c r="F101" s="2401"/>
      <c r="G101" s="2401"/>
      <c r="H101" s="2401"/>
      <c r="I101" s="2402"/>
      <c r="J101" s="2402"/>
      <c r="K101" s="2402"/>
      <c r="L101" s="1109"/>
      <c r="M101" s="1109"/>
      <c r="N101" s="1109"/>
      <c r="O101" s="1109"/>
      <c r="P101" s="1109"/>
      <c r="Q101" s="1109"/>
      <c r="R101" s="1109"/>
      <c r="S101" s="1109"/>
      <c r="T101" s="2401"/>
      <c r="U101" s="2402"/>
      <c r="V101" s="2402"/>
      <c r="W101" s="2402"/>
      <c r="X101" s="1109"/>
      <c r="Y101" s="1109"/>
      <c r="Z101" s="1109"/>
      <c r="AA101" s="1109"/>
      <c r="AB101" s="1109"/>
      <c r="AC101" s="1109"/>
      <c r="AD101" s="1109"/>
      <c r="AE101" s="1109"/>
      <c r="AF101" s="1109"/>
      <c r="AG101" s="1579"/>
      <c r="AH101" s="1579"/>
      <c r="AI101" s="1579"/>
      <c r="AJ101" s="1579"/>
      <c r="AK101" s="1108"/>
      <c r="AL101" s="2403"/>
      <c r="AM101" s="2403"/>
      <c r="AN101" s="2403"/>
      <c r="AO101" s="1108"/>
      <c r="AP101" s="1109"/>
      <c r="AQ101" s="1109"/>
      <c r="AR101" s="1109"/>
      <c r="AS101" s="1109"/>
      <c r="AT101" s="1109"/>
      <c r="AU101" s="1109"/>
      <c r="AV101" s="1109"/>
      <c r="AW101" s="1109"/>
      <c r="AX101" s="1579"/>
      <c r="AY101" s="1579"/>
      <c r="AZ101" s="1579"/>
      <c r="BA101" s="1579"/>
      <c r="BB101" s="1108"/>
      <c r="BC101" s="2402"/>
      <c r="BD101" s="2402"/>
      <c r="BE101" s="2402"/>
      <c r="BF101" s="1109"/>
      <c r="BG101" s="1109"/>
      <c r="BH101" s="1109"/>
      <c r="BI101" s="1109"/>
      <c r="BJ101" s="1109"/>
      <c r="BK101" s="1109"/>
      <c r="BL101" s="1109"/>
      <c r="BM101" s="1109"/>
      <c r="BN101" s="1109"/>
      <c r="BO101" s="1579"/>
      <c r="BP101" s="1579"/>
      <c r="BQ101" s="1579"/>
      <c r="BR101" s="1579"/>
      <c r="BS101" s="1109"/>
      <c r="BT101" s="2402"/>
      <c r="BU101" s="2402"/>
      <c r="BV101" s="2402"/>
      <c r="BW101" s="1109"/>
      <c r="BX101" s="1109"/>
      <c r="BY101" s="1109"/>
      <c r="BZ101" s="1109"/>
      <c r="CA101" s="1109"/>
      <c r="CB101" s="1109"/>
      <c r="CC101" s="1109"/>
      <c r="CD101" s="1109"/>
      <c r="CE101" s="1109"/>
      <c r="CF101" s="2407"/>
      <c r="CG101" s="2407"/>
      <c r="CH101" s="2407"/>
      <c r="CI101" s="2407"/>
      <c r="CJ101" s="1108"/>
      <c r="CK101" s="2402"/>
      <c r="CL101" s="2402"/>
      <c r="CM101" s="2402"/>
      <c r="CN101" s="1109"/>
      <c r="CO101" s="1109"/>
      <c r="CP101" s="1109"/>
      <c r="CQ101" s="1109"/>
      <c r="CR101" s="1109"/>
      <c r="CS101" s="1109"/>
      <c r="CT101" s="1109"/>
      <c r="CU101" s="1109"/>
      <c r="CV101" s="1109"/>
      <c r="CW101" s="1109"/>
      <c r="CX101" s="1109"/>
      <c r="CY101" s="1109"/>
      <c r="CZ101" s="1108"/>
      <c r="DA101" s="2402"/>
      <c r="DB101" s="2402"/>
      <c r="DC101" s="2402"/>
      <c r="DD101" s="1109"/>
      <c r="DE101" s="1109"/>
      <c r="DF101" s="1109"/>
      <c r="DG101" s="1109"/>
      <c r="DH101" s="1109"/>
      <c r="DI101" s="1109"/>
      <c r="DJ101" s="1109"/>
      <c r="DK101" s="1109"/>
      <c r="DL101" s="1579"/>
      <c r="DM101" s="1579"/>
      <c r="DN101" s="1579"/>
    </row>
    <row r="102" spans="1:118" s="1577" customFormat="1" hidden="1" outlineLevel="1">
      <c r="A102" s="1822"/>
      <c r="B102" s="2404" t="s">
        <v>1642</v>
      </c>
      <c r="C102" s="2088"/>
      <c r="D102" s="2400" t="s">
        <v>638</v>
      </c>
      <c r="E102" s="2401"/>
      <c r="F102" s="2401"/>
      <c r="G102" s="2401"/>
      <c r="H102" s="2401"/>
      <c r="I102" s="2402"/>
      <c r="J102" s="2402"/>
      <c r="K102" s="2402"/>
      <c r="L102" s="1109"/>
      <c r="M102" s="1109"/>
      <c r="N102" s="1109"/>
      <c r="O102" s="1109"/>
      <c r="P102" s="1109"/>
      <c r="Q102" s="1109"/>
      <c r="R102" s="1109"/>
      <c r="S102" s="1109"/>
      <c r="T102" s="2401"/>
      <c r="U102" s="2402"/>
      <c r="V102" s="2402"/>
      <c r="W102" s="2402"/>
      <c r="X102" s="1109"/>
      <c r="Y102" s="1109"/>
      <c r="Z102" s="1109"/>
      <c r="AA102" s="1109"/>
      <c r="AB102" s="1109"/>
      <c r="AC102" s="1109"/>
      <c r="AD102" s="1109"/>
      <c r="AE102" s="1109"/>
      <c r="AF102" s="1109"/>
      <c r="AG102" s="1579"/>
      <c r="AH102" s="1579"/>
      <c r="AI102" s="1579"/>
      <c r="AJ102" s="1579"/>
      <c r="AK102" s="1108"/>
      <c r="AL102" s="2403"/>
      <c r="AM102" s="2403"/>
      <c r="AN102" s="2403"/>
      <c r="AO102" s="1108"/>
      <c r="AP102" s="1109"/>
      <c r="AQ102" s="1109"/>
      <c r="AR102" s="1109"/>
      <c r="AS102" s="1109"/>
      <c r="AT102" s="1109"/>
      <c r="AU102" s="1109"/>
      <c r="AV102" s="1109"/>
      <c r="AW102" s="1109"/>
      <c r="AX102" s="1579"/>
      <c r="AY102" s="1579"/>
      <c r="AZ102" s="1579"/>
      <c r="BA102" s="1579"/>
      <c r="BB102" s="1108"/>
      <c r="BC102" s="2402"/>
      <c r="BD102" s="2402"/>
      <c r="BE102" s="2402"/>
      <c r="BF102" s="1109"/>
      <c r="BG102" s="1109"/>
      <c r="BH102" s="1109"/>
      <c r="BI102" s="1109"/>
      <c r="BJ102" s="1109"/>
      <c r="BK102" s="1109"/>
      <c r="BL102" s="1109"/>
      <c r="BM102" s="1109"/>
      <c r="BN102" s="1109"/>
      <c r="BO102" s="1579"/>
      <c r="BP102" s="1579"/>
      <c r="BQ102" s="1579"/>
      <c r="BR102" s="1579"/>
      <c r="BS102" s="1109"/>
      <c r="BT102" s="2402"/>
      <c r="BU102" s="2402"/>
      <c r="BV102" s="2402"/>
      <c r="BW102" s="1109"/>
      <c r="BX102" s="1109"/>
      <c r="BY102" s="1109"/>
      <c r="BZ102" s="1109"/>
      <c r="CA102" s="1109"/>
      <c r="CB102" s="1109"/>
      <c r="CC102" s="1109"/>
      <c r="CD102" s="1109"/>
      <c r="CE102" s="1109"/>
      <c r="CF102" s="2407"/>
      <c r="CG102" s="2407"/>
      <c r="CH102" s="2407"/>
      <c r="CI102" s="2407"/>
      <c r="CJ102" s="1108"/>
      <c r="CK102" s="2402"/>
      <c r="CL102" s="2402"/>
      <c r="CM102" s="2402"/>
      <c r="CN102" s="1109"/>
      <c r="CO102" s="1109"/>
      <c r="CP102" s="1109"/>
      <c r="CQ102" s="1109"/>
      <c r="CR102" s="1109"/>
      <c r="CS102" s="1109"/>
      <c r="CT102" s="1109"/>
      <c r="CU102" s="1109"/>
      <c r="CV102" s="1109"/>
      <c r="CW102" s="1109"/>
      <c r="CX102" s="1109"/>
      <c r="CY102" s="1109"/>
      <c r="CZ102" s="1108"/>
      <c r="DA102" s="2402"/>
      <c r="DB102" s="2402"/>
      <c r="DC102" s="2402"/>
      <c r="DD102" s="1109"/>
      <c r="DE102" s="1109"/>
      <c r="DF102" s="1109"/>
      <c r="DG102" s="1109"/>
      <c r="DH102" s="1109"/>
      <c r="DI102" s="1109"/>
      <c r="DJ102" s="1109"/>
      <c r="DK102" s="1109"/>
      <c r="DL102" s="1579"/>
      <c r="DM102" s="1579"/>
      <c r="DN102" s="1579"/>
    </row>
    <row r="103" spans="1:118" s="1577" customFormat="1" hidden="1" outlineLevel="1">
      <c r="A103" s="1822"/>
      <c r="B103" s="2400" t="s">
        <v>614</v>
      </c>
      <c r="C103" s="2401"/>
      <c r="D103" s="2400" t="s">
        <v>638</v>
      </c>
      <c r="E103" s="2401"/>
      <c r="F103" s="2401"/>
      <c r="G103" s="2401"/>
      <c r="H103" s="2401"/>
      <c r="I103" s="2402"/>
      <c r="J103" s="2402"/>
      <c r="K103" s="2402"/>
      <c r="L103" s="1109"/>
      <c r="M103" s="1109"/>
      <c r="N103" s="1109"/>
      <c r="O103" s="1109"/>
      <c r="P103" s="1109"/>
      <c r="Q103" s="1109"/>
      <c r="R103" s="1109"/>
      <c r="S103" s="1109"/>
      <c r="T103" s="2401"/>
      <c r="U103" s="2402"/>
      <c r="V103" s="2402"/>
      <c r="W103" s="2402"/>
      <c r="X103" s="1109"/>
      <c r="Y103" s="1109"/>
      <c r="Z103" s="1109"/>
      <c r="AA103" s="1109"/>
      <c r="AB103" s="1109"/>
      <c r="AC103" s="1109"/>
      <c r="AD103" s="1109"/>
      <c r="AE103" s="1109"/>
      <c r="AF103" s="1109"/>
      <c r="AG103" s="1579"/>
      <c r="AH103" s="1579"/>
      <c r="AI103" s="1579"/>
      <c r="AJ103" s="1579"/>
      <c r="AK103" s="1108"/>
      <c r="AL103" s="2403"/>
      <c r="AM103" s="2403"/>
      <c r="AN103" s="2403"/>
      <c r="AO103" s="1108"/>
      <c r="AP103" s="1109"/>
      <c r="AQ103" s="1109"/>
      <c r="AR103" s="1109"/>
      <c r="AS103" s="1109"/>
      <c r="AT103" s="1109"/>
      <c r="AU103" s="1109"/>
      <c r="AV103" s="1109"/>
      <c r="AW103" s="1109"/>
      <c r="AX103" s="1579"/>
      <c r="AY103" s="1579"/>
      <c r="AZ103" s="1579"/>
      <c r="BA103" s="1579"/>
      <c r="BB103" s="1108"/>
      <c r="BC103" s="2402"/>
      <c r="BD103" s="2402"/>
      <c r="BE103" s="2402"/>
      <c r="BF103" s="1109"/>
      <c r="BG103" s="1109"/>
      <c r="BH103" s="1109"/>
      <c r="BI103" s="1109"/>
      <c r="BJ103" s="1109"/>
      <c r="BK103" s="1109"/>
      <c r="BL103" s="1109"/>
      <c r="BM103" s="1109"/>
      <c r="BN103" s="1109"/>
      <c r="BO103" s="1579"/>
      <c r="BP103" s="1579"/>
      <c r="BQ103" s="1579"/>
      <c r="BR103" s="1579"/>
      <c r="BS103" s="1109"/>
      <c r="BT103" s="2402"/>
      <c r="BU103" s="2402"/>
      <c r="BV103" s="2402"/>
      <c r="BW103" s="1109"/>
      <c r="BX103" s="1109"/>
      <c r="BY103" s="1109"/>
      <c r="BZ103" s="1109"/>
      <c r="CA103" s="1109"/>
      <c r="CB103" s="1109"/>
      <c r="CC103" s="1109"/>
      <c r="CD103" s="1109"/>
      <c r="CE103" s="1109"/>
      <c r="CF103" s="2407"/>
      <c r="CG103" s="2407"/>
      <c r="CH103" s="2407"/>
      <c r="CI103" s="2407"/>
      <c r="CJ103" s="1108"/>
      <c r="CK103" s="2402"/>
      <c r="CL103" s="2402"/>
      <c r="CM103" s="2402"/>
      <c r="CN103" s="1109"/>
      <c r="CO103" s="1109"/>
      <c r="CP103" s="1109"/>
      <c r="CQ103" s="1109"/>
      <c r="CR103" s="1109"/>
      <c r="CS103" s="1109"/>
      <c r="CT103" s="1109"/>
      <c r="CU103" s="1109"/>
      <c r="CV103" s="1109"/>
      <c r="CW103" s="1109"/>
      <c r="CX103" s="1109"/>
      <c r="CY103" s="1109"/>
      <c r="CZ103" s="1108"/>
      <c r="DA103" s="2402"/>
      <c r="DB103" s="2402"/>
      <c r="DC103" s="2402"/>
      <c r="DD103" s="1109"/>
      <c r="DE103" s="1109"/>
      <c r="DF103" s="1109"/>
      <c r="DG103" s="1109"/>
      <c r="DH103" s="1109"/>
      <c r="DI103" s="1109"/>
      <c r="DJ103" s="1109"/>
      <c r="DK103" s="1109"/>
      <c r="DL103" s="1579"/>
      <c r="DM103" s="1579"/>
      <c r="DN103" s="1579"/>
    </row>
    <row r="104" spans="1:118" s="1577" customFormat="1" hidden="1" outlineLevel="1">
      <c r="A104" s="1822"/>
      <c r="B104" s="2400" t="s">
        <v>1648</v>
      </c>
      <c r="C104" s="2401"/>
      <c r="D104" s="2400" t="s">
        <v>638</v>
      </c>
      <c r="E104" s="2401"/>
      <c r="F104" s="2401"/>
      <c r="G104" s="2401"/>
      <c r="H104" s="2401"/>
      <c r="I104" s="2402"/>
      <c r="J104" s="2402"/>
      <c r="K104" s="2402"/>
      <c r="L104" s="1109"/>
      <c r="M104" s="1109"/>
      <c r="N104" s="1109"/>
      <c r="O104" s="1109"/>
      <c r="P104" s="1109"/>
      <c r="Q104" s="1109"/>
      <c r="R104" s="1109"/>
      <c r="S104" s="1109"/>
      <c r="T104" s="2401"/>
      <c r="U104" s="2402"/>
      <c r="V104" s="2402"/>
      <c r="W104" s="2402"/>
      <c r="X104" s="1109"/>
      <c r="Y104" s="1109"/>
      <c r="Z104" s="1109"/>
      <c r="AA104" s="1109"/>
      <c r="AB104" s="1109"/>
      <c r="AC104" s="1109"/>
      <c r="AD104" s="1109"/>
      <c r="AE104" s="1109"/>
      <c r="AF104" s="1109"/>
      <c r="AG104" s="1579"/>
      <c r="AH104" s="1579"/>
      <c r="AI104" s="1579"/>
      <c r="AJ104" s="1579"/>
      <c r="AK104" s="1108"/>
      <c r="AL104" s="2403"/>
      <c r="AM104" s="2403"/>
      <c r="AN104" s="2403"/>
      <c r="AO104" s="1108"/>
      <c r="AP104" s="1109"/>
      <c r="AQ104" s="1109"/>
      <c r="AR104" s="1109"/>
      <c r="AS104" s="1109"/>
      <c r="AT104" s="1109"/>
      <c r="AU104" s="1109"/>
      <c r="AV104" s="1109"/>
      <c r="AW104" s="1109"/>
      <c r="AX104" s="1579"/>
      <c r="AY104" s="1579"/>
      <c r="AZ104" s="1579"/>
      <c r="BA104" s="1579"/>
      <c r="BB104" s="1108"/>
      <c r="BC104" s="2402"/>
      <c r="BD104" s="2402"/>
      <c r="BE104" s="2402"/>
      <c r="BF104" s="1109"/>
      <c r="BG104" s="1109"/>
      <c r="BH104" s="1109"/>
      <c r="BI104" s="1109"/>
      <c r="BJ104" s="1109"/>
      <c r="BK104" s="1109"/>
      <c r="BL104" s="1109"/>
      <c r="BM104" s="1109"/>
      <c r="BN104" s="1109"/>
      <c r="BO104" s="1579"/>
      <c r="BP104" s="1579"/>
      <c r="BQ104" s="1579"/>
      <c r="BR104" s="1579"/>
      <c r="BS104" s="1109"/>
      <c r="BT104" s="2402"/>
      <c r="BU104" s="2402"/>
      <c r="BV104" s="2402"/>
      <c r="BW104" s="1109"/>
      <c r="BX104" s="1109"/>
      <c r="BY104" s="1109"/>
      <c r="BZ104" s="1109"/>
      <c r="CA104" s="1109"/>
      <c r="CB104" s="1109"/>
      <c r="CC104" s="1109"/>
      <c r="CD104" s="1109"/>
      <c r="CE104" s="1109"/>
      <c r="CF104" s="2407"/>
      <c r="CG104" s="2407"/>
      <c r="CH104" s="2407"/>
      <c r="CI104" s="2407"/>
      <c r="CJ104" s="1108"/>
      <c r="CK104" s="2402"/>
      <c r="CL104" s="2402"/>
      <c r="CM104" s="2402"/>
      <c r="CN104" s="1109"/>
      <c r="CO104" s="1109"/>
      <c r="CP104" s="1109"/>
      <c r="CQ104" s="1109"/>
      <c r="CR104" s="1109"/>
      <c r="CS104" s="1109"/>
      <c r="CT104" s="1109"/>
      <c r="CU104" s="1109"/>
      <c r="CV104" s="1109"/>
      <c r="CW104" s="1109"/>
      <c r="CX104" s="1109"/>
      <c r="CY104" s="1109"/>
      <c r="CZ104" s="1108"/>
      <c r="DA104" s="2402"/>
      <c r="DB104" s="2402"/>
      <c r="DC104" s="2402"/>
      <c r="DD104" s="1109"/>
      <c r="DE104" s="1109"/>
      <c r="DF104" s="1109"/>
      <c r="DG104" s="1109"/>
      <c r="DH104" s="1109"/>
      <c r="DI104" s="1109"/>
      <c r="DJ104" s="1109"/>
      <c r="DK104" s="1109"/>
      <c r="DL104" s="1579"/>
      <c r="DM104" s="1579"/>
      <c r="DN104" s="1579"/>
    </row>
    <row r="105" spans="1:118" s="1577" customFormat="1" hidden="1" outlineLevel="1">
      <c r="A105" s="1822"/>
      <c r="B105" s="2400" t="s">
        <v>1576</v>
      </c>
      <c r="C105" s="2401"/>
      <c r="D105" s="2400" t="s">
        <v>638</v>
      </c>
      <c r="E105" s="2401"/>
      <c r="F105" s="2401"/>
      <c r="G105" s="2401"/>
      <c r="H105" s="2401"/>
      <c r="I105" s="2402"/>
      <c r="J105" s="2402"/>
      <c r="K105" s="2402"/>
      <c r="L105" s="1109"/>
      <c r="M105" s="1109"/>
      <c r="N105" s="1109"/>
      <c r="O105" s="1109"/>
      <c r="P105" s="1109"/>
      <c r="Q105" s="1109"/>
      <c r="R105" s="1109"/>
      <c r="S105" s="1109"/>
      <c r="T105" s="2401"/>
      <c r="U105" s="2402"/>
      <c r="V105" s="2402"/>
      <c r="W105" s="2402"/>
      <c r="X105" s="1109"/>
      <c r="Y105" s="1109"/>
      <c r="Z105" s="1109"/>
      <c r="AA105" s="1109"/>
      <c r="AB105" s="1109"/>
      <c r="AC105" s="1109"/>
      <c r="AD105" s="1109"/>
      <c r="AE105" s="1109"/>
      <c r="AF105" s="1109"/>
      <c r="AG105" s="1579"/>
      <c r="AH105" s="1579"/>
      <c r="AI105" s="1579"/>
      <c r="AJ105" s="1579"/>
      <c r="AK105" s="1108"/>
      <c r="AL105" s="2403"/>
      <c r="AM105" s="2403"/>
      <c r="AN105" s="2403"/>
      <c r="AO105" s="1108"/>
      <c r="AP105" s="1109"/>
      <c r="AQ105" s="1109"/>
      <c r="AR105" s="1109"/>
      <c r="AS105" s="1109"/>
      <c r="AT105" s="1109"/>
      <c r="AU105" s="1109"/>
      <c r="AV105" s="1109"/>
      <c r="AW105" s="1109"/>
      <c r="AX105" s="1579"/>
      <c r="AY105" s="1579"/>
      <c r="AZ105" s="1579"/>
      <c r="BA105" s="1579"/>
      <c r="BB105" s="1108"/>
      <c r="BC105" s="2402"/>
      <c r="BD105" s="2402"/>
      <c r="BE105" s="2402"/>
      <c r="BF105" s="1109"/>
      <c r="BG105" s="1109"/>
      <c r="BH105" s="1109"/>
      <c r="BI105" s="1109"/>
      <c r="BJ105" s="1109"/>
      <c r="BK105" s="1109"/>
      <c r="BL105" s="1109"/>
      <c r="BM105" s="1109"/>
      <c r="BN105" s="1109"/>
      <c r="BO105" s="1579"/>
      <c r="BP105" s="1579"/>
      <c r="BQ105" s="1579"/>
      <c r="BR105" s="1579"/>
      <c r="BS105" s="1109"/>
      <c r="BT105" s="2402"/>
      <c r="BU105" s="2402"/>
      <c r="BV105" s="2402"/>
      <c r="BW105" s="1109"/>
      <c r="BX105" s="1109"/>
      <c r="BY105" s="1109"/>
      <c r="BZ105" s="1109"/>
      <c r="CA105" s="1109"/>
      <c r="CB105" s="1109"/>
      <c r="CC105" s="1109"/>
      <c r="CD105" s="1109"/>
      <c r="CE105" s="1109"/>
      <c r="CF105" s="2407"/>
      <c r="CG105" s="2407"/>
      <c r="CH105" s="2407"/>
      <c r="CI105" s="2407"/>
      <c r="CJ105" s="1108"/>
      <c r="CK105" s="2402"/>
      <c r="CL105" s="2402"/>
      <c r="CM105" s="2402"/>
      <c r="CN105" s="1109"/>
      <c r="CO105" s="1109"/>
      <c r="CP105" s="1109"/>
      <c r="CQ105" s="1109"/>
      <c r="CR105" s="1109"/>
      <c r="CS105" s="1109"/>
      <c r="CT105" s="1109"/>
      <c r="CU105" s="1109"/>
      <c r="CV105" s="1109"/>
      <c r="CW105" s="1109"/>
      <c r="CX105" s="1109"/>
      <c r="CY105" s="1109"/>
      <c r="CZ105" s="1108"/>
      <c r="DA105" s="2402"/>
      <c r="DB105" s="2402"/>
      <c r="DC105" s="2402"/>
      <c r="DD105" s="1109"/>
      <c r="DE105" s="1109"/>
      <c r="DF105" s="1109"/>
      <c r="DG105" s="1109"/>
      <c r="DH105" s="1109"/>
      <c r="DI105" s="1109"/>
      <c r="DJ105" s="1109"/>
      <c r="DK105" s="1109"/>
      <c r="DL105" s="1579"/>
      <c r="DM105" s="1579"/>
      <c r="DN105" s="1579"/>
    </row>
    <row r="106" spans="1:118" s="1577" customFormat="1" hidden="1" outlineLevel="1">
      <c r="A106" s="1822"/>
      <c r="B106" s="2400" t="s">
        <v>1459</v>
      </c>
      <c r="C106" s="2401"/>
      <c r="D106" s="2400" t="s">
        <v>595</v>
      </c>
      <c r="E106" s="2401"/>
      <c r="F106" s="2401"/>
      <c r="G106" s="2401"/>
      <c r="H106" s="2401"/>
      <c r="I106" s="2402"/>
      <c r="J106" s="2402"/>
      <c r="K106" s="2402"/>
      <c r="L106" s="1109"/>
      <c r="M106" s="1109"/>
      <c r="N106" s="1109"/>
      <c r="O106" s="1109"/>
      <c r="P106" s="1109"/>
      <c r="Q106" s="1109"/>
      <c r="R106" s="1109"/>
      <c r="S106" s="1109"/>
      <c r="T106" s="2401"/>
      <c r="U106" s="2402"/>
      <c r="V106" s="2402"/>
      <c r="W106" s="2402"/>
      <c r="X106" s="1109"/>
      <c r="Y106" s="1109"/>
      <c r="Z106" s="1109"/>
      <c r="AA106" s="1109"/>
      <c r="AB106" s="1109"/>
      <c r="AC106" s="1109"/>
      <c r="AD106" s="1109"/>
      <c r="AE106" s="1109"/>
      <c r="AF106" s="1109"/>
      <c r="AG106" s="1579"/>
      <c r="AH106" s="1579"/>
      <c r="AI106" s="1579"/>
      <c r="AJ106" s="1579"/>
      <c r="AK106" s="1108"/>
      <c r="AL106" s="2403"/>
      <c r="AM106" s="2403"/>
      <c r="AN106" s="2403"/>
      <c r="AO106" s="1108"/>
      <c r="AP106" s="1109"/>
      <c r="AQ106" s="1109"/>
      <c r="AR106" s="1109"/>
      <c r="AS106" s="1109"/>
      <c r="AT106" s="1109"/>
      <c r="AU106" s="1109"/>
      <c r="AV106" s="1109"/>
      <c r="AW106" s="1109"/>
      <c r="AX106" s="1579"/>
      <c r="AY106" s="1579"/>
      <c r="AZ106" s="1579"/>
      <c r="BA106" s="1579"/>
      <c r="BB106" s="1108"/>
      <c r="BC106" s="2402"/>
      <c r="BD106" s="2402"/>
      <c r="BE106" s="2402"/>
      <c r="BF106" s="1109"/>
      <c r="BG106" s="1109"/>
      <c r="BH106" s="1109"/>
      <c r="BI106" s="1109"/>
      <c r="BJ106" s="1109"/>
      <c r="BK106" s="1109"/>
      <c r="BL106" s="1109"/>
      <c r="BM106" s="1109"/>
      <c r="BN106" s="1109"/>
      <c r="BO106" s="1579"/>
      <c r="BP106" s="1579"/>
      <c r="BQ106" s="1579"/>
      <c r="BR106" s="1579"/>
      <c r="BS106" s="1109"/>
      <c r="BT106" s="2402"/>
      <c r="BU106" s="2402"/>
      <c r="BV106" s="2402"/>
      <c r="BW106" s="1109"/>
      <c r="BX106" s="1109"/>
      <c r="BY106" s="1109"/>
      <c r="BZ106" s="1109"/>
      <c r="CA106" s="1109"/>
      <c r="CB106" s="1109"/>
      <c r="CC106" s="1109"/>
      <c r="CD106" s="1109"/>
      <c r="CE106" s="1109"/>
      <c r="CF106" s="2407"/>
      <c r="CG106" s="2407"/>
      <c r="CH106" s="2407"/>
      <c r="CI106" s="2407"/>
      <c r="CJ106" s="1108"/>
      <c r="CK106" s="2402"/>
      <c r="CL106" s="2402"/>
      <c r="CM106" s="2402"/>
      <c r="CN106" s="1109"/>
      <c r="CO106" s="1109"/>
      <c r="CP106" s="1109"/>
      <c r="CQ106" s="1109"/>
      <c r="CR106" s="1109"/>
      <c r="CS106" s="1109"/>
      <c r="CT106" s="1109"/>
      <c r="CU106" s="1109"/>
      <c r="CV106" s="1109"/>
      <c r="CW106" s="1109"/>
      <c r="CX106" s="1109"/>
      <c r="CY106" s="1109"/>
      <c r="CZ106" s="1108"/>
      <c r="DA106" s="2402"/>
      <c r="DB106" s="2402"/>
      <c r="DC106" s="2402"/>
      <c r="DD106" s="1109"/>
      <c r="DE106" s="1109"/>
      <c r="DF106" s="1109"/>
      <c r="DG106" s="1109"/>
      <c r="DH106" s="1109"/>
      <c r="DI106" s="1109"/>
      <c r="DJ106" s="1109"/>
      <c r="DK106" s="1109"/>
      <c r="DL106" s="1579"/>
      <c r="DM106" s="1579"/>
      <c r="DN106" s="1579"/>
    </row>
    <row r="107" spans="1:118" s="1577" customFormat="1" collapsed="1">
      <c r="A107" s="1822"/>
      <c r="B107" s="2400"/>
      <c r="C107" s="2401"/>
      <c r="D107" s="2400"/>
      <c r="E107" s="2401"/>
      <c r="F107" s="2401"/>
      <c r="G107" s="2401"/>
      <c r="H107" s="2401"/>
      <c r="I107" s="2402"/>
      <c r="J107" s="2402"/>
      <c r="K107" s="2402"/>
      <c r="L107" s="1109"/>
      <c r="M107" s="1109"/>
      <c r="N107" s="1109"/>
      <c r="O107" s="1109"/>
      <c r="P107" s="1109"/>
      <c r="Q107" s="1109"/>
      <c r="R107" s="1109"/>
      <c r="S107" s="1109"/>
      <c r="T107" s="2401"/>
      <c r="U107" s="2402"/>
      <c r="V107" s="2402"/>
      <c r="W107" s="2402"/>
      <c r="X107" s="1109"/>
      <c r="Y107" s="1109"/>
      <c r="Z107" s="1109"/>
      <c r="AA107" s="1109"/>
      <c r="AB107" s="1109"/>
      <c r="AC107" s="1109"/>
      <c r="AD107" s="1109"/>
      <c r="AE107" s="1109"/>
      <c r="AF107" s="1109"/>
      <c r="AG107" s="1579"/>
      <c r="AH107" s="1579"/>
      <c r="AI107" s="1579"/>
      <c r="AJ107" s="1579"/>
      <c r="AK107" s="1108"/>
      <c r="AL107" s="2403"/>
      <c r="AM107" s="2403"/>
      <c r="AN107" s="2403"/>
      <c r="AO107" s="1108"/>
      <c r="AP107" s="1109"/>
      <c r="AQ107" s="1109"/>
      <c r="AR107" s="1109"/>
      <c r="AS107" s="1109"/>
      <c r="AT107" s="1109"/>
      <c r="AU107" s="1109"/>
      <c r="AV107" s="1109"/>
      <c r="AW107" s="1109"/>
      <c r="AX107" s="1579"/>
      <c r="AY107" s="1579"/>
      <c r="AZ107" s="1579"/>
      <c r="BA107" s="1579"/>
      <c r="BB107" s="1108"/>
      <c r="BC107" s="2402"/>
      <c r="BD107" s="2402"/>
      <c r="BE107" s="2402"/>
      <c r="BF107" s="1109"/>
      <c r="BG107" s="1109"/>
      <c r="BH107" s="1109"/>
      <c r="BI107" s="1109"/>
      <c r="BJ107" s="1109"/>
      <c r="BK107" s="1109"/>
      <c r="BL107" s="1109"/>
      <c r="BM107" s="1109"/>
      <c r="BN107" s="1109"/>
      <c r="BO107" s="1579"/>
      <c r="BP107" s="1579"/>
      <c r="BQ107" s="1579"/>
      <c r="BR107" s="1579"/>
      <c r="BS107" s="1109"/>
      <c r="BT107" s="2402"/>
      <c r="BU107" s="2402"/>
      <c r="BV107" s="2402"/>
      <c r="BW107" s="1109"/>
      <c r="BX107" s="1109"/>
      <c r="BY107" s="1109"/>
      <c r="BZ107" s="1109"/>
      <c r="CA107" s="1109"/>
      <c r="CB107" s="1109"/>
      <c r="CC107" s="1109"/>
      <c r="CD107" s="1109"/>
      <c r="CE107" s="1109"/>
      <c r="CF107" s="2407"/>
      <c r="CG107" s="2407"/>
      <c r="CH107" s="2407"/>
      <c r="CI107" s="2407"/>
      <c r="CJ107" s="1108"/>
      <c r="CK107" s="2402"/>
      <c r="CL107" s="2402"/>
      <c r="CM107" s="2402"/>
      <c r="CN107" s="1109"/>
      <c r="CO107" s="1109"/>
      <c r="CP107" s="1109"/>
      <c r="CQ107" s="1109"/>
      <c r="CR107" s="1109"/>
      <c r="CS107" s="1109"/>
      <c r="CT107" s="1109"/>
      <c r="CU107" s="1109"/>
      <c r="CV107" s="1109"/>
      <c r="CW107" s="1109"/>
      <c r="CX107" s="1109"/>
      <c r="CY107" s="1109"/>
      <c r="CZ107" s="1108"/>
      <c r="DA107" s="2402"/>
      <c r="DB107" s="2402"/>
      <c r="DC107" s="2402"/>
      <c r="DD107" s="1109"/>
      <c r="DE107" s="1109"/>
      <c r="DF107" s="1109"/>
      <c r="DG107" s="1109"/>
      <c r="DH107" s="1109"/>
      <c r="DI107" s="1109"/>
      <c r="DJ107" s="1109"/>
      <c r="DK107" s="1109"/>
      <c r="DL107" s="1579"/>
      <c r="DM107" s="1579"/>
      <c r="DN107" s="1579"/>
    </row>
    <row r="108" spans="1:118">
      <c r="A108" s="259"/>
      <c r="B108" s="1"/>
      <c r="C108" s="1"/>
      <c r="D108" s="1"/>
      <c r="E108" s="1"/>
      <c r="F108" s="1"/>
      <c r="G108" s="1"/>
      <c r="H108" s="1"/>
      <c r="I108" s="464"/>
      <c r="J108" s="464"/>
      <c r="K108" s="464"/>
      <c r="L108" s="84"/>
      <c r="M108" s="84"/>
      <c r="N108" s="84"/>
      <c r="O108" s="84"/>
      <c r="P108" s="84"/>
      <c r="Q108" s="84"/>
      <c r="R108" s="84"/>
      <c r="S108" s="84"/>
      <c r="T108" s="1"/>
      <c r="U108" s="464"/>
      <c r="V108" s="464"/>
      <c r="W108" s="464"/>
      <c r="X108" s="84"/>
      <c r="Y108" s="84"/>
      <c r="Z108" s="84"/>
      <c r="AA108" s="84"/>
      <c r="AB108" s="84"/>
      <c r="AC108" s="84"/>
      <c r="AD108" s="84"/>
      <c r="AE108" s="84"/>
      <c r="AF108" s="84"/>
      <c r="AG108" s="865"/>
      <c r="AH108" s="865"/>
      <c r="AI108" s="865"/>
      <c r="AJ108" s="865"/>
      <c r="AK108" s="6"/>
      <c r="AL108" s="275"/>
      <c r="AM108" s="275"/>
      <c r="AN108" s="275"/>
      <c r="AO108" s="6"/>
      <c r="AP108" s="84"/>
      <c r="AQ108" s="84"/>
      <c r="AR108" s="84"/>
      <c r="AS108" s="84"/>
      <c r="AT108" s="84"/>
      <c r="AU108" s="84"/>
      <c r="AV108" s="84"/>
      <c r="AW108" s="84"/>
      <c r="AX108" s="865"/>
      <c r="AY108" s="865"/>
      <c r="AZ108" s="865"/>
      <c r="BA108" s="865"/>
      <c r="BB108" s="6"/>
      <c r="BC108" s="464"/>
      <c r="BD108" s="464"/>
      <c r="BE108" s="464"/>
      <c r="BF108" s="84"/>
      <c r="BG108" s="84"/>
      <c r="BH108" s="84"/>
      <c r="BI108" s="84"/>
      <c r="BJ108" s="84"/>
      <c r="BK108" s="84"/>
      <c r="BL108" s="84"/>
      <c r="BM108" s="84"/>
      <c r="BN108" s="1109"/>
      <c r="BO108" s="1579"/>
      <c r="BP108" s="865"/>
      <c r="BQ108" s="865"/>
      <c r="BR108" s="865"/>
      <c r="BS108" s="84"/>
      <c r="BT108" s="464"/>
      <c r="BU108" s="464"/>
      <c r="BV108" s="464"/>
      <c r="BW108" s="84"/>
      <c r="BX108" s="84"/>
      <c r="BY108" s="84"/>
      <c r="BZ108" s="84"/>
      <c r="CA108" s="84"/>
      <c r="CB108" s="84"/>
      <c r="CC108" s="84"/>
      <c r="CD108" s="84"/>
      <c r="CE108" s="84"/>
      <c r="CF108" s="1155"/>
      <c r="CG108" s="1155"/>
      <c r="CH108" s="1155"/>
      <c r="CI108" s="1155"/>
      <c r="CJ108" s="6"/>
      <c r="CK108" s="464"/>
      <c r="CL108" s="464"/>
      <c r="CM108" s="464"/>
      <c r="CN108" s="84"/>
      <c r="CO108" s="84"/>
      <c r="CP108" s="84"/>
      <c r="CQ108" s="84"/>
      <c r="CR108" s="84"/>
      <c r="CS108" s="84"/>
      <c r="CT108" s="84"/>
      <c r="CU108" s="84"/>
      <c r="CV108" s="84"/>
      <c r="CW108" s="84"/>
      <c r="CX108" s="84"/>
      <c r="CY108" s="84"/>
      <c r="CZ108" s="6"/>
      <c r="DA108" s="464"/>
      <c r="DB108" s="464"/>
      <c r="DC108" s="464"/>
      <c r="DD108" s="84"/>
      <c r="DE108" s="84"/>
      <c r="DF108" s="84"/>
      <c r="DG108" s="84"/>
      <c r="DH108" s="84"/>
      <c r="DI108" s="84"/>
      <c r="DJ108" s="84"/>
      <c r="DK108" s="84"/>
      <c r="DL108" s="865"/>
      <c r="DM108" s="865"/>
      <c r="DN108" s="865"/>
    </row>
    <row r="109" spans="1:118">
      <c r="A109" s="640" t="s">
        <v>1674</v>
      </c>
      <c r="B109" s="1"/>
      <c r="C109" s="1"/>
      <c r="D109" s="1"/>
      <c r="E109" s="1"/>
      <c r="F109" s="1"/>
      <c r="G109" s="1"/>
      <c r="H109" s="1"/>
      <c r="I109" s="464"/>
      <c r="J109" s="464"/>
      <c r="K109" s="464"/>
      <c r="L109" s="84"/>
      <c r="M109" s="84"/>
      <c r="N109" s="84"/>
      <c r="O109" s="84"/>
      <c r="P109" s="84"/>
      <c r="Q109" s="84"/>
      <c r="R109" s="84"/>
      <c r="S109" s="84"/>
      <c r="T109" s="1"/>
      <c r="U109" s="464"/>
      <c r="V109" s="464"/>
      <c r="W109" s="464"/>
      <c r="X109" s="84"/>
      <c r="Y109" s="84"/>
      <c r="Z109" s="84"/>
      <c r="AA109" s="84"/>
      <c r="AB109" s="84"/>
      <c r="AC109" s="84"/>
      <c r="AD109" s="84"/>
      <c r="AE109" s="84"/>
      <c r="AF109" s="84"/>
      <c r="AG109" s="84"/>
      <c r="AH109" s="84"/>
      <c r="AI109" s="84"/>
      <c r="AJ109" s="84"/>
      <c r="AK109" s="6"/>
      <c r="AL109" s="275"/>
      <c r="AM109" s="275"/>
      <c r="AN109" s="275"/>
      <c r="AO109" s="6"/>
      <c r="AP109" s="84"/>
      <c r="AQ109" s="84"/>
      <c r="AR109" s="84"/>
      <c r="AS109" s="84"/>
      <c r="AT109" s="84"/>
      <c r="AU109" s="84"/>
      <c r="AV109" s="84"/>
      <c r="AW109" s="84"/>
      <c r="AX109" s="84"/>
      <c r="AY109" s="84"/>
      <c r="AZ109" s="84"/>
      <c r="BA109" s="84"/>
      <c r="BB109" s="6"/>
      <c r="BC109" s="464"/>
      <c r="BD109" s="464"/>
      <c r="BE109" s="464"/>
      <c r="BF109" s="84"/>
      <c r="BG109" s="84"/>
      <c r="BH109" s="84"/>
      <c r="BI109" s="84"/>
      <c r="BJ109" s="84"/>
      <c r="BK109" s="84"/>
      <c r="BL109" s="84"/>
      <c r="BM109" s="84"/>
      <c r="BN109" s="1109"/>
      <c r="BO109" s="1109"/>
      <c r="BP109" s="84"/>
      <c r="BQ109" s="84"/>
      <c r="BR109" s="84"/>
      <c r="BS109" s="84"/>
      <c r="BT109" s="464"/>
      <c r="BU109" s="464"/>
      <c r="BV109" s="464"/>
      <c r="BW109" s="84"/>
      <c r="BX109" s="84"/>
      <c r="BY109" s="84"/>
      <c r="BZ109" s="84"/>
      <c r="CA109" s="84"/>
      <c r="CB109" s="84"/>
      <c r="CC109" s="84"/>
      <c r="CD109" s="84"/>
      <c r="CE109" s="84"/>
      <c r="CF109" s="1155"/>
      <c r="CG109" s="1155"/>
      <c r="CH109" s="1155"/>
      <c r="CI109" s="1155"/>
      <c r="CJ109" s="6"/>
      <c r="CK109" s="464"/>
      <c r="CL109" s="464"/>
      <c r="CM109" s="464"/>
      <c r="CN109" s="84"/>
      <c r="CO109" s="84"/>
      <c r="CP109" s="84"/>
      <c r="CQ109" s="84"/>
      <c r="CR109" s="84"/>
      <c r="CS109" s="84"/>
      <c r="CT109" s="84"/>
      <c r="CU109" s="84"/>
      <c r="CV109" s="84"/>
      <c r="CW109" s="84"/>
      <c r="CX109" s="84"/>
      <c r="CY109" s="84"/>
      <c r="CZ109" s="6"/>
      <c r="DA109" s="464"/>
      <c r="DB109" s="464"/>
      <c r="DC109" s="464"/>
      <c r="DD109" s="84"/>
      <c r="DE109" s="84"/>
      <c r="DF109" s="84"/>
      <c r="DG109" s="84"/>
      <c r="DH109" s="84"/>
      <c r="DI109" s="84"/>
      <c r="DJ109" s="84"/>
      <c r="DK109" s="84"/>
    </row>
    <row r="110" spans="1:118" s="1577" customFormat="1">
      <c r="A110" s="1534">
        <v>1</v>
      </c>
      <c r="B110" s="2400" t="s">
        <v>1636</v>
      </c>
      <c r="C110" s="2400" t="s">
        <v>296</v>
      </c>
      <c r="D110" s="2400" t="s">
        <v>212</v>
      </c>
      <c r="E110" s="2410">
        <v>1</v>
      </c>
      <c r="F110" s="2401"/>
      <c r="G110" s="1361">
        <v>30</v>
      </c>
      <c r="H110" s="2401"/>
      <c r="I110" s="2402"/>
      <c r="J110" s="2402"/>
      <c r="K110" s="2402"/>
      <c r="L110" s="1109"/>
      <c r="M110" s="1109"/>
      <c r="N110" s="1109"/>
      <c r="O110" s="1109"/>
      <c r="P110" s="1109"/>
      <c r="Q110" s="1109"/>
      <c r="R110" s="1109"/>
      <c r="S110" s="1109"/>
      <c r="T110" s="2401"/>
      <c r="U110" s="2402"/>
      <c r="V110" s="2402"/>
      <c r="W110" s="2402"/>
      <c r="X110" s="1109"/>
      <c r="Y110" s="1109"/>
      <c r="Z110" s="1109"/>
      <c r="AA110" s="1109"/>
      <c r="AB110" s="1109"/>
      <c r="AC110" s="1109"/>
      <c r="AD110" s="1109"/>
      <c r="AE110" s="1109"/>
      <c r="AF110" s="1109"/>
      <c r="AG110" s="2420">
        <v>1500</v>
      </c>
      <c r="AH110" s="1109"/>
      <c r="AI110" s="1109"/>
      <c r="AJ110" s="1109"/>
      <c r="AK110" s="1108"/>
      <c r="AL110" s="2403"/>
      <c r="AM110" s="2403"/>
      <c r="AN110" s="2403"/>
      <c r="AO110" s="1108"/>
      <c r="AP110" s="1109"/>
      <c r="AQ110" s="1109"/>
      <c r="AR110" s="1109"/>
      <c r="AS110" s="1109"/>
      <c r="AT110" s="1109"/>
      <c r="AU110" s="1109"/>
      <c r="AV110" s="1109"/>
      <c r="AW110" s="1109"/>
      <c r="AX110" s="2409">
        <v>10</v>
      </c>
      <c r="AY110" s="1109"/>
      <c r="AZ110" s="1109"/>
      <c r="BA110" s="1109"/>
      <c r="BB110" s="1108"/>
      <c r="BC110" s="2402"/>
      <c r="BD110" s="2402"/>
      <c r="BE110" s="2402"/>
      <c r="BF110" s="1109"/>
      <c r="BG110" s="1109"/>
      <c r="BH110" s="1109"/>
      <c r="BI110" s="1109"/>
      <c r="BJ110" s="1109"/>
      <c r="BK110" s="1109"/>
      <c r="BL110" s="1109"/>
      <c r="BM110" s="1109"/>
      <c r="BN110" s="1109"/>
      <c r="BO110" s="2165">
        <f>$E110*AG110*AX110</f>
        <v>15000</v>
      </c>
      <c r="BP110" s="1109"/>
      <c r="BQ110" s="1109"/>
      <c r="BR110" s="1109"/>
      <c r="BS110" s="1109"/>
      <c r="BT110" s="2402"/>
      <c r="BU110" s="2402"/>
      <c r="BV110" s="2402"/>
      <c r="BW110" s="1109"/>
      <c r="BX110" s="1109"/>
      <c r="BY110" s="1109"/>
      <c r="BZ110" s="1109"/>
      <c r="CA110" s="1109"/>
      <c r="CB110" s="1109"/>
      <c r="CC110" s="1109"/>
      <c r="CD110" s="1109"/>
      <c r="CE110" s="1109"/>
      <c r="CF110" s="2407"/>
      <c r="CG110" s="2407"/>
      <c r="CH110" s="2407"/>
      <c r="CI110" s="2407"/>
      <c r="CJ110" s="1108"/>
      <c r="CK110" s="2402"/>
      <c r="CL110" s="2402"/>
      <c r="CM110" s="2402"/>
      <c r="CN110" s="1109"/>
      <c r="CO110" s="1109"/>
      <c r="CP110" s="1109"/>
      <c r="CQ110" s="1109"/>
      <c r="CR110" s="1109"/>
      <c r="CS110" s="1109"/>
      <c r="CT110" s="1109"/>
      <c r="CU110" s="1109"/>
      <c r="CV110" s="1109"/>
      <c r="CW110" s="1109"/>
      <c r="CX110" s="1109"/>
      <c r="CY110" s="1109"/>
      <c r="CZ110" s="1108"/>
      <c r="DA110" s="2402"/>
      <c r="DB110" s="2402"/>
      <c r="DC110" s="2402"/>
      <c r="DD110" s="1109"/>
      <c r="DE110" s="1109"/>
      <c r="DF110" s="1109"/>
      <c r="DG110" s="1109"/>
      <c r="DH110" s="1109"/>
      <c r="DI110" s="1109"/>
      <c r="DJ110" s="1109"/>
      <c r="DK110" s="1109"/>
    </row>
    <row r="111" spans="1:118" s="1577" customFormat="1">
      <c r="A111" s="1534">
        <v>7</v>
      </c>
      <c r="B111" s="2400" t="s">
        <v>1657</v>
      </c>
      <c r="C111" s="2400" t="s">
        <v>296</v>
      </c>
      <c r="D111" s="2400" t="s">
        <v>1577</v>
      </c>
      <c r="E111" s="2410">
        <v>1</v>
      </c>
      <c r="F111" s="2401"/>
      <c r="G111" s="1361">
        <v>30</v>
      </c>
      <c r="H111" s="2401"/>
      <c r="I111" s="2402"/>
      <c r="J111" s="2402"/>
      <c r="K111" s="2402"/>
      <c r="L111" s="1109"/>
      <c r="M111" s="1109"/>
      <c r="N111" s="1109"/>
      <c r="O111" s="1109"/>
      <c r="P111" s="1109"/>
      <c r="Q111" s="1109"/>
      <c r="R111" s="1109"/>
      <c r="S111" s="1109"/>
      <c r="T111" s="2401"/>
      <c r="U111" s="2402"/>
      <c r="V111" s="2402"/>
      <c r="W111" s="2402"/>
      <c r="X111" s="1109"/>
      <c r="Y111" s="1109"/>
      <c r="Z111" s="1109"/>
      <c r="AA111" s="1109"/>
      <c r="AB111" s="1109"/>
      <c r="AC111" s="1109"/>
      <c r="AD111" s="1109"/>
      <c r="AE111" s="1109"/>
      <c r="AF111" s="1109"/>
      <c r="AG111" s="2420">
        <f>AF157*(1+CF112)</f>
        <v>2121.8000000000002</v>
      </c>
      <c r="AH111" s="1109"/>
      <c r="AI111" s="1109"/>
      <c r="AJ111" s="1109"/>
      <c r="AK111" s="1108"/>
      <c r="AL111" s="2403"/>
      <c r="AM111" s="2403"/>
      <c r="AN111" s="2403"/>
      <c r="AO111" s="1108"/>
      <c r="AP111" s="1109"/>
      <c r="AQ111" s="1109"/>
      <c r="AR111" s="1109"/>
      <c r="AS111" s="1109"/>
      <c r="AT111" s="1109"/>
      <c r="AU111" s="1109"/>
      <c r="AV111" s="1109"/>
      <c r="AW111" s="1109"/>
      <c r="AX111" s="2409">
        <v>10</v>
      </c>
      <c r="AY111" s="1109"/>
      <c r="AZ111" s="1109"/>
      <c r="BA111" s="1109"/>
      <c r="BB111" s="1108"/>
      <c r="BC111" s="2402"/>
      <c r="BD111" s="2402"/>
      <c r="BE111" s="2402"/>
      <c r="BF111" s="1109"/>
      <c r="BG111" s="1109"/>
      <c r="BH111" s="1109"/>
      <c r="BI111" s="1109"/>
      <c r="BJ111" s="1109"/>
      <c r="BK111" s="1109"/>
      <c r="BL111" s="1109"/>
      <c r="BM111" s="1109"/>
      <c r="BN111" s="1109"/>
      <c r="BO111" s="2165">
        <f t="shared" ref="BO111:BO129" si="11">$E111*AG111*AX111</f>
        <v>21218</v>
      </c>
      <c r="BP111" s="1109"/>
      <c r="BQ111" s="1109"/>
      <c r="BR111" s="1109"/>
      <c r="BS111" s="1109"/>
      <c r="BT111" s="2402"/>
      <c r="BU111" s="2402"/>
      <c r="BV111" s="2402"/>
      <c r="BW111" s="1109"/>
      <c r="BX111" s="1109"/>
      <c r="BY111" s="1109"/>
      <c r="BZ111" s="1109"/>
      <c r="CA111" s="1109"/>
      <c r="CB111" s="1109"/>
      <c r="CC111" s="1109"/>
      <c r="CD111" s="1109"/>
      <c r="CE111" s="1109"/>
      <c r="CF111" s="2407">
        <v>0.03</v>
      </c>
      <c r="CG111" s="2407"/>
      <c r="CH111" s="2407"/>
      <c r="CI111" s="2407"/>
      <c r="CJ111" s="1108"/>
      <c r="CK111" s="2402"/>
      <c r="CL111" s="2402"/>
      <c r="CM111" s="2402"/>
      <c r="CN111" s="1109"/>
      <c r="CO111" s="1109"/>
      <c r="CP111" s="1109"/>
      <c r="CQ111" s="1109"/>
      <c r="CR111" s="1109"/>
      <c r="CS111" s="1109"/>
      <c r="CT111" s="1109"/>
      <c r="CU111" s="1109"/>
      <c r="CV111" s="1109"/>
      <c r="CW111" s="1109"/>
      <c r="CX111" s="1109"/>
      <c r="CY111" s="1109"/>
      <c r="CZ111" s="1108"/>
      <c r="DA111" s="2402"/>
      <c r="DB111" s="2402"/>
      <c r="DC111" s="2402"/>
      <c r="DD111" s="1109"/>
      <c r="DE111" s="1109"/>
      <c r="DF111" s="1109"/>
      <c r="DG111" s="1109"/>
      <c r="DH111" s="1109"/>
      <c r="DI111" s="1109"/>
      <c r="DJ111" s="1109"/>
      <c r="DK111" s="1109"/>
    </row>
    <row r="112" spans="1:118" s="1577" customFormat="1">
      <c r="A112" s="1534">
        <v>4</v>
      </c>
      <c r="B112" s="2400" t="s">
        <v>1157</v>
      </c>
      <c r="C112" s="2400" t="s">
        <v>296</v>
      </c>
      <c r="D112" s="2400" t="s">
        <v>638</v>
      </c>
      <c r="E112" s="2410">
        <v>1</v>
      </c>
      <c r="F112" s="2401"/>
      <c r="G112" s="1361">
        <v>60</v>
      </c>
      <c r="H112" s="2401"/>
      <c r="I112" s="2402"/>
      <c r="J112" s="2402"/>
      <c r="K112" s="2402"/>
      <c r="L112" s="1109"/>
      <c r="M112" s="1109"/>
      <c r="N112" s="1109"/>
      <c r="O112" s="1109"/>
      <c r="P112" s="1109"/>
      <c r="Q112" s="1109"/>
      <c r="R112" s="1109"/>
      <c r="S112" s="1109"/>
      <c r="T112" s="2401"/>
      <c r="U112" s="2402"/>
      <c r="V112" s="2402"/>
      <c r="W112" s="2402"/>
      <c r="X112" s="1109"/>
      <c r="Y112" s="1109"/>
      <c r="Z112" s="1109"/>
      <c r="AA112" s="1109"/>
      <c r="AB112" s="1109"/>
      <c r="AC112" s="1109"/>
      <c r="AD112" s="1109"/>
      <c r="AE112" s="1109"/>
      <c r="AF112" s="1109"/>
      <c r="AG112" s="2420">
        <f>AF141*(1+CF112)</f>
        <v>1639.0905000000002</v>
      </c>
      <c r="AH112" s="1109"/>
      <c r="AI112" s="1109"/>
      <c r="AJ112" s="1109"/>
      <c r="AK112" s="1108"/>
      <c r="AL112" s="2403"/>
      <c r="AM112" s="2403"/>
      <c r="AN112" s="2403"/>
      <c r="AO112" s="1108"/>
      <c r="AP112" s="1109"/>
      <c r="AQ112" s="1109"/>
      <c r="AR112" s="1109"/>
      <c r="AS112" s="1109"/>
      <c r="AT112" s="1109"/>
      <c r="AU112" s="1109"/>
      <c r="AV112" s="1109"/>
      <c r="AW112" s="1109"/>
      <c r="AX112" s="2409">
        <v>22</v>
      </c>
      <c r="AY112" s="1109"/>
      <c r="AZ112" s="1109"/>
      <c r="BA112" s="1109"/>
      <c r="BB112" s="1108"/>
      <c r="BC112" s="2402"/>
      <c r="BD112" s="2402"/>
      <c r="BE112" s="2402"/>
      <c r="BF112" s="1109"/>
      <c r="BG112" s="1109"/>
      <c r="BH112" s="1109"/>
      <c r="BI112" s="1109"/>
      <c r="BJ112" s="1109"/>
      <c r="BK112" s="1109"/>
      <c r="BL112" s="1109"/>
      <c r="BM112" s="1109"/>
      <c r="BN112" s="1109"/>
      <c r="BO112" s="2165">
        <f t="shared" si="11"/>
        <v>36059.991000000009</v>
      </c>
      <c r="BP112" s="1109"/>
      <c r="BQ112" s="1109"/>
      <c r="BR112" s="1109"/>
      <c r="BS112" s="1109"/>
      <c r="BT112" s="2402"/>
      <c r="BU112" s="2402"/>
      <c r="BV112" s="2402"/>
      <c r="BW112" s="1109"/>
      <c r="BX112" s="1109"/>
      <c r="BY112" s="1109"/>
      <c r="BZ112" s="1109"/>
      <c r="CA112" s="1109"/>
      <c r="CB112" s="1109"/>
      <c r="CC112" s="1109"/>
      <c r="CD112" s="1109"/>
      <c r="CE112" s="1109"/>
      <c r="CF112" s="2407">
        <v>0.03</v>
      </c>
      <c r="CG112" s="2407"/>
      <c r="CH112" s="2407"/>
      <c r="CI112" s="2407"/>
      <c r="CJ112" s="1108"/>
      <c r="CK112" s="2402"/>
      <c r="CL112" s="2402"/>
      <c r="CM112" s="2402"/>
      <c r="CN112" s="1109"/>
      <c r="CO112" s="1109"/>
      <c r="CP112" s="1109"/>
      <c r="CQ112" s="1109"/>
      <c r="CR112" s="1109"/>
      <c r="CS112" s="1109"/>
      <c r="CT112" s="1109"/>
      <c r="CU112" s="1109"/>
      <c r="CV112" s="1109"/>
      <c r="CW112" s="1109"/>
      <c r="CX112" s="1109"/>
      <c r="CY112" s="1109"/>
      <c r="CZ112" s="1108"/>
      <c r="DA112" s="2402"/>
      <c r="DB112" s="2402"/>
      <c r="DC112" s="2402"/>
      <c r="DD112" s="1109"/>
      <c r="DE112" s="1109"/>
      <c r="DF112" s="1109"/>
      <c r="DG112" s="1109"/>
      <c r="DH112" s="1109"/>
      <c r="DI112" s="1109"/>
      <c r="DJ112" s="1109"/>
      <c r="DK112" s="1109"/>
    </row>
    <row r="113" spans="1:115" s="1577" customFormat="1">
      <c r="A113" s="1534">
        <v>9</v>
      </c>
      <c r="B113" s="2400" t="s">
        <v>593</v>
      </c>
      <c r="C113" s="2088" t="s">
        <v>329</v>
      </c>
      <c r="D113" s="2088" t="s">
        <v>638</v>
      </c>
      <c r="E113" s="2089">
        <v>0.5</v>
      </c>
      <c r="F113" s="2401"/>
      <c r="G113" s="1361">
        <v>60</v>
      </c>
      <c r="H113" s="2401"/>
      <c r="I113" s="2402"/>
      <c r="J113" s="2402"/>
      <c r="K113" s="2402"/>
      <c r="L113" s="1109"/>
      <c r="M113" s="1109"/>
      <c r="N113" s="1109"/>
      <c r="O113" s="1109"/>
      <c r="P113" s="1109"/>
      <c r="Q113" s="1109"/>
      <c r="R113" s="1109"/>
      <c r="S113" s="1109"/>
      <c r="T113" s="2401"/>
      <c r="U113" s="2402"/>
      <c r="V113" s="2402"/>
      <c r="W113" s="2402"/>
      <c r="X113" s="1109"/>
      <c r="Y113" s="1109"/>
      <c r="Z113" s="1109"/>
      <c r="AA113" s="1109"/>
      <c r="AB113" s="1109"/>
      <c r="AC113" s="1109"/>
      <c r="AD113" s="1109"/>
      <c r="AE113" s="1109"/>
      <c r="AF113" s="1109"/>
      <c r="AG113" s="2420">
        <f>AF155*(1+CF113)</f>
        <v>3194.0898932150753</v>
      </c>
      <c r="AH113" s="1109"/>
      <c r="AI113" s="1109"/>
      <c r="AJ113" s="1109"/>
      <c r="AK113" s="1108"/>
      <c r="AL113" s="2403"/>
      <c r="AM113" s="2403"/>
      <c r="AN113" s="2403"/>
      <c r="AO113" s="1108"/>
      <c r="AP113" s="1109"/>
      <c r="AQ113" s="1109"/>
      <c r="AR113" s="1109"/>
      <c r="AS113" s="1109"/>
      <c r="AT113" s="1109"/>
      <c r="AU113" s="1109"/>
      <c r="AV113" s="1109"/>
      <c r="AW113" s="1109"/>
      <c r="AX113" s="2409">
        <v>24</v>
      </c>
      <c r="AY113" s="1109"/>
      <c r="AZ113" s="1109"/>
      <c r="BA113" s="1109"/>
      <c r="BB113" s="1108"/>
      <c r="BC113" s="2402"/>
      <c r="BD113" s="2402"/>
      <c r="BE113" s="2402"/>
      <c r="BF113" s="1109"/>
      <c r="BG113" s="1109"/>
      <c r="BH113" s="1109"/>
      <c r="BI113" s="1109"/>
      <c r="BJ113" s="1109"/>
      <c r="BK113" s="1109"/>
      <c r="BL113" s="1109"/>
      <c r="BM113" s="1109"/>
      <c r="BN113" s="1109"/>
      <c r="BO113" s="2165">
        <f t="shared" si="11"/>
        <v>38329.078718580902</v>
      </c>
      <c r="BP113" s="1109"/>
      <c r="BQ113" s="1109"/>
      <c r="BR113" s="1109"/>
      <c r="BS113" s="1109"/>
      <c r="BT113" s="2402"/>
      <c r="BU113" s="2402"/>
      <c r="BV113" s="2402"/>
      <c r="BW113" s="1109"/>
      <c r="BX113" s="1109"/>
      <c r="BY113" s="1109"/>
      <c r="BZ113" s="1109"/>
      <c r="CA113" s="1109"/>
      <c r="CB113" s="1109"/>
      <c r="CC113" s="1109"/>
      <c r="CD113" s="1109"/>
      <c r="CE113" s="1109"/>
      <c r="CF113" s="2407">
        <v>0.03</v>
      </c>
      <c r="CG113" s="2407"/>
      <c r="CH113" s="2407"/>
      <c r="CI113" s="2407"/>
      <c r="CJ113" s="1108"/>
      <c r="CK113" s="2402"/>
      <c r="CL113" s="2402"/>
      <c r="CM113" s="2402"/>
      <c r="CN113" s="1109"/>
      <c r="CO113" s="1109"/>
      <c r="CP113" s="1109"/>
      <c r="CQ113" s="1109"/>
      <c r="CR113" s="1109"/>
      <c r="CS113" s="1109"/>
      <c r="CT113" s="1109"/>
      <c r="CU113" s="1109"/>
      <c r="CV113" s="1109"/>
      <c r="CW113" s="1109"/>
      <c r="CX113" s="1109"/>
      <c r="CY113" s="1109"/>
      <c r="CZ113" s="1108"/>
      <c r="DA113" s="2402"/>
      <c r="DB113" s="2402"/>
      <c r="DC113" s="2402"/>
      <c r="DD113" s="1109"/>
      <c r="DE113" s="1109"/>
      <c r="DF113" s="1109"/>
      <c r="DG113" s="1109"/>
      <c r="DH113" s="1109"/>
      <c r="DI113" s="1109"/>
      <c r="DJ113" s="1109"/>
      <c r="DK113" s="1109"/>
    </row>
    <row r="114" spans="1:115" s="769" customFormat="1">
      <c r="A114" s="1534">
        <v>14</v>
      </c>
      <c r="B114" s="2400" t="s">
        <v>1477</v>
      </c>
      <c r="C114" s="2400" t="s">
        <v>296</v>
      </c>
      <c r="D114" s="2400" t="s">
        <v>638</v>
      </c>
      <c r="E114" s="2410">
        <v>1</v>
      </c>
      <c r="F114" s="1768"/>
      <c r="G114" s="1361">
        <v>60</v>
      </c>
      <c r="H114" s="1503"/>
      <c r="I114" s="2415"/>
      <c r="J114" s="2415"/>
      <c r="K114" s="2415"/>
      <c r="L114" s="865"/>
      <c r="M114" s="865"/>
      <c r="N114" s="865"/>
      <c r="O114" s="865"/>
      <c r="P114" s="865"/>
      <c r="Q114" s="865"/>
      <c r="R114" s="865"/>
      <c r="S114" s="865"/>
      <c r="T114" s="1503"/>
      <c r="U114" s="2415"/>
      <c r="V114" s="2415"/>
      <c r="W114" s="2415"/>
      <c r="X114" s="865"/>
      <c r="Y114" s="865"/>
      <c r="Z114" s="865"/>
      <c r="AA114" s="865"/>
      <c r="AB114" s="865"/>
      <c r="AC114" s="865"/>
      <c r="AD114" s="865"/>
      <c r="AE114" s="865"/>
      <c r="AF114" s="865"/>
      <c r="AG114" s="2420">
        <f>AF144*(1+CF114)</f>
        <v>3194.0898932150753</v>
      </c>
      <c r="AH114" s="865"/>
      <c r="AI114" s="865"/>
      <c r="AJ114" s="865"/>
      <c r="AK114" s="862"/>
      <c r="AL114" s="1125"/>
      <c r="AM114" s="1125"/>
      <c r="AN114" s="1125"/>
      <c r="AO114" s="862"/>
      <c r="AP114" s="865"/>
      <c r="AQ114" s="865"/>
      <c r="AR114" s="865"/>
      <c r="AS114" s="865"/>
      <c r="AT114" s="865"/>
      <c r="AU114" s="865"/>
      <c r="AV114" s="865"/>
      <c r="AW114" s="865"/>
      <c r="AX114" s="719">
        <v>22</v>
      </c>
      <c r="AY114" s="865"/>
      <c r="AZ114" s="865"/>
      <c r="BA114" s="865"/>
      <c r="BB114" s="862"/>
      <c r="BC114" s="2415"/>
      <c r="BD114" s="2415"/>
      <c r="BE114" s="2415"/>
      <c r="BF114" s="865"/>
      <c r="BG114" s="865"/>
      <c r="BH114" s="865"/>
      <c r="BI114" s="865"/>
      <c r="BJ114" s="865"/>
      <c r="BK114" s="865"/>
      <c r="BL114" s="865"/>
      <c r="BM114" s="865"/>
      <c r="BN114" s="1579"/>
      <c r="BO114" s="2165">
        <f t="shared" si="11"/>
        <v>70269.977650731656</v>
      </c>
      <c r="BP114" s="865"/>
      <c r="BQ114" s="865"/>
      <c r="BR114" s="865"/>
      <c r="BS114" s="865"/>
      <c r="BT114" s="2415"/>
      <c r="BU114" s="2415"/>
      <c r="BV114" s="2415"/>
      <c r="BW114" s="865"/>
      <c r="BX114" s="865"/>
      <c r="BY114" s="865"/>
      <c r="BZ114" s="865"/>
      <c r="CA114" s="865"/>
      <c r="CB114" s="865"/>
      <c r="CC114" s="865"/>
      <c r="CD114" s="865"/>
      <c r="CE114" s="865"/>
      <c r="CF114" s="2407">
        <v>0.03</v>
      </c>
      <c r="CG114" s="1155"/>
      <c r="CH114" s="1155"/>
      <c r="CI114" s="1155"/>
      <c r="CJ114" s="862"/>
      <c r="CK114" s="2415"/>
      <c r="CL114" s="2415"/>
      <c r="CM114" s="2415"/>
      <c r="CN114" s="865"/>
      <c r="CO114" s="865"/>
      <c r="CP114" s="865"/>
      <c r="CQ114" s="865"/>
      <c r="CR114" s="865"/>
      <c r="CS114" s="865"/>
      <c r="CT114" s="865"/>
      <c r="CU114" s="865"/>
      <c r="CV114" s="865"/>
      <c r="CW114" s="865"/>
      <c r="CX114" s="865"/>
      <c r="CY114" s="865"/>
      <c r="CZ114" s="862"/>
      <c r="DA114" s="2415"/>
      <c r="DB114" s="2415"/>
      <c r="DC114" s="2415"/>
      <c r="DD114" s="865"/>
      <c r="DE114" s="865"/>
      <c r="DF114" s="865"/>
      <c r="DG114" s="865"/>
      <c r="DH114" s="865"/>
      <c r="DI114" s="865"/>
      <c r="DJ114" s="865"/>
      <c r="DK114" s="865"/>
    </row>
    <row r="115" spans="1:115" s="2135" customFormat="1">
      <c r="A115" s="1534">
        <v>2</v>
      </c>
      <c r="B115" s="2400" t="s">
        <v>326</v>
      </c>
      <c r="C115" s="2400" t="s">
        <v>296</v>
      </c>
      <c r="D115" s="2400" t="s">
        <v>638</v>
      </c>
      <c r="E115" s="2410">
        <v>1</v>
      </c>
      <c r="F115" s="1768"/>
      <c r="G115" s="1361">
        <v>60</v>
      </c>
      <c r="H115" s="1768"/>
      <c r="I115" s="2412"/>
      <c r="J115" s="2412"/>
      <c r="K115" s="2412"/>
      <c r="L115" s="1579"/>
      <c r="M115" s="1579"/>
      <c r="N115" s="1579"/>
      <c r="O115" s="1579"/>
      <c r="P115" s="1579"/>
      <c r="Q115" s="1579"/>
      <c r="R115" s="1579"/>
      <c r="S115" s="1579"/>
      <c r="T115" s="1768"/>
      <c r="U115" s="2412"/>
      <c r="V115" s="2412"/>
      <c r="W115" s="2412"/>
      <c r="X115" s="1579"/>
      <c r="Y115" s="1579"/>
      <c r="Z115" s="1579"/>
      <c r="AA115" s="1579"/>
      <c r="AB115" s="1579"/>
      <c r="AC115" s="1579"/>
      <c r="AD115" s="1579"/>
      <c r="AE115" s="1579"/>
      <c r="AF115" s="1579"/>
      <c r="AG115" s="2420">
        <f>AF152*(1+CF115)</f>
        <v>2060</v>
      </c>
      <c r="AH115" s="1579"/>
      <c r="AI115" s="1579"/>
      <c r="AJ115" s="1579"/>
      <c r="AK115" s="1470"/>
      <c r="AL115" s="2413"/>
      <c r="AM115" s="2413"/>
      <c r="AN115" s="2413"/>
      <c r="AO115" s="1470"/>
      <c r="AP115" s="1579"/>
      <c r="AQ115" s="1579"/>
      <c r="AR115" s="1579"/>
      <c r="AS115" s="1579"/>
      <c r="AT115" s="1579"/>
      <c r="AU115" s="1579"/>
      <c r="AV115" s="1579"/>
      <c r="AW115" s="1579"/>
      <c r="AX115" s="2409">
        <v>24</v>
      </c>
      <c r="AY115" s="1579"/>
      <c r="AZ115" s="1579"/>
      <c r="BA115" s="1579"/>
      <c r="BB115" s="1470"/>
      <c r="BC115" s="2412"/>
      <c r="BD115" s="2412"/>
      <c r="BE115" s="2412"/>
      <c r="BF115" s="1579"/>
      <c r="BG115" s="1579"/>
      <c r="BH115" s="1579"/>
      <c r="BI115" s="1579"/>
      <c r="BJ115" s="1579"/>
      <c r="BK115" s="1579"/>
      <c r="BL115" s="1579"/>
      <c r="BM115" s="1579"/>
      <c r="BN115" s="1579"/>
      <c r="BO115" s="2414">
        <f t="shared" si="11"/>
        <v>49440</v>
      </c>
      <c r="BP115" s="1579"/>
      <c r="BQ115" s="1579"/>
      <c r="BR115" s="1579"/>
      <c r="BS115" s="1579"/>
      <c r="BT115" s="2412"/>
      <c r="BU115" s="2412"/>
      <c r="BV115" s="2412"/>
      <c r="BW115" s="1579"/>
      <c r="BX115" s="1579"/>
      <c r="BY115" s="1579"/>
      <c r="BZ115" s="1579"/>
      <c r="CA115" s="1579"/>
      <c r="CB115" s="1579"/>
      <c r="CC115" s="1579"/>
      <c r="CD115" s="1579"/>
      <c r="CE115" s="1579"/>
      <c r="CF115" s="2407">
        <v>0.03</v>
      </c>
      <c r="CG115" s="2407"/>
      <c r="CH115" s="2407"/>
      <c r="CI115" s="2407"/>
      <c r="CJ115" s="1470"/>
      <c r="CK115" s="2412"/>
      <c r="CL115" s="2412"/>
      <c r="CM115" s="2412"/>
      <c r="CN115" s="1579"/>
      <c r="CO115" s="1579"/>
      <c r="CP115" s="1579"/>
      <c r="CQ115" s="1579"/>
      <c r="CR115" s="1579"/>
      <c r="CS115" s="1579"/>
      <c r="CT115" s="1579"/>
      <c r="CU115" s="1579"/>
      <c r="CV115" s="1579"/>
      <c r="CW115" s="1579"/>
      <c r="CX115" s="1579"/>
      <c r="CY115" s="1579"/>
      <c r="CZ115" s="1470"/>
      <c r="DA115" s="2412"/>
      <c r="DB115" s="2412"/>
      <c r="DC115" s="2412"/>
      <c r="DD115" s="1579"/>
      <c r="DE115" s="1579"/>
      <c r="DF115" s="1579"/>
      <c r="DG115" s="1579"/>
      <c r="DH115" s="1579"/>
      <c r="DI115" s="1579"/>
      <c r="DJ115" s="1579"/>
      <c r="DK115" s="1579"/>
    </row>
    <row r="116" spans="1:115">
      <c r="A116" s="1534">
        <v>1</v>
      </c>
      <c r="B116" s="2400" t="s">
        <v>1659</v>
      </c>
      <c r="C116" s="2400" t="s">
        <v>296</v>
      </c>
      <c r="D116" s="2400" t="s">
        <v>638</v>
      </c>
      <c r="E116" s="2410">
        <v>1</v>
      </c>
      <c r="F116" s="1768"/>
      <c r="G116" s="1361">
        <v>60</v>
      </c>
      <c r="H116" s="1"/>
      <c r="I116" s="464"/>
      <c r="J116" s="464"/>
      <c r="K116" s="464"/>
      <c r="L116" s="84"/>
      <c r="M116" s="84"/>
      <c r="N116" s="84"/>
      <c r="O116" s="84"/>
      <c r="P116" s="84"/>
      <c r="Q116" s="84"/>
      <c r="R116" s="84"/>
      <c r="S116" s="84"/>
      <c r="T116" s="1"/>
      <c r="U116" s="464"/>
      <c r="V116" s="464"/>
      <c r="W116" s="464"/>
      <c r="X116" s="84"/>
      <c r="Y116" s="84"/>
      <c r="Z116" s="84"/>
      <c r="AA116" s="84"/>
      <c r="AB116" s="84"/>
      <c r="AC116" s="84"/>
      <c r="AD116" s="84"/>
      <c r="AE116" s="84"/>
      <c r="AF116" s="84"/>
      <c r="AG116" s="2420">
        <v>1000</v>
      </c>
      <c r="AH116" s="84"/>
      <c r="AI116" s="84"/>
      <c r="AJ116" s="84"/>
      <c r="AK116" s="6"/>
      <c r="AL116" s="275"/>
      <c r="AM116" s="275"/>
      <c r="AN116" s="275"/>
      <c r="AO116" s="6"/>
      <c r="AP116" s="84"/>
      <c r="AQ116" s="84"/>
      <c r="AR116" s="84"/>
      <c r="AS116" s="84"/>
      <c r="AT116" s="84"/>
      <c r="AU116" s="84"/>
      <c r="AV116" s="84"/>
      <c r="AW116" s="84"/>
      <c r="AX116" s="719">
        <v>13</v>
      </c>
      <c r="AY116" s="84"/>
      <c r="AZ116" s="84"/>
      <c r="BA116" s="84"/>
      <c r="BB116" s="6"/>
      <c r="BC116" s="464"/>
      <c r="BD116" s="464"/>
      <c r="BE116" s="464"/>
      <c r="BF116" s="84"/>
      <c r="BG116" s="84"/>
      <c r="BH116" s="84"/>
      <c r="BI116" s="84"/>
      <c r="BJ116" s="84"/>
      <c r="BK116" s="84"/>
      <c r="BL116" s="84"/>
      <c r="BM116" s="84"/>
      <c r="BN116" s="1109"/>
      <c r="BO116" s="2165">
        <f>$E116*AG116*AX116</f>
        <v>13000</v>
      </c>
      <c r="BP116" s="84"/>
      <c r="BQ116" s="84"/>
      <c r="BR116" s="84"/>
      <c r="BS116" s="84"/>
      <c r="BT116" s="464"/>
      <c r="BU116" s="464"/>
      <c r="BV116" s="464"/>
      <c r="BW116" s="84"/>
      <c r="BX116" s="84"/>
      <c r="BY116" s="84"/>
      <c r="BZ116" s="84"/>
      <c r="CA116" s="84"/>
      <c r="CB116" s="84"/>
      <c r="CC116" s="84"/>
      <c r="CD116" s="84"/>
      <c r="CE116" s="84"/>
      <c r="CF116" s="2407">
        <v>0.03</v>
      </c>
      <c r="CG116" s="1155"/>
      <c r="CH116" s="1155"/>
      <c r="CI116" s="1155"/>
      <c r="CJ116" s="6"/>
      <c r="CK116" s="464"/>
      <c r="CL116" s="464"/>
      <c r="CM116" s="464"/>
      <c r="CN116" s="84"/>
      <c r="CO116" s="84"/>
      <c r="CP116" s="84"/>
      <c r="CQ116" s="84"/>
      <c r="CR116" s="84"/>
      <c r="CS116" s="84"/>
      <c r="CT116" s="84"/>
      <c r="CU116" s="84"/>
      <c r="CV116" s="84"/>
      <c r="CW116" s="84"/>
      <c r="CX116" s="84"/>
      <c r="CY116" s="84"/>
      <c r="CZ116" s="6"/>
      <c r="DA116" s="464"/>
      <c r="DB116" s="464"/>
      <c r="DC116" s="464"/>
      <c r="DD116" s="84"/>
      <c r="DE116" s="84"/>
      <c r="DF116" s="84"/>
      <c r="DG116" s="84"/>
      <c r="DH116" s="84"/>
      <c r="DI116" s="84"/>
      <c r="DJ116" s="84"/>
      <c r="DK116" s="84"/>
    </row>
    <row r="117" spans="1:115">
      <c r="A117" s="1534">
        <v>5</v>
      </c>
      <c r="B117" s="2400" t="s">
        <v>1640</v>
      </c>
      <c r="C117" s="2400" t="s">
        <v>296</v>
      </c>
      <c r="D117" s="2400" t="s">
        <v>638</v>
      </c>
      <c r="E117" s="2410">
        <v>1</v>
      </c>
      <c r="F117" s="1768"/>
      <c r="G117" s="1361">
        <v>60</v>
      </c>
      <c r="H117" s="1"/>
      <c r="I117" s="464"/>
      <c r="J117" s="464"/>
      <c r="K117" s="464"/>
      <c r="L117" s="84"/>
      <c r="M117" s="84"/>
      <c r="N117" s="84"/>
      <c r="O117" s="84"/>
      <c r="P117" s="84"/>
      <c r="Q117" s="84"/>
      <c r="R117" s="84"/>
      <c r="S117" s="84"/>
      <c r="T117" s="1"/>
      <c r="U117" s="464"/>
      <c r="V117" s="464"/>
      <c r="W117" s="464"/>
      <c r="X117" s="84"/>
      <c r="Y117" s="84"/>
      <c r="Z117" s="84"/>
      <c r="AA117" s="84"/>
      <c r="AB117" s="84"/>
      <c r="AC117" s="84"/>
      <c r="AD117" s="84"/>
      <c r="AE117" s="84"/>
      <c r="AF117" s="84"/>
      <c r="AG117" s="2420">
        <f>AF147*(1+CF117)</f>
        <v>1688.2632150000004</v>
      </c>
      <c r="AH117" s="84"/>
      <c r="AI117" s="84"/>
      <c r="AJ117" s="84"/>
      <c r="AK117" s="6"/>
      <c r="AL117" s="275"/>
      <c r="AM117" s="275"/>
      <c r="AN117" s="275"/>
      <c r="AO117" s="6"/>
      <c r="AP117" s="84"/>
      <c r="AQ117" s="84"/>
      <c r="AR117" s="84"/>
      <c r="AS117" s="84"/>
      <c r="AT117" s="84"/>
      <c r="AU117" s="84"/>
      <c r="AV117" s="84"/>
      <c r="AW117" s="84"/>
      <c r="AX117" s="719">
        <v>22</v>
      </c>
      <c r="AY117" s="84"/>
      <c r="AZ117" s="84"/>
      <c r="BA117" s="84"/>
      <c r="BB117" s="6"/>
      <c r="BC117" s="464"/>
      <c r="BD117" s="464"/>
      <c r="BE117" s="464"/>
      <c r="BF117" s="84"/>
      <c r="BG117" s="84"/>
      <c r="BH117" s="84"/>
      <c r="BI117" s="84"/>
      <c r="BJ117" s="84"/>
      <c r="BK117" s="84"/>
      <c r="BL117" s="84"/>
      <c r="BM117" s="84"/>
      <c r="BN117" s="1109"/>
      <c r="BO117" s="2165">
        <f t="shared" si="11"/>
        <v>37141.790730000008</v>
      </c>
      <c r="BP117" s="84"/>
      <c r="BQ117" s="84"/>
      <c r="BR117" s="84"/>
      <c r="BS117" s="84"/>
      <c r="BT117" s="464"/>
      <c r="BU117" s="464"/>
      <c r="BV117" s="464"/>
      <c r="BW117" s="84"/>
      <c r="BX117" s="84"/>
      <c r="BY117" s="84"/>
      <c r="BZ117" s="84"/>
      <c r="CA117" s="84"/>
      <c r="CB117" s="84"/>
      <c r="CC117" s="84"/>
      <c r="CD117" s="84"/>
      <c r="CE117" s="84"/>
      <c r="CF117" s="2407">
        <v>0.03</v>
      </c>
      <c r="CG117" s="1155"/>
      <c r="CH117" s="1155"/>
      <c r="CI117" s="1155"/>
      <c r="CJ117" s="6"/>
      <c r="CK117" s="464"/>
      <c r="CL117" s="464"/>
      <c r="CM117" s="464"/>
      <c r="CN117" s="84"/>
      <c r="CO117" s="84"/>
      <c r="CP117" s="84"/>
      <c r="CQ117" s="84"/>
      <c r="CR117" s="84"/>
      <c r="CS117" s="84"/>
      <c r="CT117" s="84"/>
      <c r="CU117" s="84"/>
      <c r="CV117" s="84"/>
      <c r="CW117" s="84"/>
      <c r="CX117" s="84"/>
      <c r="CY117" s="84"/>
      <c r="CZ117" s="6"/>
      <c r="DA117" s="464"/>
      <c r="DB117" s="464"/>
      <c r="DC117" s="464"/>
      <c r="DD117" s="84"/>
      <c r="DE117" s="84"/>
      <c r="DF117" s="84"/>
      <c r="DG117" s="84"/>
      <c r="DH117" s="84"/>
      <c r="DI117" s="84"/>
      <c r="DJ117" s="84"/>
      <c r="DK117" s="84"/>
    </row>
    <row r="118" spans="1:115" s="1577" customFormat="1">
      <c r="A118" s="1534">
        <v>4</v>
      </c>
      <c r="B118" s="2400" t="s">
        <v>1641</v>
      </c>
      <c r="C118" s="2088" t="s">
        <v>296</v>
      </c>
      <c r="D118" s="2088" t="s">
        <v>638</v>
      </c>
      <c r="E118" s="2089">
        <v>1</v>
      </c>
      <c r="F118" s="2401"/>
      <c r="G118" s="1361">
        <v>60</v>
      </c>
      <c r="H118" s="2401"/>
      <c r="I118" s="2402"/>
      <c r="J118" s="2402"/>
      <c r="K118" s="2402"/>
      <c r="L118" s="1109"/>
      <c r="M118" s="1109"/>
      <c r="N118" s="1109"/>
      <c r="O118" s="1109"/>
      <c r="P118" s="1109"/>
      <c r="Q118" s="1109"/>
      <c r="R118" s="1109"/>
      <c r="S118" s="1109"/>
      <c r="T118" s="2401"/>
      <c r="U118" s="2402"/>
      <c r="V118" s="2402"/>
      <c r="W118" s="2402"/>
      <c r="X118" s="1109"/>
      <c r="Y118" s="1109"/>
      <c r="Z118" s="1109"/>
      <c r="AA118" s="1109"/>
      <c r="AB118" s="1109"/>
      <c r="AC118" s="1109"/>
      <c r="AD118" s="1109"/>
      <c r="AE118" s="1109"/>
      <c r="AF118" s="1109"/>
      <c r="AG118" s="2420">
        <f>AF142*(1+CF118)</f>
        <v>1639.0905000000002</v>
      </c>
      <c r="AH118" s="1109"/>
      <c r="AI118" s="1109"/>
      <c r="AJ118" s="1109"/>
      <c r="AK118" s="1108"/>
      <c r="AL118" s="2403"/>
      <c r="AM118" s="2403"/>
      <c r="AN118" s="2403"/>
      <c r="AO118" s="1108"/>
      <c r="AP118" s="1109"/>
      <c r="AQ118" s="1109"/>
      <c r="AR118" s="1109"/>
      <c r="AS118" s="1109"/>
      <c r="AT118" s="1109"/>
      <c r="AU118" s="1109"/>
      <c r="AV118" s="1109"/>
      <c r="AW118" s="1109"/>
      <c r="AX118" s="2409">
        <v>22</v>
      </c>
      <c r="AY118" s="1109"/>
      <c r="AZ118" s="1109"/>
      <c r="BA118" s="1109"/>
      <c r="BB118" s="1108"/>
      <c r="BC118" s="2402"/>
      <c r="BD118" s="2402"/>
      <c r="BE118" s="2402"/>
      <c r="BF118" s="1109"/>
      <c r="BG118" s="1109"/>
      <c r="BH118" s="1109"/>
      <c r="BI118" s="1109"/>
      <c r="BJ118" s="1109"/>
      <c r="BK118" s="1109"/>
      <c r="BL118" s="1109"/>
      <c r="BM118" s="1109"/>
      <c r="BN118" s="1109"/>
      <c r="BO118" s="2165">
        <f>$E118*AG118*AX118</f>
        <v>36059.991000000009</v>
      </c>
      <c r="BP118" s="1109"/>
      <c r="BQ118" s="1109"/>
      <c r="BR118" s="1109"/>
      <c r="BS118" s="1109"/>
      <c r="BT118" s="2402"/>
      <c r="BU118" s="2402"/>
      <c r="BV118" s="2402"/>
      <c r="BW118" s="1109"/>
      <c r="BX118" s="1109"/>
      <c r="BY118" s="1109"/>
      <c r="BZ118" s="1109"/>
      <c r="CA118" s="1109"/>
      <c r="CB118" s="1109"/>
      <c r="CC118" s="1109"/>
      <c r="CD118" s="1109"/>
      <c r="CE118" s="1109"/>
      <c r="CF118" s="2407">
        <v>0.03</v>
      </c>
      <c r="CG118" s="2407"/>
      <c r="CH118" s="2407"/>
      <c r="CI118" s="2407"/>
      <c r="CJ118" s="1108"/>
      <c r="CK118" s="2402"/>
      <c r="CL118" s="2402"/>
      <c r="CM118" s="2402"/>
      <c r="CN118" s="1109"/>
      <c r="CO118" s="1109"/>
      <c r="CP118" s="1109"/>
      <c r="CQ118" s="1109"/>
      <c r="CR118" s="1109"/>
      <c r="CS118" s="1109"/>
      <c r="CT118" s="1109"/>
      <c r="CU118" s="1109"/>
      <c r="CV118" s="1109"/>
      <c r="CW118" s="1109"/>
      <c r="CX118" s="1109"/>
      <c r="CY118" s="1109"/>
      <c r="CZ118" s="1108"/>
      <c r="DA118" s="2402"/>
      <c r="DB118" s="2402"/>
      <c r="DC118" s="2402"/>
      <c r="DD118" s="1109"/>
      <c r="DE118" s="1109"/>
      <c r="DF118" s="1109"/>
      <c r="DG118" s="1109"/>
      <c r="DH118" s="1109"/>
      <c r="DI118" s="1109"/>
      <c r="DJ118" s="1109"/>
      <c r="DK118" s="1109"/>
    </row>
    <row r="119" spans="1:115">
      <c r="A119" s="1534">
        <v>1</v>
      </c>
      <c r="B119" s="2400" t="s">
        <v>554</v>
      </c>
      <c r="C119" s="2088" t="s">
        <v>296</v>
      </c>
      <c r="D119" s="2088" t="s">
        <v>638</v>
      </c>
      <c r="E119" s="2089">
        <v>1</v>
      </c>
      <c r="F119" s="2401"/>
      <c r="G119" s="1361">
        <v>30</v>
      </c>
      <c r="H119" s="1"/>
      <c r="I119" s="464"/>
      <c r="J119" s="464"/>
      <c r="K119" s="464"/>
      <c r="L119" s="84"/>
      <c r="M119" s="84"/>
      <c r="N119" s="84"/>
      <c r="O119" s="84"/>
      <c r="P119" s="84"/>
      <c r="Q119" s="84"/>
      <c r="R119" s="84"/>
      <c r="S119" s="84"/>
      <c r="T119" s="1"/>
      <c r="U119" s="464"/>
      <c r="V119" s="464"/>
      <c r="W119" s="464"/>
      <c r="X119" s="84"/>
      <c r="Y119" s="84"/>
      <c r="Z119" s="84"/>
      <c r="AA119" s="84"/>
      <c r="AB119" s="84"/>
      <c r="AC119" s="84"/>
      <c r="AD119" s="84"/>
      <c r="AE119" s="84"/>
      <c r="AF119" s="84"/>
      <c r="AG119" s="2420">
        <v>1000</v>
      </c>
      <c r="AH119" s="84"/>
      <c r="AI119" s="84"/>
      <c r="AJ119" s="84"/>
      <c r="AK119" s="6"/>
      <c r="AL119" s="275"/>
      <c r="AM119" s="275"/>
      <c r="AN119" s="275"/>
      <c r="AO119" s="6"/>
      <c r="AP119" s="84"/>
      <c r="AQ119" s="84"/>
      <c r="AR119" s="84"/>
      <c r="AS119" s="84"/>
      <c r="AT119" s="84"/>
      <c r="AU119" s="84"/>
      <c r="AV119" s="84"/>
      <c r="AW119" s="84"/>
      <c r="AX119" s="719">
        <v>23</v>
      </c>
      <c r="AY119" s="84"/>
      <c r="AZ119" s="84"/>
      <c r="BA119" s="84"/>
      <c r="BB119" s="6"/>
      <c r="BC119" s="464"/>
      <c r="BD119" s="464"/>
      <c r="BE119" s="464"/>
      <c r="BF119" s="84"/>
      <c r="BG119" s="84"/>
      <c r="BH119" s="84"/>
      <c r="BI119" s="84"/>
      <c r="BJ119" s="84"/>
      <c r="BK119" s="84"/>
      <c r="BL119" s="84"/>
      <c r="BM119" s="84"/>
      <c r="BN119" s="1109"/>
      <c r="BO119" s="2165">
        <f t="shared" si="11"/>
        <v>23000</v>
      </c>
      <c r="BP119" s="84"/>
      <c r="BQ119" s="84"/>
      <c r="BR119" s="84"/>
      <c r="BS119" s="84"/>
      <c r="BT119" s="464"/>
      <c r="BU119" s="464"/>
      <c r="BV119" s="464"/>
      <c r="BW119" s="84"/>
      <c r="BX119" s="84"/>
      <c r="BY119" s="84"/>
      <c r="BZ119" s="84"/>
      <c r="CA119" s="84"/>
      <c r="CB119" s="84"/>
      <c r="CC119" s="84"/>
      <c r="CD119" s="84"/>
      <c r="CE119" s="84"/>
      <c r="CF119" s="2407">
        <v>0.03</v>
      </c>
      <c r="CG119" s="1155"/>
      <c r="CH119" s="1155"/>
      <c r="CI119" s="1155"/>
      <c r="CJ119" s="6"/>
      <c r="CK119" s="464"/>
      <c r="CL119" s="464"/>
      <c r="CM119" s="464"/>
      <c r="CN119" s="84"/>
      <c r="CO119" s="84"/>
      <c r="CP119" s="84"/>
      <c r="CQ119" s="84"/>
      <c r="CR119" s="84"/>
      <c r="CS119" s="84"/>
      <c r="CT119" s="84"/>
      <c r="CU119" s="84"/>
      <c r="CV119" s="84"/>
      <c r="CW119" s="84"/>
      <c r="CX119" s="84"/>
      <c r="CY119" s="84"/>
      <c r="CZ119" s="6"/>
      <c r="DA119" s="464"/>
      <c r="DB119" s="464"/>
      <c r="DC119" s="464"/>
      <c r="DD119" s="84"/>
      <c r="DE119" s="84"/>
      <c r="DF119" s="84"/>
      <c r="DG119" s="84"/>
      <c r="DH119" s="84"/>
      <c r="DI119" s="84"/>
      <c r="DJ119" s="84"/>
      <c r="DK119" s="84"/>
    </row>
    <row r="120" spans="1:115" s="1577" customFormat="1">
      <c r="A120" s="1534">
        <v>11</v>
      </c>
      <c r="B120" s="2400" t="s">
        <v>920</v>
      </c>
      <c r="C120" s="2088" t="s">
        <v>296</v>
      </c>
      <c r="D120" s="2088" t="s">
        <v>638</v>
      </c>
      <c r="E120" s="2089">
        <v>1</v>
      </c>
      <c r="F120" s="1359"/>
      <c r="G120" s="1361">
        <v>60</v>
      </c>
      <c r="H120" s="2401"/>
      <c r="I120" s="2402"/>
      <c r="J120" s="2402"/>
      <c r="K120" s="2402"/>
      <c r="L120" s="1109"/>
      <c r="M120" s="1109"/>
      <c r="N120" s="1109"/>
      <c r="O120" s="1109"/>
      <c r="P120" s="1109"/>
      <c r="Q120" s="1109"/>
      <c r="R120" s="1109"/>
      <c r="S120" s="1109"/>
      <c r="T120" s="2401"/>
      <c r="U120" s="2402"/>
      <c r="V120" s="2402"/>
      <c r="W120" s="2402"/>
      <c r="X120" s="1109"/>
      <c r="Y120" s="1109"/>
      <c r="Z120" s="1109"/>
      <c r="AA120" s="1109"/>
      <c r="AB120" s="1109"/>
      <c r="AC120" s="1109"/>
      <c r="AD120" s="1109"/>
      <c r="AE120" s="1109"/>
      <c r="AF120" s="1109"/>
      <c r="AG120" s="2420">
        <f>AF143*(1+CF120)</f>
        <v>3194.0898932150753</v>
      </c>
      <c r="AH120" s="1109"/>
      <c r="AI120" s="1109"/>
      <c r="AJ120" s="1109"/>
      <c r="AK120" s="1108"/>
      <c r="AL120" s="2403"/>
      <c r="AM120" s="2403"/>
      <c r="AN120" s="2403"/>
      <c r="AO120" s="1108"/>
      <c r="AP120" s="1109"/>
      <c r="AQ120" s="1109"/>
      <c r="AR120" s="1109"/>
      <c r="AS120" s="1109"/>
      <c r="AT120" s="1109"/>
      <c r="AU120" s="1109"/>
      <c r="AV120" s="1109"/>
      <c r="AW120" s="1109"/>
      <c r="AX120" s="2409">
        <v>24</v>
      </c>
      <c r="AY120" s="1109"/>
      <c r="AZ120" s="1109"/>
      <c r="BA120" s="1109"/>
      <c r="BB120" s="1108"/>
      <c r="BC120" s="2402"/>
      <c r="BD120" s="2402"/>
      <c r="BE120" s="2402"/>
      <c r="BF120" s="1109"/>
      <c r="BG120" s="1109"/>
      <c r="BH120" s="1109"/>
      <c r="BI120" s="1109"/>
      <c r="BJ120" s="1109"/>
      <c r="BK120" s="1109"/>
      <c r="BL120" s="1109"/>
      <c r="BM120" s="1109"/>
      <c r="BN120" s="1109"/>
      <c r="BO120" s="2165">
        <f t="shared" si="11"/>
        <v>76658.157437161804</v>
      </c>
      <c r="BP120" s="1109"/>
      <c r="BQ120" s="1109"/>
      <c r="BR120" s="1109"/>
      <c r="BS120" s="1109"/>
      <c r="BT120" s="2402"/>
      <c r="BU120" s="2402"/>
      <c r="BV120" s="2402"/>
      <c r="BW120" s="1109"/>
      <c r="BX120" s="1109"/>
      <c r="BY120" s="1109"/>
      <c r="BZ120" s="1109"/>
      <c r="CA120" s="1109"/>
      <c r="CB120" s="1109"/>
      <c r="CC120" s="1109"/>
      <c r="CD120" s="1109"/>
      <c r="CE120" s="1109"/>
      <c r="CF120" s="2407">
        <v>0.03</v>
      </c>
      <c r="CG120" s="2407"/>
      <c r="CH120" s="2407"/>
      <c r="CI120" s="2407"/>
      <c r="CJ120" s="1108"/>
      <c r="CK120" s="2402"/>
      <c r="CL120" s="2402"/>
      <c r="CM120" s="2402"/>
      <c r="CN120" s="1109"/>
      <c r="CO120" s="1109"/>
      <c r="CP120" s="1109"/>
      <c r="CQ120" s="1109"/>
      <c r="CR120" s="1109"/>
      <c r="CS120" s="1109"/>
      <c r="CT120" s="1109"/>
      <c r="CU120" s="1109"/>
      <c r="CV120" s="1109"/>
      <c r="CW120" s="1109"/>
      <c r="CX120" s="1109"/>
      <c r="CY120" s="1109"/>
      <c r="CZ120" s="1108"/>
      <c r="DA120" s="2402"/>
      <c r="DB120" s="2402"/>
      <c r="DC120" s="2402"/>
      <c r="DD120" s="1109"/>
      <c r="DE120" s="1109"/>
      <c r="DF120" s="1109"/>
      <c r="DG120" s="1109"/>
      <c r="DH120" s="1109"/>
      <c r="DI120" s="1109"/>
      <c r="DJ120" s="1109"/>
      <c r="DK120" s="1109"/>
    </row>
    <row r="121" spans="1:115" s="1577" customFormat="1">
      <c r="A121" s="1534">
        <v>5</v>
      </c>
      <c r="B121" s="2400" t="s">
        <v>1644</v>
      </c>
      <c r="C121" s="2088" t="s">
        <v>296</v>
      </c>
      <c r="D121" s="2088" t="s">
        <v>638</v>
      </c>
      <c r="E121" s="2089">
        <v>1</v>
      </c>
      <c r="F121" s="1359"/>
      <c r="G121" s="1361">
        <v>60</v>
      </c>
      <c r="H121" s="2401"/>
      <c r="I121" s="2402"/>
      <c r="J121" s="2402"/>
      <c r="K121" s="2402"/>
      <c r="L121" s="1109"/>
      <c r="M121" s="1109"/>
      <c r="N121" s="1109"/>
      <c r="O121" s="1109"/>
      <c r="P121" s="1109"/>
      <c r="Q121" s="1109"/>
      <c r="R121" s="1109"/>
      <c r="S121" s="1109"/>
      <c r="T121" s="2401"/>
      <c r="U121" s="2402"/>
      <c r="V121" s="2402"/>
      <c r="W121" s="2402"/>
      <c r="X121" s="1109"/>
      <c r="Y121" s="1109"/>
      <c r="Z121" s="1109"/>
      <c r="AA121" s="1109"/>
      <c r="AB121" s="1109"/>
      <c r="AC121" s="1109"/>
      <c r="AD121" s="1109"/>
      <c r="AE121" s="1109"/>
      <c r="AF121" s="1109"/>
      <c r="AG121" s="2420">
        <f>AF146*(1+CF121)</f>
        <v>2813.7720250000002</v>
      </c>
      <c r="AH121" s="1109"/>
      <c r="AI121" s="1109"/>
      <c r="AJ121" s="1109"/>
      <c r="AK121" s="1108"/>
      <c r="AL121" s="2403"/>
      <c r="AM121" s="2403"/>
      <c r="AN121" s="2403"/>
      <c r="AO121" s="1108"/>
      <c r="AP121" s="1109"/>
      <c r="AQ121" s="1109"/>
      <c r="AR121" s="1109"/>
      <c r="AS121" s="1109"/>
      <c r="AT121" s="1109"/>
      <c r="AU121" s="1109"/>
      <c r="AV121" s="1109"/>
      <c r="AW121" s="1109"/>
      <c r="AX121" s="2409">
        <v>24</v>
      </c>
      <c r="AY121" s="1109"/>
      <c r="AZ121" s="1109"/>
      <c r="BA121" s="1109"/>
      <c r="BB121" s="1108"/>
      <c r="BC121" s="2402"/>
      <c r="BD121" s="2402"/>
      <c r="BE121" s="2402"/>
      <c r="BF121" s="1109"/>
      <c r="BG121" s="1109"/>
      <c r="BH121" s="1109"/>
      <c r="BI121" s="1109"/>
      <c r="BJ121" s="1109"/>
      <c r="BK121" s="1109"/>
      <c r="BL121" s="1109"/>
      <c r="BM121" s="1109"/>
      <c r="BN121" s="1109"/>
      <c r="BO121" s="2165">
        <f t="shared" si="11"/>
        <v>67530.528600000005</v>
      </c>
      <c r="BP121" s="1109"/>
      <c r="BQ121" s="1109"/>
      <c r="BR121" s="1109"/>
      <c r="BS121" s="1109"/>
      <c r="BT121" s="2402"/>
      <c r="BU121" s="2402"/>
      <c r="BV121" s="2402"/>
      <c r="BW121" s="1109"/>
      <c r="BX121" s="1109"/>
      <c r="BY121" s="1109"/>
      <c r="BZ121" s="1109"/>
      <c r="CA121" s="1109"/>
      <c r="CB121" s="1109"/>
      <c r="CC121" s="1109"/>
      <c r="CD121" s="1109"/>
      <c r="CE121" s="1109"/>
      <c r="CF121" s="2407">
        <v>0.03</v>
      </c>
      <c r="CG121" s="2407"/>
      <c r="CH121" s="2407"/>
      <c r="CI121" s="2407"/>
      <c r="CJ121" s="1108"/>
      <c r="CK121" s="2402"/>
      <c r="CL121" s="2402"/>
      <c r="CM121" s="2402"/>
      <c r="CN121" s="1109"/>
      <c r="CO121" s="1109"/>
      <c r="CP121" s="1109"/>
      <c r="CQ121" s="1109"/>
      <c r="CR121" s="1109"/>
      <c r="CS121" s="1109"/>
      <c r="CT121" s="1109"/>
      <c r="CU121" s="1109"/>
      <c r="CV121" s="1109"/>
      <c r="CW121" s="1109"/>
      <c r="CX121" s="1109"/>
      <c r="CY121" s="1109"/>
      <c r="CZ121" s="1108"/>
      <c r="DA121" s="2402"/>
      <c r="DB121" s="2402"/>
      <c r="DC121" s="2402"/>
      <c r="DD121" s="1109"/>
      <c r="DE121" s="1109"/>
      <c r="DF121" s="1109"/>
      <c r="DG121" s="1109"/>
      <c r="DH121" s="1109"/>
      <c r="DI121" s="1109"/>
      <c r="DJ121" s="1109"/>
      <c r="DK121" s="1109"/>
    </row>
    <row r="122" spans="1:115">
      <c r="A122" s="1534">
        <v>2</v>
      </c>
      <c r="B122" s="1470" t="s">
        <v>1660</v>
      </c>
      <c r="C122" s="2088" t="s">
        <v>296</v>
      </c>
      <c r="D122" s="2088" t="s">
        <v>638</v>
      </c>
      <c r="E122" s="2089">
        <v>1</v>
      </c>
      <c r="F122" s="2401"/>
      <c r="G122" s="1361">
        <v>60</v>
      </c>
      <c r="H122" s="1"/>
      <c r="I122" s="464"/>
      <c r="J122" s="464"/>
      <c r="K122" s="464"/>
      <c r="L122" s="84"/>
      <c r="M122" s="84"/>
      <c r="N122" s="84"/>
      <c r="O122" s="84"/>
      <c r="P122" s="84"/>
      <c r="Q122" s="84"/>
      <c r="R122" s="84"/>
      <c r="S122" s="84"/>
      <c r="T122" s="1"/>
      <c r="U122" s="464"/>
      <c r="V122" s="464"/>
      <c r="W122" s="464"/>
      <c r="X122" s="84"/>
      <c r="Y122" s="84"/>
      <c r="Z122" s="84"/>
      <c r="AA122" s="84"/>
      <c r="AB122" s="84"/>
      <c r="AC122" s="84"/>
      <c r="AD122" s="84"/>
      <c r="AE122" s="84"/>
      <c r="AF122" s="84"/>
      <c r="AG122" s="2420">
        <f>AF156*(1+CF122)</f>
        <v>1545</v>
      </c>
      <c r="AH122" s="84"/>
      <c r="AI122" s="84"/>
      <c r="AJ122" s="84"/>
      <c r="AK122" s="6"/>
      <c r="AL122" s="275"/>
      <c r="AM122" s="275"/>
      <c r="AN122" s="275"/>
      <c r="AO122" s="6"/>
      <c r="AP122" s="84"/>
      <c r="AQ122" s="84"/>
      <c r="AR122" s="84"/>
      <c r="AS122" s="84"/>
      <c r="AT122" s="84"/>
      <c r="AU122" s="84"/>
      <c r="AV122" s="84"/>
      <c r="AW122" s="84"/>
      <c r="AX122" s="719">
        <v>13</v>
      </c>
      <c r="AY122" s="84"/>
      <c r="AZ122" s="84"/>
      <c r="BA122" s="84"/>
      <c r="BB122" s="6"/>
      <c r="BC122" s="464"/>
      <c r="BD122" s="464"/>
      <c r="BE122" s="464"/>
      <c r="BF122" s="84"/>
      <c r="BG122" s="84"/>
      <c r="BH122" s="84"/>
      <c r="BI122" s="84"/>
      <c r="BJ122" s="84"/>
      <c r="BK122" s="84"/>
      <c r="BL122" s="84"/>
      <c r="BM122" s="84"/>
      <c r="BN122" s="1109"/>
      <c r="BO122" s="2165">
        <f t="shared" si="11"/>
        <v>20085</v>
      </c>
      <c r="BP122" s="84"/>
      <c r="BQ122" s="84"/>
      <c r="BR122" s="84"/>
      <c r="BS122" s="84"/>
      <c r="BT122" s="464"/>
      <c r="BU122" s="464"/>
      <c r="BV122" s="464"/>
      <c r="BW122" s="84"/>
      <c r="BX122" s="84"/>
      <c r="BY122" s="84"/>
      <c r="BZ122" s="84"/>
      <c r="CA122" s="84"/>
      <c r="CB122" s="84"/>
      <c r="CC122" s="84"/>
      <c r="CD122" s="84"/>
      <c r="CE122" s="84"/>
      <c r="CF122" s="2407">
        <v>0.03</v>
      </c>
      <c r="CG122" s="1155"/>
      <c r="CH122" s="1155"/>
      <c r="CI122" s="1155"/>
      <c r="CJ122" s="6"/>
      <c r="CK122" s="464"/>
      <c r="CL122" s="464"/>
      <c r="CM122" s="464"/>
      <c r="CN122" s="84"/>
      <c r="CO122" s="84"/>
      <c r="CP122" s="84"/>
      <c r="CQ122" s="84"/>
      <c r="CR122" s="84"/>
      <c r="CS122" s="84"/>
      <c r="CT122" s="84"/>
      <c r="CU122" s="84"/>
      <c r="CV122" s="84"/>
      <c r="CW122" s="84"/>
      <c r="CX122" s="84"/>
      <c r="CY122" s="84"/>
      <c r="CZ122" s="6"/>
      <c r="DA122" s="464"/>
      <c r="DB122" s="464"/>
      <c r="DC122" s="464"/>
      <c r="DD122" s="84"/>
      <c r="DE122" s="84"/>
      <c r="DF122" s="84"/>
      <c r="DG122" s="84"/>
      <c r="DH122" s="84"/>
      <c r="DI122" s="84"/>
      <c r="DJ122" s="84"/>
      <c r="DK122" s="84"/>
    </row>
    <row r="123" spans="1:115" s="1577" customFormat="1">
      <c r="A123" s="1534">
        <v>2</v>
      </c>
      <c r="B123" s="2400" t="s">
        <v>294</v>
      </c>
      <c r="C123" s="1108" t="s">
        <v>303</v>
      </c>
      <c r="D123" s="2088" t="s">
        <v>638</v>
      </c>
      <c r="E123" s="2089">
        <v>0.5</v>
      </c>
      <c r="F123" s="1359"/>
      <c r="G123" s="1361">
        <v>60</v>
      </c>
      <c r="H123" s="2401"/>
      <c r="I123" s="2402"/>
      <c r="J123" s="2402"/>
      <c r="K123" s="2402"/>
      <c r="L123" s="1109"/>
      <c r="M123" s="1109"/>
      <c r="N123" s="1109"/>
      <c r="O123" s="1109"/>
      <c r="P123" s="1109"/>
      <c r="Q123" s="1109"/>
      <c r="R123" s="1109"/>
      <c r="S123" s="1109"/>
      <c r="T123" s="2401"/>
      <c r="U123" s="2402"/>
      <c r="V123" s="2402"/>
      <c r="W123" s="2402"/>
      <c r="X123" s="1109"/>
      <c r="Y123" s="1109"/>
      <c r="Z123" s="1109"/>
      <c r="AA123" s="1109"/>
      <c r="AB123" s="1109"/>
      <c r="AC123" s="1109"/>
      <c r="AD123" s="1109"/>
      <c r="AE123" s="1109"/>
      <c r="AF123" s="1109"/>
      <c r="AG123" s="2420">
        <f>AE179*(1+CF123)</f>
        <v>1545</v>
      </c>
      <c r="AH123" s="1109"/>
      <c r="AI123" s="1109"/>
      <c r="AJ123" s="1109"/>
      <c r="AK123" s="1108"/>
      <c r="AL123" s="2403"/>
      <c r="AM123" s="2403"/>
      <c r="AN123" s="2403"/>
      <c r="AO123" s="1108"/>
      <c r="AP123" s="1109"/>
      <c r="AQ123" s="1109"/>
      <c r="AR123" s="1109"/>
      <c r="AS123" s="1109"/>
      <c r="AT123" s="1109"/>
      <c r="AU123" s="1109"/>
      <c r="AV123" s="1109"/>
      <c r="AW123" s="1109"/>
      <c r="AX123" s="2409">
        <v>13</v>
      </c>
      <c r="AY123" s="1109"/>
      <c r="AZ123" s="1109"/>
      <c r="BA123" s="1109"/>
      <c r="BB123" s="1108"/>
      <c r="BC123" s="2402"/>
      <c r="BD123" s="2402"/>
      <c r="BE123" s="2402"/>
      <c r="BF123" s="1109"/>
      <c r="BG123" s="1109"/>
      <c r="BH123" s="1109"/>
      <c r="BI123" s="1109"/>
      <c r="BJ123" s="1109"/>
      <c r="BK123" s="1109"/>
      <c r="BL123" s="1109"/>
      <c r="BM123" s="1109"/>
      <c r="BN123" s="1109"/>
      <c r="BO123" s="2165">
        <f t="shared" si="11"/>
        <v>10042.5</v>
      </c>
      <c r="BP123" s="1109"/>
      <c r="BQ123" s="1109"/>
      <c r="BR123" s="1109"/>
      <c r="BS123" s="1109"/>
      <c r="BT123" s="2402"/>
      <c r="BU123" s="2402"/>
      <c r="BV123" s="2402"/>
      <c r="BW123" s="1109"/>
      <c r="BX123" s="1109"/>
      <c r="BY123" s="1109"/>
      <c r="BZ123" s="1109"/>
      <c r="CA123" s="1109"/>
      <c r="CB123" s="1109"/>
      <c r="CC123" s="1109"/>
      <c r="CD123" s="1109"/>
      <c r="CE123" s="1109"/>
      <c r="CF123" s="2407">
        <v>0.03</v>
      </c>
      <c r="CG123" s="2407"/>
      <c r="CH123" s="2407"/>
      <c r="CI123" s="2407"/>
      <c r="CJ123" s="1108"/>
      <c r="CK123" s="2402"/>
      <c r="CL123" s="2402"/>
      <c r="CM123" s="2402"/>
      <c r="CN123" s="1109"/>
      <c r="CO123" s="1109"/>
      <c r="CP123" s="1109"/>
      <c r="CQ123" s="1109"/>
      <c r="CR123" s="1109"/>
      <c r="CS123" s="1109"/>
      <c r="CT123" s="1109"/>
      <c r="CU123" s="1109"/>
      <c r="CV123" s="1109"/>
      <c r="CW123" s="1109"/>
      <c r="CX123" s="1109"/>
      <c r="CY123" s="1109"/>
      <c r="CZ123" s="1108"/>
      <c r="DA123" s="2402"/>
      <c r="DB123" s="2402"/>
      <c r="DC123" s="2402"/>
      <c r="DD123" s="1109"/>
      <c r="DE123" s="1109"/>
      <c r="DF123" s="1109"/>
      <c r="DG123" s="1109"/>
      <c r="DH123" s="1109"/>
      <c r="DI123" s="1109"/>
      <c r="DJ123" s="1109"/>
      <c r="DK123" s="1109"/>
    </row>
    <row r="124" spans="1:115" s="1577" customFormat="1">
      <c r="A124" s="1534">
        <v>1</v>
      </c>
      <c r="B124" s="2400" t="s">
        <v>1575</v>
      </c>
      <c r="C124" s="2400" t="s">
        <v>1666</v>
      </c>
      <c r="D124" s="2400" t="s">
        <v>595</v>
      </c>
      <c r="E124" s="2089">
        <v>0.5</v>
      </c>
      <c r="F124" s="2401"/>
      <c r="G124" s="1361">
        <v>60</v>
      </c>
      <c r="H124" s="2401"/>
      <c r="I124" s="2402"/>
      <c r="J124" s="2402"/>
      <c r="K124" s="2402"/>
      <c r="L124" s="1109"/>
      <c r="M124" s="1109"/>
      <c r="N124" s="1109"/>
      <c r="O124" s="1109"/>
      <c r="P124" s="1109"/>
      <c r="Q124" s="1109"/>
      <c r="R124" s="1109"/>
      <c r="S124" s="1109"/>
      <c r="T124" s="2401"/>
      <c r="U124" s="2402"/>
      <c r="V124" s="2402"/>
      <c r="W124" s="2402"/>
      <c r="X124" s="1109"/>
      <c r="Y124" s="1109"/>
      <c r="Z124" s="1109"/>
      <c r="AA124" s="1109"/>
      <c r="AB124" s="1109"/>
      <c r="AC124" s="1109"/>
      <c r="AD124" s="1109"/>
      <c r="AE124" s="1109"/>
      <c r="AF124" s="1109"/>
      <c r="AG124" s="2420">
        <v>1000</v>
      </c>
      <c r="AH124" s="1109"/>
      <c r="AI124" s="1109"/>
      <c r="AJ124" s="1109"/>
      <c r="AK124" s="1108"/>
      <c r="AL124" s="2403"/>
      <c r="AM124" s="2403"/>
      <c r="AN124" s="2403"/>
      <c r="AO124" s="1108"/>
      <c r="AP124" s="1109"/>
      <c r="AQ124" s="1109"/>
      <c r="AR124" s="1109"/>
      <c r="AS124" s="1109"/>
      <c r="AT124" s="1109"/>
      <c r="AU124" s="1109"/>
      <c r="AV124" s="1109"/>
      <c r="AW124" s="1109"/>
      <c r="AX124" s="2409">
        <v>13</v>
      </c>
      <c r="AY124" s="1109"/>
      <c r="AZ124" s="1109"/>
      <c r="BA124" s="1109"/>
      <c r="BB124" s="1108"/>
      <c r="BC124" s="2402"/>
      <c r="BD124" s="2402"/>
      <c r="BE124" s="2402"/>
      <c r="BF124" s="1109"/>
      <c r="BG124" s="1109"/>
      <c r="BH124" s="1109"/>
      <c r="BI124" s="1109"/>
      <c r="BJ124" s="1109"/>
      <c r="BK124" s="1109"/>
      <c r="BL124" s="1109"/>
      <c r="BM124" s="1109"/>
      <c r="BN124" s="1109"/>
      <c r="BO124" s="2165">
        <f t="shared" si="11"/>
        <v>6500</v>
      </c>
      <c r="BP124" s="1109"/>
      <c r="BQ124" s="1109"/>
      <c r="BR124" s="1109"/>
      <c r="BS124" s="1109"/>
      <c r="BT124" s="2402"/>
      <c r="BU124" s="2402"/>
      <c r="BV124" s="2402"/>
      <c r="BW124" s="1109"/>
      <c r="BX124" s="1109"/>
      <c r="BY124" s="1109"/>
      <c r="BZ124" s="1109"/>
      <c r="CA124" s="1109"/>
      <c r="CB124" s="1109"/>
      <c r="CC124" s="1109"/>
      <c r="CD124" s="1109"/>
      <c r="CE124" s="1109"/>
      <c r="CF124" s="2407">
        <v>0.03</v>
      </c>
      <c r="CG124" s="2407"/>
      <c r="CH124" s="2407"/>
      <c r="CI124" s="2407"/>
      <c r="CJ124" s="1108"/>
      <c r="CK124" s="2402"/>
      <c r="CL124" s="2402"/>
      <c r="CM124" s="2402"/>
      <c r="CN124" s="1109"/>
      <c r="CO124" s="1109"/>
      <c r="CP124" s="1109"/>
      <c r="CQ124" s="1109"/>
      <c r="CR124" s="1109"/>
      <c r="CS124" s="1109"/>
      <c r="CT124" s="1109"/>
      <c r="CU124" s="1109"/>
      <c r="CV124" s="1109"/>
      <c r="CW124" s="1109"/>
      <c r="CX124" s="1109"/>
      <c r="CY124" s="1109"/>
      <c r="CZ124" s="1108"/>
      <c r="DA124" s="2402"/>
      <c r="DB124" s="2402"/>
      <c r="DC124" s="2402"/>
      <c r="DD124" s="1109"/>
      <c r="DE124" s="1109"/>
      <c r="DF124" s="1109"/>
      <c r="DG124" s="1109"/>
      <c r="DH124" s="1109"/>
      <c r="DI124" s="1109"/>
      <c r="DJ124" s="1109"/>
      <c r="DK124" s="1109"/>
    </row>
    <row r="125" spans="1:115" s="1577" customFormat="1">
      <c r="A125" s="1534">
        <v>2</v>
      </c>
      <c r="B125" s="2400" t="s">
        <v>1544</v>
      </c>
      <c r="C125" s="2088" t="s">
        <v>296</v>
      </c>
      <c r="D125" s="2088" t="s">
        <v>595</v>
      </c>
      <c r="E125" s="2089">
        <v>1</v>
      </c>
      <c r="F125" s="2401"/>
      <c r="G125" s="1361">
        <v>60</v>
      </c>
      <c r="H125" s="2401"/>
      <c r="I125" s="2402"/>
      <c r="J125" s="2402"/>
      <c r="K125" s="2402"/>
      <c r="L125" s="1109"/>
      <c r="M125" s="1109"/>
      <c r="N125" s="1109"/>
      <c r="O125" s="1109"/>
      <c r="P125" s="1109"/>
      <c r="Q125" s="1109"/>
      <c r="R125" s="1109"/>
      <c r="S125" s="1109"/>
      <c r="T125" s="2401"/>
      <c r="U125" s="2402"/>
      <c r="V125" s="2402"/>
      <c r="W125" s="2402"/>
      <c r="X125" s="1109"/>
      <c r="Y125" s="1109"/>
      <c r="Z125" s="1109"/>
      <c r="AA125" s="1109"/>
      <c r="AB125" s="1109"/>
      <c r="AC125" s="1109"/>
      <c r="AD125" s="1109"/>
      <c r="AE125" s="1109"/>
      <c r="AF125" s="1109"/>
      <c r="AG125" s="2420">
        <f>AF154*(1+CF125)</f>
        <v>1030</v>
      </c>
      <c r="AH125" s="1109"/>
      <c r="AI125" s="1109"/>
      <c r="AJ125" s="1109"/>
      <c r="AK125" s="1108"/>
      <c r="AL125" s="2403"/>
      <c r="AM125" s="2403"/>
      <c r="AN125" s="2403"/>
      <c r="AO125" s="1108"/>
      <c r="AP125" s="1109"/>
      <c r="AQ125" s="1109"/>
      <c r="AR125" s="1109"/>
      <c r="AS125" s="1109"/>
      <c r="AT125" s="1109"/>
      <c r="AU125" s="1109"/>
      <c r="AV125" s="1109"/>
      <c r="AW125" s="1109"/>
      <c r="AX125" s="2409">
        <v>22</v>
      </c>
      <c r="AY125" s="1109"/>
      <c r="AZ125" s="1109"/>
      <c r="BA125" s="1109"/>
      <c r="BB125" s="1108"/>
      <c r="BC125" s="2402"/>
      <c r="BD125" s="2402"/>
      <c r="BE125" s="2402"/>
      <c r="BF125" s="1109"/>
      <c r="BG125" s="1109"/>
      <c r="BH125" s="1109"/>
      <c r="BI125" s="1109"/>
      <c r="BJ125" s="1109"/>
      <c r="BK125" s="1109"/>
      <c r="BL125" s="1109"/>
      <c r="BM125" s="1109"/>
      <c r="BN125" s="1109"/>
      <c r="BO125" s="2165">
        <f t="shared" si="11"/>
        <v>22660</v>
      </c>
      <c r="BP125" s="1109"/>
      <c r="BQ125" s="1109"/>
      <c r="BR125" s="1109"/>
      <c r="BS125" s="1109"/>
      <c r="BT125" s="2402"/>
      <c r="BU125" s="2402"/>
      <c r="BV125" s="2402"/>
      <c r="BW125" s="1109"/>
      <c r="BX125" s="1109"/>
      <c r="BY125" s="1109"/>
      <c r="BZ125" s="1109"/>
      <c r="CA125" s="1109"/>
      <c r="CB125" s="1109"/>
      <c r="CC125" s="1109"/>
      <c r="CD125" s="1109"/>
      <c r="CE125" s="1109"/>
      <c r="CF125" s="2407">
        <v>0.03</v>
      </c>
      <c r="CG125" s="2407"/>
      <c r="CH125" s="2407"/>
      <c r="CI125" s="2407"/>
      <c r="CJ125" s="1108"/>
      <c r="CK125" s="2402"/>
      <c r="CL125" s="2402"/>
      <c r="CM125" s="2402"/>
      <c r="CN125" s="1109"/>
      <c r="CO125" s="1109"/>
      <c r="CP125" s="1109"/>
      <c r="CQ125" s="1109"/>
      <c r="CR125" s="1109"/>
      <c r="CS125" s="1109"/>
      <c r="CT125" s="1109"/>
      <c r="CU125" s="1109"/>
      <c r="CV125" s="1109"/>
      <c r="CW125" s="1109"/>
      <c r="CX125" s="1109"/>
      <c r="CY125" s="1109"/>
      <c r="CZ125" s="1108"/>
      <c r="DA125" s="2402"/>
      <c r="DB125" s="2402"/>
      <c r="DC125" s="2402"/>
      <c r="DD125" s="1109"/>
      <c r="DE125" s="1109"/>
      <c r="DF125" s="1109"/>
      <c r="DG125" s="1109"/>
      <c r="DH125" s="1109"/>
      <c r="DI125" s="1109"/>
      <c r="DJ125" s="1109"/>
      <c r="DK125" s="1109"/>
    </row>
    <row r="126" spans="1:115">
      <c r="A126" s="1534">
        <v>3</v>
      </c>
      <c r="B126" s="2400" t="s">
        <v>1664</v>
      </c>
      <c r="C126" s="2400" t="s">
        <v>1666</v>
      </c>
      <c r="D126" s="2400" t="s">
        <v>595</v>
      </c>
      <c r="E126" s="2410">
        <v>0.5</v>
      </c>
      <c r="F126" s="2401"/>
      <c r="G126" s="1361">
        <v>60</v>
      </c>
      <c r="H126" s="1"/>
      <c r="I126" s="464"/>
      <c r="J126" s="464"/>
      <c r="K126" s="464"/>
      <c r="L126" s="84"/>
      <c r="M126" s="84"/>
      <c r="N126" s="84"/>
      <c r="O126" s="84"/>
      <c r="P126" s="84"/>
      <c r="Q126" s="84"/>
      <c r="R126" s="84"/>
      <c r="S126" s="84"/>
      <c r="T126" s="1"/>
      <c r="U126" s="464"/>
      <c r="V126" s="464"/>
      <c r="W126" s="464"/>
      <c r="X126" s="84"/>
      <c r="Y126" s="84"/>
      <c r="Z126" s="84"/>
      <c r="AA126" s="84"/>
      <c r="AB126" s="84"/>
      <c r="AC126" s="84"/>
      <c r="AD126" s="84"/>
      <c r="AE126" s="84"/>
      <c r="AF126" s="84"/>
      <c r="AG126" s="2420">
        <f>AF158*(1+CF126)</f>
        <v>1591.3500000000001</v>
      </c>
      <c r="AH126" s="84"/>
      <c r="AI126" s="84"/>
      <c r="AJ126" s="84"/>
      <c r="AK126" s="6"/>
      <c r="AL126" s="275"/>
      <c r="AM126" s="275"/>
      <c r="AN126" s="275"/>
      <c r="AO126" s="6"/>
      <c r="AP126" s="84"/>
      <c r="AQ126" s="84"/>
      <c r="AR126" s="84"/>
      <c r="AS126" s="84"/>
      <c r="AT126" s="84"/>
      <c r="AU126" s="84"/>
      <c r="AV126" s="84"/>
      <c r="AW126" s="84"/>
      <c r="AX126" s="719">
        <v>22</v>
      </c>
      <c r="AY126" s="84"/>
      <c r="AZ126" s="84"/>
      <c r="BA126" s="84"/>
      <c r="BB126" s="6"/>
      <c r="BC126" s="464"/>
      <c r="BD126" s="464"/>
      <c r="BE126" s="464"/>
      <c r="BF126" s="84"/>
      <c r="BG126" s="84"/>
      <c r="BH126" s="84"/>
      <c r="BI126" s="84"/>
      <c r="BJ126" s="84"/>
      <c r="BK126" s="84"/>
      <c r="BL126" s="84"/>
      <c r="BM126" s="84"/>
      <c r="BN126" s="1109"/>
      <c r="BO126" s="2165">
        <f t="shared" si="11"/>
        <v>17504.850000000002</v>
      </c>
      <c r="BP126" s="84"/>
      <c r="BQ126" s="84"/>
      <c r="BR126" s="84"/>
      <c r="BS126" s="84"/>
      <c r="BT126" s="464"/>
      <c r="BU126" s="464"/>
      <c r="BV126" s="464"/>
      <c r="BW126" s="84"/>
      <c r="BX126" s="84"/>
      <c r="BY126" s="84"/>
      <c r="BZ126" s="84"/>
      <c r="CA126" s="84"/>
      <c r="CB126" s="84"/>
      <c r="CC126" s="84"/>
      <c r="CD126" s="84"/>
      <c r="CE126" s="84"/>
      <c r="CF126" s="2407">
        <v>0.03</v>
      </c>
      <c r="CG126" s="1155"/>
      <c r="CH126" s="1155"/>
      <c r="CI126" s="1155"/>
      <c r="CJ126" s="6"/>
      <c r="CK126" s="464"/>
      <c r="CL126" s="464"/>
      <c r="CM126" s="464"/>
      <c r="CN126" s="84"/>
      <c r="CO126" s="84"/>
      <c r="CP126" s="84"/>
      <c r="CQ126" s="84"/>
      <c r="CR126" s="84"/>
      <c r="CS126" s="84"/>
      <c r="CT126" s="84"/>
      <c r="CU126" s="84"/>
      <c r="CV126" s="84"/>
      <c r="CW126" s="84"/>
      <c r="CX126" s="84"/>
      <c r="CY126" s="84"/>
      <c r="CZ126" s="6"/>
      <c r="DA126" s="464"/>
      <c r="DB126" s="464"/>
      <c r="DC126" s="464"/>
      <c r="DD126" s="84"/>
      <c r="DE126" s="84"/>
      <c r="DF126" s="84"/>
      <c r="DG126" s="84"/>
      <c r="DH126" s="84"/>
      <c r="DI126" s="84"/>
      <c r="DJ126" s="84"/>
      <c r="DK126" s="84"/>
    </row>
    <row r="127" spans="1:115" s="1577" customFormat="1">
      <c r="A127" s="1534">
        <v>1</v>
      </c>
      <c r="B127" s="2400" t="s">
        <v>1652</v>
      </c>
      <c r="C127" s="2400" t="s">
        <v>1666</v>
      </c>
      <c r="D127" s="2400" t="s">
        <v>595</v>
      </c>
      <c r="E127" s="2410">
        <v>0.5</v>
      </c>
      <c r="F127" s="2401"/>
      <c r="G127" s="1361">
        <v>60</v>
      </c>
      <c r="H127" s="2401"/>
      <c r="I127" s="2402"/>
      <c r="J127" s="2402"/>
      <c r="K127" s="2402"/>
      <c r="L127" s="1109"/>
      <c r="M127" s="1109"/>
      <c r="N127" s="1109"/>
      <c r="O127" s="1109"/>
      <c r="P127" s="1109"/>
      <c r="Q127" s="1109"/>
      <c r="R127" s="1109"/>
      <c r="S127" s="1109"/>
      <c r="T127" s="2401"/>
      <c r="U127" s="2402"/>
      <c r="V127" s="2402"/>
      <c r="W127" s="2402"/>
      <c r="X127" s="1109"/>
      <c r="Y127" s="1109"/>
      <c r="Z127" s="1109"/>
      <c r="AA127" s="1109"/>
      <c r="AB127" s="1109"/>
      <c r="AC127" s="1109"/>
      <c r="AD127" s="1109"/>
      <c r="AE127" s="1109"/>
      <c r="AF127" s="1109"/>
      <c r="AG127" s="2420">
        <v>1000</v>
      </c>
      <c r="AH127" s="1109"/>
      <c r="AI127" s="1109"/>
      <c r="AJ127" s="1109"/>
      <c r="AK127" s="1108"/>
      <c r="AL127" s="2403"/>
      <c r="AM127" s="2403"/>
      <c r="AN127" s="2403"/>
      <c r="AO127" s="1108"/>
      <c r="AP127" s="1109"/>
      <c r="AQ127" s="1109"/>
      <c r="AR127" s="1109"/>
      <c r="AS127" s="1109"/>
      <c r="AT127" s="1109"/>
      <c r="AU127" s="1109"/>
      <c r="AV127" s="1109"/>
      <c r="AW127" s="1109"/>
      <c r="AX127" s="2409">
        <v>22</v>
      </c>
      <c r="AY127" s="1109"/>
      <c r="AZ127" s="1109"/>
      <c r="BA127" s="1109"/>
      <c r="BB127" s="1108"/>
      <c r="BC127" s="2402"/>
      <c r="BD127" s="2402"/>
      <c r="BE127" s="2402"/>
      <c r="BF127" s="1109"/>
      <c r="BG127" s="1109"/>
      <c r="BH127" s="1109"/>
      <c r="BI127" s="1109"/>
      <c r="BJ127" s="1109"/>
      <c r="BK127" s="1109"/>
      <c r="BL127" s="1109"/>
      <c r="BM127" s="1109"/>
      <c r="BN127" s="1109"/>
      <c r="BO127" s="2165">
        <f t="shared" si="11"/>
        <v>11000</v>
      </c>
      <c r="BP127" s="1109"/>
      <c r="BQ127" s="1109"/>
      <c r="BR127" s="1109"/>
      <c r="BS127" s="1109"/>
      <c r="BT127" s="2402"/>
      <c r="BU127" s="2402"/>
      <c r="BV127" s="2402"/>
      <c r="BW127" s="1109"/>
      <c r="BX127" s="1109"/>
      <c r="BY127" s="1109"/>
      <c r="BZ127" s="1109"/>
      <c r="CA127" s="1109"/>
      <c r="CB127" s="1109"/>
      <c r="CC127" s="1109"/>
      <c r="CD127" s="1109"/>
      <c r="CE127" s="1109"/>
      <c r="CF127" s="2407">
        <v>0.03</v>
      </c>
      <c r="CG127" s="2407"/>
      <c r="CH127" s="2407"/>
      <c r="CI127" s="2407"/>
      <c r="CJ127" s="1108"/>
      <c r="CK127" s="2402"/>
      <c r="CL127" s="2402"/>
      <c r="CM127" s="2402"/>
      <c r="CN127" s="1109"/>
      <c r="CO127" s="1109"/>
      <c r="CP127" s="1109"/>
      <c r="CQ127" s="1109"/>
      <c r="CR127" s="1109"/>
      <c r="CS127" s="1109"/>
      <c r="CT127" s="1109"/>
      <c r="CU127" s="1109"/>
      <c r="CV127" s="1109"/>
      <c r="CW127" s="1109"/>
      <c r="CX127" s="1109"/>
      <c r="CY127" s="1109"/>
      <c r="CZ127" s="1108"/>
      <c r="DA127" s="2402"/>
      <c r="DB127" s="2402"/>
      <c r="DC127" s="2402"/>
      <c r="DD127" s="1109"/>
      <c r="DE127" s="1109"/>
      <c r="DF127" s="1109"/>
      <c r="DG127" s="1109"/>
      <c r="DH127" s="1109"/>
      <c r="DI127" s="1109"/>
      <c r="DJ127" s="1109"/>
      <c r="DK127" s="1109"/>
    </row>
    <row r="128" spans="1:115">
      <c r="A128" s="1534">
        <v>1</v>
      </c>
      <c r="B128" s="2400" t="s">
        <v>1653</v>
      </c>
      <c r="C128" s="2400" t="s">
        <v>1666</v>
      </c>
      <c r="D128" s="2400" t="s">
        <v>595</v>
      </c>
      <c r="E128" s="2410">
        <v>0.5</v>
      </c>
      <c r="F128" s="2401"/>
      <c r="G128" s="1361">
        <v>60</v>
      </c>
      <c r="H128" s="1"/>
      <c r="I128" s="464"/>
      <c r="J128" s="464"/>
      <c r="K128" s="464"/>
      <c r="L128" s="84"/>
      <c r="M128" s="84"/>
      <c r="N128" s="84"/>
      <c r="O128" s="84"/>
      <c r="P128" s="84"/>
      <c r="Q128" s="84"/>
      <c r="R128" s="84"/>
      <c r="S128" s="84"/>
      <c r="T128" s="1"/>
      <c r="U128" s="464"/>
      <c r="V128" s="464"/>
      <c r="W128" s="464"/>
      <c r="X128" s="84"/>
      <c r="Y128" s="84"/>
      <c r="Z128" s="84"/>
      <c r="AA128" s="84"/>
      <c r="AB128" s="84"/>
      <c r="AC128" s="84"/>
      <c r="AD128" s="84"/>
      <c r="AE128" s="84"/>
      <c r="AF128" s="84"/>
      <c r="AG128" s="2420">
        <v>1000</v>
      </c>
      <c r="AH128" s="84"/>
      <c r="AI128" s="84"/>
      <c r="AJ128" s="84"/>
      <c r="AK128" s="6"/>
      <c r="AL128" s="275"/>
      <c r="AM128" s="275"/>
      <c r="AN128" s="275"/>
      <c r="AO128" s="6"/>
      <c r="AP128" s="84"/>
      <c r="AQ128" s="84"/>
      <c r="AR128" s="84"/>
      <c r="AS128" s="84"/>
      <c r="AT128" s="84"/>
      <c r="AU128" s="84"/>
      <c r="AV128" s="84"/>
      <c r="AW128" s="84"/>
      <c r="AX128" s="719">
        <v>22</v>
      </c>
      <c r="AY128" s="84"/>
      <c r="AZ128" s="84"/>
      <c r="BA128" s="84"/>
      <c r="BB128" s="6"/>
      <c r="BC128" s="464"/>
      <c r="BD128" s="464"/>
      <c r="BE128" s="464"/>
      <c r="BF128" s="84"/>
      <c r="BG128" s="84"/>
      <c r="BH128" s="84"/>
      <c r="BI128" s="84"/>
      <c r="BJ128" s="84"/>
      <c r="BK128" s="84"/>
      <c r="BL128" s="84"/>
      <c r="BM128" s="84"/>
      <c r="BN128" s="1109"/>
      <c r="BO128" s="2165">
        <f t="shared" si="11"/>
        <v>11000</v>
      </c>
      <c r="BP128" s="84"/>
      <c r="BQ128" s="84"/>
      <c r="BR128" s="84"/>
      <c r="BS128" s="84"/>
      <c r="BT128" s="464"/>
      <c r="BU128" s="464"/>
      <c r="BV128" s="464"/>
      <c r="BW128" s="84"/>
      <c r="BX128" s="84"/>
      <c r="BY128" s="84"/>
      <c r="BZ128" s="84"/>
      <c r="CA128" s="84"/>
      <c r="CB128" s="84"/>
      <c r="CC128" s="84"/>
      <c r="CD128" s="84"/>
      <c r="CE128" s="84"/>
      <c r="CF128" s="2407">
        <v>0.03</v>
      </c>
      <c r="CG128" s="1155"/>
      <c r="CH128" s="1155"/>
      <c r="CI128" s="1155"/>
      <c r="CJ128" s="6"/>
      <c r="CK128" s="464"/>
      <c r="CL128" s="464"/>
      <c r="CM128" s="464"/>
      <c r="CN128" s="84"/>
      <c r="CO128" s="84"/>
      <c r="CP128" s="84"/>
      <c r="CQ128" s="84"/>
      <c r="CR128" s="84"/>
      <c r="CS128" s="84"/>
      <c r="CT128" s="84"/>
      <c r="CU128" s="84"/>
      <c r="CV128" s="84"/>
      <c r="CW128" s="84"/>
      <c r="CX128" s="84"/>
      <c r="CY128" s="84"/>
      <c r="CZ128" s="6"/>
      <c r="DA128" s="464"/>
      <c r="DB128" s="464"/>
      <c r="DC128" s="464"/>
      <c r="DD128" s="84"/>
      <c r="DE128" s="84"/>
      <c r="DF128" s="84"/>
      <c r="DG128" s="84"/>
      <c r="DH128" s="84"/>
      <c r="DI128" s="84"/>
      <c r="DJ128" s="84"/>
      <c r="DK128" s="84"/>
    </row>
    <row r="129" spans="1:115" s="1577" customFormat="1">
      <c r="A129" s="1534">
        <v>5</v>
      </c>
      <c r="B129" s="2088" t="s">
        <v>312</v>
      </c>
      <c r="C129" s="2088" t="s">
        <v>301</v>
      </c>
      <c r="D129" s="2088" t="s">
        <v>595</v>
      </c>
      <c r="E129" s="2410">
        <v>0.5</v>
      </c>
      <c r="F129" s="1359"/>
      <c r="G129" s="1361">
        <v>60</v>
      </c>
      <c r="H129" s="2401"/>
      <c r="I129" s="2402"/>
      <c r="J129" s="2402"/>
      <c r="K129" s="2402"/>
      <c r="L129" s="1109"/>
      <c r="M129" s="1109"/>
      <c r="N129" s="1109"/>
      <c r="O129" s="1109"/>
      <c r="P129" s="1109"/>
      <c r="Q129" s="1109"/>
      <c r="R129" s="1109"/>
      <c r="S129" s="1109"/>
      <c r="T129" s="2401"/>
      <c r="U129" s="2402"/>
      <c r="V129" s="2402"/>
      <c r="W129" s="2402"/>
      <c r="X129" s="1109"/>
      <c r="Y129" s="1109"/>
      <c r="Z129" s="1109"/>
      <c r="AA129" s="1109"/>
      <c r="AB129" s="1109"/>
      <c r="AC129" s="1109"/>
      <c r="AD129" s="1109"/>
      <c r="AE129" s="1109"/>
      <c r="AF129" s="1109"/>
      <c r="AG129" s="2420">
        <f>AF151*(1+CF129)</f>
        <v>1688.2632150000004</v>
      </c>
      <c r="AH129" s="1109"/>
      <c r="AI129" s="1109"/>
      <c r="AJ129" s="1109"/>
      <c r="AK129" s="1108"/>
      <c r="AL129" s="2403"/>
      <c r="AM129" s="2403"/>
      <c r="AN129" s="2403"/>
      <c r="AO129" s="1108"/>
      <c r="AP129" s="1109"/>
      <c r="AQ129" s="1109"/>
      <c r="AR129" s="1109"/>
      <c r="AS129" s="1109"/>
      <c r="AT129" s="1109"/>
      <c r="AU129" s="1109"/>
      <c r="AV129" s="1109"/>
      <c r="AW129" s="1109"/>
      <c r="AX129" s="2409">
        <v>22</v>
      </c>
      <c r="AY129" s="1109"/>
      <c r="AZ129" s="1109"/>
      <c r="BA129" s="1109"/>
      <c r="BB129" s="1108"/>
      <c r="BC129" s="2402"/>
      <c r="BD129" s="2402"/>
      <c r="BE129" s="2402"/>
      <c r="BF129" s="1109"/>
      <c r="BG129" s="1109"/>
      <c r="BH129" s="1109"/>
      <c r="BI129" s="1109"/>
      <c r="BJ129" s="1109"/>
      <c r="BK129" s="1109"/>
      <c r="BL129" s="1109"/>
      <c r="BM129" s="1109"/>
      <c r="BN129" s="1109"/>
      <c r="BO129" s="2165">
        <f t="shared" si="11"/>
        <v>18570.895365000004</v>
      </c>
      <c r="BP129" s="1109"/>
      <c r="BQ129" s="1109"/>
      <c r="BR129" s="1109"/>
      <c r="BS129" s="1109"/>
      <c r="BT129" s="2402"/>
      <c r="BU129" s="2402"/>
      <c r="BV129" s="2402"/>
      <c r="BW129" s="1109"/>
      <c r="BX129" s="1109"/>
      <c r="BY129" s="1109"/>
      <c r="BZ129" s="1109"/>
      <c r="CA129" s="1109"/>
      <c r="CB129" s="1109"/>
      <c r="CC129" s="1109"/>
      <c r="CD129" s="1109"/>
      <c r="CE129" s="1109"/>
      <c r="CF129" s="2407">
        <v>0.03</v>
      </c>
      <c r="CG129" s="2407"/>
      <c r="CH129" s="2407"/>
      <c r="CI129" s="2407"/>
      <c r="CJ129" s="1108"/>
      <c r="CK129" s="2402"/>
      <c r="CL129" s="2402"/>
      <c r="CM129" s="2402"/>
      <c r="CN129" s="1109"/>
      <c r="CO129" s="1109"/>
      <c r="CP129" s="1109"/>
      <c r="CQ129" s="1109"/>
      <c r="CR129" s="1109"/>
      <c r="CS129" s="1109"/>
      <c r="CT129" s="1109"/>
      <c r="CU129" s="1109"/>
      <c r="CV129" s="1109"/>
      <c r="CW129" s="1109"/>
      <c r="CX129" s="1109"/>
      <c r="CY129" s="1109"/>
      <c r="CZ129" s="1108"/>
      <c r="DA129" s="2402"/>
      <c r="DB129" s="2402"/>
      <c r="DC129" s="2402"/>
      <c r="DD129" s="1109"/>
      <c r="DE129" s="1109"/>
      <c r="DF129" s="1109"/>
      <c r="DG129" s="1109"/>
      <c r="DH129" s="1109"/>
      <c r="DI129" s="1109"/>
      <c r="DJ129" s="1109"/>
      <c r="DK129" s="1109"/>
    </row>
    <row r="130" spans="1:115" s="1577" customFormat="1">
      <c r="A130" s="1534">
        <v>1</v>
      </c>
      <c r="B130" s="2400" t="s">
        <v>1655</v>
      </c>
      <c r="C130" s="2088" t="s">
        <v>296</v>
      </c>
      <c r="D130" s="2400" t="s">
        <v>1656</v>
      </c>
      <c r="E130" s="2410">
        <v>1</v>
      </c>
      <c r="F130" s="2401"/>
      <c r="G130" s="1361">
        <v>60</v>
      </c>
      <c r="H130" s="2401"/>
      <c r="I130" s="2402"/>
      <c r="J130" s="2402"/>
      <c r="K130" s="2402"/>
      <c r="L130" s="1109"/>
      <c r="M130" s="1109"/>
      <c r="N130" s="1109"/>
      <c r="O130" s="1109"/>
      <c r="P130" s="1109"/>
      <c r="Q130" s="1109"/>
      <c r="R130" s="1109"/>
      <c r="S130" s="1109"/>
      <c r="T130" s="2401"/>
      <c r="U130" s="2402"/>
      <c r="V130" s="2402"/>
      <c r="W130" s="2402"/>
      <c r="X130" s="1109"/>
      <c r="Y130" s="1109"/>
      <c r="Z130" s="1109"/>
      <c r="AA130" s="1109"/>
      <c r="AB130" s="1109"/>
      <c r="AC130" s="1109"/>
      <c r="AD130" s="1109"/>
      <c r="AE130" s="1109"/>
      <c r="AF130" s="1109"/>
      <c r="AG130" s="2420">
        <v>1000</v>
      </c>
      <c r="AH130" s="1109"/>
      <c r="AI130" s="1109"/>
      <c r="AJ130" s="1109"/>
      <c r="AK130" s="1108"/>
      <c r="AL130" s="2403"/>
      <c r="AM130" s="2403"/>
      <c r="AN130" s="2403"/>
      <c r="AO130" s="1108"/>
      <c r="AP130" s="1109"/>
      <c r="AQ130" s="1109"/>
      <c r="AR130" s="1109"/>
      <c r="AS130" s="1109"/>
      <c r="AT130" s="1109"/>
      <c r="AU130" s="1109"/>
      <c r="AV130" s="1109"/>
      <c r="AW130" s="1109"/>
      <c r="AX130" s="2409">
        <v>8</v>
      </c>
      <c r="AY130" s="1109"/>
      <c r="AZ130" s="1109"/>
      <c r="BA130" s="1109"/>
      <c r="BB130" s="1108"/>
      <c r="BC130" s="2402"/>
      <c r="BD130" s="2402"/>
      <c r="BE130" s="2402"/>
      <c r="BF130" s="1109"/>
      <c r="BG130" s="1109"/>
      <c r="BH130" s="1109"/>
      <c r="BI130" s="1109"/>
      <c r="BJ130" s="1109"/>
      <c r="BK130" s="1109"/>
      <c r="BL130" s="1109"/>
      <c r="BM130" s="1109"/>
      <c r="BN130" s="1109"/>
      <c r="BO130" s="2165">
        <f>$E130*AG130*AX130</f>
        <v>8000</v>
      </c>
      <c r="BP130" s="1109"/>
      <c r="BQ130" s="1109"/>
      <c r="BR130" s="1109"/>
      <c r="BS130" s="1109"/>
      <c r="BT130" s="2402"/>
      <c r="BU130" s="2402"/>
      <c r="BV130" s="2402"/>
      <c r="BW130" s="1109"/>
      <c r="BX130" s="1109"/>
      <c r="BY130" s="1109"/>
      <c r="BZ130" s="1109"/>
      <c r="CA130" s="1109"/>
      <c r="CB130" s="1109"/>
      <c r="CC130" s="1109"/>
      <c r="CD130" s="1109"/>
      <c r="CE130" s="1109"/>
      <c r="CF130" s="2407">
        <v>0.03</v>
      </c>
      <c r="CG130" s="2407"/>
      <c r="CH130" s="2407"/>
      <c r="CI130" s="2407"/>
      <c r="CJ130" s="1108"/>
      <c r="CK130" s="2402"/>
      <c r="CL130" s="2402"/>
      <c r="CM130" s="2402"/>
      <c r="CN130" s="1109"/>
      <c r="CO130" s="1109"/>
      <c r="CP130" s="1109"/>
      <c r="CQ130" s="1109"/>
      <c r="CR130" s="1109"/>
      <c r="CS130" s="1109"/>
      <c r="CT130" s="1109"/>
      <c r="CU130" s="1109"/>
      <c r="CV130" s="1109"/>
      <c r="CW130" s="1109"/>
      <c r="CX130" s="1109"/>
      <c r="CY130" s="1109"/>
      <c r="CZ130" s="1108"/>
      <c r="DA130" s="2402"/>
      <c r="DB130" s="2402"/>
      <c r="DC130" s="2402"/>
      <c r="DD130" s="1109"/>
      <c r="DE130" s="1109"/>
      <c r="DF130" s="1109"/>
      <c r="DG130" s="1109"/>
      <c r="DH130" s="1109"/>
      <c r="DI130" s="1109"/>
      <c r="DJ130" s="1109"/>
      <c r="DK130" s="1109"/>
    </row>
    <row r="131" spans="1:115" s="1577" customFormat="1" hidden="1" outlineLevel="1">
      <c r="A131" s="1494"/>
      <c r="B131" s="2400"/>
      <c r="C131" s="2088"/>
      <c r="D131" s="2088"/>
      <c r="E131" s="2089"/>
      <c r="F131" s="1359"/>
      <c r="G131" s="1361"/>
      <c r="H131" s="2401"/>
      <c r="I131" s="2402"/>
      <c r="J131" s="2402"/>
      <c r="K131" s="2402"/>
      <c r="L131" s="1109"/>
      <c r="M131" s="1109"/>
      <c r="N131" s="1109"/>
      <c r="O131" s="1109"/>
      <c r="P131" s="1109"/>
      <c r="Q131" s="1109"/>
      <c r="R131" s="1109"/>
      <c r="S131" s="1109"/>
      <c r="T131" s="2401"/>
      <c r="U131" s="2402"/>
      <c r="V131" s="2402"/>
      <c r="W131" s="2402"/>
      <c r="X131" s="1109"/>
      <c r="Y131" s="1109"/>
      <c r="Z131" s="1109"/>
      <c r="AA131" s="1109"/>
      <c r="AB131" s="1109"/>
      <c r="AC131" s="1109"/>
      <c r="AD131" s="1109"/>
      <c r="AE131" s="1109"/>
      <c r="AF131" s="1109"/>
      <c r="AG131" s="2406"/>
      <c r="AH131" s="1109"/>
      <c r="AI131" s="1109"/>
      <c r="AJ131" s="1109"/>
      <c r="AK131" s="1108"/>
      <c r="AL131" s="2403"/>
      <c r="AM131" s="2403"/>
      <c r="AN131" s="2403"/>
      <c r="AO131" s="1108"/>
      <c r="AP131" s="1109"/>
      <c r="AQ131" s="1109"/>
      <c r="AR131" s="1109"/>
      <c r="AS131" s="1109"/>
      <c r="AT131" s="1109"/>
      <c r="AU131" s="1109"/>
      <c r="AV131" s="1109"/>
      <c r="AW131" s="1109"/>
      <c r="AX131" s="1109"/>
      <c r="AY131" s="1109"/>
      <c r="AZ131" s="1109"/>
      <c r="BA131" s="1109"/>
      <c r="BB131" s="1108"/>
      <c r="BC131" s="2402"/>
      <c r="BD131" s="2402"/>
      <c r="BE131" s="2402"/>
      <c r="BF131" s="1109"/>
      <c r="BG131" s="1109"/>
      <c r="BH131" s="1109"/>
      <c r="BI131" s="1109"/>
      <c r="BJ131" s="1109"/>
      <c r="BK131" s="1109"/>
      <c r="BL131" s="1109"/>
      <c r="BM131" s="1109"/>
      <c r="BN131" s="1109"/>
      <c r="BO131" s="2165"/>
      <c r="BP131" s="1109"/>
      <c r="BQ131" s="1109"/>
      <c r="BR131" s="1109"/>
      <c r="BS131" s="1109"/>
      <c r="BT131" s="2402"/>
      <c r="BU131" s="2402"/>
      <c r="BV131" s="2402"/>
      <c r="BW131" s="1109"/>
      <c r="BX131" s="1109"/>
      <c r="BY131" s="1109"/>
      <c r="BZ131" s="1109"/>
      <c r="CA131" s="1109"/>
      <c r="CB131" s="1109"/>
      <c r="CC131" s="1109"/>
      <c r="CD131" s="1109"/>
      <c r="CE131" s="1109"/>
      <c r="CF131" s="2407"/>
      <c r="CG131" s="1109"/>
      <c r="CH131" s="1109"/>
      <c r="CI131" s="1109"/>
      <c r="CJ131" s="1108"/>
      <c r="CK131" s="2402"/>
      <c r="CL131" s="2402"/>
      <c r="CM131" s="2402"/>
      <c r="CN131" s="1109"/>
      <c r="CO131" s="1109"/>
      <c r="CP131" s="1109"/>
      <c r="CQ131" s="1109"/>
      <c r="CR131" s="1109"/>
      <c r="CS131" s="1109"/>
      <c r="CT131" s="1109"/>
      <c r="CU131" s="1109"/>
      <c r="CV131" s="1109"/>
      <c r="CW131" s="1109"/>
      <c r="CX131" s="1109"/>
      <c r="CY131" s="1109"/>
      <c r="CZ131" s="1108"/>
      <c r="DA131" s="2402"/>
      <c r="DB131" s="2402"/>
      <c r="DC131" s="2402"/>
      <c r="DD131" s="1109"/>
      <c r="DE131" s="1109"/>
      <c r="DF131" s="1109"/>
      <c r="DG131" s="1109"/>
      <c r="DH131" s="1109"/>
      <c r="DI131" s="1109"/>
      <c r="DJ131" s="1109"/>
      <c r="DK131" s="1109"/>
    </row>
    <row r="132" spans="1:115" hidden="1" outlineLevel="1">
      <c r="A132" s="1822" t="s">
        <v>1579</v>
      </c>
      <c r="B132" s="2401"/>
      <c r="C132" s="2401"/>
      <c r="D132" s="2401"/>
      <c r="E132" s="2401"/>
      <c r="F132" s="2401"/>
      <c r="G132" s="2401"/>
      <c r="H132" s="1"/>
      <c r="I132" s="464"/>
      <c r="J132" s="464"/>
      <c r="K132" s="464"/>
      <c r="L132" s="84"/>
      <c r="M132" s="84"/>
      <c r="N132" s="84"/>
      <c r="O132" s="84"/>
      <c r="P132" s="84"/>
      <c r="Q132" s="84"/>
      <c r="R132" s="84"/>
      <c r="S132" s="84"/>
      <c r="T132" s="1"/>
      <c r="U132" s="464"/>
      <c r="V132" s="464"/>
      <c r="W132" s="464"/>
      <c r="X132" s="84"/>
      <c r="Y132" s="84"/>
      <c r="Z132" s="84"/>
      <c r="AA132" s="84"/>
      <c r="AB132" s="84"/>
      <c r="AC132" s="84"/>
      <c r="AD132" s="84"/>
      <c r="AE132" s="84"/>
      <c r="AF132" s="84"/>
      <c r="AG132" s="84"/>
      <c r="AH132" s="84"/>
      <c r="AI132" s="84"/>
      <c r="AJ132" s="84"/>
      <c r="AK132" s="6"/>
      <c r="AL132" s="275"/>
      <c r="AM132" s="275"/>
      <c r="AN132" s="275"/>
      <c r="AO132" s="6"/>
      <c r="AP132" s="84"/>
      <c r="AQ132" s="84"/>
      <c r="AR132" s="84"/>
      <c r="AS132" s="84"/>
      <c r="AT132" s="84"/>
      <c r="AU132" s="84"/>
      <c r="AV132" s="84"/>
      <c r="AW132" s="84"/>
      <c r="AX132" s="84"/>
      <c r="AY132" s="84"/>
      <c r="AZ132" s="84"/>
      <c r="BA132" s="84"/>
      <c r="BB132" s="6"/>
      <c r="BC132" s="464"/>
      <c r="BD132" s="464"/>
      <c r="BE132" s="464"/>
      <c r="BF132" s="84"/>
      <c r="BG132" s="84"/>
      <c r="BH132" s="84"/>
      <c r="BI132" s="84"/>
      <c r="BJ132" s="84"/>
      <c r="BK132" s="84"/>
      <c r="BL132" s="84"/>
      <c r="BM132" s="84"/>
      <c r="BN132" s="1109"/>
      <c r="BO132" s="1109"/>
      <c r="BP132" s="84"/>
      <c r="BQ132" s="84"/>
      <c r="BR132" s="84"/>
      <c r="BS132" s="84"/>
      <c r="BT132" s="464"/>
      <c r="BU132" s="464"/>
      <c r="BV132" s="464"/>
      <c r="BW132" s="84"/>
      <c r="BX132" s="84"/>
      <c r="BY132" s="84"/>
      <c r="BZ132" s="84"/>
      <c r="CA132" s="84"/>
      <c r="CB132" s="84"/>
      <c r="CC132" s="84"/>
      <c r="CD132" s="84"/>
      <c r="CE132" s="84"/>
      <c r="CF132" s="84"/>
      <c r="CG132" s="84"/>
      <c r="CH132" s="84"/>
      <c r="CI132" s="84"/>
      <c r="CJ132" s="6"/>
      <c r="CK132" s="464"/>
      <c r="CL132" s="464"/>
      <c r="CM132" s="464"/>
      <c r="CN132" s="84"/>
      <c r="CO132" s="84"/>
      <c r="CP132" s="84"/>
      <c r="CQ132" s="84"/>
      <c r="CR132" s="84"/>
      <c r="CS132" s="84"/>
      <c r="CT132" s="84"/>
      <c r="CU132" s="84"/>
      <c r="CV132" s="84"/>
      <c r="CW132" s="84"/>
      <c r="CX132" s="84"/>
      <c r="CY132" s="84"/>
      <c r="CZ132" s="6"/>
      <c r="DA132" s="464"/>
      <c r="DB132" s="464"/>
      <c r="DC132" s="464"/>
      <c r="DD132" s="84"/>
      <c r="DE132" s="84"/>
      <c r="DF132" s="84"/>
      <c r="DG132" s="84"/>
      <c r="DH132" s="84"/>
      <c r="DI132" s="84"/>
      <c r="DJ132" s="84"/>
      <c r="DK132" s="84"/>
    </row>
    <row r="133" spans="1:115" hidden="1" outlineLevel="1">
      <c r="A133" s="1822"/>
      <c r="B133" s="2400" t="s">
        <v>932</v>
      </c>
      <c r="C133" s="2088" t="s">
        <v>296</v>
      </c>
      <c r="D133" s="2088" t="s">
        <v>638</v>
      </c>
      <c r="E133" s="2089">
        <v>1</v>
      </c>
      <c r="F133" s="1359"/>
      <c r="G133" s="1361">
        <v>60</v>
      </c>
      <c r="H133" s="1"/>
      <c r="I133" s="464"/>
      <c r="J133" s="464"/>
      <c r="K133" s="464"/>
      <c r="L133" s="84"/>
      <c r="M133" s="84"/>
      <c r="N133" s="84"/>
      <c r="O133" s="84"/>
      <c r="P133" s="84"/>
      <c r="Q133" s="84"/>
      <c r="R133" s="84"/>
      <c r="S133" s="84"/>
      <c r="T133" s="1"/>
      <c r="U133" s="464"/>
      <c r="V133" s="464"/>
      <c r="W133" s="464"/>
      <c r="X133" s="84"/>
      <c r="Y133" s="84"/>
      <c r="Z133" s="84"/>
      <c r="AA133" s="84"/>
      <c r="AB133" s="84"/>
      <c r="AC133" s="84"/>
      <c r="AD133" s="84"/>
      <c r="AE133" s="84"/>
      <c r="AF133" s="84"/>
      <c r="AG133" s="84"/>
      <c r="AH133" s="84"/>
      <c r="AI133" s="84"/>
      <c r="AJ133" s="84"/>
      <c r="AK133" s="6"/>
      <c r="AL133" s="275"/>
      <c r="AM133" s="275"/>
      <c r="AN133" s="275"/>
      <c r="AO133" s="6"/>
      <c r="AP133" s="84"/>
      <c r="AQ133" s="84"/>
      <c r="AR133" s="84"/>
      <c r="AS133" s="84"/>
      <c r="AT133" s="84"/>
      <c r="AU133" s="84"/>
      <c r="AV133" s="84"/>
      <c r="AW133" s="84"/>
      <c r="AX133" s="84"/>
      <c r="AY133" s="84"/>
      <c r="AZ133" s="84"/>
      <c r="BA133" s="84"/>
      <c r="BB133" s="6"/>
      <c r="BC133" s="464"/>
      <c r="BD133" s="464"/>
      <c r="BE133" s="464"/>
      <c r="BF133" s="84"/>
      <c r="BG133" s="84"/>
      <c r="BH133" s="84"/>
      <c r="BI133" s="84"/>
      <c r="BJ133" s="84"/>
      <c r="BK133" s="84"/>
      <c r="BL133" s="84"/>
      <c r="BM133" s="84"/>
      <c r="BN133" s="1109"/>
      <c r="BO133" s="1109"/>
      <c r="BP133" s="84"/>
      <c r="BQ133" s="84"/>
      <c r="BR133" s="84"/>
      <c r="BS133" s="84"/>
      <c r="BT133" s="464"/>
      <c r="BU133" s="464"/>
      <c r="BV133" s="464"/>
      <c r="BW133" s="84"/>
      <c r="BX133" s="84"/>
      <c r="BY133" s="84"/>
      <c r="BZ133" s="84"/>
      <c r="CA133" s="84"/>
      <c r="CB133" s="84"/>
      <c r="CC133" s="84"/>
      <c r="CD133" s="84"/>
      <c r="CE133" s="84"/>
      <c r="CF133" s="84"/>
      <c r="CG133" s="84"/>
      <c r="CH133" s="84"/>
      <c r="CI133" s="84"/>
      <c r="CJ133" s="6"/>
      <c r="CK133" s="464"/>
      <c r="CL133" s="464"/>
      <c r="CM133" s="464"/>
      <c r="CN133" s="84"/>
      <c r="CO133" s="84"/>
      <c r="CP133" s="84"/>
      <c r="CQ133" s="84"/>
      <c r="CR133" s="84"/>
      <c r="CS133" s="84"/>
      <c r="CT133" s="84"/>
      <c r="CU133" s="84"/>
      <c r="CV133" s="84"/>
      <c r="CW133" s="84"/>
      <c r="CX133" s="84"/>
      <c r="CY133" s="84"/>
      <c r="CZ133" s="6"/>
      <c r="DA133" s="464"/>
      <c r="DB133" s="464"/>
      <c r="DC133" s="464"/>
      <c r="DD133" s="84"/>
      <c r="DE133" s="84"/>
      <c r="DF133" s="84"/>
      <c r="DG133" s="84"/>
      <c r="DH133" s="84"/>
      <c r="DI133" s="84"/>
      <c r="DJ133" s="84"/>
      <c r="DK133" s="84"/>
    </row>
    <row r="134" spans="1:115" hidden="1" outlineLevel="1">
      <c r="A134" s="1534"/>
      <c r="B134" s="1109" t="s">
        <v>1459</v>
      </c>
      <c r="C134" s="2088" t="s">
        <v>296</v>
      </c>
      <c r="D134" s="2088" t="s">
        <v>638</v>
      </c>
      <c r="E134" s="2089">
        <v>1</v>
      </c>
      <c r="F134" s="1359"/>
      <c r="G134" s="1361">
        <v>60</v>
      </c>
      <c r="H134" s="342"/>
      <c r="I134" s="464"/>
      <c r="J134" s="464"/>
      <c r="K134" s="464"/>
      <c r="L134" s="84"/>
      <c r="M134" s="84"/>
      <c r="N134" s="84"/>
      <c r="O134" s="84"/>
      <c r="P134" s="84"/>
      <c r="Q134" s="84"/>
      <c r="R134" s="84"/>
      <c r="S134" s="84"/>
      <c r="T134" s="342"/>
      <c r="U134" s="464"/>
      <c r="V134" s="464"/>
      <c r="W134" s="464"/>
      <c r="X134" s="84"/>
      <c r="Y134" s="84"/>
      <c r="Z134" s="84"/>
      <c r="AA134" s="84"/>
      <c r="AB134" s="84"/>
      <c r="AD134" s="84"/>
      <c r="AE134" s="84"/>
      <c r="AF134" s="84"/>
      <c r="AG134" s="84"/>
      <c r="AH134" s="84"/>
      <c r="AI134" s="84"/>
      <c r="AJ134" s="84"/>
      <c r="AK134" s="6"/>
      <c r="AL134" s="275"/>
      <c r="AM134" s="275"/>
      <c r="AN134" s="275"/>
      <c r="AO134" s="6"/>
      <c r="AP134" s="84"/>
      <c r="AQ134" s="84"/>
      <c r="AR134" s="84"/>
      <c r="AS134" s="84"/>
      <c r="AT134" s="84"/>
      <c r="AU134" s="719"/>
      <c r="AV134" s="84"/>
      <c r="AW134" s="84"/>
      <c r="AX134" s="84"/>
      <c r="AY134" s="84"/>
      <c r="AZ134" s="84"/>
      <c r="BA134" s="84"/>
      <c r="BB134" s="6"/>
      <c r="BC134" s="464"/>
      <c r="BD134" s="464"/>
      <c r="BE134" s="464"/>
      <c r="BF134" s="84"/>
      <c r="BG134" s="84"/>
      <c r="BH134" s="84"/>
      <c r="BI134" s="84"/>
      <c r="BJ134" s="84"/>
      <c r="BK134" s="84"/>
      <c r="BL134" s="84"/>
      <c r="BM134" s="84"/>
      <c r="BN134" s="1109"/>
      <c r="BO134" s="1109"/>
      <c r="BP134" s="84"/>
      <c r="BQ134" s="84"/>
      <c r="BR134" s="84"/>
      <c r="BS134" s="84"/>
      <c r="BT134" s="464"/>
      <c r="BU134" s="464"/>
      <c r="BV134" s="464"/>
      <c r="BW134" s="84"/>
      <c r="BX134" s="84"/>
      <c r="BY134" s="84"/>
      <c r="BZ134" s="84"/>
      <c r="CA134" s="84"/>
      <c r="CC134" s="130"/>
      <c r="CD134" s="84"/>
      <c r="CE134" s="84"/>
      <c r="CF134" s="84"/>
      <c r="CG134" s="84"/>
      <c r="CH134" s="84"/>
      <c r="CI134" s="84"/>
      <c r="CJ134" s="6"/>
      <c r="CK134" s="464"/>
      <c r="CL134" s="464"/>
      <c r="CM134" s="464"/>
      <c r="CN134" s="84"/>
      <c r="CO134" s="84"/>
      <c r="CP134" s="84"/>
      <c r="CQ134" s="84"/>
      <c r="CR134" s="84"/>
      <c r="CS134" s="84"/>
      <c r="CT134" s="84"/>
      <c r="CU134" s="84"/>
      <c r="CV134" s="84"/>
      <c r="CW134" s="84"/>
      <c r="CX134" s="84"/>
      <c r="CY134" s="84"/>
      <c r="CZ134" s="6"/>
      <c r="DA134" s="464"/>
      <c r="DB134" s="464"/>
      <c r="DC134" s="464"/>
      <c r="DD134" s="84"/>
      <c r="DE134" s="84"/>
      <c r="DF134" s="84"/>
      <c r="DG134" s="84"/>
      <c r="DH134" s="84"/>
      <c r="DI134" s="84"/>
      <c r="DJ134" s="84"/>
      <c r="DK134" s="84"/>
    </row>
    <row r="135" spans="1:115" hidden="1" outlineLevel="1">
      <c r="A135" s="1822"/>
      <c r="B135" s="2400" t="s">
        <v>1576</v>
      </c>
      <c r="C135" s="2088" t="s">
        <v>296</v>
      </c>
      <c r="D135" s="2088" t="s">
        <v>638</v>
      </c>
      <c r="E135" s="2089">
        <v>1</v>
      </c>
      <c r="F135" s="1359"/>
      <c r="G135" s="1361">
        <v>60</v>
      </c>
      <c r="H135" s="1"/>
      <c r="I135" s="464"/>
      <c r="J135" s="464"/>
      <c r="K135" s="464"/>
      <c r="L135" s="84"/>
      <c r="M135" s="84"/>
      <c r="N135" s="84"/>
      <c r="O135" s="84"/>
      <c r="P135" s="84"/>
      <c r="Q135" s="84"/>
      <c r="R135" s="84"/>
      <c r="S135" s="84"/>
      <c r="T135" s="1"/>
      <c r="U135" s="464"/>
      <c r="V135" s="464"/>
      <c r="W135" s="464"/>
      <c r="X135" s="84"/>
      <c r="Y135" s="84"/>
      <c r="Z135" s="84"/>
      <c r="AA135" s="84"/>
      <c r="AB135" s="84"/>
      <c r="AC135" s="84"/>
      <c r="AD135" s="84"/>
      <c r="AE135" s="84"/>
      <c r="AF135" s="84"/>
      <c r="AG135" s="84"/>
      <c r="AH135" s="84"/>
      <c r="AI135" s="84"/>
      <c r="AJ135" s="84"/>
      <c r="AK135" s="6"/>
      <c r="AL135" s="275"/>
      <c r="AM135" s="275"/>
      <c r="AN135" s="275"/>
      <c r="AO135" s="6"/>
      <c r="AP135" s="84"/>
      <c r="AQ135" s="84"/>
      <c r="AR135" s="84"/>
      <c r="AS135" s="84"/>
      <c r="AT135" s="84"/>
      <c r="AU135" s="84"/>
      <c r="AV135" s="84"/>
      <c r="AW135" s="84"/>
      <c r="AX135" s="84"/>
      <c r="AY135" s="84"/>
      <c r="AZ135" s="84"/>
      <c r="BA135" s="84"/>
      <c r="BB135" s="6"/>
      <c r="BC135" s="464"/>
      <c r="BD135" s="464"/>
      <c r="BE135" s="464"/>
      <c r="BF135" s="84"/>
      <c r="BG135" s="84"/>
      <c r="BH135" s="84"/>
      <c r="BI135" s="84"/>
      <c r="BJ135" s="84"/>
      <c r="BK135" s="84"/>
      <c r="BL135" s="84"/>
      <c r="BM135" s="84"/>
      <c r="BN135" s="1109"/>
      <c r="BO135" s="1109"/>
      <c r="BP135" s="84"/>
      <c r="BQ135" s="84"/>
      <c r="BR135" s="84"/>
      <c r="BS135" s="84"/>
      <c r="BT135" s="464"/>
      <c r="BU135" s="464"/>
      <c r="BV135" s="464"/>
      <c r="BW135" s="84"/>
      <c r="BX135" s="84"/>
      <c r="BY135" s="84"/>
      <c r="BZ135" s="84"/>
      <c r="CA135" s="84"/>
      <c r="CB135" s="84"/>
      <c r="CC135" s="84"/>
      <c r="CD135" s="84"/>
      <c r="CE135" s="84"/>
      <c r="CF135" s="84"/>
      <c r="CG135" s="84"/>
      <c r="CH135" s="84"/>
      <c r="CI135" s="84"/>
      <c r="CJ135" s="6"/>
      <c r="CK135" s="464"/>
      <c r="CL135" s="464"/>
      <c r="CM135" s="464"/>
      <c r="CN135" s="84"/>
      <c r="CO135" s="84"/>
      <c r="CP135" s="84"/>
      <c r="CQ135" s="84"/>
      <c r="CR135" s="84"/>
      <c r="CS135" s="84"/>
      <c r="CT135" s="84"/>
      <c r="CU135" s="84"/>
      <c r="CV135" s="84"/>
      <c r="CW135" s="84"/>
      <c r="CX135" s="84"/>
      <c r="CY135" s="84"/>
      <c r="CZ135" s="6"/>
      <c r="DA135" s="464"/>
      <c r="DB135" s="464"/>
      <c r="DC135" s="464"/>
      <c r="DD135" s="84"/>
      <c r="DE135" s="84"/>
      <c r="DF135" s="84"/>
      <c r="DG135" s="84"/>
      <c r="DH135" s="84"/>
      <c r="DI135" s="84"/>
      <c r="DJ135" s="84"/>
      <c r="DK135" s="84"/>
    </row>
    <row r="136" spans="1:115" hidden="1" outlineLevel="1">
      <c r="A136" s="1822"/>
      <c r="B136" s="2400" t="s">
        <v>614</v>
      </c>
      <c r="C136" s="2088" t="s">
        <v>296</v>
      </c>
      <c r="D136" s="2088" t="s">
        <v>638</v>
      </c>
      <c r="E136" s="2089">
        <v>1</v>
      </c>
      <c r="F136" s="1359"/>
      <c r="G136" s="1361">
        <v>60</v>
      </c>
      <c r="H136" s="1"/>
      <c r="I136" s="464"/>
      <c r="J136" s="464"/>
      <c r="K136" s="464"/>
      <c r="L136" s="84"/>
      <c r="M136" s="84"/>
      <c r="N136" s="84"/>
      <c r="O136" s="84"/>
      <c r="P136" s="84"/>
      <c r="Q136" s="84"/>
      <c r="R136" s="84"/>
      <c r="S136" s="84"/>
      <c r="T136" s="1"/>
      <c r="U136" s="464"/>
      <c r="V136" s="464"/>
      <c r="W136" s="464"/>
      <c r="X136" s="84"/>
      <c r="Y136" s="84"/>
      <c r="Z136" s="84"/>
      <c r="AA136" s="84"/>
      <c r="AB136" s="84"/>
      <c r="AC136" s="84"/>
      <c r="AD136" s="84"/>
      <c r="AE136" s="84"/>
      <c r="AF136" s="84"/>
      <c r="AG136" s="84"/>
      <c r="AH136" s="84"/>
      <c r="AI136" s="84"/>
      <c r="AJ136" s="84"/>
      <c r="AK136" s="6"/>
      <c r="AL136" s="275"/>
      <c r="AM136" s="275"/>
      <c r="AN136" s="275"/>
      <c r="AO136" s="6"/>
      <c r="AP136" s="84"/>
      <c r="AQ136" s="84"/>
      <c r="AR136" s="84"/>
      <c r="AS136" s="84"/>
      <c r="AT136" s="84"/>
      <c r="AU136" s="84"/>
      <c r="AV136" s="84"/>
      <c r="AW136" s="84"/>
      <c r="AX136" s="84"/>
      <c r="AY136" s="84"/>
      <c r="AZ136" s="84"/>
      <c r="BA136" s="84"/>
      <c r="BB136" s="6"/>
      <c r="BC136" s="464"/>
      <c r="BD136" s="464"/>
      <c r="BE136" s="464"/>
      <c r="BF136" s="84"/>
      <c r="BG136" s="84"/>
      <c r="BH136" s="84"/>
      <c r="BI136" s="84"/>
      <c r="BJ136" s="84"/>
      <c r="BK136" s="84"/>
      <c r="BL136" s="84"/>
      <c r="BM136" s="84"/>
      <c r="BN136" s="1109"/>
      <c r="BO136" s="1109"/>
      <c r="BP136" s="84"/>
      <c r="BQ136" s="84"/>
      <c r="BR136" s="84"/>
      <c r="BS136" s="84"/>
      <c r="BT136" s="464"/>
      <c r="BU136" s="464"/>
      <c r="BV136" s="464"/>
      <c r="BW136" s="84"/>
      <c r="BX136" s="84"/>
      <c r="BY136" s="84"/>
      <c r="BZ136" s="84"/>
      <c r="CA136" s="84"/>
      <c r="CB136" s="84"/>
      <c r="CC136" s="84"/>
      <c r="CD136" s="84"/>
      <c r="CE136" s="84"/>
      <c r="CF136" s="84"/>
      <c r="CG136" s="84"/>
      <c r="CH136" s="84"/>
      <c r="CI136" s="84"/>
      <c r="CJ136" s="6"/>
      <c r="CK136" s="464"/>
      <c r="CL136" s="464"/>
      <c r="CM136" s="464"/>
      <c r="CN136" s="84"/>
      <c r="CO136" s="84"/>
      <c r="CP136" s="84"/>
      <c r="CQ136" s="84"/>
      <c r="CR136" s="84"/>
      <c r="CS136" s="84"/>
      <c r="CT136" s="84"/>
      <c r="CU136" s="84"/>
      <c r="CV136" s="84"/>
      <c r="CW136" s="84"/>
      <c r="CX136" s="84"/>
      <c r="CY136" s="84"/>
      <c r="CZ136" s="6"/>
      <c r="DA136" s="464"/>
      <c r="DB136" s="464"/>
      <c r="DC136" s="464"/>
      <c r="DD136" s="84"/>
      <c r="DE136" s="84"/>
      <c r="DF136" s="84"/>
      <c r="DG136" s="84"/>
      <c r="DH136" s="84"/>
      <c r="DI136" s="84"/>
      <c r="DJ136" s="84"/>
      <c r="DK136" s="84"/>
    </row>
    <row r="137" spans="1:115" hidden="1" outlineLevel="1">
      <c r="A137" s="1822"/>
      <c r="B137" s="2400" t="s">
        <v>1578</v>
      </c>
      <c r="C137" s="2088" t="s">
        <v>296</v>
      </c>
      <c r="D137" s="2088" t="s">
        <v>638</v>
      </c>
      <c r="E137" s="2089">
        <v>1</v>
      </c>
      <c r="F137" s="1359"/>
      <c r="G137" s="1361">
        <v>60</v>
      </c>
      <c r="H137" s="1"/>
      <c r="I137" s="464"/>
      <c r="J137" s="464"/>
      <c r="K137" s="464"/>
      <c r="L137" s="84"/>
      <c r="M137" s="84"/>
      <c r="N137" s="84"/>
      <c r="O137" s="84"/>
      <c r="P137" s="84"/>
      <c r="Q137" s="84"/>
      <c r="R137" s="84"/>
      <c r="S137" s="84"/>
      <c r="T137" s="1"/>
      <c r="U137" s="464"/>
      <c r="V137" s="464"/>
      <c r="W137" s="464"/>
      <c r="X137" s="84"/>
      <c r="Y137" s="84"/>
      <c r="Z137" s="84"/>
      <c r="AA137" s="84"/>
      <c r="AB137" s="84"/>
      <c r="AC137" s="84"/>
      <c r="AD137" s="84"/>
      <c r="AE137" s="84"/>
      <c r="AF137" s="84"/>
      <c r="AG137" s="84"/>
      <c r="AH137" s="84"/>
      <c r="AI137" s="84"/>
      <c r="AJ137" s="84"/>
      <c r="AK137" s="6"/>
      <c r="AL137" s="275"/>
      <c r="AM137" s="275"/>
      <c r="AN137" s="275"/>
      <c r="AO137" s="6"/>
      <c r="AP137" s="84"/>
      <c r="AQ137" s="84"/>
      <c r="AR137" s="84"/>
      <c r="AS137" s="84"/>
      <c r="AT137" s="84"/>
      <c r="AU137" s="84"/>
      <c r="AV137" s="84"/>
      <c r="AW137" s="84"/>
      <c r="AX137" s="84"/>
      <c r="AY137" s="84"/>
      <c r="AZ137" s="84"/>
      <c r="BA137" s="84"/>
      <c r="BB137" s="6"/>
      <c r="BC137" s="464"/>
      <c r="BD137" s="464"/>
      <c r="BE137" s="464"/>
      <c r="BF137" s="84"/>
      <c r="BG137" s="84"/>
      <c r="BH137" s="84"/>
      <c r="BI137" s="84"/>
      <c r="BJ137" s="84"/>
      <c r="BK137" s="84"/>
      <c r="BL137" s="84"/>
      <c r="BM137" s="84"/>
      <c r="BN137" s="1109"/>
      <c r="BO137" s="1109"/>
      <c r="BP137" s="84"/>
      <c r="BQ137" s="84"/>
      <c r="BR137" s="84"/>
      <c r="BS137" s="84"/>
      <c r="BT137" s="464"/>
      <c r="BU137" s="464"/>
      <c r="BV137" s="464"/>
      <c r="BW137" s="84"/>
      <c r="BX137" s="84"/>
      <c r="BY137" s="84"/>
      <c r="BZ137" s="84"/>
      <c r="CA137" s="84"/>
      <c r="CB137" s="84"/>
      <c r="CC137" s="84"/>
      <c r="CD137" s="84"/>
      <c r="CE137" s="84"/>
      <c r="CF137" s="84"/>
      <c r="CG137" s="84"/>
      <c r="CH137" s="84"/>
      <c r="CI137" s="84"/>
      <c r="CJ137" s="6"/>
      <c r="CK137" s="464"/>
      <c r="CL137" s="464"/>
      <c r="CM137" s="464"/>
      <c r="CN137" s="84"/>
      <c r="CO137" s="84"/>
      <c r="CP137" s="84"/>
      <c r="CQ137" s="84"/>
      <c r="CR137" s="84"/>
      <c r="CS137" s="84"/>
      <c r="CT137" s="84"/>
      <c r="CU137" s="84"/>
      <c r="CV137" s="84"/>
      <c r="CW137" s="84"/>
      <c r="CX137" s="84"/>
      <c r="CY137" s="84"/>
      <c r="CZ137" s="6"/>
      <c r="DA137" s="464"/>
      <c r="DB137" s="464"/>
      <c r="DC137" s="464"/>
      <c r="DD137" s="84"/>
      <c r="DE137" s="84"/>
      <c r="DF137" s="84"/>
      <c r="DG137" s="84"/>
      <c r="DH137" s="84"/>
      <c r="DI137" s="84"/>
      <c r="DJ137" s="84"/>
      <c r="DK137" s="84"/>
    </row>
    <row r="138" spans="1:115" collapsed="1">
      <c r="A138" s="259"/>
      <c r="B138" s="1"/>
      <c r="C138" s="1"/>
      <c r="D138" s="1"/>
      <c r="E138" s="1"/>
      <c r="F138" s="1"/>
      <c r="G138" s="1"/>
      <c r="H138" s="1"/>
      <c r="I138" s="464"/>
      <c r="J138" s="464"/>
      <c r="K138" s="464"/>
      <c r="L138" s="84"/>
      <c r="M138" s="84"/>
      <c r="N138" s="84"/>
      <c r="O138" s="84"/>
      <c r="P138" s="84"/>
      <c r="Q138" s="84"/>
      <c r="R138" s="84"/>
      <c r="S138" s="84"/>
      <c r="T138" s="1"/>
      <c r="U138" s="464"/>
      <c r="V138" s="464"/>
      <c r="W138" s="464"/>
      <c r="X138" s="84"/>
      <c r="Y138" s="84"/>
      <c r="Z138" s="84"/>
      <c r="AA138" s="84"/>
      <c r="AB138" s="84"/>
      <c r="AC138" s="84"/>
      <c r="AD138" s="84"/>
      <c r="AE138" s="84"/>
      <c r="AF138" s="84"/>
      <c r="AG138" s="84"/>
      <c r="AH138" s="84"/>
      <c r="AI138" s="84"/>
      <c r="AJ138" s="84"/>
      <c r="AK138" s="6"/>
      <c r="AL138" s="275"/>
      <c r="AM138" s="275"/>
      <c r="AN138" s="275"/>
      <c r="AO138" s="6"/>
      <c r="AP138" s="84"/>
      <c r="AQ138" s="84"/>
      <c r="AR138" s="84"/>
      <c r="AS138" s="84"/>
      <c r="AT138" s="84"/>
      <c r="AU138" s="84"/>
      <c r="AV138" s="84"/>
      <c r="AW138" s="84"/>
      <c r="AX138" s="84"/>
      <c r="AY138" s="84"/>
      <c r="AZ138" s="84"/>
      <c r="BA138" s="84"/>
      <c r="BB138" s="6"/>
      <c r="BC138" s="464"/>
      <c r="BD138" s="464"/>
      <c r="BE138" s="464"/>
      <c r="BF138" s="84"/>
      <c r="BG138" s="84"/>
      <c r="BH138" s="84"/>
      <c r="BI138" s="84"/>
      <c r="BJ138" s="84"/>
      <c r="BK138" s="84"/>
      <c r="BL138" s="84"/>
      <c r="BM138" s="84"/>
      <c r="BN138" s="1109"/>
      <c r="BO138" s="1109"/>
      <c r="BP138" s="84"/>
      <c r="BQ138" s="84"/>
      <c r="BR138" s="84"/>
      <c r="BS138" s="84"/>
      <c r="BT138" s="464"/>
      <c r="BU138" s="464"/>
      <c r="BV138" s="464"/>
      <c r="BW138" s="84"/>
      <c r="BX138" s="84"/>
      <c r="BY138" s="84"/>
      <c r="BZ138" s="84"/>
      <c r="CA138" s="84"/>
      <c r="CB138" s="84"/>
      <c r="CC138" s="84"/>
      <c r="CD138" s="84"/>
      <c r="CE138" s="84"/>
      <c r="CF138" s="84"/>
      <c r="CG138" s="84"/>
      <c r="CH138" s="84"/>
      <c r="CI138" s="84"/>
      <c r="CJ138" s="6"/>
      <c r="CK138" s="464"/>
      <c r="CL138" s="464"/>
      <c r="CM138" s="464"/>
      <c r="CN138" s="84"/>
      <c r="CO138" s="84"/>
      <c r="CP138" s="84"/>
      <c r="CQ138" s="84"/>
      <c r="CR138" s="84"/>
      <c r="CS138" s="84"/>
      <c r="CT138" s="84"/>
      <c r="CU138" s="84"/>
      <c r="CV138" s="84"/>
      <c r="CW138" s="84"/>
      <c r="CX138" s="84"/>
      <c r="CY138" s="84"/>
      <c r="CZ138" s="6"/>
      <c r="DA138" s="464"/>
      <c r="DB138" s="464"/>
      <c r="DC138" s="464"/>
      <c r="DD138" s="84"/>
      <c r="DE138" s="84"/>
      <c r="DF138" s="84"/>
      <c r="DG138" s="84"/>
      <c r="DH138" s="84"/>
      <c r="DI138" s="84"/>
      <c r="DJ138" s="84"/>
      <c r="DK138" s="84"/>
    </row>
    <row r="139" spans="1:115" s="1577" customFormat="1">
      <c r="A139" s="1822"/>
      <c r="B139" s="2401"/>
      <c r="C139" s="2401"/>
      <c r="D139" s="2401"/>
      <c r="E139" s="2401"/>
      <c r="F139" s="2401"/>
      <c r="G139" s="2401"/>
      <c r="H139" s="2401"/>
      <c r="I139" s="2402"/>
      <c r="J139" s="2402"/>
      <c r="K139" s="2402"/>
      <c r="L139" s="1109"/>
      <c r="M139" s="1109"/>
      <c r="N139" s="1109"/>
      <c r="O139" s="1109"/>
      <c r="P139" s="1109"/>
      <c r="Q139" s="1109"/>
      <c r="R139" s="1109"/>
      <c r="S139" s="1109"/>
      <c r="T139" s="2401"/>
      <c r="U139" s="2402"/>
      <c r="V139" s="2402"/>
      <c r="W139" s="2402"/>
      <c r="X139" s="1109"/>
      <c r="Y139" s="1109"/>
      <c r="Z139" s="1109"/>
      <c r="AA139" s="1109"/>
      <c r="AB139" s="1109"/>
      <c r="AC139" s="1109"/>
      <c r="AD139" s="1109"/>
      <c r="AE139" s="1109"/>
      <c r="AF139" s="1109"/>
      <c r="AG139" s="1109"/>
      <c r="AH139" s="1109"/>
      <c r="AI139" s="1109"/>
      <c r="AJ139" s="1109"/>
      <c r="AK139" s="1108"/>
      <c r="AL139" s="2403"/>
      <c r="AM139" s="2403"/>
      <c r="AN139" s="2403"/>
      <c r="AO139" s="1108"/>
      <c r="AP139" s="1109"/>
      <c r="AQ139" s="1109"/>
      <c r="AR139" s="1109"/>
      <c r="AS139" s="1109"/>
      <c r="AT139" s="1109"/>
      <c r="AU139" s="1109"/>
      <c r="AV139" s="1109"/>
      <c r="AW139" s="1109"/>
      <c r="AX139" s="1109"/>
      <c r="AY139" s="1109"/>
      <c r="AZ139" s="1109"/>
      <c r="BA139" s="1109"/>
      <c r="BB139" s="1108"/>
      <c r="BC139" s="2402"/>
      <c r="BD139" s="2402"/>
      <c r="BE139" s="2402"/>
      <c r="BF139" s="1109"/>
      <c r="BG139" s="1109"/>
      <c r="BH139" s="1109"/>
      <c r="BI139" s="1109"/>
      <c r="BJ139" s="1109"/>
      <c r="BK139" s="1109"/>
      <c r="BL139" s="1109"/>
      <c r="BM139" s="1109"/>
      <c r="BN139" s="1109"/>
      <c r="BO139" s="1109"/>
      <c r="BP139" s="1109"/>
      <c r="BQ139" s="1109"/>
      <c r="BR139" s="1109"/>
      <c r="BS139" s="1109"/>
      <c r="BT139" s="2402"/>
      <c r="BU139" s="2402"/>
      <c r="BV139" s="2402"/>
      <c r="BW139" s="1109"/>
      <c r="BX139" s="1109"/>
      <c r="BY139" s="1109"/>
      <c r="BZ139" s="1109"/>
      <c r="CA139" s="1109"/>
      <c r="CB139" s="1109"/>
      <c r="CC139" s="1109"/>
      <c r="CD139" s="1109"/>
      <c r="CE139" s="1109"/>
      <c r="CF139" s="1109"/>
      <c r="CG139" s="1109"/>
      <c r="CH139" s="1109"/>
      <c r="CI139" s="1109"/>
      <c r="CJ139" s="1108"/>
      <c r="CK139" s="2402"/>
      <c r="CL139" s="2402"/>
      <c r="CM139" s="2402"/>
      <c r="CN139" s="1109"/>
      <c r="CO139" s="1109"/>
      <c r="CP139" s="1109"/>
      <c r="CQ139" s="1109"/>
      <c r="CR139" s="1109"/>
      <c r="CS139" s="1109"/>
      <c r="CT139" s="1109"/>
      <c r="CU139" s="1109"/>
      <c r="CV139" s="1109"/>
      <c r="CW139" s="1109"/>
      <c r="CX139" s="1109"/>
      <c r="CY139" s="1109"/>
      <c r="CZ139" s="1108"/>
      <c r="DA139" s="2402"/>
      <c r="DB139" s="2402"/>
      <c r="DC139" s="2402"/>
      <c r="DD139" s="1109"/>
      <c r="DE139" s="1109"/>
      <c r="DF139" s="1109"/>
      <c r="DG139" s="1109"/>
      <c r="DH139" s="1109"/>
      <c r="DI139" s="1109"/>
      <c r="DJ139" s="1109"/>
      <c r="DK139" s="1109"/>
    </row>
    <row r="140" spans="1:115" s="1577" customFormat="1">
      <c r="A140" s="2417" t="s">
        <v>1675</v>
      </c>
      <c r="B140" s="2401"/>
      <c r="C140" s="2401"/>
      <c r="D140" s="2401"/>
      <c r="E140" s="2401"/>
      <c r="F140" s="2401"/>
      <c r="G140" s="2401"/>
      <c r="H140" s="2401"/>
      <c r="I140" s="2402"/>
      <c r="J140" s="2402"/>
      <c r="K140" s="2402"/>
      <c r="L140" s="1109"/>
      <c r="M140" s="1109"/>
      <c r="N140" s="1109"/>
      <c r="O140" s="1109"/>
      <c r="P140" s="1109"/>
      <c r="Q140" s="1109"/>
      <c r="R140" s="1109"/>
      <c r="S140" s="1109"/>
      <c r="T140" s="2401"/>
      <c r="U140" s="2402"/>
      <c r="V140" s="2402"/>
      <c r="W140" s="2402"/>
      <c r="X140" s="1109"/>
      <c r="Y140" s="1109"/>
      <c r="Z140" s="1109"/>
      <c r="AA140" s="1109"/>
      <c r="AB140" s="1109"/>
      <c r="AC140" s="1109"/>
      <c r="AD140" s="1109"/>
      <c r="AE140" s="1109"/>
      <c r="AF140" s="1109"/>
      <c r="AG140" s="1109"/>
      <c r="AH140" s="1109"/>
      <c r="AI140" s="1109"/>
      <c r="AJ140" s="1109"/>
      <c r="AK140" s="1108"/>
      <c r="AL140" s="2403"/>
      <c r="AM140" s="2403"/>
      <c r="AN140" s="2403"/>
      <c r="AO140" s="1108"/>
      <c r="AP140" s="1109"/>
      <c r="AQ140" s="1109"/>
      <c r="AR140" s="1109"/>
      <c r="AS140" s="1109"/>
      <c r="AT140" s="1109"/>
      <c r="AU140" s="1109"/>
      <c r="AV140" s="1109"/>
      <c r="AW140" s="1109"/>
      <c r="AX140" s="1109"/>
      <c r="AY140" s="1109"/>
      <c r="AZ140" s="1109"/>
      <c r="BA140" s="1109"/>
      <c r="BB140" s="1108"/>
      <c r="BC140" s="2402"/>
      <c r="BD140" s="2402"/>
      <c r="BE140" s="2402"/>
      <c r="BF140" s="1109"/>
      <c r="BG140" s="1109"/>
      <c r="BH140" s="1109"/>
      <c r="BI140" s="1109"/>
      <c r="BJ140" s="1109"/>
      <c r="BK140" s="1109"/>
      <c r="BL140" s="1109"/>
      <c r="BM140" s="1109"/>
      <c r="BN140" s="1109"/>
      <c r="BO140" s="1109"/>
      <c r="BP140" s="1109"/>
      <c r="BQ140" s="1109"/>
      <c r="BR140" s="1109"/>
      <c r="BS140" s="1109"/>
      <c r="BT140" s="2402"/>
      <c r="BU140" s="2402"/>
      <c r="BV140" s="2402"/>
      <c r="BW140" s="1109"/>
      <c r="BX140" s="1109"/>
      <c r="BY140" s="1109"/>
      <c r="BZ140" s="1109"/>
      <c r="CA140" s="1109"/>
      <c r="CB140" s="1109"/>
      <c r="CC140" s="1109"/>
      <c r="CD140" s="1109"/>
      <c r="CE140" s="1109"/>
      <c r="CF140" s="1109"/>
      <c r="CG140" s="1109"/>
      <c r="CH140" s="1109"/>
      <c r="CI140" s="1109"/>
      <c r="CJ140" s="1108"/>
      <c r="CK140" s="2402"/>
      <c r="CL140" s="2402"/>
      <c r="CM140" s="2402"/>
      <c r="CN140" s="1109"/>
      <c r="CO140" s="1109"/>
      <c r="CP140" s="1109"/>
      <c r="CQ140" s="1109"/>
      <c r="CR140" s="1109"/>
      <c r="CS140" s="1109"/>
      <c r="CT140" s="1109"/>
      <c r="CU140" s="1109"/>
      <c r="CV140" s="1109"/>
      <c r="CW140" s="1109"/>
      <c r="CX140" s="1109"/>
      <c r="CY140" s="1109"/>
      <c r="CZ140" s="1108"/>
      <c r="DA140" s="2402"/>
      <c r="DB140" s="2402"/>
      <c r="DC140" s="2402"/>
      <c r="DD140" s="1109"/>
      <c r="DE140" s="1109"/>
      <c r="DF140" s="1109"/>
      <c r="DG140" s="1109"/>
      <c r="DH140" s="1109"/>
      <c r="DI140" s="1109"/>
      <c r="DJ140" s="1109"/>
      <c r="DK140" s="1109"/>
    </row>
    <row r="141" spans="1:115" s="1577" customFormat="1">
      <c r="A141" s="1494">
        <v>3</v>
      </c>
      <c r="B141" s="2088" t="s">
        <v>1157</v>
      </c>
      <c r="C141" s="2088" t="s">
        <v>296</v>
      </c>
      <c r="D141" s="2088" t="s">
        <v>638</v>
      </c>
      <c r="E141" s="2089">
        <v>1</v>
      </c>
      <c r="F141" s="1359"/>
      <c r="G141" s="1361">
        <v>60</v>
      </c>
      <c r="H141" s="2401"/>
      <c r="I141" s="2402"/>
      <c r="J141" s="2402"/>
      <c r="K141" s="2402"/>
      <c r="L141" s="1109"/>
      <c r="M141" s="1109"/>
      <c r="N141" s="1109"/>
      <c r="O141" s="1109"/>
      <c r="P141" s="1109"/>
      <c r="Q141" s="1109"/>
      <c r="R141" s="1109"/>
      <c r="S141" s="1109"/>
      <c r="T141" s="2401"/>
      <c r="U141" s="2402"/>
      <c r="V141" s="2402"/>
      <c r="W141" s="2402"/>
      <c r="X141" s="1109"/>
      <c r="Y141" s="1109"/>
      <c r="Z141" s="1109"/>
      <c r="AA141" s="1109"/>
      <c r="AB141" s="1109"/>
      <c r="AE141" s="2409"/>
      <c r="AF141" s="2420">
        <f>AE165*(1+CE141)</f>
        <v>1591.3500000000001</v>
      </c>
      <c r="AG141" s="2406"/>
      <c r="AH141" s="2406"/>
      <c r="AI141" s="2406"/>
      <c r="AJ141" s="2406"/>
      <c r="AK141" s="1108"/>
      <c r="AL141" s="2403"/>
      <c r="AM141" s="2403"/>
      <c r="AN141" s="2403"/>
      <c r="AO141" s="1108"/>
      <c r="AP141" s="1109"/>
      <c r="AQ141" s="1109"/>
      <c r="AR141" s="1109"/>
      <c r="AS141" s="1109"/>
      <c r="AT141" s="1109"/>
      <c r="AU141" s="1109"/>
      <c r="AV141" s="2409"/>
      <c r="AW141" s="2409">
        <v>22</v>
      </c>
      <c r="AX141" s="2409"/>
      <c r="AY141" s="2409"/>
      <c r="AZ141" s="2409"/>
      <c r="BA141" s="2409"/>
      <c r="BB141" s="1108"/>
      <c r="BC141" s="2402"/>
      <c r="BD141" s="2402"/>
      <c r="BE141" s="2402"/>
      <c r="BF141" s="1109"/>
      <c r="BG141" s="1109"/>
      <c r="BH141" s="1109"/>
      <c r="BI141" s="1109"/>
      <c r="BJ141" s="1109"/>
      <c r="BK141" s="1109"/>
      <c r="BL141" s="1109"/>
      <c r="BM141" s="2165"/>
      <c r="BN141" s="2165">
        <f>$E141*AF141*AW141</f>
        <v>35009.700000000004</v>
      </c>
      <c r="BO141" s="2165"/>
      <c r="BP141" s="2165"/>
      <c r="BQ141" s="2165"/>
      <c r="BR141" s="2165"/>
      <c r="BS141" s="1109"/>
      <c r="BT141" s="2402"/>
      <c r="BU141" s="2402"/>
      <c r="BV141" s="2402"/>
      <c r="BW141" s="1109"/>
      <c r="BX141" s="1109"/>
      <c r="BY141" s="1109"/>
      <c r="BZ141" s="1109"/>
      <c r="CA141" s="1109"/>
      <c r="CB141" s="1109"/>
      <c r="CC141" s="1109"/>
      <c r="CD141" s="2407"/>
      <c r="CE141" s="2407">
        <v>0.03</v>
      </c>
      <c r="CF141" s="2407"/>
      <c r="CG141" s="2407"/>
      <c r="CH141" s="2407"/>
      <c r="CI141" s="2407"/>
      <c r="CJ141" s="1108"/>
      <c r="CK141" s="2402"/>
      <c r="CL141" s="2402"/>
      <c r="CM141" s="2402"/>
      <c r="CN141" s="1109"/>
      <c r="CO141" s="1109"/>
      <c r="CP141" s="1109"/>
      <c r="CQ141" s="1109"/>
      <c r="CR141" s="1109"/>
      <c r="CS141" s="1109"/>
      <c r="CT141" s="1109"/>
      <c r="CU141" s="1109"/>
      <c r="CV141" s="1109"/>
      <c r="CW141" s="1109"/>
      <c r="CX141" s="1109"/>
      <c r="CY141" s="1109"/>
      <c r="CZ141" s="1108"/>
      <c r="DA141" s="2402"/>
      <c r="DB141" s="2402"/>
      <c r="DC141" s="2402"/>
      <c r="DD141" s="1109"/>
      <c r="DE141" s="1109"/>
      <c r="DF141" s="1109"/>
      <c r="DG141" s="1109"/>
      <c r="DH141" s="1109"/>
      <c r="DI141" s="1109"/>
      <c r="DJ141" s="1109"/>
      <c r="DK141" s="1109"/>
    </row>
    <row r="142" spans="1:115" s="1577" customFormat="1">
      <c r="A142" s="1494">
        <v>3</v>
      </c>
      <c r="B142" s="2088" t="s">
        <v>701</v>
      </c>
      <c r="C142" s="2088" t="s">
        <v>296</v>
      </c>
      <c r="D142" s="2088" t="s">
        <v>638</v>
      </c>
      <c r="E142" s="2089">
        <v>1</v>
      </c>
      <c r="F142" s="1359"/>
      <c r="G142" s="1361">
        <v>60</v>
      </c>
      <c r="H142" s="2401"/>
      <c r="I142" s="2402"/>
      <c r="J142" s="2402"/>
      <c r="K142" s="2402"/>
      <c r="L142" s="1109"/>
      <c r="M142" s="1109"/>
      <c r="N142" s="1109"/>
      <c r="O142" s="1109"/>
      <c r="P142" s="1109"/>
      <c r="Q142" s="1109"/>
      <c r="R142" s="1109"/>
      <c r="S142" s="1109"/>
      <c r="T142" s="2401"/>
      <c r="U142" s="2402"/>
      <c r="V142" s="2402"/>
      <c r="W142" s="2402"/>
      <c r="X142" s="1109"/>
      <c r="Y142" s="1109"/>
      <c r="Z142" s="1109"/>
      <c r="AA142" s="1109"/>
      <c r="AB142" s="1109"/>
      <c r="AE142" s="2406"/>
      <c r="AF142" s="2420">
        <f>AE166*(1+CE142)</f>
        <v>1591.3500000000001</v>
      </c>
      <c r="AG142" s="2406"/>
      <c r="AH142" s="2406"/>
      <c r="AI142" s="2406"/>
      <c r="AJ142" s="2406"/>
      <c r="AK142" s="1108"/>
      <c r="AL142" s="2403"/>
      <c r="AM142" s="2403"/>
      <c r="AN142" s="2403"/>
      <c r="AO142" s="1108"/>
      <c r="AP142" s="1109"/>
      <c r="AQ142" s="1109"/>
      <c r="AR142" s="1109"/>
      <c r="AS142" s="1109"/>
      <c r="AT142" s="1109"/>
      <c r="AU142" s="1109"/>
      <c r="AV142" s="2409"/>
      <c r="AW142" s="2409">
        <v>24</v>
      </c>
      <c r="AX142" s="2409"/>
      <c r="AY142" s="2409"/>
      <c r="AZ142" s="2409"/>
      <c r="BA142" s="2409"/>
      <c r="BB142" s="1108"/>
      <c r="BC142" s="2402"/>
      <c r="BD142" s="2402"/>
      <c r="BE142" s="2402"/>
      <c r="BF142" s="1109"/>
      <c r="BG142" s="1109"/>
      <c r="BH142" s="1109"/>
      <c r="BI142" s="1109"/>
      <c r="BJ142" s="1109"/>
      <c r="BK142" s="1109"/>
      <c r="BL142" s="1109"/>
      <c r="BM142" s="2165"/>
      <c r="BN142" s="2165">
        <f t="shared" ref="BN142:BN155" si="12">$E142*AF142*AW142</f>
        <v>38192.400000000001</v>
      </c>
      <c r="BO142" s="2165"/>
      <c r="BP142" s="2165"/>
      <c r="BQ142" s="2165"/>
      <c r="BR142" s="2165"/>
      <c r="BS142" s="1109"/>
      <c r="BT142" s="2402"/>
      <c r="BU142" s="2402"/>
      <c r="BV142" s="2402"/>
      <c r="BW142" s="1109"/>
      <c r="BX142" s="1109"/>
      <c r="BY142" s="1109"/>
      <c r="BZ142" s="1109"/>
      <c r="CA142" s="1109"/>
      <c r="CB142" s="1109"/>
      <c r="CC142" s="1109"/>
      <c r="CD142" s="2407"/>
      <c r="CE142" s="2407">
        <v>0.03</v>
      </c>
      <c r="CF142" s="2407"/>
      <c r="CG142" s="2407"/>
      <c r="CH142" s="2407"/>
      <c r="CI142" s="2407"/>
      <c r="CJ142" s="1108"/>
      <c r="CK142" s="2402"/>
      <c r="CL142" s="2402"/>
      <c r="CM142" s="2402"/>
      <c r="CN142" s="1109"/>
      <c r="CO142" s="1109"/>
      <c r="CP142" s="1109"/>
      <c r="CQ142" s="1109"/>
      <c r="CR142" s="1109"/>
      <c r="CS142" s="1109"/>
      <c r="CT142" s="1109"/>
      <c r="CU142" s="1109"/>
      <c r="CV142" s="1109"/>
      <c r="CW142" s="1109"/>
      <c r="CX142" s="1109"/>
      <c r="CY142" s="1109"/>
      <c r="CZ142" s="1108"/>
      <c r="DA142" s="2402"/>
      <c r="DB142" s="2402"/>
      <c r="DC142" s="2402"/>
      <c r="DD142" s="1109"/>
      <c r="DE142" s="1109"/>
      <c r="DF142" s="1109"/>
      <c r="DG142" s="1109"/>
      <c r="DH142" s="1109"/>
      <c r="DI142" s="1109"/>
      <c r="DJ142" s="1109"/>
      <c r="DK142" s="1109"/>
    </row>
    <row r="143" spans="1:115" s="1577" customFormat="1">
      <c r="A143" s="1494">
        <v>10</v>
      </c>
      <c r="B143" s="2088" t="s">
        <v>1461</v>
      </c>
      <c r="C143" s="2088" t="s">
        <v>296</v>
      </c>
      <c r="D143" s="2088" t="s">
        <v>638</v>
      </c>
      <c r="E143" s="2089">
        <v>1</v>
      </c>
      <c r="F143" s="1359"/>
      <c r="G143" s="1361">
        <v>60</v>
      </c>
      <c r="H143" s="2401"/>
      <c r="I143" s="2402"/>
      <c r="J143" s="2402"/>
      <c r="K143" s="2402"/>
      <c r="L143" s="1109"/>
      <c r="M143" s="1109"/>
      <c r="N143" s="1109"/>
      <c r="O143" s="1109"/>
      <c r="P143" s="1109"/>
      <c r="Q143" s="1109"/>
      <c r="R143" s="1109"/>
      <c r="S143" s="1109"/>
      <c r="T143" s="2401"/>
      <c r="U143" s="2402"/>
      <c r="V143" s="2402"/>
      <c r="W143" s="2402"/>
      <c r="X143" s="1109"/>
      <c r="Y143" s="1109"/>
      <c r="Z143" s="1109"/>
      <c r="AA143" s="1109"/>
      <c r="AB143" s="1109"/>
      <c r="AE143" s="2406"/>
      <c r="AF143" s="2420">
        <f>AE168*(1+CE143)</f>
        <v>3101.0581487525001</v>
      </c>
      <c r="AG143" s="2406"/>
      <c r="AH143" s="2406"/>
      <c r="AI143" s="2406"/>
      <c r="AJ143" s="2406"/>
      <c r="AK143" s="1108"/>
      <c r="AL143" s="2403"/>
      <c r="AM143" s="2403"/>
      <c r="AN143" s="2403"/>
      <c r="AO143" s="1108"/>
      <c r="AP143" s="1109"/>
      <c r="AQ143" s="1109"/>
      <c r="AR143" s="1109"/>
      <c r="AS143" s="1109"/>
      <c r="AT143" s="1109"/>
      <c r="AU143" s="1109"/>
      <c r="AV143" s="2409"/>
      <c r="AW143" s="2409">
        <v>24</v>
      </c>
      <c r="AX143" s="2409"/>
      <c r="AY143" s="2409"/>
      <c r="AZ143" s="2409"/>
      <c r="BA143" s="2409"/>
      <c r="BB143" s="1108"/>
      <c r="BC143" s="2402"/>
      <c r="BD143" s="2402"/>
      <c r="BE143" s="2402"/>
      <c r="BF143" s="1109"/>
      <c r="BG143" s="1109"/>
      <c r="BH143" s="1109"/>
      <c r="BI143" s="1109"/>
      <c r="BJ143" s="1109"/>
      <c r="BK143" s="1109"/>
      <c r="BL143" s="1109"/>
      <c r="BM143" s="2165"/>
      <c r="BN143" s="2165">
        <f t="shared" si="12"/>
        <v>74425.395570060005</v>
      </c>
      <c r="BO143" s="2165"/>
      <c r="BP143" s="2165"/>
      <c r="BQ143" s="2165"/>
      <c r="BR143" s="2165"/>
      <c r="BS143" s="1109"/>
      <c r="BT143" s="2402"/>
      <c r="BU143" s="2402"/>
      <c r="BV143" s="2402"/>
      <c r="BW143" s="1109"/>
      <c r="BX143" s="1109"/>
      <c r="BY143" s="1109"/>
      <c r="BZ143" s="1109"/>
      <c r="CA143" s="1109"/>
      <c r="CB143" s="1109"/>
      <c r="CC143" s="1109"/>
      <c r="CD143" s="2407"/>
      <c r="CE143" s="2407">
        <v>0.03</v>
      </c>
      <c r="CF143" s="2407"/>
      <c r="CG143" s="2407"/>
      <c r="CH143" s="2407"/>
      <c r="CI143" s="2407"/>
      <c r="CJ143" s="1108"/>
      <c r="CK143" s="2402"/>
      <c r="CL143" s="2402"/>
      <c r="CM143" s="2402"/>
      <c r="CN143" s="1109"/>
      <c r="CO143" s="1109"/>
      <c r="CP143" s="1109"/>
      <c r="CQ143" s="1109"/>
      <c r="CR143" s="1109"/>
      <c r="CS143" s="1109"/>
      <c r="CT143" s="1109"/>
      <c r="CU143" s="1109"/>
      <c r="CV143" s="1109"/>
      <c r="CW143" s="1109"/>
      <c r="CX143" s="1109"/>
      <c r="CY143" s="1109"/>
      <c r="CZ143" s="1108"/>
      <c r="DA143" s="2402"/>
      <c r="DB143" s="2402"/>
      <c r="DC143" s="2402"/>
      <c r="DD143" s="1109"/>
      <c r="DE143" s="1109"/>
      <c r="DF143" s="1109"/>
      <c r="DG143" s="1109"/>
      <c r="DH143" s="1109"/>
      <c r="DI143" s="1109"/>
      <c r="DJ143" s="1109"/>
      <c r="DK143" s="1109"/>
    </row>
    <row r="144" spans="1:115" s="1577" customFormat="1">
      <c r="A144" s="1494">
        <v>13</v>
      </c>
      <c r="B144" s="2088" t="s">
        <v>1477</v>
      </c>
      <c r="C144" s="2088" t="s">
        <v>296</v>
      </c>
      <c r="D144" s="2088" t="s">
        <v>638</v>
      </c>
      <c r="E144" s="2089">
        <v>1</v>
      </c>
      <c r="F144" s="1359"/>
      <c r="G144" s="1361">
        <v>45</v>
      </c>
      <c r="H144" s="2401"/>
      <c r="I144" s="2402"/>
      <c r="J144" s="2402"/>
      <c r="K144" s="2402"/>
      <c r="L144" s="1109"/>
      <c r="M144" s="1109"/>
      <c r="N144" s="1109"/>
      <c r="O144" s="1109"/>
      <c r="P144" s="1109"/>
      <c r="Q144" s="1109"/>
      <c r="R144" s="1109"/>
      <c r="S144" s="1109"/>
      <c r="T144" s="2401"/>
      <c r="U144" s="2402"/>
      <c r="V144" s="2402"/>
      <c r="W144" s="2402"/>
      <c r="X144" s="1109"/>
      <c r="Y144" s="1109"/>
      <c r="Z144" s="1109"/>
      <c r="AA144" s="1109"/>
      <c r="AB144" s="1109"/>
      <c r="AE144" s="2406"/>
      <c r="AF144" s="2420">
        <f>AE169*(1+CE144)</f>
        <v>3101.0581487525001</v>
      </c>
      <c r="AG144" s="2406"/>
      <c r="AH144" s="2406"/>
      <c r="AI144" s="2406"/>
      <c r="AJ144" s="2406"/>
      <c r="AK144" s="1108"/>
      <c r="AL144" s="2403"/>
      <c r="AM144" s="2403"/>
      <c r="AN144" s="2403"/>
      <c r="AO144" s="1108"/>
      <c r="AP144" s="1109"/>
      <c r="AQ144" s="1109"/>
      <c r="AR144" s="1109"/>
      <c r="AS144" s="1109"/>
      <c r="AT144" s="1109"/>
      <c r="AU144" s="1109"/>
      <c r="AV144" s="2409"/>
      <c r="AW144" s="2409">
        <v>22</v>
      </c>
      <c r="AX144" s="2409"/>
      <c r="AY144" s="2409"/>
      <c r="AZ144" s="2409"/>
      <c r="BA144" s="2409"/>
      <c r="BB144" s="1108"/>
      <c r="BC144" s="2402"/>
      <c r="BD144" s="2402"/>
      <c r="BE144" s="2402"/>
      <c r="BF144" s="1109"/>
      <c r="BG144" s="1109"/>
      <c r="BH144" s="1109"/>
      <c r="BI144" s="1109"/>
      <c r="BJ144" s="1109"/>
      <c r="BK144" s="1109"/>
      <c r="BL144" s="1109"/>
      <c r="BM144" s="2165"/>
      <c r="BN144" s="2165">
        <f t="shared" si="12"/>
        <v>68223.279272554995</v>
      </c>
      <c r="BO144" s="2165"/>
      <c r="BP144" s="2165"/>
      <c r="BQ144" s="2165"/>
      <c r="BR144" s="2165"/>
      <c r="BS144" s="1109"/>
      <c r="BT144" s="2402"/>
      <c r="BU144" s="2402"/>
      <c r="BV144" s="2402"/>
      <c r="BW144" s="1109"/>
      <c r="BX144" s="1109"/>
      <c r="BY144" s="1109"/>
      <c r="BZ144" s="1109"/>
      <c r="CA144" s="1109"/>
      <c r="CB144" s="1109"/>
      <c r="CC144" s="1109"/>
      <c r="CD144" s="2407"/>
      <c r="CE144" s="2407">
        <v>0.03</v>
      </c>
      <c r="CF144" s="2407"/>
      <c r="CG144" s="2407"/>
      <c r="CH144" s="2407"/>
      <c r="CI144" s="2407"/>
      <c r="CJ144" s="1108"/>
      <c r="CK144" s="2402"/>
      <c r="CL144" s="2402"/>
      <c r="CM144" s="2402"/>
      <c r="CN144" s="1109"/>
      <c r="CO144" s="1109"/>
      <c r="CP144" s="1109"/>
      <c r="CQ144" s="1109"/>
      <c r="CR144" s="1109"/>
      <c r="CS144" s="1109"/>
      <c r="CT144" s="1109"/>
      <c r="CU144" s="1109"/>
      <c r="CV144" s="1109"/>
      <c r="CW144" s="1109"/>
      <c r="CX144" s="1109"/>
      <c r="CY144" s="1109"/>
      <c r="CZ144" s="1108"/>
      <c r="DA144" s="2402"/>
      <c r="DB144" s="2402"/>
      <c r="DC144" s="2402"/>
      <c r="DD144" s="1109"/>
      <c r="DE144" s="1109"/>
      <c r="DF144" s="1109"/>
      <c r="DG144" s="1109"/>
      <c r="DH144" s="1109"/>
      <c r="DI144" s="1109"/>
      <c r="DJ144" s="1109"/>
      <c r="DK144" s="1109"/>
    </row>
    <row r="145" spans="1:115" s="1577" customFormat="1">
      <c r="A145" s="1494">
        <v>9</v>
      </c>
      <c r="B145" s="2088" t="s">
        <v>299</v>
      </c>
      <c r="C145" s="2088" t="s">
        <v>296</v>
      </c>
      <c r="D145" s="2088" t="s">
        <v>638</v>
      </c>
      <c r="E145" s="2089">
        <v>1</v>
      </c>
      <c r="F145" s="1359"/>
      <c r="G145" s="1361">
        <v>60</v>
      </c>
      <c r="H145" s="2401"/>
      <c r="I145" s="2402"/>
      <c r="J145" s="2402"/>
      <c r="K145" s="2402"/>
      <c r="L145" s="1109"/>
      <c r="M145" s="1109"/>
      <c r="N145" s="1109"/>
      <c r="O145" s="1109"/>
      <c r="P145" s="1109"/>
      <c r="Q145" s="1109"/>
      <c r="R145" s="1109"/>
      <c r="S145" s="1109"/>
      <c r="T145" s="2401"/>
      <c r="U145" s="2402"/>
      <c r="V145" s="2402"/>
      <c r="W145" s="2402"/>
      <c r="X145" s="1109"/>
      <c r="Y145" s="1109"/>
      <c r="Z145" s="1109"/>
      <c r="AA145" s="1109"/>
      <c r="AB145" s="1109"/>
      <c r="AE145" s="2406"/>
      <c r="AF145" s="2420">
        <f>AE171*(1+CE145)</f>
        <v>3101.0581487525001</v>
      </c>
      <c r="AG145" s="2406"/>
      <c r="AH145" s="2406"/>
      <c r="AI145" s="2406"/>
      <c r="AJ145" s="2406"/>
      <c r="AK145" s="1108"/>
      <c r="AL145" s="2403"/>
      <c r="AM145" s="2403"/>
      <c r="AN145" s="2403"/>
      <c r="AO145" s="1108"/>
      <c r="AP145" s="1109"/>
      <c r="AQ145" s="1109"/>
      <c r="AR145" s="1109"/>
      <c r="AS145" s="1109"/>
      <c r="AT145" s="1109"/>
      <c r="AU145" s="1109"/>
      <c r="AV145" s="2409"/>
      <c r="AW145" s="2409">
        <v>24</v>
      </c>
      <c r="AX145" s="2409"/>
      <c r="AY145" s="2409"/>
      <c r="AZ145" s="2409"/>
      <c r="BA145" s="2409"/>
      <c r="BB145" s="1108"/>
      <c r="BC145" s="2402"/>
      <c r="BD145" s="2402"/>
      <c r="BE145" s="2402"/>
      <c r="BF145" s="1109"/>
      <c r="BG145" s="1109"/>
      <c r="BH145" s="1109"/>
      <c r="BI145" s="1109"/>
      <c r="BJ145" s="1109"/>
      <c r="BK145" s="1109"/>
      <c r="BL145" s="1109"/>
      <c r="BM145" s="2165"/>
      <c r="BN145" s="2165">
        <f t="shared" si="12"/>
        <v>74425.395570060005</v>
      </c>
      <c r="BO145" s="2165"/>
      <c r="BP145" s="2165"/>
      <c r="BQ145" s="2165"/>
      <c r="BR145" s="2165"/>
      <c r="BS145" s="1109"/>
      <c r="BT145" s="2402"/>
      <c r="BU145" s="2402"/>
      <c r="BV145" s="2402"/>
      <c r="BW145" s="1109"/>
      <c r="BX145" s="1109"/>
      <c r="BY145" s="1109"/>
      <c r="BZ145" s="1109"/>
      <c r="CA145" s="1109"/>
      <c r="CB145" s="1109"/>
      <c r="CC145" s="1109"/>
      <c r="CD145" s="2407"/>
      <c r="CE145" s="2407">
        <v>0.03</v>
      </c>
      <c r="CF145" s="2407"/>
      <c r="CG145" s="2407"/>
      <c r="CH145" s="2407"/>
      <c r="CI145" s="2407"/>
      <c r="CJ145" s="1108"/>
      <c r="CK145" s="2402"/>
      <c r="CL145" s="2402"/>
      <c r="CM145" s="2402"/>
      <c r="CN145" s="1109"/>
      <c r="CO145" s="1109"/>
      <c r="CP145" s="1109"/>
      <c r="CQ145" s="1109"/>
      <c r="CR145" s="1109"/>
      <c r="CS145" s="1109"/>
      <c r="CT145" s="1109"/>
      <c r="CU145" s="1109"/>
      <c r="CV145" s="1109"/>
      <c r="CW145" s="1109"/>
      <c r="CX145" s="1109"/>
      <c r="CY145" s="1109"/>
      <c r="CZ145" s="1108"/>
      <c r="DA145" s="2402"/>
      <c r="DB145" s="2402"/>
      <c r="DC145" s="2402"/>
      <c r="DD145" s="1109"/>
      <c r="DE145" s="1109"/>
      <c r="DF145" s="1109"/>
      <c r="DG145" s="1109"/>
      <c r="DH145" s="1109"/>
      <c r="DI145" s="1109"/>
      <c r="DJ145" s="1109"/>
      <c r="DK145" s="1109"/>
    </row>
    <row r="146" spans="1:115" s="1577" customFormat="1">
      <c r="A146" s="1494">
        <v>4</v>
      </c>
      <c r="B146" s="2088" t="s">
        <v>300</v>
      </c>
      <c r="C146" s="2088" t="s">
        <v>296</v>
      </c>
      <c r="D146" s="2088" t="s">
        <v>638</v>
      </c>
      <c r="E146" s="2089">
        <v>1</v>
      </c>
      <c r="F146" s="1359"/>
      <c r="G146" s="1361">
        <v>60</v>
      </c>
      <c r="H146" s="2401"/>
      <c r="I146" s="2402"/>
      <c r="J146" s="2402"/>
      <c r="K146" s="2402"/>
      <c r="L146" s="1109"/>
      <c r="M146" s="1109"/>
      <c r="N146" s="1109"/>
      <c r="O146" s="1109"/>
      <c r="P146" s="1109"/>
      <c r="Q146" s="1109"/>
      <c r="R146" s="1109"/>
      <c r="S146" s="1109"/>
      <c r="T146" s="2401"/>
      <c r="U146" s="2402"/>
      <c r="V146" s="2402"/>
      <c r="W146" s="2402"/>
      <c r="X146" s="1109"/>
      <c r="Y146" s="1109"/>
      <c r="Z146" s="1109"/>
      <c r="AA146" s="1109"/>
      <c r="AB146" s="1109"/>
      <c r="AE146" s="2406"/>
      <c r="AF146" s="2420">
        <f>AE172*(1+CE146)</f>
        <v>2731.8175000000001</v>
      </c>
      <c r="AG146" s="2406"/>
      <c r="AH146" s="2406"/>
      <c r="AI146" s="2406"/>
      <c r="AJ146" s="2406"/>
      <c r="AK146" s="1108"/>
      <c r="AL146" s="2403"/>
      <c r="AM146" s="2403"/>
      <c r="AN146" s="2403"/>
      <c r="AO146" s="1108"/>
      <c r="AP146" s="1109"/>
      <c r="AQ146" s="1109"/>
      <c r="AR146" s="1109"/>
      <c r="AS146" s="1109"/>
      <c r="AT146" s="1109"/>
      <c r="AU146" s="1109"/>
      <c r="AV146" s="2409"/>
      <c r="AW146" s="2409">
        <v>24</v>
      </c>
      <c r="AX146" s="2409"/>
      <c r="AY146" s="2409"/>
      <c r="AZ146" s="2409"/>
      <c r="BA146" s="2409"/>
      <c r="BB146" s="1108"/>
      <c r="BC146" s="2402"/>
      <c r="BD146" s="2402"/>
      <c r="BE146" s="2402"/>
      <c r="BF146" s="1109"/>
      <c r="BG146" s="1109"/>
      <c r="BH146" s="1109"/>
      <c r="BI146" s="1109"/>
      <c r="BJ146" s="1109"/>
      <c r="BK146" s="1109"/>
      <c r="BL146" s="1109"/>
      <c r="BM146" s="2165"/>
      <c r="BN146" s="2165">
        <f t="shared" si="12"/>
        <v>65563.62</v>
      </c>
      <c r="BO146" s="2165"/>
      <c r="BP146" s="2165"/>
      <c r="BQ146" s="2165"/>
      <c r="BR146" s="2165"/>
      <c r="BS146" s="1109"/>
      <c r="BT146" s="2402"/>
      <c r="BU146" s="2402"/>
      <c r="BV146" s="2402"/>
      <c r="BW146" s="1109"/>
      <c r="BX146" s="1109"/>
      <c r="BY146" s="1109"/>
      <c r="BZ146" s="1109"/>
      <c r="CA146" s="1109"/>
      <c r="CB146" s="1109"/>
      <c r="CC146" s="1109"/>
      <c r="CD146" s="2407"/>
      <c r="CE146" s="2407">
        <v>0.03</v>
      </c>
      <c r="CF146" s="2407"/>
      <c r="CG146" s="2407"/>
      <c r="CH146" s="2407"/>
      <c r="CI146" s="2407"/>
      <c r="CJ146" s="1108"/>
      <c r="CK146" s="2402"/>
      <c r="CL146" s="2402"/>
      <c r="CM146" s="2402"/>
      <c r="CN146" s="1109"/>
      <c r="CO146" s="1109"/>
      <c r="CP146" s="1109"/>
      <c r="CQ146" s="1109"/>
      <c r="CR146" s="1109"/>
      <c r="CS146" s="1109"/>
      <c r="CT146" s="1109"/>
      <c r="CU146" s="1109"/>
      <c r="CV146" s="1109"/>
      <c r="CW146" s="1109"/>
      <c r="CX146" s="1109"/>
      <c r="CY146" s="1109"/>
      <c r="CZ146" s="1108"/>
      <c r="DA146" s="2402"/>
      <c r="DB146" s="2402"/>
      <c r="DC146" s="2402"/>
      <c r="DD146" s="1109"/>
      <c r="DE146" s="1109"/>
      <c r="DF146" s="1109"/>
      <c r="DG146" s="1109"/>
      <c r="DH146" s="1109"/>
      <c r="DI146" s="1109"/>
      <c r="DJ146" s="1109"/>
      <c r="DK146" s="1109"/>
    </row>
    <row r="147" spans="1:115" s="1577" customFormat="1">
      <c r="A147" s="1494">
        <v>4</v>
      </c>
      <c r="B147" s="2088" t="s">
        <v>292</v>
      </c>
      <c r="C147" s="2088" t="s">
        <v>296</v>
      </c>
      <c r="D147" s="2088" t="s">
        <v>638</v>
      </c>
      <c r="E147" s="2089">
        <v>1</v>
      </c>
      <c r="F147" s="1359"/>
      <c r="G147" s="1361">
        <v>60</v>
      </c>
      <c r="H147" s="2401"/>
      <c r="I147" s="2402"/>
      <c r="J147" s="2402"/>
      <c r="K147" s="2402"/>
      <c r="L147" s="1109"/>
      <c r="M147" s="1109"/>
      <c r="N147" s="1109"/>
      <c r="O147" s="1109"/>
      <c r="P147" s="1109"/>
      <c r="Q147" s="1109"/>
      <c r="R147" s="1109"/>
      <c r="S147" s="1109"/>
      <c r="T147" s="2401"/>
      <c r="U147" s="2402"/>
      <c r="V147" s="2402"/>
      <c r="W147" s="2402"/>
      <c r="X147" s="1109"/>
      <c r="Y147" s="1109"/>
      <c r="Z147" s="1109"/>
      <c r="AA147" s="1109"/>
      <c r="AB147" s="1109"/>
      <c r="AE147" s="2406"/>
      <c r="AF147" s="2420">
        <f>AE174*(1+CE147)</f>
        <v>1639.0905000000002</v>
      </c>
      <c r="AG147" s="2406"/>
      <c r="AH147" s="2406"/>
      <c r="AI147" s="2406"/>
      <c r="AJ147" s="2406"/>
      <c r="AK147" s="1108"/>
      <c r="AL147" s="2403"/>
      <c r="AM147" s="2403"/>
      <c r="AN147" s="2403"/>
      <c r="AO147" s="1108"/>
      <c r="AP147" s="1109"/>
      <c r="AQ147" s="1109"/>
      <c r="AR147" s="1109"/>
      <c r="AS147" s="1109"/>
      <c r="AT147" s="1109"/>
      <c r="AU147" s="1109"/>
      <c r="AV147" s="2409"/>
      <c r="AW147" s="2409">
        <v>22</v>
      </c>
      <c r="AX147" s="2409"/>
      <c r="AY147" s="2409"/>
      <c r="AZ147" s="2409"/>
      <c r="BA147" s="2409"/>
      <c r="BB147" s="1108"/>
      <c r="BC147" s="2402"/>
      <c r="BD147" s="2402"/>
      <c r="BE147" s="2402"/>
      <c r="BF147" s="1109"/>
      <c r="BG147" s="1109"/>
      <c r="BH147" s="1109"/>
      <c r="BI147" s="1109"/>
      <c r="BJ147" s="1109"/>
      <c r="BK147" s="1109"/>
      <c r="BL147" s="1109"/>
      <c r="BM147" s="2165"/>
      <c r="BN147" s="2165">
        <f t="shared" si="12"/>
        <v>36059.991000000009</v>
      </c>
      <c r="BO147" s="2165"/>
      <c r="BP147" s="2165"/>
      <c r="BQ147" s="2165"/>
      <c r="BR147" s="2165"/>
      <c r="BS147" s="1109"/>
      <c r="BT147" s="2402"/>
      <c r="BU147" s="2402"/>
      <c r="BV147" s="2402"/>
      <c r="BW147" s="1109"/>
      <c r="BX147" s="1109"/>
      <c r="BY147" s="1109"/>
      <c r="BZ147" s="1109"/>
      <c r="CA147" s="1109"/>
      <c r="CB147" s="1109"/>
      <c r="CC147" s="1109"/>
      <c r="CD147" s="2407"/>
      <c r="CE147" s="2407">
        <v>0.03</v>
      </c>
      <c r="CF147" s="2407"/>
      <c r="CG147" s="2407"/>
      <c r="CH147" s="2407"/>
      <c r="CI147" s="2407"/>
      <c r="CJ147" s="1108"/>
      <c r="CK147" s="2402"/>
      <c r="CL147" s="2402"/>
      <c r="CM147" s="2402"/>
      <c r="CN147" s="1109"/>
      <c r="CO147" s="1109"/>
      <c r="CP147" s="1109"/>
      <c r="CQ147" s="1109"/>
      <c r="CR147" s="1109"/>
      <c r="CS147" s="1109"/>
      <c r="CT147" s="1109"/>
      <c r="CU147" s="1109"/>
      <c r="CV147" s="1109"/>
      <c r="CW147" s="1109"/>
      <c r="CX147" s="1109"/>
      <c r="CY147" s="1109"/>
      <c r="CZ147" s="1108"/>
      <c r="DA147" s="2402"/>
      <c r="DB147" s="2402"/>
      <c r="DC147" s="2402"/>
      <c r="DD147" s="1109"/>
      <c r="DE147" s="1109"/>
      <c r="DF147" s="1109"/>
      <c r="DG147" s="1109"/>
      <c r="DH147" s="1109"/>
      <c r="DI147" s="1109"/>
      <c r="DJ147" s="1109"/>
      <c r="DK147" s="1109"/>
    </row>
    <row r="148" spans="1:115" s="1577" customFormat="1">
      <c r="A148" s="1494">
        <v>7</v>
      </c>
      <c r="B148" s="2088" t="s">
        <v>613</v>
      </c>
      <c r="C148" s="2088" t="s">
        <v>296</v>
      </c>
      <c r="D148" s="2088" t="s">
        <v>638</v>
      </c>
      <c r="E148" s="2089">
        <v>1</v>
      </c>
      <c r="F148" s="1359"/>
      <c r="G148" s="1361">
        <v>30</v>
      </c>
      <c r="H148" s="2401"/>
      <c r="I148" s="2402"/>
      <c r="J148" s="2402"/>
      <c r="K148" s="2402"/>
      <c r="L148" s="1109"/>
      <c r="M148" s="1109"/>
      <c r="N148" s="1109"/>
      <c r="O148" s="1109"/>
      <c r="P148" s="1109"/>
      <c r="Q148" s="1109"/>
      <c r="R148" s="1109"/>
      <c r="S148" s="1109"/>
      <c r="T148" s="2401"/>
      <c r="U148" s="2402"/>
      <c r="V148" s="2402"/>
      <c r="W148" s="2402"/>
      <c r="X148" s="1109"/>
      <c r="Y148" s="1109"/>
      <c r="Z148" s="1109"/>
      <c r="AA148" s="1109"/>
      <c r="AB148" s="1109"/>
      <c r="AE148" s="2406"/>
      <c r="AF148" s="2420">
        <f>AE173*(1+CE148)</f>
        <v>2480.8465190020011</v>
      </c>
      <c r="AG148" s="2406"/>
      <c r="AH148" s="2406"/>
      <c r="AI148" s="2406"/>
      <c r="AJ148" s="2406"/>
      <c r="AK148" s="1108"/>
      <c r="AL148" s="2403"/>
      <c r="AM148" s="2403"/>
      <c r="AN148" s="2403"/>
      <c r="AO148" s="1108"/>
      <c r="AP148" s="1109"/>
      <c r="AQ148" s="1109"/>
      <c r="AR148" s="1109"/>
      <c r="AS148" s="1109"/>
      <c r="AT148" s="1109"/>
      <c r="AU148" s="1109"/>
      <c r="AV148" s="2409"/>
      <c r="AW148" s="2409">
        <v>13</v>
      </c>
      <c r="AX148" s="2409"/>
      <c r="AY148" s="2409"/>
      <c r="AZ148" s="2409"/>
      <c r="BA148" s="2409"/>
      <c r="BB148" s="1108"/>
      <c r="BC148" s="2402"/>
      <c r="BD148" s="2402"/>
      <c r="BE148" s="2402"/>
      <c r="BF148" s="1109"/>
      <c r="BG148" s="1109"/>
      <c r="BH148" s="1109"/>
      <c r="BI148" s="1109"/>
      <c r="BJ148" s="1109"/>
      <c r="BK148" s="1109"/>
      <c r="BL148" s="1109"/>
      <c r="BM148" s="2165"/>
      <c r="BN148" s="2165">
        <f t="shared" si="12"/>
        <v>32251.004747026014</v>
      </c>
      <c r="BO148" s="2165"/>
      <c r="BP148" s="2165"/>
      <c r="BQ148" s="2165"/>
      <c r="BR148" s="2165"/>
      <c r="BS148" s="1109"/>
      <c r="BT148" s="2402"/>
      <c r="BU148" s="2402"/>
      <c r="BV148" s="2402"/>
      <c r="BW148" s="1109"/>
      <c r="BX148" s="1109"/>
      <c r="BY148" s="1109"/>
      <c r="BZ148" s="1109"/>
      <c r="CA148" s="1109"/>
      <c r="CB148" s="1109"/>
      <c r="CC148" s="1109"/>
      <c r="CD148" s="2407"/>
      <c r="CE148" s="2407">
        <v>0.03</v>
      </c>
      <c r="CF148" s="2407"/>
      <c r="CG148" s="2407"/>
      <c r="CH148" s="2407"/>
      <c r="CI148" s="2407"/>
      <c r="CJ148" s="1108"/>
      <c r="CK148" s="2402"/>
      <c r="CL148" s="2402"/>
      <c r="CM148" s="2402"/>
      <c r="CN148" s="1109"/>
      <c r="CO148" s="1109"/>
      <c r="CP148" s="1109"/>
      <c r="CQ148" s="1109"/>
      <c r="CR148" s="1109"/>
      <c r="CS148" s="1109"/>
      <c r="CT148" s="1109"/>
      <c r="CU148" s="1109"/>
      <c r="CV148" s="1109"/>
      <c r="CW148" s="1109"/>
      <c r="CX148" s="1109"/>
      <c r="CY148" s="1109"/>
      <c r="CZ148" s="1108"/>
      <c r="DA148" s="2402"/>
      <c r="DB148" s="2402"/>
      <c r="DC148" s="2402"/>
      <c r="DD148" s="1109"/>
      <c r="DE148" s="1109"/>
      <c r="DF148" s="1109"/>
      <c r="DG148" s="1109"/>
      <c r="DH148" s="1109"/>
      <c r="DI148" s="1109"/>
      <c r="DJ148" s="1109"/>
      <c r="DK148" s="1109"/>
    </row>
    <row r="149" spans="1:115" s="1577" customFormat="1">
      <c r="A149" s="1494">
        <v>5</v>
      </c>
      <c r="B149" s="2418">
        <v>90210</v>
      </c>
      <c r="C149" s="2088" t="s">
        <v>296</v>
      </c>
      <c r="D149" s="2088" t="s">
        <v>595</v>
      </c>
      <c r="E149" s="2089">
        <v>1</v>
      </c>
      <c r="F149" s="1359"/>
      <c r="G149" s="1361">
        <v>60</v>
      </c>
      <c r="H149" s="2401"/>
      <c r="I149" s="2402"/>
      <c r="J149" s="2402"/>
      <c r="K149" s="2402"/>
      <c r="L149" s="1109"/>
      <c r="M149" s="1109"/>
      <c r="N149" s="1109"/>
      <c r="O149" s="1109"/>
      <c r="P149" s="1109"/>
      <c r="Q149" s="1109"/>
      <c r="R149" s="1109"/>
      <c r="S149" s="1109"/>
      <c r="T149" s="2401"/>
      <c r="U149" s="2402"/>
      <c r="V149" s="2402"/>
      <c r="W149" s="2402"/>
      <c r="X149" s="1109"/>
      <c r="Y149" s="1109"/>
      <c r="Z149" s="1109"/>
      <c r="AA149" s="1109"/>
      <c r="AB149" s="1109"/>
      <c r="AE149" s="2406"/>
      <c r="AF149" s="2420">
        <f>AE175*(1+CE149)</f>
        <v>2251.0176200000001</v>
      </c>
      <c r="AG149" s="2406"/>
      <c r="AH149" s="2406"/>
      <c r="AI149" s="2406"/>
      <c r="AJ149" s="2406"/>
      <c r="AK149" s="1108"/>
      <c r="AL149" s="2403"/>
      <c r="AM149" s="2403"/>
      <c r="AN149" s="2403"/>
      <c r="AO149" s="1108"/>
      <c r="AP149" s="1109"/>
      <c r="AQ149" s="1109"/>
      <c r="AR149" s="1109"/>
      <c r="AS149" s="1109"/>
      <c r="AT149" s="1109"/>
      <c r="AU149" s="1109"/>
      <c r="AV149" s="2409"/>
      <c r="AW149" s="2409">
        <v>22</v>
      </c>
      <c r="AX149" s="2409"/>
      <c r="AY149" s="2409"/>
      <c r="AZ149" s="2409"/>
      <c r="BA149" s="2409"/>
      <c r="BB149" s="1108"/>
      <c r="BC149" s="2402"/>
      <c r="BD149" s="2402"/>
      <c r="BE149" s="2402"/>
      <c r="BF149" s="1109"/>
      <c r="BG149" s="1109"/>
      <c r="BH149" s="1109"/>
      <c r="BI149" s="1109"/>
      <c r="BJ149" s="1109"/>
      <c r="BK149" s="1109"/>
      <c r="BL149" s="1109"/>
      <c r="BM149" s="2165"/>
      <c r="BN149" s="2165">
        <f t="shared" si="12"/>
        <v>49522.387640000001</v>
      </c>
      <c r="BO149" s="2165"/>
      <c r="BP149" s="2165"/>
      <c r="BQ149" s="2165"/>
      <c r="BR149" s="2165"/>
      <c r="BS149" s="1109"/>
      <c r="BT149" s="2402"/>
      <c r="BU149" s="2402"/>
      <c r="BV149" s="2402"/>
      <c r="BW149" s="1109"/>
      <c r="BX149" s="1109"/>
      <c r="BY149" s="1109"/>
      <c r="BZ149" s="1109"/>
      <c r="CA149" s="1109"/>
      <c r="CB149" s="1109"/>
      <c r="CC149" s="1109"/>
      <c r="CD149" s="2407"/>
      <c r="CE149" s="2407">
        <v>0.03</v>
      </c>
      <c r="CF149" s="2407"/>
      <c r="CG149" s="2407"/>
      <c r="CH149" s="2407"/>
      <c r="CI149" s="2407"/>
      <c r="CJ149" s="1108"/>
      <c r="CK149" s="2402"/>
      <c r="CL149" s="2402"/>
      <c r="CM149" s="2402"/>
      <c r="CN149" s="1109"/>
      <c r="CO149" s="1109"/>
      <c r="CP149" s="1109"/>
      <c r="CQ149" s="1109"/>
      <c r="CR149" s="1109"/>
      <c r="CS149" s="1109"/>
      <c r="CT149" s="1109"/>
      <c r="CU149" s="1109"/>
      <c r="CV149" s="1109"/>
      <c r="CW149" s="1109"/>
      <c r="CX149" s="1109"/>
      <c r="CY149" s="1109"/>
      <c r="CZ149" s="1108"/>
      <c r="DA149" s="2402"/>
      <c r="DB149" s="2402"/>
      <c r="DC149" s="2402"/>
      <c r="DD149" s="1109"/>
      <c r="DE149" s="1109"/>
      <c r="DF149" s="1109"/>
      <c r="DG149" s="1109"/>
      <c r="DH149" s="1109"/>
      <c r="DI149" s="1109"/>
      <c r="DJ149" s="1109"/>
      <c r="DK149" s="1109"/>
    </row>
    <row r="150" spans="1:115" s="1577" customFormat="1">
      <c r="A150" s="1494">
        <v>6</v>
      </c>
      <c r="B150" s="2088" t="s">
        <v>612</v>
      </c>
      <c r="C150" s="2088" t="s">
        <v>301</v>
      </c>
      <c r="D150" s="2088" t="s">
        <v>595</v>
      </c>
      <c r="E150" s="2089">
        <v>0.5</v>
      </c>
      <c r="F150" s="1359"/>
      <c r="G150" s="1361">
        <v>60</v>
      </c>
      <c r="H150" s="2401"/>
      <c r="I150" s="2402"/>
      <c r="J150" s="2402"/>
      <c r="K150" s="2402"/>
      <c r="L150" s="1109"/>
      <c r="M150" s="1109"/>
      <c r="N150" s="1109"/>
      <c r="O150" s="1109"/>
      <c r="P150" s="1109"/>
      <c r="Q150" s="1109"/>
      <c r="R150" s="1109"/>
      <c r="S150" s="1109"/>
      <c r="T150" s="2401"/>
      <c r="U150" s="2402"/>
      <c r="V150" s="2402"/>
      <c r="W150" s="2402"/>
      <c r="X150" s="1109"/>
      <c r="Y150" s="1109"/>
      <c r="Z150" s="1109"/>
      <c r="AA150" s="1109"/>
      <c r="AB150" s="1109"/>
      <c r="AE150" s="2406"/>
      <c r="AF150" s="2420">
        <f>AE176*(1+CE150)</f>
        <v>2318.5481486000003</v>
      </c>
      <c r="AG150" s="2406"/>
      <c r="AH150" s="2406"/>
      <c r="AI150" s="2406"/>
      <c r="AJ150" s="2406"/>
      <c r="AK150" s="1108"/>
      <c r="AL150" s="2403"/>
      <c r="AM150" s="2403"/>
      <c r="AN150" s="2403"/>
      <c r="AO150" s="1108"/>
      <c r="AP150" s="1109"/>
      <c r="AQ150" s="1109"/>
      <c r="AR150" s="1109"/>
      <c r="AS150" s="1109"/>
      <c r="AT150" s="1109"/>
      <c r="AU150" s="1109"/>
      <c r="AV150" s="2409"/>
      <c r="AW150" s="2409">
        <v>22</v>
      </c>
      <c r="AX150" s="2409"/>
      <c r="AY150" s="2409"/>
      <c r="AZ150" s="2409"/>
      <c r="BA150" s="2409"/>
      <c r="BB150" s="1108"/>
      <c r="BC150" s="2402"/>
      <c r="BD150" s="2402"/>
      <c r="BE150" s="2402"/>
      <c r="BF150" s="1109"/>
      <c r="BG150" s="1109"/>
      <c r="BH150" s="1109"/>
      <c r="BI150" s="1109"/>
      <c r="BJ150" s="1109"/>
      <c r="BK150" s="1109"/>
      <c r="BL150" s="1109"/>
      <c r="BM150" s="2165"/>
      <c r="BN150" s="2165">
        <f t="shared" si="12"/>
        <v>25504.029634600003</v>
      </c>
      <c r="BO150" s="2165"/>
      <c r="BP150" s="2165"/>
      <c r="BQ150" s="2165"/>
      <c r="BR150" s="2165"/>
      <c r="BS150" s="1109"/>
      <c r="BT150" s="2402"/>
      <c r="BU150" s="2402"/>
      <c r="BV150" s="2402"/>
      <c r="BW150" s="1109"/>
      <c r="BX150" s="1109"/>
      <c r="BY150" s="1109"/>
      <c r="BZ150" s="1109"/>
      <c r="CA150" s="1109"/>
      <c r="CB150" s="1109"/>
      <c r="CC150" s="1109"/>
      <c r="CD150" s="2407"/>
      <c r="CE150" s="2407">
        <v>0.03</v>
      </c>
      <c r="CF150" s="2407"/>
      <c r="CG150" s="2407"/>
      <c r="CH150" s="2407"/>
      <c r="CI150" s="2407"/>
      <c r="CJ150" s="1108"/>
      <c r="CK150" s="2402"/>
      <c r="CL150" s="2402"/>
      <c r="CM150" s="2402"/>
      <c r="CN150" s="1109"/>
      <c r="CO150" s="1109"/>
      <c r="CP150" s="1109"/>
      <c r="CQ150" s="1109"/>
      <c r="CR150" s="1109"/>
      <c r="CS150" s="1109"/>
      <c r="CT150" s="1109"/>
      <c r="CU150" s="1109"/>
      <c r="CV150" s="1109"/>
      <c r="CW150" s="1109"/>
      <c r="CX150" s="1109"/>
      <c r="CY150" s="1109"/>
      <c r="CZ150" s="1108"/>
      <c r="DA150" s="2402"/>
      <c r="DB150" s="2402"/>
      <c r="DC150" s="2402"/>
      <c r="DD150" s="1109"/>
      <c r="DE150" s="1109"/>
      <c r="DF150" s="1109"/>
      <c r="DG150" s="1109"/>
      <c r="DH150" s="1109"/>
      <c r="DI150" s="1109"/>
      <c r="DJ150" s="1109"/>
      <c r="DK150" s="1109"/>
    </row>
    <row r="151" spans="1:115" s="1577" customFormat="1">
      <c r="A151" s="1494">
        <v>4</v>
      </c>
      <c r="B151" s="2088" t="s">
        <v>312</v>
      </c>
      <c r="C151" s="2088" t="s">
        <v>301</v>
      </c>
      <c r="D151" s="2088" t="s">
        <v>595</v>
      </c>
      <c r="E151" s="2089">
        <v>0.5</v>
      </c>
      <c r="F151" s="1359"/>
      <c r="G151" s="1361">
        <v>60</v>
      </c>
      <c r="H151" s="2401"/>
      <c r="I151" s="2402"/>
      <c r="J151" s="2402"/>
      <c r="K151" s="2402"/>
      <c r="L151" s="1109"/>
      <c r="M151" s="1109"/>
      <c r="N151" s="1109"/>
      <c r="O151" s="1109"/>
      <c r="P151" s="1109"/>
      <c r="Q151" s="1109"/>
      <c r="R151" s="1109"/>
      <c r="S151" s="1109"/>
      <c r="T151" s="2401"/>
      <c r="U151" s="2402"/>
      <c r="V151" s="2402"/>
      <c r="W151" s="2402"/>
      <c r="X151" s="1109"/>
      <c r="Y151" s="1109"/>
      <c r="Z151" s="1109"/>
      <c r="AA151" s="1109"/>
      <c r="AB151" s="1109"/>
      <c r="AE151" s="2406"/>
      <c r="AF151" s="2420">
        <f>AE177*(1+CE151)</f>
        <v>1639.0905000000002</v>
      </c>
      <c r="AG151" s="2406"/>
      <c r="AH151" s="2406"/>
      <c r="AI151" s="2406"/>
      <c r="AJ151" s="2406"/>
      <c r="AK151" s="1108"/>
      <c r="AL151" s="2403"/>
      <c r="AM151" s="2403"/>
      <c r="AN151" s="2403"/>
      <c r="AO151" s="1108"/>
      <c r="AP151" s="1109"/>
      <c r="AQ151" s="1109"/>
      <c r="AR151" s="1109"/>
      <c r="AS151" s="1109"/>
      <c r="AT151" s="1109"/>
      <c r="AU151" s="1109"/>
      <c r="AV151" s="2409"/>
      <c r="AW151" s="2409">
        <v>22</v>
      </c>
      <c r="AX151" s="2409"/>
      <c r="AY151" s="2409"/>
      <c r="AZ151" s="2409"/>
      <c r="BA151" s="2409"/>
      <c r="BB151" s="1108"/>
      <c r="BC151" s="2402"/>
      <c r="BD151" s="2402"/>
      <c r="BE151" s="2402"/>
      <c r="BF151" s="1109"/>
      <c r="BG151" s="1109"/>
      <c r="BH151" s="1109"/>
      <c r="BI151" s="1109"/>
      <c r="BJ151" s="1109"/>
      <c r="BK151" s="1109"/>
      <c r="BL151" s="1109"/>
      <c r="BM151" s="2165"/>
      <c r="BN151" s="2165">
        <f t="shared" si="12"/>
        <v>18029.995500000005</v>
      </c>
      <c r="BO151" s="2165"/>
      <c r="BP151" s="2165"/>
      <c r="BQ151" s="2165"/>
      <c r="BR151" s="2165"/>
      <c r="BS151" s="1109"/>
      <c r="BT151" s="2402"/>
      <c r="BU151" s="2402"/>
      <c r="BV151" s="2402"/>
      <c r="BW151" s="1109"/>
      <c r="BX151" s="1109"/>
      <c r="BY151" s="1109"/>
      <c r="BZ151" s="1109"/>
      <c r="CA151" s="1109"/>
      <c r="CB151" s="1109"/>
      <c r="CC151" s="1109"/>
      <c r="CD151" s="2407"/>
      <c r="CE151" s="2407">
        <v>0.03</v>
      </c>
      <c r="CF151" s="2407"/>
      <c r="CG151" s="2407"/>
      <c r="CH151" s="2407"/>
      <c r="CI151" s="2407"/>
      <c r="CJ151" s="1108"/>
      <c r="CK151" s="2402"/>
      <c r="CL151" s="2402"/>
      <c r="CM151" s="2402"/>
      <c r="CN151" s="1109"/>
      <c r="CO151" s="1109"/>
      <c r="CP151" s="1109"/>
      <c r="CQ151" s="1109"/>
      <c r="CR151" s="1109"/>
      <c r="CS151" s="1109"/>
      <c r="CT151" s="1109"/>
      <c r="CU151" s="1109"/>
      <c r="CV151" s="1109"/>
      <c r="CW151" s="1109"/>
      <c r="CX151" s="1109"/>
      <c r="CY151" s="1109"/>
      <c r="CZ151" s="1108"/>
      <c r="DA151" s="2402"/>
      <c r="DB151" s="2402"/>
      <c r="DC151" s="2402"/>
      <c r="DD151" s="1109"/>
      <c r="DE151" s="1109"/>
      <c r="DF151" s="1109"/>
      <c r="DG151" s="1109"/>
      <c r="DH151" s="1109"/>
      <c r="DI151" s="1109"/>
      <c r="DJ151" s="1109"/>
      <c r="DK151" s="1109"/>
    </row>
    <row r="152" spans="1:115" s="1577" customFormat="1">
      <c r="A152" s="1494">
        <v>1</v>
      </c>
      <c r="B152" s="1470" t="s">
        <v>326</v>
      </c>
      <c r="C152" s="2088" t="s">
        <v>296</v>
      </c>
      <c r="D152" s="2088" t="s">
        <v>638</v>
      </c>
      <c r="E152" s="2089">
        <v>1</v>
      </c>
      <c r="F152" s="1359"/>
      <c r="G152" s="1361">
        <v>60</v>
      </c>
      <c r="H152" s="2401"/>
      <c r="I152" s="2402"/>
      <c r="J152" s="2402"/>
      <c r="K152" s="2402"/>
      <c r="L152" s="1109"/>
      <c r="M152" s="1109"/>
      <c r="N152" s="1109"/>
      <c r="O152" s="1109"/>
      <c r="P152" s="1109"/>
      <c r="Q152" s="1109"/>
      <c r="R152" s="1109"/>
      <c r="S152" s="1109"/>
      <c r="T152" s="2401"/>
      <c r="U152" s="2402"/>
      <c r="V152" s="2402"/>
      <c r="W152" s="2402"/>
      <c r="X152" s="1109"/>
      <c r="Y152" s="1109"/>
      <c r="Z152" s="1109"/>
      <c r="AA152" s="1109"/>
      <c r="AB152" s="1109"/>
      <c r="AE152" s="2406"/>
      <c r="AF152" s="2420">
        <v>2000</v>
      </c>
      <c r="AG152" s="2406"/>
      <c r="AH152" s="2406"/>
      <c r="AI152" s="2406"/>
      <c r="AJ152" s="2406"/>
      <c r="AK152" s="1108"/>
      <c r="AL152" s="2403"/>
      <c r="AM152" s="2403"/>
      <c r="AN152" s="2403"/>
      <c r="AO152" s="1108"/>
      <c r="AP152" s="1109"/>
      <c r="AQ152" s="1109"/>
      <c r="AR152" s="1109"/>
      <c r="AS152" s="1109"/>
      <c r="AT152" s="1109"/>
      <c r="AU152" s="1109"/>
      <c r="AV152" s="2409"/>
      <c r="AW152" s="2409">
        <v>24</v>
      </c>
      <c r="AX152" s="2409"/>
      <c r="AY152" s="2409"/>
      <c r="AZ152" s="2409"/>
      <c r="BA152" s="2409"/>
      <c r="BB152" s="1108"/>
      <c r="BC152" s="2402"/>
      <c r="BD152" s="2402"/>
      <c r="BE152" s="2402"/>
      <c r="BF152" s="1109"/>
      <c r="BG152" s="1109"/>
      <c r="BH152" s="1109"/>
      <c r="BI152" s="1109"/>
      <c r="BJ152" s="1109"/>
      <c r="BK152" s="1109"/>
      <c r="BL152" s="1109"/>
      <c r="BM152" s="2165"/>
      <c r="BN152" s="2165">
        <f t="shared" si="12"/>
        <v>48000</v>
      </c>
      <c r="BO152" s="2165"/>
      <c r="BP152" s="2165"/>
      <c r="BQ152" s="2165"/>
      <c r="BR152" s="2165"/>
      <c r="BS152" s="1109"/>
      <c r="BT152" s="2402"/>
      <c r="BU152" s="2402"/>
      <c r="BV152" s="2402"/>
      <c r="BW152" s="1109"/>
      <c r="BX152" s="1109"/>
      <c r="BY152" s="1109"/>
      <c r="BZ152" s="1109"/>
      <c r="CA152" s="1109"/>
      <c r="CB152" s="1109"/>
      <c r="CC152" s="1109"/>
      <c r="CD152" s="2407"/>
      <c r="CE152" s="2407">
        <v>0.03</v>
      </c>
      <c r="CF152" s="2407"/>
      <c r="CG152" s="2407"/>
      <c r="CH152" s="2407"/>
      <c r="CI152" s="2407"/>
      <c r="CJ152" s="1108"/>
      <c r="CK152" s="2402"/>
      <c r="CL152" s="2402"/>
      <c r="CM152" s="2402"/>
      <c r="CN152" s="1109"/>
      <c r="CO152" s="1109"/>
      <c r="CP152" s="1109"/>
      <c r="CQ152" s="1109"/>
      <c r="CR152" s="1109"/>
      <c r="CS152" s="1109"/>
      <c r="CT152" s="1109"/>
      <c r="CU152" s="1109"/>
      <c r="CV152" s="1109"/>
      <c r="CW152" s="1109"/>
      <c r="CX152" s="1109"/>
      <c r="CY152" s="1109"/>
      <c r="CZ152" s="1108"/>
      <c r="DA152" s="2402"/>
      <c r="DB152" s="2402"/>
      <c r="DC152" s="2402"/>
      <c r="DD152" s="1109"/>
      <c r="DE152" s="1109"/>
      <c r="DF152" s="1109"/>
      <c r="DG152" s="1109"/>
      <c r="DH152" s="1109"/>
      <c r="DI152" s="1109"/>
      <c r="DJ152" s="1109"/>
      <c r="DK152" s="1109"/>
    </row>
    <row r="153" spans="1:115" s="1577" customFormat="1">
      <c r="A153" s="1822">
        <v>1</v>
      </c>
      <c r="B153" s="1470" t="s">
        <v>327</v>
      </c>
      <c r="C153" s="2088" t="s">
        <v>296</v>
      </c>
      <c r="D153" s="2088" t="s">
        <v>595</v>
      </c>
      <c r="E153" s="2089">
        <v>1</v>
      </c>
      <c r="F153" s="2401"/>
      <c r="G153" s="1361">
        <v>60</v>
      </c>
      <c r="H153" s="2401"/>
      <c r="I153" s="2402"/>
      <c r="J153" s="2402"/>
      <c r="K153" s="2402"/>
      <c r="L153" s="1109"/>
      <c r="M153" s="1109"/>
      <c r="N153" s="1109"/>
      <c r="O153" s="1109"/>
      <c r="P153" s="1109"/>
      <c r="Q153" s="1109"/>
      <c r="R153" s="1109"/>
      <c r="S153" s="1109"/>
      <c r="T153" s="2401"/>
      <c r="U153" s="2402"/>
      <c r="V153" s="2402"/>
      <c r="W153" s="2402"/>
      <c r="X153" s="1109"/>
      <c r="Y153" s="1109"/>
      <c r="Z153" s="1109"/>
      <c r="AA153" s="1109"/>
      <c r="AB153" s="1109"/>
      <c r="AC153" s="1109"/>
      <c r="AD153" s="1109"/>
      <c r="AE153" s="1109"/>
      <c r="AF153" s="2420">
        <v>1000</v>
      </c>
      <c r="AG153" s="2406"/>
      <c r="AH153" s="2406"/>
      <c r="AI153" s="2406"/>
      <c r="AJ153" s="2406"/>
      <c r="AK153" s="1108"/>
      <c r="AL153" s="2403"/>
      <c r="AM153" s="2403"/>
      <c r="AN153" s="2403"/>
      <c r="AO153" s="1108"/>
      <c r="AP153" s="1109"/>
      <c r="AQ153" s="1109"/>
      <c r="AR153" s="1109"/>
      <c r="AS153" s="1109"/>
      <c r="AT153" s="1109"/>
      <c r="AU153" s="1109"/>
      <c r="AV153" s="1109"/>
      <c r="AW153" s="2409">
        <v>13</v>
      </c>
      <c r="AX153" s="2409"/>
      <c r="AY153" s="2409"/>
      <c r="AZ153" s="2409"/>
      <c r="BA153" s="2409"/>
      <c r="BB153" s="1108"/>
      <c r="BC153" s="2402"/>
      <c r="BD153" s="2402"/>
      <c r="BE153" s="2402"/>
      <c r="BF153" s="1109"/>
      <c r="BG153" s="1109"/>
      <c r="BH153" s="1109"/>
      <c r="BI153" s="1109"/>
      <c r="BJ153" s="1109"/>
      <c r="BK153" s="1109"/>
      <c r="BL153" s="1109"/>
      <c r="BM153" s="1109"/>
      <c r="BN153" s="2165">
        <f t="shared" si="12"/>
        <v>13000</v>
      </c>
      <c r="BO153" s="2165"/>
      <c r="BP153" s="2165"/>
      <c r="BQ153" s="2165"/>
      <c r="BR153" s="2165"/>
      <c r="BS153" s="1109"/>
      <c r="BT153" s="2402"/>
      <c r="BU153" s="2402"/>
      <c r="BV153" s="2402"/>
      <c r="BW153" s="1109"/>
      <c r="BX153" s="1109"/>
      <c r="BY153" s="1109"/>
      <c r="BZ153" s="1109"/>
      <c r="CA153" s="1109"/>
      <c r="CB153" s="1109"/>
      <c r="CC153" s="1109"/>
      <c r="CD153" s="1109"/>
      <c r="CE153" s="2407">
        <v>0.03</v>
      </c>
      <c r="CF153" s="2407"/>
      <c r="CG153" s="2407"/>
      <c r="CH153" s="2407"/>
      <c r="CI153" s="2407"/>
      <c r="CJ153" s="1108"/>
      <c r="CK153" s="2402"/>
      <c r="CL153" s="2402"/>
      <c r="CM153" s="2402"/>
      <c r="CN153" s="1109"/>
      <c r="CO153" s="1109"/>
      <c r="CP153" s="1109"/>
      <c r="CQ153" s="1109"/>
      <c r="CR153" s="1109"/>
      <c r="CS153" s="1109"/>
      <c r="CT153" s="1109"/>
      <c r="CU153" s="1109"/>
      <c r="CV153" s="1109"/>
      <c r="CW153" s="1109"/>
      <c r="CX153" s="1109"/>
      <c r="CY153" s="1109"/>
      <c r="CZ153" s="1108"/>
      <c r="DA153" s="2402"/>
      <c r="DB153" s="2402"/>
      <c r="DC153" s="2402"/>
      <c r="DD153" s="1109"/>
      <c r="DE153" s="1109"/>
      <c r="DF153" s="1109"/>
      <c r="DG153" s="1109"/>
      <c r="DH153" s="1109"/>
      <c r="DI153" s="1109"/>
      <c r="DJ153" s="1109"/>
      <c r="DK153" s="1109"/>
    </row>
    <row r="154" spans="1:115" s="1577" customFormat="1">
      <c r="A154" s="1822">
        <v>1</v>
      </c>
      <c r="B154" s="1470" t="s">
        <v>328</v>
      </c>
      <c r="C154" s="2088" t="s">
        <v>296</v>
      </c>
      <c r="D154" s="2088" t="s">
        <v>595</v>
      </c>
      <c r="E154" s="2089">
        <v>1</v>
      </c>
      <c r="F154" s="2401"/>
      <c r="G154" s="1361">
        <v>60</v>
      </c>
      <c r="H154" s="2401"/>
      <c r="I154" s="2402"/>
      <c r="J154" s="2402"/>
      <c r="K154" s="2402"/>
      <c r="L154" s="1109"/>
      <c r="M154" s="1109"/>
      <c r="N154" s="1109"/>
      <c r="O154" s="1109"/>
      <c r="P154" s="1109"/>
      <c r="Q154" s="1109"/>
      <c r="R154" s="1109"/>
      <c r="S154" s="1109"/>
      <c r="T154" s="2401"/>
      <c r="U154" s="2402"/>
      <c r="V154" s="2402"/>
      <c r="W154" s="2402"/>
      <c r="X154" s="1109"/>
      <c r="Y154" s="1109"/>
      <c r="Z154" s="1109"/>
      <c r="AA154" s="1109"/>
      <c r="AB154" s="1109"/>
      <c r="AC154" s="1109"/>
      <c r="AD154" s="1109"/>
      <c r="AE154" s="1109"/>
      <c r="AF154" s="2420">
        <v>1000</v>
      </c>
      <c r="AG154" s="2406"/>
      <c r="AH154" s="2406"/>
      <c r="AI154" s="2406"/>
      <c r="AJ154" s="2406"/>
      <c r="AK154" s="1108"/>
      <c r="AL154" s="2403"/>
      <c r="AM154" s="2403"/>
      <c r="AN154" s="2403"/>
      <c r="AO154" s="1108"/>
      <c r="AP154" s="1109"/>
      <c r="AQ154" s="1109"/>
      <c r="AR154" s="1109"/>
      <c r="AS154" s="1109"/>
      <c r="AT154" s="1109"/>
      <c r="AU154" s="1109"/>
      <c r="AV154" s="1109"/>
      <c r="AW154" s="2409">
        <v>22</v>
      </c>
      <c r="AX154" s="2409"/>
      <c r="AY154" s="2409"/>
      <c r="AZ154" s="2409"/>
      <c r="BA154" s="2409"/>
      <c r="BB154" s="1108"/>
      <c r="BC154" s="2402"/>
      <c r="BD154" s="2402"/>
      <c r="BE154" s="2402"/>
      <c r="BF154" s="1109"/>
      <c r="BG154" s="1109"/>
      <c r="BH154" s="1109"/>
      <c r="BI154" s="1109"/>
      <c r="BJ154" s="1109"/>
      <c r="BK154" s="1109"/>
      <c r="BL154" s="1109"/>
      <c r="BM154" s="1109"/>
      <c r="BN154" s="2165">
        <f t="shared" si="12"/>
        <v>22000</v>
      </c>
      <c r="BO154" s="2165"/>
      <c r="BP154" s="2165"/>
      <c r="BQ154" s="2165"/>
      <c r="BR154" s="2165"/>
      <c r="BS154" s="1109"/>
      <c r="BT154" s="2402"/>
      <c r="BU154" s="2402"/>
      <c r="BV154" s="2402"/>
      <c r="BW154" s="1109"/>
      <c r="BX154" s="1109"/>
      <c r="BY154" s="1109"/>
      <c r="BZ154" s="1109"/>
      <c r="CA154" s="1109"/>
      <c r="CB154" s="1109"/>
      <c r="CC154" s="1109"/>
      <c r="CD154" s="1109"/>
      <c r="CE154" s="2407">
        <v>0.03</v>
      </c>
      <c r="CF154" s="2407"/>
      <c r="CG154" s="2407"/>
      <c r="CH154" s="2407"/>
      <c r="CI154" s="2407"/>
      <c r="CJ154" s="1108"/>
      <c r="CK154" s="2402"/>
      <c r="CL154" s="2402"/>
      <c r="CM154" s="2402"/>
      <c r="CN154" s="1109"/>
      <c r="CO154" s="1109"/>
      <c r="CP154" s="1109"/>
      <c r="CQ154" s="1109"/>
      <c r="CR154" s="1109"/>
      <c r="CS154" s="1109"/>
      <c r="CT154" s="1109"/>
      <c r="CU154" s="1109"/>
      <c r="CV154" s="1109"/>
      <c r="CW154" s="1109"/>
      <c r="CX154" s="1109"/>
      <c r="CY154" s="1109"/>
      <c r="CZ154" s="1108"/>
      <c r="DA154" s="2402"/>
      <c r="DB154" s="2402"/>
      <c r="DC154" s="2402"/>
      <c r="DD154" s="1109"/>
      <c r="DE154" s="1109"/>
      <c r="DF154" s="1109"/>
      <c r="DG154" s="1109"/>
      <c r="DH154" s="1109"/>
      <c r="DI154" s="1109"/>
      <c r="DJ154" s="1109"/>
      <c r="DK154" s="1109"/>
    </row>
    <row r="155" spans="1:115" s="1577" customFormat="1">
      <c r="A155" s="1822">
        <v>8</v>
      </c>
      <c r="B155" s="1470" t="s">
        <v>593</v>
      </c>
      <c r="C155" s="2088" t="s">
        <v>329</v>
      </c>
      <c r="D155" s="2088" t="s">
        <v>638</v>
      </c>
      <c r="E155" s="2089">
        <v>0.5</v>
      </c>
      <c r="F155" s="2401"/>
      <c r="G155" s="1361">
        <v>60</v>
      </c>
      <c r="H155" s="2401"/>
      <c r="I155" s="2402"/>
      <c r="J155" s="2402"/>
      <c r="K155" s="2402"/>
      <c r="L155" s="1109"/>
      <c r="M155" s="1109"/>
      <c r="N155" s="1109"/>
      <c r="O155" s="1109"/>
      <c r="P155" s="1109"/>
      <c r="Q155" s="1109"/>
      <c r="R155" s="1109"/>
      <c r="S155" s="1109"/>
      <c r="T155" s="2401"/>
      <c r="U155" s="2402"/>
      <c r="V155" s="2402"/>
      <c r="W155" s="2402"/>
      <c r="X155" s="1109"/>
      <c r="Y155" s="1109"/>
      <c r="Z155" s="1109"/>
      <c r="AA155" s="1109"/>
      <c r="AB155" s="1109"/>
      <c r="AC155" s="1109"/>
      <c r="AD155" s="1109"/>
      <c r="AE155" s="1109"/>
      <c r="AF155" s="2420">
        <f>AE180*(1+CE155)</f>
        <v>3101.0581487525001</v>
      </c>
      <c r="AG155" s="2406"/>
      <c r="AH155" s="2406"/>
      <c r="AI155" s="2406"/>
      <c r="AJ155" s="2406"/>
      <c r="AK155" s="1108"/>
      <c r="AL155" s="2403"/>
      <c r="AM155" s="2403"/>
      <c r="AN155" s="2403"/>
      <c r="AO155" s="1108"/>
      <c r="AP155" s="1109"/>
      <c r="AQ155" s="1109"/>
      <c r="AR155" s="1109"/>
      <c r="AS155" s="1109"/>
      <c r="AT155" s="1109"/>
      <c r="AU155" s="1109"/>
      <c r="AV155" s="1109"/>
      <c r="AW155" s="2409">
        <v>24</v>
      </c>
      <c r="AX155" s="2409"/>
      <c r="AY155" s="2409"/>
      <c r="AZ155" s="2409"/>
      <c r="BA155" s="2409"/>
      <c r="BB155" s="1108"/>
      <c r="BC155" s="2402"/>
      <c r="BD155" s="2402"/>
      <c r="BE155" s="2402"/>
      <c r="BF155" s="1109"/>
      <c r="BG155" s="1109"/>
      <c r="BH155" s="1109"/>
      <c r="BI155" s="1109"/>
      <c r="BJ155" s="1109"/>
      <c r="BK155" s="1109"/>
      <c r="BL155" s="1109"/>
      <c r="BM155" s="1109"/>
      <c r="BN155" s="2165">
        <f t="shared" si="12"/>
        <v>37212.697785030003</v>
      </c>
      <c r="BO155" s="2165"/>
      <c r="BP155" s="2165"/>
      <c r="BQ155" s="2165"/>
      <c r="BR155" s="2165"/>
      <c r="BS155" s="1109"/>
      <c r="BT155" s="2402"/>
      <c r="BU155" s="2402"/>
      <c r="BV155" s="2402"/>
      <c r="BW155" s="1109"/>
      <c r="BX155" s="1109"/>
      <c r="BY155" s="1109"/>
      <c r="BZ155" s="1109"/>
      <c r="CA155" s="1109"/>
      <c r="CB155" s="1109"/>
      <c r="CC155" s="1109"/>
      <c r="CD155" s="1109"/>
      <c r="CE155" s="2407">
        <v>0.03</v>
      </c>
      <c r="CF155" s="2407"/>
      <c r="CG155" s="2407"/>
      <c r="CH155" s="2407"/>
      <c r="CI155" s="2407"/>
      <c r="CJ155" s="1108"/>
      <c r="CK155" s="2402"/>
      <c r="CL155" s="2402"/>
      <c r="CM155" s="2402"/>
      <c r="CN155" s="1109"/>
      <c r="CO155" s="1109"/>
      <c r="CP155" s="1109"/>
      <c r="CQ155" s="1109"/>
      <c r="CR155" s="1109"/>
      <c r="CS155" s="1109"/>
      <c r="CT155" s="1109"/>
      <c r="CU155" s="1109"/>
      <c r="CV155" s="1109"/>
      <c r="CW155" s="1109"/>
      <c r="CX155" s="1109"/>
      <c r="CY155" s="1109"/>
      <c r="CZ155" s="1108"/>
      <c r="DA155" s="2402"/>
      <c r="DB155" s="2402"/>
      <c r="DC155" s="2402"/>
      <c r="DD155" s="1109"/>
      <c r="DE155" s="1109"/>
      <c r="DF155" s="1109"/>
      <c r="DG155" s="1109"/>
      <c r="DH155" s="1109"/>
      <c r="DI155" s="1109"/>
      <c r="DJ155" s="1109"/>
      <c r="DK155" s="1109"/>
    </row>
    <row r="156" spans="1:115" s="1577" customFormat="1">
      <c r="A156" s="1822">
        <v>1</v>
      </c>
      <c r="B156" s="1470" t="s">
        <v>1660</v>
      </c>
      <c r="C156" s="2088" t="s">
        <v>296</v>
      </c>
      <c r="D156" s="2088" t="s">
        <v>638</v>
      </c>
      <c r="E156" s="2089">
        <v>1</v>
      </c>
      <c r="F156" s="2401"/>
      <c r="G156" s="1361">
        <v>60</v>
      </c>
      <c r="H156" s="2401"/>
      <c r="I156" s="2402"/>
      <c r="J156" s="2402"/>
      <c r="K156" s="2402"/>
      <c r="L156" s="1109"/>
      <c r="M156" s="1109"/>
      <c r="N156" s="1109"/>
      <c r="O156" s="1109"/>
      <c r="P156" s="1109"/>
      <c r="Q156" s="1109"/>
      <c r="R156" s="1109"/>
      <c r="S156" s="1109"/>
      <c r="T156" s="2401"/>
      <c r="U156" s="2402"/>
      <c r="V156" s="2402"/>
      <c r="W156" s="2402"/>
      <c r="X156" s="1109"/>
      <c r="Y156" s="1109"/>
      <c r="Z156" s="1109"/>
      <c r="AA156" s="1109"/>
      <c r="AB156" s="1109"/>
      <c r="AC156" s="1109"/>
      <c r="AD156" s="1109"/>
      <c r="AE156" s="1109"/>
      <c r="AF156" s="2420">
        <v>1500</v>
      </c>
      <c r="AG156" s="2406"/>
      <c r="AH156" s="2406"/>
      <c r="AI156" s="2406"/>
      <c r="AJ156" s="2406"/>
      <c r="AK156" s="1108"/>
      <c r="AL156" s="2403"/>
      <c r="AM156" s="2403"/>
      <c r="AN156" s="2403"/>
      <c r="AO156" s="1108"/>
      <c r="AP156" s="1109"/>
      <c r="AQ156" s="1109"/>
      <c r="AR156" s="1109"/>
      <c r="AS156" s="1109"/>
      <c r="AT156" s="1109"/>
      <c r="AU156" s="1109"/>
      <c r="AV156" s="1109"/>
      <c r="AW156" s="2409">
        <v>13</v>
      </c>
      <c r="AX156" s="2409"/>
      <c r="AY156" s="2409"/>
      <c r="AZ156" s="2409"/>
      <c r="BA156" s="2409"/>
      <c r="BB156" s="1108"/>
      <c r="BC156" s="2402"/>
      <c r="BD156" s="2402"/>
      <c r="BE156" s="2402"/>
      <c r="BF156" s="1109"/>
      <c r="BG156" s="1109"/>
      <c r="BH156" s="1109"/>
      <c r="BI156" s="1109"/>
      <c r="BJ156" s="1109"/>
      <c r="BK156" s="1109"/>
      <c r="BL156" s="1109"/>
      <c r="BM156" s="1109"/>
      <c r="BN156" s="2165">
        <f>$E156*AF156*AW156</f>
        <v>19500</v>
      </c>
      <c r="BO156" s="2165"/>
      <c r="BP156" s="2165"/>
      <c r="BQ156" s="2165"/>
      <c r="BR156" s="2165"/>
      <c r="BS156" s="1109"/>
      <c r="BT156" s="2402"/>
      <c r="BU156" s="2402"/>
      <c r="BV156" s="2402"/>
      <c r="BW156" s="1109"/>
      <c r="BX156" s="1109"/>
      <c r="BY156" s="1109"/>
      <c r="BZ156" s="1109"/>
      <c r="CA156" s="1109"/>
      <c r="CB156" s="1109"/>
      <c r="CC156" s="1109"/>
      <c r="CD156" s="1109"/>
      <c r="CE156" s="2407">
        <v>0.03</v>
      </c>
      <c r="CF156" s="2407"/>
      <c r="CG156" s="2407"/>
      <c r="CH156" s="2407"/>
      <c r="CI156" s="2407"/>
      <c r="CJ156" s="1108"/>
      <c r="CK156" s="2402"/>
      <c r="CL156" s="2402"/>
      <c r="CM156" s="2402"/>
      <c r="CN156" s="1109"/>
      <c r="CO156" s="1109"/>
      <c r="CP156" s="1109"/>
      <c r="CQ156" s="1109"/>
      <c r="CR156" s="1109"/>
      <c r="CS156" s="1109"/>
      <c r="CT156" s="1109"/>
      <c r="CU156" s="1109"/>
      <c r="CV156" s="1109"/>
      <c r="CW156" s="1109"/>
      <c r="CX156" s="1109"/>
      <c r="CY156" s="1109"/>
      <c r="CZ156" s="1108"/>
      <c r="DA156" s="2402"/>
      <c r="DB156" s="2402"/>
      <c r="DC156" s="2402"/>
      <c r="DD156" s="1109"/>
      <c r="DE156" s="1109"/>
      <c r="DF156" s="1109"/>
      <c r="DG156" s="1109"/>
      <c r="DH156" s="1109"/>
      <c r="DI156" s="1109"/>
      <c r="DJ156" s="1109"/>
      <c r="DK156" s="1109"/>
    </row>
    <row r="157" spans="1:115" s="1577" customFormat="1">
      <c r="A157" s="1822">
        <v>6</v>
      </c>
      <c r="B157" s="1470" t="s">
        <v>486</v>
      </c>
      <c r="C157" s="2400" t="s">
        <v>296</v>
      </c>
      <c r="D157" s="2400" t="s">
        <v>1577</v>
      </c>
      <c r="E157" s="2089">
        <v>1</v>
      </c>
      <c r="F157" s="2401"/>
      <c r="G157" s="1361">
        <v>30</v>
      </c>
      <c r="H157" s="2401"/>
      <c r="I157" s="2402"/>
      <c r="J157" s="2402"/>
      <c r="K157" s="2402"/>
      <c r="L157" s="1109"/>
      <c r="M157" s="1109"/>
      <c r="N157" s="1109"/>
      <c r="O157" s="1109"/>
      <c r="P157" s="1109"/>
      <c r="Q157" s="1109"/>
      <c r="R157" s="1109"/>
      <c r="S157" s="1109"/>
      <c r="T157" s="2401"/>
      <c r="U157" s="2402"/>
      <c r="V157" s="2402"/>
      <c r="W157" s="2402"/>
      <c r="X157" s="1109"/>
      <c r="Y157" s="1109"/>
      <c r="Z157" s="1109"/>
      <c r="AA157" s="1109"/>
      <c r="AB157" s="1109"/>
      <c r="AC157" s="1109"/>
      <c r="AD157" s="1109"/>
      <c r="AE157" s="1109"/>
      <c r="AF157" s="2420">
        <f>AE183*(1+CE157)</f>
        <v>2060</v>
      </c>
      <c r="AG157" s="2406"/>
      <c r="AH157" s="2406"/>
      <c r="AI157" s="2406"/>
      <c r="AJ157" s="2406"/>
      <c r="AK157" s="1108"/>
      <c r="AL157" s="2403"/>
      <c r="AM157" s="2403"/>
      <c r="AN157" s="2403"/>
      <c r="AO157" s="1108"/>
      <c r="AP157" s="1109"/>
      <c r="AQ157" s="1109"/>
      <c r="AR157" s="1109"/>
      <c r="AS157" s="1109"/>
      <c r="AT157" s="1109"/>
      <c r="AU157" s="1109"/>
      <c r="AV157" s="1109"/>
      <c r="AW157" s="2409">
        <v>22</v>
      </c>
      <c r="AX157" s="2409"/>
      <c r="AY157" s="2409"/>
      <c r="AZ157" s="2409"/>
      <c r="BA157" s="2409"/>
      <c r="BB157" s="1108"/>
      <c r="BC157" s="2402"/>
      <c r="BD157" s="2402"/>
      <c r="BE157" s="2402"/>
      <c r="BF157" s="1109"/>
      <c r="BG157" s="1109"/>
      <c r="BH157" s="1109"/>
      <c r="BI157" s="1109"/>
      <c r="BJ157" s="1109"/>
      <c r="BK157" s="1109"/>
      <c r="BL157" s="1109"/>
      <c r="BM157" s="1109"/>
      <c r="BN157" s="2165">
        <f>$E157*AF157*AW157</f>
        <v>45320</v>
      </c>
      <c r="BO157" s="2165"/>
      <c r="BP157" s="2165"/>
      <c r="BQ157" s="2165"/>
      <c r="BR157" s="2165"/>
      <c r="BS157" s="1109"/>
      <c r="BT157" s="2402"/>
      <c r="BU157" s="2402"/>
      <c r="BV157" s="2402"/>
      <c r="BW157" s="1109"/>
      <c r="BX157" s="1109"/>
      <c r="BY157" s="1109"/>
      <c r="BZ157" s="1109"/>
      <c r="CA157" s="1109"/>
      <c r="CB157" s="1109"/>
      <c r="CC157" s="1109"/>
      <c r="CD157" s="1109"/>
      <c r="CE157" s="2407">
        <v>0.03</v>
      </c>
      <c r="CF157" s="2407"/>
      <c r="CG157" s="2407"/>
      <c r="CH157" s="2407"/>
      <c r="CI157" s="2407"/>
      <c r="CJ157" s="1108"/>
      <c r="CK157" s="2402"/>
      <c r="CL157" s="2402"/>
      <c r="CM157" s="2402"/>
      <c r="CN157" s="1109"/>
      <c r="CO157" s="1109"/>
      <c r="CP157" s="1109"/>
      <c r="CQ157" s="1109"/>
      <c r="CR157" s="1109"/>
      <c r="CS157" s="1109"/>
      <c r="CT157" s="1109"/>
      <c r="CU157" s="1109"/>
      <c r="CV157" s="1109"/>
      <c r="CW157" s="1109"/>
      <c r="CX157" s="1109"/>
      <c r="CY157" s="1109"/>
      <c r="CZ157" s="1108"/>
      <c r="DA157" s="2402"/>
      <c r="DB157" s="2402"/>
      <c r="DC157" s="2402"/>
      <c r="DD157" s="1109"/>
      <c r="DE157" s="1109"/>
      <c r="DF157" s="1109"/>
      <c r="DG157" s="1109"/>
      <c r="DH157" s="1109"/>
      <c r="DI157" s="1109"/>
      <c r="DJ157" s="1109"/>
      <c r="DK157" s="1109"/>
    </row>
    <row r="158" spans="1:115" s="1577" customFormat="1">
      <c r="A158" s="1822">
        <v>2</v>
      </c>
      <c r="B158" s="2088" t="s">
        <v>304</v>
      </c>
      <c r="C158" s="1108" t="s">
        <v>418</v>
      </c>
      <c r="D158" s="2088" t="s">
        <v>595</v>
      </c>
      <c r="E158" s="2089">
        <v>0.5</v>
      </c>
      <c r="F158" s="1359"/>
      <c r="G158" s="1361">
        <v>60</v>
      </c>
      <c r="H158" s="2401"/>
      <c r="I158" s="2402"/>
      <c r="J158" s="2402"/>
      <c r="K158" s="2402"/>
      <c r="L158" s="1109"/>
      <c r="M158" s="1109"/>
      <c r="N158" s="1109"/>
      <c r="O158" s="1109"/>
      <c r="P158" s="1109"/>
      <c r="Q158" s="1109"/>
      <c r="R158" s="1109"/>
      <c r="S158" s="1109"/>
      <c r="T158" s="2401"/>
      <c r="U158" s="2402"/>
      <c r="V158" s="2402"/>
      <c r="W158" s="2402"/>
      <c r="X158" s="1109"/>
      <c r="Y158" s="1109"/>
      <c r="Z158" s="1109"/>
      <c r="AA158" s="1109"/>
      <c r="AB158" s="1109"/>
      <c r="AC158" s="1109"/>
      <c r="AD158" s="1109"/>
      <c r="AE158" s="1109"/>
      <c r="AF158" s="2420">
        <f>AE181*(1+CE158)</f>
        <v>1545</v>
      </c>
      <c r="AG158" s="2406"/>
      <c r="AH158" s="2406"/>
      <c r="AI158" s="2406"/>
      <c r="AJ158" s="2406"/>
      <c r="AK158" s="1108"/>
      <c r="AL158" s="2403"/>
      <c r="AM158" s="2403"/>
      <c r="AN158" s="2403"/>
      <c r="AO158" s="1108"/>
      <c r="AP158" s="1109"/>
      <c r="AQ158" s="1109"/>
      <c r="AR158" s="1109"/>
      <c r="AS158" s="1109"/>
      <c r="AT158" s="1109"/>
      <c r="AU158" s="1109"/>
      <c r="AV158" s="1109"/>
      <c r="AW158" s="2409">
        <v>22</v>
      </c>
      <c r="AX158" s="2409"/>
      <c r="AY158" s="2409"/>
      <c r="AZ158" s="2409"/>
      <c r="BA158" s="2409"/>
      <c r="BB158" s="1108"/>
      <c r="BC158" s="2402"/>
      <c r="BD158" s="2402"/>
      <c r="BE158" s="2402"/>
      <c r="BF158" s="1109"/>
      <c r="BG158" s="1109"/>
      <c r="BH158" s="1109"/>
      <c r="BI158" s="1109"/>
      <c r="BJ158" s="1109"/>
      <c r="BK158" s="1109"/>
      <c r="BL158" s="1109"/>
      <c r="BM158" s="1109"/>
      <c r="BN158" s="2165">
        <f>$E158*AF158*AW158</f>
        <v>16995</v>
      </c>
      <c r="BO158" s="2165"/>
      <c r="BP158" s="2165"/>
      <c r="BQ158" s="2165"/>
      <c r="BR158" s="2165"/>
      <c r="BS158" s="1109"/>
      <c r="BT158" s="2402"/>
      <c r="BU158" s="2402"/>
      <c r="BV158" s="2402"/>
      <c r="BW158" s="1109"/>
      <c r="BX158" s="1109"/>
      <c r="BY158" s="1109"/>
      <c r="BZ158" s="1109"/>
      <c r="CA158" s="1109"/>
      <c r="CB158" s="1109"/>
      <c r="CC158" s="1109"/>
      <c r="CD158" s="1109"/>
      <c r="CE158" s="2407">
        <v>0.03</v>
      </c>
      <c r="CF158" s="2407"/>
      <c r="CG158" s="2407"/>
      <c r="CH158" s="2407"/>
      <c r="CI158" s="2407"/>
      <c r="CJ158" s="1108"/>
      <c r="CK158" s="2402"/>
      <c r="CL158" s="2402"/>
      <c r="CM158" s="2402"/>
      <c r="CN158" s="1109"/>
      <c r="CO158" s="1109"/>
      <c r="CP158" s="1109"/>
      <c r="CQ158" s="1109"/>
      <c r="CR158" s="1109"/>
      <c r="CS158" s="1109"/>
      <c r="CT158" s="1109"/>
      <c r="CU158" s="1109"/>
      <c r="CV158" s="1109"/>
      <c r="CW158" s="1109"/>
      <c r="CX158" s="1109"/>
      <c r="CY158" s="1109"/>
      <c r="CZ158" s="1108"/>
      <c r="DA158" s="2402"/>
      <c r="DB158" s="2402"/>
      <c r="DC158" s="2402"/>
      <c r="DD158" s="1109"/>
      <c r="DE158" s="1109"/>
      <c r="DF158" s="1109"/>
      <c r="DG158" s="1109"/>
      <c r="DH158" s="1109"/>
      <c r="DI158" s="1109"/>
      <c r="DJ158" s="1109"/>
      <c r="DK158" s="1109"/>
    </row>
    <row r="159" spans="1:115" s="1577" customFormat="1">
      <c r="A159" s="1822"/>
      <c r="B159" s="2088"/>
      <c r="C159" s="1108"/>
      <c r="D159" s="2088"/>
      <c r="E159" s="2089"/>
      <c r="F159" s="1359"/>
      <c r="G159" s="1361"/>
      <c r="H159" s="2401"/>
      <c r="I159" s="2402"/>
      <c r="J159" s="2402"/>
      <c r="K159" s="2402"/>
      <c r="L159" s="1109"/>
      <c r="M159" s="1109"/>
      <c r="N159" s="1109"/>
      <c r="O159" s="1109"/>
      <c r="P159" s="1109"/>
      <c r="Q159" s="1109"/>
      <c r="R159" s="1109"/>
      <c r="S159" s="1109"/>
      <c r="T159" s="2401"/>
      <c r="U159" s="2402"/>
      <c r="V159" s="2402"/>
      <c r="W159" s="2402"/>
      <c r="X159" s="1109"/>
      <c r="Y159" s="1109"/>
      <c r="Z159" s="1109"/>
      <c r="AA159" s="1109"/>
      <c r="AB159" s="1109"/>
      <c r="AC159" s="1109"/>
      <c r="AD159" s="1109"/>
      <c r="AE159" s="1109"/>
      <c r="AF159" s="2406"/>
      <c r="AG159" s="2406"/>
      <c r="AH159" s="2406"/>
      <c r="AI159" s="2406"/>
      <c r="AJ159" s="2406"/>
      <c r="AK159" s="1108"/>
      <c r="AL159" s="2403"/>
      <c r="AM159" s="2403"/>
      <c r="AN159" s="2403"/>
      <c r="AO159" s="1108"/>
      <c r="AP159" s="1109"/>
      <c r="AQ159" s="1109"/>
      <c r="AR159" s="1109"/>
      <c r="AS159" s="1109"/>
      <c r="AT159" s="1109"/>
      <c r="AU159" s="1109"/>
      <c r="AV159" s="1109"/>
      <c r="AW159" s="2409"/>
      <c r="AX159" s="2409"/>
      <c r="AY159" s="2409"/>
      <c r="AZ159" s="2409"/>
      <c r="BA159" s="2409"/>
      <c r="BB159" s="1108"/>
      <c r="BC159" s="2402"/>
      <c r="BD159" s="2402"/>
      <c r="BE159" s="2402"/>
      <c r="BF159" s="1109"/>
      <c r="BG159" s="1109"/>
      <c r="BH159" s="1109"/>
      <c r="BI159" s="1109"/>
      <c r="BJ159" s="1109"/>
      <c r="BK159" s="1109"/>
      <c r="BL159" s="1109"/>
      <c r="BM159" s="1109"/>
      <c r="BN159" s="2165"/>
      <c r="BO159" s="2165"/>
      <c r="BP159" s="2165"/>
      <c r="BQ159" s="2165"/>
      <c r="BR159" s="2165"/>
      <c r="BS159" s="1109"/>
      <c r="BT159" s="2402"/>
      <c r="BU159" s="2402"/>
      <c r="BV159" s="2402"/>
      <c r="BW159" s="1109"/>
      <c r="BX159" s="1109"/>
      <c r="BY159" s="1109"/>
      <c r="BZ159" s="1109"/>
      <c r="CA159" s="1109"/>
      <c r="CB159" s="1109"/>
      <c r="CC159" s="1109"/>
      <c r="CD159" s="1109"/>
      <c r="CE159" s="2407"/>
      <c r="CF159" s="2407"/>
      <c r="CG159" s="2407"/>
      <c r="CH159" s="2407"/>
      <c r="CI159" s="2407"/>
      <c r="CJ159" s="1108"/>
      <c r="CK159" s="2402"/>
      <c r="CL159" s="2402"/>
      <c r="CM159" s="2402"/>
      <c r="CN159" s="1109"/>
      <c r="CO159" s="1109"/>
      <c r="CP159" s="1109"/>
      <c r="CQ159" s="1109"/>
      <c r="CR159" s="1109"/>
      <c r="CS159" s="1109"/>
      <c r="CT159" s="1109"/>
      <c r="CU159" s="1109"/>
      <c r="CV159" s="1109"/>
      <c r="CW159" s="1109"/>
      <c r="CX159" s="1109"/>
      <c r="CY159" s="1109"/>
      <c r="CZ159" s="1108"/>
      <c r="DA159" s="2402"/>
      <c r="DB159" s="2402"/>
      <c r="DC159" s="2402"/>
      <c r="DD159" s="1109"/>
      <c r="DE159" s="1109"/>
      <c r="DF159" s="1109"/>
      <c r="DG159" s="1109"/>
      <c r="DH159" s="1109"/>
      <c r="DI159" s="1109"/>
      <c r="DJ159" s="1109"/>
      <c r="DK159" s="1109"/>
    </row>
    <row r="160" spans="1:115" s="1577" customFormat="1">
      <c r="A160" s="1822"/>
      <c r="B160" s="2401"/>
      <c r="C160" s="2401"/>
      <c r="D160" s="2401"/>
      <c r="E160" s="2401"/>
      <c r="F160" s="2401"/>
      <c r="G160" s="2401"/>
      <c r="H160" s="2401"/>
      <c r="I160" s="2402"/>
      <c r="J160" s="2402"/>
      <c r="K160" s="2402"/>
      <c r="L160" s="1109"/>
      <c r="M160" s="1109"/>
      <c r="N160" s="1109"/>
      <c r="O160" s="1109"/>
      <c r="P160" s="1109"/>
      <c r="Q160" s="1109"/>
      <c r="R160" s="1109"/>
      <c r="S160" s="1109"/>
      <c r="T160" s="2401"/>
      <c r="U160" s="2402"/>
      <c r="V160" s="2402"/>
      <c r="W160" s="2402"/>
      <c r="X160" s="1109"/>
      <c r="Y160" s="1109"/>
      <c r="Z160" s="1109"/>
      <c r="AA160" s="1109"/>
      <c r="AB160" s="1109"/>
      <c r="AC160" s="1109"/>
      <c r="AD160" s="1109"/>
      <c r="AE160" s="1109"/>
      <c r="AF160" s="1109"/>
      <c r="AG160" s="1109"/>
      <c r="AH160" s="1109"/>
      <c r="AI160" s="1109"/>
      <c r="AJ160" s="1109"/>
      <c r="AK160" s="1108"/>
      <c r="AL160" s="2403"/>
      <c r="AM160" s="2403"/>
      <c r="AN160" s="2403"/>
      <c r="AO160" s="1108"/>
      <c r="AP160" s="1109"/>
      <c r="AQ160" s="1109"/>
      <c r="AR160" s="1109"/>
      <c r="AS160" s="1109"/>
      <c r="AT160" s="1109"/>
      <c r="AU160" s="1109"/>
      <c r="AV160" s="1109"/>
      <c r="AW160" s="1109"/>
      <c r="AX160" s="1109"/>
      <c r="AY160" s="1109"/>
      <c r="AZ160" s="1109"/>
      <c r="BA160" s="1109"/>
      <c r="BB160" s="1108"/>
      <c r="BC160" s="2402"/>
      <c r="BD160" s="2402"/>
      <c r="BE160" s="2402"/>
      <c r="BF160" s="1109"/>
      <c r="BG160" s="1109"/>
      <c r="BH160" s="1109"/>
      <c r="BI160" s="1109"/>
      <c r="BJ160" s="1109"/>
      <c r="BK160" s="1109"/>
      <c r="BL160" s="1109"/>
      <c r="BM160" s="1109"/>
      <c r="BN160" s="1109"/>
      <c r="BO160" s="2165"/>
      <c r="BP160" s="1109"/>
      <c r="BQ160" s="1109"/>
      <c r="BR160" s="1109"/>
      <c r="BS160" s="1109"/>
      <c r="BT160" s="2402"/>
      <c r="BU160" s="2402"/>
      <c r="BV160" s="2402"/>
      <c r="BW160" s="1109"/>
      <c r="BX160" s="1109"/>
      <c r="BY160" s="1109"/>
      <c r="BZ160" s="1109"/>
      <c r="CA160" s="1109"/>
      <c r="CB160" s="1109"/>
      <c r="CC160" s="1109"/>
      <c r="CD160" s="1109"/>
      <c r="CE160" s="1109"/>
      <c r="CF160" s="1109"/>
      <c r="CG160" s="1109"/>
      <c r="CH160" s="1109"/>
      <c r="CI160" s="1109"/>
      <c r="CJ160" s="1108"/>
      <c r="CK160" s="2402"/>
      <c r="CL160" s="2402"/>
      <c r="CM160" s="2402"/>
      <c r="CN160" s="1109"/>
      <c r="CO160" s="1109"/>
      <c r="CP160" s="1109"/>
      <c r="CQ160" s="1109"/>
      <c r="CR160" s="1109"/>
      <c r="CS160" s="1109"/>
      <c r="CT160" s="1109"/>
      <c r="CU160" s="1109"/>
      <c r="CV160" s="1109"/>
      <c r="CW160" s="1109"/>
      <c r="CX160" s="1109"/>
      <c r="CY160" s="1109"/>
      <c r="CZ160" s="1108"/>
      <c r="DA160" s="2402"/>
      <c r="DB160" s="2402"/>
      <c r="DC160" s="2402"/>
      <c r="DD160" s="1109"/>
      <c r="DE160" s="1109"/>
      <c r="DF160" s="1109"/>
      <c r="DG160" s="1109"/>
      <c r="DH160" s="1109"/>
      <c r="DI160" s="1109"/>
      <c r="DJ160" s="1109"/>
      <c r="DK160" s="1109"/>
    </row>
    <row r="161" spans="1:115" s="1577" customFormat="1">
      <c r="A161" s="2417" t="s">
        <v>1670</v>
      </c>
      <c r="B161" s="2401"/>
      <c r="C161" s="2401"/>
      <c r="D161" s="2401"/>
      <c r="E161" s="2401"/>
      <c r="F161" s="2401"/>
      <c r="G161" s="2401"/>
      <c r="H161" s="2401"/>
      <c r="I161" s="2402"/>
      <c r="J161" s="2402"/>
      <c r="K161" s="2402"/>
      <c r="L161" s="1109"/>
      <c r="M161" s="1109"/>
      <c r="N161" s="1109"/>
      <c r="O161" s="1109"/>
      <c r="P161" s="1109"/>
      <c r="Q161" s="1109"/>
      <c r="R161" s="1109"/>
      <c r="S161" s="1109"/>
      <c r="T161" s="2401"/>
      <c r="U161" s="2402"/>
      <c r="V161" s="2402"/>
      <c r="W161" s="2402"/>
      <c r="X161" s="1109"/>
      <c r="Y161" s="1109"/>
      <c r="Z161" s="1109"/>
      <c r="AA161" s="1109"/>
      <c r="AB161" s="1109"/>
      <c r="AC161" s="1109"/>
      <c r="AD161" s="1109"/>
      <c r="AE161" s="1109"/>
      <c r="AF161" s="1109"/>
      <c r="AG161" s="1109"/>
      <c r="AH161" s="1109"/>
      <c r="AI161" s="1109"/>
      <c r="AJ161" s="1109"/>
      <c r="AK161" s="1108"/>
      <c r="AL161" s="2403"/>
      <c r="AM161" s="2403"/>
      <c r="AN161" s="2403"/>
      <c r="AO161" s="1108"/>
      <c r="AP161" s="1109"/>
      <c r="AQ161" s="1109"/>
      <c r="AR161" s="1109"/>
      <c r="AS161" s="1109"/>
      <c r="AT161" s="1109"/>
      <c r="AU161" s="1109"/>
      <c r="AV161" s="1109"/>
      <c r="AW161" s="1109"/>
      <c r="AX161" s="1109"/>
      <c r="AY161" s="1109"/>
      <c r="AZ161" s="1109"/>
      <c r="BA161" s="1109"/>
      <c r="BB161" s="1108"/>
      <c r="BC161" s="2402"/>
      <c r="BD161" s="2402"/>
      <c r="BE161" s="2402"/>
      <c r="BF161" s="1109"/>
      <c r="BG161" s="1109"/>
      <c r="BH161" s="1109"/>
      <c r="BI161" s="1109"/>
      <c r="BJ161" s="1109"/>
      <c r="BK161" s="1109"/>
      <c r="BL161" s="1109"/>
      <c r="BM161" s="1109"/>
      <c r="BN161" s="1109"/>
      <c r="BO161" s="1109"/>
      <c r="BP161" s="1109"/>
      <c r="BQ161" s="1109"/>
      <c r="BR161" s="1109"/>
      <c r="BS161" s="1109"/>
      <c r="BT161" s="2402"/>
      <c r="BU161" s="2402"/>
      <c r="BV161" s="2402"/>
      <c r="BW161" s="1109"/>
      <c r="BX161" s="1109"/>
      <c r="BY161" s="1109"/>
      <c r="BZ161" s="1109"/>
      <c r="CA161" s="1109"/>
      <c r="CB161" s="1109"/>
      <c r="CC161" s="1109"/>
      <c r="CD161" s="1109"/>
      <c r="CE161" s="1109"/>
      <c r="CF161" s="1109"/>
      <c r="CG161" s="1109"/>
      <c r="CH161" s="1109"/>
      <c r="CI161" s="1109"/>
      <c r="CJ161" s="1108"/>
      <c r="CK161" s="2402"/>
      <c r="CL161" s="2402"/>
      <c r="CM161" s="2402"/>
      <c r="CN161" s="1109"/>
      <c r="CO161" s="1109"/>
      <c r="CP161" s="1109"/>
      <c r="CQ161" s="1109"/>
      <c r="CR161" s="1109"/>
      <c r="CS161" s="1109"/>
      <c r="CT161" s="1109"/>
      <c r="CU161" s="1109"/>
      <c r="CV161" s="1109"/>
      <c r="CW161" s="1109"/>
      <c r="CX161" s="1109"/>
      <c r="CY161" s="1109"/>
      <c r="CZ161" s="1108"/>
      <c r="DA161" s="2402"/>
      <c r="DB161" s="2402"/>
      <c r="DC161" s="2402"/>
      <c r="DD161" s="1109"/>
      <c r="DE161" s="1109"/>
      <c r="DF161" s="1109"/>
      <c r="DG161" s="1109"/>
      <c r="DH161" s="1109"/>
      <c r="DI161" s="1109"/>
      <c r="DJ161" s="1109"/>
      <c r="DK161" s="1109"/>
    </row>
    <row r="162" spans="1:115" s="1577" customFormat="1">
      <c r="A162" s="1494">
        <v>1</v>
      </c>
      <c r="B162" s="2088" t="s">
        <v>295</v>
      </c>
      <c r="C162" s="2088" t="s">
        <v>296</v>
      </c>
      <c r="D162" s="2088" t="s">
        <v>638</v>
      </c>
      <c r="E162" s="2089">
        <v>1</v>
      </c>
      <c r="F162" s="1359"/>
      <c r="G162" s="1361">
        <v>60</v>
      </c>
      <c r="H162" s="2401"/>
      <c r="I162" s="2402"/>
      <c r="J162" s="2402"/>
      <c r="K162" s="2402"/>
      <c r="L162" s="1109"/>
      <c r="M162" s="1109"/>
      <c r="N162" s="1109"/>
      <c r="O162" s="1109"/>
      <c r="P162" s="1109"/>
      <c r="Q162" s="1109"/>
      <c r="R162" s="1109"/>
      <c r="S162" s="1109"/>
      <c r="T162" s="2401"/>
      <c r="U162" s="2402"/>
      <c r="V162" s="2402"/>
      <c r="W162" s="2402"/>
      <c r="X162" s="1109"/>
      <c r="Y162" s="1109"/>
      <c r="Z162" s="1109"/>
      <c r="AA162" s="1109"/>
      <c r="AB162" s="1109"/>
      <c r="AE162" s="2420">
        <v>1500</v>
      </c>
      <c r="AF162" s="2409"/>
      <c r="AG162" s="2409"/>
      <c r="AH162" s="2409"/>
      <c r="AI162" s="2409"/>
      <c r="AJ162" s="2409"/>
      <c r="AK162" s="1108"/>
      <c r="AL162" s="2403"/>
      <c r="AM162" s="2403"/>
      <c r="AN162" s="2403"/>
      <c r="AO162" s="1108"/>
      <c r="AP162" s="1109"/>
      <c r="AQ162" s="1109"/>
      <c r="AR162" s="1109"/>
      <c r="AS162" s="1109"/>
      <c r="AT162" s="1109"/>
      <c r="AU162" s="1109"/>
      <c r="AV162" s="2409">
        <v>13</v>
      </c>
      <c r="AW162" s="2409"/>
      <c r="AX162" s="2409"/>
      <c r="AY162" s="2409"/>
      <c r="AZ162" s="2409"/>
      <c r="BA162" s="2409"/>
      <c r="BB162" s="1108"/>
      <c r="BC162" s="2402"/>
      <c r="BD162" s="2402"/>
      <c r="BE162" s="2402"/>
      <c r="BF162" s="1109"/>
      <c r="BG162" s="1109"/>
      <c r="BH162" s="1109"/>
      <c r="BI162" s="1109"/>
      <c r="BJ162" s="1109"/>
      <c r="BK162" s="1109"/>
      <c r="BL162" s="1109"/>
      <c r="BM162" s="2165">
        <f>$E162*AE162*AV162</f>
        <v>19500</v>
      </c>
      <c r="BN162" s="1109"/>
      <c r="BO162" s="1109"/>
      <c r="BP162" s="1109"/>
      <c r="BQ162" s="1109"/>
      <c r="BR162" s="1109"/>
      <c r="BS162" s="1109"/>
      <c r="BT162" s="2402"/>
      <c r="BU162" s="2402"/>
      <c r="BV162" s="2402"/>
      <c r="BW162" s="1109"/>
      <c r="BX162" s="1109"/>
      <c r="BY162" s="1109"/>
      <c r="BZ162" s="1109"/>
      <c r="CA162" s="1109"/>
      <c r="CB162" s="1109"/>
      <c r="CC162" s="1109"/>
      <c r="CD162" s="2407">
        <v>0.03</v>
      </c>
      <c r="CE162" s="1109"/>
      <c r="CF162" s="1109"/>
      <c r="CG162" s="1109"/>
      <c r="CH162" s="1109"/>
      <c r="CI162" s="1109"/>
      <c r="CJ162" s="1108"/>
      <c r="CK162" s="2402"/>
      <c r="CL162" s="2402"/>
      <c r="CM162" s="2402"/>
      <c r="CN162" s="1109"/>
      <c r="CO162" s="1109"/>
      <c r="CP162" s="1109"/>
      <c r="CQ162" s="1109"/>
      <c r="CR162" s="1109"/>
      <c r="CS162" s="1109"/>
      <c r="CT162" s="1109"/>
      <c r="CU162" s="1109"/>
      <c r="CV162" s="1109"/>
      <c r="CW162" s="1109"/>
      <c r="CX162" s="1109"/>
      <c r="CY162" s="1109"/>
      <c r="CZ162" s="1108"/>
      <c r="DA162" s="2402"/>
      <c r="DB162" s="2402"/>
      <c r="DC162" s="2402"/>
      <c r="DD162" s="1109"/>
      <c r="DE162" s="1109"/>
      <c r="DF162" s="1109"/>
      <c r="DG162" s="1109"/>
      <c r="DH162" s="1109"/>
      <c r="DI162" s="1109"/>
      <c r="DJ162" s="1109"/>
      <c r="DK162" s="1109"/>
    </row>
    <row r="163" spans="1:115" s="1577" customFormat="1">
      <c r="A163" s="1494">
        <v>1</v>
      </c>
      <c r="B163" s="2088" t="s">
        <v>297</v>
      </c>
      <c r="C163" s="2088" t="s">
        <v>296</v>
      </c>
      <c r="D163" s="2088" t="s">
        <v>638</v>
      </c>
      <c r="E163" s="2089">
        <v>1</v>
      </c>
      <c r="F163" s="1359"/>
      <c r="G163" s="1361">
        <v>60</v>
      </c>
      <c r="H163" s="2401"/>
      <c r="I163" s="2402"/>
      <c r="J163" s="2402"/>
      <c r="K163" s="2402"/>
      <c r="L163" s="1109"/>
      <c r="M163" s="1109"/>
      <c r="N163" s="1109"/>
      <c r="O163" s="1109"/>
      <c r="P163" s="1109"/>
      <c r="Q163" s="1109"/>
      <c r="R163" s="1109"/>
      <c r="S163" s="1109"/>
      <c r="T163" s="2401"/>
      <c r="U163" s="2402"/>
      <c r="V163" s="2402"/>
      <c r="W163" s="2402"/>
      <c r="X163" s="1109"/>
      <c r="Y163" s="1109"/>
      <c r="Z163" s="1109"/>
      <c r="AA163" s="1109"/>
      <c r="AB163" s="1109"/>
      <c r="AE163" s="2420">
        <v>1500</v>
      </c>
      <c r="AF163" s="2406"/>
      <c r="AG163" s="2406"/>
      <c r="AH163" s="2406"/>
      <c r="AI163" s="2406"/>
      <c r="AJ163" s="2406"/>
      <c r="AK163" s="1108"/>
      <c r="AL163" s="2403"/>
      <c r="AM163" s="2403"/>
      <c r="AN163" s="2403"/>
      <c r="AO163" s="1108"/>
      <c r="AP163" s="1109"/>
      <c r="AQ163" s="1109"/>
      <c r="AR163" s="1109"/>
      <c r="AS163" s="1109"/>
      <c r="AT163" s="1109"/>
      <c r="AU163" s="1109"/>
      <c r="AV163" s="2409">
        <v>6</v>
      </c>
      <c r="AW163" s="2406"/>
      <c r="AX163" s="2406"/>
      <c r="AY163" s="2406"/>
      <c r="AZ163" s="2406"/>
      <c r="BA163" s="2406"/>
      <c r="BB163" s="1108"/>
      <c r="BC163" s="2402"/>
      <c r="BD163" s="2402"/>
      <c r="BE163" s="2402"/>
      <c r="BF163" s="1109"/>
      <c r="BG163" s="1109"/>
      <c r="BH163" s="1109"/>
      <c r="BI163" s="1109"/>
      <c r="BJ163" s="1109"/>
      <c r="BK163" s="1109"/>
      <c r="BL163" s="1109"/>
      <c r="BM163" s="2165">
        <f t="shared" ref="BM163:BM182" si="13">E163*AE163*AV163</f>
        <v>9000</v>
      </c>
      <c r="BN163" s="1109"/>
      <c r="BO163" s="1109"/>
      <c r="BP163" s="1109"/>
      <c r="BQ163" s="1109"/>
      <c r="BR163" s="1109"/>
      <c r="BS163" s="1109"/>
      <c r="BT163" s="2402"/>
      <c r="BU163" s="2402"/>
      <c r="BV163" s="2402"/>
      <c r="BW163" s="1109"/>
      <c r="BX163" s="1109"/>
      <c r="BY163" s="1109"/>
      <c r="BZ163" s="1109"/>
      <c r="CA163" s="1109"/>
      <c r="CB163" s="1109"/>
      <c r="CC163" s="1109"/>
      <c r="CD163" s="2407">
        <v>0.03</v>
      </c>
      <c r="CE163" s="1109"/>
      <c r="CF163" s="1109"/>
      <c r="CG163" s="1109"/>
      <c r="CH163" s="1109"/>
      <c r="CI163" s="1109"/>
      <c r="CJ163" s="1108"/>
      <c r="CK163" s="2402"/>
      <c r="CL163" s="2402"/>
      <c r="CM163" s="2402"/>
      <c r="CN163" s="1109"/>
      <c r="CO163" s="1109"/>
      <c r="CP163" s="1109"/>
      <c r="CQ163" s="1109"/>
      <c r="CR163" s="1109"/>
      <c r="CS163" s="1109"/>
      <c r="CT163" s="1109"/>
      <c r="CU163" s="1109"/>
      <c r="CV163" s="1109"/>
      <c r="CW163" s="1109"/>
      <c r="CX163" s="1109"/>
      <c r="CY163" s="1109"/>
      <c r="CZ163" s="1108"/>
      <c r="DA163" s="2402"/>
      <c r="DB163" s="2402"/>
      <c r="DC163" s="2402"/>
      <c r="DD163" s="1109"/>
      <c r="DE163" s="1109"/>
      <c r="DF163" s="1109"/>
      <c r="DG163" s="1109"/>
      <c r="DH163" s="1109"/>
      <c r="DI163" s="1109"/>
      <c r="DJ163" s="1109"/>
      <c r="DK163" s="1109"/>
    </row>
    <row r="164" spans="1:115" s="1577" customFormat="1">
      <c r="A164" s="1494">
        <v>1</v>
      </c>
      <c r="B164" s="2088" t="s">
        <v>298</v>
      </c>
      <c r="C164" s="2088" t="s">
        <v>296</v>
      </c>
      <c r="D164" s="2088" t="s">
        <v>638</v>
      </c>
      <c r="E164" s="2089">
        <v>1</v>
      </c>
      <c r="F164" s="1359"/>
      <c r="G164" s="1361">
        <v>60</v>
      </c>
      <c r="H164" s="2401"/>
      <c r="I164" s="2402"/>
      <c r="J164" s="2402"/>
      <c r="K164" s="2402"/>
      <c r="L164" s="1109"/>
      <c r="M164" s="1109"/>
      <c r="N164" s="1109"/>
      <c r="O164" s="1109"/>
      <c r="P164" s="1109"/>
      <c r="Q164" s="1109"/>
      <c r="R164" s="1109"/>
      <c r="S164" s="1109"/>
      <c r="T164" s="2401"/>
      <c r="U164" s="2402"/>
      <c r="V164" s="2402"/>
      <c r="W164" s="2402"/>
      <c r="X164" s="1109"/>
      <c r="Y164" s="1109"/>
      <c r="Z164" s="1109"/>
      <c r="AA164" s="1109"/>
      <c r="AB164" s="1109"/>
      <c r="AE164" s="2420">
        <v>1500</v>
      </c>
      <c r="AF164" s="2406"/>
      <c r="AG164" s="2406"/>
      <c r="AH164" s="2406"/>
      <c r="AI164" s="2406"/>
      <c r="AJ164" s="2406"/>
      <c r="AK164" s="1108"/>
      <c r="AL164" s="2403"/>
      <c r="AM164" s="2403"/>
      <c r="AN164" s="2403"/>
      <c r="AO164" s="1108"/>
      <c r="AP164" s="1109"/>
      <c r="AQ164" s="1109"/>
      <c r="AR164" s="1109"/>
      <c r="AS164" s="1109"/>
      <c r="AT164" s="1109"/>
      <c r="AU164" s="1109"/>
      <c r="AV164" s="2409">
        <v>13</v>
      </c>
      <c r="AW164" s="2406"/>
      <c r="AX164" s="2406"/>
      <c r="AY164" s="2406"/>
      <c r="AZ164" s="2406"/>
      <c r="BA164" s="2406"/>
      <c r="BB164" s="1108"/>
      <c r="BC164" s="2402"/>
      <c r="BD164" s="2402"/>
      <c r="BE164" s="2402"/>
      <c r="BF164" s="1109"/>
      <c r="BG164" s="1109"/>
      <c r="BH164" s="1109"/>
      <c r="BI164" s="1109"/>
      <c r="BJ164" s="1109"/>
      <c r="BK164" s="1109"/>
      <c r="BL164" s="1109"/>
      <c r="BM164" s="2165">
        <f t="shared" si="13"/>
        <v>19500</v>
      </c>
      <c r="BN164" s="1109"/>
      <c r="BO164" s="1109"/>
      <c r="BP164" s="1109"/>
      <c r="BQ164" s="1109"/>
      <c r="BR164" s="1109"/>
      <c r="BS164" s="1109"/>
      <c r="BT164" s="2402"/>
      <c r="BU164" s="2402"/>
      <c r="BV164" s="2402"/>
      <c r="BW164" s="1109"/>
      <c r="BX164" s="1109"/>
      <c r="BY164" s="1109"/>
      <c r="BZ164" s="1109"/>
      <c r="CA164" s="1109"/>
      <c r="CB164" s="1109"/>
      <c r="CC164" s="1109"/>
      <c r="CD164" s="2407">
        <v>0.03</v>
      </c>
      <c r="CE164" s="1109"/>
      <c r="CF164" s="1109"/>
      <c r="CG164" s="1109"/>
      <c r="CH164" s="1109"/>
      <c r="CI164" s="1109"/>
      <c r="CJ164" s="1108"/>
      <c r="CK164" s="2402"/>
      <c r="CL164" s="2402"/>
      <c r="CM164" s="2402"/>
      <c r="CN164" s="1109"/>
      <c r="CO164" s="1109"/>
      <c r="CP164" s="1109"/>
      <c r="CQ164" s="1109"/>
      <c r="CR164" s="1109"/>
      <c r="CS164" s="1109"/>
      <c r="CT164" s="1109"/>
      <c r="CU164" s="1109"/>
      <c r="CV164" s="1109"/>
      <c r="CW164" s="1109"/>
      <c r="CX164" s="1109"/>
      <c r="CY164" s="1109"/>
      <c r="CZ164" s="1108"/>
      <c r="DA164" s="2402"/>
      <c r="DB164" s="2402"/>
      <c r="DC164" s="2402"/>
      <c r="DD164" s="1109"/>
      <c r="DE164" s="1109"/>
      <c r="DF164" s="1109"/>
      <c r="DG164" s="1109"/>
      <c r="DH164" s="1109"/>
      <c r="DI164" s="1109"/>
      <c r="DJ164" s="1109"/>
      <c r="DK164" s="1109"/>
    </row>
    <row r="165" spans="1:115" s="1577" customFormat="1">
      <c r="A165" s="1494">
        <v>2</v>
      </c>
      <c r="B165" s="2088" t="s">
        <v>1157</v>
      </c>
      <c r="C165" s="2088" t="s">
        <v>296</v>
      </c>
      <c r="D165" s="2088" t="s">
        <v>638</v>
      </c>
      <c r="E165" s="2089">
        <v>1</v>
      </c>
      <c r="F165" s="1359"/>
      <c r="G165" s="1361">
        <v>60</v>
      </c>
      <c r="H165" s="2401"/>
      <c r="I165" s="2402"/>
      <c r="J165" s="2402"/>
      <c r="K165" s="2402"/>
      <c r="L165" s="1109"/>
      <c r="M165" s="1109"/>
      <c r="N165" s="1109"/>
      <c r="O165" s="1109"/>
      <c r="P165" s="1109"/>
      <c r="Q165" s="1109"/>
      <c r="R165" s="1109"/>
      <c r="S165" s="1109"/>
      <c r="T165" s="2401"/>
      <c r="U165" s="2402"/>
      <c r="V165" s="2402"/>
      <c r="W165" s="2402"/>
      <c r="X165" s="1109"/>
      <c r="Y165" s="1109"/>
      <c r="Z165" s="1109"/>
      <c r="AA165" s="1109"/>
      <c r="AB165" s="1109"/>
      <c r="AE165" s="2420">
        <f>AD204*(1+CD165)</f>
        <v>1545</v>
      </c>
      <c r="AF165" s="2406"/>
      <c r="AG165" s="2406"/>
      <c r="AH165" s="2406"/>
      <c r="AI165" s="2406"/>
      <c r="AJ165" s="2406"/>
      <c r="AK165" s="1108"/>
      <c r="AL165" s="2403"/>
      <c r="AM165" s="2403"/>
      <c r="AN165" s="2403"/>
      <c r="AO165" s="1108"/>
      <c r="AP165" s="1109"/>
      <c r="AQ165" s="1109"/>
      <c r="AR165" s="1109"/>
      <c r="AS165" s="1109"/>
      <c r="AT165" s="1109"/>
      <c r="AU165" s="1109"/>
      <c r="AV165" s="2409">
        <v>22</v>
      </c>
      <c r="AW165" s="2406"/>
      <c r="AX165" s="2406"/>
      <c r="AY165" s="2406"/>
      <c r="AZ165" s="2406"/>
      <c r="BA165" s="2406"/>
      <c r="BB165" s="1108"/>
      <c r="BC165" s="2402"/>
      <c r="BD165" s="2402"/>
      <c r="BE165" s="2402"/>
      <c r="BF165" s="1109"/>
      <c r="BG165" s="1109"/>
      <c r="BH165" s="1109"/>
      <c r="BI165" s="1109"/>
      <c r="BJ165" s="1109"/>
      <c r="BK165" s="1109"/>
      <c r="BL165" s="1109"/>
      <c r="BM165" s="2165">
        <f t="shared" si="13"/>
        <v>33990</v>
      </c>
      <c r="BN165" s="1109"/>
      <c r="BO165" s="1109"/>
      <c r="BP165" s="1109"/>
      <c r="BQ165" s="1109"/>
      <c r="BR165" s="1109"/>
      <c r="BS165" s="1109"/>
      <c r="BT165" s="2402"/>
      <c r="BU165" s="2402"/>
      <c r="BV165" s="2402"/>
      <c r="BW165" s="1109"/>
      <c r="BX165" s="1109"/>
      <c r="BY165" s="1109"/>
      <c r="BZ165" s="1109"/>
      <c r="CA165" s="1109"/>
      <c r="CB165" s="1109"/>
      <c r="CC165" s="1109"/>
      <c r="CD165" s="2407">
        <v>0.03</v>
      </c>
      <c r="CE165" s="1109"/>
      <c r="CF165" s="1109"/>
      <c r="CG165" s="1109"/>
      <c r="CH165" s="1109"/>
      <c r="CI165" s="1109"/>
      <c r="CJ165" s="1108"/>
      <c r="CK165" s="2402"/>
      <c r="CL165" s="2402"/>
      <c r="CM165" s="2402"/>
      <c r="CN165" s="1109"/>
      <c r="CO165" s="1109"/>
      <c r="CP165" s="1109"/>
      <c r="CQ165" s="1109"/>
      <c r="CR165" s="1109"/>
      <c r="CS165" s="1109"/>
      <c r="CT165" s="1109"/>
      <c r="CU165" s="1109"/>
      <c r="CV165" s="1109"/>
      <c r="CW165" s="1109"/>
      <c r="CX165" s="1109"/>
      <c r="CY165" s="1109"/>
      <c r="CZ165" s="1108"/>
      <c r="DA165" s="2402"/>
      <c r="DB165" s="2402"/>
      <c r="DC165" s="2402"/>
      <c r="DD165" s="1109"/>
      <c r="DE165" s="1109"/>
      <c r="DF165" s="1109"/>
      <c r="DG165" s="1109"/>
      <c r="DH165" s="1109"/>
      <c r="DI165" s="1109"/>
      <c r="DJ165" s="1109"/>
      <c r="DK165" s="1109"/>
    </row>
    <row r="166" spans="1:115" s="1577" customFormat="1">
      <c r="A166" s="1494">
        <v>2</v>
      </c>
      <c r="B166" s="2088" t="s">
        <v>701</v>
      </c>
      <c r="C166" s="2088" t="s">
        <v>296</v>
      </c>
      <c r="D166" s="2088" t="s">
        <v>638</v>
      </c>
      <c r="E166" s="2089">
        <v>1</v>
      </c>
      <c r="F166" s="1359"/>
      <c r="G166" s="1361">
        <v>60</v>
      </c>
      <c r="H166" s="2401"/>
      <c r="I166" s="2402"/>
      <c r="J166" s="2402"/>
      <c r="K166" s="2402"/>
      <c r="L166" s="1109"/>
      <c r="M166" s="1109"/>
      <c r="N166" s="1109"/>
      <c r="O166" s="1109"/>
      <c r="P166" s="1109"/>
      <c r="Q166" s="1109"/>
      <c r="R166" s="1109"/>
      <c r="S166" s="1109"/>
      <c r="T166" s="2401"/>
      <c r="U166" s="2402"/>
      <c r="V166" s="2402"/>
      <c r="W166" s="2402"/>
      <c r="X166" s="1109"/>
      <c r="Y166" s="1109"/>
      <c r="Z166" s="1109"/>
      <c r="AA166" s="1109"/>
      <c r="AB166" s="1109"/>
      <c r="AE166" s="2420">
        <f>AD206*(1+CD166)</f>
        <v>1545</v>
      </c>
      <c r="AF166" s="2406"/>
      <c r="AG166" s="2406"/>
      <c r="AH166" s="2406"/>
      <c r="AI166" s="2406"/>
      <c r="AJ166" s="2406"/>
      <c r="AK166" s="1108"/>
      <c r="AL166" s="2403"/>
      <c r="AM166" s="2403"/>
      <c r="AN166" s="2403"/>
      <c r="AO166" s="1108"/>
      <c r="AP166" s="1109"/>
      <c r="AQ166" s="1109"/>
      <c r="AR166" s="1109"/>
      <c r="AS166" s="1109"/>
      <c r="AT166" s="1109"/>
      <c r="AU166" s="1109"/>
      <c r="AV166" s="2409">
        <v>23</v>
      </c>
      <c r="AW166" s="2406"/>
      <c r="AX166" s="2406"/>
      <c r="AY166" s="2406"/>
      <c r="AZ166" s="2406"/>
      <c r="BA166" s="2406"/>
      <c r="BB166" s="1108"/>
      <c r="BC166" s="2402"/>
      <c r="BD166" s="2402"/>
      <c r="BE166" s="2402"/>
      <c r="BF166" s="1109"/>
      <c r="BG166" s="1109"/>
      <c r="BH166" s="1109"/>
      <c r="BI166" s="1109"/>
      <c r="BJ166" s="1109"/>
      <c r="BK166" s="1109"/>
      <c r="BL166" s="1109"/>
      <c r="BM166" s="2165">
        <f t="shared" si="13"/>
        <v>35535</v>
      </c>
      <c r="BN166" s="1109"/>
      <c r="BO166" s="1109"/>
      <c r="BP166" s="1109"/>
      <c r="BQ166" s="1109"/>
      <c r="BR166" s="1109"/>
      <c r="BS166" s="1109"/>
      <c r="BT166" s="2402"/>
      <c r="BU166" s="2402"/>
      <c r="BV166" s="2402"/>
      <c r="BW166" s="1109"/>
      <c r="BX166" s="1109"/>
      <c r="BY166" s="1109"/>
      <c r="BZ166" s="1109"/>
      <c r="CA166" s="1109"/>
      <c r="CB166" s="1109"/>
      <c r="CC166" s="1109"/>
      <c r="CD166" s="2407">
        <v>0.03</v>
      </c>
      <c r="CE166" s="1109"/>
      <c r="CF166" s="1109"/>
      <c r="CG166" s="1109"/>
      <c r="CH166" s="1109"/>
      <c r="CI166" s="1109"/>
      <c r="CJ166" s="1108"/>
      <c r="CK166" s="2402"/>
      <c r="CL166" s="2402"/>
      <c r="CM166" s="2402"/>
      <c r="CN166" s="1109"/>
      <c r="CO166" s="1109"/>
      <c r="CP166" s="1109"/>
      <c r="CQ166" s="1109"/>
      <c r="CR166" s="1109"/>
      <c r="CS166" s="1109"/>
      <c r="CT166" s="1109"/>
      <c r="CU166" s="1109"/>
      <c r="CV166" s="1109"/>
      <c r="CW166" s="1109"/>
      <c r="CX166" s="1109"/>
      <c r="CY166" s="1109"/>
      <c r="CZ166" s="1108"/>
      <c r="DA166" s="2402"/>
      <c r="DB166" s="2402"/>
      <c r="DC166" s="2402"/>
      <c r="DD166" s="1109"/>
      <c r="DE166" s="1109"/>
      <c r="DF166" s="1109"/>
      <c r="DG166" s="1109"/>
      <c r="DH166" s="1109"/>
      <c r="DI166" s="1109"/>
      <c r="DJ166" s="1109"/>
      <c r="DK166" s="1109"/>
    </row>
    <row r="167" spans="1:115" s="1577" customFormat="1">
      <c r="A167" s="1494">
        <v>3</v>
      </c>
      <c r="B167" s="2088" t="s">
        <v>611</v>
      </c>
      <c r="C167" s="2088" t="s">
        <v>296</v>
      </c>
      <c r="D167" s="2088" t="s">
        <v>638</v>
      </c>
      <c r="E167" s="2089">
        <v>1</v>
      </c>
      <c r="F167" s="1359"/>
      <c r="G167" s="1361">
        <v>60</v>
      </c>
      <c r="H167" s="2401"/>
      <c r="I167" s="2402"/>
      <c r="J167" s="2402"/>
      <c r="K167" s="2402"/>
      <c r="L167" s="1109"/>
      <c r="M167" s="1109"/>
      <c r="N167" s="1109"/>
      <c r="O167" s="1109"/>
      <c r="P167" s="1109"/>
      <c r="Q167" s="1109"/>
      <c r="R167" s="1109"/>
      <c r="S167" s="1109"/>
      <c r="T167" s="2401"/>
      <c r="U167" s="2402"/>
      <c r="V167" s="2402"/>
      <c r="W167" s="2402"/>
      <c r="X167" s="1109"/>
      <c r="Y167" s="1109"/>
      <c r="Z167" s="1109"/>
      <c r="AA167" s="1109"/>
      <c r="AB167" s="1109"/>
      <c r="AE167" s="2420">
        <f>AD193*(1+CD167)</f>
        <v>1311.2724000000001</v>
      </c>
      <c r="AF167" s="2406"/>
      <c r="AG167" s="2406"/>
      <c r="AH167" s="2406"/>
      <c r="AI167" s="2406"/>
      <c r="AJ167" s="2406"/>
      <c r="AK167" s="1108"/>
      <c r="AL167" s="2403"/>
      <c r="AM167" s="2403"/>
      <c r="AN167" s="2403"/>
      <c r="AO167" s="1108"/>
      <c r="AP167" s="1109"/>
      <c r="AQ167" s="1109"/>
      <c r="AR167" s="1109"/>
      <c r="AS167" s="1109"/>
      <c r="AT167" s="1109"/>
      <c r="AU167" s="1109"/>
      <c r="AV167" s="2409">
        <v>22</v>
      </c>
      <c r="AW167" s="2406"/>
      <c r="AX167" s="2406"/>
      <c r="AY167" s="2406"/>
      <c r="AZ167" s="2406"/>
      <c r="BA167" s="2406"/>
      <c r="BB167" s="1108"/>
      <c r="BC167" s="2402"/>
      <c r="BD167" s="2402"/>
      <c r="BE167" s="2402"/>
      <c r="BF167" s="1109"/>
      <c r="BG167" s="1109"/>
      <c r="BH167" s="1109"/>
      <c r="BI167" s="1109"/>
      <c r="BJ167" s="1109"/>
      <c r="BK167" s="1109"/>
      <c r="BL167" s="1109"/>
      <c r="BM167" s="2165">
        <f t="shared" si="13"/>
        <v>28847.9928</v>
      </c>
      <c r="BN167" s="1109"/>
      <c r="BO167" s="1109"/>
      <c r="BP167" s="1109"/>
      <c r="BQ167" s="1109"/>
      <c r="BR167" s="1109"/>
      <c r="BS167" s="1109"/>
      <c r="BT167" s="2402"/>
      <c r="BU167" s="2402"/>
      <c r="BV167" s="2402"/>
      <c r="BW167" s="1109"/>
      <c r="BX167" s="1109"/>
      <c r="BY167" s="1109"/>
      <c r="BZ167" s="1109"/>
      <c r="CA167" s="1109"/>
      <c r="CB167" s="1109"/>
      <c r="CC167" s="1109"/>
      <c r="CD167" s="2407">
        <v>0.03</v>
      </c>
      <c r="CE167" s="1109"/>
      <c r="CF167" s="1109"/>
      <c r="CG167" s="1109"/>
      <c r="CH167" s="1109"/>
      <c r="CI167" s="1109"/>
      <c r="CJ167" s="1108"/>
      <c r="CK167" s="2402"/>
      <c r="CL167" s="2402"/>
      <c r="CM167" s="2402"/>
      <c r="CN167" s="1109"/>
      <c r="CO167" s="1109"/>
      <c r="CP167" s="1109"/>
      <c r="CQ167" s="1109"/>
      <c r="CR167" s="1109"/>
      <c r="CS167" s="1109"/>
      <c r="CT167" s="1109"/>
      <c r="CU167" s="1109"/>
      <c r="CV167" s="1109"/>
      <c r="CW167" s="1109"/>
      <c r="CX167" s="1109"/>
      <c r="CY167" s="1109"/>
      <c r="CZ167" s="1108"/>
      <c r="DA167" s="2402"/>
      <c r="DB167" s="2402"/>
      <c r="DC167" s="2402"/>
      <c r="DD167" s="1109"/>
      <c r="DE167" s="1109"/>
      <c r="DF167" s="1109"/>
      <c r="DG167" s="1109"/>
      <c r="DH167" s="1109"/>
      <c r="DI167" s="1109"/>
      <c r="DJ167" s="1109"/>
      <c r="DK167" s="1109"/>
    </row>
    <row r="168" spans="1:115" s="1577" customFormat="1">
      <c r="A168" s="1494">
        <v>9</v>
      </c>
      <c r="B168" s="2088" t="s">
        <v>1461</v>
      </c>
      <c r="C168" s="2088" t="s">
        <v>296</v>
      </c>
      <c r="D168" s="2088" t="s">
        <v>638</v>
      </c>
      <c r="E168" s="2089">
        <v>1</v>
      </c>
      <c r="F168" s="1359"/>
      <c r="G168" s="1361">
        <v>60</v>
      </c>
      <c r="H168" s="2401"/>
      <c r="I168" s="2402"/>
      <c r="J168" s="2402"/>
      <c r="K168" s="2402"/>
      <c r="L168" s="1109"/>
      <c r="M168" s="1109"/>
      <c r="N168" s="1109"/>
      <c r="O168" s="1109"/>
      <c r="P168" s="1109"/>
      <c r="Q168" s="1109"/>
      <c r="R168" s="1109"/>
      <c r="S168" s="1109"/>
      <c r="T168" s="2401"/>
      <c r="U168" s="2402"/>
      <c r="V168" s="2402"/>
      <c r="W168" s="2402"/>
      <c r="X168" s="1109"/>
      <c r="Y168" s="1109"/>
      <c r="Z168" s="1109"/>
      <c r="AA168" s="1109"/>
      <c r="AB168" s="1109"/>
      <c r="AE168" s="2420">
        <f>AD196*(1+CD168)</f>
        <v>3010.7360667500002</v>
      </c>
      <c r="AF168" s="2406"/>
      <c r="AG168" s="2406"/>
      <c r="AH168" s="2406"/>
      <c r="AI168" s="2406"/>
      <c r="AJ168" s="2406"/>
      <c r="AK168" s="1108"/>
      <c r="AL168" s="2403"/>
      <c r="AM168" s="2403"/>
      <c r="AN168" s="2403"/>
      <c r="AO168" s="1108"/>
      <c r="AP168" s="1109"/>
      <c r="AQ168" s="1109"/>
      <c r="AR168" s="1109"/>
      <c r="AS168" s="1109"/>
      <c r="AT168" s="1109"/>
      <c r="AU168" s="1109"/>
      <c r="AV168" s="2409">
        <v>24</v>
      </c>
      <c r="AW168" s="2406"/>
      <c r="AX168" s="2406"/>
      <c r="AY168" s="2406"/>
      <c r="AZ168" s="2406"/>
      <c r="BA168" s="2406"/>
      <c r="BB168" s="1108"/>
      <c r="BC168" s="2402"/>
      <c r="BD168" s="2402"/>
      <c r="BE168" s="2402"/>
      <c r="BF168" s="1109"/>
      <c r="BG168" s="1109"/>
      <c r="BH168" s="1109"/>
      <c r="BI168" s="1109"/>
      <c r="BJ168" s="1109"/>
      <c r="BK168" s="1109"/>
      <c r="BL168" s="1109"/>
      <c r="BM168" s="2165">
        <f t="shared" si="13"/>
        <v>72257.665602000008</v>
      </c>
      <c r="BN168" s="1109"/>
      <c r="BO168" s="1109"/>
      <c r="BP168" s="1109"/>
      <c r="BQ168" s="1109"/>
      <c r="BR168" s="1109"/>
      <c r="BS168" s="1109"/>
      <c r="BT168" s="2402"/>
      <c r="BU168" s="2402"/>
      <c r="BV168" s="2402"/>
      <c r="BW168" s="1109"/>
      <c r="BX168" s="1109"/>
      <c r="BY168" s="1109"/>
      <c r="BZ168" s="1109"/>
      <c r="CA168" s="1109"/>
      <c r="CB168" s="1109"/>
      <c r="CC168" s="1109"/>
      <c r="CD168" s="2407">
        <v>0.03</v>
      </c>
      <c r="CE168" s="1109"/>
      <c r="CF168" s="1109"/>
      <c r="CG168" s="1109"/>
      <c r="CH168" s="1109"/>
      <c r="CI168" s="1109"/>
      <c r="CJ168" s="1108"/>
      <c r="CK168" s="2402"/>
      <c r="CL168" s="2402"/>
      <c r="CM168" s="2402"/>
      <c r="CN168" s="1109"/>
      <c r="CO168" s="1109"/>
      <c r="CP168" s="1109"/>
      <c r="CQ168" s="1109"/>
      <c r="CR168" s="1109"/>
      <c r="CS168" s="1109"/>
      <c r="CT168" s="1109"/>
      <c r="CU168" s="1109"/>
      <c r="CV168" s="1109"/>
      <c r="CW168" s="1109"/>
      <c r="CX168" s="1109"/>
      <c r="CY168" s="1109"/>
      <c r="CZ168" s="1108"/>
      <c r="DA168" s="2402"/>
      <c r="DB168" s="2402"/>
      <c r="DC168" s="2402"/>
      <c r="DD168" s="1109"/>
      <c r="DE168" s="1109"/>
      <c r="DF168" s="1109"/>
      <c r="DG168" s="1109"/>
      <c r="DH168" s="1109"/>
      <c r="DI168" s="1109"/>
      <c r="DJ168" s="1109"/>
      <c r="DK168" s="1109"/>
    </row>
    <row r="169" spans="1:115" s="1577" customFormat="1">
      <c r="A169" s="1494">
        <v>12</v>
      </c>
      <c r="B169" s="2088" t="s">
        <v>1477</v>
      </c>
      <c r="C169" s="2088" t="s">
        <v>296</v>
      </c>
      <c r="D169" s="2088" t="s">
        <v>638</v>
      </c>
      <c r="E169" s="2089">
        <v>1</v>
      </c>
      <c r="F169" s="1359"/>
      <c r="G169" s="1361">
        <v>60</v>
      </c>
      <c r="H169" s="2401"/>
      <c r="I169" s="2402"/>
      <c r="J169" s="2402"/>
      <c r="K169" s="2402"/>
      <c r="L169" s="1109"/>
      <c r="M169" s="1109"/>
      <c r="N169" s="1109"/>
      <c r="O169" s="1109"/>
      <c r="P169" s="1109"/>
      <c r="Q169" s="1109"/>
      <c r="R169" s="1109"/>
      <c r="S169" s="1109"/>
      <c r="T169" s="2401"/>
      <c r="U169" s="2402"/>
      <c r="V169" s="2402"/>
      <c r="W169" s="2402"/>
      <c r="X169" s="1109"/>
      <c r="Y169" s="1109"/>
      <c r="Z169" s="1109"/>
      <c r="AA169" s="1109"/>
      <c r="AB169" s="1109"/>
      <c r="AE169" s="2420">
        <f>AD190*(1+CD169)</f>
        <v>3010.7360667500002</v>
      </c>
      <c r="AF169" s="2406"/>
      <c r="AG169" s="2406"/>
      <c r="AH169" s="2406"/>
      <c r="AI169" s="2406"/>
      <c r="AJ169" s="2406"/>
      <c r="AK169" s="1108"/>
      <c r="AL169" s="2403"/>
      <c r="AM169" s="2403"/>
      <c r="AN169" s="2403"/>
      <c r="AO169" s="1108"/>
      <c r="AP169" s="1109"/>
      <c r="AQ169" s="1109"/>
      <c r="AR169" s="1109"/>
      <c r="AS169" s="1109"/>
      <c r="AT169" s="1109"/>
      <c r="AU169" s="1109"/>
      <c r="AV169" s="2409">
        <v>22</v>
      </c>
      <c r="AW169" s="2406"/>
      <c r="AX169" s="2406"/>
      <c r="AY169" s="2406"/>
      <c r="AZ169" s="2406"/>
      <c r="BA169" s="2406"/>
      <c r="BB169" s="1108"/>
      <c r="BC169" s="2402"/>
      <c r="BD169" s="2402"/>
      <c r="BE169" s="2402"/>
      <c r="BF169" s="1109"/>
      <c r="BG169" s="1109"/>
      <c r="BH169" s="1109"/>
      <c r="BI169" s="1109"/>
      <c r="BJ169" s="1109"/>
      <c r="BK169" s="1109"/>
      <c r="BL169" s="1109"/>
      <c r="BM169" s="2165">
        <f t="shared" si="13"/>
        <v>66236.193468500001</v>
      </c>
      <c r="BN169" s="1109"/>
      <c r="BO169" s="1109"/>
      <c r="BP169" s="1109"/>
      <c r="BQ169" s="1109"/>
      <c r="BR169" s="1109"/>
      <c r="BS169" s="1109"/>
      <c r="BT169" s="2402"/>
      <c r="BU169" s="2402"/>
      <c r="BV169" s="2402"/>
      <c r="BW169" s="1109"/>
      <c r="BX169" s="1109"/>
      <c r="BY169" s="1109"/>
      <c r="BZ169" s="1109"/>
      <c r="CA169" s="1109"/>
      <c r="CB169" s="1109"/>
      <c r="CC169" s="1109"/>
      <c r="CD169" s="2407">
        <v>0.03</v>
      </c>
      <c r="CE169" s="1109"/>
      <c r="CF169" s="1109"/>
      <c r="CG169" s="1109"/>
      <c r="CH169" s="1109"/>
      <c r="CI169" s="1109"/>
      <c r="CJ169" s="1108"/>
      <c r="CK169" s="2402"/>
      <c r="CL169" s="2402"/>
      <c r="CM169" s="2402"/>
      <c r="CN169" s="1109"/>
      <c r="CO169" s="1109"/>
      <c r="CP169" s="1109"/>
      <c r="CQ169" s="1109"/>
      <c r="CR169" s="1109"/>
      <c r="CS169" s="1109"/>
      <c r="CT169" s="1109"/>
      <c r="CU169" s="1109"/>
      <c r="CV169" s="1109"/>
      <c r="CW169" s="1109"/>
      <c r="CX169" s="1109"/>
      <c r="CY169" s="1109"/>
      <c r="CZ169" s="1108"/>
      <c r="DA169" s="2402"/>
      <c r="DB169" s="2402"/>
      <c r="DC169" s="2402"/>
      <c r="DD169" s="1109"/>
      <c r="DE169" s="1109"/>
      <c r="DF169" s="1109"/>
      <c r="DG169" s="1109"/>
      <c r="DH169" s="1109"/>
      <c r="DI169" s="1109"/>
      <c r="DJ169" s="1109"/>
      <c r="DK169" s="1109"/>
    </row>
    <row r="170" spans="1:115" s="1577" customFormat="1">
      <c r="A170" s="1494">
        <v>10</v>
      </c>
      <c r="B170" s="2088" t="s">
        <v>1464</v>
      </c>
      <c r="C170" s="2088" t="s">
        <v>296</v>
      </c>
      <c r="D170" s="2088" t="s">
        <v>638</v>
      </c>
      <c r="E170" s="2089">
        <v>1</v>
      </c>
      <c r="F170" s="1359"/>
      <c r="G170" s="1361">
        <v>60</v>
      </c>
      <c r="H170" s="2401"/>
      <c r="I170" s="2402"/>
      <c r="J170" s="2402"/>
      <c r="K170" s="2402"/>
      <c r="L170" s="1109"/>
      <c r="M170" s="1109"/>
      <c r="N170" s="1109"/>
      <c r="O170" s="1109"/>
      <c r="P170" s="1109"/>
      <c r="Q170" s="1109"/>
      <c r="R170" s="1109"/>
      <c r="S170" s="1109"/>
      <c r="T170" s="2401"/>
      <c r="U170" s="2402"/>
      <c r="V170" s="2402"/>
      <c r="W170" s="2402"/>
      <c r="X170" s="1109"/>
      <c r="Y170" s="1109"/>
      <c r="Z170" s="1109"/>
      <c r="AA170" s="1109"/>
      <c r="AB170" s="1109"/>
      <c r="AE170" s="2420">
        <f>AD191*(1+CD170)</f>
        <v>3010.7360667500002</v>
      </c>
      <c r="AF170" s="2406"/>
      <c r="AG170" s="2406"/>
      <c r="AH170" s="2406"/>
      <c r="AI170" s="2406"/>
      <c r="AJ170" s="2406"/>
      <c r="AK170" s="1108"/>
      <c r="AL170" s="2403"/>
      <c r="AM170" s="2403"/>
      <c r="AN170" s="2403"/>
      <c r="AO170" s="1108"/>
      <c r="AP170" s="1109"/>
      <c r="AQ170" s="1109"/>
      <c r="AR170" s="1109"/>
      <c r="AS170" s="1109"/>
      <c r="AT170" s="1109"/>
      <c r="AU170" s="1109"/>
      <c r="AV170" s="2409">
        <v>22</v>
      </c>
      <c r="AW170" s="2406"/>
      <c r="AX170" s="2406"/>
      <c r="AY170" s="2406"/>
      <c r="AZ170" s="2406"/>
      <c r="BA170" s="2406"/>
      <c r="BB170" s="1108"/>
      <c r="BC170" s="2402"/>
      <c r="BD170" s="2402"/>
      <c r="BE170" s="2402"/>
      <c r="BF170" s="1109"/>
      <c r="BG170" s="1109"/>
      <c r="BH170" s="1109"/>
      <c r="BI170" s="1109"/>
      <c r="BJ170" s="1109"/>
      <c r="BK170" s="1109"/>
      <c r="BL170" s="1109"/>
      <c r="BM170" s="2165">
        <f t="shared" si="13"/>
        <v>66236.193468500001</v>
      </c>
      <c r="BN170" s="1109"/>
      <c r="BO170" s="1109"/>
      <c r="BP170" s="1109"/>
      <c r="BQ170" s="1109"/>
      <c r="BR170" s="1109"/>
      <c r="BS170" s="1109"/>
      <c r="BT170" s="2402"/>
      <c r="BU170" s="2402"/>
      <c r="BV170" s="2402"/>
      <c r="BW170" s="1109"/>
      <c r="BX170" s="1109"/>
      <c r="BY170" s="1109"/>
      <c r="BZ170" s="1109"/>
      <c r="CA170" s="1109"/>
      <c r="CB170" s="1109"/>
      <c r="CC170" s="1109"/>
      <c r="CD170" s="2407">
        <v>0.03</v>
      </c>
      <c r="CE170" s="1109"/>
      <c r="CF170" s="1109"/>
      <c r="CG170" s="1109"/>
      <c r="CH170" s="1109"/>
      <c r="CI170" s="1109"/>
      <c r="CJ170" s="1108"/>
      <c r="CK170" s="2402"/>
      <c r="CL170" s="2402"/>
      <c r="CM170" s="2402"/>
      <c r="CN170" s="1109"/>
      <c r="CO170" s="1109"/>
      <c r="CP170" s="1109"/>
      <c r="CQ170" s="1109"/>
      <c r="CR170" s="1109"/>
      <c r="CS170" s="1109"/>
      <c r="CT170" s="1109"/>
      <c r="CU170" s="1109"/>
      <c r="CV170" s="1109"/>
      <c r="CW170" s="1109"/>
      <c r="CX170" s="1109"/>
      <c r="CY170" s="1109"/>
      <c r="CZ170" s="1108"/>
      <c r="DA170" s="2402"/>
      <c r="DB170" s="2402"/>
      <c r="DC170" s="2402"/>
      <c r="DD170" s="1109"/>
      <c r="DE170" s="1109"/>
      <c r="DF170" s="1109"/>
      <c r="DG170" s="1109"/>
      <c r="DH170" s="1109"/>
      <c r="DI170" s="1109"/>
      <c r="DJ170" s="1109"/>
      <c r="DK170" s="1109"/>
    </row>
    <row r="171" spans="1:115" s="1577" customFormat="1">
      <c r="A171" s="1494">
        <v>8</v>
      </c>
      <c r="B171" s="2088" t="s">
        <v>299</v>
      </c>
      <c r="C171" s="2088" t="s">
        <v>296</v>
      </c>
      <c r="D171" s="2088" t="s">
        <v>638</v>
      </c>
      <c r="E171" s="2089">
        <v>1</v>
      </c>
      <c r="F171" s="1359"/>
      <c r="G171" s="1361">
        <v>60</v>
      </c>
      <c r="H171" s="2401"/>
      <c r="I171" s="2402"/>
      <c r="J171" s="2402"/>
      <c r="K171" s="2402"/>
      <c r="L171" s="1109"/>
      <c r="M171" s="1109"/>
      <c r="N171" s="1109"/>
      <c r="O171" s="1109"/>
      <c r="P171" s="1109"/>
      <c r="Q171" s="1109"/>
      <c r="R171" s="1109"/>
      <c r="S171" s="1109"/>
      <c r="T171" s="2401"/>
      <c r="U171" s="2402"/>
      <c r="V171" s="2402"/>
      <c r="W171" s="2402"/>
      <c r="X171" s="1109"/>
      <c r="Y171" s="1109"/>
      <c r="Z171" s="1109"/>
      <c r="AA171" s="1109"/>
      <c r="AB171" s="1109"/>
      <c r="AE171" s="2420">
        <f>AD192*(1+CD171)</f>
        <v>3010.7360667500002</v>
      </c>
      <c r="AF171" s="2406"/>
      <c r="AG171" s="2406"/>
      <c r="AH171" s="2406"/>
      <c r="AI171" s="2406"/>
      <c r="AJ171" s="2406"/>
      <c r="AK171" s="1108"/>
      <c r="AL171" s="2403"/>
      <c r="AM171" s="2403"/>
      <c r="AN171" s="2403"/>
      <c r="AO171" s="1108"/>
      <c r="AP171" s="1109"/>
      <c r="AQ171" s="1109"/>
      <c r="AR171" s="1109"/>
      <c r="AS171" s="1109"/>
      <c r="AT171" s="1109"/>
      <c r="AU171" s="1109"/>
      <c r="AV171" s="2409">
        <v>22</v>
      </c>
      <c r="AW171" s="2406"/>
      <c r="AX171" s="2406"/>
      <c r="AY171" s="2406"/>
      <c r="AZ171" s="2406"/>
      <c r="BA171" s="2406"/>
      <c r="BB171" s="1108"/>
      <c r="BC171" s="2402"/>
      <c r="BD171" s="2402"/>
      <c r="BE171" s="2402"/>
      <c r="BF171" s="1109"/>
      <c r="BG171" s="1109"/>
      <c r="BH171" s="1109"/>
      <c r="BI171" s="1109"/>
      <c r="BJ171" s="1109"/>
      <c r="BK171" s="1109"/>
      <c r="BL171" s="1109"/>
      <c r="BM171" s="2165">
        <f t="shared" si="13"/>
        <v>66236.193468500001</v>
      </c>
      <c r="BN171" s="1109"/>
      <c r="BO171" s="1109"/>
      <c r="BP171" s="1109"/>
      <c r="BQ171" s="1109"/>
      <c r="BR171" s="1109"/>
      <c r="BS171" s="1109"/>
      <c r="BT171" s="2402"/>
      <c r="BU171" s="2402"/>
      <c r="BV171" s="2402"/>
      <c r="BW171" s="1109"/>
      <c r="BX171" s="1109"/>
      <c r="BY171" s="1109"/>
      <c r="BZ171" s="1109"/>
      <c r="CA171" s="1109"/>
      <c r="CB171" s="1109"/>
      <c r="CC171" s="1109"/>
      <c r="CD171" s="2407">
        <v>0.03</v>
      </c>
      <c r="CE171" s="1109"/>
      <c r="CF171" s="1109"/>
      <c r="CG171" s="1109"/>
      <c r="CH171" s="1109"/>
      <c r="CI171" s="1109"/>
      <c r="CJ171" s="1108"/>
      <c r="CK171" s="2402"/>
      <c r="CL171" s="2402"/>
      <c r="CM171" s="2402"/>
      <c r="CN171" s="1109"/>
      <c r="CO171" s="1109"/>
      <c r="CP171" s="1109"/>
      <c r="CQ171" s="1109"/>
      <c r="CR171" s="1109"/>
      <c r="CS171" s="1109"/>
      <c r="CT171" s="1109"/>
      <c r="CU171" s="1109"/>
      <c r="CV171" s="1109"/>
      <c r="CW171" s="1109"/>
      <c r="CX171" s="1109"/>
      <c r="CY171" s="1109"/>
      <c r="CZ171" s="1108"/>
      <c r="DA171" s="2402"/>
      <c r="DB171" s="2402"/>
      <c r="DC171" s="2402"/>
      <c r="DD171" s="1109"/>
      <c r="DE171" s="1109"/>
      <c r="DF171" s="1109"/>
      <c r="DG171" s="1109"/>
      <c r="DH171" s="1109"/>
      <c r="DI171" s="1109"/>
      <c r="DJ171" s="1109"/>
      <c r="DK171" s="1109"/>
    </row>
    <row r="172" spans="1:115" s="1577" customFormat="1">
      <c r="A172" s="1494">
        <v>3</v>
      </c>
      <c r="B172" s="2088" t="s">
        <v>300</v>
      </c>
      <c r="C172" s="2088" t="s">
        <v>296</v>
      </c>
      <c r="D172" s="2088" t="s">
        <v>638</v>
      </c>
      <c r="E172" s="2089">
        <v>1</v>
      </c>
      <c r="F172" s="1359"/>
      <c r="G172" s="1361">
        <v>60</v>
      </c>
      <c r="H172" s="2401"/>
      <c r="I172" s="2402"/>
      <c r="J172" s="2402"/>
      <c r="K172" s="2402"/>
      <c r="L172" s="1109"/>
      <c r="M172" s="1109"/>
      <c r="N172" s="1109"/>
      <c r="O172" s="1109"/>
      <c r="P172" s="1109"/>
      <c r="Q172" s="1109"/>
      <c r="R172" s="1109"/>
      <c r="S172" s="1109"/>
      <c r="T172" s="2401"/>
      <c r="U172" s="2402"/>
      <c r="V172" s="2402"/>
      <c r="W172" s="2402"/>
      <c r="X172" s="1109"/>
      <c r="Y172" s="1109"/>
      <c r="Z172" s="1109"/>
      <c r="AA172" s="1109"/>
      <c r="AB172" s="1109"/>
      <c r="AE172" s="2420">
        <f>AD197*(1+CD172)</f>
        <v>2652.25</v>
      </c>
      <c r="AF172" s="2406"/>
      <c r="AG172" s="2406"/>
      <c r="AH172" s="2406"/>
      <c r="AI172" s="2406"/>
      <c r="AJ172" s="2406"/>
      <c r="AK172" s="1108"/>
      <c r="AL172" s="2403"/>
      <c r="AM172" s="2403"/>
      <c r="AN172" s="2403"/>
      <c r="AO172" s="1108"/>
      <c r="AP172" s="1109"/>
      <c r="AQ172" s="1109"/>
      <c r="AR172" s="1109"/>
      <c r="AS172" s="1109"/>
      <c r="AT172" s="1109"/>
      <c r="AU172" s="1109"/>
      <c r="AV172" s="2409">
        <v>24</v>
      </c>
      <c r="AW172" s="2406"/>
      <c r="AX172" s="2406"/>
      <c r="AY172" s="2406"/>
      <c r="AZ172" s="2406"/>
      <c r="BA172" s="2406"/>
      <c r="BB172" s="1108"/>
      <c r="BC172" s="2402"/>
      <c r="BD172" s="2402"/>
      <c r="BE172" s="2402"/>
      <c r="BF172" s="1109"/>
      <c r="BG172" s="1109"/>
      <c r="BH172" s="1109"/>
      <c r="BI172" s="1109"/>
      <c r="BJ172" s="1109"/>
      <c r="BK172" s="1109"/>
      <c r="BL172" s="1109"/>
      <c r="BM172" s="2165">
        <f t="shared" si="13"/>
        <v>63654</v>
      </c>
      <c r="BN172" s="1109"/>
      <c r="BO172" s="1109"/>
      <c r="BP172" s="1109"/>
      <c r="BQ172" s="1109"/>
      <c r="BR172" s="1109"/>
      <c r="BS172" s="1109"/>
      <c r="BT172" s="2402"/>
      <c r="BU172" s="2402"/>
      <c r="BV172" s="2402"/>
      <c r="BW172" s="1109"/>
      <c r="BX172" s="1109"/>
      <c r="BY172" s="1109"/>
      <c r="BZ172" s="1109"/>
      <c r="CA172" s="1109"/>
      <c r="CB172" s="1109"/>
      <c r="CC172" s="1109"/>
      <c r="CD172" s="2407">
        <v>0.03</v>
      </c>
      <c r="CE172" s="1109"/>
      <c r="CF172" s="1109"/>
      <c r="CG172" s="1109"/>
      <c r="CH172" s="1109"/>
      <c r="CI172" s="1109"/>
      <c r="CJ172" s="1108"/>
      <c r="CK172" s="2402"/>
      <c r="CL172" s="2402"/>
      <c r="CM172" s="2402"/>
      <c r="CN172" s="1109"/>
      <c r="CO172" s="1109"/>
      <c r="CP172" s="1109"/>
      <c r="CQ172" s="1109"/>
      <c r="CR172" s="1109"/>
      <c r="CS172" s="1109"/>
      <c r="CT172" s="1109"/>
      <c r="CU172" s="1109"/>
      <c r="CV172" s="1109"/>
      <c r="CW172" s="1109"/>
      <c r="CX172" s="1109"/>
      <c r="CY172" s="1109"/>
      <c r="CZ172" s="1108"/>
      <c r="DA172" s="2402"/>
      <c r="DB172" s="2402"/>
      <c r="DC172" s="2402"/>
      <c r="DD172" s="1109"/>
      <c r="DE172" s="1109"/>
      <c r="DF172" s="1109"/>
      <c r="DG172" s="1109"/>
      <c r="DH172" s="1109"/>
      <c r="DI172" s="1109"/>
      <c r="DJ172" s="1109"/>
      <c r="DK172" s="1109"/>
    </row>
    <row r="173" spans="1:115" s="1577" customFormat="1">
      <c r="A173" s="1494">
        <v>6</v>
      </c>
      <c r="B173" s="2088" t="s">
        <v>613</v>
      </c>
      <c r="C173" s="2088" t="s">
        <v>296</v>
      </c>
      <c r="D173" s="2088" t="s">
        <v>638</v>
      </c>
      <c r="E173" s="2089">
        <v>1</v>
      </c>
      <c r="F173" s="1359"/>
      <c r="G173" s="1361">
        <v>60</v>
      </c>
      <c r="H173" s="2401"/>
      <c r="I173" s="2402"/>
      <c r="J173" s="2402"/>
      <c r="K173" s="2402"/>
      <c r="L173" s="1109"/>
      <c r="M173" s="1109"/>
      <c r="N173" s="1109"/>
      <c r="O173" s="1109"/>
      <c r="P173" s="1109"/>
      <c r="Q173" s="1109"/>
      <c r="R173" s="1109"/>
      <c r="S173" s="1109"/>
      <c r="T173" s="2401"/>
      <c r="U173" s="2402"/>
      <c r="V173" s="2402"/>
      <c r="W173" s="2402"/>
      <c r="X173" s="1109"/>
      <c r="Y173" s="1109"/>
      <c r="Z173" s="1109"/>
      <c r="AA173" s="1109"/>
      <c r="AB173" s="1109"/>
      <c r="AE173" s="2420">
        <f>AD199*(1+CD173)</f>
        <v>2408.588853400001</v>
      </c>
      <c r="AF173" s="2406"/>
      <c r="AG173" s="2406"/>
      <c r="AH173" s="2406"/>
      <c r="AI173" s="2406"/>
      <c r="AJ173" s="2406"/>
      <c r="AK173" s="1108"/>
      <c r="AL173" s="2403"/>
      <c r="AM173" s="2403"/>
      <c r="AN173" s="2403"/>
      <c r="AO173" s="1108"/>
      <c r="AP173" s="1109"/>
      <c r="AQ173" s="1109"/>
      <c r="AR173" s="1109"/>
      <c r="AS173" s="1109"/>
      <c r="AT173" s="1109"/>
      <c r="AU173" s="1109"/>
      <c r="AV173" s="2409">
        <v>15</v>
      </c>
      <c r="AW173" s="2406"/>
      <c r="AX173" s="2406"/>
      <c r="AY173" s="2406"/>
      <c r="AZ173" s="2406"/>
      <c r="BA173" s="2406"/>
      <c r="BB173" s="1108"/>
      <c r="BC173" s="2402"/>
      <c r="BD173" s="2402"/>
      <c r="BE173" s="2402"/>
      <c r="BF173" s="1109"/>
      <c r="BG173" s="1109"/>
      <c r="BH173" s="1109"/>
      <c r="BI173" s="1109"/>
      <c r="BJ173" s="1109"/>
      <c r="BK173" s="1109"/>
      <c r="BL173" s="1109"/>
      <c r="BM173" s="2165">
        <f t="shared" si="13"/>
        <v>36128.832801000011</v>
      </c>
      <c r="BN173" s="1109"/>
      <c r="BO173" s="1109"/>
      <c r="BP173" s="1109"/>
      <c r="BQ173" s="1109"/>
      <c r="BR173" s="1109"/>
      <c r="BS173" s="1109"/>
      <c r="BT173" s="2402"/>
      <c r="BU173" s="2402"/>
      <c r="BV173" s="2402"/>
      <c r="BW173" s="1109"/>
      <c r="BX173" s="1109"/>
      <c r="BY173" s="1109"/>
      <c r="BZ173" s="1109"/>
      <c r="CA173" s="1109"/>
      <c r="CB173" s="1109"/>
      <c r="CC173" s="1109"/>
      <c r="CD173" s="2407">
        <v>0.03</v>
      </c>
      <c r="CE173" s="1109"/>
      <c r="CF173" s="1109"/>
      <c r="CG173" s="1109"/>
      <c r="CH173" s="1109"/>
      <c r="CI173" s="1109"/>
      <c r="CJ173" s="1108"/>
      <c r="CK173" s="2402"/>
      <c r="CL173" s="2402"/>
      <c r="CM173" s="2402"/>
      <c r="CN173" s="1109"/>
      <c r="CO173" s="1109"/>
      <c r="CP173" s="1109"/>
      <c r="CQ173" s="1109"/>
      <c r="CR173" s="1109"/>
      <c r="CS173" s="1109"/>
      <c r="CT173" s="1109"/>
      <c r="CU173" s="1109"/>
      <c r="CV173" s="1109"/>
      <c r="CW173" s="1109"/>
      <c r="CX173" s="1109"/>
      <c r="CY173" s="1109"/>
      <c r="CZ173" s="1108"/>
      <c r="DA173" s="2402"/>
      <c r="DB173" s="2402"/>
      <c r="DC173" s="2402"/>
      <c r="DD173" s="1109"/>
      <c r="DE173" s="1109"/>
      <c r="DF173" s="1109"/>
      <c r="DG173" s="1109"/>
      <c r="DH173" s="1109"/>
      <c r="DI173" s="1109"/>
      <c r="DJ173" s="1109"/>
      <c r="DK173" s="1109"/>
    </row>
    <row r="174" spans="1:115" s="1577" customFormat="1">
      <c r="A174" s="1494">
        <v>3</v>
      </c>
      <c r="B174" s="2088" t="s">
        <v>292</v>
      </c>
      <c r="C174" s="2088" t="s">
        <v>296</v>
      </c>
      <c r="D174" s="2088" t="s">
        <v>638</v>
      </c>
      <c r="E174" s="2089">
        <v>1</v>
      </c>
      <c r="F174" s="1359"/>
      <c r="G174" s="1361">
        <v>60</v>
      </c>
      <c r="H174" s="2401"/>
      <c r="I174" s="2402"/>
      <c r="J174" s="2402"/>
      <c r="K174" s="2402"/>
      <c r="L174" s="1109"/>
      <c r="M174" s="1109"/>
      <c r="N174" s="1109"/>
      <c r="O174" s="1109"/>
      <c r="P174" s="1109"/>
      <c r="Q174" s="1109"/>
      <c r="R174" s="1109"/>
      <c r="S174" s="1109"/>
      <c r="T174" s="2401"/>
      <c r="U174" s="2402"/>
      <c r="V174" s="2402"/>
      <c r="W174" s="2402"/>
      <c r="X174" s="1109"/>
      <c r="Y174" s="1109"/>
      <c r="Z174" s="1109"/>
      <c r="AA174" s="1109"/>
      <c r="AB174" s="1109"/>
      <c r="AE174" s="2420">
        <f>AD202*(1+CD174)</f>
        <v>1591.3500000000001</v>
      </c>
      <c r="AF174" s="2406"/>
      <c r="AG174" s="2406"/>
      <c r="AH174" s="2406"/>
      <c r="AI174" s="2406"/>
      <c r="AJ174" s="2406"/>
      <c r="AK174" s="1108"/>
      <c r="AL174" s="2403"/>
      <c r="AM174" s="2403"/>
      <c r="AN174" s="2403"/>
      <c r="AO174" s="1108"/>
      <c r="AP174" s="1109"/>
      <c r="AQ174" s="1109"/>
      <c r="AR174" s="1109"/>
      <c r="AS174" s="1109"/>
      <c r="AT174" s="1109"/>
      <c r="AU174" s="1109"/>
      <c r="AV174" s="2409">
        <v>22</v>
      </c>
      <c r="AW174" s="2406"/>
      <c r="AX174" s="2406"/>
      <c r="AY174" s="2406"/>
      <c r="AZ174" s="2406"/>
      <c r="BA174" s="2406"/>
      <c r="BB174" s="1108"/>
      <c r="BC174" s="2402"/>
      <c r="BD174" s="2402"/>
      <c r="BE174" s="2402"/>
      <c r="BF174" s="1109"/>
      <c r="BG174" s="1109"/>
      <c r="BH174" s="1109"/>
      <c r="BI174" s="1109"/>
      <c r="BJ174" s="1109"/>
      <c r="BK174" s="1109"/>
      <c r="BL174" s="1109"/>
      <c r="BM174" s="2165">
        <f t="shared" si="13"/>
        <v>35009.700000000004</v>
      </c>
      <c r="BN174" s="1109"/>
      <c r="BO174" s="1109"/>
      <c r="BP174" s="1109"/>
      <c r="BQ174" s="1109"/>
      <c r="BR174" s="1109"/>
      <c r="BS174" s="1109"/>
      <c r="BT174" s="2402"/>
      <c r="BU174" s="2402"/>
      <c r="BV174" s="2402"/>
      <c r="BW174" s="1109"/>
      <c r="BX174" s="1109"/>
      <c r="BY174" s="1109"/>
      <c r="BZ174" s="1109"/>
      <c r="CA174" s="1109"/>
      <c r="CB174" s="1109"/>
      <c r="CC174" s="1109"/>
      <c r="CD174" s="2407">
        <v>0.03</v>
      </c>
      <c r="CE174" s="1109"/>
      <c r="CF174" s="1109"/>
      <c r="CG174" s="1109"/>
      <c r="CH174" s="1109"/>
      <c r="CI174" s="1109"/>
      <c r="CJ174" s="1108"/>
      <c r="CK174" s="2402"/>
      <c r="CL174" s="2402"/>
      <c r="CM174" s="2402"/>
      <c r="CN174" s="1109"/>
      <c r="CO174" s="1109"/>
      <c r="CP174" s="1109"/>
      <c r="CQ174" s="1109"/>
      <c r="CR174" s="1109"/>
      <c r="CS174" s="1109"/>
      <c r="CT174" s="1109"/>
      <c r="CU174" s="1109"/>
      <c r="CV174" s="1109"/>
      <c r="CW174" s="1109"/>
      <c r="CX174" s="1109"/>
      <c r="CY174" s="1109"/>
      <c r="CZ174" s="1108"/>
      <c r="DA174" s="2402"/>
      <c r="DB174" s="2402"/>
      <c r="DC174" s="2402"/>
      <c r="DD174" s="1109"/>
      <c r="DE174" s="1109"/>
      <c r="DF174" s="1109"/>
      <c r="DG174" s="1109"/>
      <c r="DH174" s="1109"/>
      <c r="DI174" s="1109"/>
      <c r="DJ174" s="1109"/>
      <c r="DK174" s="1109"/>
    </row>
    <row r="175" spans="1:115" s="1577" customFormat="1">
      <c r="A175" s="1494">
        <v>4</v>
      </c>
      <c r="B175" s="2418">
        <v>90210</v>
      </c>
      <c r="C175" s="2418" t="s">
        <v>296</v>
      </c>
      <c r="D175" s="2418" t="s">
        <v>595</v>
      </c>
      <c r="E175" s="2089">
        <v>1</v>
      </c>
      <c r="F175" s="1359"/>
      <c r="G175" s="1361">
        <v>60</v>
      </c>
      <c r="H175" s="2401"/>
      <c r="I175" s="2402"/>
      <c r="J175" s="2402"/>
      <c r="K175" s="2402"/>
      <c r="L175" s="1109"/>
      <c r="M175" s="1109"/>
      <c r="N175" s="1109"/>
      <c r="O175" s="1109"/>
      <c r="P175" s="1109"/>
      <c r="Q175" s="1109"/>
      <c r="R175" s="1109"/>
      <c r="S175" s="1109"/>
      <c r="T175" s="2401"/>
      <c r="U175" s="2402"/>
      <c r="V175" s="2402"/>
      <c r="W175" s="2402"/>
      <c r="X175" s="1109"/>
      <c r="Y175" s="1109"/>
      <c r="Z175" s="1109"/>
      <c r="AA175" s="1109"/>
      <c r="AB175" s="1109"/>
      <c r="AE175" s="2420">
        <f>AD187*(1+CD175)</f>
        <v>2185.4540000000002</v>
      </c>
      <c r="AF175" s="2406"/>
      <c r="AG175" s="2406"/>
      <c r="AH175" s="2406"/>
      <c r="AI175" s="2406"/>
      <c r="AJ175" s="2406"/>
      <c r="AK175" s="1108"/>
      <c r="AL175" s="2403"/>
      <c r="AM175" s="2403"/>
      <c r="AN175" s="2403"/>
      <c r="AO175" s="1108"/>
      <c r="AP175" s="1109"/>
      <c r="AQ175" s="1109"/>
      <c r="AR175" s="1109"/>
      <c r="AS175" s="1109"/>
      <c r="AT175" s="1109"/>
      <c r="AU175" s="1109"/>
      <c r="AV175" s="2409">
        <v>24</v>
      </c>
      <c r="AW175" s="2406"/>
      <c r="AX175" s="2406"/>
      <c r="AY175" s="2406"/>
      <c r="AZ175" s="2406"/>
      <c r="BA175" s="2406"/>
      <c r="BB175" s="1108"/>
      <c r="BC175" s="2402"/>
      <c r="BD175" s="2402"/>
      <c r="BE175" s="2402"/>
      <c r="BF175" s="1109"/>
      <c r="BG175" s="1109"/>
      <c r="BH175" s="1109"/>
      <c r="BI175" s="1109"/>
      <c r="BJ175" s="1109"/>
      <c r="BK175" s="1109"/>
      <c r="BL175" s="1109"/>
      <c r="BM175" s="2165">
        <f t="shared" si="13"/>
        <v>52450.896000000008</v>
      </c>
      <c r="BN175" s="1109"/>
      <c r="BO175" s="1109"/>
      <c r="BP175" s="1109"/>
      <c r="BQ175" s="1109"/>
      <c r="BR175" s="1109"/>
      <c r="BS175" s="1109"/>
      <c r="BT175" s="2402"/>
      <c r="BU175" s="2402"/>
      <c r="BV175" s="2402"/>
      <c r="BW175" s="1109"/>
      <c r="BX175" s="1109"/>
      <c r="BY175" s="1109"/>
      <c r="BZ175" s="1109"/>
      <c r="CA175" s="1109"/>
      <c r="CB175" s="1109"/>
      <c r="CC175" s="1109"/>
      <c r="CD175" s="2407">
        <v>0.03</v>
      </c>
      <c r="CE175" s="1109"/>
      <c r="CF175" s="1109"/>
      <c r="CG175" s="1109"/>
      <c r="CH175" s="1109"/>
      <c r="CI175" s="1109"/>
      <c r="CJ175" s="1108"/>
      <c r="CK175" s="2402"/>
      <c r="CL175" s="2402"/>
      <c r="CM175" s="2402"/>
      <c r="CN175" s="1109"/>
      <c r="CO175" s="1109"/>
      <c r="CP175" s="1109"/>
      <c r="CQ175" s="1109"/>
      <c r="CR175" s="1109"/>
      <c r="CS175" s="1109"/>
      <c r="CT175" s="1109"/>
      <c r="CU175" s="1109"/>
      <c r="CV175" s="1109"/>
      <c r="CW175" s="1109"/>
      <c r="CX175" s="1109"/>
      <c r="CY175" s="1109"/>
      <c r="CZ175" s="1108"/>
      <c r="DA175" s="2402"/>
      <c r="DB175" s="2402"/>
      <c r="DC175" s="2402"/>
      <c r="DD175" s="1109"/>
      <c r="DE175" s="1109"/>
      <c r="DF175" s="1109"/>
      <c r="DG175" s="1109"/>
      <c r="DH175" s="1109"/>
      <c r="DI175" s="1109"/>
      <c r="DJ175" s="1109"/>
      <c r="DK175" s="1109"/>
    </row>
    <row r="176" spans="1:115" s="1577" customFormat="1">
      <c r="A176" s="1494">
        <v>5</v>
      </c>
      <c r="B176" s="2418" t="s">
        <v>612</v>
      </c>
      <c r="C176" s="2418" t="s">
        <v>301</v>
      </c>
      <c r="D176" s="2418" t="s">
        <v>595</v>
      </c>
      <c r="E176" s="2089">
        <v>0.5</v>
      </c>
      <c r="F176" s="1359"/>
      <c r="G176" s="1361">
        <v>60</v>
      </c>
      <c r="H176" s="2401"/>
      <c r="I176" s="2402"/>
      <c r="J176" s="2402"/>
      <c r="K176" s="2402"/>
      <c r="L176" s="1109"/>
      <c r="M176" s="1109"/>
      <c r="N176" s="1109"/>
      <c r="O176" s="1109"/>
      <c r="P176" s="1109"/>
      <c r="Q176" s="1109"/>
      <c r="R176" s="1109"/>
      <c r="S176" s="1109"/>
      <c r="T176" s="2401"/>
      <c r="U176" s="2402"/>
      <c r="V176" s="2402"/>
      <c r="W176" s="2402"/>
      <c r="X176" s="1109"/>
      <c r="Y176" s="1109"/>
      <c r="Z176" s="1109"/>
      <c r="AA176" s="1109"/>
      <c r="AB176" s="1109"/>
      <c r="AE176" s="2420">
        <f>AD194*(1+CD176)</f>
        <v>2251.0176200000001</v>
      </c>
      <c r="AF176" s="2406"/>
      <c r="AG176" s="2406"/>
      <c r="AH176" s="2406"/>
      <c r="AI176" s="2406"/>
      <c r="AJ176" s="2406"/>
      <c r="AK176" s="1108"/>
      <c r="AL176" s="2403"/>
      <c r="AM176" s="2403"/>
      <c r="AN176" s="2403"/>
      <c r="AO176" s="1108"/>
      <c r="AP176" s="1109"/>
      <c r="AQ176" s="1109"/>
      <c r="AR176" s="1109"/>
      <c r="AS176" s="1109"/>
      <c r="AT176" s="1109"/>
      <c r="AU176" s="1109"/>
      <c r="AV176" s="2409">
        <v>22</v>
      </c>
      <c r="AW176" s="2406"/>
      <c r="AX176" s="2406"/>
      <c r="AY176" s="2406"/>
      <c r="AZ176" s="2406"/>
      <c r="BA176" s="2406"/>
      <c r="BB176" s="1108"/>
      <c r="BC176" s="2402"/>
      <c r="BD176" s="2402"/>
      <c r="BE176" s="2402"/>
      <c r="BF176" s="1109"/>
      <c r="BG176" s="1109"/>
      <c r="BH176" s="1109"/>
      <c r="BI176" s="1109"/>
      <c r="BJ176" s="1109"/>
      <c r="BK176" s="1109"/>
      <c r="BL176" s="1109"/>
      <c r="BM176" s="2165">
        <f t="shared" si="13"/>
        <v>24761.19382</v>
      </c>
      <c r="BN176" s="1109"/>
      <c r="BO176" s="1109"/>
      <c r="BP176" s="1109"/>
      <c r="BQ176" s="1109"/>
      <c r="BR176" s="1109"/>
      <c r="BS176" s="1109"/>
      <c r="BT176" s="2402"/>
      <c r="BU176" s="2402"/>
      <c r="BV176" s="2402"/>
      <c r="BW176" s="1109"/>
      <c r="BX176" s="1109"/>
      <c r="BY176" s="1109"/>
      <c r="BZ176" s="1109"/>
      <c r="CA176" s="1109"/>
      <c r="CB176" s="1109"/>
      <c r="CC176" s="1109"/>
      <c r="CD176" s="2407">
        <v>0.03</v>
      </c>
      <c r="CE176" s="1109"/>
      <c r="CF176" s="1109"/>
      <c r="CG176" s="1109"/>
      <c r="CH176" s="1109"/>
      <c r="CI176" s="1109"/>
      <c r="CJ176" s="1108"/>
      <c r="CK176" s="2402"/>
      <c r="CL176" s="2402"/>
      <c r="CM176" s="2402"/>
      <c r="CN176" s="1109"/>
      <c r="CO176" s="1109"/>
      <c r="CP176" s="1109"/>
      <c r="CQ176" s="1109"/>
      <c r="CR176" s="1109"/>
      <c r="CS176" s="1109"/>
      <c r="CT176" s="1109"/>
      <c r="CU176" s="1109"/>
      <c r="CV176" s="1109"/>
      <c r="CW176" s="1109"/>
      <c r="CX176" s="1109"/>
      <c r="CY176" s="1109"/>
      <c r="CZ176" s="1108"/>
      <c r="DA176" s="2402"/>
      <c r="DB176" s="2402"/>
      <c r="DC176" s="2402"/>
      <c r="DD176" s="1109"/>
      <c r="DE176" s="1109"/>
      <c r="DF176" s="1109"/>
      <c r="DG176" s="1109"/>
      <c r="DH176" s="1109"/>
      <c r="DI176" s="1109"/>
      <c r="DJ176" s="1109"/>
      <c r="DK176" s="1109"/>
    </row>
    <row r="177" spans="1:115" s="1577" customFormat="1">
      <c r="A177" s="1494">
        <v>3</v>
      </c>
      <c r="B177" s="2418" t="s">
        <v>312</v>
      </c>
      <c r="C177" s="2418" t="s">
        <v>301</v>
      </c>
      <c r="D177" s="2418" t="s">
        <v>595</v>
      </c>
      <c r="E177" s="2089">
        <v>0.5</v>
      </c>
      <c r="F177" s="1359"/>
      <c r="G177" s="1361">
        <v>60</v>
      </c>
      <c r="H177" s="2401"/>
      <c r="I177" s="2402"/>
      <c r="J177" s="2402"/>
      <c r="K177" s="2402"/>
      <c r="L177" s="1109"/>
      <c r="M177" s="1109"/>
      <c r="N177" s="1109"/>
      <c r="O177" s="1109"/>
      <c r="P177" s="1109"/>
      <c r="Q177" s="1109"/>
      <c r="R177" s="1109"/>
      <c r="S177" s="1109"/>
      <c r="T177" s="2401"/>
      <c r="U177" s="2402"/>
      <c r="V177" s="2402"/>
      <c r="W177" s="2402"/>
      <c r="X177" s="1109"/>
      <c r="Y177" s="1109"/>
      <c r="Z177" s="1109"/>
      <c r="AA177" s="1109"/>
      <c r="AB177" s="1109"/>
      <c r="AE177" s="2420">
        <f>AD203*(1+CD177)</f>
        <v>1591.3500000000001</v>
      </c>
      <c r="AF177" s="2406"/>
      <c r="AG177" s="2406"/>
      <c r="AH177" s="2406"/>
      <c r="AI177" s="2406"/>
      <c r="AJ177" s="2406"/>
      <c r="AK177" s="1108"/>
      <c r="AL177" s="2403"/>
      <c r="AM177" s="2403"/>
      <c r="AN177" s="2403"/>
      <c r="AO177" s="1108"/>
      <c r="AP177" s="1109"/>
      <c r="AQ177" s="1109"/>
      <c r="AR177" s="1109"/>
      <c r="AS177" s="1109"/>
      <c r="AT177" s="1109"/>
      <c r="AU177" s="1109"/>
      <c r="AV177" s="2409">
        <v>22</v>
      </c>
      <c r="AW177" s="2406"/>
      <c r="AX177" s="2406"/>
      <c r="AY177" s="2406"/>
      <c r="AZ177" s="2406"/>
      <c r="BA177" s="2406"/>
      <c r="BB177" s="1108"/>
      <c r="BC177" s="2402"/>
      <c r="BD177" s="2402"/>
      <c r="BE177" s="2402"/>
      <c r="BF177" s="1109"/>
      <c r="BG177" s="1109"/>
      <c r="BH177" s="1109"/>
      <c r="BI177" s="1109"/>
      <c r="BJ177" s="1109"/>
      <c r="BK177" s="1109"/>
      <c r="BL177" s="1109"/>
      <c r="BM177" s="2165">
        <f t="shared" si="13"/>
        <v>17504.850000000002</v>
      </c>
      <c r="BN177" s="1109"/>
      <c r="BO177" s="1109"/>
      <c r="BP177" s="1109"/>
      <c r="BQ177" s="1109"/>
      <c r="BR177" s="1109"/>
      <c r="BS177" s="1109"/>
      <c r="BT177" s="2402"/>
      <c r="BU177" s="2402"/>
      <c r="BV177" s="2402"/>
      <c r="BW177" s="1109"/>
      <c r="BX177" s="1109"/>
      <c r="BY177" s="1109"/>
      <c r="BZ177" s="1109"/>
      <c r="CA177" s="1109"/>
      <c r="CB177" s="1109"/>
      <c r="CC177" s="1109"/>
      <c r="CD177" s="2407">
        <v>0.03</v>
      </c>
      <c r="CE177" s="1109"/>
      <c r="CF177" s="1109"/>
      <c r="CG177" s="1109"/>
      <c r="CH177" s="1109"/>
      <c r="CI177" s="1109"/>
      <c r="CJ177" s="1108"/>
      <c r="CK177" s="2402"/>
      <c r="CL177" s="2402"/>
      <c r="CM177" s="2402"/>
      <c r="CN177" s="1109"/>
      <c r="CO177" s="1109"/>
      <c r="CP177" s="1109"/>
      <c r="CQ177" s="1109"/>
      <c r="CR177" s="1109"/>
      <c r="CS177" s="1109"/>
      <c r="CT177" s="1109"/>
      <c r="CU177" s="1109"/>
      <c r="CV177" s="1109"/>
      <c r="CW177" s="1109"/>
      <c r="CX177" s="1109"/>
      <c r="CY177" s="1109"/>
      <c r="CZ177" s="1108"/>
      <c r="DA177" s="2402"/>
      <c r="DB177" s="2402"/>
      <c r="DC177" s="2402"/>
      <c r="DD177" s="1109"/>
      <c r="DE177" s="1109"/>
      <c r="DF177" s="1109"/>
      <c r="DG177" s="1109"/>
      <c r="DH177" s="1109"/>
      <c r="DI177" s="1109"/>
      <c r="DJ177" s="1109"/>
      <c r="DK177" s="1109"/>
    </row>
    <row r="178" spans="1:115" s="1577" customFormat="1">
      <c r="A178" s="1822">
        <v>1</v>
      </c>
      <c r="B178" s="2088" t="s">
        <v>293</v>
      </c>
      <c r="C178" s="1108" t="s">
        <v>302</v>
      </c>
      <c r="D178" s="2088" t="s">
        <v>595</v>
      </c>
      <c r="E178" s="2089">
        <v>0.5</v>
      </c>
      <c r="F178" s="1359"/>
      <c r="G178" s="1361">
        <v>60</v>
      </c>
      <c r="H178" s="2401"/>
      <c r="I178" s="2402"/>
      <c r="J178" s="2402"/>
      <c r="K178" s="2402"/>
      <c r="L178" s="1109"/>
      <c r="M178" s="1109"/>
      <c r="N178" s="1109"/>
      <c r="O178" s="1109"/>
      <c r="P178" s="1109"/>
      <c r="Q178" s="1109"/>
      <c r="R178" s="1109"/>
      <c r="S178" s="1109"/>
      <c r="T178" s="2401"/>
      <c r="U178" s="2402"/>
      <c r="V178" s="2402"/>
      <c r="W178" s="2402"/>
      <c r="X178" s="1109"/>
      <c r="Y178" s="1109"/>
      <c r="Z178" s="1109"/>
      <c r="AA178" s="1109"/>
      <c r="AB178" s="1109"/>
      <c r="AC178" s="1109"/>
      <c r="AE178" s="2420">
        <v>1000</v>
      </c>
      <c r="AF178" s="2409"/>
      <c r="AG178" s="2409"/>
      <c r="AH178" s="2409"/>
      <c r="AI178" s="2409"/>
      <c r="AJ178" s="2409"/>
      <c r="AK178" s="1108"/>
      <c r="AL178" s="2403"/>
      <c r="AM178" s="2403"/>
      <c r="AN178" s="2403"/>
      <c r="AO178" s="1108"/>
      <c r="AP178" s="1109"/>
      <c r="AQ178" s="1109"/>
      <c r="AR178" s="1109"/>
      <c r="AS178" s="1109"/>
      <c r="AT178" s="1109"/>
      <c r="AU178" s="1109"/>
      <c r="AV178" s="2409">
        <v>13</v>
      </c>
      <c r="AW178" s="2409"/>
      <c r="AX178" s="2409"/>
      <c r="AY178" s="2409"/>
      <c r="AZ178" s="2409"/>
      <c r="BA178" s="2409"/>
      <c r="BB178" s="1108"/>
      <c r="BC178" s="2402"/>
      <c r="BD178" s="2402"/>
      <c r="BE178" s="2402"/>
      <c r="BF178" s="1109"/>
      <c r="BG178" s="1109"/>
      <c r="BH178" s="1109"/>
      <c r="BI178" s="1109"/>
      <c r="BJ178" s="1109"/>
      <c r="BK178" s="1109"/>
      <c r="BL178" s="1109"/>
      <c r="BM178" s="2165">
        <f t="shared" si="13"/>
        <v>6500</v>
      </c>
      <c r="BN178" s="1109"/>
      <c r="BO178" s="1109"/>
      <c r="BP178" s="1109"/>
      <c r="BQ178" s="1109"/>
      <c r="BR178" s="1109"/>
      <c r="BS178" s="1109"/>
      <c r="BT178" s="2402"/>
      <c r="BU178" s="2402"/>
      <c r="BV178" s="2402"/>
      <c r="BW178" s="1109"/>
      <c r="BX178" s="1109"/>
      <c r="BY178" s="1109"/>
      <c r="BZ178" s="1109"/>
      <c r="CA178" s="1109"/>
      <c r="CB178" s="1109"/>
      <c r="CC178" s="1109"/>
      <c r="CD178" s="2407">
        <v>0.03</v>
      </c>
      <c r="CE178" s="1109"/>
      <c r="CF178" s="1109"/>
      <c r="CG178" s="1109"/>
      <c r="CH178" s="1109"/>
      <c r="CI178" s="1109"/>
      <c r="CJ178" s="1108"/>
      <c r="CK178" s="2402"/>
      <c r="CL178" s="2402"/>
      <c r="CM178" s="2402"/>
      <c r="CN178" s="1109"/>
      <c r="CO178" s="1109"/>
      <c r="CP178" s="1109"/>
      <c r="CQ178" s="1109"/>
      <c r="CR178" s="1109"/>
      <c r="CS178" s="1109"/>
      <c r="CT178" s="1109"/>
      <c r="CU178" s="1109"/>
      <c r="CV178" s="1109"/>
      <c r="CW178" s="1109"/>
      <c r="CX178" s="1109"/>
      <c r="CY178" s="1109"/>
      <c r="CZ178" s="1108"/>
      <c r="DA178" s="2402"/>
      <c r="DB178" s="2402"/>
      <c r="DC178" s="2402"/>
      <c r="DD178" s="1109"/>
      <c r="DE178" s="1109"/>
      <c r="DF178" s="1109"/>
      <c r="DG178" s="1109"/>
      <c r="DH178" s="1109"/>
      <c r="DI178" s="1109"/>
      <c r="DJ178" s="1109"/>
      <c r="DK178" s="1109"/>
    </row>
    <row r="179" spans="1:115" s="1577" customFormat="1">
      <c r="A179" s="1822">
        <v>1</v>
      </c>
      <c r="B179" s="2088" t="s">
        <v>294</v>
      </c>
      <c r="C179" s="1108" t="s">
        <v>303</v>
      </c>
      <c r="D179" s="2088" t="s">
        <v>638</v>
      </c>
      <c r="E179" s="2089">
        <v>0.5</v>
      </c>
      <c r="F179" s="1359"/>
      <c r="G179" s="1361">
        <v>60</v>
      </c>
      <c r="H179" s="2401"/>
      <c r="I179" s="2402"/>
      <c r="J179" s="2402"/>
      <c r="K179" s="2402"/>
      <c r="L179" s="1109"/>
      <c r="M179" s="1109"/>
      <c r="N179" s="1109"/>
      <c r="O179" s="1109"/>
      <c r="P179" s="1109"/>
      <c r="Q179" s="1109"/>
      <c r="R179" s="1109"/>
      <c r="S179" s="1109"/>
      <c r="T179" s="2401"/>
      <c r="U179" s="2402"/>
      <c r="V179" s="2402"/>
      <c r="W179" s="2402"/>
      <c r="X179" s="1109"/>
      <c r="Y179" s="1109"/>
      <c r="Z179" s="1109"/>
      <c r="AA179" s="1109"/>
      <c r="AB179" s="1109"/>
      <c r="AC179" s="1109"/>
      <c r="AE179" s="2420">
        <v>1500</v>
      </c>
      <c r="AF179" s="2409"/>
      <c r="AG179" s="2409"/>
      <c r="AH179" s="2409"/>
      <c r="AI179" s="2409"/>
      <c r="AJ179" s="2409"/>
      <c r="AK179" s="1108"/>
      <c r="AL179" s="2403"/>
      <c r="AM179" s="2403"/>
      <c r="AN179" s="2403"/>
      <c r="AO179" s="1108"/>
      <c r="AP179" s="1109"/>
      <c r="AQ179" s="1109"/>
      <c r="AR179" s="1109"/>
      <c r="AS179" s="1109"/>
      <c r="AT179" s="1109"/>
      <c r="AU179" s="1109"/>
      <c r="AV179" s="2409">
        <v>22</v>
      </c>
      <c r="AW179" s="2409"/>
      <c r="AX179" s="2409"/>
      <c r="AY179" s="2409"/>
      <c r="AZ179" s="2409"/>
      <c r="BA179" s="2409"/>
      <c r="BB179" s="1108"/>
      <c r="BC179" s="2402"/>
      <c r="BD179" s="2402"/>
      <c r="BE179" s="2402"/>
      <c r="BF179" s="1109"/>
      <c r="BG179" s="1109"/>
      <c r="BH179" s="1109"/>
      <c r="BI179" s="1109"/>
      <c r="BJ179" s="1109"/>
      <c r="BK179" s="1109"/>
      <c r="BL179" s="1109"/>
      <c r="BM179" s="2165">
        <f t="shared" si="13"/>
        <v>16500</v>
      </c>
      <c r="BN179" s="1109"/>
      <c r="BO179" s="1109"/>
      <c r="BP179" s="1109"/>
      <c r="BQ179" s="1109"/>
      <c r="BR179" s="1109"/>
      <c r="BS179" s="1109"/>
      <c r="BT179" s="2402"/>
      <c r="BU179" s="2402"/>
      <c r="BV179" s="2402"/>
      <c r="BW179" s="1109"/>
      <c r="BX179" s="1109"/>
      <c r="BY179" s="1109"/>
      <c r="BZ179" s="1109"/>
      <c r="CA179" s="1109"/>
      <c r="CB179" s="1109"/>
      <c r="CC179" s="1109"/>
      <c r="CD179" s="2407">
        <v>0.03</v>
      </c>
      <c r="CE179" s="1109"/>
      <c r="CF179" s="1109"/>
      <c r="CG179" s="1109"/>
      <c r="CH179" s="1109"/>
      <c r="CI179" s="1109"/>
      <c r="CJ179" s="1108"/>
      <c r="CK179" s="2402"/>
      <c r="CL179" s="2402"/>
      <c r="CM179" s="2402"/>
      <c r="CN179" s="1109"/>
      <c r="CO179" s="1109"/>
      <c r="CP179" s="1109"/>
      <c r="CQ179" s="1109"/>
      <c r="CR179" s="1109"/>
      <c r="CS179" s="1109"/>
      <c r="CT179" s="1109"/>
      <c r="CU179" s="1109"/>
      <c r="CV179" s="1109"/>
      <c r="CW179" s="1109"/>
      <c r="CX179" s="1109"/>
      <c r="CY179" s="1109"/>
      <c r="CZ179" s="1108"/>
      <c r="DA179" s="2402"/>
      <c r="DB179" s="2402"/>
      <c r="DC179" s="2402"/>
      <c r="DD179" s="1109"/>
      <c r="DE179" s="1109"/>
      <c r="DF179" s="1109"/>
      <c r="DG179" s="1109"/>
      <c r="DH179" s="1109"/>
      <c r="DI179" s="1109"/>
      <c r="DJ179" s="1109"/>
      <c r="DK179" s="1109"/>
    </row>
    <row r="180" spans="1:115" s="1577" customFormat="1">
      <c r="A180" s="1822">
        <v>7</v>
      </c>
      <c r="B180" s="2088" t="s">
        <v>593</v>
      </c>
      <c r="C180" s="1108" t="s">
        <v>417</v>
      </c>
      <c r="D180" s="2088" t="s">
        <v>638</v>
      </c>
      <c r="E180" s="2089">
        <v>0.5</v>
      </c>
      <c r="F180" s="1359"/>
      <c r="G180" s="1361">
        <v>60</v>
      </c>
      <c r="H180" s="2401"/>
      <c r="I180" s="2402"/>
      <c r="J180" s="2402"/>
      <c r="K180" s="2402"/>
      <c r="L180" s="1109"/>
      <c r="M180" s="1109"/>
      <c r="N180" s="1109"/>
      <c r="O180" s="1109"/>
      <c r="P180" s="1109"/>
      <c r="Q180" s="1109"/>
      <c r="R180" s="1109"/>
      <c r="S180" s="1109"/>
      <c r="T180" s="2401"/>
      <c r="U180" s="2402"/>
      <c r="V180" s="2402"/>
      <c r="W180" s="2402"/>
      <c r="X180" s="1109"/>
      <c r="Y180" s="1109"/>
      <c r="Z180" s="1109"/>
      <c r="AA180" s="1109"/>
      <c r="AB180" s="1109"/>
      <c r="AC180" s="1109"/>
      <c r="AE180" s="2420">
        <f>AD189*(1+CD180)</f>
        <v>3010.7360667500002</v>
      </c>
      <c r="AF180" s="2406"/>
      <c r="AG180" s="2406"/>
      <c r="AH180" s="2406"/>
      <c r="AI180" s="2406"/>
      <c r="AJ180" s="2406"/>
      <c r="AK180" s="1108"/>
      <c r="AL180" s="2403"/>
      <c r="AM180" s="2403"/>
      <c r="AN180" s="2403"/>
      <c r="AO180" s="1108"/>
      <c r="AP180" s="1109"/>
      <c r="AQ180" s="1109"/>
      <c r="AR180" s="1109"/>
      <c r="AS180" s="1109"/>
      <c r="AT180" s="1109"/>
      <c r="AU180" s="1109"/>
      <c r="AV180" s="2409">
        <v>24</v>
      </c>
      <c r="AW180" s="2406"/>
      <c r="AX180" s="2406"/>
      <c r="AY180" s="2406"/>
      <c r="AZ180" s="2406"/>
      <c r="BA180" s="2406"/>
      <c r="BB180" s="1108"/>
      <c r="BC180" s="2402"/>
      <c r="BD180" s="2402"/>
      <c r="BE180" s="2402"/>
      <c r="BF180" s="1109"/>
      <c r="BG180" s="1109"/>
      <c r="BH180" s="1109"/>
      <c r="BI180" s="1109"/>
      <c r="BJ180" s="1109"/>
      <c r="BK180" s="1109"/>
      <c r="BL180" s="1109"/>
      <c r="BM180" s="2165">
        <f t="shared" si="13"/>
        <v>36128.832801000004</v>
      </c>
      <c r="BN180" s="1109"/>
      <c r="BO180" s="1109"/>
      <c r="BP180" s="1109"/>
      <c r="BQ180" s="1109"/>
      <c r="BR180" s="1109"/>
      <c r="BS180" s="1109"/>
      <c r="BT180" s="2402"/>
      <c r="BU180" s="2402"/>
      <c r="BV180" s="2402"/>
      <c r="BW180" s="1109"/>
      <c r="BX180" s="1109"/>
      <c r="BY180" s="1109"/>
      <c r="BZ180" s="1109"/>
      <c r="CA180" s="1109"/>
      <c r="CB180" s="1109"/>
      <c r="CC180" s="1109"/>
      <c r="CD180" s="2407">
        <v>0.03</v>
      </c>
      <c r="CE180" s="1109"/>
      <c r="CF180" s="1109"/>
      <c r="CG180" s="1109"/>
      <c r="CH180" s="1109"/>
      <c r="CI180" s="1109"/>
      <c r="CJ180" s="1108"/>
      <c r="CK180" s="2402"/>
      <c r="CL180" s="2402"/>
      <c r="CM180" s="2402"/>
      <c r="CN180" s="1109"/>
      <c r="CO180" s="1109"/>
      <c r="CP180" s="1109"/>
      <c r="CQ180" s="1109"/>
      <c r="CR180" s="1109"/>
      <c r="CS180" s="1109"/>
      <c r="CT180" s="1109"/>
      <c r="CU180" s="1109"/>
      <c r="CV180" s="1109"/>
      <c r="CW180" s="1109"/>
      <c r="CX180" s="1109"/>
      <c r="CY180" s="1109"/>
      <c r="CZ180" s="1108"/>
      <c r="DA180" s="2402"/>
      <c r="DB180" s="2402"/>
      <c r="DC180" s="2402"/>
      <c r="DD180" s="1109"/>
      <c r="DE180" s="1109"/>
      <c r="DF180" s="1109"/>
      <c r="DG180" s="1109"/>
      <c r="DH180" s="1109"/>
      <c r="DI180" s="1109"/>
      <c r="DJ180" s="1109"/>
      <c r="DK180" s="1109"/>
    </row>
    <row r="181" spans="1:115" s="1577" customFormat="1">
      <c r="A181" s="1822">
        <v>1</v>
      </c>
      <c r="B181" s="2088" t="s">
        <v>304</v>
      </c>
      <c r="C181" s="1108" t="s">
        <v>418</v>
      </c>
      <c r="D181" s="2088" t="s">
        <v>595</v>
      </c>
      <c r="E181" s="2089">
        <v>0.5</v>
      </c>
      <c r="F181" s="1359"/>
      <c r="G181" s="1361">
        <v>60</v>
      </c>
      <c r="H181" s="2401"/>
      <c r="I181" s="2402"/>
      <c r="J181" s="2402"/>
      <c r="K181" s="2402"/>
      <c r="L181" s="1109"/>
      <c r="M181" s="1109"/>
      <c r="N181" s="1109"/>
      <c r="O181" s="1109"/>
      <c r="P181" s="1109"/>
      <c r="Q181" s="1109"/>
      <c r="R181" s="1109"/>
      <c r="S181" s="1109"/>
      <c r="T181" s="2401"/>
      <c r="U181" s="2402"/>
      <c r="V181" s="2402"/>
      <c r="W181" s="2402"/>
      <c r="X181" s="1109"/>
      <c r="Y181" s="1109"/>
      <c r="Z181" s="1109"/>
      <c r="AA181" s="1109"/>
      <c r="AB181" s="1109"/>
      <c r="AC181" s="1109"/>
      <c r="AE181" s="2420">
        <v>1500</v>
      </c>
      <c r="AF181" s="2409"/>
      <c r="AG181" s="2409"/>
      <c r="AH181" s="2409"/>
      <c r="AI181" s="2409"/>
      <c r="AJ181" s="2409"/>
      <c r="AK181" s="1108"/>
      <c r="AL181" s="2403"/>
      <c r="AM181" s="2403"/>
      <c r="AN181" s="2403"/>
      <c r="AO181" s="1108"/>
      <c r="AP181" s="1109"/>
      <c r="AQ181" s="1109"/>
      <c r="AR181" s="1109"/>
      <c r="AS181" s="1109"/>
      <c r="AT181" s="1109"/>
      <c r="AU181" s="1109"/>
      <c r="AV181" s="2409">
        <v>22</v>
      </c>
      <c r="AW181" s="2409"/>
      <c r="AX181" s="2409"/>
      <c r="AY181" s="2409"/>
      <c r="AZ181" s="2409"/>
      <c r="BA181" s="2409"/>
      <c r="BB181" s="1108"/>
      <c r="BC181" s="2402"/>
      <c r="BD181" s="2402"/>
      <c r="BE181" s="2402"/>
      <c r="BF181" s="1109"/>
      <c r="BG181" s="1109"/>
      <c r="BH181" s="1109"/>
      <c r="BI181" s="1109"/>
      <c r="BJ181" s="1109"/>
      <c r="BK181" s="1109"/>
      <c r="BL181" s="1109"/>
      <c r="BM181" s="2165">
        <f t="shared" si="13"/>
        <v>16500</v>
      </c>
      <c r="BN181" s="1109"/>
      <c r="BO181" s="1109"/>
      <c r="BP181" s="1109"/>
      <c r="BQ181" s="1109"/>
      <c r="BR181" s="1109"/>
      <c r="BS181" s="1109"/>
      <c r="BT181" s="2402"/>
      <c r="BU181" s="2402"/>
      <c r="BV181" s="2402"/>
      <c r="BW181" s="1109"/>
      <c r="BX181" s="1109"/>
      <c r="BY181" s="1109"/>
      <c r="BZ181" s="1109"/>
      <c r="CA181" s="1109"/>
      <c r="CB181" s="1109"/>
      <c r="CC181" s="1109"/>
      <c r="CD181" s="2407">
        <v>0.03</v>
      </c>
      <c r="CE181" s="1109"/>
      <c r="CF181" s="1109"/>
      <c r="CG181" s="1109"/>
      <c r="CH181" s="1109"/>
      <c r="CI181" s="1109"/>
      <c r="CJ181" s="1108"/>
      <c r="CK181" s="2402"/>
      <c r="CL181" s="2402"/>
      <c r="CM181" s="2402"/>
      <c r="CN181" s="1109"/>
      <c r="CO181" s="1109"/>
      <c r="CP181" s="1109"/>
      <c r="CQ181" s="1109"/>
      <c r="CR181" s="1109"/>
      <c r="CS181" s="1109"/>
      <c r="CT181" s="1109"/>
      <c r="CU181" s="1109"/>
      <c r="CV181" s="1109"/>
      <c r="CW181" s="1109"/>
      <c r="CX181" s="1109"/>
      <c r="CY181" s="1109"/>
      <c r="CZ181" s="1108"/>
      <c r="DA181" s="2402"/>
      <c r="DB181" s="2402"/>
      <c r="DC181" s="2402"/>
      <c r="DD181" s="1109"/>
      <c r="DE181" s="1109"/>
      <c r="DF181" s="1109"/>
      <c r="DG181" s="1109"/>
      <c r="DH181" s="1109"/>
      <c r="DI181" s="1109"/>
      <c r="DJ181" s="1109"/>
      <c r="DK181" s="1109"/>
    </row>
    <row r="182" spans="1:115" s="1577" customFormat="1">
      <c r="A182" s="1822">
        <v>1</v>
      </c>
      <c r="B182" s="2088" t="s">
        <v>1186</v>
      </c>
      <c r="C182" s="1108" t="s">
        <v>418</v>
      </c>
      <c r="D182" s="2088" t="s">
        <v>595</v>
      </c>
      <c r="E182" s="2089">
        <v>0.5</v>
      </c>
      <c r="F182" s="1359"/>
      <c r="G182" s="1361">
        <v>60</v>
      </c>
      <c r="H182" s="2401"/>
      <c r="I182" s="2402"/>
      <c r="J182" s="2402"/>
      <c r="K182" s="2402"/>
      <c r="L182" s="1109"/>
      <c r="M182" s="1109"/>
      <c r="N182" s="1109"/>
      <c r="O182" s="1109"/>
      <c r="P182" s="1109"/>
      <c r="Q182" s="1109"/>
      <c r="R182" s="1109"/>
      <c r="S182" s="1109"/>
      <c r="T182" s="2401"/>
      <c r="U182" s="2402"/>
      <c r="V182" s="2402"/>
      <c r="W182" s="2402"/>
      <c r="X182" s="1109"/>
      <c r="Y182" s="1109"/>
      <c r="Z182" s="1109"/>
      <c r="AA182" s="1109"/>
      <c r="AB182" s="1109"/>
      <c r="AC182" s="1109"/>
      <c r="AE182" s="2420">
        <v>1000</v>
      </c>
      <c r="AF182" s="2409"/>
      <c r="AG182" s="2409"/>
      <c r="AH182" s="2409"/>
      <c r="AI182" s="2409"/>
      <c r="AJ182" s="2409"/>
      <c r="AK182" s="1108"/>
      <c r="AL182" s="2403"/>
      <c r="AM182" s="2403"/>
      <c r="AN182" s="2403"/>
      <c r="AO182" s="1108"/>
      <c r="AP182" s="1109"/>
      <c r="AQ182" s="1109"/>
      <c r="AR182" s="1109"/>
      <c r="AS182" s="1109"/>
      <c r="AT182" s="1109"/>
      <c r="AU182" s="1109"/>
      <c r="AV182" s="2409">
        <v>17</v>
      </c>
      <c r="AW182" s="2409"/>
      <c r="AX182" s="2409"/>
      <c r="AY182" s="2409"/>
      <c r="AZ182" s="2409"/>
      <c r="BA182" s="2409"/>
      <c r="BB182" s="1108"/>
      <c r="BC182" s="2402"/>
      <c r="BD182" s="2402"/>
      <c r="BE182" s="2402"/>
      <c r="BF182" s="1109"/>
      <c r="BG182" s="1109"/>
      <c r="BH182" s="1109"/>
      <c r="BI182" s="1109"/>
      <c r="BJ182" s="1109"/>
      <c r="BK182" s="1109"/>
      <c r="BL182" s="1109"/>
      <c r="BM182" s="2165">
        <f t="shared" si="13"/>
        <v>8500</v>
      </c>
      <c r="BN182" s="1109"/>
      <c r="BO182" s="1109"/>
      <c r="BP182" s="1109"/>
      <c r="BQ182" s="1109"/>
      <c r="BR182" s="1109"/>
      <c r="BS182" s="1109"/>
      <c r="BT182" s="2402"/>
      <c r="BU182" s="2402"/>
      <c r="BV182" s="2402"/>
      <c r="BW182" s="1109"/>
      <c r="BX182" s="1109"/>
      <c r="BY182" s="1109"/>
      <c r="BZ182" s="1109"/>
      <c r="CA182" s="1109"/>
      <c r="CB182" s="1109"/>
      <c r="CC182" s="1109"/>
      <c r="CD182" s="2407">
        <v>0.03</v>
      </c>
      <c r="CE182" s="1109"/>
      <c r="CF182" s="1109"/>
      <c r="CG182" s="1109"/>
      <c r="CH182" s="1109"/>
      <c r="CI182" s="1109"/>
      <c r="CJ182" s="1108"/>
      <c r="CK182" s="2402"/>
      <c r="CL182" s="2402"/>
      <c r="CM182" s="2402"/>
      <c r="CN182" s="1109"/>
      <c r="CO182" s="1109"/>
      <c r="CP182" s="1109"/>
      <c r="CQ182" s="1109"/>
      <c r="CR182" s="1109"/>
      <c r="CS182" s="1109"/>
      <c r="CT182" s="1109"/>
      <c r="CU182" s="1109"/>
      <c r="CV182" s="1109"/>
      <c r="CW182" s="1109"/>
      <c r="CX182" s="1109"/>
      <c r="CY182" s="1109"/>
      <c r="CZ182" s="1108"/>
      <c r="DA182" s="2402"/>
      <c r="DB182" s="2402"/>
      <c r="DC182" s="2402"/>
      <c r="DD182" s="1109"/>
      <c r="DE182" s="1109"/>
      <c r="DF182" s="1109"/>
      <c r="DG182" s="1109"/>
      <c r="DH182" s="1109"/>
      <c r="DI182" s="1109"/>
      <c r="DJ182" s="1109"/>
      <c r="DK182" s="1109"/>
    </row>
    <row r="183" spans="1:115" s="1577" customFormat="1">
      <c r="A183" s="1822">
        <v>5</v>
      </c>
      <c r="B183" s="1470" t="s">
        <v>486</v>
      </c>
      <c r="C183" s="2400" t="s">
        <v>296</v>
      </c>
      <c r="D183" s="2400" t="s">
        <v>1577</v>
      </c>
      <c r="E183" s="2089">
        <v>1</v>
      </c>
      <c r="F183" s="2401"/>
      <c r="G183" s="1361"/>
      <c r="H183" s="2401"/>
      <c r="I183" s="2402"/>
      <c r="J183" s="2402"/>
      <c r="K183" s="2402"/>
      <c r="L183" s="1109"/>
      <c r="M183" s="1109"/>
      <c r="N183" s="1109"/>
      <c r="O183" s="1109"/>
      <c r="P183" s="1109"/>
      <c r="Q183" s="1109"/>
      <c r="R183" s="1109"/>
      <c r="S183" s="1109"/>
      <c r="T183" s="2401"/>
      <c r="U183" s="2402"/>
      <c r="V183" s="2402"/>
      <c r="W183" s="2402"/>
      <c r="X183" s="1109"/>
      <c r="Y183" s="1109"/>
      <c r="Z183" s="1109"/>
      <c r="AA183" s="1109"/>
      <c r="AB183" s="1109"/>
      <c r="AC183" s="1109"/>
      <c r="AE183" s="2420">
        <v>2000</v>
      </c>
      <c r="AF183" s="2409"/>
      <c r="AG183" s="2409"/>
      <c r="AH183" s="2409"/>
      <c r="AI183" s="2409"/>
      <c r="AJ183" s="2409"/>
      <c r="AK183" s="1108"/>
      <c r="AL183" s="2403"/>
      <c r="AM183" s="2403"/>
      <c r="AN183" s="2403"/>
      <c r="AO183" s="1108"/>
      <c r="AP183" s="1109"/>
      <c r="AQ183" s="1109"/>
      <c r="AR183" s="1109"/>
      <c r="AS183" s="1109"/>
      <c r="AT183" s="1109"/>
      <c r="AU183" s="1109"/>
      <c r="AV183" s="2409">
        <v>22</v>
      </c>
      <c r="AW183" s="2409"/>
      <c r="AX183" s="2409"/>
      <c r="AY183" s="2409"/>
      <c r="AZ183" s="2409"/>
      <c r="BA183" s="2409"/>
      <c r="BB183" s="1108"/>
      <c r="BC183" s="2402"/>
      <c r="BD183" s="2402"/>
      <c r="BE183" s="2402"/>
      <c r="BF183" s="1109"/>
      <c r="BG183" s="1109"/>
      <c r="BH183" s="1109"/>
      <c r="BI183" s="1109"/>
      <c r="BJ183" s="1109"/>
      <c r="BK183" s="1109"/>
      <c r="BL183" s="1109"/>
      <c r="BM183" s="2165">
        <f>E183*AE183*AV183</f>
        <v>44000</v>
      </c>
      <c r="BN183" s="1109"/>
      <c r="BO183" s="1109"/>
      <c r="BP183" s="1109"/>
      <c r="BQ183" s="1109"/>
      <c r="BR183" s="1109"/>
      <c r="BS183" s="1109"/>
      <c r="BT183" s="2402"/>
      <c r="BU183" s="2402"/>
      <c r="BV183" s="2402"/>
      <c r="BW183" s="1109"/>
      <c r="BX183" s="1109"/>
      <c r="BY183" s="1109"/>
      <c r="BZ183" s="1109"/>
      <c r="CA183" s="1109"/>
      <c r="CB183" s="1109"/>
      <c r="CC183" s="1109"/>
      <c r="CD183" s="2407"/>
      <c r="CE183" s="1109"/>
      <c r="CF183" s="1109"/>
      <c r="CG183" s="1109"/>
      <c r="CH183" s="1109"/>
      <c r="CI183" s="1109"/>
      <c r="CJ183" s="1108"/>
      <c r="CK183" s="2402"/>
      <c r="CL183" s="2402"/>
      <c r="CM183" s="2402"/>
      <c r="CN183" s="1109"/>
      <c r="CO183" s="1109"/>
      <c r="CP183" s="1109"/>
      <c r="CQ183" s="1109"/>
      <c r="CR183" s="1109"/>
      <c r="CS183" s="1109"/>
      <c r="CT183" s="1109"/>
      <c r="CU183" s="1109"/>
      <c r="CV183" s="1109"/>
      <c r="CW183" s="1109"/>
      <c r="CX183" s="1109"/>
      <c r="CY183" s="1109"/>
      <c r="CZ183" s="1108"/>
      <c r="DA183" s="2402"/>
      <c r="DB183" s="2402"/>
      <c r="DC183" s="2402"/>
      <c r="DD183" s="1109"/>
      <c r="DE183" s="1109"/>
      <c r="DF183" s="1109"/>
      <c r="DG183" s="1109"/>
      <c r="DH183" s="1109"/>
      <c r="DI183" s="1109"/>
      <c r="DJ183" s="1109"/>
      <c r="DK183" s="1109"/>
    </row>
    <row r="184" spans="1:115" s="1577" customFormat="1">
      <c r="A184" s="1822"/>
      <c r="B184" s="2088"/>
      <c r="C184" s="1108"/>
      <c r="D184" s="2088"/>
      <c r="E184" s="2089"/>
      <c r="F184" s="1359"/>
      <c r="G184" s="1361"/>
      <c r="H184" s="2401"/>
      <c r="I184" s="2402"/>
      <c r="J184" s="2402"/>
      <c r="K184" s="2402"/>
      <c r="L184" s="1109"/>
      <c r="M184" s="1109"/>
      <c r="N184" s="1109"/>
      <c r="O184" s="1109"/>
      <c r="P184" s="1109"/>
      <c r="Q184" s="1109"/>
      <c r="R184" s="1109"/>
      <c r="S184" s="1109"/>
      <c r="T184" s="2401"/>
      <c r="U184" s="2402"/>
      <c r="V184" s="2402"/>
      <c r="W184" s="2402"/>
      <c r="X184" s="1109"/>
      <c r="Y184" s="1109"/>
      <c r="Z184" s="1109"/>
      <c r="AA184" s="1109"/>
      <c r="AB184" s="1109"/>
      <c r="AC184" s="1109"/>
      <c r="AD184" s="2409"/>
      <c r="AE184" s="1109"/>
      <c r="AF184" s="1109"/>
      <c r="AG184" s="1109"/>
      <c r="AH184" s="1109"/>
      <c r="AI184" s="1109"/>
      <c r="AJ184" s="1109"/>
      <c r="AK184" s="1108"/>
      <c r="AL184" s="2403"/>
      <c r="AM184" s="2403"/>
      <c r="AN184" s="2403"/>
      <c r="AO184" s="1108"/>
      <c r="AP184" s="1109"/>
      <c r="AQ184" s="1109"/>
      <c r="AR184" s="1109"/>
      <c r="AS184" s="1109"/>
      <c r="AT184" s="1109"/>
      <c r="AU184" s="1109"/>
      <c r="AV184" s="2409"/>
      <c r="AW184" s="1109"/>
      <c r="AX184" s="1109"/>
      <c r="AY184" s="1109"/>
      <c r="AZ184" s="1109"/>
      <c r="BA184" s="1109"/>
      <c r="BB184" s="1108"/>
      <c r="BC184" s="2402"/>
      <c r="BD184" s="2402"/>
      <c r="BE184" s="2402"/>
      <c r="BF184" s="1109"/>
      <c r="BG184" s="1109"/>
      <c r="BH184" s="1109"/>
      <c r="BI184" s="1109"/>
      <c r="BJ184" s="1109"/>
      <c r="BK184" s="1109"/>
      <c r="BL184" s="1109"/>
      <c r="BM184" s="2165"/>
      <c r="BN184" s="1109"/>
      <c r="BO184" s="1109"/>
      <c r="BP184" s="1109"/>
      <c r="BQ184" s="1109"/>
      <c r="BR184" s="1109"/>
      <c r="BS184" s="1109"/>
      <c r="BT184" s="2402"/>
      <c r="BU184" s="2402"/>
      <c r="BV184" s="2402"/>
      <c r="BW184" s="1109"/>
      <c r="BX184" s="1109"/>
      <c r="BY184" s="1109"/>
      <c r="BZ184" s="1109"/>
      <c r="CA184" s="1109"/>
      <c r="CB184" s="1109"/>
      <c r="CC184" s="1109"/>
      <c r="CD184" s="2407"/>
      <c r="CE184" s="1109"/>
      <c r="CF184" s="1109"/>
      <c r="CG184" s="1109"/>
      <c r="CH184" s="1109"/>
      <c r="CI184" s="1109"/>
      <c r="CJ184" s="1108"/>
      <c r="CK184" s="2402"/>
      <c r="CL184" s="2402"/>
      <c r="CM184" s="2402"/>
      <c r="CN184" s="1109"/>
      <c r="CO184" s="1109"/>
      <c r="CP184" s="1109"/>
      <c r="CQ184" s="1109"/>
      <c r="CR184" s="1109"/>
      <c r="CS184" s="1109"/>
      <c r="CT184" s="1109"/>
      <c r="CU184" s="1109"/>
      <c r="CV184" s="1109"/>
      <c r="CW184" s="1109"/>
      <c r="CX184" s="1109"/>
      <c r="CY184" s="1109"/>
      <c r="CZ184" s="1108"/>
      <c r="DA184" s="2402"/>
      <c r="DB184" s="2402"/>
      <c r="DC184" s="2402"/>
      <c r="DD184" s="1109"/>
      <c r="DE184" s="1109"/>
      <c r="DF184" s="1109"/>
      <c r="DG184" s="1109"/>
      <c r="DH184" s="1109"/>
      <c r="DI184" s="1109"/>
      <c r="DJ184" s="1109"/>
      <c r="DK184" s="1109"/>
    </row>
    <row r="185" spans="1:115" s="1577" customFormat="1">
      <c r="A185" s="1822"/>
      <c r="B185" s="2401"/>
      <c r="C185" s="2401"/>
      <c r="D185" s="2401"/>
      <c r="E185" s="2401"/>
      <c r="F185" s="2401"/>
      <c r="G185" s="2401"/>
      <c r="H185" s="2401"/>
      <c r="I185" s="2402"/>
      <c r="J185" s="2402"/>
      <c r="K185" s="2402"/>
      <c r="L185" s="1109"/>
      <c r="M185" s="1109"/>
      <c r="N185" s="1109"/>
      <c r="O185" s="1109"/>
      <c r="P185" s="1109"/>
      <c r="Q185" s="1109"/>
      <c r="R185" s="1109"/>
      <c r="S185" s="1109"/>
      <c r="T185" s="2401"/>
      <c r="U185" s="2402"/>
      <c r="V185" s="2402"/>
      <c r="W185" s="2402"/>
      <c r="X185" s="1109"/>
      <c r="Y185" s="1109"/>
      <c r="Z185" s="1109"/>
      <c r="AA185" s="1109"/>
      <c r="AB185" s="1109"/>
      <c r="AC185" s="1109"/>
      <c r="AD185" s="1109"/>
      <c r="AE185" s="1109"/>
      <c r="AF185" s="1109"/>
      <c r="AG185" s="1109"/>
      <c r="AH185" s="1109"/>
      <c r="AI185" s="1109"/>
      <c r="AJ185" s="1109"/>
      <c r="AK185" s="1108"/>
      <c r="AL185" s="2403"/>
      <c r="AM185" s="2403"/>
      <c r="AN185" s="2403"/>
      <c r="AO185" s="1108"/>
      <c r="AP185" s="1109"/>
      <c r="AQ185" s="1109"/>
      <c r="AR185" s="1109"/>
      <c r="AS185" s="1109"/>
      <c r="AT185" s="1109"/>
      <c r="AU185" s="1109"/>
      <c r="AV185" s="1109"/>
      <c r="AW185" s="1109"/>
      <c r="AX185" s="1109"/>
      <c r="AY185" s="1109"/>
      <c r="AZ185" s="1109"/>
      <c r="BA185" s="1109"/>
      <c r="BB185" s="1108"/>
      <c r="BC185" s="2402"/>
      <c r="BD185" s="2402"/>
      <c r="BE185" s="2402"/>
      <c r="BF185" s="1109"/>
      <c r="BG185" s="1109"/>
      <c r="BH185" s="1109"/>
      <c r="BI185" s="1109"/>
      <c r="BJ185" s="1109"/>
      <c r="BK185" s="1109"/>
      <c r="BL185" s="1109"/>
      <c r="BM185" s="1109"/>
      <c r="BN185" s="1109"/>
      <c r="BO185" s="1109"/>
      <c r="BP185" s="1109"/>
      <c r="BQ185" s="1109"/>
      <c r="BR185" s="1109"/>
      <c r="BS185" s="1109"/>
      <c r="BT185" s="2402"/>
      <c r="BU185" s="2402"/>
      <c r="BV185" s="2402"/>
      <c r="BW185" s="1109"/>
      <c r="BX185" s="1109"/>
      <c r="BY185" s="1109"/>
      <c r="BZ185" s="1109"/>
      <c r="CA185" s="1109"/>
      <c r="CB185" s="1109"/>
      <c r="CC185" s="1109"/>
      <c r="CD185" s="1109"/>
      <c r="CE185" s="1109"/>
      <c r="CF185" s="1109"/>
      <c r="CG185" s="1109"/>
      <c r="CH185" s="1109"/>
      <c r="CI185" s="1109"/>
      <c r="CJ185" s="1108"/>
      <c r="CK185" s="2402"/>
      <c r="CL185" s="2402"/>
      <c r="CM185" s="2402"/>
      <c r="CN185" s="1109"/>
      <c r="CO185" s="1109"/>
      <c r="CP185" s="1109"/>
      <c r="CQ185" s="1109"/>
      <c r="CR185" s="1109"/>
      <c r="CS185" s="1109"/>
      <c r="CT185" s="1109"/>
      <c r="CU185" s="1109"/>
      <c r="CV185" s="1109"/>
      <c r="CW185" s="1109"/>
      <c r="CX185" s="1109"/>
      <c r="CY185" s="1109"/>
      <c r="CZ185" s="1108"/>
      <c r="DA185" s="2402"/>
      <c r="DB185" s="2402"/>
      <c r="DC185" s="2402"/>
      <c r="DD185" s="1109"/>
      <c r="DE185" s="1109"/>
      <c r="DF185" s="1109"/>
      <c r="DG185" s="1109"/>
      <c r="DH185" s="1109"/>
      <c r="DI185" s="1109"/>
      <c r="DJ185" s="1109"/>
      <c r="DK185" s="1109"/>
    </row>
    <row r="186" spans="1:115" s="1577" customFormat="1">
      <c r="A186" s="2417" t="s">
        <v>1155</v>
      </c>
      <c r="B186" s="2401"/>
      <c r="C186" s="2401"/>
      <c r="D186" s="2401"/>
      <c r="E186" s="2401"/>
      <c r="F186" s="2401"/>
      <c r="G186" s="2401"/>
      <c r="H186" s="2401"/>
      <c r="I186" s="2402"/>
      <c r="J186" s="2402"/>
      <c r="K186" s="2402"/>
      <c r="L186" s="1109"/>
      <c r="M186" s="1109"/>
      <c r="N186" s="1109"/>
      <c r="O186" s="1109"/>
      <c r="P186" s="1109"/>
      <c r="Q186" s="1109"/>
      <c r="R186" s="1109"/>
      <c r="S186" s="1109"/>
      <c r="T186" s="2401"/>
      <c r="U186" s="2402"/>
      <c r="V186" s="2402"/>
      <c r="W186" s="2402"/>
      <c r="X186" s="1109"/>
      <c r="Y186" s="1109"/>
      <c r="Z186" s="1109"/>
      <c r="AA186" s="1109"/>
      <c r="AB186" s="1109"/>
      <c r="AC186" s="1109"/>
      <c r="AD186" s="1109"/>
      <c r="AE186" s="1109"/>
      <c r="AF186" s="1109"/>
      <c r="AG186" s="1109"/>
      <c r="AH186" s="1109"/>
      <c r="AI186" s="1109"/>
      <c r="AJ186" s="1109"/>
      <c r="AK186" s="1108"/>
      <c r="AL186" s="2403"/>
      <c r="AM186" s="2403"/>
      <c r="AN186" s="2403"/>
      <c r="AO186" s="1108"/>
      <c r="AP186" s="1109"/>
      <c r="AQ186" s="1109"/>
      <c r="AR186" s="1109"/>
      <c r="AS186" s="1109"/>
      <c r="AT186" s="1109"/>
      <c r="AU186" s="1109"/>
      <c r="AV186" s="1109"/>
      <c r="AW186" s="1109"/>
      <c r="AX186" s="1109"/>
      <c r="AY186" s="1109"/>
      <c r="AZ186" s="1109"/>
      <c r="BA186" s="1109"/>
      <c r="BB186" s="1108"/>
      <c r="BC186" s="2402"/>
      <c r="BD186" s="2402"/>
      <c r="BE186" s="2402"/>
      <c r="BF186" s="1109"/>
      <c r="BG186" s="1109"/>
      <c r="BH186" s="1109"/>
      <c r="BI186" s="1109"/>
      <c r="BJ186" s="1109"/>
      <c r="BK186" s="1109"/>
      <c r="BL186" s="1109"/>
      <c r="BM186" s="1109"/>
      <c r="BN186" s="1109"/>
      <c r="BO186" s="1109"/>
      <c r="BP186" s="1109"/>
      <c r="BQ186" s="1109"/>
      <c r="BR186" s="1109"/>
      <c r="BS186" s="1109"/>
      <c r="BT186" s="2402"/>
      <c r="BU186" s="2402"/>
      <c r="BV186" s="2402"/>
      <c r="BW186" s="1109"/>
      <c r="BX186" s="1109"/>
      <c r="BY186" s="1109"/>
      <c r="BZ186" s="1109"/>
      <c r="CA186" s="1109"/>
      <c r="CB186" s="1109"/>
      <c r="CC186" s="1109"/>
      <c r="CD186" s="1109"/>
      <c r="CE186" s="1109"/>
      <c r="CF186" s="1109"/>
      <c r="CG186" s="1109"/>
      <c r="CH186" s="1109"/>
      <c r="CI186" s="1109"/>
      <c r="CJ186" s="1108"/>
      <c r="CK186" s="2402"/>
      <c r="CL186" s="2402"/>
      <c r="CM186" s="2402"/>
      <c r="CN186" s="1109"/>
      <c r="CO186" s="1109"/>
      <c r="CP186" s="1109"/>
      <c r="CQ186" s="1109"/>
      <c r="CR186" s="1109"/>
      <c r="CS186" s="1109"/>
      <c r="CT186" s="1109"/>
      <c r="CU186" s="1109"/>
      <c r="CV186" s="1109"/>
      <c r="CW186" s="1109"/>
      <c r="CX186" s="1109"/>
      <c r="CY186" s="1109"/>
      <c r="CZ186" s="1108"/>
      <c r="DA186" s="2402"/>
      <c r="DB186" s="2402"/>
      <c r="DC186" s="2402"/>
      <c r="DD186" s="1109"/>
      <c r="DE186" s="1109"/>
      <c r="DF186" s="1109"/>
      <c r="DG186" s="1109"/>
      <c r="DH186" s="1109"/>
      <c r="DI186" s="1109"/>
      <c r="DJ186" s="1109"/>
      <c r="DK186" s="1109"/>
    </row>
    <row r="187" spans="1:115" s="1577" customFormat="1">
      <c r="A187" s="1494">
        <v>3</v>
      </c>
      <c r="B187" s="2419">
        <v>90210</v>
      </c>
      <c r="C187" s="1108" t="s">
        <v>598</v>
      </c>
      <c r="D187" s="1360" t="s">
        <v>595</v>
      </c>
      <c r="E187" s="2405">
        <v>1</v>
      </c>
      <c r="F187" s="1359"/>
      <c r="G187" s="1361">
        <v>60</v>
      </c>
      <c r="H187" s="1359"/>
      <c r="I187" s="2402"/>
      <c r="J187" s="2402"/>
      <c r="K187" s="2402"/>
      <c r="L187" s="1109"/>
      <c r="M187" s="1109"/>
      <c r="N187" s="1109"/>
      <c r="O187" s="1109"/>
      <c r="P187" s="1109"/>
      <c r="Q187" s="1109"/>
      <c r="R187" s="1109"/>
      <c r="S187" s="1109"/>
      <c r="T187" s="1359"/>
      <c r="U187" s="2402"/>
      <c r="V187" s="2402"/>
      <c r="W187" s="2402"/>
      <c r="X187" s="1109"/>
      <c r="Y187" s="1109"/>
      <c r="Z187" s="1109"/>
      <c r="AA187" s="1109"/>
      <c r="AB187" s="1109"/>
      <c r="AD187" s="2420">
        <f>AC214*(1+CC187)</f>
        <v>2121.8000000000002</v>
      </c>
      <c r="AE187" s="1109"/>
      <c r="AF187" s="1109"/>
      <c r="AG187" s="1109"/>
      <c r="AH187" s="1109"/>
      <c r="AI187" s="1109"/>
      <c r="AJ187" s="1109"/>
      <c r="AK187" s="1108"/>
      <c r="AL187" s="2403"/>
      <c r="AM187" s="2403"/>
      <c r="AN187" s="2403"/>
      <c r="AO187" s="1108"/>
      <c r="AP187" s="1109"/>
      <c r="AQ187" s="1109"/>
      <c r="AR187" s="1109"/>
      <c r="AS187" s="1109"/>
      <c r="AT187" s="1109"/>
      <c r="AU187" s="2409">
        <v>22</v>
      </c>
      <c r="AV187" s="1109"/>
      <c r="AW187" s="1109"/>
      <c r="AX187" s="1109"/>
      <c r="AY187" s="1109"/>
      <c r="AZ187" s="1109"/>
      <c r="BA187" s="1109"/>
      <c r="BB187" s="1108"/>
      <c r="BC187" s="2402"/>
      <c r="BD187" s="2402"/>
      <c r="BE187" s="2402"/>
      <c r="BF187" s="1109"/>
      <c r="BG187" s="1109"/>
      <c r="BH187" s="1109"/>
      <c r="BI187" s="1109"/>
      <c r="BJ187" s="1109"/>
      <c r="BK187" s="1109"/>
      <c r="BL187" s="2165">
        <f t="shared" ref="BL187:BL211" si="14">E187*AD187*AU187</f>
        <v>46679.600000000006</v>
      </c>
      <c r="BM187" s="1109"/>
      <c r="BN187" s="1109"/>
      <c r="BO187" s="1109"/>
      <c r="BP187" s="1109"/>
      <c r="BQ187" s="1109"/>
      <c r="BR187" s="1109"/>
      <c r="BS187" s="1109"/>
      <c r="BT187" s="2402"/>
      <c r="BU187" s="2402"/>
      <c r="BV187" s="2402"/>
      <c r="BW187" s="1109"/>
      <c r="BX187" s="1109"/>
      <c r="BY187" s="1109"/>
      <c r="BZ187" s="1109"/>
      <c r="CA187" s="1109"/>
      <c r="CC187" s="1482">
        <v>0.03</v>
      </c>
      <c r="CD187" s="1109"/>
      <c r="CE187" s="1109"/>
      <c r="CF187" s="1109"/>
      <c r="CG187" s="1109"/>
      <c r="CH187" s="1109"/>
      <c r="CI187" s="1109"/>
      <c r="CJ187" s="1108"/>
      <c r="CK187" s="2402"/>
      <c r="CL187" s="2402"/>
      <c r="CM187" s="2402"/>
      <c r="CN187" s="1109"/>
      <c r="CO187" s="1109"/>
      <c r="CP187" s="1109"/>
      <c r="CQ187" s="1109"/>
      <c r="CR187" s="1109"/>
      <c r="CS187" s="1109"/>
      <c r="CT187" s="1109"/>
      <c r="CU187" s="1109"/>
      <c r="CV187" s="1109"/>
      <c r="CW187" s="1109"/>
      <c r="CX187" s="1109"/>
      <c r="CY187" s="1109"/>
      <c r="CZ187" s="1108"/>
      <c r="DA187" s="2402"/>
      <c r="DB187" s="2402"/>
      <c r="DC187" s="2402"/>
      <c r="DD187" s="1109"/>
      <c r="DE187" s="1109"/>
      <c r="DF187" s="1109"/>
      <c r="DG187" s="1109"/>
      <c r="DH187" s="1109"/>
      <c r="DI187" s="1109"/>
      <c r="DJ187" s="1109"/>
      <c r="DK187" s="1109"/>
    </row>
    <row r="188" spans="1:115" s="1577" customFormat="1">
      <c r="A188" s="1534">
        <v>3</v>
      </c>
      <c r="B188" s="1109" t="s">
        <v>1459</v>
      </c>
      <c r="C188" s="1108" t="s">
        <v>598</v>
      </c>
      <c r="D188" s="1360" t="s">
        <v>638</v>
      </c>
      <c r="E188" s="2405">
        <v>1</v>
      </c>
      <c r="F188" s="1359"/>
      <c r="G188" s="1361">
        <v>60</v>
      </c>
      <c r="H188" s="1359"/>
      <c r="I188" s="2402"/>
      <c r="J188" s="2402"/>
      <c r="K188" s="2402"/>
      <c r="L188" s="1109"/>
      <c r="M188" s="1109"/>
      <c r="N188" s="1109"/>
      <c r="O188" s="1109"/>
      <c r="P188" s="1109"/>
      <c r="Q188" s="1109"/>
      <c r="R188" s="1109"/>
      <c r="S188" s="1109"/>
      <c r="T188" s="1359"/>
      <c r="U188" s="2402"/>
      <c r="V188" s="2402"/>
      <c r="W188" s="2402"/>
      <c r="X188" s="1109"/>
      <c r="Y188" s="1109"/>
      <c r="Z188" s="1109"/>
      <c r="AA188" s="1109"/>
      <c r="AB188" s="1109"/>
      <c r="AD188" s="2420">
        <f>AC216*(1+CC188)</f>
        <v>1591.3500000000001</v>
      </c>
      <c r="AE188" s="1109"/>
      <c r="AF188" s="1109"/>
      <c r="AG188" s="1109"/>
      <c r="AH188" s="1109"/>
      <c r="AI188" s="1109"/>
      <c r="AJ188" s="1109"/>
      <c r="AK188" s="1108"/>
      <c r="AL188" s="2403"/>
      <c r="AM188" s="2403"/>
      <c r="AN188" s="2403"/>
      <c r="AO188" s="1108"/>
      <c r="AP188" s="1109"/>
      <c r="AQ188" s="1109"/>
      <c r="AR188" s="1109"/>
      <c r="AS188" s="1109"/>
      <c r="AT188" s="1109"/>
      <c r="AU188" s="2409">
        <v>22</v>
      </c>
      <c r="AV188" s="1109"/>
      <c r="AW188" s="1109"/>
      <c r="AX188" s="1109"/>
      <c r="AY188" s="1109"/>
      <c r="AZ188" s="1109"/>
      <c r="BA188" s="1109"/>
      <c r="BB188" s="1108"/>
      <c r="BC188" s="2402"/>
      <c r="BD188" s="2402"/>
      <c r="BE188" s="2402"/>
      <c r="BF188" s="1109"/>
      <c r="BG188" s="1109"/>
      <c r="BH188" s="1109"/>
      <c r="BI188" s="1109"/>
      <c r="BJ188" s="1109"/>
      <c r="BK188" s="1109"/>
      <c r="BL188" s="2165">
        <f t="shared" si="14"/>
        <v>35009.700000000004</v>
      </c>
      <c r="BM188" s="1109"/>
      <c r="BN188" s="1109"/>
      <c r="BO188" s="1109"/>
      <c r="BP188" s="1109"/>
      <c r="BQ188" s="1109"/>
      <c r="BR188" s="1109"/>
      <c r="BS188" s="1109"/>
      <c r="BT188" s="2402"/>
      <c r="BU188" s="2402"/>
      <c r="BV188" s="2402"/>
      <c r="BW188" s="1109"/>
      <c r="BX188" s="1109"/>
      <c r="BY188" s="1109"/>
      <c r="BZ188" s="1109"/>
      <c r="CA188" s="1109"/>
      <c r="CC188" s="1482">
        <v>0.03</v>
      </c>
      <c r="CD188" s="1109"/>
      <c r="CE188" s="1109"/>
      <c r="CF188" s="1109"/>
      <c r="CG188" s="1109"/>
      <c r="CH188" s="1109"/>
      <c r="CI188" s="1109"/>
      <c r="CJ188" s="1108"/>
      <c r="CK188" s="2402"/>
      <c r="CL188" s="2402"/>
      <c r="CM188" s="2402"/>
      <c r="CN188" s="1109"/>
      <c r="CO188" s="1109"/>
      <c r="CP188" s="1109"/>
      <c r="CQ188" s="1109"/>
      <c r="CR188" s="1109"/>
      <c r="CS188" s="1109"/>
      <c r="CT188" s="1109"/>
      <c r="CU188" s="1109"/>
      <c r="CV188" s="1109"/>
      <c r="CW188" s="1109"/>
      <c r="CX188" s="1109"/>
      <c r="CY188" s="1109"/>
      <c r="CZ188" s="1108"/>
      <c r="DA188" s="2402"/>
      <c r="DB188" s="2402"/>
      <c r="DC188" s="2402"/>
      <c r="DD188" s="1109"/>
      <c r="DE188" s="1109"/>
      <c r="DF188" s="1109"/>
      <c r="DG188" s="1109"/>
      <c r="DH188" s="1109"/>
      <c r="DI188" s="1109"/>
      <c r="DJ188" s="1109"/>
      <c r="DK188" s="1109"/>
    </row>
    <row r="189" spans="1:115" s="1577" customFormat="1">
      <c r="A189" s="1822">
        <v>6</v>
      </c>
      <c r="B189" s="2418" t="s">
        <v>593</v>
      </c>
      <c r="C189" s="1108" t="s">
        <v>66</v>
      </c>
      <c r="D189" s="1359" t="s">
        <v>638</v>
      </c>
      <c r="E189" s="2405">
        <v>0.5</v>
      </c>
      <c r="F189" s="1359"/>
      <c r="G189" s="1361">
        <v>60</v>
      </c>
      <c r="H189" s="1359"/>
      <c r="I189" s="2402"/>
      <c r="J189" s="2402"/>
      <c r="K189" s="2402"/>
      <c r="L189" s="1109"/>
      <c r="M189" s="1109"/>
      <c r="N189" s="1109"/>
      <c r="O189" s="1109"/>
      <c r="P189" s="1109"/>
      <c r="Q189" s="1109"/>
      <c r="R189" s="1109"/>
      <c r="S189" s="1109"/>
      <c r="T189" s="1359"/>
      <c r="U189" s="2402"/>
      <c r="V189" s="2402"/>
      <c r="W189" s="2402"/>
      <c r="X189" s="1109"/>
      <c r="Y189" s="1109"/>
      <c r="Z189" s="1109"/>
      <c r="AA189" s="1109"/>
      <c r="AB189" s="1109"/>
      <c r="AD189" s="2420">
        <f>AC218*(1+CC189)</f>
        <v>2923.0447250000002</v>
      </c>
      <c r="AE189" s="1109"/>
      <c r="AF189" s="1109"/>
      <c r="AG189" s="1109"/>
      <c r="AH189" s="1109"/>
      <c r="AI189" s="1109"/>
      <c r="AJ189" s="1109"/>
      <c r="AK189" s="1108"/>
      <c r="AL189" s="2403"/>
      <c r="AM189" s="2403"/>
      <c r="AN189" s="2403"/>
      <c r="AO189" s="1108"/>
      <c r="AP189" s="1109"/>
      <c r="AQ189" s="1109"/>
      <c r="AR189" s="1109"/>
      <c r="AS189" s="1109"/>
      <c r="AT189" s="1109"/>
      <c r="AU189" s="2409">
        <v>22</v>
      </c>
      <c r="AV189" s="1109"/>
      <c r="AW189" s="1109"/>
      <c r="AX189" s="1109"/>
      <c r="AY189" s="1109"/>
      <c r="AZ189" s="1109"/>
      <c r="BA189" s="1109"/>
      <c r="BB189" s="1108"/>
      <c r="BC189" s="2402"/>
      <c r="BD189" s="2402"/>
      <c r="BE189" s="2402"/>
      <c r="BF189" s="1109"/>
      <c r="BG189" s="1109"/>
      <c r="BH189" s="1109"/>
      <c r="BI189" s="1109"/>
      <c r="BJ189" s="1109"/>
      <c r="BK189" s="1109"/>
      <c r="BL189" s="2165">
        <f t="shared" si="14"/>
        <v>32153.491975000001</v>
      </c>
      <c r="BM189" s="1109"/>
      <c r="BN189" s="1109"/>
      <c r="BO189" s="1109"/>
      <c r="BP189" s="1109"/>
      <c r="BQ189" s="1109"/>
      <c r="BR189" s="1109"/>
      <c r="BS189" s="1109"/>
      <c r="BT189" s="2402"/>
      <c r="BU189" s="2402"/>
      <c r="BV189" s="2402"/>
      <c r="BW189" s="1109"/>
      <c r="BX189" s="1109"/>
      <c r="BY189" s="1109"/>
      <c r="BZ189" s="1109"/>
      <c r="CA189" s="1109"/>
      <c r="CC189" s="1482">
        <v>0.03</v>
      </c>
      <c r="CD189" s="1109"/>
      <c r="CE189" s="1109"/>
      <c r="CF189" s="1109"/>
      <c r="CG189" s="1109"/>
      <c r="CH189" s="1109"/>
      <c r="CI189" s="1109"/>
      <c r="CJ189" s="1108"/>
      <c r="CK189" s="2402"/>
      <c r="CL189" s="2402"/>
      <c r="CM189" s="2402"/>
      <c r="CN189" s="1109"/>
      <c r="CO189" s="1109"/>
      <c r="CP189" s="1109"/>
      <c r="CQ189" s="1109"/>
      <c r="CR189" s="1109"/>
      <c r="CS189" s="1109"/>
      <c r="CT189" s="1109"/>
      <c r="CU189" s="1109"/>
      <c r="CV189" s="1109"/>
      <c r="CW189" s="1109"/>
      <c r="CX189" s="1109"/>
      <c r="CY189" s="1109"/>
      <c r="CZ189" s="1108"/>
      <c r="DA189" s="2402"/>
      <c r="DB189" s="2402"/>
      <c r="DC189" s="2402"/>
      <c r="DD189" s="1109"/>
      <c r="DE189" s="1109"/>
      <c r="DF189" s="1109"/>
      <c r="DG189" s="1109"/>
      <c r="DH189" s="1109"/>
      <c r="DI189" s="1109"/>
      <c r="DJ189" s="1109"/>
      <c r="DK189" s="1109"/>
    </row>
    <row r="190" spans="1:115" s="1577" customFormat="1">
      <c r="A190" s="1494">
        <v>11</v>
      </c>
      <c r="B190" s="1108" t="s">
        <v>1477</v>
      </c>
      <c r="C190" s="1108" t="s">
        <v>1478</v>
      </c>
      <c r="D190" s="1360" t="s">
        <v>638</v>
      </c>
      <c r="E190" s="2405">
        <v>0.5</v>
      </c>
      <c r="F190" s="1359"/>
      <c r="G190" s="1361">
        <v>60</v>
      </c>
      <c r="H190" s="1359"/>
      <c r="I190" s="2402"/>
      <c r="J190" s="2402"/>
      <c r="K190" s="2402"/>
      <c r="L190" s="1109"/>
      <c r="M190" s="1109"/>
      <c r="N190" s="1109"/>
      <c r="O190" s="1109"/>
      <c r="P190" s="1109"/>
      <c r="Q190" s="1109"/>
      <c r="R190" s="1109"/>
      <c r="S190" s="1109"/>
      <c r="T190" s="1359"/>
      <c r="U190" s="2402"/>
      <c r="V190" s="2402"/>
      <c r="W190" s="2402"/>
      <c r="X190" s="1109"/>
      <c r="Y190" s="1109"/>
      <c r="Z190" s="1109"/>
      <c r="AA190" s="1109"/>
      <c r="AB190" s="1109"/>
      <c r="AD190" s="2420">
        <f>AC219*(1+CC190)</f>
        <v>2923.0447250000002</v>
      </c>
      <c r="AE190" s="1109"/>
      <c r="AF190" s="1109"/>
      <c r="AG190" s="1109"/>
      <c r="AH190" s="1109"/>
      <c r="AI190" s="1109"/>
      <c r="AJ190" s="1109"/>
      <c r="AK190" s="1108"/>
      <c r="AL190" s="2403"/>
      <c r="AM190" s="2403"/>
      <c r="AN190" s="2403"/>
      <c r="AO190" s="1108"/>
      <c r="AP190" s="1109"/>
      <c r="AQ190" s="1109"/>
      <c r="AR190" s="1109"/>
      <c r="AS190" s="1109"/>
      <c r="AT190" s="1109"/>
      <c r="AU190" s="2409">
        <v>22</v>
      </c>
      <c r="AV190" s="1109"/>
      <c r="AW190" s="1109"/>
      <c r="AX190" s="1109"/>
      <c r="AY190" s="1109"/>
      <c r="AZ190" s="1109"/>
      <c r="BA190" s="1109"/>
      <c r="BB190" s="1108"/>
      <c r="BC190" s="2402"/>
      <c r="BD190" s="2402"/>
      <c r="BE190" s="2402"/>
      <c r="BF190" s="1109"/>
      <c r="BG190" s="1109"/>
      <c r="BH190" s="1109"/>
      <c r="BI190" s="1109"/>
      <c r="BJ190" s="1109"/>
      <c r="BK190" s="1109"/>
      <c r="BL190" s="2165">
        <f t="shared" si="14"/>
        <v>32153.491975000001</v>
      </c>
      <c r="BM190" s="1109"/>
      <c r="BN190" s="1109"/>
      <c r="BO190" s="1109"/>
      <c r="BP190" s="1109"/>
      <c r="BQ190" s="1109"/>
      <c r="BR190" s="1109"/>
      <c r="BS190" s="1109"/>
      <c r="BT190" s="2402"/>
      <c r="BU190" s="2402"/>
      <c r="BV190" s="2402"/>
      <c r="BW190" s="1109"/>
      <c r="BX190" s="1109"/>
      <c r="BY190" s="1109"/>
      <c r="BZ190" s="1109"/>
      <c r="CA190" s="1109"/>
      <c r="CC190" s="1482">
        <v>0.03</v>
      </c>
      <c r="CD190" s="1109"/>
      <c r="CE190" s="1109"/>
      <c r="CF190" s="1109"/>
      <c r="CG190" s="1109"/>
      <c r="CH190" s="1109"/>
      <c r="CI190" s="1109"/>
      <c r="CJ190" s="1108"/>
      <c r="CK190" s="2402"/>
      <c r="CL190" s="2402"/>
      <c r="CM190" s="2402"/>
      <c r="CN190" s="1109"/>
      <c r="CO190" s="1109"/>
      <c r="CP190" s="1109"/>
      <c r="CQ190" s="1109"/>
      <c r="CR190" s="1109"/>
      <c r="CS190" s="1109"/>
      <c r="CT190" s="1109"/>
      <c r="CU190" s="1109"/>
      <c r="CV190" s="1109"/>
      <c r="CW190" s="1109"/>
      <c r="CX190" s="1109"/>
      <c r="CY190" s="1109"/>
      <c r="CZ190" s="1108"/>
      <c r="DA190" s="2402"/>
      <c r="DB190" s="2402"/>
      <c r="DC190" s="2402"/>
      <c r="DD190" s="1109"/>
      <c r="DE190" s="1109"/>
      <c r="DF190" s="1109"/>
      <c r="DG190" s="1109"/>
      <c r="DH190" s="1109"/>
      <c r="DI190" s="1109"/>
      <c r="DJ190" s="1109"/>
      <c r="DK190" s="1109"/>
    </row>
    <row r="191" spans="1:115" s="1577" customFormat="1">
      <c r="A191" s="1822">
        <v>9</v>
      </c>
      <c r="B191" s="1108" t="s">
        <v>1464</v>
      </c>
      <c r="C191" s="1108" t="s">
        <v>1465</v>
      </c>
      <c r="D191" s="1360" t="s">
        <v>638</v>
      </c>
      <c r="E191" s="2405">
        <v>0.5</v>
      </c>
      <c r="F191" s="1359"/>
      <c r="G191" s="1361">
        <v>60</v>
      </c>
      <c r="H191" s="1359"/>
      <c r="I191" s="2402"/>
      <c r="J191" s="2402"/>
      <c r="K191" s="2402"/>
      <c r="L191" s="1109"/>
      <c r="M191" s="1109"/>
      <c r="N191" s="1109"/>
      <c r="O191" s="1109"/>
      <c r="P191" s="1109"/>
      <c r="Q191" s="1109"/>
      <c r="R191" s="1109"/>
      <c r="S191" s="1109"/>
      <c r="T191" s="1359"/>
      <c r="U191" s="2402"/>
      <c r="V191" s="2402"/>
      <c r="W191" s="2402"/>
      <c r="X191" s="1109"/>
      <c r="Y191" s="1109"/>
      <c r="Z191" s="1109"/>
      <c r="AA191" s="1109"/>
      <c r="AB191" s="1109"/>
      <c r="AD191" s="2420">
        <f>AC220*(1+CC191)</f>
        <v>2923.0447250000002</v>
      </c>
      <c r="AE191" s="1109"/>
      <c r="AF191" s="1109"/>
      <c r="AG191" s="1109"/>
      <c r="AH191" s="1109"/>
      <c r="AI191" s="1109"/>
      <c r="AJ191" s="1109"/>
      <c r="AK191" s="1108"/>
      <c r="AL191" s="2403"/>
      <c r="AM191" s="2403"/>
      <c r="AN191" s="2403"/>
      <c r="AO191" s="1108"/>
      <c r="AP191" s="1109"/>
      <c r="AQ191" s="1109"/>
      <c r="AR191" s="1109"/>
      <c r="AS191" s="1109"/>
      <c r="AT191" s="1109"/>
      <c r="AU191" s="2409">
        <v>22</v>
      </c>
      <c r="AV191" s="1109"/>
      <c r="AW191" s="1109"/>
      <c r="AX191" s="1109"/>
      <c r="AY191" s="1109"/>
      <c r="AZ191" s="1109"/>
      <c r="BA191" s="1109"/>
      <c r="BB191" s="1108"/>
      <c r="BC191" s="2402"/>
      <c r="BD191" s="2402"/>
      <c r="BE191" s="2402"/>
      <c r="BF191" s="1109"/>
      <c r="BG191" s="1109"/>
      <c r="BH191" s="1109"/>
      <c r="BI191" s="1109"/>
      <c r="BJ191" s="1109"/>
      <c r="BK191" s="1109"/>
      <c r="BL191" s="2165">
        <f t="shared" si="14"/>
        <v>32153.491975000001</v>
      </c>
      <c r="BM191" s="1109"/>
      <c r="BN191" s="1109"/>
      <c r="BO191" s="1109"/>
      <c r="BP191" s="1109"/>
      <c r="BQ191" s="1109"/>
      <c r="BR191" s="1109"/>
      <c r="BS191" s="1109"/>
      <c r="BT191" s="2402"/>
      <c r="BU191" s="2402"/>
      <c r="BV191" s="2402"/>
      <c r="BW191" s="1109"/>
      <c r="BX191" s="1109"/>
      <c r="BY191" s="1109"/>
      <c r="BZ191" s="1109"/>
      <c r="CA191" s="1109"/>
      <c r="CC191" s="1482">
        <v>0.03</v>
      </c>
      <c r="CD191" s="1109"/>
      <c r="CE191" s="1109"/>
      <c r="CF191" s="1109"/>
      <c r="CG191" s="1109"/>
      <c r="CH191" s="1109"/>
      <c r="CI191" s="1109"/>
      <c r="CJ191" s="1108"/>
      <c r="CK191" s="2402"/>
      <c r="CL191" s="2402"/>
      <c r="CM191" s="2402"/>
      <c r="CN191" s="1109"/>
      <c r="CO191" s="1109"/>
      <c r="CP191" s="1109"/>
      <c r="CQ191" s="1109"/>
      <c r="CR191" s="1109"/>
      <c r="CS191" s="1109"/>
      <c r="CT191" s="1109"/>
      <c r="CU191" s="1109"/>
      <c r="CV191" s="1109"/>
      <c r="CW191" s="1109"/>
      <c r="CX191" s="1109"/>
      <c r="CY191" s="1109"/>
      <c r="CZ191" s="1108"/>
      <c r="DA191" s="2402"/>
      <c r="DB191" s="2402"/>
      <c r="DC191" s="2402"/>
      <c r="DD191" s="1109"/>
      <c r="DE191" s="1109"/>
      <c r="DF191" s="1109"/>
      <c r="DG191" s="1109"/>
      <c r="DH191" s="1109"/>
      <c r="DI191" s="1109"/>
      <c r="DJ191" s="1109"/>
      <c r="DK191" s="1109"/>
    </row>
    <row r="192" spans="1:115" s="1577" customFormat="1">
      <c r="A192" s="1534">
        <v>7</v>
      </c>
      <c r="B192" s="1108" t="s">
        <v>1453</v>
      </c>
      <c r="C192" s="1108" t="s">
        <v>1454</v>
      </c>
      <c r="D192" s="1360" t="s">
        <v>638</v>
      </c>
      <c r="E192" s="2405">
        <v>0.5</v>
      </c>
      <c r="F192" s="1359"/>
      <c r="G192" s="1361">
        <v>60</v>
      </c>
      <c r="H192" s="1359"/>
      <c r="I192" s="2402"/>
      <c r="J192" s="2402"/>
      <c r="K192" s="2402"/>
      <c r="L192" s="1109"/>
      <c r="M192" s="1109"/>
      <c r="N192" s="1109"/>
      <c r="O192" s="1109"/>
      <c r="P192" s="1109"/>
      <c r="Q192" s="1109"/>
      <c r="R192" s="1109"/>
      <c r="S192" s="1109"/>
      <c r="T192" s="1359"/>
      <c r="U192" s="2402"/>
      <c r="V192" s="2402"/>
      <c r="W192" s="2402"/>
      <c r="X192" s="1109"/>
      <c r="Y192" s="1109"/>
      <c r="Z192" s="1109"/>
      <c r="AA192" s="1109"/>
      <c r="AB192" s="1109"/>
      <c r="AD192" s="2420">
        <f>AC221*(1+CC192)</f>
        <v>2923.0447250000002</v>
      </c>
      <c r="AE192" s="1109"/>
      <c r="AF192" s="1109"/>
      <c r="AG192" s="1109"/>
      <c r="AH192" s="1109"/>
      <c r="AI192" s="1109"/>
      <c r="AJ192" s="1109"/>
      <c r="AK192" s="1108"/>
      <c r="AL192" s="2403"/>
      <c r="AM192" s="2403"/>
      <c r="AN192" s="2403"/>
      <c r="AO192" s="1108"/>
      <c r="AP192" s="1109"/>
      <c r="AQ192" s="1109"/>
      <c r="AR192" s="1109"/>
      <c r="AS192" s="1109"/>
      <c r="AT192" s="1109"/>
      <c r="AU192" s="2409">
        <v>22</v>
      </c>
      <c r="AV192" s="1109"/>
      <c r="AW192" s="1109"/>
      <c r="AX192" s="1109"/>
      <c r="AY192" s="1109"/>
      <c r="AZ192" s="1109"/>
      <c r="BA192" s="1109"/>
      <c r="BB192" s="1108"/>
      <c r="BC192" s="2402"/>
      <c r="BD192" s="2402"/>
      <c r="BE192" s="2402"/>
      <c r="BF192" s="1109"/>
      <c r="BG192" s="1109"/>
      <c r="BH192" s="1109"/>
      <c r="BI192" s="1109"/>
      <c r="BJ192" s="1109"/>
      <c r="BK192" s="1109"/>
      <c r="BL192" s="2165">
        <f t="shared" si="14"/>
        <v>32153.491975000001</v>
      </c>
      <c r="BM192" s="1109"/>
      <c r="BN192" s="1109"/>
      <c r="BO192" s="1109"/>
      <c r="BP192" s="1109"/>
      <c r="BQ192" s="1109"/>
      <c r="BR192" s="1109"/>
      <c r="BS192" s="1109"/>
      <c r="BT192" s="2402"/>
      <c r="BU192" s="2402"/>
      <c r="BV192" s="2402"/>
      <c r="BW192" s="1109"/>
      <c r="BX192" s="1109"/>
      <c r="BY192" s="1109"/>
      <c r="BZ192" s="1109"/>
      <c r="CA192" s="1109"/>
      <c r="CC192" s="1482">
        <v>0.03</v>
      </c>
      <c r="CD192" s="1109"/>
      <c r="CE192" s="1109"/>
      <c r="CF192" s="1109"/>
      <c r="CG192" s="1109"/>
      <c r="CH192" s="1109"/>
      <c r="CI192" s="1109"/>
      <c r="CJ192" s="1108"/>
      <c r="CK192" s="2402"/>
      <c r="CL192" s="2402"/>
      <c r="CM192" s="2402"/>
      <c r="CN192" s="1109"/>
      <c r="CO192" s="1109"/>
      <c r="CP192" s="1109"/>
      <c r="CQ192" s="1109"/>
      <c r="CR192" s="1109"/>
      <c r="CS192" s="1109"/>
      <c r="CT192" s="1109"/>
      <c r="CU192" s="1109"/>
      <c r="CV192" s="1109"/>
      <c r="CW192" s="1109"/>
      <c r="CX192" s="1109"/>
      <c r="CY192" s="1109"/>
      <c r="CZ192" s="1108"/>
      <c r="DA192" s="2402"/>
      <c r="DB192" s="2402"/>
      <c r="DC192" s="2402"/>
      <c r="DD192" s="1109"/>
      <c r="DE192" s="1109"/>
      <c r="DF192" s="1109"/>
      <c r="DG192" s="1109"/>
      <c r="DH192" s="1109"/>
      <c r="DI192" s="1109"/>
      <c r="DJ192" s="1109"/>
      <c r="DK192" s="1109"/>
    </row>
    <row r="193" spans="1:115" s="1577" customFormat="1">
      <c r="A193" s="1494">
        <v>3</v>
      </c>
      <c r="B193" s="2419" t="s">
        <v>611</v>
      </c>
      <c r="C193" s="1108" t="s">
        <v>598</v>
      </c>
      <c r="D193" s="1360" t="s">
        <v>638</v>
      </c>
      <c r="E193" s="2405">
        <v>1</v>
      </c>
      <c r="F193" s="1359"/>
      <c r="G193" s="1361">
        <v>60</v>
      </c>
      <c r="H193" s="1359"/>
      <c r="I193" s="2402"/>
      <c r="J193" s="2402"/>
      <c r="K193" s="2402"/>
      <c r="L193" s="1109"/>
      <c r="M193" s="1109"/>
      <c r="N193" s="1109"/>
      <c r="O193" s="1109"/>
      <c r="P193" s="1109"/>
      <c r="Q193" s="1109"/>
      <c r="R193" s="1109"/>
      <c r="S193" s="1109"/>
      <c r="T193" s="1359"/>
      <c r="U193" s="2402"/>
      <c r="V193" s="2402"/>
      <c r="W193" s="2402"/>
      <c r="X193" s="1109"/>
      <c r="Y193" s="1109"/>
      <c r="Z193" s="1109"/>
      <c r="AA193" s="1109"/>
      <c r="AB193" s="1109"/>
      <c r="AD193" s="2420">
        <f>AC222*(1+CC193)</f>
        <v>1273.08</v>
      </c>
      <c r="AE193" s="1109"/>
      <c r="AF193" s="1109"/>
      <c r="AG193" s="1109"/>
      <c r="AH193" s="1109"/>
      <c r="AI193" s="1109"/>
      <c r="AJ193" s="1109"/>
      <c r="AK193" s="1108"/>
      <c r="AL193" s="2403"/>
      <c r="AM193" s="2403"/>
      <c r="AN193" s="2403"/>
      <c r="AO193" s="1108"/>
      <c r="AP193" s="1109"/>
      <c r="AQ193" s="1109"/>
      <c r="AR193" s="1109"/>
      <c r="AS193" s="1109"/>
      <c r="AT193" s="1109"/>
      <c r="AU193" s="2409">
        <v>22</v>
      </c>
      <c r="AV193" s="1109"/>
      <c r="AW193" s="1109"/>
      <c r="AX193" s="1109"/>
      <c r="AY193" s="1109"/>
      <c r="AZ193" s="1109"/>
      <c r="BA193" s="1109"/>
      <c r="BB193" s="1108"/>
      <c r="BC193" s="2402"/>
      <c r="BD193" s="2402"/>
      <c r="BE193" s="2402"/>
      <c r="BF193" s="1109"/>
      <c r="BG193" s="1109"/>
      <c r="BH193" s="1109"/>
      <c r="BI193" s="1109"/>
      <c r="BJ193" s="1109"/>
      <c r="BK193" s="1109"/>
      <c r="BL193" s="2165">
        <f t="shared" si="14"/>
        <v>28007.759999999998</v>
      </c>
      <c r="BM193" s="1109"/>
      <c r="BN193" s="1109"/>
      <c r="BO193" s="1109"/>
      <c r="BP193" s="1109"/>
      <c r="BQ193" s="1109"/>
      <c r="BR193" s="1109"/>
      <c r="BS193" s="1109"/>
      <c r="BT193" s="2402"/>
      <c r="BU193" s="2402"/>
      <c r="BV193" s="2402"/>
      <c r="BW193" s="1109"/>
      <c r="BX193" s="1109"/>
      <c r="BY193" s="1109"/>
      <c r="BZ193" s="1109"/>
      <c r="CA193" s="1109"/>
      <c r="CC193" s="1482">
        <v>0.03</v>
      </c>
      <c r="CD193" s="1109"/>
      <c r="CE193" s="1109"/>
      <c r="CF193" s="1109"/>
      <c r="CG193" s="1109"/>
      <c r="CH193" s="1109"/>
      <c r="CI193" s="1109"/>
      <c r="CJ193" s="1108"/>
      <c r="CK193" s="2402"/>
      <c r="CL193" s="2402"/>
      <c r="CM193" s="2402"/>
      <c r="CN193" s="1109"/>
      <c r="CO193" s="1109"/>
      <c r="CP193" s="1109"/>
      <c r="CQ193" s="1109"/>
      <c r="CR193" s="1109"/>
      <c r="CS193" s="1109"/>
      <c r="CT193" s="1109"/>
      <c r="CU193" s="1109"/>
      <c r="CV193" s="1109"/>
      <c r="CW193" s="1109"/>
      <c r="CX193" s="1109"/>
      <c r="CY193" s="1109"/>
      <c r="CZ193" s="1108"/>
      <c r="DA193" s="2402"/>
      <c r="DB193" s="2402"/>
      <c r="DC193" s="2402"/>
      <c r="DD193" s="1109"/>
      <c r="DE193" s="1109"/>
      <c r="DF193" s="1109"/>
      <c r="DG193" s="1109"/>
      <c r="DH193" s="1109"/>
      <c r="DI193" s="1109"/>
      <c r="DJ193" s="1109"/>
      <c r="DK193" s="1109"/>
    </row>
    <row r="194" spans="1:115" s="1577" customFormat="1">
      <c r="A194" s="1494">
        <v>4</v>
      </c>
      <c r="B194" s="2419" t="s">
        <v>612</v>
      </c>
      <c r="C194" s="1108" t="s">
        <v>598</v>
      </c>
      <c r="D194" s="1360" t="s">
        <v>595</v>
      </c>
      <c r="E194" s="2405">
        <v>0.5</v>
      </c>
      <c r="F194" s="1359"/>
      <c r="G194" s="1361">
        <v>60</v>
      </c>
      <c r="H194" s="1359"/>
      <c r="I194" s="2402"/>
      <c r="J194" s="2402"/>
      <c r="K194" s="2402"/>
      <c r="L194" s="1109"/>
      <c r="M194" s="1109"/>
      <c r="N194" s="1109"/>
      <c r="O194" s="1109"/>
      <c r="P194" s="1109"/>
      <c r="Q194" s="1109"/>
      <c r="R194" s="1109"/>
      <c r="S194" s="1109"/>
      <c r="T194" s="1359"/>
      <c r="U194" s="2402"/>
      <c r="V194" s="2402"/>
      <c r="W194" s="2402"/>
      <c r="X194" s="1109"/>
      <c r="Y194" s="1109"/>
      <c r="Z194" s="1109"/>
      <c r="AA194" s="1109"/>
      <c r="AB194" s="1109"/>
      <c r="AD194" s="2420">
        <f>AC225*(1+CC194)</f>
        <v>2185.4540000000002</v>
      </c>
      <c r="AE194" s="1109"/>
      <c r="AF194" s="1109"/>
      <c r="AG194" s="1109"/>
      <c r="AH194" s="1109"/>
      <c r="AI194" s="1109"/>
      <c r="AJ194" s="1109"/>
      <c r="AK194" s="1108"/>
      <c r="AL194" s="2403"/>
      <c r="AM194" s="2403"/>
      <c r="AN194" s="2403"/>
      <c r="AO194" s="1108"/>
      <c r="AP194" s="1109"/>
      <c r="AQ194" s="1109"/>
      <c r="AR194" s="1109"/>
      <c r="AS194" s="1109"/>
      <c r="AT194" s="1109"/>
      <c r="AU194" s="2409">
        <v>22</v>
      </c>
      <c r="AV194" s="1109"/>
      <c r="AW194" s="1109"/>
      <c r="AX194" s="1109"/>
      <c r="AY194" s="1109"/>
      <c r="AZ194" s="1109"/>
      <c r="BA194" s="1109"/>
      <c r="BB194" s="1108"/>
      <c r="BC194" s="2402"/>
      <c r="BD194" s="2402"/>
      <c r="BE194" s="2402"/>
      <c r="BF194" s="1109"/>
      <c r="BG194" s="1109"/>
      <c r="BH194" s="1109"/>
      <c r="BI194" s="1109"/>
      <c r="BJ194" s="1109"/>
      <c r="BK194" s="1109"/>
      <c r="BL194" s="2165">
        <f t="shared" si="14"/>
        <v>24039.994000000002</v>
      </c>
      <c r="BM194" s="1109"/>
      <c r="BN194" s="1109"/>
      <c r="BO194" s="1109"/>
      <c r="BP194" s="1109"/>
      <c r="BQ194" s="1109"/>
      <c r="BR194" s="1109"/>
      <c r="BS194" s="1109"/>
      <c r="BT194" s="2402"/>
      <c r="BU194" s="2402"/>
      <c r="BV194" s="2402"/>
      <c r="BW194" s="1109"/>
      <c r="BX194" s="1109"/>
      <c r="BY194" s="1109"/>
      <c r="BZ194" s="1109"/>
      <c r="CA194" s="1109"/>
      <c r="CC194" s="1482">
        <v>0.03</v>
      </c>
      <c r="CD194" s="1109"/>
      <c r="CE194" s="1109"/>
      <c r="CF194" s="1109"/>
      <c r="CG194" s="1109"/>
      <c r="CH194" s="1109"/>
      <c r="CI194" s="1109"/>
      <c r="CJ194" s="1108"/>
      <c r="CK194" s="2402"/>
      <c r="CL194" s="2402"/>
      <c r="CM194" s="2402"/>
      <c r="CN194" s="1109"/>
      <c r="CO194" s="1109"/>
      <c r="CP194" s="1109"/>
      <c r="CQ194" s="1109"/>
      <c r="CR194" s="1109"/>
      <c r="CS194" s="1109"/>
      <c r="CT194" s="1109"/>
      <c r="CU194" s="1109"/>
      <c r="CV194" s="1109"/>
      <c r="CW194" s="1109"/>
      <c r="CX194" s="1109"/>
      <c r="CY194" s="1109"/>
      <c r="CZ194" s="1108"/>
      <c r="DA194" s="2402"/>
      <c r="DB194" s="2402"/>
      <c r="DC194" s="2402"/>
      <c r="DD194" s="1109"/>
      <c r="DE194" s="1109"/>
      <c r="DF194" s="1109"/>
      <c r="DG194" s="1109"/>
      <c r="DH194" s="1109"/>
      <c r="DI194" s="1109"/>
      <c r="DJ194" s="1109"/>
      <c r="DK194" s="1109"/>
    </row>
    <row r="195" spans="1:115" s="1577" customFormat="1">
      <c r="A195" s="1534">
        <v>7</v>
      </c>
      <c r="B195" s="1109" t="s">
        <v>1449</v>
      </c>
      <c r="C195" s="1108" t="s">
        <v>598</v>
      </c>
      <c r="D195" s="1360" t="s">
        <v>638</v>
      </c>
      <c r="E195" s="2405">
        <v>1</v>
      </c>
      <c r="F195" s="1359"/>
      <c r="G195" s="1361">
        <v>60</v>
      </c>
      <c r="H195" s="1359"/>
      <c r="I195" s="2402"/>
      <c r="J195" s="2402"/>
      <c r="K195" s="2402"/>
      <c r="L195" s="1109"/>
      <c r="M195" s="1109"/>
      <c r="N195" s="1109"/>
      <c r="O195" s="1109"/>
      <c r="P195" s="1109"/>
      <c r="Q195" s="1109"/>
      <c r="R195" s="1109"/>
      <c r="S195" s="1109"/>
      <c r="T195" s="1359"/>
      <c r="U195" s="2402"/>
      <c r="V195" s="2402"/>
      <c r="W195" s="2402"/>
      <c r="X195" s="1109"/>
      <c r="Y195" s="1109"/>
      <c r="Z195" s="1109"/>
      <c r="AA195" s="1109"/>
      <c r="AB195" s="1109"/>
      <c r="AD195" s="2420">
        <f>AC226*(1+CC195)</f>
        <v>2338.4357800000007</v>
      </c>
      <c r="AE195" s="1109"/>
      <c r="AF195" s="1109"/>
      <c r="AG195" s="1109"/>
      <c r="AH195" s="1109"/>
      <c r="AI195" s="1109"/>
      <c r="AJ195" s="1109"/>
      <c r="AK195" s="1108"/>
      <c r="AL195" s="2403"/>
      <c r="AM195" s="2403"/>
      <c r="AN195" s="2403"/>
      <c r="AO195" s="1108"/>
      <c r="AP195" s="1109"/>
      <c r="AQ195" s="1109"/>
      <c r="AR195" s="1109"/>
      <c r="AS195" s="1109"/>
      <c r="AT195" s="1109"/>
      <c r="AU195" s="2409">
        <v>22</v>
      </c>
      <c r="AV195" s="1109"/>
      <c r="AW195" s="1109"/>
      <c r="AX195" s="1109"/>
      <c r="AY195" s="1109"/>
      <c r="AZ195" s="1109"/>
      <c r="BA195" s="1109"/>
      <c r="BB195" s="1108"/>
      <c r="BC195" s="2402"/>
      <c r="BD195" s="2402"/>
      <c r="BE195" s="2402"/>
      <c r="BF195" s="1109"/>
      <c r="BG195" s="1109"/>
      <c r="BH195" s="1109"/>
      <c r="BI195" s="1109"/>
      <c r="BJ195" s="1109"/>
      <c r="BK195" s="1109"/>
      <c r="BL195" s="2165">
        <f t="shared" si="14"/>
        <v>51445.587160000017</v>
      </c>
      <c r="BM195" s="1109"/>
      <c r="BN195" s="1109"/>
      <c r="BO195" s="1109"/>
      <c r="BP195" s="1109"/>
      <c r="BQ195" s="1109"/>
      <c r="BR195" s="1109"/>
      <c r="BS195" s="1109"/>
      <c r="BT195" s="2402"/>
      <c r="BU195" s="2402"/>
      <c r="BV195" s="2402"/>
      <c r="BW195" s="1109"/>
      <c r="BX195" s="1109"/>
      <c r="BY195" s="1109"/>
      <c r="BZ195" s="1109"/>
      <c r="CA195" s="1109"/>
      <c r="CC195" s="1482">
        <v>0.03</v>
      </c>
      <c r="CD195" s="1109"/>
      <c r="CE195" s="1109"/>
      <c r="CF195" s="1109"/>
      <c r="CG195" s="1109"/>
      <c r="CH195" s="1109"/>
      <c r="CI195" s="1109"/>
      <c r="CJ195" s="1108"/>
      <c r="CK195" s="2402"/>
      <c r="CL195" s="2402"/>
      <c r="CM195" s="2402"/>
      <c r="CN195" s="1109"/>
      <c r="CO195" s="1109"/>
      <c r="CP195" s="1109"/>
      <c r="CQ195" s="1109"/>
      <c r="CR195" s="1109"/>
      <c r="CS195" s="1109"/>
      <c r="CT195" s="1109"/>
      <c r="CU195" s="1109"/>
      <c r="CV195" s="1109"/>
      <c r="CW195" s="1109"/>
      <c r="CX195" s="1109"/>
      <c r="CY195" s="1109"/>
      <c r="CZ195" s="1108"/>
      <c r="DA195" s="2402"/>
      <c r="DB195" s="2402"/>
      <c r="DC195" s="2402"/>
      <c r="DD195" s="1109"/>
      <c r="DE195" s="1109"/>
      <c r="DF195" s="1109"/>
      <c r="DG195" s="1109"/>
      <c r="DH195" s="1109"/>
      <c r="DI195" s="1109"/>
      <c r="DJ195" s="1109"/>
      <c r="DK195" s="1109"/>
    </row>
    <row r="196" spans="1:115" s="1577" customFormat="1">
      <c r="A196" s="1822">
        <v>8</v>
      </c>
      <c r="B196" s="1108" t="s">
        <v>1461</v>
      </c>
      <c r="C196" s="1108" t="s">
        <v>1462</v>
      </c>
      <c r="D196" s="1360" t="s">
        <v>638</v>
      </c>
      <c r="E196" s="2405">
        <v>1</v>
      </c>
      <c r="F196" s="1359"/>
      <c r="G196" s="1361">
        <v>60</v>
      </c>
      <c r="H196" s="1359"/>
      <c r="I196" s="2402"/>
      <c r="J196" s="2402"/>
      <c r="K196" s="2402"/>
      <c r="L196" s="1109"/>
      <c r="M196" s="1109"/>
      <c r="N196" s="1109"/>
      <c r="O196" s="1109"/>
      <c r="P196" s="1109"/>
      <c r="Q196" s="1109"/>
      <c r="R196" s="1109"/>
      <c r="S196" s="1109"/>
      <c r="T196" s="1359"/>
      <c r="U196" s="2402"/>
      <c r="V196" s="2402"/>
      <c r="W196" s="2402"/>
      <c r="X196" s="1109"/>
      <c r="Y196" s="1109"/>
      <c r="Z196" s="1109"/>
      <c r="AA196" s="1109"/>
      <c r="AB196" s="1109"/>
      <c r="AD196" s="2420">
        <f>AC228*(1+CC196)</f>
        <v>2923.0447250000002</v>
      </c>
      <c r="AE196" s="1109"/>
      <c r="AF196" s="1109"/>
      <c r="AG196" s="1109"/>
      <c r="AH196" s="1109"/>
      <c r="AI196" s="1109"/>
      <c r="AJ196" s="1109"/>
      <c r="AK196" s="1108"/>
      <c r="AL196" s="2403"/>
      <c r="AM196" s="2403"/>
      <c r="AN196" s="2403"/>
      <c r="AO196" s="1108"/>
      <c r="AP196" s="1109"/>
      <c r="AQ196" s="1109"/>
      <c r="AR196" s="1109"/>
      <c r="AS196" s="1109"/>
      <c r="AT196" s="1109"/>
      <c r="AU196" s="2409">
        <v>22</v>
      </c>
      <c r="AV196" s="1109"/>
      <c r="AW196" s="1109"/>
      <c r="AX196" s="1109"/>
      <c r="AY196" s="1109"/>
      <c r="AZ196" s="1109"/>
      <c r="BA196" s="1109"/>
      <c r="BB196" s="1108"/>
      <c r="BC196" s="2402"/>
      <c r="BD196" s="2402"/>
      <c r="BE196" s="2402"/>
      <c r="BF196" s="1109"/>
      <c r="BG196" s="1109"/>
      <c r="BH196" s="1109"/>
      <c r="BI196" s="1109"/>
      <c r="BJ196" s="1109"/>
      <c r="BK196" s="1109"/>
      <c r="BL196" s="2165">
        <f t="shared" si="14"/>
        <v>64306.983950000002</v>
      </c>
      <c r="BM196" s="1109"/>
      <c r="BN196" s="1109"/>
      <c r="BO196" s="1109"/>
      <c r="BP196" s="1109"/>
      <c r="BQ196" s="1109"/>
      <c r="BR196" s="1109"/>
      <c r="BS196" s="1109"/>
      <c r="BT196" s="2402"/>
      <c r="BU196" s="2402"/>
      <c r="BV196" s="2402"/>
      <c r="BW196" s="1109"/>
      <c r="BX196" s="1109"/>
      <c r="BY196" s="1109"/>
      <c r="BZ196" s="1109"/>
      <c r="CA196" s="1109"/>
      <c r="CC196" s="1482">
        <v>0.03</v>
      </c>
      <c r="CD196" s="1109"/>
      <c r="CE196" s="1109"/>
      <c r="CF196" s="1109"/>
      <c r="CG196" s="1109"/>
      <c r="CH196" s="1109"/>
      <c r="CI196" s="1109"/>
      <c r="CJ196" s="1108"/>
      <c r="CK196" s="2402"/>
      <c r="CL196" s="2402"/>
      <c r="CM196" s="2402"/>
      <c r="CN196" s="1109"/>
      <c r="CO196" s="1109"/>
      <c r="CP196" s="1109"/>
      <c r="CQ196" s="1109"/>
      <c r="CR196" s="1109"/>
      <c r="CS196" s="1109"/>
      <c r="CT196" s="1109"/>
      <c r="CU196" s="1109"/>
      <c r="CV196" s="1109"/>
      <c r="CW196" s="1109"/>
      <c r="CX196" s="1109"/>
      <c r="CY196" s="1109"/>
      <c r="CZ196" s="1108"/>
      <c r="DA196" s="2402"/>
      <c r="DB196" s="2402"/>
      <c r="DC196" s="2402"/>
      <c r="DD196" s="1109"/>
      <c r="DE196" s="1109"/>
      <c r="DF196" s="1109"/>
      <c r="DG196" s="1109"/>
      <c r="DH196" s="1109"/>
      <c r="DI196" s="1109"/>
      <c r="DJ196" s="1109"/>
      <c r="DK196" s="1109"/>
    </row>
    <row r="197" spans="1:115" s="1577" customFormat="1">
      <c r="A197" s="1822">
        <v>2</v>
      </c>
      <c r="B197" s="1108" t="s">
        <v>314</v>
      </c>
      <c r="C197" s="1108" t="s">
        <v>598</v>
      </c>
      <c r="D197" s="1360" t="s">
        <v>638</v>
      </c>
      <c r="E197" s="2405">
        <v>1</v>
      </c>
      <c r="F197" s="1359"/>
      <c r="G197" s="1361">
        <v>60</v>
      </c>
      <c r="H197" s="1359"/>
      <c r="I197" s="2402"/>
      <c r="J197" s="2402"/>
      <c r="K197" s="2402"/>
      <c r="L197" s="1109"/>
      <c r="M197" s="1109"/>
      <c r="N197" s="1109"/>
      <c r="O197" s="1109"/>
      <c r="P197" s="1109"/>
      <c r="Q197" s="1109"/>
      <c r="R197" s="1109"/>
      <c r="S197" s="1109"/>
      <c r="T197" s="1359"/>
      <c r="U197" s="2402"/>
      <c r="V197" s="2402"/>
      <c r="W197" s="2402"/>
      <c r="X197" s="1109"/>
      <c r="Y197" s="1109"/>
      <c r="Z197" s="1109"/>
      <c r="AA197" s="1109"/>
      <c r="AB197" s="1109"/>
      <c r="AD197" s="2420">
        <f>AC229*(1+CC197)</f>
        <v>2575</v>
      </c>
      <c r="AE197" s="1109"/>
      <c r="AF197" s="1109"/>
      <c r="AG197" s="1109"/>
      <c r="AH197" s="1109"/>
      <c r="AI197" s="1109"/>
      <c r="AJ197" s="1109"/>
      <c r="AK197" s="1108"/>
      <c r="AL197" s="2403"/>
      <c r="AM197" s="2403"/>
      <c r="AN197" s="2403"/>
      <c r="AO197" s="1108"/>
      <c r="AP197" s="1109"/>
      <c r="AQ197" s="1109"/>
      <c r="AR197" s="1109"/>
      <c r="AS197" s="1109"/>
      <c r="AT197" s="1109"/>
      <c r="AU197" s="2409">
        <v>22</v>
      </c>
      <c r="AV197" s="1109"/>
      <c r="AW197" s="1109"/>
      <c r="AX197" s="1109"/>
      <c r="AY197" s="1109"/>
      <c r="AZ197" s="1109"/>
      <c r="BA197" s="1109"/>
      <c r="BB197" s="1108"/>
      <c r="BC197" s="2402"/>
      <c r="BD197" s="2402"/>
      <c r="BE197" s="2402"/>
      <c r="BF197" s="1109"/>
      <c r="BG197" s="1109"/>
      <c r="BH197" s="1109"/>
      <c r="BI197" s="1109"/>
      <c r="BJ197" s="1109"/>
      <c r="BK197" s="1109"/>
      <c r="BL197" s="2165">
        <f t="shared" si="14"/>
        <v>56650</v>
      </c>
      <c r="BM197" s="1109"/>
      <c r="BN197" s="1109"/>
      <c r="BO197" s="1109"/>
      <c r="BP197" s="1109"/>
      <c r="BQ197" s="1109"/>
      <c r="BR197" s="1109"/>
      <c r="BS197" s="1109"/>
      <c r="BT197" s="2402"/>
      <c r="BU197" s="2402"/>
      <c r="BV197" s="2402"/>
      <c r="BW197" s="1109"/>
      <c r="BX197" s="1109"/>
      <c r="BY197" s="1109"/>
      <c r="BZ197" s="1109"/>
      <c r="CA197" s="1109"/>
      <c r="CC197" s="1482">
        <v>0.03</v>
      </c>
      <c r="CD197" s="1109"/>
      <c r="CE197" s="1109"/>
      <c r="CF197" s="1109"/>
      <c r="CG197" s="1109"/>
      <c r="CH197" s="1109"/>
      <c r="CI197" s="1109"/>
      <c r="CJ197" s="1108"/>
      <c r="CK197" s="2402"/>
      <c r="CL197" s="2402"/>
      <c r="CM197" s="2402"/>
      <c r="CN197" s="1109"/>
      <c r="CO197" s="1109"/>
      <c r="CP197" s="1109"/>
      <c r="CQ197" s="1109"/>
      <c r="CR197" s="1109"/>
      <c r="CS197" s="1109"/>
      <c r="CT197" s="1109"/>
      <c r="CU197" s="1109"/>
      <c r="CV197" s="1109"/>
      <c r="CW197" s="1109"/>
      <c r="CX197" s="1109"/>
      <c r="CY197" s="1109"/>
      <c r="CZ197" s="1108"/>
      <c r="DA197" s="2402"/>
      <c r="DB197" s="2402"/>
      <c r="DC197" s="2402"/>
      <c r="DD197" s="1109"/>
      <c r="DE197" s="1109"/>
      <c r="DF197" s="1109"/>
      <c r="DG197" s="1109"/>
      <c r="DH197" s="1109"/>
      <c r="DI197" s="1109"/>
      <c r="DJ197" s="1109"/>
      <c r="DK197" s="1109"/>
    </row>
    <row r="198" spans="1:115" s="1577" customFormat="1">
      <c r="A198" s="1534">
        <v>2</v>
      </c>
      <c r="B198" s="1108" t="s">
        <v>1156</v>
      </c>
      <c r="C198" s="1108" t="s">
        <v>315</v>
      </c>
      <c r="D198" s="1360" t="s">
        <v>595</v>
      </c>
      <c r="E198" s="2405">
        <v>0.5</v>
      </c>
      <c r="F198" s="1359"/>
      <c r="G198" s="1361">
        <v>60</v>
      </c>
      <c r="H198" s="1359"/>
      <c r="I198" s="2402"/>
      <c r="J198" s="2402"/>
      <c r="K198" s="2402"/>
      <c r="L198" s="1109"/>
      <c r="M198" s="1109"/>
      <c r="N198" s="1109"/>
      <c r="O198" s="1109"/>
      <c r="P198" s="1109"/>
      <c r="Q198" s="1109"/>
      <c r="R198" s="1109"/>
      <c r="S198" s="1109"/>
      <c r="T198" s="1359"/>
      <c r="U198" s="2402"/>
      <c r="V198" s="2402"/>
      <c r="W198" s="2402"/>
      <c r="X198" s="1109"/>
      <c r="Y198" s="1109"/>
      <c r="Z198" s="1109"/>
      <c r="AA198" s="1109"/>
      <c r="AB198" s="1109"/>
      <c r="AD198" s="2420">
        <f>AC231*(1+CC198)</f>
        <v>1545</v>
      </c>
      <c r="AE198" s="1109"/>
      <c r="AF198" s="1109"/>
      <c r="AG198" s="1109"/>
      <c r="AH198" s="1109"/>
      <c r="AI198" s="1109"/>
      <c r="AJ198" s="1109"/>
      <c r="AK198" s="1108"/>
      <c r="AL198" s="2403"/>
      <c r="AM198" s="2403"/>
      <c r="AN198" s="2403"/>
      <c r="AO198" s="1108"/>
      <c r="AP198" s="1109"/>
      <c r="AQ198" s="1109"/>
      <c r="AR198" s="1109"/>
      <c r="AS198" s="1109"/>
      <c r="AT198" s="1109"/>
      <c r="AU198" s="2409">
        <v>22</v>
      </c>
      <c r="AV198" s="1109"/>
      <c r="AW198" s="1109"/>
      <c r="AX198" s="1109"/>
      <c r="AY198" s="1109"/>
      <c r="AZ198" s="1109"/>
      <c r="BA198" s="1109"/>
      <c r="BB198" s="1108"/>
      <c r="BC198" s="2402"/>
      <c r="BD198" s="2402"/>
      <c r="BE198" s="2402"/>
      <c r="BF198" s="1109"/>
      <c r="BG198" s="1109"/>
      <c r="BH198" s="1109"/>
      <c r="BI198" s="1109"/>
      <c r="BJ198" s="1109"/>
      <c r="BK198" s="1109"/>
      <c r="BL198" s="2165">
        <f t="shared" si="14"/>
        <v>16995</v>
      </c>
      <c r="BM198" s="1109"/>
      <c r="BN198" s="1109"/>
      <c r="BO198" s="1109"/>
      <c r="BP198" s="1109"/>
      <c r="BQ198" s="1109"/>
      <c r="BR198" s="1109"/>
      <c r="BS198" s="1109"/>
      <c r="BT198" s="2402"/>
      <c r="BU198" s="2402"/>
      <c r="BV198" s="2402"/>
      <c r="BW198" s="1109"/>
      <c r="BX198" s="1109"/>
      <c r="BY198" s="1109"/>
      <c r="BZ198" s="1109"/>
      <c r="CA198" s="1109"/>
      <c r="CC198" s="1482">
        <v>0.03</v>
      </c>
      <c r="CD198" s="1109"/>
      <c r="CE198" s="1109"/>
      <c r="CF198" s="1109"/>
      <c r="CG198" s="1109"/>
      <c r="CH198" s="1109"/>
      <c r="CI198" s="1109"/>
      <c r="CJ198" s="1108"/>
      <c r="CK198" s="2402"/>
      <c r="CL198" s="2402"/>
      <c r="CM198" s="2402"/>
      <c r="CN198" s="1109"/>
      <c r="CO198" s="1109"/>
      <c r="CP198" s="1109"/>
      <c r="CQ198" s="1109"/>
      <c r="CR198" s="1109"/>
      <c r="CS198" s="1109"/>
      <c r="CT198" s="1109"/>
      <c r="CU198" s="1109"/>
      <c r="CV198" s="1109"/>
      <c r="CW198" s="1109"/>
      <c r="CX198" s="1109"/>
      <c r="CY198" s="1109"/>
      <c r="CZ198" s="1108"/>
      <c r="DA198" s="2402"/>
      <c r="DB198" s="2402"/>
      <c r="DC198" s="2402"/>
      <c r="DD198" s="1109"/>
      <c r="DE198" s="1109"/>
      <c r="DF198" s="1109"/>
      <c r="DG198" s="1109"/>
      <c r="DH198" s="1109"/>
      <c r="DI198" s="1109"/>
      <c r="DJ198" s="1109"/>
      <c r="DK198" s="1109"/>
    </row>
    <row r="199" spans="1:115" s="1577" customFormat="1">
      <c r="A199" s="1494">
        <v>5</v>
      </c>
      <c r="B199" s="2419" t="s">
        <v>613</v>
      </c>
      <c r="C199" s="1108" t="s">
        <v>598</v>
      </c>
      <c r="D199" s="1360" t="s">
        <v>638</v>
      </c>
      <c r="E199" s="2405">
        <v>0.5</v>
      </c>
      <c r="F199" s="1359"/>
      <c r="G199" s="1361">
        <v>30</v>
      </c>
      <c r="H199" s="1359"/>
      <c r="I199" s="2402"/>
      <c r="J199" s="2402"/>
      <c r="K199" s="2402"/>
      <c r="L199" s="1109"/>
      <c r="M199" s="1109"/>
      <c r="N199" s="1109"/>
      <c r="O199" s="1109"/>
      <c r="P199" s="1109"/>
      <c r="Q199" s="1109"/>
      <c r="R199" s="1109"/>
      <c r="S199" s="1109"/>
      <c r="T199" s="1359"/>
      <c r="U199" s="2402"/>
      <c r="V199" s="2402"/>
      <c r="W199" s="2402"/>
      <c r="X199" s="1109"/>
      <c r="Y199" s="1109"/>
      <c r="Z199" s="1109"/>
      <c r="AA199" s="1109"/>
      <c r="AB199" s="1109"/>
      <c r="AD199" s="2420">
        <f>AC233*(1+CC199)</f>
        <v>2338.4357800000007</v>
      </c>
      <c r="AE199" s="1109"/>
      <c r="AF199" s="1109"/>
      <c r="AG199" s="1109"/>
      <c r="AH199" s="1109"/>
      <c r="AI199" s="1109"/>
      <c r="AJ199" s="1109"/>
      <c r="AK199" s="1108"/>
      <c r="AL199" s="2403"/>
      <c r="AM199" s="2403"/>
      <c r="AN199" s="2403"/>
      <c r="AO199" s="1108"/>
      <c r="AP199" s="1109"/>
      <c r="AQ199" s="1109"/>
      <c r="AR199" s="1109"/>
      <c r="AS199" s="1109"/>
      <c r="AT199" s="1109"/>
      <c r="AU199" s="2409">
        <v>22</v>
      </c>
      <c r="AV199" s="1109"/>
      <c r="AW199" s="1109"/>
      <c r="AX199" s="1109"/>
      <c r="AY199" s="1109"/>
      <c r="AZ199" s="1109"/>
      <c r="BA199" s="1109"/>
      <c r="BB199" s="1108"/>
      <c r="BC199" s="2402"/>
      <c r="BD199" s="2402"/>
      <c r="BE199" s="2402"/>
      <c r="BF199" s="1109"/>
      <c r="BG199" s="1109"/>
      <c r="BH199" s="1109"/>
      <c r="BI199" s="1109"/>
      <c r="BJ199" s="1109"/>
      <c r="BK199" s="1109"/>
      <c r="BL199" s="2165">
        <f t="shared" si="14"/>
        <v>25722.793580000009</v>
      </c>
      <c r="BM199" s="1109"/>
      <c r="BN199" s="1109"/>
      <c r="BO199" s="1109"/>
      <c r="BP199" s="1109"/>
      <c r="BQ199" s="1109"/>
      <c r="BR199" s="1109"/>
      <c r="BS199" s="1109"/>
      <c r="BT199" s="2402"/>
      <c r="BU199" s="2402"/>
      <c r="BV199" s="2402"/>
      <c r="BW199" s="1109"/>
      <c r="BX199" s="1109"/>
      <c r="BY199" s="1109"/>
      <c r="BZ199" s="1109"/>
      <c r="CA199" s="1109"/>
      <c r="CC199" s="1482">
        <v>0.03</v>
      </c>
      <c r="CD199" s="1109"/>
      <c r="CE199" s="1109"/>
      <c r="CF199" s="1109"/>
      <c r="CG199" s="1109"/>
      <c r="CH199" s="1109"/>
      <c r="CI199" s="1109"/>
      <c r="CJ199" s="1108"/>
      <c r="CK199" s="2402"/>
      <c r="CL199" s="2402"/>
      <c r="CM199" s="2402"/>
      <c r="CN199" s="1109"/>
      <c r="CO199" s="1109"/>
      <c r="CP199" s="1109"/>
      <c r="CQ199" s="1109"/>
      <c r="CR199" s="1109"/>
      <c r="CS199" s="1109"/>
      <c r="CT199" s="1109"/>
      <c r="CU199" s="1109"/>
      <c r="CV199" s="1109"/>
      <c r="CW199" s="1109"/>
      <c r="CX199" s="1109"/>
      <c r="CY199" s="1109"/>
      <c r="CZ199" s="1108"/>
      <c r="DA199" s="2402"/>
      <c r="DB199" s="2402"/>
      <c r="DC199" s="2402"/>
      <c r="DD199" s="1109"/>
      <c r="DE199" s="1109"/>
      <c r="DF199" s="1109"/>
      <c r="DG199" s="1109"/>
      <c r="DH199" s="1109"/>
      <c r="DI199" s="1109"/>
      <c r="DJ199" s="1109"/>
      <c r="DK199" s="1109"/>
    </row>
    <row r="200" spans="1:115" s="1577" customFormat="1">
      <c r="A200" s="1494">
        <v>18</v>
      </c>
      <c r="B200" s="2419" t="s">
        <v>614</v>
      </c>
      <c r="C200" s="1108" t="s">
        <v>598</v>
      </c>
      <c r="D200" s="1360" t="s">
        <v>638</v>
      </c>
      <c r="E200" s="2405">
        <v>0.5</v>
      </c>
      <c r="F200" s="1359"/>
      <c r="G200" s="1361">
        <v>60</v>
      </c>
      <c r="H200" s="1359"/>
      <c r="I200" s="2402"/>
      <c r="J200" s="2402"/>
      <c r="K200" s="2402"/>
      <c r="L200" s="1109"/>
      <c r="M200" s="1109"/>
      <c r="N200" s="1109"/>
      <c r="O200" s="1109"/>
      <c r="P200" s="1109"/>
      <c r="Q200" s="1109"/>
      <c r="R200" s="1109"/>
      <c r="S200" s="1109"/>
      <c r="T200" s="1359"/>
      <c r="U200" s="2402"/>
      <c r="V200" s="2402"/>
      <c r="W200" s="2402"/>
      <c r="X200" s="1109"/>
      <c r="Y200" s="1109"/>
      <c r="Z200" s="1109"/>
      <c r="AA200" s="1109"/>
      <c r="AB200" s="1109"/>
      <c r="AD200" s="2420">
        <f>AC235*(1+CC200)</f>
        <v>2121.8000000000002</v>
      </c>
      <c r="AE200" s="1109"/>
      <c r="AF200" s="1109"/>
      <c r="AG200" s="1109"/>
      <c r="AH200" s="1109"/>
      <c r="AI200" s="1109"/>
      <c r="AJ200" s="1109"/>
      <c r="AK200" s="1108"/>
      <c r="AL200" s="2403"/>
      <c r="AM200" s="2403"/>
      <c r="AN200" s="2403"/>
      <c r="AO200" s="1108"/>
      <c r="AP200" s="1109"/>
      <c r="AQ200" s="1109"/>
      <c r="AR200" s="1109"/>
      <c r="AS200" s="1109"/>
      <c r="AT200" s="1109"/>
      <c r="AU200" s="2409">
        <v>22</v>
      </c>
      <c r="AV200" s="1109"/>
      <c r="AW200" s="1109"/>
      <c r="AX200" s="1109"/>
      <c r="AY200" s="1109"/>
      <c r="AZ200" s="1109"/>
      <c r="BA200" s="1109"/>
      <c r="BB200" s="1108"/>
      <c r="BC200" s="2402"/>
      <c r="BD200" s="2402"/>
      <c r="BE200" s="2402"/>
      <c r="BF200" s="1109"/>
      <c r="BG200" s="1109"/>
      <c r="BH200" s="1109"/>
      <c r="BI200" s="1109"/>
      <c r="BJ200" s="1109"/>
      <c r="BK200" s="1109"/>
      <c r="BL200" s="2165">
        <f>E200*AD200*AU200</f>
        <v>23339.800000000003</v>
      </c>
      <c r="BM200" s="1109"/>
      <c r="BN200" s="1109"/>
      <c r="BO200" s="1109"/>
      <c r="BP200" s="1109"/>
      <c r="BQ200" s="1109"/>
      <c r="BR200" s="1109"/>
      <c r="BS200" s="1109"/>
      <c r="BT200" s="2402"/>
      <c r="BU200" s="2402"/>
      <c r="BV200" s="2402"/>
      <c r="BW200" s="1109"/>
      <c r="BX200" s="1109"/>
      <c r="BY200" s="1109"/>
      <c r="BZ200" s="1109"/>
      <c r="CA200" s="1109"/>
      <c r="CC200" s="1482">
        <v>0.03</v>
      </c>
      <c r="CD200" s="1109"/>
      <c r="CE200" s="1109"/>
      <c r="CF200" s="1109"/>
      <c r="CG200" s="1109"/>
      <c r="CH200" s="1109"/>
      <c r="CI200" s="1109"/>
      <c r="CJ200" s="1108"/>
      <c r="CK200" s="2402"/>
      <c r="CL200" s="2402"/>
      <c r="CM200" s="2402"/>
      <c r="CN200" s="1109"/>
      <c r="CO200" s="1109"/>
      <c r="CP200" s="1109"/>
      <c r="CQ200" s="1109"/>
      <c r="CR200" s="1109"/>
      <c r="CS200" s="1109"/>
      <c r="CT200" s="1109"/>
      <c r="CU200" s="1109"/>
      <c r="CV200" s="1109"/>
      <c r="CW200" s="1109"/>
      <c r="CX200" s="1109"/>
      <c r="CY200" s="1109"/>
      <c r="CZ200" s="1108"/>
      <c r="DA200" s="2402"/>
      <c r="DB200" s="2402"/>
      <c r="DC200" s="2402"/>
      <c r="DD200" s="1109"/>
      <c r="DE200" s="1109"/>
      <c r="DF200" s="1109"/>
      <c r="DG200" s="1109"/>
      <c r="DH200" s="1109"/>
      <c r="DI200" s="1109"/>
      <c r="DJ200" s="1109"/>
      <c r="DK200" s="1109"/>
    </row>
    <row r="201" spans="1:115" s="1577" customFormat="1">
      <c r="A201" s="1534">
        <v>3</v>
      </c>
      <c r="B201" s="1109" t="s">
        <v>931</v>
      </c>
      <c r="C201" s="1108" t="s">
        <v>598</v>
      </c>
      <c r="D201" s="1360" t="s">
        <v>277</v>
      </c>
      <c r="E201" s="2405">
        <v>1</v>
      </c>
      <c r="F201" s="1359"/>
      <c r="G201" s="1361">
        <v>60</v>
      </c>
      <c r="H201" s="1359"/>
      <c r="I201" s="2402"/>
      <c r="J201" s="2402"/>
      <c r="K201" s="2402"/>
      <c r="L201" s="1109"/>
      <c r="M201" s="1109"/>
      <c r="N201" s="1109"/>
      <c r="O201" s="1109"/>
      <c r="P201" s="1109"/>
      <c r="Q201" s="1109"/>
      <c r="R201" s="1109"/>
      <c r="S201" s="1109"/>
      <c r="T201" s="1359"/>
      <c r="U201" s="2402"/>
      <c r="V201" s="2402"/>
      <c r="W201" s="2402"/>
      <c r="X201" s="1109"/>
      <c r="Y201" s="1109"/>
      <c r="Z201" s="1109"/>
      <c r="AA201" s="1109"/>
      <c r="AB201" s="1109"/>
      <c r="AD201" s="2420">
        <f>AC238*(1+CC201)</f>
        <v>1583.6249999999998</v>
      </c>
      <c r="AE201" s="1109"/>
      <c r="AF201" s="1109"/>
      <c r="AG201" s="1109"/>
      <c r="AH201" s="1109"/>
      <c r="AI201" s="1109"/>
      <c r="AJ201" s="1109"/>
      <c r="AK201" s="1108"/>
      <c r="AL201" s="2403"/>
      <c r="AM201" s="2403"/>
      <c r="AN201" s="2403"/>
      <c r="AO201" s="1108"/>
      <c r="AP201" s="1109"/>
      <c r="AQ201" s="1109"/>
      <c r="AR201" s="1109"/>
      <c r="AS201" s="1109"/>
      <c r="AT201" s="1109"/>
      <c r="AU201" s="2409">
        <v>22</v>
      </c>
      <c r="AV201" s="1109"/>
      <c r="AW201" s="1109"/>
      <c r="AX201" s="1109"/>
      <c r="AY201" s="1109"/>
      <c r="AZ201" s="1109"/>
      <c r="BA201" s="1109"/>
      <c r="BB201" s="1108"/>
      <c r="BC201" s="2402"/>
      <c r="BD201" s="2402"/>
      <c r="BE201" s="2402"/>
      <c r="BF201" s="1109"/>
      <c r="BG201" s="1109"/>
      <c r="BH201" s="1109"/>
      <c r="BI201" s="1109"/>
      <c r="BJ201" s="1109"/>
      <c r="BK201" s="1109"/>
      <c r="BL201" s="2165">
        <f t="shared" si="14"/>
        <v>34839.749999999993</v>
      </c>
      <c r="BM201" s="1109"/>
      <c r="BN201" s="1109"/>
      <c r="BO201" s="1109"/>
      <c r="BP201" s="1109"/>
      <c r="BQ201" s="1109"/>
      <c r="BR201" s="1109"/>
      <c r="BS201" s="1109"/>
      <c r="BT201" s="2402"/>
      <c r="BU201" s="2402"/>
      <c r="BV201" s="2402"/>
      <c r="BW201" s="1109"/>
      <c r="BX201" s="1109"/>
      <c r="BY201" s="1109"/>
      <c r="BZ201" s="1109"/>
      <c r="CA201" s="1109"/>
      <c r="CC201" s="1482">
        <v>0.03</v>
      </c>
      <c r="CD201" s="1109"/>
      <c r="CE201" s="1109"/>
      <c r="CF201" s="1109"/>
      <c r="CG201" s="1109"/>
      <c r="CH201" s="1109"/>
      <c r="CI201" s="1109"/>
      <c r="CJ201" s="1108"/>
      <c r="CK201" s="2402"/>
      <c r="CL201" s="2402"/>
      <c r="CM201" s="2402"/>
      <c r="CN201" s="1109"/>
      <c r="CO201" s="1109"/>
      <c r="CP201" s="1109"/>
      <c r="CQ201" s="1109"/>
      <c r="CR201" s="1109"/>
      <c r="CS201" s="1109"/>
      <c r="CT201" s="1109"/>
      <c r="CU201" s="1109"/>
      <c r="CV201" s="1109"/>
      <c r="CW201" s="1109"/>
      <c r="CX201" s="1109"/>
      <c r="CY201" s="1109"/>
      <c r="CZ201" s="1108"/>
      <c r="DA201" s="2402"/>
      <c r="DB201" s="2402"/>
      <c r="DC201" s="2402"/>
      <c r="DD201" s="1109"/>
      <c r="DE201" s="1109"/>
      <c r="DF201" s="1109"/>
      <c r="DG201" s="1109"/>
      <c r="DH201" s="1109"/>
      <c r="DI201" s="1109"/>
      <c r="DJ201" s="1109"/>
      <c r="DK201" s="1109"/>
    </row>
    <row r="202" spans="1:115" s="1577" customFormat="1">
      <c r="A202" s="1534">
        <v>2</v>
      </c>
      <c r="B202" s="1108" t="s">
        <v>292</v>
      </c>
      <c r="C202" s="1108" t="s">
        <v>598</v>
      </c>
      <c r="D202" s="1360" t="s">
        <v>638</v>
      </c>
      <c r="E202" s="2405">
        <v>1</v>
      </c>
      <c r="F202" s="1359"/>
      <c r="G202" s="1361">
        <v>60</v>
      </c>
      <c r="H202" s="1359"/>
      <c r="I202" s="2402"/>
      <c r="J202" s="2402"/>
      <c r="K202" s="2402"/>
      <c r="L202" s="1109"/>
      <c r="M202" s="1109"/>
      <c r="N202" s="1109"/>
      <c r="O202" s="1109"/>
      <c r="P202" s="1109"/>
      <c r="Q202" s="1109"/>
      <c r="R202" s="1109"/>
      <c r="S202" s="1109"/>
      <c r="T202" s="1359"/>
      <c r="U202" s="2402"/>
      <c r="V202" s="2402"/>
      <c r="W202" s="2402"/>
      <c r="X202" s="1109"/>
      <c r="Y202" s="1109"/>
      <c r="Z202" s="1109"/>
      <c r="AA202" s="1109"/>
      <c r="AB202" s="1109"/>
      <c r="AD202" s="2420">
        <f>AC239*(1+CC202)</f>
        <v>1545</v>
      </c>
      <c r="AE202" s="1109"/>
      <c r="AF202" s="1109"/>
      <c r="AG202" s="1109"/>
      <c r="AH202" s="1109"/>
      <c r="AI202" s="1109"/>
      <c r="AJ202" s="1109"/>
      <c r="AK202" s="1108"/>
      <c r="AL202" s="2403"/>
      <c r="AM202" s="2403"/>
      <c r="AN202" s="2403"/>
      <c r="AO202" s="1108"/>
      <c r="AP202" s="1109"/>
      <c r="AQ202" s="1109"/>
      <c r="AR202" s="1109"/>
      <c r="AS202" s="1109"/>
      <c r="AT202" s="1109"/>
      <c r="AU202" s="2409">
        <v>22</v>
      </c>
      <c r="AV202" s="1109"/>
      <c r="AW202" s="1109"/>
      <c r="AX202" s="1109"/>
      <c r="AY202" s="1109"/>
      <c r="AZ202" s="1109"/>
      <c r="BA202" s="1109"/>
      <c r="BB202" s="1108"/>
      <c r="BC202" s="2402"/>
      <c r="BD202" s="2402"/>
      <c r="BE202" s="2402"/>
      <c r="BF202" s="1109"/>
      <c r="BG202" s="1109"/>
      <c r="BH202" s="1109"/>
      <c r="BI202" s="1109"/>
      <c r="BJ202" s="1109"/>
      <c r="BK202" s="1109"/>
      <c r="BL202" s="2165">
        <f t="shared" si="14"/>
        <v>33990</v>
      </c>
      <c r="BM202" s="1109"/>
      <c r="BN202" s="1109"/>
      <c r="BO202" s="1109"/>
      <c r="BP202" s="1109"/>
      <c r="BQ202" s="1109"/>
      <c r="BR202" s="1109"/>
      <c r="BS202" s="1109"/>
      <c r="BT202" s="2402"/>
      <c r="BU202" s="2402"/>
      <c r="BV202" s="2402"/>
      <c r="BW202" s="1109"/>
      <c r="BX202" s="1109"/>
      <c r="BY202" s="1109"/>
      <c r="BZ202" s="1109"/>
      <c r="CA202" s="1109"/>
      <c r="CC202" s="1482">
        <v>0.03</v>
      </c>
      <c r="CD202" s="1109"/>
      <c r="CE202" s="1109"/>
      <c r="CF202" s="1109"/>
      <c r="CG202" s="1109"/>
      <c r="CH202" s="1109"/>
      <c r="CI202" s="1109"/>
      <c r="CJ202" s="1108"/>
      <c r="CK202" s="2402"/>
      <c r="CL202" s="2402"/>
      <c r="CM202" s="2402"/>
      <c r="CN202" s="1109"/>
      <c r="CO202" s="1109"/>
      <c r="CP202" s="1109"/>
      <c r="CQ202" s="1109"/>
      <c r="CR202" s="1109"/>
      <c r="CS202" s="1109"/>
      <c r="CT202" s="1109"/>
      <c r="CU202" s="1109"/>
      <c r="CV202" s="1109"/>
      <c r="CW202" s="1109"/>
      <c r="CX202" s="1109"/>
      <c r="CY202" s="1109"/>
      <c r="CZ202" s="1108"/>
      <c r="DA202" s="2402"/>
      <c r="DB202" s="2402"/>
      <c r="DC202" s="2402"/>
      <c r="DD202" s="1109"/>
      <c r="DE202" s="1109"/>
      <c r="DF202" s="1109"/>
      <c r="DG202" s="1109"/>
      <c r="DH202" s="1109"/>
      <c r="DI202" s="1109"/>
      <c r="DJ202" s="1109"/>
      <c r="DK202" s="1109"/>
    </row>
    <row r="203" spans="1:115" s="1577" customFormat="1">
      <c r="A203" s="1534">
        <v>2</v>
      </c>
      <c r="B203" s="1108" t="s">
        <v>312</v>
      </c>
      <c r="C203" s="1108" t="s">
        <v>315</v>
      </c>
      <c r="D203" s="1360" t="s">
        <v>595</v>
      </c>
      <c r="E203" s="2405">
        <v>0.5</v>
      </c>
      <c r="F203" s="1359"/>
      <c r="G203" s="1361">
        <v>60</v>
      </c>
      <c r="H203" s="1359"/>
      <c r="I203" s="2402"/>
      <c r="J203" s="2402"/>
      <c r="K203" s="2402"/>
      <c r="L203" s="1109"/>
      <c r="M203" s="1109"/>
      <c r="N203" s="1109"/>
      <c r="O203" s="1109"/>
      <c r="P203" s="1109"/>
      <c r="Q203" s="1109"/>
      <c r="R203" s="1109"/>
      <c r="S203" s="1109"/>
      <c r="T203" s="1359"/>
      <c r="U203" s="2402"/>
      <c r="V203" s="2402"/>
      <c r="W203" s="2402"/>
      <c r="X203" s="1109"/>
      <c r="Y203" s="1109"/>
      <c r="Z203" s="1109"/>
      <c r="AA203" s="1109"/>
      <c r="AB203" s="1109"/>
      <c r="AD203" s="2420">
        <f>AC241*(1+CC203)</f>
        <v>1545</v>
      </c>
      <c r="AE203" s="1109"/>
      <c r="AF203" s="1109"/>
      <c r="AG203" s="1109"/>
      <c r="AH203" s="1109"/>
      <c r="AI203" s="1109"/>
      <c r="AJ203" s="1109"/>
      <c r="AK203" s="1108"/>
      <c r="AL203" s="2403"/>
      <c r="AM203" s="2403"/>
      <c r="AN203" s="2403"/>
      <c r="AO203" s="1108"/>
      <c r="AP203" s="1109"/>
      <c r="AQ203" s="1109"/>
      <c r="AR203" s="1109"/>
      <c r="AS203" s="1109"/>
      <c r="AT203" s="1109"/>
      <c r="AU203" s="2409">
        <v>22</v>
      </c>
      <c r="AV203" s="1109"/>
      <c r="AW203" s="1109"/>
      <c r="AX203" s="1109"/>
      <c r="AY203" s="1109"/>
      <c r="AZ203" s="1109"/>
      <c r="BA203" s="1109"/>
      <c r="BB203" s="1108"/>
      <c r="BC203" s="2402"/>
      <c r="BD203" s="2402"/>
      <c r="BE203" s="2402"/>
      <c r="BF203" s="1109"/>
      <c r="BG203" s="1109"/>
      <c r="BH203" s="1109"/>
      <c r="BI203" s="1109"/>
      <c r="BJ203" s="1109"/>
      <c r="BK203" s="1109"/>
      <c r="BL203" s="2165">
        <f t="shared" si="14"/>
        <v>16995</v>
      </c>
      <c r="BM203" s="1109"/>
      <c r="BN203" s="1109"/>
      <c r="BO203" s="1109"/>
      <c r="BP203" s="1109"/>
      <c r="BQ203" s="1109"/>
      <c r="BR203" s="1109"/>
      <c r="BS203" s="1109"/>
      <c r="BT203" s="2402"/>
      <c r="BU203" s="2402"/>
      <c r="BV203" s="2402"/>
      <c r="BW203" s="1109"/>
      <c r="BX203" s="1109"/>
      <c r="BY203" s="1109"/>
      <c r="BZ203" s="1109"/>
      <c r="CA203" s="1109"/>
      <c r="CC203" s="1482">
        <v>0.03</v>
      </c>
      <c r="CD203" s="1109"/>
      <c r="CE203" s="1109"/>
      <c r="CF203" s="1109"/>
      <c r="CG203" s="1109"/>
      <c r="CH203" s="1109"/>
      <c r="CI203" s="1109"/>
      <c r="CJ203" s="1108"/>
      <c r="CK203" s="2402"/>
      <c r="CL203" s="2402"/>
      <c r="CM203" s="2402"/>
      <c r="CN203" s="1109"/>
      <c r="CO203" s="1109"/>
      <c r="CP203" s="1109"/>
      <c r="CQ203" s="1109"/>
      <c r="CR203" s="1109"/>
      <c r="CS203" s="1109"/>
      <c r="CT203" s="1109"/>
      <c r="CU203" s="1109"/>
      <c r="CV203" s="1109"/>
      <c r="CW203" s="1109"/>
      <c r="CX203" s="1109"/>
      <c r="CY203" s="1109"/>
      <c r="CZ203" s="1108"/>
      <c r="DA203" s="2402"/>
      <c r="DB203" s="2402"/>
      <c r="DC203" s="2402"/>
      <c r="DD203" s="1109"/>
      <c r="DE203" s="1109"/>
      <c r="DF203" s="1109"/>
      <c r="DG203" s="1109"/>
      <c r="DH203" s="1109"/>
      <c r="DI203" s="1109"/>
      <c r="DJ203" s="1109"/>
      <c r="DK203" s="1109"/>
    </row>
    <row r="204" spans="1:115" s="1577" customFormat="1">
      <c r="A204" s="1822">
        <v>1</v>
      </c>
      <c r="B204" s="2418" t="s">
        <v>1157</v>
      </c>
      <c r="C204" s="1108" t="s">
        <v>598</v>
      </c>
      <c r="D204" s="1359" t="s">
        <v>638</v>
      </c>
      <c r="E204" s="2405">
        <v>1</v>
      </c>
      <c r="F204" s="1359"/>
      <c r="G204" s="1361">
        <v>60</v>
      </c>
      <c r="H204" s="1359"/>
      <c r="I204" s="2402"/>
      <c r="J204" s="2402"/>
      <c r="K204" s="2402"/>
      <c r="L204" s="1109"/>
      <c r="M204" s="1109"/>
      <c r="N204" s="1109"/>
      <c r="O204" s="1109"/>
      <c r="P204" s="1109"/>
      <c r="Q204" s="1109"/>
      <c r="R204" s="1109"/>
      <c r="S204" s="1109"/>
      <c r="T204" s="1359"/>
      <c r="U204" s="2402"/>
      <c r="V204" s="2402"/>
      <c r="W204" s="2402"/>
      <c r="X204" s="1109"/>
      <c r="Y204" s="1109"/>
      <c r="Z204" s="1109"/>
      <c r="AA204" s="1109"/>
      <c r="AB204" s="1109"/>
      <c r="AD204" s="2420">
        <v>1500</v>
      </c>
      <c r="AE204" s="1109"/>
      <c r="AF204" s="1109"/>
      <c r="AG204" s="1109"/>
      <c r="AH204" s="1109"/>
      <c r="AI204" s="1109"/>
      <c r="AJ204" s="1109"/>
      <c r="AK204" s="1108"/>
      <c r="AL204" s="2403"/>
      <c r="AM204" s="2403"/>
      <c r="AN204" s="2403"/>
      <c r="AO204" s="1108"/>
      <c r="AP204" s="1109"/>
      <c r="AQ204" s="1109"/>
      <c r="AR204" s="1109"/>
      <c r="AS204" s="1109"/>
      <c r="AT204" s="1109"/>
      <c r="AU204" s="2409">
        <v>13</v>
      </c>
      <c r="AV204" s="1109"/>
      <c r="AW204" s="1109"/>
      <c r="AX204" s="1109"/>
      <c r="AY204" s="1109"/>
      <c r="AZ204" s="1109"/>
      <c r="BA204" s="1109"/>
      <c r="BB204" s="1108"/>
      <c r="BC204" s="2402"/>
      <c r="BD204" s="2402"/>
      <c r="BE204" s="2402"/>
      <c r="BF204" s="1109"/>
      <c r="BG204" s="1109"/>
      <c r="BH204" s="1109"/>
      <c r="BI204" s="1109"/>
      <c r="BJ204" s="1109"/>
      <c r="BK204" s="1109"/>
      <c r="BL204" s="2165">
        <f t="shared" si="14"/>
        <v>19500</v>
      </c>
      <c r="BM204" s="1109"/>
      <c r="BN204" s="1109"/>
      <c r="BO204" s="1109"/>
      <c r="BP204" s="1109"/>
      <c r="BQ204" s="1109"/>
      <c r="BR204" s="1109"/>
      <c r="BS204" s="1109"/>
      <c r="BT204" s="2402"/>
      <c r="BU204" s="2402"/>
      <c r="BV204" s="2402"/>
      <c r="BW204" s="1109"/>
      <c r="BX204" s="1109"/>
      <c r="BY204" s="1109"/>
      <c r="BZ204" s="1109"/>
      <c r="CA204" s="1109"/>
      <c r="CB204" s="1109"/>
      <c r="CC204" s="1109"/>
      <c r="CD204" s="1109"/>
      <c r="CE204" s="1109"/>
      <c r="CF204" s="1109"/>
      <c r="CG204" s="1109"/>
      <c r="CH204" s="1109"/>
      <c r="CI204" s="1109"/>
      <c r="CJ204" s="1108"/>
      <c r="CK204" s="2402"/>
      <c r="CL204" s="2402"/>
      <c r="CM204" s="2402"/>
      <c r="CN204" s="1109"/>
      <c r="CO204" s="1109"/>
      <c r="CP204" s="1109"/>
      <c r="CQ204" s="1109"/>
      <c r="CR204" s="1109"/>
      <c r="CS204" s="1109"/>
      <c r="CT204" s="1109"/>
      <c r="CU204" s="1109"/>
      <c r="CV204" s="1109"/>
      <c r="CW204" s="1109"/>
      <c r="CX204" s="1109"/>
      <c r="CY204" s="1109"/>
      <c r="CZ204" s="1108"/>
      <c r="DA204" s="2402"/>
      <c r="DB204" s="2402"/>
      <c r="DC204" s="2402"/>
      <c r="DD204" s="1109"/>
      <c r="DE204" s="1109"/>
      <c r="DF204" s="1109"/>
      <c r="DG204" s="1109"/>
      <c r="DH204" s="1109"/>
      <c r="DI204" s="1109"/>
      <c r="DJ204" s="1109"/>
      <c r="DK204" s="1109"/>
    </row>
    <row r="205" spans="1:115" s="1577" customFormat="1">
      <c r="A205" s="1822">
        <v>1</v>
      </c>
      <c r="B205" s="2418" t="s">
        <v>1158</v>
      </c>
      <c r="C205" s="1108" t="s">
        <v>598</v>
      </c>
      <c r="D205" s="1359" t="s">
        <v>638</v>
      </c>
      <c r="E205" s="2405">
        <v>1</v>
      </c>
      <c r="F205" s="1359"/>
      <c r="G205" s="1361">
        <v>60</v>
      </c>
      <c r="H205" s="1359"/>
      <c r="I205" s="2402"/>
      <c r="J205" s="2402"/>
      <c r="K205" s="2402"/>
      <c r="L205" s="1109"/>
      <c r="M205" s="1109"/>
      <c r="N205" s="1109"/>
      <c r="O205" s="1109"/>
      <c r="P205" s="1109"/>
      <c r="Q205" s="1109"/>
      <c r="R205" s="1109"/>
      <c r="S205" s="1109"/>
      <c r="T205" s="1359"/>
      <c r="U205" s="2402"/>
      <c r="V205" s="2402"/>
      <c r="W205" s="2402"/>
      <c r="X205" s="1109"/>
      <c r="Y205" s="1109"/>
      <c r="Z205" s="1109"/>
      <c r="AA205" s="1109"/>
      <c r="AB205" s="1109"/>
      <c r="AD205" s="2420">
        <v>1500</v>
      </c>
      <c r="AE205" s="1109"/>
      <c r="AF205" s="1109"/>
      <c r="AG205" s="1109"/>
      <c r="AH205" s="1109"/>
      <c r="AI205" s="1109"/>
      <c r="AJ205" s="1109"/>
      <c r="AK205" s="1108"/>
      <c r="AL205" s="2403"/>
      <c r="AM205" s="2403"/>
      <c r="AN205" s="2403"/>
      <c r="AO205" s="1108"/>
      <c r="AP205" s="1109"/>
      <c r="AQ205" s="1109"/>
      <c r="AR205" s="1109"/>
      <c r="AS205" s="1109"/>
      <c r="AT205" s="1109"/>
      <c r="AU205" s="2409">
        <v>13</v>
      </c>
      <c r="AV205" s="1109"/>
      <c r="AW205" s="1109"/>
      <c r="AX205" s="1109"/>
      <c r="AY205" s="1109"/>
      <c r="AZ205" s="1109"/>
      <c r="BA205" s="1109"/>
      <c r="BB205" s="1108"/>
      <c r="BC205" s="2402"/>
      <c r="BD205" s="2402"/>
      <c r="BE205" s="2402"/>
      <c r="BF205" s="1109"/>
      <c r="BG205" s="1109"/>
      <c r="BH205" s="1109"/>
      <c r="BI205" s="1109"/>
      <c r="BJ205" s="1109"/>
      <c r="BK205" s="1109"/>
      <c r="BL205" s="2165">
        <f t="shared" si="14"/>
        <v>19500</v>
      </c>
      <c r="BM205" s="1109"/>
      <c r="BN205" s="1109"/>
      <c r="BO205" s="1109"/>
      <c r="BP205" s="1109"/>
      <c r="BQ205" s="1109"/>
      <c r="BR205" s="1109"/>
      <c r="BS205" s="1109"/>
      <c r="BT205" s="2402"/>
      <c r="BU205" s="2402"/>
      <c r="BV205" s="2402"/>
      <c r="BW205" s="1109"/>
      <c r="BX205" s="1109"/>
      <c r="BY205" s="1109"/>
      <c r="BZ205" s="1109"/>
      <c r="CA205" s="1109"/>
      <c r="CB205" s="1109"/>
      <c r="CC205" s="1109"/>
      <c r="CD205" s="1109"/>
      <c r="CE205" s="1109"/>
      <c r="CF205" s="1109"/>
      <c r="CG205" s="1109"/>
      <c r="CH205" s="1109"/>
      <c r="CI205" s="1109"/>
      <c r="CJ205" s="1108"/>
      <c r="CK205" s="2402"/>
      <c r="CL205" s="2402"/>
      <c r="CM205" s="2402"/>
      <c r="CN205" s="1109"/>
      <c r="CO205" s="1109"/>
      <c r="CP205" s="1109"/>
      <c r="CQ205" s="1109"/>
      <c r="CR205" s="1109"/>
      <c r="CS205" s="1109"/>
      <c r="CT205" s="1109"/>
      <c r="CU205" s="1109"/>
      <c r="CV205" s="1109"/>
      <c r="CW205" s="1109"/>
      <c r="CX205" s="1109"/>
      <c r="CY205" s="1109"/>
      <c r="CZ205" s="1108"/>
      <c r="DA205" s="2402"/>
      <c r="DB205" s="2402"/>
      <c r="DC205" s="2402"/>
      <c r="DD205" s="1109"/>
      <c r="DE205" s="1109"/>
      <c r="DF205" s="1109"/>
      <c r="DG205" s="1109"/>
      <c r="DH205" s="1109"/>
      <c r="DI205" s="1109"/>
      <c r="DJ205" s="1109"/>
      <c r="DK205" s="1109"/>
    </row>
    <row r="206" spans="1:115" s="1577" customFormat="1">
      <c r="A206" s="1822">
        <v>1</v>
      </c>
      <c r="B206" s="2418" t="s">
        <v>1159</v>
      </c>
      <c r="C206" s="1108" t="s">
        <v>598</v>
      </c>
      <c r="D206" s="1359" t="s">
        <v>638</v>
      </c>
      <c r="E206" s="2405">
        <v>1</v>
      </c>
      <c r="F206" s="1359"/>
      <c r="G206" s="1361">
        <v>60</v>
      </c>
      <c r="H206" s="1359"/>
      <c r="I206" s="2402"/>
      <c r="J206" s="2402"/>
      <c r="K206" s="2402"/>
      <c r="L206" s="1109"/>
      <c r="M206" s="1109"/>
      <c r="N206" s="1109"/>
      <c r="O206" s="1109"/>
      <c r="P206" s="1109"/>
      <c r="Q206" s="1109"/>
      <c r="R206" s="1109"/>
      <c r="S206" s="1109"/>
      <c r="T206" s="1359"/>
      <c r="U206" s="2402"/>
      <c r="V206" s="2402"/>
      <c r="W206" s="2402"/>
      <c r="X206" s="1109"/>
      <c r="Y206" s="1109"/>
      <c r="Z206" s="1109"/>
      <c r="AA206" s="1109"/>
      <c r="AB206" s="1109"/>
      <c r="AD206" s="2420">
        <v>1500</v>
      </c>
      <c r="AE206" s="1109"/>
      <c r="AF206" s="1109"/>
      <c r="AG206" s="1109"/>
      <c r="AH206" s="1109"/>
      <c r="AI206" s="1109"/>
      <c r="AJ206" s="1109"/>
      <c r="AK206" s="1108"/>
      <c r="AL206" s="2403"/>
      <c r="AM206" s="2403"/>
      <c r="AN206" s="2403"/>
      <c r="AO206" s="1108"/>
      <c r="AP206" s="1109"/>
      <c r="AQ206" s="1109"/>
      <c r="AR206" s="1109"/>
      <c r="AS206" s="1109"/>
      <c r="AT206" s="1109"/>
      <c r="AU206" s="2409">
        <v>13</v>
      </c>
      <c r="AV206" s="1109"/>
      <c r="AW206" s="1109"/>
      <c r="AX206" s="1109"/>
      <c r="AY206" s="1109"/>
      <c r="AZ206" s="1109"/>
      <c r="BA206" s="1109"/>
      <c r="BB206" s="1108"/>
      <c r="BC206" s="2402"/>
      <c r="BD206" s="2402"/>
      <c r="BE206" s="2402"/>
      <c r="BF206" s="1109"/>
      <c r="BG206" s="1109"/>
      <c r="BH206" s="1109"/>
      <c r="BI206" s="1109"/>
      <c r="BJ206" s="1109"/>
      <c r="BK206" s="1109"/>
      <c r="BL206" s="2165">
        <f t="shared" si="14"/>
        <v>19500</v>
      </c>
      <c r="BM206" s="1109"/>
      <c r="BN206" s="1109"/>
      <c r="BO206" s="1109"/>
      <c r="BP206" s="1109"/>
      <c r="BQ206" s="1109"/>
      <c r="BR206" s="1109"/>
      <c r="BS206" s="1109"/>
      <c r="BT206" s="2402"/>
      <c r="BU206" s="2402"/>
      <c r="BV206" s="2402"/>
      <c r="BW206" s="1109"/>
      <c r="BX206" s="1109"/>
      <c r="BY206" s="1109"/>
      <c r="BZ206" s="1109"/>
      <c r="CA206" s="1109"/>
      <c r="CB206" s="1109"/>
      <c r="CC206" s="1109"/>
      <c r="CD206" s="1109"/>
      <c r="CE206" s="1109"/>
      <c r="CF206" s="1109"/>
      <c r="CG206" s="1109"/>
      <c r="CH206" s="1109"/>
      <c r="CI206" s="1109"/>
      <c r="CJ206" s="1108"/>
      <c r="CK206" s="2402"/>
      <c r="CL206" s="2402"/>
      <c r="CM206" s="2402"/>
      <c r="CN206" s="1109"/>
      <c r="CO206" s="1109"/>
      <c r="CP206" s="1109"/>
      <c r="CQ206" s="1109"/>
      <c r="CR206" s="1109"/>
      <c r="CS206" s="1109"/>
      <c r="CT206" s="1109"/>
      <c r="CU206" s="1109"/>
      <c r="CV206" s="1109"/>
      <c r="CW206" s="1109"/>
      <c r="CX206" s="1109"/>
      <c r="CY206" s="1109"/>
      <c r="CZ206" s="1108"/>
      <c r="DA206" s="2402"/>
      <c r="DB206" s="2402"/>
      <c r="DC206" s="2402"/>
      <c r="DD206" s="1109"/>
      <c r="DE206" s="1109"/>
      <c r="DF206" s="1109"/>
      <c r="DG206" s="1109"/>
      <c r="DH206" s="1109"/>
      <c r="DI206" s="1109"/>
      <c r="DJ206" s="1109"/>
      <c r="DK206" s="1109"/>
    </row>
    <row r="207" spans="1:115" s="1577" customFormat="1">
      <c r="A207" s="1822">
        <v>1</v>
      </c>
      <c r="B207" s="2418" t="s">
        <v>1160</v>
      </c>
      <c r="C207" s="1108" t="s">
        <v>315</v>
      </c>
      <c r="D207" s="1359" t="s">
        <v>595</v>
      </c>
      <c r="E207" s="2405">
        <v>0.5</v>
      </c>
      <c r="F207" s="1359"/>
      <c r="G207" s="1361">
        <v>60</v>
      </c>
      <c r="H207" s="1359"/>
      <c r="I207" s="2402"/>
      <c r="J207" s="2402"/>
      <c r="K207" s="2402"/>
      <c r="L207" s="1109"/>
      <c r="M207" s="1109"/>
      <c r="N207" s="1109"/>
      <c r="O207" s="1109"/>
      <c r="P207" s="1109"/>
      <c r="Q207" s="1109"/>
      <c r="R207" s="1109"/>
      <c r="S207" s="1109"/>
      <c r="T207" s="1359"/>
      <c r="U207" s="2402"/>
      <c r="V207" s="2402"/>
      <c r="W207" s="2402"/>
      <c r="X207" s="1109"/>
      <c r="Y207" s="1109"/>
      <c r="Z207" s="1109"/>
      <c r="AA207" s="1109"/>
      <c r="AB207" s="1109"/>
      <c r="AD207" s="2420">
        <v>1500</v>
      </c>
      <c r="AE207" s="1109"/>
      <c r="AF207" s="1109"/>
      <c r="AG207" s="1109"/>
      <c r="AH207" s="1109"/>
      <c r="AI207" s="1109"/>
      <c r="AJ207" s="1109"/>
      <c r="AK207" s="1108"/>
      <c r="AL207" s="2403"/>
      <c r="AM207" s="2403"/>
      <c r="AN207" s="2403"/>
      <c r="AO207" s="1108"/>
      <c r="AP207" s="1109"/>
      <c r="AQ207" s="1109"/>
      <c r="AR207" s="1109"/>
      <c r="AS207" s="1109"/>
      <c r="AT207" s="1109"/>
      <c r="AU207" s="2409">
        <v>13</v>
      </c>
      <c r="AV207" s="1109"/>
      <c r="AW207" s="1109"/>
      <c r="AX207" s="1109"/>
      <c r="AY207" s="1109"/>
      <c r="AZ207" s="1109"/>
      <c r="BA207" s="1109"/>
      <c r="BB207" s="1108"/>
      <c r="BC207" s="2402"/>
      <c r="BD207" s="2402"/>
      <c r="BE207" s="2402"/>
      <c r="BF207" s="1109"/>
      <c r="BG207" s="1109"/>
      <c r="BH207" s="1109"/>
      <c r="BI207" s="1109"/>
      <c r="BJ207" s="1109"/>
      <c r="BK207" s="1109"/>
      <c r="BL207" s="2165">
        <f t="shared" si="14"/>
        <v>9750</v>
      </c>
      <c r="BM207" s="1109"/>
      <c r="BN207" s="1109"/>
      <c r="BO207" s="1109"/>
      <c r="BP207" s="1109"/>
      <c r="BQ207" s="1109"/>
      <c r="BR207" s="1109"/>
      <c r="BS207" s="1109"/>
      <c r="BT207" s="2402"/>
      <c r="BU207" s="2402"/>
      <c r="BV207" s="2402"/>
      <c r="BW207" s="1109"/>
      <c r="BX207" s="1109"/>
      <c r="BY207" s="1109"/>
      <c r="BZ207" s="1109"/>
      <c r="CA207" s="1109"/>
      <c r="CB207" s="1109"/>
      <c r="CC207" s="1109"/>
      <c r="CD207" s="1109"/>
      <c r="CE207" s="1109"/>
      <c r="CF207" s="1109"/>
      <c r="CG207" s="1109"/>
      <c r="CH207" s="1109"/>
      <c r="CI207" s="1109"/>
      <c r="CJ207" s="1108"/>
      <c r="CK207" s="2402"/>
      <c r="CL207" s="2402"/>
      <c r="CM207" s="2402"/>
      <c r="CN207" s="1109"/>
      <c r="CO207" s="1109"/>
      <c r="CP207" s="1109"/>
      <c r="CQ207" s="1109"/>
      <c r="CR207" s="1109"/>
      <c r="CS207" s="1109"/>
      <c r="CT207" s="1109"/>
      <c r="CU207" s="1109"/>
      <c r="CV207" s="1109"/>
      <c r="CW207" s="1109"/>
      <c r="CX207" s="1109"/>
      <c r="CY207" s="1109"/>
      <c r="CZ207" s="1108"/>
      <c r="DA207" s="2402"/>
      <c r="DB207" s="2402"/>
      <c r="DC207" s="2402"/>
      <c r="DD207" s="1109"/>
      <c r="DE207" s="1109"/>
      <c r="DF207" s="1109"/>
      <c r="DG207" s="1109"/>
      <c r="DH207" s="1109"/>
      <c r="DI207" s="1109"/>
      <c r="DJ207" s="1109"/>
      <c r="DK207" s="1109"/>
    </row>
    <row r="208" spans="1:115" s="1577" customFormat="1">
      <c r="A208" s="1822">
        <v>1</v>
      </c>
      <c r="B208" s="1108" t="s">
        <v>1161</v>
      </c>
      <c r="C208" s="1108" t="s">
        <v>315</v>
      </c>
      <c r="D208" s="1359" t="s">
        <v>595</v>
      </c>
      <c r="E208" s="2405">
        <v>0.5</v>
      </c>
      <c r="F208" s="1359"/>
      <c r="G208" s="1361">
        <v>60</v>
      </c>
      <c r="H208" s="1359"/>
      <c r="I208" s="2402"/>
      <c r="J208" s="2402"/>
      <c r="K208" s="2402"/>
      <c r="L208" s="1109"/>
      <c r="M208" s="1109"/>
      <c r="N208" s="1109"/>
      <c r="O208" s="1109"/>
      <c r="P208" s="1109"/>
      <c r="Q208" s="1109"/>
      <c r="R208" s="1109"/>
      <c r="S208" s="1109"/>
      <c r="T208" s="1359"/>
      <c r="U208" s="2402"/>
      <c r="V208" s="2402"/>
      <c r="W208" s="2402"/>
      <c r="X208" s="1109"/>
      <c r="Y208" s="1109"/>
      <c r="Z208" s="1109"/>
      <c r="AA208" s="1109"/>
      <c r="AB208" s="1109"/>
      <c r="AC208" s="1108"/>
      <c r="AD208" s="2420">
        <v>1500</v>
      </c>
      <c r="AE208" s="1109"/>
      <c r="AF208" s="1109"/>
      <c r="AG208" s="1109"/>
      <c r="AH208" s="1109"/>
      <c r="AI208" s="1109"/>
      <c r="AJ208" s="1109"/>
      <c r="AK208" s="1108"/>
      <c r="AL208" s="2403"/>
      <c r="AM208" s="2403"/>
      <c r="AN208" s="2403"/>
      <c r="AO208" s="1108"/>
      <c r="AP208" s="1109"/>
      <c r="AQ208" s="1109"/>
      <c r="AR208" s="1109"/>
      <c r="AS208" s="1109"/>
      <c r="AT208" s="1109"/>
      <c r="AU208" s="2409">
        <v>13</v>
      </c>
      <c r="AV208" s="1109"/>
      <c r="AW208" s="1109"/>
      <c r="AX208" s="1109"/>
      <c r="AY208" s="1109"/>
      <c r="AZ208" s="1109"/>
      <c r="BA208" s="1109"/>
      <c r="BB208" s="1108"/>
      <c r="BC208" s="2402"/>
      <c r="BD208" s="2402"/>
      <c r="BE208" s="2402"/>
      <c r="BF208" s="1109"/>
      <c r="BG208" s="1109"/>
      <c r="BH208" s="1109"/>
      <c r="BI208" s="1109"/>
      <c r="BJ208" s="1109"/>
      <c r="BK208" s="1109"/>
      <c r="BL208" s="2165">
        <f t="shared" si="14"/>
        <v>9750</v>
      </c>
      <c r="BM208" s="1109"/>
      <c r="BN208" s="1109"/>
      <c r="BO208" s="1109"/>
      <c r="BP208" s="1109"/>
      <c r="BQ208" s="1109"/>
      <c r="BR208" s="1109"/>
      <c r="BS208" s="1109"/>
      <c r="BT208" s="2402"/>
      <c r="BU208" s="2402"/>
      <c r="BV208" s="2402"/>
      <c r="BW208" s="1109"/>
      <c r="BX208" s="1109"/>
      <c r="BY208" s="1109"/>
      <c r="BZ208" s="1109"/>
      <c r="CA208" s="1109"/>
      <c r="CB208" s="1109"/>
      <c r="CC208" s="1109"/>
      <c r="CD208" s="1109"/>
      <c r="CE208" s="1109"/>
      <c r="CF208" s="1109"/>
      <c r="CG208" s="1109"/>
      <c r="CH208" s="1109"/>
      <c r="CI208" s="1109"/>
      <c r="CJ208" s="1108"/>
      <c r="CK208" s="2402"/>
      <c r="CL208" s="2402"/>
      <c r="CM208" s="2402"/>
      <c r="CN208" s="1109"/>
      <c r="CO208" s="1109"/>
      <c r="CP208" s="1109"/>
      <c r="CQ208" s="1109"/>
      <c r="CR208" s="1109"/>
      <c r="CS208" s="1109"/>
      <c r="CT208" s="1109"/>
      <c r="CU208" s="1109"/>
      <c r="CV208" s="1109"/>
      <c r="CW208" s="1109"/>
      <c r="CX208" s="1109"/>
      <c r="CY208" s="1109"/>
      <c r="CZ208" s="1108"/>
      <c r="DA208" s="2402"/>
      <c r="DB208" s="2402"/>
      <c r="DC208" s="2402"/>
      <c r="DD208" s="1109"/>
      <c r="DE208" s="1109"/>
      <c r="DF208" s="1109"/>
      <c r="DG208" s="1109"/>
      <c r="DH208" s="1109"/>
      <c r="DI208" s="1109"/>
      <c r="DJ208" s="1109"/>
      <c r="DK208" s="1109"/>
    </row>
    <row r="209" spans="1:115" s="1577" customFormat="1">
      <c r="A209" s="1822">
        <v>1</v>
      </c>
      <c r="B209" s="1108" t="s">
        <v>1162</v>
      </c>
      <c r="C209" s="1108" t="s">
        <v>315</v>
      </c>
      <c r="D209" s="1359" t="s">
        <v>595</v>
      </c>
      <c r="E209" s="2405">
        <v>0.5</v>
      </c>
      <c r="F209" s="1359"/>
      <c r="G209" s="1361">
        <v>60</v>
      </c>
      <c r="H209" s="1359"/>
      <c r="I209" s="2402"/>
      <c r="J209" s="2402"/>
      <c r="K209" s="2402"/>
      <c r="L209" s="1109"/>
      <c r="M209" s="1109"/>
      <c r="N209" s="1109"/>
      <c r="O209" s="1109"/>
      <c r="P209" s="1109"/>
      <c r="Q209" s="1109"/>
      <c r="R209" s="1109"/>
      <c r="S209" s="1109"/>
      <c r="T209" s="1359"/>
      <c r="U209" s="2402"/>
      <c r="V209" s="2402"/>
      <c r="W209" s="2402"/>
      <c r="X209" s="1109"/>
      <c r="Y209" s="1109"/>
      <c r="Z209" s="1109"/>
      <c r="AA209" s="1109"/>
      <c r="AB209" s="1109"/>
      <c r="AC209" s="1108"/>
      <c r="AD209" s="2420">
        <v>1500</v>
      </c>
      <c r="AE209" s="1109"/>
      <c r="AF209" s="1109"/>
      <c r="AG209" s="1109"/>
      <c r="AH209" s="1109"/>
      <c r="AI209" s="1109"/>
      <c r="AJ209" s="1109"/>
      <c r="AK209" s="1108"/>
      <c r="AL209" s="2403"/>
      <c r="AM209" s="2403"/>
      <c r="AN209" s="2403"/>
      <c r="AO209" s="1108"/>
      <c r="AP209" s="1109"/>
      <c r="AQ209" s="1109"/>
      <c r="AR209" s="1109"/>
      <c r="AS209" s="1109"/>
      <c r="AT209" s="1109"/>
      <c r="AU209" s="2409">
        <v>13</v>
      </c>
      <c r="AV209" s="1109"/>
      <c r="AW209" s="1109"/>
      <c r="AX209" s="1109"/>
      <c r="AY209" s="1109"/>
      <c r="AZ209" s="1109"/>
      <c r="BA209" s="1109"/>
      <c r="BB209" s="1108"/>
      <c r="BC209" s="2402"/>
      <c r="BD209" s="2402"/>
      <c r="BE209" s="2402"/>
      <c r="BF209" s="1109"/>
      <c r="BG209" s="1109"/>
      <c r="BH209" s="1109"/>
      <c r="BI209" s="1109"/>
      <c r="BJ209" s="1109"/>
      <c r="BK209" s="1109"/>
      <c r="BL209" s="2165">
        <f t="shared" si="14"/>
        <v>9750</v>
      </c>
      <c r="BM209" s="1109"/>
      <c r="BN209" s="1109"/>
      <c r="BO209" s="1109"/>
      <c r="BP209" s="1109"/>
      <c r="BQ209" s="1109"/>
      <c r="BR209" s="1109"/>
      <c r="BS209" s="1109"/>
      <c r="BT209" s="2402"/>
      <c r="BU209" s="2402"/>
      <c r="BV209" s="2402"/>
      <c r="BW209" s="1109"/>
      <c r="BX209" s="1109"/>
      <c r="BY209" s="1109"/>
      <c r="BZ209" s="1109"/>
      <c r="CA209" s="1109"/>
      <c r="CB209" s="1109"/>
      <c r="CC209" s="1109"/>
      <c r="CD209" s="1109"/>
      <c r="CE209" s="1109"/>
      <c r="CF209" s="1109"/>
      <c r="CG209" s="1109"/>
      <c r="CH209" s="1109"/>
      <c r="CI209" s="1109"/>
      <c r="CJ209" s="1108"/>
      <c r="CK209" s="2402"/>
      <c r="CL209" s="2402"/>
      <c r="CM209" s="2402"/>
      <c r="CN209" s="1109"/>
      <c r="CO209" s="1109"/>
      <c r="CP209" s="1109"/>
      <c r="CQ209" s="1109"/>
      <c r="CR209" s="1109"/>
      <c r="CS209" s="1109"/>
      <c r="CT209" s="1109"/>
      <c r="CU209" s="1109"/>
      <c r="CV209" s="1109"/>
      <c r="CW209" s="1109"/>
      <c r="CX209" s="1109"/>
      <c r="CY209" s="1109"/>
      <c r="CZ209" s="1108"/>
      <c r="DA209" s="2402"/>
      <c r="DB209" s="2402"/>
      <c r="DC209" s="2402"/>
      <c r="DD209" s="1109"/>
      <c r="DE209" s="1109"/>
      <c r="DF209" s="1109"/>
      <c r="DG209" s="1109"/>
      <c r="DH209" s="1109"/>
      <c r="DI209" s="1109"/>
      <c r="DJ209" s="1109"/>
      <c r="DK209" s="1109"/>
    </row>
    <row r="210" spans="1:115" s="1577" customFormat="1">
      <c r="A210" s="1822">
        <v>1</v>
      </c>
      <c r="B210" s="1108" t="s">
        <v>1163</v>
      </c>
      <c r="C210" s="1108" t="s">
        <v>315</v>
      </c>
      <c r="D210" s="1359" t="s">
        <v>595</v>
      </c>
      <c r="E210" s="2405">
        <v>0.5</v>
      </c>
      <c r="F210" s="1359"/>
      <c r="G210" s="1361">
        <v>60</v>
      </c>
      <c r="H210" s="1359"/>
      <c r="I210" s="2402"/>
      <c r="J210" s="2402"/>
      <c r="K210" s="2402"/>
      <c r="L210" s="1109"/>
      <c r="M210" s="1109"/>
      <c r="N210" s="1109"/>
      <c r="O210" s="1109"/>
      <c r="P210" s="1109"/>
      <c r="Q210" s="1109"/>
      <c r="R210" s="1109"/>
      <c r="S210" s="1109"/>
      <c r="T210" s="1359"/>
      <c r="U210" s="2402"/>
      <c r="V210" s="2402"/>
      <c r="W210" s="2402"/>
      <c r="X210" s="1109"/>
      <c r="Y210" s="1109"/>
      <c r="Z210" s="1109"/>
      <c r="AA210" s="1109"/>
      <c r="AB210" s="1109"/>
      <c r="AC210" s="1108"/>
      <c r="AD210" s="2420">
        <v>1500</v>
      </c>
      <c r="AE210" s="1109"/>
      <c r="AF210" s="1109"/>
      <c r="AG210" s="1109"/>
      <c r="AH210" s="1109"/>
      <c r="AI210" s="1109"/>
      <c r="AJ210" s="1109"/>
      <c r="AK210" s="1108"/>
      <c r="AL210" s="2403"/>
      <c r="AM210" s="2403"/>
      <c r="AN210" s="2403"/>
      <c r="AO210" s="1108"/>
      <c r="AP210" s="1109"/>
      <c r="AQ210" s="1109"/>
      <c r="AR210" s="1109"/>
      <c r="AS210" s="1109"/>
      <c r="AT210" s="1109"/>
      <c r="AU210" s="2409">
        <v>13</v>
      </c>
      <c r="AV210" s="1109"/>
      <c r="AW210" s="1109"/>
      <c r="AX210" s="1109"/>
      <c r="AY210" s="1109"/>
      <c r="AZ210" s="1109"/>
      <c r="BA210" s="1109"/>
      <c r="BB210" s="1108"/>
      <c r="BC210" s="2402"/>
      <c r="BD210" s="2402"/>
      <c r="BE210" s="2402"/>
      <c r="BF210" s="1109"/>
      <c r="BG210" s="1109"/>
      <c r="BH210" s="1109"/>
      <c r="BI210" s="1109"/>
      <c r="BJ210" s="1109"/>
      <c r="BK210" s="1109"/>
      <c r="BL210" s="2165">
        <f t="shared" si="14"/>
        <v>9750</v>
      </c>
      <c r="BM210" s="1109"/>
      <c r="BN210" s="1109"/>
      <c r="BO210" s="1109"/>
      <c r="BP210" s="1109"/>
      <c r="BQ210" s="1109"/>
      <c r="BR210" s="1109"/>
      <c r="BS210" s="1109"/>
      <c r="BT210" s="2402"/>
      <c r="BU210" s="2402"/>
      <c r="BV210" s="2402"/>
      <c r="BW210" s="1109"/>
      <c r="BX210" s="1109"/>
      <c r="BY210" s="1109"/>
      <c r="BZ210" s="1109"/>
      <c r="CA210" s="1109"/>
      <c r="CB210" s="1109"/>
      <c r="CC210" s="1109"/>
      <c r="CD210" s="1109"/>
      <c r="CE210" s="1109"/>
      <c r="CF210" s="1109"/>
      <c r="CG210" s="1109"/>
      <c r="CH210" s="1109"/>
      <c r="CI210" s="1109"/>
      <c r="CJ210" s="1108"/>
      <c r="CK210" s="2402"/>
      <c r="CL210" s="2402"/>
      <c r="CM210" s="2402"/>
      <c r="CN210" s="1109"/>
      <c r="CO210" s="1109"/>
      <c r="CP210" s="1109"/>
      <c r="CQ210" s="1109"/>
      <c r="CR210" s="1109"/>
      <c r="CS210" s="1109"/>
      <c r="CT210" s="1109"/>
      <c r="CU210" s="1109"/>
      <c r="CV210" s="1109"/>
      <c r="CW210" s="1109"/>
      <c r="CX210" s="1109"/>
      <c r="CY210" s="1109"/>
      <c r="CZ210" s="1108"/>
      <c r="DA210" s="2402"/>
      <c r="DB210" s="2402"/>
      <c r="DC210" s="2402"/>
      <c r="DD210" s="1109"/>
      <c r="DE210" s="1109"/>
      <c r="DF210" s="1109"/>
      <c r="DG210" s="1109"/>
      <c r="DH210" s="1109"/>
      <c r="DI210" s="1109"/>
      <c r="DJ210" s="1109"/>
      <c r="DK210" s="1109"/>
    </row>
    <row r="211" spans="1:115" s="1577" customFormat="1">
      <c r="A211" s="1822">
        <v>1</v>
      </c>
      <c r="B211" s="1108" t="s">
        <v>1164</v>
      </c>
      <c r="C211" s="1108" t="s">
        <v>315</v>
      </c>
      <c r="D211" s="1359" t="s">
        <v>595</v>
      </c>
      <c r="E211" s="2405">
        <v>0.5</v>
      </c>
      <c r="F211" s="1359"/>
      <c r="G211" s="1361">
        <v>60</v>
      </c>
      <c r="H211" s="1359"/>
      <c r="I211" s="2402"/>
      <c r="J211" s="2402"/>
      <c r="K211" s="2402"/>
      <c r="L211" s="1109"/>
      <c r="M211" s="1109"/>
      <c r="N211" s="1109"/>
      <c r="O211" s="1109"/>
      <c r="P211" s="1109"/>
      <c r="Q211" s="1109"/>
      <c r="R211" s="1109"/>
      <c r="S211" s="1109"/>
      <c r="T211" s="1359"/>
      <c r="U211" s="2402"/>
      <c r="V211" s="2402"/>
      <c r="W211" s="2402"/>
      <c r="X211" s="1109"/>
      <c r="Y211" s="1109"/>
      <c r="Z211" s="1109"/>
      <c r="AA211" s="1109"/>
      <c r="AB211" s="1109"/>
      <c r="AC211" s="1108"/>
      <c r="AD211" s="2420">
        <v>1500</v>
      </c>
      <c r="AE211" s="1109"/>
      <c r="AF211" s="1109"/>
      <c r="AG211" s="1109"/>
      <c r="AH211" s="1109"/>
      <c r="AI211" s="1109"/>
      <c r="AJ211" s="1109"/>
      <c r="AK211" s="1108"/>
      <c r="AL211" s="2403"/>
      <c r="AM211" s="2403"/>
      <c r="AN211" s="2403"/>
      <c r="AO211" s="1108"/>
      <c r="AP211" s="1109"/>
      <c r="AQ211" s="1109"/>
      <c r="AR211" s="1109"/>
      <c r="AS211" s="1109"/>
      <c r="AT211" s="1109"/>
      <c r="AU211" s="2409">
        <v>13</v>
      </c>
      <c r="AV211" s="1109"/>
      <c r="AW211" s="1109"/>
      <c r="AX211" s="1109"/>
      <c r="AY211" s="1109"/>
      <c r="AZ211" s="1109"/>
      <c r="BA211" s="1109"/>
      <c r="BB211" s="1108"/>
      <c r="BC211" s="2402"/>
      <c r="BD211" s="2402"/>
      <c r="BE211" s="2402"/>
      <c r="BF211" s="1109"/>
      <c r="BG211" s="1109"/>
      <c r="BH211" s="1109"/>
      <c r="BI211" s="1109"/>
      <c r="BJ211" s="1109"/>
      <c r="BK211" s="1109"/>
      <c r="BL211" s="2165">
        <f t="shared" si="14"/>
        <v>9750</v>
      </c>
      <c r="BM211" s="1109"/>
      <c r="BN211" s="1109"/>
      <c r="BO211" s="1109"/>
      <c r="BP211" s="1109"/>
      <c r="BQ211" s="1109"/>
      <c r="BR211" s="1109"/>
      <c r="BS211" s="1109"/>
      <c r="BT211" s="2402"/>
      <c r="BU211" s="2402"/>
      <c r="BV211" s="2402"/>
      <c r="BW211" s="1109"/>
      <c r="BX211" s="1109"/>
      <c r="BY211" s="1109"/>
      <c r="BZ211" s="1109"/>
      <c r="CA211" s="1109"/>
      <c r="CB211" s="1109"/>
      <c r="CC211" s="1109"/>
      <c r="CD211" s="1109"/>
      <c r="CE211" s="1109"/>
      <c r="CF211" s="1109"/>
      <c r="CG211" s="1109"/>
      <c r="CH211" s="1109"/>
      <c r="CI211" s="1109"/>
      <c r="CJ211" s="1108"/>
      <c r="CK211" s="2402"/>
      <c r="CL211" s="2402"/>
      <c r="CM211" s="2402"/>
      <c r="CN211" s="1109"/>
      <c r="CO211" s="1109"/>
      <c r="CP211" s="1109"/>
      <c r="CQ211" s="1109"/>
      <c r="CR211" s="1109"/>
      <c r="CS211" s="1109"/>
      <c r="CT211" s="1109"/>
      <c r="CU211" s="1109"/>
      <c r="CV211" s="1109"/>
      <c r="CW211" s="1109"/>
      <c r="CX211" s="1109"/>
      <c r="CY211" s="1109"/>
      <c r="CZ211" s="1108"/>
      <c r="DA211" s="2402"/>
      <c r="DB211" s="2402"/>
      <c r="DC211" s="2402"/>
      <c r="DD211" s="1109"/>
      <c r="DE211" s="1109"/>
      <c r="DF211" s="1109"/>
      <c r="DG211" s="1109"/>
      <c r="DH211" s="1109"/>
      <c r="DI211" s="1109"/>
      <c r="DJ211" s="1109"/>
      <c r="DK211" s="1109"/>
    </row>
    <row r="212" spans="1:115" s="1577" customFormat="1">
      <c r="A212" s="1822"/>
      <c r="B212" s="1359"/>
      <c r="C212" s="1359"/>
      <c r="D212" s="1359"/>
      <c r="E212" s="1359"/>
      <c r="F212" s="1359"/>
      <c r="G212" s="1359"/>
      <c r="H212" s="1359"/>
      <c r="I212" s="2402"/>
      <c r="J212" s="2402"/>
      <c r="K212" s="2402"/>
      <c r="L212" s="1109"/>
      <c r="M212" s="1109"/>
      <c r="N212" s="1109"/>
      <c r="O212" s="1109"/>
      <c r="P212" s="1109"/>
      <c r="Q212" s="1109"/>
      <c r="R212" s="1109"/>
      <c r="S212" s="1109"/>
      <c r="T212" s="1359"/>
      <c r="U212" s="2402"/>
      <c r="V212" s="2402"/>
      <c r="W212" s="2402"/>
      <c r="X212" s="1109"/>
      <c r="Y212" s="1109"/>
      <c r="Z212" s="1109"/>
      <c r="AA212" s="1109"/>
      <c r="AB212" s="1109"/>
      <c r="AC212" s="1109"/>
      <c r="AD212" s="1109"/>
      <c r="AE212" s="1109"/>
      <c r="AF212" s="1109"/>
      <c r="AG212" s="1109"/>
      <c r="AH212" s="1109"/>
      <c r="AI212" s="1109"/>
      <c r="AJ212" s="1109"/>
      <c r="AK212" s="1108"/>
      <c r="AL212" s="2403"/>
      <c r="AM212" s="2403"/>
      <c r="AN212" s="2403"/>
      <c r="AO212" s="1108"/>
      <c r="AP212" s="1109"/>
      <c r="AQ212" s="1109"/>
      <c r="AR212" s="1109"/>
      <c r="AS212" s="1109"/>
      <c r="AT212" s="1109"/>
      <c r="AU212" s="1109"/>
      <c r="AV212" s="1109"/>
      <c r="AW212" s="1109"/>
      <c r="AX212" s="1109"/>
      <c r="AY212" s="1109"/>
      <c r="AZ212" s="1109"/>
      <c r="BA212" s="1109"/>
      <c r="BB212" s="1108"/>
      <c r="BC212" s="2402"/>
      <c r="BD212" s="2402"/>
      <c r="BE212" s="2402"/>
      <c r="BF212" s="1109"/>
      <c r="BG212" s="1109"/>
      <c r="BH212" s="1109"/>
      <c r="BI212" s="1109"/>
      <c r="BJ212" s="1109"/>
      <c r="BK212" s="1109"/>
      <c r="BL212" s="1109"/>
      <c r="BM212" s="1109"/>
      <c r="BN212" s="1109"/>
      <c r="BO212" s="1109"/>
      <c r="BP212" s="1109"/>
      <c r="BQ212" s="1109"/>
      <c r="BR212" s="1109"/>
      <c r="BS212" s="1109"/>
      <c r="BT212" s="2402"/>
      <c r="BU212" s="2402"/>
      <c r="BV212" s="2402"/>
      <c r="BW212" s="1109"/>
      <c r="BX212" s="1109"/>
      <c r="BY212" s="1109"/>
      <c r="BZ212" s="1109"/>
      <c r="CA212" s="1109"/>
      <c r="CB212" s="1109"/>
      <c r="CC212" s="1109"/>
      <c r="CD212" s="1109"/>
      <c r="CE212" s="1109"/>
      <c r="CF212" s="1109"/>
      <c r="CG212" s="1109"/>
      <c r="CH212" s="1109"/>
      <c r="CI212" s="1109"/>
      <c r="CJ212" s="1108"/>
      <c r="CK212" s="2402"/>
      <c r="CL212" s="2402"/>
      <c r="CM212" s="2402"/>
      <c r="CN212" s="1109"/>
      <c r="CO212" s="1109"/>
      <c r="CP212" s="1109"/>
      <c r="CQ212" s="1109"/>
      <c r="CR212" s="1109"/>
      <c r="CS212" s="1109"/>
      <c r="CT212" s="1109"/>
      <c r="CU212" s="1109"/>
      <c r="CV212" s="1109"/>
      <c r="CW212" s="1109"/>
      <c r="CX212" s="1109"/>
      <c r="CY212" s="1109"/>
      <c r="CZ212" s="1108"/>
      <c r="DA212" s="2402"/>
      <c r="DB212" s="2402"/>
      <c r="DC212" s="2402"/>
      <c r="DD212" s="1109"/>
      <c r="DE212" s="1109"/>
      <c r="DF212" s="1109"/>
      <c r="DG212" s="1109"/>
      <c r="DH212" s="1109"/>
      <c r="DI212" s="1109"/>
      <c r="DJ212" s="1109"/>
      <c r="DK212" s="1109"/>
    </row>
    <row r="213" spans="1:115" s="1577" customFormat="1">
      <c r="A213" s="2417" t="s">
        <v>306</v>
      </c>
      <c r="B213" s="2401"/>
      <c r="C213" s="2401"/>
      <c r="D213" s="2401"/>
      <c r="E213" s="2401"/>
      <c r="F213" s="2401"/>
      <c r="G213" s="2401"/>
      <c r="H213" s="2401"/>
      <c r="I213" s="2402"/>
      <c r="J213" s="2402"/>
      <c r="K213" s="2402"/>
      <c r="L213" s="1109"/>
      <c r="M213" s="1109"/>
      <c r="N213" s="1109"/>
      <c r="O213" s="1109"/>
      <c r="P213" s="1109"/>
      <c r="Q213" s="1109"/>
      <c r="R213" s="1109"/>
      <c r="S213" s="1109"/>
      <c r="T213" s="2401"/>
      <c r="U213" s="2402"/>
      <c r="V213" s="2402"/>
      <c r="W213" s="2402"/>
      <c r="X213" s="1109"/>
      <c r="Y213" s="1109"/>
      <c r="Z213" s="1109"/>
      <c r="AA213" s="1109"/>
      <c r="AB213" s="1109"/>
      <c r="AC213" s="1109"/>
      <c r="AD213" s="1109"/>
      <c r="AE213" s="1109"/>
      <c r="AF213" s="1109"/>
      <c r="AG213" s="1109"/>
      <c r="AH213" s="1109"/>
      <c r="AI213" s="1109"/>
      <c r="AJ213" s="1109"/>
      <c r="AK213" s="1108"/>
      <c r="AL213" s="2403"/>
      <c r="AM213" s="2403"/>
      <c r="AN213" s="2403"/>
      <c r="AO213" s="1108"/>
      <c r="AP213" s="1109"/>
      <c r="AQ213" s="1109"/>
      <c r="AR213" s="1109"/>
      <c r="AS213" s="1109"/>
      <c r="AT213" s="1109"/>
      <c r="AU213" s="1109"/>
      <c r="AV213" s="1109"/>
      <c r="AW213" s="1109"/>
      <c r="AX213" s="1109"/>
      <c r="AY213" s="1109"/>
      <c r="AZ213" s="1109"/>
      <c r="BA213" s="1109"/>
      <c r="BB213" s="1108"/>
      <c r="BC213" s="2402"/>
      <c r="BD213" s="2402"/>
      <c r="BE213" s="2402"/>
      <c r="BF213" s="1109"/>
      <c r="BG213" s="1109"/>
      <c r="BH213" s="1109"/>
      <c r="BI213" s="1109"/>
      <c r="BJ213" s="1109"/>
      <c r="BK213" s="1108"/>
      <c r="BL213" s="1108"/>
      <c r="BM213" s="1108"/>
      <c r="BN213" s="1108"/>
      <c r="BO213" s="1108"/>
      <c r="BP213" s="1108"/>
      <c r="BQ213" s="1108"/>
      <c r="BR213" s="1108"/>
      <c r="BS213" s="1108"/>
      <c r="BT213" s="2402"/>
      <c r="BU213" s="2402"/>
      <c r="BV213" s="2402"/>
      <c r="BW213" s="1109"/>
      <c r="BX213" s="1109"/>
      <c r="BY213" s="1109"/>
      <c r="BZ213" s="1109"/>
      <c r="CA213" s="1109"/>
      <c r="CB213" s="1109"/>
      <c r="CC213" s="1109"/>
      <c r="CD213" s="1109"/>
      <c r="CE213" s="1108"/>
      <c r="CF213" s="1108"/>
      <c r="CG213" s="1108"/>
      <c r="CH213" s="1108"/>
      <c r="CI213" s="1108"/>
      <c r="CJ213" s="1108"/>
      <c r="CK213" s="2402"/>
      <c r="CL213" s="2402"/>
      <c r="CM213" s="2402"/>
      <c r="CN213" s="1109"/>
      <c r="CO213" s="1109"/>
      <c r="CP213" s="1109"/>
      <c r="CQ213" s="1109"/>
      <c r="CR213" s="1109"/>
      <c r="CS213" s="1109"/>
      <c r="CT213" s="1109"/>
      <c r="CU213" s="1109"/>
      <c r="CV213" s="1109"/>
      <c r="CW213" s="1109"/>
      <c r="CX213" s="1109"/>
      <c r="CY213" s="1109"/>
      <c r="CZ213" s="1108"/>
      <c r="DA213" s="2402"/>
      <c r="DB213" s="2402"/>
      <c r="DC213" s="2402"/>
      <c r="DD213" s="1109"/>
      <c r="DE213" s="1109"/>
      <c r="DF213" s="1109"/>
      <c r="DG213" s="1109"/>
      <c r="DH213" s="1109"/>
      <c r="DI213" s="1109"/>
      <c r="DJ213" s="1109"/>
      <c r="DK213" s="1109"/>
    </row>
    <row r="214" spans="1:115" s="1577" customFormat="1">
      <c r="A214" s="1494">
        <v>2</v>
      </c>
      <c r="B214" s="2419">
        <v>90210</v>
      </c>
      <c r="C214" s="1108" t="s">
        <v>598</v>
      </c>
      <c r="D214" s="1360" t="s">
        <v>595</v>
      </c>
      <c r="E214" s="2405">
        <v>1</v>
      </c>
      <c r="F214" s="1359"/>
      <c r="G214" s="2421">
        <v>60</v>
      </c>
      <c r="H214" s="2401"/>
      <c r="I214" s="2402"/>
      <c r="J214" s="2402"/>
      <c r="K214" s="2402"/>
      <c r="L214" s="1109"/>
      <c r="M214" s="1109"/>
      <c r="N214" s="1109"/>
      <c r="O214" s="1109"/>
      <c r="P214" s="1109"/>
      <c r="Q214" s="1109"/>
      <c r="R214" s="1109"/>
      <c r="S214" s="1109"/>
      <c r="T214" s="2401"/>
      <c r="U214" s="2402"/>
      <c r="V214" s="2402"/>
      <c r="W214" s="2402"/>
      <c r="X214" s="1109"/>
      <c r="Y214" s="1109"/>
      <c r="Z214" s="1109"/>
      <c r="AA214" s="1109"/>
      <c r="AB214" s="1109"/>
      <c r="AC214" s="2420">
        <f>AB244*(1+CB214)</f>
        <v>2060</v>
      </c>
      <c r="AD214" s="1109"/>
      <c r="AE214" s="1109"/>
      <c r="AF214" s="1109"/>
      <c r="AG214" s="1109"/>
      <c r="AH214" s="1109"/>
      <c r="AI214" s="1109"/>
      <c r="AJ214" s="1109"/>
      <c r="AK214" s="1108"/>
      <c r="AL214" s="2403"/>
      <c r="AM214" s="2403"/>
      <c r="AN214" s="2403"/>
      <c r="AO214" s="1108"/>
      <c r="AP214" s="1109"/>
      <c r="AQ214" s="1109"/>
      <c r="AR214" s="1109"/>
      <c r="AS214" s="1109"/>
      <c r="AT214" s="2409">
        <v>13</v>
      </c>
      <c r="AU214" s="1109"/>
      <c r="AV214" s="1109"/>
      <c r="AW214" s="1109"/>
      <c r="AX214" s="1109"/>
      <c r="AY214" s="1109"/>
      <c r="AZ214" s="1109"/>
      <c r="BA214" s="1109"/>
      <c r="BB214" s="1108"/>
      <c r="BC214" s="2402"/>
      <c r="BD214" s="2402"/>
      <c r="BE214" s="2402"/>
      <c r="BF214" s="1109"/>
      <c r="BG214" s="1109"/>
      <c r="BH214" s="1109"/>
      <c r="BI214" s="1109"/>
      <c r="BJ214" s="1109"/>
      <c r="BK214" s="2165">
        <f>$AT214*$AC214*$E214</f>
        <v>26780</v>
      </c>
      <c r="BL214" s="2165"/>
      <c r="BM214" s="1108"/>
      <c r="BN214" s="1108"/>
      <c r="BO214" s="1108"/>
      <c r="BP214" s="1108"/>
      <c r="BQ214" s="1108"/>
      <c r="BR214" s="1108"/>
      <c r="BS214" s="1108"/>
      <c r="BT214" s="2402"/>
      <c r="BU214" s="2402"/>
      <c r="BV214" s="2402"/>
      <c r="BW214" s="1109"/>
      <c r="BX214" s="1109"/>
      <c r="BY214" s="1109"/>
      <c r="BZ214" s="1109" t="s">
        <v>337</v>
      </c>
      <c r="CA214" s="1109"/>
      <c r="CB214" s="1482">
        <v>0.03</v>
      </c>
      <c r="CC214" s="1109"/>
      <c r="CD214" s="1109"/>
      <c r="CE214" s="1108"/>
      <c r="CF214" s="1108"/>
      <c r="CG214" s="1108"/>
      <c r="CH214" s="1108"/>
      <c r="CI214" s="1108"/>
      <c r="CJ214" s="1108"/>
      <c r="CK214" s="2402"/>
      <c r="CL214" s="2402"/>
      <c r="CM214" s="2402"/>
      <c r="CN214" s="1109"/>
      <c r="CO214" s="1109"/>
      <c r="CP214" s="1109"/>
      <c r="CQ214" s="1109"/>
      <c r="CR214" s="1109"/>
      <c r="CS214" s="1109"/>
      <c r="CT214" s="1109"/>
      <c r="CU214" s="1109"/>
      <c r="CV214" s="1109"/>
      <c r="CW214" s="1109"/>
      <c r="CX214" s="1109"/>
      <c r="CY214" s="1109"/>
      <c r="CZ214" s="1108"/>
      <c r="DA214" s="2402"/>
      <c r="DB214" s="2402"/>
      <c r="DC214" s="2402"/>
      <c r="DD214" s="1109"/>
      <c r="DE214" s="1109"/>
      <c r="DF214" s="1109"/>
      <c r="DG214" s="1109"/>
      <c r="DH214" s="1109"/>
      <c r="DI214" s="1109"/>
      <c r="DJ214" s="1109"/>
      <c r="DK214" s="1109"/>
    </row>
    <row r="215" spans="1:115" s="1577" customFormat="1">
      <c r="A215" s="1494">
        <v>1</v>
      </c>
      <c r="B215" s="1108" t="s">
        <v>289</v>
      </c>
      <c r="C215" s="1108" t="s">
        <v>598</v>
      </c>
      <c r="D215" s="1360" t="s">
        <v>638</v>
      </c>
      <c r="E215" s="2405">
        <v>1</v>
      </c>
      <c r="F215" s="1359"/>
      <c r="G215" s="2421">
        <v>30</v>
      </c>
      <c r="H215" s="2401"/>
      <c r="I215" s="2402"/>
      <c r="J215" s="2402"/>
      <c r="K215" s="2402"/>
      <c r="L215" s="1109"/>
      <c r="M215" s="1109"/>
      <c r="N215" s="1109"/>
      <c r="O215" s="1109"/>
      <c r="P215" s="1109"/>
      <c r="Q215" s="1109"/>
      <c r="R215" s="1109"/>
      <c r="S215" s="1109"/>
      <c r="T215" s="2401"/>
      <c r="U215" s="2402"/>
      <c r="V215" s="2402"/>
      <c r="W215" s="2402"/>
      <c r="X215" s="1109"/>
      <c r="Y215" s="1109"/>
      <c r="Z215" s="1109"/>
      <c r="AA215" s="1109"/>
      <c r="AB215" s="1109"/>
      <c r="AC215" s="2420">
        <v>1500</v>
      </c>
      <c r="AD215" s="1109"/>
      <c r="AE215" s="1109"/>
      <c r="AF215" s="1109"/>
      <c r="AG215" s="1109"/>
      <c r="AH215" s="1109"/>
      <c r="AI215" s="1109"/>
      <c r="AJ215" s="1109"/>
      <c r="AK215" s="1108"/>
      <c r="AL215" s="2403"/>
      <c r="AM215" s="2403"/>
      <c r="AN215" s="2403"/>
      <c r="AO215" s="1108"/>
      <c r="AP215" s="1109"/>
      <c r="AQ215" s="1109"/>
      <c r="AR215" s="1109"/>
      <c r="AS215" s="1109"/>
      <c r="AT215" s="2409">
        <v>13</v>
      </c>
      <c r="AU215" s="1109"/>
      <c r="AV215" s="1109"/>
      <c r="AW215" s="1109"/>
      <c r="AX215" s="1109"/>
      <c r="AY215" s="1109"/>
      <c r="AZ215" s="1109"/>
      <c r="BA215" s="1109"/>
      <c r="BB215" s="1108"/>
      <c r="BC215" s="2402"/>
      <c r="BD215" s="2402"/>
      <c r="BE215" s="2402"/>
      <c r="BF215" s="1109"/>
      <c r="BG215" s="1109"/>
      <c r="BH215" s="1109"/>
      <c r="BI215" s="1109"/>
      <c r="BJ215" s="1109"/>
      <c r="BK215" s="2165">
        <f>$AT215*$AC215*$E215</f>
        <v>19500</v>
      </c>
      <c r="BL215" s="2165"/>
      <c r="BM215" s="1108"/>
      <c r="BN215" s="1108"/>
      <c r="BO215" s="1108"/>
      <c r="BP215" s="1108"/>
      <c r="BQ215" s="1108"/>
      <c r="BR215" s="1108"/>
      <c r="BS215" s="1108"/>
      <c r="BT215" s="2402"/>
      <c r="BU215" s="2402"/>
      <c r="BV215" s="2402"/>
      <c r="BW215" s="1109"/>
      <c r="BX215" s="1109"/>
      <c r="BY215" s="1109"/>
      <c r="BZ215" s="1109"/>
      <c r="CA215" s="1109"/>
      <c r="CB215" s="1109"/>
      <c r="CC215" s="1109"/>
      <c r="CD215" s="1109"/>
      <c r="CE215" s="1108"/>
      <c r="CF215" s="1108"/>
      <c r="CG215" s="1108"/>
      <c r="CH215" s="1108"/>
      <c r="CI215" s="1108"/>
      <c r="CJ215" s="1108"/>
      <c r="CK215" s="2402"/>
      <c r="CL215" s="2402"/>
      <c r="CM215" s="2402"/>
      <c r="CN215" s="1109"/>
      <c r="CO215" s="1109"/>
      <c r="CP215" s="1109"/>
      <c r="CQ215" s="1109"/>
      <c r="CR215" s="1109"/>
      <c r="CS215" s="1109"/>
      <c r="CT215" s="1109"/>
      <c r="CU215" s="1109"/>
      <c r="CV215" s="1109"/>
      <c r="CW215" s="1109"/>
      <c r="CX215" s="1109"/>
      <c r="CY215" s="1109"/>
      <c r="CZ215" s="1108"/>
      <c r="DA215" s="2402"/>
      <c r="DB215" s="2402"/>
      <c r="DC215" s="2402"/>
      <c r="DD215" s="1109"/>
      <c r="DE215" s="1109"/>
      <c r="DF215" s="1109"/>
      <c r="DG215" s="1109"/>
      <c r="DH215" s="1109"/>
      <c r="DI215" s="1109"/>
      <c r="DJ215" s="1109"/>
      <c r="DK215" s="1109"/>
    </row>
    <row r="216" spans="1:115">
      <c r="A216" s="164">
        <v>2</v>
      </c>
      <c r="B216" s="69" t="s">
        <v>1459</v>
      </c>
      <c r="C216" s="11" t="s">
        <v>598</v>
      </c>
      <c r="D216" s="648" t="s">
        <v>638</v>
      </c>
      <c r="E216" s="720">
        <v>1</v>
      </c>
      <c r="F216" s="342"/>
      <c r="G216" s="650">
        <v>60</v>
      </c>
      <c r="H216" s="1"/>
      <c r="I216" s="464"/>
      <c r="J216" s="464"/>
      <c r="K216" s="464"/>
      <c r="L216" s="84"/>
      <c r="M216" s="84"/>
      <c r="N216" s="84"/>
      <c r="O216" s="84"/>
      <c r="P216" s="84"/>
      <c r="Q216" s="84"/>
      <c r="R216" s="84"/>
      <c r="S216" s="84"/>
      <c r="T216" s="1"/>
      <c r="U216" s="464"/>
      <c r="V216" s="464"/>
      <c r="W216" s="464"/>
      <c r="X216" s="84"/>
      <c r="Y216" s="84"/>
      <c r="Z216" s="84"/>
      <c r="AA216" s="84"/>
      <c r="AB216" s="84"/>
      <c r="AC216" s="1073">
        <f t="shared" ref="AC216:AC221" si="15">AB246*(1+CB216)</f>
        <v>1545</v>
      </c>
      <c r="AD216" s="84"/>
      <c r="AE216" s="84"/>
      <c r="AF216" s="84"/>
      <c r="AG216" s="84"/>
      <c r="AH216" s="84"/>
      <c r="AI216" s="84"/>
      <c r="AJ216" s="84"/>
      <c r="AK216" s="6"/>
      <c r="AL216" s="275"/>
      <c r="AM216" s="275"/>
      <c r="AN216" s="275"/>
      <c r="AO216" s="6"/>
      <c r="AP216" s="84"/>
      <c r="AQ216" s="84"/>
      <c r="AR216" s="84"/>
      <c r="AS216" s="84"/>
      <c r="AT216" s="719">
        <v>13</v>
      </c>
      <c r="AU216" s="84"/>
      <c r="AV216" s="84"/>
      <c r="AW216" s="84"/>
      <c r="AX216" s="84"/>
      <c r="AY216" s="84"/>
      <c r="AZ216" s="84"/>
      <c r="BA216" s="84"/>
      <c r="BB216" s="6"/>
      <c r="BC216" s="464"/>
      <c r="BD216" s="464"/>
      <c r="BE216" s="464"/>
      <c r="BF216" s="84"/>
      <c r="BG216" s="84"/>
      <c r="BH216" s="84"/>
      <c r="BI216" s="84"/>
      <c r="BJ216" s="84"/>
      <c r="BK216" s="1068">
        <f t="shared" ref="BK216:BK235" si="16">$AT216*$AC216*$E216</f>
        <v>20085</v>
      </c>
      <c r="BL216" s="1068"/>
      <c r="BM216" s="6"/>
      <c r="BN216" s="6"/>
      <c r="BO216" s="6"/>
      <c r="BP216" s="6"/>
      <c r="BQ216" s="6"/>
      <c r="BR216" s="6"/>
      <c r="BS216" s="6"/>
      <c r="BT216" s="464"/>
      <c r="BU216" s="464"/>
      <c r="BV216" s="464"/>
      <c r="BW216" s="84"/>
      <c r="BX216" s="84"/>
      <c r="BY216" s="84"/>
      <c r="BZ216" s="84"/>
      <c r="CA216" s="84"/>
      <c r="CB216" s="130">
        <v>0.03</v>
      </c>
      <c r="CC216" s="84"/>
      <c r="CD216" s="84"/>
      <c r="CE216" s="6"/>
      <c r="CF216" s="6"/>
      <c r="CG216" s="6"/>
      <c r="CH216" s="6"/>
      <c r="CI216" s="6"/>
      <c r="CJ216" s="6"/>
      <c r="CK216" s="464"/>
      <c r="CL216" s="464"/>
      <c r="CM216" s="464"/>
      <c r="CN216" s="84"/>
      <c r="CO216" s="84"/>
      <c r="CP216" s="84"/>
      <c r="CQ216" s="84"/>
      <c r="CR216" s="84"/>
      <c r="CS216" s="84"/>
      <c r="CT216" s="84"/>
      <c r="CU216" s="84"/>
      <c r="CV216" s="84"/>
      <c r="CW216" s="84"/>
      <c r="CX216" s="84"/>
      <c r="CY216" s="84"/>
      <c r="CZ216" s="6"/>
      <c r="DA216" s="464"/>
      <c r="DB216" s="464"/>
      <c r="DC216" s="464"/>
      <c r="DD216" s="84"/>
      <c r="DE216" s="84"/>
      <c r="DF216" s="84"/>
      <c r="DG216" s="84"/>
      <c r="DH216" s="84"/>
      <c r="DI216" s="84"/>
      <c r="DJ216" s="84"/>
      <c r="DK216" s="84"/>
    </row>
    <row r="217" spans="1:115">
      <c r="A217" s="259">
        <v>7</v>
      </c>
      <c r="B217" s="6" t="s">
        <v>1456</v>
      </c>
      <c r="C217" s="6" t="s">
        <v>1457</v>
      </c>
      <c r="D217" s="645" t="s">
        <v>638</v>
      </c>
      <c r="E217" s="720">
        <v>0.5</v>
      </c>
      <c r="F217" s="342"/>
      <c r="G217" s="650">
        <v>60</v>
      </c>
      <c r="H217" s="1"/>
      <c r="I217" s="464"/>
      <c r="J217" s="464"/>
      <c r="K217" s="464"/>
      <c r="L217" s="84"/>
      <c r="M217" s="84"/>
      <c r="N217" s="84"/>
      <c r="O217" s="84"/>
      <c r="P217" s="84"/>
      <c r="Q217" s="84"/>
      <c r="R217" s="84"/>
      <c r="S217" s="84"/>
      <c r="T217" s="1"/>
      <c r="U217" s="464"/>
      <c r="V217" s="464"/>
      <c r="W217" s="464"/>
      <c r="X217" s="84"/>
      <c r="Y217" s="84"/>
      <c r="Z217" s="84"/>
      <c r="AA217" s="84"/>
      <c r="AB217" s="84"/>
      <c r="AC217" s="1073">
        <f t="shared" si="15"/>
        <v>2837.9075000000003</v>
      </c>
      <c r="AD217" s="84"/>
      <c r="AE217" s="84"/>
      <c r="AF217" s="84"/>
      <c r="AG217" s="84"/>
      <c r="AH217" s="84"/>
      <c r="AI217" s="84"/>
      <c r="AJ217" s="84"/>
      <c r="AK217" s="6"/>
      <c r="AL217" s="275"/>
      <c r="AM217" s="275"/>
      <c r="AN217" s="275"/>
      <c r="AO217" s="6"/>
      <c r="AP217" s="84"/>
      <c r="AQ217" s="84"/>
      <c r="AR217" s="84"/>
      <c r="AS217" s="84"/>
      <c r="AT217" s="719">
        <v>22</v>
      </c>
      <c r="AU217" s="84"/>
      <c r="AV217" s="84"/>
      <c r="AW217" s="84"/>
      <c r="AX217" s="84"/>
      <c r="AY217" s="84"/>
      <c r="AZ217" s="84"/>
      <c r="BA217" s="84"/>
      <c r="BB217" s="6"/>
      <c r="BC217" s="464"/>
      <c r="BD217" s="464"/>
      <c r="BE217" s="464"/>
      <c r="BF217" s="84"/>
      <c r="BG217" s="84"/>
      <c r="BH217" s="84"/>
      <c r="BI217" s="84"/>
      <c r="BJ217" s="84"/>
      <c r="BK217" s="1068">
        <f t="shared" si="16"/>
        <v>31216.982500000002</v>
      </c>
      <c r="BL217" s="1068"/>
      <c r="BM217" s="6"/>
      <c r="BN217" s="6"/>
      <c r="BO217" s="6"/>
      <c r="BP217" s="6"/>
      <c r="BQ217" s="6"/>
      <c r="BR217" s="6"/>
      <c r="BS217" s="6"/>
      <c r="BT217" s="464"/>
      <c r="BU217" s="464"/>
      <c r="BV217" s="464"/>
      <c r="BW217" s="84"/>
      <c r="BX217" s="84"/>
      <c r="BY217" s="84"/>
      <c r="BZ217" s="84"/>
      <c r="CA217" s="84"/>
      <c r="CB217" s="130">
        <v>0.03</v>
      </c>
      <c r="CC217" s="84"/>
      <c r="CD217" s="84"/>
      <c r="CE217" s="6"/>
      <c r="CF217" s="6"/>
      <c r="CG217" s="6"/>
      <c r="CH217" s="6"/>
      <c r="CI217" s="6"/>
      <c r="CJ217" s="6"/>
      <c r="CK217" s="464"/>
      <c r="CL217" s="464"/>
      <c r="CM217" s="464"/>
      <c r="CN217" s="84"/>
      <c r="CO217" s="84"/>
      <c r="CP217" s="84"/>
      <c r="CQ217" s="84"/>
      <c r="CR217" s="84"/>
      <c r="CS217" s="84"/>
      <c r="CT217" s="84"/>
      <c r="CU217" s="84"/>
      <c r="CV217" s="84"/>
      <c r="CW217" s="84"/>
      <c r="CX217" s="84"/>
      <c r="CY217" s="84"/>
      <c r="CZ217" s="6"/>
      <c r="DA217" s="464"/>
      <c r="DB217" s="464"/>
      <c r="DC217" s="464"/>
      <c r="DD217" s="84"/>
      <c r="DE217" s="84"/>
      <c r="DF217" s="84"/>
      <c r="DG217" s="84"/>
      <c r="DH217" s="84"/>
      <c r="DI217" s="84"/>
      <c r="DJ217" s="84"/>
      <c r="DK217" s="84"/>
    </row>
    <row r="218" spans="1:115">
      <c r="A218" s="259">
        <v>5</v>
      </c>
      <c r="B218" s="725" t="s">
        <v>593</v>
      </c>
      <c r="C218" s="6" t="s">
        <v>66</v>
      </c>
      <c r="D218" s="342" t="s">
        <v>638</v>
      </c>
      <c r="E218" s="720">
        <v>0.5</v>
      </c>
      <c r="F218" s="342"/>
      <c r="G218" s="650">
        <v>60</v>
      </c>
      <c r="H218" s="1"/>
      <c r="I218" s="464"/>
      <c r="J218" s="464"/>
      <c r="K218" s="464"/>
      <c r="L218" s="84"/>
      <c r="M218" s="84"/>
      <c r="N218" s="84"/>
      <c r="O218" s="84"/>
      <c r="P218" s="84"/>
      <c r="Q218" s="84"/>
      <c r="R218" s="84"/>
      <c r="S218" s="84"/>
      <c r="T218" s="1"/>
      <c r="U218" s="464"/>
      <c r="V218" s="464"/>
      <c r="W218" s="464"/>
      <c r="X218" s="84"/>
      <c r="Y218" s="84"/>
      <c r="Z218" s="84"/>
      <c r="AA218" s="84"/>
      <c r="AB218" s="84"/>
      <c r="AC218" s="1073">
        <f t="shared" si="15"/>
        <v>2837.9075000000003</v>
      </c>
      <c r="AD218" s="84"/>
      <c r="AE218" s="84"/>
      <c r="AF218" s="84"/>
      <c r="AG218" s="84"/>
      <c r="AH218" s="84"/>
      <c r="AI218" s="84"/>
      <c r="AJ218" s="84"/>
      <c r="AK218" s="6"/>
      <c r="AL218" s="275"/>
      <c r="AM218" s="275"/>
      <c r="AN218" s="275"/>
      <c r="AO218" s="6"/>
      <c r="AP218" s="84"/>
      <c r="AQ218" s="84"/>
      <c r="AR218" s="84"/>
      <c r="AS218" s="84"/>
      <c r="AT218" s="719">
        <v>22</v>
      </c>
      <c r="AU218" s="84"/>
      <c r="AV218" s="84"/>
      <c r="AW218" s="84"/>
      <c r="AX218" s="84"/>
      <c r="AY218" s="84"/>
      <c r="AZ218" s="84"/>
      <c r="BA218" s="84"/>
      <c r="BB218" s="6"/>
      <c r="BC218" s="464"/>
      <c r="BD218" s="464"/>
      <c r="BE218" s="464"/>
      <c r="BF218" s="84"/>
      <c r="BG218" s="84"/>
      <c r="BH218" s="84"/>
      <c r="BI218" s="84"/>
      <c r="BJ218" s="84"/>
      <c r="BK218" s="1068">
        <f t="shared" si="16"/>
        <v>31216.982500000002</v>
      </c>
      <c r="BL218" s="1068"/>
      <c r="BM218" s="6"/>
      <c r="BN218" s="6"/>
      <c r="BO218" s="6"/>
      <c r="BP218" s="6"/>
      <c r="BQ218" s="6"/>
      <c r="BR218" s="6"/>
      <c r="BS218" s="6"/>
      <c r="BT218" s="464"/>
      <c r="BU218" s="464"/>
      <c r="BV218" s="464"/>
      <c r="BW218" s="84"/>
      <c r="BX218" s="84"/>
      <c r="BY218" s="84"/>
      <c r="BZ218" s="84"/>
      <c r="CA218" s="84"/>
      <c r="CB218" s="130">
        <v>0.03</v>
      </c>
      <c r="CC218" s="84"/>
      <c r="CD218" s="84"/>
      <c r="CE218" s="6"/>
      <c r="CF218" s="6"/>
      <c r="CG218" s="6"/>
      <c r="CH218" s="6"/>
      <c r="CI218" s="6"/>
      <c r="CJ218" s="6"/>
      <c r="CK218" s="464"/>
      <c r="CL218" s="464"/>
      <c r="CM218" s="464"/>
      <c r="CN218" s="84"/>
      <c r="CO218" s="84"/>
      <c r="CP218" s="84"/>
      <c r="CQ218" s="84"/>
      <c r="CR218" s="84"/>
      <c r="CS218" s="84"/>
      <c r="CT218" s="84"/>
      <c r="CU218" s="84"/>
      <c r="CV218" s="84"/>
      <c r="CW218" s="84"/>
      <c r="CX218" s="84"/>
      <c r="CY218" s="84"/>
      <c r="CZ218" s="6"/>
      <c r="DA218" s="464"/>
      <c r="DB218" s="464"/>
      <c r="DC218" s="464"/>
      <c r="DD218" s="84"/>
      <c r="DE218" s="84"/>
      <c r="DF218" s="84"/>
      <c r="DG218" s="84"/>
      <c r="DH218" s="84"/>
      <c r="DI218" s="84"/>
      <c r="DJ218" s="84"/>
      <c r="DK218" s="84"/>
    </row>
    <row r="219" spans="1:115">
      <c r="A219" s="36">
        <v>10</v>
      </c>
      <c r="B219" s="6" t="s">
        <v>1477</v>
      </c>
      <c r="C219" s="6" t="s">
        <v>1478</v>
      </c>
      <c r="D219" s="645" t="s">
        <v>638</v>
      </c>
      <c r="E219" s="720">
        <v>0.5</v>
      </c>
      <c r="F219" s="342"/>
      <c r="G219" s="650">
        <v>60</v>
      </c>
      <c r="H219" s="1"/>
      <c r="I219" s="464"/>
      <c r="J219" s="464"/>
      <c r="K219" s="464"/>
      <c r="L219" s="84"/>
      <c r="M219" s="84"/>
      <c r="N219" s="84"/>
      <c r="O219" s="84"/>
      <c r="P219" s="84"/>
      <c r="Q219" s="84"/>
      <c r="R219" s="84"/>
      <c r="S219" s="84"/>
      <c r="T219" s="1"/>
      <c r="U219" s="464"/>
      <c r="V219" s="464"/>
      <c r="W219" s="464"/>
      <c r="X219" s="84"/>
      <c r="Y219" s="84"/>
      <c r="Z219" s="84"/>
      <c r="AA219" s="84"/>
      <c r="AB219" s="84"/>
      <c r="AC219" s="1073">
        <f t="shared" si="15"/>
        <v>2837.9075000000003</v>
      </c>
      <c r="AD219" s="84"/>
      <c r="AE219" s="84"/>
      <c r="AF219" s="84"/>
      <c r="AG219" s="84"/>
      <c r="AH219" s="84"/>
      <c r="AI219" s="84"/>
      <c r="AJ219" s="84"/>
      <c r="AK219" s="6"/>
      <c r="AL219" s="275"/>
      <c r="AM219" s="275"/>
      <c r="AN219" s="275"/>
      <c r="AO219" s="6"/>
      <c r="AP219" s="84"/>
      <c r="AQ219" s="84"/>
      <c r="AR219" s="84"/>
      <c r="AS219" s="84"/>
      <c r="AT219" s="719">
        <v>22</v>
      </c>
      <c r="AU219" s="84"/>
      <c r="AV219" s="84"/>
      <c r="AW219" s="84"/>
      <c r="AX219" s="84"/>
      <c r="AY219" s="84"/>
      <c r="AZ219" s="84"/>
      <c r="BA219" s="84"/>
      <c r="BB219" s="6"/>
      <c r="BC219" s="464"/>
      <c r="BD219" s="464"/>
      <c r="BE219" s="464"/>
      <c r="BF219" s="84"/>
      <c r="BG219" s="84"/>
      <c r="BH219" s="84"/>
      <c r="BI219" s="84"/>
      <c r="BJ219" s="84"/>
      <c r="BK219" s="1068">
        <f t="shared" si="16"/>
        <v>31216.982500000002</v>
      </c>
      <c r="BL219" s="1068"/>
      <c r="BM219" s="6"/>
      <c r="BN219" s="6"/>
      <c r="BO219" s="6"/>
      <c r="BP219" s="6"/>
      <c r="BQ219" s="6"/>
      <c r="BR219" s="6"/>
      <c r="BS219" s="6"/>
      <c r="BT219" s="464"/>
      <c r="BU219" s="464"/>
      <c r="BV219" s="464"/>
      <c r="BW219" s="84"/>
      <c r="BX219" s="84"/>
      <c r="BY219" s="84"/>
      <c r="BZ219" s="84"/>
      <c r="CA219" s="84"/>
      <c r="CB219" s="130">
        <v>0.03</v>
      </c>
      <c r="CC219" s="84"/>
      <c r="CD219" s="84"/>
      <c r="CE219" s="6"/>
      <c r="CF219" s="6"/>
      <c r="CG219" s="6"/>
      <c r="CH219" s="6"/>
      <c r="CI219" s="6"/>
      <c r="CJ219" s="6"/>
      <c r="CK219" s="464"/>
      <c r="CL219" s="464"/>
      <c r="CM219" s="464"/>
      <c r="CN219" s="84"/>
      <c r="CO219" s="84"/>
      <c r="CP219" s="84"/>
      <c r="CQ219" s="84"/>
      <c r="CR219" s="84"/>
      <c r="CS219" s="84"/>
      <c r="CT219" s="84"/>
      <c r="CU219" s="84"/>
      <c r="CV219" s="84"/>
      <c r="CW219" s="84"/>
      <c r="CX219" s="84"/>
      <c r="CY219" s="84"/>
      <c r="CZ219" s="6"/>
      <c r="DA219" s="464"/>
      <c r="DB219" s="464"/>
      <c r="DC219" s="464"/>
      <c r="DD219" s="84"/>
      <c r="DE219" s="84"/>
      <c r="DF219" s="84"/>
      <c r="DG219" s="84"/>
      <c r="DH219" s="84"/>
      <c r="DI219" s="84"/>
      <c r="DJ219" s="84"/>
      <c r="DK219" s="84"/>
    </row>
    <row r="220" spans="1:115">
      <c r="A220" s="259">
        <v>8</v>
      </c>
      <c r="B220" s="6" t="s">
        <v>1464</v>
      </c>
      <c r="C220" s="6" t="s">
        <v>1465</v>
      </c>
      <c r="D220" s="645" t="s">
        <v>638</v>
      </c>
      <c r="E220" s="720">
        <v>0.5</v>
      </c>
      <c r="F220" s="342"/>
      <c r="G220" s="650">
        <v>60</v>
      </c>
      <c r="H220" s="1"/>
      <c r="I220" s="464"/>
      <c r="J220" s="464"/>
      <c r="K220" s="464"/>
      <c r="L220" s="84"/>
      <c r="M220" s="84"/>
      <c r="N220" s="84"/>
      <c r="O220" s="84"/>
      <c r="P220" s="84"/>
      <c r="Q220" s="84"/>
      <c r="R220" s="84"/>
      <c r="S220" s="84"/>
      <c r="T220" s="1"/>
      <c r="U220" s="464"/>
      <c r="V220" s="464"/>
      <c r="W220" s="464"/>
      <c r="X220" s="84"/>
      <c r="Y220" s="84"/>
      <c r="Z220" s="84"/>
      <c r="AA220" s="84"/>
      <c r="AB220" s="84"/>
      <c r="AC220" s="1073">
        <f t="shared" si="15"/>
        <v>2837.9075000000003</v>
      </c>
      <c r="AD220" s="84"/>
      <c r="AE220" s="84"/>
      <c r="AF220" s="84"/>
      <c r="AG220" s="84"/>
      <c r="AH220" s="84"/>
      <c r="AI220" s="84"/>
      <c r="AJ220" s="84"/>
      <c r="AK220" s="6"/>
      <c r="AL220" s="275"/>
      <c r="AM220" s="275"/>
      <c r="AN220" s="275"/>
      <c r="AO220" s="6"/>
      <c r="AP220" s="84"/>
      <c r="AQ220" s="84"/>
      <c r="AR220" s="84"/>
      <c r="AS220" s="84"/>
      <c r="AT220" s="719">
        <v>22</v>
      </c>
      <c r="AU220" s="84"/>
      <c r="AV220" s="84"/>
      <c r="AW220" s="84"/>
      <c r="AX220" s="84"/>
      <c r="AY220" s="84"/>
      <c r="AZ220" s="84"/>
      <c r="BA220" s="84"/>
      <c r="BB220" s="6"/>
      <c r="BC220" s="464"/>
      <c r="BD220" s="464"/>
      <c r="BE220" s="464"/>
      <c r="BF220" s="84"/>
      <c r="BG220" s="84"/>
      <c r="BH220" s="84"/>
      <c r="BI220" s="84"/>
      <c r="BJ220" s="84"/>
      <c r="BK220" s="1068">
        <f t="shared" si="16"/>
        <v>31216.982500000002</v>
      </c>
      <c r="BL220" s="1068"/>
      <c r="BM220" s="6"/>
      <c r="BN220" s="6"/>
      <c r="BO220" s="6"/>
      <c r="BP220" s="6"/>
      <c r="BQ220" s="6"/>
      <c r="BR220" s="6"/>
      <c r="BS220" s="6"/>
      <c r="BT220" s="464"/>
      <c r="BU220" s="464"/>
      <c r="BV220" s="464"/>
      <c r="BW220" s="84"/>
      <c r="BX220" s="84"/>
      <c r="BY220" s="84"/>
      <c r="BZ220" s="84"/>
      <c r="CA220" s="84"/>
      <c r="CB220" s="130">
        <v>0.03</v>
      </c>
      <c r="CC220" s="84"/>
      <c r="CD220" s="84"/>
      <c r="CE220" s="6"/>
      <c r="CF220" s="6"/>
      <c r="CG220" s="6"/>
      <c r="CH220" s="6"/>
      <c r="CI220" s="6"/>
      <c r="CJ220" s="6"/>
      <c r="CK220" s="464"/>
      <c r="CL220" s="464"/>
      <c r="CM220" s="464"/>
      <c r="CN220" s="84"/>
      <c r="CO220" s="84"/>
      <c r="CP220" s="84"/>
      <c r="CQ220" s="84"/>
      <c r="CR220" s="84"/>
      <c r="CS220" s="84"/>
      <c r="CT220" s="84"/>
      <c r="CU220" s="84"/>
      <c r="CV220" s="84"/>
      <c r="CW220" s="84"/>
      <c r="CX220" s="84"/>
      <c r="CY220" s="84"/>
      <c r="CZ220" s="6"/>
      <c r="DA220" s="464"/>
      <c r="DB220" s="464"/>
      <c r="DC220" s="464"/>
      <c r="DD220" s="84"/>
      <c r="DE220" s="84"/>
      <c r="DF220" s="84"/>
      <c r="DG220" s="84"/>
      <c r="DH220" s="84"/>
      <c r="DI220" s="84"/>
      <c r="DJ220" s="84"/>
      <c r="DK220" s="84"/>
    </row>
    <row r="221" spans="1:115">
      <c r="A221" s="86">
        <v>6</v>
      </c>
      <c r="B221" s="6" t="s">
        <v>1453</v>
      </c>
      <c r="C221" s="6" t="s">
        <v>1454</v>
      </c>
      <c r="D221" s="645" t="s">
        <v>638</v>
      </c>
      <c r="E221" s="720">
        <v>0.5</v>
      </c>
      <c r="F221" s="342"/>
      <c r="G221" s="650">
        <v>60</v>
      </c>
      <c r="H221" s="1"/>
      <c r="I221" s="464"/>
      <c r="J221" s="464"/>
      <c r="K221" s="464"/>
      <c r="L221" s="84"/>
      <c r="M221" s="84"/>
      <c r="N221" s="84"/>
      <c r="O221" s="84"/>
      <c r="P221" s="84"/>
      <c r="Q221" s="84"/>
      <c r="R221" s="84"/>
      <c r="S221" s="84"/>
      <c r="T221" s="1"/>
      <c r="U221" s="464"/>
      <c r="V221" s="464"/>
      <c r="W221" s="464"/>
      <c r="X221" s="84"/>
      <c r="Y221" s="84"/>
      <c r="Z221" s="84"/>
      <c r="AA221" s="84"/>
      <c r="AB221" s="84"/>
      <c r="AC221" s="1073">
        <f t="shared" si="15"/>
        <v>2837.9075000000003</v>
      </c>
      <c r="AD221" s="84"/>
      <c r="AE221" s="84"/>
      <c r="AF221" s="84"/>
      <c r="AG221" s="84"/>
      <c r="AH221" s="84"/>
      <c r="AI221" s="84"/>
      <c r="AJ221" s="84"/>
      <c r="AK221" s="6"/>
      <c r="AL221" s="275"/>
      <c r="AM221" s="275"/>
      <c r="AN221" s="275"/>
      <c r="AO221" s="6"/>
      <c r="AP221" s="84"/>
      <c r="AQ221" s="84"/>
      <c r="AR221" s="84"/>
      <c r="AS221" s="84"/>
      <c r="AT221" s="719">
        <v>22</v>
      </c>
      <c r="AU221" s="84"/>
      <c r="AV221" s="84"/>
      <c r="AW221" s="84"/>
      <c r="AX221" s="84"/>
      <c r="AY221" s="84"/>
      <c r="AZ221" s="84"/>
      <c r="BA221" s="84"/>
      <c r="BB221" s="6"/>
      <c r="BC221" s="464"/>
      <c r="BD221" s="464"/>
      <c r="BE221" s="464"/>
      <c r="BF221" s="84"/>
      <c r="BG221" s="84"/>
      <c r="BH221" s="84"/>
      <c r="BI221" s="84"/>
      <c r="BJ221" s="84"/>
      <c r="BK221" s="1068">
        <f t="shared" si="16"/>
        <v>31216.982500000002</v>
      </c>
      <c r="BL221" s="1068"/>
      <c r="BM221" s="6"/>
      <c r="BN221" s="6"/>
      <c r="BO221" s="6"/>
      <c r="BP221" s="6"/>
      <c r="BQ221" s="6"/>
      <c r="BR221" s="6"/>
      <c r="BS221" s="6"/>
      <c r="BT221" s="464"/>
      <c r="BU221" s="464"/>
      <c r="BV221" s="464"/>
      <c r="BW221" s="84"/>
      <c r="BX221" s="84"/>
      <c r="BY221" s="84"/>
      <c r="BZ221" s="84"/>
      <c r="CA221" s="84"/>
      <c r="CB221" s="130">
        <v>0.03</v>
      </c>
      <c r="CC221" s="84"/>
      <c r="CD221" s="84"/>
      <c r="CE221" s="6"/>
      <c r="CF221" s="6"/>
      <c r="CG221" s="6"/>
      <c r="CH221" s="6"/>
      <c r="CI221" s="6"/>
      <c r="CJ221" s="6"/>
      <c r="CK221" s="464"/>
      <c r="CL221" s="464"/>
      <c r="CM221" s="464"/>
      <c r="CN221" s="84"/>
      <c r="CO221" s="84"/>
      <c r="CP221" s="84"/>
      <c r="CQ221" s="84"/>
      <c r="CR221" s="84"/>
      <c r="CS221" s="84"/>
      <c r="CT221" s="84"/>
      <c r="CU221" s="84"/>
      <c r="CV221" s="84"/>
      <c r="CW221" s="84"/>
      <c r="CX221" s="84"/>
      <c r="CY221" s="84"/>
      <c r="CZ221" s="6"/>
      <c r="DA221" s="464"/>
      <c r="DB221" s="464"/>
      <c r="DC221" s="464"/>
      <c r="DD221" s="84"/>
      <c r="DE221" s="84"/>
      <c r="DF221" s="84"/>
      <c r="DG221" s="84"/>
      <c r="DH221" s="84"/>
      <c r="DI221" s="84"/>
      <c r="DJ221" s="84"/>
      <c r="DK221" s="84"/>
    </row>
    <row r="222" spans="1:115">
      <c r="A222" s="36">
        <v>2</v>
      </c>
      <c r="B222" s="473" t="s">
        <v>611</v>
      </c>
      <c r="C222" s="11" t="s">
        <v>598</v>
      </c>
      <c r="D222" s="645" t="s">
        <v>638</v>
      </c>
      <c r="E222" s="720">
        <v>1</v>
      </c>
      <c r="F222" s="342"/>
      <c r="G222" s="650">
        <v>60</v>
      </c>
      <c r="H222" s="1"/>
      <c r="I222" s="464"/>
      <c r="J222" s="464"/>
      <c r="K222" s="464"/>
      <c r="L222" s="84"/>
      <c r="M222" s="84"/>
      <c r="N222" s="84"/>
      <c r="O222" s="84"/>
      <c r="P222" s="84"/>
      <c r="Q222" s="84"/>
      <c r="R222" s="84"/>
      <c r="S222" s="84"/>
      <c r="T222" s="1"/>
      <c r="U222" s="464"/>
      <c r="V222" s="464"/>
      <c r="W222" s="464"/>
      <c r="X222" s="84"/>
      <c r="Y222" s="84"/>
      <c r="Z222" s="84"/>
      <c r="AA222" s="84"/>
      <c r="AB222" s="84"/>
      <c r="AC222" s="1073">
        <f>AB253*(1+CB222)</f>
        <v>1236</v>
      </c>
      <c r="AD222" s="84"/>
      <c r="AE222" s="84"/>
      <c r="AF222" s="84"/>
      <c r="AG222" s="84"/>
      <c r="AH222" s="84"/>
      <c r="AI222" s="84"/>
      <c r="AJ222" s="84"/>
      <c r="AK222" s="6"/>
      <c r="AL222" s="275"/>
      <c r="AM222" s="275"/>
      <c r="AN222" s="275"/>
      <c r="AO222" s="6"/>
      <c r="AP222" s="84"/>
      <c r="AQ222" s="84"/>
      <c r="AR222" s="84"/>
      <c r="AS222" s="84"/>
      <c r="AT222" s="719">
        <v>13</v>
      </c>
      <c r="AU222" s="84"/>
      <c r="AV222" s="84"/>
      <c r="AW222" s="84"/>
      <c r="AX222" s="84"/>
      <c r="AY222" s="84"/>
      <c r="AZ222" s="84"/>
      <c r="BA222" s="84"/>
      <c r="BB222" s="6"/>
      <c r="BC222" s="464"/>
      <c r="BD222" s="464"/>
      <c r="BE222" s="464"/>
      <c r="BF222" s="84"/>
      <c r="BG222" s="84"/>
      <c r="BH222" s="84"/>
      <c r="BI222" s="84"/>
      <c r="BJ222" s="84"/>
      <c r="BK222" s="1068">
        <f t="shared" si="16"/>
        <v>16068</v>
      </c>
      <c r="BL222" s="1068"/>
      <c r="BM222" s="6"/>
      <c r="BN222" s="6"/>
      <c r="BO222" s="6"/>
      <c r="BP222" s="6"/>
      <c r="BQ222" s="6"/>
      <c r="BR222" s="6"/>
      <c r="BS222" s="6"/>
      <c r="BT222" s="464"/>
      <c r="BU222" s="464"/>
      <c r="BV222" s="464"/>
      <c r="BW222" s="84"/>
      <c r="BX222" s="84"/>
      <c r="BY222" s="84"/>
      <c r="BZ222" s="84"/>
      <c r="CA222" s="84"/>
      <c r="CB222" s="130">
        <v>0.03</v>
      </c>
      <c r="CC222" s="84"/>
      <c r="CD222" s="84"/>
      <c r="CE222" s="6"/>
      <c r="CF222" s="6"/>
      <c r="CG222" s="6"/>
      <c r="CH222" s="6"/>
      <c r="CI222" s="6"/>
      <c r="CJ222" s="6"/>
      <c r="CK222" s="464"/>
      <c r="CL222" s="464"/>
      <c r="CM222" s="464"/>
      <c r="CN222" s="84"/>
      <c r="CO222" s="84"/>
      <c r="CP222" s="84"/>
      <c r="CQ222" s="84"/>
      <c r="CR222" s="84"/>
      <c r="CS222" s="84"/>
      <c r="CT222" s="84"/>
      <c r="CU222" s="84"/>
      <c r="CV222" s="84"/>
      <c r="CW222" s="84"/>
      <c r="CX222" s="84"/>
      <c r="CY222" s="84"/>
      <c r="CZ222" s="6"/>
      <c r="DA222" s="464"/>
      <c r="DB222" s="464"/>
      <c r="DC222" s="464"/>
      <c r="DD222" s="84"/>
      <c r="DE222" s="84"/>
      <c r="DF222" s="84"/>
      <c r="DG222" s="84"/>
      <c r="DH222" s="84"/>
      <c r="DI222" s="84"/>
      <c r="DJ222" s="84"/>
      <c r="DK222" s="84"/>
    </row>
    <row r="223" spans="1:115">
      <c r="A223" s="164">
        <v>2</v>
      </c>
      <c r="B223" s="69" t="s">
        <v>929</v>
      </c>
      <c r="C223" s="11" t="s">
        <v>598</v>
      </c>
      <c r="D223" s="648" t="s">
        <v>638</v>
      </c>
      <c r="E223" s="1069">
        <v>0.5</v>
      </c>
      <c r="F223" s="342"/>
      <c r="G223" s="650">
        <v>30</v>
      </c>
      <c r="H223" s="1"/>
      <c r="I223" s="464"/>
      <c r="J223" s="464"/>
      <c r="K223" s="464"/>
      <c r="L223" s="84"/>
      <c r="M223" s="84"/>
      <c r="N223" s="84"/>
      <c r="O223" s="84"/>
      <c r="P223" s="84"/>
      <c r="Q223" s="84"/>
      <c r="R223" s="84"/>
      <c r="S223" s="84"/>
      <c r="T223" s="1"/>
      <c r="U223" s="464"/>
      <c r="V223" s="464"/>
      <c r="W223" s="464"/>
      <c r="X223" s="84"/>
      <c r="Y223" s="84"/>
      <c r="Z223" s="84"/>
      <c r="AA223" s="84"/>
      <c r="AB223" s="84"/>
      <c r="AC223" s="1073">
        <f>AB254*(1+CB223)</f>
        <v>1545</v>
      </c>
      <c r="AD223" s="84"/>
      <c r="AE223" s="84"/>
      <c r="AF223" s="84"/>
      <c r="AG223" s="84"/>
      <c r="AH223" s="84"/>
      <c r="AI223" s="84"/>
      <c r="AJ223" s="84"/>
      <c r="AK223" s="6"/>
      <c r="AL223" s="275"/>
      <c r="AM223" s="275"/>
      <c r="AN223" s="275"/>
      <c r="AO223" s="6"/>
      <c r="AP223" s="84"/>
      <c r="AQ223" s="84"/>
      <c r="AR223" s="84"/>
      <c r="AS223" s="84"/>
      <c r="AT223" s="719">
        <v>13</v>
      </c>
      <c r="AU223" s="84"/>
      <c r="AV223" s="84"/>
      <c r="AW223" s="84"/>
      <c r="AX223" s="84"/>
      <c r="AY223" s="84"/>
      <c r="AZ223" s="84"/>
      <c r="BA223" s="84"/>
      <c r="BB223" s="6"/>
      <c r="BC223" s="464"/>
      <c r="BD223" s="464"/>
      <c r="BE223" s="464"/>
      <c r="BF223" s="84"/>
      <c r="BG223" s="84"/>
      <c r="BH223" s="84"/>
      <c r="BI223" s="84"/>
      <c r="BJ223" s="84"/>
      <c r="BK223" s="1068">
        <f t="shared" si="16"/>
        <v>10042.5</v>
      </c>
      <c r="BL223" s="1068"/>
      <c r="BM223" s="6"/>
      <c r="BN223" s="6"/>
      <c r="BO223" s="6"/>
      <c r="BP223" s="6"/>
      <c r="BQ223" s="6"/>
      <c r="BR223" s="6"/>
      <c r="BS223" s="6"/>
      <c r="BT223" s="464"/>
      <c r="BU223" s="464"/>
      <c r="BV223" s="464"/>
      <c r="BW223" s="84"/>
      <c r="BX223" s="84"/>
      <c r="BY223" s="84"/>
      <c r="BZ223" s="84"/>
      <c r="CA223" s="84"/>
      <c r="CB223" s="130">
        <v>0.03</v>
      </c>
      <c r="CC223" s="84"/>
      <c r="CD223" s="84"/>
      <c r="CE223" s="6"/>
      <c r="CF223" s="6"/>
      <c r="CG223" s="6"/>
      <c r="CH223" s="6"/>
      <c r="CI223" s="6"/>
      <c r="CJ223" s="6"/>
      <c r="CK223" s="464"/>
      <c r="CL223" s="464"/>
      <c r="CM223" s="464"/>
      <c r="CN223" s="84"/>
      <c r="CO223" s="84"/>
      <c r="CP223" s="84"/>
      <c r="CQ223" s="84"/>
      <c r="CR223" s="84"/>
      <c r="CS223" s="84"/>
      <c r="CT223" s="84"/>
      <c r="CU223" s="84"/>
      <c r="CV223" s="84"/>
      <c r="CW223" s="84"/>
      <c r="CX223" s="84"/>
      <c r="CY223" s="84"/>
      <c r="CZ223" s="6"/>
      <c r="DA223" s="464"/>
      <c r="DB223" s="464"/>
      <c r="DC223" s="464"/>
      <c r="DD223" s="84"/>
      <c r="DE223" s="84"/>
      <c r="DF223" s="84"/>
      <c r="DG223" s="84"/>
      <c r="DH223" s="84"/>
      <c r="DI223" s="84"/>
      <c r="DJ223" s="84"/>
      <c r="DK223" s="84"/>
    </row>
    <row r="224" spans="1:115">
      <c r="A224" s="86">
        <v>5</v>
      </c>
      <c r="B224" s="84" t="s">
        <v>930</v>
      </c>
      <c r="C224" s="6" t="s">
        <v>66</v>
      </c>
      <c r="D224" s="645" t="s">
        <v>638</v>
      </c>
      <c r="E224" s="720">
        <v>0.5</v>
      </c>
      <c r="F224" s="342"/>
      <c r="G224" s="650">
        <v>60</v>
      </c>
      <c r="H224" s="1"/>
      <c r="I224" s="464"/>
      <c r="J224" s="464"/>
      <c r="K224" s="464"/>
      <c r="L224" s="84"/>
      <c r="M224" s="84"/>
      <c r="N224" s="84"/>
      <c r="O224" s="84"/>
      <c r="P224" s="84"/>
      <c r="Q224" s="84"/>
      <c r="R224" s="84"/>
      <c r="S224" s="84"/>
      <c r="T224" s="1"/>
      <c r="U224" s="464"/>
      <c r="V224" s="464"/>
      <c r="W224" s="464"/>
      <c r="X224" s="84"/>
      <c r="Y224" s="84"/>
      <c r="Z224" s="84"/>
      <c r="AA224" s="84"/>
      <c r="AB224" s="84"/>
      <c r="AC224" s="1073">
        <f>AB255*(1+CB224)</f>
        <v>2948.1175000000003</v>
      </c>
      <c r="AD224" s="84"/>
      <c r="AE224" s="84"/>
      <c r="AF224" s="84"/>
      <c r="AG224" s="84"/>
      <c r="AH224" s="84"/>
      <c r="AI224" s="84"/>
      <c r="AJ224" s="84"/>
      <c r="AK224" s="6"/>
      <c r="AL224" s="275"/>
      <c r="AM224" s="275"/>
      <c r="AN224" s="275"/>
      <c r="AO224" s="6"/>
      <c r="AP224" s="84"/>
      <c r="AQ224" s="84"/>
      <c r="AR224" s="84"/>
      <c r="AS224" s="84" t="s">
        <v>337</v>
      </c>
      <c r="AT224" s="719">
        <v>22</v>
      </c>
      <c r="AU224" s="84"/>
      <c r="AV224" s="84"/>
      <c r="AW224" s="84"/>
      <c r="AX224" s="84"/>
      <c r="AY224" s="84"/>
      <c r="AZ224" s="84"/>
      <c r="BA224" s="84"/>
      <c r="BB224" s="6"/>
      <c r="BC224" s="464"/>
      <c r="BD224" s="464"/>
      <c r="BE224" s="464"/>
      <c r="BF224" s="84"/>
      <c r="BG224" s="84"/>
      <c r="BH224" s="84"/>
      <c r="BI224" s="84"/>
      <c r="BJ224" s="84"/>
      <c r="BK224" s="1068">
        <f t="shared" si="16"/>
        <v>32429.292500000003</v>
      </c>
      <c r="BL224" s="1068"/>
      <c r="BM224" s="6"/>
      <c r="BN224" s="6"/>
      <c r="BO224" s="6"/>
      <c r="BP224" s="6"/>
      <c r="BQ224" s="6"/>
      <c r="BR224" s="6"/>
      <c r="BS224" s="6"/>
      <c r="BT224" s="464"/>
      <c r="BU224" s="464"/>
      <c r="BV224" s="464"/>
      <c r="BW224" s="84"/>
      <c r="BX224" s="84"/>
      <c r="BY224" s="84"/>
      <c r="BZ224" s="84"/>
      <c r="CA224" s="84"/>
      <c r="CB224" s="130">
        <v>0.03</v>
      </c>
      <c r="CC224" s="84"/>
      <c r="CD224" s="84"/>
      <c r="CE224" s="6"/>
      <c r="CF224" s="6"/>
      <c r="CG224" s="6"/>
      <c r="CH224" s="6"/>
      <c r="CI224" s="6"/>
      <c r="CJ224" s="6"/>
      <c r="CK224" s="464"/>
      <c r="CL224" s="464"/>
      <c r="CM224" s="464"/>
      <c r="CN224" s="84"/>
      <c r="CO224" s="84"/>
      <c r="CP224" s="84"/>
      <c r="CQ224" s="84"/>
      <c r="CR224" s="84"/>
      <c r="CS224" s="84"/>
      <c r="CT224" s="84"/>
      <c r="CU224" s="84"/>
      <c r="CV224" s="84"/>
      <c r="CW224" s="84"/>
      <c r="CX224" s="84"/>
      <c r="CY224" s="84"/>
      <c r="CZ224" s="6"/>
      <c r="DA224" s="464"/>
      <c r="DB224" s="464"/>
      <c r="DC224" s="464"/>
      <c r="DD224" s="84"/>
      <c r="DE224" s="84"/>
      <c r="DF224" s="84"/>
      <c r="DG224" s="84"/>
      <c r="DH224" s="84"/>
      <c r="DI224" s="84"/>
      <c r="DJ224" s="84"/>
      <c r="DK224" s="84"/>
    </row>
    <row r="225" spans="1:115">
      <c r="A225" s="36">
        <v>3</v>
      </c>
      <c r="B225" s="473" t="s">
        <v>612</v>
      </c>
      <c r="C225" s="11" t="s">
        <v>598</v>
      </c>
      <c r="D225" s="645" t="s">
        <v>595</v>
      </c>
      <c r="E225" s="720">
        <v>0.5</v>
      </c>
      <c r="F225" s="342"/>
      <c r="G225" s="650">
        <v>60</v>
      </c>
      <c r="H225" s="1"/>
      <c r="I225" s="464"/>
      <c r="J225" s="464"/>
      <c r="K225" s="464"/>
      <c r="L225" s="84"/>
      <c r="M225" s="84"/>
      <c r="N225" s="84"/>
      <c r="O225" s="84"/>
      <c r="P225" s="84"/>
      <c r="Q225" s="84"/>
      <c r="R225" s="84"/>
      <c r="S225" s="84"/>
      <c r="T225" s="1"/>
      <c r="U225" s="464"/>
      <c r="V225" s="464"/>
      <c r="W225" s="464"/>
      <c r="X225" s="84"/>
      <c r="Y225" s="84"/>
      <c r="Z225" s="84"/>
      <c r="AA225" s="84"/>
      <c r="AB225" s="84"/>
      <c r="AC225" s="1073">
        <f>AB256*(1+CB225)</f>
        <v>2121.8000000000002</v>
      </c>
      <c r="AD225" s="84"/>
      <c r="AE225" s="84"/>
      <c r="AF225" s="84"/>
      <c r="AG225" s="84"/>
      <c r="AH225" s="84"/>
      <c r="AI225" s="84"/>
      <c r="AJ225" s="84"/>
      <c r="AK225" s="6"/>
      <c r="AL225" s="275"/>
      <c r="AM225" s="275"/>
      <c r="AN225" s="275"/>
      <c r="AO225" s="6"/>
      <c r="AP225" s="84"/>
      <c r="AQ225" s="84"/>
      <c r="AR225" s="84"/>
      <c r="AS225" s="84"/>
      <c r="AT225" s="719">
        <v>22</v>
      </c>
      <c r="AU225" s="84"/>
      <c r="AV225" s="84"/>
      <c r="AW225" s="84"/>
      <c r="AX225" s="84"/>
      <c r="AY225" s="84"/>
      <c r="AZ225" s="84"/>
      <c r="BA225" s="84"/>
      <c r="BB225" s="6"/>
      <c r="BC225" s="464"/>
      <c r="BD225" s="464"/>
      <c r="BE225" s="464"/>
      <c r="BF225" s="84"/>
      <c r="BG225" s="84"/>
      <c r="BH225" s="84"/>
      <c r="BI225" s="84"/>
      <c r="BJ225" s="84"/>
      <c r="BK225" s="1068">
        <f t="shared" si="16"/>
        <v>23339.800000000003</v>
      </c>
      <c r="BL225" s="1068"/>
      <c r="BM225" s="6"/>
      <c r="BN225" s="6"/>
      <c r="BO225" s="6"/>
      <c r="BP225" s="6"/>
      <c r="BQ225" s="6"/>
      <c r="BR225" s="6"/>
      <c r="BS225" s="6"/>
      <c r="BT225" s="464"/>
      <c r="BU225" s="464"/>
      <c r="BV225" s="464"/>
      <c r="BW225" s="84"/>
      <c r="BX225" s="84"/>
      <c r="BY225" s="84"/>
      <c r="BZ225" s="84"/>
      <c r="CA225" s="84"/>
      <c r="CB225" s="130">
        <v>0.03</v>
      </c>
      <c r="CC225" s="84"/>
      <c r="CD225" s="84"/>
      <c r="CE225" s="6"/>
      <c r="CF225" s="6"/>
      <c r="CG225" s="6"/>
      <c r="CH225" s="6"/>
      <c r="CI225" s="6"/>
      <c r="CJ225" s="6"/>
      <c r="CK225" s="464"/>
      <c r="CL225" s="464"/>
      <c r="CM225" s="464"/>
      <c r="CN225" s="84"/>
      <c r="CO225" s="84"/>
      <c r="CP225" s="84"/>
      <c r="CQ225" s="84"/>
      <c r="CR225" s="84"/>
      <c r="CS225" s="84"/>
      <c r="CT225" s="84"/>
      <c r="CU225" s="84"/>
      <c r="CV225" s="84"/>
      <c r="CW225" s="84"/>
      <c r="CX225" s="84"/>
      <c r="CY225" s="84"/>
      <c r="CZ225" s="6"/>
      <c r="DA225" s="464"/>
      <c r="DB225" s="464"/>
      <c r="DC225" s="464"/>
      <c r="DD225" s="84"/>
      <c r="DE225" s="84"/>
      <c r="DF225" s="84"/>
      <c r="DG225" s="84"/>
      <c r="DH225" s="84"/>
      <c r="DI225" s="84"/>
      <c r="DJ225" s="84"/>
      <c r="DK225" s="84"/>
    </row>
    <row r="226" spans="1:115">
      <c r="A226" s="164">
        <v>6</v>
      </c>
      <c r="B226" s="69" t="s">
        <v>1449</v>
      </c>
      <c r="C226" s="11" t="s">
        <v>598</v>
      </c>
      <c r="D226" s="648" t="s">
        <v>1450</v>
      </c>
      <c r="E226" s="720">
        <v>1</v>
      </c>
      <c r="F226" s="342"/>
      <c r="G226" s="650">
        <v>60</v>
      </c>
      <c r="H226" s="1"/>
      <c r="I226" s="464"/>
      <c r="J226" s="464"/>
      <c r="K226" s="464"/>
      <c r="L226" s="84"/>
      <c r="M226" s="84"/>
      <c r="N226" s="84"/>
      <c r="O226" s="84"/>
      <c r="P226" s="84"/>
      <c r="Q226" s="84"/>
      <c r="R226" s="84"/>
      <c r="S226" s="84"/>
      <c r="T226" s="1"/>
      <c r="U226" s="464"/>
      <c r="V226" s="464"/>
      <c r="W226" s="464"/>
      <c r="X226" s="84"/>
      <c r="Y226" s="84"/>
      <c r="Z226" s="84"/>
      <c r="AA226" s="84"/>
      <c r="AB226" s="84"/>
      <c r="AC226" s="1073">
        <f>AB258*(1+CB226)</f>
        <v>2270.3260000000005</v>
      </c>
      <c r="AD226" s="84"/>
      <c r="AE226" s="84"/>
      <c r="AF226" s="84"/>
      <c r="AG226" s="84"/>
      <c r="AH226" s="84"/>
      <c r="AI226" s="84"/>
      <c r="AJ226" s="84"/>
      <c r="AK226" s="6"/>
      <c r="AL226" s="275"/>
      <c r="AM226" s="275"/>
      <c r="AN226" s="275"/>
      <c r="AO226" s="6"/>
      <c r="AP226" s="84"/>
      <c r="AQ226" s="84"/>
      <c r="AR226" s="84"/>
      <c r="AS226" s="84"/>
      <c r="AT226" s="719">
        <v>22</v>
      </c>
      <c r="AU226" s="84"/>
      <c r="AV226" s="84"/>
      <c r="AW226" s="84"/>
      <c r="AX226" s="84"/>
      <c r="AY226" s="84"/>
      <c r="AZ226" s="84"/>
      <c r="BA226" s="84"/>
      <c r="BB226" s="6"/>
      <c r="BC226" s="464"/>
      <c r="BD226" s="464"/>
      <c r="BE226" s="464"/>
      <c r="BF226" s="84"/>
      <c r="BG226" s="84"/>
      <c r="BH226" s="84"/>
      <c r="BI226" s="84"/>
      <c r="BJ226" s="84"/>
      <c r="BK226" s="1068">
        <f t="shared" si="16"/>
        <v>49947.172000000013</v>
      </c>
      <c r="BL226" s="1068"/>
      <c r="BM226" s="6"/>
      <c r="BN226" s="6"/>
      <c r="BO226" s="6"/>
      <c r="BP226" s="6"/>
      <c r="BQ226" s="6"/>
      <c r="BR226" s="6"/>
      <c r="BS226" s="6"/>
      <c r="BT226" s="464"/>
      <c r="BU226" s="464"/>
      <c r="BV226" s="464"/>
      <c r="BW226" s="84"/>
      <c r="BX226" s="84"/>
      <c r="BY226" s="84"/>
      <c r="BZ226" s="84"/>
      <c r="CA226" s="84"/>
      <c r="CB226" s="130">
        <v>0.03</v>
      </c>
      <c r="CC226" s="84"/>
      <c r="CD226" s="84"/>
      <c r="CE226" s="6"/>
      <c r="CF226" s="6"/>
      <c r="CG226" s="6"/>
      <c r="CH226" s="6"/>
      <c r="CI226" s="6"/>
      <c r="CJ226" s="6"/>
      <c r="CK226" s="464"/>
      <c r="CL226" s="464"/>
      <c r="CM226" s="464"/>
      <c r="CN226" s="84"/>
      <c r="CO226" s="84"/>
      <c r="CP226" s="84"/>
      <c r="CQ226" s="84"/>
      <c r="CR226" s="84"/>
      <c r="CS226" s="84"/>
      <c r="CT226" s="84"/>
      <c r="CU226" s="84"/>
      <c r="CV226" s="84"/>
      <c r="CW226" s="84"/>
      <c r="CX226" s="84"/>
      <c r="CY226" s="84"/>
      <c r="CZ226" s="6"/>
      <c r="DA226" s="464"/>
      <c r="DB226" s="464"/>
      <c r="DC226" s="464"/>
      <c r="DD226" s="84"/>
      <c r="DE226" s="84"/>
      <c r="DF226" s="84"/>
      <c r="DG226" s="84"/>
      <c r="DH226" s="84"/>
      <c r="DI226" s="84"/>
      <c r="DJ226" s="84"/>
      <c r="DK226" s="84"/>
    </row>
    <row r="227" spans="1:115">
      <c r="A227" s="164">
        <v>1</v>
      </c>
      <c r="B227" s="6" t="s">
        <v>290</v>
      </c>
      <c r="C227" s="11" t="s">
        <v>598</v>
      </c>
      <c r="D227" s="648" t="s">
        <v>638</v>
      </c>
      <c r="E227" s="720">
        <v>1</v>
      </c>
      <c r="F227" s="342"/>
      <c r="G227" s="650">
        <v>60</v>
      </c>
      <c r="H227" s="1"/>
      <c r="I227" s="464"/>
      <c r="J227" s="464"/>
      <c r="K227" s="464"/>
      <c r="L227" s="84"/>
      <c r="M227" s="84"/>
      <c r="N227" s="84"/>
      <c r="O227" s="84"/>
      <c r="P227" s="84"/>
      <c r="Q227" s="84"/>
      <c r="R227" s="84"/>
      <c r="S227" s="84"/>
      <c r="T227" s="1"/>
      <c r="U227" s="464"/>
      <c r="V227" s="464"/>
      <c r="W227" s="464"/>
      <c r="X227" s="84"/>
      <c r="Y227" s="84"/>
      <c r="Z227" s="84"/>
      <c r="AA227" s="84"/>
      <c r="AB227" s="84"/>
      <c r="AC227" s="1073">
        <v>1500</v>
      </c>
      <c r="AD227" s="84"/>
      <c r="AE227" s="84"/>
      <c r="AF227" s="84"/>
      <c r="AG227" s="84"/>
      <c r="AH227" s="84"/>
      <c r="AI227" s="84"/>
      <c r="AJ227" s="84"/>
      <c r="AK227" s="6"/>
      <c r="AL227" s="275"/>
      <c r="AM227" s="275"/>
      <c r="AN227" s="275"/>
      <c r="AO227" s="6"/>
      <c r="AP227" s="84"/>
      <c r="AQ227" s="84"/>
      <c r="AR227" s="84"/>
      <c r="AS227" s="84"/>
      <c r="AT227" s="719">
        <v>13</v>
      </c>
      <c r="AU227" s="84"/>
      <c r="AV227" s="84"/>
      <c r="AW227" s="84"/>
      <c r="AX227" s="84"/>
      <c r="AY227" s="84"/>
      <c r="AZ227" s="84"/>
      <c r="BA227" s="84"/>
      <c r="BB227" s="6"/>
      <c r="BC227" s="464"/>
      <c r="BD227" s="464"/>
      <c r="BE227" s="464"/>
      <c r="BF227" s="84"/>
      <c r="BG227" s="84"/>
      <c r="BH227" s="84"/>
      <c r="BI227" s="84"/>
      <c r="BJ227" s="84"/>
      <c r="BK227" s="1068">
        <f>$AT227*$AC227*$E227</f>
        <v>19500</v>
      </c>
      <c r="BL227" s="1068"/>
      <c r="BM227" s="6"/>
      <c r="BN227" s="6"/>
      <c r="BO227" s="6"/>
      <c r="BP227" s="6"/>
      <c r="BQ227" s="6"/>
      <c r="BR227" s="6"/>
      <c r="BS227" s="6"/>
      <c r="BT227" s="464"/>
      <c r="BU227" s="464"/>
      <c r="BV227" s="464"/>
      <c r="BW227" s="84"/>
      <c r="BX227" s="84"/>
      <c r="BY227" s="84"/>
      <c r="BZ227" s="84"/>
      <c r="CA227" s="84"/>
      <c r="CB227" s="84"/>
      <c r="CC227" s="84"/>
      <c r="CD227" s="84"/>
      <c r="CE227" s="6"/>
      <c r="CF227" s="6"/>
      <c r="CG227" s="6"/>
      <c r="CH227" s="6"/>
      <c r="CI227" s="6"/>
      <c r="CJ227" s="6"/>
      <c r="CK227" s="464"/>
      <c r="CL227" s="464"/>
      <c r="CM227" s="464"/>
      <c r="CN227" s="84"/>
      <c r="CO227" s="84"/>
      <c r="CP227" s="84"/>
      <c r="CQ227" s="84"/>
      <c r="CR227" s="84"/>
      <c r="CS227" s="84"/>
      <c r="CT227" s="84"/>
      <c r="CU227" s="84"/>
      <c r="CV227" s="84"/>
      <c r="CW227" s="84"/>
      <c r="CX227" s="84"/>
      <c r="CY227" s="84"/>
      <c r="CZ227" s="6"/>
      <c r="DA227" s="464"/>
      <c r="DB227" s="464"/>
      <c r="DC227" s="464"/>
      <c r="DD227" s="84"/>
      <c r="DE227" s="84"/>
      <c r="DF227" s="84"/>
      <c r="DG227" s="84"/>
      <c r="DH227" s="84"/>
      <c r="DI227" s="84"/>
      <c r="DJ227" s="84"/>
      <c r="DK227" s="84"/>
    </row>
    <row r="228" spans="1:115">
      <c r="A228" s="259">
        <v>7</v>
      </c>
      <c r="B228" s="6" t="s">
        <v>1461</v>
      </c>
      <c r="C228" s="6" t="s">
        <v>1462</v>
      </c>
      <c r="D228" s="645" t="s">
        <v>638</v>
      </c>
      <c r="E228" s="720">
        <v>1</v>
      </c>
      <c r="F228" s="342"/>
      <c r="G228" s="650">
        <v>60</v>
      </c>
      <c r="H228" s="1"/>
      <c r="I228" s="464"/>
      <c r="J228" s="464"/>
      <c r="K228" s="464"/>
      <c r="L228" s="84"/>
      <c r="M228" s="84"/>
      <c r="N228" s="84"/>
      <c r="O228" s="84"/>
      <c r="P228" s="84"/>
      <c r="Q228" s="84"/>
      <c r="R228" s="84"/>
      <c r="S228" s="84"/>
      <c r="T228" s="1"/>
      <c r="U228" s="464"/>
      <c r="V228" s="464"/>
      <c r="W228" s="464"/>
      <c r="X228" s="84"/>
      <c r="Y228" s="84"/>
      <c r="Z228" s="84"/>
      <c r="AA228" s="84"/>
      <c r="AB228" s="84"/>
      <c r="AC228" s="1073">
        <f>AB259*(1+CB228)</f>
        <v>2837.9075000000003</v>
      </c>
      <c r="AD228" s="84"/>
      <c r="AE228" s="84"/>
      <c r="AF228" s="84"/>
      <c r="AG228" s="84"/>
      <c r="AH228" s="84"/>
      <c r="AI228" s="84"/>
      <c r="AJ228" s="84"/>
      <c r="AK228" s="6"/>
      <c r="AL228" s="275"/>
      <c r="AM228" s="275"/>
      <c r="AN228" s="275"/>
      <c r="AO228" s="6"/>
      <c r="AP228" s="84"/>
      <c r="AQ228" s="84"/>
      <c r="AR228" s="84"/>
      <c r="AS228" s="84"/>
      <c r="AT228" s="719">
        <v>22</v>
      </c>
      <c r="AU228" s="84"/>
      <c r="AV228" s="84"/>
      <c r="AW228" s="84"/>
      <c r="AX228" s="84"/>
      <c r="AY228" s="84"/>
      <c r="AZ228" s="84"/>
      <c r="BA228" s="84"/>
      <c r="BB228" s="6"/>
      <c r="BC228" s="464"/>
      <c r="BD228" s="464"/>
      <c r="BE228" s="464"/>
      <c r="BF228" s="84"/>
      <c r="BG228" s="84"/>
      <c r="BH228" s="84"/>
      <c r="BI228" s="84"/>
      <c r="BJ228" s="84"/>
      <c r="BK228" s="1068">
        <f>$AT228*$AC228*$E228</f>
        <v>62433.965000000004</v>
      </c>
      <c r="BL228" s="1068"/>
      <c r="BM228" s="6"/>
      <c r="BN228" s="6"/>
      <c r="BO228" s="6"/>
      <c r="BP228" s="6"/>
      <c r="BQ228" s="6"/>
      <c r="BR228" s="6"/>
      <c r="BS228" s="6"/>
      <c r="BT228" s="464"/>
      <c r="BU228" s="464"/>
      <c r="BV228" s="464"/>
      <c r="BW228" s="84"/>
      <c r="BX228" s="84"/>
      <c r="BY228" s="84"/>
      <c r="BZ228" s="84"/>
      <c r="CA228" s="84"/>
      <c r="CB228" s="130">
        <v>0.03</v>
      </c>
      <c r="CC228" s="84"/>
      <c r="CD228" s="84"/>
      <c r="CE228" s="6"/>
      <c r="CF228" s="6"/>
      <c r="CG228" s="6"/>
      <c r="CH228" s="6"/>
      <c r="CI228" s="6"/>
      <c r="CJ228" s="6"/>
      <c r="CK228" s="464"/>
      <c r="CL228" s="464"/>
      <c r="CM228" s="464"/>
      <c r="CN228" s="84"/>
      <c r="CO228" s="84"/>
      <c r="CP228" s="84"/>
      <c r="CQ228" s="84"/>
      <c r="CR228" s="84"/>
      <c r="CS228" s="84"/>
      <c r="CT228" s="84"/>
      <c r="CU228" s="84"/>
      <c r="CV228" s="84"/>
      <c r="CW228" s="84"/>
      <c r="CX228" s="84"/>
      <c r="CY228" s="84"/>
      <c r="CZ228" s="6"/>
      <c r="DA228" s="464"/>
      <c r="DB228" s="464"/>
      <c r="DC228" s="464"/>
      <c r="DD228" s="84"/>
      <c r="DE228" s="84"/>
      <c r="DF228" s="84"/>
      <c r="DG228" s="84"/>
      <c r="DH228" s="84"/>
      <c r="DI228" s="84"/>
      <c r="DJ228" s="84"/>
      <c r="DK228" s="84"/>
    </row>
    <row r="229" spans="1:115">
      <c r="A229" s="259">
        <v>1</v>
      </c>
      <c r="B229" s="6" t="s">
        <v>314</v>
      </c>
      <c r="C229" s="11" t="s">
        <v>598</v>
      </c>
      <c r="D229" s="648" t="s">
        <v>638</v>
      </c>
      <c r="E229" s="720">
        <v>1</v>
      </c>
      <c r="F229" s="342"/>
      <c r="G229" s="650">
        <v>60</v>
      </c>
      <c r="H229" s="1"/>
      <c r="I229" s="464"/>
      <c r="J229" s="464"/>
      <c r="K229" s="464"/>
      <c r="L229" s="84"/>
      <c r="M229" s="84"/>
      <c r="N229" s="84"/>
      <c r="O229" s="84"/>
      <c r="P229" s="84"/>
      <c r="Q229" s="84"/>
      <c r="R229" s="84"/>
      <c r="S229" s="84"/>
      <c r="T229" s="1"/>
      <c r="U229" s="464"/>
      <c r="V229" s="464"/>
      <c r="W229" s="464"/>
      <c r="X229" s="84"/>
      <c r="Y229" s="84"/>
      <c r="Z229" s="84"/>
      <c r="AA229" s="84"/>
      <c r="AB229" s="84"/>
      <c r="AC229" s="1073">
        <v>2500</v>
      </c>
      <c r="AD229" s="84"/>
      <c r="AE229" s="84"/>
      <c r="AF229" s="84"/>
      <c r="AG229" s="84"/>
      <c r="AH229" s="84"/>
      <c r="AI229" s="84"/>
      <c r="AJ229" s="84"/>
      <c r="AK229" s="6"/>
      <c r="AL229" s="275"/>
      <c r="AM229" s="275"/>
      <c r="AN229" s="275"/>
      <c r="AO229" s="6"/>
      <c r="AP229" s="84"/>
      <c r="AQ229" s="84"/>
      <c r="AR229" s="84"/>
      <c r="AS229" s="84"/>
      <c r="AT229" s="719">
        <v>13</v>
      </c>
      <c r="AU229" s="84"/>
      <c r="AV229" s="84"/>
      <c r="AW229" s="84"/>
      <c r="AX229" s="84"/>
      <c r="AY229" s="84"/>
      <c r="AZ229" s="84"/>
      <c r="BA229" s="84"/>
      <c r="BB229" s="6"/>
      <c r="BC229" s="464"/>
      <c r="BD229" s="464"/>
      <c r="BE229" s="464"/>
      <c r="BF229" s="84"/>
      <c r="BG229" s="84"/>
      <c r="BH229" s="84"/>
      <c r="BI229" s="84"/>
      <c r="BJ229" s="84"/>
      <c r="BK229" s="1068">
        <f>$AT229*$AC229*$E229</f>
        <v>32500</v>
      </c>
      <c r="BL229" s="1068"/>
      <c r="BM229" s="6"/>
      <c r="BN229" s="6"/>
      <c r="BO229" s="6"/>
      <c r="BP229" s="6"/>
      <c r="BQ229" s="6"/>
      <c r="BR229" s="6"/>
      <c r="BS229" s="6"/>
      <c r="BT229" s="464"/>
      <c r="BU229" s="464"/>
      <c r="BV229" s="464"/>
      <c r="BW229" s="84"/>
      <c r="BX229" s="84"/>
      <c r="BY229" s="84"/>
      <c r="BZ229" s="84"/>
      <c r="CA229" s="84"/>
      <c r="CB229" s="84"/>
      <c r="CC229" s="84"/>
      <c r="CD229" s="84"/>
      <c r="CE229" s="6"/>
      <c r="CF229" s="6"/>
      <c r="CG229" s="6"/>
      <c r="CH229" s="6"/>
      <c r="CI229" s="6"/>
      <c r="CJ229" s="6"/>
      <c r="CK229" s="464"/>
      <c r="CL229" s="464"/>
      <c r="CM229" s="464"/>
      <c r="CN229" s="84"/>
      <c r="CO229" s="84"/>
      <c r="CP229" s="84"/>
      <c r="CQ229" s="84"/>
      <c r="CR229" s="84"/>
      <c r="CS229" s="84"/>
      <c r="CT229" s="84"/>
      <c r="CU229" s="84"/>
      <c r="CV229" s="84"/>
      <c r="CW229" s="84"/>
      <c r="CX229" s="84"/>
      <c r="CY229" s="84"/>
      <c r="CZ229" s="6"/>
      <c r="DA229" s="464"/>
      <c r="DB229" s="464"/>
      <c r="DC229" s="464"/>
      <c r="DD229" s="84"/>
      <c r="DE229" s="84"/>
      <c r="DF229" s="84"/>
      <c r="DG229" s="84"/>
      <c r="DH229" s="84"/>
      <c r="DI229" s="84"/>
      <c r="DJ229" s="84"/>
      <c r="DK229" s="84"/>
    </row>
    <row r="230" spans="1:115">
      <c r="A230" s="86">
        <v>5</v>
      </c>
      <c r="B230" s="84" t="s">
        <v>1451</v>
      </c>
      <c r="C230" s="6" t="s">
        <v>598</v>
      </c>
      <c r="D230" s="645" t="s">
        <v>638</v>
      </c>
      <c r="E230" s="720">
        <v>1</v>
      </c>
      <c r="F230" s="342"/>
      <c r="G230" s="650">
        <v>60</v>
      </c>
      <c r="H230" s="1"/>
      <c r="I230" s="464"/>
      <c r="J230" s="464"/>
      <c r="K230" s="464"/>
      <c r="L230" s="84"/>
      <c r="M230" s="84"/>
      <c r="N230" s="84"/>
      <c r="O230" s="84"/>
      <c r="P230" s="84"/>
      <c r="Q230" s="84"/>
      <c r="R230" s="84"/>
      <c r="S230" s="84"/>
      <c r="T230" s="1"/>
      <c r="U230" s="464"/>
      <c r="V230" s="464"/>
      <c r="W230" s="464"/>
      <c r="X230" s="84"/>
      <c r="Y230" s="84"/>
      <c r="Z230" s="84"/>
      <c r="AA230" s="84"/>
      <c r="AB230" s="84"/>
      <c r="AC230" s="1073">
        <f>AB260*(1+CB230)</f>
        <v>2575</v>
      </c>
      <c r="AD230" s="84"/>
      <c r="AE230" s="84"/>
      <c r="AF230" s="84"/>
      <c r="AG230" s="84"/>
      <c r="AH230" s="84"/>
      <c r="AI230" s="84"/>
      <c r="AJ230" s="84"/>
      <c r="AK230" s="6"/>
      <c r="AL230" s="275"/>
      <c r="AM230" s="275"/>
      <c r="AN230" s="275"/>
      <c r="AO230" s="6"/>
      <c r="AP230" s="84"/>
      <c r="AQ230" s="84"/>
      <c r="AR230" s="84"/>
      <c r="AS230" s="84"/>
      <c r="AT230" s="719">
        <v>22</v>
      </c>
      <c r="AU230" s="84"/>
      <c r="AV230" s="84"/>
      <c r="AW230" s="84"/>
      <c r="AX230" s="84"/>
      <c r="AY230" s="84"/>
      <c r="AZ230" s="84"/>
      <c r="BA230" s="84"/>
      <c r="BB230" s="6"/>
      <c r="BC230" s="464"/>
      <c r="BD230" s="464"/>
      <c r="BE230" s="464"/>
      <c r="BF230" s="84"/>
      <c r="BG230" s="84"/>
      <c r="BH230" s="84"/>
      <c r="BI230" s="84"/>
      <c r="BJ230" s="84"/>
      <c r="BK230" s="1068">
        <f t="shared" si="16"/>
        <v>56650</v>
      </c>
      <c r="BL230" s="1068"/>
      <c r="BM230" s="6"/>
      <c r="BN230" s="6"/>
      <c r="BO230" s="6"/>
      <c r="BP230" s="6"/>
      <c r="BQ230" s="6"/>
      <c r="BR230" s="6"/>
      <c r="BS230" s="6"/>
      <c r="BT230" s="464"/>
      <c r="BU230" s="464"/>
      <c r="BV230" s="464"/>
      <c r="BW230" s="84"/>
      <c r="BX230" s="84"/>
      <c r="BY230" s="84"/>
      <c r="BZ230" s="84"/>
      <c r="CA230" s="84"/>
      <c r="CB230" s="130">
        <v>0.03</v>
      </c>
      <c r="CC230" s="84"/>
      <c r="CD230" s="84"/>
      <c r="CE230" s="6"/>
      <c r="CF230" s="6"/>
      <c r="CG230" s="6"/>
      <c r="CH230" s="6"/>
      <c r="CI230" s="6"/>
      <c r="CJ230" s="6"/>
      <c r="CK230" s="464"/>
      <c r="CL230" s="464"/>
      <c r="CM230" s="464"/>
      <c r="CN230" s="84"/>
      <c r="CO230" s="84"/>
      <c r="CP230" s="84"/>
      <c r="CQ230" s="84"/>
      <c r="CR230" s="84"/>
      <c r="CS230" s="84"/>
      <c r="CT230" s="84"/>
      <c r="CU230" s="84"/>
      <c r="CV230" s="84"/>
      <c r="CW230" s="84"/>
      <c r="CX230" s="84"/>
      <c r="CY230" s="84"/>
      <c r="CZ230" s="6"/>
      <c r="DA230" s="464"/>
      <c r="DB230" s="464"/>
      <c r="DC230" s="464"/>
      <c r="DD230" s="84"/>
      <c r="DE230" s="84"/>
      <c r="DF230" s="84"/>
      <c r="DG230" s="84"/>
      <c r="DH230" s="84"/>
      <c r="DI230" s="84"/>
      <c r="DJ230" s="84"/>
      <c r="DK230" s="84"/>
    </row>
    <row r="231" spans="1:115">
      <c r="A231" s="86">
        <v>1</v>
      </c>
      <c r="B231" s="6" t="s">
        <v>1156</v>
      </c>
      <c r="C231" s="6" t="s">
        <v>315</v>
      </c>
      <c r="D231" s="645" t="s">
        <v>595</v>
      </c>
      <c r="E231" s="720">
        <v>0.5</v>
      </c>
      <c r="F231" s="342"/>
      <c r="G231" s="650">
        <v>60</v>
      </c>
      <c r="H231" s="1"/>
      <c r="I231" s="464"/>
      <c r="J231" s="464"/>
      <c r="K231" s="464"/>
      <c r="L231" s="84"/>
      <c r="M231" s="84"/>
      <c r="N231" s="84"/>
      <c r="O231" s="84"/>
      <c r="P231" s="84"/>
      <c r="Q231" s="84"/>
      <c r="R231" s="84"/>
      <c r="S231" s="84"/>
      <c r="T231" s="1"/>
      <c r="U231" s="464"/>
      <c r="V231" s="464"/>
      <c r="W231" s="464"/>
      <c r="X231" s="84"/>
      <c r="Y231" s="84"/>
      <c r="Z231" s="84"/>
      <c r="AA231" s="84"/>
      <c r="AB231" s="84"/>
      <c r="AC231" s="1073">
        <v>1500</v>
      </c>
      <c r="AD231" s="84"/>
      <c r="AE231" s="84"/>
      <c r="AF231" s="84"/>
      <c r="AG231" s="84"/>
      <c r="AH231" s="84"/>
      <c r="AI231" s="84"/>
      <c r="AJ231" s="84"/>
      <c r="AK231" s="6"/>
      <c r="AL231" s="275"/>
      <c r="AM231" s="275"/>
      <c r="AN231" s="275"/>
      <c r="AO231" s="6"/>
      <c r="AP231" s="84"/>
      <c r="AQ231" s="84"/>
      <c r="AR231" s="84"/>
      <c r="AS231" s="84"/>
      <c r="AT231" s="719">
        <v>13</v>
      </c>
      <c r="AU231" s="84"/>
      <c r="AV231" s="84"/>
      <c r="AW231" s="84"/>
      <c r="AX231" s="84"/>
      <c r="AY231" s="84"/>
      <c r="AZ231" s="84"/>
      <c r="BA231" s="84"/>
      <c r="BB231" s="6"/>
      <c r="BC231" s="464"/>
      <c r="BD231" s="464"/>
      <c r="BE231" s="464"/>
      <c r="BF231" s="84"/>
      <c r="BG231" s="84"/>
      <c r="BH231" s="84"/>
      <c r="BI231" s="84"/>
      <c r="BJ231" s="84"/>
      <c r="BK231" s="1068">
        <f>$AT231*$AC231*$E231</f>
        <v>9750</v>
      </c>
      <c r="BL231" s="1068"/>
      <c r="BM231" s="6"/>
      <c r="BN231" s="6"/>
      <c r="BO231" s="6"/>
      <c r="BP231" s="6"/>
      <c r="BQ231" s="6"/>
      <c r="BR231" s="6"/>
      <c r="BS231" s="6"/>
      <c r="BT231" s="464"/>
      <c r="BU231" s="464"/>
      <c r="BV231" s="464"/>
      <c r="BW231" s="84"/>
      <c r="BX231" s="84"/>
      <c r="BY231" s="84"/>
      <c r="BZ231" s="84"/>
      <c r="CA231" s="84"/>
      <c r="CB231" s="130">
        <v>0.03</v>
      </c>
      <c r="CC231" s="84"/>
      <c r="CD231" s="84"/>
      <c r="CE231" s="6"/>
      <c r="CF231" s="6"/>
      <c r="CG231" s="6"/>
      <c r="CH231" s="6"/>
      <c r="CI231" s="6"/>
      <c r="CJ231" s="6"/>
      <c r="CK231" s="464"/>
      <c r="CL231" s="464"/>
      <c r="CM231" s="464"/>
      <c r="CN231" s="84"/>
      <c r="CO231" s="84"/>
      <c r="CP231" s="84"/>
      <c r="CQ231" s="84"/>
      <c r="CR231" s="84"/>
      <c r="CS231" s="84"/>
      <c r="CT231" s="84"/>
      <c r="CU231" s="84"/>
      <c r="CV231" s="84"/>
      <c r="CW231" s="84"/>
      <c r="CX231" s="84"/>
      <c r="CY231" s="84"/>
      <c r="CZ231" s="6"/>
      <c r="DA231" s="464"/>
      <c r="DB231" s="464"/>
      <c r="DC231" s="464"/>
      <c r="DD231" s="84"/>
      <c r="DE231" s="84"/>
      <c r="DF231" s="84"/>
      <c r="DG231" s="84"/>
      <c r="DH231" s="84"/>
      <c r="DI231" s="84"/>
      <c r="DJ231" s="84"/>
      <c r="DK231" s="84"/>
    </row>
    <row r="232" spans="1:115">
      <c r="A232" s="86">
        <v>2</v>
      </c>
      <c r="B232" s="84" t="s">
        <v>922</v>
      </c>
      <c r="C232" s="11" t="s">
        <v>598</v>
      </c>
      <c r="D232" s="645" t="s">
        <v>595</v>
      </c>
      <c r="E232" s="720">
        <v>0.5</v>
      </c>
      <c r="F232" s="342"/>
      <c r="G232" s="650">
        <v>60</v>
      </c>
      <c r="H232" s="1"/>
      <c r="I232" s="464" t="s">
        <v>784</v>
      </c>
      <c r="J232" s="464"/>
      <c r="K232" s="464"/>
      <c r="L232" s="84"/>
      <c r="M232" s="84"/>
      <c r="N232" s="84"/>
      <c r="O232" s="84"/>
      <c r="P232" s="84"/>
      <c r="Q232" s="84"/>
      <c r="R232" s="84"/>
      <c r="S232" s="84"/>
      <c r="T232" s="1"/>
      <c r="U232" s="464"/>
      <c r="V232" s="464"/>
      <c r="W232" s="464"/>
      <c r="X232" s="84"/>
      <c r="Y232" s="84"/>
      <c r="Z232" s="84"/>
      <c r="AA232" s="84"/>
      <c r="AB232" s="84"/>
      <c r="AC232" s="1073">
        <f>AB261*(1+CB232)</f>
        <v>1545</v>
      </c>
      <c r="AD232" s="84"/>
      <c r="AE232" s="84"/>
      <c r="AF232" s="84"/>
      <c r="AG232" s="84"/>
      <c r="AH232" s="84"/>
      <c r="AI232" s="84"/>
      <c r="AJ232" s="84"/>
      <c r="AK232" s="6"/>
      <c r="AL232" s="275"/>
      <c r="AM232" s="275"/>
      <c r="AN232" s="275"/>
      <c r="AO232" s="6"/>
      <c r="AP232" s="84"/>
      <c r="AQ232" s="84"/>
      <c r="AR232" s="84"/>
      <c r="AS232" s="84"/>
      <c r="AT232" s="719">
        <v>13</v>
      </c>
      <c r="AU232" s="84"/>
      <c r="AV232" s="84"/>
      <c r="AW232" s="84"/>
      <c r="AX232" s="84"/>
      <c r="AY232" s="84"/>
      <c r="AZ232" s="84"/>
      <c r="BA232" s="84"/>
      <c r="BB232" s="6"/>
      <c r="BC232" s="464"/>
      <c r="BD232" s="464"/>
      <c r="BE232" s="464"/>
      <c r="BF232" s="84"/>
      <c r="BG232" s="84"/>
      <c r="BH232" s="84"/>
      <c r="BI232" s="84"/>
      <c r="BJ232" s="84"/>
      <c r="BK232" s="1068">
        <f t="shared" si="16"/>
        <v>10042.5</v>
      </c>
      <c r="BL232" s="1068"/>
      <c r="BM232" s="6"/>
      <c r="BN232" s="6"/>
      <c r="BO232" s="6"/>
      <c r="BP232" s="6"/>
      <c r="BQ232" s="6"/>
      <c r="BR232" s="6"/>
      <c r="BS232" s="6"/>
      <c r="BT232" s="464"/>
      <c r="BU232" s="464"/>
      <c r="BV232" s="464"/>
      <c r="BW232" s="84"/>
      <c r="BX232" s="84"/>
      <c r="BY232" s="84"/>
      <c r="BZ232" s="84"/>
      <c r="CA232" s="84"/>
      <c r="CB232" s="130">
        <v>0.03</v>
      </c>
      <c r="CC232" s="84"/>
      <c r="CD232" s="84"/>
      <c r="CE232" s="6"/>
      <c r="CF232" s="6"/>
      <c r="CG232" s="6"/>
      <c r="CH232" s="6"/>
      <c r="CI232" s="6"/>
      <c r="CJ232" s="6"/>
      <c r="CK232" s="464"/>
      <c r="CL232" s="464"/>
      <c r="CM232" s="464"/>
      <c r="CN232" s="84"/>
      <c r="CO232" s="84"/>
      <c r="CP232" s="84"/>
      <c r="CQ232" s="84"/>
      <c r="CR232" s="84"/>
      <c r="CS232" s="84"/>
      <c r="CT232" s="84"/>
      <c r="CU232" s="84"/>
      <c r="CV232" s="84"/>
      <c r="CW232" s="84"/>
      <c r="CX232" s="84"/>
      <c r="CY232" s="84"/>
      <c r="CZ232" s="6"/>
      <c r="DA232" s="464"/>
      <c r="DB232" s="464"/>
      <c r="DC232" s="464"/>
      <c r="DD232" s="84"/>
      <c r="DE232" s="84"/>
      <c r="DF232" s="84"/>
      <c r="DG232" s="84"/>
      <c r="DH232" s="84"/>
      <c r="DI232" s="84"/>
      <c r="DJ232" s="84"/>
      <c r="DK232" s="84"/>
    </row>
    <row r="233" spans="1:115">
      <c r="A233" s="36">
        <v>4</v>
      </c>
      <c r="B233" s="473" t="s">
        <v>613</v>
      </c>
      <c r="C233" s="11" t="s">
        <v>598</v>
      </c>
      <c r="D233" s="645" t="s">
        <v>638</v>
      </c>
      <c r="E233" s="720">
        <v>0.5</v>
      </c>
      <c r="F233" s="342"/>
      <c r="G233" s="650">
        <v>30</v>
      </c>
      <c r="H233" s="1"/>
      <c r="I233" s="464"/>
      <c r="J233" s="464"/>
      <c r="K233" s="464"/>
      <c r="L233" s="84"/>
      <c r="M233" s="84"/>
      <c r="N233" s="84"/>
      <c r="O233" s="84"/>
      <c r="P233" s="84"/>
      <c r="Q233" s="84"/>
      <c r="R233" s="84"/>
      <c r="S233" s="84"/>
      <c r="T233" s="1"/>
      <c r="U233" s="464"/>
      <c r="V233" s="464"/>
      <c r="W233" s="464"/>
      <c r="X233" s="84"/>
      <c r="Y233" s="84"/>
      <c r="Z233" s="84"/>
      <c r="AA233" s="84"/>
      <c r="AB233" s="84"/>
      <c r="AC233" s="1073">
        <f>AB262*(1+CB233)</f>
        <v>2270.3260000000005</v>
      </c>
      <c r="AD233" s="84"/>
      <c r="AE233" s="84"/>
      <c r="AF233" s="84"/>
      <c r="AG233" s="84"/>
      <c r="AH233" s="84"/>
      <c r="AI233" s="84"/>
      <c r="AJ233" s="84"/>
      <c r="AK233" s="6"/>
      <c r="AL233" s="275"/>
      <c r="AM233" s="275"/>
      <c r="AN233" s="275"/>
      <c r="AO233" s="6"/>
      <c r="AP233" s="84"/>
      <c r="AQ233" s="84"/>
      <c r="AR233" s="84"/>
      <c r="AS233" s="84"/>
      <c r="AT233" s="719">
        <v>22</v>
      </c>
      <c r="AU233" s="84"/>
      <c r="AV233" s="84"/>
      <c r="AW233" s="84"/>
      <c r="AX233" s="84"/>
      <c r="AY233" s="84"/>
      <c r="AZ233" s="84"/>
      <c r="BA233" s="84"/>
      <c r="BB233" s="6"/>
      <c r="BC233" s="464"/>
      <c r="BD233" s="464"/>
      <c r="BE233" s="464"/>
      <c r="BF233" s="84"/>
      <c r="BG233" s="84"/>
      <c r="BH233" s="84"/>
      <c r="BI233" s="84"/>
      <c r="BJ233" s="84"/>
      <c r="BK233" s="1068">
        <f t="shared" si="16"/>
        <v>24973.586000000007</v>
      </c>
      <c r="BL233" s="1068"/>
      <c r="BM233" s="6"/>
      <c r="BN233" s="6"/>
      <c r="BO233" s="6"/>
      <c r="BP233" s="6"/>
      <c r="BQ233" s="6"/>
      <c r="BR233" s="6"/>
      <c r="BS233" s="6"/>
      <c r="BT233" s="464"/>
      <c r="BU233" s="464"/>
      <c r="BV233" s="464"/>
      <c r="BW233" s="84"/>
      <c r="BX233" s="84"/>
      <c r="BY233" s="84"/>
      <c r="BZ233" s="84"/>
      <c r="CA233" s="84"/>
      <c r="CB233" s="130">
        <v>0.03</v>
      </c>
      <c r="CC233" s="84"/>
      <c r="CD233" s="84"/>
      <c r="CE233" s="6"/>
      <c r="CF233" s="6"/>
      <c r="CG233" s="6"/>
      <c r="CH233" s="6"/>
      <c r="CI233" s="6"/>
      <c r="CJ233" s="6"/>
      <c r="CK233" s="464"/>
      <c r="CL233" s="464"/>
      <c r="CM233" s="464"/>
      <c r="CN233" s="84"/>
      <c r="CO233" s="84"/>
      <c r="CP233" s="84"/>
      <c r="CQ233" s="84"/>
      <c r="CR233" s="84"/>
      <c r="CS233" s="84"/>
      <c r="CT233" s="84"/>
      <c r="CU233" s="84"/>
      <c r="CV233" s="84"/>
      <c r="CW233" s="84"/>
      <c r="CX233" s="84"/>
      <c r="CY233" s="84"/>
      <c r="CZ233" s="6"/>
      <c r="DA233" s="464"/>
      <c r="DB233" s="464"/>
      <c r="DC233" s="464"/>
      <c r="DD233" s="84"/>
      <c r="DE233" s="84"/>
      <c r="DF233" s="84"/>
      <c r="DG233" s="84"/>
      <c r="DH233" s="84"/>
      <c r="DI233" s="84"/>
      <c r="DJ233" s="84"/>
      <c r="DK233" s="84"/>
    </row>
    <row r="234" spans="1:115">
      <c r="A234" s="36">
        <v>2</v>
      </c>
      <c r="B234" s="473" t="s">
        <v>610</v>
      </c>
      <c r="C234" s="11" t="s">
        <v>598</v>
      </c>
      <c r="D234" s="645" t="s">
        <v>595</v>
      </c>
      <c r="E234" s="720">
        <v>0.5</v>
      </c>
      <c r="F234" s="342"/>
      <c r="G234" s="650">
        <v>60</v>
      </c>
      <c r="H234" s="1"/>
      <c r="I234" s="464"/>
      <c r="J234" s="464"/>
      <c r="K234" s="464"/>
      <c r="L234" s="84"/>
      <c r="M234" s="84"/>
      <c r="N234" s="84"/>
      <c r="O234" s="84"/>
      <c r="P234" s="84"/>
      <c r="Q234" s="84"/>
      <c r="R234" s="84"/>
      <c r="S234" s="84"/>
      <c r="T234" s="1"/>
      <c r="U234" s="464"/>
      <c r="V234" s="464"/>
      <c r="W234" s="464"/>
      <c r="X234" s="84"/>
      <c r="Y234" s="84"/>
      <c r="Z234" s="84"/>
      <c r="AA234" s="84"/>
      <c r="AB234" s="84"/>
      <c r="AC234" s="1073">
        <f>AB263*(1+CB234)</f>
        <v>1545</v>
      </c>
      <c r="AD234" s="84"/>
      <c r="AE234" s="84"/>
      <c r="AF234" s="84"/>
      <c r="AG234" s="84"/>
      <c r="AH234" s="84"/>
      <c r="AI234" s="84"/>
      <c r="AJ234" s="84"/>
      <c r="AK234" s="6"/>
      <c r="AL234" s="275"/>
      <c r="AM234" s="275"/>
      <c r="AN234" s="275"/>
      <c r="AO234" s="6"/>
      <c r="AP234" s="84"/>
      <c r="AQ234" s="84"/>
      <c r="AR234" s="84"/>
      <c r="AS234" s="84"/>
      <c r="AT234" s="719">
        <v>13</v>
      </c>
      <c r="AU234" s="84"/>
      <c r="AV234" s="84"/>
      <c r="AW234" s="84"/>
      <c r="AX234" s="84"/>
      <c r="AY234" s="84"/>
      <c r="AZ234" s="84"/>
      <c r="BA234" s="84"/>
      <c r="BB234" s="6"/>
      <c r="BC234" s="464"/>
      <c r="BD234" s="464"/>
      <c r="BE234" s="464"/>
      <c r="BF234" s="84"/>
      <c r="BG234" s="84"/>
      <c r="BH234" s="84"/>
      <c r="BI234" s="84"/>
      <c r="BJ234" s="84"/>
      <c r="BK234" s="1068">
        <f t="shared" si="16"/>
        <v>10042.5</v>
      </c>
      <c r="BL234" s="1068"/>
      <c r="BM234" s="6"/>
      <c r="BN234" s="6"/>
      <c r="BO234" s="6"/>
      <c r="BP234" s="6"/>
      <c r="BQ234" s="6"/>
      <c r="BR234" s="6"/>
      <c r="BS234" s="6"/>
      <c r="BT234" s="464"/>
      <c r="BU234" s="464"/>
      <c r="BV234" s="464"/>
      <c r="BW234" s="84"/>
      <c r="BX234" s="84"/>
      <c r="BY234" s="84"/>
      <c r="BZ234" s="84"/>
      <c r="CA234" s="84"/>
      <c r="CB234" s="130">
        <v>0.03</v>
      </c>
      <c r="CC234" s="84"/>
      <c r="CD234" s="84"/>
      <c r="CE234" s="6"/>
      <c r="CF234" s="6"/>
      <c r="CG234" s="6"/>
      <c r="CH234" s="6"/>
      <c r="CI234" s="6"/>
      <c r="CJ234" s="6"/>
      <c r="CK234" s="464"/>
      <c r="CL234" s="464"/>
      <c r="CM234" s="464"/>
      <c r="CN234" s="84"/>
      <c r="CO234" s="84"/>
      <c r="CP234" s="84"/>
      <c r="CQ234" s="84"/>
      <c r="CR234" s="84"/>
      <c r="CS234" s="84"/>
      <c r="CT234" s="84"/>
      <c r="CU234" s="84"/>
      <c r="CV234" s="84"/>
      <c r="CW234" s="84"/>
      <c r="CX234" s="84"/>
      <c r="CY234" s="84"/>
      <c r="CZ234" s="6"/>
      <c r="DA234" s="464"/>
      <c r="DB234" s="464"/>
      <c r="DC234" s="464"/>
      <c r="DD234" s="84"/>
      <c r="DE234" s="84"/>
      <c r="DF234" s="84"/>
      <c r="DG234" s="84"/>
      <c r="DH234" s="84"/>
      <c r="DI234" s="84"/>
      <c r="DJ234" s="84"/>
      <c r="DK234" s="84"/>
    </row>
    <row r="235" spans="1:115">
      <c r="A235" s="36">
        <v>18</v>
      </c>
      <c r="B235" s="473" t="s">
        <v>614</v>
      </c>
      <c r="C235" s="11" t="s">
        <v>598</v>
      </c>
      <c r="D235" s="645" t="s">
        <v>638</v>
      </c>
      <c r="E235" s="720">
        <v>0.5</v>
      </c>
      <c r="F235" s="342"/>
      <c r="G235" s="650">
        <v>60</v>
      </c>
      <c r="H235" s="1"/>
      <c r="I235" s="464"/>
      <c r="J235" s="464"/>
      <c r="K235" s="464"/>
      <c r="L235" s="84"/>
      <c r="M235" s="84"/>
      <c r="N235" s="84"/>
      <c r="O235" s="84"/>
      <c r="P235" s="84"/>
      <c r="Q235" s="84"/>
      <c r="R235" s="84"/>
      <c r="S235" s="84"/>
      <c r="T235" s="1"/>
      <c r="U235" s="464"/>
      <c r="V235" s="464"/>
      <c r="W235" s="464"/>
      <c r="X235" s="84"/>
      <c r="Y235" s="84"/>
      <c r="Z235" s="84"/>
      <c r="AA235" s="84"/>
      <c r="AB235" s="84"/>
      <c r="AC235" s="1073">
        <f>AB264*(1+CB235)</f>
        <v>2060</v>
      </c>
      <c r="AD235" s="84"/>
      <c r="AE235" s="84"/>
      <c r="AF235" s="84"/>
      <c r="AG235" s="84"/>
      <c r="AH235" s="84"/>
      <c r="AI235" s="84"/>
      <c r="AJ235" s="84"/>
      <c r="AK235" s="6"/>
      <c r="AL235" s="275"/>
      <c r="AM235" s="275"/>
      <c r="AN235" s="275"/>
      <c r="AO235" s="6"/>
      <c r="AP235" s="84"/>
      <c r="AQ235" s="84"/>
      <c r="AR235" s="84"/>
      <c r="AS235" s="84"/>
      <c r="AT235" s="719">
        <v>13</v>
      </c>
      <c r="AU235" s="84"/>
      <c r="AV235" s="84"/>
      <c r="AW235" s="84"/>
      <c r="AX235" s="84"/>
      <c r="AY235" s="84"/>
      <c r="AZ235" s="84"/>
      <c r="BA235" s="84"/>
      <c r="BB235" s="6"/>
      <c r="BC235" s="464"/>
      <c r="BD235" s="464"/>
      <c r="BE235" s="464"/>
      <c r="BF235" s="84"/>
      <c r="BG235" s="84"/>
      <c r="BH235" s="84"/>
      <c r="BI235" s="84"/>
      <c r="BJ235" s="84"/>
      <c r="BK235" s="1068">
        <f t="shared" si="16"/>
        <v>13390</v>
      </c>
      <c r="BL235" s="1068"/>
      <c r="BM235" s="6"/>
      <c r="BN235" s="6"/>
      <c r="BO235" s="6"/>
      <c r="BP235" s="6"/>
      <c r="BQ235" s="6"/>
      <c r="BR235" s="6"/>
      <c r="BS235" s="6"/>
      <c r="BT235" s="464"/>
      <c r="BU235" s="464"/>
      <c r="BV235" s="464"/>
      <c r="BW235" s="84"/>
      <c r="BX235" s="84"/>
      <c r="BY235" s="84"/>
      <c r="BZ235" s="84"/>
      <c r="CA235" s="84"/>
      <c r="CB235" s="130">
        <v>0.03</v>
      </c>
      <c r="CC235" s="84"/>
      <c r="CD235" s="84"/>
      <c r="CE235" s="6"/>
      <c r="CF235" s="6"/>
      <c r="CG235" s="6"/>
      <c r="CH235" s="6"/>
      <c r="CI235" s="6"/>
      <c r="CJ235" s="6"/>
      <c r="CK235" s="464"/>
      <c r="CL235" s="464"/>
      <c r="CM235" s="464"/>
      <c r="CN235" s="84"/>
      <c r="CO235" s="84"/>
      <c r="CP235" s="84"/>
      <c r="CQ235" s="84"/>
      <c r="CR235" s="84"/>
      <c r="CS235" s="84"/>
      <c r="CT235" s="84"/>
      <c r="CU235" s="84"/>
      <c r="CV235" s="84"/>
      <c r="CW235" s="84"/>
      <c r="CX235" s="84"/>
      <c r="CY235" s="84"/>
      <c r="CZ235" s="6"/>
      <c r="DA235" s="464"/>
      <c r="DB235" s="464"/>
      <c r="DC235" s="464"/>
      <c r="DD235" s="84"/>
      <c r="DE235" s="84"/>
      <c r="DF235" s="84"/>
      <c r="DG235" s="84"/>
      <c r="DH235" s="84"/>
      <c r="DI235" s="84"/>
      <c r="DJ235" s="84"/>
      <c r="DK235" s="84"/>
    </row>
    <row r="236" spans="1:115">
      <c r="A236" s="36">
        <v>1</v>
      </c>
      <c r="B236" s="6" t="s">
        <v>307</v>
      </c>
      <c r="C236" s="6" t="s">
        <v>315</v>
      </c>
      <c r="D236" s="645" t="s">
        <v>595</v>
      </c>
      <c r="E236" s="720">
        <v>0.5</v>
      </c>
      <c r="F236" s="342"/>
      <c r="G236" s="650">
        <v>60</v>
      </c>
      <c r="H236" s="1"/>
      <c r="I236" s="464"/>
      <c r="J236" s="464"/>
      <c r="K236" s="464"/>
      <c r="L236" s="84"/>
      <c r="M236" s="84"/>
      <c r="N236" s="84"/>
      <c r="O236" s="84"/>
      <c r="P236" s="84"/>
      <c r="Q236" s="84"/>
      <c r="R236" s="84"/>
      <c r="S236" s="84"/>
      <c r="T236" s="1"/>
      <c r="U236" s="464"/>
      <c r="V236" s="464"/>
      <c r="W236" s="464"/>
      <c r="X236" s="84"/>
      <c r="Y236" s="84"/>
      <c r="Z236" s="84"/>
      <c r="AA236" s="84"/>
      <c r="AB236" s="84"/>
      <c r="AC236" s="1073">
        <v>1500</v>
      </c>
      <c r="AD236" s="84"/>
      <c r="AE236" s="84"/>
      <c r="AF236" s="84"/>
      <c r="AG236" s="84"/>
      <c r="AH236" s="84"/>
      <c r="AI236" s="84"/>
      <c r="AJ236" s="84"/>
      <c r="AK236" s="6"/>
      <c r="AL236" s="275"/>
      <c r="AM236" s="275"/>
      <c r="AN236" s="275"/>
      <c r="AO236" s="6"/>
      <c r="AP236" s="84"/>
      <c r="AQ236" s="84"/>
      <c r="AR236" s="84"/>
      <c r="AS236" s="84"/>
      <c r="AT236" s="719">
        <v>13</v>
      </c>
      <c r="AU236" s="84"/>
      <c r="AV236" s="84"/>
      <c r="AW236" s="84"/>
      <c r="AX236" s="84"/>
      <c r="AY236" s="84"/>
      <c r="AZ236" s="84"/>
      <c r="BA236" s="84"/>
      <c r="BB236" s="6"/>
      <c r="BC236" s="464"/>
      <c r="BD236" s="464"/>
      <c r="BE236" s="464"/>
      <c r="BF236" s="84"/>
      <c r="BG236" s="84"/>
      <c r="BH236" s="84"/>
      <c r="BI236" s="84"/>
      <c r="BJ236" s="84"/>
      <c r="BK236" s="1068">
        <f t="shared" ref="BK236:BK241" si="17">$AT236*$AC236*$E236</f>
        <v>9750</v>
      </c>
      <c r="BL236" s="1068"/>
      <c r="BM236" s="6"/>
      <c r="BN236" s="6"/>
      <c r="BO236" s="6"/>
      <c r="BP236" s="6"/>
      <c r="BQ236" s="6"/>
      <c r="BR236" s="6"/>
      <c r="BS236" s="6"/>
      <c r="BT236" s="464"/>
      <c r="BU236" s="464"/>
      <c r="BV236" s="464"/>
      <c r="BW236" s="84"/>
      <c r="BX236" s="84"/>
      <c r="BY236" s="84"/>
      <c r="BZ236" s="84"/>
      <c r="CA236" s="84"/>
      <c r="CB236" s="84"/>
      <c r="CC236" s="84"/>
      <c r="CD236" s="84"/>
      <c r="CE236" s="6"/>
      <c r="CF236" s="6"/>
      <c r="CG236" s="6"/>
      <c r="CH236" s="6"/>
      <c r="CI236" s="6"/>
      <c r="CJ236" s="6"/>
      <c r="CK236" s="464"/>
      <c r="CL236" s="464"/>
      <c r="CM236" s="464"/>
      <c r="CN236" s="84"/>
      <c r="CO236" s="84"/>
      <c r="CP236" s="84"/>
      <c r="CQ236" s="84"/>
      <c r="CR236" s="84"/>
      <c r="CS236" s="84"/>
      <c r="CT236" s="84"/>
      <c r="CU236" s="84"/>
      <c r="CV236" s="84"/>
      <c r="CW236" s="84"/>
      <c r="CX236" s="84"/>
      <c r="CY236" s="84"/>
      <c r="CZ236" s="6"/>
      <c r="DA236" s="464"/>
      <c r="DB236" s="464"/>
      <c r="DC236" s="464"/>
      <c r="DD236" s="84"/>
      <c r="DE236" s="84"/>
      <c r="DF236" s="84"/>
      <c r="DG236" s="84"/>
      <c r="DH236" s="84"/>
      <c r="DI236" s="84"/>
      <c r="DJ236" s="84"/>
      <c r="DK236" s="84"/>
    </row>
    <row r="237" spans="1:115">
      <c r="A237" s="36">
        <v>1</v>
      </c>
      <c r="B237" s="6" t="s">
        <v>291</v>
      </c>
      <c r="C237" s="11" t="s">
        <v>598</v>
      </c>
      <c r="D237" s="648" t="s">
        <v>638</v>
      </c>
      <c r="E237" s="720">
        <v>1</v>
      </c>
      <c r="F237" s="342"/>
      <c r="G237" s="650">
        <v>60</v>
      </c>
      <c r="H237" s="1"/>
      <c r="I237" s="464"/>
      <c r="J237" s="464"/>
      <c r="K237" s="464"/>
      <c r="L237" s="84"/>
      <c r="M237" s="84"/>
      <c r="N237" s="84"/>
      <c r="O237" s="84"/>
      <c r="P237" s="84"/>
      <c r="Q237" s="84"/>
      <c r="R237" s="84"/>
      <c r="S237" s="84"/>
      <c r="T237" s="1"/>
      <c r="U237" s="464"/>
      <c r="V237" s="464"/>
      <c r="W237" s="464"/>
      <c r="X237" s="84"/>
      <c r="Y237" s="84"/>
      <c r="Z237" s="84"/>
      <c r="AA237" s="84"/>
      <c r="AB237" s="84"/>
      <c r="AC237" s="1073">
        <v>1400</v>
      </c>
      <c r="AD237" s="84"/>
      <c r="AE237" s="84"/>
      <c r="AF237" s="84"/>
      <c r="AG237" s="84"/>
      <c r="AH237" s="84"/>
      <c r="AI237" s="84"/>
      <c r="AJ237" s="84"/>
      <c r="AK237" s="6"/>
      <c r="AL237" s="275"/>
      <c r="AM237" s="275"/>
      <c r="AN237" s="275"/>
      <c r="AO237" s="6"/>
      <c r="AP237" s="84"/>
      <c r="AQ237" s="84"/>
      <c r="AR237" s="84"/>
      <c r="AS237" s="84"/>
      <c r="AT237" s="719">
        <v>13</v>
      </c>
      <c r="AU237" s="84"/>
      <c r="AV237" s="84"/>
      <c r="AW237" s="84"/>
      <c r="AX237" s="84"/>
      <c r="AY237" s="84"/>
      <c r="AZ237" s="84"/>
      <c r="BA237" s="84"/>
      <c r="BB237" s="6"/>
      <c r="BC237" s="464"/>
      <c r="BD237" s="464"/>
      <c r="BE237" s="464"/>
      <c r="BF237" s="84"/>
      <c r="BG237" s="84"/>
      <c r="BH237" s="84"/>
      <c r="BI237" s="84"/>
      <c r="BJ237" s="84"/>
      <c r="BK237" s="1068">
        <f t="shared" si="17"/>
        <v>18200</v>
      </c>
      <c r="BL237" s="1068"/>
      <c r="BM237" s="6"/>
      <c r="BN237" s="6"/>
      <c r="BO237" s="6"/>
      <c r="BP237" s="6"/>
      <c r="BQ237" s="6"/>
      <c r="BR237" s="6"/>
      <c r="BS237" s="6"/>
      <c r="BT237" s="464"/>
      <c r="BU237" s="464"/>
      <c r="BV237" s="464"/>
      <c r="BW237" s="84"/>
      <c r="BX237" s="84"/>
      <c r="BY237" s="84"/>
      <c r="BZ237" s="84"/>
      <c r="CA237" s="84"/>
      <c r="CB237" s="84"/>
      <c r="CC237" s="84"/>
      <c r="CD237" s="84"/>
      <c r="CE237" s="6"/>
      <c r="CF237" s="6"/>
      <c r="CG237" s="6"/>
      <c r="CH237" s="6"/>
      <c r="CI237" s="6"/>
      <c r="CJ237" s="6"/>
      <c r="CK237" s="464"/>
      <c r="CL237" s="464"/>
      <c r="CM237" s="464"/>
      <c r="CN237" s="84"/>
      <c r="CO237" s="84"/>
      <c r="CP237" s="84"/>
      <c r="CQ237" s="84"/>
      <c r="CR237" s="84"/>
      <c r="CS237" s="84"/>
      <c r="CT237" s="84"/>
      <c r="CU237" s="84"/>
      <c r="CV237" s="84"/>
      <c r="CW237" s="84"/>
      <c r="CX237" s="84"/>
      <c r="CY237" s="84"/>
      <c r="CZ237" s="6"/>
      <c r="DA237" s="464"/>
      <c r="DB237" s="464"/>
      <c r="DC237" s="464"/>
      <c r="DD237" s="84"/>
      <c r="DE237" s="84"/>
      <c r="DF237" s="84"/>
      <c r="DG237" s="84"/>
      <c r="DH237" s="84"/>
      <c r="DI237" s="84"/>
      <c r="DJ237" s="84"/>
      <c r="DK237" s="84"/>
    </row>
    <row r="238" spans="1:115">
      <c r="A238" s="86">
        <v>2</v>
      </c>
      <c r="B238" s="84" t="s">
        <v>931</v>
      </c>
      <c r="C238" s="6" t="s">
        <v>598</v>
      </c>
      <c r="D238" s="645" t="s">
        <v>277</v>
      </c>
      <c r="E238" s="720">
        <v>1</v>
      </c>
      <c r="F238" s="342"/>
      <c r="G238" s="650">
        <v>60</v>
      </c>
      <c r="H238" s="1"/>
      <c r="I238" s="464"/>
      <c r="J238" s="464"/>
      <c r="K238" s="464"/>
      <c r="L238" s="84"/>
      <c r="M238" s="84"/>
      <c r="N238" s="84"/>
      <c r="O238" s="84"/>
      <c r="P238" s="84"/>
      <c r="Q238" s="84"/>
      <c r="R238" s="84"/>
      <c r="S238" s="84"/>
      <c r="T238" s="1"/>
      <c r="U238" s="464"/>
      <c r="V238" s="464"/>
      <c r="W238" s="464"/>
      <c r="X238" s="84"/>
      <c r="Y238" s="84"/>
      <c r="Z238" s="84"/>
      <c r="AA238" s="84"/>
      <c r="AB238" s="84"/>
      <c r="AC238" s="1073">
        <f>AB265*(1+CB238)</f>
        <v>1537.4999999999998</v>
      </c>
      <c r="AD238" s="84"/>
      <c r="AE238" s="84"/>
      <c r="AF238" s="84"/>
      <c r="AG238" s="84"/>
      <c r="AH238" s="84"/>
      <c r="AI238" s="84"/>
      <c r="AJ238" s="84"/>
      <c r="AK238" s="6"/>
      <c r="AL238" s="275"/>
      <c r="AM238" s="275"/>
      <c r="AN238" s="275"/>
      <c r="AO238" s="6"/>
      <c r="AP238" s="84"/>
      <c r="AQ238" s="84"/>
      <c r="AR238" s="84"/>
      <c r="AS238" s="84"/>
      <c r="AT238" s="719">
        <v>13</v>
      </c>
      <c r="AU238" s="84"/>
      <c r="AV238" s="84"/>
      <c r="AW238" s="84"/>
      <c r="AX238" s="84"/>
      <c r="AY238" s="84"/>
      <c r="AZ238" s="84"/>
      <c r="BA238" s="84"/>
      <c r="BB238" s="6"/>
      <c r="BC238" s="464"/>
      <c r="BD238" s="464"/>
      <c r="BE238" s="464"/>
      <c r="BF238" s="84"/>
      <c r="BG238" s="84"/>
      <c r="BH238" s="84"/>
      <c r="BI238" s="84"/>
      <c r="BJ238" s="84"/>
      <c r="BK238" s="1068">
        <f t="shared" si="17"/>
        <v>19987.499999999996</v>
      </c>
      <c r="BL238" s="1068"/>
      <c r="BM238" s="6"/>
      <c r="BN238" s="6"/>
      <c r="BO238" s="6"/>
      <c r="BP238" s="6"/>
      <c r="BQ238" s="6"/>
      <c r="BR238" s="6"/>
      <c r="BS238" s="6"/>
      <c r="BT238" s="464"/>
      <c r="BU238" s="464"/>
      <c r="BV238" s="464"/>
      <c r="BW238" s="84"/>
      <c r="BX238" s="84"/>
      <c r="BY238" s="84"/>
      <c r="BZ238" s="84"/>
      <c r="CA238" s="84"/>
      <c r="CB238" s="130">
        <v>2.5000000000000001E-2</v>
      </c>
      <c r="CC238" s="84"/>
      <c r="CD238" s="84"/>
      <c r="CE238" s="6"/>
      <c r="CF238" s="6"/>
      <c r="CG238" s="6"/>
      <c r="CH238" s="6"/>
      <c r="CI238" s="6"/>
      <c r="CJ238" s="6"/>
      <c r="CK238" s="464"/>
      <c r="CL238" s="464"/>
      <c r="CM238" s="464"/>
      <c r="CN238" s="84"/>
      <c r="CO238" s="84"/>
      <c r="CP238" s="84"/>
      <c r="CQ238" s="84"/>
      <c r="CR238" s="84"/>
      <c r="CS238" s="84"/>
      <c r="CT238" s="84"/>
      <c r="CU238" s="84"/>
      <c r="CV238" s="84"/>
      <c r="CW238" s="84"/>
      <c r="CX238" s="84"/>
      <c r="CY238" s="84"/>
      <c r="CZ238" s="6"/>
      <c r="DA238" s="464"/>
      <c r="DB238" s="464"/>
      <c r="DC238" s="464"/>
      <c r="DD238" s="84"/>
      <c r="DE238" s="84"/>
      <c r="DF238" s="84"/>
      <c r="DG238" s="84"/>
      <c r="DH238" s="84"/>
      <c r="DI238" s="84"/>
      <c r="DJ238" s="84"/>
      <c r="DK238" s="84"/>
    </row>
    <row r="239" spans="1:115">
      <c r="A239" s="86">
        <v>1</v>
      </c>
      <c r="B239" s="6" t="s">
        <v>292</v>
      </c>
      <c r="C239" s="11" t="s">
        <v>598</v>
      </c>
      <c r="D239" s="648" t="s">
        <v>638</v>
      </c>
      <c r="E239" s="720">
        <v>1</v>
      </c>
      <c r="F239" s="342"/>
      <c r="G239" s="650">
        <v>60</v>
      </c>
      <c r="H239" s="1"/>
      <c r="I239" s="464"/>
      <c r="J239" s="464"/>
      <c r="K239" s="464"/>
      <c r="L239" s="84"/>
      <c r="M239" s="84"/>
      <c r="N239" s="84"/>
      <c r="O239" s="84"/>
      <c r="P239" s="84"/>
      <c r="Q239" s="84"/>
      <c r="R239" s="84"/>
      <c r="S239" s="84"/>
      <c r="T239" s="1"/>
      <c r="U239" s="464"/>
      <c r="V239" s="464"/>
      <c r="W239" s="464"/>
      <c r="X239" s="84"/>
      <c r="Y239" s="84"/>
      <c r="Z239" s="84"/>
      <c r="AA239" s="84"/>
      <c r="AB239" s="84"/>
      <c r="AC239" s="1073">
        <v>1500</v>
      </c>
      <c r="AD239" s="84"/>
      <c r="AE239" s="84"/>
      <c r="AF239" s="84"/>
      <c r="AG239" s="84"/>
      <c r="AH239" s="84"/>
      <c r="AI239" s="84"/>
      <c r="AJ239" s="84"/>
      <c r="AK239" s="6"/>
      <c r="AL239" s="275"/>
      <c r="AM239" s="275"/>
      <c r="AN239" s="275"/>
      <c r="AO239" s="6"/>
      <c r="AP239" s="84"/>
      <c r="AQ239" s="84"/>
      <c r="AR239" s="84"/>
      <c r="AS239" s="84"/>
      <c r="AT239" s="719">
        <v>13</v>
      </c>
      <c r="AU239" s="84"/>
      <c r="AV239" s="84"/>
      <c r="AW239" s="84"/>
      <c r="AX239" s="84"/>
      <c r="AY239" s="84"/>
      <c r="AZ239" s="84"/>
      <c r="BA239" s="84"/>
      <c r="BB239" s="6"/>
      <c r="BC239" s="464"/>
      <c r="BD239" s="464"/>
      <c r="BE239" s="464"/>
      <c r="BF239" s="84"/>
      <c r="BG239" s="84"/>
      <c r="BH239" s="84"/>
      <c r="BI239" s="84"/>
      <c r="BJ239" s="84"/>
      <c r="BK239" s="1068">
        <f t="shared" si="17"/>
        <v>19500</v>
      </c>
      <c r="BL239" s="1068"/>
      <c r="BM239" s="6"/>
      <c r="BN239" s="6"/>
      <c r="BO239" s="6"/>
      <c r="BP239" s="6"/>
      <c r="BQ239" s="6"/>
      <c r="BR239" s="6"/>
      <c r="BS239" s="6"/>
      <c r="BT239" s="464"/>
      <c r="BU239" s="464"/>
      <c r="BV239" s="464"/>
      <c r="BW239" s="84"/>
      <c r="BX239" s="84"/>
      <c r="BY239" s="84"/>
      <c r="BZ239" s="84"/>
      <c r="CA239" s="84"/>
      <c r="CB239" s="84"/>
      <c r="CC239" s="84"/>
      <c r="CD239" s="84"/>
      <c r="CE239" s="6"/>
      <c r="CF239" s="6"/>
      <c r="CG239" s="6"/>
      <c r="CH239" s="6"/>
      <c r="CI239" s="6"/>
      <c r="CJ239" s="6"/>
      <c r="CK239" s="464"/>
      <c r="CL239" s="464"/>
      <c r="CM239" s="464"/>
      <c r="CN239" s="84"/>
      <c r="CO239" s="84"/>
      <c r="CP239" s="84"/>
      <c r="CQ239" s="84"/>
      <c r="CR239" s="84"/>
      <c r="CS239" s="84"/>
      <c r="CT239" s="84"/>
      <c r="CU239" s="84"/>
      <c r="CV239" s="84"/>
      <c r="CW239" s="84"/>
      <c r="CX239" s="84"/>
      <c r="CY239" s="84"/>
      <c r="CZ239" s="6"/>
      <c r="DA239" s="464"/>
      <c r="DB239" s="464"/>
      <c r="DC239" s="464"/>
      <c r="DD239" s="84"/>
      <c r="DE239" s="84"/>
      <c r="DF239" s="84"/>
      <c r="DG239" s="84"/>
      <c r="DH239" s="84"/>
      <c r="DI239" s="84"/>
      <c r="DJ239" s="84"/>
      <c r="DK239" s="84"/>
    </row>
    <row r="240" spans="1:115">
      <c r="A240" s="86">
        <v>1</v>
      </c>
      <c r="B240" s="6" t="s">
        <v>305</v>
      </c>
      <c r="C240" s="11" t="s">
        <v>598</v>
      </c>
      <c r="D240" s="648" t="s">
        <v>638</v>
      </c>
      <c r="E240" s="720">
        <v>1</v>
      </c>
      <c r="F240" s="342"/>
      <c r="G240" s="650">
        <v>60</v>
      </c>
      <c r="H240" s="1"/>
      <c r="I240" s="464"/>
      <c r="J240" s="464"/>
      <c r="K240" s="464"/>
      <c r="L240" s="84"/>
      <c r="M240" s="84"/>
      <c r="N240" s="84"/>
      <c r="O240" s="84"/>
      <c r="P240" s="84"/>
      <c r="Q240" s="84"/>
      <c r="R240" s="84"/>
      <c r="S240" s="84"/>
      <c r="T240" s="1"/>
      <c r="U240" s="464"/>
      <c r="V240" s="464"/>
      <c r="W240" s="464"/>
      <c r="X240" s="84"/>
      <c r="Y240" s="84"/>
      <c r="Z240" s="84"/>
      <c r="AA240" s="84"/>
      <c r="AB240" s="84"/>
      <c r="AC240" s="1073">
        <v>1500</v>
      </c>
      <c r="AD240" s="84"/>
      <c r="AE240" s="84"/>
      <c r="AF240" s="84"/>
      <c r="AG240" s="84"/>
      <c r="AH240" s="84"/>
      <c r="AI240" s="84"/>
      <c r="AJ240" s="84"/>
      <c r="AK240" s="6"/>
      <c r="AL240" s="275"/>
      <c r="AM240" s="275"/>
      <c r="AN240" s="275"/>
      <c r="AO240" s="6"/>
      <c r="AP240" s="84"/>
      <c r="AQ240" s="84"/>
      <c r="AR240" s="84"/>
      <c r="AS240" s="84"/>
      <c r="AT240" s="719">
        <v>13</v>
      </c>
      <c r="AU240" s="84"/>
      <c r="AV240" s="84"/>
      <c r="AW240" s="84"/>
      <c r="AX240" s="84"/>
      <c r="AY240" s="84"/>
      <c r="AZ240" s="84"/>
      <c r="BA240" s="84"/>
      <c r="BB240" s="6"/>
      <c r="BC240" s="464"/>
      <c r="BD240" s="464"/>
      <c r="BE240" s="464"/>
      <c r="BF240" s="84"/>
      <c r="BG240" s="84"/>
      <c r="BH240" s="84"/>
      <c r="BI240" s="84"/>
      <c r="BJ240" s="84"/>
      <c r="BK240" s="1068">
        <f t="shared" si="17"/>
        <v>19500</v>
      </c>
      <c r="BL240" s="1068"/>
      <c r="BM240" s="6"/>
      <c r="BN240" s="6"/>
      <c r="BO240" s="6"/>
      <c r="BP240" s="6"/>
      <c r="BQ240" s="6"/>
      <c r="BR240" s="6"/>
      <c r="BS240" s="6"/>
      <c r="BT240" s="464"/>
      <c r="BU240" s="464"/>
      <c r="BV240" s="464"/>
      <c r="BW240" s="84"/>
      <c r="BX240" s="84"/>
      <c r="BY240" s="84"/>
      <c r="BZ240" s="84"/>
      <c r="CA240" s="84"/>
      <c r="CB240" s="84"/>
      <c r="CC240" s="84"/>
      <c r="CD240" s="84"/>
      <c r="CE240" s="6"/>
      <c r="CF240" s="6"/>
      <c r="CG240" s="6"/>
      <c r="CH240" s="6"/>
      <c r="CI240" s="6"/>
      <c r="CJ240" s="6"/>
      <c r="CK240" s="464"/>
      <c r="CL240" s="464"/>
      <c r="CM240" s="464"/>
      <c r="CN240" s="84"/>
      <c r="CO240" s="84"/>
      <c r="CP240" s="84"/>
      <c r="CQ240" s="84"/>
      <c r="CR240" s="84"/>
      <c r="CS240" s="84"/>
      <c r="CT240" s="84"/>
      <c r="CU240" s="84"/>
      <c r="CV240" s="84"/>
      <c r="CW240" s="84"/>
      <c r="CX240" s="84"/>
      <c r="CY240" s="84"/>
      <c r="CZ240" s="6"/>
      <c r="DA240" s="464"/>
      <c r="DB240" s="464"/>
      <c r="DC240" s="464"/>
      <c r="DD240" s="84"/>
      <c r="DE240" s="84"/>
      <c r="DF240" s="84"/>
      <c r="DG240" s="84"/>
      <c r="DH240" s="84"/>
      <c r="DI240" s="84"/>
      <c r="DJ240" s="84"/>
      <c r="DK240" s="84"/>
    </row>
    <row r="241" spans="1:115">
      <c r="A241" s="86">
        <v>1</v>
      </c>
      <c r="B241" s="6" t="s">
        <v>312</v>
      </c>
      <c r="C241" s="6" t="s">
        <v>315</v>
      </c>
      <c r="D241" s="645" t="s">
        <v>595</v>
      </c>
      <c r="E241" s="720">
        <v>0.5</v>
      </c>
      <c r="F241" s="342"/>
      <c r="G241" s="650">
        <v>60</v>
      </c>
      <c r="H241" s="1"/>
      <c r="I241" s="464"/>
      <c r="J241" s="464"/>
      <c r="K241" s="464"/>
      <c r="L241" s="84"/>
      <c r="M241" s="84"/>
      <c r="N241" s="84"/>
      <c r="O241" s="84"/>
      <c r="P241" s="84"/>
      <c r="Q241" s="84"/>
      <c r="R241" s="84"/>
      <c r="S241" s="84"/>
      <c r="T241" s="1"/>
      <c r="U241" s="464"/>
      <c r="V241" s="464"/>
      <c r="W241" s="464"/>
      <c r="X241" s="84"/>
      <c r="Y241" s="84"/>
      <c r="Z241" s="84"/>
      <c r="AA241" s="84"/>
      <c r="AB241" s="84"/>
      <c r="AC241" s="1073">
        <v>1500</v>
      </c>
      <c r="AD241" s="84"/>
      <c r="AE241" s="84"/>
      <c r="AF241" s="84"/>
      <c r="AG241" s="84"/>
      <c r="AH241" s="84"/>
      <c r="AI241" s="84"/>
      <c r="AJ241" s="84"/>
      <c r="AK241" s="6"/>
      <c r="AL241" s="275"/>
      <c r="AM241" s="275"/>
      <c r="AN241" s="275"/>
      <c r="AO241" s="6"/>
      <c r="AP241" s="84"/>
      <c r="AQ241" s="84"/>
      <c r="AR241" s="84"/>
      <c r="AS241" s="84"/>
      <c r="AT241" s="719">
        <v>13</v>
      </c>
      <c r="AU241" s="84"/>
      <c r="AV241" s="84"/>
      <c r="AW241" s="84"/>
      <c r="AX241" s="84"/>
      <c r="AY241" s="84"/>
      <c r="AZ241" s="84"/>
      <c r="BA241" s="84"/>
      <c r="BB241" s="6"/>
      <c r="BC241" s="464"/>
      <c r="BD241" s="464"/>
      <c r="BE241" s="464"/>
      <c r="BF241" s="84"/>
      <c r="BG241" s="84"/>
      <c r="BH241" s="84"/>
      <c r="BI241" s="84"/>
      <c r="BJ241" s="84"/>
      <c r="BK241" s="1068">
        <f t="shared" si="17"/>
        <v>9750</v>
      </c>
      <c r="BL241" s="1068"/>
      <c r="BM241" s="6"/>
      <c r="BN241" s="6"/>
      <c r="BO241" s="6"/>
      <c r="BP241" s="6"/>
      <c r="BQ241" s="6"/>
      <c r="BR241" s="6"/>
      <c r="BS241" s="6"/>
      <c r="BT241" s="464"/>
      <c r="BU241" s="464"/>
      <c r="BV241" s="464"/>
      <c r="BW241" s="84"/>
      <c r="BX241" s="84"/>
      <c r="BY241" s="84"/>
      <c r="BZ241" s="84"/>
      <c r="CA241" s="84"/>
      <c r="CB241" s="84"/>
      <c r="CC241" s="84"/>
      <c r="CD241" s="84"/>
      <c r="CE241" s="6"/>
      <c r="CF241" s="6"/>
      <c r="CG241" s="6"/>
      <c r="CH241" s="6"/>
      <c r="CI241" s="6"/>
      <c r="CJ241" s="6"/>
      <c r="CK241" s="464"/>
      <c r="CL241" s="464"/>
      <c r="CM241" s="464"/>
      <c r="CN241" s="84"/>
      <c r="CO241" s="84"/>
      <c r="CP241" s="84"/>
      <c r="CQ241" s="84"/>
      <c r="CR241" s="84"/>
      <c r="CS241" s="84"/>
      <c r="CT241" s="84"/>
      <c r="CU241" s="84"/>
      <c r="CV241" s="84"/>
      <c r="CW241" s="84"/>
      <c r="CX241" s="84"/>
      <c r="CY241" s="84"/>
      <c r="CZ241" s="6"/>
      <c r="DA241" s="464"/>
      <c r="DB241" s="464"/>
      <c r="DC241" s="464"/>
      <c r="DD241" s="84"/>
      <c r="DE241" s="84"/>
      <c r="DF241" s="84"/>
      <c r="DG241" s="84"/>
      <c r="DH241" s="84"/>
      <c r="DI241" s="84"/>
      <c r="DJ241" s="84"/>
      <c r="DK241" s="84"/>
    </row>
    <row r="242" spans="1:115">
      <c r="A242" s="259" t="s">
        <v>337</v>
      </c>
      <c r="B242" s="342"/>
      <c r="C242" s="342"/>
      <c r="D242" s="342"/>
      <c r="E242" s="342"/>
      <c r="F242" s="342"/>
      <c r="G242" s="342"/>
      <c r="H242" s="1"/>
      <c r="I242" s="464"/>
      <c r="J242" s="464"/>
      <c r="K242" s="464"/>
      <c r="L242" s="84"/>
      <c r="M242" s="84"/>
      <c r="N242" s="84"/>
      <c r="O242" s="84"/>
      <c r="P242" s="84"/>
      <c r="Q242" s="84"/>
      <c r="R242" s="84"/>
      <c r="S242" s="84"/>
      <c r="T242" s="1"/>
      <c r="U242" s="464"/>
      <c r="V242" s="464"/>
      <c r="W242" s="464"/>
      <c r="X242" s="84"/>
      <c r="Y242" s="84"/>
      <c r="Z242" s="84"/>
      <c r="AA242" s="84"/>
      <c r="AB242" s="84"/>
      <c r="AC242" s="84"/>
      <c r="AD242" s="84"/>
      <c r="AE242" s="84"/>
      <c r="AF242" s="84"/>
      <c r="AG242" s="84"/>
      <c r="AH242" s="84"/>
      <c r="AI242" s="84"/>
      <c r="AJ242" s="84"/>
      <c r="AK242" s="6"/>
      <c r="AL242" s="275"/>
      <c r="AM242" s="275"/>
      <c r="AN242" s="275"/>
      <c r="AO242" s="6"/>
      <c r="AP242" s="84"/>
      <c r="AQ242" s="84"/>
      <c r="AR242" s="84"/>
      <c r="AS242" s="84"/>
      <c r="AT242" s="84"/>
      <c r="AU242" s="84"/>
      <c r="AV242" s="84"/>
      <c r="AW242" s="84"/>
      <c r="AX242" s="84"/>
      <c r="AY242" s="84"/>
      <c r="AZ242" s="84"/>
      <c r="BA242" s="84"/>
      <c r="BB242" s="6"/>
      <c r="BC242" s="464"/>
      <c r="BD242" s="464"/>
      <c r="BE242" s="464"/>
      <c r="BF242" s="84"/>
      <c r="BG242" s="84"/>
      <c r="BH242" s="84"/>
      <c r="BI242" s="84"/>
      <c r="BJ242" s="84"/>
      <c r="BK242" s="6"/>
      <c r="BL242" s="6"/>
      <c r="BM242" s="6"/>
      <c r="BN242" s="6"/>
      <c r="BO242" s="6"/>
      <c r="BP242" s="6"/>
      <c r="BQ242" s="6"/>
      <c r="BR242" s="6"/>
      <c r="BS242" s="6"/>
      <c r="BT242" s="464"/>
      <c r="BU242" s="464"/>
      <c r="BV242" s="464"/>
      <c r="BW242" s="84"/>
      <c r="BX242" s="84"/>
      <c r="BY242" s="84"/>
      <c r="BZ242" s="84"/>
      <c r="CA242" s="84"/>
      <c r="CB242" s="84"/>
      <c r="CC242" s="84"/>
      <c r="CD242" s="84"/>
      <c r="CE242" s="6"/>
      <c r="CF242" s="6"/>
      <c r="CG242" s="6"/>
      <c r="CH242" s="6"/>
      <c r="CI242" s="6"/>
      <c r="CJ242" s="6"/>
      <c r="CK242" s="464"/>
      <c r="CL242" s="464"/>
      <c r="CM242" s="464"/>
      <c r="CN242" s="84"/>
      <c r="CO242" s="84"/>
      <c r="CP242" s="84"/>
      <c r="CQ242" s="84"/>
      <c r="CR242" s="84"/>
      <c r="CS242" s="84"/>
      <c r="CT242" s="84"/>
      <c r="CU242" s="84"/>
      <c r="CV242" s="84"/>
      <c r="CW242" s="84"/>
      <c r="CX242" s="84"/>
      <c r="CY242" s="84"/>
      <c r="CZ242" s="6"/>
      <c r="DA242" s="464"/>
      <c r="DB242" s="464"/>
      <c r="DC242" s="464"/>
      <c r="DD242" s="84"/>
      <c r="DE242" s="84"/>
      <c r="DF242" s="84"/>
      <c r="DG242" s="84"/>
      <c r="DH242" s="84"/>
      <c r="DI242" s="84"/>
      <c r="DJ242" s="84"/>
      <c r="DK242" s="84"/>
    </row>
    <row r="243" spans="1:115">
      <c r="A243" s="640" t="s">
        <v>484</v>
      </c>
      <c r="B243" s="1"/>
      <c r="C243" s="1"/>
      <c r="D243" s="1"/>
      <c r="E243" s="1"/>
      <c r="F243" s="1"/>
      <c r="G243" s="1"/>
      <c r="H243" s="1"/>
      <c r="I243" s="464"/>
      <c r="J243" s="464"/>
      <c r="K243" s="464"/>
      <c r="L243" s="84"/>
      <c r="M243" s="84"/>
      <c r="N243" s="84"/>
      <c r="O243" s="84"/>
      <c r="P243" s="84"/>
      <c r="Q243" s="84"/>
      <c r="R243" s="84"/>
      <c r="S243" s="84"/>
      <c r="T243" s="1"/>
      <c r="U243" s="464"/>
      <c r="V243" s="464"/>
      <c r="W243" s="464"/>
      <c r="X243" s="84"/>
      <c r="Y243" s="84"/>
      <c r="Z243" s="84"/>
      <c r="AA243" s="84"/>
      <c r="AB243" s="84"/>
      <c r="AC243" s="84"/>
      <c r="AD243" s="84"/>
      <c r="AE243" s="84"/>
      <c r="AF243" s="84"/>
      <c r="AG243" s="84"/>
      <c r="AH243" s="84"/>
      <c r="AI243" s="84"/>
      <c r="AJ243" s="84"/>
      <c r="AK243" s="6"/>
      <c r="AL243" s="275"/>
      <c r="AM243" s="275"/>
      <c r="AN243" s="275"/>
      <c r="AO243" s="6"/>
      <c r="AP243" s="84"/>
      <c r="AQ243" s="84"/>
      <c r="AR243" s="84"/>
      <c r="AS243" s="84"/>
      <c r="AT243" s="84"/>
      <c r="AU243" s="84"/>
      <c r="AV243" s="84"/>
      <c r="AW243" s="84"/>
      <c r="AX243" s="84"/>
      <c r="AY243" s="84"/>
      <c r="AZ243" s="84"/>
      <c r="BA243" s="84"/>
      <c r="BB243" s="6"/>
      <c r="BC243" s="464"/>
      <c r="BD243" s="464"/>
      <c r="BE243" s="464"/>
      <c r="BF243" s="84"/>
      <c r="BG243" s="84"/>
      <c r="BH243" s="84"/>
      <c r="BI243" s="84"/>
      <c r="BJ243" s="84"/>
      <c r="BK243" s="6"/>
      <c r="BL243" s="6"/>
      <c r="BM243" s="6"/>
      <c r="BN243" s="6"/>
      <c r="BO243" s="6"/>
      <c r="BP243" s="6"/>
      <c r="BQ243" s="6"/>
      <c r="BR243" s="6"/>
      <c r="BS243" s="6"/>
      <c r="BT243" s="464"/>
      <c r="BU243" s="464"/>
      <c r="BV243" s="464"/>
      <c r="BW243" s="84"/>
      <c r="BX243" s="84"/>
      <c r="BY243" s="84"/>
      <c r="BZ243" s="84"/>
      <c r="CA243" s="84"/>
      <c r="CB243" s="84"/>
      <c r="CC243" s="84"/>
      <c r="CD243" s="84"/>
      <c r="CE243" s="6"/>
      <c r="CF243" s="6"/>
      <c r="CG243" s="6"/>
      <c r="CH243" s="6"/>
      <c r="CI243" s="6"/>
      <c r="CJ243" s="6"/>
      <c r="CK243" s="464"/>
      <c r="CL243" s="464"/>
      <c r="CM243" s="464"/>
      <c r="CN243" s="84"/>
      <c r="CO243" s="84"/>
      <c r="CP243" s="84"/>
      <c r="CQ243" s="84"/>
      <c r="CR243" s="84"/>
      <c r="CS243" s="84"/>
      <c r="CT243" s="84"/>
      <c r="CU243" s="84"/>
      <c r="CV243" s="84"/>
      <c r="CW243" s="84"/>
      <c r="CX243" s="84"/>
      <c r="CY243" s="84"/>
      <c r="CZ243" s="6"/>
      <c r="DA243" s="464"/>
      <c r="DB243" s="464"/>
      <c r="DC243" s="464"/>
      <c r="DD243" s="84"/>
      <c r="DE243" s="84"/>
      <c r="DF243" s="84"/>
      <c r="DG243" s="84"/>
      <c r="DH243" s="84"/>
      <c r="DI243" s="84"/>
      <c r="DJ243" s="84"/>
      <c r="DK243" s="84"/>
    </row>
    <row r="244" spans="1:115">
      <c r="A244" s="36">
        <v>1</v>
      </c>
      <c r="B244" s="473">
        <v>90210</v>
      </c>
      <c r="C244" s="6" t="s">
        <v>337</v>
      </c>
      <c r="D244" s="645" t="s">
        <v>595</v>
      </c>
      <c r="E244" s="720">
        <v>1</v>
      </c>
      <c r="F244" s="342"/>
      <c r="G244" s="650">
        <v>60</v>
      </c>
      <c r="H244" s="342"/>
      <c r="I244" s="464"/>
      <c r="J244" s="464"/>
      <c r="K244" s="464"/>
      <c r="L244" s="84"/>
      <c r="M244" s="84"/>
      <c r="N244" s="84"/>
      <c r="O244" s="84"/>
      <c r="P244" s="84"/>
      <c r="Q244" s="84"/>
      <c r="R244" s="84"/>
      <c r="S244" s="84"/>
      <c r="T244" s="342"/>
      <c r="U244" s="464"/>
      <c r="V244" s="464"/>
      <c r="W244" s="464"/>
      <c r="X244" s="84"/>
      <c r="Y244" s="84"/>
      <c r="Z244" s="84"/>
      <c r="AA244" s="84"/>
      <c r="AB244" s="1073">
        <v>2000</v>
      </c>
      <c r="AC244" s="1073"/>
      <c r="AD244" s="84"/>
      <c r="AE244" s="84"/>
      <c r="AF244" s="84"/>
      <c r="AG244" s="84"/>
      <c r="AH244" s="84"/>
      <c r="AI244" s="84"/>
      <c r="AJ244" s="84"/>
      <c r="AK244" s="6"/>
      <c r="AL244" s="275"/>
      <c r="AM244" s="275"/>
      <c r="AN244" s="275"/>
      <c r="AO244" s="6"/>
      <c r="AP244" s="84"/>
      <c r="AQ244" s="84"/>
      <c r="AR244" s="84"/>
      <c r="AS244" s="719">
        <v>13</v>
      </c>
      <c r="AT244" s="84"/>
      <c r="AU244" s="84"/>
      <c r="AV244" s="84"/>
      <c r="AW244" s="84"/>
      <c r="AX244" s="84"/>
      <c r="AY244" s="84"/>
      <c r="AZ244" s="84"/>
      <c r="BA244" s="84"/>
      <c r="BB244" s="6"/>
      <c r="BC244" s="464"/>
      <c r="BD244" s="464"/>
      <c r="BE244" s="464"/>
      <c r="BF244" s="84"/>
      <c r="BG244" s="84"/>
      <c r="BH244" s="84"/>
      <c r="BI244" s="6"/>
      <c r="BJ244" s="1068">
        <f>$AS244*$AB244*$E244</f>
        <v>26000</v>
      </c>
      <c r="BK244" s="6"/>
      <c r="BL244" s="6"/>
      <c r="BM244" s="6"/>
      <c r="BN244" s="6"/>
      <c r="BO244" s="6"/>
      <c r="BP244" s="6"/>
      <c r="BQ244" s="6"/>
      <c r="BR244" s="6"/>
      <c r="BS244" s="6"/>
      <c r="BT244" s="464"/>
      <c r="BU244" s="464"/>
      <c r="BV244" s="464"/>
      <c r="BW244" s="84"/>
      <c r="BX244" s="84"/>
      <c r="BY244" s="84"/>
      <c r="BZ244" s="84"/>
      <c r="CA244" s="84"/>
      <c r="CB244" s="84"/>
      <c r="CC244" s="84"/>
      <c r="CD244" s="84"/>
      <c r="CE244" s="6"/>
      <c r="CF244" s="6"/>
      <c r="CG244" s="6"/>
      <c r="CH244" s="6"/>
      <c r="CI244" s="6"/>
      <c r="CJ244" s="6"/>
      <c r="CK244" s="464"/>
      <c r="CL244" s="464"/>
      <c r="CM244" s="464"/>
      <c r="CN244" s="84"/>
      <c r="CO244" s="84"/>
      <c r="CP244" s="84"/>
      <c r="CQ244" s="84"/>
      <c r="CR244" s="84"/>
      <c r="CS244" s="84"/>
      <c r="CT244" s="84"/>
      <c r="CU244" s="84"/>
      <c r="CV244" s="84"/>
      <c r="CW244" s="84"/>
      <c r="CX244" s="84"/>
      <c r="CY244" s="84"/>
      <c r="CZ244" s="6"/>
      <c r="DA244" s="464"/>
      <c r="DB244" s="464"/>
      <c r="DC244" s="464"/>
      <c r="DD244" s="84"/>
      <c r="DE244" s="84"/>
      <c r="DF244" s="84"/>
      <c r="DG244" s="84"/>
      <c r="DH244" s="84"/>
      <c r="DI244" s="84"/>
      <c r="DJ244" s="84"/>
      <c r="DK244" s="84"/>
    </row>
    <row r="245" spans="1:115">
      <c r="A245" s="164">
        <v>8</v>
      </c>
      <c r="B245" s="69" t="s">
        <v>932</v>
      </c>
      <c r="C245" s="11" t="s">
        <v>598</v>
      </c>
      <c r="D245" s="648" t="s">
        <v>638</v>
      </c>
      <c r="E245" s="720">
        <v>0.5</v>
      </c>
      <c r="F245" s="342"/>
      <c r="G245" s="650">
        <v>60</v>
      </c>
      <c r="H245" s="342"/>
      <c r="I245" s="464"/>
      <c r="J245" s="464"/>
      <c r="K245" s="464"/>
      <c r="L245" s="84"/>
      <c r="M245" s="84"/>
      <c r="N245" s="84"/>
      <c r="O245" s="84"/>
      <c r="P245" s="84"/>
      <c r="Q245" s="84"/>
      <c r="R245" s="84"/>
      <c r="S245" s="84"/>
      <c r="T245" s="342"/>
      <c r="U245" s="464"/>
      <c r="V245" s="464"/>
      <c r="W245" s="464"/>
      <c r="X245" s="84"/>
      <c r="Y245" s="84"/>
      <c r="Z245" s="84"/>
      <c r="AA245" s="84"/>
      <c r="AB245" s="1073">
        <v>1500</v>
      </c>
      <c r="AC245" s="1073"/>
      <c r="AD245" s="84"/>
      <c r="AE245" s="84"/>
      <c r="AF245" s="84"/>
      <c r="AG245" s="84"/>
      <c r="AH245" s="84"/>
      <c r="AI245" s="84"/>
      <c r="AJ245" s="84"/>
      <c r="AK245" s="6"/>
      <c r="AL245" s="275"/>
      <c r="AM245" s="275"/>
      <c r="AN245" s="275"/>
      <c r="AO245" s="6"/>
      <c r="AP245" s="84"/>
      <c r="AQ245" s="84"/>
      <c r="AR245" s="84"/>
      <c r="AS245" s="719">
        <v>13</v>
      </c>
      <c r="AT245" s="84"/>
      <c r="AU245" s="84"/>
      <c r="AV245" s="84"/>
      <c r="AW245" s="84"/>
      <c r="AX245" s="84"/>
      <c r="AY245" s="84"/>
      <c r="AZ245" s="84"/>
      <c r="BA245" s="84"/>
      <c r="BB245" s="6"/>
      <c r="BC245" s="464"/>
      <c r="BD245" s="464"/>
      <c r="BE245" s="464"/>
      <c r="BF245" s="84"/>
      <c r="BG245" s="84"/>
      <c r="BH245" s="84"/>
      <c r="BI245" s="84"/>
      <c r="BJ245" s="1068">
        <f t="shared" ref="BJ245:BJ268" si="18">$AS245*$AB245*$E245</f>
        <v>9750</v>
      </c>
      <c r="BK245" s="6"/>
      <c r="BL245" s="6"/>
      <c r="BM245" s="6"/>
      <c r="BN245" s="6"/>
      <c r="BO245" s="6"/>
      <c r="BP245" s="6"/>
      <c r="BQ245" s="6"/>
      <c r="BR245" s="6"/>
      <c r="BS245" s="6"/>
      <c r="BT245" s="464"/>
      <c r="BU245" s="464"/>
      <c r="BV245" s="464"/>
      <c r="BW245" s="84"/>
      <c r="BX245" s="84"/>
      <c r="BY245" s="84"/>
      <c r="BZ245" s="84"/>
      <c r="CA245" s="130"/>
      <c r="CB245" s="130"/>
      <c r="CC245" s="84"/>
      <c r="CD245" s="84"/>
      <c r="CE245" s="6"/>
      <c r="CF245" s="6"/>
      <c r="CG245" s="6"/>
      <c r="CH245" s="6"/>
      <c r="CI245" s="6"/>
      <c r="CJ245" s="6"/>
      <c r="CK245" s="464"/>
      <c r="CL245" s="464"/>
      <c r="CM245" s="464"/>
      <c r="CN245" s="84"/>
      <c r="CO245" s="84"/>
      <c r="CP245" s="84"/>
      <c r="CQ245" s="84"/>
      <c r="CR245" s="84"/>
      <c r="CS245" s="84"/>
      <c r="CT245" s="84"/>
      <c r="CU245" s="84"/>
      <c r="CV245" s="84"/>
      <c r="CW245" s="84"/>
      <c r="CX245" s="84"/>
      <c r="CY245" s="84"/>
      <c r="CZ245" s="6"/>
      <c r="DA245" s="464"/>
      <c r="DB245" s="464"/>
      <c r="DC245" s="464"/>
      <c r="DD245" s="84"/>
      <c r="DE245" s="84"/>
      <c r="DF245" s="84"/>
      <c r="DG245" s="84"/>
      <c r="DH245" s="84"/>
      <c r="DI245" s="84"/>
      <c r="DJ245" s="84"/>
      <c r="DK245" s="84"/>
    </row>
    <row r="246" spans="1:115">
      <c r="A246" s="164">
        <v>1</v>
      </c>
      <c r="B246" s="69" t="s">
        <v>1459</v>
      </c>
      <c r="C246" s="11" t="s">
        <v>598</v>
      </c>
      <c r="D246" s="648" t="s">
        <v>638</v>
      </c>
      <c r="E246" s="720">
        <v>1</v>
      </c>
      <c r="F246" s="342"/>
      <c r="G246" s="650">
        <v>60</v>
      </c>
      <c r="H246" s="342"/>
      <c r="I246" s="464"/>
      <c r="J246" s="464"/>
      <c r="K246" s="464"/>
      <c r="L246" s="84"/>
      <c r="M246" s="84"/>
      <c r="N246" s="84"/>
      <c r="O246" s="84"/>
      <c r="P246" s="84"/>
      <c r="Q246" s="84"/>
      <c r="R246" s="84"/>
      <c r="S246" s="84"/>
      <c r="T246" s="342"/>
      <c r="U246" s="464"/>
      <c r="V246" s="464"/>
      <c r="W246" s="464"/>
      <c r="X246" s="84"/>
      <c r="Y246" s="84"/>
      <c r="Z246" s="84"/>
      <c r="AA246" s="84"/>
      <c r="AB246" s="1073">
        <v>1500</v>
      </c>
      <c r="AC246" s="1073"/>
      <c r="AD246" s="84"/>
      <c r="AE246" s="84"/>
      <c r="AF246" s="84"/>
      <c r="AG246" s="84"/>
      <c r="AH246" s="84"/>
      <c r="AI246" s="84"/>
      <c r="AJ246" s="84"/>
      <c r="AK246" s="6"/>
      <c r="AL246" s="275"/>
      <c r="AM246" s="275"/>
      <c r="AN246" s="275"/>
      <c r="AO246" s="6"/>
      <c r="AP246" s="84"/>
      <c r="AQ246" s="84"/>
      <c r="AR246" s="84"/>
      <c r="AS246" s="719">
        <v>13</v>
      </c>
      <c r="AT246" s="84"/>
      <c r="AU246" s="84"/>
      <c r="AV246" s="84"/>
      <c r="AW246" s="84"/>
      <c r="AX246" s="84"/>
      <c r="AY246" s="84"/>
      <c r="AZ246" s="84"/>
      <c r="BA246" s="84"/>
      <c r="BB246" s="6"/>
      <c r="BC246" s="464"/>
      <c r="BD246" s="464"/>
      <c r="BE246" s="464"/>
      <c r="BF246" s="84"/>
      <c r="BG246" s="84"/>
      <c r="BH246" s="84"/>
      <c r="BI246" s="84"/>
      <c r="BJ246" s="1068">
        <f t="shared" si="18"/>
        <v>19500</v>
      </c>
      <c r="BK246" s="6"/>
      <c r="BL246" s="6"/>
      <c r="BM246" s="6"/>
      <c r="BN246" s="6"/>
      <c r="BO246" s="6"/>
      <c r="BP246" s="6"/>
      <c r="BQ246" s="6"/>
      <c r="BR246" s="6"/>
      <c r="BS246" s="6"/>
      <c r="BT246" s="464"/>
      <c r="BU246" s="464"/>
      <c r="BV246" s="464"/>
      <c r="BW246" s="84"/>
      <c r="BX246" s="84"/>
      <c r="BY246" s="84"/>
      <c r="BZ246" s="84"/>
      <c r="CA246" s="130"/>
      <c r="CB246" s="130"/>
      <c r="CC246" s="84"/>
      <c r="CD246" s="84"/>
      <c r="CE246" s="6"/>
      <c r="CF246" s="6"/>
      <c r="CG246" s="6"/>
      <c r="CH246" s="6"/>
      <c r="CI246" s="6"/>
      <c r="CJ246" s="6"/>
      <c r="CK246" s="464"/>
      <c r="CL246" s="464"/>
      <c r="CM246" s="464"/>
      <c r="CN246" s="84"/>
      <c r="CO246" s="84"/>
      <c r="CP246" s="84"/>
      <c r="CQ246" s="84"/>
      <c r="CR246" s="84"/>
      <c r="CS246" s="84"/>
      <c r="CT246" s="84"/>
      <c r="CU246" s="84"/>
      <c r="CV246" s="84"/>
      <c r="CW246" s="84"/>
      <c r="CX246" s="84"/>
      <c r="CY246" s="84"/>
      <c r="CZ246" s="6"/>
      <c r="DA246" s="464"/>
      <c r="DB246" s="464"/>
      <c r="DC246" s="464"/>
      <c r="DD246" s="84"/>
      <c r="DE246" s="84"/>
      <c r="DF246" s="84"/>
      <c r="DG246" s="84"/>
      <c r="DH246" s="84"/>
      <c r="DI246" s="84"/>
      <c r="DJ246" s="84"/>
      <c r="DK246" s="84"/>
    </row>
    <row r="247" spans="1:115">
      <c r="A247" s="259">
        <v>6</v>
      </c>
      <c r="B247" s="6" t="s">
        <v>1456</v>
      </c>
      <c r="C247" s="6" t="s">
        <v>1457</v>
      </c>
      <c r="D247" s="645" t="s">
        <v>638</v>
      </c>
      <c r="E247" s="720">
        <v>0.5</v>
      </c>
      <c r="F247" s="342"/>
      <c r="G247" s="650">
        <v>60</v>
      </c>
      <c r="H247" s="342"/>
      <c r="I247" s="464"/>
      <c r="J247" s="464"/>
      <c r="K247" s="464"/>
      <c r="L247" s="84"/>
      <c r="M247" s="84"/>
      <c r="N247" s="84"/>
      <c r="O247" s="84"/>
      <c r="P247" s="84"/>
      <c r="Q247" s="84"/>
      <c r="R247" s="84"/>
      <c r="S247" s="84"/>
      <c r="T247" s="342"/>
      <c r="U247" s="464"/>
      <c r="V247" s="464"/>
      <c r="W247" s="464"/>
      <c r="X247" s="84"/>
      <c r="Y247" s="84"/>
      <c r="Z247" s="84"/>
      <c r="AA247" s="84"/>
      <c r="AB247" s="1073">
        <f>AA286*(1+CA247)</f>
        <v>2755.25</v>
      </c>
      <c r="AC247" s="1073"/>
      <c r="AD247" s="84"/>
      <c r="AE247" s="84"/>
      <c r="AF247" s="84"/>
      <c r="AG247" s="84"/>
      <c r="AH247" s="84"/>
      <c r="AI247" s="84"/>
      <c r="AJ247" s="84"/>
      <c r="AK247" s="6"/>
      <c r="AL247" s="275"/>
      <c r="AM247" s="275"/>
      <c r="AN247" s="275"/>
      <c r="AO247" s="6"/>
      <c r="AP247" s="84"/>
      <c r="AQ247" s="84"/>
      <c r="AR247" s="84"/>
      <c r="AS247" s="719">
        <v>22</v>
      </c>
      <c r="AT247" s="84"/>
      <c r="AU247" s="84"/>
      <c r="AV247" s="84"/>
      <c r="AW247" s="84"/>
      <c r="AX247" s="84"/>
      <c r="AY247" s="84"/>
      <c r="AZ247" s="84"/>
      <c r="BA247" s="84"/>
      <c r="BB247" s="6"/>
      <c r="BC247" s="464"/>
      <c r="BD247" s="464"/>
      <c r="BE247" s="464"/>
      <c r="BF247" s="84"/>
      <c r="BG247" s="84"/>
      <c r="BH247" s="84"/>
      <c r="BI247" s="84"/>
      <c r="BJ247" s="1068">
        <f t="shared" si="18"/>
        <v>30307.75</v>
      </c>
      <c r="BK247" s="6"/>
      <c r="BL247" s="6"/>
      <c r="BM247" s="6"/>
      <c r="BN247" s="6"/>
      <c r="BO247" s="6"/>
      <c r="BP247" s="6"/>
      <c r="BQ247" s="6"/>
      <c r="BR247" s="6"/>
      <c r="BS247" s="6"/>
      <c r="BT247" s="464"/>
      <c r="BU247" s="464"/>
      <c r="BV247" s="464"/>
      <c r="BW247" s="84"/>
      <c r="BX247" s="84"/>
      <c r="BY247" s="84"/>
      <c r="BZ247" s="84"/>
      <c r="CA247" s="130">
        <v>0.03</v>
      </c>
      <c r="CB247" s="130"/>
      <c r="CC247" s="84"/>
      <c r="CD247" s="84"/>
      <c r="CE247" s="6"/>
      <c r="CF247" s="6"/>
      <c r="CG247" s="6"/>
      <c r="CH247" s="6"/>
      <c r="CI247" s="6"/>
      <c r="CJ247" s="6"/>
      <c r="CK247" s="464"/>
      <c r="CL247" s="464"/>
      <c r="CM247" s="464"/>
      <c r="CN247" s="84"/>
      <c r="CO247" s="84"/>
      <c r="CP247" s="84"/>
      <c r="CQ247" s="84"/>
      <c r="CR247" s="84"/>
      <c r="CS247" s="84"/>
      <c r="CT247" s="84"/>
      <c r="CU247" s="84"/>
      <c r="CV247" s="84"/>
      <c r="CW247" s="84"/>
      <c r="CX247" s="84"/>
      <c r="CY247" s="84"/>
      <c r="CZ247" s="6"/>
      <c r="DA247" s="464"/>
      <c r="DB247" s="464"/>
      <c r="DC247" s="464"/>
      <c r="DD247" s="84"/>
      <c r="DE247" s="84"/>
      <c r="DF247" s="84"/>
      <c r="DG247" s="84"/>
      <c r="DH247" s="84"/>
      <c r="DI247" s="84"/>
      <c r="DJ247" s="84"/>
      <c r="DK247" s="84"/>
    </row>
    <row r="248" spans="1:115">
      <c r="A248" s="259">
        <v>4</v>
      </c>
      <c r="B248" s="725" t="s">
        <v>593</v>
      </c>
      <c r="C248" s="6" t="s">
        <v>598</v>
      </c>
      <c r="D248" s="342" t="s">
        <v>638</v>
      </c>
      <c r="E248" s="720">
        <v>0.5</v>
      </c>
      <c r="F248" s="342"/>
      <c r="G248" s="650">
        <v>60</v>
      </c>
      <c r="H248" s="342"/>
      <c r="I248" s="464"/>
      <c r="J248" s="464"/>
      <c r="K248" s="464"/>
      <c r="L248" s="84"/>
      <c r="M248" s="84"/>
      <c r="N248" s="84"/>
      <c r="O248" s="84"/>
      <c r="P248" s="84"/>
      <c r="Q248" s="84"/>
      <c r="R248" s="84"/>
      <c r="S248" s="84"/>
      <c r="T248" s="342"/>
      <c r="U248" s="464"/>
      <c r="V248" s="464"/>
      <c r="W248" s="464"/>
      <c r="X248" s="84"/>
      <c r="Y248" s="84"/>
      <c r="Z248" s="84"/>
      <c r="AA248" s="84"/>
      <c r="AB248" s="1073">
        <f>AA281*(1+CA248)</f>
        <v>2755.25</v>
      </c>
      <c r="AC248" s="1073"/>
      <c r="AD248" s="84"/>
      <c r="AE248" s="84"/>
      <c r="AF248" s="84"/>
      <c r="AG248" s="84"/>
      <c r="AH248" s="84"/>
      <c r="AI248" s="84"/>
      <c r="AJ248" s="84"/>
      <c r="AK248" s="6"/>
      <c r="AL248" s="275"/>
      <c r="AM248" s="275"/>
      <c r="AN248" s="275"/>
      <c r="AO248" s="6"/>
      <c r="AP248" s="84"/>
      <c r="AQ248" s="84"/>
      <c r="AR248" s="84"/>
      <c r="AS248" s="719">
        <v>22</v>
      </c>
      <c r="AT248" s="84"/>
      <c r="AU248" s="84"/>
      <c r="AV248" s="84"/>
      <c r="AW248" s="84"/>
      <c r="AX248" s="84"/>
      <c r="AY248" s="84"/>
      <c r="AZ248" s="84"/>
      <c r="BA248" s="84"/>
      <c r="BB248" s="6"/>
      <c r="BC248" s="464"/>
      <c r="BD248" s="464"/>
      <c r="BE248" s="464"/>
      <c r="BF248" s="84"/>
      <c r="BG248" s="84"/>
      <c r="BH248" s="84"/>
      <c r="BI248" s="84"/>
      <c r="BJ248" s="1068">
        <f t="shared" si="18"/>
        <v>30307.75</v>
      </c>
      <c r="BK248" s="6"/>
      <c r="BL248" s="6"/>
      <c r="BM248" s="6"/>
      <c r="BN248" s="6"/>
      <c r="BO248" s="6"/>
      <c r="BP248" s="6"/>
      <c r="BQ248" s="6"/>
      <c r="BR248" s="6"/>
      <c r="BS248" s="6"/>
      <c r="BT248" s="464"/>
      <c r="BU248" s="464"/>
      <c r="BV248" s="464"/>
      <c r="BW248" s="84"/>
      <c r="BX248" s="84"/>
      <c r="BY248" s="84"/>
      <c r="BZ248" s="84"/>
      <c r="CA248" s="130">
        <v>0.03</v>
      </c>
      <c r="CB248" s="130"/>
      <c r="CC248" s="84"/>
      <c r="CD248" s="84"/>
      <c r="CE248" s="6"/>
      <c r="CF248" s="6"/>
      <c r="CG248" s="6"/>
      <c r="CH248" s="6"/>
      <c r="CI248" s="6"/>
      <c r="CJ248" s="6"/>
      <c r="CK248" s="464"/>
      <c r="CL248" s="464"/>
      <c r="CM248" s="464"/>
      <c r="CN248" s="84"/>
      <c r="CO248" s="84"/>
      <c r="CP248" s="84"/>
      <c r="CQ248" s="84"/>
      <c r="CR248" s="84"/>
      <c r="CS248" s="84"/>
      <c r="CT248" s="84"/>
      <c r="CU248" s="84"/>
      <c r="CV248" s="84"/>
      <c r="CW248" s="84"/>
      <c r="CX248" s="84"/>
      <c r="CY248" s="84"/>
      <c r="CZ248" s="6"/>
      <c r="DA248" s="464"/>
      <c r="DB248" s="464"/>
      <c r="DC248" s="464"/>
      <c r="DD248" s="84"/>
      <c r="DE248" s="84"/>
      <c r="DF248" s="84"/>
      <c r="DG248" s="84"/>
      <c r="DH248" s="84"/>
      <c r="DI248" s="84"/>
      <c r="DJ248" s="84"/>
      <c r="DK248" s="84"/>
    </row>
    <row r="249" spans="1:115">
      <c r="A249" s="36">
        <v>9</v>
      </c>
      <c r="B249" s="6" t="s">
        <v>1477</v>
      </c>
      <c r="C249" s="6" t="s">
        <v>1478</v>
      </c>
      <c r="D249" s="645" t="s">
        <v>638</v>
      </c>
      <c r="E249" s="720">
        <v>0.5</v>
      </c>
      <c r="F249" s="342"/>
      <c r="G249" s="650">
        <v>60</v>
      </c>
      <c r="H249" s="342"/>
      <c r="I249" s="464"/>
      <c r="J249" s="464"/>
      <c r="K249" s="464"/>
      <c r="L249" s="84"/>
      <c r="M249" s="84"/>
      <c r="N249" s="84"/>
      <c r="O249" s="84"/>
      <c r="P249" s="84"/>
      <c r="Q249" s="84"/>
      <c r="R249" s="84"/>
      <c r="S249" s="84"/>
      <c r="T249" s="342"/>
      <c r="U249" s="464"/>
      <c r="V249" s="464"/>
      <c r="W249" s="464"/>
      <c r="X249" s="84"/>
      <c r="Y249" s="84"/>
      <c r="Z249" s="84"/>
      <c r="AA249" s="84"/>
      <c r="AB249" s="1073">
        <f>AA291*(1+CA249)</f>
        <v>2755.25</v>
      </c>
      <c r="AC249" s="1073"/>
      <c r="AD249" s="84"/>
      <c r="AE249" s="84"/>
      <c r="AF249" s="84"/>
      <c r="AG249" s="84"/>
      <c r="AH249" s="84"/>
      <c r="AI249" s="84"/>
      <c r="AJ249" s="84"/>
      <c r="AK249" s="6"/>
      <c r="AL249" s="275"/>
      <c r="AM249" s="275"/>
      <c r="AN249" s="275"/>
      <c r="AO249" s="6"/>
      <c r="AP249" s="84"/>
      <c r="AQ249" s="84"/>
      <c r="AR249" s="84"/>
      <c r="AS249" s="719">
        <v>22</v>
      </c>
      <c r="AT249" s="84"/>
      <c r="AU249" s="84"/>
      <c r="AV249" s="84"/>
      <c r="AW249" s="84"/>
      <c r="AX249" s="84"/>
      <c r="AY249" s="84"/>
      <c r="AZ249" s="84"/>
      <c r="BA249" s="84"/>
      <c r="BB249" s="6"/>
      <c r="BC249" s="464"/>
      <c r="BD249" s="464"/>
      <c r="BE249" s="464"/>
      <c r="BF249" s="84"/>
      <c r="BG249" s="84"/>
      <c r="BH249" s="84"/>
      <c r="BI249" s="84"/>
      <c r="BJ249" s="1068">
        <f t="shared" si="18"/>
        <v>30307.75</v>
      </c>
      <c r="BK249" s="6"/>
      <c r="BL249" s="6"/>
      <c r="BM249" s="6"/>
      <c r="BN249" s="6"/>
      <c r="BO249" s="6"/>
      <c r="BP249" s="6"/>
      <c r="BQ249" s="6"/>
      <c r="BR249" s="6"/>
      <c r="BS249" s="6"/>
      <c r="BT249" s="464"/>
      <c r="BU249" s="464"/>
      <c r="BV249" s="464"/>
      <c r="BW249" s="84"/>
      <c r="BX249" s="84"/>
      <c r="BY249" s="84"/>
      <c r="BZ249" s="84"/>
      <c r="CA249" s="130">
        <v>0.03</v>
      </c>
      <c r="CB249" s="130"/>
      <c r="CC249" s="84"/>
      <c r="CD249" s="84"/>
      <c r="CE249" s="6"/>
      <c r="CF249" s="6"/>
      <c r="CG249" s="6"/>
      <c r="CH249" s="6"/>
      <c r="CI249" s="6"/>
      <c r="CJ249" s="6"/>
      <c r="CK249" s="464"/>
      <c r="CL249" s="464"/>
      <c r="CM249" s="464"/>
      <c r="CN249" s="84"/>
      <c r="CO249" s="84"/>
      <c r="CP249" s="84"/>
      <c r="CQ249" s="84"/>
      <c r="CR249" s="84"/>
      <c r="CS249" s="84"/>
      <c r="CT249" s="84"/>
      <c r="CU249" s="84"/>
      <c r="CV249" s="84"/>
      <c r="CW249" s="84"/>
      <c r="CX249" s="84"/>
      <c r="CY249" s="84"/>
      <c r="CZ249" s="6"/>
      <c r="DA249" s="464"/>
      <c r="DB249" s="464"/>
      <c r="DC249" s="464"/>
      <c r="DD249" s="84"/>
      <c r="DE249" s="84"/>
      <c r="DF249" s="84"/>
      <c r="DG249" s="84"/>
      <c r="DH249" s="84"/>
      <c r="DI249" s="84"/>
      <c r="DJ249" s="84"/>
      <c r="DK249" s="84"/>
    </row>
    <row r="250" spans="1:115">
      <c r="A250" s="259">
        <v>7</v>
      </c>
      <c r="B250" s="6" t="s">
        <v>1464</v>
      </c>
      <c r="C250" s="6" t="s">
        <v>1465</v>
      </c>
      <c r="D250" s="645" t="s">
        <v>638</v>
      </c>
      <c r="E250" s="720">
        <v>0.5</v>
      </c>
      <c r="F250" s="342"/>
      <c r="G250" s="650">
        <v>60</v>
      </c>
      <c r="H250" s="342"/>
      <c r="I250" s="464"/>
      <c r="J250" s="464"/>
      <c r="K250" s="464"/>
      <c r="L250" s="84"/>
      <c r="M250" s="84"/>
      <c r="N250" s="84"/>
      <c r="O250" s="84"/>
      <c r="P250" s="84"/>
      <c r="Q250" s="84"/>
      <c r="R250" s="84"/>
      <c r="S250" s="84"/>
      <c r="T250" s="342"/>
      <c r="U250" s="464"/>
      <c r="V250" s="464"/>
      <c r="W250" s="464"/>
      <c r="X250" s="84"/>
      <c r="Y250" s="84"/>
      <c r="Z250" s="84"/>
      <c r="AA250" s="84"/>
      <c r="AB250" s="1073">
        <f>AA288*(1+CA250)</f>
        <v>2755.25</v>
      </c>
      <c r="AC250" s="1073"/>
      <c r="AD250" s="84"/>
      <c r="AE250" s="84"/>
      <c r="AF250" s="84"/>
      <c r="AG250" s="84"/>
      <c r="AH250" s="84"/>
      <c r="AI250" s="84"/>
      <c r="AJ250" s="84"/>
      <c r="AK250" s="6"/>
      <c r="AL250" s="275"/>
      <c r="AM250" s="275"/>
      <c r="AN250" s="275"/>
      <c r="AO250" s="6"/>
      <c r="AP250" s="84"/>
      <c r="AQ250" s="84"/>
      <c r="AR250" s="84"/>
      <c r="AS250" s="719">
        <v>22</v>
      </c>
      <c r="AT250" s="84"/>
      <c r="AU250" s="84"/>
      <c r="AV250" s="84"/>
      <c r="AW250" s="84"/>
      <c r="AX250" s="84"/>
      <c r="AY250" s="84"/>
      <c r="AZ250" s="84"/>
      <c r="BA250" s="84"/>
      <c r="BB250" s="6"/>
      <c r="BC250" s="464"/>
      <c r="BD250" s="464"/>
      <c r="BE250" s="464"/>
      <c r="BF250" s="84"/>
      <c r="BG250" s="84"/>
      <c r="BH250" s="84"/>
      <c r="BI250" s="84"/>
      <c r="BJ250" s="1068">
        <f t="shared" si="18"/>
        <v>30307.75</v>
      </c>
      <c r="BK250" s="6"/>
      <c r="BL250" s="6"/>
      <c r="BM250" s="6"/>
      <c r="BN250" s="6"/>
      <c r="BO250" s="6"/>
      <c r="BP250" s="6"/>
      <c r="BQ250" s="6"/>
      <c r="BR250" s="6"/>
      <c r="BS250" s="6"/>
      <c r="BT250" s="464"/>
      <c r="BU250" s="464"/>
      <c r="BV250" s="464"/>
      <c r="BW250" s="84"/>
      <c r="BX250" s="84"/>
      <c r="BY250" s="84"/>
      <c r="BZ250" s="84"/>
      <c r="CA250" s="130">
        <v>0.03</v>
      </c>
      <c r="CB250" s="130"/>
      <c r="CC250" s="84"/>
      <c r="CD250" s="84"/>
      <c r="CE250" s="6"/>
      <c r="CF250" s="6"/>
      <c r="CG250" s="6"/>
      <c r="CH250" s="6"/>
      <c r="CI250" s="6"/>
      <c r="CJ250" s="6"/>
      <c r="CK250" s="464"/>
      <c r="CL250" s="464"/>
      <c r="CM250" s="464"/>
      <c r="CN250" s="84"/>
      <c r="CO250" s="84"/>
      <c r="CP250" s="84"/>
      <c r="CQ250" s="84"/>
      <c r="CR250" s="84"/>
      <c r="CS250" s="84"/>
      <c r="CT250" s="84"/>
      <c r="CU250" s="84"/>
      <c r="CV250" s="84"/>
      <c r="CW250" s="84"/>
      <c r="CX250" s="84"/>
      <c r="CY250" s="84"/>
      <c r="CZ250" s="6"/>
      <c r="DA250" s="464"/>
      <c r="DB250" s="464"/>
      <c r="DC250" s="464"/>
      <c r="DD250" s="84"/>
      <c r="DE250" s="84"/>
      <c r="DF250" s="84"/>
      <c r="DG250" s="84"/>
      <c r="DH250" s="84"/>
      <c r="DI250" s="84"/>
      <c r="DJ250" s="84"/>
      <c r="DK250" s="84"/>
    </row>
    <row r="251" spans="1:115">
      <c r="A251" s="86">
        <v>5</v>
      </c>
      <c r="B251" s="6" t="s">
        <v>1453</v>
      </c>
      <c r="C251" s="6" t="s">
        <v>1454</v>
      </c>
      <c r="D251" s="645" t="s">
        <v>638</v>
      </c>
      <c r="E251" s="720">
        <v>0.5</v>
      </c>
      <c r="F251" s="342"/>
      <c r="G251" s="650">
        <v>60</v>
      </c>
      <c r="H251" s="342"/>
      <c r="I251" s="464"/>
      <c r="J251" s="464"/>
      <c r="K251" s="464"/>
      <c r="L251" s="84"/>
      <c r="M251" s="84"/>
      <c r="N251" s="84"/>
      <c r="O251" s="84"/>
      <c r="P251" s="84"/>
      <c r="Q251" s="84"/>
      <c r="R251" s="84"/>
      <c r="S251" s="84"/>
      <c r="T251" s="342"/>
      <c r="U251" s="464"/>
      <c r="V251" s="464"/>
      <c r="W251" s="464"/>
      <c r="X251" s="84"/>
      <c r="Y251" s="84"/>
      <c r="Z251" s="84"/>
      <c r="AA251" s="84"/>
      <c r="AB251" s="1073">
        <f>AA285*(1+CA251)</f>
        <v>2755.25</v>
      </c>
      <c r="AC251" s="1073"/>
      <c r="AD251" s="84"/>
      <c r="AE251" s="84"/>
      <c r="AF251" s="84"/>
      <c r="AG251" s="84"/>
      <c r="AH251" s="84"/>
      <c r="AI251" s="84"/>
      <c r="AJ251" s="84"/>
      <c r="AK251" s="6"/>
      <c r="AL251" s="275"/>
      <c r="AM251" s="275"/>
      <c r="AN251" s="275"/>
      <c r="AO251" s="6"/>
      <c r="AP251" s="84"/>
      <c r="AQ251" s="84"/>
      <c r="AR251" s="84"/>
      <c r="AS251" s="719">
        <v>22</v>
      </c>
      <c r="AT251" s="84"/>
      <c r="AU251" s="84"/>
      <c r="AV251" s="84"/>
      <c r="AW251" s="84"/>
      <c r="AX251" s="84"/>
      <c r="AY251" s="84"/>
      <c r="AZ251" s="84"/>
      <c r="BA251" s="84"/>
      <c r="BB251" s="6"/>
      <c r="BC251" s="464"/>
      <c r="BD251" s="464"/>
      <c r="BE251" s="464"/>
      <c r="BF251" s="84"/>
      <c r="BG251" s="84"/>
      <c r="BH251" s="84"/>
      <c r="BI251" s="84"/>
      <c r="BJ251" s="1068">
        <f t="shared" si="18"/>
        <v>30307.75</v>
      </c>
      <c r="BK251" s="6"/>
      <c r="BL251" s="6"/>
      <c r="BM251" s="6"/>
      <c r="BN251" s="6"/>
      <c r="BO251" s="6"/>
      <c r="BP251" s="6"/>
      <c r="BQ251" s="6"/>
      <c r="BR251" s="6"/>
      <c r="BS251" s="6"/>
      <c r="BT251" s="464"/>
      <c r="BU251" s="464"/>
      <c r="BV251" s="464"/>
      <c r="BW251" s="84"/>
      <c r="BX251" s="84"/>
      <c r="BY251" s="84"/>
      <c r="BZ251" s="84"/>
      <c r="CA251" s="130">
        <v>0.03</v>
      </c>
      <c r="CB251" s="130"/>
      <c r="CC251" s="84"/>
      <c r="CD251" s="84"/>
      <c r="CE251" s="6"/>
      <c r="CF251" s="6"/>
      <c r="CG251" s="6"/>
      <c r="CH251" s="6"/>
      <c r="CI251" s="6"/>
      <c r="CJ251" s="6"/>
      <c r="CK251" s="464"/>
      <c r="CL251" s="464"/>
      <c r="CM251" s="464"/>
      <c r="CN251" s="84"/>
      <c r="CO251" s="84"/>
      <c r="CP251" s="84"/>
      <c r="CQ251" s="84"/>
      <c r="CR251" s="84"/>
      <c r="CS251" s="84"/>
      <c r="CT251" s="84"/>
      <c r="CU251" s="84"/>
      <c r="CV251" s="84"/>
      <c r="CW251" s="84"/>
      <c r="CX251" s="84"/>
      <c r="CY251" s="84"/>
      <c r="CZ251" s="6"/>
      <c r="DA251" s="464"/>
      <c r="DB251" s="464"/>
      <c r="DC251" s="464"/>
      <c r="DD251" s="84"/>
      <c r="DE251" s="84"/>
      <c r="DF251" s="84"/>
      <c r="DG251" s="84"/>
      <c r="DH251" s="84"/>
      <c r="DI251" s="84"/>
      <c r="DJ251" s="84"/>
      <c r="DK251" s="84"/>
    </row>
    <row r="252" spans="1:115">
      <c r="A252" s="164">
        <v>4</v>
      </c>
      <c r="B252" s="69" t="s">
        <v>594</v>
      </c>
      <c r="C252" s="11" t="s">
        <v>598</v>
      </c>
      <c r="D252" s="648" t="s">
        <v>595</v>
      </c>
      <c r="E252" s="1069">
        <v>1</v>
      </c>
      <c r="F252" s="343"/>
      <c r="G252" s="650">
        <v>30</v>
      </c>
      <c r="H252" s="343"/>
      <c r="I252" s="274"/>
      <c r="J252" s="274"/>
      <c r="K252" s="274"/>
      <c r="L252" s="69"/>
      <c r="M252" s="69"/>
      <c r="N252" s="69"/>
      <c r="O252" s="69"/>
      <c r="P252" s="69"/>
      <c r="Q252" s="69"/>
      <c r="R252" s="69"/>
      <c r="S252" s="69"/>
      <c r="T252" s="343"/>
      <c r="U252" s="274"/>
      <c r="V252" s="274"/>
      <c r="W252" s="274"/>
      <c r="X252" s="69"/>
      <c r="Y252" s="69"/>
      <c r="Z252" s="69"/>
      <c r="AA252" s="69"/>
      <c r="AB252" s="1074">
        <f>AA280*(1+CA252)</f>
        <v>2204.2000000000003</v>
      </c>
      <c r="AC252" s="1074"/>
      <c r="AD252" s="69"/>
      <c r="AE252" s="69"/>
      <c r="AF252" s="69"/>
      <c r="AG252" s="69"/>
      <c r="AH252" s="69"/>
      <c r="AI252" s="69"/>
      <c r="AJ252" s="69"/>
      <c r="AK252" s="11"/>
      <c r="AL252" s="103"/>
      <c r="AM252" s="103"/>
      <c r="AN252" s="103"/>
      <c r="AO252" s="11"/>
      <c r="AP252" s="69"/>
      <c r="AQ252" s="69"/>
      <c r="AR252" s="69"/>
      <c r="AS252" s="1154">
        <v>22</v>
      </c>
      <c r="AT252" s="69"/>
      <c r="AU252" s="69"/>
      <c r="AV252" s="69"/>
      <c r="AW252" s="69"/>
      <c r="AX252" s="69"/>
      <c r="AY252" s="69"/>
      <c r="AZ252" s="69"/>
      <c r="BA252" s="69"/>
      <c r="BB252" s="11"/>
      <c r="BC252" s="274"/>
      <c r="BD252" s="274"/>
      <c r="BE252" s="274"/>
      <c r="BF252" s="69"/>
      <c r="BG252" s="69"/>
      <c r="BH252" s="69"/>
      <c r="BI252" s="69"/>
      <c r="BJ252" s="1070">
        <f t="shared" si="18"/>
        <v>48492.400000000009</v>
      </c>
      <c r="BK252" s="11"/>
      <c r="BL252" s="11"/>
      <c r="BM252" s="11"/>
      <c r="BN252" s="11"/>
      <c r="BO252" s="11"/>
      <c r="BP252" s="11"/>
      <c r="BQ252" s="11"/>
      <c r="BR252" s="11"/>
      <c r="BS252" s="11"/>
      <c r="BT252" s="274"/>
      <c r="BU252" s="274"/>
      <c r="BV252" s="274"/>
      <c r="BW252" s="69"/>
      <c r="BX252" s="69"/>
      <c r="BY252" s="69"/>
      <c r="BZ252" s="69"/>
      <c r="CA252" s="130">
        <v>0.03</v>
      </c>
      <c r="CB252" s="130"/>
      <c r="CC252" s="69"/>
      <c r="CD252" s="69"/>
      <c r="CE252" s="11"/>
      <c r="CF252" s="11"/>
      <c r="CG252" s="11"/>
      <c r="CH252" s="11"/>
      <c r="CI252" s="11"/>
      <c r="CJ252" s="11"/>
      <c r="CK252" s="274"/>
      <c r="CL252" s="274"/>
      <c r="CM252" s="274"/>
      <c r="CN252" s="69"/>
      <c r="CO252" s="69"/>
      <c r="CP252" s="69"/>
      <c r="CQ252" s="69"/>
      <c r="CR252" s="69"/>
      <c r="CS252" s="69"/>
      <c r="CT252" s="69"/>
      <c r="CU252" s="69"/>
      <c r="CV252" s="69"/>
      <c r="CW252" s="69"/>
      <c r="CX252" s="69"/>
      <c r="CY252" s="69"/>
      <c r="CZ252" s="11"/>
      <c r="DA252" s="274"/>
      <c r="DB252" s="274"/>
      <c r="DC252" s="274"/>
      <c r="DD252" s="69"/>
      <c r="DE252" s="69"/>
      <c r="DF252" s="69"/>
      <c r="DG252" s="69"/>
      <c r="DH252" s="69"/>
      <c r="DI252" s="69"/>
      <c r="DJ252" s="69"/>
      <c r="DK252" s="69"/>
    </row>
    <row r="253" spans="1:115">
      <c r="A253" s="36">
        <v>1</v>
      </c>
      <c r="B253" s="473" t="s">
        <v>611</v>
      </c>
      <c r="C253" s="11" t="s">
        <v>598</v>
      </c>
      <c r="D253" s="645" t="s">
        <v>638</v>
      </c>
      <c r="E253" s="720">
        <v>1</v>
      </c>
      <c r="F253" s="342"/>
      <c r="G253" s="650">
        <v>60</v>
      </c>
      <c r="H253" s="342"/>
      <c r="I253" s="464"/>
      <c r="J253" s="464"/>
      <c r="K253" s="464"/>
      <c r="L253" s="84"/>
      <c r="M253" s="84"/>
      <c r="N253" s="84"/>
      <c r="O253" s="84"/>
      <c r="P253" s="84"/>
      <c r="Q253" s="84"/>
      <c r="R253" s="84"/>
      <c r="S253" s="84"/>
      <c r="T253" s="342"/>
      <c r="U253" s="464"/>
      <c r="V253" s="464"/>
      <c r="W253" s="464"/>
      <c r="X253" s="84"/>
      <c r="Y253" s="84"/>
      <c r="Z253" s="84"/>
      <c r="AA253" s="84"/>
      <c r="AB253" s="1073">
        <v>1200</v>
      </c>
      <c r="AC253" s="1073"/>
      <c r="AD253" s="84"/>
      <c r="AE253" s="84"/>
      <c r="AF253" s="84"/>
      <c r="AG253" s="84"/>
      <c r="AH253" s="84"/>
      <c r="AI253" s="84"/>
      <c r="AJ253" s="84"/>
      <c r="AK253" s="6"/>
      <c r="AL253" s="275"/>
      <c r="AM253" s="275"/>
      <c r="AN253" s="275"/>
      <c r="AO253" s="6"/>
      <c r="AP253" s="84"/>
      <c r="AQ253" s="84"/>
      <c r="AR253" s="84"/>
      <c r="AS253" s="719">
        <v>13</v>
      </c>
      <c r="AT253" s="84"/>
      <c r="AU253" s="84"/>
      <c r="AV253" s="84"/>
      <c r="AW253" s="84"/>
      <c r="AX253" s="84"/>
      <c r="AY253" s="84"/>
      <c r="AZ253" s="84"/>
      <c r="BA253" s="84"/>
      <c r="BB253" s="6"/>
      <c r="BC253" s="464"/>
      <c r="BD253" s="464"/>
      <c r="BE253" s="464"/>
      <c r="BF253" s="84"/>
      <c r="BG253" s="84"/>
      <c r="BH253" s="84"/>
      <c r="BI253" s="84"/>
      <c r="BJ253" s="1068">
        <f t="shared" si="18"/>
        <v>15600</v>
      </c>
      <c r="BK253" s="6"/>
      <c r="BL253" s="6"/>
      <c r="BM253" s="6"/>
      <c r="BN253" s="6"/>
      <c r="BO253" s="6"/>
      <c r="BP253" s="6"/>
      <c r="BQ253" s="6"/>
      <c r="BR253" s="6"/>
      <c r="BS253" s="6"/>
      <c r="BT253" s="464"/>
      <c r="BU253" s="464"/>
      <c r="BV253" s="464"/>
      <c r="BW253" s="84"/>
      <c r="BX253" s="84"/>
      <c r="BY253" s="84"/>
      <c r="BZ253" s="84"/>
      <c r="CA253" s="130"/>
      <c r="CB253" s="130"/>
      <c r="CC253" s="84"/>
      <c r="CD253" s="84"/>
      <c r="CE253" s="6"/>
      <c r="CF253" s="6"/>
      <c r="CG253" s="6"/>
      <c r="CH253" s="6"/>
      <c r="CI253" s="6"/>
      <c r="CJ253" s="6"/>
      <c r="CK253" s="464"/>
      <c r="CL253" s="464"/>
      <c r="CM253" s="464"/>
      <c r="CN253" s="84"/>
      <c r="CO253" s="84"/>
      <c r="CP253" s="84"/>
      <c r="CQ253" s="84"/>
      <c r="CR253" s="84"/>
      <c r="CS253" s="84"/>
      <c r="CT253" s="84"/>
      <c r="CU253" s="84"/>
      <c r="CV253" s="84"/>
      <c r="CW253" s="84"/>
      <c r="CX253" s="84"/>
      <c r="CY253" s="84"/>
      <c r="CZ253" s="6"/>
      <c r="DA253" s="464"/>
      <c r="DB253" s="464"/>
      <c r="DC253" s="464"/>
      <c r="DD253" s="84"/>
      <c r="DE253" s="84"/>
      <c r="DF253" s="84"/>
      <c r="DG253" s="84"/>
      <c r="DH253" s="84"/>
      <c r="DI253" s="84"/>
      <c r="DJ253" s="84"/>
      <c r="DK253" s="84"/>
    </row>
    <row r="254" spans="1:115">
      <c r="A254" s="164">
        <v>1</v>
      </c>
      <c r="B254" s="69" t="s">
        <v>929</v>
      </c>
      <c r="C254" s="11" t="s">
        <v>598</v>
      </c>
      <c r="D254" s="648" t="s">
        <v>638</v>
      </c>
      <c r="E254" s="1069">
        <v>0.5</v>
      </c>
      <c r="F254" s="343"/>
      <c r="G254" s="650">
        <v>30</v>
      </c>
      <c r="H254" s="343"/>
      <c r="I254" s="274"/>
      <c r="J254" s="274"/>
      <c r="K254" s="274"/>
      <c r="L254" s="69"/>
      <c r="M254" s="69"/>
      <c r="N254" s="69"/>
      <c r="O254" s="69"/>
      <c r="P254" s="69"/>
      <c r="Q254" s="69"/>
      <c r="R254" s="69"/>
      <c r="S254" s="69"/>
      <c r="T254" s="343"/>
      <c r="U254" s="274"/>
      <c r="V254" s="274"/>
      <c r="W254" s="274"/>
      <c r="X254" s="69"/>
      <c r="Y254" s="69"/>
      <c r="Z254" s="69"/>
      <c r="AA254" s="69"/>
      <c r="AB254" s="1074">
        <v>1500</v>
      </c>
      <c r="AC254" s="1074"/>
      <c r="AD254" s="69"/>
      <c r="AE254" s="69"/>
      <c r="AF254" s="69"/>
      <c r="AG254" s="69"/>
      <c r="AH254" s="69"/>
      <c r="AI254" s="69"/>
      <c r="AJ254" s="69"/>
      <c r="AK254" s="11"/>
      <c r="AL254" s="103"/>
      <c r="AM254" s="103"/>
      <c r="AN254" s="103"/>
      <c r="AO254" s="11"/>
      <c r="AP254" s="69"/>
      <c r="AQ254" s="69"/>
      <c r="AR254" s="69"/>
      <c r="AS254" s="1154">
        <v>13</v>
      </c>
      <c r="AT254" s="69"/>
      <c r="AU254" s="69"/>
      <c r="AV254" s="69"/>
      <c r="AW254" s="69"/>
      <c r="AX254" s="69"/>
      <c r="AY254" s="69"/>
      <c r="AZ254" s="69"/>
      <c r="BA254" s="69"/>
      <c r="BB254" s="11"/>
      <c r="BC254" s="274"/>
      <c r="BD254" s="274"/>
      <c r="BE254" s="274"/>
      <c r="BF254" s="69"/>
      <c r="BG254" s="69"/>
      <c r="BH254" s="69"/>
      <c r="BI254" s="69"/>
      <c r="BJ254" s="1070">
        <f t="shared" si="18"/>
        <v>9750</v>
      </c>
      <c r="BK254" s="11"/>
      <c r="BL254" s="11"/>
      <c r="BM254" s="11"/>
      <c r="BN254" s="11"/>
      <c r="BO254" s="11"/>
      <c r="BP254" s="11"/>
      <c r="BQ254" s="11"/>
      <c r="BR254" s="11"/>
      <c r="BS254" s="11"/>
      <c r="BT254" s="274"/>
      <c r="BU254" s="274"/>
      <c r="BV254" s="274"/>
      <c r="BW254" s="69"/>
      <c r="BX254" s="69"/>
      <c r="BY254" s="69"/>
      <c r="BZ254" s="69"/>
      <c r="CA254" s="130"/>
      <c r="CB254" s="130"/>
      <c r="CC254" s="69"/>
      <c r="CD254" s="69"/>
      <c r="CE254" s="11"/>
      <c r="CF254" s="11"/>
      <c r="CG254" s="11"/>
      <c r="CH254" s="11"/>
      <c r="CI254" s="11"/>
      <c r="CJ254" s="11"/>
      <c r="CK254" s="274"/>
      <c r="CL254" s="274"/>
      <c r="CM254" s="274"/>
      <c r="CN254" s="69"/>
      <c r="CO254" s="69"/>
      <c r="CP254" s="69"/>
      <c r="CQ254" s="69"/>
      <c r="CR254" s="69"/>
      <c r="CS254" s="69"/>
      <c r="CT254" s="69"/>
      <c r="CU254" s="69"/>
      <c r="CV254" s="69"/>
      <c r="CW254" s="69"/>
      <c r="CX254" s="69"/>
      <c r="CY254" s="69"/>
      <c r="CZ254" s="11"/>
      <c r="DA254" s="274"/>
      <c r="DB254" s="274"/>
      <c r="DC254" s="274"/>
      <c r="DD254" s="69"/>
      <c r="DE254" s="69"/>
      <c r="DF254" s="69"/>
      <c r="DG254" s="69"/>
      <c r="DH254" s="69"/>
      <c r="DI254" s="69"/>
      <c r="DJ254" s="69"/>
      <c r="DK254" s="69"/>
    </row>
    <row r="255" spans="1:115">
      <c r="A255" s="86">
        <v>4</v>
      </c>
      <c r="B255" s="84" t="s">
        <v>930</v>
      </c>
      <c r="C255" s="6" t="s">
        <v>598</v>
      </c>
      <c r="D255" s="645" t="s">
        <v>638</v>
      </c>
      <c r="E255" s="720">
        <v>0.5</v>
      </c>
      <c r="F255" s="342"/>
      <c r="G255" s="650">
        <v>60</v>
      </c>
      <c r="H255" s="342"/>
      <c r="I255" s="464"/>
      <c r="J255" s="464"/>
      <c r="K255" s="464"/>
      <c r="L255" s="84"/>
      <c r="M255" s="84"/>
      <c r="N255" s="84"/>
      <c r="O255" s="84"/>
      <c r="P255" s="84"/>
      <c r="Q255" s="84"/>
      <c r="R255" s="84"/>
      <c r="S255" s="84"/>
      <c r="T255" s="342"/>
      <c r="U255" s="464"/>
      <c r="V255" s="464"/>
      <c r="W255" s="464"/>
      <c r="X255" s="84"/>
      <c r="Y255" s="84"/>
      <c r="Z255" s="84"/>
      <c r="AA255" s="84"/>
      <c r="AB255" s="1073">
        <f>AA293*(1+BZ293)</f>
        <v>2862.25</v>
      </c>
      <c r="AC255" s="1073"/>
      <c r="AD255" s="84"/>
      <c r="AE255" s="84"/>
      <c r="AF255" s="84"/>
      <c r="AG255" s="84"/>
      <c r="AH255" s="84"/>
      <c r="AI255" s="84"/>
      <c r="AJ255" s="84"/>
      <c r="AK255" s="6"/>
      <c r="AL255" s="275"/>
      <c r="AM255" s="275"/>
      <c r="AN255" s="275"/>
      <c r="AO255" s="6"/>
      <c r="AP255" s="84"/>
      <c r="AQ255" s="84"/>
      <c r="AR255" s="84"/>
      <c r="AS255" s="719">
        <v>22</v>
      </c>
      <c r="AT255" s="84"/>
      <c r="AU255" s="84"/>
      <c r="AV255" s="84"/>
      <c r="AW255" s="84"/>
      <c r="AX255" s="84"/>
      <c r="AY255" s="84"/>
      <c r="AZ255" s="84"/>
      <c r="BA255" s="84"/>
      <c r="BB255" s="6"/>
      <c r="BC255" s="464"/>
      <c r="BD255" s="464"/>
      <c r="BE255" s="464"/>
      <c r="BF255" s="84"/>
      <c r="BG255" s="84"/>
      <c r="BH255" s="84"/>
      <c r="BI255" s="84"/>
      <c r="BJ255" s="1068">
        <f t="shared" si="18"/>
        <v>31484.75</v>
      </c>
      <c r="BK255" s="6"/>
      <c r="BL255" s="6"/>
      <c r="BM255" s="6"/>
      <c r="BN255" s="6"/>
      <c r="BO255" s="6"/>
      <c r="BP255" s="6"/>
      <c r="BQ255" s="6"/>
      <c r="BR255" s="6"/>
      <c r="BS255" s="6"/>
      <c r="BT255" s="464"/>
      <c r="BU255" s="464"/>
      <c r="BV255" s="464"/>
      <c r="BW255" s="84"/>
      <c r="BX255" s="84"/>
      <c r="BY255" s="84"/>
      <c r="BZ255" s="84"/>
      <c r="CA255" s="130">
        <v>0.03</v>
      </c>
      <c r="CB255" s="130"/>
      <c r="CC255" s="84"/>
      <c r="CD255" s="84"/>
      <c r="CE255" s="6"/>
      <c r="CF255" s="6"/>
      <c r="CG255" s="6"/>
      <c r="CH255" s="6"/>
      <c r="CI255" s="6"/>
      <c r="CJ255" s="6"/>
      <c r="CK255" s="464"/>
      <c r="CL255" s="464"/>
      <c r="CM255" s="464"/>
      <c r="CN255" s="84"/>
      <c r="CO255" s="84"/>
      <c r="CP255" s="84"/>
      <c r="CQ255" s="84"/>
      <c r="CR255" s="84"/>
      <c r="CS255" s="84"/>
      <c r="CT255" s="84"/>
      <c r="CU255" s="84"/>
      <c r="CV255" s="84"/>
      <c r="CW255" s="84"/>
      <c r="CX255" s="84"/>
      <c r="CY255" s="84"/>
      <c r="CZ255" s="6"/>
      <c r="DA255" s="464"/>
      <c r="DB255" s="464"/>
      <c r="DC255" s="464"/>
      <c r="DD255" s="84"/>
      <c r="DE255" s="84"/>
      <c r="DF255" s="84"/>
      <c r="DG255" s="84"/>
      <c r="DH255" s="84"/>
      <c r="DI255" s="84"/>
      <c r="DJ255" s="84"/>
      <c r="DK255" s="84"/>
    </row>
    <row r="256" spans="1:115">
      <c r="A256" s="36">
        <v>2</v>
      </c>
      <c r="B256" s="473" t="s">
        <v>612</v>
      </c>
      <c r="C256" s="11" t="s">
        <v>598</v>
      </c>
      <c r="D256" s="645" t="s">
        <v>595</v>
      </c>
      <c r="E256" s="720">
        <v>0.5</v>
      </c>
      <c r="F256" s="342"/>
      <c r="G256" s="650">
        <v>60</v>
      </c>
      <c r="H256" s="342"/>
      <c r="I256" s="464"/>
      <c r="J256" s="464"/>
      <c r="K256" s="464"/>
      <c r="L256" s="84"/>
      <c r="M256" s="84"/>
      <c r="N256" s="84"/>
      <c r="O256" s="84"/>
      <c r="P256" s="84"/>
      <c r="Q256" s="84"/>
      <c r="R256" s="84"/>
      <c r="S256" s="84"/>
      <c r="T256" s="342"/>
      <c r="U256" s="464"/>
      <c r="V256" s="464"/>
      <c r="W256" s="464"/>
      <c r="X256" s="84"/>
      <c r="Y256" s="84"/>
      <c r="Z256" s="84"/>
      <c r="AA256" s="84"/>
      <c r="AB256" s="1073">
        <f>AA278*(1+CA255)</f>
        <v>2060</v>
      </c>
      <c r="AC256" s="1073"/>
      <c r="AD256" s="84"/>
      <c r="AE256" s="84"/>
      <c r="AF256" s="84"/>
      <c r="AG256" s="84"/>
      <c r="AH256" s="84"/>
      <c r="AI256" s="84"/>
      <c r="AJ256" s="84"/>
      <c r="AK256" s="6"/>
      <c r="AL256" s="275"/>
      <c r="AM256" s="275"/>
      <c r="AN256" s="275"/>
      <c r="AO256" s="6"/>
      <c r="AP256" s="84"/>
      <c r="AQ256" s="84"/>
      <c r="AR256" s="84"/>
      <c r="AS256" s="719">
        <v>22</v>
      </c>
      <c r="AT256" s="84"/>
      <c r="AU256" s="84"/>
      <c r="AV256" s="84"/>
      <c r="AW256" s="84"/>
      <c r="AX256" s="84"/>
      <c r="AY256" s="84"/>
      <c r="AZ256" s="84"/>
      <c r="BA256" s="84"/>
      <c r="BB256" s="6"/>
      <c r="BC256" s="464"/>
      <c r="BD256" s="464"/>
      <c r="BE256" s="464"/>
      <c r="BF256" s="84"/>
      <c r="BG256" s="84"/>
      <c r="BH256" s="84"/>
      <c r="BI256" s="84"/>
      <c r="BJ256" s="1068">
        <f t="shared" si="18"/>
        <v>22660</v>
      </c>
      <c r="BK256" s="6"/>
      <c r="BL256" s="6"/>
      <c r="BM256" s="6"/>
      <c r="BN256" s="6"/>
      <c r="BO256" s="6"/>
      <c r="BP256" s="6"/>
      <c r="BQ256" s="6"/>
      <c r="BR256" s="6"/>
      <c r="BS256" s="6"/>
      <c r="BT256" s="464"/>
      <c r="BU256" s="464"/>
      <c r="BV256" s="464"/>
      <c r="BW256" s="84"/>
      <c r="BX256" s="84"/>
      <c r="BY256" s="84"/>
      <c r="BZ256" s="84"/>
      <c r="CA256" s="130">
        <v>0.03</v>
      </c>
      <c r="CB256" s="130"/>
      <c r="CC256" s="84"/>
      <c r="CD256" s="84"/>
      <c r="CE256" s="6"/>
      <c r="CF256" s="6"/>
      <c r="CG256" s="6"/>
      <c r="CH256" s="6"/>
      <c r="CI256" s="6"/>
      <c r="CJ256" s="6"/>
      <c r="CK256" s="464"/>
      <c r="CL256" s="464"/>
      <c r="CM256" s="464"/>
      <c r="CN256" s="84"/>
      <c r="CO256" s="84"/>
      <c r="CP256" s="84"/>
      <c r="CQ256" s="84"/>
      <c r="CR256" s="84"/>
      <c r="CS256" s="84"/>
      <c r="CT256" s="84"/>
      <c r="CU256" s="84"/>
      <c r="CV256" s="84"/>
      <c r="CW256" s="84"/>
      <c r="CX256" s="84"/>
      <c r="CY256" s="84"/>
      <c r="CZ256" s="6"/>
      <c r="DA256" s="464"/>
      <c r="DB256" s="464"/>
      <c r="DC256" s="464"/>
      <c r="DD256" s="84"/>
      <c r="DE256" s="84"/>
      <c r="DF256" s="84"/>
      <c r="DG256" s="84"/>
      <c r="DH256" s="84"/>
      <c r="DI256" s="84"/>
      <c r="DJ256" s="84"/>
      <c r="DK256" s="84"/>
    </row>
    <row r="257" spans="1:115">
      <c r="A257" s="86">
        <v>1</v>
      </c>
      <c r="B257" s="84" t="s">
        <v>609</v>
      </c>
      <c r="C257" s="6" t="s">
        <v>598</v>
      </c>
      <c r="D257" s="645" t="s">
        <v>638</v>
      </c>
      <c r="E257" s="720">
        <v>1</v>
      </c>
      <c r="F257" s="342"/>
      <c r="G257" s="650">
        <v>60</v>
      </c>
      <c r="H257" s="342"/>
      <c r="I257" s="464"/>
      <c r="J257" s="464"/>
      <c r="K257" s="464"/>
      <c r="L257" s="84"/>
      <c r="M257" s="84"/>
      <c r="N257" s="84"/>
      <c r="O257" s="84"/>
      <c r="P257" s="84"/>
      <c r="Q257" s="84"/>
      <c r="R257" s="84"/>
      <c r="S257" s="84"/>
      <c r="T257" s="342"/>
      <c r="U257" s="464"/>
      <c r="V257" s="464"/>
      <c r="W257" s="464"/>
      <c r="X257" s="84"/>
      <c r="Y257" s="84"/>
      <c r="Z257" s="84"/>
      <c r="AA257" s="84"/>
      <c r="AB257" s="1073">
        <v>1200</v>
      </c>
      <c r="AC257" s="1073"/>
      <c r="AD257" s="84"/>
      <c r="AE257" s="84"/>
      <c r="AF257" s="84"/>
      <c r="AG257" s="84"/>
      <c r="AH257" s="84"/>
      <c r="AI257" s="84"/>
      <c r="AJ257" s="84"/>
      <c r="AK257" s="6"/>
      <c r="AL257" s="275"/>
      <c r="AM257" s="275"/>
      <c r="AN257" s="275"/>
      <c r="AO257" s="6"/>
      <c r="AP257" s="84"/>
      <c r="AQ257" s="84"/>
      <c r="AR257" s="84"/>
      <c r="AS257" s="719">
        <v>13</v>
      </c>
      <c r="AT257" s="84"/>
      <c r="AU257" s="84"/>
      <c r="AV257" s="84"/>
      <c r="AW257" s="84"/>
      <c r="AX257" s="84"/>
      <c r="AY257" s="84"/>
      <c r="AZ257" s="84"/>
      <c r="BA257" s="84"/>
      <c r="BB257" s="6"/>
      <c r="BC257" s="464"/>
      <c r="BD257" s="464"/>
      <c r="BE257" s="464"/>
      <c r="BF257" s="84"/>
      <c r="BG257" s="84"/>
      <c r="BH257" s="84"/>
      <c r="BI257" s="84"/>
      <c r="BJ257" s="1068">
        <f t="shared" si="18"/>
        <v>15600</v>
      </c>
      <c r="BK257" s="6"/>
      <c r="BL257" s="6"/>
      <c r="BM257" s="6"/>
      <c r="BN257" s="6"/>
      <c r="BO257" s="6"/>
      <c r="BP257" s="6"/>
      <c r="BQ257" s="6"/>
      <c r="BR257" s="6"/>
      <c r="BS257" s="6"/>
      <c r="BT257" s="464"/>
      <c r="BU257" s="464"/>
      <c r="BV257" s="464"/>
      <c r="BW257" s="84"/>
      <c r="BX257" s="84"/>
      <c r="BY257" s="84"/>
      <c r="BZ257" s="84"/>
      <c r="CA257" s="130"/>
      <c r="CB257" s="130"/>
      <c r="CC257" s="84"/>
      <c r="CD257" s="84"/>
      <c r="CE257" s="6"/>
      <c r="CF257" s="6"/>
      <c r="CG257" s="6"/>
      <c r="CH257" s="6"/>
      <c r="CI257" s="6"/>
      <c r="CJ257" s="6"/>
      <c r="CK257" s="464"/>
      <c r="CL257" s="464"/>
      <c r="CM257" s="464"/>
      <c r="CN257" s="84"/>
      <c r="CO257" s="84"/>
      <c r="CP257" s="84"/>
      <c r="CQ257" s="84"/>
      <c r="CR257" s="84"/>
      <c r="CS257" s="84"/>
      <c r="CT257" s="84"/>
      <c r="CU257" s="84"/>
      <c r="CV257" s="84"/>
      <c r="CW257" s="84"/>
      <c r="CX257" s="84"/>
      <c r="CY257" s="84"/>
      <c r="CZ257" s="6"/>
      <c r="DA257" s="464"/>
      <c r="DB257" s="464"/>
      <c r="DC257" s="464"/>
      <c r="DD257" s="84"/>
      <c r="DE257" s="84"/>
      <c r="DF257" s="84"/>
      <c r="DG257" s="84"/>
      <c r="DH257" s="84"/>
      <c r="DI257" s="84"/>
      <c r="DJ257" s="84"/>
      <c r="DK257" s="84"/>
    </row>
    <row r="258" spans="1:115">
      <c r="A258" s="164">
        <v>5</v>
      </c>
      <c r="B258" s="69" t="s">
        <v>1449</v>
      </c>
      <c r="C258" s="11" t="s">
        <v>598</v>
      </c>
      <c r="D258" s="648" t="s">
        <v>1450</v>
      </c>
      <c r="E258" s="720">
        <v>1</v>
      </c>
      <c r="F258" s="342"/>
      <c r="G258" s="650">
        <v>60</v>
      </c>
      <c r="H258" s="342"/>
      <c r="I258" s="464"/>
      <c r="J258" s="464"/>
      <c r="K258" s="464"/>
      <c r="L258" s="84"/>
      <c r="M258" s="84"/>
      <c r="N258" s="84"/>
      <c r="O258" s="84"/>
      <c r="P258" s="84"/>
      <c r="Q258" s="84"/>
      <c r="R258" s="84"/>
      <c r="S258" s="84"/>
      <c r="T258" s="342"/>
      <c r="U258" s="464"/>
      <c r="V258" s="464"/>
      <c r="W258" s="464"/>
      <c r="X258" s="84"/>
      <c r="Y258" s="84"/>
      <c r="Z258" s="84"/>
      <c r="AA258" s="84"/>
      <c r="AB258" s="1073">
        <f>AA284*(1+CA258)</f>
        <v>2204.2000000000003</v>
      </c>
      <c r="AC258" s="1073"/>
      <c r="AD258" s="84"/>
      <c r="AE258" s="84"/>
      <c r="AF258" s="84"/>
      <c r="AG258" s="84"/>
      <c r="AH258" s="84"/>
      <c r="AI258" s="84"/>
      <c r="AJ258" s="84"/>
      <c r="AK258" s="6"/>
      <c r="AL258" s="275"/>
      <c r="AM258" s="275"/>
      <c r="AN258" s="275"/>
      <c r="AO258" s="6"/>
      <c r="AP258" s="84"/>
      <c r="AQ258" s="84"/>
      <c r="AR258" s="84"/>
      <c r="AS258" s="719">
        <v>22</v>
      </c>
      <c r="AT258" s="84"/>
      <c r="AU258" s="84"/>
      <c r="AV258" s="84"/>
      <c r="AW258" s="84"/>
      <c r="AX258" s="84"/>
      <c r="AY258" s="84"/>
      <c r="AZ258" s="84"/>
      <c r="BA258" s="84"/>
      <c r="BB258" s="6"/>
      <c r="BC258" s="464"/>
      <c r="BD258" s="464"/>
      <c r="BE258" s="464"/>
      <c r="BF258" s="84"/>
      <c r="BG258" s="84"/>
      <c r="BH258" s="84"/>
      <c r="BI258" s="84"/>
      <c r="BJ258" s="1068">
        <f t="shared" si="18"/>
        <v>48492.400000000009</v>
      </c>
      <c r="BK258" s="6"/>
      <c r="BL258" s="6"/>
      <c r="BM258" s="6"/>
      <c r="BN258" s="6"/>
      <c r="BO258" s="6"/>
      <c r="BP258" s="6"/>
      <c r="BQ258" s="6"/>
      <c r="BR258" s="6"/>
      <c r="BS258" s="6"/>
      <c r="BT258" s="464"/>
      <c r="BU258" s="464"/>
      <c r="BV258" s="464"/>
      <c r="BW258" s="84"/>
      <c r="BX258" s="84"/>
      <c r="BY258" s="84"/>
      <c r="BZ258" s="84"/>
      <c r="CA258" s="130">
        <v>0.03</v>
      </c>
      <c r="CB258" s="130"/>
      <c r="CC258" s="84"/>
      <c r="CD258" s="84"/>
      <c r="CE258" s="6"/>
      <c r="CF258" s="6"/>
      <c r="CG258" s="6"/>
      <c r="CH258" s="6"/>
      <c r="CI258" s="6"/>
      <c r="CJ258" s="6"/>
      <c r="CK258" s="464"/>
      <c r="CL258" s="464"/>
      <c r="CM258" s="464"/>
      <c r="CN258" s="84"/>
      <c r="CO258" s="84"/>
      <c r="CP258" s="84"/>
      <c r="CQ258" s="84"/>
      <c r="CR258" s="84"/>
      <c r="CS258" s="84"/>
      <c r="CT258" s="84"/>
      <c r="CU258" s="84"/>
      <c r="CV258" s="84"/>
      <c r="CW258" s="84"/>
      <c r="CX258" s="84"/>
      <c r="CY258" s="84"/>
      <c r="CZ258" s="6"/>
      <c r="DA258" s="464"/>
      <c r="DB258" s="464"/>
      <c r="DC258" s="464"/>
      <c r="DD258" s="84"/>
      <c r="DE258" s="84"/>
      <c r="DF258" s="84"/>
      <c r="DG258" s="84"/>
      <c r="DH258" s="84"/>
      <c r="DI258" s="84"/>
      <c r="DJ258" s="84"/>
      <c r="DK258" s="84"/>
    </row>
    <row r="259" spans="1:115">
      <c r="A259" s="259">
        <v>6</v>
      </c>
      <c r="B259" s="6" t="s">
        <v>1461</v>
      </c>
      <c r="C259" s="6" t="s">
        <v>1462</v>
      </c>
      <c r="D259" s="645" t="s">
        <v>638</v>
      </c>
      <c r="E259" s="720">
        <v>1</v>
      </c>
      <c r="F259" s="342"/>
      <c r="G259" s="650">
        <v>60</v>
      </c>
      <c r="H259" s="342"/>
      <c r="I259" s="464"/>
      <c r="J259" s="464"/>
      <c r="K259" s="464"/>
      <c r="L259" s="84"/>
      <c r="M259" s="84"/>
      <c r="N259" s="84"/>
      <c r="O259" s="84"/>
      <c r="P259" s="84"/>
      <c r="Q259" s="84"/>
      <c r="R259" s="84"/>
      <c r="S259" s="84"/>
      <c r="T259" s="342"/>
      <c r="U259" s="464"/>
      <c r="V259" s="464"/>
      <c r="W259" s="464"/>
      <c r="X259" s="84"/>
      <c r="Y259" s="84"/>
      <c r="Z259" s="84"/>
      <c r="AA259" s="84"/>
      <c r="AB259" s="1073">
        <f>AA287*(1+CA259)</f>
        <v>2755.25</v>
      </c>
      <c r="AC259" s="1073"/>
      <c r="AD259" s="84"/>
      <c r="AE259" s="84"/>
      <c r="AF259" s="84"/>
      <c r="AG259" s="84"/>
      <c r="AH259" s="84"/>
      <c r="AI259" s="84"/>
      <c r="AJ259" s="84"/>
      <c r="AK259" s="6"/>
      <c r="AL259" s="275"/>
      <c r="AM259" s="275"/>
      <c r="AN259" s="275"/>
      <c r="AO259" s="6"/>
      <c r="AP259" s="84"/>
      <c r="AQ259" s="84"/>
      <c r="AR259" s="84"/>
      <c r="AS259" s="719">
        <v>22</v>
      </c>
      <c r="AT259" s="84"/>
      <c r="AU259" s="84"/>
      <c r="AV259" s="84"/>
      <c r="AW259" s="84"/>
      <c r="AX259" s="84"/>
      <c r="AY259" s="84"/>
      <c r="AZ259" s="84"/>
      <c r="BA259" s="84"/>
      <c r="BB259" s="6"/>
      <c r="BC259" s="464"/>
      <c r="BD259" s="464"/>
      <c r="BE259" s="464"/>
      <c r="BF259" s="84"/>
      <c r="BG259" s="84"/>
      <c r="BH259" s="84"/>
      <c r="BI259" s="84"/>
      <c r="BJ259" s="1068">
        <f t="shared" si="18"/>
        <v>60615.5</v>
      </c>
      <c r="BK259" s="6"/>
      <c r="BL259" s="6"/>
      <c r="BM259" s="6"/>
      <c r="BN259" s="6"/>
      <c r="BO259" s="6"/>
      <c r="BP259" s="6"/>
      <c r="BQ259" s="6"/>
      <c r="BR259" s="6"/>
      <c r="BS259" s="6"/>
      <c r="BT259" s="464"/>
      <c r="BU259" s="464"/>
      <c r="BV259" s="464"/>
      <c r="BW259" s="84"/>
      <c r="BX259" s="84"/>
      <c r="BY259" s="84"/>
      <c r="BZ259" s="84"/>
      <c r="CA259" s="130">
        <v>0.03</v>
      </c>
      <c r="CB259" s="130"/>
      <c r="CC259" s="84"/>
      <c r="CD259" s="84"/>
      <c r="CE259" s="6"/>
      <c r="CF259" s="6"/>
      <c r="CG259" s="6"/>
      <c r="CH259" s="6"/>
      <c r="CI259" s="6"/>
      <c r="CJ259" s="6"/>
      <c r="CK259" s="464"/>
      <c r="CL259" s="464"/>
      <c r="CM259" s="464"/>
      <c r="CN259" s="84"/>
      <c r="CO259" s="84"/>
      <c r="CP259" s="84"/>
      <c r="CQ259" s="84"/>
      <c r="CR259" s="84"/>
      <c r="CS259" s="84"/>
      <c r="CT259" s="84"/>
      <c r="CU259" s="84"/>
      <c r="CV259" s="84"/>
      <c r="CW259" s="84"/>
      <c r="CX259" s="84"/>
      <c r="CY259" s="84"/>
      <c r="CZ259" s="6"/>
      <c r="DA259" s="464"/>
      <c r="DB259" s="464"/>
      <c r="DC259" s="464"/>
      <c r="DD259" s="84"/>
      <c r="DE259" s="84"/>
      <c r="DF259" s="84"/>
      <c r="DG259" s="84"/>
      <c r="DH259" s="84"/>
      <c r="DI259" s="84"/>
      <c r="DJ259" s="84"/>
      <c r="DK259" s="84"/>
    </row>
    <row r="260" spans="1:115">
      <c r="A260" s="86">
        <v>4</v>
      </c>
      <c r="B260" s="84" t="s">
        <v>1451</v>
      </c>
      <c r="C260" s="6" t="s">
        <v>598</v>
      </c>
      <c r="D260" s="645" t="s">
        <v>638</v>
      </c>
      <c r="E260" s="720">
        <v>1</v>
      </c>
      <c r="F260" s="342"/>
      <c r="G260" s="650">
        <v>60</v>
      </c>
      <c r="H260" s="342"/>
      <c r="I260" s="464"/>
      <c r="J260" s="464"/>
      <c r="K260" s="464"/>
      <c r="L260" s="84"/>
      <c r="M260" s="84"/>
      <c r="N260" s="84"/>
      <c r="O260" s="84"/>
      <c r="P260" s="84"/>
      <c r="Q260" s="84"/>
      <c r="R260" s="84"/>
      <c r="S260" s="84"/>
      <c r="T260" s="342"/>
      <c r="U260" s="464"/>
      <c r="V260" s="464"/>
      <c r="W260" s="464"/>
      <c r="X260" s="84"/>
      <c r="Y260" s="84"/>
      <c r="Z260" s="84"/>
      <c r="AA260" s="84"/>
      <c r="AB260" s="1073">
        <v>2500</v>
      </c>
      <c r="AC260" s="1073"/>
      <c r="AD260" s="84"/>
      <c r="AE260" s="84"/>
      <c r="AF260" s="84"/>
      <c r="AG260" s="84"/>
      <c r="AH260" s="84"/>
      <c r="AI260" s="84"/>
      <c r="AJ260" s="84"/>
      <c r="AK260" s="6"/>
      <c r="AL260" s="275"/>
      <c r="AM260" s="275"/>
      <c r="AN260" s="275"/>
      <c r="AO260" s="6"/>
      <c r="AP260" s="84"/>
      <c r="AQ260" s="84"/>
      <c r="AR260" s="84"/>
      <c r="AS260" s="719">
        <v>22</v>
      </c>
      <c r="AT260" s="84"/>
      <c r="AU260" s="84"/>
      <c r="AV260" s="84"/>
      <c r="AW260" s="84"/>
      <c r="AX260" s="84"/>
      <c r="AY260" s="84"/>
      <c r="AZ260" s="84"/>
      <c r="BA260" s="84"/>
      <c r="BB260" s="6"/>
      <c r="BC260" s="464"/>
      <c r="BD260" s="464"/>
      <c r="BE260" s="464"/>
      <c r="BF260" s="84"/>
      <c r="BG260" s="84"/>
      <c r="BH260" s="84"/>
      <c r="BI260" s="84"/>
      <c r="BJ260" s="1068">
        <f t="shared" si="18"/>
        <v>55000</v>
      </c>
      <c r="BK260" s="6"/>
      <c r="BL260" s="6"/>
      <c r="BM260" s="6"/>
      <c r="BN260" s="6"/>
      <c r="BO260" s="6"/>
      <c r="BP260" s="6"/>
      <c r="BQ260" s="6"/>
      <c r="BR260" s="6"/>
      <c r="BS260" s="6"/>
      <c r="BT260" s="464"/>
      <c r="BU260" s="464"/>
      <c r="BV260" s="464"/>
      <c r="BW260" s="84"/>
      <c r="BX260" s="84"/>
      <c r="BY260" s="84"/>
      <c r="BZ260" s="84"/>
      <c r="CA260" s="130">
        <v>0.03</v>
      </c>
      <c r="CB260" s="130"/>
      <c r="CC260" s="84"/>
      <c r="CD260" s="84"/>
      <c r="CE260" s="6"/>
      <c r="CF260" s="6"/>
      <c r="CG260" s="6"/>
      <c r="CH260" s="6"/>
      <c r="CI260" s="6"/>
      <c r="CJ260" s="6"/>
      <c r="CK260" s="464"/>
      <c r="CL260" s="464"/>
      <c r="CM260" s="464"/>
      <c r="CN260" s="84"/>
      <c r="CO260" s="84"/>
      <c r="CP260" s="84"/>
      <c r="CQ260" s="84"/>
      <c r="CR260" s="84"/>
      <c r="CS260" s="84"/>
      <c r="CT260" s="84"/>
      <c r="CU260" s="84"/>
      <c r="CV260" s="84"/>
      <c r="CW260" s="84"/>
      <c r="CX260" s="84"/>
      <c r="CY260" s="84"/>
      <c r="CZ260" s="6"/>
      <c r="DA260" s="464"/>
      <c r="DB260" s="464"/>
      <c r="DC260" s="464"/>
      <c r="DD260" s="84"/>
      <c r="DE260" s="84"/>
      <c r="DF260" s="84"/>
      <c r="DG260" s="84"/>
      <c r="DH260" s="84"/>
      <c r="DI260" s="84"/>
      <c r="DJ260" s="84"/>
      <c r="DK260" s="84"/>
    </row>
    <row r="261" spans="1:115">
      <c r="A261" s="86">
        <v>1</v>
      </c>
      <c r="B261" s="84" t="s">
        <v>922</v>
      </c>
      <c r="C261" s="11" t="s">
        <v>598</v>
      </c>
      <c r="D261" s="645" t="s">
        <v>595</v>
      </c>
      <c r="E261" s="720">
        <v>0.5</v>
      </c>
      <c r="F261" s="342"/>
      <c r="G261" s="650">
        <v>60</v>
      </c>
      <c r="H261" s="342"/>
      <c r="I261" s="464"/>
      <c r="J261" s="464"/>
      <c r="K261" s="464"/>
      <c r="L261" s="84"/>
      <c r="M261" s="84"/>
      <c r="N261" s="84"/>
      <c r="O261" s="84"/>
      <c r="P261" s="84"/>
      <c r="Q261" s="84"/>
      <c r="R261" s="84"/>
      <c r="S261" s="84"/>
      <c r="T261" s="342"/>
      <c r="U261" s="464"/>
      <c r="V261" s="464"/>
      <c r="W261" s="464"/>
      <c r="X261" s="84"/>
      <c r="Y261" s="84"/>
      <c r="Z261" s="84"/>
      <c r="AA261" s="84"/>
      <c r="AB261" s="1073">
        <v>1500</v>
      </c>
      <c r="AC261" s="1073"/>
      <c r="AD261" s="84"/>
      <c r="AE261" s="84"/>
      <c r="AF261" s="84"/>
      <c r="AG261" s="84"/>
      <c r="AH261" s="84"/>
      <c r="AI261" s="84"/>
      <c r="AJ261" s="84"/>
      <c r="AK261" s="6"/>
      <c r="AL261" s="275"/>
      <c r="AM261" s="275"/>
      <c r="AN261" s="275"/>
      <c r="AO261" s="6"/>
      <c r="AP261" s="84"/>
      <c r="AQ261" s="84"/>
      <c r="AR261" s="84"/>
      <c r="AS261" s="719">
        <v>13</v>
      </c>
      <c r="AT261" s="84"/>
      <c r="AU261" s="84"/>
      <c r="AV261" s="84"/>
      <c r="AW261" s="84"/>
      <c r="AX261" s="84"/>
      <c r="AY261" s="84"/>
      <c r="AZ261" s="84"/>
      <c r="BA261" s="84"/>
      <c r="BB261" s="6"/>
      <c r="BC261" s="464"/>
      <c r="BD261" s="464"/>
      <c r="BE261" s="464"/>
      <c r="BF261" s="84"/>
      <c r="BG261" s="84"/>
      <c r="BH261" s="84"/>
      <c r="BI261" s="84"/>
      <c r="BJ261" s="1068">
        <f t="shared" si="18"/>
        <v>9750</v>
      </c>
      <c r="BK261" s="6"/>
      <c r="BL261" s="6"/>
      <c r="BM261" s="6"/>
      <c r="BN261" s="6"/>
      <c r="BO261" s="6"/>
      <c r="BP261" s="6"/>
      <c r="BQ261" s="6"/>
      <c r="BR261" s="6"/>
      <c r="BS261" s="6"/>
      <c r="BT261" s="464"/>
      <c r="BU261" s="464"/>
      <c r="BV261" s="464"/>
      <c r="BW261" s="84"/>
      <c r="BX261" s="84"/>
      <c r="BY261" s="84"/>
      <c r="BZ261" s="84"/>
      <c r="CA261" s="130"/>
      <c r="CB261" s="130"/>
      <c r="CC261" s="84"/>
      <c r="CD261" s="84"/>
      <c r="CE261" s="6"/>
      <c r="CF261" s="6"/>
      <c r="CG261" s="6"/>
      <c r="CH261" s="6"/>
      <c r="CI261" s="6"/>
      <c r="CJ261" s="6"/>
      <c r="CK261" s="464"/>
      <c r="CL261" s="464"/>
      <c r="CM261" s="464"/>
      <c r="CN261" s="84"/>
      <c r="CO261" s="84"/>
      <c r="CP261" s="84"/>
      <c r="CQ261" s="84"/>
      <c r="CR261" s="84"/>
      <c r="CS261" s="84"/>
      <c r="CT261" s="84"/>
      <c r="CU261" s="84"/>
      <c r="CV261" s="84"/>
      <c r="CW261" s="84"/>
      <c r="CX261" s="84"/>
      <c r="CY261" s="84"/>
      <c r="CZ261" s="6"/>
      <c r="DA261" s="464"/>
      <c r="DB261" s="464"/>
      <c r="DC261" s="464"/>
      <c r="DD261" s="84"/>
      <c r="DE261" s="84"/>
      <c r="DF261" s="84"/>
      <c r="DG261" s="84"/>
      <c r="DH261" s="84"/>
      <c r="DI261" s="84"/>
      <c r="DJ261" s="84"/>
      <c r="DK261" s="84"/>
    </row>
    <row r="262" spans="1:115">
      <c r="A262" s="36">
        <v>3</v>
      </c>
      <c r="B262" s="473" t="s">
        <v>613</v>
      </c>
      <c r="C262" s="11" t="s">
        <v>598</v>
      </c>
      <c r="D262" s="645" t="s">
        <v>638</v>
      </c>
      <c r="E262" s="720">
        <v>0.5</v>
      </c>
      <c r="F262" s="342"/>
      <c r="G262" s="650">
        <v>30</v>
      </c>
      <c r="H262" s="342"/>
      <c r="I262" s="464"/>
      <c r="J262" s="464"/>
      <c r="K262" s="464"/>
      <c r="L262" s="84"/>
      <c r="M262" s="84"/>
      <c r="N262" s="84"/>
      <c r="O262" s="84"/>
      <c r="P262" s="84"/>
      <c r="Q262" s="84"/>
      <c r="R262" s="84"/>
      <c r="S262" s="84"/>
      <c r="T262" s="342"/>
      <c r="U262" s="464"/>
      <c r="V262" s="464"/>
      <c r="W262" s="464"/>
      <c r="X262" s="84"/>
      <c r="Y262" s="84"/>
      <c r="Z262" s="84"/>
      <c r="AA262" s="84"/>
      <c r="AB262" s="1073">
        <f>AA294*(1+CA262)</f>
        <v>2204.2000000000003</v>
      </c>
      <c r="AC262" s="1073"/>
      <c r="AD262" s="84"/>
      <c r="AE262" s="84"/>
      <c r="AF262" s="84"/>
      <c r="AG262" s="84"/>
      <c r="AH262" s="84"/>
      <c r="AI262" s="84"/>
      <c r="AJ262" s="84"/>
      <c r="AK262" s="6"/>
      <c r="AL262" s="275"/>
      <c r="AM262" s="275"/>
      <c r="AN262" s="275"/>
      <c r="AO262" s="6"/>
      <c r="AP262" s="84"/>
      <c r="AQ262" s="84"/>
      <c r="AR262" s="84"/>
      <c r="AS262" s="719">
        <v>22</v>
      </c>
      <c r="AT262" s="84"/>
      <c r="AU262" s="84"/>
      <c r="AV262" s="84"/>
      <c r="AW262" s="84"/>
      <c r="AX262" s="84"/>
      <c r="AY262" s="84"/>
      <c r="AZ262" s="84"/>
      <c r="BA262" s="84"/>
      <c r="BB262" s="6"/>
      <c r="BC262" s="464"/>
      <c r="BD262" s="464"/>
      <c r="BE262" s="464"/>
      <c r="BF262" s="84"/>
      <c r="BG262" s="84"/>
      <c r="BH262" s="84"/>
      <c r="BI262" s="84"/>
      <c r="BJ262" s="1068">
        <f t="shared" si="18"/>
        <v>24246.200000000004</v>
      </c>
      <c r="BK262" s="6"/>
      <c r="BL262" s="6"/>
      <c r="BM262" s="6"/>
      <c r="BN262" s="6"/>
      <c r="BO262" s="6"/>
      <c r="BP262" s="6"/>
      <c r="BQ262" s="6"/>
      <c r="BR262" s="6"/>
      <c r="BS262" s="6"/>
      <c r="BT262" s="464"/>
      <c r="BU262" s="464"/>
      <c r="BV262" s="464"/>
      <c r="BW262" s="84"/>
      <c r="BX262" s="84"/>
      <c r="BY262" s="84"/>
      <c r="BZ262" s="84"/>
      <c r="CA262" s="130">
        <v>0.03</v>
      </c>
      <c r="CB262" s="130"/>
      <c r="CC262" s="84"/>
      <c r="CD262" s="84"/>
      <c r="CE262" s="6"/>
      <c r="CF262" s="6"/>
      <c r="CG262" s="6"/>
      <c r="CH262" s="6"/>
      <c r="CI262" s="6"/>
      <c r="CJ262" s="6"/>
      <c r="CK262" s="464"/>
      <c r="CL262" s="464"/>
      <c r="CM262" s="464"/>
      <c r="CN262" s="84"/>
      <c r="CO262" s="84"/>
      <c r="CP262" s="84"/>
      <c r="CQ262" s="84"/>
      <c r="CR262" s="84"/>
      <c r="CS262" s="84"/>
      <c r="CT262" s="84"/>
      <c r="CU262" s="84"/>
      <c r="CV262" s="84"/>
      <c r="CW262" s="84"/>
      <c r="CX262" s="84"/>
      <c r="CY262" s="84"/>
      <c r="CZ262" s="6"/>
      <c r="DA262" s="464"/>
      <c r="DB262" s="464"/>
      <c r="DC262" s="464"/>
      <c r="DD262" s="84"/>
      <c r="DE262" s="84"/>
      <c r="DF262" s="84"/>
      <c r="DG262" s="84"/>
      <c r="DH262" s="84"/>
      <c r="DI262" s="84"/>
      <c r="DJ262" s="84"/>
      <c r="DK262" s="84"/>
    </row>
    <row r="263" spans="1:115">
      <c r="A263" s="36">
        <v>1</v>
      </c>
      <c r="B263" s="473" t="s">
        <v>610</v>
      </c>
      <c r="C263" s="11" t="s">
        <v>598</v>
      </c>
      <c r="D263" s="645" t="s">
        <v>595</v>
      </c>
      <c r="E263" s="720">
        <v>0.5</v>
      </c>
      <c r="F263" s="342"/>
      <c r="G263" s="650">
        <v>60</v>
      </c>
      <c r="H263" s="342"/>
      <c r="I263" s="464"/>
      <c r="J263" s="464"/>
      <c r="K263" s="464"/>
      <c r="L263" s="84"/>
      <c r="M263" s="84"/>
      <c r="N263" s="84"/>
      <c r="O263" s="84"/>
      <c r="P263" s="84"/>
      <c r="Q263" s="84"/>
      <c r="R263" s="84"/>
      <c r="S263" s="84"/>
      <c r="T263" s="342"/>
      <c r="U263" s="464"/>
      <c r="V263" s="464"/>
      <c r="W263" s="464"/>
      <c r="X263" s="84"/>
      <c r="Y263" s="84"/>
      <c r="Z263" s="84"/>
      <c r="AA263" s="84"/>
      <c r="AB263" s="1073">
        <v>1500</v>
      </c>
      <c r="AC263" s="1073"/>
      <c r="AD263" s="84"/>
      <c r="AE263" s="84"/>
      <c r="AF263" s="84"/>
      <c r="AG263" s="84"/>
      <c r="AH263" s="84"/>
      <c r="AI263" s="84"/>
      <c r="AJ263" s="84"/>
      <c r="AK263" s="6"/>
      <c r="AL263" s="275"/>
      <c r="AM263" s="275"/>
      <c r="AN263" s="275"/>
      <c r="AO263" s="6"/>
      <c r="AP263" s="84"/>
      <c r="AQ263" s="84"/>
      <c r="AR263" s="84"/>
      <c r="AS263" s="719">
        <v>13</v>
      </c>
      <c r="AT263" s="84"/>
      <c r="AU263" s="84"/>
      <c r="AV263" s="84"/>
      <c r="AW263" s="84"/>
      <c r="AX263" s="84"/>
      <c r="AY263" s="84"/>
      <c r="AZ263" s="84"/>
      <c r="BA263" s="84"/>
      <c r="BB263" s="6"/>
      <c r="BC263" s="464"/>
      <c r="BD263" s="464"/>
      <c r="BE263" s="464"/>
      <c r="BF263" s="84"/>
      <c r="BG263" s="84"/>
      <c r="BH263" s="84"/>
      <c r="BI263" s="84"/>
      <c r="BJ263" s="1068">
        <f t="shared" si="18"/>
        <v>9750</v>
      </c>
      <c r="BK263" s="6"/>
      <c r="BL263" s="6"/>
      <c r="BM263" s="6"/>
      <c r="BN263" s="6"/>
      <c r="BO263" s="6"/>
      <c r="BP263" s="6"/>
      <c r="BQ263" s="6"/>
      <c r="BR263" s="6"/>
      <c r="BS263" s="6"/>
      <c r="BT263" s="464"/>
      <c r="BU263" s="464"/>
      <c r="BV263" s="464"/>
      <c r="BW263" s="84"/>
      <c r="BX263" s="84"/>
      <c r="BY263" s="84"/>
      <c r="BZ263" s="84"/>
      <c r="CA263" s="130"/>
      <c r="CB263" s="130"/>
      <c r="CC263" s="84"/>
      <c r="CD263" s="84"/>
      <c r="CE263" s="6"/>
      <c r="CF263" s="6"/>
      <c r="CG263" s="6"/>
      <c r="CH263" s="6"/>
      <c r="CI263" s="6"/>
      <c r="CJ263" s="6"/>
      <c r="CK263" s="464"/>
      <c r="CL263" s="464"/>
      <c r="CM263" s="464"/>
      <c r="CN263" s="84"/>
      <c r="CO263" s="84"/>
      <c r="CP263" s="84"/>
      <c r="CQ263" s="84"/>
      <c r="CR263" s="84"/>
      <c r="CS263" s="84"/>
      <c r="CT263" s="84"/>
      <c r="CU263" s="84"/>
      <c r="CV263" s="84"/>
      <c r="CW263" s="84"/>
      <c r="CX263" s="84"/>
      <c r="CY263" s="84"/>
      <c r="CZ263" s="6"/>
      <c r="DA263" s="464"/>
      <c r="DB263" s="464"/>
      <c r="DC263" s="464"/>
      <c r="DD263" s="84"/>
      <c r="DE263" s="84"/>
      <c r="DF263" s="84"/>
      <c r="DG263" s="84"/>
      <c r="DH263" s="84"/>
      <c r="DI263" s="84"/>
      <c r="DJ263" s="84"/>
      <c r="DK263" s="84"/>
    </row>
    <row r="264" spans="1:115">
      <c r="A264" s="36">
        <v>17</v>
      </c>
      <c r="B264" s="473" t="s">
        <v>614</v>
      </c>
      <c r="C264" s="11" t="s">
        <v>598</v>
      </c>
      <c r="D264" s="645" t="s">
        <v>638</v>
      </c>
      <c r="E264" s="720">
        <v>0.5</v>
      </c>
      <c r="F264" s="342"/>
      <c r="G264" s="650">
        <v>60</v>
      </c>
      <c r="H264" s="342"/>
      <c r="I264" s="464"/>
      <c r="J264" s="464"/>
      <c r="K264" s="464"/>
      <c r="L264" s="84"/>
      <c r="M264" s="84"/>
      <c r="N264" s="84"/>
      <c r="O264" s="84"/>
      <c r="P264" s="84"/>
      <c r="Q264" s="84"/>
      <c r="R264" s="84"/>
      <c r="S264" s="84"/>
      <c r="T264" s="342"/>
      <c r="U264" s="464"/>
      <c r="V264" s="464"/>
      <c r="W264" s="464"/>
      <c r="X264" s="84"/>
      <c r="Y264" s="84"/>
      <c r="Z264" s="84"/>
      <c r="AA264" s="84"/>
      <c r="AB264" s="1073">
        <v>2000</v>
      </c>
      <c r="AC264" s="1073"/>
      <c r="AD264" s="84"/>
      <c r="AE264" s="84"/>
      <c r="AF264" s="84"/>
      <c r="AG264" s="84"/>
      <c r="AH264" s="84"/>
      <c r="AI264" s="84"/>
      <c r="AJ264" s="84"/>
      <c r="AK264" s="6"/>
      <c r="AL264" s="275"/>
      <c r="AM264" s="275"/>
      <c r="AN264" s="275"/>
      <c r="AO264" s="6"/>
      <c r="AP264" s="84"/>
      <c r="AQ264" s="84"/>
      <c r="AR264" s="84"/>
      <c r="AS264" s="719">
        <v>13</v>
      </c>
      <c r="AT264" s="84"/>
      <c r="AU264" s="84"/>
      <c r="AV264" s="84"/>
      <c r="AW264" s="84"/>
      <c r="AX264" s="84"/>
      <c r="AY264" s="84"/>
      <c r="AZ264" s="84"/>
      <c r="BA264" s="84"/>
      <c r="BB264" s="6"/>
      <c r="BC264" s="464"/>
      <c r="BD264" s="464"/>
      <c r="BE264" s="464"/>
      <c r="BF264" s="84"/>
      <c r="BG264" s="84"/>
      <c r="BH264" s="84"/>
      <c r="BI264" s="84"/>
      <c r="BJ264" s="1068">
        <f t="shared" si="18"/>
        <v>13000</v>
      </c>
      <c r="BK264" s="6"/>
      <c r="BL264" s="6"/>
      <c r="BM264" s="6"/>
      <c r="BN264" s="6"/>
      <c r="BO264" s="6"/>
      <c r="BP264" s="6"/>
      <c r="BQ264" s="6"/>
      <c r="BR264" s="6"/>
      <c r="BS264" s="6"/>
      <c r="BT264" s="464"/>
      <c r="BU264" s="464"/>
      <c r="BV264" s="464"/>
      <c r="BW264" s="84"/>
      <c r="BX264" s="84"/>
      <c r="BY264" s="84"/>
      <c r="BZ264" s="84"/>
      <c r="CA264" s="130">
        <v>0.03</v>
      </c>
      <c r="CB264" s="130"/>
      <c r="CC264" s="84"/>
      <c r="CD264" s="84"/>
      <c r="CE264" s="6"/>
      <c r="CF264" s="6"/>
      <c r="CG264" s="6"/>
      <c r="CH264" s="6"/>
      <c r="CI264" s="6"/>
      <c r="CJ264" s="6"/>
      <c r="CK264" s="464"/>
      <c r="CL264" s="464"/>
      <c r="CM264" s="464"/>
      <c r="CN264" s="84"/>
      <c r="CO264" s="84"/>
      <c r="CP264" s="84"/>
      <c r="CQ264" s="84"/>
      <c r="CR264" s="84"/>
      <c r="CS264" s="84"/>
      <c r="CT264" s="84"/>
      <c r="CU264" s="84"/>
      <c r="CV264" s="84"/>
      <c r="CW264" s="84"/>
      <c r="CX264" s="84"/>
      <c r="CY264" s="84"/>
      <c r="CZ264" s="6"/>
      <c r="DA264" s="464"/>
      <c r="DB264" s="464"/>
      <c r="DC264" s="464"/>
      <c r="DD264" s="84"/>
      <c r="DE264" s="84"/>
      <c r="DF264" s="84"/>
      <c r="DG264" s="84"/>
      <c r="DH264" s="84"/>
      <c r="DI264" s="84"/>
      <c r="DJ264" s="84"/>
      <c r="DK264" s="84"/>
    </row>
    <row r="265" spans="1:115">
      <c r="A265" s="86">
        <v>1</v>
      </c>
      <c r="B265" s="84" t="s">
        <v>931</v>
      </c>
      <c r="C265" s="6" t="s">
        <v>598</v>
      </c>
      <c r="D265" s="645" t="s">
        <v>277</v>
      </c>
      <c r="E265" s="720">
        <v>1</v>
      </c>
      <c r="F265" s="342"/>
      <c r="G265" s="650">
        <v>60</v>
      </c>
      <c r="H265" s="342"/>
      <c r="I265" s="464"/>
      <c r="J265" s="464"/>
      <c r="K265" s="464"/>
      <c r="L265" s="84"/>
      <c r="M265" s="84"/>
      <c r="N265" s="84"/>
      <c r="O265" s="84"/>
      <c r="P265" s="84"/>
      <c r="Q265" s="84"/>
      <c r="R265" s="84"/>
      <c r="S265" s="84"/>
      <c r="T265" s="342"/>
      <c r="U265" s="464"/>
      <c r="V265" s="464"/>
      <c r="W265" s="464"/>
      <c r="X265" s="84"/>
      <c r="Y265" s="84"/>
      <c r="Z265" s="84"/>
      <c r="AA265" s="84"/>
      <c r="AB265" s="1073">
        <v>1500</v>
      </c>
      <c r="AC265" s="1073"/>
      <c r="AD265" s="84"/>
      <c r="AE265" s="84"/>
      <c r="AF265" s="84"/>
      <c r="AG265" s="84"/>
      <c r="AH265" s="84"/>
      <c r="AI265" s="84"/>
      <c r="AJ265" s="84"/>
      <c r="AK265" s="6"/>
      <c r="AL265" s="275"/>
      <c r="AM265" s="275"/>
      <c r="AN265" s="275"/>
      <c r="AO265" s="6"/>
      <c r="AP265" s="84"/>
      <c r="AQ265" s="84"/>
      <c r="AR265" s="84"/>
      <c r="AS265" s="719">
        <v>13</v>
      </c>
      <c r="AT265" s="84"/>
      <c r="AU265" s="84"/>
      <c r="AV265" s="84"/>
      <c r="AW265" s="84"/>
      <c r="AX265" s="84"/>
      <c r="AY265" s="84"/>
      <c r="AZ265" s="84"/>
      <c r="BA265" s="84"/>
      <c r="BB265" s="6"/>
      <c r="BC265" s="464"/>
      <c r="BD265" s="464"/>
      <c r="BE265" s="464"/>
      <c r="BF265" s="84"/>
      <c r="BG265" s="84"/>
      <c r="BH265" s="84"/>
      <c r="BI265" s="84"/>
      <c r="BJ265" s="1068">
        <f t="shared" si="18"/>
        <v>19500</v>
      </c>
      <c r="BK265" s="6"/>
      <c r="BL265" s="6"/>
      <c r="BM265" s="6"/>
      <c r="BN265" s="6"/>
      <c r="BO265" s="6"/>
      <c r="BP265" s="6"/>
      <c r="BQ265" s="6"/>
      <c r="BR265" s="6"/>
      <c r="BS265" s="6"/>
      <c r="BT265" s="464"/>
      <c r="BU265" s="464"/>
      <c r="BV265" s="464"/>
      <c r="BW265" s="84"/>
      <c r="BX265" s="84"/>
      <c r="BY265" s="84"/>
      <c r="BZ265" s="84"/>
      <c r="CA265" s="130"/>
      <c r="CB265" s="130"/>
      <c r="CC265" s="84"/>
      <c r="CD265" s="84"/>
      <c r="CE265" s="6"/>
      <c r="CF265" s="6"/>
      <c r="CG265" s="6"/>
      <c r="CH265" s="6"/>
      <c r="CI265" s="6"/>
      <c r="CJ265" s="6"/>
      <c r="CK265" s="464"/>
      <c r="CL265" s="464"/>
      <c r="CM265" s="464"/>
      <c r="CN265" s="84"/>
      <c r="CO265" s="84"/>
      <c r="CP265" s="84"/>
      <c r="CQ265" s="84"/>
      <c r="CR265" s="84"/>
      <c r="CS265" s="84"/>
      <c r="CT265" s="84"/>
      <c r="CU265" s="84"/>
      <c r="CV265" s="84"/>
      <c r="CW265" s="84"/>
      <c r="CX265" s="84"/>
      <c r="CY265" s="84"/>
      <c r="CZ265" s="6"/>
      <c r="DA265" s="464"/>
      <c r="DB265" s="464"/>
      <c r="DC265" s="464"/>
      <c r="DD265" s="84"/>
      <c r="DE265" s="84"/>
      <c r="DF265" s="84"/>
      <c r="DG265" s="84"/>
      <c r="DH265" s="84"/>
      <c r="DI265" s="84"/>
      <c r="DJ265" s="84"/>
      <c r="DK265" s="84"/>
    </row>
    <row r="266" spans="1:115">
      <c r="A266" s="86">
        <v>3</v>
      </c>
      <c r="B266" s="84" t="s">
        <v>486</v>
      </c>
      <c r="C266" s="6" t="s">
        <v>598</v>
      </c>
      <c r="D266" s="645" t="s">
        <v>595</v>
      </c>
      <c r="E266" s="720">
        <v>1</v>
      </c>
      <c r="F266" s="342"/>
      <c r="G266" s="650">
        <v>30</v>
      </c>
      <c r="H266" s="342"/>
      <c r="I266" s="464"/>
      <c r="J266" s="464"/>
      <c r="K266" s="464"/>
      <c r="L266" s="84"/>
      <c r="M266" s="84"/>
      <c r="N266" s="84"/>
      <c r="O266" s="84"/>
      <c r="P266" s="84"/>
      <c r="Q266" s="84"/>
      <c r="R266" s="84"/>
      <c r="S266" s="84"/>
      <c r="T266" s="342"/>
      <c r="U266" s="464"/>
      <c r="V266" s="464"/>
      <c r="W266" s="464"/>
      <c r="X266" s="84"/>
      <c r="Y266" s="84"/>
      <c r="Z266" s="84"/>
      <c r="AA266" s="84"/>
      <c r="AB266" s="1073">
        <f>AA295*(1+CA266)</f>
        <v>1653.15</v>
      </c>
      <c r="AC266" s="1073"/>
      <c r="AD266" s="84"/>
      <c r="AE266" s="84"/>
      <c r="AF266" s="84"/>
      <c r="AG266" s="84"/>
      <c r="AH266" s="84"/>
      <c r="AI266" s="84"/>
      <c r="AJ266" s="84"/>
      <c r="AK266" s="6"/>
      <c r="AL266" s="275"/>
      <c r="AM266" s="275"/>
      <c r="AN266" s="275"/>
      <c r="AO266" s="6"/>
      <c r="AP266" s="84"/>
      <c r="AQ266" s="84"/>
      <c r="AR266" s="84"/>
      <c r="AS266" s="719">
        <v>22</v>
      </c>
      <c r="AT266" s="84"/>
      <c r="AU266" s="84"/>
      <c r="AV266" s="84"/>
      <c r="AW266" s="84"/>
      <c r="AX266" s="84"/>
      <c r="AY266" s="84"/>
      <c r="AZ266" s="84"/>
      <c r="BA266" s="84"/>
      <c r="BB266" s="6"/>
      <c r="BC266" s="464"/>
      <c r="BD266" s="464"/>
      <c r="BE266" s="464"/>
      <c r="BF266" s="84"/>
      <c r="BG266" s="84"/>
      <c r="BH266" s="84"/>
      <c r="BI266" s="84"/>
      <c r="BJ266" s="1068">
        <f t="shared" si="18"/>
        <v>36369.300000000003</v>
      </c>
      <c r="BK266" s="6"/>
      <c r="BL266" s="6"/>
      <c r="BM266" s="6"/>
      <c r="BN266" s="6"/>
      <c r="BO266" s="6"/>
      <c r="BP266" s="6"/>
      <c r="BQ266" s="6"/>
      <c r="BR266" s="6"/>
      <c r="BS266" s="6"/>
      <c r="BT266" s="464"/>
      <c r="BU266" s="464"/>
      <c r="BV266" s="464"/>
      <c r="BW266" s="84"/>
      <c r="BX266" s="84"/>
      <c r="BY266" s="84"/>
      <c r="BZ266" s="84"/>
      <c r="CA266" s="130">
        <v>0.03</v>
      </c>
      <c r="CB266" s="130"/>
      <c r="CC266" s="84"/>
      <c r="CD266" s="84"/>
      <c r="CE266" s="6"/>
      <c r="CF266" s="6"/>
      <c r="CG266" s="6"/>
      <c r="CH266" s="6"/>
      <c r="CI266" s="6"/>
      <c r="CJ266" s="6"/>
      <c r="CK266" s="464"/>
      <c r="CL266" s="464"/>
      <c r="CM266" s="464"/>
      <c r="CN266" s="84"/>
      <c r="CO266" s="84"/>
      <c r="CP266" s="84"/>
      <c r="CQ266" s="84"/>
      <c r="CR266" s="84"/>
      <c r="CS266" s="84"/>
      <c r="CT266" s="84"/>
      <c r="CU266" s="84"/>
      <c r="CV266" s="84"/>
      <c r="CW266" s="84"/>
      <c r="CX266" s="84"/>
      <c r="CY266" s="84"/>
      <c r="CZ266" s="6"/>
      <c r="DA266" s="464"/>
      <c r="DB266" s="464"/>
      <c r="DC266" s="464"/>
      <c r="DD266" s="84"/>
      <c r="DE266" s="84"/>
      <c r="DF266" s="84"/>
      <c r="DG266" s="84"/>
      <c r="DH266" s="84"/>
      <c r="DI266" s="84"/>
      <c r="DJ266" s="84"/>
      <c r="DK266" s="84"/>
    </row>
    <row r="267" spans="1:115">
      <c r="A267" s="259">
        <v>7</v>
      </c>
      <c r="B267" s="6" t="s">
        <v>1470</v>
      </c>
      <c r="C267" s="6" t="s">
        <v>1471</v>
      </c>
      <c r="D267" s="645" t="s">
        <v>638</v>
      </c>
      <c r="E267" s="720">
        <v>0.5</v>
      </c>
      <c r="F267" s="342"/>
      <c r="G267" s="650">
        <v>60</v>
      </c>
      <c r="H267" s="342"/>
      <c r="I267" s="464"/>
      <c r="J267" s="464"/>
      <c r="K267" s="464"/>
      <c r="L267" s="84"/>
      <c r="M267" s="84"/>
      <c r="N267" s="84"/>
      <c r="O267" s="84"/>
      <c r="P267" s="84"/>
      <c r="Q267" s="84"/>
      <c r="R267" s="84"/>
      <c r="S267" s="84"/>
      <c r="T267" s="342"/>
      <c r="U267" s="464"/>
      <c r="V267" s="464"/>
      <c r="W267" s="464"/>
      <c r="X267" s="84"/>
      <c r="Y267" s="84"/>
      <c r="Z267" s="84"/>
      <c r="AA267" s="84"/>
      <c r="AB267" s="1073">
        <f>AA290*(1+CA267)</f>
        <v>2755.25</v>
      </c>
      <c r="AC267" s="1073"/>
      <c r="AD267" s="84"/>
      <c r="AE267" s="84"/>
      <c r="AF267" s="84"/>
      <c r="AG267" s="84"/>
      <c r="AH267" s="84"/>
      <c r="AI267" s="84"/>
      <c r="AJ267" s="84"/>
      <c r="AK267" s="6"/>
      <c r="AL267" s="275"/>
      <c r="AM267" s="275"/>
      <c r="AN267" s="275"/>
      <c r="AO267" s="6"/>
      <c r="AP267" s="84"/>
      <c r="AQ267" s="84"/>
      <c r="AR267" s="84"/>
      <c r="AS267" s="719">
        <v>22</v>
      </c>
      <c r="AT267" s="84"/>
      <c r="AU267" s="84"/>
      <c r="AV267" s="84"/>
      <c r="AW267" s="84"/>
      <c r="AX267" s="84"/>
      <c r="AY267" s="84"/>
      <c r="AZ267" s="84"/>
      <c r="BA267" s="84"/>
      <c r="BB267" s="6"/>
      <c r="BC267" s="464"/>
      <c r="BD267" s="464"/>
      <c r="BE267" s="464"/>
      <c r="BF267" s="84"/>
      <c r="BG267" s="84"/>
      <c r="BH267" s="84"/>
      <c r="BI267" s="84"/>
      <c r="BJ267" s="1068">
        <f t="shared" si="18"/>
        <v>30307.75</v>
      </c>
      <c r="BK267" s="6"/>
      <c r="BL267" s="6"/>
      <c r="BM267" s="6"/>
      <c r="BN267" s="6"/>
      <c r="BO267" s="6"/>
      <c r="BP267" s="6"/>
      <c r="BQ267" s="6"/>
      <c r="BR267" s="6"/>
      <c r="BS267" s="6"/>
      <c r="BT267" s="464"/>
      <c r="BU267" s="464"/>
      <c r="BV267" s="464"/>
      <c r="BW267" s="84"/>
      <c r="BX267" s="84"/>
      <c r="BY267" s="84"/>
      <c r="BZ267" s="84"/>
      <c r="CA267" s="130">
        <v>0.03</v>
      </c>
      <c r="CB267" s="130"/>
      <c r="CC267" s="84"/>
      <c r="CD267" s="84"/>
      <c r="CE267" s="6"/>
      <c r="CF267" s="6"/>
      <c r="CG267" s="6"/>
      <c r="CH267" s="6"/>
      <c r="CI267" s="6"/>
      <c r="CJ267" s="6"/>
      <c r="CK267" s="464"/>
      <c r="CL267" s="464"/>
      <c r="CM267" s="464"/>
      <c r="CN267" s="84"/>
      <c r="CO267" s="84"/>
      <c r="CP267" s="84"/>
      <c r="CQ267" s="84"/>
      <c r="CR267" s="84"/>
      <c r="CS267" s="84"/>
      <c r="CT267" s="84"/>
      <c r="CU267" s="84"/>
      <c r="CV267" s="84"/>
      <c r="CW267" s="84"/>
      <c r="CX267" s="84"/>
      <c r="CY267" s="84"/>
      <c r="CZ267" s="6"/>
      <c r="DA267" s="464"/>
      <c r="DB267" s="464"/>
      <c r="DC267" s="464"/>
      <c r="DD267" s="84"/>
      <c r="DE267" s="84"/>
      <c r="DF267" s="84"/>
      <c r="DG267" s="84"/>
      <c r="DH267" s="84"/>
      <c r="DI267" s="84"/>
      <c r="DJ267" s="84"/>
      <c r="DK267" s="84"/>
    </row>
    <row r="268" spans="1:115">
      <c r="A268" s="164">
        <v>1</v>
      </c>
      <c r="B268" s="69" t="s">
        <v>485</v>
      </c>
      <c r="C268" s="11" t="s">
        <v>598</v>
      </c>
      <c r="D268" s="648" t="s">
        <v>638</v>
      </c>
      <c r="E268" s="1069">
        <v>0.5</v>
      </c>
      <c r="F268" s="343"/>
      <c r="G268" s="650">
        <v>30</v>
      </c>
      <c r="H268" s="343"/>
      <c r="I268" s="274"/>
      <c r="J268" s="274"/>
      <c r="K268" s="274"/>
      <c r="L268" s="69"/>
      <c r="M268" s="69"/>
      <c r="N268" s="69"/>
      <c r="O268" s="69"/>
      <c r="P268" s="69"/>
      <c r="Q268" s="69"/>
      <c r="R268" s="69"/>
      <c r="S268" s="69"/>
      <c r="T268" s="343"/>
      <c r="U268" s="274"/>
      <c r="V268" s="274"/>
      <c r="W268" s="274"/>
      <c r="X268" s="69"/>
      <c r="Y268" s="69"/>
      <c r="Z268" s="69"/>
      <c r="AA268" s="69"/>
      <c r="AB268" s="1074">
        <v>1500</v>
      </c>
      <c r="AC268" s="1074"/>
      <c r="AD268" s="69"/>
      <c r="AE268" s="69"/>
      <c r="AF268" s="69"/>
      <c r="AG268" s="69"/>
      <c r="AH268" s="69"/>
      <c r="AI268" s="69"/>
      <c r="AJ268" s="69"/>
      <c r="AK268" s="11"/>
      <c r="AL268" s="103"/>
      <c r="AM268" s="103"/>
      <c r="AN268" s="103"/>
      <c r="AO268" s="11"/>
      <c r="AP268" s="69"/>
      <c r="AQ268" s="69"/>
      <c r="AR268" s="69"/>
      <c r="AS268" s="1154">
        <v>13</v>
      </c>
      <c r="AT268" s="69"/>
      <c r="AU268" s="69"/>
      <c r="AV268" s="69"/>
      <c r="AW268" s="69"/>
      <c r="AX268" s="69"/>
      <c r="AY268" s="69"/>
      <c r="AZ268" s="69"/>
      <c r="BA268" s="69"/>
      <c r="BB268" s="11"/>
      <c r="BC268" s="274"/>
      <c r="BD268" s="274"/>
      <c r="BE268" s="274"/>
      <c r="BF268" s="69"/>
      <c r="BG268" s="69"/>
      <c r="BH268" s="69"/>
      <c r="BI268" s="69"/>
      <c r="BJ268" s="1070">
        <f t="shared" si="18"/>
        <v>9750</v>
      </c>
      <c r="BK268" s="11"/>
      <c r="BL268" s="11"/>
      <c r="BM268" s="11"/>
      <c r="BN268" s="11"/>
      <c r="BO268" s="11"/>
      <c r="BP268" s="11"/>
      <c r="BQ268" s="11"/>
      <c r="BR268" s="11"/>
      <c r="BS268" s="11"/>
      <c r="BT268" s="274"/>
      <c r="BU268" s="274"/>
      <c r="BV268" s="274"/>
      <c r="BW268" s="69"/>
      <c r="BX268" s="69"/>
      <c r="BY268" s="69"/>
      <c r="BZ268" s="69"/>
      <c r="CA268" s="130"/>
      <c r="CB268" s="130"/>
      <c r="CC268" s="69"/>
      <c r="CD268" s="69"/>
      <c r="CE268" s="11"/>
      <c r="CF268" s="11"/>
      <c r="CG268" s="11"/>
      <c r="CH268" s="11"/>
      <c r="CI268" s="11"/>
      <c r="CJ268" s="11"/>
      <c r="CK268" s="274"/>
      <c r="CL268" s="274"/>
      <c r="CM268" s="274"/>
      <c r="CN268" s="69"/>
      <c r="CO268" s="69"/>
      <c r="CP268" s="69"/>
      <c r="CQ268" s="69"/>
      <c r="CR268" s="69"/>
      <c r="CS268" s="69"/>
      <c r="CT268" s="69"/>
      <c r="CU268" s="69"/>
      <c r="CV268" s="69"/>
      <c r="CW268" s="69"/>
      <c r="CX268" s="69"/>
      <c r="CY268" s="69"/>
      <c r="CZ268" s="11"/>
      <c r="DA268" s="274"/>
      <c r="DB268" s="274"/>
      <c r="DC268" s="274"/>
      <c r="DD268" s="69"/>
      <c r="DE268" s="69"/>
      <c r="DF268" s="69"/>
      <c r="DG268" s="69"/>
      <c r="DH268" s="69"/>
      <c r="DI268" s="69"/>
      <c r="DJ268" s="69"/>
      <c r="DK268" s="69"/>
    </row>
    <row r="269" spans="1:115">
      <c r="A269" s="259"/>
      <c r="B269" s="342"/>
      <c r="C269" s="342"/>
      <c r="D269" s="342"/>
      <c r="E269" s="342"/>
      <c r="F269" s="342"/>
      <c r="G269" s="342"/>
      <c r="H269" s="342"/>
      <c r="I269" s="464"/>
      <c r="J269" s="464"/>
      <c r="K269" s="464"/>
      <c r="L269" s="84"/>
      <c r="M269" s="84"/>
      <c r="N269" s="84"/>
      <c r="O269" s="84"/>
      <c r="P269" s="84"/>
      <c r="Q269" s="84"/>
      <c r="R269" s="84"/>
      <c r="S269" s="84"/>
      <c r="T269" s="342"/>
      <c r="U269" s="464"/>
      <c r="V269" s="464"/>
      <c r="W269" s="464"/>
      <c r="X269" s="84"/>
      <c r="Y269" s="84"/>
      <c r="Z269" s="84"/>
      <c r="AA269" s="84"/>
      <c r="AB269" s="84"/>
      <c r="AC269" s="84"/>
      <c r="AD269" s="84"/>
      <c r="AE269" s="84"/>
      <c r="AF269" s="84"/>
      <c r="AG269" s="84"/>
      <c r="AH269" s="84"/>
      <c r="AI269" s="84"/>
      <c r="AJ269" s="84"/>
      <c r="AK269" s="6"/>
      <c r="AL269" s="275"/>
      <c r="AM269" s="275"/>
      <c r="AN269" s="275"/>
      <c r="AO269" s="6"/>
      <c r="AP269" s="84"/>
      <c r="AQ269" s="84"/>
      <c r="AR269" s="84"/>
      <c r="AS269" s="84"/>
      <c r="AT269" s="84"/>
      <c r="AU269" s="84"/>
      <c r="AV269" s="84"/>
      <c r="AW269" s="84"/>
      <c r="AX269" s="84"/>
      <c r="AY269" s="84"/>
      <c r="AZ269" s="84"/>
      <c r="BA269" s="84"/>
      <c r="BB269" s="6"/>
      <c r="BC269" s="464"/>
      <c r="BD269" s="464"/>
      <c r="BE269" s="464"/>
      <c r="BF269" s="84"/>
      <c r="BG269" s="84"/>
      <c r="BH269" s="84"/>
      <c r="BI269" s="84"/>
      <c r="BJ269" s="84"/>
      <c r="BK269" s="6"/>
      <c r="BL269" s="6"/>
      <c r="BM269" s="6"/>
      <c r="BN269" s="6"/>
      <c r="BO269" s="6"/>
      <c r="BP269" s="6"/>
      <c r="BQ269" s="6"/>
      <c r="BR269" s="6"/>
      <c r="BS269" s="6"/>
      <c r="BT269" s="464"/>
      <c r="BU269" s="464"/>
      <c r="BV269" s="464"/>
      <c r="BW269" s="84"/>
      <c r="BX269" s="84"/>
      <c r="BY269" s="84"/>
      <c r="BZ269" s="84"/>
      <c r="CA269" s="84"/>
      <c r="CB269" s="84"/>
      <c r="CC269" s="84"/>
      <c r="CD269" s="84"/>
      <c r="CE269" s="6"/>
      <c r="CF269" s="6"/>
      <c r="CG269" s="6"/>
      <c r="CH269" s="6"/>
      <c r="CI269" s="6"/>
      <c r="CJ269" s="6"/>
      <c r="CK269" s="464"/>
      <c r="CL269" s="464"/>
      <c r="CM269" s="464"/>
      <c r="CN269" s="84"/>
      <c r="CO269" s="84"/>
      <c r="CP269" s="84"/>
      <c r="CQ269" s="84"/>
      <c r="CR269" s="84"/>
      <c r="CS269" s="84"/>
      <c r="CT269" s="84"/>
      <c r="CU269" s="84"/>
      <c r="CV269" s="84"/>
      <c r="CW269" s="84"/>
      <c r="CX269" s="84"/>
      <c r="CY269" s="84"/>
      <c r="CZ269" s="6"/>
      <c r="DA269" s="464"/>
      <c r="DB269" s="464"/>
      <c r="DC269" s="464"/>
      <c r="DD269" s="84"/>
      <c r="DE269" s="84"/>
      <c r="DF269" s="84"/>
      <c r="DG269" s="84"/>
      <c r="DH269" s="84"/>
      <c r="DI269" s="84"/>
      <c r="DJ269" s="84"/>
      <c r="DK269" s="84"/>
    </row>
    <row r="270" spans="1:115">
      <c r="A270" s="640" t="s">
        <v>592</v>
      </c>
      <c r="B270" s="1"/>
      <c r="C270" s="1"/>
      <c r="D270" s="1"/>
      <c r="E270" s="1"/>
      <c r="F270" s="1"/>
      <c r="G270" s="1"/>
      <c r="H270" s="1"/>
      <c r="I270" s="464"/>
      <c r="J270" s="464"/>
      <c r="K270" s="464"/>
      <c r="L270" s="84"/>
      <c r="M270" s="84"/>
      <c r="N270" s="84"/>
      <c r="O270" s="84"/>
      <c r="P270" s="84"/>
      <c r="Q270" s="84"/>
      <c r="R270" s="84"/>
      <c r="S270" s="84"/>
      <c r="T270" s="1"/>
      <c r="U270" s="464"/>
      <c r="V270" s="464"/>
      <c r="W270" s="464"/>
      <c r="X270" s="84"/>
      <c r="Y270" s="84"/>
      <c r="Z270" s="84"/>
      <c r="AA270" s="84"/>
      <c r="AB270" s="84"/>
      <c r="AC270" s="84"/>
      <c r="AD270" s="84"/>
      <c r="AE270" s="84"/>
      <c r="AF270" s="84"/>
      <c r="AG270" s="84"/>
      <c r="AH270" s="84"/>
      <c r="AI270" s="84"/>
      <c r="AJ270" s="84"/>
      <c r="AK270" s="6"/>
      <c r="AL270" s="275"/>
      <c r="AM270" s="275"/>
      <c r="AN270" s="275"/>
      <c r="AO270" s="6"/>
      <c r="AP270" s="84"/>
      <c r="AQ270" s="84"/>
      <c r="AR270" s="84"/>
      <c r="AS270" s="84"/>
      <c r="AT270" s="84"/>
      <c r="AU270" s="84"/>
      <c r="AV270" s="84"/>
      <c r="AW270" s="84"/>
      <c r="AX270" s="84"/>
      <c r="AY270" s="84"/>
      <c r="AZ270" s="84"/>
      <c r="BA270" s="84"/>
      <c r="BB270" s="6"/>
      <c r="BC270" s="464"/>
      <c r="BD270" s="464"/>
      <c r="BE270" s="464"/>
      <c r="BF270" s="84"/>
      <c r="BG270" s="84"/>
      <c r="BH270" s="84"/>
      <c r="BI270" s="84"/>
      <c r="BJ270" s="84"/>
      <c r="BK270" s="6"/>
      <c r="BL270" s="6"/>
      <c r="BM270" s="6"/>
      <c r="BN270" s="6"/>
      <c r="BO270" s="6"/>
      <c r="BP270" s="6"/>
      <c r="BQ270" s="6"/>
      <c r="BR270" s="6"/>
      <c r="BS270" s="6"/>
      <c r="BT270" s="464"/>
      <c r="BU270" s="464"/>
      <c r="BV270" s="464"/>
      <c r="BW270" s="84"/>
      <c r="BX270" s="84"/>
      <c r="BY270" s="84"/>
      <c r="BZ270" s="84"/>
      <c r="CA270" s="84"/>
      <c r="CB270" s="84"/>
      <c r="CC270" s="84"/>
      <c r="CD270" s="84"/>
      <c r="CE270" s="6"/>
      <c r="CF270" s="6"/>
      <c r="CG270" s="6"/>
      <c r="CH270" s="6"/>
      <c r="CI270" s="6"/>
      <c r="CJ270" s="6"/>
      <c r="CK270" s="464"/>
      <c r="CL270" s="464"/>
      <c r="CM270" s="464"/>
      <c r="CN270" s="84"/>
      <c r="CO270" s="84"/>
      <c r="CP270" s="84"/>
      <c r="CQ270" s="84"/>
      <c r="CR270" s="84"/>
      <c r="CS270" s="84"/>
      <c r="CT270" s="84"/>
      <c r="CU270" s="84"/>
      <c r="CV270" s="84"/>
      <c r="CW270" s="84"/>
      <c r="CX270" s="84"/>
      <c r="CY270" s="84"/>
      <c r="CZ270" s="6"/>
      <c r="DA270" s="464"/>
      <c r="DB270" s="464"/>
      <c r="DC270" s="464"/>
      <c r="DD270" s="84"/>
      <c r="DE270" s="84"/>
      <c r="DF270" s="84"/>
      <c r="DG270" s="6"/>
      <c r="DH270" s="6"/>
      <c r="DI270" s="6"/>
      <c r="DJ270" s="84"/>
      <c r="DK270" s="84"/>
    </row>
    <row r="271" spans="1:115">
      <c r="A271" s="86" t="s">
        <v>1442</v>
      </c>
      <c r="B271" s="84" t="s">
        <v>604</v>
      </c>
      <c r="C271" s="6" t="s">
        <v>598</v>
      </c>
      <c r="D271" s="645" t="s">
        <v>638</v>
      </c>
      <c r="E271" s="720">
        <v>1</v>
      </c>
      <c r="F271" s="84"/>
      <c r="G271" s="650">
        <v>30</v>
      </c>
      <c r="H271" s="84"/>
      <c r="I271" s="641"/>
      <c r="J271" s="641"/>
      <c r="K271" s="641"/>
      <c r="L271" s="641"/>
      <c r="M271" s="642"/>
      <c r="N271" s="642"/>
      <c r="O271" s="642"/>
      <c r="P271" s="642"/>
      <c r="Q271" s="642"/>
      <c r="R271" s="642"/>
      <c r="S271" s="642"/>
      <c r="T271" s="84"/>
      <c r="U271" s="643"/>
      <c r="V271" s="4"/>
      <c r="W271" s="95"/>
      <c r="X271" s="629"/>
      <c r="Y271" s="629"/>
      <c r="Z271" s="629"/>
      <c r="AA271" s="629">
        <v>1200</v>
      </c>
      <c r="AB271" s="629"/>
      <c r="AC271" s="629"/>
      <c r="AD271" s="642"/>
      <c r="AE271" s="642"/>
      <c r="AF271" s="642"/>
      <c r="AG271" s="642"/>
      <c r="AH271" s="642"/>
      <c r="AI271" s="642"/>
      <c r="AJ271" s="642"/>
      <c r="AK271" s="11"/>
      <c r="AL271" s="11"/>
      <c r="AM271" s="6"/>
      <c r="AN271" s="6"/>
      <c r="AO271" s="6"/>
      <c r="AP271" s="644"/>
      <c r="AQ271" s="644"/>
      <c r="AR271" s="644">
        <v>13</v>
      </c>
      <c r="AS271" s="644"/>
      <c r="AT271" s="644"/>
      <c r="AU271" s="644"/>
      <c r="AV271" s="642"/>
      <c r="AW271" s="642"/>
      <c r="AX271" s="642"/>
      <c r="AY271" s="642"/>
      <c r="AZ271" s="642"/>
      <c r="BA271" s="642"/>
      <c r="BB271" s="6"/>
      <c r="BC271" s="6"/>
      <c r="BD271" s="6"/>
      <c r="BE271" s="6"/>
      <c r="BF271" s="6"/>
      <c r="BG271" s="4"/>
      <c r="BH271" s="4"/>
      <c r="BI271" s="1068">
        <f>$AR271*$AA271*$E271</f>
        <v>15600</v>
      </c>
      <c r="BJ271" s="4"/>
      <c r="BK271" s="6"/>
      <c r="BL271" s="6"/>
      <c r="BM271" s="6"/>
      <c r="BN271" s="6"/>
      <c r="BO271" s="6"/>
      <c r="BP271" s="6"/>
      <c r="BQ271" s="6"/>
      <c r="BR271" s="6"/>
      <c r="BS271" s="6"/>
      <c r="BT271" s="6"/>
      <c r="BU271" s="6"/>
      <c r="BV271" s="6"/>
      <c r="BW271" s="6"/>
      <c r="BX271" s="130"/>
      <c r="BY271" s="6"/>
      <c r="BZ271" s="130"/>
      <c r="CA271" s="130"/>
      <c r="CB271" s="130"/>
      <c r="CC271" s="642"/>
      <c r="CD271" s="642"/>
      <c r="CE271" s="6"/>
      <c r="CF271" s="6"/>
      <c r="CG271" s="6"/>
      <c r="CH271" s="6"/>
      <c r="CI271" s="6"/>
      <c r="CJ271" s="6"/>
      <c r="CK271" s="6"/>
      <c r="CL271" s="6"/>
      <c r="CM271" s="6"/>
      <c r="CN271" s="4"/>
      <c r="CO271" s="4"/>
      <c r="CP271" s="6"/>
      <c r="CQ271" s="4">
        <f>$G271*AR271</f>
        <v>390</v>
      </c>
      <c r="CR271" s="4"/>
      <c r="CS271" s="4"/>
      <c r="CT271" s="642"/>
      <c r="CU271" s="642"/>
      <c r="CV271" s="642"/>
      <c r="CW271" s="642"/>
      <c r="CX271" s="642"/>
      <c r="CY271" s="642"/>
      <c r="CZ271" s="6"/>
      <c r="DA271" s="6"/>
      <c r="DB271" s="6"/>
      <c r="DC271" s="6"/>
      <c r="DD271" s="6"/>
      <c r="DE271" s="6"/>
      <c r="DF271" s="6"/>
      <c r="DG271" s="6"/>
      <c r="DH271" s="6"/>
      <c r="DI271" s="6"/>
      <c r="DJ271" s="642"/>
      <c r="DK271" s="642"/>
    </row>
    <row r="272" spans="1:115">
      <c r="A272" s="86" t="s">
        <v>1442</v>
      </c>
      <c r="B272" s="84" t="s">
        <v>605</v>
      </c>
      <c r="C272" s="6" t="s">
        <v>598</v>
      </c>
      <c r="D272" s="645" t="s">
        <v>595</v>
      </c>
      <c r="E272" s="720">
        <v>0.5</v>
      </c>
      <c r="F272" s="84"/>
      <c r="G272" s="650">
        <v>30</v>
      </c>
      <c r="H272" s="84"/>
      <c r="I272" s="641"/>
      <c r="J272" s="641"/>
      <c r="K272" s="641"/>
      <c r="L272" s="641"/>
      <c r="M272" s="642"/>
      <c r="N272" s="642"/>
      <c r="O272" s="642"/>
      <c r="P272" s="642"/>
      <c r="Q272" s="642"/>
      <c r="R272" s="642"/>
      <c r="S272" s="642"/>
      <c r="T272" s="84"/>
      <c r="U272" s="643"/>
      <c r="V272" s="4"/>
      <c r="W272" s="95"/>
      <c r="X272" s="629"/>
      <c r="Y272" s="629"/>
      <c r="Z272" s="629"/>
      <c r="AA272" s="629">
        <v>1500</v>
      </c>
      <c r="AB272" s="629"/>
      <c r="AC272" s="629"/>
      <c r="AD272" s="642"/>
      <c r="AE272" s="642"/>
      <c r="AF272" s="642"/>
      <c r="AG272" s="642"/>
      <c r="AH272" s="642"/>
      <c r="AI272" s="642"/>
      <c r="AJ272" s="642"/>
      <c r="AK272" s="11"/>
      <c r="AL272" s="11"/>
      <c r="AM272" s="6"/>
      <c r="AN272" s="6"/>
      <c r="AO272" s="6"/>
      <c r="AP272" s="644"/>
      <c r="AQ272" s="644"/>
      <c r="AR272" s="644">
        <v>13</v>
      </c>
      <c r="AS272" s="644"/>
      <c r="AT272" s="644"/>
      <c r="AU272" s="644"/>
      <c r="AV272" s="642"/>
      <c r="AW272" s="642"/>
      <c r="AX272" s="642"/>
      <c r="AY272" s="642"/>
      <c r="AZ272" s="642"/>
      <c r="BA272" s="642"/>
      <c r="BB272" s="6"/>
      <c r="BC272" s="6"/>
      <c r="BD272" s="6"/>
      <c r="BE272" s="6"/>
      <c r="BF272" s="6"/>
      <c r="BG272" s="4"/>
      <c r="BH272" s="4"/>
      <c r="BI272" s="1068">
        <f t="shared" ref="BI272:BI295" si="19">$AR272*$AA272*$E272</f>
        <v>9750</v>
      </c>
      <c r="BJ272" s="4"/>
      <c r="BK272" s="6"/>
      <c r="BL272" s="6"/>
      <c r="BM272" s="6"/>
      <c r="BN272" s="6"/>
      <c r="BO272" s="6"/>
      <c r="BP272" s="6"/>
      <c r="BQ272" s="6"/>
      <c r="BR272" s="6"/>
      <c r="BS272" s="6"/>
      <c r="BT272" s="6"/>
      <c r="BU272" s="6"/>
      <c r="BV272" s="6"/>
      <c r="BW272" s="6"/>
      <c r="BX272" s="130"/>
      <c r="BY272" s="6"/>
      <c r="BZ272" s="130"/>
      <c r="CA272" s="130"/>
      <c r="CB272" s="130"/>
      <c r="CC272" s="642"/>
      <c r="CD272" s="642"/>
      <c r="CE272" s="6"/>
      <c r="CF272" s="6"/>
      <c r="CG272" s="6"/>
      <c r="CH272" s="6"/>
      <c r="CI272" s="6"/>
      <c r="CJ272" s="6"/>
      <c r="CK272" s="6"/>
      <c r="CL272" s="6"/>
      <c r="CM272" s="6"/>
      <c r="CN272" s="4"/>
      <c r="CO272" s="4"/>
      <c r="CP272" s="6"/>
      <c r="CQ272" s="4">
        <f t="shared" ref="CQ272:CQ284" si="20">$G272*AR272</f>
        <v>390</v>
      </c>
      <c r="CR272" s="4"/>
      <c r="CS272" s="4"/>
      <c r="CT272" s="642"/>
      <c r="CU272" s="642"/>
      <c r="CV272" s="642"/>
      <c r="CW272" s="642"/>
      <c r="CX272" s="642"/>
      <c r="CY272" s="642"/>
      <c r="CZ272" s="6"/>
      <c r="DA272" s="6"/>
      <c r="DB272" s="6"/>
      <c r="DC272" s="6"/>
      <c r="DD272" s="6"/>
      <c r="DE272" s="6"/>
      <c r="DF272" s="6"/>
      <c r="DG272" s="6"/>
      <c r="DH272" s="6"/>
      <c r="DI272" s="6"/>
      <c r="DJ272" s="642"/>
      <c r="DK272" s="642"/>
    </row>
    <row r="273" spans="1:115">
      <c r="A273" s="86" t="s">
        <v>1442</v>
      </c>
      <c r="B273" s="84" t="s">
        <v>330</v>
      </c>
      <c r="C273" s="6" t="s">
        <v>598</v>
      </c>
      <c r="D273" s="645" t="s">
        <v>638</v>
      </c>
      <c r="E273" s="720">
        <v>1</v>
      </c>
      <c r="F273" s="84"/>
      <c r="G273" s="650">
        <v>30</v>
      </c>
      <c r="H273" s="84"/>
      <c r="I273" s="641"/>
      <c r="J273" s="641"/>
      <c r="K273" s="641"/>
      <c r="L273" s="641"/>
      <c r="M273" s="642"/>
      <c r="N273" s="642"/>
      <c r="O273" s="642"/>
      <c r="P273" s="642"/>
      <c r="Q273" s="642"/>
      <c r="R273" s="642"/>
      <c r="S273" s="642"/>
      <c r="T273" s="84"/>
      <c r="U273" s="643"/>
      <c r="V273" s="4"/>
      <c r="W273" s="95"/>
      <c r="X273" s="629"/>
      <c r="Y273" s="629"/>
      <c r="Z273" s="629"/>
      <c r="AA273" s="629">
        <v>1500</v>
      </c>
      <c r="AB273" s="629"/>
      <c r="AC273" s="629"/>
      <c r="AD273" s="642"/>
      <c r="AE273" s="642"/>
      <c r="AF273" s="642"/>
      <c r="AG273" s="642"/>
      <c r="AH273" s="642"/>
      <c r="AI273" s="642"/>
      <c r="AJ273" s="642"/>
      <c r="AK273" s="11"/>
      <c r="AL273" s="11"/>
      <c r="AM273" s="6"/>
      <c r="AN273" s="6"/>
      <c r="AO273" s="6"/>
      <c r="AP273" s="644"/>
      <c r="AQ273" s="644"/>
      <c r="AR273" s="644">
        <v>13</v>
      </c>
      <c r="AS273" s="644"/>
      <c r="AT273" s="644"/>
      <c r="AU273" s="644"/>
      <c r="AV273" s="642"/>
      <c r="AW273" s="642"/>
      <c r="AX273" s="642"/>
      <c r="AY273" s="642"/>
      <c r="AZ273" s="642"/>
      <c r="BA273" s="642"/>
      <c r="BB273" s="6"/>
      <c r="BC273" s="6"/>
      <c r="BD273" s="6"/>
      <c r="BE273" s="6"/>
      <c r="BF273" s="6"/>
      <c r="BG273" s="4"/>
      <c r="BH273" s="4"/>
      <c r="BI273" s="1068">
        <f t="shared" si="19"/>
        <v>19500</v>
      </c>
      <c r="BJ273" s="4"/>
      <c r="BK273" s="6"/>
      <c r="BL273" s="6"/>
      <c r="BM273" s="6"/>
      <c r="BN273" s="6"/>
      <c r="BO273" s="6"/>
      <c r="BP273" s="6"/>
      <c r="BQ273" s="6"/>
      <c r="BR273" s="6"/>
      <c r="BS273" s="6"/>
      <c r="BT273" s="6"/>
      <c r="BU273" s="6"/>
      <c r="BV273" s="6"/>
      <c r="BW273" s="6"/>
      <c r="BX273" s="130"/>
      <c r="BY273" s="6"/>
      <c r="BZ273" s="130"/>
      <c r="CA273" s="130"/>
      <c r="CB273" s="130"/>
      <c r="CC273" s="642"/>
      <c r="CD273" s="642"/>
      <c r="CE273" s="6"/>
      <c r="CF273" s="6"/>
      <c r="CG273" s="6"/>
      <c r="CH273" s="6"/>
      <c r="CI273" s="6"/>
      <c r="CJ273" s="6"/>
      <c r="CK273" s="6"/>
      <c r="CL273" s="6"/>
      <c r="CM273" s="6"/>
      <c r="CN273" s="4"/>
      <c r="CO273" s="4"/>
      <c r="CP273" s="6"/>
      <c r="CQ273" s="4">
        <f t="shared" si="20"/>
        <v>390</v>
      </c>
      <c r="CR273" s="4"/>
      <c r="CS273" s="4"/>
      <c r="CT273" s="642"/>
      <c r="CU273" s="642"/>
      <c r="CV273" s="642"/>
      <c r="CW273" s="642"/>
      <c r="CX273" s="642"/>
      <c r="CY273" s="642"/>
      <c r="CZ273" s="6"/>
      <c r="DA273" s="6"/>
      <c r="DB273" s="6"/>
      <c r="DC273" s="6"/>
      <c r="DD273" s="6"/>
      <c r="DE273" s="6"/>
      <c r="DF273" s="6"/>
      <c r="DG273" s="6"/>
      <c r="DH273" s="6"/>
      <c r="DI273" s="6"/>
      <c r="DJ273" s="642"/>
      <c r="DK273" s="642"/>
    </row>
    <row r="274" spans="1:115">
      <c r="A274" s="86">
        <v>1</v>
      </c>
      <c r="B274" s="84" t="s">
        <v>603</v>
      </c>
      <c r="C274" s="6" t="s">
        <v>598</v>
      </c>
      <c r="D274" s="645" t="s">
        <v>595</v>
      </c>
      <c r="E274" s="720">
        <v>0.5</v>
      </c>
      <c r="F274" s="84"/>
      <c r="G274" s="650">
        <v>30</v>
      </c>
      <c r="H274" s="84"/>
      <c r="I274" s="641"/>
      <c r="J274" s="641"/>
      <c r="K274" s="641"/>
      <c r="L274" s="641"/>
      <c r="M274" s="642"/>
      <c r="N274" s="642"/>
      <c r="O274" s="642"/>
      <c r="P274" s="642"/>
      <c r="Q274" s="642"/>
      <c r="R274" s="642"/>
      <c r="S274" s="642"/>
      <c r="T274" s="84"/>
      <c r="U274" s="643"/>
      <c r="V274" s="4"/>
      <c r="W274" s="95"/>
      <c r="X274" s="629"/>
      <c r="Y274" s="629"/>
      <c r="Z274" s="629"/>
      <c r="AA274" s="629">
        <v>1500</v>
      </c>
      <c r="AB274" s="629"/>
      <c r="AC274" s="629"/>
      <c r="AD274" s="642"/>
      <c r="AE274" s="642"/>
      <c r="AF274" s="642"/>
      <c r="AG274" s="642"/>
      <c r="AH274" s="642"/>
      <c r="AI274" s="642"/>
      <c r="AJ274" s="642"/>
      <c r="AK274" s="11"/>
      <c r="AL274" s="11"/>
      <c r="AM274" s="6"/>
      <c r="AN274" s="6"/>
      <c r="AO274" s="6"/>
      <c r="AP274" s="644"/>
      <c r="AQ274" s="644"/>
      <c r="AR274" s="644">
        <v>13</v>
      </c>
      <c r="AS274" s="644"/>
      <c r="AT274" s="644"/>
      <c r="AU274" s="644"/>
      <c r="AV274" s="642"/>
      <c r="AW274" s="642"/>
      <c r="AX274" s="642"/>
      <c r="AY274" s="642"/>
      <c r="AZ274" s="642"/>
      <c r="BA274" s="642"/>
      <c r="BB274" s="6"/>
      <c r="BC274" s="6"/>
      <c r="BD274" s="6"/>
      <c r="BE274" s="6"/>
      <c r="BF274" s="6"/>
      <c r="BG274" s="4"/>
      <c r="BH274" s="4"/>
      <c r="BI274" s="1068">
        <f t="shared" si="19"/>
        <v>9750</v>
      </c>
      <c r="BJ274" s="4"/>
      <c r="BK274" s="6"/>
      <c r="BL274" s="6"/>
      <c r="BM274" s="6"/>
      <c r="BN274" s="6"/>
      <c r="BO274" s="6"/>
      <c r="BP274" s="6"/>
      <c r="BQ274" s="6"/>
      <c r="BR274" s="6"/>
      <c r="BS274" s="6"/>
      <c r="BT274" s="6"/>
      <c r="BU274" s="6"/>
      <c r="BV274" s="6"/>
      <c r="BW274" s="6"/>
      <c r="BX274" s="130"/>
      <c r="BY274" s="6"/>
      <c r="BZ274" s="130"/>
      <c r="CA274" s="130"/>
      <c r="CB274" s="130"/>
      <c r="CC274" s="642"/>
      <c r="CD274" s="642"/>
      <c r="CE274" s="6"/>
      <c r="CF274" s="6"/>
      <c r="CG274" s="6"/>
      <c r="CH274" s="6"/>
      <c r="CI274" s="6"/>
      <c r="CJ274" s="6"/>
      <c r="CK274" s="6"/>
      <c r="CL274" s="6"/>
      <c r="CM274" s="6"/>
      <c r="CN274" s="4"/>
      <c r="CO274" s="4"/>
      <c r="CP274" s="6"/>
      <c r="CQ274" s="4">
        <f t="shared" si="20"/>
        <v>390</v>
      </c>
      <c r="CR274" s="4"/>
      <c r="CS274" s="4"/>
      <c r="CT274" s="642"/>
      <c r="CU274" s="642"/>
      <c r="CV274" s="642"/>
      <c r="CW274" s="642"/>
      <c r="CX274" s="642"/>
      <c r="CY274" s="642"/>
      <c r="CZ274" s="6"/>
      <c r="DA274" s="6"/>
      <c r="DB274" s="6"/>
      <c r="DC274" s="6"/>
      <c r="DD274" s="6"/>
      <c r="DE274" s="6"/>
      <c r="DF274" s="6"/>
      <c r="DG274" s="6"/>
      <c r="DH274" s="6"/>
      <c r="DI274" s="6"/>
      <c r="DJ274" s="642"/>
      <c r="DK274" s="642"/>
    </row>
    <row r="275" spans="1:115">
      <c r="A275" s="86">
        <v>1</v>
      </c>
      <c r="B275" s="84" t="s">
        <v>602</v>
      </c>
      <c r="C275" s="6" t="s">
        <v>598</v>
      </c>
      <c r="D275" s="645" t="s">
        <v>595</v>
      </c>
      <c r="E275" s="720">
        <v>0.5</v>
      </c>
      <c r="F275" s="84"/>
      <c r="G275" s="650">
        <v>30</v>
      </c>
      <c r="H275" s="84"/>
      <c r="I275" s="641"/>
      <c r="J275" s="641"/>
      <c r="K275" s="641"/>
      <c r="L275" s="641"/>
      <c r="M275" s="642"/>
      <c r="N275" s="642"/>
      <c r="O275" s="642"/>
      <c r="P275" s="642"/>
      <c r="Q275" s="642"/>
      <c r="R275" s="642"/>
      <c r="S275" s="642"/>
      <c r="T275" s="84"/>
      <c r="U275" s="643"/>
      <c r="V275" s="4"/>
      <c r="W275" s="95"/>
      <c r="X275" s="629"/>
      <c r="Y275" s="629"/>
      <c r="Z275" s="629"/>
      <c r="AA275" s="629">
        <v>1500</v>
      </c>
      <c r="AB275" s="629"/>
      <c r="AC275" s="629"/>
      <c r="AD275" s="642"/>
      <c r="AE275" s="642"/>
      <c r="AF275" s="642"/>
      <c r="AG275" s="642"/>
      <c r="AH275" s="642"/>
      <c r="AI275" s="642"/>
      <c r="AJ275" s="642"/>
      <c r="AK275" s="11"/>
      <c r="AL275" s="11"/>
      <c r="AM275" s="6"/>
      <c r="AN275" s="6"/>
      <c r="AO275" s="6"/>
      <c r="AP275" s="644"/>
      <c r="AQ275" s="644"/>
      <c r="AR275" s="644">
        <v>13</v>
      </c>
      <c r="AS275" s="644"/>
      <c r="AT275" s="644"/>
      <c r="AU275" s="644"/>
      <c r="AV275" s="642"/>
      <c r="AW275" s="642"/>
      <c r="AX275" s="642"/>
      <c r="AY275" s="642"/>
      <c r="AZ275" s="642"/>
      <c r="BA275" s="642"/>
      <c r="BB275" s="6"/>
      <c r="BC275" s="6"/>
      <c r="BD275" s="6"/>
      <c r="BE275" s="6"/>
      <c r="BF275" s="6"/>
      <c r="BG275" s="4"/>
      <c r="BH275" s="4"/>
      <c r="BI275" s="1068">
        <f t="shared" si="19"/>
        <v>9750</v>
      </c>
      <c r="BJ275" s="4"/>
      <c r="BK275" s="6"/>
      <c r="BL275" s="6"/>
      <c r="BM275" s="6"/>
      <c r="BN275" s="6"/>
      <c r="BO275" s="6"/>
      <c r="BP275" s="6"/>
      <c r="BQ275" s="6"/>
      <c r="BR275" s="6"/>
      <c r="BS275" s="6"/>
      <c r="BT275" s="6"/>
      <c r="BU275" s="6"/>
      <c r="BV275" s="6"/>
      <c r="BW275" s="6"/>
      <c r="BX275" s="130"/>
      <c r="BY275" s="6"/>
      <c r="BZ275" s="130"/>
      <c r="CA275" s="130"/>
      <c r="CB275" s="130"/>
      <c r="CC275" s="642"/>
      <c r="CD275" s="642"/>
      <c r="CE275" s="6"/>
      <c r="CF275" s="6"/>
      <c r="CG275" s="6"/>
      <c r="CH275" s="6"/>
      <c r="CI275" s="6"/>
      <c r="CJ275" s="6"/>
      <c r="CK275" s="6"/>
      <c r="CL275" s="6"/>
      <c r="CM275" s="6"/>
      <c r="CN275" s="4"/>
      <c r="CO275" s="4"/>
      <c r="CP275" s="6"/>
      <c r="CQ275" s="4">
        <f t="shared" si="20"/>
        <v>390</v>
      </c>
      <c r="CR275" s="4"/>
      <c r="CS275" s="4"/>
      <c r="CT275" s="642"/>
      <c r="CU275" s="642"/>
      <c r="CV275" s="642"/>
      <c r="CW275" s="642"/>
      <c r="CX275" s="642"/>
      <c r="CY275" s="642"/>
      <c r="CZ275" s="6"/>
      <c r="DA275" s="6"/>
      <c r="DB275" s="6"/>
      <c r="DC275" s="6"/>
      <c r="DD275" s="6"/>
      <c r="DE275" s="6"/>
      <c r="DF275" s="6"/>
      <c r="DG275" s="6"/>
      <c r="DH275" s="6"/>
      <c r="DI275" s="6"/>
      <c r="DJ275" s="642"/>
      <c r="DK275" s="642"/>
    </row>
    <row r="276" spans="1:115">
      <c r="A276" s="86">
        <v>1</v>
      </c>
      <c r="B276" s="84" t="s">
        <v>601</v>
      </c>
      <c r="C276" s="6" t="s">
        <v>598</v>
      </c>
      <c r="D276" s="645" t="s">
        <v>638</v>
      </c>
      <c r="E276" s="720">
        <v>1</v>
      </c>
      <c r="F276" s="84"/>
      <c r="G276" s="650">
        <v>60</v>
      </c>
      <c r="H276" s="84"/>
      <c r="I276" s="641"/>
      <c r="J276" s="641"/>
      <c r="K276" s="641"/>
      <c r="L276" s="641"/>
      <c r="M276" s="642"/>
      <c r="N276" s="642"/>
      <c r="O276" s="642"/>
      <c r="P276" s="642"/>
      <c r="Q276" s="642"/>
      <c r="R276" s="642"/>
      <c r="S276" s="642"/>
      <c r="T276" s="84"/>
      <c r="U276" s="643"/>
      <c r="V276" s="4"/>
      <c r="W276" s="95"/>
      <c r="X276" s="629"/>
      <c r="Y276" s="629"/>
      <c r="Z276" s="629"/>
      <c r="AA276" s="629">
        <v>1300</v>
      </c>
      <c r="AB276" s="629"/>
      <c r="AC276" s="629"/>
      <c r="AD276" s="642"/>
      <c r="AE276" s="642"/>
      <c r="AF276" s="642"/>
      <c r="AG276" s="642"/>
      <c r="AH276" s="642"/>
      <c r="AI276" s="642"/>
      <c r="AJ276" s="642"/>
      <c r="AK276" s="11"/>
      <c r="AL276" s="11"/>
      <c r="AM276" s="6"/>
      <c r="AN276" s="6"/>
      <c r="AO276" s="6"/>
      <c r="AP276" s="644"/>
      <c r="AQ276" s="644"/>
      <c r="AR276" s="644">
        <v>13</v>
      </c>
      <c r="AS276" s="644"/>
      <c r="AT276" s="644"/>
      <c r="AU276" s="644"/>
      <c r="AV276" s="642"/>
      <c r="AW276" s="642"/>
      <c r="AX276" s="642"/>
      <c r="AY276" s="642"/>
      <c r="AZ276" s="642"/>
      <c r="BA276" s="642"/>
      <c r="BB276" s="6"/>
      <c r="BC276" s="6"/>
      <c r="BD276" s="6"/>
      <c r="BE276" s="6"/>
      <c r="BF276" s="6"/>
      <c r="BG276" s="4"/>
      <c r="BH276" s="4"/>
      <c r="BI276" s="1068">
        <f t="shared" si="19"/>
        <v>16900</v>
      </c>
      <c r="BJ276" s="4"/>
      <c r="BK276" s="6"/>
      <c r="BL276" s="6"/>
      <c r="BM276" s="6"/>
      <c r="BN276" s="6"/>
      <c r="BO276" s="6"/>
      <c r="BP276" s="6"/>
      <c r="BQ276" s="6"/>
      <c r="BR276" s="6"/>
      <c r="BS276" s="6"/>
      <c r="BT276" s="6"/>
      <c r="BU276" s="6"/>
      <c r="BV276" s="6"/>
      <c r="BW276" s="6"/>
      <c r="BX276" s="130"/>
      <c r="BY276" s="6"/>
      <c r="BZ276" s="130"/>
      <c r="CA276" s="130"/>
      <c r="CB276" s="130"/>
      <c r="CC276" s="642"/>
      <c r="CD276" s="642"/>
      <c r="CE276" s="6"/>
      <c r="CF276" s="6"/>
      <c r="CG276" s="6"/>
      <c r="CH276" s="6"/>
      <c r="CI276" s="6"/>
      <c r="CJ276" s="6"/>
      <c r="CK276" s="6"/>
      <c r="CL276" s="6"/>
      <c r="CM276" s="6"/>
      <c r="CN276" s="4"/>
      <c r="CO276" s="4"/>
      <c r="CP276" s="6"/>
      <c r="CQ276" s="4">
        <f t="shared" si="20"/>
        <v>780</v>
      </c>
      <c r="CR276" s="4"/>
      <c r="CS276" s="4"/>
      <c r="CT276" s="642"/>
      <c r="CU276" s="642"/>
      <c r="CV276" s="642"/>
      <c r="CW276" s="642"/>
      <c r="CX276" s="642"/>
      <c r="CY276" s="642"/>
      <c r="CZ276" s="6"/>
      <c r="DA276" s="6"/>
      <c r="DB276" s="6"/>
      <c r="DC276" s="6"/>
      <c r="DD276" s="6"/>
      <c r="DE276" s="6"/>
      <c r="DF276" s="6"/>
      <c r="DG276" s="6"/>
      <c r="DH276" s="6"/>
      <c r="DI276" s="6"/>
      <c r="DJ276" s="642"/>
      <c r="DK276" s="642"/>
    </row>
    <row r="277" spans="1:115">
      <c r="A277" s="86">
        <v>1</v>
      </c>
      <c r="B277" s="84" t="s">
        <v>600</v>
      </c>
      <c r="C277" s="6" t="s">
        <v>598</v>
      </c>
      <c r="D277" s="645" t="s">
        <v>638</v>
      </c>
      <c r="E277" s="720">
        <v>1</v>
      </c>
      <c r="F277" s="84"/>
      <c r="G277" s="650">
        <v>60</v>
      </c>
      <c r="H277" s="84"/>
      <c r="I277" s="641"/>
      <c r="J277" s="641"/>
      <c r="K277" s="641"/>
      <c r="L277" s="641"/>
      <c r="M277" s="642"/>
      <c r="N277" s="642"/>
      <c r="O277" s="642"/>
      <c r="P277" s="642"/>
      <c r="Q277" s="642"/>
      <c r="R277" s="642"/>
      <c r="S277" s="642"/>
      <c r="T277" s="84"/>
      <c r="U277" s="643"/>
      <c r="V277" s="4"/>
      <c r="W277" s="95"/>
      <c r="X277" s="629"/>
      <c r="Y277" s="629"/>
      <c r="Z277" s="629"/>
      <c r="AA277" s="629">
        <v>2000</v>
      </c>
      <c r="AB277" s="629"/>
      <c r="AC277" s="629"/>
      <c r="AD277" s="642"/>
      <c r="AE277" s="642"/>
      <c r="AF277" s="642"/>
      <c r="AG277" s="642"/>
      <c r="AH277" s="642"/>
      <c r="AI277" s="642"/>
      <c r="AJ277" s="642"/>
      <c r="AK277" s="11"/>
      <c r="AL277" s="11"/>
      <c r="AM277" s="6"/>
      <c r="AN277" s="6"/>
      <c r="AO277" s="6"/>
      <c r="AP277" s="644"/>
      <c r="AQ277" s="644"/>
      <c r="AR277" s="644">
        <v>13</v>
      </c>
      <c r="AS277" s="644"/>
      <c r="AT277" s="644"/>
      <c r="AU277" s="644"/>
      <c r="AV277" s="642"/>
      <c r="AW277" s="642"/>
      <c r="AX277" s="642"/>
      <c r="AY277" s="642"/>
      <c r="AZ277" s="642"/>
      <c r="BA277" s="642"/>
      <c r="BB277" s="6"/>
      <c r="BC277" s="6"/>
      <c r="BD277" s="6"/>
      <c r="BE277" s="6"/>
      <c r="BF277" s="6"/>
      <c r="BG277" s="4"/>
      <c r="BH277" s="4"/>
      <c r="BI277" s="1068">
        <f t="shared" si="19"/>
        <v>26000</v>
      </c>
      <c r="BJ277" s="4"/>
      <c r="BK277" s="6"/>
      <c r="BL277" s="6"/>
      <c r="BM277" s="6"/>
      <c r="BN277" s="6"/>
      <c r="BO277" s="6"/>
      <c r="BP277" s="6"/>
      <c r="BQ277" s="6"/>
      <c r="BR277" s="6"/>
      <c r="BS277" s="6"/>
      <c r="BT277" s="6"/>
      <c r="BU277" s="6"/>
      <c r="BV277" s="6"/>
      <c r="BW277" s="6"/>
      <c r="BX277" s="130"/>
      <c r="BY277" s="6"/>
      <c r="BZ277" s="130"/>
      <c r="CA277" s="130"/>
      <c r="CB277" s="130"/>
      <c r="CC277" s="642"/>
      <c r="CD277" s="642"/>
      <c r="CE277" s="6"/>
      <c r="CF277" s="6"/>
      <c r="CG277" s="6"/>
      <c r="CH277" s="6"/>
      <c r="CI277" s="6"/>
      <c r="CJ277" s="6"/>
      <c r="CK277" s="6"/>
      <c r="CL277" s="6"/>
      <c r="CM277" s="6"/>
      <c r="CN277" s="4"/>
      <c r="CO277" s="4"/>
      <c r="CP277" s="6"/>
      <c r="CQ277" s="4">
        <f t="shared" si="20"/>
        <v>780</v>
      </c>
      <c r="CR277" s="4"/>
      <c r="CS277" s="4"/>
      <c r="CT277" s="642"/>
      <c r="CU277" s="642"/>
      <c r="CV277" s="642"/>
      <c r="CW277" s="642"/>
      <c r="CX277" s="642"/>
      <c r="CY277" s="642"/>
      <c r="CZ277" s="6"/>
      <c r="DA277" s="6"/>
      <c r="DB277" s="6"/>
      <c r="DC277" s="6"/>
      <c r="DD277" s="6"/>
      <c r="DE277" s="6"/>
      <c r="DF277" s="6"/>
      <c r="DG277" s="6"/>
      <c r="DH277" s="6"/>
      <c r="DI277" s="6"/>
      <c r="DJ277" s="642"/>
      <c r="DK277" s="642"/>
    </row>
    <row r="278" spans="1:115">
      <c r="A278" s="86">
        <v>1</v>
      </c>
      <c r="B278" s="84" t="s">
        <v>612</v>
      </c>
      <c r="C278" s="6" t="s">
        <v>598</v>
      </c>
      <c r="D278" s="645" t="s">
        <v>595</v>
      </c>
      <c r="E278" s="720">
        <v>0.5</v>
      </c>
      <c r="F278" s="84"/>
      <c r="G278" s="650">
        <v>60</v>
      </c>
      <c r="H278" s="84"/>
      <c r="I278" s="641"/>
      <c r="J278" s="641"/>
      <c r="K278" s="641"/>
      <c r="L278" s="641"/>
      <c r="M278" s="642"/>
      <c r="N278" s="642"/>
      <c r="O278" s="642"/>
      <c r="P278" s="642"/>
      <c r="Q278" s="642"/>
      <c r="R278" s="642"/>
      <c r="S278" s="642"/>
      <c r="T278" s="84"/>
      <c r="U278" s="643"/>
      <c r="V278" s="4"/>
      <c r="W278" s="95"/>
      <c r="X278" s="629"/>
      <c r="Y278" s="629"/>
      <c r="Z278" s="629"/>
      <c r="AA278" s="629">
        <v>2000</v>
      </c>
      <c r="AB278" s="629"/>
      <c r="AC278" s="629"/>
      <c r="AD278" s="642"/>
      <c r="AE278" s="642"/>
      <c r="AF278" s="642"/>
      <c r="AG278" s="642"/>
      <c r="AH278" s="642"/>
      <c r="AI278" s="642"/>
      <c r="AJ278" s="642"/>
      <c r="AK278" s="11"/>
      <c r="AL278" s="11"/>
      <c r="AM278" s="6"/>
      <c r="AN278" s="6"/>
      <c r="AO278" s="6"/>
      <c r="AP278" s="644"/>
      <c r="AQ278" s="644"/>
      <c r="AR278" s="644">
        <v>22</v>
      </c>
      <c r="AS278" s="644"/>
      <c r="AT278" s="644"/>
      <c r="AU278" s="644"/>
      <c r="AV278" s="642"/>
      <c r="AW278" s="642"/>
      <c r="AX278" s="642"/>
      <c r="AY278" s="642"/>
      <c r="AZ278" s="642"/>
      <c r="BA278" s="642"/>
      <c r="BB278" s="6"/>
      <c r="BC278" s="6"/>
      <c r="BD278" s="6"/>
      <c r="BE278" s="6"/>
      <c r="BF278" s="6"/>
      <c r="BG278" s="4"/>
      <c r="BH278" s="4"/>
      <c r="BI278" s="1068">
        <f t="shared" si="19"/>
        <v>22000</v>
      </c>
      <c r="BJ278" s="4"/>
      <c r="BK278" s="6"/>
      <c r="BL278" s="6"/>
      <c r="BM278" s="6"/>
      <c r="BN278" s="6"/>
      <c r="BO278" s="6"/>
      <c r="BP278" s="6"/>
      <c r="BQ278" s="6"/>
      <c r="BR278" s="6"/>
      <c r="BS278" s="6"/>
      <c r="BT278" s="6"/>
      <c r="BU278" s="6"/>
      <c r="BV278" s="6"/>
      <c r="BW278" s="6"/>
      <c r="BX278" s="130"/>
      <c r="BY278" s="6"/>
      <c r="BZ278" s="130"/>
      <c r="CA278" s="130"/>
      <c r="CB278" s="130"/>
      <c r="CC278" s="642"/>
      <c r="CD278" s="642"/>
      <c r="CE278" s="6"/>
      <c r="CF278" s="6"/>
      <c r="CG278" s="6"/>
      <c r="CH278" s="6"/>
      <c r="CI278" s="6"/>
      <c r="CJ278" s="6"/>
      <c r="CK278" s="6"/>
      <c r="CL278" s="6"/>
      <c r="CM278" s="6"/>
      <c r="CN278" s="4"/>
      <c r="CO278" s="4"/>
      <c r="CP278" s="6"/>
      <c r="CQ278" s="4">
        <f t="shared" si="20"/>
        <v>1320</v>
      </c>
      <c r="CR278" s="4"/>
      <c r="CS278" s="4"/>
      <c r="CT278" s="642"/>
      <c r="CU278" s="642"/>
      <c r="CV278" s="642"/>
      <c r="CW278" s="642"/>
      <c r="CX278" s="642"/>
      <c r="CY278" s="642"/>
      <c r="CZ278" s="6"/>
      <c r="DA278" s="6"/>
      <c r="DB278" s="6"/>
      <c r="DC278" s="6"/>
      <c r="DD278" s="6"/>
      <c r="DE278" s="6"/>
      <c r="DF278" s="6"/>
      <c r="DG278" s="6"/>
      <c r="DH278" s="6"/>
      <c r="DI278" s="6"/>
      <c r="DJ278" s="642"/>
      <c r="DK278" s="642"/>
    </row>
    <row r="279" spans="1:115">
      <c r="A279" s="86">
        <v>2</v>
      </c>
      <c r="B279" s="84" t="s">
        <v>331</v>
      </c>
      <c r="C279" s="6" t="s">
        <v>598</v>
      </c>
      <c r="D279" s="645" t="s">
        <v>638</v>
      </c>
      <c r="E279" s="720">
        <v>1</v>
      </c>
      <c r="F279" s="84"/>
      <c r="G279" s="650">
        <v>60</v>
      </c>
      <c r="H279" s="84"/>
      <c r="I279" s="641"/>
      <c r="J279" s="641"/>
      <c r="K279" s="641"/>
      <c r="L279" s="641"/>
      <c r="M279" s="642"/>
      <c r="N279" s="642"/>
      <c r="O279" s="642"/>
      <c r="P279" s="642"/>
      <c r="Q279" s="642"/>
      <c r="R279" s="642"/>
      <c r="S279" s="642"/>
      <c r="T279" s="84"/>
      <c r="U279" s="643"/>
      <c r="V279" s="4"/>
      <c r="W279" s="95"/>
      <c r="X279" s="629"/>
      <c r="Y279" s="629"/>
      <c r="Z279" s="629"/>
      <c r="AA279" s="629">
        <f>Z312*(1+BZ279)</f>
        <v>2140</v>
      </c>
      <c r="AB279" s="4"/>
      <c r="AC279" s="4"/>
      <c r="AD279" s="642"/>
      <c r="AE279" s="642"/>
      <c r="AF279" s="642"/>
      <c r="AG279" s="642"/>
      <c r="AH279" s="642"/>
      <c r="AI279" s="642"/>
      <c r="AJ279" s="642"/>
      <c r="AK279" s="11"/>
      <c r="AL279" s="11"/>
      <c r="AM279" s="6"/>
      <c r="AN279" s="6"/>
      <c r="AO279" s="6"/>
      <c r="AP279" s="644"/>
      <c r="AQ279" s="644"/>
      <c r="AR279" s="644">
        <v>7</v>
      </c>
      <c r="AS279" s="644"/>
      <c r="AT279" s="644"/>
      <c r="AU279" s="644"/>
      <c r="AV279" s="642"/>
      <c r="AW279" s="642"/>
      <c r="AX279" s="642"/>
      <c r="AY279" s="642"/>
      <c r="AZ279" s="642"/>
      <c r="BA279" s="642"/>
      <c r="BB279" s="6"/>
      <c r="BC279" s="6"/>
      <c r="BD279" s="6"/>
      <c r="BE279" s="6"/>
      <c r="BF279" s="6"/>
      <c r="BG279" s="4"/>
      <c r="BH279" s="4"/>
      <c r="BI279" s="1068">
        <f t="shared" si="19"/>
        <v>14980</v>
      </c>
      <c r="BJ279" s="4"/>
      <c r="BK279" s="6"/>
      <c r="BL279" s="6"/>
      <c r="BM279" s="6"/>
      <c r="BN279" s="6"/>
      <c r="BO279" s="6"/>
      <c r="BP279" s="6"/>
      <c r="BQ279" s="6"/>
      <c r="BR279" s="6"/>
      <c r="BS279" s="6"/>
      <c r="BT279" s="6"/>
      <c r="BU279" s="6"/>
      <c r="BV279" s="6"/>
      <c r="BW279" s="6"/>
      <c r="BX279" s="130"/>
      <c r="BY279" s="6"/>
      <c r="BZ279" s="130">
        <v>7.0000000000000007E-2</v>
      </c>
      <c r="CA279" s="130"/>
      <c r="CB279" s="130"/>
      <c r="CC279" s="642"/>
      <c r="CD279" s="642"/>
      <c r="CE279" s="6"/>
      <c r="CF279" s="6"/>
      <c r="CG279" s="6"/>
      <c r="CH279" s="6"/>
      <c r="CI279" s="6"/>
      <c r="CJ279" s="6"/>
      <c r="CK279" s="6"/>
      <c r="CL279" s="6"/>
      <c r="CM279" s="6"/>
      <c r="CN279" s="4"/>
      <c r="CO279" s="4"/>
      <c r="CP279" s="6"/>
      <c r="CQ279" s="4">
        <f t="shared" si="20"/>
        <v>420</v>
      </c>
      <c r="CR279" s="4"/>
      <c r="CS279" s="4"/>
      <c r="CT279" s="642"/>
      <c r="CU279" s="642"/>
      <c r="CV279" s="642"/>
      <c r="CW279" s="642"/>
      <c r="CX279" s="642"/>
      <c r="CY279" s="642"/>
      <c r="CZ279" s="6"/>
      <c r="DA279" s="6"/>
      <c r="DB279" s="6"/>
      <c r="DC279" s="6"/>
      <c r="DD279" s="6"/>
      <c r="DE279" s="6"/>
      <c r="DF279" s="6"/>
      <c r="DG279" s="6"/>
      <c r="DH279" s="6"/>
      <c r="DI279" s="6"/>
      <c r="DJ279" s="642"/>
      <c r="DK279" s="642"/>
    </row>
    <row r="280" spans="1:115">
      <c r="A280" s="86">
        <v>3</v>
      </c>
      <c r="B280" s="84" t="s">
        <v>594</v>
      </c>
      <c r="C280" s="6" t="s">
        <v>598</v>
      </c>
      <c r="D280" s="645" t="s">
        <v>596</v>
      </c>
      <c r="E280" s="720">
        <v>1</v>
      </c>
      <c r="F280" s="84"/>
      <c r="G280" s="641">
        <v>30</v>
      </c>
      <c r="H280" s="84"/>
      <c r="I280" s="641"/>
      <c r="J280" s="641"/>
      <c r="K280" s="641"/>
      <c r="L280" s="641"/>
      <c r="M280" s="642" t="s">
        <v>860</v>
      </c>
      <c r="N280" s="642"/>
      <c r="O280" s="642"/>
      <c r="P280" s="642"/>
      <c r="Q280" s="642"/>
      <c r="R280" s="642"/>
      <c r="S280" s="642"/>
      <c r="T280" s="84"/>
      <c r="U280" s="643"/>
      <c r="V280" s="4"/>
      <c r="W280" s="95"/>
      <c r="X280" s="629"/>
      <c r="Y280" s="629"/>
      <c r="Z280" s="4"/>
      <c r="AA280" s="629">
        <f>Z299*(1+BZ280)</f>
        <v>2140</v>
      </c>
      <c r="AB280" s="4"/>
      <c r="AC280" s="4"/>
      <c r="AD280" s="642"/>
      <c r="AE280" s="642"/>
      <c r="AF280" s="642"/>
      <c r="AG280" s="642"/>
      <c r="AH280" s="642"/>
      <c r="AI280" s="642"/>
      <c r="AJ280" s="642"/>
      <c r="AK280" s="11"/>
      <c r="AL280" s="11"/>
      <c r="AM280" s="6"/>
      <c r="AN280" s="6"/>
      <c r="AO280" s="6"/>
      <c r="AP280" s="644"/>
      <c r="AQ280" s="644"/>
      <c r="AR280" s="644">
        <v>22</v>
      </c>
      <c r="AS280" s="644"/>
      <c r="AT280" s="644"/>
      <c r="AU280" s="644"/>
      <c r="AV280" s="642"/>
      <c r="AW280" s="642"/>
      <c r="AX280" s="642"/>
      <c r="AY280" s="642"/>
      <c r="AZ280" s="642"/>
      <c r="BA280" s="642"/>
      <c r="BB280" s="6"/>
      <c r="BC280" s="6"/>
      <c r="BD280" s="6"/>
      <c r="BE280" s="6"/>
      <c r="BF280" s="6"/>
      <c r="BG280" s="4"/>
      <c r="BH280" s="4"/>
      <c r="BI280" s="1068">
        <f>$AR280*$AA280*$E280</f>
        <v>47080</v>
      </c>
      <c r="BJ280" s="4"/>
      <c r="BK280" s="6"/>
      <c r="BL280" s="6"/>
      <c r="BM280" s="6"/>
      <c r="BN280" s="6"/>
      <c r="BO280" s="6"/>
      <c r="BP280" s="6"/>
      <c r="BQ280" s="6"/>
      <c r="BR280" s="6"/>
      <c r="BS280" s="6"/>
      <c r="BT280" s="6"/>
      <c r="BU280" s="6"/>
      <c r="BV280" s="6"/>
      <c r="BW280" s="6"/>
      <c r="BX280" s="130"/>
      <c r="BY280" s="6"/>
      <c r="BZ280" s="130">
        <v>7.0000000000000007E-2</v>
      </c>
      <c r="CA280" s="130"/>
      <c r="CB280" s="130"/>
      <c r="CC280" s="642"/>
      <c r="CD280" s="642"/>
      <c r="CE280" s="6"/>
      <c r="CF280" s="6"/>
      <c r="CG280" s="6"/>
      <c r="CH280" s="6"/>
      <c r="CI280" s="6"/>
      <c r="CJ280" s="6"/>
      <c r="CK280" s="6"/>
      <c r="CL280" s="6"/>
      <c r="CM280" s="6"/>
      <c r="CN280" s="4">
        <f>$G280*AO280</f>
        <v>0</v>
      </c>
      <c r="CO280" s="4">
        <f>$G280*AP280</f>
        <v>0</v>
      </c>
      <c r="CP280" s="6"/>
      <c r="CQ280" s="4">
        <f t="shared" si="20"/>
        <v>660</v>
      </c>
      <c r="CR280" s="4"/>
      <c r="CS280" s="4"/>
      <c r="CT280" s="642"/>
      <c r="CU280" s="642"/>
      <c r="CV280" s="642"/>
      <c r="CW280" s="642"/>
      <c r="CX280" s="642"/>
      <c r="CY280" s="642"/>
      <c r="CZ280" s="6"/>
      <c r="DA280" s="6"/>
      <c r="DB280" s="6"/>
      <c r="DC280" s="6"/>
      <c r="DD280" s="6">
        <f>L280*CN280</f>
        <v>0</v>
      </c>
      <c r="DE280" s="6"/>
      <c r="DF280" s="6"/>
      <c r="DG280" s="6"/>
      <c r="DH280" s="6"/>
      <c r="DI280" s="6"/>
      <c r="DJ280" s="642"/>
      <c r="DK280" s="642"/>
    </row>
    <row r="281" spans="1:115">
      <c r="A281" s="259">
        <v>3</v>
      </c>
      <c r="B281" s="725" t="s">
        <v>593</v>
      </c>
      <c r="C281" s="6" t="s">
        <v>598</v>
      </c>
      <c r="D281" s="342" t="s">
        <v>638</v>
      </c>
      <c r="E281" s="720">
        <v>0.5</v>
      </c>
      <c r="F281" s="1"/>
      <c r="G281" s="641">
        <v>60</v>
      </c>
      <c r="H281" s="84"/>
      <c r="I281" s="641"/>
      <c r="J281" s="641"/>
      <c r="K281" s="641"/>
      <c r="L281" s="641"/>
      <c r="M281" s="642" t="s">
        <v>860</v>
      </c>
      <c r="N281" s="642" t="s">
        <v>860</v>
      </c>
      <c r="O281" s="642"/>
      <c r="P281" s="642"/>
      <c r="Q281" s="642"/>
      <c r="R281" s="642"/>
      <c r="S281" s="642"/>
      <c r="T281" s="84"/>
      <c r="U281" s="643"/>
      <c r="V281" s="4"/>
      <c r="W281" s="95"/>
      <c r="X281" s="629"/>
      <c r="Y281" s="629"/>
      <c r="Z281" s="629"/>
      <c r="AA281" s="629">
        <f>Z300*(1+BZ281)</f>
        <v>2675</v>
      </c>
      <c r="AB281" s="4"/>
      <c r="AC281" s="4"/>
      <c r="AD281" s="642"/>
      <c r="AE281" s="642"/>
      <c r="AF281" s="642"/>
      <c r="AG281" s="642"/>
      <c r="AH281" s="642"/>
      <c r="AI281" s="642"/>
      <c r="AJ281" s="642"/>
      <c r="AK281" s="11"/>
      <c r="AL281" s="11"/>
      <c r="AM281" s="6"/>
      <c r="AN281" s="6"/>
      <c r="AO281" s="6"/>
      <c r="AP281" s="644"/>
      <c r="AQ281" s="644"/>
      <c r="AR281" s="644">
        <v>22</v>
      </c>
      <c r="AS281" s="644"/>
      <c r="AT281" s="644"/>
      <c r="AU281" s="644"/>
      <c r="AV281" s="642"/>
      <c r="AW281" s="642"/>
      <c r="AX281" s="642"/>
      <c r="AY281" s="642"/>
      <c r="AZ281" s="642"/>
      <c r="BA281" s="642"/>
      <c r="BB281" s="6"/>
      <c r="BC281" s="6"/>
      <c r="BD281" s="6"/>
      <c r="BE281" s="6"/>
      <c r="BF281" s="6"/>
      <c r="BG281" s="4"/>
      <c r="BH281" s="4"/>
      <c r="BI281" s="1068">
        <f t="shared" si="19"/>
        <v>29425</v>
      </c>
      <c r="BJ281" s="4"/>
      <c r="BK281" s="6"/>
      <c r="BL281" s="6"/>
      <c r="BM281" s="6"/>
      <c r="BN281" s="6"/>
      <c r="BO281" s="6"/>
      <c r="BP281" s="6"/>
      <c r="BQ281" s="6"/>
      <c r="BR281" s="6"/>
      <c r="BS281" s="6"/>
      <c r="BT281" s="6"/>
      <c r="BU281" s="6"/>
      <c r="BV281" s="6"/>
      <c r="BW281" s="6"/>
      <c r="BX281" s="6"/>
      <c r="BY281" s="130"/>
      <c r="BZ281" s="130">
        <v>7.0000000000000007E-2</v>
      </c>
      <c r="CA281" s="130"/>
      <c r="CB281" s="130"/>
      <c r="CC281" s="642"/>
      <c r="CD281" s="642"/>
      <c r="CE281" s="6"/>
      <c r="CF281" s="6"/>
      <c r="CG281" s="6"/>
      <c r="CH281" s="6"/>
      <c r="CI281" s="6"/>
      <c r="CJ281" s="6"/>
      <c r="CK281" s="6"/>
      <c r="CL281" s="6"/>
      <c r="CM281" s="6"/>
      <c r="CN281" s="6"/>
      <c r="CO281" s="4">
        <f t="shared" ref="CO281:CO294" si="21">$G281*AP281</f>
        <v>0</v>
      </c>
      <c r="CP281" s="4">
        <f t="shared" ref="CP281:CP294" si="22">$G281*AQ281</f>
        <v>0</v>
      </c>
      <c r="CQ281" s="4">
        <f t="shared" si="20"/>
        <v>1320</v>
      </c>
      <c r="CR281" s="4"/>
      <c r="CS281" s="4"/>
      <c r="CT281" s="642"/>
      <c r="CU281" s="642"/>
      <c r="CV281" s="642"/>
      <c r="CW281" s="642"/>
      <c r="CX281" s="642"/>
      <c r="CY281" s="642"/>
      <c r="CZ281" s="6"/>
      <c r="DA281" s="6"/>
      <c r="DB281" s="6"/>
      <c r="DC281" s="6"/>
      <c r="DD281" s="6"/>
      <c r="DE281" s="6"/>
      <c r="DF281" s="6"/>
      <c r="DG281" s="6"/>
      <c r="DH281" s="6"/>
      <c r="DI281" s="6"/>
      <c r="DJ281" s="642"/>
      <c r="DK281" s="642"/>
    </row>
    <row r="282" spans="1:115">
      <c r="A282" s="86">
        <v>3</v>
      </c>
      <c r="B282" s="84" t="s">
        <v>1451</v>
      </c>
      <c r="C282" s="6" t="s">
        <v>598</v>
      </c>
      <c r="D282" s="645" t="s">
        <v>638</v>
      </c>
      <c r="E282" s="720">
        <v>1</v>
      </c>
      <c r="F282" s="84"/>
      <c r="G282" s="641">
        <v>60</v>
      </c>
      <c r="H282" s="84"/>
      <c r="I282" s="641"/>
      <c r="J282" s="641"/>
      <c r="K282" s="641"/>
      <c r="L282" s="641"/>
      <c r="M282" s="642" t="s">
        <v>860</v>
      </c>
      <c r="N282" s="642"/>
      <c r="O282" s="642"/>
      <c r="P282" s="642"/>
      <c r="Q282" s="642"/>
      <c r="R282" s="642"/>
      <c r="S282" s="642"/>
      <c r="T282" s="84"/>
      <c r="U282" s="643"/>
      <c r="V282" s="4"/>
      <c r="W282" s="95"/>
      <c r="X282" s="629"/>
      <c r="Y282" s="629"/>
      <c r="Z282" s="4"/>
      <c r="AA282" s="629">
        <f>Z301*(1+BZ282)</f>
        <v>2675</v>
      </c>
      <c r="AB282" s="4"/>
      <c r="AC282" s="4"/>
      <c r="AD282" s="642"/>
      <c r="AE282" s="642"/>
      <c r="AF282" s="642"/>
      <c r="AG282" s="642"/>
      <c r="AH282" s="642"/>
      <c r="AI282" s="642"/>
      <c r="AJ282" s="642"/>
      <c r="AK282" s="11"/>
      <c r="AL282" s="11"/>
      <c r="AM282" s="6"/>
      <c r="AN282" s="6"/>
      <c r="AO282" s="6"/>
      <c r="AP282" s="644"/>
      <c r="AQ282" s="644"/>
      <c r="AR282" s="644">
        <v>22</v>
      </c>
      <c r="AS282" s="644"/>
      <c r="AT282" s="644"/>
      <c r="AU282" s="644"/>
      <c r="AV282" s="642"/>
      <c r="AW282" s="642"/>
      <c r="AX282" s="642"/>
      <c r="AY282" s="642"/>
      <c r="AZ282" s="642"/>
      <c r="BA282" s="642"/>
      <c r="BB282" s="6"/>
      <c r="BC282" s="6"/>
      <c r="BD282" s="6"/>
      <c r="BE282" s="6"/>
      <c r="BF282" s="6"/>
      <c r="BG282" s="4"/>
      <c r="BH282" s="4"/>
      <c r="BI282" s="1068">
        <f t="shared" si="19"/>
        <v>58850</v>
      </c>
      <c r="BJ282" s="4"/>
      <c r="BK282" s="6"/>
      <c r="BL282" s="6"/>
      <c r="BM282" s="6"/>
      <c r="BN282" s="6"/>
      <c r="BO282" s="6"/>
      <c r="BP282" s="6"/>
      <c r="BQ282" s="6"/>
      <c r="BR282" s="6"/>
      <c r="BS282" s="6"/>
      <c r="BT282" s="6"/>
      <c r="BU282" s="6"/>
      <c r="BV282" s="6"/>
      <c r="BW282" s="6"/>
      <c r="BX282" s="6"/>
      <c r="BY282" s="6"/>
      <c r="BZ282" s="130">
        <v>7.0000000000000007E-2</v>
      </c>
      <c r="CA282" s="130"/>
      <c r="CB282" s="130"/>
      <c r="CC282" s="642"/>
      <c r="CD282" s="642"/>
      <c r="CE282" s="6"/>
      <c r="CF282" s="6"/>
      <c r="CG282" s="6"/>
      <c r="CH282" s="6"/>
      <c r="CI282" s="6"/>
      <c r="CJ282" s="6"/>
      <c r="CK282" s="6"/>
      <c r="CL282" s="6"/>
      <c r="CM282" s="6"/>
      <c r="CN282" s="6"/>
      <c r="CO282" s="4">
        <f t="shared" si="21"/>
        <v>0</v>
      </c>
      <c r="CP282" s="4">
        <f t="shared" si="22"/>
        <v>0</v>
      </c>
      <c r="CQ282" s="4">
        <f t="shared" si="20"/>
        <v>1320</v>
      </c>
      <c r="CR282" s="4"/>
      <c r="CS282" s="4"/>
      <c r="CT282" s="642"/>
      <c r="CU282" s="642"/>
      <c r="CV282" s="642"/>
      <c r="CW282" s="642"/>
      <c r="CX282" s="642"/>
      <c r="CY282" s="642"/>
      <c r="CZ282" s="6"/>
      <c r="DA282" s="6"/>
      <c r="DB282" s="6"/>
      <c r="DC282" s="6"/>
      <c r="DD282" s="6"/>
      <c r="DE282" s="6"/>
      <c r="DF282" s="6"/>
      <c r="DG282" s="6"/>
      <c r="DH282" s="6"/>
      <c r="DI282" s="6"/>
      <c r="DJ282" s="642"/>
      <c r="DK282" s="642"/>
    </row>
    <row r="283" spans="1:115">
      <c r="A283" s="179">
        <v>3</v>
      </c>
      <c r="B283" s="6" t="s">
        <v>597</v>
      </c>
      <c r="C283" s="6" t="s">
        <v>598</v>
      </c>
      <c r="D283" s="645" t="s">
        <v>220</v>
      </c>
      <c r="E283" s="720">
        <v>1</v>
      </c>
      <c r="F283" s="342"/>
      <c r="G283" s="641">
        <v>60</v>
      </c>
      <c r="H283" s="645"/>
      <c r="I283" s="4"/>
      <c r="J283" s="4"/>
      <c r="K283" s="4"/>
      <c r="L283" s="642" t="s">
        <v>860</v>
      </c>
      <c r="M283" s="641"/>
      <c r="N283" s="641"/>
      <c r="O283" s="641"/>
      <c r="P283" s="641"/>
      <c r="Q283" s="641"/>
      <c r="R283" s="641"/>
      <c r="S283" s="641"/>
      <c r="T283" s="645"/>
      <c r="U283" s="4"/>
      <c r="V283" s="4"/>
      <c r="W283" s="95"/>
      <c r="X283" s="95"/>
      <c r="Y283" s="95"/>
      <c r="Z283" s="4"/>
      <c r="AA283" s="629">
        <f>Z302*(1+BZ283)</f>
        <v>2140</v>
      </c>
      <c r="AB283" s="4"/>
      <c r="AC283" s="4"/>
      <c r="AD283" s="641"/>
      <c r="AE283" s="641"/>
      <c r="AF283" s="641"/>
      <c r="AG283" s="641"/>
      <c r="AH283" s="641"/>
      <c r="AI283" s="641"/>
      <c r="AJ283" s="641"/>
      <c r="AK283" s="11"/>
      <c r="AL283" s="646"/>
      <c r="AM283" s="647"/>
      <c r="AN283" s="647"/>
      <c r="AO283" s="644"/>
      <c r="AP283" s="644"/>
      <c r="AQ283" s="644"/>
      <c r="AR283" s="644">
        <v>13</v>
      </c>
      <c r="AS283" s="644"/>
      <c r="AT283" s="644"/>
      <c r="AU283" s="644"/>
      <c r="AV283" s="641"/>
      <c r="AW283" s="641"/>
      <c r="AX283" s="641"/>
      <c r="AY283" s="641"/>
      <c r="AZ283" s="641"/>
      <c r="BA283" s="641"/>
      <c r="BB283" s="6"/>
      <c r="BC283" s="4"/>
      <c r="BD283" s="4"/>
      <c r="BE283" s="4"/>
      <c r="BF283" s="4"/>
      <c r="BG283" s="4"/>
      <c r="BH283" s="4"/>
      <c r="BI283" s="1068">
        <f t="shared" si="19"/>
        <v>27820</v>
      </c>
      <c r="BJ283" s="4"/>
      <c r="BK283" s="6"/>
      <c r="BL283" s="6"/>
      <c r="BM283" s="6"/>
      <c r="BN283" s="6"/>
      <c r="BO283" s="6"/>
      <c r="BP283" s="6"/>
      <c r="BQ283" s="6"/>
      <c r="BR283" s="6"/>
      <c r="BS283" s="6"/>
      <c r="BT283" s="6"/>
      <c r="BU283" s="6"/>
      <c r="BV283" s="6"/>
      <c r="BW283" s="130"/>
      <c r="BX283" s="6"/>
      <c r="BY283" s="6"/>
      <c r="BZ283" s="130">
        <v>7.0000000000000007E-2</v>
      </c>
      <c r="CA283" s="130"/>
      <c r="CB283" s="130"/>
      <c r="CC283" s="641"/>
      <c r="CD283" s="641"/>
      <c r="CE283" s="6"/>
      <c r="CF283" s="6"/>
      <c r="CG283" s="6"/>
      <c r="CH283" s="6"/>
      <c r="CI283" s="6"/>
      <c r="CJ283" s="6"/>
      <c r="CK283" s="4"/>
      <c r="CL283" s="4"/>
      <c r="CM283" s="4">
        <f>$G283*AN283</f>
        <v>0</v>
      </c>
      <c r="CN283" s="4">
        <f>$G283*AO283</f>
        <v>0</v>
      </c>
      <c r="CO283" s="4">
        <f t="shared" si="21"/>
        <v>0</v>
      </c>
      <c r="CP283" s="4">
        <f t="shared" si="22"/>
        <v>0</v>
      </c>
      <c r="CQ283" s="4">
        <f t="shared" si="20"/>
        <v>780</v>
      </c>
      <c r="CR283" s="4"/>
      <c r="CS283" s="4"/>
      <c r="CT283" s="641"/>
      <c r="CU283" s="641"/>
      <c r="CV283" s="641"/>
      <c r="CW283" s="641"/>
      <c r="CX283" s="641"/>
      <c r="CY283" s="641"/>
      <c r="CZ283" s="6"/>
      <c r="DA283" s="6">
        <f>I283*CK283</f>
        <v>0</v>
      </c>
      <c r="DB283" s="6">
        <f>J283*CL283</f>
        <v>0</v>
      </c>
      <c r="DC283" s="6">
        <f>K283*CM283</f>
        <v>0</v>
      </c>
      <c r="DD283" s="6"/>
      <c r="DE283" s="6"/>
      <c r="DF283" s="6"/>
      <c r="DG283" s="6"/>
      <c r="DH283" s="6"/>
      <c r="DI283" s="6"/>
      <c r="DJ283" s="641"/>
      <c r="DK283" s="641"/>
    </row>
    <row r="284" spans="1:115">
      <c r="A284" s="86">
        <v>4</v>
      </c>
      <c r="B284" s="84" t="s">
        <v>1449</v>
      </c>
      <c r="C284" s="6" t="s">
        <v>598</v>
      </c>
      <c r="D284" s="645" t="s">
        <v>1450</v>
      </c>
      <c r="E284" s="720">
        <v>1</v>
      </c>
      <c r="F284" s="84"/>
      <c r="G284" s="641">
        <v>60</v>
      </c>
      <c r="H284" s="84"/>
      <c r="I284" s="641"/>
      <c r="J284" s="641"/>
      <c r="K284" s="641"/>
      <c r="L284" s="641"/>
      <c r="M284" s="642" t="s">
        <v>860</v>
      </c>
      <c r="N284" s="642"/>
      <c r="O284" s="642"/>
      <c r="P284" s="642"/>
      <c r="Q284" s="642"/>
      <c r="R284" s="642"/>
      <c r="S284" s="642"/>
      <c r="T284" s="84"/>
      <c r="U284" s="643"/>
      <c r="V284" s="4"/>
      <c r="W284" s="95"/>
      <c r="X284" s="629"/>
      <c r="Y284" s="629"/>
      <c r="Z284" s="4"/>
      <c r="AA284" s="629">
        <f>Z303*(1+BZ284)</f>
        <v>2140</v>
      </c>
      <c r="AB284" s="4"/>
      <c r="AC284" s="4"/>
      <c r="AD284" s="642"/>
      <c r="AE284" s="642"/>
      <c r="AF284" s="642"/>
      <c r="AG284" s="642"/>
      <c r="AH284" s="642"/>
      <c r="AI284" s="642"/>
      <c r="AJ284" s="642"/>
      <c r="AK284" s="11"/>
      <c r="AL284" s="11"/>
      <c r="AM284" s="6"/>
      <c r="AN284" s="6"/>
      <c r="AO284" s="6"/>
      <c r="AP284" s="644"/>
      <c r="AQ284" s="644"/>
      <c r="AR284" s="644">
        <v>22</v>
      </c>
      <c r="AS284" s="644"/>
      <c r="AT284" s="644"/>
      <c r="AU284" s="644"/>
      <c r="AV284" s="642"/>
      <c r="AW284" s="642"/>
      <c r="AX284" s="642"/>
      <c r="AY284" s="642"/>
      <c r="AZ284" s="642"/>
      <c r="BA284" s="642"/>
      <c r="BB284" s="6"/>
      <c r="BC284" s="6"/>
      <c r="BD284" s="6"/>
      <c r="BE284" s="6"/>
      <c r="BF284" s="6"/>
      <c r="BG284" s="4"/>
      <c r="BH284" s="4"/>
      <c r="BI284" s="1068">
        <f t="shared" si="19"/>
        <v>47080</v>
      </c>
      <c r="BJ284" s="4"/>
      <c r="BK284" s="6"/>
      <c r="BL284" s="6"/>
      <c r="BM284" s="6"/>
      <c r="BN284" s="6"/>
      <c r="BO284" s="6"/>
      <c r="BP284" s="6"/>
      <c r="BQ284" s="6"/>
      <c r="BR284" s="6"/>
      <c r="BS284" s="6"/>
      <c r="BT284" s="6"/>
      <c r="BU284" s="6"/>
      <c r="BV284" s="6"/>
      <c r="BW284" s="6"/>
      <c r="BX284" s="6"/>
      <c r="BY284" s="6"/>
      <c r="BZ284" s="130">
        <v>7.0000000000000007E-2</v>
      </c>
      <c r="CA284" s="130"/>
      <c r="CB284" s="130"/>
      <c r="CC284" s="642"/>
      <c r="CD284" s="642"/>
      <c r="CE284" s="6"/>
      <c r="CF284" s="6"/>
      <c r="CG284" s="6"/>
      <c r="CH284" s="6"/>
      <c r="CI284" s="6"/>
      <c r="CJ284" s="6"/>
      <c r="CK284" s="6"/>
      <c r="CL284" s="6"/>
      <c r="CM284" s="6"/>
      <c r="CN284" s="6"/>
      <c r="CO284" s="4">
        <f t="shared" si="21"/>
        <v>0</v>
      </c>
      <c r="CP284" s="4">
        <f t="shared" si="22"/>
        <v>0</v>
      </c>
      <c r="CQ284" s="4">
        <f t="shared" si="20"/>
        <v>1320</v>
      </c>
      <c r="CR284" s="4"/>
      <c r="CS284" s="4"/>
      <c r="CT284" s="642"/>
      <c r="CU284" s="642"/>
      <c r="CV284" s="642"/>
      <c r="CW284" s="642"/>
      <c r="CX284" s="642"/>
      <c r="CY284" s="642"/>
      <c r="CZ284" s="6"/>
      <c r="DA284" s="6"/>
      <c r="DB284" s="6"/>
      <c r="DC284" s="6"/>
      <c r="DD284" s="6"/>
      <c r="DE284" s="6"/>
      <c r="DF284" s="6"/>
      <c r="DG284" s="6"/>
      <c r="DH284" s="6"/>
      <c r="DI284" s="6"/>
      <c r="DJ284" s="642"/>
      <c r="DK284" s="642"/>
    </row>
    <row r="285" spans="1:115">
      <c r="A285" s="86">
        <v>4</v>
      </c>
      <c r="B285" s="6" t="s">
        <v>1453</v>
      </c>
      <c r="C285" s="6" t="s">
        <v>1454</v>
      </c>
      <c r="D285" s="645" t="s">
        <v>638</v>
      </c>
      <c r="E285" s="720">
        <v>0.5</v>
      </c>
      <c r="F285" s="342" t="s">
        <v>1455</v>
      </c>
      <c r="G285" s="641">
        <v>60</v>
      </c>
      <c r="H285" s="645"/>
      <c r="I285" s="4"/>
      <c r="J285" s="4"/>
      <c r="K285" s="4"/>
      <c r="L285" s="642">
        <v>4.9000000000000004</v>
      </c>
      <c r="M285" s="642" t="s">
        <v>860</v>
      </c>
      <c r="N285" s="642" t="s">
        <v>860</v>
      </c>
      <c r="O285" s="642"/>
      <c r="P285" s="642"/>
      <c r="Q285" s="642"/>
      <c r="R285" s="642"/>
      <c r="S285" s="642"/>
      <c r="T285" s="645"/>
      <c r="U285" s="4"/>
      <c r="V285" s="4"/>
      <c r="W285" s="95"/>
      <c r="X285" s="95"/>
      <c r="Y285" s="95"/>
      <c r="Z285" s="4"/>
      <c r="AA285" s="629">
        <f>Z304*(1+BZ286)</f>
        <v>2675</v>
      </c>
      <c r="AB285" s="4"/>
      <c r="AC285" s="4"/>
      <c r="AD285" s="642"/>
      <c r="AE285" s="642"/>
      <c r="AF285" s="642"/>
      <c r="AG285" s="642"/>
      <c r="AH285" s="642"/>
      <c r="AI285" s="642"/>
      <c r="AJ285" s="642"/>
      <c r="AK285" s="11"/>
      <c r="AL285" s="646"/>
      <c r="AM285" s="647"/>
      <c r="AN285" s="647"/>
      <c r="AO285" s="644"/>
      <c r="AP285" s="644"/>
      <c r="AQ285" s="644"/>
      <c r="AR285" s="644">
        <v>22</v>
      </c>
      <c r="AS285" s="644"/>
      <c r="AT285" s="644"/>
      <c r="AU285" s="644"/>
      <c r="AV285" s="642"/>
      <c r="AW285" s="642"/>
      <c r="AX285" s="642"/>
      <c r="AY285" s="642"/>
      <c r="AZ285" s="642"/>
      <c r="BA285" s="642"/>
      <c r="BB285" s="6"/>
      <c r="BC285" s="4"/>
      <c r="BD285" s="4"/>
      <c r="BE285" s="4"/>
      <c r="BF285" s="4"/>
      <c r="BG285" s="4"/>
      <c r="BH285" s="4"/>
      <c r="BI285" s="1068">
        <f t="shared" si="19"/>
        <v>29425</v>
      </c>
      <c r="BJ285" s="4"/>
      <c r="BK285" s="6"/>
      <c r="BL285" s="6"/>
      <c r="BM285" s="6"/>
      <c r="BN285" s="6"/>
      <c r="BO285" s="6"/>
      <c r="BP285" s="6"/>
      <c r="BQ285" s="6"/>
      <c r="BR285" s="6"/>
      <c r="BS285" s="6"/>
      <c r="BT285" s="6"/>
      <c r="BU285" s="6"/>
      <c r="BV285" s="6"/>
      <c r="BW285" s="6"/>
      <c r="BX285" s="130"/>
      <c r="BY285" s="130"/>
      <c r="BZ285" s="130">
        <v>7.0000000000000007E-2</v>
      </c>
      <c r="CA285" s="130"/>
      <c r="CB285" s="130"/>
      <c r="CC285" s="642"/>
      <c r="CD285" s="642"/>
      <c r="CE285" s="6"/>
      <c r="CF285" s="6"/>
      <c r="CG285" s="6"/>
      <c r="CH285" s="6"/>
      <c r="CI285" s="6"/>
      <c r="CJ285" s="6"/>
      <c r="CK285" s="4">
        <f t="shared" ref="CK285:CK294" si="23">$G285*AL285</f>
        <v>0</v>
      </c>
      <c r="CL285" s="4">
        <f t="shared" ref="CL285:CL294" si="24">$G285*AM285</f>
        <v>0</v>
      </c>
      <c r="CM285" s="4">
        <f t="shared" ref="CM285:CM294" si="25">$G285*AN285</f>
        <v>0</v>
      </c>
      <c r="CN285" s="4">
        <f t="shared" ref="CN285:CN290" si="26">$G285*AO285</f>
        <v>0</v>
      </c>
      <c r="CO285" s="4">
        <f t="shared" si="21"/>
        <v>0</v>
      </c>
      <c r="CP285" s="4">
        <f t="shared" si="22"/>
        <v>0</v>
      </c>
      <c r="CQ285" s="4">
        <f t="shared" ref="CQ285:CQ294" si="27">$G285*AR285</f>
        <v>1320</v>
      </c>
      <c r="CR285" s="4"/>
      <c r="CS285" s="4"/>
      <c r="CT285" s="642"/>
      <c r="CU285" s="642"/>
      <c r="CV285" s="642"/>
      <c r="CW285" s="642"/>
      <c r="CX285" s="642"/>
      <c r="CY285" s="642"/>
      <c r="CZ285" s="6"/>
      <c r="DA285" s="6">
        <f t="shared" ref="DA285:DD288" si="28">I285*CK285</f>
        <v>0</v>
      </c>
      <c r="DB285" s="6">
        <f t="shared" si="28"/>
        <v>0</v>
      </c>
      <c r="DC285" s="6">
        <f t="shared" si="28"/>
        <v>0</v>
      </c>
      <c r="DD285" s="6">
        <f t="shared" si="28"/>
        <v>0</v>
      </c>
      <c r="DE285" s="6"/>
      <c r="DF285" s="6"/>
      <c r="DG285" s="6"/>
      <c r="DH285" s="6"/>
      <c r="DI285" s="6"/>
      <c r="DJ285" s="642"/>
      <c r="DK285" s="642"/>
    </row>
    <row r="286" spans="1:115">
      <c r="A286" s="259">
        <v>5</v>
      </c>
      <c r="B286" s="6" t="s">
        <v>1456</v>
      </c>
      <c r="C286" s="6" t="s">
        <v>1457</v>
      </c>
      <c r="D286" s="645" t="s">
        <v>638</v>
      </c>
      <c r="E286" s="720">
        <v>0.5</v>
      </c>
      <c r="F286" s="342" t="s">
        <v>1455</v>
      </c>
      <c r="G286" s="641">
        <v>60</v>
      </c>
      <c r="H286" s="645"/>
      <c r="I286" s="4"/>
      <c r="J286" s="4"/>
      <c r="K286" s="641">
        <v>3.5</v>
      </c>
      <c r="L286" s="642">
        <v>3.5</v>
      </c>
      <c r="M286" s="642" t="s">
        <v>860</v>
      </c>
      <c r="N286" s="642" t="s">
        <v>860</v>
      </c>
      <c r="O286" s="642"/>
      <c r="P286" s="642"/>
      <c r="Q286" s="642"/>
      <c r="R286" s="642"/>
      <c r="S286" s="642"/>
      <c r="T286" s="645"/>
      <c r="U286" s="4"/>
      <c r="V286" s="4"/>
      <c r="W286" s="95"/>
      <c r="X286" s="95"/>
      <c r="Y286" s="95"/>
      <c r="Z286" s="4"/>
      <c r="AA286" s="629">
        <f>Z305*(1+BZ286)</f>
        <v>2675</v>
      </c>
      <c r="AB286" s="4"/>
      <c r="AC286" s="4"/>
      <c r="AD286" s="642"/>
      <c r="AE286" s="642"/>
      <c r="AF286" s="642"/>
      <c r="AG286" s="642"/>
      <c r="AH286" s="642"/>
      <c r="AI286" s="642"/>
      <c r="AJ286" s="642"/>
      <c r="AK286" s="11"/>
      <c r="AL286" s="646"/>
      <c r="AM286" s="647"/>
      <c r="AN286" s="644"/>
      <c r="AO286" s="644"/>
      <c r="AP286" s="644"/>
      <c r="AQ286" s="644"/>
      <c r="AR286" s="644">
        <v>22</v>
      </c>
      <c r="AS286" s="644"/>
      <c r="AT286" s="644"/>
      <c r="AU286" s="644"/>
      <c r="AV286" s="642"/>
      <c r="AW286" s="642"/>
      <c r="AX286" s="642"/>
      <c r="AY286" s="642"/>
      <c r="AZ286" s="642"/>
      <c r="BA286" s="642"/>
      <c r="BB286" s="6"/>
      <c r="BC286" s="4"/>
      <c r="BD286" s="4"/>
      <c r="BE286" s="4"/>
      <c r="BF286" s="4"/>
      <c r="BG286" s="4"/>
      <c r="BH286" s="4"/>
      <c r="BI286" s="1068">
        <f t="shared" si="19"/>
        <v>29425</v>
      </c>
      <c r="BJ286" s="4"/>
      <c r="BK286" s="6"/>
      <c r="BL286" s="6"/>
      <c r="BM286" s="6"/>
      <c r="BN286" s="6"/>
      <c r="BO286" s="6"/>
      <c r="BP286" s="6"/>
      <c r="BQ286" s="6"/>
      <c r="BR286" s="6"/>
      <c r="BS286" s="6"/>
      <c r="BT286" s="6"/>
      <c r="BU286" s="6"/>
      <c r="BV286" s="38"/>
      <c r="BW286" s="130"/>
      <c r="BX286" s="130"/>
      <c r="BY286" s="130"/>
      <c r="BZ286" s="130">
        <v>7.0000000000000007E-2</v>
      </c>
      <c r="CA286" s="130"/>
      <c r="CB286" s="130"/>
      <c r="CC286" s="642"/>
      <c r="CD286" s="642"/>
      <c r="CE286" s="6"/>
      <c r="CF286" s="6"/>
      <c r="CG286" s="6"/>
      <c r="CH286" s="6"/>
      <c r="CI286" s="6"/>
      <c r="CJ286" s="6"/>
      <c r="CK286" s="4">
        <f t="shared" si="23"/>
        <v>0</v>
      </c>
      <c r="CL286" s="4">
        <f t="shared" si="24"/>
        <v>0</v>
      </c>
      <c r="CM286" s="4">
        <f t="shared" si="25"/>
        <v>0</v>
      </c>
      <c r="CN286" s="4">
        <f t="shared" si="26"/>
        <v>0</v>
      </c>
      <c r="CO286" s="4">
        <f t="shared" si="21"/>
        <v>0</v>
      </c>
      <c r="CP286" s="4">
        <f t="shared" si="22"/>
        <v>0</v>
      </c>
      <c r="CQ286" s="4">
        <f t="shared" si="27"/>
        <v>1320</v>
      </c>
      <c r="CR286" s="4"/>
      <c r="CS286" s="4"/>
      <c r="CT286" s="642"/>
      <c r="CU286" s="642"/>
      <c r="CV286" s="642"/>
      <c r="CW286" s="642"/>
      <c r="CX286" s="642"/>
      <c r="CY286" s="642"/>
      <c r="CZ286" s="6"/>
      <c r="DA286" s="6">
        <f t="shared" si="28"/>
        <v>0</v>
      </c>
      <c r="DB286" s="6">
        <f t="shared" si="28"/>
        <v>0</v>
      </c>
      <c r="DC286" s="6">
        <f t="shared" si="28"/>
        <v>0</v>
      </c>
      <c r="DD286" s="6">
        <f t="shared" si="28"/>
        <v>0</v>
      </c>
      <c r="DE286" s="6"/>
      <c r="DF286" s="6"/>
      <c r="DG286" s="6"/>
      <c r="DH286" s="6"/>
      <c r="DI286" s="6"/>
      <c r="DJ286" s="642"/>
      <c r="DK286" s="642"/>
    </row>
    <row r="287" spans="1:115">
      <c r="A287" s="259">
        <v>5</v>
      </c>
      <c r="B287" s="6" t="s">
        <v>1461</v>
      </c>
      <c r="C287" s="6" t="s">
        <v>1462</v>
      </c>
      <c r="D287" s="645" t="s">
        <v>638</v>
      </c>
      <c r="E287" s="720">
        <v>1</v>
      </c>
      <c r="F287" s="342" t="s">
        <v>1455</v>
      </c>
      <c r="G287" s="641">
        <v>60</v>
      </c>
      <c r="H287" s="645"/>
      <c r="I287" s="4"/>
      <c r="J287" s="4"/>
      <c r="K287" s="641">
        <v>2.6</v>
      </c>
      <c r="L287" s="642">
        <v>3.1</v>
      </c>
      <c r="M287" s="642" t="s">
        <v>860</v>
      </c>
      <c r="N287" s="642" t="s">
        <v>860</v>
      </c>
      <c r="O287" s="642"/>
      <c r="P287" s="642"/>
      <c r="Q287" s="642"/>
      <c r="R287" s="642"/>
      <c r="S287" s="642"/>
      <c r="T287" s="645"/>
      <c r="U287" s="4"/>
      <c r="V287" s="4"/>
      <c r="W287" s="95"/>
      <c r="X287" s="95"/>
      <c r="Y287" s="95"/>
      <c r="Z287" s="4"/>
      <c r="AA287" s="629">
        <f>Z306*(1+BZ287)</f>
        <v>2675</v>
      </c>
      <c r="AB287" s="4"/>
      <c r="AC287" s="4"/>
      <c r="AD287" s="642"/>
      <c r="AE287" s="642"/>
      <c r="AF287" s="642"/>
      <c r="AG287" s="642"/>
      <c r="AH287" s="642"/>
      <c r="AI287" s="642"/>
      <c r="AJ287" s="642"/>
      <c r="AK287" s="11"/>
      <c r="AL287" s="646"/>
      <c r="AM287" s="647"/>
      <c r="AN287" s="644"/>
      <c r="AO287" s="644"/>
      <c r="AP287" s="644"/>
      <c r="AQ287" s="644"/>
      <c r="AR287" s="644">
        <v>22</v>
      </c>
      <c r="AS287" s="644"/>
      <c r="AT287" s="644"/>
      <c r="AU287" s="644"/>
      <c r="AV287" s="642"/>
      <c r="AW287" s="642"/>
      <c r="AX287" s="642"/>
      <c r="AY287" s="642"/>
      <c r="AZ287" s="642"/>
      <c r="BA287" s="642"/>
      <c r="BB287" s="6"/>
      <c r="BC287" s="4"/>
      <c r="BD287" s="4"/>
      <c r="BE287" s="4"/>
      <c r="BF287" s="4"/>
      <c r="BG287" s="4"/>
      <c r="BH287" s="4"/>
      <c r="BI287" s="1068">
        <f t="shared" si="19"/>
        <v>58850</v>
      </c>
      <c r="BJ287" s="4"/>
      <c r="BK287" s="6"/>
      <c r="BL287" s="6"/>
      <c r="BM287" s="6"/>
      <c r="BN287" s="6"/>
      <c r="BO287" s="6"/>
      <c r="BP287" s="6"/>
      <c r="BQ287" s="6"/>
      <c r="BR287" s="6"/>
      <c r="BS287" s="6"/>
      <c r="BT287" s="6"/>
      <c r="BU287" s="6"/>
      <c r="BV287" s="130"/>
      <c r="BW287" s="130"/>
      <c r="BX287" s="130"/>
      <c r="BY287" s="130"/>
      <c r="BZ287" s="130">
        <v>7.0000000000000007E-2</v>
      </c>
      <c r="CA287" s="130"/>
      <c r="CB287" s="130"/>
      <c r="CC287" s="642"/>
      <c r="CD287" s="642"/>
      <c r="CE287" s="6"/>
      <c r="CF287" s="6"/>
      <c r="CG287" s="6"/>
      <c r="CH287" s="6"/>
      <c r="CI287" s="6"/>
      <c r="CJ287" s="6"/>
      <c r="CK287" s="4">
        <f t="shared" si="23"/>
        <v>0</v>
      </c>
      <c r="CL287" s="4">
        <f t="shared" si="24"/>
        <v>0</v>
      </c>
      <c r="CM287" s="4">
        <f t="shared" si="25"/>
        <v>0</v>
      </c>
      <c r="CN287" s="4">
        <f t="shared" si="26"/>
        <v>0</v>
      </c>
      <c r="CO287" s="4">
        <f t="shared" si="21"/>
        <v>0</v>
      </c>
      <c r="CP287" s="4">
        <f t="shared" si="22"/>
        <v>0</v>
      </c>
      <c r="CQ287" s="4">
        <f t="shared" si="27"/>
        <v>1320</v>
      </c>
      <c r="CR287" s="4"/>
      <c r="CS287" s="4"/>
      <c r="CT287" s="642"/>
      <c r="CU287" s="642"/>
      <c r="CV287" s="642"/>
      <c r="CW287" s="642"/>
      <c r="CX287" s="642"/>
      <c r="CY287" s="642"/>
      <c r="CZ287" s="6"/>
      <c r="DA287" s="6">
        <f t="shared" si="28"/>
        <v>0</v>
      </c>
      <c r="DB287" s="6">
        <f t="shared" si="28"/>
        <v>0</v>
      </c>
      <c r="DC287" s="6">
        <f t="shared" si="28"/>
        <v>0</v>
      </c>
      <c r="DD287" s="6">
        <f t="shared" si="28"/>
        <v>0</v>
      </c>
      <c r="DE287" s="6"/>
      <c r="DF287" s="6"/>
      <c r="DG287" s="6"/>
      <c r="DH287" s="6"/>
      <c r="DI287" s="6"/>
      <c r="DJ287" s="642"/>
      <c r="DK287" s="642"/>
    </row>
    <row r="288" spans="1:115">
      <c r="A288" s="259">
        <v>6</v>
      </c>
      <c r="B288" s="6" t="s">
        <v>1464</v>
      </c>
      <c r="C288" s="6" t="s">
        <v>1465</v>
      </c>
      <c r="D288" s="645" t="s">
        <v>638</v>
      </c>
      <c r="E288" s="720">
        <v>0.5</v>
      </c>
      <c r="F288" s="342" t="s">
        <v>1455</v>
      </c>
      <c r="G288" s="641">
        <v>60</v>
      </c>
      <c r="H288" s="645"/>
      <c r="I288" s="4"/>
      <c r="J288" s="642">
        <v>6</v>
      </c>
      <c r="K288" s="641">
        <v>6.3</v>
      </c>
      <c r="L288" s="642">
        <v>6.7</v>
      </c>
      <c r="M288" s="642" t="s">
        <v>860</v>
      </c>
      <c r="N288" s="642" t="s">
        <v>860</v>
      </c>
      <c r="O288" s="642"/>
      <c r="P288" s="642"/>
      <c r="Q288" s="642"/>
      <c r="R288" s="642"/>
      <c r="S288" s="642"/>
      <c r="T288" s="645"/>
      <c r="U288" s="4"/>
      <c r="V288" s="629"/>
      <c r="W288" s="4"/>
      <c r="X288" s="4"/>
      <c r="Y288" s="4"/>
      <c r="Z288" s="4"/>
      <c r="AA288" s="629">
        <f>Z307*(1+BZ288)</f>
        <v>2675</v>
      </c>
      <c r="AB288" s="4"/>
      <c r="AC288" s="4"/>
      <c r="AD288" s="642"/>
      <c r="AE288" s="642"/>
      <c r="AF288" s="642"/>
      <c r="AG288" s="642"/>
      <c r="AH288" s="642"/>
      <c r="AI288" s="642"/>
      <c r="AJ288" s="642"/>
      <c r="AK288" s="6"/>
      <c r="AL288" s="647"/>
      <c r="AM288" s="644"/>
      <c r="AN288" s="644"/>
      <c r="AO288" s="644"/>
      <c r="AP288" s="644"/>
      <c r="AQ288" s="644"/>
      <c r="AR288" s="644">
        <v>22</v>
      </c>
      <c r="AS288" s="644"/>
      <c r="AT288" s="644"/>
      <c r="AU288" s="644"/>
      <c r="AV288" s="642"/>
      <c r="AW288" s="642"/>
      <c r="AX288" s="642"/>
      <c r="AY288" s="642"/>
      <c r="AZ288" s="642"/>
      <c r="BA288" s="642"/>
      <c r="BB288" s="6"/>
      <c r="BC288" s="4"/>
      <c r="BD288" s="4"/>
      <c r="BE288" s="4"/>
      <c r="BF288" s="4"/>
      <c r="BG288" s="4"/>
      <c r="BH288" s="4"/>
      <c r="BI288" s="1068">
        <f t="shared" si="19"/>
        <v>29425</v>
      </c>
      <c r="BJ288" s="4"/>
      <c r="BK288" s="6"/>
      <c r="BL288" s="6"/>
      <c r="BM288" s="6"/>
      <c r="BN288" s="6"/>
      <c r="BO288" s="6"/>
      <c r="BP288" s="6"/>
      <c r="BQ288" s="6"/>
      <c r="BR288" s="6"/>
      <c r="BS288" s="6"/>
      <c r="BT288" s="6"/>
      <c r="BU288" s="6"/>
      <c r="BV288" s="130"/>
      <c r="BW288" s="130"/>
      <c r="BX288" s="130"/>
      <c r="BY288" s="130"/>
      <c r="BZ288" s="130">
        <v>7.0000000000000007E-2</v>
      </c>
      <c r="CA288" s="130"/>
      <c r="CB288" s="130"/>
      <c r="CC288" s="642"/>
      <c r="CD288" s="642"/>
      <c r="CE288" s="6"/>
      <c r="CF288" s="6"/>
      <c r="CG288" s="6"/>
      <c r="CH288" s="6"/>
      <c r="CI288" s="6"/>
      <c r="CJ288" s="6"/>
      <c r="CK288" s="4">
        <f t="shared" si="23"/>
        <v>0</v>
      </c>
      <c r="CL288" s="4">
        <f t="shared" si="24"/>
        <v>0</v>
      </c>
      <c r="CM288" s="4">
        <f t="shared" si="25"/>
        <v>0</v>
      </c>
      <c r="CN288" s="4">
        <f t="shared" si="26"/>
        <v>0</v>
      </c>
      <c r="CO288" s="4">
        <f t="shared" si="21"/>
        <v>0</v>
      </c>
      <c r="CP288" s="4">
        <f t="shared" si="22"/>
        <v>0</v>
      </c>
      <c r="CQ288" s="4">
        <f t="shared" si="27"/>
        <v>1320</v>
      </c>
      <c r="CR288" s="4"/>
      <c r="CS288" s="4"/>
      <c r="CT288" s="642"/>
      <c r="CU288" s="642"/>
      <c r="CV288" s="642"/>
      <c r="CW288" s="642"/>
      <c r="CX288" s="642"/>
      <c r="CY288" s="642"/>
      <c r="CZ288" s="6"/>
      <c r="DA288" s="6">
        <f t="shared" si="28"/>
        <v>0</v>
      </c>
      <c r="DB288" s="6">
        <f t="shared" si="28"/>
        <v>0</v>
      </c>
      <c r="DC288" s="6">
        <f t="shared" si="28"/>
        <v>0</v>
      </c>
      <c r="DD288" s="6">
        <f t="shared" si="28"/>
        <v>0</v>
      </c>
      <c r="DE288" s="6"/>
      <c r="DF288" s="6"/>
      <c r="DG288" s="6"/>
      <c r="DH288" s="6"/>
      <c r="DI288" s="6"/>
      <c r="DJ288" s="642"/>
      <c r="DK288" s="642"/>
    </row>
    <row r="289" spans="1:115">
      <c r="A289" s="36">
        <v>6</v>
      </c>
      <c r="B289" s="84" t="s">
        <v>1468</v>
      </c>
      <c r="C289" s="84" t="s">
        <v>1469</v>
      </c>
      <c r="D289" s="645" t="s">
        <v>638</v>
      </c>
      <c r="E289" s="720">
        <v>1</v>
      </c>
      <c r="F289" s="342"/>
      <c r="G289" s="641">
        <v>30</v>
      </c>
      <c r="H289" s="645"/>
      <c r="I289" s="4"/>
      <c r="J289" s="650" t="s">
        <v>860</v>
      </c>
      <c r="K289" s="642">
        <v>4</v>
      </c>
      <c r="L289" s="642">
        <v>3.1</v>
      </c>
      <c r="M289" s="642" t="s">
        <v>860</v>
      </c>
      <c r="N289" s="642" t="s">
        <v>860</v>
      </c>
      <c r="O289" s="642"/>
      <c r="P289" s="642"/>
      <c r="Q289" s="642"/>
      <c r="R289" s="642"/>
      <c r="S289" s="642"/>
      <c r="T289" s="645"/>
      <c r="U289" s="4"/>
      <c r="V289" s="629"/>
      <c r="W289" s="4"/>
      <c r="X289" s="4"/>
      <c r="Y289" s="4"/>
      <c r="Z289" s="4"/>
      <c r="AA289" s="629">
        <v>1500</v>
      </c>
      <c r="AB289" s="4"/>
      <c r="AC289" s="4"/>
      <c r="AD289" s="642"/>
      <c r="AE289" s="642"/>
      <c r="AF289" s="642"/>
      <c r="AG289" s="642"/>
      <c r="AH289" s="642"/>
      <c r="AI289" s="642"/>
      <c r="AJ289" s="642"/>
      <c r="AK289" s="6"/>
      <c r="AL289" s="647"/>
      <c r="AM289" s="644"/>
      <c r="AN289" s="644"/>
      <c r="AO289" s="644"/>
      <c r="AP289" s="644"/>
      <c r="AQ289" s="644"/>
      <c r="AR289" s="644">
        <v>22</v>
      </c>
      <c r="AS289" s="644"/>
      <c r="AT289" s="644"/>
      <c r="AU289" s="644"/>
      <c r="AV289" s="642"/>
      <c r="AW289" s="642"/>
      <c r="AX289" s="642"/>
      <c r="AY289" s="642"/>
      <c r="AZ289" s="642"/>
      <c r="BA289" s="642"/>
      <c r="BB289" s="6"/>
      <c r="BC289" s="4"/>
      <c r="BD289" s="4"/>
      <c r="BE289" s="4"/>
      <c r="BF289" s="4"/>
      <c r="BG289" s="4"/>
      <c r="BH289" s="4"/>
      <c r="BI289" s="1068">
        <f t="shared" si="19"/>
        <v>33000</v>
      </c>
      <c r="BJ289" s="4"/>
      <c r="BK289" s="6"/>
      <c r="BL289" s="6"/>
      <c r="BM289" s="6"/>
      <c r="BN289" s="6"/>
      <c r="BO289" s="6"/>
      <c r="BP289" s="6"/>
      <c r="BQ289" s="6"/>
      <c r="BR289" s="6"/>
      <c r="BS289" s="6"/>
      <c r="BT289" s="6"/>
      <c r="BU289" s="6"/>
      <c r="BV289" s="130"/>
      <c r="BW289" s="130"/>
      <c r="BX289" s="130"/>
      <c r="BY289" s="130"/>
      <c r="BZ289" s="130">
        <v>7.0000000000000007E-2</v>
      </c>
      <c r="CA289" s="130"/>
      <c r="CB289" s="130"/>
      <c r="CC289" s="642"/>
      <c r="CD289" s="642"/>
      <c r="CE289" s="6"/>
      <c r="CF289" s="6"/>
      <c r="CG289" s="6"/>
      <c r="CH289" s="6"/>
      <c r="CI289" s="6"/>
      <c r="CJ289" s="6"/>
      <c r="CK289" s="4">
        <f t="shared" si="23"/>
        <v>0</v>
      </c>
      <c r="CL289" s="4">
        <f t="shared" si="24"/>
        <v>0</v>
      </c>
      <c r="CM289" s="4">
        <f t="shared" si="25"/>
        <v>0</v>
      </c>
      <c r="CN289" s="4">
        <f t="shared" si="26"/>
        <v>0</v>
      </c>
      <c r="CO289" s="4">
        <f t="shared" si="21"/>
        <v>0</v>
      </c>
      <c r="CP289" s="4">
        <f t="shared" si="22"/>
        <v>0</v>
      </c>
      <c r="CQ289" s="4">
        <f t="shared" si="27"/>
        <v>660</v>
      </c>
      <c r="CR289" s="4"/>
      <c r="CS289" s="4"/>
      <c r="CT289" s="642"/>
      <c r="CU289" s="642"/>
      <c r="CV289" s="642"/>
      <c r="CW289" s="642"/>
      <c r="CX289" s="642"/>
      <c r="CY289" s="642"/>
      <c r="CZ289" s="6"/>
      <c r="DA289" s="6">
        <f>I289*CK289</f>
        <v>0</v>
      </c>
      <c r="DB289" s="6"/>
      <c r="DC289" s="6">
        <f t="shared" ref="DC289:DD292" si="29">K289*CM289</f>
        <v>0</v>
      </c>
      <c r="DD289" s="6">
        <f t="shared" si="29"/>
        <v>0</v>
      </c>
      <c r="DE289" s="6"/>
      <c r="DF289" s="6"/>
      <c r="DG289" s="6"/>
      <c r="DH289" s="6"/>
      <c r="DI289" s="6"/>
      <c r="DJ289" s="642"/>
      <c r="DK289" s="642"/>
    </row>
    <row r="290" spans="1:115">
      <c r="A290" s="259">
        <v>6</v>
      </c>
      <c r="B290" s="6" t="s">
        <v>1470</v>
      </c>
      <c r="C290" s="6" t="s">
        <v>1471</v>
      </c>
      <c r="D290" s="645" t="s">
        <v>638</v>
      </c>
      <c r="E290" s="720">
        <v>0.5</v>
      </c>
      <c r="F290" s="342" t="s">
        <v>1455</v>
      </c>
      <c r="G290" s="641">
        <v>60</v>
      </c>
      <c r="H290" s="645"/>
      <c r="I290" s="4"/>
      <c r="J290" s="641">
        <v>5.0999999999999996</v>
      </c>
      <c r="K290" s="641">
        <v>5.4</v>
      </c>
      <c r="L290" s="642">
        <v>6.1</v>
      </c>
      <c r="M290" s="642" t="s">
        <v>860</v>
      </c>
      <c r="N290" s="642" t="s">
        <v>860</v>
      </c>
      <c r="O290" s="642"/>
      <c r="P290" s="642"/>
      <c r="Q290" s="642"/>
      <c r="R290" s="642"/>
      <c r="S290" s="642"/>
      <c r="T290" s="645"/>
      <c r="U290" s="4"/>
      <c r="V290" s="651"/>
      <c r="W290" s="4"/>
      <c r="X290" s="4"/>
      <c r="Y290" s="4"/>
      <c r="Z290" s="4"/>
      <c r="AA290" s="629">
        <f>Z308*(1+BZ290)</f>
        <v>2675</v>
      </c>
      <c r="AB290" s="4"/>
      <c r="AC290" s="4"/>
      <c r="AD290" s="642"/>
      <c r="AE290" s="642"/>
      <c r="AF290" s="642"/>
      <c r="AG290" s="642"/>
      <c r="AH290" s="642"/>
      <c r="AI290" s="642"/>
      <c r="AJ290" s="642"/>
      <c r="AK290" s="6"/>
      <c r="AL290" s="647"/>
      <c r="AM290" s="644"/>
      <c r="AN290" s="644"/>
      <c r="AO290" s="644"/>
      <c r="AP290" s="644"/>
      <c r="AQ290" s="644"/>
      <c r="AR290" s="644">
        <v>22</v>
      </c>
      <c r="AS290" s="644"/>
      <c r="AT290" s="644"/>
      <c r="AU290" s="644"/>
      <c r="AV290" s="642"/>
      <c r="AW290" s="642"/>
      <c r="AX290" s="642"/>
      <c r="AY290" s="642"/>
      <c r="AZ290" s="642"/>
      <c r="BA290" s="642"/>
      <c r="BB290" s="6"/>
      <c r="BC290" s="4"/>
      <c r="BD290" s="4"/>
      <c r="BE290" s="4"/>
      <c r="BF290" s="4"/>
      <c r="BG290" s="4"/>
      <c r="BH290" s="4"/>
      <c r="BI290" s="1068">
        <f t="shared" si="19"/>
        <v>29425</v>
      </c>
      <c r="BJ290" s="4"/>
      <c r="BK290" s="6"/>
      <c r="BL290" s="6"/>
      <c r="BM290" s="6"/>
      <c r="BN290" s="6"/>
      <c r="BO290" s="6"/>
      <c r="BP290" s="6"/>
      <c r="BQ290" s="6"/>
      <c r="BR290" s="6"/>
      <c r="BS290" s="6"/>
      <c r="BT290" s="6"/>
      <c r="BU290" s="6"/>
      <c r="BV290" s="130"/>
      <c r="BW290" s="130"/>
      <c r="BX290" s="130"/>
      <c r="BY290" s="130"/>
      <c r="BZ290" s="130">
        <v>7.0000000000000007E-2</v>
      </c>
      <c r="CA290" s="130"/>
      <c r="CB290" s="130"/>
      <c r="CC290" s="642"/>
      <c r="CD290" s="642"/>
      <c r="CE290" s="6"/>
      <c r="CF290" s="6"/>
      <c r="CG290" s="6"/>
      <c r="CH290" s="6"/>
      <c r="CI290" s="6"/>
      <c r="CJ290" s="6"/>
      <c r="CK290" s="4">
        <f t="shared" si="23"/>
        <v>0</v>
      </c>
      <c r="CL290" s="4">
        <f t="shared" si="24"/>
        <v>0</v>
      </c>
      <c r="CM290" s="4">
        <f t="shared" si="25"/>
        <v>0</v>
      </c>
      <c r="CN290" s="4">
        <f t="shared" si="26"/>
        <v>0</v>
      </c>
      <c r="CO290" s="4">
        <f t="shared" si="21"/>
        <v>0</v>
      </c>
      <c r="CP290" s="4">
        <f t="shared" si="22"/>
        <v>0</v>
      </c>
      <c r="CQ290" s="4">
        <f t="shared" si="27"/>
        <v>1320</v>
      </c>
      <c r="CR290" s="4"/>
      <c r="CS290" s="4"/>
      <c r="CT290" s="642"/>
      <c r="CU290" s="642"/>
      <c r="CV290" s="642"/>
      <c r="CW290" s="642"/>
      <c r="CX290" s="642"/>
      <c r="CY290" s="642"/>
      <c r="CZ290" s="6"/>
      <c r="DA290" s="6">
        <f>I290*CK290</f>
        <v>0</v>
      </c>
      <c r="DB290" s="6">
        <f>J290*CL290</f>
        <v>0</v>
      </c>
      <c r="DC290" s="6">
        <f t="shared" si="29"/>
        <v>0</v>
      </c>
      <c r="DD290" s="6">
        <f t="shared" si="29"/>
        <v>0</v>
      </c>
      <c r="DE290" s="6"/>
      <c r="DF290" s="6"/>
      <c r="DG290" s="6"/>
      <c r="DH290" s="6"/>
      <c r="DI290" s="6"/>
      <c r="DJ290" s="642"/>
      <c r="DK290" s="642"/>
    </row>
    <row r="291" spans="1:115">
      <c r="A291" s="36">
        <v>8</v>
      </c>
      <c r="B291" s="6" t="s">
        <v>1477</v>
      </c>
      <c r="C291" s="6" t="s">
        <v>1478</v>
      </c>
      <c r="D291" s="645" t="s">
        <v>638</v>
      </c>
      <c r="E291" s="720">
        <v>0.5</v>
      </c>
      <c r="F291" s="342" t="s">
        <v>1455</v>
      </c>
      <c r="G291" s="641">
        <v>60</v>
      </c>
      <c r="H291" s="645"/>
      <c r="I291" s="641">
        <v>8.6999999999999993</v>
      </c>
      <c r="J291" s="641">
        <v>9.6</v>
      </c>
      <c r="K291" s="641">
        <v>8.9</v>
      </c>
      <c r="L291" s="642">
        <v>9.1999999999999993</v>
      </c>
      <c r="M291" s="642" t="s">
        <v>860</v>
      </c>
      <c r="N291" s="642" t="s">
        <v>860</v>
      </c>
      <c r="O291" s="642"/>
      <c r="P291" s="642"/>
      <c r="Q291" s="642"/>
      <c r="R291" s="642"/>
      <c r="S291" s="642"/>
      <c r="T291" s="645"/>
      <c r="U291" s="652"/>
      <c r="V291" s="629"/>
      <c r="W291" s="4"/>
      <c r="X291" s="4"/>
      <c r="Y291" s="4"/>
      <c r="Z291" s="4"/>
      <c r="AA291" s="629">
        <f>Z309*(1+BZ291)</f>
        <v>2675</v>
      </c>
      <c r="AB291" s="4"/>
      <c r="AC291" s="4"/>
      <c r="AD291" s="642"/>
      <c r="AE291" s="642"/>
      <c r="AF291" s="642"/>
      <c r="AG291" s="642"/>
      <c r="AH291" s="642"/>
      <c r="AI291" s="642"/>
      <c r="AJ291" s="642"/>
      <c r="AK291" s="6"/>
      <c r="AL291" s="644"/>
      <c r="AM291" s="644"/>
      <c r="AN291" s="644"/>
      <c r="AO291" s="644"/>
      <c r="AP291" s="644"/>
      <c r="AQ291" s="644"/>
      <c r="AR291" s="644">
        <v>22</v>
      </c>
      <c r="AS291" s="644"/>
      <c r="AT291" s="644"/>
      <c r="AU291" s="644"/>
      <c r="AV291" s="642"/>
      <c r="AW291" s="642"/>
      <c r="AX291" s="642"/>
      <c r="AY291" s="642"/>
      <c r="AZ291" s="642"/>
      <c r="BA291" s="642"/>
      <c r="BB291" s="6"/>
      <c r="BC291" s="4"/>
      <c r="BD291" s="4"/>
      <c r="BE291" s="4"/>
      <c r="BF291" s="4"/>
      <c r="BG291" s="4"/>
      <c r="BH291" s="4"/>
      <c r="BI291" s="1068">
        <f t="shared" si="19"/>
        <v>29425</v>
      </c>
      <c r="BJ291" s="4"/>
      <c r="BK291" s="6"/>
      <c r="BL291" s="6"/>
      <c r="BM291" s="6"/>
      <c r="BN291" s="6"/>
      <c r="BO291" s="6"/>
      <c r="BP291" s="6"/>
      <c r="BQ291" s="6"/>
      <c r="BR291" s="6"/>
      <c r="BS291" s="6"/>
      <c r="BT291" s="6"/>
      <c r="BU291" s="38"/>
      <c r="BV291" s="130"/>
      <c r="BW291" s="130"/>
      <c r="BX291" s="130"/>
      <c r="BY291" s="130"/>
      <c r="BZ291" s="130">
        <v>7.0000000000000007E-2</v>
      </c>
      <c r="CA291" s="130"/>
      <c r="CB291" s="130"/>
      <c r="CC291" s="642"/>
      <c r="CD291" s="642"/>
      <c r="CE291" s="6"/>
      <c r="CF291" s="6"/>
      <c r="CG291" s="6"/>
      <c r="CH291" s="6"/>
      <c r="CI291" s="6"/>
      <c r="CJ291" s="6"/>
      <c r="CK291" s="4">
        <f t="shared" si="23"/>
        <v>0</v>
      </c>
      <c r="CL291" s="4">
        <f t="shared" si="24"/>
        <v>0</v>
      </c>
      <c r="CM291" s="4">
        <f t="shared" si="25"/>
        <v>0</v>
      </c>
      <c r="CN291" s="4">
        <f>$G291*AO291</f>
        <v>0</v>
      </c>
      <c r="CO291" s="4">
        <f t="shared" si="21"/>
        <v>0</v>
      </c>
      <c r="CP291" s="4">
        <f t="shared" si="22"/>
        <v>0</v>
      </c>
      <c r="CQ291" s="4">
        <f t="shared" si="27"/>
        <v>1320</v>
      </c>
      <c r="CR291" s="4"/>
      <c r="CS291" s="4"/>
      <c r="CT291" s="642"/>
      <c r="CU291" s="642"/>
      <c r="CV291" s="642"/>
      <c r="CW291" s="642"/>
      <c r="CX291" s="642"/>
      <c r="CY291" s="642"/>
      <c r="CZ291" s="6"/>
      <c r="DA291" s="6">
        <f>I291*CK291</f>
        <v>0</v>
      </c>
      <c r="DB291" s="6">
        <f>J291*CL291</f>
        <v>0</v>
      </c>
      <c r="DC291" s="6">
        <f t="shared" si="29"/>
        <v>0</v>
      </c>
      <c r="DD291" s="6">
        <f t="shared" si="29"/>
        <v>0</v>
      </c>
      <c r="DE291" s="6"/>
      <c r="DF291" s="6"/>
      <c r="DG291" s="6"/>
      <c r="DH291" s="6"/>
      <c r="DI291" s="6"/>
      <c r="DJ291" s="642"/>
      <c r="DK291" s="642"/>
    </row>
    <row r="292" spans="1:115">
      <c r="A292" s="36">
        <v>8</v>
      </c>
      <c r="B292" s="6" t="s">
        <v>1479</v>
      </c>
      <c r="C292" s="6" t="s">
        <v>1480</v>
      </c>
      <c r="D292" s="645" t="s">
        <v>1059</v>
      </c>
      <c r="E292" s="720">
        <v>1</v>
      </c>
      <c r="F292" s="342" t="s">
        <v>1455</v>
      </c>
      <c r="G292" s="641">
        <v>30</v>
      </c>
      <c r="H292" s="645"/>
      <c r="I292" s="641">
        <v>1.6</v>
      </c>
      <c r="J292" s="641">
        <v>1.7</v>
      </c>
      <c r="K292" s="641">
        <v>1.6</v>
      </c>
      <c r="L292" s="642">
        <v>1.5</v>
      </c>
      <c r="M292" s="642" t="s">
        <v>860</v>
      </c>
      <c r="N292" s="642" t="s">
        <v>860</v>
      </c>
      <c r="O292" s="642"/>
      <c r="P292" s="642"/>
      <c r="Q292" s="642"/>
      <c r="R292" s="642"/>
      <c r="S292" s="642"/>
      <c r="T292" s="645"/>
      <c r="U292" s="652"/>
      <c r="V292" s="629"/>
      <c r="W292" s="4"/>
      <c r="X292" s="4"/>
      <c r="Y292" s="4"/>
      <c r="Z292" s="4"/>
      <c r="AA292" s="629">
        <f>Z310*(1+BZ292)</f>
        <v>2140</v>
      </c>
      <c r="AB292" s="4"/>
      <c r="AC292" s="4"/>
      <c r="AD292" s="642"/>
      <c r="AE292" s="642"/>
      <c r="AF292" s="642"/>
      <c r="AG292" s="642"/>
      <c r="AH292" s="642"/>
      <c r="AI292" s="642"/>
      <c r="AJ292" s="642"/>
      <c r="AK292" s="6"/>
      <c r="AL292" s="644"/>
      <c r="AM292" s="644"/>
      <c r="AN292" s="644"/>
      <c r="AO292" s="644"/>
      <c r="AP292" s="644"/>
      <c r="AQ292" s="644"/>
      <c r="AR292" s="644">
        <v>22</v>
      </c>
      <c r="AS292" s="644"/>
      <c r="AT292" s="644"/>
      <c r="AU292" s="644"/>
      <c r="AV292" s="642"/>
      <c r="AW292" s="642"/>
      <c r="AX292" s="642"/>
      <c r="AY292" s="642"/>
      <c r="AZ292" s="642"/>
      <c r="BA292" s="642"/>
      <c r="BB292" s="6"/>
      <c r="BC292" s="4"/>
      <c r="BD292" s="4"/>
      <c r="BE292" s="4"/>
      <c r="BF292" s="4"/>
      <c r="BG292" s="4"/>
      <c r="BH292" s="4"/>
      <c r="BI292" s="1068">
        <f t="shared" si="19"/>
        <v>47080</v>
      </c>
      <c r="BJ292" s="4"/>
      <c r="BK292" s="6"/>
      <c r="BL292" s="6"/>
      <c r="BM292" s="6"/>
      <c r="BN292" s="6"/>
      <c r="BO292" s="6"/>
      <c r="BP292" s="6"/>
      <c r="BQ292" s="6"/>
      <c r="BR292" s="6"/>
      <c r="BS292" s="6"/>
      <c r="BT292" s="6"/>
      <c r="BU292" s="38"/>
      <c r="BV292" s="130"/>
      <c r="BW292" s="130"/>
      <c r="BX292" s="130"/>
      <c r="BY292" s="130"/>
      <c r="BZ292" s="130">
        <v>7.0000000000000007E-2</v>
      </c>
      <c r="CA292" s="130"/>
      <c r="CB292" s="130"/>
      <c r="CC292" s="642"/>
      <c r="CD292" s="642"/>
      <c r="CE292" s="6"/>
      <c r="CF292" s="6"/>
      <c r="CG292" s="6"/>
      <c r="CH292" s="6"/>
      <c r="CI292" s="6"/>
      <c r="CJ292" s="6"/>
      <c r="CK292" s="4">
        <f t="shared" si="23"/>
        <v>0</v>
      </c>
      <c r="CL292" s="4">
        <f t="shared" si="24"/>
        <v>0</v>
      </c>
      <c r="CM292" s="4">
        <f t="shared" si="25"/>
        <v>0</v>
      </c>
      <c r="CN292" s="4">
        <f>$G292*AO292</f>
        <v>0</v>
      </c>
      <c r="CO292" s="4">
        <f t="shared" si="21"/>
        <v>0</v>
      </c>
      <c r="CP292" s="4">
        <f t="shared" si="22"/>
        <v>0</v>
      </c>
      <c r="CQ292" s="4">
        <f t="shared" si="27"/>
        <v>660</v>
      </c>
      <c r="CR292" s="4"/>
      <c r="CS292" s="4"/>
      <c r="CT292" s="642"/>
      <c r="CU292" s="642"/>
      <c r="CV292" s="642"/>
      <c r="CW292" s="642"/>
      <c r="CX292" s="642"/>
      <c r="CY292" s="642"/>
      <c r="CZ292" s="6"/>
      <c r="DA292" s="6">
        <f>I292*CK292</f>
        <v>0</v>
      </c>
      <c r="DB292" s="6">
        <f>J292*CL292</f>
        <v>0</v>
      </c>
      <c r="DC292" s="6">
        <f t="shared" si="29"/>
        <v>0</v>
      </c>
      <c r="DD292" s="6">
        <f t="shared" si="29"/>
        <v>0</v>
      </c>
      <c r="DE292" s="6"/>
      <c r="DF292" s="6"/>
      <c r="DG292" s="6"/>
      <c r="DH292" s="6"/>
      <c r="DI292" s="6"/>
      <c r="DJ292" s="642"/>
      <c r="DK292" s="642"/>
    </row>
    <row r="293" spans="1:115">
      <c r="A293" s="36">
        <v>3</v>
      </c>
      <c r="B293" s="11" t="s">
        <v>930</v>
      </c>
      <c r="C293" s="11" t="s">
        <v>598</v>
      </c>
      <c r="D293" s="648" t="s">
        <v>638</v>
      </c>
      <c r="E293" s="720">
        <v>0.5</v>
      </c>
      <c r="F293" s="342"/>
      <c r="G293" s="641">
        <v>60</v>
      </c>
      <c r="H293" s="645"/>
      <c r="I293" s="641"/>
      <c r="J293" s="641"/>
      <c r="K293" s="641"/>
      <c r="L293" s="642"/>
      <c r="M293" s="642"/>
      <c r="N293" s="642"/>
      <c r="O293" s="642"/>
      <c r="P293" s="642"/>
      <c r="Q293" s="642"/>
      <c r="R293" s="642"/>
      <c r="S293" s="642"/>
      <c r="T293" s="645"/>
      <c r="U293" s="652"/>
      <c r="V293" s="629"/>
      <c r="W293" s="4"/>
      <c r="X293" s="4"/>
      <c r="Y293" s="4"/>
      <c r="Z293" s="4"/>
      <c r="AA293" s="629">
        <f>Z311*(1+BZ293)</f>
        <v>2675</v>
      </c>
      <c r="AB293" s="4"/>
      <c r="AC293" s="4"/>
      <c r="AD293" s="642"/>
      <c r="AE293" s="642"/>
      <c r="AF293" s="642"/>
      <c r="AG293" s="642"/>
      <c r="AH293" s="642"/>
      <c r="AI293" s="642"/>
      <c r="AJ293" s="642"/>
      <c r="AK293" s="6"/>
      <c r="AL293" s="644"/>
      <c r="AM293" s="644"/>
      <c r="AN293" s="644"/>
      <c r="AO293" s="644"/>
      <c r="AP293" s="644"/>
      <c r="AQ293" s="644"/>
      <c r="AR293" s="644">
        <v>22</v>
      </c>
      <c r="AS293" s="644"/>
      <c r="AT293" s="644"/>
      <c r="AU293" s="644"/>
      <c r="AV293" s="642"/>
      <c r="AW293" s="642"/>
      <c r="AX293" s="642"/>
      <c r="AY293" s="642"/>
      <c r="AZ293" s="642"/>
      <c r="BA293" s="642"/>
      <c r="BB293" s="6"/>
      <c r="BC293" s="4"/>
      <c r="BD293" s="4"/>
      <c r="BE293" s="4"/>
      <c r="BF293" s="4"/>
      <c r="BG293" s="4"/>
      <c r="BH293" s="4"/>
      <c r="BI293" s="1068">
        <f t="shared" si="19"/>
        <v>29425</v>
      </c>
      <c r="BJ293" s="4"/>
      <c r="BK293" s="6"/>
      <c r="BL293" s="6"/>
      <c r="BM293" s="6"/>
      <c r="BN293" s="6"/>
      <c r="BO293" s="6"/>
      <c r="BP293" s="6"/>
      <c r="BQ293" s="6"/>
      <c r="BR293" s="6"/>
      <c r="BS293" s="6"/>
      <c r="BT293" s="6"/>
      <c r="BU293" s="38"/>
      <c r="BV293" s="130"/>
      <c r="BW293" s="130"/>
      <c r="BX293" s="130"/>
      <c r="BY293" s="130"/>
      <c r="BZ293" s="130">
        <v>7.0000000000000007E-2</v>
      </c>
      <c r="CA293" s="130"/>
      <c r="CB293" s="130"/>
      <c r="CC293" s="642"/>
      <c r="CD293" s="642"/>
      <c r="CE293" s="6"/>
      <c r="CF293" s="6"/>
      <c r="CG293" s="6"/>
      <c r="CH293" s="6"/>
      <c r="CI293" s="6"/>
      <c r="CJ293" s="6"/>
      <c r="CK293" s="4">
        <f t="shared" si="23"/>
        <v>0</v>
      </c>
      <c r="CL293" s="4">
        <f t="shared" si="24"/>
        <v>0</v>
      </c>
      <c r="CM293" s="4">
        <f t="shared" si="25"/>
        <v>0</v>
      </c>
      <c r="CN293" s="4">
        <f>$G293*AO293</f>
        <v>0</v>
      </c>
      <c r="CO293" s="4">
        <f t="shared" si="21"/>
        <v>0</v>
      </c>
      <c r="CP293" s="4">
        <f t="shared" si="22"/>
        <v>0</v>
      </c>
      <c r="CQ293" s="4">
        <f t="shared" si="27"/>
        <v>1320</v>
      </c>
      <c r="CR293" s="4"/>
      <c r="CS293" s="4"/>
      <c r="CT293" s="642"/>
      <c r="CU293" s="642"/>
      <c r="CV293" s="642"/>
      <c r="CW293" s="642"/>
      <c r="CX293" s="642"/>
      <c r="CY293" s="642"/>
      <c r="CZ293" s="6"/>
      <c r="DA293" s="6"/>
      <c r="DB293" s="6"/>
      <c r="DC293" s="6"/>
      <c r="DD293" s="6"/>
      <c r="DE293" s="6"/>
      <c r="DF293" s="6"/>
      <c r="DG293" s="6"/>
      <c r="DH293" s="6"/>
      <c r="DI293" s="6"/>
      <c r="DJ293" s="642"/>
      <c r="DK293" s="642"/>
    </row>
    <row r="294" spans="1:115">
      <c r="A294" s="36">
        <v>2</v>
      </c>
      <c r="B294" s="11" t="s">
        <v>613</v>
      </c>
      <c r="C294" s="11" t="s">
        <v>598</v>
      </c>
      <c r="D294" s="648" t="s">
        <v>638</v>
      </c>
      <c r="E294" s="720">
        <v>1</v>
      </c>
      <c r="F294" s="342"/>
      <c r="G294" s="641">
        <v>30</v>
      </c>
      <c r="H294" s="645"/>
      <c r="I294" s="641"/>
      <c r="J294" s="641"/>
      <c r="K294" s="641"/>
      <c r="L294" s="642"/>
      <c r="M294" s="642"/>
      <c r="N294" s="642"/>
      <c r="O294" s="642"/>
      <c r="P294" s="642"/>
      <c r="Q294" s="642"/>
      <c r="R294" s="642"/>
      <c r="S294" s="642"/>
      <c r="T294" s="645"/>
      <c r="U294" s="652"/>
      <c r="V294" s="629"/>
      <c r="W294" s="4"/>
      <c r="X294" s="4"/>
      <c r="Y294" s="4"/>
      <c r="Z294" s="4"/>
      <c r="AA294" s="629">
        <f>Z317*(1+BZ294)</f>
        <v>2140</v>
      </c>
      <c r="AB294" s="4"/>
      <c r="AC294" s="4"/>
      <c r="AD294" s="642"/>
      <c r="AE294" s="642"/>
      <c r="AF294" s="642"/>
      <c r="AG294" s="642"/>
      <c r="AH294" s="642"/>
      <c r="AI294" s="642"/>
      <c r="AJ294" s="642"/>
      <c r="AK294" s="6"/>
      <c r="AL294" s="644"/>
      <c r="AM294" s="644"/>
      <c r="AN294" s="644"/>
      <c r="AO294" s="644"/>
      <c r="AP294" s="644"/>
      <c r="AQ294" s="644"/>
      <c r="AR294" s="644">
        <v>15</v>
      </c>
      <c r="AS294" s="644"/>
      <c r="AT294" s="644"/>
      <c r="AU294" s="644"/>
      <c r="AV294" s="642"/>
      <c r="AW294" s="642"/>
      <c r="AX294" s="642"/>
      <c r="AY294" s="642"/>
      <c r="AZ294" s="642"/>
      <c r="BA294" s="642"/>
      <c r="BB294" s="6"/>
      <c r="BC294" s="4"/>
      <c r="BD294" s="4"/>
      <c r="BE294" s="4"/>
      <c r="BF294" s="4"/>
      <c r="BG294" s="4"/>
      <c r="BH294" s="4"/>
      <c r="BI294" s="1068">
        <f t="shared" si="19"/>
        <v>32100</v>
      </c>
      <c r="BJ294" s="4"/>
      <c r="BK294" s="6"/>
      <c r="BL294" s="6"/>
      <c r="BM294" s="6"/>
      <c r="BN294" s="6"/>
      <c r="BO294" s="6"/>
      <c r="BP294" s="6"/>
      <c r="BQ294" s="6"/>
      <c r="BR294" s="6"/>
      <c r="BS294" s="6"/>
      <c r="BT294" s="6"/>
      <c r="BU294" s="38"/>
      <c r="BV294" s="130"/>
      <c r="BW294" s="130"/>
      <c r="BX294" s="130"/>
      <c r="BY294" s="130"/>
      <c r="BZ294" s="130">
        <v>7.0000000000000007E-2</v>
      </c>
      <c r="CA294" s="130"/>
      <c r="CB294" s="130"/>
      <c r="CC294" s="642"/>
      <c r="CD294" s="642"/>
      <c r="CE294" s="6"/>
      <c r="CF294" s="6"/>
      <c r="CG294" s="6"/>
      <c r="CH294" s="6"/>
      <c r="CI294" s="6"/>
      <c r="CJ294" s="6"/>
      <c r="CK294" s="4">
        <f t="shared" si="23"/>
        <v>0</v>
      </c>
      <c r="CL294" s="4">
        <f t="shared" si="24"/>
        <v>0</v>
      </c>
      <c r="CM294" s="4">
        <f t="shared" si="25"/>
        <v>0</v>
      </c>
      <c r="CN294" s="4">
        <f>$G294*AO294</f>
        <v>0</v>
      </c>
      <c r="CO294" s="4">
        <f t="shared" si="21"/>
        <v>0</v>
      </c>
      <c r="CP294" s="4">
        <f t="shared" si="22"/>
        <v>0</v>
      </c>
      <c r="CQ294" s="4">
        <f t="shared" si="27"/>
        <v>450</v>
      </c>
      <c r="CR294" s="4"/>
      <c r="CS294" s="4"/>
      <c r="CT294" s="642"/>
      <c r="CU294" s="642"/>
      <c r="CV294" s="642"/>
      <c r="CW294" s="642"/>
      <c r="CX294" s="642"/>
      <c r="CY294" s="642"/>
      <c r="CZ294" s="6"/>
      <c r="DA294" s="6"/>
      <c r="DB294" s="6"/>
      <c r="DC294" s="6"/>
      <c r="DD294" s="6"/>
      <c r="DE294" s="6"/>
      <c r="DF294" s="6"/>
      <c r="DG294" s="6"/>
      <c r="DH294" s="6"/>
      <c r="DI294" s="6"/>
      <c r="DJ294" s="642"/>
      <c r="DK294" s="642"/>
    </row>
    <row r="295" spans="1:115">
      <c r="A295" s="36">
        <v>2</v>
      </c>
      <c r="B295" s="11" t="s">
        <v>486</v>
      </c>
      <c r="C295" s="11" t="s">
        <v>598</v>
      </c>
      <c r="D295" s="648" t="s">
        <v>595</v>
      </c>
      <c r="E295" s="720">
        <v>0.5</v>
      </c>
      <c r="F295" s="342"/>
      <c r="G295" s="641">
        <v>30</v>
      </c>
      <c r="H295" s="645"/>
      <c r="I295" s="641"/>
      <c r="J295" s="641"/>
      <c r="K295" s="641"/>
      <c r="L295" s="642"/>
      <c r="M295" s="642"/>
      <c r="N295" s="642"/>
      <c r="O295" s="642"/>
      <c r="P295" s="642"/>
      <c r="Q295" s="642"/>
      <c r="R295" s="642"/>
      <c r="S295" s="642"/>
      <c r="T295" s="645"/>
      <c r="U295" s="652"/>
      <c r="V295" s="629"/>
      <c r="W295" s="4"/>
      <c r="X295" s="4"/>
      <c r="Y295" s="4"/>
      <c r="Z295" s="4"/>
      <c r="AA295" s="629">
        <f>Z314*(1+BZ295)</f>
        <v>1605</v>
      </c>
      <c r="AB295" s="4"/>
      <c r="AC295" s="4"/>
      <c r="AD295" s="642"/>
      <c r="AE295" s="642"/>
      <c r="AF295" s="642"/>
      <c r="AG295" s="642"/>
      <c r="AH295" s="642"/>
      <c r="AI295" s="642"/>
      <c r="AJ295" s="642"/>
      <c r="AK295" s="6"/>
      <c r="AL295" s="644"/>
      <c r="AM295" s="644"/>
      <c r="AN295" s="644"/>
      <c r="AO295" s="644"/>
      <c r="AP295" s="644"/>
      <c r="AQ295" s="644"/>
      <c r="AR295" s="644">
        <v>22</v>
      </c>
      <c r="AS295" s="644"/>
      <c r="AT295" s="644"/>
      <c r="AU295" s="644"/>
      <c r="AV295" s="642"/>
      <c r="AW295" s="642"/>
      <c r="AX295" s="642"/>
      <c r="AY295" s="642"/>
      <c r="AZ295" s="642"/>
      <c r="BA295" s="642"/>
      <c r="BB295" s="6"/>
      <c r="BC295" s="4"/>
      <c r="BD295" s="4"/>
      <c r="BE295" s="4"/>
      <c r="BF295" s="4"/>
      <c r="BG295" s="4"/>
      <c r="BH295" s="4"/>
      <c r="BI295" s="1068">
        <f t="shared" si="19"/>
        <v>17655</v>
      </c>
      <c r="BJ295" s="4"/>
      <c r="BK295" s="6"/>
      <c r="BL295" s="6"/>
      <c r="BM295" s="6"/>
      <c r="BN295" s="6"/>
      <c r="BO295" s="6"/>
      <c r="BP295" s="6"/>
      <c r="BQ295" s="6"/>
      <c r="BR295" s="6"/>
      <c r="BS295" s="6"/>
      <c r="BT295" s="6"/>
      <c r="BU295" s="38"/>
      <c r="BV295" s="130"/>
      <c r="BW295" s="130"/>
      <c r="BX295" s="130"/>
      <c r="BY295" s="130"/>
      <c r="BZ295" s="130">
        <v>7.0000000000000007E-2</v>
      </c>
      <c r="CA295" s="130"/>
      <c r="CB295" s="130"/>
      <c r="CC295" s="642"/>
      <c r="CD295" s="642"/>
      <c r="CE295" s="6"/>
      <c r="CF295" s="6"/>
      <c r="CG295" s="6"/>
      <c r="CH295" s="6"/>
      <c r="CI295" s="6"/>
      <c r="CJ295" s="6"/>
      <c r="CK295" s="4"/>
      <c r="CL295" s="4"/>
      <c r="CM295" s="4"/>
      <c r="CN295" s="4"/>
      <c r="CO295" s="4"/>
      <c r="CP295" s="4"/>
      <c r="CQ295" s="4"/>
      <c r="CR295" s="4"/>
      <c r="CS295" s="4"/>
      <c r="CT295" s="642"/>
      <c r="CU295" s="642"/>
      <c r="CV295" s="642"/>
      <c r="CW295" s="642"/>
      <c r="CX295" s="642"/>
      <c r="CY295" s="642"/>
      <c r="CZ295" s="6"/>
      <c r="DA295" s="6"/>
      <c r="DB295" s="6"/>
      <c r="DC295" s="6"/>
      <c r="DD295" s="6"/>
      <c r="DE295" s="6"/>
      <c r="DF295" s="6"/>
      <c r="DG295" s="6"/>
      <c r="DH295" s="6"/>
      <c r="DI295" s="6"/>
      <c r="DJ295" s="642"/>
      <c r="DK295" s="642"/>
    </row>
    <row r="296" spans="1:115">
      <c r="A296" s="259"/>
      <c r="B296" s="6"/>
      <c r="C296" s="6"/>
      <c r="D296" s="645"/>
      <c r="E296" s="645"/>
      <c r="F296" s="342"/>
      <c r="G296" s="641"/>
      <c r="H296" s="645"/>
      <c r="I296" s="641"/>
      <c r="J296" s="641"/>
      <c r="K296" s="641"/>
      <c r="L296" s="642"/>
      <c r="M296" s="642"/>
      <c r="N296" s="642"/>
      <c r="O296" s="642"/>
      <c r="P296" s="642"/>
      <c r="Q296" s="642"/>
      <c r="R296" s="642"/>
      <c r="S296" s="642"/>
      <c r="T296" s="645"/>
      <c r="U296" s="652"/>
      <c r="V296" s="629"/>
      <c r="W296" s="4"/>
      <c r="X296" s="4"/>
      <c r="Y296" s="4"/>
      <c r="Z296" s="4"/>
      <c r="AA296" s="4"/>
      <c r="AB296" s="4"/>
      <c r="AC296" s="4"/>
      <c r="AD296" s="642"/>
      <c r="AE296" s="642"/>
      <c r="AF296" s="642"/>
      <c r="AG296" s="642"/>
      <c r="AH296" s="642"/>
      <c r="AI296" s="642"/>
      <c r="AJ296" s="642"/>
      <c r="AK296" s="6"/>
      <c r="AL296" s="644"/>
      <c r="AM296" s="644"/>
      <c r="AN296" s="644"/>
      <c r="AO296" s="644"/>
      <c r="AP296" s="644"/>
      <c r="AQ296" s="644"/>
      <c r="AR296" s="644"/>
      <c r="AS296" s="644"/>
      <c r="AT296" s="644"/>
      <c r="AU296" s="644"/>
      <c r="AV296" s="642"/>
      <c r="AW296" s="642"/>
      <c r="AX296" s="642"/>
      <c r="AY296" s="642"/>
      <c r="AZ296" s="642"/>
      <c r="BA296" s="642"/>
      <c r="BB296" s="6"/>
      <c r="BC296" s="4"/>
      <c r="BD296" s="4"/>
      <c r="BE296" s="4"/>
      <c r="BF296" s="4"/>
      <c r="BG296" s="4"/>
      <c r="BH296" s="4"/>
      <c r="BI296" s="4"/>
      <c r="BJ296" s="4"/>
      <c r="BK296" s="6"/>
      <c r="BL296" s="6"/>
      <c r="BM296" s="6"/>
      <c r="BN296" s="6"/>
      <c r="BO296" s="6"/>
      <c r="BP296" s="6"/>
      <c r="BQ296" s="6"/>
      <c r="BR296" s="6"/>
      <c r="BS296" s="6"/>
      <c r="BT296" s="6"/>
      <c r="BU296" s="38"/>
      <c r="BV296" s="130"/>
      <c r="BW296" s="130"/>
      <c r="BX296" s="130"/>
      <c r="BY296" s="130"/>
      <c r="BZ296" s="130"/>
      <c r="CA296" s="130"/>
      <c r="CB296" s="130"/>
      <c r="CC296" s="642"/>
      <c r="CD296" s="642"/>
      <c r="CE296" s="6"/>
      <c r="CF296" s="6"/>
      <c r="CG296" s="6"/>
      <c r="CH296" s="6"/>
      <c r="CI296" s="6"/>
      <c r="CJ296" s="6"/>
      <c r="CK296" s="4"/>
      <c r="CL296" s="4"/>
      <c r="CM296" s="4"/>
      <c r="CN296" s="4"/>
      <c r="CO296" s="4"/>
      <c r="CP296" s="4"/>
      <c r="CQ296" s="4"/>
      <c r="CR296" s="4"/>
      <c r="CS296" s="4"/>
      <c r="CT296" s="642"/>
      <c r="CU296" s="642"/>
      <c r="CV296" s="642"/>
      <c r="CW296" s="642"/>
      <c r="CX296" s="642"/>
      <c r="CY296" s="642"/>
      <c r="CZ296" s="6"/>
      <c r="DA296" s="6"/>
      <c r="DB296" s="6"/>
      <c r="DC296" s="6"/>
      <c r="DD296" s="6"/>
      <c r="DE296" s="6"/>
      <c r="DF296" s="6"/>
      <c r="DG296" s="6"/>
      <c r="DH296" s="6"/>
      <c r="DI296" s="6"/>
      <c r="DJ296" s="642"/>
      <c r="DK296" s="642"/>
    </row>
    <row r="297" spans="1:115">
      <c r="A297" s="640" t="s">
        <v>1409</v>
      </c>
      <c r="B297" s="1"/>
      <c r="C297" s="1"/>
      <c r="D297" s="1"/>
      <c r="E297" s="1"/>
      <c r="F297" s="1"/>
      <c r="G297" s="1"/>
      <c r="H297" s="1"/>
      <c r="I297" s="464"/>
      <c r="J297" s="464"/>
      <c r="K297" s="464"/>
      <c r="L297" s="84"/>
      <c r="M297" s="84"/>
      <c r="N297" s="84"/>
      <c r="O297" s="84"/>
      <c r="P297" s="84"/>
      <c r="Q297" s="84"/>
      <c r="R297" s="84"/>
      <c r="S297" s="84"/>
      <c r="T297" s="1"/>
      <c r="U297" s="464"/>
      <c r="V297" s="464"/>
      <c r="W297" s="464"/>
      <c r="X297" s="84"/>
      <c r="Y297" s="84"/>
      <c r="Z297" s="84"/>
      <c r="AA297" s="84"/>
      <c r="AB297" s="84"/>
      <c r="AC297" s="84"/>
      <c r="AD297" s="84"/>
      <c r="AE297" s="84"/>
      <c r="AF297" s="84"/>
      <c r="AG297" s="84"/>
      <c r="AH297" s="84"/>
      <c r="AI297" s="84"/>
      <c r="AJ297" s="84"/>
      <c r="AK297" s="6"/>
      <c r="AL297" s="275"/>
      <c r="AM297" s="275"/>
      <c r="AN297" s="275"/>
      <c r="AO297" s="6"/>
      <c r="AP297" s="84"/>
      <c r="AQ297" s="84"/>
      <c r="AR297" s="84"/>
      <c r="AS297" s="84"/>
      <c r="AT297" s="84"/>
      <c r="AU297" s="84"/>
      <c r="AV297" s="84"/>
      <c r="AW297" s="84"/>
      <c r="AX297" s="84"/>
      <c r="AY297" s="84"/>
      <c r="AZ297" s="84"/>
      <c r="BA297" s="84"/>
      <c r="BB297" s="6"/>
      <c r="BC297" s="464"/>
      <c r="BD297" s="464"/>
      <c r="BE297" s="464"/>
      <c r="BF297" s="84"/>
      <c r="BG297" s="84"/>
      <c r="BH297" s="84"/>
      <c r="BI297" s="84"/>
      <c r="BJ297" s="84"/>
      <c r="BK297" s="6"/>
      <c r="BL297" s="6"/>
      <c r="BM297" s="6"/>
      <c r="BN297" s="6"/>
      <c r="BO297" s="6"/>
      <c r="BP297" s="6"/>
      <c r="BQ297" s="6"/>
      <c r="BR297" s="6"/>
      <c r="BS297" s="6"/>
      <c r="BT297" s="464"/>
      <c r="BU297" s="464"/>
      <c r="BV297" s="464"/>
      <c r="BW297" s="84"/>
      <c r="BX297" s="84"/>
      <c r="BY297" s="84"/>
      <c r="BZ297" s="84"/>
      <c r="CA297" s="84"/>
      <c r="CB297" s="84"/>
      <c r="CC297" s="84"/>
      <c r="CD297" s="84"/>
      <c r="CE297" s="6"/>
      <c r="CF297" s="6"/>
      <c r="CG297" s="6"/>
      <c r="CH297" s="6"/>
      <c r="CI297" s="6"/>
      <c r="CJ297" s="6"/>
      <c r="CK297" s="464"/>
      <c r="CL297" s="464"/>
      <c r="CM297" s="464"/>
      <c r="CN297" s="84"/>
      <c r="CO297" s="84"/>
      <c r="CP297" s="84"/>
      <c r="CQ297" s="84"/>
      <c r="CR297" s="84"/>
      <c r="CS297" s="84"/>
      <c r="CT297" s="84"/>
      <c r="CU297" s="84"/>
      <c r="CV297" s="84"/>
      <c r="CW297" s="84"/>
      <c r="CX297" s="84"/>
      <c r="CY297" s="84"/>
      <c r="CZ297" s="6"/>
      <c r="DA297" s="464"/>
      <c r="DB297" s="464"/>
      <c r="DC297" s="464"/>
      <c r="DD297" s="84"/>
      <c r="DE297" s="84"/>
      <c r="DF297" s="6"/>
      <c r="DG297" s="6"/>
      <c r="DH297" s="6"/>
      <c r="DI297" s="6"/>
      <c r="DJ297" s="84"/>
      <c r="DK297" s="84"/>
    </row>
    <row r="298" spans="1:115">
      <c r="A298" s="259"/>
      <c r="B298" s="725"/>
      <c r="C298" s="1"/>
      <c r="D298" s="1"/>
      <c r="E298" s="1"/>
      <c r="F298" s="1"/>
      <c r="G298" s="1"/>
      <c r="H298" s="1"/>
      <c r="I298" s="464"/>
      <c r="J298" s="464"/>
      <c r="K298" s="464"/>
      <c r="L298" s="84"/>
      <c r="M298" s="84"/>
      <c r="N298" s="84"/>
      <c r="O298" s="84"/>
      <c r="P298" s="84"/>
      <c r="Q298" s="84"/>
      <c r="R298" s="84"/>
      <c r="S298" s="84"/>
      <c r="T298" s="1"/>
      <c r="U298" s="464"/>
      <c r="V298" s="464"/>
      <c r="W298" s="464"/>
      <c r="X298" s="84"/>
      <c r="Y298" s="84"/>
      <c r="Z298" s="84"/>
      <c r="AA298" s="84"/>
      <c r="AB298" s="84"/>
      <c r="AC298" s="84"/>
      <c r="AD298" s="84"/>
      <c r="AE298" s="84"/>
      <c r="AF298" s="84"/>
      <c r="AG298" s="84"/>
      <c r="AH298" s="84"/>
      <c r="AI298" s="84"/>
      <c r="AJ298" s="84"/>
      <c r="AK298" s="6"/>
      <c r="AL298" s="275"/>
      <c r="AM298" s="275"/>
      <c r="AN298" s="275"/>
      <c r="AO298" s="6"/>
      <c r="AP298" s="84"/>
      <c r="AQ298" s="84"/>
      <c r="AR298" s="84"/>
      <c r="AS298" s="84"/>
      <c r="AT298" s="84"/>
      <c r="AU298" s="84"/>
      <c r="AV298" s="84"/>
      <c r="AW298" s="84"/>
      <c r="AX298" s="84"/>
      <c r="AY298" s="84"/>
      <c r="AZ298" s="84"/>
      <c r="BA298" s="84"/>
      <c r="BB298" s="6"/>
      <c r="BC298" s="464"/>
      <c r="BD298" s="464"/>
      <c r="BE298" s="464"/>
      <c r="BF298" s="84"/>
      <c r="BG298" s="84"/>
      <c r="BH298" s="84"/>
      <c r="BI298" s="84"/>
      <c r="BJ298" s="84"/>
      <c r="BK298" s="6"/>
      <c r="BL298" s="6"/>
      <c r="BM298" s="6"/>
      <c r="BN298" s="6"/>
      <c r="BO298" s="6"/>
      <c r="BP298" s="6"/>
      <c r="BQ298" s="6"/>
      <c r="BR298" s="6"/>
      <c r="BS298" s="6"/>
      <c r="BT298" s="464"/>
      <c r="BU298" s="464"/>
      <c r="BV298" s="464"/>
      <c r="BW298" s="84"/>
      <c r="BX298" s="84"/>
      <c r="BY298" s="84"/>
      <c r="BZ298" s="84"/>
      <c r="CA298" s="84"/>
      <c r="CB298" s="84"/>
      <c r="CC298" s="84"/>
      <c r="CD298" s="84"/>
      <c r="CE298" s="6"/>
      <c r="CF298" s="6"/>
      <c r="CG298" s="6"/>
      <c r="CH298" s="6"/>
      <c r="CI298" s="6"/>
      <c r="CJ298" s="6"/>
      <c r="CK298" s="464"/>
      <c r="CL298" s="464"/>
      <c r="CM298" s="464"/>
      <c r="CN298" s="84"/>
      <c r="CO298" s="84"/>
      <c r="CP298" s="84"/>
      <c r="CQ298" s="84"/>
      <c r="CR298" s="84"/>
      <c r="CS298" s="84"/>
      <c r="CT298" s="84"/>
      <c r="CU298" s="84"/>
      <c r="CV298" s="84"/>
      <c r="CW298" s="84"/>
      <c r="CX298" s="84"/>
      <c r="CY298" s="84"/>
      <c r="CZ298" s="6"/>
      <c r="DA298" s="464"/>
      <c r="DB298" s="464"/>
      <c r="DC298" s="464"/>
      <c r="DD298" s="84"/>
      <c r="DE298" s="84"/>
      <c r="DF298" s="6"/>
      <c r="DG298" s="6"/>
      <c r="DH298" s="6"/>
      <c r="DI298" s="6"/>
      <c r="DJ298" s="84"/>
      <c r="DK298" s="84"/>
    </row>
    <row r="299" spans="1:115">
      <c r="A299" s="86">
        <v>2</v>
      </c>
      <c r="B299" s="84" t="s">
        <v>594</v>
      </c>
      <c r="C299" s="6" t="s">
        <v>598</v>
      </c>
      <c r="D299" s="645" t="s">
        <v>596</v>
      </c>
      <c r="E299" s="720">
        <v>1</v>
      </c>
      <c r="F299" s="84"/>
      <c r="G299" s="641">
        <v>30</v>
      </c>
      <c r="H299" s="84"/>
      <c r="I299" s="641"/>
      <c r="J299" s="641"/>
      <c r="K299" s="641"/>
      <c r="L299" s="641"/>
      <c r="M299" s="642" t="s">
        <v>860</v>
      </c>
      <c r="N299" s="642"/>
      <c r="O299" s="642"/>
      <c r="P299" s="642"/>
      <c r="Q299" s="642"/>
      <c r="R299" s="642"/>
      <c r="S299" s="642"/>
      <c r="T299" s="84"/>
      <c r="U299" s="643"/>
      <c r="V299" s="4"/>
      <c r="W299" s="95"/>
      <c r="X299" s="629"/>
      <c r="Y299" s="629"/>
      <c r="Z299" s="629">
        <v>2000</v>
      </c>
      <c r="AA299" s="629"/>
      <c r="AB299" s="629"/>
      <c r="AC299" s="629"/>
      <c r="AD299" s="642"/>
      <c r="AE299" s="642"/>
      <c r="AF299" s="642"/>
      <c r="AG299" s="642"/>
      <c r="AH299" s="642"/>
      <c r="AI299" s="642"/>
      <c r="AJ299" s="642"/>
      <c r="AK299" s="11"/>
      <c r="AL299" s="11"/>
      <c r="AM299" s="6"/>
      <c r="AN299" s="6"/>
      <c r="AO299" s="6"/>
      <c r="AP299" s="644"/>
      <c r="AQ299" s="644">
        <v>22</v>
      </c>
      <c r="AR299" s="644"/>
      <c r="AS299" s="644"/>
      <c r="AT299" s="644"/>
      <c r="AU299" s="644"/>
      <c r="AV299" s="642"/>
      <c r="AW299" s="642"/>
      <c r="AX299" s="642"/>
      <c r="AY299" s="642"/>
      <c r="AZ299" s="642"/>
      <c r="BA299" s="642"/>
      <c r="BB299" s="6"/>
      <c r="BC299" s="6"/>
      <c r="BD299" s="6"/>
      <c r="BE299" s="6"/>
      <c r="BF299" s="6"/>
      <c r="BG299" s="4"/>
      <c r="BH299" s="1068">
        <f>$AQ299*$Z299*$E299</f>
        <v>44000</v>
      </c>
      <c r="BI299" s="4"/>
      <c r="BJ299" s="4"/>
      <c r="BK299" s="6"/>
      <c r="BL299" s="6"/>
      <c r="BM299" s="6"/>
      <c r="BN299" s="6"/>
      <c r="BO299" s="6"/>
      <c r="BP299" s="6"/>
      <c r="BQ299" s="6"/>
      <c r="BR299" s="6"/>
      <c r="BS299" s="6"/>
      <c r="BT299" s="6"/>
      <c r="BU299" s="6"/>
      <c r="BV299" s="6"/>
      <c r="BW299" s="6"/>
      <c r="BX299" s="130"/>
      <c r="BY299" s="6"/>
      <c r="BZ299" s="6"/>
      <c r="CA299" s="6"/>
      <c r="CB299" s="6"/>
      <c r="CC299" s="642"/>
      <c r="CD299" s="642"/>
      <c r="CE299" s="6"/>
      <c r="CF299" s="6"/>
      <c r="CG299" s="6"/>
      <c r="CH299" s="6"/>
      <c r="CI299" s="6"/>
      <c r="CJ299" s="6"/>
      <c r="CK299" s="6"/>
      <c r="CL299" s="6"/>
      <c r="CM299" s="6"/>
      <c r="CN299" s="4">
        <f>$G299*AO299</f>
        <v>0</v>
      </c>
      <c r="CO299" s="4">
        <f>$G299*AP299</f>
        <v>0</v>
      </c>
      <c r="CP299" s="6"/>
      <c r="CQ299" s="6"/>
      <c r="CR299" s="6"/>
      <c r="CS299" s="6"/>
      <c r="CT299" s="642"/>
      <c r="CU299" s="642"/>
      <c r="CV299" s="642"/>
      <c r="CW299" s="642"/>
      <c r="CX299" s="642"/>
      <c r="CY299" s="642"/>
      <c r="CZ299" s="6"/>
      <c r="DA299" s="6"/>
      <c r="DB299" s="6"/>
      <c r="DC299" s="6"/>
      <c r="DD299" s="6">
        <f>L299*CN299</f>
        <v>0</v>
      </c>
      <c r="DE299" s="6"/>
      <c r="DF299" s="6"/>
      <c r="DG299" s="6"/>
      <c r="DH299" s="6"/>
      <c r="DI299" s="6"/>
      <c r="DJ299" s="642"/>
      <c r="DK299" s="642"/>
    </row>
    <row r="300" spans="1:115">
      <c r="A300" s="259">
        <v>2</v>
      </c>
      <c r="B300" s="725" t="s">
        <v>593</v>
      </c>
      <c r="C300" s="6" t="s">
        <v>598</v>
      </c>
      <c r="D300" s="342" t="s">
        <v>638</v>
      </c>
      <c r="E300" s="720">
        <v>0.5</v>
      </c>
      <c r="F300" s="1"/>
      <c r="G300" s="661">
        <v>60</v>
      </c>
      <c r="H300" s="84"/>
      <c r="I300" s="641"/>
      <c r="J300" s="641"/>
      <c r="K300" s="641"/>
      <c r="L300" s="641"/>
      <c r="M300" s="642" t="s">
        <v>860</v>
      </c>
      <c r="N300" s="642" t="s">
        <v>860</v>
      </c>
      <c r="O300" s="642"/>
      <c r="P300" s="642"/>
      <c r="Q300" s="642"/>
      <c r="R300" s="642"/>
      <c r="S300" s="642"/>
      <c r="T300" s="84"/>
      <c r="U300" s="643"/>
      <c r="V300" s="4"/>
      <c r="W300" s="95"/>
      <c r="X300" s="629"/>
      <c r="Y300" s="629"/>
      <c r="Z300" s="629">
        <v>2500</v>
      </c>
      <c r="AA300" s="629"/>
      <c r="AB300" s="629"/>
      <c r="AC300" s="629"/>
      <c r="AD300" s="642"/>
      <c r="AE300" s="642"/>
      <c r="AF300" s="642"/>
      <c r="AG300" s="642"/>
      <c r="AH300" s="642"/>
      <c r="AI300" s="642"/>
      <c r="AJ300" s="642"/>
      <c r="AK300" s="11"/>
      <c r="AL300" s="11"/>
      <c r="AM300" s="6"/>
      <c r="AN300" s="6"/>
      <c r="AO300" s="6"/>
      <c r="AP300" s="644"/>
      <c r="AQ300" s="644">
        <v>22</v>
      </c>
      <c r="AR300" s="644"/>
      <c r="AS300" s="644"/>
      <c r="AT300" s="644"/>
      <c r="AU300" s="644"/>
      <c r="AV300" s="642"/>
      <c r="AW300" s="642"/>
      <c r="AX300" s="642"/>
      <c r="AY300" s="642"/>
      <c r="AZ300" s="642"/>
      <c r="BA300" s="642"/>
      <c r="BB300" s="6"/>
      <c r="BC300" s="6"/>
      <c r="BD300" s="6"/>
      <c r="BE300" s="6"/>
      <c r="BF300" s="6"/>
      <c r="BG300" s="4"/>
      <c r="BH300" s="1068">
        <f>$AQ300*$Z300*$E300</f>
        <v>27500</v>
      </c>
      <c r="BI300" s="4"/>
      <c r="BJ300" s="4"/>
      <c r="BK300" s="6"/>
      <c r="BL300" s="6"/>
      <c r="BM300" s="6"/>
      <c r="BN300" s="6"/>
      <c r="BO300" s="6"/>
      <c r="BP300" s="6"/>
      <c r="BQ300" s="6"/>
      <c r="BR300" s="6"/>
      <c r="BS300" s="6"/>
      <c r="BT300" s="6"/>
      <c r="BU300" s="6"/>
      <c r="BV300" s="6"/>
      <c r="BW300" s="6"/>
      <c r="BX300" s="6"/>
      <c r="BY300" s="130"/>
      <c r="BZ300" s="6"/>
      <c r="CA300" s="6"/>
      <c r="CB300" s="6"/>
      <c r="CC300" s="642"/>
      <c r="CD300" s="642"/>
      <c r="CE300" s="6"/>
      <c r="CF300" s="6"/>
      <c r="CG300" s="6"/>
      <c r="CH300" s="6"/>
      <c r="CI300" s="6"/>
      <c r="CJ300" s="6"/>
      <c r="CK300" s="6"/>
      <c r="CL300" s="6"/>
      <c r="CM300" s="6"/>
      <c r="CN300" s="6"/>
      <c r="CO300" s="6"/>
      <c r="CP300" s="4">
        <f>$G300*AQ300</f>
        <v>1320</v>
      </c>
      <c r="CQ300" s="6"/>
      <c r="CR300" s="6"/>
      <c r="CS300" s="6"/>
      <c r="CT300" s="642"/>
      <c r="CU300" s="642"/>
      <c r="CV300" s="642"/>
      <c r="CW300" s="642"/>
      <c r="CX300" s="642"/>
      <c r="CY300" s="642"/>
      <c r="CZ300" s="6"/>
      <c r="DA300" s="6"/>
      <c r="DB300" s="6"/>
      <c r="DC300" s="6"/>
      <c r="DD300" s="6"/>
      <c r="DE300" s="6"/>
      <c r="DF300" s="6"/>
      <c r="DG300" s="6"/>
      <c r="DH300" s="6"/>
      <c r="DI300" s="6"/>
      <c r="DJ300" s="642"/>
      <c r="DK300" s="642"/>
    </row>
    <row r="301" spans="1:115">
      <c r="A301" s="86">
        <v>2</v>
      </c>
      <c r="B301" s="84" t="s">
        <v>1451</v>
      </c>
      <c r="C301" s="6" t="s">
        <v>598</v>
      </c>
      <c r="D301" s="645" t="s">
        <v>638</v>
      </c>
      <c r="E301" s="720">
        <v>1</v>
      </c>
      <c r="F301" s="84"/>
      <c r="G301" s="661">
        <v>60</v>
      </c>
      <c r="H301" s="84"/>
      <c r="I301" s="641"/>
      <c r="J301" s="641"/>
      <c r="K301" s="641"/>
      <c r="L301" s="641"/>
      <c r="M301" s="642" t="s">
        <v>860</v>
      </c>
      <c r="N301" s="642" t="s">
        <v>860</v>
      </c>
      <c r="O301" s="642"/>
      <c r="P301" s="642"/>
      <c r="Q301" s="642"/>
      <c r="R301" s="642"/>
      <c r="S301" s="642"/>
      <c r="T301" s="84"/>
      <c r="U301" s="643"/>
      <c r="V301" s="4"/>
      <c r="W301" s="95"/>
      <c r="X301" s="629"/>
      <c r="Y301" s="629"/>
      <c r="Z301" s="629">
        <v>2500</v>
      </c>
      <c r="AA301" s="629"/>
      <c r="AB301" s="629"/>
      <c r="AC301" s="629"/>
      <c r="AD301" s="642"/>
      <c r="AE301" s="642"/>
      <c r="AF301" s="642"/>
      <c r="AG301" s="642"/>
      <c r="AH301" s="642"/>
      <c r="AI301" s="642"/>
      <c r="AJ301" s="642"/>
      <c r="AK301" s="11"/>
      <c r="AL301" s="11"/>
      <c r="AM301" s="6"/>
      <c r="AN301" s="6"/>
      <c r="AO301" s="6"/>
      <c r="AP301" s="644"/>
      <c r="AQ301" s="644">
        <v>22</v>
      </c>
      <c r="AR301" s="644"/>
      <c r="AS301" s="644"/>
      <c r="AT301" s="644"/>
      <c r="AU301" s="644"/>
      <c r="AV301" s="642"/>
      <c r="AW301" s="642"/>
      <c r="AX301" s="642"/>
      <c r="AY301" s="642"/>
      <c r="AZ301" s="642"/>
      <c r="BA301" s="642"/>
      <c r="BB301" s="6"/>
      <c r="BC301" s="6"/>
      <c r="BD301" s="6"/>
      <c r="BE301" s="6"/>
      <c r="BF301" s="6"/>
      <c r="BG301" s="4"/>
      <c r="BH301" s="1068">
        <f t="shared" ref="BH301:BH317" si="30">$AQ301*$Z301*$E301</f>
        <v>55000</v>
      </c>
      <c r="BI301" s="4"/>
      <c r="BJ301" s="4"/>
      <c r="BK301" s="6"/>
      <c r="BL301" s="6"/>
      <c r="BM301" s="6"/>
      <c r="BN301" s="6"/>
      <c r="BO301" s="6"/>
      <c r="BP301" s="6"/>
      <c r="BQ301" s="6"/>
      <c r="BR301" s="6"/>
      <c r="BS301" s="6"/>
      <c r="BT301" s="6"/>
      <c r="BU301" s="6"/>
      <c r="BV301" s="6"/>
      <c r="BW301" s="6"/>
      <c r="BX301" s="6"/>
      <c r="BY301" s="130"/>
      <c r="BZ301" s="6"/>
      <c r="CA301" s="6"/>
      <c r="CB301" s="6"/>
      <c r="CC301" s="642"/>
      <c r="CD301" s="642"/>
      <c r="CE301" s="6"/>
      <c r="CF301" s="6"/>
      <c r="CG301" s="6"/>
      <c r="CH301" s="6"/>
      <c r="CI301" s="6"/>
      <c r="CJ301" s="6"/>
      <c r="CK301" s="6"/>
      <c r="CL301" s="6"/>
      <c r="CM301" s="6"/>
      <c r="CN301" s="6"/>
      <c r="CO301" s="6"/>
      <c r="CP301" s="4">
        <f>$G301*AQ301</f>
        <v>1320</v>
      </c>
      <c r="CQ301" s="6"/>
      <c r="CR301" s="6"/>
      <c r="CS301" s="6"/>
      <c r="CT301" s="642"/>
      <c r="CU301" s="642"/>
      <c r="CV301" s="642"/>
      <c r="CW301" s="642"/>
      <c r="CX301" s="642"/>
      <c r="CY301" s="642"/>
      <c r="CZ301" s="6"/>
      <c r="DA301" s="6"/>
      <c r="DB301" s="6"/>
      <c r="DC301" s="6"/>
      <c r="DD301" s="6"/>
      <c r="DE301" s="6"/>
      <c r="DF301" s="6"/>
      <c r="DG301" s="6"/>
      <c r="DH301" s="6"/>
      <c r="DI301" s="6"/>
      <c r="DJ301" s="642"/>
      <c r="DK301" s="642"/>
    </row>
    <row r="302" spans="1:115">
      <c r="A302" s="179">
        <v>3</v>
      </c>
      <c r="B302" s="6" t="s">
        <v>597</v>
      </c>
      <c r="C302" s="6" t="s">
        <v>598</v>
      </c>
      <c r="D302" s="645" t="s">
        <v>220</v>
      </c>
      <c r="E302" s="720">
        <v>1</v>
      </c>
      <c r="F302" s="342"/>
      <c r="G302" s="641">
        <v>60</v>
      </c>
      <c r="H302" s="645"/>
      <c r="I302" s="4"/>
      <c r="J302" s="4"/>
      <c r="K302" s="4"/>
      <c r="L302" s="642" t="s">
        <v>860</v>
      </c>
      <c r="M302" s="641"/>
      <c r="N302" s="641"/>
      <c r="O302" s="641"/>
      <c r="P302" s="641"/>
      <c r="Q302" s="641"/>
      <c r="R302" s="641"/>
      <c r="S302" s="641"/>
      <c r="T302" s="645"/>
      <c r="U302" s="4"/>
      <c r="V302" s="4"/>
      <c r="W302" s="95"/>
      <c r="X302" s="95"/>
      <c r="Y302" s="95"/>
      <c r="Z302" s="629">
        <v>2000</v>
      </c>
      <c r="AA302" s="95"/>
      <c r="AB302" s="95"/>
      <c r="AC302" s="95"/>
      <c r="AD302" s="641"/>
      <c r="AE302" s="641"/>
      <c r="AF302" s="641"/>
      <c r="AG302" s="641"/>
      <c r="AH302" s="641"/>
      <c r="AI302" s="641"/>
      <c r="AJ302" s="641"/>
      <c r="AK302" s="11"/>
      <c r="AL302" s="646"/>
      <c r="AM302" s="647"/>
      <c r="AN302" s="647"/>
      <c r="AO302" s="644"/>
      <c r="AP302" s="644"/>
      <c r="AQ302" s="644">
        <v>13</v>
      </c>
      <c r="AR302" s="95"/>
      <c r="AS302" s="95"/>
      <c r="AT302" s="95"/>
      <c r="AU302" s="95"/>
      <c r="AV302" s="641"/>
      <c r="AW302" s="641"/>
      <c r="AX302" s="641"/>
      <c r="AY302" s="641"/>
      <c r="AZ302" s="641"/>
      <c r="BA302" s="641"/>
      <c r="BB302" s="6"/>
      <c r="BC302" s="4"/>
      <c r="BD302" s="4"/>
      <c r="BE302" s="4"/>
      <c r="BF302" s="4"/>
      <c r="BG302" s="4"/>
      <c r="BH302" s="1068">
        <f t="shared" si="30"/>
        <v>26000</v>
      </c>
      <c r="BI302" s="4"/>
      <c r="BJ302" s="4"/>
      <c r="BK302" s="6"/>
      <c r="BL302" s="6"/>
      <c r="BM302" s="6"/>
      <c r="BN302" s="6"/>
      <c r="BO302" s="6"/>
      <c r="BP302" s="6"/>
      <c r="BQ302" s="6"/>
      <c r="BR302" s="6"/>
      <c r="BS302" s="6"/>
      <c r="BT302" s="6"/>
      <c r="BU302" s="6"/>
      <c r="BV302" s="6"/>
      <c r="BW302" s="130"/>
      <c r="BX302" s="6"/>
      <c r="BY302" s="6"/>
      <c r="BZ302" s="6"/>
      <c r="CA302" s="6"/>
      <c r="CB302" s="6"/>
      <c r="CC302" s="641"/>
      <c r="CD302" s="641"/>
      <c r="CE302" s="6"/>
      <c r="CF302" s="6"/>
      <c r="CG302" s="6"/>
      <c r="CH302" s="6"/>
      <c r="CI302" s="6"/>
      <c r="CJ302" s="6"/>
      <c r="CK302" s="4"/>
      <c r="CL302" s="4"/>
      <c r="CM302" s="4">
        <f>$G302*AN302</f>
        <v>0</v>
      </c>
      <c r="CN302" s="4">
        <f>$G302*AO302</f>
        <v>0</v>
      </c>
      <c r="CO302" s="4">
        <f>$G302*AP302</f>
        <v>0</v>
      </c>
      <c r="CP302" s="4"/>
      <c r="CQ302" s="4"/>
      <c r="CR302" s="4"/>
      <c r="CS302" s="4"/>
      <c r="CT302" s="641"/>
      <c r="CU302" s="641"/>
      <c r="CV302" s="641"/>
      <c r="CW302" s="641"/>
      <c r="CX302" s="641"/>
      <c r="CY302" s="641"/>
      <c r="CZ302" s="6"/>
      <c r="DA302" s="6">
        <f>I302*CK302</f>
        <v>0</v>
      </c>
      <c r="DB302" s="6">
        <f>J302*CL302</f>
        <v>0</v>
      </c>
      <c r="DC302" s="6">
        <f>K302*CM302</f>
        <v>0</v>
      </c>
      <c r="DD302" s="6"/>
      <c r="DE302" s="6"/>
      <c r="DF302" s="6"/>
      <c r="DG302" s="6"/>
      <c r="DH302" s="6"/>
      <c r="DI302" s="6"/>
      <c r="DJ302" s="641"/>
      <c r="DK302" s="641"/>
    </row>
    <row r="303" spans="1:115">
      <c r="A303" s="86">
        <v>3</v>
      </c>
      <c r="B303" s="84" t="s">
        <v>1449</v>
      </c>
      <c r="C303" s="6" t="s">
        <v>598</v>
      </c>
      <c r="D303" s="645" t="s">
        <v>1450</v>
      </c>
      <c r="E303" s="720">
        <v>1</v>
      </c>
      <c r="F303" s="84"/>
      <c r="G303" s="661">
        <v>60</v>
      </c>
      <c r="H303" s="84"/>
      <c r="I303" s="641"/>
      <c r="J303" s="641"/>
      <c r="K303" s="641"/>
      <c r="L303" s="641"/>
      <c r="M303" s="642" t="s">
        <v>860</v>
      </c>
      <c r="N303" s="642" t="s">
        <v>860</v>
      </c>
      <c r="O303" s="642"/>
      <c r="P303" s="642"/>
      <c r="Q303" s="642"/>
      <c r="R303" s="642"/>
      <c r="S303" s="642"/>
      <c r="T303" s="84"/>
      <c r="U303" s="643"/>
      <c r="V303" s="4"/>
      <c r="W303" s="95"/>
      <c r="X303" s="629"/>
      <c r="Y303" s="629"/>
      <c r="Z303" s="629">
        <v>2000</v>
      </c>
      <c r="AA303" s="629"/>
      <c r="AB303" s="629"/>
      <c r="AC303" s="629"/>
      <c r="AD303" s="642"/>
      <c r="AE303" s="642"/>
      <c r="AF303" s="642"/>
      <c r="AG303" s="642"/>
      <c r="AH303" s="642"/>
      <c r="AI303" s="642"/>
      <c r="AJ303" s="642"/>
      <c r="AK303" s="11"/>
      <c r="AL303" s="11"/>
      <c r="AM303" s="6"/>
      <c r="AN303" s="6"/>
      <c r="AO303" s="6"/>
      <c r="AP303" s="644"/>
      <c r="AQ303" s="644">
        <v>13</v>
      </c>
      <c r="AR303" s="644"/>
      <c r="AS303" s="644"/>
      <c r="AT303" s="644"/>
      <c r="AU303" s="644"/>
      <c r="AV303" s="642"/>
      <c r="AW303" s="642"/>
      <c r="AX303" s="642"/>
      <c r="AY303" s="642"/>
      <c r="AZ303" s="642"/>
      <c r="BA303" s="642"/>
      <c r="BB303" s="6"/>
      <c r="BC303" s="6"/>
      <c r="BD303" s="6"/>
      <c r="BE303" s="6"/>
      <c r="BF303" s="6"/>
      <c r="BG303" s="4"/>
      <c r="BH303" s="1068">
        <f t="shared" si="30"/>
        <v>26000</v>
      </c>
      <c r="BI303" s="4"/>
      <c r="BJ303" s="4"/>
      <c r="BK303" s="6"/>
      <c r="BL303" s="6"/>
      <c r="BM303" s="6"/>
      <c r="BN303" s="6"/>
      <c r="BO303" s="6"/>
      <c r="BP303" s="6"/>
      <c r="BQ303" s="6"/>
      <c r="BR303" s="6"/>
      <c r="BS303" s="6"/>
      <c r="BT303" s="6"/>
      <c r="BU303" s="6"/>
      <c r="BV303" s="6"/>
      <c r="BW303" s="6"/>
      <c r="BX303" s="6"/>
      <c r="BY303" s="130"/>
      <c r="BZ303" s="6"/>
      <c r="CA303" s="6"/>
      <c r="CB303" s="6"/>
      <c r="CC303" s="642"/>
      <c r="CD303" s="642"/>
      <c r="CE303" s="6"/>
      <c r="CF303" s="6"/>
      <c r="CG303" s="6"/>
      <c r="CH303" s="6"/>
      <c r="CI303" s="6"/>
      <c r="CJ303" s="6"/>
      <c r="CK303" s="6"/>
      <c r="CL303" s="6"/>
      <c r="CM303" s="6"/>
      <c r="CN303" s="6"/>
      <c r="CO303" s="6"/>
      <c r="CP303" s="4">
        <f t="shared" ref="CP303:CP311" si="31">$G303*AQ303</f>
        <v>780</v>
      </c>
      <c r="CQ303" s="6"/>
      <c r="CR303" s="6"/>
      <c r="CS303" s="6"/>
      <c r="CT303" s="642"/>
      <c r="CU303" s="642"/>
      <c r="CV303" s="642"/>
      <c r="CW303" s="642"/>
      <c r="CX303" s="642"/>
      <c r="CY303" s="642"/>
      <c r="CZ303" s="6"/>
      <c r="DA303" s="6"/>
      <c r="DB303" s="6"/>
      <c r="DC303" s="6"/>
      <c r="DD303" s="6"/>
      <c r="DE303" s="6"/>
      <c r="DF303" s="6"/>
      <c r="DG303" s="6"/>
      <c r="DH303" s="6"/>
      <c r="DI303" s="6"/>
      <c r="DJ303" s="642"/>
      <c r="DK303" s="642"/>
    </row>
    <row r="304" spans="1:115">
      <c r="A304" s="86">
        <v>3</v>
      </c>
      <c r="B304" s="6" t="s">
        <v>1453</v>
      </c>
      <c r="C304" s="6" t="s">
        <v>1454</v>
      </c>
      <c r="D304" s="645" t="s">
        <v>638</v>
      </c>
      <c r="E304" s="720">
        <v>0.5</v>
      </c>
      <c r="F304" s="342" t="s">
        <v>1455</v>
      </c>
      <c r="G304" s="641">
        <v>60</v>
      </c>
      <c r="H304" s="645"/>
      <c r="I304" s="4"/>
      <c r="J304" s="4"/>
      <c r="K304" s="4"/>
      <c r="L304" s="642">
        <v>4.9000000000000004</v>
      </c>
      <c r="M304" s="642" t="s">
        <v>860</v>
      </c>
      <c r="N304" s="642" t="s">
        <v>860</v>
      </c>
      <c r="O304" s="642"/>
      <c r="P304" s="642"/>
      <c r="Q304" s="642"/>
      <c r="R304" s="642"/>
      <c r="S304" s="642"/>
      <c r="T304" s="645"/>
      <c r="U304" s="4"/>
      <c r="V304" s="4"/>
      <c r="W304" s="95"/>
      <c r="X304" s="95"/>
      <c r="Y304" s="95"/>
      <c r="Z304" s="629">
        <v>2500</v>
      </c>
      <c r="AA304" s="95"/>
      <c r="AB304" s="95"/>
      <c r="AC304" s="95"/>
      <c r="AD304" s="642"/>
      <c r="AE304" s="642"/>
      <c r="AF304" s="642"/>
      <c r="AG304" s="642"/>
      <c r="AH304" s="642"/>
      <c r="AI304" s="642"/>
      <c r="AJ304" s="642"/>
      <c r="AK304" s="11"/>
      <c r="AL304" s="646"/>
      <c r="AM304" s="647"/>
      <c r="AN304" s="647"/>
      <c r="AO304" s="644"/>
      <c r="AP304" s="644"/>
      <c r="AQ304" s="644">
        <v>22</v>
      </c>
      <c r="AR304" s="644"/>
      <c r="AS304" s="644"/>
      <c r="AT304" s="644"/>
      <c r="AU304" s="644"/>
      <c r="AV304" s="642"/>
      <c r="AW304" s="642"/>
      <c r="AX304" s="642"/>
      <c r="AY304" s="642"/>
      <c r="AZ304" s="642"/>
      <c r="BA304" s="642"/>
      <c r="BB304" s="6"/>
      <c r="BC304" s="4"/>
      <c r="BD304" s="4"/>
      <c r="BE304" s="4"/>
      <c r="BF304" s="4"/>
      <c r="BG304" s="4"/>
      <c r="BH304" s="1068">
        <f t="shared" si="30"/>
        <v>27500</v>
      </c>
      <c r="BI304" s="4"/>
      <c r="BJ304" s="4"/>
      <c r="BK304" s="6"/>
      <c r="BL304" s="6"/>
      <c r="BM304" s="6"/>
      <c r="BN304" s="6"/>
      <c r="BO304" s="6"/>
      <c r="BP304" s="6"/>
      <c r="BQ304" s="6"/>
      <c r="BR304" s="6"/>
      <c r="BS304" s="6"/>
      <c r="BT304" s="6"/>
      <c r="BU304" s="6"/>
      <c r="BV304" s="6"/>
      <c r="BW304" s="6"/>
      <c r="BX304" s="130"/>
      <c r="BY304" s="130"/>
      <c r="BZ304" s="130"/>
      <c r="CA304" s="130"/>
      <c r="CB304" s="130"/>
      <c r="CC304" s="642"/>
      <c r="CD304" s="642"/>
      <c r="CE304" s="6"/>
      <c r="CF304" s="6"/>
      <c r="CG304" s="6"/>
      <c r="CH304" s="6"/>
      <c r="CI304" s="6"/>
      <c r="CJ304" s="6"/>
      <c r="CK304" s="4">
        <f t="shared" ref="CK304:CK311" si="32">$G304*AL304</f>
        <v>0</v>
      </c>
      <c r="CL304" s="4">
        <f t="shared" ref="CL304:CL311" si="33">$G304*AM304</f>
        <v>0</v>
      </c>
      <c r="CM304" s="4">
        <f t="shared" ref="CM304:CM311" si="34">$G304*AN304</f>
        <v>0</v>
      </c>
      <c r="CN304" s="4">
        <f t="shared" ref="CN304:CO311" si="35">$G304*AO304</f>
        <v>0</v>
      </c>
      <c r="CO304" s="4">
        <f t="shared" si="35"/>
        <v>0</v>
      </c>
      <c r="CP304" s="4">
        <f t="shared" si="31"/>
        <v>1320</v>
      </c>
      <c r="CQ304" s="4"/>
      <c r="CR304" s="4"/>
      <c r="CS304" s="4"/>
      <c r="CT304" s="642"/>
      <c r="CU304" s="642"/>
      <c r="CV304" s="642"/>
      <c r="CW304" s="642"/>
      <c r="CX304" s="642"/>
      <c r="CY304" s="642"/>
      <c r="CZ304" s="6"/>
      <c r="DA304" s="6">
        <f t="shared" ref="DA304:DD310" si="36">I304*CK304</f>
        <v>0</v>
      </c>
      <c r="DB304" s="6">
        <f t="shared" si="36"/>
        <v>0</v>
      </c>
      <c r="DC304" s="6">
        <f t="shared" si="36"/>
        <v>0</v>
      </c>
      <c r="DD304" s="6">
        <f t="shared" si="36"/>
        <v>0</v>
      </c>
      <c r="DE304" s="6"/>
      <c r="DF304" s="6"/>
      <c r="DG304" s="6"/>
      <c r="DH304" s="6"/>
      <c r="DI304" s="6"/>
      <c r="DJ304" s="642"/>
      <c r="DK304" s="642"/>
    </row>
    <row r="305" spans="1:115">
      <c r="A305" s="259">
        <v>4</v>
      </c>
      <c r="B305" s="6" t="s">
        <v>1456</v>
      </c>
      <c r="C305" s="6" t="s">
        <v>1457</v>
      </c>
      <c r="D305" s="645" t="s">
        <v>638</v>
      </c>
      <c r="E305" s="720">
        <v>0.5</v>
      </c>
      <c r="F305" s="342" t="s">
        <v>1455</v>
      </c>
      <c r="G305" s="641">
        <v>60</v>
      </c>
      <c r="H305" s="645"/>
      <c r="I305" s="4"/>
      <c r="J305" s="4"/>
      <c r="K305" s="641">
        <v>3.5</v>
      </c>
      <c r="L305" s="642">
        <v>3.5</v>
      </c>
      <c r="M305" s="642" t="s">
        <v>860</v>
      </c>
      <c r="N305" s="642" t="s">
        <v>860</v>
      </c>
      <c r="O305" s="642"/>
      <c r="P305" s="642"/>
      <c r="Q305" s="642"/>
      <c r="R305" s="642"/>
      <c r="S305" s="642"/>
      <c r="T305" s="645"/>
      <c r="U305" s="4"/>
      <c r="V305" s="4"/>
      <c r="W305" s="95"/>
      <c r="X305" s="95"/>
      <c r="Y305" s="95"/>
      <c r="Z305" s="629">
        <v>2500</v>
      </c>
      <c r="AA305" s="95"/>
      <c r="AB305" s="95"/>
      <c r="AC305" s="95"/>
      <c r="AD305" s="642"/>
      <c r="AE305" s="642"/>
      <c r="AF305" s="642"/>
      <c r="AG305" s="642"/>
      <c r="AH305" s="642"/>
      <c r="AI305" s="642"/>
      <c r="AJ305" s="642"/>
      <c r="AK305" s="11"/>
      <c r="AL305" s="646"/>
      <c r="AM305" s="647"/>
      <c r="AN305" s="644"/>
      <c r="AO305" s="644"/>
      <c r="AP305" s="644"/>
      <c r="AQ305" s="644">
        <v>22</v>
      </c>
      <c r="AR305" s="644"/>
      <c r="AS305" s="644"/>
      <c r="AT305" s="644"/>
      <c r="AU305" s="644"/>
      <c r="AV305" s="642"/>
      <c r="AW305" s="642"/>
      <c r="AX305" s="642"/>
      <c r="AY305" s="642"/>
      <c r="AZ305" s="642"/>
      <c r="BA305" s="642"/>
      <c r="BB305" s="6"/>
      <c r="BC305" s="4"/>
      <c r="BD305" s="4"/>
      <c r="BE305" s="4"/>
      <c r="BF305" s="4"/>
      <c r="BG305" s="4"/>
      <c r="BH305" s="1068">
        <f t="shared" si="30"/>
        <v>27500</v>
      </c>
      <c r="BI305" s="4"/>
      <c r="BJ305" s="4"/>
      <c r="BK305" s="6"/>
      <c r="BL305" s="6"/>
      <c r="BM305" s="6"/>
      <c r="BN305" s="6"/>
      <c r="BO305" s="6"/>
      <c r="BP305" s="6"/>
      <c r="BQ305" s="6"/>
      <c r="BR305" s="6"/>
      <c r="BS305" s="6"/>
      <c r="BT305" s="6"/>
      <c r="BU305" s="6"/>
      <c r="BV305" s="38"/>
      <c r="BW305" s="130"/>
      <c r="BX305" s="130"/>
      <c r="BY305" s="130"/>
      <c r="BZ305" s="130"/>
      <c r="CA305" s="130"/>
      <c r="CB305" s="130"/>
      <c r="CC305" s="642"/>
      <c r="CD305" s="642"/>
      <c r="CE305" s="6"/>
      <c r="CF305" s="6"/>
      <c r="CG305" s="6"/>
      <c r="CH305" s="6"/>
      <c r="CI305" s="6"/>
      <c r="CJ305" s="6"/>
      <c r="CK305" s="4">
        <f t="shared" si="32"/>
        <v>0</v>
      </c>
      <c r="CL305" s="4">
        <f t="shared" si="33"/>
        <v>0</v>
      </c>
      <c r="CM305" s="4">
        <f t="shared" si="34"/>
        <v>0</v>
      </c>
      <c r="CN305" s="4">
        <f t="shared" si="35"/>
        <v>0</v>
      </c>
      <c r="CO305" s="4">
        <f t="shared" si="35"/>
        <v>0</v>
      </c>
      <c r="CP305" s="4">
        <f t="shared" si="31"/>
        <v>1320</v>
      </c>
      <c r="CQ305" s="4"/>
      <c r="CR305" s="4"/>
      <c r="CS305" s="4"/>
      <c r="CT305" s="642"/>
      <c r="CU305" s="642"/>
      <c r="CV305" s="642"/>
      <c r="CW305" s="642"/>
      <c r="CX305" s="642"/>
      <c r="CY305" s="642"/>
      <c r="CZ305" s="6"/>
      <c r="DA305" s="6">
        <f t="shared" si="36"/>
        <v>0</v>
      </c>
      <c r="DB305" s="6">
        <f t="shared" si="36"/>
        <v>0</v>
      </c>
      <c r="DC305" s="6">
        <f t="shared" si="36"/>
        <v>0</v>
      </c>
      <c r="DD305" s="6">
        <f t="shared" si="36"/>
        <v>0</v>
      </c>
      <c r="DE305" s="6"/>
      <c r="DF305" s="6"/>
      <c r="DG305" s="6"/>
      <c r="DH305" s="6"/>
      <c r="DI305" s="6"/>
      <c r="DJ305" s="642"/>
      <c r="DK305" s="642"/>
    </row>
    <row r="306" spans="1:115">
      <c r="A306" s="259">
        <v>4</v>
      </c>
      <c r="B306" s="6" t="s">
        <v>1461</v>
      </c>
      <c r="C306" s="6" t="s">
        <v>1462</v>
      </c>
      <c r="D306" s="645" t="s">
        <v>638</v>
      </c>
      <c r="E306" s="720">
        <v>1</v>
      </c>
      <c r="F306" s="342" t="s">
        <v>1455</v>
      </c>
      <c r="G306" s="641">
        <v>60</v>
      </c>
      <c r="H306" s="645"/>
      <c r="I306" s="4"/>
      <c r="J306" s="4"/>
      <c r="K306" s="641">
        <v>2.6</v>
      </c>
      <c r="L306" s="642">
        <v>3.1</v>
      </c>
      <c r="M306" s="642" t="s">
        <v>860</v>
      </c>
      <c r="N306" s="642" t="s">
        <v>860</v>
      </c>
      <c r="O306" s="642"/>
      <c r="P306" s="642"/>
      <c r="Q306" s="642"/>
      <c r="R306" s="642"/>
      <c r="S306" s="642"/>
      <c r="T306" s="645"/>
      <c r="U306" s="4"/>
      <c r="V306" s="4"/>
      <c r="W306" s="95"/>
      <c r="X306" s="95"/>
      <c r="Y306" s="95"/>
      <c r="Z306" s="629">
        <v>2500</v>
      </c>
      <c r="AA306" s="95"/>
      <c r="AB306" s="95"/>
      <c r="AC306" s="95"/>
      <c r="AD306" s="642"/>
      <c r="AE306" s="642"/>
      <c r="AF306" s="642"/>
      <c r="AG306" s="642"/>
      <c r="AH306" s="642"/>
      <c r="AI306" s="642"/>
      <c r="AJ306" s="642"/>
      <c r="AK306" s="11"/>
      <c r="AL306" s="646"/>
      <c r="AM306" s="647"/>
      <c r="AN306" s="644"/>
      <c r="AO306" s="644"/>
      <c r="AP306" s="644"/>
      <c r="AQ306" s="644">
        <v>22</v>
      </c>
      <c r="AR306" s="644"/>
      <c r="AS306" s="644"/>
      <c r="AT306" s="644"/>
      <c r="AU306" s="644"/>
      <c r="AV306" s="642"/>
      <c r="AW306" s="642"/>
      <c r="AX306" s="642"/>
      <c r="AY306" s="642"/>
      <c r="AZ306" s="642"/>
      <c r="BA306" s="642"/>
      <c r="BB306" s="6"/>
      <c r="BC306" s="4"/>
      <c r="BD306" s="4"/>
      <c r="BE306" s="4"/>
      <c r="BF306" s="4"/>
      <c r="BG306" s="4"/>
      <c r="BH306" s="1068">
        <f t="shared" si="30"/>
        <v>55000</v>
      </c>
      <c r="BI306" s="4"/>
      <c r="BJ306" s="4"/>
      <c r="BK306" s="6"/>
      <c r="BL306" s="6"/>
      <c r="BM306" s="6"/>
      <c r="BN306" s="6"/>
      <c r="BO306" s="6"/>
      <c r="BP306" s="6"/>
      <c r="BQ306" s="6"/>
      <c r="BR306" s="6"/>
      <c r="BS306" s="6"/>
      <c r="BT306" s="6"/>
      <c r="BU306" s="6"/>
      <c r="BV306" s="130"/>
      <c r="BW306" s="130"/>
      <c r="BX306" s="130"/>
      <c r="BY306" s="130"/>
      <c r="BZ306" s="130"/>
      <c r="CA306" s="130"/>
      <c r="CB306" s="130"/>
      <c r="CC306" s="642"/>
      <c r="CD306" s="642"/>
      <c r="CE306" s="6"/>
      <c r="CF306" s="6"/>
      <c r="CG306" s="6"/>
      <c r="CH306" s="6"/>
      <c r="CI306" s="6"/>
      <c r="CJ306" s="6"/>
      <c r="CK306" s="4">
        <f t="shared" si="32"/>
        <v>0</v>
      </c>
      <c r="CL306" s="4">
        <f t="shared" si="33"/>
        <v>0</v>
      </c>
      <c r="CM306" s="4">
        <f t="shared" si="34"/>
        <v>0</v>
      </c>
      <c r="CN306" s="4">
        <f t="shared" si="35"/>
        <v>0</v>
      </c>
      <c r="CO306" s="4">
        <f t="shared" si="35"/>
        <v>0</v>
      </c>
      <c r="CP306" s="4">
        <f t="shared" si="31"/>
        <v>1320</v>
      </c>
      <c r="CQ306" s="4"/>
      <c r="CR306" s="4"/>
      <c r="CS306" s="4"/>
      <c r="CT306" s="642"/>
      <c r="CU306" s="642"/>
      <c r="CV306" s="642"/>
      <c r="CW306" s="642"/>
      <c r="CX306" s="642"/>
      <c r="CY306" s="642"/>
      <c r="CZ306" s="6"/>
      <c r="DA306" s="6">
        <f t="shared" si="36"/>
        <v>0</v>
      </c>
      <c r="DB306" s="6">
        <f t="shared" si="36"/>
        <v>0</v>
      </c>
      <c r="DC306" s="6">
        <f t="shared" si="36"/>
        <v>0</v>
      </c>
      <c r="DD306" s="6">
        <f t="shared" si="36"/>
        <v>0</v>
      </c>
      <c r="DE306" s="6"/>
      <c r="DF306" s="6"/>
      <c r="DG306" s="6"/>
      <c r="DH306" s="6"/>
      <c r="DI306" s="6"/>
      <c r="DJ306" s="642"/>
      <c r="DK306" s="642"/>
    </row>
    <row r="307" spans="1:115">
      <c r="A307" s="259">
        <v>5</v>
      </c>
      <c r="B307" s="6" t="s">
        <v>1464</v>
      </c>
      <c r="C307" s="6" t="s">
        <v>1465</v>
      </c>
      <c r="D307" s="645" t="s">
        <v>638</v>
      </c>
      <c r="E307" s="720">
        <v>0.5</v>
      </c>
      <c r="F307" s="342" t="s">
        <v>1455</v>
      </c>
      <c r="G307" s="641">
        <v>60</v>
      </c>
      <c r="H307" s="645"/>
      <c r="I307" s="4"/>
      <c r="J307" s="642">
        <v>6</v>
      </c>
      <c r="K307" s="641">
        <v>6.3</v>
      </c>
      <c r="L307" s="642">
        <v>6.7</v>
      </c>
      <c r="M307" s="642" t="s">
        <v>860</v>
      </c>
      <c r="N307" s="642" t="s">
        <v>860</v>
      </c>
      <c r="O307" s="642"/>
      <c r="P307" s="642"/>
      <c r="Q307" s="642"/>
      <c r="R307" s="642"/>
      <c r="S307" s="642"/>
      <c r="T307" s="645"/>
      <c r="U307" s="4"/>
      <c r="V307" s="629"/>
      <c r="W307" s="4"/>
      <c r="X307" s="4"/>
      <c r="Y307" s="4"/>
      <c r="Z307" s="629">
        <v>2500</v>
      </c>
      <c r="AA307" s="4"/>
      <c r="AB307" s="4"/>
      <c r="AC307" s="4"/>
      <c r="AD307" s="642"/>
      <c r="AE307" s="642"/>
      <c r="AF307" s="642"/>
      <c r="AG307" s="642"/>
      <c r="AH307" s="642"/>
      <c r="AI307" s="642"/>
      <c r="AJ307" s="642"/>
      <c r="AK307" s="6"/>
      <c r="AL307" s="647"/>
      <c r="AM307" s="644"/>
      <c r="AN307" s="644"/>
      <c r="AO307" s="644"/>
      <c r="AP307" s="644"/>
      <c r="AQ307" s="644">
        <v>22</v>
      </c>
      <c r="AR307" s="644"/>
      <c r="AS307" s="644"/>
      <c r="AT307" s="644"/>
      <c r="AU307" s="644"/>
      <c r="AV307" s="642"/>
      <c r="AW307" s="642"/>
      <c r="AX307" s="642"/>
      <c r="AY307" s="642"/>
      <c r="AZ307" s="642"/>
      <c r="BA307" s="642"/>
      <c r="BB307" s="6"/>
      <c r="BC307" s="4"/>
      <c r="BD307" s="4"/>
      <c r="BE307" s="4"/>
      <c r="BF307" s="4"/>
      <c r="BG307" s="4"/>
      <c r="BH307" s="1068">
        <f t="shared" si="30"/>
        <v>27500</v>
      </c>
      <c r="BI307" s="4"/>
      <c r="BJ307" s="4"/>
      <c r="BK307" s="6"/>
      <c r="BL307" s="6"/>
      <c r="BM307" s="6"/>
      <c r="BN307" s="6"/>
      <c r="BO307" s="6"/>
      <c r="BP307" s="6"/>
      <c r="BQ307" s="6"/>
      <c r="BR307" s="6"/>
      <c r="BS307" s="6"/>
      <c r="BT307" s="6"/>
      <c r="BU307" s="6"/>
      <c r="BV307" s="130"/>
      <c r="BW307" s="130"/>
      <c r="BX307" s="130"/>
      <c r="BY307" s="130"/>
      <c r="BZ307" s="130"/>
      <c r="CA307" s="130"/>
      <c r="CB307" s="130"/>
      <c r="CC307" s="642"/>
      <c r="CD307" s="642"/>
      <c r="CE307" s="6"/>
      <c r="CF307" s="6"/>
      <c r="CG307" s="6"/>
      <c r="CH307" s="6"/>
      <c r="CI307" s="6"/>
      <c r="CJ307" s="6"/>
      <c r="CK307" s="4">
        <f t="shared" si="32"/>
        <v>0</v>
      </c>
      <c r="CL307" s="4">
        <f t="shared" si="33"/>
        <v>0</v>
      </c>
      <c r="CM307" s="4">
        <f t="shared" si="34"/>
        <v>0</v>
      </c>
      <c r="CN307" s="4">
        <f t="shared" si="35"/>
        <v>0</v>
      </c>
      <c r="CO307" s="4">
        <f t="shared" si="35"/>
        <v>0</v>
      </c>
      <c r="CP307" s="4">
        <f t="shared" si="31"/>
        <v>1320</v>
      </c>
      <c r="CQ307" s="4"/>
      <c r="CR307" s="4"/>
      <c r="CS307" s="4"/>
      <c r="CT307" s="642"/>
      <c r="CU307" s="642"/>
      <c r="CV307" s="642"/>
      <c r="CW307" s="642"/>
      <c r="CX307" s="642"/>
      <c r="CY307" s="642"/>
      <c r="CZ307" s="6"/>
      <c r="DA307" s="6">
        <f t="shared" si="36"/>
        <v>0</v>
      </c>
      <c r="DB307" s="6">
        <f t="shared" si="36"/>
        <v>0</v>
      </c>
      <c r="DC307" s="6">
        <f t="shared" si="36"/>
        <v>0</v>
      </c>
      <c r="DD307" s="6">
        <f t="shared" si="36"/>
        <v>0</v>
      </c>
      <c r="DE307" s="6"/>
      <c r="DF307" s="6"/>
      <c r="DG307" s="6"/>
      <c r="DH307" s="6"/>
      <c r="DI307" s="6"/>
      <c r="DJ307" s="642"/>
      <c r="DK307" s="642"/>
    </row>
    <row r="308" spans="1:115">
      <c r="A308" s="259">
        <v>5</v>
      </c>
      <c r="B308" s="6" t="s">
        <v>1470</v>
      </c>
      <c r="C308" s="6" t="s">
        <v>1471</v>
      </c>
      <c r="D308" s="645" t="s">
        <v>638</v>
      </c>
      <c r="E308" s="720">
        <v>0.5</v>
      </c>
      <c r="F308" s="342" t="s">
        <v>1455</v>
      </c>
      <c r="G308" s="641">
        <v>60</v>
      </c>
      <c r="H308" s="645"/>
      <c r="I308" s="4"/>
      <c r="J308" s="641">
        <v>5.0999999999999996</v>
      </c>
      <c r="K308" s="641">
        <v>5.4</v>
      </c>
      <c r="L308" s="642">
        <v>6.1</v>
      </c>
      <c r="M308" s="642" t="s">
        <v>860</v>
      </c>
      <c r="N308" s="642" t="s">
        <v>860</v>
      </c>
      <c r="O308" s="642"/>
      <c r="P308" s="642"/>
      <c r="Q308" s="642"/>
      <c r="R308" s="642"/>
      <c r="S308" s="642"/>
      <c r="T308" s="645"/>
      <c r="U308" s="4"/>
      <c r="V308" s="651"/>
      <c r="W308" s="4"/>
      <c r="X308" s="4"/>
      <c r="Y308" s="4"/>
      <c r="Z308" s="629">
        <v>2500</v>
      </c>
      <c r="AA308" s="4"/>
      <c r="AB308" s="4"/>
      <c r="AC308" s="4"/>
      <c r="AD308" s="642"/>
      <c r="AE308" s="642"/>
      <c r="AF308" s="642"/>
      <c r="AG308" s="642"/>
      <c r="AH308" s="642"/>
      <c r="AI308" s="642"/>
      <c r="AJ308" s="642"/>
      <c r="AK308" s="6"/>
      <c r="AL308" s="647"/>
      <c r="AM308" s="644"/>
      <c r="AN308" s="644"/>
      <c r="AO308" s="644"/>
      <c r="AP308" s="644"/>
      <c r="AQ308" s="644">
        <v>22</v>
      </c>
      <c r="AR308" s="644"/>
      <c r="AS308" s="644"/>
      <c r="AT308" s="644"/>
      <c r="AU308" s="644"/>
      <c r="AV308" s="642"/>
      <c r="AW308" s="642"/>
      <c r="AX308" s="642"/>
      <c r="AY308" s="642"/>
      <c r="AZ308" s="642"/>
      <c r="BA308" s="642"/>
      <c r="BB308" s="6"/>
      <c r="BC308" s="4"/>
      <c r="BD308" s="4"/>
      <c r="BE308" s="4"/>
      <c r="BF308" s="4"/>
      <c r="BG308" s="4"/>
      <c r="BH308" s="1068">
        <f t="shared" si="30"/>
        <v>27500</v>
      </c>
      <c r="BI308" s="4"/>
      <c r="BJ308" s="4"/>
      <c r="BK308" s="6"/>
      <c r="BL308" s="6"/>
      <c r="BM308" s="6"/>
      <c r="BN308" s="6"/>
      <c r="BO308" s="6"/>
      <c r="BP308" s="6"/>
      <c r="BQ308" s="6"/>
      <c r="BR308" s="6"/>
      <c r="BS308" s="6"/>
      <c r="BT308" s="6"/>
      <c r="BU308" s="6"/>
      <c r="BV308" s="130"/>
      <c r="BW308" s="130"/>
      <c r="BX308" s="130"/>
      <c r="BY308" s="130"/>
      <c r="BZ308" s="130"/>
      <c r="CA308" s="130"/>
      <c r="CB308" s="130"/>
      <c r="CC308" s="642"/>
      <c r="CD308" s="642"/>
      <c r="CE308" s="6"/>
      <c r="CF308" s="6"/>
      <c r="CG308" s="6"/>
      <c r="CH308" s="6"/>
      <c r="CI308" s="6"/>
      <c r="CJ308" s="6"/>
      <c r="CK308" s="4">
        <f t="shared" si="32"/>
        <v>0</v>
      </c>
      <c r="CL308" s="4">
        <f t="shared" si="33"/>
        <v>0</v>
      </c>
      <c r="CM308" s="4">
        <f t="shared" si="34"/>
        <v>0</v>
      </c>
      <c r="CN308" s="4">
        <f t="shared" si="35"/>
        <v>0</v>
      </c>
      <c r="CO308" s="4">
        <f t="shared" si="35"/>
        <v>0</v>
      </c>
      <c r="CP308" s="4">
        <f t="shared" si="31"/>
        <v>1320</v>
      </c>
      <c r="CQ308" s="4"/>
      <c r="CR308" s="4"/>
      <c r="CS308" s="4"/>
      <c r="CT308" s="642"/>
      <c r="CU308" s="642"/>
      <c r="CV308" s="642"/>
      <c r="CW308" s="642"/>
      <c r="CX308" s="642"/>
      <c r="CY308" s="642"/>
      <c r="CZ308" s="6"/>
      <c r="DA308" s="6">
        <f t="shared" si="36"/>
        <v>0</v>
      </c>
      <c r="DB308" s="6">
        <f t="shared" si="36"/>
        <v>0</v>
      </c>
      <c r="DC308" s="6">
        <f t="shared" si="36"/>
        <v>0</v>
      </c>
      <c r="DD308" s="6">
        <f t="shared" si="36"/>
        <v>0</v>
      </c>
      <c r="DE308" s="6"/>
      <c r="DF308" s="6"/>
      <c r="DG308" s="6"/>
      <c r="DH308" s="6"/>
      <c r="DI308" s="6"/>
      <c r="DJ308" s="642"/>
      <c r="DK308" s="642"/>
    </row>
    <row r="309" spans="1:115">
      <c r="A309" s="36">
        <v>7</v>
      </c>
      <c r="B309" s="6" t="s">
        <v>1477</v>
      </c>
      <c r="C309" s="6" t="s">
        <v>1478</v>
      </c>
      <c r="D309" s="645" t="s">
        <v>638</v>
      </c>
      <c r="E309" s="720">
        <v>0.5</v>
      </c>
      <c r="F309" s="342" t="s">
        <v>1455</v>
      </c>
      <c r="G309" s="641">
        <v>60</v>
      </c>
      <c r="H309" s="645"/>
      <c r="I309" s="641">
        <v>8.6999999999999993</v>
      </c>
      <c r="J309" s="641">
        <v>9.6</v>
      </c>
      <c r="K309" s="641">
        <v>8.9</v>
      </c>
      <c r="L309" s="642">
        <v>9.1999999999999993</v>
      </c>
      <c r="M309" s="642" t="s">
        <v>860</v>
      </c>
      <c r="N309" s="642" t="s">
        <v>860</v>
      </c>
      <c r="O309" s="642"/>
      <c r="P309" s="642"/>
      <c r="Q309" s="642"/>
      <c r="R309" s="642"/>
      <c r="S309" s="642"/>
      <c r="T309" s="645"/>
      <c r="U309" s="652"/>
      <c r="V309" s="629"/>
      <c r="W309" s="4"/>
      <c r="X309" s="4"/>
      <c r="Y309" s="4"/>
      <c r="Z309" s="629">
        <v>2500</v>
      </c>
      <c r="AA309" s="4"/>
      <c r="AB309" s="4"/>
      <c r="AC309" s="4"/>
      <c r="AD309" s="642"/>
      <c r="AE309" s="642"/>
      <c r="AF309" s="642"/>
      <c r="AG309" s="642"/>
      <c r="AH309" s="642"/>
      <c r="AI309" s="642"/>
      <c r="AJ309" s="642"/>
      <c r="AK309" s="6"/>
      <c r="AL309" s="644"/>
      <c r="AM309" s="644"/>
      <c r="AN309" s="644"/>
      <c r="AO309" s="644"/>
      <c r="AP309" s="644"/>
      <c r="AQ309" s="644">
        <v>22</v>
      </c>
      <c r="AR309" s="644"/>
      <c r="AS309" s="644"/>
      <c r="AT309" s="644"/>
      <c r="AU309" s="644"/>
      <c r="AV309" s="642"/>
      <c r="AW309" s="642"/>
      <c r="AX309" s="642"/>
      <c r="AY309" s="642"/>
      <c r="AZ309" s="642"/>
      <c r="BA309" s="642"/>
      <c r="BB309" s="6"/>
      <c r="BC309" s="4"/>
      <c r="BD309" s="4"/>
      <c r="BE309" s="4"/>
      <c r="BF309" s="4"/>
      <c r="BG309" s="4"/>
      <c r="BH309" s="1068">
        <f t="shared" si="30"/>
        <v>27500</v>
      </c>
      <c r="BI309" s="4"/>
      <c r="BJ309" s="4"/>
      <c r="BK309" s="6"/>
      <c r="BL309" s="6"/>
      <c r="BM309" s="6"/>
      <c r="BN309" s="6"/>
      <c r="BO309" s="6"/>
      <c r="BP309" s="6"/>
      <c r="BQ309" s="6"/>
      <c r="BR309" s="6"/>
      <c r="BS309" s="6"/>
      <c r="BT309" s="6"/>
      <c r="BU309" s="38"/>
      <c r="BV309" s="130"/>
      <c r="BW309" s="130"/>
      <c r="BX309" s="130"/>
      <c r="BY309" s="130"/>
      <c r="BZ309" s="130"/>
      <c r="CA309" s="130"/>
      <c r="CB309" s="130"/>
      <c r="CC309" s="642"/>
      <c r="CD309" s="642"/>
      <c r="CE309" s="6"/>
      <c r="CF309" s="6"/>
      <c r="CG309" s="6"/>
      <c r="CH309" s="6"/>
      <c r="CI309" s="6"/>
      <c r="CJ309" s="6"/>
      <c r="CK309" s="4">
        <f t="shared" si="32"/>
        <v>0</v>
      </c>
      <c r="CL309" s="4">
        <f t="shared" si="33"/>
        <v>0</v>
      </c>
      <c r="CM309" s="4">
        <f t="shared" si="34"/>
        <v>0</v>
      </c>
      <c r="CN309" s="4">
        <f t="shared" si="35"/>
        <v>0</v>
      </c>
      <c r="CO309" s="4">
        <f t="shared" si="35"/>
        <v>0</v>
      </c>
      <c r="CP309" s="4">
        <f t="shared" si="31"/>
        <v>1320</v>
      </c>
      <c r="CQ309" s="4"/>
      <c r="CR309" s="4"/>
      <c r="CS309" s="4"/>
      <c r="CT309" s="642"/>
      <c r="CU309" s="642"/>
      <c r="CV309" s="642"/>
      <c r="CW309" s="642"/>
      <c r="CX309" s="642"/>
      <c r="CY309" s="642"/>
      <c r="CZ309" s="6"/>
      <c r="DA309" s="6">
        <f t="shared" si="36"/>
        <v>0</v>
      </c>
      <c r="DB309" s="6">
        <f t="shared" si="36"/>
        <v>0</v>
      </c>
      <c r="DC309" s="6">
        <f t="shared" si="36"/>
        <v>0</v>
      </c>
      <c r="DD309" s="6">
        <f t="shared" si="36"/>
        <v>0</v>
      </c>
      <c r="DE309" s="6"/>
      <c r="DF309" s="6"/>
      <c r="DG309" s="6"/>
      <c r="DH309" s="6"/>
      <c r="DI309" s="6"/>
      <c r="DJ309" s="642"/>
      <c r="DK309" s="642"/>
    </row>
    <row r="310" spans="1:115">
      <c r="A310" s="36">
        <v>7</v>
      </c>
      <c r="B310" s="6" t="s">
        <v>1479</v>
      </c>
      <c r="C310" s="6" t="s">
        <v>1480</v>
      </c>
      <c r="D310" s="645" t="s">
        <v>1059</v>
      </c>
      <c r="E310" s="720">
        <v>1</v>
      </c>
      <c r="F310" s="342" t="s">
        <v>1455</v>
      </c>
      <c r="G310" s="641">
        <v>30</v>
      </c>
      <c r="H310" s="645"/>
      <c r="I310" s="641">
        <v>1.6</v>
      </c>
      <c r="J310" s="641">
        <v>1.7</v>
      </c>
      <c r="K310" s="641">
        <v>1.6</v>
      </c>
      <c r="L310" s="642">
        <v>1.5</v>
      </c>
      <c r="M310" s="642" t="s">
        <v>860</v>
      </c>
      <c r="N310" s="642" t="s">
        <v>860</v>
      </c>
      <c r="O310" s="642"/>
      <c r="P310" s="642"/>
      <c r="Q310" s="642"/>
      <c r="R310" s="642"/>
      <c r="S310" s="642"/>
      <c r="T310" s="645"/>
      <c r="U310" s="652"/>
      <c r="V310" s="629"/>
      <c r="W310" s="4"/>
      <c r="X310" s="4"/>
      <c r="Y310" s="4"/>
      <c r="Z310" s="629">
        <v>2000</v>
      </c>
      <c r="AA310" s="4"/>
      <c r="AB310" s="4"/>
      <c r="AC310" s="4"/>
      <c r="AD310" s="642"/>
      <c r="AE310" s="642"/>
      <c r="AF310" s="642"/>
      <c r="AG310" s="642"/>
      <c r="AH310" s="642"/>
      <c r="AI310" s="642"/>
      <c r="AJ310" s="642"/>
      <c r="AK310" s="6"/>
      <c r="AL310" s="644"/>
      <c r="AM310" s="644"/>
      <c r="AN310" s="644"/>
      <c r="AO310" s="644"/>
      <c r="AP310" s="644"/>
      <c r="AQ310" s="644">
        <v>22</v>
      </c>
      <c r="AR310" s="644"/>
      <c r="AS310" s="644"/>
      <c r="AT310" s="644"/>
      <c r="AU310" s="644"/>
      <c r="AV310" s="642"/>
      <c r="AW310" s="642"/>
      <c r="AX310" s="642"/>
      <c r="AY310" s="642"/>
      <c r="AZ310" s="642"/>
      <c r="BA310" s="642"/>
      <c r="BB310" s="6"/>
      <c r="BC310" s="4"/>
      <c r="BD310" s="4"/>
      <c r="BE310" s="4"/>
      <c r="BF310" s="4"/>
      <c r="BG310" s="4"/>
      <c r="BH310" s="1068">
        <f t="shared" si="30"/>
        <v>44000</v>
      </c>
      <c r="BI310" s="4"/>
      <c r="BJ310" s="4"/>
      <c r="BK310" s="6"/>
      <c r="BL310" s="6"/>
      <c r="BM310" s="6"/>
      <c r="BN310" s="6"/>
      <c r="BO310" s="6"/>
      <c r="BP310" s="6"/>
      <c r="BQ310" s="6"/>
      <c r="BR310" s="6"/>
      <c r="BS310" s="6"/>
      <c r="BT310" s="6"/>
      <c r="BU310" s="38"/>
      <c r="BV310" s="130"/>
      <c r="BW310" s="130"/>
      <c r="BX310" s="130"/>
      <c r="BY310" s="130"/>
      <c r="BZ310" s="130"/>
      <c r="CA310" s="130"/>
      <c r="CB310" s="130"/>
      <c r="CC310" s="642"/>
      <c r="CD310" s="642"/>
      <c r="CE310" s="6"/>
      <c r="CF310" s="6"/>
      <c r="CG310" s="6"/>
      <c r="CH310" s="6"/>
      <c r="CI310" s="6"/>
      <c r="CJ310" s="6"/>
      <c r="CK310" s="4">
        <f t="shared" si="32"/>
        <v>0</v>
      </c>
      <c r="CL310" s="4">
        <f t="shared" si="33"/>
        <v>0</v>
      </c>
      <c r="CM310" s="4">
        <f t="shared" si="34"/>
        <v>0</v>
      </c>
      <c r="CN310" s="4">
        <f t="shared" si="35"/>
        <v>0</v>
      </c>
      <c r="CO310" s="4">
        <f t="shared" si="35"/>
        <v>0</v>
      </c>
      <c r="CP310" s="4">
        <f t="shared" si="31"/>
        <v>660</v>
      </c>
      <c r="CQ310" s="4"/>
      <c r="CR310" s="4"/>
      <c r="CS310" s="4"/>
      <c r="CT310" s="642"/>
      <c r="CU310" s="642"/>
      <c r="CV310" s="642"/>
      <c r="CW310" s="642"/>
      <c r="CX310" s="642"/>
      <c r="CY310" s="642"/>
      <c r="CZ310" s="6"/>
      <c r="DA310" s="6">
        <f t="shared" si="36"/>
        <v>0</v>
      </c>
      <c r="DB310" s="6">
        <f t="shared" si="36"/>
        <v>0</v>
      </c>
      <c r="DC310" s="6">
        <f t="shared" si="36"/>
        <v>0</v>
      </c>
      <c r="DD310" s="6">
        <f t="shared" si="36"/>
        <v>0</v>
      </c>
      <c r="DE310" s="6"/>
      <c r="DF310" s="6"/>
      <c r="DG310" s="6"/>
      <c r="DH310" s="6"/>
      <c r="DI310" s="6"/>
      <c r="DJ310" s="642"/>
      <c r="DK310" s="642"/>
    </row>
    <row r="311" spans="1:115">
      <c r="A311" s="36">
        <v>2</v>
      </c>
      <c r="B311" s="6" t="s">
        <v>930</v>
      </c>
      <c r="C311" s="6" t="s">
        <v>598</v>
      </c>
      <c r="D311" s="645" t="s">
        <v>638</v>
      </c>
      <c r="E311" s="720">
        <v>0.5</v>
      </c>
      <c r="F311" s="342"/>
      <c r="G311" s="641">
        <v>60</v>
      </c>
      <c r="H311" s="645"/>
      <c r="I311" s="641"/>
      <c r="J311" s="641"/>
      <c r="K311" s="641"/>
      <c r="L311" s="642"/>
      <c r="M311" s="642"/>
      <c r="N311" s="642"/>
      <c r="O311" s="642"/>
      <c r="P311" s="642"/>
      <c r="Q311" s="642"/>
      <c r="R311" s="642"/>
      <c r="S311" s="642"/>
      <c r="T311" s="645"/>
      <c r="U311" s="652"/>
      <c r="V311" s="629"/>
      <c r="W311" s="4"/>
      <c r="X311" s="4"/>
      <c r="Y311" s="4"/>
      <c r="Z311" s="629">
        <v>2500</v>
      </c>
      <c r="AA311" s="4"/>
      <c r="AB311" s="4"/>
      <c r="AC311" s="4"/>
      <c r="AD311" s="642"/>
      <c r="AE311" s="642"/>
      <c r="AF311" s="642"/>
      <c r="AG311" s="642"/>
      <c r="AH311" s="642"/>
      <c r="AI311" s="642"/>
      <c r="AJ311" s="642"/>
      <c r="AK311" s="6"/>
      <c r="AL311" s="644"/>
      <c r="AM311" s="644"/>
      <c r="AN311" s="644"/>
      <c r="AO311" s="644"/>
      <c r="AP311" s="644"/>
      <c r="AQ311" s="644">
        <v>22</v>
      </c>
      <c r="AR311" s="644"/>
      <c r="AS311" s="644"/>
      <c r="AT311" s="644"/>
      <c r="AU311" s="644"/>
      <c r="AV311" s="642"/>
      <c r="AW311" s="642"/>
      <c r="AX311" s="642"/>
      <c r="AY311" s="642"/>
      <c r="AZ311" s="642"/>
      <c r="BA311" s="642"/>
      <c r="BB311" s="6"/>
      <c r="BC311" s="4"/>
      <c r="BD311" s="4"/>
      <c r="BE311" s="4"/>
      <c r="BF311" s="4"/>
      <c r="BG311" s="4"/>
      <c r="BH311" s="1068">
        <f t="shared" si="30"/>
        <v>27500</v>
      </c>
      <c r="BI311" s="4"/>
      <c r="BJ311" s="4"/>
      <c r="BK311" s="6"/>
      <c r="BL311" s="6"/>
      <c r="BM311" s="6"/>
      <c r="BN311" s="6"/>
      <c r="BO311" s="6"/>
      <c r="BP311" s="6"/>
      <c r="BQ311" s="6"/>
      <c r="BR311" s="6"/>
      <c r="BS311" s="6"/>
      <c r="BT311" s="6"/>
      <c r="BU311" s="38"/>
      <c r="BV311" s="130"/>
      <c r="BW311" s="130"/>
      <c r="BX311" s="130"/>
      <c r="BY311" s="130"/>
      <c r="BZ311" s="130"/>
      <c r="CA311" s="130"/>
      <c r="CB311" s="130"/>
      <c r="CC311" s="642"/>
      <c r="CD311" s="642"/>
      <c r="CE311" s="6"/>
      <c r="CF311" s="6"/>
      <c r="CG311" s="6"/>
      <c r="CH311" s="6"/>
      <c r="CI311" s="6"/>
      <c r="CJ311" s="6"/>
      <c r="CK311" s="4">
        <f t="shared" si="32"/>
        <v>0</v>
      </c>
      <c r="CL311" s="4">
        <f t="shared" si="33"/>
        <v>0</v>
      </c>
      <c r="CM311" s="4">
        <f t="shared" si="34"/>
        <v>0</v>
      </c>
      <c r="CN311" s="4">
        <f t="shared" si="35"/>
        <v>0</v>
      </c>
      <c r="CO311" s="4">
        <f t="shared" si="35"/>
        <v>0</v>
      </c>
      <c r="CP311" s="4">
        <f t="shared" si="31"/>
        <v>1320</v>
      </c>
      <c r="CQ311" s="4"/>
      <c r="CR311" s="4"/>
      <c r="CS311" s="4"/>
      <c r="CT311" s="642"/>
      <c r="CU311" s="642"/>
      <c r="CV311" s="642"/>
      <c r="CW311" s="642"/>
      <c r="CX311" s="642"/>
      <c r="CY311" s="642"/>
      <c r="CZ311" s="6"/>
      <c r="DA311" s="6"/>
      <c r="DB311" s="6"/>
      <c r="DC311" s="6"/>
      <c r="DD311" s="6"/>
      <c r="DE311" s="6"/>
      <c r="DF311" s="6"/>
      <c r="DG311" s="6"/>
      <c r="DH311" s="6"/>
      <c r="DI311" s="6"/>
      <c r="DJ311" s="642"/>
      <c r="DK311" s="642"/>
    </row>
    <row r="312" spans="1:115">
      <c r="A312" s="36">
        <v>1</v>
      </c>
      <c r="B312" s="6" t="s">
        <v>331</v>
      </c>
      <c r="C312" s="6" t="s">
        <v>598</v>
      </c>
      <c r="D312" s="645" t="s">
        <v>638</v>
      </c>
      <c r="E312" s="720">
        <v>1</v>
      </c>
      <c r="F312" s="342"/>
      <c r="G312" s="641">
        <v>60</v>
      </c>
      <c r="H312" s="645"/>
      <c r="I312" s="641"/>
      <c r="J312" s="641"/>
      <c r="K312" s="641"/>
      <c r="L312" s="642"/>
      <c r="M312" s="642"/>
      <c r="N312" s="642"/>
      <c r="O312" s="642"/>
      <c r="P312" s="642"/>
      <c r="Q312" s="642"/>
      <c r="R312" s="642"/>
      <c r="S312" s="642"/>
      <c r="T312" s="645"/>
      <c r="U312" s="652"/>
      <c r="V312" s="629"/>
      <c r="W312" s="4"/>
      <c r="X312" s="4"/>
      <c r="Y312" s="4"/>
      <c r="Z312" s="629">
        <v>2000</v>
      </c>
      <c r="AA312" s="4"/>
      <c r="AB312" s="4"/>
      <c r="AC312" s="4"/>
      <c r="AD312" s="642"/>
      <c r="AE312" s="642"/>
      <c r="AF312" s="642"/>
      <c r="AG312" s="642"/>
      <c r="AH312" s="642"/>
      <c r="AI312" s="642"/>
      <c r="AJ312" s="642"/>
      <c r="AK312" s="6"/>
      <c r="AL312" s="644"/>
      <c r="AM312" s="644"/>
      <c r="AN312" s="644"/>
      <c r="AO312" s="644"/>
      <c r="AP312" s="644"/>
      <c r="AQ312" s="644">
        <v>22</v>
      </c>
      <c r="AR312" s="644"/>
      <c r="AS312" s="644"/>
      <c r="AT312" s="644"/>
      <c r="AU312" s="644"/>
      <c r="AV312" s="642"/>
      <c r="AW312" s="642"/>
      <c r="AX312" s="642"/>
      <c r="AY312" s="642"/>
      <c r="AZ312" s="642"/>
      <c r="BA312" s="642"/>
      <c r="BB312" s="6"/>
      <c r="BC312" s="4"/>
      <c r="BD312" s="4"/>
      <c r="BE312" s="4"/>
      <c r="BF312" s="4"/>
      <c r="BG312" s="4"/>
      <c r="BH312" s="1068">
        <f t="shared" si="30"/>
        <v>44000</v>
      </c>
      <c r="BI312" s="4"/>
      <c r="BJ312" s="4"/>
      <c r="BK312" s="6"/>
      <c r="BL312" s="6"/>
      <c r="BM312" s="6"/>
      <c r="BN312" s="6"/>
      <c r="BO312" s="6"/>
      <c r="BP312" s="6"/>
      <c r="BQ312" s="6"/>
      <c r="BR312" s="6"/>
      <c r="BS312" s="6"/>
      <c r="BT312" s="6"/>
      <c r="BU312" s="38"/>
      <c r="BV312" s="130"/>
      <c r="BW312" s="130"/>
      <c r="BX312" s="130"/>
      <c r="BY312" s="130"/>
      <c r="BZ312" s="130"/>
      <c r="CA312" s="130"/>
      <c r="CB312" s="130"/>
      <c r="CC312" s="642"/>
      <c r="CD312" s="642"/>
      <c r="CE312" s="6"/>
      <c r="CF312" s="6"/>
      <c r="CG312" s="6"/>
      <c r="CH312" s="6"/>
      <c r="CI312" s="6"/>
      <c r="CJ312" s="6"/>
      <c r="CK312" s="4"/>
      <c r="CL312" s="4"/>
      <c r="CM312" s="4"/>
      <c r="CN312" s="4"/>
      <c r="CO312" s="4"/>
      <c r="CP312" s="4"/>
      <c r="CQ312" s="4"/>
      <c r="CR312" s="4"/>
      <c r="CS312" s="4"/>
      <c r="CT312" s="642"/>
      <c r="CU312" s="642"/>
      <c r="CV312" s="642"/>
      <c r="CW312" s="642"/>
      <c r="CX312" s="642"/>
      <c r="CY312" s="642"/>
      <c r="CZ312" s="6"/>
      <c r="DA312" s="6"/>
      <c r="DB312" s="6"/>
      <c r="DC312" s="6"/>
      <c r="DD312" s="6"/>
      <c r="DE312" s="6"/>
      <c r="DF312" s="6"/>
      <c r="DG312" s="6"/>
      <c r="DH312" s="6"/>
      <c r="DI312" s="6"/>
      <c r="DJ312" s="642"/>
      <c r="DK312" s="642"/>
    </row>
    <row r="313" spans="1:115">
      <c r="A313" s="259">
        <v>9</v>
      </c>
      <c r="B313" s="725" t="s">
        <v>213</v>
      </c>
      <c r="C313" s="6" t="s">
        <v>598</v>
      </c>
      <c r="D313" s="342" t="s">
        <v>638</v>
      </c>
      <c r="E313" s="720">
        <v>1</v>
      </c>
      <c r="F313" s="1"/>
      <c r="G313" s="661">
        <v>30</v>
      </c>
      <c r="H313" s="1"/>
      <c r="I313" s="464"/>
      <c r="J313" s="464"/>
      <c r="K313" s="464"/>
      <c r="L313" s="84"/>
      <c r="M313" s="84"/>
      <c r="N313" s="84"/>
      <c r="O313" s="84"/>
      <c r="P313" s="84"/>
      <c r="Q313" s="84"/>
      <c r="R313" s="84"/>
      <c r="S313" s="84"/>
      <c r="T313" s="1"/>
      <c r="U313" s="464"/>
      <c r="V313" s="464"/>
      <c r="W313" s="464"/>
      <c r="X313" s="84"/>
      <c r="Y313" s="84"/>
      <c r="Z313" s="629">
        <v>2000</v>
      </c>
      <c r="AA313" s="84"/>
      <c r="AB313" s="84"/>
      <c r="AC313" s="84"/>
      <c r="AD313" s="84"/>
      <c r="AE313" s="84"/>
      <c r="AF313" s="84"/>
      <c r="AG313" s="84"/>
      <c r="AH313" s="84"/>
      <c r="AI313" s="84"/>
      <c r="AJ313" s="84"/>
      <c r="AK313" s="6"/>
      <c r="AL313" s="275"/>
      <c r="AM313" s="275"/>
      <c r="AN313" s="275"/>
      <c r="AO313" s="6"/>
      <c r="AP313" s="84"/>
      <c r="AQ313" s="719">
        <v>22</v>
      </c>
      <c r="AR313" s="84"/>
      <c r="AS313" s="84"/>
      <c r="AT313" s="84"/>
      <c r="AU313" s="84"/>
      <c r="AV313" s="84"/>
      <c r="AW313" s="84"/>
      <c r="AX313" s="84"/>
      <c r="AY313" s="84"/>
      <c r="AZ313" s="84"/>
      <c r="BA313" s="84"/>
      <c r="BB313" s="6"/>
      <c r="BC313" s="464"/>
      <c r="BD313" s="464"/>
      <c r="BE313" s="464"/>
      <c r="BF313" s="84"/>
      <c r="BG313" s="84"/>
      <c r="BH313" s="1068">
        <f t="shared" si="30"/>
        <v>44000</v>
      </c>
      <c r="BI313" s="84"/>
      <c r="BJ313" s="84"/>
      <c r="BK313" s="6"/>
      <c r="BL313" s="6"/>
      <c r="BM313" s="6"/>
      <c r="BN313" s="6"/>
      <c r="BO313" s="6"/>
      <c r="BP313" s="6"/>
      <c r="BQ313" s="6"/>
      <c r="BR313" s="6"/>
      <c r="BS313" s="6"/>
      <c r="BT313" s="464"/>
      <c r="BU313" s="464"/>
      <c r="BV313" s="464"/>
      <c r="BW313" s="84"/>
      <c r="BX313" s="84"/>
      <c r="BY313" s="84"/>
      <c r="BZ313" s="84"/>
      <c r="CA313" s="84"/>
      <c r="CB313" s="84"/>
      <c r="CC313" s="84"/>
      <c r="CD313" s="84"/>
      <c r="CE313" s="6"/>
      <c r="CF313" s="6"/>
      <c r="CG313" s="6"/>
      <c r="CH313" s="6"/>
      <c r="CI313" s="6"/>
      <c r="CJ313" s="6"/>
      <c r="CK313" s="464"/>
      <c r="CL313" s="464"/>
      <c r="CM313" s="464"/>
      <c r="CN313" s="84"/>
      <c r="CO313" s="84"/>
      <c r="CP313" s="84"/>
      <c r="CQ313" s="84"/>
      <c r="CR313" s="84"/>
      <c r="CS313" s="84"/>
      <c r="CT313" s="84"/>
      <c r="CU313" s="84"/>
      <c r="CV313" s="84"/>
      <c r="CW313" s="84"/>
      <c r="CX313" s="84"/>
      <c r="CY313" s="84"/>
      <c r="CZ313" s="6"/>
      <c r="DA313" s="464"/>
      <c r="DB313" s="464"/>
      <c r="DC313" s="464"/>
      <c r="DD313" s="84"/>
      <c r="DE313" s="84"/>
      <c r="DF313" s="6"/>
      <c r="DG313" s="6"/>
      <c r="DH313" s="6"/>
      <c r="DI313" s="6"/>
      <c r="DJ313" s="84"/>
      <c r="DK313" s="84"/>
    </row>
    <row r="314" spans="1:115">
      <c r="A314" s="259">
        <v>1</v>
      </c>
      <c r="B314" s="725" t="s">
        <v>486</v>
      </c>
      <c r="C314" s="6" t="s">
        <v>598</v>
      </c>
      <c r="D314" s="342" t="s">
        <v>595</v>
      </c>
      <c r="E314" s="720">
        <v>0.5</v>
      </c>
      <c r="F314" s="1"/>
      <c r="G314" s="661">
        <v>30</v>
      </c>
      <c r="H314" s="1"/>
      <c r="I314" s="464"/>
      <c r="J314" s="464"/>
      <c r="K314" s="464"/>
      <c r="L314" s="84"/>
      <c r="M314" s="84"/>
      <c r="N314" s="84"/>
      <c r="O314" s="84"/>
      <c r="P314" s="84"/>
      <c r="Q314" s="84"/>
      <c r="R314" s="84"/>
      <c r="S314" s="84"/>
      <c r="T314" s="1"/>
      <c r="U314" s="464"/>
      <c r="V314" s="464"/>
      <c r="W314" s="464"/>
      <c r="X314" s="84"/>
      <c r="Y314" s="84"/>
      <c r="Z314" s="629">
        <v>1500</v>
      </c>
      <c r="AA314" s="84"/>
      <c r="AB314" s="84"/>
      <c r="AC314" s="84"/>
      <c r="AD314" s="84"/>
      <c r="AE314" s="84"/>
      <c r="AF314" s="84"/>
      <c r="AG314" s="84"/>
      <c r="AH314" s="84"/>
      <c r="AI314" s="84"/>
      <c r="AJ314" s="84"/>
      <c r="AK314" s="6"/>
      <c r="AL314" s="275"/>
      <c r="AM314" s="275"/>
      <c r="AN314" s="275"/>
      <c r="AO314" s="6"/>
      <c r="AP314" s="84"/>
      <c r="AQ314" s="719">
        <v>22</v>
      </c>
      <c r="AR314" s="84"/>
      <c r="AS314" s="84"/>
      <c r="AT314" s="84"/>
      <c r="AU314" s="84"/>
      <c r="AV314" s="84"/>
      <c r="AW314" s="84"/>
      <c r="AX314" s="84"/>
      <c r="AY314" s="84"/>
      <c r="AZ314" s="84"/>
      <c r="BA314" s="84"/>
      <c r="BB314" s="6"/>
      <c r="BC314" s="464"/>
      <c r="BD314" s="464"/>
      <c r="BE314" s="464"/>
      <c r="BF314" s="84"/>
      <c r="BG314" s="84"/>
      <c r="BH314" s="1068">
        <f t="shared" si="30"/>
        <v>16500</v>
      </c>
      <c r="BI314" s="84"/>
      <c r="BJ314" s="84"/>
      <c r="BK314" s="6"/>
      <c r="BL314" s="6"/>
      <c r="BM314" s="6"/>
      <c r="BN314" s="6"/>
      <c r="BO314" s="6"/>
      <c r="BP314" s="6"/>
      <c r="BQ314" s="6"/>
      <c r="BR314" s="6"/>
      <c r="BS314" s="6"/>
      <c r="BT314" s="464"/>
      <c r="BU314" s="464"/>
      <c r="BV314" s="464"/>
      <c r="BW314" s="84"/>
      <c r="BX314" s="84"/>
      <c r="BY314" s="84"/>
      <c r="BZ314" s="84"/>
      <c r="CA314" s="84"/>
      <c r="CB314" s="84"/>
      <c r="CC314" s="84"/>
      <c r="CD314" s="84"/>
      <c r="CE314" s="6"/>
      <c r="CF314" s="6"/>
      <c r="CG314" s="6"/>
      <c r="CH314" s="6"/>
      <c r="CI314" s="6"/>
      <c r="CJ314" s="6"/>
      <c r="CK314" s="464"/>
      <c r="CL314" s="464"/>
      <c r="CM314" s="464"/>
      <c r="CN314" s="84"/>
      <c r="CO314" s="84"/>
      <c r="CP314" s="84"/>
      <c r="CQ314" s="84"/>
      <c r="CR314" s="84"/>
      <c r="CS314" s="84"/>
      <c r="CT314" s="84"/>
      <c r="CU314" s="84"/>
      <c r="CV314" s="84"/>
      <c r="CW314" s="84"/>
      <c r="CX314" s="84"/>
      <c r="CY314" s="84"/>
      <c r="CZ314" s="6"/>
      <c r="DA314" s="464"/>
      <c r="DB314" s="464"/>
      <c r="DC314" s="464"/>
      <c r="DD314" s="84"/>
      <c r="DE314" s="84"/>
      <c r="DF314" s="6"/>
      <c r="DG314" s="6"/>
      <c r="DH314" s="6"/>
      <c r="DI314" s="6"/>
      <c r="DJ314" s="84"/>
      <c r="DK314" s="84"/>
    </row>
    <row r="315" spans="1:115">
      <c r="A315" s="259">
        <v>11</v>
      </c>
      <c r="B315" s="725" t="s">
        <v>210</v>
      </c>
      <c r="C315" s="6" t="s">
        <v>598</v>
      </c>
      <c r="D315" s="342" t="s">
        <v>595</v>
      </c>
      <c r="E315" s="720">
        <v>0.5</v>
      </c>
      <c r="F315" s="1"/>
      <c r="G315" s="661">
        <v>60</v>
      </c>
      <c r="H315" s="1"/>
      <c r="I315" s="464"/>
      <c r="J315" s="464"/>
      <c r="K315" s="464"/>
      <c r="L315" s="84"/>
      <c r="M315" s="84"/>
      <c r="N315" s="84"/>
      <c r="O315" s="84"/>
      <c r="P315" s="84"/>
      <c r="Q315" s="84"/>
      <c r="R315" s="84"/>
      <c r="S315" s="84"/>
      <c r="T315" s="1"/>
      <c r="U315" s="464"/>
      <c r="V315" s="464"/>
      <c r="W315" s="464"/>
      <c r="X315" s="84"/>
      <c r="Y315" s="84"/>
      <c r="Z315" s="629">
        <v>2500</v>
      </c>
      <c r="AA315" s="84"/>
      <c r="AB315" s="84"/>
      <c r="AC315" s="84"/>
      <c r="AD315" s="84"/>
      <c r="AE315" s="84"/>
      <c r="AF315" s="84"/>
      <c r="AG315" s="84"/>
      <c r="AH315" s="84"/>
      <c r="AI315" s="84"/>
      <c r="AJ315" s="84"/>
      <c r="AK315" s="6"/>
      <c r="AL315" s="275"/>
      <c r="AM315" s="275"/>
      <c r="AN315" s="275"/>
      <c r="AO315" s="6"/>
      <c r="AP315" s="84"/>
      <c r="AQ315" s="719">
        <v>22</v>
      </c>
      <c r="AR315" s="84"/>
      <c r="AS315" s="84"/>
      <c r="AT315" s="84"/>
      <c r="AU315" s="84"/>
      <c r="AV315" s="84"/>
      <c r="AW315" s="84"/>
      <c r="AX315" s="84"/>
      <c r="AY315" s="84"/>
      <c r="AZ315" s="84"/>
      <c r="BA315" s="84"/>
      <c r="BB315" s="6"/>
      <c r="BC315" s="464"/>
      <c r="BD315" s="464"/>
      <c r="BE315" s="464"/>
      <c r="BF315" s="84"/>
      <c r="BG315" s="84"/>
      <c r="BH315" s="1068">
        <f t="shared" si="30"/>
        <v>27500</v>
      </c>
      <c r="BI315" s="84"/>
      <c r="BJ315" s="84"/>
      <c r="BK315" s="6"/>
      <c r="BL315" s="6"/>
      <c r="BM315" s="6"/>
      <c r="BN315" s="6"/>
      <c r="BO315" s="6"/>
      <c r="BP315" s="6"/>
      <c r="BQ315" s="6"/>
      <c r="BR315" s="6"/>
      <c r="BS315" s="6"/>
      <c r="BT315" s="464"/>
      <c r="BU315" s="464"/>
      <c r="BV315" s="464"/>
      <c r="BW315" s="84"/>
      <c r="BX315" s="84"/>
      <c r="BY315" s="84"/>
      <c r="BZ315" s="84"/>
      <c r="CA315" s="84"/>
      <c r="CB315" s="84"/>
      <c r="CC315" s="84"/>
      <c r="CD315" s="84"/>
      <c r="CE315" s="6"/>
      <c r="CF315" s="6"/>
      <c r="CG315" s="6"/>
      <c r="CH315" s="6"/>
      <c r="CI315" s="6"/>
      <c r="CJ315" s="6"/>
      <c r="CK315" s="464"/>
      <c r="CL315" s="464"/>
      <c r="CM315" s="464"/>
      <c r="CN315" s="84"/>
      <c r="CO315" s="84"/>
      <c r="CP315" s="84"/>
      <c r="CQ315" s="84"/>
      <c r="CR315" s="84"/>
      <c r="CS315" s="84"/>
      <c r="CT315" s="84"/>
      <c r="CU315" s="84"/>
      <c r="CV315" s="84"/>
      <c r="CW315" s="84"/>
      <c r="CX315" s="84"/>
      <c r="CY315" s="84"/>
      <c r="CZ315" s="6"/>
      <c r="DA315" s="464"/>
      <c r="DB315" s="464"/>
      <c r="DC315" s="464"/>
      <c r="DD315" s="84"/>
      <c r="DE315" s="84"/>
      <c r="DF315" s="6"/>
      <c r="DG315" s="6"/>
      <c r="DH315" s="6"/>
      <c r="DI315" s="6"/>
      <c r="DJ315" s="84"/>
      <c r="DK315" s="84"/>
    </row>
    <row r="316" spans="1:115">
      <c r="A316" s="259">
        <v>1</v>
      </c>
      <c r="B316" s="725" t="s">
        <v>521</v>
      </c>
      <c r="C316" s="6" t="s">
        <v>598</v>
      </c>
      <c r="D316" s="342" t="s">
        <v>638</v>
      </c>
      <c r="E316" s="720">
        <v>1</v>
      </c>
      <c r="F316" s="1"/>
      <c r="G316" s="661">
        <v>60</v>
      </c>
      <c r="H316" s="1"/>
      <c r="I316" s="464"/>
      <c r="J316" s="464"/>
      <c r="K316" s="464"/>
      <c r="L316" s="84"/>
      <c r="M316" s="84"/>
      <c r="N316" s="84"/>
      <c r="O316" s="84"/>
      <c r="P316" s="84"/>
      <c r="Q316" s="84"/>
      <c r="R316" s="84"/>
      <c r="S316" s="84"/>
      <c r="T316" s="1"/>
      <c r="U316" s="464"/>
      <c r="V316" s="464"/>
      <c r="W316" s="464"/>
      <c r="X316" s="84"/>
      <c r="Y316" s="84"/>
      <c r="Z316" s="629">
        <v>1000</v>
      </c>
      <c r="AA316" s="84"/>
      <c r="AB316" s="84"/>
      <c r="AC316" s="84"/>
      <c r="AD316" s="84"/>
      <c r="AE316" s="84"/>
      <c r="AF316" s="84"/>
      <c r="AG316" s="84"/>
      <c r="AH316" s="84"/>
      <c r="AI316" s="84"/>
      <c r="AJ316" s="84"/>
      <c r="AK316" s="6"/>
      <c r="AL316" s="275"/>
      <c r="AM316" s="275"/>
      <c r="AN316" s="275"/>
      <c r="AO316" s="6"/>
      <c r="AP316" s="84"/>
      <c r="AQ316" s="719">
        <v>3</v>
      </c>
      <c r="AR316" s="84"/>
      <c r="AS316" s="84"/>
      <c r="AT316" s="84"/>
      <c r="AU316" s="84"/>
      <c r="AV316" s="84"/>
      <c r="AW316" s="84"/>
      <c r="AX316" s="84"/>
      <c r="AY316" s="84"/>
      <c r="AZ316" s="84"/>
      <c r="BA316" s="84"/>
      <c r="BB316" s="6"/>
      <c r="BC316" s="464"/>
      <c r="BD316" s="464"/>
      <c r="BE316" s="464"/>
      <c r="BF316" s="84"/>
      <c r="BG316" s="84"/>
      <c r="BH316" s="1068">
        <f t="shared" si="30"/>
        <v>3000</v>
      </c>
      <c r="BI316" s="84"/>
      <c r="BJ316" s="84"/>
      <c r="BK316" s="6"/>
      <c r="BL316" s="6"/>
      <c r="BM316" s="6"/>
      <c r="BN316" s="6"/>
      <c r="BO316" s="6"/>
      <c r="BP316" s="6"/>
      <c r="BQ316" s="6"/>
      <c r="BR316" s="6"/>
      <c r="BS316" s="6"/>
      <c r="BT316" s="464"/>
      <c r="BU316" s="464"/>
      <c r="BV316" s="464"/>
      <c r="BW316" s="84"/>
      <c r="BX316" s="84"/>
      <c r="BY316" s="84"/>
      <c r="BZ316" s="84"/>
      <c r="CA316" s="84"/>
      <c r="CB316" s="84"/>
      <c r="CC316" s="84"/>
      <c r="CD316" s="84"/>
      <c r="CE316" s="6"/>
      <c r="CF316" s="6"/>
      <c r="CG316" s="6"/>
      <c r="CH316" s="6"/>
      <c r="CI316" s="6"/>
      <c r="CJ316" s="6"/>
      <c r="CK316" s="464"/>
      <c r="CL316" s="464"/>
      <c r="CM316" s="464"/>
      <c r="CN316" s="84"/>
      <c r="CO316" s="84"/>
      <c r="CP316" s="84"/>
      <c r="CQ316" s="84"/>
      <c r="CR316" s="84"/>
      <c r="CS316" s="84"/>
      <c r="CT316" s="84"/>
      <c r="CU316" s="84"/>
      <c r="CV316" s="84"/>
      <c r="CW316" s="84"/>
      <c r="CX316" s="84"/>
      <c r="CY316" s="84"/>
      <c r="CZ316" s="6"/>
      <c r="DA316" s="464"/>
      <c r="DB316" s="464"/>
      <c r="DC316" s="464"/>
      <c r="DD316" s="84"/>
      <c r="DE316" s="84"/>
      <c r="DF316" s="6"/>
      <c r="DG316" s="6"/>
      <c r="DH316" s="6"/>
      <c r="DI316" s="6"/>
      <c r="DJ316" s="84"/>
      <c r="DK316" s="84"/>
    </row>
    <row r="317" spans="1:115">
      <c r="A317" s="259">
        <v>1</v>
      </c>
      <c r="B317" s="725" t="s">
        <v>613</v>
      </c>
      <c r="C317" s="6" t="s">
        <v>598</v>
      </c>
      <c r="D317" s="342" t="s">
        <v>638</v>
      </c>
      <c r="E317" s="720">
        <v>1</v>
      </c>
      <c r="F317" s="1"/>
      <c r="G317" s="661">
        <v>30</v>
      </c>
      <c r="H317" s="1"/>
      <c r="I317" s="464"/>
      <c r="J317" s="464"/>
      <c r="K317" s="464"/>
      <c r="L317" s="84"/>
      <c r="M317" s="84"/>
      <c r="N317" s="84"/>
      <c r="O317" s="84"/>
      <c r="P317" s="84"/>
      <c r="Q317" s="84"/>
      <c r="R317" s="84"/>
      <c r="S317" s="84"/>
      <c r="T317" s="1"/>
      <c r="U317" s="464"/>
      <c r="V317" s="464"/>
      <c r="W317" s="464"/>
      <c r="X317" s="84"/>
      <c r="Y317" s="84"/>
      <c r="Z317" s="629">
        <v>2000</v>
      </c>
      <c r="AA317" s="84"/>
      <c r="AB317" s="84"/>
      <c r="AC317" s="84"/>
      <c r="AD317" s="84"/>
      <c r="AE317" s="84"/>
      <c r="AF317" s="84"/>
      <c r="AG317" s="84"/>
      <c r="AH317" s="84"/>
      <c r="AI317" s="84"/>
      <c r="AJ317" s="84"/>
      <c r="AK317" s="6"/>
      <c r="AL317" s="275"/>
      <c r="AM317" s="275"/>
      <c r="AN317" s="275"/>
      <c r="AO317" s="6"/>
      <c r="AP317" s="84"/>
      <c r="AQ317" s="719">
        <v>7</v>
      </c>
      <c r="AR317" s="84"/>
      <c r="AS317" s="84"/>
      <c r="AT317" s="84"/>
      <c r="AU317" s="84"/>
      <c r="AV317" s="84"/>
      <c r="AW317" s="84"/>
      <c r="AX317" s="84"/>
      <c r="AY317" s="84"/>
      <c r="AZ317" s="84"/>
      <c r="BA317" s="84"/>
      <c r="BB317" s="6"/>
      <c r="BC317" s="464"/>
      <c r="BD317" s="464"/>
      <c r="BE317" s="464"/>
      <c r="BF317" s="84"/>
      <c r="BG317" s="84"/>
      <c r="BH317" s="1068">
        <f t="shared" si="30"/>
        <v>14000</v>
      </c>
      <c r="BI317" s="84"/>
      <c r="BJ317" s="84"/>
      <c r="BK317" s="6"/>
      <c r="BL317" s="6"/>
      <c r="BM317" s="6"/>
      <c r="BN317" s="6"/>
      <c r="BO317" s="6"/>
      <c r="BP317" s="6"/>
      <c r="BQ317" s="6"/>
      <c r="BR317" s="6"/>
      <c r="BS317" s="6"/>
      <c r="BT317" s="464"/>
      <c r="BU317" s="464"/>
      <c r="BV317" s="464"/>
      <c r="BW317" s="84"/>
      <c r="BX317" s="84"/>
      <c r="BY317" s="84"/>
      <c r="BZ317" s="84"/>
      <c r="CA317" s="84"/>
      <c r="CB317" s="84"/>
      <c r="CC317" s="84"/>
      <c r="CD317" s="84"/>
      <c r="CE317" s="6"/>
      <c r="CF317" s="6"/>
      <c r="CG317" s="6"/>
      <c r="CH317" s="6"/>
      <c r="CI317" s="6"/>
      <c r="CJ317" s="6"/>
      <c r="CK317" s="464"/>
      <c r="CL317" s="464"/>
      <c r="CM317" s="464"/>
      <c r="CN317" s="84"/>
      <c r="CO317" s="84"/>
      <c r="CP317" s="84"/>
      <c r="CQ317" s="84"/>
      <c r="CR317" s="84"/>
      <c r="CS317" s="84"/>
      <c r="CT317" s="84"/>
      <c r="CU317" s="84"/>
      <c r="CV317" s="84"/>
      <c r="CW317" s="84"/>
      <c r="CX317" s="84"/>
      <c r="CY317" s="84"/>
      <c r="CZ317" s="6"/>
      <c r="DA317" s="464"/>
      <c r="DB317" s="464"/>
      <c r="DC317" s="464"/>
      <c r="DD317" s="84"/>
      <c r="DE317" s="84"/>
      <c r="DF317" s="6"/>
      <c r="DG317" s="6"/>
      <c r="DH317" s="6"/>
      <c r="DI317" s="6"/>
      <c r="DJ317" s="84"/>
      <c r="DK317" s="84"/>
    </row>
    <row r="318" spans="1:115">
      <c r="A318" s="259"/>
      <c r="B318" s="1"/>
      <c r="C318" s="1"/>
      <c r="D318" s="1"/>
      <c r="E318" s="1"/>
      <c r="F318" s="1"/>
      <c r="G318" s="1"/>
      <c r="H318" s="1"/>
      <c r="I318" s="464"/>
      <c r="J318" s="464"/>
      <c r="K318" s="464"/>
      <c r="L318" s="84"/>
      <c r="M318" s="84"/>
      <c r="N318" s="84"/>
      <c r="O318" s="84"/>
      <c r="P318" s="84"/>
      <c r="Q318" s="84"/>
      <c r="R318" s="84"/>
      <c r="S318" s="84"/>
      <c r="T318" s="1"/>
      <c r="U318" s="464"/>
      <c r="V318" s="464"/>
      <c r="W318" s="464"/>
      <c r="X318" s="84"/>
      <c r="Y318" s="84"/>
      <c r="Z318" s="84"/>
      <c r="AA318" s="84"/>
      <c r="AB318" s="84"/>
      <c r="AC318" s="84"/>
      <c r="AD318" s="84"/>
      <c r="AE318" s="84"/>
      <c r="AF318" s="84"/>
      <c r="AG318" s="84"/>
      <c r="AH318" s="84"/>
      <c r="AI318" s="84"/>
      <c r="AJ318" s="84"/>
      <c r="AK318" s="6"/>
      <c r="AL318" s="275"/>
      <c r="AM318" s="275"/>
      <c r="AN318" s="275"/>
      <c r="AO318" s="6"/>
      <c r="AP318" s="84"/>
      <c r="AQ318" s="84"/>
      <c r="AR318" s="84"/>
      <c r="AS318" s="84"/>
      <c r="AT318" s="84"/>
      <c r="AU318" s="84"/>
      <c r="AV318" s="84"/>
      <c r="AW318" s="84"/>
      <c r="AX318" s="84"/>
      <c r="AY318" s="84"/>
      <c r="AZ318" s="84"/>
      <c r="BA318" s="84"/>
      <c r="BB318" s="6"/>
      <c r="BC318" s="464"/>
      <c r="BD318" s="464"/>
      <c r="BE318" s="464"/>
      <c r="BF318" s="84"/>
      <c r="BG318" s="84"/>
      <c r="BH318" s="84"/>
      <c r="BI318" s="84"/>
      <c r="BJ318" s="84"/>
      <c r="BK318" s="6"/>
      <c r="BL318" s="6"/>
      <c r="BM318" s="6"/>
      <c r="BN318" s="6"/>
      <c r="BO318" s="6"/>
      <c r="BP318" s="6"/>
      <c r="BQ318" s="6"/>
      <c r="BR318" s="6"/>
      <c r="BS318" s="6"/>
      <c r="BT318" s="464"/>
      <c r="BU318" s="464"/>
      <c r="BV318" s="464"/>
      <c r="BW318" s="84"/>
      <c r="BX318" s="84"/>
      <c r="BY318" s="84"/>
      <c r="BZ318" s="84"/>
      <c r="CA318" s="84"/>
      <c r="CB318" s="84"/>
      <c r="CC318" s="84"/>
      <c r="CD318" s="84"/>
      <c r="CE318" s="6"/>
      <c r="CF318" s="6"/>
      <c r="CG318" s="6"/>
      <c r="CH318" s="6"/>
      <c r="CI318" s="6"/>
      <c r="CJ318" s="6"/>
      <c r="CK318" s="464"/>
      <c r="CL318" s="464"/>
      <c r="CM318" s="464"/>
      <c r="CN318" s="84"/>
      <c r="CO318" s="84"/>
      <c r="CP318" s="84"/>
      <c r="CQ318" s="84"/>
      <c r="CR318" s="84"/>
      <c r="CS318" s="84"/>
      <c r="CT318" s="84"/>
      <c r="CU318" s="84"/>
      <c r="CV318" s="84"/>
      <c r="CW318" s="84"/>
      <c r="CX318" s="84"/>
      <c r="CY318" s="84"/>
      <c r="CZ318" s="6"/>
      <c r="DA318" s="464"/>
      <c r="DB318" s="464"/>
      <c r="DC318" s="464"/>
      <c r="DD318" s="84"/>
      <c r="DE318" s="84"/>
      <c r="DF318" s="6"/>
      <c r="DG318" s="6"/>
      <c r="DH318" s="6"/>
      <c r="DI318" s="6"/>
      <c r="DJ318" s="84"/>
      <c r="DK318" s="84"/>
    </row>
    <row r="319" spans="1:115">
      <c r="A319" s="640" t="s">
        <v>1440</v>
      </c>
      <c r="B319" s="84"/>
      <c r="C319" s="84"/>
      <c r="D319" s="84"/>
      <c r="E319" s="84"/>
      <c r="F319" s="84"/>
      <c r="G319" s="84"/>
      <c r="H319" s="84"/>
      <c r="I319" s="641"/>
      <c r="J319" s="641"/>
      <c r="K319" s="641"/>
      <c r="L319" s="641"/>
      <c r="M319" s="642"/>
      <c r="N319" s="642"/>
      <c r="O319" s="642"/>
      <c r="P319" s="642"/>
      <c r="Q319" s="642"/>
      <c r="R319" s="642"/>
      <c r="S319" s="642"/>
      <c r="T319" s="84"/>
      <c r="U319" s="643"/>
      <c r="V319" s="4"/>
      <c r="W319" s="95"/>
      <c r="X319" s="629"/>
      <c r="Y319" s="629"/>
      <c r="Z319" s="629"/>
      <c r="AA319" s="629"/>
      <c r="AB319" s="629"/>
      <c r="AC319" s="629"/>
      <c r="AD319" s="642"/>
      <c r="AE319" s="642"/>
      <c r="AF319" s="642"/>
      <c r="AG319" s="642"/>
      <c r="AH319" s="642"/>
      <c r="AI319" s="642"/>
      <c r="AJ319" s="642"/>
      <c r="AK319" s="11"/>
      <c r="AL319" s="11"/>
      <c r="AM319" s="6"/>
      <c r="AN319" s="6"/>
      <c r="AO319" s="6"/>
      <c r="AP319" s="644"/>
      <c r="AQ319" s="644"/>
      <c r="AR319" s="644"/>
      <c r="AS319" s="644"/>
      <c r="AT319" s="644"/>
      <c r="AU319" s="644"/>
      <c r="AV319" s="642"/>
      <c r="AW319" s="642"/>
      <c r="AX319" s="642"/>
      <c r="AY319" s="642"/>
      <c r="AZ319" s="642"/>
      <c r="BA319" s="642"/>
      <c r="BB319" s="6"/>
      <c r="BC319" s="6"/>
      <c r="BD319" s="6"/>
      <c r="BE319" s="6"/>
      <c r="BF319" s="6"/>
      <c r="BG319" s="4"/>
      <c r="BH319" s="4"/>
      <c r="BI319" s="4"/>
      <c r="BJ319" s="4"/>
      <c r="BK319" s="6"/>
      <c r="BL319" s="6"/>
      <c r="BM319" s="6"/>
      <c r="BN319" s="6"/>
      <c r="BO319" s="6"/>
      <c r="BP319" s="6"/>
      <c r="BQ319" s="6"/>
      <c r="BR319" s="6"/>
      <c r="BS319" s="6"/>
      <c r="BT319" s="6"/>
      <c r="BU319" s="6"/>
      <c r="BV319" s="6"/>
      <c r="BW319" s="6"/>
      <c r="BX319" s="6"/>
      <c r="BY319" s="6"/>
      <c r="BZ319" s="6"/>
      <c r="CA319" s="6"/>
      <c r="CB319" s="6"/>
      <c r="CC319" s="642"/>
      <c r="CD319" s="642"/>
      <c r="CE319" s="6"/>
      <c r="CF319" s="6"/>
      <c r="CG319" s="6"/>
      <c r="CH319" s="6"/>
      <c r="CI319" s="6"/>
      <c r="CJ319" s="6"/>
      <c r="CK319" s="6"/>
      <c r="CL319" s="6"/>
      <c r="CM319" s="6"/>
      <c r="CN319" s="6"/>
      <c r="CO319" s="6"/>
      <c r="CP319" s="6"/>
      <c r="CQ319" s="6"/>
      <c r="CR319" s="6"/>
      <c r="CS319" s="6"/>
      <c r="CT319" s="642"/>
      <c r="CU319" s="642"/>
      <c r="CV319" s="642"/>
      <c r="CW319" s="642"/>
      <c r="CX319" s="642"/>
      <c r="CY319" s="642"/>
      <c r="CZ319" s="6"/>
      <c r="DA319" s="6"/>
      <c r="DB319" s="6"/>
      <c r="DC319" s="6"/>
      <c r="DD319" s="6"/>
      <c r="DE319" s="6"/>
      <c r="DF319" s="6"/>
      <c r="DG319" s="6"/>
      <c r="DH319" s="6"/>
      <c r="DI319" s="6"/>
      <c r="DJ319" s="642"/>
      <c r="DK319" s="642"/>
    </row>
    <row r="320" spans="1:115">
      <c r="A320" s="86">
        <v>1</v>
      </c>
      <c r="B320" s="84" t="s">
        <v>594</v>
      </c>
      <c r="C320" s="84"/>
      <c r="D320" s="645" t="s">
        <v>596</v>
      </c>
      <c r="E320" s="645" t="s">
        <v>337</v>
      </c>
      <c r="F320" s="84"/>
      <c r="G320" s="641">
        <v>30</v>
      </c>
      <c r="H320" s="84"/>
      <c r="I320" s="641"/>
      <c r="J320" s="641"/>
      <c r="K320" s="641"/>
      <c r="L320" s="641"/>
      <c r="M320" s="642" t="s">
        <v>860</v>
      </c>
      <c r="N320" s="642"/>
      <c r="O320" s="642"/>
      <c r="P320" s="642"/>
      <c r="Q320" s="642"/>
      <c r="R320" s="642"/>
      <c r="S320" s="642"/>
      <c r="T320" s="84"/>
      <c r="U320" s="643"/>
      <c r="V320" s="4"/>
      <c r="W320" s="95"/>
      <c r="X320" s="629"/>
      <c r="Y320" s="629">
        <v>500</v>
      </c>
      <c r="Z320" s="629"/>
      <c r="AA320" s="629"/>
      <c r="AB320" s="629"/>
      <c r="AC320" s="629"/>
      <c r="AD320" s="642"/>
      <c r="AE320" s="642"/>
      <c r="AF320" s="642"/>
      <c r="AG320" s="642"/>
      <c r="AH320" s="642"/>
      <c r="AI320" s="642"/>
      <c r="AJ320" s="642"/>
      <c r="AK320" s="11"/>
      <c r="AL320" s="11"/>
      <c r="AM320" s="6"/>
      <c r="AN320" s="6"/>
      <c r="AO320" s="6"/>
      <c r="AP320" s="644">
        <v>22</v>
      </c>
      <c r="AQ320" s="644"/>
      <c r="AR320" s="644"/>
      <c r="AS320" s="644"/>
      <c r="AT320" s="644"/>
      <c r="AU320" s="644"/>
      <c r="AV320" s="642"/>
      <c r="AW320" s="642"/>
      <c r="AX320" s="642"/>
      <c r="AY320" s="642"/>
      <c r="AZ320" s="642"/>
      <c r="BA320" s="642"/>
      <c r="BB320" s="6"/>
      <c r="BC320" s="6"/>
      <c r="BD320" s="6"/>
      <c r="BE320" s="6"/>
      <c r="BF320" s="6"/>
      <c r="BG320" s="4">
        <f t="shared" ref="BG320:BG330" si="37">Y320*AP320</f>
        <v>11000</v>
      </c>
      <c r="BH320" s="4"/>
      <c r="BI320" s="4"/>
      <c r="BJ320" s="4"/>
      <c r="BK320" s="6"/>
      <c r="BL320" s="6"/>
      <c r="BM320" s="6"/>
      <c r="BN320" s="6"/>
      <c r="BO320" s="6"/>
      <c r="BP320" s="6"/>
      <c r="BQ320" s="6"/>
      <c r="BR320" s="6"/>
      <c r="BS320" s="6"/>
      <c r="BT320" s="6"/>
      <c r="BU320" s="6"/>
      <c r="BV320" s="6"/>
      <c r="BW320" s="6"/>
      <c r="BX320" s="130">
        <v>0.05</v>
      </c>
      <c r="BY320" s="6"/>
      <c r="BZ320" s="6"/>
      <c r="CA320" s="6"/>
      <c r="CB320" s="6"/>
      <c r="CC320" s="642"/>
      <c r="CD320" s="642"/>
      <c r="CE320" s="6"/>
      <c r="CF320" s="6"/>
      <c r="CG320" s="6"/>
      <c r="CH320" s="6"/>
      <c r="CI320" s="6"/>
      <c r="CJ320" s="6"/>
      <c r="CK320" s="6"/>
      <c r="CL320" s="6"/>
      <c r="CM320" s="6"/>
      <c r="CN320" s="4">
        <f t="shared" ref="CN320:CN330" si="38">$G320*AO320</f>
        <v>0</v>
      </c>
      <c r="CO320" s="4">
        <f>$G320*AP320</f>
        <v>660</v>
      </c>
      <c r="CP320" s="6"/>
      <c r="CQ320" s="6"/>
      <c r="CR320" s="6"/>
      <c r="CS320" s="6"/>
      <c r="CT320" s="642"/>
      <c r="CU320" s="642"/>
      <c r="CV320" s="642"/>
      <c r="CW320" s="642"/>
      <c r="CX320" s="642"/>
      <c r="CY320" s="642"/>
      <c r="CZ320" s="6"/>
      <c r="DA320" s="6"/>
      <c r="DB320" s="6"/>
      <c r="DC320" s="6"/>
      <c r="DD320" s="6">
        <f t="shared" ref="DD320:DD330" si="39">L320*CN320</f>
        <v>0</v>
      </c>
      <c r="DE320" s="6"/>
      <c r="DF320" s="6"/>
      <c r="DG320" s="6"/>
      <c r="DH320" s="6"/>
      <c r="DI320" s="6"/>
      <c r="DJ320" s="642"/>
      <c r="DK320" s="642"/>
    </row>
    <row r="321" spans="1:115">
      <c r="A321" s="86">
        <v>1</v>
      </c>
      <c r="B321" s="84" t="s">
        <v>1441</v>
      </c>
      <c r="C321" s="84"/>
      <c r="D321" s="645" t="s">
        <v>1059</v>
      </c>
      <c r="E321" s="645"/>
      <c r="F321" s="84"/>
      <c r="G321" s="641">
        <v>30</v>
      </c>
      <c r="H321" s="84"/>
      <c r="I321" s="641"/>
      <c r="J321" s="641"/>
      <c r="K321" s="641"/>
      <c r="L321" s="641"/>
      <c r="M321" s="642" t="s">
        <v>860</v>
      </c>
      <c r="N321" s="642"/>
      <c r="O321" s="642"/>
      <c r="P321" s="642"/>
      <c r="Q321" s="642"/>
      <c r="R321" s="642"/>
      <c r="S321" s="642"/>
      <c r="T321" s="84"/>
      <c r="U321" s="643"/>
      <c r="V321" s="4"/>
      <c r="W321" s="95"/>
      <c r="X321" s="629"/>
      <c r="Y321" s="629">
        <v>750</v>
      </c>
      <c r="Z321" s="629"/>
      <c r="AA321" s="629"/>
      <c r="AB321" s="629"/>
      <c r="AC321" s="629"/>
      <c r="AD321" s="642"/>
      <c r="AE321" s="642"/>
      <c r="AF321" s="642"/>
      <c r="AG321" s="642"/>
      <c r="AH321" s="642"/>
      <c r="AI321" s="642"/>
      <c r="AJ321" s="642"/>
      <c r="AK321" s="11"/>
      <c r="AL321" s="11"/>
      <c r="AM321" s="6"/>
      <c r="AN321" s="6"/>
      <c r="AO321" s="6"/>
      <c r="AP321" s="644">
        <v>13</v>
      </c>
      <c r="AQ321" s="644"/>
      <c r="AR321" s="644"/>
      <c r="AS321" s="644"/>
      <c r="AT321" s="644"/>
      <c r="AU321" s="644"/>
      <c r="AV321" s="642"/>
      <c r="AW321" s="642"/>
      <c r="AX321" s="642"/>
      <c r="AY321" s="642"/>
      <c r="AZ321" s="642"/>
      <c r="BA321" s="642"/>
      <c r="BB321" s="6"/>
      <c r="BC321" s="6"/>
      <c r="BD321" s="6"/>
      <c r="BE321" s="6"/>
      <c r="BF321" s="6"/>
      <c r="BG321" s="4">
        <f t="shared" si="37"/>
        <v>9750</v>
      </c>
      <c r="BH321" s="4"/>
      <c r="BI321" s="4"/>
      <c r="BJ321" s="4"/>
      <c r="BK321" s="6"/>
      <c r="BL321" s="6"/>
      <c r="BM321" s="6"/>
      <c r="BN321" s="6"/>
      <c r="BO321" s="6"/>
      <c r="BP321" s="6"/>
      <c r="BQ321" s="6"/>
      <c r="BR321" s="6"/>
      <c r="BS321" s="6"/>
      <c r="BT321" s="6"/>
      <c r="BU321" s="6"/>
      <c r="BV321" s="6"/>
      <c r="BW321" s="6"/>
      <c r="BX321" s="130">
        <v>0.05</v>
      </c>
      <c r="BY321" s="6"/>
      <c r="BZ321" s="6"/>
      <c r="CA321" s="6"/>
      <c r="CB321" s="6"/>
      <c r="CC321" s="642"/>
      <c r="CD321" s="642"/>
      <c r="CE321" s="6"/>
      <c r="CF321" s="6"/>
      <c r="CG321" s="6"/>
      <c r="CH321" s="6"/>
      <c r="CI321" s="6"/>
      <c r="CJ321" s="6"/>
      <c r="CK321" s="6"/>
      <c r="CL321" s="6"/>
      <c r="CM321" s="6"/>
      <c r="CN321" s="4">
        <f t="shared" si="38"/>
        <v>0</v>
      </c>
      <c r="CO321" s="4">
        <f t="shared" ref="CO321:CO331" si="40">$G321*AP321</f>
        <v>390</v>
      </c>
      <c r="CP321" s="6"/>
      <c r="CQ321" s="6"/>
      <c r="CR321" s="6"/>
      <c r="CS321" s="6"/>
      <c r="CT321" s="642"/>
      <c r="CU321" s="642"/>
      <c r="CV321" s="642"/>
      <c r="CW321" s="642"/>
      <c r="CX321" s="642"/>
      <c r="CY321" s="642"/>
      <c r="CZ321" s="6"/>
      <c r="DA321" s="6"/>
      <c r="DB321" s="6"/>
      <c r="DC321" s="6"/>
      <c r="DD321" s="6">
        <f t="shared" si="39"/>
        <v>0</v>
      </c>
      <c r="DE321" s="6"/>
      <c r="DF321" s="6"/>
      <c r="DG321" s="6"/>
      <c r="DH321" s="6"/>
      <c r="DI321" s="6"/>
      <c r="DJ321" s="642"/>
      <c r="DK321" s="642"/>
    </row>
    <row r="322" spans="1:115">
      <c r="A322" s="179" t="s">
        <v>1442</v>
      </c>
      <c r="B322" s="84" t="s">
        <v>1443</v>
      </c>
      <c r="C322" s="84"/>
      <c r="D322" s="645" t="s">
        <v>638</v>
      </c>
      <c r="E322" s="645"/>
      <c r="F322" s="84"/>
      <c r="G322" s="641">
        <v>30</v>
      </c>
      <c r="H322" s="84"/>
      <c r="I322" s="641"/>
      <c r="J322" s="641"/>
      <c r="K322" s="641"/>
      <c r="L322" s="641"/>
      <c r="M322" s="642" t="s">
        <v>860</v>
      </c>
      <c r="N322" s="642"/>
      <c r="O322" s="642"/>
      <c r="P322" s="642"/>
      <c r="Q322" s="642"/>
      <c r="R322" s="642"/>
      <c r="S322" s="642"/>
      <c r="T322" s="84"/>
      <c r="U322" s="643"/>
      <c r="V322" s="4"/>
      <c r="W322" s="95"/>
      <c r="X322" s="629"/>
      <c r="Y322" s="629">
        <v>750</v>
      </c>
      <c r="Z322" s="629"/>
      <c r="AA322" s="629"/>
      <c r="AB322" s="629"/>
      <c r="AC322" s="629"/>
      <c r="AD322" s="642"/>
      <c r="AE322" s="642"/>
      <c r="AF322" s="642"/>
      <c r="AG322" s="642"/>
      <c r="AH322" s="642"/>
      <c r="AI322" s="642"/>
      <c r="AJ322" s="642"/>
      <c r="AK322" s="11"/>
      <c r="AL322" s="11"/>
      <c r="AM322" s="6"/>
      <c r="AN322" s="6"/>
      <c r="AO322" s="6"/>
      <c r="AP322" s="644">
        <v>13</v>
      </c>
      <c r="AQ322" s="644"/>
      <c r="AR322" s="644"/>
      <c r="AS322" s="644"/>
      <c r="AT322" s="644"/>
      <c r="AU322" s="644"/>
      <c r="AV322" s="642"/>
      <c r="AW322" s="642"/>
      <c r="AX322" s="642"/>
      <c r="AY322" s="642"/>
      <c r="AZ322" s="642"/>
      <c r="BA322" s="642"/>
      <c r="BB322" s="6"/>
      <c r="BC322" s="6"/>
      <c r="BD322" s="6"/>
      <c r="BE322" s="6"/>
      <c r="BF322" s="6"/>
      <c r="BG322" s="4">
        <f t="shared" si="37"/>
        <v>9750</v>
      </c>
      <c r="BH322" s="4"/>
      <c r="BI322" s="4"/>
      <c r="BJ322" s="4"/>
      <c r="BK322" s="6"/>
      <c r="BL322" s="6"/>
      <c r="BM322" s="6"/>
      <c r="BN322" s="6"/>
      <c r="BO322" s="6"/>
      <c r="BP322" s="6"/>
      <c r="BQ322" s="6"/>
      <c r="BR322" s="6"/>
      <c r="BS322" s="6"/>
      <c r="BT322" s="6"/>
      <c r="BU322" s="6"/>
      <c r="BV322" s="6"/>
      <c r="BW322" s="6"/>
      <c r="BX322" s="130">
        <v>0.05</v>
      </c>
      <c r="BY322" s="6"/>
      <c r="BZ322" s="6"/>
      <c r="CA322" s="6"/>
      <c r="CB322" s="6"/>
      <c r="CC322" s="642"/>
      <c r="CD322" s="642"/>
      <c r="CE322" s="6"/>
      <c r="CF322" s="6"/>
      <c r="CG322" s="6"/>
      <c r="CH322" s="6"/>
      <c r="CI322" s="6"/>
      <c r="CJ322" s="6"/>
      <c r="CK322" s="6"/>
      <c r="CL322" s="6"/>
      <c r="CM322" s="6"/>
      <c r="CN322" s="4">
        <f t="shared" si="38"/>
        <v>0</v>
      </c>
      <c r="CO322" s="4">
        <f t="shared" si="40"/>
        <v>390</v>
      </c>
      <c r="CP322" s="6"/>
      <c r="CQ322" s="6"/>
      <c r="CR322" s="6"/>
      <c r="CS322" s="6"/>
      <c r="CT322" s="642"/>
      <c r="CU322" s="642"/>
      <c r="CV322" s="642"/>
      <c r="CW322" s="642"/>
      <c r="CX322" s="642"/>
      <c r="CY322" s="642"/>
      <c r="CZ322" s="6"/>
      <c r="DA322" s="6"/>
      <c r="DB322" s="6"/>
      <c r="DC322" s="6"/>
      <c r="DD322" s="6">
        <f t="shared" si="39"/>
        <v>0</v>
      </c>
      <c r="DE322" s="6"/>
      <c r="DF322" s="6"/>
      <c r="DG322" s="6"/>
      <c r="DH322" s="6"/>
      <c r="DI322" s="6"/>
      <c r="DJ322" s="642"/>
      <c r="DK322" s="642"/>
    </row>
    <row r="323" spans="1:115">
      <c r="A323" s="179" t="s">
        <v>1442</v>
      </c>
      <c r="B323" s="84" t="s">
        <v>1444</v>
      </c>
      <c r="C323" s="84"/>
      <c r="D323" s="645" t="s">
        <v>638</v>
      </c>
      <c r="E323" s="645"/>
      <c r="F323" s="84"/>
      <c r="G323" s="641">
        <v>30</v>
      </c>
      <c r="H323" s="84"/>
      <c r="I323" s="641"/>
      <c r="J323" s="641"/>
      <c r="K323" s="641"/>
      <c r="L323" s="641"/>
      <c r="M323" s="642" t="s">
        <v>860</v>
      </c>
      <c r="N323" s="642"/>
      <c r="O323" s="642"/>
      <c r="P323" s="642"/>
      <c r="Q323" s="642"/>
      <c r="R323" s="642"/>
      <c r="S323" s="642"/>
      <c r="T323" s="84"/>
      <c r="U323" s="643"/>
      <c r="V323" s="4"/>
      <c r="W323" s="95"/>
      <c r="X323" s="629"/>
      <c r="Y323" s="629">
        <v>750</v>
      </c>
      <c r="Z323" s="629"/>
      <c r="AA323" s="629"/>
      <c r="AB323" s="629"/>
      <c r="AC323" s="629"/>
      <c r="AD323" s="642"/>
      <c r="AE323" s="642"/>
      <c r="AF323" s="642"/>
      <c r="AG323" s="642"/>
      <c r="AH323" s="642"/>
      <c r="AI323" s="642"/>
      <c r="AJ323" s="642"/>
      <c r="AK323" s="11"/>
      <c r="AL323" s="11"/>
      <c r="AM323" s="6"/>
      <c r="AN323" s="6"/>
      <c r="AO323" s="6"/>
      <c r="AP323" s="644">
        <v>13</v>
      </c>
      <c r="AQ323" s="644"/>
      <c r="AR323" s="644"/>
      <c r="AS323" s="644"/>
      <c r="AT323" s="644"/>
      <c r="AU323" s="644"/>
      <c r="AV323" s="642"/>
      <c r="AW323" s="642"/>
      <c r="AX323" s="642"/>
      <c r="AY323" s="642"/>
      <c r="AZ323" s="642"/>
      <c r="BA323" s="642"/>
      <c r="BB323" s="6"/>
      <c r="BC323" s="6"/>
      <c r="BD323" s="6"/>
      <c r="BE323" s="6"/>
      <c r="BF323" s="6"/>
      <c r="BG323" s="4">
        <f t="shared" si="37"/>
        <v>9750</v>
      </c>
      <c r="BH323" s="4"/>
      <c r="BI323" s="4"/>
      <c r="BJ323" s="4"/>
      <c r="BK323" s="6"/>
      <c r="BL323" s="6"/>
      <c r="BM323" s="6"/>
      <c r="BN323" s="6"/>
      <c r="BO323" s="6"/>
      <c r="BP323" s="6"/>
      <c r="BQ323" s="6"/>
      <c r="BR323" s="6"/>
      <c r="BS323" s="6"/>
      <c r="BT323" s="6"/>
      <c r="BU323" s="6"/>
      <c r="BV323" s="6"/>
      <c r="BW323" s="6"/>
      <c r="BX323" s="130">
        <v>0.05</v>
      </c>
      <c r="BY323" s="6"/>
      <c r="BZ323" s="6"/>
      <c r="CA323" s="6"/>
      <c r="CB323" s="6"/>
      <c r="CC323" s="642"/>
      <c r="CD323" s="642"/>
      <c r="CE323" s="6"/>
      <c r="CF323" s="6"/>
      <c r="CG323" s="6"/>
      <c r="CH323" s="6"/>
      <c r="CI323" s="6"/>
      <c r="CJ323" s="6"/>
      <c r="CK323" s="6"/>
      <c r="CL323" s="6"/>
      <c r="CM323" s="6"/>
      <c r="CN323" s="4">
        <f t="shared" si="38"/>
        <v>0</v>
      </c>
      <c r="CO323" s="4">
        <f t="shared" si="40"/>
        <v>390</v>
      </c>
      <c r="CP323" s="6"/>
      <c r="CQ323" s="6"/>
      <c r="CR323" s="6"/>
      <c r="CS323" s="6"/>
      <c r="CT323" s="642"/>
      <c r="CU323" s="642"/>
      <c r="CV323" s="642"/>
      <c r="CW323" s="642"/>
      <c r="CX323" s="642"/>
      <c r="CY323" s="642"/>
      <c r="CZ323" s="6"/>
      <c r="DA323" s="6"/>
      <c r="DB323" s="6"/>
      <c r="DC323" s="6"/>
      <c r="DD323" s="6">
        <f t="shared" si="39"/>
        <v>0</v>
      </c>
      <c r="DE323" s="6"/>
      <c r="DF323" s="6"/>
      <c r="DG323" s="6"/>
      <c r="DH323" s="6"/>
      <c r="DI323" s="6"/>
      <c r="DJ323" s="642"/>
      <c r="DK323" s="642"/>
    </row>
    <row r="324" spans="1:115">
      <c r="A324" s="179" t="s">
        <v>1442</v>
      </c>
      <c r="B324" s="84" t="s">
        <v>1445</v>
      </c>
      <c r="C324" s="84"/>
      <c r="D324" s="645" t="s">
        <v>1059</v>
      </c>
      <c r="E324" s="645"/>
      <c r="F324" s="84"/>
      <c r="G324" s="641">
        <v>60</v>
      </c>
      <c r="H324" s="84"/>
      <c r="I324" s="641"/>
      <c r="J324" s="641"/>
      <c r="K324" s="641"/>
      <c r="L324" s="641"/>
      <c r="M324" s="642" t="s">
        <v>860</v>
      </c>
      <c r="N324" s="642"/>
      <c r="O324" s="642"/>
      <c r="P324" s="642"/>
      <c r="Q324" s="642"/>
      <c r="R324" s="642"/>
      <c r="S324" s="642"/>
      <c r="T324" s="84"/>
      <c r="U324" s="643"/>
      <c r="V324" s="4"/>
      <c r="W324" s="95"/>
      <c r="X324" s="629"/>
      <c r="Y324" s="629">
        <v>750</v>
      </c>
      <c r="Z324" s="629"/>
      <c r="AA324" s="629"/>
      <c r="AB324" s="629"/>
      <c r="AC324" s="629"/>
      <c r="AD324" s="642"/>
      <c r="AE324" s="642"/>
      <c r="AF324" s="642"/>
      <c r="AG324" s="642"/>
      <c r="AH324" s="642"/>
      <c r="AI324" s="642"/>
      <c r="AJ324" s="642"/>
      <c r="AK324" s="11"/>
      <c r="AL324" s="11"/>
      <c r="AM324" s="6"/>
      <c r="AN324" s="6"/>
      <c r="AO324" s="6"/>
      <c r="AP324" s="644">
        <v>13</v>
      </c>
      <c r="AQ324" s="644"/>
      <c r="AR324" s="644"/>
      <c r="AS324" s="644"/>
      <c r="AT324" s="644"/>
      <c r="AU324" s="644"/>
      <c r="AV324" s="642"/>
      <c r="AW324" s="642"/>
      <c r="AX324" s="642"/>
      <c r="AY324" s="642"/>
      <c r="AZ324" s="642"/>
      <c r="BA324" s="642"/>
      <c r="BB324" s="6"/>
      <c r="BC324" s="6"/>
      <c r="BD324" s="6"/>
      <c r="BE324" s="6"/>
      <c r="BF324" s="6"/>
      <c r="BG324" s="4">
        <f t="shared" si="37"/>
        <v>9750</v>
      </c>
      <c r="BH324" s="4"/>
      <c r="BI324" s="4"/>
      <c r="BJ324" s="4"/>
      <c r="BK324" s="6"/>
      <c r="BL324" s="6"/>
      <c r="BM324" s="6"/>
      <c r="BN324" s="6"/>
      <c r="BO324" s="6"/>
      <c r="BP324" s="6"/>
      <c r="BQ324" s="6"/>
      <c r="BR324" s="6"/>
      <c r="BS324" s="6"/>
      <c r="BT324" s="6"/>
      <c r="BU324" s="6"/>
      <c r="BV324" s="6"/>
      <c r="BW324" s="6"/>
      <c r="BX324" s="130">
        <v>0.05</v>
      </c>
      <c r="BY324" s="6"/>
      <c r="BZ324" s="6"/>
      <c r="CA324" s="6"/>
      <c r="CB324" s="6"/>
      <c r="CC324" s="642"/>
      <c r="CD324" s="642"/>
      <c r="CE324" s="6"/>
      <c r="CF324" s="6"/>
      <c r="CG324" s="6"/>
      <c r="CH324" s="6"/>
      <c r="CI324" s="6"/>
      <c r="CJ324" s="6"/>
      <c r="CK324" s="6"/>
      <c r="CL324" s="6"/>
      <c r="CM324" s="6"/>
      <c r="CN324" s="4">
        <f t="shared" si="38"/>
        <v>0</v>
      </c>
      <c r="CO324" s="4">
        <f t="shared" si="40"/>
        <v>780</v>
      </c>
      <c r="CP324" s="6"/>
      <c r="CQ324" s="6"/>
      <c r="CR324" s="6"/>
      <c r="CS324" s="6"/>
      <c r="CT324" s="642"/>
      <c r="CU324" s="642"/>
      <c r="CV324" s="642"/>
      <c r="CW324" s="642"/>
      <c r="CX324" s="642"/>
      <c r="CY324" s="642"/>
      <c r="CZ324" s="6"/>
      <c r="DA324" s="6"/>
      <c r="DB324" s="6"/>
      <c r="DC324" s="6"/>
      <c r="DD324" s="6">
        <f t="shared" si="39"/>
        <v>0</v>
      </c>
      <c r="DE324" s="6"/>
      <c r="DF324" s="6"/>
      <c r="DG324" s="6"/>
      <c r="DH324" s="6"/>
      <c r="DI324" s="6"/>
      <c r="DJ324" s="642"/>
      <c r="DK324" s="642"/>
    </row>
    <row r="325" spans="1:115">
      <c r="A325" s="86">
        <v>1</v>
      </c>
      <c r="B325" s="84" t="s">
        <v>1446</v>
      </c>
      <c r="C325" s="84"/>
      <c r="D325" s="645" t="s">
        <v>1059</v>
      </c>
      <c r="E325" s="645"/>
      <c r="F325" s="84"/>
      <c r="G325" s="641">
        <v>30</v>
      </c>
      <c r="H325" s="84"/>
      <c r="I325" s="641"/>
      <c r="J325" s="641"/>
      <c r="K325" s="641"/>
      <c r="L325" s="641"/>
      <c r="M325" s="642" t="s">
        <v>860</v>
      </c>
      <c r="N325" s="642"/>
      <c r="O325" s="642"/>
      <c r="P325" s="642"/>
      <c r="Q325" s="642"/>
      <c r="R325" s="642"/>
      <c r="S325" s="642"/>
      <c r="T325" s="84"/>
      <c r="U325" s="643"/>
      <c r="V325" s="4"/>
      <c r="W325" s="95"/>
      <c r="X325" s="629"/>
      <c r="Y325" s="629">
        <v>750</v>
      </c>
      <c r="Z325" s="629"/>
      <c r="AA325" s="629"/>
      <c r="AB325" s="629"/>
      <c r="AC325" s="629"/>
      <c r="AD325" s="642"/>
      <c r="AE325" s="642"/>
      <c r="AF325" s="642"/>
      <c r="AG325" s="642"/>
      <c r="AH325" s="642"/>
      <c r="AI325" s="642"/>
      <c r="AJ325" s="642"/>
      <c r="AK325" s="11"/>
      <c r="AL325" s="11"/>
      <c r="AM325" s="6"/>
      <c r="AN325" s="6"/>
      <c r="AO325" s="6"/>
      <c r="AP325" s="644">
        <v>13</v>
      </c>
      <c r="AQ325" s="644"/>
      <c r="AR325" s="644"/>
      <c r="AS325" s="644"/>
      <c r="AT325" s="644"/>
      <c r="AU325" s="644"/>
      <c r="AV325" s="642"/>
      <c r="AW325" s="642"/>
      <c r="AX325" s="642"/>
      <c r="AY325" s="642"/>
      <c r="AZ325" s="642"/>
      <c r="BA325" s="642"/>
      <c r="BB325" s="6"/>
      <c r="BC325" s="6"/>
      <c r="BD325" s="6"/>
      <c r="BE325" s="6"/>
      <c r="BF325" s="6"/>
      <c r="BG325" s="4">
        <f t="shared" si="37"/>
        <v>9750</v>
      </c>
      <c r="BH325" s="4"/>
      <c r="BI325" s="4"/>
      <c r="BJ325" s="4"/>
      <c r="BK325" s="6"/>
      <c r="BL325" s="6"/>
      <c r="BM325" s="6"/>
      <c r="BN325" s="6"/>
      <c r="BO325" s="6"/>
      <c r="BP325" s="6"/>
      <c r="BQ325" s="6"/>
      <c r="BR325" s="6"/>
      <c r="BS325" s="6"/>
      <c r="BT325" s="6"/>
      <c r="BU325" s="6"/>
      <c r="BV325" s="6"/>
      <c r="BW325" s="6"/>
      <c r="BX325" s="130">
        <v>0.05</v>
      </c>
      <c r="BY325" s="6"/>
      <c r="BZ325" s="6"/>
      <c r="CA325" s="6"/>
      <c r="CB325" s="6"/>
      <c r="CC325" s="642"/>
      <c r="CD325" s="642"/>
      <c r="CE325" s="6"/>
      <c r="CF325" s="6"/>
      <c r="CG325" s="6"/>
      <c r="CH325" s="6"/>
      <c r="CI325" s="6"/>
      <c r="CJ325" s="6"/>
      <c r="CK325" s="6"/>
      <c r="CL325" s="6"/>
      <c r="CM325" s="6"/>
      <c r="CN325" s="4">
        <f t="shared" si="38"/>
        <v>0</v>
      </c>
      <c r="CO325" s="4">
        <f t="shared" si="40"/>
        <v>390</v>
      </c>
      <c r="CP325" s="6"/>
      <c r="CQ325" s="6"/>
      <c r="CR325" s="6"/>
      <c r="CS325" s="6"/>
      <c r="CT325" s="642"/>
      <c r="CU325" s="642"/>
      <c r="CV325" s="642"/>
      <c r="CW325" s="642"/>
      <c r="CX325" s="642"/>
      <c r="CY325" s="642"/>
      <c r="CZ325" s="6"/>
      <c r="DA325" s="6"/>
      <c r="DB325" s="6"/>
      <c r="DC325" s="6"/>
      <c r="DD325" s="6">
        <f t="shared" si="39"/>
        <v>0</v>
      </c>
      <c r="DE325" s="6"/>
      <c r="DF325" s="6"/>
      <c r="DG325" s="6"/>
      <c r="DH325" s="6"/>
      <c r="DI325" s="6"/>
      <c r="DJ325" s="642"/>
      <c r="DK325" s="642"/>
    </row>
    <row r="326" spans="1:115">
      <c r="A326" s="86">
        <v>1</v>
      </c>
      <c r="B326" s="84" t="s">
        <v>1447</v>
      </c>
      <c r="C326" s="84"/>
      <c r="D326" s="645" t="s">
        <v>638</v>
      </c>
      <c r="E326" s="645"/>
      <c r="F326" s="84"/>
      <c r="G326" s="641">
        <v>30</v>
      </c>
      <c r="H326" s="84"/>
      <c r="I326" s="641"/>
      <c r="J326" s="641"/>
      <c r="K326" s="641"/>
      <c r="L326" s="641"/>
      <c r="M326" s="642" t="s">
        <v>860</v>
      </c>
      <c r="N326" s="642"/>
      <c r="O326" s="642"/>
      <c r="P326" s="642"/>
      <c r="Q326" s="642"/>
      <c r="R326" s="642"/>
      <c r="S326" s="642"/>
      <c r="T326" s="84"/>
      <c r="U326" s="643"/>
      <c r="V326" s="4"/>
      <c r="W326" s="95"/>
      <c r="X326" s="629"/>
      <c r="Y326" s="629">
        <v>750</v>
      </c>
      <c r="Z326" s="629"/>
      <c r="AA326" s="629"/>
      <c r="AB326" s="629"/>
      <c r="AC326" s="629"/>
      <c r="AD326" s="642"/>
      <c r="AE326" s="642"/>
      <c r="AF326" s="642"/>
      <c r="AG326" s="642"/>
      <c r="AH326" s="642"/>
      <c r="AI326" s="642"/>
      <c r="AJ326" s="642"/>
      <c r="AK326" s="11"/>
      <c r="AL326" s="11"/>
      <c r="AM326" s="6"/>
      <c r="AN326" s="6"/>
      <c r="AO326" s="6"/>
      <c r="AP326" s="644">
        <v>13</v>
      </c>
      <c r="AQ326" s="644"/>
      <c r="AR326" s="644"/>
      <c r="AS326" s="644"/>
      <c r="AT326" s="644"/>
      <c r="AU326" s="644"/>
      <c r="AV326" s="642"/>
      <c r="AW326" s="642"/>
      <c r="AX326" s="642"/>
      <c r="AY326" s="642"/>
      <c r="AZ326" s="642"/>
      <c r="BA326" s="642"/>
      <c r="BB326" s="6"/>
      <c r="BC326" s="6"/>
      <c r="BD326" s="6"/>
      <c r="BE326" s="6"/>
      <c r="BF326" s="6"/>
      <c r="BG326" s="4">
        <f t="shared" si="37"/>
        <v>9750</v>
      </c>
      <c r="BH326" s="4"/>
      <c r="BI326" s="4"/>
      <c r="BJ326" s="4"/>
      <c r="BK326" s="6"/>
      <c r="BL326" s="6"/>
      <c r="BM326" s="6"/>
      <c r="BN326" s="6"/>
      <c r="BO326" s="6"/>
      <c r="BP326" s="6"/>
      <c r="BQ326" s="6"/>
      <c r="BR326" s="6"/>
      <c r="BS326" s="6"/>
      <c r="BT326" s="6"/>
      <c r="BU326" s="6"/>
      <c r="BV326" s="6"/>
      <c r="BW326" s="6"/>
      <c r="BX326" s="130">
        <v>0.05</v>
      </c>
      <c r="BY326" s="6"/>
      <c r="BZ326" s="6"/>
      <c r="CA326" s="6"/>
      <c r="CB326" s="6"/>
      <c r="CC326" s="642"/>
      <c r="CD326" s="642"/>
      <c r="CE326" s="6"/>
      <c r="CF326" s="6"/>
      <c r="CG326" s="6"/>
      <c r="CH326" s="6"/>
      <c r="CI326" s="6"/>
      <c r="CJ326" s="6"/>
      <c r="CK326" s="6"/>
      <c r="CL326" s="6"/>
      <c r="CM326" s="6"/>
      <c r="CN326" s="4">
        <f t="shared" si="38"/>
        <v>0</v>
      </c>
      <c r="CO326" s="4">
        <f t="shared" si="40"/>
        <v>390</v>
      </c>
      <c r="CP326" s="6"/>
      <c r="CQ326" s="6"/>
      <c r="CR326" s="6"/>
      <c r="CS326" s="6"/>
      <c r="CT326" s="642"/>
      <c r="CU326" s="642"/>
      <c r="CV326" s="642"/>
      <c r="CW326" s="642"/>
      <c r="CX326" s="642"/>
      <c r="CY326" s="642"/>
      <c r="CZ326" s="6"/>
      <c r="DA326" s="6"/>
      <c r="DB326" s="6"/>
      <c r="DC326" s="6"/>
      <c r="DD326" s="6">
        <f t="shared" si="39"/>
        <v>0</v>
      </c>
      <c r="DE326" s="6"/>
      <c r="DF326" s="6"/>
      <c r="DG326" s="6"/>
      <c r="DH326" s="6"/>
      <c r="DI326" s="6"/>
      <c r="DJ326" s="642"/>
      <c r="DK326" s="642"/>
    </row>
    <row r="327" spans="1:115">
      <c r="A327" s="86">
        <v>1</v>
      </c>
      <c r="B327" s="84" t="s">
        <v>1448</v>
      </c>
      <c r="C327" s="84"/>
      <c r="D327" s="645" t="s">
        <v>1059</v>
      </c>
      <c r="E327" s="645"/>
      <c r="F327" s="84"/>
      <c r="G327" s="641">
        <v>30</v>
      </c>
      <c r="H327" s="84"/>
      <c r="I327" s="641"/>
      <c r="J327" s="641"/>
      <c r="K327" s="641"/>
      <c r="L327" s="641"/>
      <c r="M327" s="642" t="s">
        <v>860</v>
      </c>
      <c r="N327" s="642"/>
      <c r="O327" s="642"/>
      <c r="P327" s="642"/>
      <c r="Q327" s="642"/>
      <c r="R327" s="642"/>
      <c r="S327" s="642"/>
      <c r="T327" s="84"/>
      <c r="U327" s="643"/>
      <c r="V327" s="4"/>
      <c r="W327" s="95"/>
      <c r="X327" s="629"/>
      <c r="Y327" s="629">
        <v>750</v>
      </c>
      <c r="Z327" s="629"/>
      <c r="AA327" s="629"/>
      <c r="AB327" s="629"/>
      <c r="AC327" s="629"/>
      <c r="AD327" s="642"/>
      <c r="AE327" s="642"/>
      <c r="AF327" s="642"/>
      <c r="AG327" s="642"/>
      <c r="AH327" s="642"/>
      <c r="AI327" s="642"/>
      <c r="AJ327" s="642"/>
      <c r="AK327" s="11"/>
      <c r="AL327" s="11"/>
      <c r="AM327" s="6"/>
      <c r="AN327" s="6"/>
      <c r="AO327" s="6"/>
      <c r="AP327" s="644">
        <v>13</v>
      </c>
      <c r="AQ327" s="644"/>
      <c r="AR327" s="644"/>
      <c r="AS327" s="644"/>
      <c r="AT327" s="644"/>
      <c r="AU327" s="644"/>
      <c r="AV327" s="642"/>
      <c r="AW327" s="642"/>
      <c r="AX327" s="642"/>
      <c r="AY327" s="642"/>
      <c r="AZ327" s="642"/>
      <c r="BA327" s="642"/>
      <c r="BB327" s="6"/>
      <c r="BC327" s="6"/>
      <c r="BD327" s="6"/>
      <c r="BE327" s="6"/>
      <c r="BF327" s="6"/>
      <c r="BG327" s="4">
        <f t="shared" si="37"/>
        <v>9750</v>
      </c>
      <c r="BH327" s="4"/>
      <c r="BI327" s="4"/>
      <c r="BJ327" s="4"/>
      <c r="BK327" s="6"/>
      <c r="BL327" s="6"/>
      <c r="BM327" s="6"/>
      <c r="BN327" s="6"/>
      <c r="BO327" s="6"/>
      <c r="BP327" s="6"/>
      <c r="BQ327" s="6"/>
      <c r="BR327" s="6"/>
      <c r="BS327" s="6"/>
      <c r="BT327" s="6"/>
      <c r="BU327" s="6"/>
      <c r="BV327" s="6"/>
      <c r="BW327" s="6"/>
      <c r="BX327" s="130">
        <v>0.05</v>
      </c>
      <c r="BY327" s="6"/>
      <c r="BZ327" s="6"/>
      <c r="CA327" s="6"/>
      <c r="CB327" s="6"/>
      <c r="CC327" s="642"/>
      <c r="CD327" s="642"/>
      <c r="CE327" s="6"/>
      <c r="CF327" s="6"/>
      <c r="CG327" s="6"/>
      <c r="CH327" s="6"/>
      <c r="CI327" s="6"/>
      <c r="CJ327" s="6"/>
      <c r="CK327" s="6"/>
      <c r="CL327" s="6"/>
      <c r="CM327" s="6"/>
      <c r="CN327" s="4">
        <f t="shared" si="38"/>
        <v>0</v>
      </c>
      <c r="CO327" s="4">
        <f t="shared" si="40"/>
        <v>390</v>
      </c>
      <c r="CP327" s="6"/>
      <c r="CQ327" s="6"/>
      <c r="CR327" s="6"/>
      <c r="CS327" s="6"/>
      <c r="CT327" s="642"/>
      <c r="CU327" s="642"/>
      <c r="CV327" s="642"/>
      <c r="CW327" s="642"/>
      <c r="CX327" s="642"/>
      <c r="CY327" s="642"/>
      <c r="CZ327" s="6"/>
      <c r="DA327" s="6"/>
      <c r="DB327" s="6"/>
      <c r="DC327" s="6"/>
      <c r="DD327" s="6">
        <f t="shared" si="39"/>
        <v>0</v>
      </c>
      <c r="DE327" s="6"/>
      <c r="DF327" s="6"/>
      <c r="DG327" s="6"/>
      <c r="DH327" s="6"/>
      <c r="DI327" s="6"/>
      <c r="DJ327" s="642"/>
      <c r="DK327" s="642"/>
    </row>
    <row r="328" spans="1:115">
      <c r="A328" s="86">
        <v>2</v>
      </c>
      <c r="B328" s="84" t="s">
        <v>1449</v>
      </c>
      <c r="C328" s="84"/>
      <c r="D328" s="645" t="s">
        <v>1450</v>
      </c>
      <c r="E328" s="645"/>
      <c r="F328" s="84"/>
      <c r="G328" s="641">
        <v>60</v>
      </c>
      <c r="H328" s="84"/>
      <c r="I328" s="641"/>
      <c r="J328" s="641"/>
      <c r="K328" s="641"/>
      <c r="L328" s="641"/>
      <c r="M328" s="642" t="s">
        <v>860</v>
      </c>
      <c r="N328" s="642"/>
      <c r="O328" s="642"/>
      <c r="P328" s="642"/>
      <c r="Q328" s="642"/>
      <c r="R328" s="642"/>
      <c r="S328" s="642"/>
      <c r="T328" s="84"/>
      <c r="U328" s="643"/>
      <c r="V328" s="4"/>
      <c r="W328" s="95"/>
      <c r="X328" s="629"/>
      <c r="Y328" s="629">
        <v>1000</v>
      </c>
      <c r="Z328" s="629"/>
      <c r="AA328" s="629"/>
      <c r="AB328" s="629"/>
      <c r="AC328" s="629"/>
      <c r="AD328" s="642"/>
      <c r="AE328" s="642"/>
      <c r="AF328" s="642"/>
      <c r="AG328" s="642"/>
      <c r="AH328" s="642"/>
      <c r="AI328" s="642"/>
      <c r="AJ328" s="642"/>
      <c r="AK328" s="11"/>
      <c r="AL328" s="11"/>
      <c r="AM328" s="6"/>
      <c r="AN328" s="6"/>
      <c r="AO328" s="6"/>
      <c r="AP328" s="644">
        <v>13</v>
      </c>
      <c r="AQ328" s="644"/>
      <c r="AR328" s="644"/>
      <c r="AS328" s="644"/>
      <c r="AT328" s="644"/>
      <c r="AU328" s="644"/>
      <c r="AV328" s="642"/>
      <c r="AW328" s="642"/>
      <c r="AX328" s="642"/>
      <c r="AY328" s="642"/>
      <c r="AZ328" s="642"/>
      <c r="BA328" s="642"/>
      <c r="BB328" s="6"/>
      <c r="BC328" s="6"/>
      <c r="BD328" s="6"/>
      <c r="BE328" s="6"/>
      <c r="BF328" s="6"/>
      <c r="BG328" s="4">
        <f t="shared" si="37"/>
        <v>13000</v>
      </c>
      <c r="BH328" s="4"/>
      <c r="BI328" s="4"/>
      <c r="BJ328" s="4"/>
      <c r="BK328" s="6"/>
      <c r="BL328" s="6"/>
      <c r="BM328" s="6"/>
      <c r="BN328" s="6"/>
      <c r="BO328" s="6"/>
      <c r="BP328" s="6"/>
      <c r="BQ328" s="6"/>
      <c r="BR328" s="6"/>
      <c r="BS328" s="6"/>
      <c r="BT328" s="6"/>
      <c r="BU328" s="6"/>
      <c r="BV328" s="6"/>
      <c r="BW328" s="6"/>
      <c r="BX328" s="130">
        <v>0.05</v>
      </c>
      <c r="BY328" s="6"/>
      <c r="BZ328" s="6"/>
      <c r="CA328" s="6"/>
      <c r="CB328" s="6"/>
      <c r="CC328" s="642"/>
      <c r="CD328" s="642"/>
      <c r="CE328" s="6"/>
      <c r="CF328" s="6"/>
      <c r="CG328" s="6"/>
      <c r="CH328" s="6"/>
      <c r="CI328" s="6"/>
      <c r="CJ328" s="6"/>
      <c r="CK328" s="6"/>
      <c r="CL328" s="6"/>
      <c r="CM328" s="6"/>
      <c r="CN328" s="4">
        <f t="shared" si="38"/>
        <v>0</v>
      </c>
      <c r="CO328" s="4">
        <f t="shared" si="40"/>
        <v>780</v>
      </c>
      <c r="CP328" s="6"/>
      <c r="CQ328" s="6"/>
      <c r="CR328" s="6"/>
      <c r="CS328" s="6"/>
      <c r="CT328" s="642"/>
      <c r="CU328" s="642"/>
      <c r="CV328" s="642"/>
      <c r="CW328" s="642"/>
      <c r="CX328" s="642"/>
      <c r="CY328" s="642"/>
      <c r="CZ328" s="6"/>
      <c r="DA328" s="6"/>
      <c r="DB328" s="6"/>
      <c r="DC328" s="6"/>
      <c r="DD328" s="6">
        <f t="shared" si="39"/>
        <v>0</v>
      </c>
      <c r="DE328" s="6"/>
      <c r="DF328" s="6"/>
      <c r="DG328" s="6"/>
      <c r="DH328" s="6"/>
      <c r="DI328" s="6"/>
      <c r="DJ328" s="642"/>
      <c r="DK328" s="642"/>
    </row>
    <row r="329" spans="1:115">
      <c r="A329" s="86">
        <v>1</v>
      </c>
      <c r="B329" s="84" t="s">
        <v>1451</v>
      </c>
      <c r="C329" s="84"/>
      <c r="D329" s="645" t="s">
        <v>638</v>
      </c>
      <c r="E329" s="645"/>
      <c r="F329" s="84"/>
      <c r="G329" s="641">
        <v>60</v>
      </c>
      <c r="H329" s="84"/>
      <c r="I329" s="641"/>
      <c r="J329" s="641"/>
      <c r="K329" s="641"/>
      <c r="L329" s="641"/>
      <c r="M329" s="642" t="s">
        <v>860</v>
      </c>
      <c r="N329" s="642"/>
      <c r="O329" s="642"/>
      <c r="P329" s="642"/>
      <c r="Q329" s="642"/>
      <c r="R329" s="642"/>
      <c r="S329" s="642"/>
      <c r="T329" s="84"/>
      <c r="U329" s="643"/>
      <c r="V329" s="4"/>
      <c r="W329" s="95"/>
      <c r="X329" s="629"/>
      <c r="Y329" s="629">
        <v>750</v>
      </c>
      <c r="Z329" s="629"/>
      <c r="AA329" s="629"/>
      <c r="AB329" s="629"/>
      <c r="AC329" s="629"/>
      <c r="AD329" s="642"/>
      <c r="AE329" s="642"/>
      <c r="AF329" s="642"/>
      <c r="AG329" s="642"/>
      <c r="AH329" s="642"/>
      <c r="AI329" s="642"/>
      <c r="AJ329" s="642"/>
      <c r="AK329" s="11"/>
      <c r="AL329" s="11"/>
      <c r="AM329" s="6"/>
      <c r="AN329" s="6"/>
      <c r="AO329" s="6"/>
      <c r="AP329" s="644">
        <v>13</v>
      </c>
      <c r="AQ329" s="644"/>
      <c r="AR329" s="644"/>
      <c r="AS329" s="644"/>
      <c r="AT329" s="644"/>
      <c r="AU329" s="644"/>
      <c r="AV329" s="642"/>
      <c r="AW329" s="642"/>
      <c r="AX329" s="642"/>
      <c r="AY329" s="642"/>
      <c r="AZ329" s="642"/>
      <c r="BA329" s="642"/>
      <c r="BB329" s="6"/>
      <c r="BC329" s="6"/>
      <c r="BD329" s="6"/>
      <c r="BE329" s="6"/>
      <c r="BF329" s="6"/>
      <c r="BG329" s="4">
        <f t="shared" si="37"/>
        <v>9750</v>
      </c>
      <c r="BH329" s="4"/>
      <c r="BI329" s="4"/>
      <c r="BJ329" s="4"/>
      <c r="BK329" s="6"/>
      <c r="BL329" s="6"/>
      <c r="BM329" s="6"/>
      <c r="BN329" s="6"/>
      <c r="BO329" s="6"/>
      <c r="BP329" s="6"/>
      <c r="BQ329" s="6"/>
      <c r="BR329" s="6"/>
      <c r="BS329" s="6"/>
      <c r="BT329" s="6"/>
      <c r="BU329" s="6"/>
      <c r="BV329" s="6"/>
      <c r="BW329" s="6"/>
      <c r="BX329" s="130">
        <v>0.05</v>
      </c>
      <c r="BY329" s="6"/>
      <c r="BZ329" s="6"/>
      <c r="CA329" s="6"/>
      <c r="CB329" s="6"/>
      <c r="CC329" s="642"/>
      <c r="CD329" s="642"/>
      <c r="CE329" s="6"/>
      <c r="CF329" s="6"/>
      <c r="CG329" s="6"/>
      <c r="CH329" s="6"/>
      <c r="CI329" s="6"/>
      <c r="CJ329" s="6"/>
      <c r="CK329" s="6"/>
      <c r="CL329" s="6"/>
      <c r="CM329" s="6"/>
      <c r="CN329" s="4">
        <f t="shared" si="38"/>
        <v>0</v>
      </c>
      <c r="CO329" s="4">
        <f t="shared" si="40"/>
        <v>780</v>
      </c>
      <c r="CP329" s="6"/>
      <c r="CQ329" s="6"/>
      <c r="CR329" s="6"/>
      <c r="CS329" s="6"/>
      <c r="CT329" s="642"/>
      <c r="CU329" s="642"/>
      <c r="CV329" s="642"/>
      <c r="CW329" s="642"/>
      <c r="CX329" s="642"/>
      <c r="CY329" s="642"/>
      <c r="CZ329" s="6"/>
      <c r="DA329" s="6"/>
      <c r="DB329" s="6"/>
      <c r="DC329" s="6"/>
      <c r="DD329" s="6">
        <f t="shared" si="39"/>
        <v>0</v>
      </c>
      <c r="DE329" s="6"/>
      <c r="DF329" s="6"/>
      <c r="DG329" s="6"/>
      <c r="DH329" s="6"/>
      <c r="DI329" s="6"/>
      <c r="DJ329" s="642"/>
      <c r="DK329" s="642"/>
    </row>
    <row r="330" spans="1:115">
      <c r="A330" s="86">
        <v>1</v>
      </c>
      <c r="B330" s="84" t="s">
        <v>1452</v>
      </c>
      <c r="C330" s="84"/>
      <c r="D330" s="645" t="s">
        <v>1059</v>
      </c>
      <c r="E330" s="645"/>
      <c r="F330" s="84"/>
      <c r="G330" s="641">
        <v>30</v>
      </c>
      <c r="H330" s="84"/>
      <c r="I330" s="641"/>
      <c r="J330" s="641"/>
      <c r="K330" s="641"/>
      <c r="L330" s="641"/>
      <c r="M330" s="642" t="s">
        <v>860</v>
      </c>
      <c r="N330" s="642"/>
      <c r="O330" s="642"/>
      <c r="P330" s="642"/>
      <c r="Q330" s="642"/>
      <c r="R330" s="642"/>
      <c r="S330" s="642"/>
      <c r="T330" s="84"/>
      <c r="U330" s="643"/>
      <c r="V330" s="4"/>
      <c r="W330" s="95"/>
      <c r="X330" s="629"/>
      <c r="Y330" s="629">
        <v>750</v>
      </c>
      <c r="Z330" s="629"/>
      <c r="AA330" s="629"/>
      <c r="AB330" s="629"/>
      <c r="AC330" s="629"/>
      <c r="AD330" s="642"/>
      <c r="AE330" s="642"/>
      <c r="AF330" s="642"/>
      <c r="AG330" s="642"/>
      <c r="AH330" s="642"/>
      <c r="AI330" s="642"/>
      <c r="AJ330" s="642"/>
      <c r="AK330" s="11"/>
      <c r="AL330" s="11"/>
      <c r="AM330" s="6"/>
      <c r="AN330" s="6"/>
      <c r="AO330" s="6"/>
      <c r="AP330" s="644">
        <v>13</v>
      </c>
      <c r="AQ330" s="644"/>
      <c r="AR330" s="644"/>
      <c r="AS330" s="644"/>
      <c r="AT330" s="644"/>
      <c r="AU330" s="644"/>
      <c r="AV330" s="642"/>
      <c r="AW330" s="642"/>
      <c r="AX330" s="642"/>
      <c r="AY330" s="642"/>
      <c r="AZ330" s="642"/>
      <c r="BA330" s="642"/>
      <c r="BB330" s="6"/>
      <c r="BC330" s="6"/>
      <c r="BD330" s="6"/>
      <c r="BE330" s="6"/>
      <c r="BF330" s="6"/>
      <c r="BG330" s="4">
        <f t="shared" si="37"/>
        <v>9750</v>
      </c>
      <c r="BH330" s="4"/>
      <c r="BI330" s="4"/>
      <c r="BJ330" s="4"/>
      <c r="BK330" s="6"/>
      <c r="BL330" s="6"/>
      <c r="BM330" s="6"/>
      <c r="BN330" s="6"/>
      <c r="BO330" s="6"/>
      <c r="BP330" s="6"/>
      <c r="BQ330" s="6"/>
      <c r="BR330" s="6"/>
      <c r="BS330" s="6"/>
      <c r="BT330" s="6"/>
      <c r="BU330" s="6"/>
      <c r="BV330" s="6"/>
      <c r="BW330" s="6"/>
      <c r="BX330" s="130">
        <v>0.05</v>
      </c>
      <c r="BY330" s="130"/>
      <c r="BZ330" s="130"/>
      <c r="CA330" s="130"/>
      <c r="CB330" s="130"/>
      <c r="CC330" s="642"/>
      <c r="CD330" s="642"/>
      <c r="CE330" s="6"/>
      <c r="CF330" s="6"/>
      <c r="CG330" s="6"/>
      <c r="CH330" s="6"/>
      <c r="CI330" s="6"/>
      <c r="CJ330" s="6"/>
      <c r="CK330" s="6"/>
      <c r="CL330" s="6"/>
      <c r="CM330" s="6"/>
      <c r="CN330" s="4">
        <f t="shared" si="38"/>
        <v>0</v>
      </c>
      <c r="CO330" s="4">
        <f t="shared" si="40"/>
        <v>390</v>
      </c>
      <c r="CP330" s="6"/>
      <c r="CQ330" s="6"/>
      <c r="CR330" s="6"/>
      <c r="CS330" s="6"/>
      <c r="CT330" s="642"/>
      <c r="CU330" s="642"/>
      <c r="CV330" s="642"/>
      <c r="CW330" s="642"/>
      <c r="CX330" s="642"/>
      <c r="CY330" s="642"/>
      <c r="CZ330" s="6"/>
      <c r="DA330" s="6"/>
      <c r="DB330" s="6"/>
      <c r="DC330" s="6"/>
      <c r="DD330" s="6">
        <f t="shared" si="39"/>
        <v>0</v>
      </c>
      <c r="DE330" s="6"/>
      <c r="DF330" s="6"/>
      <c r="DG330" s="6"/>
      <c r="DH330" s="6"/>
      <c r="DI330" s="6"/>
      <c r="DJ330" s="642"/>
      <c r="DK330" s="642"/>
    </row>
    <row r="331" spans="1:115">
      <c r="A331" s="179">
        <v>2</v>
      </c>
      <c r="B331" s="6" t="s">
        <v>597</v>
      </c>
      <c r="C331" s="6" t="s">
        <v>598</v>
      </c>
      <c r="D331" s="645" t="s">
        <v>220</v>
      </c>
      <c r="E331" s="645"/>
      <c r="F331" s="342"/>
      <c r="G331" s="641">
        <v>60</v>
      </c>
      <c r="H331" s="645"/>
      <c r="I331" s="4"/>
      <c r="J331" s="4"/>
      <c r="K331" s="4"/>
      <c r="L331" s="642" t="s">
        <v>860</v>
      </c>
      <c r="M331" s="641"/>
      <c r="N331" s="641"/>
      <c r="O331" s="641"/>
      <c r="P331" s="641"/>
      <c r="Q331" s="641"/>
      <c r="R331" s="641"/>
      <c r="S331" s="641"/>
      <c r="T331" s="645"/>
      <c r="U331" s="4">
        <v>0</v>
      </c>
      <c r="V331" s="4">
        <v>0</v>
      </c>
      <c r="W331" s="95">
        <v>0</v>
      </c>
      <c r="X331" s="95">
        <v>1400</v>
      </c>
      <c r="Y331" s="95"/>
      <c r="Z331" s="95"/>
      <c r="AA331" s="95"/>
      <c r="AB331" s="95"/>
      <c r="AC331" s="95"/>
      <c r="AD331" s="641"/>
      <c r="AE331" s="641"/>
      <c r="AF331" s="641"/>
      <c r="AG331" s="641"/>
      <c r="AH331" s="641"/>
      <c r="AI331" s="641"/>
      <c r="AJ331" s="641"/>
      <c r="AK331" s="11"/>
      <c r="AL331" s="646"/>
      <c r="AM331" s="647"/>
      <c r="AN331" s="647"/>
      <c r="AO331" s="644">
        <v>6</v>
      </c>
      <c r="AP331" s="95">
        <v>13</v>
      </c>
      <c r="AQ331" s="95"/>
      <c r="AR331" s="95"/>
      <c r="AS331" s="95"/>
      <c r="AT331" s="95"/>
      <c r="AU331" s="95"/>
      <c r="AV331" s="641"/>
      <c r="AW331" s="641"/>
      <c r="AX331" s="641"/>
      <c r="AY331" s="641"/>
      <c r="AZ331" s="641"/>
      <c r="BA331" s="641"/>
      <c r="BB331" s="6"/>
      <c r="BC331" s="4"/>
      <c r="BD331" s="4"/>
      <c r="BE331" s="4"/>
      <c r="BF331" s="4">
        <f t="shared" ref="BF331:BF346" si="41">X331*AO331</f>
        <v>8400</v>
      </c>
      <c r="BG331" s="4"/>
      <c r="BH331" s="4"/>
      <c r="BI331" s="4"/>
      <c r="BJ331" s="4"/>
      <c r="BK331" s="6"/>
      <c r="BL331" s="6"/>
      <c r="BM331" s="6"/>
      <c r="BN331" s="6"/>
      <c r="BO331" s="6"/>
      <c r="BP331" s="6"/>
      <c r="BQ331" s="6"/>
      <c r="BR331" s="6"/>
      <c r="BS331" s="6"/>
      <c r="BT331" s="6"/>
      <c r="BU331" s="6"/>
      <c r="BV331" s="6"/>
      <c r="BW331" s="130">
        <v>0.05</v>
      </c>
      <c r="BX331" s="6"/>
      <c r="BY331" s="6"/>
      <c r="BZ331" s="6"/>
      <c r="CA331" s="6"/>
      <c r="CB331" s="6"/>
      <c r="CC331" s="641"/>
      <c r="CD331" s="641"/>
      <c r="CE331" s="6"/>
      <c r="CF331" s="6"/>
      <c r="CG331" s="6"/>
      <c r="CH331" s="6"/>
      <c r="CI331" s="6"/>
      <c r="CJ331" s="6"/>
      <c r="CK331" s="4"/>
      <c r="CL331" s="4"/>
      <c r="CM331" s="4">
        <f t="shared" ref="CM331:CN335" si="42">$G331*AN331</f>
        <v>0</v>
      </c>
      <c r="CN331" s="4">
        <f t="shared" si="42"/>
        <v>360</v>
      </c>
      <c r="CO331" s="4">
        <f t="shared" si="40"/>
        <v>780</v>
      </c>
      <c r="CP331" s="4"/>
      <c r="CQ331" s="4"/>
      <c r="CR331" s="4"/>
      <c r="CS331" s="4"/>
      <c r="CT331" s="641"/>
      <c r="CU331" s="641"/>
      <c r="CV331" s="641"/>
      <c r="CW331" s="641"/>
      <c r="CX331" s="641"/>
      <c r="CY331" s="641"/>
      <c r="CZ331" s="6"/>
      <c r="DA331" s="6">
        <f t="shared" ref="DA331:DC337" si="43">I331*CK331</f>
        <v>0</v>
      </c>
      <c r="DB331" s="6">
        <f t="shared" si="43"/>
        <v>0</v>
      </c>
      <c r="DC331" s="6">
        <f t="shared" si="43"/>
        <v>0</v>
      </c>
      <c r="DD331" s="6"/>
      <c r="DE331" s="6"/>
      <c r="DF331" s="6"/>
      <c r="DG331" s="6"/>
      <c r="DH331" s="6"/>
      <c r="DI331" s="6"/>
      <c r="DJ331" s="641"/>
      <c r="DK331" s="641"/>
    </row>
    <row r="332" spans="1:115">
      <c r="A332" s="86">
        <v>2</v>
      </c>
      <c r="B332" s="6" t="s">
        <v>1453</v>
      </c>
      <c r="C332" s="6" t="s">
        <v>1454</v>
      </c>
      <c r="D332" s="645" t="s">
        <v>638</v>
      </c>
      <c r="E332" s="645"/>
      <c r="F332" s="342" t="s">
        <v>1455</v>
      </c>
      <c r="G332" s="641">
        <v>60</v>
      </c>
      <c r="H332" s="645"/>
      <c r="I332" s="4"/>
      <c r="J332" s="4"/>
      <c r="K332" s="4"/>
      <c r="L332" s="642">
        <v>4.9000000000000004</v>
      </c>
      <c r="M332" s="642" t="s">
        <v>860</v>
      </c>
      <c r="N332" s="642"/>
      <c r="O332" s="642"/>
      <c r="P332" s="642"/>
      <c r="Q332" s="642"/>
      <c r="R332" s="642"/>
      <c r="S332" s="642"/>
      <c r="T332" s="645"/>
      <c r="U332" s="4">
        <v>0</v>
      </c>
      <c r="V332" s="4">
        <v>0</v>
      </c>
      <c r="W332" s="95">
        <v>0</v>
      </c>
      <c r="X332" s="95">
        <v>1000</v>
      </c>
      <c r="Y332" s="95">
        <v>1000</v>
      </c>
      <c r="Z332" s="95"/>
      <c r="AA332" s="95"/>
      <c r="AB332" s="95"/>
      <c r="AC332" s="95"/>
      <c r="AD332" s="642"/>
      <c r="AE332" s="642"/>
      <c r="AF332" s="642"/>
      <c r="AG332" s="642"/>
      <c r="AH332" s="642"/>
      <c r="AI332" s="642"/>
      <c r="AJ332" s="642"/>
      <c r="AK332" s="11"/>
      <c r="AL332" s="646">
        <v>0</v>
      </c>
      <c r="AM332" s="647">
        <v>0</v>
      </c>
      <c r="AN332" s="647">
        <v>0</v>
      </c>
      <c r="AO332" s="644">
        <v>13</v>
      </c>
      <c r="AP332" s="644">
        <v>22</v>
      </c>
      <c r="AQ332" s="644"/>
      <c r="AR332" s="644"/>
      <c r="AS332" s="644"/>
      <c r="AT332" s="644"/>
      <c r="AU332" s="644"/>
      <c r="AV332" s="642"/>
      <c r="AW332" s="642"/>
      <c r="AX332" s="642"/>
      <c r="AY332" s="642"/>
      <c r="AZ332" s="642"/>
      <c r="BA332" s="642"/>
      <c r="BB332" s="6"/>
      <c r="BC332" s="4"/>
      <c r="BD332" s="4"/>
      <c r="BE332" s="4"/>
      <c r="BF332" s="4">
        <f t="shared" si="41"/>
        <v>13000</v>
      </c>
      <c r="BG332" s="4">
        <f t="shared" ref="BG332:BG346" si="44">Y332*AP332</f>
        <v>22000</v>
      </c>
      <c r="BH332" s="4"/>
      <c r="BI332" s="4"/>
      <c r="BJ332" s="4"/>
      <c r="BK332" s="6"/>
      <c r="BL332" s="6"/>
      <c r="BM332" s="6"/>
      <c r="BN332" s="6"/>
      <c r="BO332" s="6"/>
      <c r="BP332" s="6"/>
      <c r="BQ332" s="6"/>
      <c r="BR332" s="6"/>
      <c r="BS332" s="6"/>
      <c r="BT332" s="6"/>
      <c r="BU332" s="6"/>
      <c r="BV332" s="6"/>
      <c r="BW332" s="6"/>
      <c r="BX332" s="130">
        <v>0.05</v>
      </c>
      <c r="BY332" s="130"/>
      <c r="BZ332" s="130"/>
      <c r="CA332" s="130"/>
      <c r="CB332" s="130"/>
      <c r="CC332" s="642"/>
      <c r="CD332" s="642"/>
      <c r="CE332" s="6"/>
      <c r="CF332" s="6"/>
      <c r="CG332" s="6"/>
      <c r="CH332" s="6"/>
      <c r="CI332" s="6"/>
      <c r="CJ332" s="6"/>
      <c r="CK332" s="4">
        <f t="shared" ref="CK332:CL335" si="45">$G332*AL332</f>
        <v>0</v>
      </c>
      <c r="CL332" s="4">
        <f t="shared" si="45"/>
        <v>0</v>
      </c>
      <c r="CM332" s="4">
        <f t="shared" si="42"/>
        <v>0</v>
      </c>
      <c r="CN332" s="4">
        <f t="shared" si="42"/>
        <v>780</v>
      </c>
      <c r="CO332" s="4">
        <f t="shared" ref="CO332:CO346" si="46">$G332*AP332</f>
        <v>1320</v>
      </c>
      <c r="CP332" s="4"/>
      <c r="CQ332" s="4"/>
      <c r="CR332" s="4"/>
      <c r="CS332" s="4"/>
      <c r="CT332" s="642"/>
      <c r="CU332" s="642"/>
      <c r="CV332" s="642"/>
      <c r="CW332" s="642"/>
      <c r="CX332" s="642"/>
      <c r="CY332" s="642"/>
      <c r="CZ332" s="6"/>
      <c r="DA332" s="6">
        <f t="shared" si="43"/>
        <v>0</v>
      </c>
      <c r="DB332" s="6">
        <f t="shared" si="43"/>
        <v>0</v>
      </c>
      <c r="DC332" s="6">
        <f t="shared" si="43"/>
        <v>0</v>
      </c>
      <c r="DD332" s="6">
        <f t="shared" ref="DD332:DD346" si="47">L332*CN332</f>
        <v>3822.0000000000005</v>
      </c>
      <c r="DE332" s="6"/>
      <c r="DF332" s="6"/>
      <c r="DG332" s="6"/>
      <c r="DH332" s="6"/>
      <c r="DI332" s="6"/>
      <c r="DJ332" s="642"/>
      <c r="DK332" s="642"/>
    </row>
    <row r="333" spans="1:115">
      <c r="A333" s="259">
        <v>3</v>
      </c>
      <c r="B333" s="6" t="s">
        <v>1456</v>
      </c>
      <c r="C333" s="6" t="s">
        <v>1457</v>
      </c>
      <c r="D333" s="645" t="s">
        <v>638</v>
      </c>
      <c r="E333" s="645"/>
      <c r="F333" s="342" t="s">
        <v>1455</v>
      </c>
      <c r="G333" s="641">
        <v>60</v>
      </c>
      <c r="H333" s="645"/>
      <c r="I333" s="4"/>
      <c r="J333" s="4"/>
      <c r="K333" s="641">
        <v>3.5</v>
      </c>
      <c r="L333" s="642">
        <v>3.5</v>
      </c>
      <c r="M333" s="642" t="s">
        <v>860</v>
      </c>
      <c r="N333" s="642"/>
      <c r="O333" s="642"/>
      <c r="P333" s="642"/>
      <c r="Q333" s="642"/>
      <c r="R333" s="642"/>
      <c r="S333" s="642"/>
      <c r="T333" s="645"/>
      <c r="U333" s="4">
        <v>0</v>
      </c>
      <c r="V333" s="4">
        <v>0</v>
      </c>
      <c r="W333" s="95">
        <f>V344-200</f>
        <v>650</v>
      </c>
      <c r="X333" s="95">
        <f t="shared" ref="X333:X346" si="48">W333*(1+BW333)</f>
        <v>682.5</v>
      </c>
      <c r="Y333" s="95">
        <f t="shared" ref="Y333:Y346" si="49">X333*(1+BX333)</f>
        <v>716.625</v>
      </c>
      <c r="Z333" s="95"/>
      <c r="AA333" s="95"/>
      <c r="AB333" s="95"/>
      <c r="AC333" s="95"/>
      <c r="AD333" s="642"/>
      <c r="AE333" s="642"/>
      <c r="AF333" s="642"/>
      <c r="AG333" s="642"/>
      <c r="AH333" s="642"/>
      <c r="AI333" s="642"/>
      <c r="AJ333" s="642"/>
      <c r="AK333" s="11"/>
      <c r="AL333" s="646">
        <v>0</v>
      </c>
      <c r="AM333" s="647">
        <v>0</v>
      </c>
      <c r="AN333" s="644">
        <v>22</v>
      </c>
      <c r="AO333" s="644">
        <v>22</v>
      </c>
      <c r="AP333" s="644">
        <v>22</v>
      </c>
      <c r="AQ333" s="644"/>
      <c r="AR333" s="644"/>
      <c r="AS333" s="644"/>
      <c r="AT333" s="644"/>
      <c r="AU333" s="644"/>
      <c r="AV333" s="642"/>
      <c r="AW333" s="642"/>
      <c r="AX333" s="642"/>
      <c r="AY333" s="642"/>
      <c r="AZ333" s="642"/>
      <c r="BA333" s="642"/>
      <c r="BB333" s="6"/>
      <c r="BC333" s="4"/>
      <c r="BD333" s="4"/>
      <c r="BE333" s="4">
        <f t="shared" ref="BE333:BE346" si="50">W333*AN333</f>
        <v>14300</v>
      </c>
      <c r="BF333" s="4">
        <f t="shared" si="41"/>
        <v>15015</v>
      </c>
      <c r="BG333" s="4">
        <f t="shared" si="44"/>
        <v>15765.75</v>
      </c>
      <c r="BH333" s="4"/>
      <c r="BI333" s="4"/>
      <c r="BJ333" s="4"/>
      <c r="BK333" s="6"/>
      <c r="BL333" s="6"/>
      <c r="BM333" s="6"/>
      <c r="BN333" s="6"/>
      <c r="BO333" s="6"/>
      <c r="BP333" s="6"/>
      <c r="BQ333" s="6"/>
      <c r="BR333" s="6"/>
      <c r="BS333" s="6"/>
      <c r="BT333" s="6"/>
      <c r="BU333" s="6"/>
      <c r="BV333" s="38"/>
      <c r="BW333" s="130">
        <v>0.05</v>
      </c>
      <c r="BX333" s="130">
        <v>0.05</v>
      </c>
      <c r="BY333" s="130"/>
      <c r="BZ333" s="130"/>
      <c r="CA333" s="130"/>
      <c r="CB333" s="130"/>
      <c r="CC333" s="642"/>
      <c r="CD333" s="642"/>
      <c r="CE333" s="6"/>
      <c r="CF333" s="6"/>
      <c r="CG333" s="6"/>
      <c r="CH333" s="6"/>
      <c r="CI333" s="6"/>
      <c r="CJ333" s="6"/>
      <c r="CK333" s="4">
        <f t="shared" si="45"/>
        <v>0</v>
      </c>
      <c r="CL333" s="4">
        <f t="shared" si="45"/>
        <v>0</v>
      </c>
      <c r="CM333" s="4">
        <f t="shared" si="42"/>
        <v>1320</v>
      </c>
      <c r="CN333" s="4">
        <f t="shared" si="42"/>
        <v>1320</v>
      </c>
      <c r="CO333" s="4">
        <f t="shared" si="46"/>
        <v>1320</v>
      </c>
      <c r="CP333" s="4"/>
      <c r="CQ333" s="4"/>
      <c r="CR333" s="4"/>
      <c r="CS333" s="4"/>
      <c r="CT333" s="642"/>
      <c r="CU333" s="642"/>
      <c r="CV333" s="642"/>
      <c r="CW333" s="642"/>
      <c r="CX333" s="642"/>
      <c r="CY333" s="642"/>
      <c r="CZ333" s="6"/>
      <c r="DA333" s="6">
        <f t="shared" si="43"/>
        <v>0</v>
      </c>
      <c r="DB333" s="6">
        <f t="shared" si="43"/>
        <v>0</v>
      </c>
      <c r="DC333" s="6">
        <f t="shared" si="43"/>
        <v>4620</v>
      </c>
      <c r="DD333" s="6">
        <f t="shared" si="47"/>
        <v>4620</v>
      </c>
      <c r="DE333" s="6"/>
      <c r="DF333" s="6"/>
      <c r="DG333" s="6"/>
      <c r="DH333" s="6"/>
      <c r="DI333" s="6"/>
      <c r="DJ333" s="642"/>
      <c r="DK333" s="642"/>
    </row>
    <row r="334" spans="1:115">
      <c r="A334" s="259">
        <v>3</v>
      </c>
      <c r="B334" s="6" t="s">
        <v>1459</v>
      </c>
      <c r="C334" s="6" t="s">
        <v>1460</v>
      </c>
      <c r="D334" s="645" t="s">
        <v>1059</v>
      </c>
      <c r="E334" s="645"/>
      <c r="F334" s="648" t="s">
        <v>1420</v>
      </c>
      <c r="G334" s="641">
        <v>60</v>
      </c>
      <c r="H334" s="645"/>
      <c r="I334" s="4"/>
      <c r="J334" s="4"/>
      <c r="K334" s="642">
        <v>3</v>
      </c>
      <c r="L334" s="642">
        <v>2.2999999999999998</v>
      </c>
      <c r="M334" s="642" t="s">
        <v>860</v>
      </c>
      <c r="N334" s="642"/>
      <c r="O334" s="642"/>
      <c r="P334" s="642"/>
      <c r="Q334" s="642"/>
      <c r="R334" s="642"/>
      <c r="S334" s="642"/>
      <c r="T334" s="645"/>
      <c r="U334" s="4"/>
      <c r="V334" s="4"/>
      <c r="W334" s="629">
        <v>750</v>
      </c>
      <c r="X334" s="95">
        <f t="shared" si="48"/>
        <v>787.5</v>
      </c>
      <c r="Y334" s="95">
        <f t="shared" si="49"/>
        <v>826.875</v>
      </c>
      <c r="Z334" s="95"/>
      <c r="AA334" s="95"/>
      <c r="AB334" s="95"/>
      <c r="AC334" s="95"/>
      <c r="AD334" s="642"/>
      <c r="AE334" s="642"/>
      <c r="AF334" s="642"/>
      <c r="AG334" s="642"/>
      <c r="AH334" s="642"/>
      <c r="AI334" s="642"/>
      <c r="AJ334" s="642"/>
      <c r="AK334" s="11"/>
      <c r="AL334" s="647">
        <v>0</v>
      </c>
      <c r="AM334" s="647">
        <v>0</v>
      </c>
      <c r="AN334" s="644">
        <v>13</v>
      </c>
      <c r="AO334" s="644">
        <v>13</v>
      </c>
      <c r="AP334" s="644">
        <v>13</v>
      </c>
      <c r="AQ334" s="644"/>
      <c r="AR334" s="644"/>
      <c r="AS334" s="644"/>
      <c r="AT334" s="644"/>
      <c r="AU334" s="644"/>
      <c r="AV334" s="642"/>
      <c r="AW334" s="642"/>
      <c r="AX334" s="642"/>
      <c r="AY334" s="642"/>
      <c r="AZ334" s="642"/>
      <c r="BA334" s="642"/>
      <c r="BB334" s="6"/>
      <c r="BC334" s="4"/>
      <c r="BD334" s="4"/>
      <c r="BE334" s="4">
        <f t="shared" si="50"/>
        <v>9750</v>
      </c>
      <c r="BF334" s="4">
        <f t="shared" si="41"/>
        <v>10237.5</v>
      </c>
      <c r="BG334" s="4">
        <f t="shared" si="44"/>
        <v>10749.375</v>
      </c>
      <c r="BH334" s="4"/>
      <c r="BI334" s="4"/>
      <c r="BJ334" s="4"/>
      <c r="BK334" s="6"/>
      <c r="BL334" s="6"/>
      <c r="BM334" s="6"/>
      <c r="BN334" s="6"/>
      <c r="BO334" s="6"/>
      <c r="BP334" s="6"/>
      <c r="BQ334" s="6"/>
      <c r="BR334" s="6"/>
      <c r="BS334" s="6"/>
      <c r="BT334" s="6"/>
      <c r="BU334" s="6"/>
      <c r="BV334" s="130"/>
      <c r="BW334" s="130">
        <v>0.05</v>
      </c>
      <c r="BX334" s="130">
        <v>0.05</v>
      </c>
      <c r="BY334" s="130"/>
      <c r="BZ334" s="130"/>
      <c r="CA334" s="130"/>
      <c r="CB334" s="130"/>
      <c r="CC334" s="642"/>
      <c r="CD334" s="642"/>
      <c r="CE334" s="6"/>
      <c r="CF334" s="6"/>
      <c r="CG334" s="6"/>
      <c r="CH334" s="6"/>
      <c r="CI334" s="6"/>
      <c r="CJ334" s="6"/>
      <c r="CK334" s="4">
        <f t="shared" si="45"/>
        <v>0</v>
      </c>
      <c r="CL334" s="4">
        <f t="shared" si="45"/>
        <v>0</v>
      </c>
      <c r="CM334" s="4">
        <f t="shared" si="42"/>
        <v>780</v>
      </c>
      <c r="CN334" s="4">
        <f t="shared" si="42"/>
        <v>780</v>
      </c>
      <c r="CO334" s="4">
        <f t="shared" si="46"/>
        <v>780</v>
      </c>
      <c r="CP334" s="4"/>
      <c r="CQ334" s="4"/>
      <c r="CR334" s="4"/>
      <c r="CS334" s="4"/>
      <c r="CT334" s="642"/>
      <c r="CU334" s="642"/>
      <c r="CV334" s="642"/>
      <c r="CW334" s="642"/>
      <c r="CX334" s="642"/>
      <c r="CY334" s="642"/>
      <c r="CZ334" s="6"/>
      <c r="DA334" s="6">
        <f t="shared" si="43"/>
        <v>0</v>
      </c>
      <c r="DB334" s="6">
        <f t="shared" si="43"/>
        <v>0</v>
      </c>
      <c r="DC334" s="6">
        <f t="shared" si="43"/>
        <v>2340</v>
      </c>
      <c r="DD334" s="6">
        <f t="shared" si="47"/>
        <v>1793.9999999999998</v>
      </c>
      <c r="DE334" s="6"/>
      <c r="DF334" s="6"/>
      <c r="DG334" s="6"/>
      <c r="DH334" s="6"/>
      <c r="DI334" s="6"/>
      <c r="DJ334" s="642"/>
      <c r="DK334" s="642"/>
    </row>
    <row r="335" spans="1:115">
      <c r="A335" s="259">
        <v>3</v>
      </c>
      <c r="B335" s="6" t="s">
        <v>1461</v>
      </c>
      <c r="C335" s="6" t="s">
        <v>1462</v>
      </c>
      <c r="D335" s="645" t="s">
        <v>638</v>
      </c>
      <c r="E335" s="645"/>
      <c r="F335" s="342" t="s">
        <v>1455</v>
      </c>
      <c r="G335" s="641">
        <v>60</v>
      </c>
      <c r="H335" s="645"/>
      <c r="I335" s="4"/>
      <c r="J335" s="4"/>
      <c r="K335" s="641">
        <v>2.6</v>
      </c>
      <c r="L335" s="642">
        <v>3.1</v>
      </c>
      <c r="M335" s="642" t="s">
        <v>860</v>
      </c>
      <c r="N335" s="642"/>
      <c r="O335" s="642"/>
      <c r="P335" s="642"/>
      <c r="Q335" s="642"/>
      <c r="R335" s="642"/>
      <c r="S335" s="642"/>
      <c r="T335" s="645"/>
      <c r="U335" s="4">
        <v>0</v>
      </c>
      <c r="V335" s="4">
        <v>0</v>
      </c>
      <c r="W335" s="95">
        <v>1350</v>
      </c>
      <c r="X335" s="95">
        <f t="shared" si="48"/>
        <v>1417.5</v>
      </c>
      <c r="Y335" s="95">
        <f t="shared" si="49"/>
        <v>1488.375</v>
      </c>
      <c r="Z335" s="95"/>
      <c r="AA335" s="95"/>
      <c r="AB335" s="95"/>
      <c r="AC335" s="95"/>
      <c r="AD335" s="642"/>
      <c r="AE335" s="642"/>
      <c r="AF335" s="642"/>
      <c r="AG335" s="642"/>
      <c r="AH335" s="642"/>
      <c r="AI335" s="642"/>
      <c r="AJ335" s="642"/>
      <c r="AK335" s="11"/>
      <c r="AL335" s="646">
        <v>0</v>
      </c>
      <c r="AM335" s="647">
        <v>0</v>
      </c>
      <c r="AN335" s="644">
        <v>22</v>
      </c>
      <c r="AO335" s="644">
        <v>22</v>
      </c>
      <c r="AP335" s="644">
        <v>22</v>
      </c>
      <c r="AQ335" s="644"/>
      <c r="AR335" s="644"/>
      <c r="AS335" s="644"/>
      <c r="AT335" s="644"/>
      <c r="AU335" s="644"/>
      <c r="AV335" s="642"/>
      <c r="AW335" s="642"/>
      <c r="AX335" s="642"/>
      <c r="AY335" s="642"/>
      <c r="AZ335" s="642"/>
      <c r="BA335" s="642"/>
      <c r="BB335" s="6"/>
      <c r="BC335" s="4"/>
      <c r="BD335" s="4"/>
      <c r="BE335" s="4">
        <f t="shared" si="50"/>
        <v>29700</v>
      </c>
      <c r="BF335" s="4">
        <f t="shared" si="41"/>
        <v>31185</v>
      </c>
      <c r="BG335" s="4">
        <f t="shared" si="44"/>
        <v>32744.25</v>
      </c>
      <c r="BH335" s="4"/>
      <c r="BI335" s="4"/>
      <c r="BJ335" s="4"/>
      <c r="BK335" s="6"/>
      <c r="BL335" s="6"/>
      <c r="BM335" s="6"/>
      <c r="BN335" s="6"/>
      <c r="BO335" s="6"/>
      <c r="BP335" s="6"/>
      <c r="BQ335" s="6"/>
      <c r="BR335" s="6"/>
      <c r="BS335" s="6"/>
      <c r="BT335" s="6"/>
      <c r="BU335" s="6"/>
      <c r="BV335" s="130"/>
      <c r="BW335" s="130">
        <v>0.05</v>
      </c>
      <c r="BX335" s="130">
        <v>0.05</v>
      </c>
      <c r="BY335" s="130"/>
      <c r="BZ335" s="130"/>
      <c r="CA335" s="130"/>
      <c r="CB335" s="130"/>
      <c r="CC335" s="642"/>
      <c r="CD335" s="642"/>
      <c r="CE335" s="6"/>
      <c r="CF335" s="6"/>
      <c r="CG335" s="6"/>
      <c r="CH335" s="6"/>
      <c r="CI335" s="6"/>
      <c r="CJ335" s="6"/>
      <c r="CK335" s="4">
        <f t="shared" si="45"/>
        <v>0</v>
      </c>
      <c r="CL335" s="4">
        <f t="shared" si="45"/>
        <v>0</v>
      </c>
      <c r="CM335" s="4">
        <f t="shared" si="42"/>
        <v>1320</v>
      </c>
      <c r="CN335" s="4">
        <f t="shared" si="42"/>
        <v>1320</v>
      </c>
      <c r="CO335" s="4">
        <f t="shared" si="46"/>
        <v>1320</v>
      </c>
      <c r="CP335" s="4"/>
      <c r="CQ335" s="4"/>
      <c r="CR335" s="4"/>
      <c r="CS335" s="4"/>
      <c r="CT335" s="642"/>
      <c r="CU335" s="642"/>
      <c r="CV335" s="642"/>
      <c r="CW335" s="642"/>
      <c r="CX335" s="642"/>
      <c r="CY335" s="642"/>
      <c r="CZ335" s="6"/>
      <c r="DA335" s="6">
        <f t="shared" si="43"/>
        <v>0</v>
      </c>
      <c r="DB335" s="6">
        <f t="shared" si="43"/>
        <v>0</v>
      </c>
      <c r="DC335" s="6">
        <f t="shared" si="43"/>
        <v>3432</v>
      </c>
      <c r="DD335" s="6">
        <f t="shared" si="47"/>
        <v>4092</v>
      </c>
      <c r="DE335" s="6"/>
      <c r="DF335" s="6"/>
      <c r="DG335" s="6"/>
      <c r="DH335" s="6"/>
      <c r="DI335" s="6"/>
      <c r="DJ335" s="642"/>
      <c r="DK335" s="642"/>
    </row>
    <row r="336" spans="1:115">
      <c r="A336" s="259">
        <v>4</v>
      </c>
      <c r="B336" s="6" t="s">
        <v>1464</v>
      </c>
      <c r="C336" s="6" t="s">
        <v>1465</v>
      </c>
      <c r="D336" s="645" t="s">
        <v>638</v>
      </c>
      <c r="E336" s="645"/>
      <c r="F336" s="342" t="s">
        <v>1455</v>
      </c>
      <c r="G336" s="641">
        <v>60</v>
      </c>
      <c r="H336" s="645"/>
      <c r="I336" s="4"/>
      <c r="J336" s="642">
        <v>6</v>
      </c>
      <c r="K336" s="641">
        <v>6.3</v>
      </c>
      <c r="L336" s="642">
        <v>6.7</v>
      </c>
      <c r="M336" s="642" t="s">
        <v>860</v>
      </c>
      <c r="N336" s="642"/>
      <c r="O336" s="642"/>
      <c r="P336" s="642"/>
      <c r="Q336" s="642"/>
      <c r="R336" s="642"/>
      <c r="S336" s="642"/>
      <c r="T336" s="645"/>
      <c r="U336" s="4">
        <v>0</v>
      </c>
      <c r="V336" s="629">
        <v>1625</v>
      </c>
      <c r="W336" s="4">
        <f t="shared" ref="W336:W346" si="51">V336*(1+BV336)</f>
        <v>1706.25</v>
      </c>
      <c r="X336" s="4">
        <f t="shared" si="48"/>
        <v>1791.5625</v>
      </c>
      <c r="Y336" s="4">
        <f t="shared" si="49"/>
        <v>1881.140625</v>
      </c>
      <c r="Z336" s="4"/>
      <c r="AA336" s="4"/>
      <c r="AB336" s="4"/>
      <c r="AC336" s="4"/>
      <c r="AD336" s="642"/>
      <c r="AE336" s="642"/>
      <c r="AF336" s="642"/>
      <c r="AG336" s="642"/>
      <c r="AH336" s="642"/>
      <c r="AI336" s="642"/>
      <c r="AJ336" s="642"/>
      <c r="AK336" s="6"/>
      <c r="AL336" s="647">
        <v>0</v>
      </c>
      <c r="AM336" s="644">
        <v>22</v>
      </c>
      <c r="AN336" s="644">
        <v>22</v>
      </c>
      <c r="AO336" s="644">
        <v>22</v>
      </c>
      <c r="AP336" s="644">
        <v>22</v>
      </c>
      <c r="AQ336" s="644"/>
      <c r="AR336" s="644"/>
      <c r="AS336" s="644"/>
      <c r="AT336" s="644"/>
      <c r="AU336" s="644"/>
      <c r="AV336" s="642"/>
      <c r="AW336" s="642"/>
      <c r="AX336" s="642"/>
      <c r="AY336" s="642"/>
      <c r="AZ336" s="642"/>
      <c r="BA336" s="642"/>
      <c r="BB336" s="6"/>
      <c r="BC336" s="4"/>
      <c r="BD336" s="4">
        <f t="shared" ref="BD336:BD346" si="52">V336*AM336</f>
        <v>35750</v>
      </c>
      <c r="BE336" s="4">
        <f t="shared" si="50"/>
        <v>37537.5</v>
      </c>
      <c r="BF336" s="4">
        <f t="shared" si="41"/>
        <v>39414.375</v>
      </c>
      <c r="BG336" s="4">
        <f t="shared" si="44"/>
        <v>41385.09375</v>
      </c>
      <c r="BH336" s="4"/>
      <c r="BI336" s="4"/>
      <c r="BJ336" s="4"/>
      <c r="BK336" s="6"/>
      <c r="BL336" s="6"/>
      <c r="BM336" s="6"/>
      <c r="BN336" s="6"/>
      <c r="BO336" s="6"/>
      <c r="BP336" s="6"/>
      <c r="BQ336" s="6"/>
      <c r="BR336" s="6"/>
      <c r="BS336" s="6"/>
      <c r="BT336" s="6"/>
      <c r="BU336" s="6"/>
      <c r="BV336" s="130">
        <v>0.05</v>
      </c>
      <c r="BW336" s="130">
        <f t="shared" ref="BW336:BX346" si="53">BV336</f>
        <v>0.05</v>
      </c>
      <c r="BX336" s="130">
        <f t="shared" si="53"/>
        <v>0.05</v>
      </c>
      <c r="BY336" s="130"/>
      <c r="BZ336" s="130"/>
      <c r="CA336" s="130"/>
      <c r="CB336" s="130"/>
      <c r="CC336" s="642"/>
      <c r="CD336" s="642"/>
      <c r="CE336" s="6"/>
      <c r="CF336" s="6"/>
      <c r="CG336" s="6"/>
      <c r="CH336" s="6"/>
      <c r="CI336" s="6"/>
      <c r="CJ336" s="6"/>
      <c r="CK336" s="4">
        <f t="shared" ref="CK336:CK346" si="54">$G336*AL336</f>
        <v>0</v>
      </c>
      <c r="CL336" s="4">
        <f t="shared" ref="CL336:CL346" si="55">$G336*AM336</f>
        <v>1320</v>
      </c>
      <c r="CM336" s="4">
        <f t="shared" ref="CM336:CM346" si="56">$G336*AN336</f>
        <v>1320</v>
      </c>
      <c r="CN336" s="4">
        <f t="shared" ref="CN336:CN346" si="57">$G336*AO336</f>
        <v>1320</v>
      </c>
      <c r="CO336" s="4">
        <f t="shared" si="46"/>
        <v>1320</v>
      </c>
      <c r="CP336" s="4"/>
      <c r="CQ336" s="4"/>
      <c r="CR336" s="4"/>
      <c r="CS336" s="4"/>
      <c r="CT336" s="642"/>
      <c r="CU336" s="642"/>
      <c r="CV336" s="642"/>
      <c r="CW336" s="642"/>
      <c r="CX336" s="642"/>
      <c r="CY336" s="642"/>
      <c r="CZ336" s="6"/>
      <c r="DA336" s="6">
        <f t="shared" si="43"/>
        <v>0</v>
      </c>
      <c r="DB336" s="6">
        <f t="shared" si="43"/>
        <v>7920</v>
      </c>
      <c r="DC336" s="6">
        <f t="shared" si="43"/>
        <v>8316</v>
      </c>
      <c r="DD336" s="6">
        <f t="shared" si="47"/>
        <v>8844</v>
      </c>
      <c r="DE336" s="6"/>
      <c r="DF336" s="6"/>
      <c r="DG336" s="6"/>
      <c r="DH336" s="6"/>
      <c r="DI336" s="6"/>
      <c r="DJ336" s="642"/>
      <c r="DK336" s="642"/>
    </row>
    <row r="337" spans="1:115">
      <c r="A337" s="36">
        <v>4</v>
      </c>
      <c r="B337" s="84" t="s">
        <v>1466</v>
      </c>
      <c r="C337" s="84" t="s">
        <v>1467</v>
      </c>
      <c r="D337" s="645" t="s">
        <v>1059</v>
      </c>
      <c r="E337" s="645"/>
      <c r="F337" s="342" t="s">
        <v>1455</v>
      </c>
      <c r="G337" s="641">
        <v>30</v>
      </c>
      <c r="H337" s="645"/>
      <c r="I337" s="4"/>
      <c r="J337" s="641">
        <v>1.6</v>
      </c>
      <c r="K337" s="641">
        <v>1.5</v>
      </c>
      <c r="L337" s="642">
        <v>1.4</v>
      </c>
      <c r="M337" s="642" t="s">
        <v>860</v>
      </c>
      <c r="N337" s="642"/>
      <c r="O337" s="642"/>
      <c r="P337" s="642"/>
      <c r="Q337" s="642"/>
      <c r="R337" s="642"/>
      <c r="S337" s="642"/>
      <c r="T337" s="645"/>
      <c r="U337" s="4">
        <v>0</v>
      </c>
      <c r="V337" s="629">
        <v>750</v>
      </c>
      <c r="W337" s="4">
        <f t="shared" si="51"/>
        <v>787.5</v>
      </c>
      <c r="X337" s="4">
        <f t="shared" si="48"/>
        <v>826.875</v>
      </c>
      <c r="Y337" s="4">
        <f t="shared" si="49"/>
        <v>868.21875</v>
      </c>
      <c r="Z337" s="4"/>
      <c r="AA337" s="4"/>
      <c r="AB337" s="4"/>
      <c r="AC337" s="4"/>
      <c r="AD337" s="642"/>
      <c r="AE337" s="642"/>
      <c r="AF337" s="642"/>
      <c r="AG337" s="642"/>
      <c r="AH337" s="642"/>
      <c r="AI337" s="642"/>
      <c r="AJ337" s="642"/>
      <c r="AK337" s="6"/>
      <c r="AL337" s="647">
        <v>0</v>
      </c>
      <c r="AM337" s="644">
        <v>22</v>
      </c>
      <c r="AN337" s="649">
        <v>22</v>
      </c>
      <c r="AO337" s="649">
        <v>22</v>
      </c>
      <c r="AP337" s="644">
        <v>22</v>
      </c>
      <c r="AQ337" s="644"/>
      <c r="AR337" s="644"/>
      <c r="AS337" s="644"/>
      <c r="AT337" s="644"/>
      <c r="AU337" s="644"/>
      <c r="AV337" s="642"/>
      <c r="AW337" s="642"/>
      <c r="AX337" s="642"/>
      <c r="AY337" s="642"/>
      <c r="AZ337" s="642"/>
      <c r="BA337" s="642"/>
      <c r="BB337" s="6"/>
      <c r="BC337" s="4"/>
      <c r="BD337" s="4">
        <f t="shared" si="52"/>
        <v>16500</v>
      </c>
      <c r="BE337" s="4">
        <f t="shared" si="50"/>
        <v>17325</v>
      </c>
      <c r="BF337" s="4">
        <f t="shared" si="41"/>
        <v>18191.25</v>
      </c>
      <c r="BG337" s="4">
        <f t="shared" si="44"/>
        <v>19100.8125</v>
      </c>
      <c r="BH337" s="4"/>
      <c r="BI337" s="4"/>
      <c r="BJ337" s="4"/>
      <c r="BK337" s="6"/>
      <c r="BL337" s="6"/>
      <c r="BM337" s="6"/>
      <c r="BN337" s="6"/>
      <c r="BO337" s="6"/>
      <c r="BP337" s="6"/>
      <c r="BQ337" s="6"/>
      <c r="BR337" s="6"/>
      <c r="BS337" s="6"/>
      <c r="BT337" s="6"/>
      <c r="BU337" s="6"/>
      <c r="BV337" s="130">
        <v>0.05</v>
      </c>
      <c r="BW337" s="130">
        <f t="shared" si="53"/>
        <v>0.05</v>
      </c>
      <c r="BX337" s="130">
        <f t="shared" si="53"/>
        <v>0.05</v>
      </c>
      <c r="BY337" s="130"/>
      <c r="BZ337" s="130"/>
      <c r="CA337" s="130"/>
      <c r="CB337" s="130"/>
      <c r="CC337" s="642"/>
      <c r="CD337" s="642"/>
      <c r="CE337" s="6"/>
      <c r="CF337" s="6"/>
      <c r="CG337" s="6"/>
      <c r="CH337" s="6"/>
      <c r="CI337" s="6"/>
      <c r="CJ337" s="6"/>
      <c r="CK337" s="4">
        <f t="shared" si="54"/>
        <v>0</v>
      </c>
      <c r="CL337" s="4">
        <f t="shared" si="55"/>
        <v>660</v>
      </c>
      <c r="CM337" s="4">
        <f t="shared" si="56"/>
        <v>660</v>
      </c>
      <c r="CN337" s="4">
        <f t="shared" si="57"/>
        <v>660</v>
      </c>
      <c r="CO337" s="4">
        <f t="shared" si="46"/>
        <v>660</v>
      </c>
      <c r="CP337" s="4"/>
      <c r="CQ337" s="4"/>
      <c r="CR337" s="4"/>
      <c r="CS337" s="4"/>
      <c r="CT337" s="642"/>
      <c r="CU337" s="642"/>
      <c r="CV337" s="642"/>
      <c r="CW337" s="642"/>
      <c r="CX337" s="642"/>
      <c r="CY337" s="642"/>
      <c r="CZ337" s="6"/>
      <c r="DA337" s="6">
        <f t="shared" si="43"/>
        <v>0</v>
      </c>
      <c r="DB337" s="6">
        <f t="shared" si="43"/>
        <v>1056</v>
      </c>
      <c r="DC337" s="6">
        <f t="shared" si="43"/>
        <v>990</v>
      </c>
      <c r="DD337" s="6">
        <f t="shared" si="47"/>
        <v>923.99999999999989</v>
      </c>
      <c r="DE337" s="6"/>
      <c r="DF337" s="6"/>
      <c r="DG337" s="6"/>
      <c r="DH337" s="6"/>
      <c r="DI337" s="6"/>
      <c r="DJ337" s="642"/>
      <c r="DK337" s="642"/>
    </row>
    <row r="338" spans="1:115">
      <c r="A338" s="36">
        <v>4</v>
      </c>
      <c r="B338" s="84" t="s">
        <v>1468</v>
      </c>
      <c r="C338" s="84" t="s">
        <v>1469</v>
      </c>
      <c r="D338" s="645" t="s">
        <v>638</v>
      </c>
      <c r="E338" s="645"/>
      <c r="F338" s="342"/>
      <c r="G338" s="641">
        <v>30</v>
      </c>
      <c r="H338" s="645"/>
      <c r="I338" s="4"/>
      <c r="J338" s="650" t="s">
        <v>860</v>
      </c>
      <c r="K338" s="642">
        <v>4</v>
      </c>
      <c r="L338" s="642">
        <v>3.1</v>
      </c>
      <c r="M338" s="642" t="s">
        <v>860</v>
      </c>
      <c r="N338" s="642"/>
      <c r="O338" s="642"/>
      <c r="P338" s="642"/>
      <c r="Q338" s="642"/>
      <c r="R338" s="642"/>
      <c r="S338" s="642"/>
      <c r="T338" s="645"/>
      <c r="U338" s="4"/>
      <c r="V338" s="629">
        <f>750/2</f>
        <v>375</v>
      </c>
      <c r="W338" s="4">
        <f t="shared" si="51"/>
        <v>393.75</v>
      </c>
      <c r="X338" s="4">
        <f t="shared" si="48"/>
        <v>413.4375</v>
      </c>
      <c r="Y338" s="4">
        <f t="shared" si="49"/>
        <v>434.109375</v>
      </c>
      <c r="Z338" s="4"/>
      <c r="AA338" s="4"/>
      <c r="AB338" s="4"/>
      <c r="AC338" s="4"/>
      <c r="AD338" s="642"/>
      <c r="AE338" s="642"/>
      <c r="AF338" s="642"/>
      <c r="AG338" s="642"/>
      <c r="AH338" s="642"/>
      <c r="AI338" s="642"/>
      <c r="AJ338" s="642"/>
      <c r="AK338" s="6"/>
      <c r="AL338" s="647">
        <v>0</v>
      </c>
      <c r="AM338" s="644">
        <v>22</v>
      </c>
      <c r="AN338" s="644">
        <v>22</v>
      </c>
      <c r="AO338" s="644">
        <v>22</v>
      </c>
      <c r="AP338" s="644">
        <v>22</v>
      </c>
      <c r="AQ338" s="644"/>
      <c r="AR338" s="644"/>
      <c r="AS338" s="644"/>
      <c r="AT338" s="644"/>
      <c r="AU338" s="644"/>
      <c r="AV338" s="642"/>
      <c r="AW338" s="642"/>
      <c r="AX338" s="642"/>
      <c r="AY338" s="642"/>
      <c r="AZ338" s="642"/>
      <c r="BA338" s="642"/>
      <c r="BB338" s="6"/>
      <c r="BC338" s="4"/>
      <c r="BD338" s="4">
        <f t="shared" si="52"/>
        <v>8250</v>
      </c>
      <c r="BE338" s="4">
        <f t="shared" si="50"/>
        <v>8662.5</v>
      </c>
      <c r="BF338" s="4">
        <f t="shared" si="41"/>
        <v>9095.625</v>
      </c>
      <c r="BG338" s="4">
        <f t="shared" si="44"/>
        <v>9550.40625</v>
      </c>
      <c r="BH338" s="4"/>
      <c r="BI338" s="4"/>
      <c r="BJ338" s="4"/>
      <c r="BK338" s="6"/>
      <c r="BL338" s="6"/>
      <c r="BM338" s="6"/>
      <c r="BN338" s="6"/>
      <c r="BO338" s="6"/>
      <c r="BP338" s="6"/>
      <c r="BQ338" s="6"/>
      <c r="BR338" s="6"/>
      <c r="BS338" s="6"/>
      <c r="BT338" s="6"/>
      <c r="BU338" s="6"/>
      <c r="BV338" s="130">
        <v>0.05</v>
      </c>
      <c r="BW338" s="130">
        <f t="shared" si="53"/>
        <v>0.05</v>
      </c>
      <c r="BX338" s="130">
        <f t="shared" si="53"/>
        <v>0.05</v>
      </c>
      <c r="BY338" s="130"/>
      <c r="BZ338" s="130"/>
      <c r="CA338" s="130"/>
      <c r="CB338" s="130"/>
      <c r="CC338" s="642"/>
      <c r="CD338" s="642"/>
      <c r="CE338" s="6"/>
      <c r="CF338" s="6"/>
      <c r="CG338" s="6"/>
      <c r="CH338" s="6"/>
      <c r="CI338" s="6"/>
      <c r="CJ338" s="6"/>
      <c r="CK338" s="4">
        <f t="shared" si="54"/>
        <v>0</v>
      </c>
      <c r="CL338" s="4">
        <f t="shared" si="55"/>
        <v>660</v>
      </c>
      <c r="CM338" s="4">
        <f t="shared" si="56"/>
        <v>660</v>
      </c>
      <c r="CN338" s="4">
        <f t="shared" si="57"/>
        <v>660</v>
      </c>
      <c r="CO338" s="4">
        <f t="shared" si="46"/>
        <v>660</v>
      </c>
      <c r="CP338" s="4"/>
      <c r="CQ338" s="4"/>
      <c r="CR338" s="4"/>
      <c r="CS338" s="4"/>
      <c r="CT338" s="642"/>
      <c r="CU338" s="642"/>
      <c r="CV338" s="642"/>
      <c r="CW338" s="642"/>
      <c r="CX338" s="642"/>
      <c r="CY338" s="642"/>
      <c r="CZ338" s="6"/>
      <c r="DA338" s="6">
        <f t="shared" ref="DA338:DA346" si="58">I338*CK338</f>
        <v>0</v>
      </c>
      <c r="DB338" s="6"/>
      <c r="DC338" s="6">
        <f t="shared" ref="DC338:DC346" si="59">K338*CM338</f>
        <v>2640</v>
      </c>
      <c r="DD338" s="6">
        <f t="shared" si="47"/>
        <v>2046</v>
      </c>
      <c r="DE338" s="6"/>
      <c r="DF338" s="6"/>
      <c r="DG338" s="6"/>
      <c r="DH338" s="6"/>
      <c r="DI338" s="6"/>
      <c r="DJ338" s="642"/>
      <c r="DK338" s="642"/>
    </row>
    <row r="339" spans="1:115">
      <c r="A339" s="259">
        <v>4</v>
      </c>
      <c r="B339" s="6" t="s">
        <v>1470</v>
      </c>
      <c r="C339" s="6" t="s">
        <v>1471</v>
      </c>
      <c r="D339" s="645" t="s">
        <v>638</v>
      </c>
      <c r="E339" s="645"/>
      <c r="F339" s="342" t="s">
        <v>1455</v>
      </c>
      <c r="G339" s="641">
        <v>60</v>
      </c>
      <c r="H339" s="645"/>
      <c r="I339" s="4"/>
      <c r="J339" s="641">
        <v>5.0999999999999996</v>
      </c>
      <c r="K339" s="641">
        <v>5.4</v>
      </c>
      <c r="L339" s="642">
        <v>6.1</v>
      </c>
      <c r="M339" s="642" t="s">
        <v>860</v>
      </c>
      <c r="N339" s="642"/>
      <c r="O339" s="642"/>
      <c r="P339" s="642"/>
      <c r="Q339" s="642"/>
      <c r="R339" s="642"/>
      <c r="S339" s="642"/>
      <c r="T339" s="645"/>
      <c r="U339" s="4">
        <v>0</v>
      </c>
      <c r="V339" s="651">
        <v>1650</v>
      </c>
      <c r="W339" s="4">
        <f t="shared" si="51"/>
        <v>1732.5</v>
      </c>
      <c r="X339" s="4">
        <f t="shared" si="48"/>
        <v>1819.125</v>
      </c>
      <c r="Y339" s="4">
        <f t="shared" si="49"/>
        <v>1910.0812500000002</v>
      </c>
      <c r="Z339" s="4"/>
      <c r="AA339" s="4"/>
      <c r="AB339" s="4"/>
      <c r="AC339" s="4"/>
      <c r="AD339" s="642"/>
      <c r="AE339" s="642"/>
      <c r="AF339" s="642"/>
      <c r="AG339" s="642"/>
      <c r="AH339" s="642"/>
      <c r="AI339" s="642"/>
      <c r="AJ339" s="642"/>
      <c r="AK339" s="6"/>
      <c r="AL339" s="647">
        <v>0</v>
      </c>
      <c r="AM339" s="644">
        <v>22</v>
      </c>
      <c r="AN339" s="644">
        <v>22</v>
      </c>
      <c r="AO339" s="644">
        <v>22</v>
      </c>
      <c r="AP339" s="644">
        <v>22</v>
      </c>
      <c r="AQ339" s="644"/>
      <c r="AR339" s="644"/>
      <c r="AS339" s="644"/>
      <c r="AT339" s="644"/>
      <c r="AU339" s="644"/>
      <c r="AV339" s="642"/>
      <c r="AW339" s="642"/>
      <c r="AX339" s="642"/>
      <c r="AY339" s="642"/>
      <c r="AZ339" s="642"/>
      <c r="BA339" s="642"/>
      <c r="BB339" s="6"/>
      <c r="BC339" s="4"/>
      <c r="BD339" s="4">
        <f t="shared" si="52"/>
        <v>36300</v>
      </c>
      <c r="BE339" s="4">
        <f t="shared" si="50"/>
        <v>38115</v>
      </c>
      <c r="BF339" s="4">
        <f t="shared" si="41"/>
        <v>40020.75</v>
      </c>
      <c r="BG339" s="4">
        <f t="shared" si="44"/>
        <v>42021.787500000006</v>
      </c>
      <c r="BH339" s="4"/>
      <c r="BI339" s="4"/>
      <c r="BJ339" s="4"/>
      <c r="BK339" s="6"/>
      <c r="BL339" s="6"/>
      <c r="BM339" s="6"/>
      <c r="BN339" s="6"/>
      <c r="BO339" s="6"/>
      <c r="BP339" s="6"/>
      <c r="BQ339" s="6"/>
      <c r="BR339" s="6"/>
      <c r="BS339" s="6"/>
      <c r="BT339" s="6"/>
      <c r="BU339" s="6"/>
      <c r="BV339" s="130">
        <v>0.05</v>
      </c>
      <c r="BW339" s="130">
        <f t="shared" si="53"/>
        <v>0.05</v>
      </c>
      <c r="BX339" s="130">
        <f t="shared" si="53"/>
        <v>0.05</v>
      </c>
      <c r="BY339" s="130"/>
      <c r="BZ339" s="130"/>
      <c r="CA339" s="130"/>
      <c r="CB339" s="130"/>
      <c r="CC339" s="642"/>
      <c r="CD339" s="642"/>
      <c r="CE339" s="6"/>
      <c r="CF339" s="6"/>
      <c r="CG339" s="6"/>
      <c r="CH339" s="6"/>
      <c r="CI339" s="6"/>
      <c r="CJ339" s="6"/>
      <c r="CK339" s="4">
        <f t="shared" si="54"/>
        <v>0</v>
      </c>
      <c r="CL339" s="4">
        <f t="shared" si="55"/>
        <v>1320</v>
      </c>
      <c r="CM339" s="4">
        <f t="shared" si="56"/>
        <v>1320</v>
      </c>
      <c r="CN339" s="4">
        <f t="shared" si="57"/>
        <v>1320</v>
      </c>
      <c r="CO339" s="4">
        <f t="shared" si="46"/>
        <v>1320</v>
      </c>
      <c r="CP339" s="4"/>
      <c r="CQ339" s="4"/>
      <c r="CR339" s="4"/>
      <c r="CS339" s="4"/>
      <c r="CT339" s="642"/>
      <c r="CU339" s="642"/>
      <c r="CV339" s="642"/>
      <c r="CW339" s="642"/>
      <c r="CX339" s="642"/>
      <c r="CY339" s="642"/>
      <c r="CZ339" s="6"/>
      <c r="DA339" s="6">
        <f t="shared" si="58"/>
        <v>0</v>
      </c>
      <c r="DB339" s="6">
        <f t="shared" ref="DB339:DB346" si="60">J339*CL339</f>
        <v>6731.9999999999991</v>
      </c>
      <c r="DC339" s="6">
        <f t="shared" si="59"/>
        <v>7128.0000000000009</v>
      </c>
      <c r="DD339" s="6">
        <f t="shared" si="47"/>
        <v>8051.9999999999991</v>
      </c>
      <c r="DE339" s="6"/>
      <c r="DF339" s="6"/>
      <c r="DG339" s="6"/>
      <c r="DH339" s="6"/>
      <c r="DI339" s="6"/>
      <c r="DJ339" s="642"/>
      <c r="DK339" s="642"/>
    </row>
    <row r="340" spans="1:115">
      <c r="A340" s="36">
        <v>5</v>
      </c>
      <c r="B340" s="84" t="s">
        <v>1472</v>
      </c>
      <c r="C340" s="6" t="s">
        <v>1473</v>
      </c>
      <c r="D340" s="645" t="s">
        <v>1059</v>
      </c>
      <c r="E340" s="645"/>
      <c r="F340" s="342" t="s">
        <v>1455</v>
      </c>
      <c r="G340" s="641">
        <v>30</v>
      </c>
      <c r="H340" s="645"/>
      <c r="I340" s="641">
        <v>1.6</v>
      </c>
      <c r="J340" s="641">
        <v>1.7</v>
      </c>
      <c r="K340" s="641">
        <v>1.2</v>
      </c>
      <c r="L340" s="642">
        <v>1.3</v>
      </c>
      <c r="M340" s="642" t="s">
        <v>860</v>
      </c>
      <c r="N340" s="642"/>
      <c r="O340" s="642"/>
      <c r="P340" s="642"/>
      <c r="Q340" s="642"/>
      <c r="R340" s="642"/>
      <c r="S340" s="642"/>
      <c r="T340" s="645"/>
      <c r="U340" s="652">
        <v>795</v>
      </c>
      <c r="V340" s="629">
        <v>800</v>
      </c>
      <c r="W340" s="4">
        <f t="shared" si="51"/>
        <v>840</v>
      </c>
      <c r="X340" s="4">
        <f t="shared" si="48"/>
        <v>882</v>
      </c>
      <c r="Y340" s="4">
        <f t="shared" si="49"/>
        <v>926.1</v>
      </c>
      <c r="Z340" s="4"/>
      <c r="AA340" s="4"/>
      <c r="AB340" s="4"/>
      <c r="AC340" s="4"/>
      <c r="AD340" s="642"/>
      <c r="AE340" s="642"/>
      <c r="AF340" s="642"/>
      <c r="AG340" s="642"/>
      <c r="AH340" s="642"/>
      <c r="AI340" s="642"/>
      <c r="AJ340" s="642"/>
      <c r="AK340" s="6"/>
      <c r="AL340" s="644">
        <v>22</v>
      </c>
      <c r="AM340" s="644">
        <v>22</v>
      </c>
      <c r="AN340" s="644">
        <v>22</v>
      </c>
      <c r="AO340" s="644">
        <v>22</v>
      </c>
      <c r="AP340" s="644">
        <v>22</v>
      </c>
      <c r="AQ340" s="644"/>
      <c r="AR340" s="644"/>
      <c r="AS340" s="644"/>
      <c r="AT340" s="644"/>
      <c r="AU340" s="644"/>
      <c r="AV340" s="642"/>
      <c r="AW340" s="642"/>
      <c r="AX340" s="642"/>
      <c r="AY340" s="642"/>
      <c r="AZ340" s="642"/>
      <c r="BA340" s="642"/>
      <c r="BB340" s="6"/>
      <c r="BC340" s="4">
        <f t="shared" ref="BC340:BC346" si="61">U340*AL340</f>
        <v>17490</v>
      </c>
      <c r="BD340" s="4">
        <f t="shared" si="52"/>
        <v>17600</v>
      </c>
      <c r="BE340" s="4">
        <f t="shared" si="50"/>
        <v>18480</v>
      </c>
      <c r="BF340" s="4">
        <f t="shared" si="41"/>
        <v>19404</v>
      </c>
      <c r="BG340" s="4">
        <f t="shared" si="44"/>
        <v>20374.2</v>
      </c>
      <c r="BH340" s="4"/>
      <c r="BI340" s="4"/>
      <c r="BJ340" s="4"/>
      <c r="BK340" s="6"/>
      <c r="BL340" s="6"/>
      <c r="BM340" s="6"/>
      <c r="BN340" s="6"/>
      <c r="BO340" s="6"/>
      <c r="BP340" s="6"/>
      <c r="BQ340" s="6"/>
      <c r="BR340" s="6"/>
      <c r="BS340" s="6"/>
      <c r="BT340" s="6"/>
      <c r="BU340" s="38">
        <f t="shared" ref="BU340:BU346" si="62">V340/U340-1</f>
        <v>6.2893081761006275E-3</v>
      </c>
      <c r="BV340" s="130">
        <v>0.05</v>
      </c>
      <c r="BW340" s="130">
        <f t="shared" si="53"/>
        <v>0.05</v>
      </c>
      <c r="BX340" s="130">
        <f t="shared" si="53"/>
        <v>0.05</v>
      </c>
      <c r="BY340" s="130"/>
      <c r="BZ340" s="130"/>
      <c r="CA340" s="130"/>
      <c r="CB340" s="130"/>
      <c r="CC340" s="642"/>
      <c r="CD340" s="642"/>
      <c r="CE340" s="6"/>
      <c r="CF340" s="6"/>
      <c r="CG340" s="6"/>
      <c r="CH340" s="6"/>
      <c r="CI340" s="6"/>
      <c r="CJ340" s="6"/>
      <c r="CK340" s="4">
        <f t="shared" si="54"/>
        <v>660</v>
      </c>
      <c r="CL340" s="4">
        <f t="shared" si="55"/>
        <v>660</v>
      </c>
      <c r="CM340" s="4">
        <f t="shared" si="56"/>
        <v>660</v>
      </c>
      <c r="CN340" s="4">
        <f t="shared" si="57"/>
        <v>660</v>
      </c>
      <c r="CO340" s="4">
        <f t="shared" si="46"/>
        <v>660</v>
      </c>
      <c r="CP340" s="4"/>
      <c r="CQ340" s="4"/>
      <c r="CR340" s="4"/>
      <c r="CS340" s="4"/>
      <c r="CT340" s="642"/>
      <c r="CU340" s="642"/>
      <c r="CV340" s="642"/>
      <c r="CW340" s="642"/>
      <c r="CX340" s="642"/>
      <c r="CY340" s="642"/>
      <c r="CZ340" s="6"/>
      <c r="DA340" s="6">
        <f t="shared" si="58"/>
        <v>1056</v>
      </c>
      <c r="DB340" s="6">
        <f t="shared" si="60"/>
        <v>1122</v>
      </c>
      <c r="DC340" s="6">
        <f t="shared" si="59"/>
        <v>792</v>
      </c>
      <c r="DD340" s="6">
        <f t="shared" si="47"/>
        <v>858</v>
      </c>
      <c r="DE340" s="6"/>
      <c r="DF340" s="6"/>
      <c r="DG340" s="6"/>
      <c r="DH340" s="6"/>
      <c r="DI340" s="6"/>
      <c r="DJ340" s="642"/>
      <c r="DK340" s="642"/>
    </row>
    <row r="341" spans="1:115">
      <c r="A341" s="36">
        <v>6</v>
      </c>
      <c r="B341" s="6" t="s">
        <v>1477</v>
      </c>
      <c r="C341" s="6" t="s">
        <v>1478</v>
      </c>
      <c r="D341" s="645" t="s">
        <v>638</v>
      </c>
      <c r="E341" s="645"/>
      <c r="F341" s="342" t="s">
        <v>1455</v>
      </c>
      <c r="G341" s="641">
        <v>60</v>
      </c>
      <c r="H341" s="645"/>
      <c r="I341" s="641">
        <v>8.6999999999999993</v>
      </c>
      <c r="J341" s="641">
        <v>9.6</v>
      </c>
      <c r="K341" s="641">
        <v>8.9</v>
      </c>
      <c r="L341" s="642">
        <v>9.1999999999999993</v>
      </c>
      <c r="M341" s="642" t="s">
        <v>860</v>
      </c>
      <c r="N341" s="642"/>
      <c r="O341" s="642"/>
      <c r="P341" s="642"/>
      <c r="Q341" s="642"/>
      <c r="R341" s="642"/>
      <c r="S341" s="642"/>
      <c r="T341" s="645"/>
      <c r="U341" s="652">
        <v>2500</v>
      </c>
      <c r="V341" s="629">
        <v>2500</v>
      </c>
      <c r="W341" s="4">
        <f t="shared" si="51"/>
        <v>2625</v>
      </c>
      <c r="X341" s="4">
        <f t="shared" si="48"/>
        <v>2756.25</v>
      </c>
      <c r="Y341" s="4">
        <f t="shared" si="49"/>
        <v>2894.0625</v>
      </c>
      <c r="Z341" s="4"/>
      <c r="AA341" s="4"/>
      <c r="AB341" s="4"/>
      <c r="AC341" s="4"/>
      <c r="AD341" s="642"/>
      <c r="AE341" s="642"/>
      <c r="AF341" s="642"/>
      <c r="AG341" s="642"/>
      <c r="AH341" s="642"/>
      <c r="AI341" s="642"/>
      <c r="AJ341" s="642"/>
      <c r="AK341" s="6"/>
      <c r="AL341" s="644">
        <v>22</v>
      </c>
      <c r="AM341" s="644">
        <v>22</v>
      </c>
      <c r="AN341" s="644">
        <v>22</v>
      </c>
      <c r="AO341" s="644">
        <v>22</v>
      </c>
      <c r="AP341" s="644">
        <v>22</v>
      </c>
      <c r="AQ341" s="644"/>
      <c r="AR341" s="644"/>
      <c r="AS341" s="644"/>
      <c r="AT341" s="644"/>
      <c r="AU341" s="644"/>
      <c r="AV341" s="642"/>
      <c r="AW341" s="642"/>
      <c r="AX341" s="642"/>
      <c r="AY341" s="642"/>
      <c r="AZ341" s="642"/>
      <c r="BA341" s="642"/>
      <c r="BB341" s="6"/>
      <c r="BC341" s="4">
        <f t="shared" si="61"/>
        <v>55000</v>
      </c>
      <c r="BD341" s="4">
        <f t="shared" si="52"/>
        <v>55000</v>
      </c>
      <c r="BE341" s="4">
        <f t="shared" si="50"/>
        <v>57750</v>
      </c>
      <c r="BF341" s="4">
        <f t="shared" si="41"/>
        <v>60637.5</v>
      </c>
      <c r="BG341" s="4">
        <f t="shared" si="44"/>
        <v>63669.375</v>
      </c>
      <c r="BH341" s="4"/>
      <c r="BI341" s="4"/>
      <c r="BJ341" s="4"/>
      <c r="BK341" s="6"/>
      <c r="BL341" s="6"/>
      <c r="BM341" s="6"/>
      <c r="BN341" s="6"/>
      <c r="BO341" s="6"/>
      <c r="BP341" s="6"/>
      <c r="BQ341" s="6"/>
      <c r="BR341" s="6"/>
      <c r="BS341" s="6"/>
      <c r="BT341" s="6"/>
      <c r="BU341" s="38">
        <f t="shared" si="62"/>
        <v>0</v>
      </c>
      <c r="BV341" s="130">
        <v>0.05</v>
      </c>
      <c r="BW341" s="130">
        <f t="shared" si="53"/>
        <v>0.05</v>
      </c>
      <c r="BX341" s="130">
        <f t="shared" si="53"/>
        <v>0.05</v>
      </c>
      <c r="BY341" s="130"/>
      <c r="BZ341" s="130"/>
      <c r="CA341" s="130"/>
      <c r="CB341" s="130"/>
      <c r="CC341" s="642"/>
      <c r="CD341" s="642"/>
      <c r="CE341" s="6"/>
      <c r="CF341" s="6"/>
      <c r="CG341" s="6"/>
      <c r="CH341" s="6"/>
      <c r="CI341" s="6"/>
      <c r="CJ341" s="6"/>
      <c r="CK341" s="4">
        <f t="shared" si="54"/>
        <v>1320</v>
      </c>
      <c r="CL341" s="4">
        <f t="shared" si="55"/>
        <v>1320</v>
      </c>
      <c r="CM341" s="4">
        <f t="shared" si="56"/>
        <v>1320</v>
      </c>
      <c r="CN341" s="4">
        <f t="shared" si="57"/>
        <v>1320</v>
      </c>
      <c r="CO341" s="4">
        <f t="shared" si="46"/>
        <v>1320</v>
      </c>
      <c r="CP341" s="4"/>
      <c r="CQ341" s="4"/>
      <c r="CR341" s="4"/>
      <c r="CS341" s="4"/>
      <c r="CT341" s="642"/>
      <c r="CU341" s="642"/>
      <c r="CV341" s="642"/>
      <c r="CW341" s="642"/>
      <c r="CX341" s="642"/>
      <c r="CY341" s="642"/>
      <c r="CZ341" s="6"/>
      <c r="DA341" s="6">
        <f t="shared" si="58"/>
        <v>11483.999999999998</v>
      </c>
      <c r="DB341" s="6">
        <f t="shared" si="60"/>
        <v>12672</v>
      </c>
      <c r="DC341" s="6">
        <f t="shared" si="59"/>
        <v>11748</v>
      </c>
      <c r="DD341" s="6">
        <f t="shared" si="47"/>
        <v>12143.999999999998</v>
      </c>
      <c r="DE341" s="6"/>
      <c r="DF341" s="6"/>
      <c r="DG341" s="6"/>
      <c r="DH341" s="6"/>
      <c r="DI341" s="6"/>
      <c r="DJ341" s="642"/>
      <c r="DK341" s="642"/>
    </row>
    <row r="342" spans="1:115">
      <c r="A342" s="36">
        <v>6</v>
      </c>
      <c r="B342" s="6" t="s">
        <v>1479</v>
      </c>
      <c r="C342" s="6" t="s">
        <v>1480</v>
      </c>
      <c r="D342" s="645" t="s">
        <v>1059</v>
      </c>
      <c r="E342" s="645"/>
      <c r="F342" s="342" t="s">
        <v>1455</v>
      </c>
      <c r="G342" s="641">
        <v>30</v>
      </c>
      <c r="H342" s="645"/>
      <c r="I342" s="641">
        <v>1.6</v>
      </c>
      <c r="J342" s="641">
        <v>1.7</v>
      </c>
      <c r="K342" s="641">
        <v>1.6</v>
      </c>
      <c r="L342" s="642">
        <v>1.5</v>
      </c>
      <c r="M342" s="642" t="s">
        <v>860</v>
      </c>
      <c r="N342" s="642"/>
      <c r="O342" s="642"/>
      <c r="P342" s="642"/>
      <c r="Q342" s="642"/>
      <c r="R342" s="642"/>
      <c r="S342" s="642"/>
      <c r="T342" s="645"/>
      <c r="U342" s="652">
        <v>775</v>
      </c>
      <c r="V342" s="629">
        <v>785</v>
      </c>
      <c r="W342" s="4">
        <f t="shared" si="51"/>
        <v>824.25</v>
      </c>
      <c r="X342" s="4">
        <f t="shared" si="48"/>
        <v>865.46250000000009</v>
      </c>
      <c r="Y342" s="4">
        <f t="shared" si="49"/>
        <v>908.73562500000014</v>
      </c>
      <c r="Z342" s="4"/>
      <c r="AA342" s="4"/>
      <c r="AB342" s="4"/>
      <c r="AC342" s="4"/>
      <c r="AD342" s="642"/>
      <c r="AE342" s="642"/>
      <c r="AF342" s="642"/>
      <c r="AG342" s="642"/>
      <c r="AH342" s="642"/>
      <c r="AI342" s="642"/>
      <c r="AJ342" s="642"/>
      <c r="AK342" s="6"/>
      <c r="AL342" s="644">
        <v>22</v>
      </c>
      <c r="AM342" s="644">
        <v>22</v>
      </c>
      <c r="AN342" s="644">
        <v>22</v>
      </c>
      <c r="AO342" s="644">
        <v>22</v>
      </c>
      <c r="AP342" s="644">
        <v>22</v>
      </c>
      <c r="AQ342" s="644"/>
      <c r="AR342" s="644"/>
      <c r="AS342" s="644"/>
      <c r="AT342" s="644"/>
      <c r="AU342" s="644"/>
      <c r="AV342" s="642"/>
      <c r="AW342" s="642"/>
      <c r="AX342" s="642"/>
      <c r="AY342" s="642"/>
      <c r="AZ342" s="642"/>
      <c r="BA342" s="642"/>
      <c r="BB342" s="6"/>
      <c r="BC342" s="4">
        <f t="shared" si="61"/>
        <v>17050</v>
      </c>
      <c r="BD342" s="4">
        <f t="shared" si="52"/>
        <v>17270</v>
      </c>
      <c r="BE342" s="4">
        <f t="shared" si="50"/>
        <v>18133.5</v>
      </c>
      <c r="BF342" s="4">
        <f t="shared" si="41"/>
        <v>19040.175000000003</v>
      </c>
      <c r="BG342" s="4">
        <f t="shared" si="44"/>
        <v>19992.183750000004</v>
      </c>
      <c r="BH342" s="4"/>
      <c r="BI342" s="4"/>
      <c r="BJ342" s="4"/>
      <c r="BK342" s="6"/>
      <c r="BL342" s="6"/>
      <c r="BM342" s="6"/>
      <c r="BN342" s="6"/>
      <c r="BO342" s="6"/>
      <c r="BP342" s="6"/>
      <c r="BQ342" s="6"/>
      <c r="BR342" s="6"/>
      <c r="BS342" s="6"/>
      <c r="BT342" s="6"/>
      <c r="BU342" s="38">
        <f t="shared" si="62"/>
        <v>1.2903225806451646E-2</v>
      </c>
      <c r="BV342" s="130">
        <v>0.05</v>
      </c>
      <c r="BW342" s="130">
        <f t="shared" si="53"/>
        <v>0.05</v>
      </c>
      <c r="BX342" s="130">
        <f t="shared" si="53"/>
        <v>0.05</v>
      </c>
      <c r="BY342" s="130"/>
      <c r="BZ342" s="130"/>
      <c r="CA342" s="130"/>
      <c r="CB342" s="130"/>
      <c r="CC342" s="642"/>
      <c r="CD342" s="642"/>
      <c r="CE342" s="6"/>
      <c r="CF342" s="6"/>
      <c r="CG342" s="6"/>
      <c r="CH342" s="6"/>
      <c r="CI342" s="6"/>
      <c r="CJ342" s="6"/>
      <c r="CK342" s="4">
        <f t="shared" si="54"/>
        <v>660</v>
      </c>
      <c r="CL342" s="4">
        <f t="shared" si="55"/>
        <v>660</v>
      </c>
      <c r="CM342" s="4">
        <f t="shared" si="56"/>
        <v>660</v>
      </c>
      <c r="CN342" s="4">
        <f t="shared" si="57"/>
        <v>660</v>
      </c>
      <c r="CO342" s="4">
        <f t="shared" si="46"/>
        <v>660</v>
      </c>
      <c r="CP342" s="4"/>
      <c r="CQ342" s="4"/>
      <c r="CR342" s="4"/>
      <c r="CS342" s="4"/>
      <c r="CT342" s="642"/>
      <c r="CU342" s="642"/>
      <c r="CV342" s="642"/>
      <c r="CW342" s="642"/>
      <c r="CX342" s="642"/>
      <c r="CY342" s="642"/>
      <c r="CZ342" s="6"/>
      <c r="DA342" s="6">
        <f t="shared" si="58"/>
        <v>1056</v>
      </c>
      <c r="DB342" s="6">
        <f t="shared" si="60"/>
        <v>1122</v>
      </c>
      <c r="DC342" s="6">
        <f t="shared" si="59"/>
        <v>1056</v>
      </c>
      <c r="DD342" s="6">
        <f t="shared" si="47"/>
        <v>990</v>
      </c>
      <c r="DE342" s="6"/>
      <c r="DF342" s="6"/>
      <c r="DG342" s="6"/>
      <c r="DH342" s="6"/>
      <c r="DI342" s="6"/>
      <c r="DJ342" s="642"/>
      <c r="DK342" s="642"/>
    </row>
    <row r="343" spans="1:115">
      <c r="A343" s="36">
        <v>7</v>
      </c>
      <c r="B343" s="6" t="s">
        <v>1481</v>
      </c>
      <c r="C343" s="6" t="s">
        <v>1482</v>
      </c>
      <c r="D343" s="645" t="s">
        <v>1483</v>
      </c>
      <c r="E343" s="645"/>
      <c r="F343" s="342" t="s">
        <v>1455</v>
      </c>
      <c r="G343" s="641">
        <v>60</v>
      </c>
      <c r="H343" s="645"/>
      <c r="I343" s="641">
        <v>1.8</v>
      </c>
      <c r="J343" s="642">
        <v>2</v>
      </c>
      <c r="K343" s="641">
        <v>1.9</v>
      </c>
      <c r="L343" s="642">
        <v>1.6</v>
      </c>
      <c r="M343" s="642" t="s">
        <v>860</v>
      </c>
      <c r="N343" s="642"/>
      <c r="O343" s="642"/>
      <c r="P343" s="642"/>
      <c r="Q343" s="642"/>
      <c r="R343" s="642"/>
      <c r="S343" s="642"/>
      <c r="T343" s="645"/>
      <c r="U343" s="652">
        <v>1050</v>
      </c>
      <c r="V343" s="629">
        <v>1150</v>
      </c>
      <c r="W343" s="4">
        <f t="shared" si="51"/>
        <v>1207.5</v>
      </c>
      <c r="X343" s="4">
        <f t="shared" si="48"/>
        <v>1267.875</v>
      </c>
      <c r="Y343" s="4">
        <f t="shared" si="49"/>
        <v>1331.26875</v>
      </c>
      <c r="Z343" s="4"/>
      <c r="AA343" s="4"/>
      <c r="AB343" s="4"/>
      <c r="AC343" s="4"/>
      <c r="AD343" s="642"/>
      <c r="AE343" s="642"/>
      <c r="AF343" s="642"/>
      <c r="AG343" s="642"/>
      <c r="AH343" s="642"/>
      <c r="AI343" s="642"/>
      <c r="AJ343" s="642"/>
      <c r="AK343" s="6"/>
      <c r="AL343" s="644">
        <v>22</v>
      </c>
      <c r="AM343" s="644">
        <v>22</v>
      </c>
      <c r="AN343" s="644">
        <v>22</v>
      </c>
      <c r="AO343" s="644">
        <v>22</v>
      </c>
      <c r="AP343" s="644">
        <v>22</v>
      </c>
      <c r="AQ343" s="644"/>
      <c r="AR343" s="644"/>
      <c r="AS343" s="644"/>
      <c r="AT343" s="644"/>
      <c r="AU343" s="644"/>
      <c r="AV343" s="642"/>
      <c r="AW343" s="642"/>
      <c r="AX343" s="642"/>
      <c r="AY343" s="642"/>
      <c r="AZ343" s="642"/>
      <c r="BA343" s="642"/>
      <c r="BB343" s="6"/>
      <c r="BC343" s="4">
        <f t="shared" si="61"/>
        <v>23100</v>
      </c>
      <c r="BD343" s="4">
        <f t="shared" si="52"/>
        <v>25300</v>
      </c>
      <c r="BE343" s="4">
        <f t="shared" si="50"/>
        <v>26565</v>
      </c>
      <c r="BF343" s="4">
        <f t="shared" si="41"/>
        <v>27893.25</v>
      </c>
      <c r="BG343" s="4">
        <f t="shared" si="44"/>
        <v>29287.912499999999</v>
      </c>
      <c r="BH343" s="4"/>
      <c r="BI343" s="4"/>
      <c r="BJ343" s="4"/>
      <c r="BK343" s="6"/>
      <c r="BL343" s="6"/>
      <c r="BM343" s="6"/>
      <c r="BN343" s="6"/>
      <c r="BO343" s="6"/>
      <c r="BP343" s="6"/>
      <c r="BQ343" s="6"/>
      <c r="BR343" s="6"/>
      <c r="BS343" s="6"/>
      <c r="BT343" s="6"/>
      <c r="BU343" s="38">
        <f t="shared" si="62"/>
        <v>9.5238095238095344E-2</v>
      </c>
      <c r="BV343" s="130">
        <v>0.05</v>
      </c>
      <c r="BW343" s="130">
        <f t="shared" si="53"/>
        <v>0.05</v>
      </c>
      <c r="BX343" s="130">
        <f t="shared" si="53"/>
        <v>0.05</v>
      </c>
      <c r="BY343" s="130"/>
      <c r="BZ343" s="130"/>
      <c r="CA343" s="130"/>
      <c r="CB343" s="130"/>
      <c r="CC343" s="642"/>
      <c r="CD343" s="642"/>
      <c r="CE343" s="6"/>
      <c r="CF343" s="6"/>
      <c r="CG343" s="6"/>
      <c r="CH343" s="6"/>
      <c r="CI343" s="6"/>
      <c r="CJ343" s="6"/>
      <c r="CK343" s="4">
        <f t="shared" si="54"/>
        <v>1320</v>
      </c>
      <c r="CL343" s="4">
        <f t="shared" si="55"/>
        <v>1320</v>
      </c>
      <c r="CM343" s="4">
        <f t="shared" si="56"/>
        <v>1320</v>
      </c>
      <c r="CN343" s="4">
        <f t="shared" si="57"/>
        <v>1320</v>
      </c>
      <c r="CO343" s="4">
        <f t="shared" si="46"/>
        <v>1320</v>
      </c>
      <c r="CP343" s="4"/>
      <c r="CQ343" s="4"/>
      <c r="CR343" s="4"/>
      <c r="CS343" s="4"/>
      <c r="CT343" s="642"/>
      <c r="CU343" s="642"/>
      <c r="CV343" s="642"/>
      <c r="CW343" s="642"/>
      <c r="CX343" s="642"/>
      <c r="CY343" s="642"/>
      <c r="CZ343" s="6"/>
      <c r="DA343" s="6">
        <f t="shared" si="58"/>
        <v>2376</v>
      </c>
      <c r="DB343" s="6">
        <f t="shared" si="60"/>
        <v>2640</v>
      </c>
      <c r="DC343" s="6">
        <f t="shared" si="59"/>
        <v>2508</v>
      </c>
      <c r="DD343" s="6">
        <f t="shared" si="47"/>
        <v>2112</v>
      </c>
      <c r="DE343" s="6"/>
      <c r="DF343" s="6"/>
      <c r="DG343" s="6"/>
      <c r="DH343" s="6"/>
      <c r="DI343" s="6"/>
      <c r="DJ343" s="642"/>
      <c r="DK343" s="642"/>
    </row>
    <row r="344" spans="1:115">
      <c r="A344" s="36">
        <v>8</v>
      </c>
      <c r="B344" s="6" t="s">
        <v>1484</v>
      </c>
      <c r="C344" s="6" t="s">
        <v>1485</v>
      </c>
      <c r="D344" s="645" t="s">
        <v>638</v>
      </c>
      <c r="E344" s="645"/>
      <c r="F344" s="342" t="s">
        <v>1455</v>
      </c>
      <c r="G344" s="641">
        <v>30</v>
      </c>
      <c r="H344" s="645"/>
      <c r="I344" s="641">
        <v>5.0999999999999996</v>
      </c>
      <c r="J344" s="641">
        <v>4.3</v>
      </c>
      <c r="K344" s="641">
        <v>3.8</v>
      </c>
      <c r="L344" s="642">
        <v>3.6</v>
      </c>
      <c r="M344" s="642" t="s">
        <v>860</v>
      </c>
      <c r="N344" s="642"/>
      <c r="O344" s="642"/>
      <c r="P344" s="642"/>
      <c r="Q344" s="642"/>
      <c r="R344" s="642"/>
      <c r="S344" s="642"/>
      <c r="T344" s="645"/>
      <c r="U344" s="652">
        <v>650</v>
      </c>
      <c r="V344" s="629">
        <v>850</v>
      </c>
      <c r="W344" s="4">
        <f t="shared" si="51"/>
        <v>892.5</v>
      </c>
      <c r="X344" s="4">
        <f t="shared" si="48"/>
        <v>937.125</v>
      </c>
      <c r="Y344" s="4">
        <f t="shared" si="49"/>
        <v>983.98125000000005</v>
      </c>
      <c r="Z344" s="4"/>
      <c r="AA344" s="4"/>
      <c r="AB344" s="4"/>
      <c r="AC344" s="4"/>
      <c r="AD344" s="642"/>
      <c r="AE344" s="642"/>
      <c r="AF344" s="642"/>
      <c r="AG344" s="642"/>
      <c r="AH344" s="642"/>
      <c r="AI344" s="642"/>
      <c r="AJ344" s="642"/>
      <c r="AK344" s="6"/>
      <c r="AL344" s="644">
        <v>22</v>
      </c>
      <c r="AM344" s="644">
        <v>22</v>
      </c>
      <c r="AN344" s="644">
        <v>22</v>
      </c>
      <c r="AO344" s="644">
        <v>22</v>
      </c>
      <c r="AP344" s="644">
        <v>22</v>
      </c>
      <c r="AQ344" s="644"/>
      <c r="AR344" s="644"/>
      <c r="AS344" s="644"/>
      <c r="AT344" s="644"/>
      <c r="AU344" s="644"/>
      <c r="AV344" s="642"/>
      <c r="AW344" s="642"/>
      <c r="AX344" s="642"/>
      <c r="AY344" s="642"/>
      <c r="AZ344" s="642"/>
      <c r="BA344" s="642"/>
      <c r="BB344" s="6"/>
      <c r="BC344" s="4">
        <f t="shared" si="61"/>
        <v>14300</v>
      </c>
      <c r="BD344" s="4">
        <f t="shared" si="52"/>
        <v>18700</v>
      </c>
      <c r="BE344" s="4">
        <f t="shared" si="50"/>
        <v>19635</v>
      </c>
      <c r="BF344" s="4">
        <f t="shared" si="41"/>
        <v>20616.75</v>
      </c>
      <c r="BG344" s="4">
        <f t="shared" si="44"/>
        <v>21647.587500000001</v>
      </c>
      <c r="BH344" s="4"/>
      <c r="BI344" s="4"/>
      <c r="BJ344" s="4"/>
      <c r="BK344" s="6"/>
      <c r="BL344" s="6"/>
      <c r="BM344" s="6"/>
      <c r="BN344" s="6"/>
      <c r="BO344" s="6"/>
      <c r="BP344" s="6"/>
      <c r="BQ344" s="6"/>
      <c r="BR344" s="6"/>
      <c r="BS344" s="6"/>
      <c r="BT344" s="6"/>
      <c r="BU344" s="38">
        <f t="shared" si="62"/>
        <v>0.30769230769230771</v>
      </c>
      <c r="BV344" s="130">
        <v>0.05</v>
      </c>
      <c r="BW344" s="130">
        <f t="shared" si="53"/>
        <v>0.05</v>
      </c>
      <c r="BX344" s="130">
        <f t="shared" si="53"/>
        <v>0.05</v>
      </c>
      <c r="BY344" s="130"/>
      <c r="BZ344" s="130"/>
      <c r="CA344" s="130"/>
      <c r="CB344" s="130"/>
      <c r="CC344" s="642"/>
      <c r="CD344" s="642"/>
      <c r="CE344" s="6"/>
      <c r="CF344" s="6"/>
      <c r="CG344" s="6"/>
      <c r="CH344" s="6"/>
      <c r="CI344" s="6"/>
      <c r="CJ344" s="6"/>
      <c r="CK344" s="4">
        <f t="shared" si="54"/>
        <v>660</v>
      </c>
      <c r="CL344" s="4">
        <f t="shared" si="55"/>
        <v>660</v>
      </c>
      <c r="CM344" s="4">
        <f t="shared" si="56"/>
        <v>660</v>
      </c>
      <c r="CN344" s="4">
        <f t="shared" si="57"/>
        <v>660</v>
      </c>
      <c r="CO344" s="4">
        <f t="shared" si="46"/>
        <v>660</v>
      </c>
      <c r="CP344" s="4"/>
      <c r="CQ344" s="4"/>
      <c r="CR344" s="4"/>
      <c r="CS344" s="4"/>
      <c r="CT344" s="642"/>
      <c r="CU344" s="642"/>
      <c r="CV344" s="642"/>
      <c r="CW344" s="642"/>
      <c r="CX344" s="642"/>
      <c r="CY344" s="642"/>
      <c r="CZ344" s="6"/>
      <c r="DA344" s="6">
        <f t="shared" si="58"/>
        <v>3365.9999999999995</v>
      </c>
      <c r="DB344" s="6">
        <f t="shared" si="60"/>
        <v>2838</v>
      </c>
      <c r="DC344" s="6">
        <f t="shared" si="59"/>
        <v>2508</v>
      </c>
      <c r="DD344" s="6">
        <f t="shared" si="47"/>
        <v>2376</v>
      </c>
      <c r="DE344" s="6"/>
      <c r="DF344" s="6"/>
      <c r="DG344" s="6"/>
      <c r="DH344" s="6"/>
      <c r="DI344" s="6"/>
      <c r="DJ344" s="642"/>
      <c r="DK344" s="642"/>
    </row>
    <row r="345" spans="1:115">
      <c r="A345" s="36">
        <v>10</v>
      </c>
      <c r="B345" s="6" t="s">
        <v>1486</v>
      </c>
      <c r="C345" s="6" t="s">
        <v>1482</v>
      </c>
      <c r="D345" s="645" t="s">
        <v>1483</v>
      </c>
      <c r="E345" s="645"/>
      <c r="F345" s="342" t="s">
        <v>1455</v>
      </c>
      <c r="G345" s="641">
        <v>60</v>
      </c>
      <c r="H345" s="645"/>
      <c r="I345" s="641">
        <v>1.2</v>
      </c>
      <c r="J345" s="641">
        <v>2.5</v>
      </c>
      <c r="K345" s="642">
        <v>2</v>
      </c>
      <c r="L345" s="642">
        <v>1.9</v>
      </c>
      <c r="M345" s="642" t="s">
        <v>860</v>
      </c>
      <c r="N345" s="642"/>
      <c r="O345" s="642"/>
      <c r="P345" s="642"/>
      <c r="Q345" s="642"/>
      <c r="R345" s="642"/>
      <c r="S345" s="642"/>
      <c r="T345" s="645"/>
      <c r="U345" s="652">
        <v>1100</v>
      </c>
      <c r="V345" s="629">
        <v>1250</v>
      </c>
      <c r="W345" s="4">
        <f t="shared" si="51"/>
        <v>1312.5</v>
      </c>
      <c r="X345" s="4">
        <f t="shared" si="48"/>
        <v>1378.125</v>
      </c>
      <c r="Y345" s="4">
        <f t="shared" si="49"/>
        <v>1447.03125</v>
      </c>
      <c r="Z345" s="4"/>
      <c r="AA345" s="4"/>
      <c r="AB345" s="4"/>
      <c r="AC345" s="4"/>
      <c r="AD345" s="642"/>
      <c r="AE345" s="642"/>
      <c r="AF345" s="642"/>
      <c r="AG345" s="642"/>
      <c r="AH345" s="642"/>
      <c r="AI345" s="642"/>
      <c r="AJ345" s="642"/>
      <c r="AK345" s="6"/>
      <c r="AL345" s="644">
        <v>22</v>
      </c>
      <c r="AM345" s="644">
        <v>22</v>
      </c>
      <c r="AN345" s="644">
        <v>22</v>
      </c>
      <c r="AO345" s="644">
        <v>22</v>
      </c>
      <c r="AP345" s="644">
        <v>22</v>
      </c>
      <c r="AQ345" s="644"/>
      <c r="AR345" s="644"/>
      <c r="AS345" s="644"/>
      <c r="AT345" s="644"/>
      <c r="AU345" s="644"/>
      <c r="AV345" s="642"/>
      <c r="AW345" s="642"/>
      <c r="AX345" s="642"/>
      <c r="AY345" s="642"/>
      <c r="AZ345" s="642"/>
      <c r="BA345" s="642"/>
      <c r="BB345" s="6"/>
      <c r="BC345" s="4">
        <f t="shared" si="61"/>
        <v>24200</v>
      </c>
      <c r="BD345" s="4">
        <f t="shared" si="52"/>
        <v>27500</v>
      </c>
      <c r="BE345" s="4">
        <f t="shared" si="50"/>
        <v>28875</v>
      </c>
      <c r="BF345" s="4">
        <f t="shared" si="41"/>
        <v>30318.75</v>
      </c>
      <c r="BG345" s="4">
        <f t="shared" si="44"/>
        <v>31834.6875</v>
      </c>
      <c r="BH345" s="4"/>
      <c r="BI345" s="4"/>
      <c r="BJ345" s="4"/>
      <c r="BK345" s="6"/>
      <c r="BL345" s="6"/>
      <c r="BM345" s="6"/>
      <c r="BN345" s="6"/>
      <c r="BO345" s="6"/>
      <c r="BP345" s="6"/>
      <c r="BQ345" s="6"/>
      <c r="BR345" s="6"/>
      <c r="BS345" s="6"/>
      <c r="BT345" s="6"/>
      <c r="BU345" s="38">
        <f t="shared" si="62"/>
        <v>0.13636363636363646</v>
      </c>
      <c r="BV345" s="130">
        <v>0.05</v>
      </c>
      <c r="BW345" s="130">
        <f t="shared" si="53"/>
        <v>0.05</v>
      </c>
      <c r="BX345" s="130">
        <f t="shared" si="53"/>
        <v>0.05</v>
      </c>
      <c r="BY345" s="130"/>
      <c r="BZ345" s="130"/>
      <c r="CA345" s="130"/>
      <c r="CB345" s="130"/>
      <c r="CC345" s="642"/>
      <c r="CD345" s="642"/>
      <c r="CE345" s="6"/>
      <c r="CF345" s="6"/>
      <c r="CG345" s="6"/>
      <c r="CH345" s="6"/>
      <c r="CI345" s="6"/>
      <c r="CJ345" s="6"/>
      <c r="CK345" s="4">
        <f t="shared" si="54"/>
        <v>1320</v>
      </c>
      <c r="CL345" s="4">
        <f t="shared" si="55"/>
        <v>1320</v>
      </c>
      <c r="CM345" s="4">
        <f t="shared" si="56"/>
        <v>1320</v>
      </c>
      <c r="CN345" s="4">
        <f t="shared" si="57"/>
        <v>1320</v>
      </c>
      <c r="CO345" s="4">
        <f t="shared" si="46"/>
        <v>1320</v>
      </c>
      <c r="CP345" s="4"/>
      <c r="CQ345" s="4"/>
      <c r="CR345" s="4"/>
      <c r="CS345" s="4"/>
      <c r="CT345" s="642"/>
      <c r="CU345" s="642"/>
      <c r="CV345" s="642"/>
      <c r="CW345" s="642"/>
      <c r="CX345" s="642"/>
      <c r="CY345" s="642"/>
      <c r="CZ345" s="6"/>
      <c r="DA345" s="6">
        <f t="shared" si="58"/>
        <v>1584</v>
      </c>
      <c r="DB345" s="6">
        <f t="shared" si="60"/>
        <v>3300</v>
      </c>
      <c r="DC345" s="6">
        <f t="shared" si="59"/>
        <v>2640</v>
      </c>
      <c r="DD345" s="6">
        <f t="shared" si="47"/>
        <v>2508</v>
      </c>
      <c r="DE345" s="6"/>
      <c r="DF345" s="6"/>
      <c r="DG345" s="6"/>
      <c r="DH345" s="6"/>
      <c r="DI345" s="6"/>
      <c r="DJ345" s="642"/>
      <c r="DK345" s="642"/>
    </row>
    <row r="346" spans="1:115">
      <c r="A346" s="36">
        <v>11</v>
      </c>
      <c r="B346" s="6" t="s">
        <v>1487</v>
      </c>
      <c r="C346" s="6" t="s">
        <v>1488</v>
      </c>
      <c r="D346" s="645" t="s">
        <v>638</v>
      </c>
      <c r="E346" s="645"/>
      <c r="F346" s="342" t="s">
        <v>1455</v>
      </c>
      <c r="G346" s="641">
        <v>60</v>
      </c>
      <c r="H346" s="645"/>
      <c r="I346" s="641">
        <v>3.6</v>
      </c>
      <c r="J346" s="641">
        <v>2.8</v>
      </c>
      <c r="K346" s="641">
        <v>2.2999999999999998</v>
      </c>
      <c r="L346" s="642">
        <v>2</v>
      </c>
      <c r="M346" s="642" t="s">
        <v>860</v>
      </c>
      <c r="N346" s="642"/>
      <c r="O346" s="642"/>
      <c r="P346" s="642"/>
      <c r="Q346" s="642"/>
      <c r="R346" s="642"/>
      <c r="S346" s="642"/>
      <c r="T346" s="645"/>
      <c r="U346" s="653">
        <v>1900</v>
      </c>
      <c r="V346" s="629">
        <v>2090</v>
      </c>
      <c r="W346" s="4">
        <f t="shared" si="51"/>
        <v>2194.5</v>
      </c>
      <c r="X346" s="4">
        <f t="shared" si="48"/>
        <v>2304.2249999999999</v>
      </c>
      <c r="Y346" s="4">
        <f t="shared" si="49"/>
        <v>2419.4362500000002</v>
      </c>
      <c r="Z346" s="4"/>
      <c r="AA346" s="4"/>
      <c r="AB346" s="4"/>
      <c r="AC346" s="4"/>
      <c r="AD346" s="642"/>
      <c r="AE346" s="642"/>
      <c r="AF346" s="642"/>
      <c r="AG346" s="642"/>
      <c r="AH346" s="642"/>
      <c r="AI346" s="642"/>
      <c r="AJ346" s="642"/>
      <c r="AK346" s="6"/>
      <c r="AL346" s="644">
        <v>22</v>
      </c>
      <c r="AM346" s="644">
        <v>22</v>
      </c>
      <c r="AN346" s="644">
        <v>22</v>
      </c>
      <c r="AO346" s="644">
        <v>22</v>
      </c>
      <c r="AP346" s="644">
        <v>22</v>
      </c>
      <c r="AQ346" s="644"/>
      <c r="AR346" s="644"/>
      <c r="AS346" s="644"/>
      <c r="AT346" s="644"/>
      <c r="AU346" s="644"/>
      <c r="AV346" s="642"/>
      <c r="AW346" s="642"/>
      <c r="AX346" s="642"/>
      <c r="AY346" s="642"/>
      <c r="AZ346" s="642"/>
      <c r="BA346" s="642"/>
      <c r="BB346" s="6"/>
      <c r="BC346" s="4">
        <f t="shared" si="61"/>
        <v>41800</v>
      </c>
      <c r="BD346" s="4">
        <f t="shared" si="52"/>
        <v>45980</v>
      </c>
      <c r="BE346" s="4">
        <f t="shared" si="50"/>
        <v>48279</v>
      </c>
      <c r="BF346" s="4">
        <f t="shared" si="41"/>
        <v>50692.95</v>
      </c>
      <c r="BG346" s="4">
        <f t="shared" si="44"/>
        <v>53227.597500000003</v>
      </c>
      <c r="BH346" s="4"/>
      <c r="BI346" s="4"/>
      <c r="BJ346" s="4"/>
      <c r="BK346" s="6"/>
      <c r="BL346" s="6"/>
      <c r="BM346" s="6"/>
      <c r="BN346" s="6"/>
      <c r="BO346" s="6"/>
      <c r="BP346" s="6"/>
      <c r="BQ346" s="6"/>
      <c r="BR346" s="6"/>
      <c r="BS346" s="6"/>
      <c r="BT346" s="6"/>
      <c r="BU346" s="38">
        <f t="shared" si="62"/>
        <v>0.10000000000000009</v>
      </c>
      <c r="BV346" s="130">
        <v>0.05</v>
      </c>
      <c r="BW346" s="130">
        <f t="shared" si="53"/>
        <v>0.05</v>
      </c>
      <c r="BX346" s="130">
        <f t="shared" si="53"/>
        <v>0.05</v>
      </c>
      <c r="BY346" s="130"/>
      <c r="BZ346" s="130"/>
      <c r="CA346" s="130"/>
      <c r="CB346" s="130"/>
      <c r="CC346" s="642"/>
      <c r="CD346" s="642"/>
      <c r="CE346" s="6"/>
      <c r="CF346" s="6"/>
      <c r="CG346" s="6"/>
      <c r="CH346" s="6"/>
      <c r="CI346" s="6"/>
      <c r="CJ346" s="6"/>
      <c r="CK346" s="4">
        <f t="shared" si="54"/>
        <v>1320</v>
      </c>
      <c r="CL346" s="4">
        <f t="shared" si="55"/>
        <v>1320</v>
      </c>
      <c r="CM346" s="4">
        <f t="shared" si="56"/>
        <v>1320</v>
      </c>
      <c r="CN346" s="4">
        <f t="shared" si="57"/>
        <v>1320</v>
      </c>
      <c r="CO346" s="4">
        <f t="shared" si="46"/>
        <v>1320</v>
      </c>
      <c r="CP346" s="4"/>
      <c r="CQ346" s="4"/>
      <c r="CR346" s="4"/>
      <c r="CS346" s="4"/>
      <c r="CT346" s="642"/>
      <c r="CU346" s="642"/>
      <c r="CV346" s="642"/>
      <c r="CW346" s="642"/>
      <c r="CX346" s="642"/>
      <c r="CY346" s="642"/>
      <c r="CZ346" s="6"/>
      <c r="DA346" s="6">
        <f t="shared" si="58"/>
        <v>4752</v>
      </c>
      <c r="DB346" s="6">
        <f t="shared" si="60"/>
        <v>3695.9999999999995</v>
      </c>
      <c r="DC346" s="6">
        <f t="shared" si="59"/>
        <v>3035.9999999999995</v>
      </c>
      <c r="DD346" s="6">
        <f t="shared" si="47"/>
        <v>2640</v>
      </c>
      <c r="DE346" s="6"/>
      <c r="DF346" s="6"/>
      <c r="DG346" s="6"/>
      <c r="DH346" s="6"/>
      <c r="DI346" s="6"/>
      <c r="DJ346" s="642"/>
      <c r="DK346" s="642"/>
    </row>
    <row r="347" spans="1:115">
      <c r="A347" s="640" t="s">
        <v>1489</v>
      </c>
      <c r="B347" s="84"/>
      <c r="C347" s="84"/>
      <c r="D347" s="84"/>
      <c r="E347" s="84"/>
      <c r="F347" s="84"/>
      <c r="G347" s="84"/>
      <c r="H347" s="84"/>
      <c r="I347" s="641"/>
      <c r="J347" s="641"/>
      <c r="K347" s="641"/>
      <c r="L347" s="641"/>
      <c r="M347" s="641"/>
      <c r="N347" s="641"/>
      <c r="O347" s="641"/>
      <c r="P347" s="641"/>
      <c r="Q347" s="641"/>
      <c r="R347" s="641"/>
      <c r="S347" s="641"/>
      <c r="T347" s="84"/>
      <c r="U347" s="643"/>
      <c r="V347" s="4"/>
      <c r="W347" s="95"/>
      <c r="X347" s="95"/>
      <c r="Y347" s="95"/>
      <c r="Z347" s="95"/>
      <c r="AA347" s="95"/>
      <c r="AB347" s="95"/>
      <c r="AC347" s="95"/>
      <c r="AD347" s="641"/>
      <c r="AE347" s="641"/>
      <c r="AF347" s="641"/>
      <c r="AG347" s="641"/>
      <c r="AH347" s="641"/>
      <c r="AI347" s="641"/>
      <c r="AJ347" s="641"/>
      <c r="AK347" s="11"/>
      <c r="AL347" s="11"/>
      <c r="AM347" s="6"/>
      <c r="AN347" s="6"/>
      <c r="AO347" s="6"/>
      <c r="AP347" s="95"/>
      <c r="AQ347" s="95"/>
      <c r="AR347" s="95"/>
      <c r="AS347" s="95"/>
      <c r="AT347" s="95"/>
      <c r="AU347" s="95"/>
      <c r="AV347" s="641"/>
      <c r="AW347" s="641"/>
      <c r="AX347" s="641"/>
      <c r="AY347" s="641"/>
      <c r="AZ347" s="641"/>
      <c r="BA347" s="641"/>
      <c r="BB347" s="6"/>
      <c r="BC347" s="6"/>
      <c r="BD347" s="6"/>
      <c r="BE347" s="6"/>
      <c r="BF347" s="6"/>
      <c r="BG347" s="6"/>
      <c r="BH347" s="6"/>
      <c r="BI347" s="6"/>
      <c r="BJ347" s="6"/>
      <c r="BK347" s="6"/>
      <c r="BL347" s="6"/>
      <c r="BM347" s="6"/>
      <c r="BN347" s="6"/>
      <c r="BO347" s="6"/>
      <c r="BP347" s="6"/>
      <c r="BQ347" s="6"/>
      <c r="BR347" s="6"/>
      <c r="BS347" s="6"/>
      <c r="BT347" s="6"/>
      <c r="BU347" s="6"/>
      <c r="BV347" s="6"/>
      <c r="BW347" s="6"/>
      <c r="BX347" s="6"/>
      <c r="BY347" s="6"/>
      <c r="BZ347" s="6"/>
      <c r="CA347" s="6"/>
      <c r="CB347" s="6"/>
      <c r="CC347" s="641"/>
      <c r="CD347" s="641"/>
      <c r="CE347" s="6"/>
      <c r="CF347" s="6"/>
      <c r="CG347" s="6"/>
      <c r="CH347" s="6"/>
      <c r="CI347" s="6"/>
      <c r="CJ347" s="6"/>
      <c r="CK347" s="6"/>
      <c r="CL347" s="6"/>
      <c r="CM347" s="6"/>
      <c r="CN347" s="6"/>
      <c r="CO347" s="6"/>
      <c r="CP347" s="6"/>
      <c r="CQ347" s="6"/>
      <c r="CR347" s="6"/>
      <c r="CS347" s="6"/>
      <c r="CT347" s="641"/>
      <c r="CU347" s="641"/>
      <c r="CV347" s="641"/>
      <c r="CW347" s="641"/>
      <c r="CX347" s="641"/>
      <c r="CY347" s="641"/>
      <c r="CZ347" s="6"/>
      <c r="DA347" s="6"/>
      <c r="DB347" s="6"/>
      <c r="DC347" s="6"/>
      <c r="DD347" s="6"/>
      <c r="DE347" s="6"/>
      <c r="DF347" s="6"/>
      <c r="DG347" s="6"/>
      <c r="DH347" s="6"/>
      <c r="DI347" s="6"/>
      <c r="DJ347" s="641"/>
      <c r="DK347" s="641"/>
    </row>
    <row r="348" spans="1:115">
      <c r="A348" s="179" t="s">
        <v>1442</v>
      </c>
      <c r="B348" s="69" t="s">
        <v>1490</v>
      </c>
      <c r="C348" s="84" t="s">
        <v>1245</v>
      </c>
      <c r="D348" s="342" t="s">
        <v>1491</v>
      </c>
      <c r="E348" s="342"/>
      <c r="F348" s="342" t="s">
        <v>1455</v>
      </c>
      <c r="G348" s="641">
        <v>60</v>
      </c>
      <c r="H348" s="342"/>
      <c r="I348" s="4"/>
      <c r="J348" s="4"/>
      <c r="K348" s="4"/>
      <c r="L348" s="642">
        <v>2.9</v>
      </c>
      <c r="M348" s="641"/>
      <c r="N348" s="641"/>
      <c r="O348" s="641"/>
      <c r="P348" s="641"/>
      <c r="Q348" s="641"/>
      <c r="R348" s="641"/>
      <c r="S348" s="641"/>
      <c r="T348" s="342"/>
      <c r="U348" s="4">
        <v>0</v>
      </c>
      <c r="V348" s="4">
        <v>0</v>
      </c>
      <c r="W348" s="95">
        <v>0</v>
      </c>
      <c r="X348" s="95">
        <v>1400</v>
      </c>
      <c r="Y348" s="95"/>
      <c r="Z348" s="95"/>
      <c r="AA348" s="95"/>
      <c r="AB348" s="95"/>
      <c r="AC348" s="95"/>
      <c r="AD348" s="641"/>
      <c r="AE348" s="641"/>
      <c r="AF348" s="641"/>
      <c r="AG348" s="641"/>
      <c r="AH348" s="641"/>
      <c r="AI348" s="641"/>
      <c r="AJ348" s="641"/>
      <c r="AK348" s="11"/>
      <c r="AL348" s="646">
        <v>0</v>
      </c>
      <c r="AM348" s="647">
        <v>0</v>
      </c>
      <c r="AN348" s="647">
        <v>0</v>
      </c>
      <c r="AO348" s="644">
        <v>13</v>
      </c>
      <c r="AP348" s="95"/>
      <c r="AQ348" s="95"/>
      <c r="AR348" s="95"/>
      <c r="AS348" s="95"/>
      <c r="AT348" s="95"/>
      <c r="AU348" s="95"/>
      <c r="AV348" s="641"/>
      <c r="AW348" s="641"/>
      <c r="AX348" s="641"/>
      <c r="AY348" s="641"/>
      <c r="AZ348" s="641"/>
      <c r="BA348" s="641"/>
      <c r="BB348" s="6"/>
      <c r="BC348" s="4"/>
      <c r="BD348" s="4"/>
      <c r="BE348" s="4"/>
      <c r="BF348" s="4">
        <f t="shared" ref="BF348:BF373" si="63">X348*AO348</f>
        <v>18200</v>
      </c>
      <c r="BG348" s="4"/>
      <c r="BH348" s="4"/>
      <c r="BI348" s="4"/>
      <c r="BJ348" s="4"/>
      <c r="BK348" s="6"/>
      <c r="BL348" s="6"/>
      <c r="BM348" s="6"/>
      <c r="BN348" s="6"/>
      <c r="BO348" s="6"/>
      <c r="BP348" s="6"/>
      <c r="BQ348" s="6"/>
      <c r="BR348" s="6"/>
      <c r="BS348" s="6"/>
      <c r="BT348" s="6"/>
      <c r="BU348" s="6"/>
      <c r="BV348" s="6"/>
      <c r="BW348" s="6"/>
      <c r="BX348" s="6"/>
      <c r="BY348" s="6"/>
      <c r="BZ348" s="6"/>
      <c r="CA348" s="6"/>
      <c r="CB348" s="6"/>
      <c r="CC348" s="641"/>
      <c r="CD348" s="641"/>
      <c r="CE348" s="6"/>
      <c r="CF348" s="6"/>
      <c r="CG348" s="6"/>
      <c r="CH348" s="6"/>
      <c r="CI348" s="6"/>
      <c r="CJ348" s="6"/>
      <c r="CK348" s="4">
        <f t="shared" ref="CK348:CN349" si="64">$G348*AL348</f>
        <v>0</v>
      </c>
      <c r="CL348" s="4">
        <f t="shared" si="64"/>
        <v>0</v>
      </c>
      <c r="CM348" s="4">
        <f t="shared" si="64"/>
        <v>0</v>
      </c>
      <c r="CN348" s="4">
        <f t="shared" si="64"/>
        <v>780</v>
      </c>
      <c r="CO348" s="4"/>
      <c r="CP348" s="4"/>
      <c r="CQ348" s="4"/>
      <c r="CR348" s="4"/>
      <c r="CS348" s="4"/>
      <c r="CT348" s="641"/>
      <c r="CU348" s="641"/>
      <c r="CV348" s="641"/>
      <c r="CW348" s="641"/>
      <c r="CX348" s="641"/>
      <c r="CY348" s="641"/>
      <c r="CZ348" s="6"/>
      <c r="DA348" s="6">
        <f t="shared" ref="DA348:DD349" si="65">I348*CK348</f>
        <v>0</v>
      </c>
      <c r="DB348" s="6">
        <f t="shared" si="65"/>
        <v>0</v>
      </c>
      <c r="DC348" s="6">
        <f t="shared" si="65"/>
        <v>0</v>
      </c>
      <c r="DD348" s="6">
        <f t="shared" si="65"/>
        <v>2262</v>
      </c>
      <c r="DE348" s="6"/>
      <c r="DF348" s="6"/>
      <c r="DG348" s="6"/>
      <c r="DH348" s="6"/>
      <c r="DI348" s="6"/>
      <c r="DJ348" s="641"/>
      <c r="DK348" s="641"/>
    </row>
    <row r="349" spans="1:115">
      <c r="A349" s="179" t="s">
        <v>1442</v>
      </c>
      <c r="B349" s="6" t="s">
        <v>1449</v>
      </c>
      <c r="C349" s="6" t="s">
        <v>1245</v>
      </c>
      <c r="D349" s="645" t="s">
        <v>1450</v>
      </c>
      <c r="E349" s="645"/>
      <c r="F349" s="342" t="s">
        <v>1455</v>
      </c>
      <c r="G349" s="641">
        <v>60</v>
      </c>
      <c r="H349" s="645"/>
      <c r="I349" s="4"/>
      <c r="J349" s="4"/>
      <c r="K349" s="4"/>
      <c r="L349" s="642">
        <v>5.4</v>
      </c>
      <c r="M349" s="641"/>
      <c r="N349" s="641"/>
      <c r="O349" s="641"/>
      <c r="P349" s="641"/>
      <c r="Q349" s="641"/>
      <c r="R349" s="641"/>
      <c r="S349" s="641"/>
      <c r="T349" s="645"/>
      <c r="U349" s="4">
        <v>0</v>
      </c>
      <c r="V349" s="4">
        <v>0</v>
      </c>
      <c r="W349" s="95">
        <v>0</v>
      </c>
      <c r="X349" s="95">
        <v>1400</v>
      </c>
      <c r="Y349" s="95"/>
      <c r="Z349" s="95"/>
      <c r="AA349" s="95"/>
      <c r="AB349" s="95"/>
      <c r="AC349" s="95"/>
      <c r="AD349" s="641"/>
      <c r="AE349" s="641"/>
      <c r="AF349" s="641"/>
      <c r="AG349" s="641"/>
      <c r="AH349" s="641"/>
      <c r="AI349" s="641"/>
      <c r="AJ349" s="641"/>
      <c r="AK349" s="11"/>
      <c r="AL349" s="646">
        <v>0</v>
      </c>
      <c r="AM349" s="647">
        <v>0</v>
      </c>
      <c r="AN349" s="647">
        <v>0</v>
      </c>
      <c r="AO349" s="644">
        <v>13</v>
      </c>
      <c r="AP349" s="95"/>
      <c r="AQ349" s="95"/>
      <c r="AR349" s="95"/>
      <c r="AS349" s="95"/>
      <c r="AT349" s="95"/>
      <c r="AU349" s="95"/>
      <c r="AV349" s="641"/>
      <c r="AW349" s="641"/>
      <c r="AX349" s="641"/>
      <c r="AY349" s="641"/>
      <c r="AZ349" s="641"/>
      <c r="BA349" s="641"/>
      <c r="BB349" s="6"/>
      <c r="BC349" s="4"/>
      <c r="BD349" s="4"/>
      <c r="BE349" s="4"/>
      <c r="BF349" s="4">
        <f t="shared" si="63"/>
        <v>18200</v>
      </c>
      <c r="BG349" s="4"/>
      <c r="BH349" s="4"/>
      <c r="BI349" s="4"/>
      <c r="BJ349" s="4"/>
      <c r="BK349" s="6"/>
      <c r="BL349" s="6"/>
      <c r="BM349" s="6"/>
      <c r="BN349" s="6"/>
      <c r="BO349" s="6"/>
      <c r="BP349" s="6"/>
      <c r="BQ349" s="6"/>
      <c r="BR349" s="6"/>
      <c r="BS349" s="6"/>
      <c r="BT349" s="6"/>
      <c r="BU349" s="6"/>
      <c r="BV349" s="6"/>
      <c r="BW349" s="130">
        <v>0.05</v>
      </c>
      <c r="BX349" s="6"/>
      <c r="BY349" s="6"/>
      <c r="BZ349" s="6"/>
      <c r="CA349" s="6"/>
      <c r="CB349" s="6"/>
      <c r="CC349" s="641"/>
      <c r="CD349" s="641"/>
      <c r="CE349" s="6"/>
      <c r="CF349" s="6"/>
      <c r="CG349" s="6"/>
      <c r="CH349" s="6"/>
      <c r="CI349" s="6"/>
      <c r="CJ349" s="6"/>
      <c r="CK349" s="4">
        <f t="shared" si="64"/>
        <v>0</v>
      </c>
      <c r="CL349" s="4">
        <f t="shared" si="64"/>
        <v>0</v>
      </c>
      <c r="CM349" s="4">
        <f t="shared" si="64"/>
        <v>0</v>
      </c>
      <c r="CN349" s="4">
        <f t="shared" si="64"/>
        <v>780</v>
      </c>
      <c r="CO349" s="4"/>
      <c r="CP349" s="4"/>
      <c r="CQ349" s="4"/>
      <c r="CR349" s="4"/>
      <c r="CS349" s="4"/>
      <c r="CT349" s="641"/>
      <c r="CU349" s="641"/>
      <c r="CV349" s="641"/>
      <c r="CW349" s="641"/>
      <c r="CX349" s="641"/>
      <c r="CY349" s="641"/>
      <c r="CZ349" s="6"/>
      <c r="DA349" s="6">
        <f t="shared" si="65"/>
        <v>0</v>
      </c>
      <c r="DB349" s="6">
        <f t="shared" si="65"/>
        <v>0</v>
      </c>
      <c r="DC349" s="6">
        <f t="shared" si="65"/>
        <v>0</v>
      </c>
      <c r="DD349" s="6">
        <f t="shared" si="65"/>
        <v>4212</v>
      </c>
      <c r="DE349" s="6"/>
      <c r="DF349" s="6"/>
      <c r="DG349" s="6"/>
      <c r="DH349" s="6"/>
      <c r="DI349" s="6"/>
      <c r="DJ349" s="641"/>
      <c r="DK349" s="641"/>
    </row>
    <row r="350" spans="1:115">
      <c r="A350" s="179">
        <v>1</v>
      </c>
      <c r="B350" s="6" t="s">
        <v>597</v>
      </c>
      <c r="C350" s="6" t="s">
        <v>598</v>
      </c>
      <c r="D350" s="645" t="s">
        <v>220</v>
      </c>
      <c r="E350" s="645"/>
      <c r="F350" s="342"/>
      <c r="G350" s="641">
        <v>60</v>
      </c>
      <c r="H350" s="645"/>
      <c r="I350" s="4"/>
      <c r="J350" s="4"/>
      <c r="K350" s="4"/>
      <c r="L350" s="642" t="s">
        <v>860</v>
      </c>
      <c r="M350" s="641"/>
      <c r="N350" s="641"/>
      <c r="O350" s="641"/>
      <c r="P350" s="641"/>
      <c r="Q350" s="641"/>
      <c r="R350" s="641"/>
      <c r="S350" s="641"/>
      <c r="T350" s="645"/>
      <c r="U350" s="4">
        <v>0</v>
      </c>
      <c r="V350" s="4">
        <v>0</v>
      </c>
      <c r="W350" s="95">
        <v>0</v>
      </c>
      <c r="X350" s="95">
        <v>1400</v>
      </c>
      <c r="Y350" s="95"/>
      <c r="Z350" s="95"/>
      <c r="AA350" s="95"/>
      <c r="AB350" s="95"/>
      <c r="AC350" s="95"/>
      <c r="AD350" s="641"/>
      <c r="AE350" s="641"/>
      <c r="AF350" s="641"/>
      <c r="AG350" s="641"/>
      <c r="AH350" s="641"/>
      <c r="AI350" s="641"/>
      <c r="AJ350" s="641"/>
      <c r="AK350" s="11"/>
      <c r="AL350" s="646"/>
      <c r="AM350" s="647"/>
      <c r="AN350" s="647"/>
      <c r="AO350" s="644">
        <v>6</v>
      </c>
      <c r="AP350" s="95"/>
      <c r="AQ350" s="95"/>
      <c r="AR350" s="95"/>
      <c r="AS350" s="95"/>
      <c r="AT350" s="95"/>
      <c r="AU350" s="95"/>
      <c r="AV350" s="641"/>
      <c r="AW350" s="641"/>
      <c r="AX350" s="641"/>
      <c r="AY350" s="641"/>
      <c r="AZ350" s="641"/>
      <c r="BA350" s="641"/>
      <c r="BB350" s="6"/>
      <c r="BC350" s="4"/>
      <c r="BD350" s="4"/>
      <c r="BE350" s="4"/>
      <c r="BF350" s="4">
        <f t="shared" si="63"/>
        <v>8400</v>
      </c>
      <c r="BG350" s="4"/>
      <c r="BH350" s="4"/>
      <c r="BI350" s="4"/>
      <c r="BJ350" s="4"/>
      <c r="BK350" s="6"/>
      <c r="BL350" s="6"/>
      <c r="BM350" s="6"/>
      <c r="BN350" s="6"/>
      <c r="BO350" s="6"/>
      <c r="BP350" s="6"/>
      <c r="BQ350" s="6"/>
      <c r="BR350" s="6"/>
      <c r="BS350" s="6"/>
      <c r="BT350" s="6"/>
      <c r="BU350" s="6"/>
      <c r="BV350" s="6"/>
      <c r="BW350" s="130">
        <v>0.05</v>
      </c>
      <c r="BX350" s="6"/>
      <c r="BY350" s="6"/>
      <c r="BZ350" s="6"/>
      <c r="CA350" s="6"/>
      <c r="CB350" s="6"/>
      <c r="CC350" s="641"/>
      <c r="CD350" s="641"/>
      <c r="CE350" s="6"/>
      <c r="CF350" s="6"/>
      <c r="CG350" s="6"/>
      <c r="CH350" s="6"/>
      <c r="CI350" s="6"/>
      <c r="CJ350" s="6"/>
      <c r="CK350" s="4"/>
      <c r="CL350" s="4"/>
      <c r="CM350" s="4">
        <f t="shared" ref="CM350:CM381" si="66">$G350*AN350</f>
        <v>0</v>
      </c>
      <c r="CN350" s="4">
        <f t="shared" ref="CN350:CN381" si="67">$G350*AO350</f>
        <v>360</v>
      </c>
      <c r="CO350" s="4"/>
      <c r="CP350" s="4"/>
      <c r="CQ350" s="4"/>
      <c r="CR350" s="4"/>
      <c r="CS350" s="4"/>
      <c r="CT350" s="641"/>
      <c r="CU350" s="641"/>
      <c r="CV350" s="641"/>
      <c r="CW350" s="641"/>
      <c r="CX350" s="641"/>
      <c r="CY350" s="641"/>
      <c r="CZ350" s="6"/>
      <c r="DA350" s="6">
        <f t="shared" ref="DA350:DC355" si="68">I350*CK350</f>
        <v>0</v>
      </c>
      <c r="DB350" s="6">
        <f t="shared" si="68"/>
        <v>0</v>
      </c>
      <c r="DC350" s="6">
        <f t="shared" si="68"/>
        <v>0</v>
      </c>
      <c r="DD350" s="6"/>
      <c r="DE350" s="6"/>
      <c r="DF350" s="6"/>
      <c r="DG350" s="6"/>
      <c r="DH350" s="6"/>
      <c r="DI350" s="6"/>
      <c r="DJ350" s="641"/>
      <c r="DK350" s="641"/>
    </row>
    <row r="351" spans="1:115">
      <c r="A351" s="179">
        <v>1</v>
      </c>
      <c r="B351" s="6" t="s">
        <v>1492</v>
      </c>
      <c r="C351" s="6" t="s">
        <v>1245</v>
      </c>
      <c r="D351" s="645" t="s">
        <v>1450</v>
      </c>
      <c r="E351" s="645"/>
      <c r="F351" s="342" t="s">
        <v>1455</v>
      </c>
      <c r="G351" s="641">
        <v>60</v>
      </c>
      <c r="H351" s="645"/>
      <c r="I351" s="4"/>
      <c r="J351" s="4"/>
      <c r="K351" s="4"/>
      <c r="L351" s="642">
        <v>3</v>
      </c>
      <c r="M351" s="641"/>
      <c r="N351" s="641"/>
      <c r="O351" s="641"/>
      <c r="P351" s="641"/>
      <c r="Q351" s="641"/>
      <c r="R351" s="641"/>
      <c r="S351" s="641"/>
      <c r="T351" s="645"/>
      <c r="U351" s="4">
        <v>0</v>
      </c>
      <c r="V351" s="4">
        <v>0</v>
      </c>
      <c r="W351" s="95">
        <v>0</v>
      </c>
      <c r="X351" s="95">
        <v>1400</v>
      </c>
      <c r="Y351" s="95"/>
      <c r="Z351" s="95"/>
      <c r="AA351" s="95"/>
      <c r="AB351" s="95"/>
      <c r="AC351" s="95"/>
      <c r="AD351" s="641"/>
      <c r="AE351" s="641"/>
      <c r="AF351" s="641"/>
      <c r="AG351" s="641"/>
      <c r="AH351" s="641"/>
      <c r="AI351" s="641"/>
      <c r="AJ351" s="641"/>
      <c r="AK351" s="11"/>
      <c r="AL351" s="646">
        <v>0</v>
      </c>
      <c r="AM351" s="647">
        <v>0</v>
      </c>
      <c r="AN351" s="647">
        <v>0</v>
      </c>
      <c r="AO351" s="644">
        <v>13</v>
      </c>
      <c r="AP351" s="95"/>
      <c r="AQ351" s="95"/>
      <c r="AR351" s="95"/>
      <c r="AS351" s="95"/>
      <c r="AT351" s="95"/>
      <c r="AU351" s="95"/>
      <c r="AV351" s="641"/>
      <c r="AW351" s="641"/>
      <c r="AX351" s="641"/>
      <c r="AY351" s="641"/>
      <c r="AZ351" s="641"/>
      <c r="BA351" s="641"/>
      <c r="BB351" s="6"/>
      <c r="BC351" s="4"/>
      <c r="BD351" s="4"/>
      <c r="BE351" s="4"/>
      <c r="BF351" s="4">
        <f t="shared" si="63"/>
        <v>18200</v>
      </c>
      <c r="BG351" s="4"/>
      <c r="BH351" s="4"/>
      <c r="BI351" s="4"/>
      <c r="BJ351" s="4"/>
      <c r="BK351" s="6"/>
      <c r="BL351" s="6"/>
      <c r="BM351" s="6"/>
      <c r="BN351" s="6"/>
      <c r="BO351" s="6"/>
      <c r="BP351" s="6"/>
      <c r="BQ351" s="6"/>
      <c r="BR351" s="6"/>
      <c r="BS351" s="6"/>
      <c r="BT351" s="6"/>
      <c r="BU351" s="6"/>
      <c r="BV351" s="6"/>
      <c r="BW351" s="130">
        <v>0.05</v>
      </c>
      <c r="BX351" s="6"/>
      <c r="BY351" s="6"/>
      <c r="BZ351" s="6"/>
      <c r="CA351" s="6"/>
      <c r="CB351" s="6"/>
      <c r="CC351" s="641"/>
      <c r="CD351" s="641"/>
      <c r="CE351" s="6"/>
      <c r="CF351" s="6"/>
      <c r="CG351" s="6"/>
      <c r="CH351" s="6"/>
      <c r="CI351" s="6"/>
      <c r="CJ351" s="6"/>
      <c r="CK351" s="4">
        <f t="shared" ref="CK351:CL355" si="69">$G351*AL351</f>
        <v>0</v>
      </c>
      <c r="CL351" s="4">
        <f t="shared" si="69"/>
        <v>0</v>
      </c>
      <c r="CM351" s="4">
        <f t="shared" si="66"/>
        <v>0</v>
      </c>
      <c r="CN351" s="4">
        <f t="shared" si="67"/>
        <v>780</v>
      </c>
      <c r="CO351" s="4"/>
      <c r="CP351" s="4"/>
      <c r="CQ351" s="4"/>
      <c r="CR351" s="4"/>
      <c r="CS351" s="4"/>
      <c r="CT351" s="641"/>
      <c r="CU351" s="641"/>
      <c r="CV351" s="641"/>
      <c r="CW351" s="641"/>
      <c r="CX351" s="641"/>
      <c r="CY351" s="641"/>
      <c r="CZ351" s="6"/>
      <c r="DA351" s="6">
        <f t="shared" si="68"/>
        <v>0</v>
      </c>
      <c r="DB351" s="6">
        <f t="shared" si="68"/>
        <v>0</v>
      </c>
      <c r="DC351" s="6">
        <f t="shared" si="68"/>
        <v>0</v>
      </c>
      <c r="DD351" s="6">
        <f t="shared" ref="DD351:DD359" si="70">L351*CN351</f>
        <v>2340</v>
      </c>
      <c r="DE351" s="6"/>
      <c r="DF351" s="6"/>
      <c r="DG351" s="6"/>
      <c r="DH351" s="6"/>
      <c r="DI351" s="6"/>
      <c r="DJ351" s="641"/>
      <c r="DK351" s="641"/>
    </row>
    <row r="352" spans="1:115">
      <c r="A352" s="86">
        <v>1</v>
      </c>
      <c r="B352" s="6" t="s">
        <v>1453</v>
      </c>
      <c r="C352" s="6" t="s">
        <v>1454</v>
      </c>
      <c r="D352" s="645" t="s">
        <v>638</v>
      </c>
      <c r="E352" s="645"/>
      <c r="F352" s="342" t="s">
        <v>1455</v>
      </c>
      <c r="G352" s="641">
        <v>60</v>
      </c>
      <c r="H352" s="645"/>
      <c r="I352" s="4"/>
      <c r="J352" s="4"/>
      <c r="K352" s="4"/>
      <c r="L352" s="642">
        <v>4.9000000000000004</v>
      </c>
      <c r="M352" s="641"/>
      <c r="N352" s="641"/>
      <c r="O352" s="641"/>
      <c r="P352" s="641"/>
      <c r="Q352" s="641"/>
      <c r="R352" s="641"/>
      <c r="S352" s="641"/>
      <c r="T352" s="645"/>
      <c r="U352" s="4">
        <v>0</v>
      </c>
      <c r="V352" s="4">
        <v>0</v>
      </c>
      <c r="W352" s="95">
        <v>0</v>
      </c>
      <c r="X352" s="95">
        <v>1500</v>
      </c>
      <c r="Y352" s="95"/>
      <c r="Z352" s="95"/>
      <c r="AA352" s="95"/>
      <c r="AB352" s="95"/>
      <c r="AC352" s="95"/>
      <c r="AD352" s="641"/>
      <c r="AE352" s="641"/>
      <c r="AF352" s="641"/>
      <c r="AG352" s="641"/>
      <c r="AH352" s="641"/>
      <c r="AI352" s="641"/>
      <c r="AJ352" s="641"/>
      <c r="AK352" s="11"/>
      <c r="AL352" s="646">
        <v>0</v>
      </c>
      <c r="AM352" s="647">
        <v>0</v>
      </c>
      <c r="AN352" s="647">
        <v>0</v>
      </c>
      <c r="AO352" s="644">
        <v>13</v>
      </c>
      <c r="AP352" s="95"/>
      <c r="AQ352" s="95"/>
      <c r="AR352" s="95"/>
      <c r="AS352" s="95"/>
      <c r="AT352" s="95"/>
      <c r="AU352" s="95"/>
      <c r="AV352" s="641"/>
      <c r="AW352" s="641"/>
      <c r="AX352" s="641"/>
      <c r="AY352" s="641"/>
      <c r="AZ352" s="641"/>
      <c r="BA352" s="641"/>
      <c r="BB352" s="6"/>
      <c r="BC352" s="4"/>
      <c r="BD352" s="4"/>
      <c r="BE352" s="4"/>
      <c r="BF352" s="4">
        <f t="shared" si="63"/>
        <v>19500</v>
      </c>
      <c r="BG352" s="4"/>
      <c r="BH352" s="4"/>
      <c r="BI352" s="4"/>
      <c r="BJ352" s="4"/>
      <c r="BK352" s="6"/>
      <c r="BL352" s="6"/>
      <c r="BM352" s="6"/>
      <c r="BN352" s="6"/>
      <c r="BO352" s="6"/>
      <c r="BP352" s="6"/>
      <c r="BQ352" s="6"/>
      <c r="BR352" s="6"/>
      <c r="BS352" s="6"/>
      <c r="BT352" s="6"/>
      <c r="BU352" s="6"/>
      <c r="BV352" s="6"/>
      <c r="BW352" s="130">
        <v>0.05</v>
      </c>
      <c r="BX352" s="6"/>
      <c r="BY352" s="6"/>
      <c r="BZ352" s="6"/>
      <c r="CA352" s="6"/>
      <c r="CB352" s="6"/>
      <c r="CC352" s="641"/>
      <c r="CD352" s="641"/>
      <c r="CE352" s="6"/>
      <c r="CF352" s="6"/>
      <c r="CG352" s="6"/>
      <c r="CH352" s="6"/>
      <c r="CI352" s="6"/>
      <c r="CJ352" s="6"/>
      <c r="CK352" s="4">
        <f t="shared" si="69"/>
        <v>0</v>
      </c>
      <c r="CL352" s="4">
        <f t="shared" si="69"/>
        <v>0</v>
      </c>
      <c r="CM352" s="4">
        <f t="shared" si="66"/>
        <v>0</v>
      </c>
      <c r="CN352" s="4">
        <f t="shared" si="67"/>
        <v>780</v>
      </c>
      <c r="CO352" s="4"/>
      <c r="CP352" s="4"/>
      <c r="CQ352" s="4"/>
      <c r="CR352" s="4"/>
      <c r="CS352" s="4"/>
      <c r="CT352" s="641"/>
      <c r="CU352" s="641"/>
      <c r="CV352" s="641"/>
      <c r="CW352" s="641"/>
      <c r="CX352" s="641"/>
      <c r="CY352" s="641"/>
      <c r="CZ352" s="6"/>
      <c r="DA352" s="6">
        <f t="shared" si="68"/>
        <v>0</v>
      </c>
      <c r="DB352" s="6">
        <f t="shared" si="68"/>
        <v>0</v>
      </c>
      <c r="DC352" s="6">
        <f t="shared" si="68"/>
        <v>0</v>
      </c>
      <c r="DD352" s="6">
        <f t="shared" si="70"/>
        <v>3822.0000000000005</v>
      </c>
      <c r="DE352" s="6"/>
      <c r="DF352" s="6"/>
      <c r="DG352" s="6"/>
      <c r="DH352" s="6"/>
      <c r="DI352" s="6"/>
      <c r="DJ352" s="641"/>
      <c r="DK352" s="641"/>
    </row>
    <row r="353" spans="1:115">
      <c r="A353" s="259">
        <v>2</v>
      </c>
      <c r="B353" s="6" t="s">
        <v>1456</v>
      </c>
      <c r="C353" s="6" t="s">
        <v>1457</v>
      </c>
      <c r="D353" s="645" t="s">
        <v>638</v>
      </c>
      <c r="E353" s="645"/>
      <c r="F353" s="342" t="s">
        <v>1455</v>
      </c>
      <c r="G353" s="641">
        <v>60</v>
      </c>
      <c r="H353" s="645"/>
      <c r="I353" s="4"/>
      <c r="J353" s="4"/>
      <c r="K353" s="641">
        <v>3.5</v>
      </c>
      <c r="L353" s="642">
        <v>3.5</v>
      </c>
      <c r="M353" s="641"/>
      <c r="N353" s="641"/>
      <c r="O353" s="641"/>
      <c r="P353" s="641"/>
      <c r="Q353" s="641"/>
      <c r="R353" s="641"/>
      <c r="S353" s="641"/>
      <c r="T353" s="645"/>
      <c r="U353" s="4">
        <v>0</v>
      </c>
      <c r="V353" s="4">
        <v>0</v>
      </c>
      <c r="W353" s="95">
        <f>V357-200</f>
        <v>1450</v>
      </c>
      <c r="X353" s="95">
        <v>1600</v>
      </c>
      <c r="Y353" s="95"/>
      <c r="Z353" s="95"/>
      <c r="AA353" s="95"/>
      <c r="AB353" s="95"/>
      <c r="AC353" s="95"/>
      <c r="AD353" s="641"/>
      <c r="AE353" s="641"/>
      <c r="AF353" s="641"/>
      <c r="AG353" s="641"/>
      <c r="AH353" s="641"/>
      <c r="AI353" s="641"/>
      <c r="AJ353" s="641"/>
      <c r="AK353" s="11"/>
      <c r="AL353" s="646">
        <v>0</v>
      </c>
      <c r="AM353" s="647">
        <v>0</v>
      </c>
      <c r="AN353" s="644">
        <v>22</v>
      </c>
      <c r="AO353" s="644">
        <v>22</v>
      </c>
      <c r="AP353" s="95"/>
      <c r="AQ353" s="95"/>
      <c r="AR353" s="95"/>
      <c r="AS353" s="95"/>
      <c r="AT353" s="95"/>
      <c r="AU353" s="95"/>
      <c r="AV353" s="641"/>
      <c r="AW353" s="641"/>
      <c r="AX353" s="641"/>
      <c r="AY353" s="641"/>
      <c r="AZ353" s="641"/>
      <c r="BA353" s="641"/>
      <c r="BB353" s="6"/>
      <c r="BC353" s="4"/>
      <c r="BD353" s="4"/>
      <c r="BE353" s="4">
        <f t="shared" ref="BE353:BE373" si="71">W353*AN353</f>
        <v>31900</v>
      </c>
      <c r="BF353" s="4">
        <f t="shared" si="63"/>
        <v>35200</v>
      </c>
      <c r="BG353" s="4"/>
      <c r="BH353" s="4"/>
      <c r="BI353" s="4"/>
      <c r="BJ353" s="4"/>
      <c r="BK353" s="6"/>
      <c r="BL353" s="6"/>
      <c r="BM353" s="6"/>
      <c r="BN353" s="6"/>
      <c r="BO353" s="6"/>
      <c r="BP353" s="6"/>
      <c r="BQ353" s="6"/>
      <c r="BR353" s="6"/>
      <c r="BS353" s="6"/>
      <c r="BT353" s="6"/>
      <c r="BU353" s="6"/>
      <c r="BV353" s="38"/>
      <c r="BW353" s="130">
        <v>0.05</v>
      </c>
      <c r="BX353" s="130"/>
      <c r="BY353" s="130"/>
      <c r="BZ353" s="130"/>
      <c r="CA353" s="130"/>
      <c r="CB353" s="130"/>
      <c r="CC353" s="641"/>
      <c r="CD353" s="641"/>
      <c r="CE353" s="6"/>
      <c r="CF353" s="6"/>
      <c r="CG353" s="6"/>
      <c r="CH353" s="6"/>
      <c r="CI353" s="6"/>
      <c r="CJ353" s="6"/>
      <c r="CK353" s="4">
        <f t="shared" si="69"/>
        <v>0</v>
      </c>
      <c r="CL353" s="4">
        <f t="shared" si="69"/>
        <v>0</v>
      </c>
      <c r="CM353" s="4">
        <f t="shared" si="66"/>
        <v>1320</v>
      </c>
      <c r="CN353" s="4">
        <f t="shared" si="67"/>
        <v>1320</v>
      </c>
      <c r="CO353" s="4"/>
      <c r="CP353" s="4"/>
      <c r="CQ353" s="4"/>
      <c r="CR353" s="4"/>
      <c r="CS353" s="4"/>
      <c r="CT353" s="641"/>
      <c r="CU353" s="641"/>
      <c r="CV353" s="641"/>
      <c r="CW353" s="641"/>
      <c r="CX353" s="641"/>
      <c r="CY353" s="641"/>
      <c r="CZ353" s="6"/>
      <c r="DA353" s="6">
        <f t="shared" si="68"/>
        <v>0</v>
      </c>
      <c r="DB353" s="6">
        <f t="shared" si="68"/>
        <v>0</v>
      </c>
      <c r="DC353" s="6">
        <f t="shared" si="68"/>
        <v>4620</v>
      </c>
      <c r="DD353" s="6">
        <f t="shared" si="70"/>
        <v>4620</v>
      </c>
      <c r="DE353" s="6"/>
      <c r="DF353" s="6"/>
      <c r="DG353" s="6"/>
      <c r="DH353" s="6"/>
      <c r="DI353" s="6"/>
      <c r="DJ353" s="641"/>
      <c r="DK353" s="641"/>
    </row>
    <row r="354" spans="1:115">
      <c r="A354" s="259">
        <v>2</v>
      </c>
      <c r="B354" s="6" t="s">
        <v>1461</v>
      </c>
      <c r="C354" s="6" t="s">
        <v>1462</v>
      </c>
      <c r="D354" s="645" t="s">
        <v>638</v>
      </c>
      <c r="E354" s="645"/>
      <c r="F354" s="342" t="s">
        <v>1455</v>
      </c>
      <c r="G354" s="641">
        <v>60</v>
      </c>
      <c r="H354" s="645"/>
      <c r="I354" s="4"/>
      <c r="J354" s="4"/>
      <c r="K354" s="641">
        <v>2.6</v>
      </c>
      <c r="L354" s="642">
        <v>3.1</v>
      </c>
      <c r="M354" s="641"/>
      <c r="N354" s="641"/>
      <c r="O354" s="641"/>
      <c r="P354" s="641"/>
      <c r="Q354" s="641"/>
      <c r="R354" s="641"/>
      <c r="S354" s="641"/>
      <c r="T354" s="645"/>
      <c r="U354" s="4">
        <v>0</v>
      </c>
      <c r="V354" s="4">
        <v>0</v>
      </c>
      <c r="W354" s="95">
        <f>W353-100</f>
        <v>1350</v>
      </c>
      <c r="X354" s="95">
        <v>1500</v>
      </c>
      <c r="Y354" s="95"/>
      <c r="Z354" s="95"/>
      <c r="AA354" s="95"/>
      <c r="AB354" s="95"/>
      <c r="AC354" s="95"/>
      <c r="AD354" s="641"/>
      <c r="AE354" s="641"/>
      <c r="AF354" s="641"/>
      <c r="AG354" s="641"/>
      <c r="AH354" s="641"/>
      <c r="AI354" s="641"/>
      <c r="AJ354" s="641"/>
      <c r="AK354" s="11"/>
      <c r="AL354" s="646">
        <v>0</v>
      </c>
      <c r="AM354" s="647">
        <v>0</v>
      </c>
      <c r="AN354" s="644">
        <v>22</v>
      </c>
      <c r="AO354" s="644">
        <v>22</v>
      </c>
      <c r="AP354" s="95"/>
      <c r="AQ354" s="95"/>
      <c r="AR354" s="95"/>
      <c r="AS354" s="95"/>
      <c r="AT354" s="95"/>
      <c r="AU354" s="95"/>
      <c r="AV354" s="641"/>
      <c r="AW354" s="641"/>
      <c r="AX354" s="641"/>
      <c r="AY354" s="641"/>
      <c r="AZ354" s="641"/>
      <c r="BA354" s="641"/>
      <c r="BB354" s="6"/>
      <c r="BC354" s="4"/>
      <c r="BD354" s="4"/>
      <c r="BE354" s="4">
        <f t="shared" si="71"/>
        <v>29700</v>
      </c>
      <c r="BF354" s="4">
        <f t="shared" si="63"/>
        <v>33000</v>
      </c>
      <c r="BG354" s="4"/>
      <c r="BH354" s="4"/>
      <c r="BI354" s="4"/>
      <c r="BJ354" s="4"/>
      <c r="BK354" s="6"/>
      <c r="BL354" s="6"/>
      <c r="BM354" s="6"/>
      <c r="BN354" s="6"/>
      <c r="BO354" s="6"/>
      <c r="BP354" s="6"/>
      <c r="BQ354" s="6"/>
      <c r="BR354" s="6"/>
      <c r="BS354" s="6"/>
      <c r="BT354" s="6"/>
      <c r="BU354" s="6"/>
      <c r="BV354" s="130"/>
      <c r="BW354" s="130">
        <v>0.05</v>
      </c>
      <c r="BX354" s="130"/>
      <c r="BY354" s="130"/>
      <c r="BZ354" s="130"/>
      <c r="CA354" s="130"/>
      <c r="CB354" s="130"/>
      <c r="CC354" s="641"/>
      <c r="CD354" s="641"/>
      <c r="CE354" s="6"/>
      <c r="CF354" s="6"/>
      <c r="CG354" s="6"/>
      <c r="CH354" s="6"/>
      <c r="CI354" s="6"/>
      <c r="CJ354" s="6"/>
      <c r="CK354" s="4">
        <f t="shared" si="69"/>
        <v>0</v>
      </c>
      <c r="CL354" s="4">
        <f t="shared" si="69"/>
        <v>0</v>
      </c>
      <c r="CM354" s="4">
        <f t="shared" si="66"/>
        <v>1320</v>
      </c>
      <c r="CN354" s="4">
        <f t="shared" si="67"/>
        <v>1320</v>
      </c>
      <c r="CO354" s="4"/>
      <c r="CP354" s="4"/>
      <c r="CQ354" s="4"/>
      <c r="CR354" s="4"/>
      <c r="CS354" s="4"/>
      <c r="CT354" s="641"/>
      <c r="CU354" s="641"/>
      <c r="CV354" s="641"/>
      <c r="CW354" s="641"/>
      <c r="CX354" s="641"/>
      <c r="CY354" s="641"/>
      <c r="CZ354" s="6"/>
      <c r="DA354" s="6">
        <f t="shared" si="68"/>
        <v>0</v>
      </c>
      <c r="DB354" s="6">
        <f t="shared" si="68"/>
        <v>0</v>
      </c>
      <c r="DC354" s="6">
        <f t="shared" si="68"/>
        <v>3432</v>
      </c>
      <c r="DD354" s="6">
        <f t="shared" si="70"/>
        <v>4092</v>
      </c>
      <c r="DE354" s="6"/>
      <c r="DF354" s="6"/>
      <c r="DG354" s="6"/>
      <c r="DH354" s="6"/>
      <c r="DI354" s="6"/>
      <c r="DJ354" s="641"/>
      <c r="DK354" s="641"/>
    </row>
    <row r="355" spans="1:115">
      <c r="A355" s="259">
        <v>2</v>
      </c>
      <c r="B355" s="6" t="s">
        <v>1493</v>
      </c>
      <c r="C355" s="6" t="s">
        <v>1494</v>
      </c>
      <c r="D355" s="645" t="s">
        <v>638</v>
      </c>
      <c r="E355" s="645"/>
      <c r="F355" s="342" t="s">
        <v>1455</v>
      </c>
      <c r="G355" s="641">
        <v>60</v>
      </c>
      <c r="H355" s="645"/>
      <c r="I355" s="4"/>
      <c r="J355" s="4"/>
      <c r="K355" s="641">
        <v>2.6</v>
      </c>
      <c r="L355" s="642">
        <v>2.1</v>
      </c>
      <c r="M355" s="641"/>
      <c r="N355" s="641"/>
      <c r="O355" s="641"/>
      <c r="P355" s="641"/>
      <c r="Q355" s="641"/>
      <c r="R355" s="641"/>
      <c r="S355" s="641"/>
      <c r="T355" s="645"/>
      <c r="U355" s="4">
        <v>0</v>
      </c>
      <c r="V355" s="4">
        <v>0</v>
      </c>
      <c r="W355" s="95">
        <f>W354</f>
        <v>1350</v>
      </c>
      <c r="X355" s="95">
        <v>1500</v>
      </c>
      <c r="Y355" s="95"/>
      <c r="Z355" s="95"/>
      <c r="AA355" s="95"/>
      <c r="AB355" s="95"/>
      <c r="AC355" s="95"/>
      <c r="AD355" s="641"/>
      <c r="AE355" s="641"/>
      <c r="AF355" s="641"/>
      <c r="AG355" s="641"/>
      <c r="AH355" s="641"/>
      <c r="AI355" s="641"/>
      <c r="AJ355" s="641"/>
      <c r="AK355" s="11"/>
      <c r="AL355" s="646">
        <v>0</v>
      </c>
      <c r="AM355" s="647">
        <v>0</v>
      </c>
      <c r="AN355" s="644">
        <v>22</v>
      </c>
      <c r="AO355" s="644">
        <v>22</v>
      </c>
      <c r="AP355" s="95"/>
      <c r="AQ355" s="95"/>
      <c r="AR355" s="95"/>
      <c r="AS355" s="95"/>
      <c r="AT355" s="95"/>
      <c r="AU355" s="95"/>
      <c r="AV355" s="641"/>
      <c r="AW355" s="641"/>
      <c r="AX355" s="641"/>
      <c r="AY355" s="641"/>
      <c r="AZ355" s="641"/>
      <c r="BA355" s="641"/>
      <c r="BB355" s="6"/>
      <c r="BC355" s="4"/>
      <c r="BD355" s="4"/>
      <c r="BE355" s="4">
        <f t="shared" si="71"/>
        <v>29700</v>
      </c>
      <c r="BF355" s="4">
        <f t="shared" si="63"/>
        <v>33000</v>
      </c>
      <c r="BG355" s="4"/>
      <c r="BH355" s="4"/>
      <c r="BI355" s="4"/>
      <c r="BJ355" s="4"/>
      <c r="BK355" s="6"/>
      <c r="BL355" s="6"/>
      <c r="BM355" s="6"/>
      <c r="BN355" s="6"/>
      <c r="BO355" s="6"/>
      <c r="BP355" s="6"/>
      <c r="BQ355" s="6"/>
      <c r="BR355" s="6"/>
      <c r="BS355" s="6"/>
      <c r="BT355" s="6"/>
      <c r="BU355" s="6"/>
      <c r="BV355" s="130"/>
      <c r="BW355" s="130">
        <v>0.05</v>
      </c>
      <c r="BX355" s="130"/>
      <c r="BY355" s="130"/>
      <c r="BZ355" s="130"/>
      <c r="CA355" s="130"/>
      <c r="CB355" s="130"/>
      <c r="CC355" s="641"/>
      <c r="CD355" s="641"/>
      <c r="CE355" s="6"/>
      <c r="CF355" s="6"/>
      <c r="CG355" s="6"/>
      <c r="CH355" s="6"/>
      <c r="CI355" s="6"/>
      <c r="CJ355" s="6"/>
      <c r="CK355" s="4">
        <f t="shared" si="69"/>
        <v>0</v>
      </c>
      <c r="CL355" s="4">
        <f t="shared" si="69"/>
        <v>0</v>
      </c>
      <c r="CM355" s="4">
        <f t="shared" si="66"/>
        <v>1320</v>
      </c>
      <c r="CN355" s="4">
        <f t="shared" si="67"/>
        <v>1320</v>
      </c>
      <c r="CO355" s="4"/>
      <c r="CP355" s="4"/>
      <c r="CQ355" s="4"/>
      <c r="CR355" s="4"/>
      <c r="CS355" s="4"/>
      <c r="CT355" s="641"/>
      <c r="CU355" s="641"/>
      <c r="CV355" s="641"/>
      <c r="CW355" s="641"/>
      <c r="CX355" s="641"/>
      <c r="CY355" s="641"/>
      <c r="CZ355" s="6"/>
      <c r="DA355" s="6">
        <f t="shared" si="68"/>
        <v>0</v>
      </c>
      <c r="DB355" s="6">
        <f t="shared" si="68"/>
        <v>0</v>
      </c>
      <c r="DC355" s="6">
        <f t="shared" si="68"/>
        <v>3432</v>
      </c>
      <c r="DD355" s="6">
        <f t="shared" si="70"/>
        <v>2772</v>
      </c>
      <c r="DE355" s="6"/>
      <c r="DF355" s="6"/>
      <c r="DG355" s="6"/>
      <c r="DH355" s="6"/>
      <c r="DI355" s="6"/>
      <c r="DJ355" s="641"/>
      <c r="DK355" s="641"/>
    </row>
    <row r="356" spans="1:115">
      <c r="A356" s="259">
        <v>2</v>
      </c>
      <c r="B356" s="6" t="s">
        <v>1459</v>
      </c>
      <c r="C356" s="6" t="s">
        <v>1460</v>
      </c>
      <c r="D356" s="645" t="s">
        <v>1059</v>
      </c>
      <c r="E356" s="645"/>
      <c r="F356" s="648" t="s">
        <v>1420</v>
      </c>
      <c r="G356" s="641">
        <v>60</v>
      </c>
      <c r="H356" s="645"/>
      <c r="I356" s="4"/>
      <c r="J356" s="4"/>
      <c r="K356" s="642">
        <v>3</v>
      </c>
      <c r="L356" s="642">
        <v>2.2999999999999998</v>
      </c>
      <c r="M356" s="641"/>
      <c r="N356" s="641"/>
      <c r="O356" s="641"/>
      <c r="P356" s="641"/>
      <c r="Q356" s="641"/>
      <c r="R356" s="641"/>
      <c r="S356" s="641"/>
      <c r="T356" s="645"/>
      <c r="U356" s="4"/>
      <c r="V356" s="4"/>
      <c r="W356" s="629">
        <v>750</v>
      </c>
      <c r="X356" s="95">
        <f t="shared" ref="X356:X373" si="72">W356*(1+BW356)</f>
        <v>787.5</v>
      </c>
      <c r="Y356" s="95"/>
      <c r="Z356" s="95"/>
      <c r="AA356" s="95"/>
      <c r="AB356" s="95"/>
      <c r="AC356" s="95"/>
      <c r="AD356" s="641"/>
      <c r="AE356" s="641"/>
      <c r="AF356" s="641"/>
      <c r="AG356" s="641"/>
      <c r="AH356" s="641"/>
      <c r="AI356" s="641"/>
      <c r="AJ356" s="641"/>
      <c r="AK356" s="11"/>
      <c r="AL356" s="646">
        <v>0</v>
      </c>
      <c r="AM356" s="647">
        <v>0</v>
      </c>
      <c r="AN356" s="644">
        <v>13</v>
      </c>
      <c r="AO356" s="644">
        <v>13</v>
      </c>
      <c r="AP356" s="95"/>
      <c r="AQ356" s="95"/>
      <c r="AR356" s="95"/>
      <c r="AS356" s="95"/>
      <c r="AT356" s="95"/>
      <c r="AU356" s="95"/>
      <c r="AV356" s="641"/>
      <c r="AW356" s="641"/>
      <c r="AX356" s="641"/>
      <c r="AY356" s="641"/>
      <c r="AZ356" s="641"/>
      <c r="BA356" s="641"/>
      <c r="BB356" s="6"/>
      <c r="BC356" s="4"/>
      <c r="BD356" s="4"/>
      <c r="BE356" s="4">
        <f t="shared" si="71"/>
        <v>9750</v>
      </c>
      <c r="BF356" s="4">
        <f t="shared" si="63"/>
        <v>10237.5</v>
      </c>
      <c r="BG356" s="4"/>
      <c r="BH356" s="4"/>
      <c r="BI356" s="4"/>
      <c r="BJ356" s="4"/>
      <c r="BK356" s="6"/>
      <c r="BL356" s="6"/>
      <c r="BM356" s="6"/>
      <c r="BN356" s="6"/>
      <c r="BO356" s="6"/>
      <c r="BP356" s="6"/>
      <c r="BQ356" s="6"/>
      <c r="BR356" s="6"/>
      <c r="BS356" s="6"/>
      <c r="BT356" s="6"/>
      <c r="BU356" s="6"/>
      <c r="BV356" s="130"/>
      <c r="BW356" s="130">
        <v>0.05</v>
      </c>
      <c r="BX356" s="130"/>
      <c r="BY356" s="130"/>
      <c r="BZ356" s="130"/>
      <c r="CA356" s="130"/>
      <c r="CB356" s="130"/>
      <c r="CC356" s="641"/>
      <c r="CD356" s="641"/>
      <c r="CE356" s="6"/>
      <c r="CF356" s="6"/>
      <c r="CG356" s="6"/>
      <c r="CH356" s="6"/>
      <c r="CI356" s="6"/>
      <c r="CJ356" s="6"/>
      <c r="CK356" s="4"/>
      <c r="CL356" s="4"/>
      <c r="CM356" s="4">
        <f t="shared" si="66"/>
        <v>780</v>
      </c>
      <c r="CN356" s="4">
        <f t="shared" si="67"/>
        <v>780</v>
      </c>
      <c r="CO356" s="4"/>
      <c r="CP356" s="4"/>
      <c r="CQ356" s="4"/>
      <c r="CR356" s="4"/>
      <c r="CS356" s="4"/>
      <c r="CT356" s="641"/>
      <c r="CU356" s="641"/>
      <c r="CV356" s="641"/>
      <c r="CW356" s="641"/>
      <c r="CX356" s="641"/>
      <c r="CY356" s="641"/>
      <c r="CZ356" s="6"/>
      <c r="DA356" s="6"/>
      <c r="DB356" s="6"/>
      <c r="DC356" s="6">
        <f>K356*CM356</f>
        <v>2340</v>
      </c>
      <c r="DD356" s="6">
        <f t="shared" si="70"/>
        <v>1793.9999999999998</v>
      </c>
      <c r="DE356" s="6"/>
      <c r="DF356" s="6"/>
      <c r="DG356" s="6"/>
      <c r="DH356" s="6"/>
      <c r="DI356" s="6"/>
      <c r="DJ356" s="641"/>
      <c r="DK356" s="641"/>
    </row>
    <row r="357" spans="1:115">
      <c r="A357" s="259">
        <v>3</v>
      </c>
      <c r="B357" s="6" t="s">
        <v>1470</v>
      </c>
      <c r="C357" s="6" t="s">
        <v>1471</v>
      </c>
      <c r="D357" s="645" t="s">
        <v>638</v>
      </c>
      <c r="E357" s="645"/>
      <c r="F357" s="342" t="s">
        <v>1455</v>
      </c>
      <c r="G357" s="641">
        <v>60</v>
      </c>
      <c r="H357" s="645"/>
      <c r="I357" s="4"/>
      <c r="J357" s="641">
        <v>5.0999999999999996</v>
      </c>
      <c r="K357" s="641">
        <v>5.4</v>
      </c>
      <c r="L357" s="642">
        <v>6.1</v>
      </c>
      <c r="M357" s="641"/>
      <c r="N357" s="641"/>
      <c r="O357" s="641"/>
      <c r="P357" s="641"/>
      <c r="Q357" s="641"/>
      <c r="R357" s="641"/>
      <c r="S357" s="641"/>
      <c r="T357" s="645"/>
      <c r="U357" s="4">
        <v>0</v>
      </c>
      <c r="V357" s="651">
        <v>1650</v>
      </c>
      <c r="W357" s="4">
        <f t="shared" ref="W357:W373" si="73">V357*(1+BV357)</f>
        <v>1732.5</v>
      </c>
      <c r="X357" s="4">
        <f t="shared" si="72"/>
        <v>1819.125</v>
      </c>
      <c r="Y357" s="4"/>
      <c r="Z357" s="4"/>
      <c r="AA357" s="4"/>
      <c r="AB357" s="4"/>
      <c r="AC357" s="4"/>
      <c r="AD357" s="641"/>
      <c r="AE357" s="641"/>
      <c r="AF357" s="641"/>
      <c r="AG357" s="641"/>
      <c r="AH357" s="641"/>
      <c r="AI357" s="641"/>
      <c r="AJ357" s="641"/>
      <c r="AK357" s="6"/>
      <c r="AL357" s="647">
        <v>0</v>
      </c>
      <c r="AM357" s="644">
        <v>22</v>
      </c>
      <c r="AN357" s="644">
        <v>22</v>
      </c>
      <c r="AO357" s="644">
        <v>22</v>
      </c>
      <c r="AP357" s="4"/>
      <c r="AQ357" s="4"/>
      <c r="AR357" s="4"/>
      <c r="AS357" s="4"/>
      <c r="AT357" s="4"/>
      <c r="AU357" s="4"/>
      <c r="AV357" s="641"/>
      <c r="AW357" s="641"/>
      <c r="AX357" s="641"/>
      <c r="AY357" s="641"/>
      <c r="AZ357" s="641"/>
      <c r="BA357" s="641"/>
      <c r="BB357" s="6"/>
      <c r="BC357" s="4"/>
      <c r="BD357" s="4">
        <f t="shared" ref="BD357:BD373" si="74">V357*AM357</f>
        <v>36300</v>
      </c>
      <c r="BE357" s="4">
        <f t="shared" si="71"/>
        <v>38115</v>
      </c>
      <c r="BF357" s="4">
        <f t="shared" si="63"/>
        <v>40020.75</v>
      </c>
      <c r="BG357" s="4"/>
      <c r="BH357" s="4"/>
      <c r="BI357" s="4"/>
      <c r="BJ357" s="4"/>
      <c r="BK357" s="6"/>
      <c r="BL357" s="6"/>
      <c r="BM357" s="6"/>
      <c r="BN357" s="6"/>
      <c r="BO357" s="6"/>
      <c r="BP357" s="6"/>
      <c r="BQ357" s="6"/>
      <c r="BR357" s="6"/>
      <c r="BS357" s="6"/>
      <c r="BT357" s="6"/>
      <c r="BU357" s="6"/>
      <c r="BV357" s="130">
        <v>0.05</v>
      </c>
      <c r="BW357" s="130">
        <f>BV357</f>
        <v>0.05</v>
      </c>
      <c r="BX357" s="130"/>
      <c r="BY357" s="130"/>
      <c r="BZ357" s="130"/>
      <c r="CA357" s="130"/>
      <c r="CB357" s="130"/>
      <c r="CC357" s="641"/>
      <c r="CD357" s="641"/>
      <c r="CE357" s="6"/>
      <c r="CF357" s="6"/>
      <c r="CG357" s="6"/>
      <c r="CH357" s="6"/>
      <c r="CI357" s="6"/>
      <c r="CJ357" s="6"/>
      <c r="CK357" s="4">
        <f t="shared" ref="CK357:CK403" si="75">$G357*AL357</f>
        <v>0</v>
      </c>
      <c r="CL357" s="4">
        <f t="shared" ref="CL357:CL403" si="76">$G357*AM357</f>
        <v>1320</v>
      </c>
      <c r="CM357" s="4">
        <f t="shared" si="66"/>
        <v>1320</v>
      </c>
      <c r="CN357" s="4">
        <f t="shared" si="67"/>
        <v>1320</v>
      </c>
      <c r="CO357" s="4"/>
      <c r="CP357" s="4"/>
      <c r="CQ357" s="4"/>
      <c r="CR357" s="4"/>
      <c r="CS357" s="4"/>
      <c r="CT357" s="641"/>
      <c r="CU357" s="641"/>
      <c r="CV357" s="641"/>
      <c r="CW357" s="641"/>
      <c r="CX357" s="641"/>
      <c r="CY357" s="641"/>
      <c r="CZ357" s="6"/>
      <c r="DA357" s="6">
        <f t="shared" ref="DA357:DB359" si="77">I357*CK357</f>
        <v>0</v>
      </c>
      <c r="DB357" s="6">
        <f t="shared" si="77"/>
        <v>6731.9999999999991</v>
      </c>
      <c r="DC357" s="6">
        <f>K357*CM357</f>
        <v>7128.0000000000009</v>
      </c>
      <c r="DD357" s="6">
        <f t="shared" si="70"/>
        <v>8051.9999999999991</v>
      </c>
      <c r="DE357" s="6"/>
      <c r="DF357" s="6"/>
      <c r="DG357" s="6"/>
      <c r="DH357" s="6"/>
      <c r="DI357" s="6"/>
      <c r="DJ357" s="641"/>
      <c r="DK357" s="641"/>
    </row>
    <row r="358" spans="1:115">
      <c r="A358" s="259">
        <v>3</v>
      </c>
      <c r="B358" s="6" t="s">
        <v>1464</v>
      </c>
      <c r="C358" s="6" t="s">
        <v>1465</v>
      </c>
      <c r="D358" s="645" t="s">
        <v>638</v>
      </c>
      <c r="E358" s="645"/>
      <c r="F358" s="342" t="s">
        <v>1455</v>
      </c>
      <c r="G358" s="641">
        <v>60</v>
      </c>
      <c r="H358" s="645"/>
      <c r="I358" s="4"/>
      <c r="J358" s="642">
        <v>6</v>
      </c>
      <c r="K358" s="641">
        <v>6.3</v>
      </c>
      <c r="L358" s="642">
        <v>6.7</v>
      </c>
      <c r="M358" s="641"/>
      <c r="N358" s="641"/>
      <c r="O358" s="641"/>
      <c r="P358" s="641"/>
      <c r="Q358" s="641"/>
      <c r="R358" s="641"/>
      <c r="S358" s="641"/>
      <c r="T358" s="645"/>
      <c r="U358" s="4">
        <v>0</v>
      </c>
      <c r="V358" s="629">
        <v>1625</v>
      </c>
      <c r="W358" s="4">
        <f t="shared" si="73"/>
        <v>1706.25</v>
      </c>
      <c r="X358" s="4">
        <f t="shared" si="72"/>
        <v>1791.5625</v>
      </c>
      <c r="Y358" s="4"/>
      <c r="Z358" s="4"/>
      <c r="AA358" s="4"/>
      <c r="AB358" s="4"/>
      <c r="AC358" s="4"/>
      <c r="AD358" s="641"/>
      <c r="AE358" s="641"/>
      <c r="AF358" s="641"/>
      <c r="AG358" s="641"/>
      <c r="AH358" s="641"/>
      <c r="AI358" s="641"/>
      <c r="AJ358" s="641"/>
      <c r="AK358" s="6"/>
      <c r="AL358" s="647">
        <v>0</v>
      </c>
      <c r="AM358" s="644">
        <v>22</v>
      </c>
      <c r="AN358" s="644">
        <v>22</v>
      </c>
      <c r="AO358" s="644">
        <v>22</v>
      </c>
      <c r="AP358" s="4"/>
      <c r="AQ358" s="4"/>
      <c r="AR358" s="4"/>
      <c r="AS358" s="4"/>
      <c r="AT358" s="4"/>
      <c r="AU358" s="4"/>
      <c r="AV358" s="641"/>
      <c r="AW358" s="641"/>
      <c r="AX358" s="641"/>
      <c r="AY358" s="641"/>
      <c r="AZ358" s="641"/>
      <c r="BA358" s="641"/>
      <c r="BB358" s="6"/>
      <c r="BC358" s="4"/>
      <c r="BD358" s="4">
        <f t="shared" si="74"/>
        <v>35750</v>
      </c>
      <c r="BE358" s="4">
        <f t="shared" si="71"/>
        <v>37537.5</v>
      </c>
      <c r="BF358" s="4">
        <f t="shared" si="63"/>
        <v>39414.375</v>
      </c>
      <c r="BG358" s="4"/>
      <c r="BH358" s="4"/>
      <c r="BI358" s="4"/>
      <c r="BJ358" s="4"/>
      <c r="BK358" s="6"/>
      <c r="BL358" s="6"/>
      <c r="BM358" s="6"/>
      <c r="BN358" s="6"/>
      <c r="BO358" s="6"/>
      <c r="BP358" s="6"/>
      <c r="BQ358" s="6"/>
      <c r="BR358" s="6"/>
      <c r="BS358" s="6"/>
      <c r="BT358" s="6"/>
      <c r="BU358" s="6"/>
      <c r="BV358" s="130">
        <v>0.05</v>
      </c>
      <c r="BW358" s="130">
        <f>BV358</f>
        <v>0.05</v>
      </c>
      <c r="BX358" s="130"/>
      <c r="BY358" s="130"/>
      <c r="BZ358" s="130"/>
      <c r="CA358" s="130"/>
      <c r="CB358" s="130"/>
      <c r="CC358" s="641"/>
      <c r="CD358" s="641"/>
      <c r="CE358" s="6"/>
      <c r="CF358" s="6"/>
      <c r="CG358" s="6"/>
      <c r="CH358" s="6"/>
      <c r="CI358" s="6"/>
      <c r="CJ358" s="6"/>
      <c r="CK358" s="4">
        <f t="shared" si="75"/>
        <v>0</v>
      </c>
      <c r="CL358" s="4">
        <f t="shared" si="76"/>
        <v>1320</v>
      </c>
      <c r="CM358" s="4">
        <f t="shared" si="66"/>
        <v>1320</v>
      </c>
      <c r="CN358" s="4">
        <f t="shared" si="67"/>
        <v>1320</v>
      </c>
      <c r="CO358" s="4"/>
      <c r="CP358" s="4"/>
      <c r="CQ358" s="4"/>
      <c r="CR358" s="4"/>
      <c r="CS358" s="4"/>
      <c r="CT358" s="641"/>
      <c r="CU358" s="641"/>
      <c r="CV358" s="641"/>
      <c r="CW358" s="641"/>
      <c r="CX358" s="641"/>
      <c r="CY358" s="641"/>
      <c r="CZ358" s="6"/>
      <c r="DA358" s="6">
        <f t="shared" si="77"/>
        <v>0</v>
      </c>
      <c r="DB358" s="6">
        <f t="shared" si="77"/>
        <v>7920</v>
      </c>
      <c r="DC358" s="6">
        <f>K358*CM358</f>
        <v>8316</v>
      </c>
      <c r="DD358" s="6">
        <f t="shared" si="70"/>
        <v>8844</v>
      </c>
      <c r="DE358" s="6"/>
      <c r="DF358" s="6"/>
      <c r="DG358" s="6"/>
      <c r="DH358" s="6"/>
      <c r="DI358" s="6"/>
      <c r="DJ358" s="641"/>
      <c r="DK358" s="641"/>
    </row>
    <row r="359" spans="1:115">
      <c r="A359" s="36">
        <v>3</v>
      </c>
      <c r="B359" s="84" t="s">
        <v>1466</v>
      </c>
      <c r="C359" s="84" t="s">
        <v>1467</v>
      </c>
      <c r="D359" s="645" t="s">
        <v>1059</v>
      </c>
      <c r="E359" s="645"/>
      <c r="F359" s="342" t="s">
        <v>1455</v>
      </c>
      <c r="G359" s="641">
        <v>30</v>
      </c>
      <c r="H359" s="645"/>
      <c r="I359" s="4"/>
      <c r="J359" s="641">
        <v>1.6</v>
      </c>
      <c r="K359" s="641">
        <v>1.5</v>
      </c>
      <c r="L359" s="642">
        <v>1.4</v>
      </c>
      <c r="M359" s="641"/>
      <c r="N359" s="641"/>
      <c r="O359" s="641"/>
      <c r="P359" s="641"/>
      <c r="Q359" s="641"/>
      <c r="R359" s="641"/>
      <c r="S359" s="641"/>
      <c r="T359" s="645"/>
      <c r="U359" s="4">
        <v>0</v>
      </c>
      <c r="V359" s="629">
        <v>750</v>
      </c>
      <c r="W359" s="4">
        <f t="shared" si="73"/>
        <v>787.5</v>
      </c>
      <c r="X359" s="4">
        <f t="shared" si="72"/>
        <v>826.875</v>
      </c>
      <c r="Y359" s="4"/>
      <c r="Z359" s="4"/>
      <c r="AA359" s="4"/>
      <c r="AB359" s="4"/>
      <c r="AC359" s="4"/>
      <c r="AD359" s="641"/>
      <c r="AE359" s="641"/>
      <c r="AF359" s="641"/>
      <c r="AG359" s="641"/>
      <c r="AH359" s="641"/>
      <c r="AI359" s="641"/>
      <c r="AJ359" s="641"/>
      <c r="AK359" s="6"/>
      <c r="AL359" s="647">
        <v>0</v>
      </c>
      <c r="AM359" s="644">
        <v>22</v>
      </c>
      <c r="AN359" s="649">
        <v>22</v>
      </c>
      <c r="AO359" s="649">
        <v>22</v>
      </c>
      <c r="AP359" s="4"/>
      <c r="AQ359" s="4"/>
      <c r="AR359" s="4"/>
      <c r="AS359" s="4"/>
      <c r="AT359" s="4"/>
      <c r="AU359" s="4"/>
      <c r="AV359" s="641"/>
      <c r="AW359" s="641"/>
      <c r="AX359" s="641"/>
      <c r="AY359" s="641"/>
      <c r="AZ359" s="641"/>
      <c r="BA359" s="641"/>
      <c r="BB359" s="6"/>
      <c r="BC359" s="4"/>
      <c r="BD359" s="4">
        <f t="shared" si="74"/>
        <v>16500</v>
      </c>
      <c r="BE359" s="4">
        <f t="shared" si="71"/>
        <v>17325</v>
      </c>
      <c r="BF359" s="4">
        <f t="shared" si="63"/>
        <v>18191.25</v>
      </c>
      <c r="BG359" s="4"/>
      <c r="BH359" s="4"/>
      <c r="BI359" s="4"/>
      <c r="BJ359" s="4"/>
      <c r="BK359" s="6"/>
      <c r="BL359" s="6"/>
      <c r="BM359" s="6"/>
      <c r="BN359" s="6"/>
      <c r="BO359" s="6"/>
      <c r="BP359" s="6"/>
      <c r="BQ359" s="6"/>
      <c r="BR359" s="6"/>
      <c r="BS359" s="6"/>
      <c r="BT359" s="6"/>
      <c r="BU359" s="6"/>
      <c r="BV359" s="130">
        <v>0.05</v>
      </c>
      <c r="BW359" s="130">
        <f>BV359</f>
        <v>0.05</v>
      </c>
      <c r="BX359" s="130"/>
      <c r="BY359" s="130"/>
      <c r="BZ359" s="130"/>
      <c r="CA359" s="130"/>
      <c r="CB359" s="130"/>
      <c r="CC359" s="641"/>
      <c r="CD359" s="641"/>
      <c r="CE359" s="6"/>
      <c r="CF359" s="6"/>
      <c r="CG359" s="6"/>
      <c r="CH359" s="6"/>
      <c r="CI359" s="6"/>
      <c r="CJ359" s="6"/>
      <c r="CK359" s="4">
        <f t="shared" si="75"/>
        <v>0</v>
      </c>
      <c r="CL359" s="4">
        <f t="shared" si="76"/>
        <v>660</v>
      </c>
      <c r="CM359" s="4">
        <f t="shared" si="66"/>
        <v>660</v>
      </c>
      <c r="CN359" s="4">
        <f t="shared" si="67"/>
        <v>660</v>
      </c>
      <c r="CO359" s="4"/>
      <c r="CP359" s="4"/>
      <c r="CQ359" s="4"/>
      <c r="CR359" s="4"/>
      <c r="CS359" s="4"/>
      <c r="CT359" s="641"/>
      <c r="CU359" s="641"/>
      <c r="CV359" s="641"/>
      <c r="CW359" s="641"/>
      <c r="CX359" s="641"/>
      <c r="CY359" s="641"/>
      <c r="CZ359" s="6"/>
      <c r="DA359" s="6">
        <f t="shared" si="77"/>
        <v>0</v>
      </c>
      <c r="DB359" s="6">
        <f t="shared" si="77"/>
        <v>1056</v>
      </c>
      <c r="DC359" s="6">
        <f>K359*CM359</f>
        <v>990</v>
      </c>
      <c r="DD359" s="6">
        <f t="shared" si="70"/>
        <v>923.99999999999989</v>
      </c>
      <c r="DE359" s="6"/>
      <c r="DF359" s="6"/>
      <c r="DG359" s="6"/>
      <c r="DH359" s="6"/>
      <c r="DI359" s="6"/>
      <c r="DJ359" s="641"/>
      <c r="DK359" s="641"/>
    </row>
    <row r="360" spans="1:115">
      <c r="A360" s="36">
        <v>3</v>
      </c>
      <c r="B360" s="84" t="s">
        <v>1468</v>
      </c>
      <c r="C360" s="84" t="s">
        <v>1469</v>
      </c>
      <c r="D360" s="645" t="s">
        <v>638</v>
      </c>
      <c r="E360" s="645"/>
      <c r="F360" s="342"/>
      <c r="G360" s="641">
        <v>30</v>
      </c>
      <c r="H360" s="645"/>
      <c r="I360" s="4"/>
      <c r="J360" s="650" t="s">
        <v>860</v>
      </c>
      <c r="K360" s="642">
        <v>4</v>
      </c>
      <c r="L360" s="642">
        <v>3.1</v>
      </c>
      <c r="M360" s="641"/>
      <c r="N360" s="641"/>
      <c r="O360" s="641"/>
      <c r="P360" s="641"/>
      <c r="Q360" s="641"/>
      <c r="R360" s="641"/>
      <c r="S360" s="641"/>
      <c r="T360" s="645"/>
      <c r="U360" s="4"/>
      <c r="V360" s="629">
        <f>750/2</f>
        <v>375</v>
      </c>
      <c r="W360" s="4">
        <f t="shared" si="73"/>
        <v>393.75</v>
      </c>
      <c r="X360" s="4">
        <f t="shared" si="72"/>
        <v>413.4375</v>
      </c>
      <c r="Y360" s="4"/>
      <c r="Z360" s="4"/>
      <c r="AA360" s="4"/>
      <c r="AB360" s="4"/>
      <c r="AC360" s="4"/>
      <c r="AD360" s="641"/>
      <c r="AE360" s="641"/>
      <c r="AF360" s="641"/>
      <c r="AG360" s="641"/>
      <c r="AH360" s="641"/>
      <c r="AI360" s="641"/>
      <c r="AJ360" s="641"/>
      <c r="AK360" s="6"/>
      <c r="AL360" s="647">
        <v>0</v>
      </c>
      <c r="AM360" s="644">
        <v>22</v>
      </c>
      <c r="AN360" s="644">
        <v>22</v>
      </c>
      <c r="AO360" s="644">
        <v>22</v>
      </c>
      <c r="AP360" s="4"/>
      <c r="AQ360" s="4"/>
      <c r="AR360" s="4"/>
      <c r="AS360" s="4"/>
      <c r="AT360" s="4"/>
      <c r="AU360" s="4"/>
      <c r="AV360" s="641"/>
      <c r="AW360" s="641"/>
      <c r="AX360" s="641"/>
      <c r="AY360" s="641"/>
      <c r="AZ360" s="641"/>
      <c r="BA360" s="641"/>
      <c r="BB360" s="6"/>
      <c r="BC360" s="4"/>
      <c r="BD360" s="4">
        <f t="shared" si="74"/>
        <v>8250</v>
      </c>
      <c r="BE360" s="4">
        <f t="shared" si="71"/>
        <v>8662.5</v>
      </c>
      <c r="BF360" s="4">
        <f t="shared" si="63"/>
        <v>9095.625</v>
      </c>
      <c r="BG360" s="4"/>
      <c r="BH360" s="4"/>
      <c r="BI360" s="4"/>
      <c r="BJ360" s="4"/>
      <c r="BK360" s="6"/>
      <c r="BL360" s="6"/>
      <c r="BM360" s="6"/>
      <c r="BN360" s="6"/>
      <c r="BO360" s="6"/>
      <c r="BP360" s="6"/>
      <c r="BQ360" s="6"/>
      <c r="BR360" s="6"/>
      <c r="BS360" s="6"/>
      <c r="BT360" s="6"/>
      <c r="BU360" s="6"/>
      <c r="BV360" s="130">
        <v>0.05</v>
      </c>
      <c r="BW360" s="130">
        <f>BV360</f>
        <v>0.05</v>
      </c>
      <c r="BX360" s="130"/>
      <c r="BY360" s="130"/>
      <c r="BZ360" s="130"/>
      <c r="CA360" s="130"/>
      <c r="CB360" s="130"/>
      <c r="CC360" s="641"/>
      <c r="CD360" s="641"/>
      <c r="CE360" s="6"/>
      <c r="CF360" s="6"/>
      <c r="CG360" s="6"/>
      <c r="CH360" s="6"/>
      <c r="CI360" s="6"/>
      <c r="CJ360" s="6"/>
      <c r="CK360" s="4">
        <f t="shared" si="75"/>
        <v>0</v>
      </c>
      <c r="CL360" s="4">
        <f t="shared" si="76"/>
        <v>660</v>
      </c>
      <c r="CM360" s="4">
        <f t="shared" si="66"/>
        <v>660</v>
      </c>
      <c r="CN360" s="4">
        <f t="shared" si="67"/>
        <v>660</v>
      </c>
      <c r="CO360" s="4"/>
      <c r="CP360" s="4"/>
      <c r="CQ360" s="4"/>
      <c r="CR360" s="4"/>
      <c r="CS360" s="4"/>
      <c r="CT360" s="641"/>
      <c r="CU360" s="641"/>
      <c r="CV360" s="641"/>
      <c r="CW360" s="641"/>
      <c r="CX360" s="641"/>
      <c r="CY360" s="641"/>
      <c r="CZ360" s="6"/>
      <c r="DA360" s="6"/>
      <c r="DB360" s="6"/>
      <c r="DC360" s="6"/>
      <c r="DD360" s="6"/>
      <c r="DE360" s="6"/>
      <c r="DF360" s="6"/>
      <c r="DG360" s="6"/>
      <c r="DH360" s="6"/>
      <c r="DI360" s="6"/>
      <c r="DJ360" s="641"/>
      <c r="DK360" s="641"/>
    </row>
    <row r="361" spans="1:115">
      <c r="A361" s="164">
        <v>4</v>
      </c>
      <c r="B361" s="69" t="s">
        <v>1495</v>
      </c>
      <c r="C361" s="69" t="s">
        <v>1496</v>
      </c>
      <c r="D361" s="648" t="s">
        <v>638</v>
      </c>
      <c r="E361" s="648"/>
      <c r="F361" s="648" t="s">
        <v>1420</v>
      </c>
      <c r="G361" s="650">
        <v>60</v>
      </c>
      <c r="H361" s="654"/>
      <c r="I361" s="650">
        <v>4.5999999999999996</v>
      </c>
      <c r="J361" s="655">
        <v>3.8</v>
      </c>
      <c r="K361" s="650" t="s">
        <v>860</v>
      </c>
      <c r="L361" s="642">
        <v>5</v>
      </c>
      <c r="M361" s="641"/>
      <c r="N361" s="641"/>
      <c r="O361" s="641"/>
      <c r="P361" s="641"/>
      <c r="Q361" s="641"/>
      <c r="R361" s="641"/>
      <c r="S361" s="641"/>
      <c r="T361" s="655"/>
      <c r="U361" s="430">
        <v>850</v>
      </c>
      <c r="V361" s="430">
        <v>715</v>
      </c>
      <c r="W361" s="4">
        <f t="shared" si="73"/>
        <v>750.75</v>
      </c>
      <c r="X361" s="4">
        <f t="shared" si="72"/>
        <v>788.28750000000002</v>
      </c>
      <c r="Y361" s="4"/>
      <c r="Z361" s="4"/>
      <c r="AA361" s="4"/>
      <c r="AB361" s="4"/>
      <c r="AC361" s="4"/>
      <c r="AD361" s="641"/>
      <c r="AE361" s="641"/>
      <c r="AF361" s="641"/>
      <c r="AG361" s="641"/>
      <c r="AH361" s="641"/>
      <c r="AI361" s="641"/>
      <c r="AJ361" s="641"/>
      <c r="AK361" s="11"/>
      <c r="AL361" s="649">
        <v>13</v>
      </c>
      <c r="AM361" s="649">
        <v>13</v>
      </c>
      <c r="AN361" s="649">
        <v>13</v>
      </c>
      <c r="AO361" s="649">
        <v>13</v>
      </c>
      <c r="AP361" s="4"/>
      <c r="AQ361" s="4"/>
      <c r="AR361" s="4"/>
      <c r="AS361" s="4"/>
      <c r="AT361" s="4"/>
      <c r="AU361" s="4"/>
      <c r="AV361" s="641"/>
      <c r="AW361" s="641"/>
      <c r="AX361" s="641"/>
      <c r="AY361" s="641"/>
      <c r="AZ361" s="641"/>
      <c r="BA361" s="641"/>
      <c r="BB361" s="11"/>
      <c r="BC361" s="95">
        <f t="shared" ref="BC361:BC373" si="78">U361*AL361</f>
        <v>11050</v>
      </c>
      <c r="BD361" s="95">
        <f t="shared" si="74"/>
        <v>9295</v>
      </c>
      <c r="BE361" s="95">
        <f t="shared" si="71"/>
        <v>9759.75</v>
      </c>
      <c r="BF361" s="95">
        <f t="shared" si="63"/>
        <v>10247.737500000001</v>
      </c>
      <c r="BG361" s="95"/>
      <c r="BH361" s="95"/>
      <c r="BI361" s="95"/>
      <c r="BJ361" s="95"/>
      <c r="BK361" s="11"/>
      <c r="BL361" s="11"/>
      <c r="BM361" s="11"/>
      <c r="BN361" s="11"/>
      <c r="BO361" s="11"/>
      <c r="BP361" s="11"/>
      <c r="BQ361" s="11"/>
      <c r="BR361" s="11"/>
      <c r="BS361" s="11"/>
      <c r="BT361" s="11"/>
      <c r="BU361" s="38">
        <f>V361/U361-1</f>
        <v>-0.1588235294117647</v>
      </c>
      <c r="BV361" s="130">
        <v>0.05</v>
      </c>
      <c r="BW361" s="130">
        <f>BV361</f>
        <v>0.05</v>
      </c>
      <c r="BX361" s="130"/>
      <c r="BY361" s="130"/>
      <c r="BZ361" s="130"/>
      <c r="CA361" s="130"/>
      <c r="CB361" s="130"/>
      <c r="CC361" s="641"/>
      <c r="CD361" s="641"/>
      <c r="CE361" s="11"/>
      <c r="CF361" s="11"/>
      <c r="CG361" s="11"/>
      <c r="CH361" s="11"/>
      <c r="CI361" s="11"/>
      <c r="CJ361" s="11"/>
      <c r="CK361" s="4">
        <f t="shared" si="75"/>
        <v>780</v>
      </c>
      <c r="CL361" s="4">
        <f t="shared" si="76"/>
        <v>780</v>
      </c>
      <c r="CM361" s="4">
        <f t="shared" si="66"/>
        <v>780</v>
      </c>
      <c r="CN361" s="4">
        <f t="shared" si="67"/>
        <v>780</v>
      </c>
      <c r="CO361" s="4"/>
      <c r="CP361" s="4"/>
      <c r="CQ361" s="4"/>
      <c r="CR361" s="4"/>
      <c r="CS361" s="4"/>
      <c r="CT361" s="641"/>
      <c r="CU361" s="641"/>
      <c r="CV361" s="641"/>
      <c r="CW361" s="641"/>
      <c r="CX361" s="641"/>
      <c r="CY361" s="641"/>
      <c r="CZ361" s="6"/>
      <c r="DA361" s="6">
        <f t="shared" ref="DA361:DA403" si="79">I361*CK361</f>
        <v>3587.9999999999995</v>
      </c>
      <c r="DB361" s="6">
        <f t="shared" ref="DB361:DB403" si="80">J361*CL361</f>
        <v>2964</v>
      </c>
      <c r="DC361" s="6"/>
      <c r="DD361" s="6"/>
      <c r="DE361" s="11"/>
      <c r="DF361" s="11"/>
      <c r="DG361" s="11"/>
      <c r="DH361" s="11"/>
      <c r="DI361" s="11"/>
      <c r="DJ361" s="641"/>
      <c r="DK361" s="641"/>
    </row>
    <row r="362" spans="1:115">
      <c r="A362" s="36">
        <v>4</v>
      </c>
      <c r="B362" s="84" t="s">
        <v>1472</v>
      </c>
      <c r="C362" s="6" t="s">
        <v>1473</v>
      </c>
      <c r="D362" s="645" t="s">
        <v>1059</v>
      </c>
      <c r="E362" s="645"/>
      <c r="F362" s="342" t="s">
        <v>1455</v>
      </c>
      <c r="G362" s="641">
        <v>30</v>
      </c>
      <c r="H362" s="645"/>
      <c r="I362" s="641">
        <v>1.6</v>
      </c>
      <c r="J362" s="641">
        <v>1.7</v>
      </c>
      <c r="K362" s="641">
        <v>1.2</v>
      </c>
      <c r="L362" s="642">
        <v>1.3</v>
      </c>
      <c r="M362" s="641"/>
      <c r="N362" s="641"/>
      <c r="O362" s="641"/>
      <c r="P362" s="641"/>
      <c r="Q362" s="641"/>
      <c r="R362" s="641"/>
      <c r="S362" s="641"/>
      <c r="T362" s="645"/>
      <c r="U362" s="652">
        <v>795</v>
      </c>
      <c r="V362" s="629">
        <v>800</v>
      </c>
      <c r="W362" s="4">
        <f t="shared" si="73"/>
        <v>840</v>
      </c>
      <c r="X362" s="4">
        <f t="shared" si="72"/>
        <v>882</v>
      </c>
      <c r="Y362" s="4"/>
      <c r="Z362" s="4"/>
      <c r="AA362" s="4"/>
      <c r="AB362" s="4"/>
      <c r="AC362" s="4"/>
      <c r="AD362" s="641"/>
      <c r="AE362" s="641"/>
      <c r="AF362" s="641"/>
      <c r="AG362" s="641"/>
      <c r="AH362" s="641"/>
      <c r="AI362" s="641"/>
      <c r="AJ362" s="641"/>
      <c r="AK362" s="6"/>
      <c r="AL362" s="644">
        <v>22</v>
      </c>
      <c r="AM362" s="644">
        <v>22</v>
      </c>
      <c r="AN362" s="644">
        <v>22</v>
      </c>
      <c r="AO362" s="644">
        <v>22</v>
      </c>
      <c r="AP362" s="4"/>
      <c r="AQ362" s="4"/>
      <c r="AR362" s="4"/>
      <c r="AS362" s="4"/>
      <c r="AT362" s="4"/>
      <c r="AU362" s="4"/>
      <c r="AV362" s="641"/>
      <c r="AW362" s="641"/>
      <c r="AX362" s="641"/>
      <c r="AY362" s="641"/>
      <c r="AZ362" s="641"/>
      <c r="BA362" s="641"/>
      <c r="BB362" s="6"/>
      <c r="BC362" s="4">
        <f t="shared" si="78"/>
        <v>17490</v>
      </c>
      <c r="BD362" s="4">
        <f t="shared" si="74"/>
        <v>17600</v>
      </c>
      <c r="BE362" s="4">
        <f t="shared" si="71"/>
        <v>18480</v>
      </c>
      <c r="BF362" s="4">
        <f t="shared" si="63"/>
        <v>19404</v>
      </c>
      <c r="BG362" s="4"/>
      <c r="BH362" s="4"/>
      <c r="BI362" s="4"/>
      <c r="BJ362" s="4"/>
      <c r="BK362" s="6"/>
      <c r="BL362" s="6"/>
      <c r="BM362" s="6"/>
      <c r="BN362" s="6"/>
      <c r="BO362" s="6"/>
      <c r="BP362" s="6"/>
      <c r="BQ362" s="6"/>
      <c r="BR362" s="6"/>
      <c r="BS362" s="6"/>
      <c r="BT362" s="6"/>
      <c r="BU362" s="38">
        <f>V362/U362-1</f>
        <v>6.2893081761006275E-3</v>
      </c>
      <c r="BV362" s="130">
        <v>0.05</v>
      </c>
      <c r="BW362" s="130">
        <f t="shared" ref="BW362:BW367" si="81">BV362</f>
        <v>0.05</v>
      </c>
      <c r="BX362" s="130"/>
      <c r="BY362" s="130"/>
      <c r="BZ362" s="130"/>
      <c r="CA362" s="130"/>
      <c r="CB362" s="130"/>
      <c r="CC362" s="641"/>
      <c r="CD362" s="641"/>
      <c r="CE362" s="6"/>
      <c r="CF362" s="6"/>
      <c r="CG362" s="6"/>
      <c r="CH362" s="6"/>
      <c r="CI362" s="6"/>
      <c r="CJ362" s="6"/>
      <c r="CK362" s="4">
        <f t="shared" si="75"/>
        <v>660</v>
      </c>
      <c r="CL362" s="4">
        <f t="shared" si="76"/>
        <v>660</v>
      </c>
      <c r="CM362" s="4">
        <f t="shared" si="66"/>
        <v>660</v>
      </c>
      <c r="CN362" s="4">
        <f t="shared" si="67"/>
        <v>660</v>
      </c>
      <c r="CO362" s="4"/>
      <c r="CP362" s="4"/>
      <c r="CQ362" s="4"/>
      <c r="CR362" s="4"/>
      <c r="CS362" s="4"/>
      <c r="CT362" s="641"/>
      <c r="CU362" s="641"/>
      <c r="CV362" s="641"/>
      <c r="CW362" s="641"/>
      <c r="CX362" s="641"/>
      <c r="CY362" s="641"/>
      <c r="CZ362" s="6"/>
      <c r="DA362" s="6">
        <f t="shared" si="79"/>
        <v>1056</v>
      </c>
      <c r="DB362" s="6">
        <f t="shared" si="80"/>
        <v>1122</v>
      </c>
      <c r="DC362" s="6">
        <f t="shared" ref="DC362:DC403" si="82">K362*CM362</f>
        <v>792</v>
      </c>
      <c r="DD362" s="6"/>
      <c r="DE362" s="6"/>
      <c r="DF362" s="6"/>
      <c r="DG362" s="6"/>
      <c r="DH362" s="6"/>
      <c r="DI362" s="6"/>
      <c r="DJ362" s="641"/>
      <c r="DK362" s="641"/>
    </row>
    <row r="363" spans="1:115">
      <c r="A363" s="36">
        <v>5</v>
      </c>
      <c r="B363" s="6" t="s">
        <v>1477</v>
      </c>
      <c r="C363" s="6" t="s">
        <v>1478</v>
      </c>
      <c r="D363" s="645" t="s">
        <v>638</v>
      </c>
      <c r="E363" s="645"/>
      <c r="F363" s="342" t="s">
        <v>1455</v>
      </c>
      <c r="G363" s="641">
        <v>60</v>
      </c>
      <c r="H363" s="645"/>
      <c r="I363" s="641">
        <v>8.6999999999999993</v>
      </c>
      <c r="J363" s="641">
        <v>9.6</v>
      </c>
      <c r="K363" s="641">
        <v>8.9</v>
      </c>
      <c r="L363" s="642">
        <v>9.1999999999999993</v>
      </c>
      <c r="M363" s="641"/>
      <c r="N363" s="641"/>
      <c r="O363" s="641"/>
      <c r="P363" s="641"/>
      <c r="Q363" s="641"/>
      <c r="R363" s="641"/>
      <c r="S363" s="641"/>
      <c r="T363" s="645"/>
      <c r="U363" s="652">
        <v>2500</v>
      </c>
      <c r="V363" s="629">
        <v>2500</v>
      </c>
      <c r="W363" s="4">
        <f t="shared" si="73"/>
        <v>2625</v>
      </c>
      <c r="X363" s="4">
        <f t="shared" si="72"/>
        <v>2756.25</v>
      </c>
      <c r="Y363" s="4"/>
      <c r="Z363" s="4"/>
      <c r="AA363" s="4"/>
      <c r="AB363" s="4"/>
      <c r="AC363" s="4"/>
      <c r="AD363" s="641"/>
      <c r="AE363" s="641"/>
      <c r="AF363" s="641"/>
      <c r="AG363" s="641"/>
      <c r="AH363" s="641"/>
      <c r="AI363" s="641"/>
      <c r="AJ363" s="641"/>
      <c r="AK363" s="6"/>
      <c r="AL363" s="644">
        <v>22</v>
      </c>
      <c r="AM363" s="644">
        <v>22</v>
      </c>
      <c r="AN363" s="644">
        <v>22</v>
      </c>
      <c r="AO363" s="644">
        <v>22</v>
      </c>
      <c r="AP363" s="4"/>
      <c r="AQ363" s="4"/>
      <c r="AR363" s="4"/>
      <c r="AS363" s="4"/>
      <c r="AT363" s="4"/>
      <c r="AU363" s="4"/>
      <c r="AV363" s="641"/>
      <c r="AW363" s="641"/>
      <c r="AX363" s="641"/>
      <c r="AY363" s="641"/>
      <c r="AZ363" s="641"/>
      <c r="BA363" s="641"/>
      <c r="BB363" s="6"/>
      <c r="BC363" s="4">
        <f t="shared" si="78"/>
        <v>55000</v>
      </c>
      <c r="BD363" s="4">
        <f t="shared" si="74"/>
        <v>55000</v>
      </c>
      <c r="BE363" s="4">
        <f t="shared" si="71"/>
        <v>57750</v>
      </c>
      <c r="BF363" s="4">
        <f t="shared" si="63"/>
        <v>60637.5</v>
      </c>
      <c r="BG363" s="4"/>
      <c r="BH363" s="4"/>
      <c r="BI363" s="4"/>
      <c r="BJ363" s="4"/>
      <c r="BK363" s="6"/>
      <c r="BL363" s="6"/>
      <c r="BM363" s="6"/>
      <c r="BN363" s="6"/>
      <c r="BO363" s="6"/>
      <c r="BP363" s="6"/>
      <c r="BQ363" s="6"/>
      <c r="BR363" s="6"/>
      <c r="BS363" s="6"/>
      <c r="BT363" s="6"/>
      <c r="BU363" s="38">
        <f t="shared" ref="BU363:BU373" si="83">V363/U363-1</f>
        <v>0</v>
      </c>
      <c r="BV363" s="130">
        <v>0.05</v>
      </c>
      <c r="BW363" s="130">
        <f t="shared" si="81"/>
        <v>0.05</v>
      </c>
      <c r="BX363" s="130"/>
      <c r="BY363" s="130"/>
      <c r="BZ363" s="130"/>
      <c r="CA363" s="130"/>
      <c r="CB363" s="130"/>
      <c r="CC363" s="641"/>
      <c r="CD363" s="641"/>
      <c r="CE363" s="6"/>
      <c r="CF363" s="6"/>
      <c r="CG363" s="6"/>
      <c r="CH363" s="6"/>
      <c r="CI363" s="6"/>
      <c r="CJ363" s="6"/>
      <c r="CK363" s="4">
        <f t="shared" si="75"/>
        <v>1320</v>
      </c>
      <c r="CL363" s="4">
        <f t="shared" si="76"/>
        <v>1320</v>
      </c>
      <c r="CM363" s="4">
        <f t="shared" si="66"/>
        <v>1320</v>
      </c>
      <c r="CN363" s="4">
        <f t="shared" si="67"/>
        <v>1320</v>
      </c>
      <c r="CO363" s="4"/>
      <c r="CP363" s="4"/>
      <c r="CQ363" s="4"/>
      <c r="CR363" s="4"/>
      <c r="CS363" s="4"/>
      <c r="CT363" s="641"/>
      <c r="CU363" s="641"/>
      <c r="CV363" s="641"/>
      <c r="CW363" s="641"/>
      <c r="CX363" s="641"/>
      <c r="CY363" s="641"/>
      <c r="CZ363" s="6"/>
      <c r="DA363" s="6">
        <f t="shared" si="79"/>
        <v>11483.999999999998</v>
      </c>
      <c r="DB363" s="6">
        <f t="shared" si="80"/>
        <v>12672</v>
      </c>
      <c r="DC363" s="6">
        <f t="shared" si="82"/>
        <v>11748</v>
      </c>
      <c r="DD363" s="6"/>
      <c r="DE363" s="6"/>
      <c r="DF363" s="6"/>
      <c r="DG363" s="6"/>
      <c r="DH363" s="6"/>
      <c r="DI363" s="6"/>
      <c r="DJ363" s="641"/>
      <c r="DK363" s="641"/>
    </row>
    <row r="364" spans="1:115">
      <c r="A364" s="36">
        <v>5</v>
      </c>
      <c r="B364" s="6" t="s">
        <v>1479</v>
      </c>
      <c r="C364" s="6" t="s">
        <v>1480</v>
      </c>
      <c r="D364" s="645" t="s">
        <v>1059</v>
      </c>
      <c r="E364" s="645"/>
      <c r="F364" s="342" t="s">
        <v>1455</v>
      </c>
      <c r="G364" s="641">
        <v>30</v>
      </c>
      <c r="H364" s="645"/>
      <c r="I364" s="641">
        <v>1.6</v>
      </c>
      <c r="J364" s="641">
        <v>1.7</v>
      </c>
      <c r="K364" s="641">
        <v>1.6</v>
      </c>
      <c r="L364" s="642">
        <v>1.5</v>
      </c>
      <c r="M364" s="641"/>
      <c r="N364" s="641"/>
      <c r="O364" s="641"/>
      <c r="P364" s="641"/>
      <c r="Q364" s="641"/>
      <c r="R364" s="641"/>
      <c r="S364" s="641"/>
      <c r="T364" s="645"/>
      <c r="U364" s="652">
        <v>775</v>
      </c>
      <c r="V364" s="629">
        <v>785</v>
      </c>
      <c r="W364" s="4">
        <f t="shared" si="73"/>
        <v>824.25</v>
      </c>
      <c r="X364" s="4">
        <f t="shared" si="72"/>
        <v>865.46250000000009</v>
      </c>
      <c r="Y364" s="4"/>
      <c r="Z364" s="4"/>
      <c r="AA364" s="4"/>
      <c r="AB364" s="4"/>
      <c r="AC364" s="4"/>
      <c r="AD364" s="641"/>
      <c r="AE364" s="641"/>
      <c r="AF364" s="641"/>
      <c r="AG364" s="641"/>
      <c r="AH364" s="641"/>
      <c r="AI364" s="641"/>
      <c r="AJ364" s="641"/>
      <c r="AK364" s="6"/>
      <c r="AL364" s="644">
        <v>22</v>
      </c>
      <c r="AM364" s="644">
        <v>22</v>
      </c>
      <c r="AN364" s="644">
        <v>22</v>
      </c>
      <c r="AO364" s="644">
        <v>22</v>
      </c>
      <c r="AP364" s="4"/>
      <c r="AQ364" s="4"/>
      <c r="AR364" s="4"/>
      <c r="AS364" s="4"/>
      <c r="AT364" s="4"/>
      <c r="AU364" s="4"/>
      <c r="AV364" s="641"/>
      <c r="AW364" s="641"/>
      <c r="AX364" s="641"/>
      <c r="AY364" s="641"/>
      <c r="AZ364" s="641"/>
      <c r="BA364" s="641"/>
      <c r="BB364" s="6"/>
      <c r="BC364" s="4">
        <f t="shared" si="78"/>
        <v>17050</v>
      </c>
      <c r="BD364" s="4">
        <f t="shared" si="74"/>
        <v>17270</v>
      </c>
      <c r="BE364" s="4">
        <f t="shared" si="71"/>
        <v>18133.5</v>
      </c>
      <c r="BF364" s="4">
        <f t="shared" si="63"/>
        <v>19040.175000000003</v>
      </c>
      <c r="BG364" s="4"/>
      <c r="BH364" s="4"/>
      <c r="BI364" s="4"/>
      <c r="BJ364" s="4"/>
      <c r="BK364" s="6"/>
      <c r="BL364" s="6"/>
      <c r="BM364" s="6"/>
      <c r="BN364" s="6"/>
      <c r="BO364" s="6"/>
      <c r="BP364" s="6"/>
      <c r="BQ364" s="6"/>
      <c r="BR364" s="6"/>
      <c r="BS364" s="6"/>
      <c r="BT364" s="6"/>
      <c r="BU364" s="38">
        <f t="shared" si="83"/>
        <v>1.2903225806451646E-2</v>
      </c>
      <c r="BV364" s="130">
        <v>0.05</v>
      </c>
      <c r="BW364" s="130">
        <f t="shared" si="81"/>
        <v>0.05</v>
      </c>
      <c r="BX364" s="130"/>
      <c r="BY364" s="130"/>
      <c r="BZ364" s="130"/>
      <c r="CA364" s="130"/>
      <c r="CB364" s="130"/>
      <c r="CC364" s="641"/>
      <c r="CD364" s="641"/>
      <c r="CE364" s="6"/>
      <c r="CF364" s="6"/>
      <c r="CG364" s="6"/>
      <c r="CH364" s="6"/>
      <c r="CI364" s="6"/>
      <c r="CJ364" s="6"/>
      <c r="CK364" s="4">
        <f t="shared" si="75"/>
        <v>660</v>
      </c>
      <c r="CL364" s="4">
        <f t="shared" si="76"/>
        <v>660</v>
      </c>
      <c r="CM364" s="4">
        <f t="shared" si="66"/>
        <v>660</v>
      </c>
      <c r="CN364" s="4">
        <f t="shared" si="67"/>
        <v>660</v>
      </c>
      <c r="CO364" s="4"/>
      <c r="CP364" s="4"/>
      <c r="CQ364" s="4"/>
      <c r="CR364" s="4"/>
      <c r="CS364" s="4"/>
      <c r="CT364" s="641"/>
      <c r="CU364" s="641"/>
      <c r="CV364" s="641"/>
      <c r="CW364" s="641"/>
      <c r="CX364" s="641"/>
      <c r="CY364" s="641"/>
      <c r="CZ364" s="6"/>
      <c r="DA364" s="6">
        <f t="shared" si="79"/>
        <v>1056</v>
      </c>
      <c r="DB364" s="6">
        <f t="shared" si="80"/>
        <v>1122</v>
      </c>
      <c r="DC364" s="6">
        <f t="shared" si="82"/>
        <v>1056</v>
      </c>
      <c r="DD364" s="6"/>
      <c r="DE364" s="6"/>
      <c r="DF364" s="6"/>
      <c r="DG364" s="6"/>
      <c r="DH364" s="6"/>
      <c r="DI364" s="6"/>
      <c r="DJ364" s="641"/>
      <c r="DK364" s="641"/>
    </row>
    <row r="365" spans="1:115">
      <c r="A365" s="36">
        <v>6</v>
      </c>
      <c r="B365" s="6" t="s">
        <v>1481</v>
      </c>
      <c r="C365" s="6" t="s">
        <v>1482</v>
      </c>
      <c r="D365" s="645" t="s">
        <v>1483</v>
      </c>
      <c r="E365" s="645"/>
      <c r="F365" s="342" t="s">
        <v>1455</v>
      </c>
      <c r="G365" s="641">
        <v>60</v>
      </c>
      <c r="H365" s="645"/>
      <c r="I365" s="641">
        <v>1.8</v>
      </c>
      <c r="J365" s="642">
        <v>2</v>
      </c>
      <c r="K365" s="641">
        <v>1.9</v>
      </c>
      <c r="L365" s="642">
        <v>1.6</v>
      </c>
      <c r="M365" s="641"/>
      <c r="N365" s="641"/>
      <c r="O365" s="641"/>
      <c r="P365" s="641"/>
      <c r="Q365" s="641"/>
      <c r="R365" s="641"/>
      <c r="S365" s="641"/>
      <c r="T365" s="645"/>
      <c r="U365" s="652">
        <v>1050</v>
      </c>
      <c r="V365" s="629">
        <v>1150</v>
      </c>
      <c r="W365" s="4">
        <f t="shared" si="73"/>
        <v>1207.5</v>
      </c>
      <c r="X365" s="4">
        <f t="shared" si="72"/>
        <v>1267.875</v>
      </c>
      <c r="Y365" s="4"/>
      <c r="Z365" s="4"/>
      <c r="AA365" s="4"/>
      <c r="AB365" s="4"/>
      <c r="AC365" s="4"/>
      <c r="AD365" s="641"/>
      <c r="AE365" s="641"/>
      <c r="AF365" s="641"/>
      <c r="AG365" s="641"/>
      <c r="AH365" s="641"/>
      <c r="AI365" s="641"/>
      <c r="AJ365" s="641"/>
      <c r="AK365" s="6"/>
      <c r="AL365" s="644">
        <v>22</v>
      </c>
      <c r="AM365" s="644">
        <v>22</v>
      </c>
      <c r="AN365" s="644">
        <v>22</v>
      </c>
      <c r="AO365" s="644">
        <v>22</v>
      </c>
      <c r="AP365" s="4"/>
      <c r="AQ365" s="4"/>
      <c r="AR365" s="4"/>
      <c r="AS365" s="4"/>
      <c r="AT365" s="4"/>
      <c r="AU365" s="4"/>
      <c r="AV365" s="641"/>
      <c r="AW365" s="641"/>
      <c r="AX365" s="641"/>
      <c r="AY365" s="641"/>
      <c r="AZ365" s="641"/>
      <c r="BA365" s="641"/>
      <c r="BB365" s="6"/>
      <c r="BC365" s="4">
        <f t="shared" si="78"/>
        <v>23100</v>
      </c>
      <c r="BD365" s="4">
        <f t="shared" si="74"/>
        <v>25300</v>
      </c>
      <c r="BE365" s="4">
        <f t="shared" si="71"/>
        <v>26565</v>
      </c>
      <c r="BF365" s="4">
        <f t="shared" si="63"/>
        <v>27893.25</v>
      </c>
      <c r="BG365" s="4"/>
      <c r="BH365" s="4"/>
      <c r="BI365" s="4"/>
      <c r="BJ365" s="4"/>
      <c r="BK365" s="6"/>
      <c r="BL365" s="6"/>
      <c r="BM365" s="6"/>
      <c r="BN365" s="6"/>
      <c r="BO365" s="6"/>
      <c r="BP365" s="6"/>
      <c r="BQ365" s="6"/>
      <c r="BR365" s="6"/>
      <c r="BS365" s="6"/>
      <c r="BT365" s="6"/>
      <c r="BU365" s="38">
        <f t="shared" si="83"/>
        <v>9.5238095238095344E-2</v>
      </c>
      <c r="BV365" s="130">
        <v>0.05</v>
      </c>
      <c r="BW365" s="130">
        <f t="shared" si="81"/>
        <v>0.05</v>
      </c>
      <c r="BX365" s="130"/>
      <c r="BY365" s="130"/>
      <c r="BZ365" s="130"/>
      <c r="CA365" s="130"/>
      <c r="CB365" s="130"/>
      <c r="CC365" s="641"/>
      <c r="CD365" s="641"/>
      <c r="CE365" s="6"/>
      <c r="CF365" s="6"/>
      <c r="CG365" s="6"/>
      <c r="CH365" s="6"/>
      <c r="CI365" s="6"/>
      <c r="CJ365" s="6"/>
      <c r="CK365" s="4">
        <f t="shared" si="75"/>
        <v>1320</v>
      </c>
      <c r="CL365" s="4">
        <f t="shared" si="76"/>
        <v>1320</v>
      </c>
      <c r="CM365" s="4">
        <f t="shared" si="66"/>
        <v>1320</v>
      </c>
      <c r="CN365" s="4">
        <f t="shared" si="67"/>
        <v>1320</v>
      </c>
      <c r="CO365" s="4"/>
      <c r="CP365" s="4"/>
      <c r="CQ365" s="4"/>
      <c r="CR365" s="4"/>
      <c r="CS365" s="4"/>
      <c r="CT365" s="641"/>
      <c r="CU365" s="641"/>
      <c r="CV365" s="641"/>
      <c r="CW365" s="641"/>
      <c r="CX365" s="641"/>
      <c r="CY365" s="641"/>
      <c r="CZ365" s="6"/>
      <c r="DA365" s="6">
        <f t="shared" si="79"/>
        <v>2376</v>
      </c>
      <c r="DB365" s="6">
        <f t="shared" si="80"/>
        <v>2640</v>
      </c>
      <c r="DC365" s="6">
        <f t="shared" si="82"/>
        <v>2508</v>
      </c>
      <c r="DD365" s="6"/>
      <c r="DE365" s="6"/>
      <c r="DF365" s="6"/>
      <c r="DG365" s="6"/>
      <c r="DH365" s="6"/>
      <c r="DI365" s="6"/>
      <c r="DJ365" s="641"/>
      <c r="DK365" s="641"/>
    </row>
    <row r="366" spans="1:115">
      <c r="A366" s="36">
        <v>6</v>
      </c>
      <c r="B366" s="11" t="s">
        <v>1497</v>
      </c>
      <c r="C366" s="11" t="s">
        <v>1498</v>
      </c>
      <c r="D366" s="645" t="s">
        <v>638</v>
      </c>
      <c r="E366" s="645"/>
      <c r="F366" s="342" t="s">
        <v>1455</v>
      </c>
      <c r="G366" s="641">
        <v>60</v>
      </c>
      <c r="H366" s="645"/>
      <c r="I366" s="641">
        <v>4.0999999999999996</v>
      </c>
      <c r="J366" s="641">
        <v>3.7</v>
      </c>
      <c r="K366" s="641">
        <v>2.7</v>
      </c>
      <c r="L366" s="642">
        <v>2.9</v>
      </c>
      <c r="M366" s="641"/>
      <c r="N366" s="641"/>
      <c r="O366" s="641"/>
      <c r="P366" s="641"/>
      <c r="Q366" s="641"/>
      <c r="R366" s="641"/>
      <c r="S366" s="641"/>
      <c r="T366" s="645"/>
      <c r="U366" s="652">
        <v>1100</v>
      </c>
      <c r="V366" s="629">
        <v>1650</v>
      </c>
      <c r="W366" s="4">
        <f t="shared" si="73"/>
        <v>1732.5</v>
      </c>
      <c r="X366" s="4">
        <f t="shared" si="72"/>
        <v>1819.125</v>
      </c>
      <c r="Y366" s="4"/>
      <c r="Z366" s="4"/>
      <c r="AA366" s="4"/>
      <c r="AB366" s="4"/>
      <c r="AC366" s="4"/>
      <c r="AD366" s="641"/>
      <c r="AE366" s="641"/>
      <c r="AF366" s="641"/>
      <c r="AG366" s="641"/>
      <c r="AH366" s="641"/>
      <c r="AI366" s="641"/>
      <c r="AJ366" s="641"/>
      <c r="AK366" s="6"/>
      <c r="AL366" s="644">
        <v>22</v>
      </c>
      <c r="AM366" s="644">
        <v>22</v>
      </c>
      <c r="AN366" s="644">
        <v>22</v>
      </c>
      <c r="AO366" s="644">
        <v>22</v>
      </c>
      <c r="AP366" s="4"/>
      <c r="AQ366" s="4"/>
      <c r="AR366" s="4"/>
      <c r="AS366" s="4"/>
      <c r="AT366" s="4"/>
      <c r="AU366" s="4"/>
      <c r="AV366" s="641"/>
      <c r="AW366" s="641"/>
      <c r="AX366" s="641"/>
      <c r="AY366" s="641"/>
      <c r="AZ366" s="641"/>
      <c r="BA366" s="641"/>
      <c r="BB366" s="6"/>
      <c r="BC366" s="4">
        <f t="shared" si="78"/>
        <v>24200</v>
      </c>
      <c r="BD366" s="4">
        <f t="shared" si="74"/>
        <v>36300</v>
      </c>
      <c r="BE366" s="4">
        <f t="shared" si="71"/>
        <v>38115</v>
      </c>
      <c r="BF366" s="4">
        <f t="shared" si="63"/>
        <v>40020.75</v>
      </c>
      <c r="BG366" s="4"/>
      <c r="BH366" s="4"/>
      <c r="BI366" s="4"/>
      <c r="BJ366" s="4"/>
      <c r="BK366" s="6"/>
      <c r="BL366" s="6"/>
      <c r="BM366" s="6"/>
      <c r="BN366" s="6"/>
      <c r="BO366" s="6"/>
      <c r="BP366" s="6"/>
      <c r="BQ366" s="6"/>
      <c r="BR366" s="6"/>
      <c r="BS366" s="6"/>
      <c r="BT366" s="6"/>
      <c r="BU366" s="38">
        <f t="shared" si="83"/>
        <v>0.5</v>
      </c>
      <c r="BV366" s="130">
        <v>0.05</v>
      </c>
      <c r="BW366" s="130">
        <f t="shared" si="81"/>
        <v>0.05</v>
      </c>
      <c r="BX366" s="130"/>
      <c r="BY366" s="130"/>
      <c r="BZ366" s="130"/>
      <c r="CA366" s="130"/>
      <c r="CB366" s="130"/>
      <c r="CC366" s="641"/>
      <c r="CD366" s="641"/>
      <c r="CE366" s="6"/>
      <c r="CF366" s="6"/>
      <c r="CG366" s="6"/>
      <c r="CH366" s="6"/>
      <c r="CI366" s="6"/>
      <c r="CJ366" s="6"/>
      <c r="CK366" s="4">
        <f t="shared" si="75"/>
        <v>1320</v>
      </c>
      <c r="CL366" s="4">
        <f t="shared" si="76"/>
        <v>1320</v>
      </c>
      <c r="CM366" s="4">
        <f t="shared" si="66"/>
        <v>1320</v>
      </c>
      <c r="CN366" s="4">
        <f t="shared" si="67"/>
        <v>1320</v>
      </c>
      <c r="CO366" s="4"/>
      <c r="CP366" s="4"/>
      <c r="CQ366" s="4"/>
      <c r="CR366" s="4"/>
      <c r="CS366" s="4"/>
      <c r="CT366" s="641"/>
      <c r="CU366" s="641"/>
      <c r="CV366" s="641"/>
      <c r="CW366" s="641"/>
      <c r="CX366" s="641"/>
      <c r="CY366" s="641"/>
      <c r="CZ366" s="6"/>
      <c r="DA366" s="6">
        <f t="shared" si="79"/>
        <v>5411.9999999999991</v>
      </c>
      <c r="DB366" s="6">
        <f t="shared" si="80"/>
        <v>4884</v>
      </c>
      <c r="DC366" s="6">
        <f t="shared" si="82"/>
        <v>3564.0000000000005</v>
      </c>
      <c r="DD366" s="6"/>
      <c r="DE366" s="6"/>
      <c r="DF366" s="6"/>
      <c r="DG366" s="6"/>
      <c r="DH366" s="6"/>
      <c r="DI366" s="6"/>
      <c r="DJ366" s="641"/>
      <c r="DK366" s="641"/>
    </row>
    <row r="367" spans="1:115">
      <c r="A367" s="36">
        <v>7</v>
      </c>
      <c r="B367" s="6" t="s">
        <v>1484</v>
      </c>
      <c r="C367" s="6" t="s">
        <v>1485</v>
      </c>
      <c r="D367" s="645" t="s">
        <v>638</v>
      </c>
      <c r="E367" s="645"/>
      <c r="F367" s="342" t="s">
        <v>1455</v>
      </c>
      <c r="G367" s="641">
        <v>30</v>
      </c>
      <c r="H367" s="645"/>
      <c r="I367" s="641">
        <v>5.0999999999999996</v>
      </c>
      <c r="J367" s="641">
        <v>4.3</v>
      </c>
      <c r="K367" s="641">
        <v>3.8</v>
      </c>
      <c r="L367" s="642">
        <v>3.6</v>
      </c>
      <c r="M367" s="641"/>
      <c r="N367" s="641"/>
      <c r="O367" s="641"/>
      <c r="P367" s="641"/>
      <c r="Q367" s="641"/>
      <c r="R367" s="641"/>
      <c r="S367" s="641"/>
      <c r="T367" s="645"/>
      <c r="U367" s="652">
        <v>650</v>
      </c>
      <c r="V367" s="629">
        <v>850</v>
      </c>
      <c r="W367" s="4">
        <f t="shared" si="73"/>
        <v>892.5</v>
      </c>
      <c r="X367" s="4">
        <f t="shared" si="72"/>
        <v>937.125</v>
      </c>
      <c r="Y367" s="4"/>
      <c r="Z367" s="4"/>
      <c r="AA367" s="4"/>
      <c r="AB367" s="4"/>
      <c r="AC367" s="4"/>
      <c r="AD367" s="641"/>
      <c r="AE367" s="641"/>
      <c r="AF367" s="641"/>
      <c r="AG367" s="641"/>
      <c r="AH367" s="641"/>
      <c r="AI367" s="641"/>
      <c r="AJ367" s="641"/>
      <c r="AK367" s="6"/>
      <c r="AL367" s="644">
        <v>22</v>
      </c>
      <c r="AM367" s="644">
        <v>22</v>
      </c>
      <c r="AN367" s="644">
        <v>22</v>
      </c>
      <c r="AO367" s="644">
        <v>22</v>
      </c>
      <c r="AP367" s="4"/>
      <c r="AQ367" s="4"/>
      <c r="AR367" s="4"/>
      <c r="AS367" s="4"/>
      <c r="AT367" s="4"/>
      <c r="AU367" s="4"/>
      <c r="AV367" s="641"/>
      <c r="AW367" s="641"/>
      <c r="AX367" s="641"/>
      <c r="AY367" s="641"/>
      <c r="AZ367" s="641"/>
      <c r="BA367" s="641"/>
      <c r="BB367" s="6"/>
      <c r="BC367" s="4">
        <f t="shared" si="78"/>
        <v>14300</v>
      </c>
      <c r="BD367" s="4">
        <f t="shared" si="74"/>
        <v>18700</v>
      </c>
      <c r="BE367" s="4">
        <f t="shared" si="71"/>
        <v>19635</v>
      </c>
      <c r="BF367" s="4">
        <f t="shared" si="63"/>
        <v>20616.75</v>
      </c>
      <c r="BG367" s="4"/>
      <c r="BH367" s="4"/>
      <c r="BI367" s="4"/>
      <c r="BJ367" s="4"/>
      <c r="BK367" s="6"/>
      <c r="BL367" s="6"/>
      <c r="BM367" s="6"/>
      <c r="BN367" s="6"/>
      <c r="BO367" s="6"/>
      <c r="BP367" s="6"/>
      <c r="BQ367" s="6"/>
      <c r="BR367" s="6"/>
      <c r="BS367" s="6"/>
      <c r="BT367" s="6"/>
      <c r="BU367" s="38">
        <f t="shared" si="83"/>
        <v>0.30769230769230771</v>
      </c>
      <c r="BV367" s="130">
        <v>0.05</v>
      </c>
      <c r="BW367" s="130">
        <f t="shared" si="81"/>
        <v>0.05</v>
      </c>
      <c r="BX367" s="130"/>
      <c r="BY367" s="130"/>
      <c r="BZ367" s="130"/>
      <c r="CA367" s="130"/>
      <c r="CB367" s="130"/>
      <c r="CC367" s="641"/>
      <c r="CD367" s="641"/>
      <c r="CE367" s="6"/>
      <c r="CF367" s="6"/>
      <c r="CG367" s="6"/>
      <c r="CH367" s="6"/>
      <c r="CI367" s="6"/>
      <c r="CJ367" s="6"/>
      <c r="CK367" s="4">
        <f t="shared" si="75"/>
        <v>660</v>
      </c>
      <c r="CL367" s="4">
        <f t="shared" si="76"/>
        <v>660</v>
      </c>
      <c r="CM367" s="4">
        <f t="shared" si="66"/>
        <v>660</v>
      </c>
      <c r="CN367" s="4">
        <f t="shared" si="67"/>
        <v>660</v>
      </c>
      <c r="CO367" s="4"/>
      <c r="CP367" s="4"/>
      <c r="CQ367" s="4"/>
      <c r="CR367" s="4"/>
      <c r="CS367" s="4"/>
      <c r="CT367" s="641"/>
      <c r="CU367" s="641"/>
      <c r="CV367" s="641"/>
      <c r="CW367" s="641"/>
      <c r="CX367" s="641"/>
      <c r="CY367" s="641"/>
      <c r="CZ367" s="6"/>
      <c r="DA367" s="6">
        <f t="shared" si="79"/>
        <v>3365.9999999999995</v>
      </c>
      <c r="DB367" s="6">
        <f t="shared" si="80"/>
        <v>2838</v>
      </c>
      <c r="DC367" s="6">
        <f t="shared" si="82"/>
        <v>2508</v>
      </c>
      <c r="DD367" s="6"/>
      <c r="DE367" s="6"/>
      <c r="DF367" s="6"/>
      <c r="DG367" s="6"/>
      <c r="DH367" s="6"/>
      <c r="DI367" s="6"/>
      <c r="DJ367" s="641"/>
      <c r="DK367" s="641"/>
    </row>
    <row r="368" spans="1:115">
      <c r="A368" s="36">
        <v>7</v>
      </c>
      <c r="B368" s="6" t="s">
        <v>1499</v>
      </c>
      <c r="C368" s="6" t="s">
        <v>1500</v>
      </c>
      <c r="D368" s="645" t="s">
        <v>638</v>
      </c>
      <c r="E368" s="645"/>
      <c r="F368" s="342" t="s">
        <v>1455</v>
      </c>
      <c r="G368" s="641">
        <v>60</v>
      </c>
      <c r="H368" s="645"/>
      <c r="I368" s="641">
        <v>2.5</v>
      </c>
      <c r="J368" s="641">
        <v>2.7</v>
      </c>
      <c r="K368" s="641">
        <v>2.2000000000000002</v>
      </c>
      <c r="L368" s="642">
        <v>1.9</v>
      </c>
      <c r="M368" s="641"/>
      <c r="N368" s="641"/>
      <c r="O368" s="641"/>
      <c r="P368" s="641"/>
      <c r="Q368" s="641"/>
      <c r="R368" s="641"/>
      <c r="S368" s="641"/>
      <c r="T368" s="645"/>
      <c r="U368" s="652">
        <v>950</v>
      </c>
      <c r="V368" s="629">
        <v>965</v>
      </c>
      <c r="W368" s="4">
        <f t="shared" si="73"/>
        <v>980.23684210526324</v>
      </c>
      <c r="X368" s="4">
        <f t="shared" si="72"/>
        <v>995.71426592797798</v>
      </c>
      <c r="Y368" s="4"/>
      <c r="Z368" s="4"/>
      <c r="AA368" s="4"/>
      <c r="AB368" s="4"/>
      <c r="AC368" s="4"/>
      <c r="AD368" s="641"/>
      <c r="AE368" s="641"/>
      <c r="AF368" s="641"/>
      <c r="AG368" s="641"/>
      <c r="AH368" s="641"/>
      <c r="AI368" s="641"/>
      <c r="AJ368" s="641"/>
      <c r="AK368" s="6"/>
      <c r="AL368" s="644">
        <v>22</v>
      </c>
      <c r="AM368" s="644">
        <v>22</v>
      </c>
      <c r="AN368" s="644">
        <v>22</v>
      </c>
      <c r="AO368" s="644">
        <v>22</v>
      </c>
      <c r="AP368" s="4"/>
      <c r="AQ368" s="4"/>
      <c r="AR368" s="4"/>
      <c r="AS368" s="4"/>
      <c r="AT368" s="4"/>
      <c r="AU368" s="4"/>
      <c r="AV368" s="641"/>
      <c r="AW368" s="641"/>
      <c r="AX368" s="641"/>
      <c r="AY368" s="641"/>
      <c r="AZ368" s="641"/>
      <c r="BA368" s="641"/>
      <c r="BB368" s="6"/>
      <c r="BC368" s="4">
        <f t="shared" si="78"/>
        <v>20900</v>
      </c>
      <c r="BD368" s="4">
        <f t="shared" si="74"/>
        <v>21230</v>
      </c>
      <c r="BE368" s="4">
        <f t="shared" si="71"/>
        <v>21565.21052631579</v>
      </c>
      <c r="BF368" s="4">
        <f t="shared" si="63"/>
        <v>21905.713850415515</v>
      </c>
      <c r="BG368" s="4"/>
      <c r="BH368" s="4"/>
      <c r="BI368" s="4"/>
      <c r="BJ368" s="4"/>
      <c r="BK368" s="6"/>
      <c r="BL368" s="6"/>
      <c r="BM368" s="6"/>
      <c r="BN368" s="6"/>
      <c r="BO368" s="6"/>
      <c r="BP368" s="6"/>
      <c r="BQ368" s="6"/>
      <c r="BR368" s="6"/>
      <c r="BS368" s="6"/>
      <c r="BT368" s="6"/>
      <c r="BU368" s="38">
        <f t="shared" si="83"/>
        <v>1.5789473684210575E-2</v>
      </c>
      <c r="BV368" s="130">
        <f>BU368</f>
        <v>1.5789473684210575E-2</v>
      </c>
      <c r="BW368" s="130">
        <f>BV368</f>
        <v>1.5789473684210575E-2</v>
      </c>
      <c r="BX368" s="130"/>
      <c r="BY368" s="130"/>
      <c r="BZ368" s="130"/>
      <c r="CA368" s="130"/>
      <c r="CB368" s="130"/>
      <c r="CC368" s="641"/>
      <c r="CD368" s="641"/>
      <c r="CE368" s="6"/>
      <c r="CF368" s="6"/>
      <c r="CG368" s="6"/>
      <c r="CH368" s="6"/>
      <c r="CI368" s="6"/>
      <c r="CJ368" s="6"/>
      <c r="CK368" s="4">
        <f t="shared" si="75"/>
        <v>1320</v>
      </c>
      <c r="CL368" s="4">
        <f t="shared" si="76"/>
        <v>1320</v>
      </c>
      <c r="CM368" s="4">
        <f t="shared" si="66"/>
        <v>1320</v>
      </c>
      <c r="CN368" s="4">
        <f t="shared" si="67"/>
        <v>1320</v>
      </c>
      <c r="CO368" s="4"/>
      <c r="CP368" s="4"/>
      <c r="CQ368" s="4"/>
      <c r="CR368" s="4"/>
      <c r="CS368" s="4"/>
      <c r="CT368" s="641"/>
      <c r="CU368" s="641"/>
      <c r="CV368" s="641"/>
      <c r="CW368" s="641"/>
      <c r="CX368" s="641"/>
      <c r="CY368" s="641"/>
      <c r="CZ368" s="6"/>
      <c r="DA368" s="6">
        <f t="shared" si="79"/>
        <v>3300</v>
      </c>
      <c r="DB368" s="6">
        <f t="shared" si="80"/>
        <v>3564.0000000000005</v>
      </c>
      <c r="DC368" s="6">
        <f t="shared" si="82"/>
        <v>2904.0000000000005</v>
      </c>
      <c r="DD368" s="6"/>
      <c r="DE368" s="6"/>
      <c r="DF368" s="6"/>
      <c r="DG368" s="6"/>
      <c r="DH368" s="6"/>
      <c r="DI368" s="6"/>
      <c r="DJ368" s="641"/>
      <c r="DK368" s="641"/>
    </row>
    <row r="369" spans="1:115">
      <c r="A369" s="36">
        <v>9</v>
      </c>
      <c r="B369" s="6" t="s">
        <v>1486</v>
      </c>
      <c r="C369" s="6" t="s">
        <v>1482</v>
      </c>
      <c r="D369" s="645" t="s">
        <v>1483</v>
      </c>
      <c r="E369" s="645"/>
      <c r="F369" s="342" t="s">
        <v>1455</v>
      </c>
      <c r="G369" s="641">
        <v>60</v>
      </c>
      <c r="H369" s="645"/>
      <c r="I369" s="641">
        <v>1.2</v>
      </c>
      <c r="J369" s="641">
        <v>2.5</v>
      </c>
      <c r="K369" s="642">
        <v>2</v>
      </c>
      <c r="L369" s="642">
        <v>1.9</v>
      </c>
      <c r="M369" s="641"/>
      <c r="N369" s="641"/>
      <c r="O369" s="641"/>
      <c r="P369" s="641"/>
      <c r="Q369" s="641"/>
      <c r="R369" s="641"/>
      <c r="S369" s="641"/>
      <c r="T369" s="645"/>
      <c r="U369" s="652">
        <v>1100</v>
      </c>
      <c r="V369" s="629">
        <v>1250</v>
      </c>
      <c r="W369" s="4">
        <f t="shared" si="73"/>
        <v>1312.5</v>
      </c>
      <c r="X369" s="4">
        <f t="shared" si="72"/>
        <v>1378.125</v>
      </c>
      <c r="Y369" s="4"/>
      <c r="Z369" s="4"/>
      <c r="AA369" s="4"/>
      <c r="AB369" s="4"/>
      <c r="AC369" s="4"/>
      <c r="AD369" s="641"/>
      <c r="AE369" s="641"/>
      <c r="AF369" s="641"/>
      <c r="AG369" s="641"/>
      <c r="AH369" s="641"/>
      <c r="AI369" s="641"/>
      <c r="AJ369" s="641"/>
      <c r="AK369" s="6"/>
      <c r="AL369" s="644">
        <v>22</v>
      </c>
      <c r="AM369" s="644">
        <v>22</v>
      </c>
      <c r="AN369" s="644">
        <v>22</v>
      </c>
      <c r="AO369" s="644">
        <v>22</v>
      </c>
      <c r="AP369" s="4"/>
      <c r="AQ369" s="4"/>
      <c r="AR369" s="4"/>
      <c r="AS369" s="4"/>
      <c r="AT369" s="4"/>
      <c r="AU369" s="4"/>
      <c r="AV369" s="641"/>
      <c r="AW369" s="641"/>
      <c r="AX369" s="641"/>
      <c r="AY369" s="641"/>
      <c r="AZ369" s="641"/>
      <c r="BA369" s="641"/>
      <c r="BB369" s="6"/>
      <c r="BC369" s="4">
        <f t="shared" si="78"/>
        <v>24200</v>
      </c>
      <c r="BD369" s="4">
        <f t="shared" si="74"/>
        <v>27500</v>
      </c>
      <c r="BE369" s="4">
        <f t="shared" si="71"/>
        <v>28875</v>
      </c>
      <c r="BF369" s="4">
        <f t="shared" si="63"/>
        <v>30318.75</v>
      </c>
      <c r="BG369" s="4"/>
      <c r="BH369" s="4"/>
      <c r="BI369" s="4"/>
      <c r="BJ369" s="4"/>
      <c r="BK369" s="6"/>
      <c r="BL369" s="6"/>
      <c r="BM369" s="6"/>
      <c r="BN369" s="6"/>
      <c r="BO369" s="6"/>
      <c r="BP369" s="6"/>
      <c r="BQ369" s="6"/>
      <c r="BR369" s="6"/>
      <c r="BS369" s="6"/>
      <c r="BT369" s="6"/>
      <c r="BU369" s="38">
        <f t="shared" si="83"/>
        <v>0.13636363636363646</v>
      </c>
      <c r="BV369" s="130">
        <v>0.05</v>
      </c>
      <c r="BW369" s="130">
        <f>BV369</f>
        <v>0.05</v>
      </c>
      <c r="BX369" s="130"/>
      <c r="BY369" s="130"/>
      <c r="BZ369" s="130"/>
      <c r="CA369" s="130"/>
      <c r="CB369" s="130"/>
      <c r="CC369" s="641"/>
      <c r="CD369" s="641"/>
      <c r="CE369" s="6"/>
      <c r="CF369" s="6"/>
      <c r="CG369" s="6"/>
      <c r="CH369" s="6"/>
      <c r="CI369" s="6"/>
      <c r="CJ369" s="6"/>
      <c r="CK369" s="4">
        <f t="shared" si="75"/>
        <v>1320</v>
      </c>
      <c r="CL369" s="4">
        <f t="shared" si="76"/>
        <v>1320</v>
      </c>
      <c r="CM369" s="4">
        <f t="shared" si="66"/>
        <v>1320</v>
      </c>
      <c r="CN369" s="4">
        <f t="shared" si="67"/>
        <v>1320</v>
      </c>
      <c r="CO369" s="4"/>
      <c r="CP369" s="4"/>
      <c r="CQ369" s="4"/>
      <c r="CR369" s="4"/>
      <c r="CS369" s="4"/>
      <c r="CT369" s="641"/>
      <c r="CU369" s="641"/>
      <c r="CV369" s="641"/>
      <c r="CW369" s="641"/>
      <c r="CX369" s="641"/>
      <c r="CY369" s="641"/>
      <c r="CZ369" s="6"/>
      <c r="DA369" s="6">
        <f t="shared" si="79"/>
        <v>1584</v>
      </c>
      <c r="DB369" s="6">
        <f t="shared" si="80"/>
        <v>3300</v>
      </c>
      <c r="DC369" s="6">
        <f t="shared" si="82"/>
        <v>2640</v>
      </c>
      <c r="DD369" s="6"/>
      <c r="DE369" s="6"/>
      <c r="DF369" s="6"/>
      <c r="DG369" s="6"/>
      <c r="DH369" s="6"/>
      <c r="DI369" s="6"/>
      <c r="DJ369" s="641"/>
      <c r="DK369" s="641"/>
    </row>
    <row r="370" spans="1:115">
      <c r="A370" s="36">
        <v>10</v>
      </c>
      <c r="B370" s="6" t="s">
        <v>1487</v>
      </c>
      <c r="C370" s="6" t="s">
        <v>1488</v>
      </c>
      <c r="D370" s="645" t="s">
        <v>638</v>
      </c>
      <c r="E370" s="645"/>
      <c r="F370" s="342" t="s">
        <v>1455</v>
      </c>
      <c r="G370" s="641">
        <v>60</v>
      </c>
      <c r="H370" s="645"/>
      <c r="I370" s="641">
        <v>3.6</v>
      </c>
      <c r="J370" s="641">
        <v>2.8</v>
      </c>
      <c r="K370" s="641">
        <v>2.2999999999999998</v>
      </c>
      <c r="L370" s="642">
        <v>2</v>
      </c>
      <c r="M370" s="641"/>
      <c r="N370" s="641"/>
      <c r="O370" s="641"/>
      <c r="P370" s="641"/>
      <c r="Q370" s="641"/>
      <c r="R370" s="641"/>
      <c r="S370" s="641"/>
      <c r="T370" s="645"/>
      <c r="U370" s="653">
        <v>1900</v>
      </c>
      <c r="V370" s="629">
        <v>2090</v>
      </c>
      <c r="W370" s="4">
        <f t="shared" si="73"/>
        <v>2194.5</v>
      </c>
      <c r="X370" s="4">
        <f t="shared" si="72"/>
        <v>2304.2249999999999</v>
      </c>
      <c r="Y370" s="4"/>
      <c r="Z370" s="4"/>
      <c r="AA370" s="4"/>
      <c r="AB370" s="4"/>
      <c r="AC370" s="4"/>
      <c r="AD370" s="641"/>
      <c r="AE370" s="641"/>
      <c r="AF370" s="641"/>
      <c r="AG370" s="641"/>
      <c r="AH370" s="641"/>
      <c r="AI370" s="641"/>
      <c r="AJ370" s="641"/>
      <c r="AK370" s="6"/>
      <c r="AL370" s="644">
        <v>22</v>
      </c>
      <c r="AM370" s="644">
        <v>22</v>
      </c>
      <c r="AN370" s="644">
        <v>22</v>
      </c>
      <c r="AO370" s="644">
        <v>22</v>
      </c>
      <c r="AP370" s="4"/>
      <c r="AQ370" s="4"/>
      <c r="AR370" s="4"/>
      <c r="AS370" s="4"/>
      <c r="AT370" s="4"/>
      <c r="AU370" s="4"/>
      <c r="AV370" s="641"/>
      <c r="AW370" s="641"/>
      <c r="AX370" s="641"/>
      <c r="AY370" s="641"/>
      <c r="AZ370" s="641"/>
      <c r="BA370" s="641"/>
      <c r="BB370" s="6"/>
      <c r="BC370" s="4">
        <f t="shared" si="78"/>
        <v>41800</v>
      </c>
      <c r="BD370" s="4">
        <f t="shared" si="74"/>
        <v>45980</v>
      </c>
      <c r="BE370" s="4">
        <f t="shared" si="71"/>
        <v>48279</v>
      </c>
      <c r="BF370" s="4">
        <f t="shared" si="63"/>
        <v>50692.95</v>
      </c>
      <c r="BG370" s="4"/>
      <c r="BH370" s="4"/>
      <c r="BI370" s="4"/>
      <c r="BJ370" s="4"/>
      <c r="BK370" s="6"/>
      <c r="BL370" s="6"/>
      <c r="BM370" s="6"/>
      <c r="BN370" s="6"/>
      <c r="BO370" s="6"/>
      <c r="BP370" s="6"/>
      <c r="BQ370" s="6"/>
      <c r="BR370" s="6"/>
      <c r="BS370" s="6"/>
      <c r="BT370" s="6"/>
      <c r="BU370" s="38">
        <f>V370/U370-1</f>
        <v>0.10000000000000009</v>
      </c>
      <c r="BV370" s="130">
        <v>0.05</v>
      </c>
      <c r="BW370" s="130">
        <f>BV370</f>
        <v>0.05</v>
      </c>
      <c r="BX370" s="130"/>
      <c r="BY370" s="130"/>
      <c r="BZ370" s="130"/>
      <c r="CA370" s="130"/>
      <c r="CB370" s="130"/>
      <c r="CC370" s="641"/>
      <c r="CD370" s="641"/>
      <c r="CE370" s="6"/>
      <c r="CF370" s="6"/>
      <c r="CG370" s="6"/>
      <c r="CH370" s="6"/>
      <c r="CI370" s="6"/>
      <c r="CJ370" s="6"/>
      <c r="CK370" s="4">
        <f t="shared" si="75"/>
        <v>1320</v>
      </c>
      <c r="CL370" s="4">
        <f t="shared" si="76"/>
        <v>1320</v>
      </c>
      <c r="CM370" s="4">
        <f t="shared" si="66"/>
        <v>1320</v>
      </c>
      <c r="CN370" s="4">
        <f t="shared" si="67"/>
        <v>1320</v>
      </c>
      <c r="CO370" s="4"/>
      <c r="CP370" s="4"/>
      <c r="CQ370" s="4"/>
      <c r="CR370" s="4"/>
      <c r="CS370" s="4"/>
      <c r="CT370" s="641"/>
      <c r="CU370" s="641"/>
      <c r="CV370" s="641"/>
      <c r="CW370" s="641"/>
      <c r="CX370" s="641"/>
      <c r="CY370" s="641"/>
      <c r="CZ370" s="6"/>
      <c r="DA370" s="6">
        <f t="shared" si="79"/>
        <v>4752</v>
      </c>
      <c r="DB370" s="6">
        <f t="shared" si="80"/>
        <v>3695.9999999999995</v>
      </c>
      <c r="DC370" s="6">
        <f t="shared" si="82"/>
        <v>3035.9999999999995</v>
      </c>
      <c r="DD370" s="6"/>
      <c r="DE370" s="6"/>
      <c r="DF370" s="6"/>
      <c r="DG370" s="6"/>
      <c r="DH370" s="6"/>
      <c r="DI370" s="6"/>
      <c r="DJ370" s="641"/>
      <c r="DK370" s="641"/>
    </row>
    <row r="371" spans="1:115">
      <c r="A371" s="36">
        <v>10</v>
      </c>
      <c r="B371" s="6" t="s">
        <v>1501</v>
      </c>
      <c r="C371" s="6" t="s">
        <v>1502</v>
      </c>
      <c r="D371" s="645" t="s">
        <v>638</v>
      </c>
      <c r="E371" s="645"/>
      <c r="F371" s="342" t="s">
        <v>1455</v>
      </c>
      <c r="G371" s="641">
        <v>30</v>
      </c>
      <c r="H371" s="645"/>
      <c r="I371" s="641">
        <v>7.3</v>
      </c>
      <c r="J371" s="641">
        <v>6.3</v>
      </c>
      <c r="K371" s="641">
        <v>5.7</v>
      </c>
      <c r="L371" s="642">
        <v>5.7</v>
      </c>
      <c r="M371" s="641"/>
      <c r="N371" s="641"/>
      <c r="O371" s="641"/>
      <c r="P371" s="641"/>
      <c r="Q371" s="641"/>
      <c r="R371" s="641"/>
      <c r="S371" s="641"/>
      <c r="T371" s="645"/>
      <c r="U371" s="653">
        <v>2800</v>
      </c>
      <c r="V371" s="629">
        <v>3080</v>
      </c>
      <c r="W371" s="4">
        <f t="shared" si="73"/>
        <v>3234</v>
      </c>
      <c r="X371" s="95">
        <f t="shared" si="72"/>
        <v>3395.7000000000003</v>
      </c>
      <c r="Y371" s="95"/>
      <c r="Z371" s="95"/>
      <c r="AA371" s="95"/>
      <c r="AB371" s="95"/>
      <c r="AC371" s="95"/>
      <c r="AD371" s="641"/>
      <c r="AE371" s="641"/>
      <c r="AF371" s="641"/>
      <c r="AG371" s="641"/>
      <c r="AH371" s="641"/>
      <c r="AI371" s="641"/>
      <c r="AJ371" s="641"/>
      <c r="AK371" s="6"/>
      <c r="AL371" s="644">
        <v>22</v>
      </c>
      <c r="AM371" s="644">
        <v>22</v>
      </c>
      <c r="AN371" s="644">
        <v>22</v>
      </c>
      <c r="AO371" s="644">
        <v>22</v>
      </c>
      <c r="AP371" s="95"/>
      <c r="AQ371" s="95"/>
      <c r="AR371" s="95"/>
      <c r="AS371" s="95"/>
      <c r="AT371" s="95"/>
      <c r="AU371" s="95"/>
      <c r="AV371" s="641"/>
      <c r="AW371" s="641"/>
      <c r="AX371" s="641"/>
      <c r="AY371" s="641"/>
      <c r="AZ371" s="641"/>
      <c r="BA371" s="641"/>
      <c r="BB371" s="6"/>
      <c r="BC371" s="4">
        <f t="shared" si="78"/>
        <v>61600</v>
      </c>
      <c r="BD371" s="4">
        <f t="shared" si="74"/>
        <v>67760</v>
      </c>
      <c r="BE371" s="4">
        <f t="shared" si="71"/>
        <v>71148</v>
      </c>
      <c r="BF371" s="4">
        <f t="shared" si="63"/>
        <v>74705.400000000009</v>
      </c>
      <c r="BG371" s="4"/>
      <c r="BH371" s="4"/>
      <c r="BI371" s="4"/>
      <c r="BJ371" s="4"/>
      <c r="BK371" s="6"/>
      <c r="BL371" s="6"/>
      <c r="BM371" s="6"/>
      <c r="BN371" s="6"/>
      <c r="BO371" s="6"/>
      <c r="BP371" s="6"/>
      <c r="BQ371" s="6"/>
      <c r="BR371" s="6"/>
      <c r="BS371" s="6"/>
      <c r="BT371" s="6"/>
      <c r="BU371" s="38">
        <f t="shared" si="83"/>
        <v>0.10000000000000009</v>
      </c>
      <c r="BV371" s="130">
        <v>0.05</v>
      </c>
      <c r="BW371" s="130">
        <f>BV371</f>
        <v>0.05</v>
      </c>
      <c r="BX371" s="130"/>
      <c r="BY371" s="130"/>
      <c r="BZ371" s="130"/>
      <c r="CA371" s="130"/>
      <c r="CB371" s="130"/>
      <c r="CC371" s="641"/>
      <c r="CD371" s="641"/>
      <c r="CE371" s="6"/>
      <c r="CF371" s="6"/>
      <c r="CG371" s="6"/>
      <c r="CH371" s="6"/>
      <c r="CI371" s="6"/>
      <c r="CJ371" s="6"/>
      <c r="CK371" s="4">
        <f t="shared" si="75"/>
        <v>660</v>
      </c>
      <c r="CL371" s="4">
        <f t="shared" si="76"/>
        <v>660</v>
      </c>
      <c r="CM371" s="4">
        <f t="shared" si="66"/>
        <v>660</v>
      </c>
      <c r="CN371" s="4">
        <f t="shared" si="67"/>
        <v>660</v>
      </c>
      <c r="CO371" s="4"/>
      <c r="CP371" s="4"/>
      <c r="CQ371" s="4"/>
      <c r="CR371" s="4"/>
      <c r="CS371" s="4"/>
      <c r="CT371" s="641"/>
      <c r="CU371" s="641"/>
      <c r="CV371" s="641"/>
      <c r="CW371" s="641"/>
      <c r="CX371" s="641"/>
      <c r="CY371" s="641"/>
      <c r="CZ371" s="6"/>
      <c r="DA371" s="6">
        <f t="shared" si="79"/>
        <v>4818</v>
      </c>
      <c r="DB371" s="6">
        <f t="shared" si="80"/>
        <v>4158</v>
      </c>
      <c r="DC371" s="6">
        <f t="shared" si="82"/>
        <v>3762</v>
      </c>
      <c r="DD371" s="6"/>
      <c r="DE371" s="6"/>
      <c r="DF371" s="6"/>
      <c r="DG371" s="6"/>
      <c r="DH371" s="6"/>
      <c r="DI371" s="6"/>
      <c r="DJ371" s="641"/>
      <c r="DK371" s="641"/>
    </row>
    <row r="372" spans="1:115">
      <c r="A372" s="36">
        <v>17</v>
      </c>
      <c r="B372" s="6" t="s">
        <v>1503</v>
      </c>
      <c r="C372" s="6" t="s">
        <v>1500</v>
      </c>
      <c r="D372" s="645" t="s">
        <v>638</v>
      </c>
      <c r="E372" s="645"/>
      <c r="F372" s="342" t="s">
        <v>1455</v>
      </c>
      <c r="G372" s="641">
        <v>60</v>
      </c>
      <c r="H372" s="645"/>
      <c r="I372" s="642">
        <v>3</v>
      </c>
      <c r="J372" s="641">
        <v>2.4</v>
      </c>
      <c r="K372" s="641">
        <v>2.4</v>
      </c>
      <c r="L372" s="642">
        <v>2.1</v>
      </c>
      <c r="M372" s="641"/>
      <c r="N372" s="641"/>
      <c r="O372" s="641"/>
      <c r="P372" s="641"/>
      <c r="Q372" s="641"/>
      <c r="R372" s="641"/>
      <c r="S372" s="641"/>
      <c r="T372" s="645"/>
      <c r="U372" s="652">
        <v>700</v>
      </c>
      <c r="V372" s="629">
        <v>695</v>
      </c>
      <c r="W372" s="4">
        <f t="shared" si="73"/>
        <v>690.03571428571433</v>
      </c>
      <c r="X372" s="4">
        <f t="shared" si="72"/>
        <v>685.10688775510209</v>
      </c>
      <c r="Y372" s="4"/>
      <c r="Z372" s="4"/>
      <c r="AA372" s="4"/>
      <c r="AB372" s="4"/>
      <c r="AC372" s="4"/>
      <c r="AD372" s="641"/>
      <c r="AE372" s="641"/>
      <c r="AF372" s="641"/>
      <c r="AG372" s="641"/>
      <c r="AH372" s="641"/>
      <c r="AI372" s="641"/>
      <c r="AJ372" s="641"/>
      <c r="AK372" s="6"/>
      <c r="AL372" s="644">
        <v>22</v>
      </c>
      <c r="AM372" s="644">
        <v>22</v>
      </c>
      <c r="AN372" s="644">
        <v>22</v>
      </c>
      <c r="AO372" s="644">
        <v>22</v>
      </c>
      <c r="AP372" s="4"/>
      <c r="AQ372" s="4"/>
      <c r="AR372" s="4"/>
      <c r="AS372" s="4"/>
      <c r="AT372" s="4"/>
      <c r="AU372" s="4"/>
      <c r="AV372" s="641"/>
      <c r="AW372" s="641"/>
      <c r="AX372" s="641"/>
      <c r="AY372" s="641"/>
      <c r="AZ372" s="641"/>
      <c r="BA372" s="641"/>
      <c r="BB372" s="6"/>
      <c r="BC372" s="4">
        <f t="shared" si="78"/>
        <v>15400</v>
      </c>
      <c r="BD372" s="4">
        <f t="shared" si="74"/>
        <v>15290</v>
      </c>
      <c r="BE372" s="4">
        <f t="shared" si="71"/>
        <v>15180.785714285716</v>
      </c>
      <c r="BF372" s="4">
        <f t="shared" si="63"/>
        <v>15072.351530612246</v>
      </c>
      <c r="BG372" s="4"/>
      <c r="BH372" s="4"/>
      <c r="BI372" s="4"/>
      <c r="BJ372" s="4"/>
      <c r="BK372" s="6"/>
      <c r="BL372" s="6"/>
      <c r="BM372" s="6"/>
      <c r="BN372" s="6"/>
      <c r="BO372" s="6"/>
      <c r="BP372" s="6"/>
      <c r="BQ372" s="6"/>
      <c r="BR372" s="6"/>
      <c r="BS372" s="6"/>
      <c r="BT372" s="6"/>
      <c r="BU372" s="38">
        <f t="shared" si="83"/>
        <v>-7.1428571428571175E-3</v>
      </c>
      <c r="BV372" s="130">
        <f>BU372</f>
        <v>-7.1428571428571175E-3</v>
      </c>
      <c r="BW372" s="130">
        <f>BV372</f>
        <v>-7.1428571428571175E-3</v>
      </c>
      <c r="BX372" s="130"/>
      <c r="BY372" s="130"/>
      <c r="BZ372" s="130"/>
      <c r="CA372" s="130"/>
      <c r="CB372" s="130"/>
      <c r="CC372" s="641"/>
      <c r="CD372" s="641"/>
      <c r="CE372" s="6"/>
      <c r="CF372" s="6"/>
      <c r="CG372" s="6"/>
      <c r="CH372" s="6"/>
      <c r="CI372" s="6"/>
      <c r="CJ372" s="6"/>
      <c r="CK372" s="4">
        <f t="shared" si="75"/>
        <v>1320</v>
      </c>
      <c r="CL372" s="4">
        <f t="shared" si="76"/>
        <v>1320</v>
      </c>
      <c r="CM372" s="4">
        <f t="shared" si="66"/>
        <v>1320</v>
      </c>
      <c r="CN372" s="4">
        <f t="shared" si="67"/>
        <v>1320</v>
      </c>
      <c r="CO372" s="4"/>
      <c r="CP372" s="4"/>
      <c r="CQ372" s="4"/>
      <c r="CR372" s="4"/>
      <c r="CS372" s="4"/>
      <c r="CT372" s="641"/>
      <c r="CU372" s="641"/>
      <c r="CV372" s="641"/>
      <c r="CW372" s="641"/>
      <c r="CX372" s="641"/>
      <c r="CY372" s="641"/>
      <c r="CZ372" s="6"/>
      <c r="DA372" s="6">
        <f t="shared" si="79"/>
        <v>3960</v>
      </c>
      <c r="DB372" s="6">
        <f t="shared" si="80"/>
        <v>3168</v>
      </c>
      <c r="DC372" s="6">
        <f t="shared" si="82"/>
        <v>3168</v>
      </c>
      <c r="DD372" s="6"/>
      <c r="DE372" s="6"/>
      <c r="DF372" s="6"/>
      <c r="DG372" s="6"/>
      <c r="DH372" s="6"/>
      <c r="DI372" s="6"/>
      <c r="DJ372" s="641"/>
      <c r="DK372" s="641"/>
    </row>
    <row r="373" spans="1:115">
      <c r="A373" s="259">
        <v>37</v>
      </c>
      <c r="B373" s="84" t="s">
        <v>1504</v>
      </c>
      <c r="C373" s="84" t="s">
        <v>1500</v>
      </c>
      <c r="D373" s="645" t="s">
        <v>638</v>
      </c>
      <c r="E373" s="645"/>
      <c r="F373" s="342" t="s">
        <v>1455</v>
      </c>
      <c r="G373" s="641">
        <v>60</v>
      </c>
      <c r="H373" s="645"/>
      <c r="I373" s="641">
        <v>3.2</v>
      </c>
      <c r="J373" s="641">
        <v>2.9</v>
      </c>
      <c r="K373" s="641">
        <v>3.1</v>
      </c>
      <c r="L373" s="642">
        <v>3.1</v>
      </c>
      <c r="M373" s="641"/>
      <c r="N373" s="641"/>
      <c r="O373" s="641"/>
      <c r="P373" s="641"/>
      <c r="Q373" s="641"/>
      <c r="R373" s="641"/>
      <c r="S373" s="641"/>
      <c r="T373" s="645"/>
      <c r="U373" s="652">
        <v>1100</v>
      </c>
      <c r="V373" s="629">
        <v>1125</v>
      </c>
      <c r="W373" s="4">
        <f t="shared" si="73"/>
        <v>1150.5681818181818</v>
      </c>
      <c r="X373" s="4">
        <f t="shared" si="72"/>
        <v>1176.717458677686</v>
      </c>
      <c r="Y373" s="4"/>
      <c r="Z373" s="4"/>
      <c r="AA373" s="4"/>
      <c r="AB373" s="4"/>
      <c r="AC373" s="4"/>
      <c r="AD373" s="641"/>
      <c r="AE373" s="641"/>
      <c r="AF373" s="641"/>
      <c r="AG373" s="641"/>
      <c r="AH373" s="641"/>
      <c r="AI373" s="641"/>
      <c r="AJ373" s="641"/>
      <c r="AK373" s="6"/>
      <c r="AL373" s="644">
        <v>22</v>
      </c>
      <c r="AM373" s="644">
        <v>22</v>
      </c>
      <c r="AN373" s="644">
        <v>22</v>
      </c>
      <c r="AO373" s="644">
        <v>22</v>
      </c>
      <c r="AP373" s="4"/>
      <c r="AQ373" s="4"/>
      <c r="AR373" s="4"/>
      <c r="AS373" s="4"/>
      <c r="AT373" s="4"/>
      <c r="AU373" s="4"/>
      <c r="AV373" s="641"/>
      <c r="AW373" s="641"/>
      <c r="AX373" s="641"/>
      <c r="AY373" s="641"/>
      <c r="AZ373" s="641"/>
      <c r="BA373" s="641"/>
      <c r="BB373" s="6"/>
      <c r="BC373" s="4">
        <f t="shared" si="78"/>
        <v>24200</v>
      </c>
      <c r="BD373" s="4">
        <f t="shared" si="74"/>
        <v>24750</v>
      </c>
      <c r="BE373" s="4">
        <f t="shared" si="71"/>
        <v>25312.5</v>
      </c>
      <c r="BF373" s="4">
        <f t="shared" si="63"/>
        <v>25887.784090909092</v>
      </c>
      <c r="BG373" s="4"/>
      <c r="BH373" s="4"/>
      <c r="BI373" s="4"/>
      <c r="BJ373" s="4"/>
      <c r="BK373" s="6"/>
      <c r="BL373" s="6"/>
      <c r="BM373" s="6"/>
      <c r="BN373" s="6"/>
      <c r="BO373" s="6"/>
      <c r="BP373" s="6"/>
      <c r="BQ373" s="6"/>
      <c r="BR373" s="6"/>
      <c r="BS373" s="6"/>
      <c r="BT373" s="6"/>
      <c r="BU373" s="38">
        <f t="shared" si="83"/>
        <v>2.2727272727272707E-2</v>
      </c>
      <c r="BV373" s="130">
        <f>BU373</f>
        <v>2.2727272727272707E-2</v>
      </c>
      <c r="BW373" s="130">
        <f>BV373</f>
        <v>2.2727272727272707E-2</v>
      </c>
      <c r="BX373" s="130"/>
      <c r="BY373" s="130"/>
      <c r="BZ373" s="130"/>
      <c r="CA373" s="130"/>
      <c r="CB373" s="130"/>
      <c r="CC373" s="641"/>
      <c r="CD373" s="641"/>
      <c r="CE373" s="6"/>
      <c r="CF373" s="6"/>
      <c r="CG373" s="6"/>
      <c r="CH373" s="6"/>
      <c r="CI373" s="6"/>
      <c r="CJ373" s="6"/>
      <c r="CK373" s="4">
        <f t="shared" si="75"/>
        <v>1320</v>
      </c>
      <c r="CL373" s="4">
        <f t="shared" si="76"/>
        <v>1320</v>
      </c>
      <c r="CM373" s="4">
        <f t="shared" si="66"/>
        <v>1320</v>
      </c>
      <c r="CN373" s="4">
        <f t="shared" si="67"/>
        <v>1320</v>
      </c>
      <c r="CO373" s="4"/>
      <c r="CP373" s="4"/>
      <c r="CQ373" s="4"/>
      <c r="CR373" s="4"/>
      <c r="CS373" s="4"/>
      <c r="CT373" s="641"/>
      <c r="CU373" s="641"/>
      <c r="CV373" s="641"/>
      <c r="CW373" s="641"/>
      <c r="CX373" s="641"/>
      <c r="CY373" s="641"/>
      <c r="CZ373" s="6"/>
      <c r="DA373" s="6">
        <f t="shared" si="79"/>
        <v>4224</v>
      </c>
      <c r="DB373" s="6">
        <f t="shared" si="80"/>
        <v>3828</v>
      </c>
      <c r="DC373" s="6">
        <f t="shared" si="82"/>
        <v>4092</v>
      </c>
      <c r="DD373" s="6"/>
      <c r="DE373" s="6"/>
      <c r="DF373" s="6"/>
      <c r="DG373" s="6"/>
      <c r="DH373" s="6"/>
      <c r="DI373" s="6"/>
      <c r="DJ373" s="641"/>
      <c r="DK373" s="641"/>
    </row>
    <row r="374" spans="1:115">
      <c r="A374" s="640" t="s">
        <v>1505</v>
      </c>
      <c r="B374" s="656"/>
      <c r="C374" s="6"/>
      <c r="D374" s="657"/>
      <c r="E374" s="657"/>
      <c r="F374" s="657"/>
      <c r="G374" s="658"/>
      <c r="H374" s="84"/>
      <c r="I374" s="84"/>
      <c r="J374" s="84"/>
      <c r="K374" s="84"/>
      <c r="L374" s="84"/>
      <c r="M374" s="84"/>
      <c r="N374" s="84"/>
      <c r="O374" s="84"/>
      <c r="P374" s="84"/>
      <c r="Q374" s="84"/>
      <c r="R374" s="84"/>
      <c r="S374" s="84"/>
      <c r="T374" s="84"/>
      <c r="U374" s="4"/>
      <c r="V374" s="4"/>
      <c r="W374" s="4"/>
      <c r="X374" s="4"/>
      <c r="Y374" s="4"/>
      <c r="Z374" s="4"/>
      <c r="AA374" s="4"/>
      <c r="AB374" s="4"/>
      <c r="AC374" s="4"/>
      <c r="AD374" s="84"/>
      <c r="AE374" s="84"/>
      <c r="AF374" s="84"/>
      <c r="AG374" s="84"/>
      <c r="AH374" s="84"/>
      <c r="AI374" s="84"/>
      <c r="AJ374" s="84"/>
      <c r="AK374" s="6"/>
      <c r="AL374" s="275"/>
      <c r="AM374" s="275"/>
      <c r="AN374" s="275"/>
      <c r="AO374" s="275"/>
      <c r="AP374" s="4"/>
      <c r="AQ374" s="4"/>
      <c r="AR374" s="4"/>
      <c r="AS374" s="4"/>
      <c r="AT374" s="4"/>
      <c r="AU374" s="4"/>
      <c r="AV374" s="84"/>
      <c r="AW374" s="84"/>
      <c r="AX374" s="84"/>
      <c r="AY374" s="84"/>
      <c r="AZ374" s="84"/>
      <c r="BA374" s="84"/>
      <c r="BB374" s="6"/>
      <c r="BC374" s="6"/>
      <c r="BD374" s="6"/>
      <c r="BE374" s="6"/>
      <c r="BF374" s="6"/>
      <c r="BG374" s="6"/>
      <c r="BH374" s="6"/>
      <c r="BI374" s="6"/>
      <c r="BJ374" s="6"/>
      <c r="BK374" s="6"/>
      <c r="BL374" s="6"/>
      <c r="BM374" s="6"/>
      <c r="BN374" s="6"/>
      <c r="BO374" s="6"/>
      <c r="BP374" s="6"/>
      <c r="BQ374" s="6"/>
      <c r="BR374" s="6"/>
      <c r="BS374" s="6"/>
      <c r="BT374" s="6"/>
      <c r="BU374" s="6"/>
      <c r="BV374" s="6"/>
      <c r="BW374" s="6"/>
      <c r="BX374" s="6"/>
      <c r="BY374" s="6"/>
      <c r="BZ374" s="6"/>
      <c r="CA374" s="6"/>
      <c r="CB374" s="6"/>
      <c r="CC374" s="84"/>
      <c r="CD374" s="84"/>
      <c r="CE374" s="6"/>
      <c r="CF374" s="6"/>
      <c r="CG374" s="6"/>
      <c r="CH374" s="6"/>
      <c r="CI374" s="6"/>
      <c r="CJ374" s="6"/>
      <c r="CK374" s="4">
        <f t="shared" si="75"/>
        <v>0</v>
      </c>
      <c r="CL374" s="4">
        <f t="shared" si="76"/>
        <v>0</v>
      </c>
      <c r="CM374" s="4">
        <f t="shared" si="66"/>
        <v>0</v>
      </c>
      <c r="CN374" s="4">
        <f t="shared" si="67"/>
        <v>0</v>
      </c>
      <c r="CO374" s="4"/>
      <c r="CP374" s="4"/>
      <c r="CQ374" s="4"/>
      <c r="CR374" s="4"/>
      <c r="CS374" s="4"/>
      <c r="CT374" s="84"/>
      <c r="CU374" s="84"/>
      <c r="CV374" s="84"/>
      <c r="CW374" s="84"/>
      <c r="CX374" s="84"/>
      <c r="CY374" s="84"/>
      <c r="CZ374" s="659"/>
      <c r="DA374" s="6">
        <f t="shared" si="79"/>
        <v>0</v>
      </c>
      <c r="DB374" s="6">
        <f t="shared" si="80"/>
        <v>0</v>
      </c>
      <c r="DC374" s="6">
        <f t="shared" si="82"/>
        <v>0</v>
      </c>
      <c r="DD374" s="6"/>
      <c r="DE374" s="6"/>
      <c r="DF374" s="6"/>
      <c r="DG374" s="6"/>
      <c r="DH374" s="6"/>
      <c r="DI374" s="6"/>
      <c r="DJ374" s="84"/>
      <c r="DK374" s="84"/>
    </row>
    <row r="375" spans="1:115">
      <c r="A375" s="259">
        <v>1</v>
      </c>
      <c r="B375" s="84" t="s">
        <v>1506</v>
      </c>
      <c r="C375" s="84" t="s">
        <v>1508</v>
      </c>
      <c r="D375" s="645" t="s">
        <v>1509</v>
      </c>
      <c r="E375" s="645"/>
      <c r="F375" s="645" t="s">
        <v>1455</v>
      </c>
      <c r="G375" s="641">
        <v>30</v>
      </c>
      <c r="H375" s="84"/>
      <c r="I375" s="4"/>
      <c r="J375" s="4"/>
      <c r="K375" s="642">
        <v>2.8</v>
      </c>
      <c r="L375" s="4"/>
      <c r="M375" s="4"/>
      <c r="N375" s="4"/>
      <c r="O375" s="4"/>
      <c r="P375" s="4"/>
      <c r="Q375" s="4"/>
      <c r="R375" s="4"/>
      <c r="S375" s="4"/>
      <c r="T375" s="84"/>
      <c r="U375" s="4">
        <v>0</v>
      </c>
      <c r="V375" s="4">
        <v>0</v>
      </c>
      <c r="W375" s="4">
        <v>500</v>
      </c>
      <c r="X375" s="641">
        <v>0</v>
      </c>
      <c r="Y375" s="641"/>
      <c r="Z375" s="641"/>
      <c r="AA375" s="641"/>
      <c r="AB375" s="641"/>
      <c r="AC375" s="641"/>
      <c r="AD375" s="4"/>
      <c r="AE375" s="4"/>
      <c r="AF375" s="4"/>
      <c r="AG375" s="4"/>
      <c r="AH375" s="4"/>
      <c r="AI375" s="4"/>
      <c r="AJ375" s="4"/>
      <c r="AK375" s="6"/>
      <c r="AL375" s="647">
        <v>0</v>
      </c>
      <c r="AM375" s="647">
        <v>0</v>
      </c>
      <c r="AN375" s="644">
        <v>22</v>
      </c>
      <c r="AO375" s="647">
        <v>0</v>
      </c>
      <c r="AP375" s="641"/>
      <c r="AQ375" s="641"/>
      <c r="AR375" s="641"/>
      <c r="AS375" s="641"/>
      <c r="AT375" s="641"/>
      <c r="AU375" s="641"/>
      <c r="AV375" s="4"/>
      <c r="AW375" s="4"/>
      <c r="AX375" s="4"/>
      <c r="AY375" s="4"/>
      <c r="AZ375" s="4"/>
      <c r="BA375" s="4"/>
      <c r="BB375" s="6"/>
      <c r="BC375" s="4"/>
      <c r="BD375" s="4"/>
      <c r="BE375" s="4">
        <f t="shared" ref="BE375:BE384" si="84">W375*AN375</f>
        <v>11000</v>
      </c>
      <c r="BF375" s="4"/>
      <c r="BG375" s="4"/>
      <c r="BH375" s="4"/>
      <c r="BI375" s="4"/>
      <c r="BJ375" s="4"/>
      <c r="BK375" s="6"/>
      <c r="BL375" s="6"/>
      <c r="BM375" s="6"/>
      <c r="BN375" s="6"/>
      <c r="BO375" s="6"/>
      <c r="BP375" s="6"/>
      <c r="BQ375" s="6"/>
      <c r="BR375" s="6"/>
      <c r="BS375" s="6"/>
      <c r="BT375" s="6"/>
      <c r="BU375" s="130"/>
      <c r="BV375" s="6"/>
      <c r="BW375" s="6"/>
      <c r="BX375" s="6"/>
      <c r="BY375" s="6"/>
      <c r="BZ375" s="6"/>
      <c r="CA375" s="6"/>
      <c r="CB375" s="6"/>
      <c r="CC375" s="4"/>
      <c r="CD375" s="4"/>
      <c r="CE375" s="6"/>
      <c r="CF375" s="6"/>
      <c r="CG375" s="6"/>
      <c r="CH375" s="6"/>
      <c r="CI375" s="6"/>
      <c r="CJ375" s="6"/>
      <c r="CK375" s="4">
        <f t="shared" si="75"/>
        <v>0</v>
      </c>
      <c r="CL375" s="4">
        <f t="shared" si="76"/>
        <v>0</v>
      </c>
      <c r="CM375" s="4">
        <f t="shared" si="66"/>
        <v>660</v>
      </c>
      <c r="CN375" s="4">
        <f t="shared" si="67"/>
        <v>0</v>
      </c>
      <c r="CO375" s="4"/>
      <c r="CP375" s="4"/>
      <c r="CQ375" s="4"/>
      <c r="CR375" s="4"/>
      <c r="CS375" s="4"/>
      <c r="CT375" s="4"/>
      <c r="CU375" s="4"/>
      <c r="CV375" s="4"/>
      <c r="CW375" s="4"/>
      <c r="CX375" s="4"/>
      <c r="CY375" s="4"/>
      <c r="CZ375" s="6"/>
      <c r="DA375" s="6">
        <f t="shared" si="79"/>
        <v>0</v>
      </c>
      <c r="DB375" s="6">
        <f t="shared" si="80"/>
        <v>0</v>
      </c>
      <c r="DC375" s="6">
        <f t="shared" si="82"/>
        <v>1847.9999999999998</v>
      </c>
      <c r="DD375" s="6"/>
      <c r="DE375" s="6"/>
      <c r="DF375" s="6"/>
      <c r="DG375" s="6"/>
      <c r="DH375" s="6"/>
      <c r="DI375" s="6"/>
      <c r="DJ375" s="4"/>
      <c r="DK375" s="4"/>
    </row>
    <row r="376" spans="1:115">
      <c r="A376" s="259">
        <v>1</v>
      </c>
      <c r="B376" s="660" t="s">
        <v>1510</v>
      </c>
      <c r="C376" s="84" t="s">
        <v>1511</v>
      </c>
      <c r="D376" s="342" t="s">
        <v>1491</v>
      </c>
      <c r="E376" s="342"/>
      <c r="F376" s="342" t="s">
        <v>1455</v>
      </c>
      <c r="G376" s="641">
        <v>60</v>
      </c>
      <c r="H376" s="84"/>
      <c r="I376" s="4"/>
      <c r="J376" s="4"/>
      <c r="K376" s="642">
        <v>2.5</v>
      </c>
      <c r="L376" s="4"/>
      <c r="M376" s="4"/>
      <c r="N376" s="4"/>
      <c r="O376" s="4"/>
      <c r="P376" s="4"/>
      <c r="Q376" s="4"/>
      <c r="R376" s="4"/>
      <c r="S376" s="4"/>
      <c r="T376" s="84"/>
      <c r="U376" s="4">
        <v>0</v>
      </c>
      <c r="V376" s="4">
        <v>0</v>
      </c>
      <c r="W376" s="4">
        <v>1000</v>
      </c>
      <c r="X376" s="641">
        <v>0</v>
      </c>
      <c r="Y376" s="641"/>
      <c r="Z376" s="641"/>
      <c r="AA376" s="641"/>
      <c r="AB376" s="641"/>
      <c r="AC376" s="641"/>
      <c r="AD376" s="4"/>
      <c r="AE376" s="4"/>
      <c r="AF376" s="4"/>
      <c r="AG376" s="4"/>
      <c r="AH376" s="4"/>
      <c r="AI376" s="4"/>
      <c r="AJ376" s="4"/>
      <c r="AK376" s="6"/>
      <c r="AL376" s="647">
        <v>0</v>
      </c>
      <c r="AM376" s="647">
        <v>0</v>
      </c>
      <c r="AN376" s="644">
        <v>22</v>
      </c>
      <c r="AO376" s="647">
        <v>0</v>
      </c>
      <c r="AP376" s="641"/>
      <c r="AQ376" s="641"/>
      <c r="AR376" s="641"/>
      <c r="AS376" s="641"/>
      <c r="AT376" s="641"/>
      <c r="AU376" s="641"/>
      <c r="AV376" s="4"/>
      <c r="AW376" s="4"/>
      <c r="AX376" s="4"/>
      <c r="AY376" s="4"/>
      <c r="AZ376" s="4"/>
      <c r="BA376" s="4"/>
      <c r="BB376" s="6"/>
      <c r="BC376" s="4"/>
      <c r="BD376" s="4"/>
      <c r="BE376" s="4">
        <f t="shared" si="84"/>
        <v>22000</v>
      </c>
      <c r="BF376" s="4"/>
      <c r="BG376" s="4"/>
      <c r="BH376" s="4"/>
      <c r="BI376" s="4"/>
      <c r="BJ376" s="4"/>
      <c r="BK376" s="6"/>
      <c r="BL376" s="6"/>
      <c r="BM376" s="6"/>
      <c r="BN376" s="6"/>
      <c r="BO376" s="6"/>
      <c r="BP376" s="6"/>
      <c r="BQ376" s="6"/>
      <c r="BR376" s="6"/>
      <c r="BS376" s="6"/>
      <c r="BT376" s="6"/>
      <c r="BU376" s="130"/>
      <c r="BV376" s="6"/>
      <c r="BW376" s="6"/>
      <c r="BX376" s="6"/>
      <c r="BY376" s="6"/>
      <c r="BZ376" s="6"/>
      <c r="CA376" s="6"/>
      <c r="CB376" s="6"/>
      <c r="CC376" s="4"/>
      <c r="CD376" s="4"/>
      <c r="CE376" s="6"/>
      <c r="CF376" s="6"/>
      <c r="CG376" s="6"/>
      <c r="CH376" s="6"/>
      <c r="CI376" s="6"/>
      <c r="CJ376" s="6"/>
      <c r="CK376" s="4">
        <f t="shared" si="75"/>
        <v>0</v>
      </c>
      <c r="CL376" s="4">
        <f t="shared" si="76"/>
        <v>0</v>
      </c>
      <c r="CM376" s="4">
        <f t="shared" si="66"/>
        <v>1320</v>
      </c>
      <c r="CN376" s="4">
        <f t="shared" si="67"/>
        <v>0</v>
      </c>
      <c r="CO376" s="4"/>
      <c r="CP376" s="4"/>
      <c r="CQ376" s="4"/>
      <c r="CR376" s="4"/>
      <c r="CS376" s="4"/>
      <c r="CT376" s="4"/>
      <c r="CU376" s="4"/>
      <c r="CV376" s="4"/>
      <c r="CW376" s="4"/>
      <c r="CX376" s="4"/>
      <c r="CY376" s="4"/>
      <c r="CZ376" s="6"/>
      <c r="DA376" s="6">
        <f t="shared" si="79"/>
        <v>0</v>
      </c>
      <c r="DB376" s="6">
        <f t="shared" si="80"/>
        <v>0</v>
      </c>
      <c r="DC376" s="6">
        <f t="shared" si="82"/>
        <v>3300</v>
      </c>
      <c r="DD376" s="6"/>
      <c r="DE376" s="6"/>
      <c r="DF376" s="6"/>
      <c r="DG376" s="6"/>
      <c r="DH376" s="6"/>
      <c r="DI376" s="6"/>
      <c r="DJ376" s="4"/>
      <c r="DK376" s="4"/>
    </row>
    <row r="377" spans="1:115">
      <c r="A377" s="259">
        <v>1</v>
      </c>
      <c r="B377" s="69" t="s">
        <v>1512</v>
      </c>
      <c r="C377" s="84" t="s">
        <v>1513</v>
      </c>
      <c r="D377" s="645" t="s">
        <v>638</v>
      </c>
      <c r="E377" s="645"/>
      <c r="F377" s="342" t="s">
        <v>1455</v>
      </c>
      <c r="G377" s="641">
        <v>60</v>
      </c>
      <c r="H377" s="84"/>
      <c r="I377" s="4"/>
      <c r="J377" s="4"/>
      <c r="K377" s="642">
        <v>2.1</v>
      </c>
      <c r="L377" s="4"/>
      <c r="M377" s="4"/>
      <c r="N377" s="4"/>
      <c r="O377" s="4"/>
      <c r="P377" s="4"/>
      <c r="Q377" s="4"/>
      <c r="R377" s="4"/>
      <c r="S377" s="4"/>
      <c r="T377" s="84"/>
      <c r="U377" s="4">
        <v>0</v>
      </c>
      <c r="V377" s="4">
        <v>0</v>
      </c>
      <c r="W377" s="4">
        <v>1000</v>
      </c>
      <c r="X377" s="641">
        <v>0</v>
      </c>
      <c r="Y377" s="641"/>
      <c r="Z377" s="641"/>
      <c r="AA377" s="641"/>
      <c r="AB377" s="641"/>
      <c r="AC377" s="641"/>
      <c r="AD377" s="4"/>
      <c r="AE377" s="4"/>
      <c r="AF377" s="4"/>
      <c r="AG377" s="4"/>
      <c r="AH377" s="4"/>
      <c r="AI377" s="4"/>
      <c r="AJ377" s="4"/>
      <c r="AK377" s="6"/>
      <c r="AL377" s="647">
        <v>0</v>
      </c>
      <c r="AM377" s="647">
        <v>0</v>
      </c>
      <c r="AN377" s="644">
        <v>22</v>
      </c>
      <c r="AO377" s="647">
        <v>0</v>
      </c>
      <c r="AP377" s="641"/>
      <c r="AQ377" s="641"/>
      <c r="AR377" s="641"/>
      <c r="AS377" s="641"/>
      <c r="AT377" s="641"/>
      <c r="AU377" s="641"/>
      <c r="AV377" s="4"/>
      <c r="AW377" s="4"/>
      <c r="AX377" s="4"/>
      <c r="AY377" s="4"/>
      <c r="AZ377" s="4"/>
      <c r="BA377" s="4"/>
      <c r="BB377" s="6"/>
      <c r="BC377" s="4"/>
      <c r="BD377" s="4"/>
      <c r="BE377" s="4">
        <f t="shared" si="84"/>
        <v>22000</v>
      </c>
      <c r="BF377" s="4"/>
      <c r="BG377" s="4"/>
      <c r="BH377" s="4"/>
      <c r="BI377" s="4"/>
      <c r="BJ377" s="4"/>
      <c r="BK377" s="6"/>
      <c r="BL377" s="6"/>
      <c r="BM377" s="6"/>
      <c r="BN377" s="6"/>
      <c r="BO377" s="6"/>
      <c r="BP377" s="6"/>
      <c r="BQ377" s="6"/>
      <c r="BR377" s="6"/>
      <c r="BS377" s="6"/>
      <c r="BT377" s="6"/>
      <c r="BU377" s="130"/>
      <c r="BV377" s="6"/>
      <c r="BW377" s="6"/>
      <c r="BX377" s="6"/>
      <c r="BY377" s="6"/>
      <c r="BZ377" s="6"/>
      <c r="CA377" s="6"/>
      <c r="CB377" s="6"/>
      <c r="CC377" s="4"/>
      <c r="CD377" s="4"/>
      <c r="CE377" s="6"/>
      <c r="CF377" s="6"/>
      <c r="CG377" s="6"/>
      <c r="CH377" s="6"/>
      <c r="CI377" s="6"/>
      <c r="CJ377" s="6"/>
      <c r="CK377" s="4">
        <f t="shared" si="75"/>
        <v>0</v>
      </c>
      <c r="CL377" s="4">
        <f t="shared" si="76"/>
        <v>0</v>
      </c>
      <c r="CM377" s="4">
        <f t="shared" si="66"/>
        <v>1320</v>
      </c>
      <c r="CN377" s="4">
        <f t="shared" si="67"/>
        <v>0</v>
      </c>
      <c r="CO377" s="4"/>
      <c r="CP377" s="4"/>
      <c r="CQ377" s="4"/>
      <c r="CR377" s="4"/>
      <c r="CS377" s="4"/>
      <c r="CT377" s="4"/>
      <c r="CU377" s="4"/>
      <c r="CV377" s="4"/>
      <c r="CW377" s="4"/>
      <c r="CX377" s="4"/>
      <c r="CY377" s="4"/>
      <c r="CZ377" s="6"/>
      <c r="DA377" s="6">
        <f t="shared" si="79"/>
        <v>0</v>
      </c>
      <c r="DB377" s="6">
        <f t="shared" si="80"/>
        <v>0</v>
      </c>
      <c r="DC377" s="6">
        <f t="shared" si="82"/>
        <v>2772</v>
      </c>
      <c r="DD377" s="6"/>
      <c r="DE377" s="6"/>
      <c r="DF377" s="6"/>
      <c r="DG377" s="6"/>
      <c r="DH377" s="6"/>
      <c r="DI377" s="6"/>
      <c r="DJ377" s="4"/>
      <c r="DK377" s="4"/>
    </row>
    <row r="378" spans="1:115">
      <c r="A378" s="36">
        <v>1</v>
      </c>
      <c r="B378" s="84" t="s">
        <v>1514</v>
      </c>
      <c r="C378" s="84" t="s">
        <v>1515</v>
      </c>
      <c r="D378" s="342" t="s">
        <v>1491</v>
      </c>
      <c r="E378" s="342"/>
      <c r="F378" s="342" t="s">
        <v>1455</v>
      </c>
      <c r="G378" s="661">
        <v>30</v>
      </c>
      <c r="H378" s="662"/>
      <c r="I378" s="642"/>
      <c r="J378" s="663"/>
      <c r="K378" s="663">
        <v>3.4</v>
      </c>
      <c r="L378" s="650"/>
      <c r="M378" s="650"/>
      <c r="N378" s="650"/>
      <c r="O378" s="650"/>
      <c r="P378" s="650"/>
      <c r="Q378" s="650"/>
      <c r="R378" s="650"/>
      <c r="S378" s="650"/>
      <c r="T378" s="664"/>
      <c r="U378" s="4">
        <v>0</v>
      </c>
      <c r="V378" s="4">
        <v>0</v>
      </c>
      <c r="W378" s="4">
        <v>500</v>
      </c>
      <c r="X378" s="641">
        <v>0</v>
      </c>
      <c r="Y378" s="641"/>
      <c r="Z378" s="641"/>
      <c r="AA378" s="641"/>
      <c r="AB378" s="641"/>
      <c r="AC378" s="641"/>
      <c r="AD378" s="650"/>
      <c r="AE378" s="650"/>
      <c r="AF378" s="650"/>
      <c r="AG378" s="650"/>
      <c r="AH378" s="650"/>
      <c r="AI378" s="650"/>
      <c r="AJ378" s="650"/>
      <c r="AK378" s="6"/>
      <c r="AL378" s="647">
        <v>0</v>
      </c>
      <c r="AM378" s="647">
        <v>0</v>
      </c>
      <c r="AN378" s="644">
        <v>22</v>
      </c>
      <c r="AO378" s="647">
        <v>0</v>
      </c>
      <c r="AP378" s="641"/>
      <c r="AQ378" s="641"/>
      <c r="AR378" s="641"/>
      <c r="AS378" s="641"/>
      <c r="AT378" s="641"/>
      <c r="AU378" s="641"/>
      <c r="AV378" s="650"/>
      <c r="AW378" s="650"/>
      <c r="AX378" s="650"/>
      <c r="AY378" s="650"/>
      <c r="AZ378" s="650"/>
      <c r="BA378" s="650"/>
      <c r="BB378" s="6"/>
      <c r="BC378" s="4"/>
      <c r="BD378" s="4"/>
      <c r="BE378" s="4">
        <f t="shared" si="84"/>
        <v>11000</v>
      </c>
      <c r="BF378" s="4"/>
      <c r="BG378" s="4"/>
      <c r="BH378" s="4"/>
      <c r="BI378" s="4"/>
      <c r="BJ378" s="4"/>
      <c r="BK378" s="6"/>
      <c r="BL378" s="6"/>
      <c r="BM378" s="6"/>
      <c r="BN378" s="6"/>
      <c r="BO378" s="6"/>
      <c r="BP378" s="6"/>
      <c r="BQ378" s="6"/>
      <c r="BR378" s="6"/>
      <c r="BS378" s="6"/>
      <c r="BT378" s="6"/>
      <c r="BU378" s="6"/>
      <c r="BV378" s="6"/>
      <c r="BW378" s="6"/>
      <c r="BX378" s="6"/>
      <c r="BY378" s="6"/>
      <c r="BZ378" s="6"/>
      <c r="CA378" s="6"/>
      <c r="CB378" s="6"/>
      <c r="CC378" s="650"/>
      <c r="CD378" s="650"/>
      <c r="CE378" s="6"/>
      <c r="CF378" s="6"/>
      <c r="CG378" s="6"/>
      <c r="CH378" s="6"/>
      <c r="CI378" s="6"/>
      <c r="CJ378" s="6"/>
      <c r="CK378" s="4">
        <f t="shared" si="75"/>
        <v>0</v>
      </c>
      <c r="CL378" s="4">
        <f t="shared" si="76"/>
        <v>0</v>
      </c>
      <c r="CM378" s="4">
        <f t="shared" si="66"/>
        <v>660</v>
      </c>
      <c r="CN378" s="4">
        <f t="shared" si="67"/>
        <v>0</v>
      </c>
      <c r="CO378" s="4"/>
      <c r="CP378" s="4"/>
      <c r="CQ378" s="4"/>
      <c r="CR378" s="4"/>
      <c r="CS378" s="4"/>
      <c r="CT378" s="650"/>
      <c r="CU378" s="650"/>
      <c r="CV378" s="650"/>
      <c r="CW378" s="650"/>
      <c r="CX378" s="650"/>
      <c r="CY378" s="650"/>
      <c r="CZ378" s="6"/>
      <c r="DA378" s="6">
        <f t="shared" si="79"/>
        <v>0</v>
      </c>
      <c r="DB378" s="6">
        <f t="shared" si="80"/>
        <v>0</v>
      </c>
      <c r="DC378" s="6">
        <f t="shared" si="82"/>
        <v>2244</v>
      </c>
      <c r="DD378" s="6"/>
      <c r="DE378" s="6"/>
      <c r="DF378" s="6"/>
      <c r="DG378" s="6"/>
      <c r="DH378" s="6"/>
      <c r="DI378" s="6"/>
      <c r="DJ378" s="650"/>
      <c r="DK378" s="650"/>
    </row>
    <row r="379" spans="1:115">
      <c r="A379" s="36">
        <v>1</v>
      </c>
      <c r="B379" s="11" t="s">
        <v>1516</v>
      </c>
      <c r="C379" s="6" t="s">
        <v>1517</v>
      </c>
      <c r="D379" s="645" t="s">
        <v>1059</v>
      </c>
      <c r="E379" s="645"/>
      <c r="F379" s="342" t="s">
        <v>1455</v>
      </c>
      <c r="G379" s="641">
        <v>60</v>
      </c>
      <c r="H379" s="84"/>
      <c r="I379" s="4"/>
      <c r="J379" s="4"/>
      <c r="K379" s="642">
        <v>0.9</v>
      </c>
      <c r="L379" s="4"/>
      <c r="M379" s="4"/>
      <c r="N379" s="4"/>
      <c r="O379" s="4"/>
      <c r="P379" s="4"/>
      <c r="Q379" s="4"/>
      <c r="R379" s="4"/>
      <c r="S379" s="4"/>
      <c r="T379" s="84"/>
      <c r="U379" s="4">
        <v>0</v>
      </c>
      <c r="V379" s="4">
        <v>0</v>
      </c>
      <c r="W379" s="4">
        <v>1000</v>
      </c>
      <c r="X379" s="641">
        <v>0</v>
      </c>
      <c r="Y379" s="641"/>
      <c r="Z379" s="641"/>
      <c r="AA379" s="641"/>
      <c r="AB379" s="641"/>
      <c r="AC379" s="641"/>
      <c r="AD379" s="4"/>
      <c r="AE379" s="4"/>
      <c r="AF379" s="4"/>
      <c r="AG379" s="4"/>
      <c r="AH379" s="4"/>
      <c r="AI379" s="4"/>
      <c r="AJ379" s="4"/>
      <c r="AK379" s="6"/>
      <c r="AL379" s="647">
        <v>0</v>
      </c>
      <c r="AM379" s="647">
        <v>0</v>
      </c>
      <c r="AN379" s="644">
        <v>22</v>
      </c>
      <c r="AO379" s="647">
        <v>0</v>
      </c>
      <c r="AP379" s="641"/>
      <c r="AQ379" s="641"/>
      <c r="AR379" s="641"/>
      <c r="AS379" s="641"/>
      <c r="AT379" s="641"/>
      <c r="AU379" s="641"/>
      <c r="AV379" s="4"/>
      <c r="AW379" s="4"/>
      <c r="AX379" s="4"/>
      <c r="AY379" s="4"/>
      <c r="AZ379" s="4"/>
      <c r="BA379" s="4"/>
      <c r="BB379" s="6"/>
      <c r="BC379" s="4"/>
      <c r="BD379" s="4"/>
      <c r="BE379" s="4">
        <f t="shared" si="84"/>
        <v>22000</v>
      </c>
      <c r="BF379" s="4"/>
      <c r="BG379" s="4"/>
      <c r="BH379" s="4"/>
      <c r="BI379" s="4"/>
      <c r="BJ379" s="4"/>
      <c r="BK379" s="6"/>
      <c r="BL379" s="6"/>
      <c r="BM379" s="6"/>
      <c r="BN379" s="6"/>
      <c r="BO379" s="6"/>
      <c r="BP379" s="6"/>
      <c r="BQ379" s="6"/>
      <c r="BR379" s="6"/>
      <c r="BS379" s="6"/>
      <c r="BT379" s="6"/>
      <c r="BU379" s="130"/>
      <c r="BV379" s="6"/>
      <c r="BW379" s="6"/>
      <c r="BX379" s="6"/>
      <c r="BY379" s="6"/>
      <c r="BZ379" s="6"/>
      <c r="CA379" s="6"/>
      <c r="CB379" s="6"/>
      <c r="CC379" s="4"/>
      <c r="CD379" s="4"/>
      <c r="CE379" s="6"/>
      <c r="CF379" s="6"/>
      <c r="CG379" s="6"/>
      <c r="CH379" s="6"/>
      <c r="CI379" s="6"/>
      <c r="CJ379" s="6"/>
      <c r="CK379" s="4">
        <f t="shared" si="75"/>
        <v>0</v>
      </c>
      <c r="CL379" s="4">
        <f t="shared" si="76"/>
        <v>0</v>
      </c>
      <c r="CM379" s="4">
        <f t="shared" si="66"/>
        <v>1320</v>
      </c>
      <c r="CN379" s="4">
        <f t="shared" si="67"/>
        <v>0</v>
      </c>
      <c r="CO379" s="4"/>
      <c r="CP379" s="4"/>
      <c r="CQ379" s="4"/>
      <c r="CR379" s="4"/>
      <c r="CS379" s="4"/>
      <c r="CT379" s="4"/>
      <c r="CU379" s="4"/>
      <c r="CV379" s="4"/>
      <c r="CW379" s="4"/>
      <c r="CX379" s="4"/>
      <c r="CY379" s="4"/>
      <c r="CZ379" s="6"/>
      <c r="DA379" s="6">
        <f t="shared" si="79"/>
        <v>0</v>
      </c>
      <c r="DB379" s="6">
        <f t="shared" si="80"/>
        <v>0</v>
      </c>
      <c r="DC379" s="6">
        <f t="shared" si="82"/>
        <v>1188</v>
      </c>
      <c r="DD379" s="6"/>
      <c r="DE379" s="6"/>
      <c r="DF379" s="6"/>
      <c r="DG379" s="6"/>
      <c r="DH379" s="6"/>
      <c r="DI379" s="6"/>
      <c r="DJ379" s="4"/>
      <c r="DK379" s="4"/>
    </row>
    <row r="380" spans="1:115">
      <c r="A380" s="259">
        <v>2</v>
      </c>
      <c r="B380" s="69" t="s">
        <v>1518</v>
      </c>
      <c r="C380" s="84" t="s">
        <v>0</v>
      </c>
      <c r="D380" s="645" t="s">
        <v>638</v>
      </c>
      <c r="E380" s="645"/>
      <c r="F380" s="342" t="s">
        <v>1455</v>
      </c>
      <c r="G380" s="641">
        <v>60</v>
      </c>
      <c r="H380" s="84"/>
      <c r="I380" s="4"/>
      <c r="J380" s="642">
        <v>2.2000000000000002</v>
      </c>
      <c r="K380" s="642">
        <v>1.6</v>
      </c>
      <c r="L380" s="4"/>
      <c r="M380" s="4"/>
      <c r="N380" s="4"/>
      <c r="O380" s="4"/>
      <c r="P380" s="4"/>
      <c r="Q380" s="4"/>
      <c r="R380" s="4"/>
      <c r="S380" s="4"/>
      <c r="T380" s="84"/>
      <c r="U380" s="4">
        <v>0</v>
      </c>
      <c r="V380" s="629">
        <v>1550</v>
      </c>
      <c r="W380" s="4">
        <f>V380*(1+BU380)</f>
        <v>1627.5</v>
      </c>
      <c r="X380" s="641">
        <v>0</v>
      </c>
      <c r="Y380" s="641"/>
      <c r="Z380" s="641"/>
      <c r="AA380" s="641"/>
      <c r="AB380" s="641"/>
      <c r="AC380" s="641"/>
      <c r="AD380" s="4"/>
      <c r="AE380" s="4"/>
      <c r="AF380" s="4"/>
      <c r="AG380" s="4"/>
      <c r="AH380" s="4"/>
      <c r="AI380" s="4"/>
      <c r="AJ380" s="4"/>
      <c r="AK380" s="6"/>
      <c r="AL380" s="647">
        <v>0</v>
      </c>
      <c r="AM380" s="644">
        <v>22</v>
      </c>
      <c r="AN380" s="644">
        <v>22</v>
      </c>
      <c r="AO380" s="647">
        <v>0</v>
      </c>
      <c r="AP380" s="641"/>
      <c r="AQ380" s="641"/>
      <c r="AR380" s="641"/>
      <c r="AS380" s="641"/>
      <c r="AT380" s="641"/>
      <c r="AU380" s="641"/>
      <c r="AV380" s="4"/>
      <c r="AW380" s="4"/>
      <c r="AX380" s="4"/>
      <c r="AY380" s="4"/>
      <c r="AZ380" s="4"/>
      <c r="BA380" s="4"/>
      <c r="BB380" s="6"/>
      <c r="BC380" s="4"/>
      <c r="BD380" s="4">
        <f>V380*AM380</f>
        <v>34100</v>
      </c>
      <c r="BE380" s="4">
        <f t="shared" si="84"/>
        <v>35805</v>
      </c>
      <c r="BF380" s="4"/>
      <c r="BG380" s="4"/>
      <c r="BH380" s="4"/>
      <c r="BI380" s="4"/>
      <c r="BJ380" s="4"/>
      <c r="BK380" s="6"/>
      <c r="BL380" s="6"/>
      <c r="BM380" s="6"/>
      <c r="BN380" s="6"/>
      <c r="BO380" s="6"/>
      <c r="BP380" s="6"/>
      <c r="BQ380" s="6"/>
      <c r="BR380" s="6"/>
      <c r="BS380" s="6"/>
      <c r="BT380" s="6"/>
      <c r="BU380" s="130">
        <v>0.05</v>
      </c>
      <c r="BV380" s="6"/>
      <c r="BW380" s="6"/>
      <c r="BX380" s="6"/>
      <c r="BY380" s="6"/>
      <c r="BZ380" s="6"/>
      <c r="CA380" s="6"/>
      <c r="CB380" s="6"/>
      <c r="CC380" s="4"/>
      <c r="CD380" s="4"/>
      <c r="CE380" s="6"/>
      <c r="CF380" s="6"/>
      <c r="CG380" s="6"/>
      <c r="CH380" s="6"/>
      <c r="CI380" s="6"/>
      <c r="CJ380" s="6"/>
      <c r="CK380" s="4">
        <f t="shared" si="75"/>
        <v>0</v>
      </c>
      <c r="CL380" s="4">
        <f t="shared" si="76"/>
        <v>1320</v>
      </c>
      <c r="CM380" s="4">
        <f t="shared" si="66"/>
        <v>1320</v>
      </c>
      <c r="CN380" s="4">
        <f t="shared" si="67"/>
        <v>0</v>
      </c>
      <c r="CO380" s="4"/>
      <c r="CP380" s="4"/>
      <c r="CQ380" s="4"/>
      <c r="CR380" s="4"/>
      <c r="CS380" s="4"/>
      <c r="CT380" s="4"/>
      <c r="CU380" s="4"/>
      <c r="CV380" s="4"/>
      <c r="CW380" s="4"/>
      <c r="CX380" s="4"/>
      <c r="CY380" s="4"/>
      <c r="CZ380" s="6"/>
      <c r="DA380" s="6">
        <f t="shared" si="79"/>
        <v>0</v>
      </c>
      <c r="DB380" s="6">
        <f t="shared" si="80"/>
        <v>2904.0000000000005</v>
      </c>
      <c r="DC380" s="6">
        <f t="shared" si="82"/>
        <v>2112</v>
      </c>
      <c r="DD380" s="6"/>
      <c r="DE380" s="6"/>
      <c r="DF380" s="6"/>
      <c r="DG380" s="6"/>
      <c r="DH380" s="6"/>
      <c r="DI380" s="6"/>
      <c r="DJ380" s="4"/>
      <c r="DK380" s="4"/>
    </row>
    <row r="381" spans="1:115">
      <c r="A381" s="259">
        <v>3</v>
      </c>
      <c r="B381" s="69" t="s">
        <v>1</v>
      </c>
      <c r="C381" s="84" t="s">
        <v>2</v>
      </c>
      <c r="D381" s="645" t="s">
        <v>1059</v>
      </c>
      <c r="E381" s="645"/>
      <c r="F381" s="342" t="s">
        <v>1455</v>
      </c>
      <c r="G381" s="641">
        <v>60</v>
      </c>
      <c r="H381" s="84"/>
      <c r="I381" s="641">
        <v>2.9</v>
      </c>
      <c r="J381" s="642">
        <v>1.9</v>
      </c>
      <c r="K381" s="642">
        <v>1.3</v>
      </c>
      <c r="L381" s="4"/>
      <c r="M381" s="4"/>
      <c r="N381" s="4"/>
      <c r="O381" s="4"/>
      <c r="P381" s="4"/>
      <c r="Q381" s="4"/>
      <c r="R381" s="4"/>
      <c r="S381" s="4"/>
      <c r="T381" s="84"/>
      <c r="U381" s="629">
        <v>1650</v>
      </c>
      <c r="V381" s="629">
        <v>1675</v>
      </c>
      <c r="W381" s="4">
        <f>V381*(1+BU381)</f>
        <v>1758.75</v>
      </c>
      <c r="X381" s="641">
        <v>0</v>
      </c>
      <c r="Y381" s="641"/>
      <c r="Z381" s="641"/>
      <c r="AA381" s="641"/>
      <c r="AB381" s="641"/>
      <c r="AC381" s="641"/>
      <c r="AD381" s="4"/>
      <c r="AE381" s="4"/>
      <c r="AF381" s="4"/>
      <c r="AG381" s="4"/>
      <c r="AH381" s="4"/>
      <c r="AI381" s="4"/>
      <c r="AJ381" s="4"/>
      <c r="AK381" s="6"/>
      <c r="AL381" s="644">
        <v>22</v>
      </c>
      <c r="AM381" s="644">
        <v>22</v>
      </c>
      <c r="AN381" s="644">
        <v>22</v>
      </c>
      <c r="AO381" s="647">
        <v>0</v>
      </c>
      <c r="AP381" s="641"/>
      <c r="AQ381" s="641"/>
      <c r="AR381" s="641"/>
      <c r="AS381" s="641"/>
      <c r="AT381" s="641"/>
      <c r="AU381" s="641"/>
      <c r="AV381" s="4"/>
      <c r="AW381" s="4"/>
      <c r="AX381" s="4"/>
      <c r="AY381" s="4"/>
      <c r="AZ381" s="4"/>
      <c r="BA381" s="4"/>
      <c r="BB381" s="6"/>
      <c r="BC381" s="4">
        <f>U381*AL381</f>
        <v>36300</v>
      </c>
      <c r="BD381" s="4">
        <f>V381*AM381</f>
        <v>36850</v>
      </c>
      <c r="BE381" s="4">
        <f t="shared" si="84"/>
        <v>38692.5</v>
      </c>
      <c r="BF381" s="4"/>
      <c r="BG381" s="4"/>
      <c r="BH381" s="4"/>
      <c r="BI381" s="4"/>
      <c r="BJ381" s="4"/>
      <c r="BK381" s="6"/>
      <c r="BL381" s="6"/>
      <c r="BM381" s="6"/>
      <c r="BN381" s="6"/>
      <c r="BO381" s="6"/>
      <c r="BP381" s="6"/>
      <c r="BQ381" s="6"/>
      <c r="BR381" s="6"/>
      <c r="BS381" s="6"/>
      <c r="BT381" s="6"/>
      <c r="BU381" s="130">
        <v>0.05</v>
      </c>
      <c r="BV381" s="6"/>
      <c r="BW381" s="6"/>
      <c r="BX381" s="6"/>
      <c r="BY381" s="6"/>
      <c r="BZ381" s="6"/>
      <c r="CA381" s="6"/>
      <c r="CB381" s="6"/>
      <c r="CC381" s="4"/>
      <c r="CD381" s="4"/>
      <c r="CE381" s="6"/>
      <c r="CF381" s="6"/>
      <c r="CG381" s="6"/>
      <c r="CH381" s="6"/>
      <c r="CI381" s="6"/>
      <c r="CJ381" s="6"/>
      <c r="CK381" s="4">
        <f t="shared" si="75"/>
        <v>1320</v>
      </c>
      <c r="CL381" s="4">
        <f t="shared" si="76"/>
        <v>1320</v>
      </c>
      <c r="CM381" s="4">
        <f t="shared" si="66"/>
        <v>1320</v>
      </c>
      <c r="CN381" s="4">
        <f t="shared" si="67"/>
        <v>0</v>
      </c>
      <c r="CO381" s="4"/>
      <c r="CP381" s="4"/>
      <c r="CQ381" s="4"/>
      <c r="CR381" s="4"/>
      <c r="CS381" s="4"/>
      <c r="CT381" s="4"/>
      <c r="CU381" s="4"/>
      <c r="CV381" s="4"/>
      <c r="CW381" s="4"/>
      <c r="CX381" s="4"/>
      <c r="CY381" s="4"/>
      <c r="CZ381" s="6"/>
      <c r="DA381" s="6">
        <f t="shared" si="79"/>
        <v>3828</v>
      </c>
      <c r="DB381" s="6">
        <f t="shared" si="80"/>
        <v>2508</v>
      </c>
      <c r="DC381" s="6">
        <f t="shared" si="82"/>
        <v>1716</v>
      </c>
      <c r="DD381" s="6"/>
      <c r="DE381" s="6"/>
      <c r="DF381" s="6"/>
      <c r="DG381" s="6"/>
      <c r="DH381" s="6"/>
      <c r="DI381" s="6"/>
      <c r="DJ381" s="4"/>
      <c r="DK381" s="4"/>
    </row>
    <row r="382" spans="1:115">
      <c r="A382" s="36">
        <v>3</v>
      </c>
      <c r="B382" s="11" t="s">
        <v>3</v>
      </c>
      <c r="C382" s="6" t="s">
        <v>30</v>
      </c>
      <c r="D382" s="645" t="s">
        <v>638</v>
      </c>
      <c r="E382" s="645"/>
      <c r="F382" s="342" t="s">
        <v>1455</v>
      </c>
      <c r="G382" s="641">
        <v>60</v>
      </c>
      <c r="H382" s="645"/>
      <c r="I382" s="641">
        <v>3.1</v>
      </c>
      <c r="J382" s="666">
        <v>2.7</v>
      </c>
      <c r="K382" s="666">
        <v>2.4</v>
      </c>
      <c r="L382" s="4"/>
      <c r="M382" s="4"/>
      <c r="N382" s="4"/>
      <c r="O382" s="4"/>
      <c r="P382" s="4"/>
      <c r="Q382" s="4"/>
      <c r="R382" s="4"/>
      <c r="S382" s="4"/>
      <c r="T382" s="666"/>
      <c r="U382" s="629">
        <v>1450</v>
      </c>
      <c r="V382" s="629">
        <v>1465</v>
      </c>
      <c r="W382" s="4">
        <f>V382*(1+BU382)</f>
        <v>1538.25</v>
      </c>
      <c r="X382" s="641">
        <v>0</v>
      </c>
      <c r="Y382" s="641"/>
      <c r="Z382" s="641"/>
      <c r="AA382" s="641"/>
      <c r="AB382" s="641"/>
      <c r="AC382" s="641"/>
      <c r="AD382" s="4"/>
      <c r="AE382" s="4"/>
      <c r="AF382" s="4"/>
      <c r="AG382" s="4"/>
      <c r="AH382" s="4"/>
      <c r="AI382" s="4"/>
      <c r="AJ382" s="4"/>
      <c r="AK382" s="6"/>
      <c r="AL382" s="644">
        <v>22</v>
      </c>
      <c r="AM382" s="644">
        <v>22</v>
      </c>
      <c r="AN382" s="644">
        <v>22</v>
      </c>
      <c r="AO382" s="647">
        <v>0</v>
      </c>
      <c r="AP382" s="641"/>
      <c r="AQ382" s="641"/>
      <c r="AR382" s="641"/>
      <c r="AS382" s="641"/>
      <c r="AT382" s="641"/>
      <c r="AU382" s="641"/>
      <c r="AV382" s="4"/>
      <c r="AW382" s="4"/>
      <c r="AX382" s="4"/>
      <c r="AY382" s="4"/>
      <c r="AZ382" s="4"/>
      <c r="BA382" s="4"/>
      <c r="BB382" s="6"/>
      <c r="BC382" s="4">
        <f>U382*AL382</f>
        <v>31900</v>
      </c>
      <c r="BD382" s="4">
        <f>V382*AM382</f>
        <v>32230</v>
      </c>
      <c r="BE382" s="4">
        <f t="shared" si="84"/>
        <v>33841.5</v>
      </c>
      <c r="BF382" s="4"/>
      <c r="BG382" s="4"/>
      <c r="BH382" s="4"/>
      <c r="BI382" s="4"/>
      <c r="BJ382" s="4"/>
      <c r="BK382" s="6"/>
      <c r="BL382" s="6"/>
      <c r="BM382" s="6"/>
      <c r="BN382" s="6"/>
      <c r="BO382" s="6"/>
      <c r="BP382" s="6"/>
      <c r="BQ382" s="6"/>
      <c r="BR382" s="6"/>
      <c r="BS382" s="6"/>
      <c r="BT382" s="6"/>
      <c r="BU382" s="130">
        <v>0.05</v>
      </c>
      <c r="BV382" s="6"/>
      <c r="BW382" s="6"/>
      <c r="BX382" s="6"/>
      <c r="BY382" s="6"/>
      <c r="BZ382" s="6"/>
      <c r="CA382" s="6"/>
      <c r="CB382" s="6"/>
      <c r="CC382" s="4"/>
      <c r="CD382" s="4"/>
      <c r="CE382" s="6"/>
      <c r="CF382" s="6"/>
      <c r="CG382" s="6"/>
      <c r="CH382" s="6"/>
      <c r="CI382" s="6"/>
      <c r="CJ382" s="6"/>
      <c r="CK382" s="4">
        <f t="shared" si="75"/>
        <v>1320</v>
      </c>
      <c r="CL382" s="4">
        <f t="shared" si="76"/>
        <v>1320</v>
      </c>
      <c r="CM382" s="4">
        <f t="shared" ref="CM382:CM403" si="85">$G382*AN382</f>
        <v>1320</v>
      </c>
      <c r="CN382" s="4">
        <f t="shared" ref="CN382:CN403" si="86">$G382*AO382</f>
        <v>0</v>
      </c>
      <c r="CO382" s="4"/>
      <c r="CP382" s="4"/>
      <c r="CQ382" s="4"/>
      <c r="CR382" s="4"/>
      <c r="CS382" s="4"/>
      <c r="CT382" s="4"/>
      <c r="CU382" s="4"/>
      <c r="CV382" s="4"/>
      <c r="CW382" s="4"/>
      <c r="CX382" s="4"/>
      <c r="CY382" s="4"/>
      <c r="CZ382" s="6"/>
      <c r="DA382" s="6">
        <f t="shared" si="79"/>
        <v>4092</v>
      </c>
      <c r="DB382" s="6">
        <f t="shared" si="80"/>
        <v>3564.0000000000005</v>
      </c>
      <c r="DC382" s="6">
        <f t="shared" si="82"/>
        <v>3168</v>
      </c>
      <c r="DD382" s="6"/>
      <c r="DE382" s="6"/>
      <c r="DF382" s="6"/>
      <c r="DG382" s="6"/>
      <c r="DH382" s="6"/>
      <c r="DI382" s="6"/>
      <c r="DJ382" s="4"/>
      <c r="DK382" s="4"/>
    </row>
    <row r="383" spans="1:115">
      <c r="A383" s="259">
        <v>4</v>
      </c>
      <c r="B383" s="69" t="s">
        <v>31</v>
      </c>
      <c r="C383" s="84" t="s">
        <v>32</v>
      </c>
      <c r="D383" s="645" t="s">
        <v>638</v>
      </c>
      <c r="E383" s="645"/>
      <c r="F383" s="342" t="s">
        <v>1455</v>
      </c>
      <c r="G383" s="641">
        <v>60</v>
      </c>
      <c r="H383" s="84"/>
      <c r="I383" s="641">
        <v>2.6</v>
      </c>
      <c r="J383" s="642">
        <v>2.1</v>
      </c>
      <c r="K383" s="642">
        <v>1.8</v>
      </c>
      <c r="L383" s="4"/>
      <c r="M383" s="4"/>
      <c r="N383" s="4"/>
      <c r="O383" s="4"/>
      <c r="P383" s="4"/>
      <c r="Q383" s="4"/>
      <c r="R383" s="4"/>
      <c r="S383" s="4"/>
      <c r="T383" s="84"/>
      <c r="U383" s="629">
        <v>1300</v>
      </c>
      <c r="V383" s="629">
        <v>1725</v>
      </c>
      <c r="W383" s="4">
        <f>V383*(1+BU383)</f>
        <v>2288.9423076923076</v>
      </c>
      <c r="X383" s="641">
        <v>0</v>
      </c>
      <c r="Y383" s="641"/>
      <c r="Z383" s="641"/>
      <c r="AA383" s="641"/>
      <c r="AB383" s="641"/>
      <c r="AC383" s="641"/>
      <c r="AD383" s="4"/>
      <c r="AE383" s="4"/>
      <c r="AF383" s="4"/>
      <c r="AG383" s="4"/>
      <c r="AH383" s="4"/>
      <c r="AI383" s="4"/>
      <c r="AJ383" s="4"/>
      <c r="AK383" s="6"/>
      <c r="AL383" s="644">
        <v>22</v>
      </c>
      <c r="AM383" s="644">
        <v>22</v>
      </c>
      <c r="AN383" s="644">
        <v>22</v>
      </c>
      <c r="AO383" s="647">
        <v>0</v>
      </c>
      <c r="AP383" s="641"/>
      <c r="AQ383" s="641"/>
      <c r="AR383" s="641"/>
      <c r="AS383" s="641"/>
      <c r="AT383" s="641"/>
      <c r="AU383" s="641"/>
      <c r="AV383" s="4"/>
      <c r="AW383" s="4"/>
      <c r="AX383" s="4"/>
      <c r="AY383" s="4"/>
      <c r="AZ383" s="4"/>
      <c r="BA383" s="4"/>
      <c r="BB383" s="6"/>
      <c r="BC383" s="4">
        <f>U383*AL383</f>
        <v>28600</v>
      </c>
      <c r="BD383" s="4">
        <f>V383*AM383</f>
        <v>37950</v>
      </c>
      <c r="BE383" s="4">
        <f t="shared" si="84"/>
        <v>50356.730769230766</v>
      </c>
      <c r="BF383" s="4"/>
      <c r="BG383" s="4"/>
      <c r="BH383" s="4"/>
      <c r="BI383" s="4"/>
      <c r="BJ383" s="4"/>
      <c r="BK383" s="6"/>
      <c r="BL383" s="6"/>
      <c r="BM383" s="6"/>
      <c r="BN383" s="6"/>
      <c r="BO383" s="6"/>
      <c r="BP383" s="6"/>
      <c r="BQ383" s="6"/>
      <c r="BR383" s="6"/>
      <c r="BS383" s="6"/>
      <c r="BT383" s="6"/>
      <c r="BU383" s="38">
        <f>V383/U383-1</f>
        <v>0.32692307692307687</v>
      </c>
      <c r="BV383" s="6"/>
      <c r="BW383" s="6"/>
      <c r="BX383" s="6"/>
      <c r="BY383" s="6"/>
      <c r="BZ383" s="6"/>
      <c r="CA383" s="6"/>
      <c r="CB383" s="6"/>
      <c r="CC383" s="4"/>
      <c r="CD383" s="4"/>
      <c r="CE383" s="6"/>
      <c r="CF383" s="6"/>
      <c r="CG383" s="6"/>
      <c r="CH383" s="6"/>
      <c r="CI383" s="6"/>
      <c r="CJ383" s="6"/>
      <c r="CK383" s="4">
        <f t="shared" si="75"/>
        <v>1320</v>
      </c>
      <c r="CL383" s="4">
        <f t="shared" si="76"/>
        <v>1320</v>
      </c>
      <c r="CM383" s="4">
        <f t="shared" si="85"/>
        <v>1320</v>
      </c>
      <c r="CN383" s="4">
        <f t="shared" si="86"/>
        <v>0</v>
      </c>
      <c r="CO383" s="4"/>
      <c r="CP383" s="4"/>
      <c r="CQ383" s="4"/>
      <c r="CR383" s="4"/>
      <c r="CS383" s="4"/>
      <c r="CT383" s="4"/>
      <c r="CU383" s="4"/>
      <c r="CV383" s="4"/>
      <c r="CW383" s="4"/>
      <c r="CX383" s="4"/>
      <c r="CY383" s="4"/>
      <c r="CZ383" s="6"/>
      <c r="DA383" s="6">
        <f t="shared" si="79"/>
        <v>3432</v>
      </c>
      <c r="DB383" s="6">
        <f t="shared" si="80"/>
        <v>2772</v>
      </c>
      <c r="DC383" s="6">
        <f t="shared" si="82"/>
        <v>2376</v>
      </c>
      <c r="DD383" s="6"/>
      <c r="DE383" s="6"/>
      <c r="DF383" s="6"/>
      <c r="DG383" s="6"/>
      <c r="DH383" s="6"/>
      <c r="DI383" s="6"/>
      <c r="DJ383" s="4"/>
      <c r="DK383" s="4"/>
    </row>
    <row r="384" spans="1:115">
      <c r="A384" s="259">
        <v>11</v>
      </c>
      <c r="B384" s="84" t="s">
        <v>33</v>
      </c>
      <c r="C384" s="84" t="s">
        <v>34</v>
      </c>
      <c r="D384" s="645" t="s">
        <v>1450</v>
      </c>
      <c r="E384" s="645"/>
      <c r="F384" s="342" t="s">
        <v>1455</v>
      </c>
      <c r="G384" s="641">
        <v>30</v>
      </c>
      <c r="H384" s="84"/>
      <c r="I384" s="641">
        <v>6.3</v>
      </c>
      <c r="J384" s="642">
        <v>5</v>
      </c>
      <c r="K384" s="642">
        <v>4</v>
      </c>
      <c r="L384" s="4"/>
      <c r="M384" s="4"/>
      <c r="N384" s="4"/>
      <c r="O384" s="4"/>
      <c r="P384" s="4"/>
      <c r="Q384" s="4"/>
      <c r="R384" s="4"/>
      <c r="S384" s="4"/>
      <c r="T384" s="84"/>
      <c r="U384" s="629">
        <v>5600</v>
      </c>
      <c r="V384" s="629">
        <v>6000</v>
      </c>
      <c r="W384" s="95">
        <f>V384*(1+BU384)</f>
        <v>6428.5714285714284</v>
      </c>
      <c r="X384" s="641">
        <v>0</v>
      </c>
      <c r="Y384" s="641"/>
      <c r="Z384" s="641"/>
      <c r="AA384" s="641"/>
      <c r="AB384" s="641"/>
      <c r="AC384" s="641"/>
      <c r="AD384" s="4"/>
      <c r="AE384" s="4"/>
      <c r="AF384" s="4"/>
      <c r="AG384" s="4"/>
      <c r="AH384" s="4"/>
      <c r="AI384" s="4"/>
      <c r="AJ384" s="4"/>
      <c r="AK384" s="6"/>
      <c r="AL384" s="644">
        <v>22</v>
      </c>
      <c r="AM384" s="644">
        <v>22</v>
      </c>
      <c r="AN384" s="644">
        <v>22</v>
      </c>
      <c r="AO384" s="647">
        <v>0</v>
      </c>
      <c r="AP384" s="641"/>
      <c r="AQ384" s="641"/>
      <c r="AR384" s="641"/>
      <c r="AS384" s="641"/>
      <c r="AT384" s="641"/>
      <c r="AU384" s="641"/>
      <c r="AV384" s="4"/>
      <c r="AW384" s="4"/>
      <c r="AX384" s="4"/>
      <c r="AY384" s="4"/>
      <c r="AZ384" s="4"/>
      <c r="BA384" s="4"/>
      <c r="BB384" s="6"/>
      <c r="BC384" s="4">
        <f>U384*AL384</f>
        <v>123200</v>
      </c>
      <c r="BD384" s="4">
        <f>V384*AM384</f>
        <v>132000</v>
      </c>
      <c r="BE384" s="4">
        <f t="shared" si="84"/>
        <v>141428.57142857142</v>
      </c>
      <c r="BF384" s="4"/>
      <c r="BG384" s="4"/>
      <c r="BH384" s="4"/>
      <c r="BI384" s="4"/>
      <c r="BJ384" s="4"/>
      <c r="BK384" s="6"/>
      <c r="BL384" s="6"/>
      <c r="BM384" s="6"/>
      <c r="BN384" s="6"/>
      <c r="BO384" s="6"/>
      <c r="BP384" s="6"/>
      <c r="BQ384" s="6"/>
      <c r="BR384" s="6"/>
      <c r="BS384" s="6"/>
      <c r="BT384" s="6"/>
      <c r="BU384" s="38">
        <f>V384/U384-1</f>
        <v>7.1428571428571397E-2</v>
      </c>
      <c r="BV384" s="6"/>
      <c r="BW384" s="6"/>
      <c r="BX384" s="6"/>
      <c r="BY384" s="6"/>
      <c r="BZ384" s="6"/>
      <c r="CA384" s="6"/>
      <c r="CB384" s="6"/>
      <c r="CC384" s="4"/>
      <c r="CD384" s="4"/>
      <c r="CE384" s="6"/>
      <c r="CF384" s="6"/>
      <c r="CG384" s="6"/>
      <c r="CH384" s="6"/>
      <c r="CI384" s="6"/>
      <c r="CJ384" s="6"/>
      <c r="CK384" s="4">
        <f t="shared" si="75"/>
        <v>660</v>
      </c>
      <c r="CL384" s="4">
        <f t="shared" si="76"/>
        <v>660</v>
      </c>
      <c r="CM384" s="4">
        <f t="shared" si="85"/>
        <v>660</v>
      </c>
      <c r="CN384" s="4">
        <f t="shared" si="86"/>
        <v>0</v>
      </c>
      <c r="CO384" s="4"/>
      <c r="CP384" s="4"/>
      <c r="CQ384" s="4"/>
      <c r="CR384" s="4"/>
      <c r="CS384" s="4"/>
      <c r="CT384" s="4"/>
      <c r="CU384" s="4"/>
      <c r="CV384" s="4"/>
      <c r="CW384" s="4"/>
      <c r="CX384" s="4"/>
      <c r="CY384" s="4"/>
      <c r="CZ384" s="6"/>
      <c r="DA384" s="6">
        <f t="shared" si="79"/>
        <v>4158</v>
      </c>
      <c r="DB384" s="6">
        <f t="shared" si="80"/>
        <v>3300</v>
      </c>
      <c r="DC384" s="6">
        <f t="shared" si="82"/>
        <v>2640</v>
      </c>
      <c r="DD384" s="6"/>
      <c r="DE384" s="6"/>
      <c r="DF384" s="6"/>
      <c r="DG384" s="6"/>
      <c r="DH384" s="6"/>
      <c r="DI384" s="6"/>
      <c r="DJ384" s="4"/>
      <c r="DK384" s="4"/>
    </row>
    <row r="385" spans="1:115">
      <c r="A385" s="640" t="s">
        <v>35</v>
      </c>
      <c r="B385" s="6"/>
      <c r="C385" s="6"/>
      <c r="D385" s="6"/>
      <c r="E385" s="6"/>
      <c r="F385" s="6"/>
      <c r="G385" s="667"/>
      <c r="H385" s="84"/>
      <c r="I385" s="84"/>
      <c r="J385" s="84"/>
      <c r="K385" s="84"/>
      <c r="L385" s="84"/>
      <c r="M385" s="84"/>
      <c r="N385" s="84"/>
      <c r="O385" s="84"/>
      <c r="P385" s="84"/>
      <c r="Q385" s="84"/>
      <c r="R385" s="84"/>
      <c r="S385" s="84"/>
      <c r="T385" s="84"/>
      <c r="U385" s="6"/>
      <c r="V385" s="6"/>
      <c r="W385" s="6"/>
      <c r="X385" s="6"/>
      <c r="Y385" s="6"/>
      <c r="Z385" s="6"/>
      <c r="AA385" s="6"/>
      <c r="AB385" s="6"/>
      <c r="AC385" s="6"/>
      <c r="AD385" s="84"/>
      <c r="AE385" s="84"/>
      <c r="AF385" s="84"/>
      <c r="AG385" s="84"/>
      <c r="AH385" s="84"/>
      <c r="AI385" s="84"/>
      <c r="AJ385" s="84"/>
      <c r="AK385" s="6"/>
      <c r="AL385" s="275"/>
      <c r="AM385" s="275"/>
      <c r="AN385" s="275"/>
      <c r="AO385" s="275"/>
      <c r="AP385" s="6"/>
      <c r="AQ385" s="6"/>
      <c r="AR385" s="6"/>
      <c r="AS385" s="6"/>
      <c r="AT385" s="6"/>
      <c r="AU385" s="6"/>
      <c r="AV385" s="84"/>
      <c r="AW385" s="84"/>
      <c r="AX385" s="84"/>
      <c r="AY385" s="84"/>
      <c r="AZ385" s="84"/>
      <c r="BA385" s="84"/>
      <c r="BB385" s="6"/>
      <c r="BC385" s="6"/>
      <c r="BD385" s="6"/>
      <c r="BE385" s="6"/>
      <c r="BF385" s="6"/>
      <c r="BG385" s="6"/>
      <c r="BH385" s="6"/>
      <c r="BI385" s="6"/>
      <c r="BJ385" s="6"/>
      <c r="BK385" s="6"/>
      <c r="BL385" s="6"/>
      <c r="BM385" s="6"/>
      <c r="BN385" s="6"/>
      <c r="BO385" s="6"/>
      <c r="BP385" s="6"/>
      <c r="BQ385" s="6"/>
      <c r="BR385" s="6"/>
      <c r="BS385" s="6"/>
      <c r="BT385" s="6"/>
      <c r="BU385" s="6"/>
      <c r="BV385" s="6"/>
      <c r="BW385" s="6"/>
      <c r="BX385" s="6"/>
      <c r="BY385" s="6"/>
      <c r="BZ385" s="6"/>
      <c r="CA385" s="6"/>
      <c r="CB385" s="6"/>
      <c r="CC385" s="84"/>
      <c r="CD385" s="84"/>
      <c r="CE385" s="6"/>
      <c r="CF385" s="6"/>
      <c r="CG385" s="6"/>
      <c r="CH385" s="6"/>
      <c r="CI385" s="6"/>
      <c r="CJ385" s="6"/>
      <c r="CK385" s="4">
        <f t="shared" si="75"/>
        <v>0</v>
      </c>
      <c r="CL385" s="4">
        <f t="shared" si="76"/>
        <v>0</v>
      </c>
      <c r="CM385" s="4">
        <f t="shared" si="85"/>
        <v>0</v>
      </c>
      <c r="CN385" s="4">
        <f t="shared" si="86"/>
        <v>0</v>
      </c>
      <c r="CO385" s="4"/>
      <c r="CP385" s="4"/>
      <c r="CQ385" s="4"/>
      <c r="CR385" s="4"/>
      <c r="CS385" s="4"/>
      <c r="CT385" s="84"/>
      <c r="CU385" s="84"/>
      <c r="CV385" s="84"/>
      <c r="CW385" s="84"/>
      <c r="CX385" s="84"/>
      <c r="CY385" s="84"/>
      <c r="CZ385" s="6"/>
      <c r="DA385" s="6">
        <f t="shared" si="79"/>
        <v>0</v>
      </c>
      <c r="DB385" s="6">
        <f t="shared" si="80"/>
        <v>0</v>
      </c>
      <c r="DC385" s="6">
        <f t="shared" si="82"/>
        <v>0</v>
      </c>
      <c r="DD385" s="6"/>
      <c r="DE385" s="6"/>
      <c r="DF385" s="6"/>
      <c r="DG385" s="6"/>
      <c r="DH385" s="6"/>
      <c r="DI385" s="6"/>
      <c r="DJ385" s="84"/>
      <c r="DK385" s="84"/>
    </row>
    <row r="386" spans="1:115">
      <c r="A386" s="259">
        <v>1</v>
      </c>
      <c r="B386" s="84" t="s">
        <v>36</v>
      </c>
      <c r="C386" s="84" t="s">
        <v>1467</v>
      </c>
      <c r="D386" s="645" t="s">
        <v>1059</v>
      </c>
      <c r="E386" s="645"/>
      <c r="F386" s="342" t="s">
        <v>1455</v>
      </c>
      <c r="G386" s="641">
        <v>30</v>
      </c>
      <c r="H386" s="668"/>
      <c r="I386" s="4"/>
      <c r="J386" s="664">
        <v>0.8</v>
      </c>
      <c r="K386" s="4"/>
      <c r="L386" s="4"/>
      <c r="M386" s="4"/>
      <c r="N386" s="4"/>
      <c r="O386" s="4"/>
      <c r="P386" s="4"/>
      <c r="Q386" s="4"/>
      <c r="R386" s="4"/>
      <c r="S386" s="4"/>
      <c r="T386" s="664"/>
      <c r="U386" s="4">
        <v>0</v>
      </c>
      <c r="V386" s="629">
        <v>700</v>
      </c>
      <c r="W386" s="641">
        <v>0</v>
      </c>
      <c r="X386" s="641">
        <v>0</v>
      </c>
      <c r="Y386" s="641"/>
      <c r="Z386" s="641"/>
      <c r="AA386" s="641"/>
      <c r="AB386" s="641"/>
      <c r="AC386" s="641"/>
      <c r="AD386" s="4"/>
      <c r="AE386" s="4"/>
      <c r="AF386" s="4"/>
      <c r="AG386" s="4"/>
      <c r="AH386" s="4"/>
      <c r="AI386" s="4"/>
      <c r="AJ386" s="4"/>
      <c r="AK386" s="6"/>
      <c r="AL386" s="647">
        <v>0</v>
      </c>
      <c r="AM386" s="644">
        <v>13</v>
      </c>
      <c r="AN386" s="647">
        <v>0</v>
      </c>
      <c r="AO386" s="647">
        <v>0</v>
      </c>
      <c r="AP386" s="641"/>
      <c r="AQ386" s="641"/>
      <c r="AR386" s="641"/>
      <c r="AS386" s="641"/>
      <c r="AT386" s="641"/>
      <c r="AU386" s="641"/>
      <c r="AV386" s="4"/>
      <c r="AW386" s="4"/>
      <c r="AX386" s="4"/>
      <c r="AY386" s="4"/>
      <c r="AZ386" s="4"/>
      <c r="BA386" s="4"/>
      <c r="BB386" s="6"/>
      <c r="BC386" s="4"/>
      <c r="BD386" s="4">
        <f t="shared" ref="BD386:BD393" si="87">V386*AM386</f>
        <v>9100</v>
      </c>
      <c r="BE386" s="4"/>
      <c r="BF386" s="4"/>
      <c r="BG386" s="4"/>
      <c r="BH386" s="4"/>
      <c r="BI386" s="4"/>
      <c r="BJ386" s="4"/>
      <c r="BK386" s="6"/>
      <c r="BL386" s="6"/>
      <c r="BM386" s="6"/>
      <c r="BN386" s="6"/>
      <c r="BO386" s="6"/>
      <c r="BP386" s="6"/>
      <c r="BQ386" s="6"/>
      <c r="BR386" s="6"/>
      <c r="BS386" s="6"/>
      <c r="BT386" s="6"/>
      <c r="BU386" s="6"/>
      <c r="BV386" s="6"/>
      <c r="BW386" s="6"/>
      <c r="BX386" s="6"/>
      <c r="BY386" s="6"/>
      <c r="BZ386" s="6"/>
      <c r="CA386" s="6"/>
      <c r="CB386" s="6"/>
      <c r="CC386" s="4"/>
      <c r="CD386" s="4"/>
      <c r="CE386" s="6"/>
      <c r="CF386" s="6"/>
      <c r="CG386" s="6"/>
      <c r="CH386" s="6"/>
      <c r="CI386" s="6"/>
      <c r="CJ386" s="6"/>
      <c r="CK386" s="4">
        <f t="shared" si="75"/>
        <v>0</v>
      </c>
      <c r="CL386" s="4">
        <f t="shared" si="76"/>
        <v>390</v>
      </c>
      <c r="CM386" s="4">
        <f t="shared" si="85"/>
        <v>0</v>
      </c>
      <c r="CN386" s="4">
        <f t="shared" si="86"/>
        <v>0</v>
      </c>
      <c r="CO386" s="4"/>
      <c r="CP386" s="4"/>
      <c r="CQ386" s="4"/>
      <c r="CR386" s="4"/>
      <c r="CS386" s="4"/>
      <c r="CT386" s="4"/>
      <c r="CU386" s="4"/>
      <c r="CV386" s="4"/>
      <c r="CW386" s="4"/>
      <c r="CX386" s="4"/>
      <c r="CY386" s="4"/>
      <c r="CZ386" s="6"/>
      <c r="DA386" s="6">
        <f t="shared" si="79"/>
        <v>0</v>
      </c>
      <c r="DB386" s="6">
        <f t="shared" si="80"/>
        <v>312</v>
      </c>
      <c r="DC386" s="6">
        <f t="shared" si="82"/>
        <v>0</v>
      </c>
      <c r="DD386" s="6"/>
      <c r="DE386" s="6"/>
      <c r="DF386" s="6"/>
      <c r="DG386" s="6"/>
      <c r="DH386" s="6"/>
      <c r="DI386" s="6"/>
      <c r="DJ386" s="4"/>
      <c r="DK386" s="4"/>
    </row>
    <row r="387" spans="1:115">
      <c r="A387" s="86">
        <v>1</v>
      </c>
      <c r="B387" s="84" t="s">
        <v>37</v>
      </c>
      <c r="C387" s="84" t="s">
        <v>2</v>
      </c>
      <c r="D387" s="645" t="s">
        <v>638</v>
      </c>
      <c r="E387" s="645"/>
      <c r="F387" s="342" t="s">
        <v>1455</v>
      </c>
      <c r="G387" s="641">
        <v>30</v>
      </c>
      <c r="H387" s="662"/>
      <c r="I387" s="4"/>
      <c r="J387" s="664">
        <v>2.4</v>
      </c>
      <c r="K387" s="4"/>
      <c r="L387" s="4"/>
      <c r="M387" s="4"/>
      <c r="N387" s="4"/>
      <c r="O387" s="4"/>
      <c r="P387" s="4"/>
      <c r="Q387" s="4"/>
      <c r="R387" s="4"/>
      <c r="S387" s="4"/>
      <c r="T387" s="664"/>
      <c r="U387" s="4">
        <v>0</v>
      </c>
      <c r="V387" s="629">
        <v>760</v>
      </c>
      <c r="W387" s="641">
        <v>0</v>
      </c>
      <c r="X387" s="641">
        <v>0</v>
      </c>
      <c r="Y387" s="641"/>
      <c r="Z387" s="641"/>
      <c r="AA387" s="641"/>
      <c r="AB387" s="641"/>
      <c r="AC387" s="641"/>
      <c r="AD387" s="4"/>
      <c r="AE387" s="4"/>
      <c r="AF387" s="4"/>
      <c r="AG387" s="4"/>
      <c r="AH387" s="4"/>
      <c r="AI387" s="4"/>
      <c r="AJ387" s="4"/>
      <c r="AK387" s="6"/>
      <c r="AL387" s="647">
        <v>0</v>
      </c>
      <c r="AM387" s="644">
        <v>22</v>
      </c>
      <c r="AN387" s="647">
        <v>0</v>
      </c>
      <c r="AO387" s="647">
        <v>0</v>
      </c>
      <c r="AP387" s="641"/>
      <c r="AQ387" s="641"/>
      <c r="AR387" s="641"/>
      <c r="AS387" s="641"/>
      <c r="AT387" s="641"/>
      <c r="AU387" s="641"/>
      <c r="AV387" s="4"/>
      <c r="AW387" s="4"/>
      <c r="AX387" s="4"/>
      <c r="AY387" s="4"/>
      <c r="AZ387" s="4"/>
      <c r="BA387" s="4"/>
      <c r="BB387" s="6"/>
      <c r="BC387" s="4"/>
      <c r="BD387" s="4">
        <f t="shared" si="87"/>
        <v>16720</v>
      </c>
      <c r="BE387" s="4"/>
      <c r="BF387" s="4"/>
      <c r="BG387" s="4"/>
      <c r="BH387" s="4"/>
      <c r="BI387" s="4"/>
      <c r="BJ387" s="4"/>
      <c r="BK387" s="6"/>
      <c r="BL387" s="6"/>
      <c r="BM387" s="6"/>
      <c r="BN387" s="6"/>
      <c r="BO387" s="6"/>
      <c r="BP387" s="6"/>
      <c r="BQ387" s="6"/>
      <c r="BR387" s="6"/>
      <c r="BS387" s="6"/>
      <c r="BT387" s="6"/>
      <c r="BU387" s="6"/>
      <c r="BV387" s="6"/>
      <c r="BW387" s="6"/>
      <c r="BX387" s="6"/>
      <c r="BY387" s="6"/>
      <c r="BZ387" s="6"/>
      <c r="CA387" s="6"/>
      <c r="CB387" s="6"/>
      <c r="CC387" s="4"/>
      <c r="CD387" s="4"/>
      <c r="CE387" s="6"/>
      <c r="CF387" s="6"/>
      <c r="CG387" s="6"/>
      <c r="CH387" s="6"/>
      <c r="CI387" s="6"/>
      <c r="CJ387" s="6"/>
      <c r="CK387" s="4">
        <f t="shared" si="75"/>
        <v>0</v>
      </c>
      <c r="CL387" s="4">
        <f t="shared" si="76"/>
        <v>660</v>
      </c>
      <c r="CM387" s="4">
        <f t="shared" si="85"/>
        <v>0</v>
      </c>
      <c r="CN387" s="4">
        <f t="shared" si="86"/>
        <v>0</v>
      </c>
      <c r="CO387" s="4"/>
      <c r="CP387" s="4"/>
      <c r="CQ387" s="4"/>
      <c r="CR387" s="4"/>
      <c r="CS387" s="4"/>
      <c r="CT387" s="4"/>
      <c r="CU387" s="4"/>
      <c r="CV387" s="4"/>
      <c r="CW387" s="4"/>
      <c r="CX387" s="4"/>
      <c r="CY387" s="4"/>
      <c r="CZ387" s="6"/>
      <c r="DA387" s="6">
        <f t="shared" si="79"/>
        <v>0</v>
      </c>
      <c r="DB387" s="6">
        <f t="shared" si="80"/>
        <v>1584</v>
      </c>
      <c r="DC387" s="6">
        <f t="shared" si="82"/>
        <v>0</v>
      </c>
      <c r="DD387" s="6"/>
      <c r="DE387" s="6"/>
      <c r="DF387" s="6"/>
      <c r="DG387" s="6"/>
      <c r="DH387" s="6"/>
      <c r="DI387" s="6"/>
      <c r="DJ387" s="4"/>
      <c r="DK387" s="4"/>
    </row>
    <row r="388" spans="1:115">
      <c r="A388" s="86">
        <v>1</v>
      </c>
      <c r="B388" s="84" t="s">
        <v>38</v>
      </c>
      <c r="C388" s="84" t="s">
        <v>39</v>
      </c>
      <c r="D388" s="645" t="s">
        <v>1483</v>
      </c>
      <c r="E388" s="645"/>
      <c r="F388" s="342" t="s">
        <v>1455</v>
      </c>
      <c r="G388" s="641">
        <v>30</v>
      </c>
      <c r="H388" s="662"/>
      <c r="I388" s="4"/>
      <c r="J388" s="664">
        <v>0.8</v>
      </c>
      <c r="K388" s="4"/>
      <c r="L388" s="4"/>
      <c r="M388" s="4"/>
      <c r="N388" s="4"/>
      <c r="O388" s="4"/>
      <c r="P388" s="4"/>
      <c r="Q388" s="4"/>
      <c r="R388" s="4"/>
      <c r="S388" s="4"/>
      <c r="T388" s="664"/>
      <c r="U388" s="4">
        <v>0</v>
      </c>
      <c r="V388" s="629">
        <v>795</v>
      </c>
      <c r="W388" s="641">
        <v>0</v>
      </c>
      <c r="X388" s="641">
        <v>0</v>
      </c>
      <c r="Y388" s="641"/>
      <c r="Z388" s="641"/>
      <c r="AA388" s="641"/>
      <c r="AB388" s="641"/>
      <c r="AC388" s="641"/>
      <c r="AD388" s="4"/>
      <c r="AE388" s="4"/>
      <c r="AF388" s="4"/>
      <c r="AG388" s="4"/>
      <c r="AH388" s="4"/>
      <c r="AI388" s="4"/>
      <c r="AJ388" s="4"/>
      <c r="AK388" s="6"/>
      <c r="AL388" s="647">
        <v>0</v>
      </c>
      <c r="AM388" s="644">
        <v>22</v>
      </c>
      <c r="AN388" s="647">
        <v>0</v>
      </c>
      <c r="AO388" s="647">
        <v>0</v>
      </c>
      <c r="AP388" s="641"/>
      <c r="AQ388" s="641"/>
      <c r="AR388" s="641"/>
      <c r="AS388" s="641"/>
      <c r="AT388" s="641"/>
      <c r="AU388" s="641"/>
      <c r="AV388" s="4"/>
      <c r="AW388" s="4"/>
      <c r="AX388" s="4"/>
      <c r="AY388" s="4"/>
      <c r="AZ388" s="4"/>
      <c r="BA388" s="4"/>
      <c r="BB388" s="6"/>
      <c r="BC388" s="4"/>
      <c r="BD388" s="4">
        <f t="shared" si="87"/>
        <v>17490</v>
      </c>
      <c r="BE388" s="4"/>
      <c r="BF388" s="4"/>
      <c r="BG388" s="4"/>
      <c r="BH388" s="4"/>
      <c r="BI388" s="4"/>
      <c r="BJ388" s="4"/>
      <c r="BK388" s="6"/>
      <c r="BL388" s="6"/>
      <c r="BM388" s="6"/>
      <c r="BN388" s="6"/>
      <c r="BO388" s="6"/>
      <c r="BP388" s="6"/>
      <c r="BQ388" s="6"/>
      <c r="BR388" s="6"/>
      <c r="BS388" s="6"/>
      <c r="BT388" s="6"/>
      <c r="BU388" s="6"/>
      <c r="BV388" s="6"/>
      <c r="BW388" s="6"/>
      <c r="BX388" s="6"/>
      <c r="BY388" s="6"/>
      <c r="BZ388" s="6"/>
      <c r="CA388" s="6"/>
      <c r="CB388" s="6"/>
      <c r="CC388" s="4"/>
      <c r="CD388" s="4"/>
      <c r="CE388" s="6"/>
      <c r="CF388" s="6"/>
      <c r="CG388" s="6"/>
      <c r="CH388" s="6"/>
      <c r="CI388" s="6"/>
      <c r="CJ388" s="6"/>
      <c r="CK388" s="4">
        <f t="shared" si="75"/>
        <v>0</v>
      </c>
      <c r="CL388" s="4">
        <f t="shared" si="76"/>
        <v>660</v>
      </c>
      <c r="CM388" s="4">
        <f t="shared" si="85"/>
        <v>0</v>
      </c>
      <c r="CN388" s="4">
        <f t="shared" si="86"/>
        <v>0</v>
      </c>
      <c r="CO388" s="4"/>
      <c r="CP388" s="4"/>
      <c r="CQ388" s="4"/>
      <c r="CR388" s="4"/>
      <c r="CS388" s="4"/>
      <c r="CT388" s="4"/>
      <c r="CU388" s="4"/>
      <c r="CV388" s="4"/>
      <c r="CW388" s="4"/>
      <c r="CX388" s="4"/>
      <c r="CY388" s="4"/>
      <c r="CZ388" s="6"/>
      <c r="DA388" s="6">
        <f t="shared" si="79"/>
        <v>0</v>
      </c>
      <c r="DB388" s="6">
        <f t="shared" si="80"/>
        <v>528</v>
      </c>
      <c r="DC388" s="6">
        <f t="shared" si="82"/>
        <v>0</v>
      </c>
      <c r="DD388" s="6"/>
      <c r="DE388" s="6"/>
      <c r="DF388" s="6"/>
      <c r="DG388" s="6"/>
      <c r="DH388" s="6"/>
      <c r="DI388" s="6"/>
      <c r="DJ388" s="4"/>
      <c r="DK388" s="4"/>
    </row>
    <row r="389" spans="1:115">
      <c r="A389" s="259">
        <v>1</v>
      </c>
      <c r="B389" s="84" t="s">
        <v>40</v>
      </c>
      <c r="C389" s="84" t="s">
        <v>41</v>
      </c>
      <c r="D389" s="645" t="s">
        <v>1059</v>
      </c>
      <c r="E389" s="645"/>
      <c r="F389" s="342" t="s">
        <v>1455</v>
      </c>
      <c r="G389" s="641">
        <v>60</v>
      </c>
      <c r="H389" s="668"/>
      <c r="I389" s="4"/>
      <c r="J389" s="664">
        <v>1</v>
      </c>
      <c r="K389" s="4"/>
      <c r="L389" s="4"/>
      <c r="M389" s="4"/>
      <c r="N389" s="4"/>
      <c r="O389" s="4"/>
      <c r="P389" s="4"/>
      <c r="Q389" s="4"/>
      <c r="R389" s="4"/>
      <c r="S389" s="4"/>
      <c r="T389" s="664"/>
      <c r="U389" s="4">
        <v>0</v>
      </c>
      <c r="V389" s="629">
        <v>1650</v>
      </c>
      <c r="W389" s="641">
        <v>0</v>
      </c>
      <c r="X389" s="641">
        <v>0</v>
      </c>
      <c r="Y389" s="641"/>
      <c r="Z389" s="641"/>
      <c r="AA389" s="641"/>
      <c r="AB389" s="641"/>
      <c r="AC389" s="641"/>
      <c r="AD389" s="4"/>
      <c r="AE389" s="4"/>
      <c r="AF389" s="4"/>
      <c r="AG389" s="4"/>
      <c r="AH389" s="4"/>
      <c r="AI389" s="4"/>
      <c r="AJ389" s="4"/>
      <c r="AK389" s="6"/>
      <c r="AL389" s="647">
        <v>0</v>
      </c>
      <c r="AM389" s="644">
        <v>22</v>
      </c>
      <c r="AN389" s="647">
        <v>0</v>
      </c>
      <c r="AO389" s="647">
        <v>0</v>
      </c>
      <c r="AP389" s="641"/>
      <c r="AQ389" s="641"/>
      <c r="AR389" s="641"/>
      <c r="AS389" s="641"/>
      <c r="AT389" s="641"/>
      <c r="AU389" s="641"/>
      <c r="AV389" s="4"/>
      <c r="AW389" s="4"/>
      <c r="AX389" s="4"/>
      <c r="AY389" s="4"/>
      <c r="AZ389" s="4"/>
      <c r="BA389" s="4"/>
      <c r="BB389" s="6"/>
      <c r="BC389" s="4"/>
      <c r="BD389" s="4">
        <f t="shared" si="87"/>
        <v>36300</v>
      </c>
      <c r="BE389" s="4"/>
      <c r="BF389" s="4"/>
      <c r="BG389" s="4"/>
      <c r="BH389" s="4"/>
      <c r="BI389" s="4"/>
      <c r="BJ389" s="4"/>
      <c r="BK389" s="6"/>
      <c r="BL389" s="6"/>
      <c r="BM389" s="6"/>
      <c r="BN389" s="6"/>
      <c r="BO389" s="6"/>
      <c r="BP389" s="6"/>
      <c r="BQ389" s="6"/>
      <c r="BR389" s="6"/>
      <c r="BS389" s="6"/>
      <c r="BT389" s="6"/>
      <c r="BU389" s="6"/>
      <c r="BV389" s="6"/>
      <c r="BW389" s="6"/>
      <c r="BX389" s="6"/>
      <c r="BY389" s="6"/>
      <c r="BZ389" s="6"/>
      <c r="CA389" s="6"/>
      <c r="CB389" s="6"/>
      <c r="CC389" s="4"/>
      <c r="CD389" s="4"/>
      <c r="CE389" s="6"/>
      <c r="CF389" s="6"/>
      <c r="CG389" s="6"/>
      <c r="CH389" s="6"/>
      <c r="CI389" s="6"/>
      <c r="CJ389" s="6"/>
      <c r="CK389" s="4">
        <f t="shared" si="75"/>
        <v>0</v>
      </c>
      <c r="CL389" s="4">
        <f t="shared" si="76"/>
        <v>1320</v>
      </c>
      <c r="CM389" s="4">
        <f t="shared" si="85"/>
        <v>0</v>
      </c>
      <c r="CN389" s="4">
        <f t="shared" si="86"/>
        <v>0</v>
      </c>
      <c r="CO389" s="4"/>
      <c r="CP389" s="4"/>
      <c r="CQ389" s="4"/>
      <c r="CR389" s="4"/>
      <c r="CS389" s="4"/>
      <c r="CT389" s="4"/>
      <c r="CU389" s="4"/>
      <c r="CV389" s="4"/>
      <c r="CW389" s="4"/>
      <c r="CX389" s="4"/>
      <c r="CY389" s="4"/>
      <c r="CZ389" s="6"/>
      <c r="DA389" s="6">
        <f t="shared" si="79"/>
        <v>0</v>
      </c>
      <c r="DB389" s="6">
        <f t="shared" si="80"/>
        <v>1320</v>
      </c>
      <c r="DC389" s="6">
        <f t="shared" si="82"/>
        <v>0</v>
      </c>
      <c r="DD389" s="6"/>
      <c r="DE389" s="6"/>
      <c r="DF389" s="6"/>
      <c r="DG389" s="6"/>
      <c r="DH389" s="6"/>
      <c r="DI389" s="6"/>
      <c r="DJ389" s="4"/>
      <c r="DK389" s="4"/>
    </row>
    <row r="390" spans="1:115">
      <c r="A390" s="86">
        <v>9</v>
      </c>
      <c r="B390" s="84" t="s">
        <v>42</v>
      </c>
      <c r="C390" s="84" t="s">
        <v>1467</v>
      </c>
      <c r="D390" s="645" t="s">
        <v>638</v>
      </c>
      <c r="E390" s="645"/>
      <c r="F390" s="342" t="s">
        <v>1455</v>
      </c>
      <c r="G390" s="641">
        <v>60</v>
      </c>
      <c r="H390" s="662"/>
      <c r="I390" s="642">
        <v>2</v>
      </c>
      <c r="J390" s="664">
        <v>1.8</v>
      </c>
      <c r="K390" s="4"/>
      <c r="L390" s="4"/>
      <c r="M390" s="4"/>
      <c r="N390" s="4"/>
      <c r="O390" s="4"/>
      <c r="P390" s="4"/>
      <c r="Q390" s="4"/>
      <c r="R390" s="4"/>
      <c r="S390" s="4"/>
      <c r="T390" s="664"/>
      <c r="U390" s="430">
        <v>1850</v>
      </c>
      <c r="V390" s="430">
        <v>1725</v>
      </c>
      <c r="W390" s="641">
        <v>0</v>
      </c>
      <c r="X390" s="641">
        <v>0</v>
      </c>
      <c r="Y390" s="641"/>
      <c r="Z390" s="641"/>
      <c r="AA390" s="641"/>
      <c r="AB390" s="641"/>
      <c r="AC390" s="641"/>
      <c r="AD390" s="4"/>
      <c r="AE390" s="4"/>
      <c r="AF390" s="4"/>
      <c r="AG390" s="4"/>
      <c r="AH390" s="4"/>
      <c r="AI390" s="4"/>
      <c r="AJ390" s="4"/>
      <c r="AK390" s="6"/>
      <c r="AL390" s="644">
        <v>22</v>
      </c>
      <c r="AM390" s="644">
        <v>22</v>
      </c>
      <c r="AN390" s="647">
        <v>0</v>
      </c>
      <c r="AO390" s="647">
        <v>0</v>
      </c>
      <c r="AP390" s="641"/>
      <c r="AQ390" s="641"/>
      <c r="AR390" s="641"/>
      <c r="AS390" s="641"/>
      <c r="AT390" s="641"/>
      <c r="AU390" s="641"/>
      <c r="AV390" s="4"/>
      <c r="AW390" s="4"/>
      <c r="AX390" s="4"/>
      <c r="AY390" s="4"/>
      <c r="AZ390" s="4"/>
      <c r="BA390" s="4"/>
      <c r="BB390" s="6"/>
      <c r="BC390" s="4">
        <f>U390*AL390</f>
        <v>40700</v>
      </c>
      <c r="BD390" s="4">
        <f t="shared" si="87"/>
        <v>37950</v>
      </c>
      <c r="BE390" s="4"/>
      <c r="BF390" s="4"/>
      <c r="BG390" s="4"/>
      <c r="BH390" s="4"/>
      <c r="BI390" s="4"/>
      <c r="BJ390" s="4"/>
      <c r="BK390" s="6"/>
      <c r="BL390" s="6"/>
      <c r="BM390" s="6"/>
      <c r="BN390" s="6"/>
      <c r="BO390" s="6"/>
      <c r="BP390" s="6"/>
      <c r="BQ390" s="6"/>
      <c r="BR390" s="6"/>
      <c r="BS390" s="6"/>
      <c r="BT390" s="6"/>
      <c r="BU390" s="6"/>
      <c r="BV390" s="6"/>
      <c r="BW390" s="6"/>
      <c r="BX390" s="6"/>
      <c r="BY390" s="6"/>
      <c r="BZ390" s="6"/>
      <c r="CA390" s="6"/>
      <c r="CB390" s="6"/>
      <c r="CC390" s="4"/>
      <c r="CD390" s="4"/>
      <c r="CE390" s="6"/>
      <c r="CF390" s="6"/>
      <c r="CG390" s="6"/>
      <c r="CH390" s="6"/>
      <c r="CI390" s="6"/>
      <c r="CJ390" s="6"/>
      <c r="CK390" s="4">
        <f t="shared" si="75"/>
        <v>1320</v>
      </c>
      <c r="CL390" s="4">
        <f t="shared" si="76"/>
        <v>1320</v>
      </c>
      <c r="CM390" s="4">
        <f t="shared" si="85"/>
        <v>0</v>
      </c>
      <c r="CN390" s="4">
        <f t="shared" si="86"/>
        <v>0</v>
      </c>
      <c r="CO390" s="4"/>
      <c r="CP390" s="4"/>
      <c r="CQ390" s="4"/>
      <c r="CR390" s="4"/>
      <c r="CS390" s="4"/>
      <c r="CT390" s="4"/>
      <c r="CU390" s="4"/>
      <c r="CV390" s="4"/>
      <c r="CW390" s="4"/>
      <c r="CX390" s="4"/>
      <c r="CY390" s="4"/>
      <c r="CZ390" s="6"/>
      <c r="DA390" s="6">
        <f t="shared" si="79"/>
        <v>2640</v>
      </c>
      <c r="DB390" s="6">
        <f t="shared" si="80"/>
        <v>2376</v>
      </c>
      <c r="DC390" s="6">
        <f t="shared" si="82"/>
        <v>0</v>
      </c>
      <c r="DD390" s="6"/>
      <c r="DE390" s="6"/>
      <c r="DF390" s="6"/>
      <c r="DG390" s="6"/>
      <c r="DH390" s="6"/>
      <c r="DI390" s="6"/>
      <c r="DJ390" s="4"/>
      <c r="DK390" s="4"/>
    </row>
    <row r="391" spans="1:115">
      <c r="A391" s="86">
        <v>3</v>
      </c>
      <c r="B391" s="84" t="s">
        <v>43</v>
      </c>
      <c r="C391" s="84" t="s">
        <v>44</v>
      </c>
      <c r="D391" s="645" t="s">
        <v>1483</v>
      </c>
      <c r="E391" s="645"/>
      <c r="F391" s="342" t="s">
        <v>1455</v>
      </c>
      <c r="G391" s="641">
        <v>30</v>
      </c>
      <c r="H391" s="662"/>
      <c r="I391" s="641">
        <v>2.7</v>
      </c>
      <c r="J391" s="664">
        <v>1.1000000000000001</v>
      </c>
      <c r="K391" s="4"/>
      <c r="L391" s="4"/>
      <c r="M391" s="4"/>
      <c r="N391" s="4"/>
      <c r="O391" s="4"/>
      <c r="P391" s="4"/>
      <c r="Q391" s="4"/>
      <c r="R391" s="4"/>
      <c r="S391" s="4"/>
      <c r="T391" s="664"/>
      <c r="U391" s="430">
        <v>650</v>
      </c>
      <c r="V391" s="430">
        <v>690</v>
      </c>
      <c r="W391" s="641">
        <v>0</v>
      </c>
      <c r="X391" s="641">
        <v>0</v>
      </c>
      <c r="Y391" s="641"/>
      <c r="Z391" s="641"/>
      <c r="AA391" s="641"/>
      <c r="AB391" s="641"/>
      <c r="AC391" s="641"/>
      <c r="AD391" s="4"/>
      <c r="AE391" s="4"/>
      <c r="AF391" s="4"/>
      <c r="AG391" s="4"/>
      <c r="AH391" s="4"/>
      <c r="AI391" s="4"/>
      <c r="AJ391" s="4"/>
      <c r="AK391" s="6"/>
      <c r="AL391" s="644">
        <v>22</v>
      </c>
      <c r="AM391" s="644">
        <v>22</v>
      </c>
      <c r="AN391" s="647">
        <v>0</v>
      </c>
      <c r="AO391" s="647">
        <v>0</v>
      </c>
      <c r="AP391" s="641"/>
      <c r="AQ391" s="641"/>
      <c r="AR391" s="641"/>
      <c r="AS391" s="641"/>
      <c r="AT391" s="641"/>
      <c r="AU391" s="641"/>
      <c r="AV391" s="4"/>
      <c r="AW391" s="4"/>
      <c r="AX391" s="4"/>
      <c r="AY391" s="4"/>
      <c r="AZ391" s="4"/>
      <c r="BA391" s="4"/>
      <c r="BB391" s="6"/>
      <c r="BC391" s="4">
        <f>U391*AL391</f>
        <v>14300</v>
      </c>
      <c r="BD391" s="4">
        <f t="shared" si="87"/>
        <v>15180</v>
      </c>
      <c r="BE391" s="4"/>
      <c r="BF391" s="4"/>
      <c r="BG391" s="4"/>
      <c r="BH391" s="4"/>
      <c r="BI391" s="4"/>
      <c r="BJ391" s="4"/>
      <c r="BK391" s="6"/>
      <c r="BL391" s="6"/>
      <c r="BM391" s="6"/>
      <c r="BN391" s="6"/>
      <c r="BO391" s="6"/>
      <c r="BP391" s="6"/>
      <c r="BQ391" s="6"/>
      <c r="BR391" s="6"/>
      <c r="BS391" s="6"/>
      <c r="BT391" s="6"/>
      <c r="BU391" s="6"/>
      <c r="BV391" s="6"/>
      <c r="BW391" s="6"/>
      <c r="BX391" s="6"/>
      <c r="BY391" s="6"/>
      <c r="BZ391" s="6"/>
      <c r="CA391" s="6"/>
      <c r="CB391" s="6"/>
      <c r="CC391" s="4"/>
      <c r="CD391" s="4"/>
      <c r="CE391" s="6"/>
      <c r="CF391" s="6"/>
      <c r="CG391" s="6"/>
      <c r="CH391" s="6"/>
      <c r="CI391" s="6"/>
      <c r="CJ391" s="6"/>
      <c r="CK391" s="4">
        <f t="shared" si="75"/>
        <v>660</v>
      </c>
      <c r="CL391" s="4">
        <f t="shared" si="76"/>
        <v>660</v>
      </c>
      <c r="CM391" s="4">
        <f t="shared" si="85"/>
        <v>0</v>
      </c>
      <c r="CN391" s="4">
        <f t="shared" si="86"/>
        <v>0</v>
      </c>
      <c r="CO391" s="4"/>
      <c r="CP391" s="4"/>
      <c r="CQ391" s="4"/>
      <c r="CR391" s="4"/>
      <c r="CS391" s="4"/>
      <c r="CT391" s="4"/>
      <c r="CU391" s="4"/>
      <c r="CV391" s="4"/>
      <c r="CW391" s="4"/>
      <c r="CX391" s="4"/>
      <c r="CY391" s="4"/>
      <c r="CZ391" s="6"/>
      <c r="DA391" s="6">
        <f t="shared" si="79"/>
        <v>1782.0000000000002</v>
      </c>
      <c r="DB391" s="6">
        <f t="shared" si="80"/>
        <v>726.00000000000011</v>
      </c>
      <c r="DC391" s="6">
        <f t="shared" si="82"/>
        <v>0</v>
      </c>
      <c r="DD391" s="6"/>
      <c r="DE391" s="6"/>
      <c r="DF391" s="6"/>
      <c r="DG391" s="6"/>
      <c r="DH391" s="6"/>
      <c r="DI391" s="6"/>
      <c r="DJ391" s="4"/>
      <c r="DK391" s="4"/>
    </row>
    <row r="392" spans="1:115">
      <c r="A392" s="86">
        <v>5</v>
      </c>
      <c r="B392" s="84" t="s">
        <v>45</v>
      </c>
      <c r="C392" s="84" t="s">
        <v>46</v>
      </c>
      <c r="D392" s="645" t="s">
        <v>638</v>
      </c>
      <c r="E392" s="645"/>
      <c r="F392" s="645" t="s">
        <v>1455</v>
      </c>
      <c r="G392" s="641">
        <v>30</v>
      </c>
      <c r="H392" s="662"/>
      <c r="I392" s="641">
        <v>5.4</v>
      </c>
      <c r="J392" s="664">
        <v>2.4</v>
      </c>
      <c r="K392" s="4"/>
      <c r="L392" s="4"/>
      <c r="M392" s="4"/>
      <c r="N392" s="4"/>
      <c r="O392" s="4"/>
      <c r="P392" s="4"/>
      <c r="Q392" s="4"/>
      <c r="R392" s="4"/>
      <c r="S392" s="4"/>
      <c r="T392" s="664"/>
      <c r="U392" s="430">
        <v>680</v>
      </c>
      <c r="V392" s="430">
        <v>880</v>
      </c>
      <c r="W392" s="641">
        <v>0</v>
      </c>
      <c r="X392" s="641">
        <v>0</v>
      </c>
      <c r="Y392" s="641"/>
      <c r="Z392" s="641"/>
      <c r="AA392" s="641"/>
      <c r="AB392" s="641"/>
      <c r="AC392" s="641"/>
      <c r="AD392" s="4"/>
      <c r="AE392" s="4"/>
      <c r="AF392" s="4"/>
      <c r="AG392" s="4"/>
      <c r="AH392" s="4"/>
      <c r="AI392" s="4"/>
      <c r="AJ392" s="4"/>
      <c r="AK392" s="6"/>
      <c r="AL392" s="644">
        <v>22</v>
      </c>
      <c r="AM392" s="644">
        <v>22</v>
      </c>
      <c r="AN392" s="647">
        <v>0</v>
      </c>
      <c r="AO392" s="647">
        <v>0</v>
      </c>
      <c r="AP392" s="641"/>
      <c r="AQ392" s="641"/>
      <c r="AR392" s="641"/>
      <c r="AS392" s="641"/>
      <c r="AT392" s="641"/>
      <c r="AU392" s="641"/>
      <c r="AV392" s="4"/>
      <c r="AW392" s="4"/>
      <c r="AX392" s="4"/>
      <c r="AY392" s="4"/>
      <c r="AZ392" s="4"/>
      <c r="BA392" s="4"/>
      <c r="BB392" s="6"/>
      <c r="BC392" s="4">
        <f>U392*AL392</f>
        <v>14960</v>
      </c>
      <c r="BD392" s="4">
        <f t="shared" si="87"/>
        <v>19360</v>
      </c>
      <c r="BE392" s="4"/>
      <c r="BF392" s="4"/>
      <c r="BG392" s="4"/>
      <c r="BH392" s="4"/>
      <c r="BI392" s="4"/>
      <c r="BJ392" s="4"/>
      <c r="BK392" s="6"/>
      <c r="BL392" s="6"/>
      <c r="BM392" s="6"/>
      <c r="BN392" s="6"/>
      <c r="BO392" s="6"/>
      <c r="BP392" s="6"/>
      <c r="BQ392" s="6"/>
      <c r="BR392" s="6"/>
      <c r="BS392" s="6"/>
      <c r="BT392" s="6"/>
      <c r="BU392" s="6"/>
      <c r="BV392" s="6"/>
      <c r="BW392" s="6"/>
      <c r="BX392" s="6"/>
      <c r="BY392" s="6"/>
      <c r="BZ392" s="6"/>
      <c r="CA392" s="6"/>
      <c r="CB392" s="6"/>
      <c r="CC392" s="4"/>
      <c r="CD392" s="4"/>
      <c r="CE392" s="6"/>
      <c r="CF392" s="6"/>
      <c r="CG392" s="6"/>
      <c r="CH392" s="6"/>
      <c r="CI392" s="6"/>
      <c r="CJ392" s="6"/>
      <c r="CK392" s="4">
        <f t="shared" si="75"/>
        <v>660</v>
      </c>
      <c r="CL392" s="4">
        <f t="shared" si="76"/>
        <v>660</v>
      </c>
      <c r="CM392" s="4">
        <f t="shared" si="85"/>
        <v>0</v>
      </c>
      <c r="CN392" s="4">
        <f t="shared" si="86"/>
        <v>0</v>
      </c>
      <c r="CO392" s="4"/>
      <c r="CP392" s="4"/>
      <c r="CQ392" s="4"/>
      <c r="CR392" s="4"/>
      <c r="CS392" s="4"/>
      <c r="CT392" s="4"/>
      <c r="CU392" s="4"/>
      <c r="CV392" s="4"/>
      <c r="CW392" s="4"/>
      <c r="CX392" s="4"/>
      <c r="CY392" s="4"/>
      <c r="CZ392" s="6"/>
      <c r="DA392" s="6">
        <f t="shared" si="79"/>
        <v>3564.0000000000005</v>
      </c>
      <c r="DB392" s="6">
        <f t="shared" si="80"/>
        <v>1584</v>
      </c>
      <c r="DC392" s="6">
        <f t="shared" si="82"/>
        <v>0</v>
      </c>
      <c r="DD392" s="6"/>
      <c r="DE392" s="6"/>
      <c r="DF392" s="6"/>
      <c r="DG392" s="6"/>
      <c r="DH392" s="6"/>
      <c r="DI392" s="6"/>
      <c r="DJ392" s="4"/>
      <c r="DK392" s="4"/>
    </row>
    <row r="393" spans="1:115">
      <c r="A393" s="86">
        <v>2</v>
      </c>
      <c r="B393" s="69" t="s">
        <v>47</v>
      </c>
      <c r="C393" s="69" t="s">
        <v>48</v>
      </c>
      <c r="D393" s="645" t="s">
        <v>638</v>
      </c>
      <c r="E393" s="645"/>
      <c r="F393" s="645" t="s">
        <v>1455</v>
      </c>
      <c r="G393" s="641">
        <v>60</v>
      </c>
      <c r="H393" s="662"/>
      <c r="I393" s="641">
        <v>3.7</v>
      </c>
      <c r="J393" s="664">
        <v>2</v>
      </c>
      <c r="K393" s="4"/>
      <c r="L393" s="4"/>
      <c r="M393" s="4"/>
      <c r="N393" s="4"/>
      <c r="O393" s="4"/>
      <c r="P393" s="4"/>
      <c r="Q393" s="4"/>
      <c r="R393" s="4"/>
      <c r="S393" s="4"/>
      <c r="T393" s="664"/>
      <c r="U393" s="430">
        <v>1550</v>
      </c>
      <c r="V393" s="430">
        <v>1575</v>
      </c>
      <c r="W393" s="641">
        <v>0</v>
      </c>
      <c r="X393" s="641">
        <v>0</v>
      </c>
      <c r="Y393" s="641"/>
      <c r="Z393" s="641"/>
      <c r="AA393" s="641"/>
      <c r="AB393" s="641"/>
      <c r="AC393" s="641"/>
      <c r="AD393" s="4"/>
      <c r="AE393" s="4"/>
      <c r="AF393" s="4"/>
      <c r="AG393" s="4"/>
      <c r="AH393" s="4"/>
      <c r="AI393" s="4"/>
      <c r="AJ393" s="4"/>
      <c r="AK393" s="6"/>
      <c r="AL393" s="644">
        <v>22</v>
      </c>
      <c r="AM393" s="644">
        <v>22</v>
      </c>
      <c r="AN393" s="647">
        <v>0</v>
      </c>
      <c r="AO393" s="647">
        <v>0</v>
      </c>
      <c r="AP393" s="641"/>
      <c r="AQ393" s="641"/>
      <c r="AR393" s="641"/>
      <c r="AS393" s="641"/>
      <c r="AT393" s="641"/>
      <c r="AU393" s="641"/>
      <c r="AV393" s="4"/>
      <c r="AW393" s="4"/>
      <c r="AX393" s="4"/>
      <c r="AY393" s="4"/>
      <c r="AZ393" s="4"/>
      <c r="BA393" s="4"/>
      <c r="BB393" s="6"/>
      <c r="BC393" s="4">
        <f>U393*AL393</f>
        <v>34100</v>
      </c>
      <c r="BD393" s="4">
        <f t="shared" si="87"/>
        <v>34650</v>
      </c>
      <c r="BE393" s="4"/>
      <c r="BF393" s="4"/>
      <c r="BG393" s="4"/>
      <c r="BH393" s="4"/>
      <c r="BI393" s="4"/>
      <c r="BJ393" s="4"/>
      <c r="BK393" s="6"/>
      <c r="BL393" s="6"/>
      <c r="BM393" s="6"/>
      <c r="BN393" s="6"/>
      <c r="BO393" s="6"/>
      <c r="BP393" s="6"/>
      <c r="BQ393" s="6"/>
      <c r="BR393" s="6"/>
      <c r="BS393" s="6"/>
      <c r="BT393" s="6"/>
      <c r="BU393" s="6"/>
      <c r="BV393" s="6"/>
      <c r="BW393" s="6"/>
      <c r="BX393" s="6"/>
      <c r="BY393" s="6"/>
      <c r="BZ393" s="6"/>
      <c r="CA393" s="6"/>
      <c r="CB393" s="6"/>
      <c r="CC393" s="4"/>
      <c r="CD393" s="4"/>
      <c r="CE393" s="6"/>
      <c r="CF393" s="6"/>
      <c r="CG393" s="6"/>
      <c r="CH393" s="6"/>
      <c r="CI393" s="6"/>
      <c r="CJ393" s="6"/>
      <c r="CK393" s="4">
        <f t="shared" si="75"/>
        <v>1320</v>
      </c>
      <c r="CL393" s="4">
        <f t="shared" si="76"/>
        <v>1320</v>
      </c>
      <c r="CM393" s="4">
        <f t="shared" si="85"/>
        <v>0</v>
      </c>
      <c r="CN393" s="4">
        <f t="shared" si="86"/>
        <v>0</v>
      </c>
      <c r="CO393" s="4"/>
      <c r="CP393" s="4"/>
      <c r="CQ393" s="4"/>
      <c r="CR393" s="4"/>
      <c r="CS393" s="4"/>
      <c r="CT393" s="4"/>
      <c r="CU393" s="4"/>
      <c r="CV393" s="4"/>
      <c r="CW393" s="4"/>
      <c r="CX393" s="4"/>
      <c r="CY393" s="4"/>
      <c r="CZ393" s="6"/>
      <c r="DA393" s="6">
        <f t="shared" si="79"/>
        <v>4884</v>
      </c>
      <c r="DB393" s="6">
        <f t="shared" si="80"/>
        <v>2640</v>
      </c>
      <c r="DC393" s="6">
        <f t="shared" si="82"/>
        <v>0</v>
      </c>
      <c r="DD393" s="6"/>
      <c r="DE393" s="6"/>
      <c r="DF393" s="6"/>
      <c r="DG393" s="6"/>
      <c r="DH393" s="6"/>
      <c r="DI393" s="6"/>
      <c r="DJ393" s="4"/>
      <c r="DK393" s="4"/>
    </row>
    <row r="394" spans="1:115">
      <c r="A394" s="640" t="s">
        <v>49</v>
      </c>
      <c r="B394" s="6"/>
      <c r="C394" s="6"/>
      <c r="D394" s="6"/>
      <c r="E394" s="6"/>
      <c r="F394" s="6"/>
      <c r="G394" s="667"/>
      <c r="H394" s="84"/>
      <c r="I394" s="84"/>
      <c r="J394" s="84"/>
      <c r="K394" s="84"/>
      <c r="L394" s="84"/>
      <c r="M394" s="84"/>
      <c r="N394" s="84"/>
      <c r="O394" s="84"/>
      <c r="P394" s="84"/>
      <c r="Q394" s="84"/>
      <c r="R394" s="84"/>
      <c r="S394" s="84"/>
      <c r="T394" s="84"/>
      <c r="U394" s="430"/>
      <c r="V394" s="11"/>
      <c r="W394" s="6"/>
      <c r="X394" s="6"/>
      <c r="Y394" s="6"/>
      <c r="Z394" s="6"/>
      <c r="AA394" s="6"/>
      <c r="AB394" s="6"/>
      <c r="AC394" s="6"/>
      <c r="AD394" s="84"/>
      <c r="AE394" s="84"/>
      <c r="AF394" s="84"/>
      <c r="AG394" s="84"/>
      <c r="AH394" s="84"/>
      <c r="AI394" s="84"/>
      <c r="AJ394" s="84"/>
      <c r="AK394" s="6"/>
      <c r="AL394" s="275"/>
      <c r="AM394" s="275"/>
      <c r="AN394" s="275"/>
      <c r="AO394" s="275"/>
      <c r="AP394" s="6"/>
      <c r="AQ394" s="6"/>
      <c r="AR394" s="6"/>
      <c r="AS394" s="6"/>
      <c r="AT394" s="6"/>
      <c r="AU394" s="6"/>
      <c r="AV394" s="84"/>
      <c r="AW394" s="84"/>
      <c r="AX394" s="84"/>
      <c r="AY394" s="84"/>
      <c r="AZ394" s="84"/>
      <c r="BA394" s="84"/>
      <c r="BB394" s="6"/>
      <c r="BC394" s="6"/>
      <c r="BD394" s="6"/>
      <c r="BE394" s="6"/>
      <c r="BF394" s="6"/>
      <c r="BG394" s="6"/>
      <c r="BH394" s="6"/>
      <c r="BI394" s="6"/>
      <c r="BJ394" s="6"/>
      <c r="BK394" s="6"/>
      <c r="BL394" s="6"/>
      <c r="BM394" s="6"/>
      <c r="BN394" s="6"/>
      <c r="BO394" s="6"/>
      <c r="BP394" s="6"/>
      <c r="BQ394" s="6"/>
      <c r="BR394" s="6"/>
      <c r="BS394" s="6"/>
      <c r="BT394" s="6"/>
      <c r="BU394" s="6"/>
      <c r="BV394" s="6"/>
      <c r="BW394" s="6"/>
      <c r="BX394" s="6"/>
      <c r="BY394" s="6"/>
      <c r="BZ394" s="6"/>
      <c r="CA394" s="6"/>
      <c r="CB394" s="6"/>
      <c r="CC394" s="84"/>
      <c r="CD394" s="84"/>
      <c r="CE394" s="6"/>
      <c r="CF394" s="6"/>
      <c r="CG394" s="6"/>
      <c r="CH394" s="6"/>
      <c r="CI394" s="6"/>
      <c r="CJ394" s="6"/>
      <c r="CK394" s="4">
        <f t="shared" si="75"/>
        <v>0</v>
      </c>
      <c r="CL394" s="4">
        <f t="shared" si="76"/>
        <v>0</v>
      </c>
      <c r="CM394" s="4">
        <f t="shared" si="85"/>
        <v>0</v>
      </c>
      <c r="CN394" s="4">
        <f t="shared" si="86"/>
        <v>0</v>
      </c>
      <c r="CO394" s="4"/>
      <c r="CP394" s="4"/>
      <c r="CQ394" s="4"/>
      <c r="CR394" s="4"/>
      <c r="CS394" s="4"/>
      <c r="CT394" s="84"/>
      <c r="CU394" s="84"/>
      <c r="CV394" s="84"/>
      <c r="CW394" s="84"/>
      <c r="CX394" s="84"/>
      <c r="CY394" s="84"/>
      <c r="CZ394" s="6"/>
      <c r="DA394" s="6">
        <f t="shared" si="79"/>
        <v>0</v>
      </c>
      <c r="DB394" s="6">
        <f t="shared" si="80"/>
        <v>0</v>
      </c>
      <c r="DC394" s="6">
        <f t="shared" si="82"/>
        <v>0</v>
      </c>
      <c r="DD394" s="6"/>
      <c r="DE394" s="6"/>
      <c r="DF394" s="6"/>
      <c r="DG394" s="6"/>
      <c r="DH394" s="6"/>
      <c r="DI394" s="6"/>
      <c r="DJ394" s="84"/>
      <c r="DK394" s="84"/>
    </row>
    <row r="395" spans="1:115">
      <c r="A395" s="86">
        <v>1</v>
      </c>
      <c r="B395" s="69" t="s">
        <v>50</v>
      </c>
      <c r="C395" s="69" t="s">
        <v>51</v>
      </c>
      <c r="D395" s="645" t="s">
        <v>1491</v>
      </c>
      <c r="E395" s="645"/>
      <c r="F395" s="645" t="s">
        <v>1455</v>
      </c>
      <c r="G395" s="641">
        <v>60</v>
      </c>
      <c r="H395" s="662"/>
      <c r="I395" s="641">
        <v>3.7</v>
      </c>
      <c r="J395" s="4"/>
      <c r="K395" s="4"/>
      <c r="L395" s="4"/>
      <c r="M395" s="4"/>
      <c r="N395" s="4"/>
      <c r="O395" s="4"/>
      <c r="P395" s="4"/>
      <c r="Q395" s="4"/>
      <c r="R395" s="4"/>
      <c r="S395" s="4"/>
      <c r="T395" s="664"/>
      <c r="U395" s="629">
        <v>1100</v>
      </c>
      <c r="V395" s="641">
        <v>0</v>
      </c>
      <c r="W395" s="641">
        <v>0</v>
      </c>
      <c r="X395" s="641">
        <v>0</v>
      </c>
      <c r="Y395" s="641"/>
      <c r="Z395" s="641"/>
      <c r="AA395" s="641"/>
      <c r="AB395" s="641"/>
      <c r="AC395" s="641"/>
      <c r="AD395" s="4"/>
      <c r="AE395" s="4"/>
      <c r="AF395" s="4"/>
      <c r="AG395" s="4"/>
      <c r="AH395" s="4"/>
      <c r="AI395" s="4"/>
      <c r="AJ395" s="4"/>
      <c r="AK395" s="6"/>
      <c r="AL395" s="644">
        <v>22</v>
      </c>
      <c r="AM395" s="647">
        <v>0</v>
      </c>
      <c r="AN395" s="647">
        <v>0</v>
      </c>
      <c r="AO395" s="647">
        <v>0</v>
      </c>
      <c r="AP395" s="641"/>
      <c r="AQ395" s="641"/>
      <c r="AR395" s="641"/>
      <c r="AS395" s="641"/>
      <c r="AT395" s="641"/>
      <c r="AU395" s="641"/>
      <c r="AV395" s="4"/>
      <c r="AW395" s="4"/>
      <c r="AX395" s="4"/>
      <c r="AY395" s="4"/>
      <c r="AZ395" s="4"/>
      <c r="BA395" s="4"/>
      <c r="BB395" s="6"/>
      <c r="BC395" s="4">
        <f t="shared" ref="BC395:BC403" si="88">U395*AL395</f>
        <v>24200</v>
      </c>
      <c r="BD395" s="4"/>
      <c r="BE395" s="4"/>
      <c r="BF395" s="4"/>
      <c r="BG395" s="4"/>
      <c r="BH395" s="4"/>
      <c r="BI395" s="4"/>
      <c r="BJ395" s="4"/>
      <c r="BK395" s="6"/>
      <c r="BL395" s="6"/>
      <c r="BM395" s="6"/>
      <c r="BN395" s="6"/>
      <c r="BO395" s="6"/>
      <c r="BP395" s="6"/>
      <c r="BQ395" s="6"/>
      <c r="BR395" s="6"/>
      <c r="BS395" s="6"/>
      <c r="BT395" s="6"/>
      <c r="BU395" s="6"/>
      <c r="BV395" s="6"/>
      <c r="BW395" s="6"/>
      <c r="BX395" s="6"/>
      <c r="BY395" s="6"/>
      <c r="BZ395" s="6"/>
      <c r="CA395" s="6"/>
      <c r="CB395" s="6"/>
      <c r="CC395" s="4"/>
      <c r="CD395" s="4"/>
      <c r="CE395" s="6"/>
      <c r="CF395" s="6"/>
      <c r="CG395" s="6"/>
      <c r="CH395" s="6"/>
      <c r="CI395" s="6"/>
      <c r="CJ395" s="6"/>
      <c r="CK395" s="4">
        <f t="shared" si="75"/>
        <v>1320</v>
      </c>
      <c r="CL395" s="4">
        <f t="shared" si="76"/>
        <v>0</v>
      </c>
      <c r="CM395" s="4">
        <f t="shared" si="85"/>
        <v>0</v>
      </c>
      <c r="CN395" s="4">
        <f t="shared" si="86"/>
        <v>0</v>
      </c>
      <c r="CO395" s="4"/>
      <c r="CP395" s="4"/>
      <c r="CQ395" s="4"/>
      <c r="CR395" s="4"/>
      <c r="CS395" s="4"/>
      <c r="CT395" s="4"/>
      <c r="CU395" s="4"/>
      <c r="CV395" s="4"/>
      <c r="CW395" s="4"/>
      <c r="CX395" s="4"/>
      <c r="CY395" s="4"/>
      <c r="CZ395" s="6"/>
      <c r="DA395" s="6">
        <f t="shared" si="79"/>
        <v>4884</v>
      </c>
      <c r="DB395" s="6">
        <f t="shared" si="80"/>
        <v>0</v>
      </c>
      <c r="DC395" s="6">
        <f t="shared" si="82"/>
        <v>0</v>
      </c>
      <c r="DD395" s="6"/>
      <c r="DE395" s="6"/>
      <c r="DF395" s="6"/>
      <c r="DG395" s="6"/>
      <c r="DH395" s="6"/>
      <c r="DI395" s="6"/>
      <c r="DJ395" s="4"/>
      <c r="DK395" s="4"/>
    </row>
    <row r="396" spans="1:115">
      <c r="A396" s="86">
        <v>1</v>
      </c>
      <c r="B396" s="69" t="s">
        <v>52</v>
      </c>
      <c r="C396" s="69" t="s">
        <v>76</v>
      </c>
      <c r="D396" s="645" t="s">
        <v>638</v>
      </c>
      <c r="E396" s="645"/>
      <c r="F396" s="645" t="s">
        <v>1455</v>
      </c>
      <c r="G396" s="641">
        <v>60</v>
      </c>
      <c r="H396" s="662"/>
      <c r="I396" s="641">
        <v>2.2999999999999998</v>
      </c>
      <c r="J396" s="4"/>
      <c r="K396" s="4"/>
      <c r="L396" s="4"/>
      <c r="M396" s="4"/>
      <c r="N396" s="4"/>
      <c r="O396" s="4"/>
      <c r="P396" s="4"/>
      <c r="Q396" s="4"/>
      <c r="R396" s="4"/>
      <c r="S396" s="4"/>
      <c r="T396" s="664"/>
      <c r="U396" s="629">
        <v>1575</v>
      </c>
      <c r="V396" s="641">
        <v>0</v>
      </c>
      <c r="W396" s="641">
        <v>0</v>
      </c>
      <c r="X396" s="641">
        <v>0</v>
      </c>
      <c r="Y396" s="641"/>
      <c r="Z396" s="641"/>
      <c r="AA396" s="641"/>
      <c r="AB396" s="641"/>
      <c r="AC396" s="641"/>
      <c r="AD396" s="4"/>
      <c r="AE396" s="4"/>
      <c r="AF396" s="4"/>
      <c r="AG396" s="4"/>
      <c r="AH396" s="4"/>
      <c r="AI396" s="4"/>
      <c r="AJ396" s="4"/>
      <c r="AK396" s="6"/>
      <c r="AL396" s="644">
        <v>22</v>
      </c>
      <c r="AM396" s="647">
        <v>0</v>
      </c>
      <c r="AN396" s="647">
        <v>0</v>
      </c>
      <c r="AO396" s="647">
        <v>0</v>
      </c>
      <c r="AP396" s="641"/>
      <c r="AQ396" s="641"/>
      <c r="AR396" s="641"/>
      <c r="AS396" s="641"/>
      <c r="AT396" s="641"/>
      <c r="AU396" s="641"/>
      <c r="AV396" s="4"/>
      <c r="AW396" s="4"/>
      <c r="AX396" s="4"/>
      <c r="AY396" s="4"/>
      <c r="AZ396" s="4"/>
      <c r="BA396" s="4"/>
      <c r="BB396" s="6"/>
      <c r="BC396" s="4">
        <f t="shared" si="88"/>
        <v>34650</v>
      </c>
      <c r="BD396" s="4"/>
      <c r="BE396" s="4"/>
      <c r="BF396" s="4"/>
      <c r="BG396" s="4"/>
      <c r="BH396" s="4"/>
      <c r="BI396" s="4"/>
      <c r="BJ396" s="4"/>
      <c r="BK396" s="6"/>
      <c r="BL396" s="6"/>
      <c r="BM396" s="6"/>
      <c r="BN396" s="6"/>
      <c r="BO396" s="6"/>
      <c r="BP396" s="6"/>
      <c r="BQ396" s="6"/>
      <c r="BR396" s="6"/>
      <c r="BS396" s="6"/>
      <c r="BT396" s="6"/>
      <c r="BU396" s="6"/>
      <c r="BV396" s="6"/>
      <c r="BW396" s="6"/>
      <c r="BX396" s="6"/>
      <c r="BY396" s="6"/>
      <c r="BZ396" s="6"/>
      <c r="CA396" s="6"/>
      <c r="CB396" s="6"/>
      <c r="CC396" s="4"/>
      <c r="CD396" s="4"/>
      <c r="CE396" s="6"/>
      <c r="CF396" s="6"/>
      <c r="CG396" s="6"/>
      <c r="CH396" s="6"/>
      <c r="CI396" s="6"/>
      <c r="CJ396" s="6"/>
      <c r="CK396" s="4">
        <f t="shared" si="75"/>
        <v>1320</v>
      </c>
      <c r="CL396" s="4">
        <f t="shared" si="76"/>
        <v>0</v>
      </c>
      <c r="CM396" s="4">
        <f t="shared" si="85"/>
        <v>0</v>
      </c>
      <c r="CN396" s="4">
        <f t="shared" si="86"/>
        <v>0</v>
      </c>
      <c r="CO396" s="4"/>
      <c r="CP396" s="4"/>
      <c r="CQ396" s="4"/>
      <c r="CR396" s="4"/>
      <c r="CS396" s="4"/>
      <c r="CT396" s="4"/>
      <c r="CU396" s="4"/>
      <c r="CV396" s="4"/>
      <c r="CW396" s="4"/>
      <c r="CX396" s="4"/>
      <c r="CY396" s="4"/>
      <c r="CZ396" s="6"/>
      <c r="DA396" s="6">
        <f t="shared" si="79"/>
        <v>3035.9999999999995</v>
      </c>
      <c r="DB396" s="6">
        <f t="shared" si="80"/>
        <v>0</v>
      </c>
      <c r="DC396" s="6">
        <f t="shared" si="82"/>
        <v>0</v>
      </c>
      <c r="DD396" s="6"/>
      <c r="DE396" s="6"/>
      <c r="DF396" s="6"/>
      <c r="DG396" s="6"/>
      <c r="DH396" s="6"/>
      <c r="DI396" s="6"/>
      <c r="DJ396" s="4"/>
      <c r="DK396" s="4"/>
    </row>
    <row r="397" spans="1:115">
      <c r="A397" s="86">
        <v>1</v>
      </c>
      <c r="B397" s="69" t="s">
        <v>77</v>
      </c>
      <c r="C397" s="69" t="s">
        <v>78</v>
      </c>
      <c r="D397" s="645" t="s">
        <v>638</v>
      </c>
      <c r="E397" s="645"/>
      <c r="F397" s="645" t="s">
        <v>1455</v>
      </c>
      <c r="G397" s="641">
        <v>60</v>
      </c>
      <c r="H397" s="662"/>
      <c r="I397" s="641">
        <v>2.7</v>
      </c>
      <c r="J397" s="4"/>
      <c r="K397" s="4"/>
      <c r="L397" s="4"/>
      <c r="M397" s="4"/>
      <c r="N397" s="4"/>
      <c r="O397" s="4"/>
      <c r="P397" s="4"/>
      <c r="Q397" s="4"/>
      <c r="R397" s="4"/>
      <c r="S397" s="4"/>
      <c r="T397" s="664"/>
      <c r="U397" s="629">
        <v>1450</v>
      </c>
      <c r="V397" s="641">
        <v>0</v>
      </c>
      <c r="W397" s="641">
        <v>0</v>
      </c>
      <c r="X397" s="641">
        <v>0</v>
      </c>
      <c r="Y397" s="641"/>
      <c r="Z397" s="641"/>
      <c r="AA397" s="641"/>
      <c r="AB397" s="641"/>
      <c r="AC397" s="641"/>
      <c r="AD397" s="4"/>
      <c r="AE397" s="4"/>
      <c r="AF397" s="4"/>
      <c r="AG397" s="4"/>
      <c r="AH397" s="4"/>
      <c r="AI397" s="4"/>
      <c r="AJ397" s="4"/>
      <c r="AK397" s="6"/>
      <c r="AL397" s="644">
        <v>22</v>
      </c>
      <c r="AM397" s="647">
        <v>0</v>
      </c>
      <c r="AN397" s="647">
        <v>0</v>
      </c>
      <c r="AO397" s="647">
        <v>0</v>
      </c>
      <c r="AP397" s="641"/>
      <c r="AQ397" s="641"/>
      <c r="AR397" s="641"/>
      <c r="AS397" s="641"/>
      <c r="AT397" s="641"/>
      <c r="AU397" s="641"/>
      <c r="AV397" s="4"/>
      <c r="AW397" s="4"/>
      <c r="AX397" s="4"/>
      <c r="AY397" s="4"/>
      <c r="AZ397" s="4"/>
      <c r="BA397" s="4"/>
      <c r="BB397" s="6"/>
      <c r="BC397" s="4">
        <f t="shared" si="88"/>
        <v>31900</v>
      </c>
      <c r="BD397" s="4"/>
      <c r="BE397" s="4"/>
      <c r="BF397" s="4"/>
      <c r="BG397" s="4"/>
      <c r="BH397" s="4"/>
      <c r="BI397" s="4"/>
      <c r="BJ397" s="4"/>
      <c r="BK397" s="6"/>
      <c r="BL397" s="6"/>
      <c r="BM397" s="6"/>
      <c r="BN397" s="6"/>
      <c r="BO397" s="6"/>
      <c r="BP397" s="6"/>
      <c r="BQ397" s="6"/>
      <c r="BR397" s="6"/>
      <c r="BS397" s="6"/>
      <c r="BT397" s="6"/>
      <c r="BU397" s="6"/>
      <c r="BV397" s="6"/>
      <c r="BW397" s="6"/>
      <c r="BX397" s="6"/>
      <c r="BY397" s="6"/>
      <c r="BZ397" s="6"/>
      <c r="CA397" s="6"/>
      <c r="CB397" s="6"/>
      <c r="CC397" s="4"/>
      <c r="CD397" s="4"/>
      <c r="CE397" s="6"/>
      <c r="CF397" s="6"/>
      <c r="CG397" s="6"/>
      <c r="CH397" s="6"/>
      <c r="CI397" s="6"/>
      <c r="CJ397" s="6"/>
      <c r="CK397" s="4">
        <f t="shared" si="75"/>
        <v>1320</v>
      </c>
      <c r="CL397" s="4">
        <f t="shared" si="76"/>
        <v>0</v>
      </c>
      <c r="CM397" s="4">
        <f t="shared" si="85"/>
        <v>0</v>
      </c>
      <c r="CN397" s="4">
        <f t="shared" si="86"/>
        <v>0</v>
      </c>
      <c r="CO397" s="4"/>
      <c r="CP397" s="4"/>
      <c r="CQ397" s="4"/>
      <c r="CR397" s="4"/>
      <c r="CS397" s="4"/>
      <c r="CT397" s="4"/>
      <c r="CU397" s="4"/>
      <c r="CV397" s="4"/>
      <c r="CW397" s="4"/>
      <c r="CX397" s="4"/>
      <c r="CY397" s="4"/>
      <c r="CZ397" s="6"/>
      <c r="DA397" s="6">
        <f t="shared" si="79"/>
        <v>3564.0000000000005</v>
      </c>
      <c r="DB397" s="6">
        <f t="shared" si="80"/>
        <v>0</v>
      </c>
      <c r="DC397" s="6">
        <f t="shared" si="82"/>
        <v>0</v>
      </c>
      <c r="DD397" s="6"/>
      <c r="DE397" s="6"/>
      <c r="DF397" s="6"/>
      <c r="DG397" s="6"/>
      <c r="DH397" s="6"/>
      <c r="DI397" s="6"/>
      <c r="DJ397" s="4"/>
      <c r="DK397" s="4"/>
    </row>
    <row r="398" spans="1:115">
      <c r="A398" s="86">
        <v>1</v>
      </c>
      <c r="B398" s="69" t="s">
        <v>79</v>
      </c>
      <c r="C398" s="69" t="s">
        <v>80</v>
      </c>
      <c r="D398" s="645" t="s">
        <v>638</v>
      </c>
      <c r="E398" s="645"/>
      <c r="F398" s="645" t="s">
        <v>1455</v>
      </c>
      <c r="G398" s="641">
        <v>60</v>
      </c>
      <c r="H398" s="662"/>
      <c r="I398" s="641">
        <v>1.9</v>
      </c>
      <c r="J398" s="4"/>
      <c r="K398" s="4"/>
      <c r="L398" s="4"/>
      <c r="M398" s="4"/>
      <c r="N398" s="4"/>
      <c r="O398" s="4"/>
      <c r="P398" s="4"/>
      <c r="Q398" s="4"/>
      <c r="R398" s="4"/>
      <c r="S398" s="4"/>
      <c r="T398" s="664"/>
      <c r="U398" s="629">
        <v>1450</v>
      </c>
      <c r="V398" s="641">
        <v>0</v>
      </c>
      <c r="W398" s="641">
        <v>0</v>
      </c>
      <c r="X398" s="641">
        <v>0</v>
      </c>
      <c r="Y398" s="641"/>
      <c r="Z398" s="641"/>
      <c r="AA398" s="641"/>
      <c r="AB398" s="641"/>
      <c r="AC398" s="641"/>
      <c r="AD398" s="4"/>
      <c r="AE398" s="4"/>
      <c r="AF398" s="4"/>
      <c r="AG398" s="4"/>
      <c r="AH398" s="4"/>
      <c r="AI398" s="4"/>
      <c r="AJ398" s="4"/>
      <c r="AK398" s="6"/>
      <c r="AL398" s="644">
        <v>13</v>
      </c>
      <c r="AM398" s="647">
        <v>0</v>
      </c>
      <c r="AN398" s="647">
        <v>0</v>
      </c>
      <c r="AO398" s="647">
        <v>0</v>
      </c>
      <c r="AP398" s="641"/>
      <c r="AQ398" s="641"/>
      <c r="AR398" s="641"/>
      <c r="AS398" s="641"/>
      <c r="AT398" s="641"/>
      <c r="AU398" s="641"/>
      <c r="AV398" s="4"/>
      <c r="AW398" s="4"/>
      <c r="AX398" s="4"/>
      <c r="AY398" s="4"/>
      <c r="AZ398" s="4"/>
      <c r="BA398" s="4"/>
      <c r="BB398" s="6"/>
      <c r="BC398" s="4">
        <f t="shared" si="88"/>
        <v>18850</v>
      </c>
      <c r="BD398" s="4"/>
      <c r="BE398" s="4"/>
      <c r="BF398" s="4"/>
      <c r="BG398" s="4"/>
      <c r="BH398" s="4"/>
      <c r="BI398" s="1690"/>
      <c r="BJ398" s="1690"/>
      <c r="BK398" s="1108"/>
      <c r="BL398" s="1108"/>
      <c r="BM398" s="1108"/>
      <c r="BN398" s="1108"/>
      <c r="BO398" s="1108"/>
      <c r="BP398" s="1108"/>
      <c r="BQ398" s="1108"/>
      <c r="BR398" s="1108"/>
      <c r="BS398" s="1108"/>
      <c r="BT398" s="1108"/>
      <c r="BU398" s="6"/>
      <c r="BV398" s="6"/>
      <c r="BW398" s="6"/>
      <c r="BX398" s="6"/>
      <c r="BY398" s="6"/>
      <c r="BZ398" s="6"/>
      <c r="CA398" s="6"/>
      <c r="CB398" s="6"/>
      <c r="CC398" s="4"/>
      <c r="CD398" s="4"/>
      <c r="CE398" s="6"/>
      <c r="CF398" s="6"/>
      <c r="CG398" s="6"/>
      <c r="CH398" s="6"/>
      <c r="CI398" s="6"/>
      <c r="CJ398" s="6"/>
      <c r="CK398" s="4">
        <f t="shared" si="75"/>
        <v>780</v>
      </c>
      <c r="CL398" s="4">
        <f t="shared" si="76"/>
        <v>0</v>
      </c>
      <c r="CM398" s="4">
        <f t="shared" si="85"/>
        <v>0</v>
      </c>
      <c r="CN398" s="4">
        <f t="shared" si="86"/>
        <v>0</v>
      </c>
      <c r="CO398" s="4"/>
      <c r="CP398" s="4"/>
      <c r="CQ398" s="4"/>
      <c r="CR398" s="4"/>
      <c r="CS398" s="4"/>
      <c r="CT398" s="4"/>
      <c r="CU398" s="4"/>
      <c r="CV398" s="4"/>
      <c r="CW398" s="4"/>
      <c r="CX398" s="4"/>
      <c r="CY398" s="4"/>
      <c r="CZ398" s="6"/>
      <c r="DA398" s="6">
        <f t="shared" si="79"/>
        <v>1482</v>
      </c>
      <c r="DB398" s="6">
        <f t="shared" si="80"/>
        <v>0</v>
      </c>
      <c r="DC398" s="6">
        <f t="shared" si="82"/>
        <v>0</v>
      </c>
      <c r="DD398" s="6"/>
      <c r="DE398" s="6"/>
      <c r="DF398" s="6"/>
      <c r="DG398" s="6"/>
      <c r="DH398" s="6"/>
      <c r="DI398" s="6"/>
      <c r="DJ398" s="4"/>
      <c r="DK398" s="4"/>
    </row>
    <row r="399" spans="1:115">
      <c r="A399" s="86">
        <v>3</v>
      </c>
      <c r="B399" s="69" t="s">
        <v>81</v>
      </c>
      <c r="C399" s="69" t="s">
        <v>85</v>
      </c>
      <c r="D399" s="645" t="s">
        <v>638</v>
      </c>
      <c r="E399" s="645"/>
      <c r="F399" s="645" t="s">
        <v>1455</v>
      </c>
      <c r="G399" s="641">
        <v>60</v>
      </c>
      <c r="H399" s="662"/>
      <c r="I399" s="641">
        <v>3.5</v>
      </c>
      <c r="J399" s="4"/>
      <c r="K399" s="4"/>
      <c r="L399" s="4"/>
      <c r="M399" s="4"/>
      <c r="N399" s="4"/>
      <c r="O399" s="4"/>
      <c r="P399" s="4"/>
      <c r="Q399" s="4"/>
      <c r="R399" s="4"/>
      <c r="S399" s="4"/>
      <c r="T399" s="664"/>
      <c r="U399" s="629">
        <v>1025</v>
      </c>
      <c r="V399" s="641">
        <v>0</v>
      </c>
      <c r="W399" s="641">
        <v>0</v>
      </c>
      <c r="X399" s="641">
        <v>0</v>
      </c>
      <c r="Y399" s="641"/>
      <c r="Z399" s="641"/>
      <c r="AA399" s="641"/>
      <c r="AB399" s="641"/>
      <c r="AC399" s="641"/>
      <c r="AD399" s="4"/>
      <c r="AE399" s="4"/>
      <c r="AF399" s="4"/>
      <c r="AG399" s="4"/>
      <c r="AH399" s="4"/>
      <c r="AI399" s="4"/>
      <c r="AJ399" s="4"/>
      <c r="AK399" s="6"/>
      <c r="AL399" s="644">
        <v>22</v>
      </c>
      <c r="AM399" s="647">
        <v>0</v>
      </c>
      <c r="AN399" s="647">
        <v>0</v>
      </c>
      <c r="AO399" s="647">
        <v>0</v>
      </c>
      <c r="AP399" s="641"/>
      <c r="AQ399" s="641"/>
      <c r="AR399" s="641"/>
      <c r="AS399" s="641"/>
      <c r="AT399" s="641"/>
      <c r="AU399" s="641"/>
      <c r="AV399" s="4"/>
      <c r="AW399" s="4"/>
      <c r="AX399" s="4"/>
      <c r="AY399" s="4"/>
      <c r="AZ399" s="4"/>
      <c r="BA399" s="4"/>
      <c r="BB399" s="6"/>
      <c r="BC399" s="4">
        <f t="shared" si="88"/>
        <v>22550</v>
      </c>
      <c r="BD399" s="4"/>
      <c r="BE399" s="4"/>
      <c r="BF399" s="4"/>
      <c r="BG399" s="4"/>
      <c r="BH399" s="4"/>
      <c r="BI399" s="1690"/>
      <c r="BJ399" s="1690"/>
      <c r="BK399" s="1108"/>
      <c r="BL399" s="1108"/>
      <c r="BM399" s="1108"/>
      <c r="BN399" s="1108"/>
      <c r="BO399" s="1108"/>
      <c r="BP399" s="1108"/>
      <c r="BQ399" s="1108"/>
      <c r="BR399" s="1108"/>
      <c r="BS399" s="1108"/>
      <c r="BT399" s="1108"/>
      <c r="BU399" s="6"/>
      <c r="BV399" s="6"/>
      <c r="BW399" s="6"/>
      <c r="BX399" s="6"/>
      <c r="BY399" s="6"/>
      <c r="BZ399" s="6"/>
      <c r="CA399" s="6"/>
      <c r="CB399" s="6"/>
      <c r="CC399" s="4"/>
      <c r="CD399" s="4"/>
      <c r="CE399" s="6"/>
      <c r="CF399" s="6"/>
      <c r="CG399" s="6"/>
      <c r="CH399" s="6"/>
      <c r="CI399" s="6"/>
      <c r="CJ399" s="6"/>
      <c r="CK399" s="4">
        <f t="shared" si="75"/>
        <v>1320</v>
      </c>
      <c r="CL399" s="4">
        <f t="shared" si="76"/>
        <v>0</v>
      </c>
      <c r="CM399" s="4">
        <f t="shared" si="85"/>
        <v>0</v>
      </c>
      <c r="CN399" s="4">
        <f t="shared" si="86"/>
        <v>0</v>
      </c>
      <c r="CO399" s="4"/>
      <c r="CP399" s="4"/>
      <c r="CQ399" s="4"/>
      <c r="CR399" s="4"/>
      <c r="CS399" s="4"/>
      <c r="CT399" s="4"/>
      <c r="CU399" s="4"/>
      <c r="CV399" s="4"/>
      <c r="CW399" s="4"/>
      <c r="CX399" s="4"/>
      <c r="CY399" s="4"/>
      <c r="CZ399" s="6"/>
      <c r="DA399" s="6">
        <f t="shared" si="79"/>
        <v>4620</v>
      </c>
      <c r="DB399" s="6">
        <f t="shared" si="80"/>
        <v>0</v>
      </c>
      <c r="DC399" s="6">
        <f t="shared" si="82"/>
        <v>0</v>
      </c>
      <c r="DD399" s="6"/>
      <c r="DE399" s="6"/>
      <c r="DF399" s="6"/>
      <c r="DG399" s="6"/>
      <c r="DH399" s="6"/>
      <c r="DI399" s="6"/>
      <c r="DJ399" s="4"/>
      <c r="DK399" s="4"/>
    </row>
    <row r="400" spans="1:115">
      <c r="A400" s="86">
        <v>2</v>
      </c>
      <c r="B400" s="69" t="s">
        <v>86</v>
      </c>
      <c r="C400" s="69" t="s">
        <v>2</v>
      </c>
      <c r="D400" s="645" t="s">
        <v>638</v>
      </c>
      <c r="E400" s="645"/>
      <c r="F400" s="645" t="s">
        <v>1455</v>
      </c>
      <c r="G400" s="641">
        <v>60</v>
      </c>
      <c r="H400" s="654"/>
      <c r="I400" s="663">
        <v>2</v>
      </c>
      <c r="J400" s="95"/>
      <c r="K400" s="95"/>
      <c r="L400" s="95"/>
      <c r="M400" s="95"/>
      <c r="N400" s="95"/>
      <c r="O400" s="95"/>
      <c r="P400" s="95"/>
      <c r="Q400" s="95"/>
      <c r="R400" s="95"/>
      <c r="S400" s="95"/>
      <c r="T400" s="655"/>
      <c r="U400" s="430">
        <v>1000</v>
      </c>
      <c r="V400" s="641">
        <v>0</v>
      </c>
      <c r="W400" s="641">
        <v>0</v>
      </c>
      <c r="X400" s="641">
        <v>0</v>
      </c>
      <c r="Y400" s="641"/>
      <c r="Z400" s="641"/>
      <c r="AA400" s="641"/>
      <c r="AB400" s="641"/>
      <c r="AC400" s="641"/>
      <c r="AD400" s="95"/>
      <c r="AE400" s="95"/>
      <c r="AF400" s="95"/>
      <c r="AG400" s="95"/>
      <c r="AH400" s="95"/>
      <c r="AI400" s="95"/>
      <c r="AJ400" s="95"/>
      <c r="AK400" s="6"/>
      <c r="AL400" s="644">
        <v>22</v>
      </c>
      <c r="AM400" s="647">
        <v>0</v>
      </c>
      <c r="AN400" s="647">
        <v>0</v>
      </c>
      <c r="AO400" s="647">
        <v>0</v>
      </c>
      <c r="AP400" s="641"/>
      <c r="AQ400" s="641"/>
      <c r="AR400" s="641"/>
      <c r="AS400" s="641"/>
      <c r="AT400" s="641"/>
      <c r="AU400" s="641"/>
      <c r="AV400" s="95"/>
      <c r="AW400" s="95"/>
      <c r="AX400" s="95"/>
      <c r="AY400" s="95"/>
      <c r="AZ400" s="95"/>
      <c r="BA400" s="95"/>
      <c r="BB400" s="6"/>
      <c r="BC400" s="4">
        <f t="shared" si="88"/>
        <v>22000</v>
      </c>
      <c r="BD400" s="4"/>
      <c r="BE400" s="4"/>
      <c r="BF400" s="4"/>
      <c r="BG400" s="4"/>
      <c r="BH400" s="4"/>
      <c r="BI400" s="1690"/>
      <c r="BJ400" s="1690"/>
      <c r="BK400" s="1108"/>
      <c r="BL400" s="1108"/>
      <c r="BM400" s="1108"/>
      <c r="BN400" s="1108"/>
      <c r="BO400" s="1108"/>
      <c r="BP400" s="1108"/>
      <c r="BQ400" s="1108"/>
      <c r="BR400" s="1108"/>
      <c r="BS400" s="1108"/>
      <c r="BT400" s="1108"/>
      <c r="BU400" s="6"/>
      <c r="BV400" s="6"/>
      <c r="BW400" s="6"/>
      <c r="BX400" s="6"/>
      <c r="BY400" s="6"/>
      <c r="BZ400" s="6"/>
      <c r="CA400" s="6"/>
      <c r="CB400" s="6"/>
      <c r="CC400" s="95"/>
      <c r="CD400" s="95"/>
      <c r="CE400" s="6"/>
      <c r="CF400" s="6"/>
      <c r="CG400" s="6"/>
      <c r="CH400" s="6"/>
      <c r="CI400" s="6"/>
      <c r="CJ400" s="6"/>
      <c r="CK400" s="4">
        <f t="shared" si="75"/>
        <v>1320</v>
      </c>
      <c r="CL400" s="4">
        <f t="shared" si="76"/>
        <v>0</v>
      </c>
      <c r="CM400" s="4">
        <f t="shared" si="85"/>
        <v>0</v>
      </c>
      <c r="CN400" s="4">
        <f t="shared" si="86"/>
        <v>0</v>
      </c>
      <c r="CO400" s="4"/>
      <c r="CP400" s="4"/>
      <c r="CQ400" s="4"/>
      <c r="CR400" s="4"/>
      <c r="CS400" s="4"/>
      <c r="CT400" s="95"/>
      <c r="CU400" s="95"/>
      <c r="CV400" s="95"/>
      <c r="CW400" s="95"/>
      <c r="CX400" s="95"/>
      <c r="CY400" s="95"/>
      <c r="CZ400" s="6"/>
      <c r="DA400" s="6">
        <f t="shared" si="79"/>
        <v>2640</v>
      </c>
      <c r="DB400" s="6">
        <f t="shared" si="80"/>
        <v>0</v>
      </c>
      <c r="DC400" s="6">
        <f t="shared" si="82"/>
        <v>0</v>
      </c>
      <c r="DD400" s="6"/>
      <c r="DE400" s="6"/>
      <c r="DF400" s="6"/>
      <c r="DG400" s="6"/>
      <c r="DH400" s="6"/>
      <c r="DI400" s="6"/>
      <c r="DJ400" s="95"/>
      <c r="DK400" s="95"/>
    </row>
    <row r="401" spans="1:115">
      <c r="A401" s="86">
        <v>1</v>
      </c>
      <c r="B401" s="69" t="s">
        <v>87</v>
      </c>
      <c r="C401" s="69" t="s">
        <v>88</v>
      </c>
      <c r="D401" s="645" t="s">
        <v>1059</v>
      </c>
      <c r="E401" s="645"/>
      <c r="F401" s="645" t="s">
        <v>1455</v>
      </c>
      <c r="G401" s="641">
        <v>60</v>
      </c>
      <c r="H401" s="654"/>
      <c r="I401" s="650">
        <v>1.6</v>
      </c>
      <c r="J401" s="95"/>
      <c r="K401" s="95"/>
      <c r="L401" s="95"/>
      <c r="M401" s="95"/>
      <c r="N401" s="95"/>
      <c r="O401" s="95"/>
      <c r="P401" s="95"/>
      <c r="Q401" s="95"/>
      <c r="R401" s="95"/>
      <c r="S401" s="95"/>
      <c r="T401" s="655"/>
      <c r="U401" s="430">
        <v>957</v>
      </c>
      <c r="V401" s="641">
        <v>0</v>
      </c>
      <c r="W401" s="641">
        <v>0</v>
      </c>
      <c r="X401" s="641">
        <v>0</v>
      </c>
      <c r="Y401" s="641"/>
      <c r="Z401" s="641"/>
      <c r="AA401" s="641"/>
      <c r="AB401" s="641"/>
      <c r="AC401" s="641"/>
      <c r="AD401" s="95"/>
      <c r="AE401" s="95"/>
      <c r="AF401" s="95"/>
      <c r="AG401" s="95"/>
      <c r="AH401" s="95"/>
      <c r="AI401" s="95"/>
      <c r="AJ401" s="95"/>
      <c r="AK401" s="6"/>
      <c r="AL401" s="644">
        <v>22</v>
      </c>
      <c r="AM401" s="647">
        <v>0</v>
      </c>
      <c r="AN401" s="647">
        <v>0</v>
      </c>
      <c r="AO401" s="647">
        <v>0</v>
      </c>
      <c r="AP401" s="641"/>
      <c r="AQ401" s="641"/>
      <c r="AR401" s="641"/>
      <c r="AS401" s="641"/>
      <c r="AT401" s="641"/>
      <c r="AU401" s="641"/>
      <c r="AV401" s="95"/>
      <c r="AW401" s="95"/>
      <c r="AX401" s="95"/>
      <c r="AY401" s="95"/>
      <c r="AZ401" s="95"/>
      <c r="BA401" s="95"/>
      <c r="BB401" s="6"/>
      <c r="BC401" s="4">
        <f t="shared" si="88"/>
        <v>21054</v>
      </c>
      <c r="BD401" s="4"/>
      <c r="BE401" s="4"/>
      <c r="BF401" s="4"/>
      <c r="BG401" s="4"/>
      <c r="BH401" s="4"/>
      <c r="BI401" s="1690"/>
      <c r="BJ401" s="1690"/>
      <c r="BK401" s="1108"/>
      <c r="BL401" s="1108"/>
      <c r="BM401" s="1108"/>
      <c r="BN401" s="1108"/>
      <c r="BO401" s="1108"/>
      <c r="BP401" s="1108"/>
      <c r="BQ401" s="1108"/>
      <c r="BR401" s="1108"/>
      <c r="BS401" s="1108"/>
      <c r="BT401" s="1108"/>
      <c r="BU401" s="6"/>
      <c r="BV401" s="6"/>
      <c r="BW401" s="6"/>
      <c r="BX401" s="6"/>
      <c r="BY401" s="6"/>
      <c r="BZ401" s="6"/>
      <c r="CA401" s="6"/>
      <c r="CB401" s="6"/>
      <c r="CC401" s="95"/>
      <c r="CD401" s="95"/>
      <c r="CE401" s="6"/>
      <c r="CF401" s="6"/>
      <c r="CG401" s="6"/>
      <c r="CH401" s="6"/>
      <c r="CI401" s="6"/>
      <c r="CJ401" s="6"/>
      <c r="CK401" s="4">
        <f t="shared" si="75"/>
        <v>1320</v>
      </c>
      <c r="CL401" s="4">
        <f t="shared" si="76"/>
        <v>0</v>
      </c>
      <c r="CM401" s="4">
        <f t="shared" si="85"/>
        <v>0</v>
      </c>
      <c r="CN401" s="4">
        <f t="shared" si="86"/>
        <v>0</v>
      </c>
      <c r="CO401" s="4"/>
      <c r="CP401" s="4"/>
      <c r="CQ401" s="4"/>
      <c r="CR401" s="4"/>
      <c r="CS401" s="4"/>
      <c r="CT401" s="95"/>
      <c r="CU401" s="95"/>
      <c r="CV401" s="95"/>
      <c r="CW401" s="95"/>
      <c r="CX401" s="95"/>
      <c r="CY401" s="95"/>
      <c r="CZ401" s="6"/>
      <c r="DA401" s="6">
        <f t="shared" si="79"/>
        <v>2112</v>
      </c>
      <c r="DB401" s="6">
        <f t="shared" si="80"/>
        <v>0</v>
      </c>
      <c r="DC401" s="6">
        <f t="shared" si="82"/>
        <v>0</v>
      </c>
      <c r="DD401" s="6"/>
      <c r="DE401" s="6"/>
      <c r="DF401" s="6"/>
      <c r="DG401" s="6"/>
      <c r="DH401" s="6"/>
      <c r="DI401" s="6"/>
      <c r="DJ401" s="95"/>
      <c r="DK401" s="95"/>
    </row>
    <row r="402" spans="1:115">
      <c r="A402" s="86">
        <v>1</v>
      </c>
      <c r="B402" s="69" t="s">
        <v>89</v>
      </c>
      <c r="C402" s="69" t="s">
        <v>90</v>
      </c>
      <c r="D402" s="645" t="s">
        <v>1483</v>
      </c>
      <c r="E402" s="645"/>
      <c r="F402" s="645" t="s">
        <v>1455</v>
      </c>
      <c r="G402" s="641">
        <v>30</v>
      </c>
      <c r="H402" s="654"/>
      <c r="I402" s="650">
        <v>1.1000000000000001</v>
      </c>
      <c r="J402" s="95"/>
      <c r="K402" s="95"/>
      <c r="L402" s="95"/>
      <c r="M402" s="95"/>
      <c r="N402" s="95"/>
      <c r="O402" s="95"/>
      <c r="P402" s="95"/>
      <c r="Q402" s="95"/>
      <c r="R402" s="95"/>
      <c r="S402" s="95"/>
      <c r="T402" s="655"/>
      <c r="U402" s="430">
        <v>595</v>
      </c>
      <c r="V402" s="641">
        <v>0</v>
      </c>
      <c r="W402" s="641">
        <v>0</v>
      </c>
      <c r="X402" s="641">
        <v>0</v>
      </c>
      <c r="Y402" s="641"/>
      <c r="Z402" s="641"/>
      <c r="AA402" s="641"/>
      <c r="AB402" s="641"/>
      <c r="AC402" s="641"/>
      <c r="AD402" s="95"/>
      <c r="AE402" s="95"/>
      <c r="AF402" s="95"/>
      <c r="AG402" s="95"/>
      <c r="AH402" s="95"/>
      <c r="AI402" s="95"/>
      <c r="AJ402" s="95"/>
      <c r="AK402" s="6"/>
      <c r="AL402" s="644">
        <v>22</v>
      </c>
      <c r="AM402" s="647">
        <v>0</v>
      </c>
      <c r="AN402" s="647">
        <v>0</v>
      </c>
      <c r="AO402" s="647">
        <v>0</v>
      </c>
      <c r="AP402" s="641"/>
      <c r="AQ402" s="641"/>
      <c r="AR402" s="641"/>
      <c r="AS402" s="641"/>
      <c r="AT402" s="641"/>
      <c r="AU402" s="641"/>
      <c r="AV402" s="95"/>
      <c r="AW402" s="95"/>
      <c r="AX402" s="95"/>
      <c r="AY402" s="95"/>
      <c r="AZ402" s="95"/>
      <c r="BA402" s="95"/>
      <c r="BB402" s="6"/>
      <c r="BC402" s="4">
        <f t="shared" si="88"/>
        <v>13090</v>
      </c>
      <c r="BD402" s="4"/>
      <c r="BE402" s="4"/>
      <c r="BF402" s="4"/>
      <c r="BG402" s="4"/>
      <c r="BH402" s="4"/>
      <c r="BI402" s="1690"/>
      <c r="BJ402" s="1690"/>
      <c r="BK402" s="1108"/>
      <c r="BL402" s="1108"/>
      <c r="BM402" s="1108"/>
      <c r="BN402" s="1108"/>
      <c r="BO402" s="1108"/>
      <c r="BP402" s="1108"/>
      <c r="BQ402" s="1108"/>
      <c r="BR402" s="1108"/>
      <c r="BS402" s="1108"/>
      <c r="BT402" s="1108"/>
      <c r="BU402" s="6"/>
      <c r="BV402" s="6"/>
      <c r="BW402" s="6"/>
      <c r="BX402" s="6"/>
      <c r="BY402" s="6"/>
      <c r="BZ402" s="6"/>
      <c r="CA402" s="6"/>
      <c r="CB402" s="6"/>
      <c r="CC402" s="95"/>
      <c r="CD402" s="95"/>
      <c r="CE402" s="6"/>
      <c r="CF402" s="6"/>
      <c r="CG402" s="6"/>
      <c r="CH402" s="6"/>
      <c r="CI402" s="6"/>
      <c r="CJ402" s="6"/>
      <c r="CK402" s="4">
        <f t="shared" si="75"/>
        <v>660</v>
      </c>
      <c r="CL402" s="4">
        <f t="shared" si="76"/>
        <v>0</v>
      </c>
      <c r="CM402" s="4">
        <f t="shared" si="85"/>
        <v>0</v>
      </c>
      <c r="CN402" s="4">
        <f t="shared" si="86"/>
        <v>0</v>
      </c>
      <c r="CO402" s="4"/>
      <c r="CP402" s="4"/>
      <c r="CQ402" s="4"/>
      <c r="CR402" s="4"/>
      <c r="CS402" s="4"/>
      <c r="CT402" s="95"/>
      <c r="CU402" s="95"/>
      <c r="CV402" s="95"/>
      <c r="CW402" s="95"/>
      <c r="CX402" s="95"/>
      <c r="CY402" s="95"/>
      <c r="CZ402" s="6"/>
      <c r="DA402" s="6">
        <f t="shared" si="79"/>
        <v>726.00000000000011</v>
      </c>
      <c r="DB402" s="6">
        <f t="shared" si="80"/>
        <v>0</v>
      </c>
      <c r="DC402" s="6">
        <f t="shared" si="82"/>
        <v>0</v>
      </c>
      <c r="DD402" s="6"/>
      <c r="DE402" s="6"/>
      <c r="DF402" s="6"/>
      <c r="DG402" s="6"/>
      <c r="DH402" s="6"/>
      <c r="DI402" s="6"/>
      <c r="DJ402" s="95"/>
      <c r="DK402" s="95"/>
    </row>
    <row r="403" spans="1:115">
      <c r="A403" s="86">
        <v>1</v>
      </c>
      <c r="B403" s="69" t="s">
        <v>93</v>
      </c>
      <c r="C403" s="69" t="s">
        <v>90</v>
      </c>
      <c r="D403" s="645" t="s">
        <v>1483</v>
      </c>
      <c r="E403" s="645"/>
      <c r="F403" s="645" t="s">
        <v>1455</v>
      </c>
      <c r="G403" s="641">
        <v>30</v>
      </c>
      <c r="H403" s="662"/>
      <c r="I403" s="641">
        <v>1.1000000000000001</v>
      </c>
      <c r="J403" s="4"/>
      <c r="K403" s="4"/>
      <c r="L403" s="4"/>
      <c r="M403" s="4"/>
      <c r="N403" s="4"/>
      <c r="O403" s="4"/>
      <c r="P403" s="4"/>
      <c r="Q403" s="4"/>
      <c r="R403" s="4"/>
      <c r="S403" s="4"/>
      <c r="T403" s="664"/>
      <c r="U403" s="629">
        <v>600</v>
      </c>
      <c r="V403" s="641">
        <v>0</v>
      </c>
      <c r="W403" s="641">
        <v>0</v>
      </c>
      <c r="X403" s="641">
        <v>0</v>
      </c>
      <c r="Y403" s="641"/>
      <c r="Z403" s="641"/>
      <c r="AA403" s="641"/>
      <c r="AB403" s="641"/>
      <c r="AC403" s="641"/>
      <c r="AD403" s="4"/>
      <c r="AE403" s="4"/>
      <c r="AF403" s="4"/>
      <c r="AG403" s="4"/>
      <c r="AH403" s="4"/>
      <c r="AI403" s="4"/>
      <c r="AJ403" s="4"/>
      <c r="AK403" s="6"/>
      <c r="AL403" s="644">
        <v>22</v>
      </c>
      <c r="AM403" s="647">
        <v>0</v>
      </c>
      <c r="AN403" s="647">
        <v>0</v>
      </c>
      <c r="AO403" s="647">
        <v>0</v>
      </c>
      <c r="AP403" s="641"/>
      <c r="AQ403" s="641"/>
      <c r="AR403" s="641"/>
      <c r="AS403" s="641"/>
      <c r="AT403" s="641"/>
      <c r="AU403" s="641"/>
      <c r="AV403" s="4"/>
      <c r="AW403" s="4"/>
      <c r="AX403" s="4"/>
      <c r="AY403" s="4"/>
      <c r="AZ403" s="4"/>
      <c r="BA403" s="4"/>
      <c r="BB403" s="6"/>
      <c r="BC403" s="4">
        <f t="shared" si="88"/>
        <v>13200</v>
      </c>
      <c r="BD403" s="4"/>
      <c r="BE403" s="4"/>
      <c r="BF403" s="4"/>
      <c r="BG403" s="4"/>
      <c r="BH403" s="4"/>
      <c r="BI403" s="1690"/>
      <c r="BJ403" s="1690"/>
      <c r="BK403" s="1108"/>
      <c r="BL403" s="1108"/>
      <c r="BM403" s="1108"/>
      <c r="BN403" s="1108"/>
      <c r="BO403" s="1108"/>
      <c r="BP403" s="1108"/>
      <c r="BQ403" s="1108"/>
      <c r="BR403" s="1108"/>
      <c r="BS403" s="1108"/>
      <c r="BT403" s="1108"/>
      <c r="BU403" s="6"/>
      <c r="BV403" s="6"/>
      <c r="BW403" s="6"/>
      <c r="BX403" s="6"/>
      <c r="BY403" s="6"/>
      <c r="BZ403" s="6"/>
      <c r="CA403" s="6"/>
      <c r="CB403" s="6"/>
      <c r="CC403" s="4"/>
      <c r="CD403" s="4"/>
      <c r="CE403" s="6"/>
      <c r="CF403" s="6"/>
      <c r="CG403" s="6"/>
      <c r="CH403" s="6"/>
      <c r="CI403" s="6"/>
      <c r="CJ403" s="6"/>
      <c r="CK403" s="4">
        <f t="shared" si="75"/>
        <v>660</v>
      </c>
      <c r="CL403" s="4">
        <f t="shared" si="76"/>
        <v>0</v>
      </c>
      <c r="CM403" s="4">
        <f t="shared" si="85"/>
        <v>0</v>
      </c>
      <c r="CN403" s="4">
        <f t="shared" si="86"/>
        <v>0</v>
      </c>
      <c r="CO403" s="4"/>
      <c r="CP403" s="4"/>
      <c r="CQ403" s="4"/>
      <c r="CR403" s="4"/>
      <c r="CS403" s="4"/>
      <c r="CT403" s="4"/>
      <c r="CU403" s="4"/>
      <c r="CV403" s="4"/>
      <c r="CW403" s="4"/>
      <c r="CX403" s="4"/>
      <c r="CY403" s="4"/>
      <c r="CZ403" s="6"/>
      <c r="DA403" s="6">
        <f t="shared" si="79"/>
        <v>726.00000000000011</v>
      </c>
      <c r="DB403" s="6">
        <f t="shared" si="80"/>
        <v>0</v>
      </c>
      <c r="DC403" s="6">
        <f t="shared" si="82"/>
        <v>0</v>
      </c>
      <c r="DD403" s="6"/>
      <c r="DE403" s="6"/>
      <c r="DF403" s="6"/>
      <c r="DG403" s="6"/>
      <c r="DH403" s="6"/>
      <c r="DI403" s="6"/>
      <c r="DJ403" s="4"/>
      <c r="DK403" s="4"/>
    </row>
    <row r="404" spans="1:115" ht="13.5" customHeight="1">
      <c r="A404" s="259"/>
      <c r="B404" s="84"/>
      <c r="C404" s="84"/>
      <c r="D404" s="645"/>
      <c r="E404" s="645"/>
      <c r="F404" s="645"/>
      <c r="G404" s="641"/>
      <c r="H404" s="645"/>
      <c r="I404" s="654"/>
      <c r="J404" s="654"/>
      <c r="K404" s="354"/>
      <c r="L404" s="669"/>
      <c r="M404" s="669"/>
      <c r="N404" s="669"/>
      <c r="O404" s="669"/>
      <c r="P404" s="669"/>
      <c r="Q404" s="669"/>
      <c r="R404" s="669"/>
      <c r="S404" s="669"/>
      <c r="T404" s="670"/>
      <c r="U404" s="671"/>
      <c r="V404" s="342"/>
      <c r="W404" s="670"/>
      <c r="X404" s="670"/>
      <c r="Y404" s="670"/>
      <c r="Z404" s="670"/>
      <c r="AA404" s="670"/>
      <c r="AB404" s="670"/>
      <c r="AC404" s="670"/>
      <c r="AD404" s="669"/>
      <c r="AE404" s="669"/>
      <c r="AF404" s="669"/>
      <c r="AG404" s="669"/>
      <c r="AH404" s="669"/>
      <c r="AI404" s="669"/>
      <c r="AJ404" s="669"/>
      <c r="AK404" s="672"/>
      <c r="AL404" s="275"/>
      <c r="AM404" s="275"/>
      <c r="AN404" s="275"/>
      <c r="AO404" s="673"/>
      <c r="AP404" s="670"/>
      <c r="AQ404" s="670"/>
      <c r="AR404" s="670"/>
      <c r="AS404" s="670"/>
      <c r="AT404" s="670"/>
      <c r="AU404" s="670"/>
      <c r="AV404" s="669"/>
      <c r="AW404" s="669"/>
      <c r="AX404" s="669"/>
      <c r="AY404" s="669"/>
      <c r="AZ404" s="669"/>
      <c r="BA404" s="669"/>
      <c r="BB404" s="669"/>
      <c r="BC404" s="6"/>
      <c r="BD404" s="6"/>
      <c r="BE404" s="6"/>
      <c r="BF404" s="6"/>
      <c r="BG404" s="6"/>
      <c r="BH404" s="6"/>
      <c r="BI404" s="1108"/>
      <c r="BJ404" s="1108"/>
      <c r="BK404" s="1108"/>
      <c r="BL404" s="1642"/>
      <c r="BM404" s="1108"/>
      <c r="BN404" s="1108"/>
      <c r="BO404" s="1859"/>
      <c r="BP404" s="1108"/>
      <c r="BQ404" s="1108"/>
      <c r="BR404" s="1108"/>
      <c r="BS404" s="1108"/>
      <c r="BT404" s="1108"/>
      <c r="BU404" s="6"/>
      <c r="BV404" s="6"/>
      <c r="BW404" s="6"/>
      <c r="BX404" s="6"/>
      <c r="BY404" s="6"/>
      <c r="BZ404" s="6"/>
      <c r="CA404" s="6"/>
      <c r="CB404" s="6"/>
      <c r="CC404" s="669"/>
      <c r="CD404" s="669"/>
      <c r="CE404" s="6"/>
      <c r="CF404" s="6"/>
      <c r="CG404" s="6"/>
      <c r="CH404" s="6"/>
      <c r="CI404" s="6"/>
      <c r="CJ404" s="6"/>
      <c r="CK404" s="4"/>
      <c r="CL404" s="4"/>
      <c r="CM404" s="4"/>
      <c r="CN404" s="4"/>
      <c r="CO404" s="4"/>
      <c r="CP404" s="4"/>
      <c r="CQ404" s="4"/>
      <c r="CR404" s="4"/>
      <c r="CS404" s="4"/>
      <c r="CT404" s="669"/>
      <c r="CU404" s="669"/>
      <c r="CV404" s="669"/>
      <c r="CW404" s="669"/>
      <c r="CX404" s="669"/>
      <c r="CY404" s="669"/>
      <c r="CZ404" s="6"/>
      <c r="DA404" s="6"/>
      <c r="DB404" s="6"/>
      <c r="DC404" s="6"/>
      <c r="DD404" s="6"/>
      <c r="DE404" s="6"/>
      <c r="DF404" s="6"/>
      <c r="DG404" s="6"/>
      <c r="DH404" s="6"/>
      <c r="DI404" s="6"/>
      <c r="DJ404" s="669"/>
      <c r="DK404" s="669"/>
    </row>
    <row r="405" spans="1:115" ht="13.5" customHeight="1" thickBot="1">
      <c r="A405" s="674" t="s">
        <v>94</v>
      </c>
      <c r="B405" s="675"/>
      <c r="C405" s="675"/>
      <c r="D405" s="676"/>
      <c r="E405" s="676"/>
      <c r="F405" s="676"/>
      <c r="G405" s="676"/>
      <c r="H405" s="676"/>
      <c r="I405" s="677"/>
      <c r="J405" s="677"/>
      <c r="K405" s="426"/>
      <c r="L405" s="678"/>
      <c r="M405" s="678"/>
      <c r="N405" s="678"/>
      <c r="O405" s="678"/>
      <c r="P405" s="678"/>
      <c r="Q405" s="678"/>
      <c r="R405" s="678"/>
      <c r="S405" s="678"/>
      <c r="T405" s="679"/>
      <c r="U405" s="680"/>
      <c r="V405" s="681"/>
      <c r="W405" s="679"/>
      <c r="X405" s="679"/>
      <c r="Y405" s="679"/>
      <c r="Z405" s="679"/>
      <c r="AA405" s="679"/>
      <c r="AB405" s="679"/>
      <c r="AC405" s="679"/>
      <c r="AD405" s="678"/>
      <c r="AE405" s="678"/>
      <c r="AF405" s="678"/>
      <c r="AG405" s="678"/>
      <c r="AH405" s="678"/>
      <c r="AI405" s="678"/>
      <c r="AJ405" s="678"/>
      <c r="AK405" s="682"/>
      <c r="AL405" s="683"/>
      <c r="AM405" s="683"/>
      <c r="AN405" s="683"/>
      <c r="AO405" s="684"/>
      <c r="AP405" s="679"/>
      <c r="AQ405" s="679"/>
      <c r="AR405" s="679"/>
      <c r="AS405" s="679"/>
      <c r="AT405" s="679"/>
      <c r="AU405" s="679"/>
      <c r="AV405" s="678"/>
      <c r="AW405" s="678"/>
      <c r="AX405" s="678"/>
      <c r="AY405" s="678"/>
      <c r="AZ405" s="678"/>
      <c r="BA405" s="678"/>
      <c r="BB405" s="678"/>
      <c r="BC405" s="685">
        <f>SUM(BC347:BC404)</f>
        <v>875844</v>
      </c>
      <c r="BD405" s="685">
        <f>SUM(BD347:BD404)</f>
        <v>938655</v>
      </c>
      <c r="BE405" s="685">
        <f>SUM(BE347:BE404)</f>
        <v>989613.04843840352</v>
      </c>
      <c r="BF405" s="685">
        <f>SUM(BF347:BF404)</f>
        <v>717102.61197193677</v>
      </c>
      <c r="BG405" s="685">
        <f>SUM(BG321:BG404)</f>
        <v>534101.01875000005</v>
      </c>
      <c r="BH405" s="685">
        <f>SUM(BH298:BH404)</f>
        <v>591500</v>
      </c>
      <c r="BI405" s="2422">
        <f>SUM(BI271:BI404)</f>
        <v>719720</v>
      </c>
      <c r="BJ405" s="2422">
        <f>SUM(BJ244:BJ404)</f>
        <v>667157.05000000005</v>
      </c>
      <c r="BK405" s="2422">
        <f>SUM(BK214:BK404)</f>
        <v>690246.728</v>
      </c>
      <c r="BL405" s="2422">
        <f>SUM(BL187:BL403)</f>
        <v>693885.93659000006</v>
      </c>
      <c r="BM405" s="2422">
        <f>SUM(BM162:BM403)</f>
        <v>774977.5442295</v>
      </c>
      <c r="BN405" s="2422">
        <f>SUM(BN141:BN403)</f>
        <v>719234.89671933104</v>
      </c>
      <c r="BO405" s="2422">
        <f>SUM(BO110:BO403)</f>
        <v>609070.76050147426</v>
      </c>
      <c r="BP405" s="2422">
        <f>SUM(BP70:BP403)</f>
        <v>804399.05530646676</v>
      </c>
      <c r="BQ405" s="2422">
        <f>SUM(BQ32:BQ403)</f>
        <v>745794.94483427424</v>
      </c>
      <c r="BR405" s="2422">
        <f>SUM(BR6:BR403)</f>
        <v>650637.07693189813</v>
      </c>
      <c r="BS405" s="1372"/>
      <c r="BT405" s="1577"/>
      <c r="BU405" s="6"/>
      <c r="BV405" s="6"/>
      <c r="BW405" s="6"/>
      <c r="BX405" s="6"/>
      <c r="BY405" s="6"/>
      <c r="BZ405" s="6"/>
      <c r="CA405" s="6"/>
      <c r="CB405" s="6"/>
      <c r="CC405" s="678"/>
      <c r="CD405" s="678"/>
      <c r="CE405" s="685">
        <f>+CD405*1.075</f>
        <v>0</v>
      </c>
      <c r="CF405" s="79"/>
      <c r="CG405" s="79"/>
      <c r="CH405" s="79"/>
      <c r="CI405" s="79"/>
      <c r="CJ405" s="6"/>
      <c r="CK405" s="686">
        <f>SUM(CK348:CK404)</f>
        <v>32580</v>
      </c>
      <c r="CL405" s="686">
        <f>SUM(CL348:CL404)</f>
        <v>30870</v>
      </c>
      <c r="CM405" s="686">
        <f>SUM(CM348:CM404)-CM361</f>
        <v>33120</v>
      </c>
      <c r="CN405" s="686">
        <f>SUM(CN348:CN404)</f>
        <v>26160</v>
      </c>
      <c r="CO405" s="686"/>
      <c r="CP405" s="686"/>
      <c r="CQ405" s="686"/>
      <c r="CR405" s="686"/>
      <c r="CS405" s="686"/>
      <c r="CT405" s="678"/>
      <c r="CU405" s="678"/>
      <c r="CV405" s="678"/>
      <c r="CW405" s="678"/>
      <c r="CX405" s="678"/>
      <c r="CY405" s="678"/>
      <c r="CZ405" s="675"/>
      <c r="DA405" s="687">
        <f>SUM(DA348:DA404)/CK405</f>
        <v>3.1659300184162062</v>
      </c>
      <c r="DB405" s="687">
        <f>SUM(DB348:DB404)/CL405</f>
        <v>2.9731778425655975</v>
      </c>
      <c r="DC405" s="687">
        <f>(SUM(DC348:DC359)+SUM(DC362:DC403))/CM405</f>
        <v>2.8804347826086958</v>
      </c>
      <c r="DD405" s="686"/>
      <c r="DE405" s="6"/>
      <c r="DF405" s="6"/>
      <c r="DG405" s="6"/>
      <c r="DH405" s="6"/>
      <c r="DI405" s="6"/>
      <c r="DJ405" s="678"/>
      <c r="DK405" s="678"/>
    </row>
    <row r="406" spans="1:115" ht="3.75" customHeight="1">
      <c r="A406" s="259"/>
      <c r="B406" s="84"/>
      <c r="C406" s="84"/>
      <c r="D406" s="645"/>
      <c r="E406" s="645"/>
      <c r="F406" s="645"/>
      <c r="G406" s="645"/>
      <c r="H406" s="645"/>
      <c r="I406" s="654"/>
      <c r="J406" s="654"/>
      <c r="K406" s="354"/>
      <c r="L406" s="669"/>
      <c r="M406" s="669"/>
      <c r="N406" s="669"/>
      <c r="O406" s="669"/>
      <c r="P406" s="669"/>
      <c r="Q406" s="669"/>
      <c r="R406" s="669"/>
      <c r="S406" s="669"/>
      <c r="T406" s="670"/>
      <c r="U406" s="671"/>
      <c r="V406" s="342"/>
      <c r="W406" s="670"/>
      <c r="X406" s="670"/>
      <c r="Y406" s="670"/>
      <c r="Z406" s="670"/>
      <c r="AA406" s="670"/>
      <c r="AB406" s="670"/>
      <c r="AC406" s="670"/>
      <c r="AD406" s="669"/>
      <c r="AE406" s="669"/>
      <c r="AF406" s="669"/>
      <c r="AG406" s="669"/>
      <c r="AH406" s="669"/>
      <c r="AI406" s="669"/>
      <c r="AJ406" s="669"/>
      <c r="AK406" s="672"/>
      <c r="AL406" s="275"/>
      <c r="AM406" s="275"/>
      <c r="AN406" s="275"/>
      <c r="AO406" s="673"/>
      <c r="AP406" s="670"/>
      <c r="AQ406" s="670"/>
      <c r="AR406" s="670"/>
      <c r="AS406" s="670"/>
      <c r="AT406" s="670"/>
      <c r="AU406" s="670"/>
      <c r="AV406" s="669"/>
      <c r="AW406" s="669"/>
      <c r="AX406" s="669"/>
      <c r="AY406" s="669"/>
      <c r="AZ406" s="669"/>
      <c r="BA406" s="669"/>
      <c r="BB406" s="669"/>
      <c r="BC406" s="6"/>
      <c r="BD406" s="6"/>
      <c r="BE406" s="6"/>
      <c r="BF406" s="6"/>
      <c r="BG406" s="6"/>
      <c r="BH406" s="6"/>
      <c r="BI406" s="1108"/>
      <c r="BJ406" s="1108"/>
      <c r="BK406" s="1108"/>
      <c r="BL406" s="1108"/>
      <c r="BM406" s="1108"/>
      <c r="BN406" s="1108"/>
      <c r="BO406" s="1108"/>
      <c r="BP406" s="1108"/>
      <c r="BQ406" s="1108"/>
      <c r="BR406" s="1108"/>
      <c r="BS406" s="1108"/>
      <c r="BT406" s="1577"/>
      <c r="BU406" s="6"/>
      <c r="BV406" s="6"/>
      <c r="BW406" s="6"/>
      <c r="BX406" s="6"/>
      <c r="BY406" s="6"/>
      <c r="BZ406" s="6"/>
      <c r="CA406" s="6"/>
      <c r="CB406" s="6"/>
      <c r="CC406" s="669"/>
      <c r="CD406" s="669"/>
      <c r="CE406" s="6"/>
      <c r="CF406" s="6"/>
      <c r="CG406" s="6"/>
      <c r="CH406" s="6"/>
      <c r="CI406" s="6"/>
      <c r="CJ406" s="6"/>
      <c r="CK406" s="6"/>
      <c r="CL406" s="6"/>
      <c r="CM406" s="6"/>
      <c r="CN406" s="6"/>
      <c r="CO406" s="6"/>
      <c r="CP406" s="6"/>
      <c r="CQ406" s="6"/>
      <c r="CR406" s="6"/>
      <c r="CS406" s="6"/>
      <c r="CT406" s="669"/>
      <c r="CU406" s="669"/>
      <c r="CV406" s="669"/>
      <c r="CW406" s="669"/>
      <c r="CX406" s="669"/>
      <c r="CY406" s="669"/>
      <c r="CZ406" s="6"/>
      <c r="DA406" s="6"/>
      <c r="DB406" s="6"/>
      <c r="DC406" s="6"/>
      <c r="DD406" s="6"/>
      <c r="DE406" s="6"/>
      <c r="DF406" s="6"/>
      <c r="DG406" s="6"/>
      <c r="DH406" s="6"/>
      <c r="DI406" s="6"/>
      <c r="DJ406" s="669"/>
      <c r="DK406" s="669"/>
    </row>
    <row r="407" spans="1:115">
      <c r="A407" s="36" t="s">
        <v>676</v>
      </c>
      <c r="B407" s="6"/>
      <c r="C407" s="6"/>
      <c r="D407" s="6"/>
      <c r="E407" s="6"/>
      <c r="F407" s="6"/>
      <c r="G407" s="6"/>
      <c r="H407" s="84"/>
      <c r="I407" s="84"/>
      <c r="J407" s="84"/>
      <c r="K407" s="84"/>
      <c r="L407" s="84"/>
      <c r="M407" s="84"/>
      <c r="N407" s="84"/>
      <c r="O407" s="84"/>
      <c r="P407" s="84"/>
      <c r="Q407" s="84"/>
      <c r="R407" s="84"/>
      <c r="S407" s="84"/>
      <c r="T407" s="84"/>
      <c r="U407" s="6"/>
      <c r="V407" s="6"/>
      <c r="W407" s="6"/>
      <c r="X407" s="6"/>
      <c r="Y407" s="6"/>
      <c r="Z407" s="6"/>
      <c r="AA407" s="6"/>
      <c r="AB407" s="6"/>
      <c r="AC407" s="6"/>
      <c r="AD407" s="84"/>
      <c r="AE407" s="84"/>
      <c r="AF407" s="84"/>
      <c r="AG407" s="84"/>
      <c r="AH407" s="84"/>
      <c r="AI407" s="84"/>
      <c r="AJ407" s="84"/>
      <c r="AK407" s="6"/>
      <c r="AL407" s="6"/>
      <c r="AM407" s="6"/>
      <c r="AN407" s="6"/>
      <c r="AO407" s="6"/>
      <c r="AP407" s="6"/>
      <c r="AQ407" s="6"/>
      <c r="AR407" s="6"/>
      <c r="AS407" s="6"/>
      <c r="AT407" s="6"/>
      <c r="AU407" s="6"/>
      <c r="AV407" s="84"/>
      <c r="AW407" s="84"/>
      <c r="AX407" s="84"/>
      <c r="AY407" s="84"/>
      <c r="AZ407" s="84"/>
      <c r="BA407" s="84"/>
      <c r="BB407" s="6"/>
      <c r="BC407" s="6"/>
      <c r="BD407" s="38">
        <f t="shared" ref="BD407:BI407" si="89">BD405/BC405-1</f>
        <v>7.1714825927905013E-2</v>
      </c>
      <c r="BE407" s="38">
        <f t="shared" si="89"/>
        <v>5.4288368397764408E-2</v>
      </c>
      <c r="BF407" s="38">
        <f t="shared" si="89"/>
        <v>-0.27537069857403829</v>
      </c>
      <c r="BG407" s="38">
        <f t="shared" si="89"/>
        <v>-0.25519582576711952</v>
      </c>
      <c r="BH407" s="38">
        <f t="shared" si="89"/>
        <v>0.10746839873912895</v>
      </c>
      <c r="BI407" s="1110">
        <f t="shared" si="89"/>
        <v>0.21677092138630605</v>
      </c>
      <c r="BJ407" s="1110">
        <f t="shared" ref="BJ407:BR407" si="90">BJ405/BI405-1</f>
        <v>-7.3032498749513675E-2</v>
      </c>
      <c r="BK407" s="1110">
        <f t="shared" si="90"/>
        <v>3.4609059441101486E-2</v>
      </c>
      <c r="BL407" s="1110">
        <f t="shared" si="90"/>
        <v>5.2723300848447341E-3</v>
      </c>
      <c r="BM407" s="1110">
        <f t="shared" si="90"/>
        <v>0.11686590455776158</v>
      </c>
      <c r="BN407" s="1110">
        <f t="shared" si="90"/>
        <v>-7.1928080916963233E-2</v>
      </c>
      <c r="BO407" s="1110">
        <f t="shared" si="90"/>
        <v>-0.1531685082583617</v>
      </c>
      <c r="BP407" s="1110">
        <f t="shared" si="90"/>
        <v>0.32069885384773733</v>
      </c>
      <c r="BQ407" s="1110">
        <f t="shared" si="90"/>
        <v>-7.2854524238426754E-2</v>
      </c>
      <c r="BR407" s="1110">
        <f t="shared" si="90"/>
        <v>-0.12759253540330917</v>
      </c>
      <c r="BS407" s="1110"/>
      <c r="BT407" s="1577"/>
      <c r="BU407" s="6"/>
      <c r="BV407" s="6"/>
      <c r="BW407" s="6"/>
      <c r="BX407" s="6"/>
      <c r="BY407" s="6"/>
      <c r="BZ407" s="6"/>
      <c r="CA407" s="6"/>
      <c r="CB407" s="6"/>
      <c r="CC407" s="84"/>
      <c r="CD407" s="84"/>
      <c r="CE407" s="38"/>
      <c r="CF407" s="38"/>
      <c r="CG407" s="38"/>
      <c r="CH407" s="38"/>
      <c r="CI407" s="38"/>
      <c r="CJ407" s="6"/>
      <c r="CK407" s="6"/>
      <c r="CL407" s="6"/>
      <c r="CM407" s="6"/>
      <c r="CN407" s="6"/>
      <c r="CO407" s="6"/>
      <c r="CP407" s="6"/>
      <c r="CQ407" s="6"/>
      <c r="CR407" s="6"/>
      <c r="CS407" s="6"/>
      <c r="CT407" s="84"/>
      <c r="CU407" s="84"/>
      <c r="CV407" s="84"/>
      <c r="CW407" s="84"/>
      <c r="CX407" s="84"/>
      <c r="CY407" s="84"/>
      <c r="CZ407" s="6"/>
      <c r="DA407" s="3598" t="s">
        <v>95</v>
      </c>
      <c r="DB407" s="3598"/>
      <c r="DC407" s="3598"/>
      <c r="DD407" s="6"/>
      <c r="DE407" s="6"/>
      <c r="DF407" s="6"/>
      <c r="DG407" s="6"/>
      <c r="DH407" s="6"/>
      <c r="DI407" s="6"/>
      <c r="DJ407" s="84"/>
      <c r="DK407" s="84"/>
    </row>
    <row r="408" spans="1:115">
      <c r="A408" s="36" t="s">
        <v>98</v>
      </c>
      <c r="B408" s="6"/>
      <c r="C408" s="6"/>
      <c r="D408" s="6"/>
      <c r="E408" s="6"/>
      <c r="F408" s="6"/>
      <c r="G408" s="6"/>
      <c r="H408" s="84"/>
      <c r="I408" s="84"/>
      <c r="J408" s="84"/>
      <c r="K408" s="84"/>
      <c r="L408" s="84"/>
      <c r="M408" s="84"/>
      <c r="N408" s="84"/>
      <c r="O408" s="84"/>
      <c r="P408" s="84"/>
      <c r="Q408" s="84"/>
      <c r="R408" s="84"/>
      <c r="S408" s="84"/>
      <c r="T408" s="84"/>
      <c r="U408" s="6"/>
      <c r="V408" s="6"/>
      <c r="W408" s="6"/>
      <c r="X408" s="6"/>
      <c r="Y408" s="6"/>
      <c r="Z408" s="6"/>
      <c r="AA408" s="6"/>
      <c r="AB408" s="6"/>
      <c r="AC408" s="6"/>
      <c r="AD408" s="84"/>
      <c r="AE408" s="84"/>
      <c r="AF408" s="84"/>
      <c r="AG408" s="84"/>
      <c r="AH408" s="84"/>
      <c r="AI408" s="84"/>
      <c r="AJ408" s="84"/>
      <c r="AK408" s="6"/>
      <c r="AL408" s="6"/>
      <c r="AM408" s="6"/>
      <c r="AN408" s="6"/>
      <c r="AO408" s="6"/>
      <c r="AP408" s="6"/>
      <c r="AQ408" s="6"/>
      <c r="AR408" s="6"/>
      <c r="AS408" s="6"/>
      <c r="AT408" s="6"/>
      <c r="AU408" s="6"/>
      <c r="AV408" s="84"/>
      <c r="AW408" s="84"/>
      <c r="AX408" s="84"/>
      <c r="AY408" s="84"/>
      <c r="AZ408" s="84"/>
      <c r="BA408" s="84"/>
      <c r="BB408" s="6"/>
      <c r="BC408" s="688">
        <v>0</v>
      </c>
      <c r="BD408" s="688">
        <v>0</v>
      </c>
      <c r="BE408" s="688">
        <v>0</v>
      </c>
      <c r="BF408" s="688">
        <v>0</v>
      </c>
      <c r="BG408" s="688">
        <v>0</v>
      </c>
      <c r="BH408" s="688">
        <v>0</v>
      </c>
      <c r="BI408" s="2423">
        <v>0</v>
      </c>
      <c r="BJ408" s="2423"/>
      <c r="BK408" s="1108"/>
      <c r="BL408" s="1108"/>
      <c r="BM408" s="1108"/>
      <c r="BN408" s="1108"/>
      <c r="BO408" s="1108"/>
      <c r="BP408" s="1108"/>
      <c r="BQ408" s="1108"/>
      <c r="BR408" s="1108"/>
      <c r="BS408" s="1108"/>
      <c r="BT408" s="1108"/>
      <c r="BU408" s="6"/>
      <c r="BV408" s="6"/>
      <c r="BW408" s="6"/>
      <c r="BX408" s="6"/>
      <c r="BY408" s="6"/>
      <c r="BZ408" s="6"/>
      <c r="CA408" s="6"/>
      <c r="CB408" s="6"/>
      <c r="CC408" s="84"/>
      <c r="CD408" s="84"/>
      <c r="CE408" s="6"/>
      <c r="CF408" s="6"/>
      <c r="CG408" s="6"/>
      <c r="CH408" s="6"/>
      <c r="CI408" s="6"/>
      <c r="CJ408" s="6"/>
      <c r="CK408" s="6"/>
      <c r="CL408" s="6"/>
      <c r="CM408" s="6"/>
      <c r="CN408" s="6"/>
      <c r="CO408" s="6"/>
      <c r="CP408" s="6"/>
      <c r="CQ408" s="6"/>
      <c r="CR408" s="6"/>
      <c r="CS408" s="6"/>
      <c r="CT408" s="84"/>
      <c r="CU408" s="84"/>
      <c r="CV408" s="84"/>
      <c r="CW408" s="84"/>
      <c r="CX408" s="84"/>
      <c r="CY408" s="84"/>
      <c r="CZ408" s="6"/>
      <c r="DA408" s="6"/>
      <c r="DB408" s="6"/>
      <c r="DC408" s="6"/>
      <c r="DD408" s="6"/>
      <c r="DE408" s="6"/>
      <c r="DF408" s="6"/>
      <c r="DG408" s="6"/>
      <c r="DH408" s="6"/>
      <c r="DI408" s="6"/>
      <c r="DJ408" s="84"/>
      <c r="DK408" s="84"/>
    </row>
    <row r="409" spans="1:115">
      <c r="A409" s="36" t="s">
        <v>99</v>
      </c>
      <c r="B409" s="6"/>
      <c r="C409" s="6"/>
      <c r="D409" s="6"/>
      <c r="E409" s="6"/>
      <c r="F409" s="6"/>
      <c r="G409" s="6"/>
      <c r="H409" s="84"/>
      <c r="I409" s="84"/>
      <c r="J409" s="84"/>
      <c r="K409" s="84"/>
      <c r="L409" s="84"/>
      <c r="M409" s="84"/>
      <c r="N409" s="84"/>
      <c r="O409" s="84"/>
      <c r="P409" s="84"/>
      <c r="Q409" s="84"/>
      <c r="R409" s="84"/>
      <c r="S409" s="84"/>
      <c r="T409" s="84"/>
      <c r="U409" s="6"/>
      <c r="V409" s="6"/>
      <c r="W409" s="6"/>
      <c r="X409" s="6"/>
      <c r="Y409" s="6"/>
      <c r="Z409" s="6"/>
      <c r="AA409" s="6"/>
      <c r="AB409" s="6"/>
      <c r="AC409" s="6"/>
      <c r="AD409" s="84"/>
      <c r="AE409" s="84"/>
      <c r="AF409" s="84"/>
      <c r="AG409" s="84"/>
      <c r="AH409" s="84"/>
      <c r="AI409" s="84"/>
      <c r="AJ409" s="84"/>
      <c r="AK409" s="6"/>
      <c r="AL409" s="6"/>
      <c r="AM409" s="6"/>
      <c r="AN409" s="6"/>
      <c r="AO409" s="6"/>
      <c r="AP409" s="6"/>
      <c r="AQ409" s="6"/>
      <c r="AR409" s="6"/>
      <c r="AS409" s="6"/>
      <c r="AT409" s="6"/>
      <c r="AU409" s="6"/>
      <c r="AV409" s="84"/>
      <c r="AW409" s="84"/>
      <c r="AX409" s="84"/>
      <c r="AY409" s="84"/>
      <c r="AZ409" s="84"/>
      <c r="BA409" s="84"/>
      <c r="BB409" s="6"/>
      <c r="BC409" s="210">
        <f t="shared" ref="BC409:BJ409" si="91">BC405-BC410-BC408</f>
        <v>640554</v>
      </c>
      <c r="BD409" s="210">
        <f t="shared" si="91"/>
        <v>721185</v>
      </c>
      <c r="BE409" s="210">
        <f t="shared" si="91"/>
        <v>748744.47700983216</v>
      </c>
      <c r="BF409" s="210">
        <f t="shared" si="91"/>
        <v>604290.61197193677</v>
      </c>
      <c r="BG409" s="210">
        <f t="shared" si="91"/>
        <v>459978.41875000007</v>
      </c>
      <c r="BH409" s="210">
        <f t="shared" si="91"/>
        <v>424000</v>
      </c>
      <c r="BI409" s="1859">
        <f t="shared" si="91"/>
        <v>528835</v>
      </c>
      <c r="BJ409" s="1859">
        <f t="shared" si="91"/>
        <v>465642.95</v>
      </c>
      <c r="BK409" s="1859">
        <f>BK215+BK216+BK217+BK218+BK219+BK220+BK221+BK222+BK223+BK224+BK227+BK228+BK229+BK230+BK233+BK235+BK237+BK239+BK240</f>
        <v>520857.25600000011</v>
      </c>
      <c r="BL409" s="1859">
        <f t="shared" ref="BL409:BR409" si="92">BL405-BL410</f>
        <v>505586.59259000001</v>
      </c>
      <c r="BM409" s="1859">
        <f t="shared" si="92"/>
        <v>604760.60440950003</v>
      </c>
      <c r="BN409" s="1859">
        <f t="shared" si="92"/>
        <v>528863.48394473107</v>
      </c>
      <c r="BO409" s="1859">
        <f t="shared" si="92"/>
        <v>477617.01513647428</v>
      </c>
      <c r="BP409" s="1859">
        <f t="shared" si="92"/>
        <v>625345.70858051674</v>
      </c>
      <c r="BQ409" s="1859">
        <f t="shared" si="92"/>
        <v>603097.34269154572</v>
      </c>
      <c r="BR409" s="1859">
        <f t="shared" si="92"/>
        <v>547397.83104679966</v>
      </c>
      <c r="BS409" s="1859"/>
      <c r="BT409" s="1108"/>
      <c r="BU409" s="6"/>
      <c r="BV409" s="6"/>
      <c r="BW409" s="6"/>
      <c r="BX409" s="6"/>
      <c r="BY409" s="6"/>
      <c r="BZ409" s="6"/>
      <c r="CA409" s="6"/>
      <c r="CB409" s="6"/>
      <c r="CC409" s="84"/>
      <c r="CD409" s="84"/>
      <c r="CE409" s="210"/>
      <c r="CF409" s="210"/>
      <c r="CG409" s="210"/>
      <c r="CH409" s="210"/>
      <c r="CI409" s="210"/>
      <c r="CJ409" s="6"/>
      <c r="CK409" s="6"/>
      <c r="CL409" s="6"/>
      <c r="CM409" s="6"/>
      <c r="CN409" s="6"/>
      <c r="CO409" s="6"/>
      <c r="CP409" s="6"/>
      <c r="CQ409" s="6"/>
      <c r="CR409" s="6"/>
      <c r="CS409" s="6"/>
      <c r="CT409" s="84"/>
      <c r="CU409" s="84"/>
      <c r="CV409" s="84"/>
      <c r="CW409" s="84"/>
      <c r="CX409" s="84"/>
      <c r="CY409" s="84"/>
      <c r="CZ409" s="6"/>
      <c r="DA409" s="6"/>
      <c r="DB409" s="6"/>
      <c r="DC409" s="6"/>
      <c r="DD409" s="6"/>
      <c r="DE409" s="6"/>
      <c r="DF409" s="6"/>
      <c r="DG409" s="6"/>
      <c r="DH409" s="6"/>
      <c r="DI409" s="6"/>
      <c r="DJ409" s="84"/>
      <c r="DK409" s="84"/>
    </row>
    <row r="410" spans="1:115">
      <c r="A410" s="36" t="s">
        <v>100</v>
      </c>
      <c r="B410" s="6"/>
      <c r="C410" s="6"/>
      <c r="D410" s="6"/>
      <c r="E410" s="6"/>
      <c r="F410" s="6"/>
      <c r="G410" s="6"/>
      <c r="H410" s="84"/>
      <c r="I410" s="84"/>
      <c r="J410" s="84"/>
      <c r="K410" s="84"/>
      <c r="L410" s="84"/>
      <c r="M410" s="84"/>
      <c r="N410" s="84"/>
      <c r="O410" s="84"/>
      <c r="P410" s="84"/>
      <c r="Q410" s="84"/>
      <c r="R410" s="84"/>
      <c r="S410" s="84"/>
      <c r="T410" s="84"/>
      <c r="U410" s="6"/>
      <c r="V410" s="6"/>
      <c r="W410" s="6"/>
      <c r="X410" s="6"/>
      <c r="Y410" s="6"/>
      <c r="Z410" s="6"/>
      <c r="AA410" s="6"/>
      <c r="AB410" s="6"/>
      <c r="AC410" s="6"/>
      <c r="AD410" s="84"/>
      <c r="AE410" s="84"/>
      <c r="AF410" s="84"/>
      <c r="AG410" s="84"/>
      <c r="AH410" s="84"/>
      <c r="AI410" s="84"/>
      <c r="AJ410" s="84"/>
      <c r="AK410" s="6"/>
      <c r="AL410" s="6"/>
      <c r="AM410" s="6"/>
      <c r="AN410" s="6"/>
      <c r="AO410" s="6"/>
      <c r="AP410" s="6"/>
      <c r="AQ410" s="6"/>
      <c r="AR410" s="6"/>
      <c r="AS410" s="6"/>
      <c r="AT410" s="6"/>
      <c r="AU410" s="6"/>
      <c r="AV410" s="84"/>
      <c r="AW410" s="84"/>
      <c r="AX410" s="84"/>
      <c r="AY410" s="84"/>
      <c r="AZ410" s="84"/>
      <c r="BA410" s="84"/>
      <c r="BB410" s="210"/>
      <c r="BC410" s="210">
        <f>BC348+BC349+BC351+BC365+BC369+BC375+BC376+BC384+BC388+BC391+BC395+BC402+BC403+BC378</f>
        <v>235290</v>
      </c>
      <c r="BD410" s="210">
        <f>BD348+BD349+BD351+BD365+BD369+BD375+BD376+BD384+BD388+BD391+BD395+BD402+BD403+BD378</f>
        <v>217470</v>
      </c>
      <c r="BE410" s="210">
        <f>BE348+BE349+BE351+BE365+BE369+BE375+BE376+BE384+BE388+BE391+BE395+BE402+BE403+BE378</f>
        <v>240868.57142857142</v>
      </c>
      <c r="BF410" s="210">
        <f>BF348+BF349+BF351+BF365+BF369+BF375+BF376+BF384+BF388+BF391+BF395+BF402+BF403+BF378</f>
        <v>112812</v>
      </c>
      <c r="BG410" s="210">
        <f>BG328+BG343+BG345</f>
        <v>74122.600000000006</v>
      </c>
      <c r="BH410" s="210">
        <f>BH303+BH299+BH302+BH315+BH310</f>
        <v>167500</v>
      </c>
      <c r="BI410" s="1859">
        <f>+BI272+BI274+BI275+BI284+BI283+BI295+BI292+BI278</f>
        <v>190885</v>
      </c>
      <c r="BJ410" s="1859">
        <f>BJ244+BJ252+BJ256+BJ258+BJ261+BJ263+BJ266</f>
        <v>201514.10000000003</v>
      </c>
      <c r="BK410" s="1859">
        <f>BK214+BK225+BK226+BK231+BK232+BK234+BK236+BK238+BK241</f>
        <v>169389.47200000001</v>
      </c>
      <c r="BL410" s="1859">
        <f>BL187+BL194+BL198+BL201+BL203+BL207+BL208+BL209+BL210+BL211</f>
        <v>188299.34400000001</v>
      </c>
      <c r="BM410" s="1859">
        <f>BM175+BM176+BM177+BM178+BM181+BM182+BM183</f>
        <v>170216.93982000003</v>
      </c>
      <c r="BN410" s="1859">
        <f>BN149+BN150+BN151+BN153+BN154+BN157+BN158</f>
        <v>190371.41277460003</v>
      </c>
      <c r="BO410" s="1859">
        <f>BO110+BO111+BO124+BO125+BO126+BO127+BO128+BO129+BO130</f>
        <v>131453.74536500001</v>
      </c>
      <c r="BP410" s="1859">
        <f>BP70+BP71+BP89+BP91+BP92+BP93+BP94+BP95+BP96+BP97+BP98</f>
        <v>179053.34672594999</v>
      </c>
      <c r="BQ410" s="1859">
        <f>BQ32+BQ47+BQ48+BQ50+BQ51+BQ52+BQ53+BQ54+BQ55+BQ58</f>
        <v>142697.60214272852</v>
      </c>
      <c r="BR410" s="1859">
        <f>BR6+BR20+BR22+BR23+BR24+BR25+BR26+BR28+BR29</f>
        <v>103239.24588509845</v>
      </c>
      <c r="BS410" s="1859"/>
      <c r="BT410" s="1108"/>
      <c r="BU410" s="6"/>
      <c r="BV410" s="6"/>
      <c r="BW410" s="6"/>
      <c r="BX410" s="6"/>
      <c r="BY410" s="6"/>
      <c r="BZ410" s="6"/>
      <c r="CA410" s="6"/>
      <c r="CB410" s="6"/>
      <c r="CC410" s="84"/>
      <c r="CD410" s="84"/>
      <c r="CE410" s="210"/>
      <c r="CF410" s="210"/>
      <c r="CG410" s="210"/>
      <c r="CH410" s="210"/>
      <c r="CI410" s="210"/>
      <c r="CJ410" s="6"/>
      <c r="CK410" s="6"/>
      <c r="CL410" s="6"/>
      <c r="CM410" s="6"/>
      <c r="CN410" s="6"/>
      <c r="CO410" s="6"/>
      <c r="CP410" s="6"/>
      <c r="CQ410" s="6"/>
      <c r="CR410" s="6"/>
      <c r="CS410" s="6"/>
      <c r="CT410" s="84"/>
      <c r="CU410" s="84"/>
      <c r="CV410" s="84"/>
      <c r="CW410" s="84"/>
      <c r="CX410" s="84"/>
      <c r="CY410" s="84"/>
      <c r="CZ410" s="6"/>
      <c r="DA410" s="6"/>
      <c r="DB410" s="6"/>
      <c r="DC410" s="6"/>
      <c r="DD410" s="6"/>
      <c r="DE410" s="6"/>
      <c r="DF410" s="6"/>
      <c r="DG410" s="6"/>
      <c r="DH410" s="6"/>
      <c r="DI410" s="6"/>
      <c r="DJ410" s="84"/>
      <c r="DK410" s="84"/>
    </row>
    <row r="411" spans="1:115">
      <c r="A411" s="36"/>
      <c r="B411" s="6"/>
      <c r="C411" s="6"/>
      <c r="D411" s="6"/>
      <c r="E411" s="6"/>
      <c r="F411" s="6"/>
      <c r="G411" s="6"/>
      <c r="H411" s="84"/>
      <c r="I411" s="84"/>
      <c r="J411" s="84"/>
      <c r="K411" s="84"/>
      <c r="L411" s="84"/>
      <c r="M411" s="84"/>
      <c r="N411" s="84"/>
      <c r="O411" s="84"/>
      <c r="P411" s="84"/>
      <c r="Q411" s="84"/>
      <c r="R411" s="84"/>
      <c r="S411" s="84"/>
      <c r="T411" s="84"/>
      <c r="U411" s="6"/>
      <c r="V411" s="6"/>
      <c r="W411" s="6"/>
      <c r="X411" s="6"/>
      <c r="Y411" s="6"/>
      <c r="Z411" s="6"/>
      <c r="AA411" s="6"/>
      <c r="AB411" s="6"/>
      <c r="AC411" s="6"/>
      <c r="AD411" s="84"/>
      <c r="AE411" s="84"/>
      <c r="AF411" s="84"/>
      <c r="AG411" s="84"/>
      <c r="AH411" s="84"/>
      <c r="AI411" s="84"/>
      <c r="AJ411" s="84"/>
      <c r="AK411" s="6"/>
      <c r="AL411" s="6"/>
      <c r="AM411" s="6"/>
      <c r="AN411" s="6"/>
      <c r="AO411" s="6"/>
      <c r="AP411" s="6"/>
      <c r="AQ411" s="6"/>
      <c r="AR411" s="6"/>
      <c r="AS411" s="6"/>
      <c r="AT411" s="6"/>
      <c r="AU411" s="6"/>
      <c r="AV411" s="84"/>
      <c r="AW411" s="84"/>
      <c r="AX411" s="84"/>
      <c r="AY411" s="84"/>
      <c r="AZ411" s="84"/>
      <c r="BA411" s="84"/>
      <c r="BB411" s="6"/>
      <c r="BC411" s="6"/>
      <c r="BD411" s="6"/>
      <c r="BE411" s="6"/>
      <c r="BF411" s="6"/>
      <c r="BG411" s="6"/>
      <c r="BH411" s="6"/>
      <c r="BI411" s="1108"/>
      <c r="BJ411" s="1108"/>
      <c r="BK411" s="1108"/>
      <c r="BL411" s="1108"/>
      <c r="BM411" s="1108"/>
      <c r="BN411" s="1108"/>
      <c r="BO411" s="1108"/>
      <c r="BP411" s="1108"/>
      <c r="BQ411" s="1108"/>
      <c r="BR411" s="1108"/>
      <c r="BS411" s="1108"/>
      <c r="BT411" s="1108"/>
      <c r="BU411" s="6"/>
      <c r="BV411" s="6"/>
      <c r="BW411" s="6"/>
      <c r="BX411" s="6"/>
      <c r="BY411" s="6"/>
      <c r="BZ411" s="6"/>
      <c r="CA411" s="6"/>
      <c r="CB411" s="6"/>
      <c r="CC411" s="84"/>
      <c r="CD411" s="84"/>
      <c r="CE411" s="6"/>
      <c r="CF411" s="6"/>
      <c r="CG411" s="6"/>
      <c r="CH411" s="6"/>
      <c r="CI411" s="6"/>
      <c r="CJ411" s="6"/>
      <c r="CK411" s="6"/>
      <c r="CL411" s="6"/>
      <c r="CM411" s="6"/>
      <c r="CN411" s="6"/>
      <c r="CO411" s="6"/>
      <c r="CP411" s="6"/>
      <c r="CQ411" s="6"/>
      <c r="CR411" s="6"/>
      <c r="CS411" s="6"/>
      <c r="CT411" s="84"/>
      <c r="CU411" s="84"/>
      <c r="CV411" s="84"/>
      <c r="CW411" s="84"/>
      <c r="CX411" s="84"/>
      <c r="CY411" s="84"/>
      <c r="CZ411" s="6"/>
      <c r="DA411" s="6"/>
      <c r="DB411" s="6"/>
      <c r="DC411" s="6"/>
      <c r="DD411" s="6"/>
      <c r="DE411" s="6"/>
      <c r="DF411" s="6"/>
      <c r="DG411" s="6"/>
      <c r="DH411" s="6"/>
      <c r="DI411" s="6"/>
      <c r="DJ411" s="84"/>
      <c r="DK411" s="84"/>
    </row>
    <row r="412" spans="1:115">
      <c r="A412" s="36" t="s">
        <v>103</v>
      </c>
      <c r="B412" s="6"/>
      <c r="C412" s="6"/>
      <c r="D412" s="6"/>
      <c r="E412" s="6"/>
      <c r="F412" s="6"/>
      <c r="G412" s="6"/>
      <c r="H412" s="84"/>
      <c r="I412" s="84">
        <f>COUNT(I348:I403)</f>
        <v>30</v>
      </c>
      <c r="J412" s="84">
        <f>COUNT(J348:J403)</f>
        <v>29</v>
      </c>
      <c r="K412" s="84">
        <f>COUNT(K348:K403)</f>
        <v>30</v>
      </c>
      <c r="L412" s="84">
        <f>COUNT(L348:L403)</f>
        <v>25</v>
      </c>
      <c r="M412" s="84"/>
      <c r="N412" s="84"/>
      <c r="O412" s="84"/>
      <c r="P412" s="84"/>
      <c r="Q412" s="84"/>
      <c r="R412" s="84"/>
      <c r="S412" s="84"/>
      <c r="T412" s="84"/>
      <c r="U412" s="6"/>
      <c r="V412" s="6"/>
      <c r="W412" s="6"/>
      <c r="X412" s="6"/>
      <c r="Y412" s="6"/>
      <c r="Z412" s="6"/>
      <c r="AA412" s="6"/>
      <c r="AB412" s="6"/>
      <c r="AC412" s="6"/>
      <c r="AD412" s="84"/>
      <c r="AE412" s="84"/>
      <c r="AF412" s="84"/>
      <c r="AG412" s="84"/>
      <c r="AH412" s="84"/>
      <c r="AI412" s="84"/>
      <c r="AJ412" s="84"/>
      <c r="AK412" s="6"/>
      <c r="AL412" s="6"/>
      <c r="AM412" s="6"/>
      <c r="AN412" s="6"/>
      <c r="AO412" s="6"/>
      <c r="AP412" s="6"/>
      <c r="AQ412" s="6"/>
      <c r="AR412" s="6"/>
      <c r="AS412" s="6"/>
      <c r="AT412" s="6"/>
      <c r="AU412" s="6"/>
      <c r="AV412" s="84"/>
      <c r="AW412" s="84"/>
      <c r="AX412" s="84"/>
      <c r="AY412" s="84"/>
      <c r="AZ412" s="84"/>
      <c r="BA412" s="84"/>
      <c r="BB412" s="6"/>
      <c r="BC412" s="6">
        <f>COUNT(BC348:BC403)</f>
        <v>30</v>
      </c>
      <c r="BD412" s="6">
        <f>COUNT(BD348:BD403)</f>
        <v>30</v>
      </c>
      <c r="BE412" s="6">
        <f>COUNT(BE348:BE403)</f>
        <v>31</v>
      </c>
      <c r="BF412" s="6">
        <f>COUNT(BF348:BF403)</f>
        <v>26</v>
      </c>
      <c r="BG412" s="6">
        <f>COUNT(BG321:BG403)</f>
        <v>25</v>
      </c>
      <c r="BH412" s="6">
        <f>COUNT(BH298:BH403)</f>
        <v>19</v>
      </c>
      <c r="BI412" s="1108">
        <f>COUNT(BI271:BI403)</f>
        <v>25</v>
      </c>
      <c r="BJ412" s="1108">
        <f>COUNT(BJ244:BJ403)</f>
        <v>25</v>
      </c>
      <c r="BK412" s="1108">
        <f>COUNT(BK214:BK403)</f>
        <v>28</v>
      </c>
      <c r="BL412" s="1108">
        <f>COUNT(BL187:BL403)</f>
        <v>25</v>
      </c>
      <c r="BM412" s="1108">
        <f>COUNT(BM162:BM403)</f>
        <v>22</v>
      </c>
      <c r="BN412" s="2424">
        <f>COUNT(BN141:BN403)</f>
        <v>18</v>
      </c>
      <c r="BO412" s="2424">
        <f>COUNT(BO110:BO403)</f>
        <v>21</v>
      </c>
      <c r="BP412" s="2424">
        <f>COUNT(BP70:BP403)</f>
        <v>29</v>
      </c>
      <c r="BQ412" s="2424">
        <f>COUNT(BQ32:BQ403)</f>
        <v>27</v>
      </c>
      <c r="BR412" s="2424">
        <f>COUNT(BR6:BR403)</f>
        <v>24</v>
      </c>
      <c r="BS412" s="2424"/>
      <c r="BT412" s="1108"/>
      <c r="BU412" s="6"/>
      <c r="BV412" s="6"/>
      <c r="BW412" s="6"/>
      <c r="BX412" s="6"/>
      <c r="BY412" s="6"/>
      <c r="BZ412" s="6"/>
      <c r="CA412" s="6"/>
      <c r="CB412" s="6"/>
      <c r="CC412" s="84"/>
      <c r="CD412" s="84"/>
      <c r="CE412" s="6"/>
      <c r="CF412" s="6"/>
      <c r="CG412" s="6"/>
      <c r="CH412" s="6"/>
      <c r="CI412" s="6"/>
      <c r="CJ412" s="6"/>
      <c r="CK412" s="6"/>
      <c r="CL412" s="6"/>
      <c r="CM412" s="6"/>
      <c r="CN412" s="6"/>
      <c r="CO412" s="6"/>
      <c r="CP412" s="6"/>
      <c r="CQ412" s="6"/>
      <c r="CR412" s="6"/>
      <c r="CS412" s="6"/>
      <c r="CT412" s="84"/>
      <c r="CU412" s="84"/>
      <c r="CV412" s="84"/>
      <c r="CW412" s="84"/>
      <c r="CX412" s="84"/>
      <c r="CY412" s="84"/>
      <c r="CZ412" s="6"/>
      <c r="DA412" s="6"/>
      <c r="DB412" s="6"/>
      <c r="DC412" s="6"/>
      <c r="DD412" s="6"/>
      <c r="DE412" s="6"/>
      <c r="DF412" s="6"/>
      <c r="DG412" s="6"/>
      <c r="DH412" s="6"/>
      <c r="DI412" s="6"/>
      <c r="DJ412" s="84"/>
      <c r="DK412" s="84"/>
    </row>
    <row r="413" spans="1:115">
      <c r="A413" s="875"/>
      <c r="BI413" s="1577"/>
      <c r="BJ413" s="1577"/>
      <c r="BK413" s="1577"/>
      <c r="BL413" s="1577"/>
      <c r="BM413" s="1577"/>
      <c r="BN413" s="1577"/>
      <c r="BO413" s="1577"/>
      <c r="BP413" s="1577"/>
      <c r="BQ413" s="1577"/>
      <c r="BR413" s="1577"/>
      <c r="BS413" s="1577"/>
      <c r="BT413" s="1577"/>
    </row>
    <row r="414" spans="1:115">
      <c r="A414" s="875"/>
      <c r="BI414" s="1577"/>
      <c r="BJ414" s="1577"/>
      <c r="BK414" s="1577"/>
      <c r="BL414" s="1577"/>
      <c r="BM414" s="1577"/>
      <c r="BN414" s="1577"/>
      <c r="BO414" s="1577"/>
      <c r="BP414" s="1577"/>
      <c r="BQ414" s="1577"/>
      <c r="BR414" s="1577"/>
      <c r="BS414" s="1577"/>
      <c r="BT414" s="1577"/>
    </row>
    <row r="415" spans="1:115">
      <c r="A415" s="875"/>
      <c r="BI415" s="1577"/>
      <c r="BJ415" s="1577"/>
      <c r="BK415" s="1577"/>
      <c r="BL415" s="1577"/>
      <c r="BM415" s="1577"/>
      <c r="BN415" s="1577"/>
      <c r="BO415" s="1577"/>
      <c r="BP415" s="1577"/>
      <c r="BQ415" s="2017"/>
      <c r="BR415" s="2017"/>
      <c r="BS415" s="1577"/>
      <c r="BT415" s="1577"/>
      <c r="CE415" s="1009"/>
      <c r="CF415" s="1009"/>
      <c r="CG415" s="1009"/>
      <c r="CH415" s="1009"/>
      <c r="CI415" s="1009"/>
    </row>
    <row r="416" spans="1:115">
      <c r="A416" s="875"/>
      <c r="BI416" s="1577"/>
      <c r="BJ416" s="1577"/>
      <c r="BK416" s="1577"/>
      <c r="BL416" s="1577"/>
      <c r="BM416" s="1577"/>
      <c r="BN416" s="1577"/>
      <c r="BO416" s="1577"/>
      <c r="BP416" s="1577"/>
      <c r="BQ416" s="2425"/>
      <c r="BR416" s="2425"/>
      <c r="BS416" s="1577"/>
      <c r="BT416" s="1577"/>
      <c r="CE416" s="1156"/>
      <c r="CF416" s="1156"/>
      <c r="CG416" s="1156"/>
      <c r="CH416" s="1156"/>
      <c r="CI416" s="1156"/>
    </row>
    <row r="417" spans="61:72">
      <c r="BI417" s="1577"/>
      <c r="BJ417" s="1577"/>
      <c r="BK417" s="1577"/>
      <c r="BL417" s="1577"/>
      <c r="BM417" s="1577"/>
      <c r="BN417" s="1577"/>
      <c r="BO417" s="1577"/>
      <c r="BP417" s="1577"/>
      <c r="BQ417" s="1577"/>
      <c r="BR417" s="1577"/>
      <c r="BS417" s="1577"/>
      <c r="BT417" s="1577"/>
    </row>
    <row r="418" spans="61:72">
      <c r="BI418" s="1577"/>
      <c r="BJ418" s="1577"/>
      <c r="BK418" s="1577"/>
      <c r="BL418" s="1577"/>
      <c r="BM418" s="1577"/>
      <c r="BN418" s="1577"/>
      <c r="BO418" s="1577"/>
      <c r="BP418" s="1577"/>
      <c r="BQ418" s="1577"/>
      <c r="BR418" s="1577"/>
      <c r="BS418" s="1577"/>
      <c r="BT418" s="1577"/>
    </row>
  </sheetData>
  <mergeCells count="1">
    <mergeCell ref="DA407:DC407"/>
  </mergeCells>
  <phoneticPr fontId="3" type="noConversion"/>
  <pageMargins left="0.75" right="0.75" top="0.37" bottom="0.44" header="0.5" footer="0.5"/>
  <pageSetup scale="15" orientation="portrait" horizontalDpi="1200" verticalDpi="1200"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AD39"/>
  <sheetViews>
    <sheetView showGridLines="0" workbookViewId="0">
      <pane xSplit="1" ySplit="5" topLeftCell="B6" activePane="bottomRight" state="frozen"/>
      <selection activeCell="Z16" sqref="Z16"/>
      <selection pane="topRight" activeCell="Z16" sqref="Z16"/>
      <selection pane="bottomLeft" activeCell="Z16" sqref="Z16"/>
      <selection pane="bottomRight" activeCell="X43" sqref="X43"/>
    </sheetView>
  </sheetViews>
  <sheetFormatPr defaultRowHeight="12.75" outlineLevelCol="1"/>
  <cols>
    <col min="1" max="1" width="20.28515625" customWidth="1"/>
    <col min="2" max="2" width="8" customWidth="1"/>
    <col min="3" max="3" width="9.85546875" customWidth="1"/>
    <col min="4" max="4" width="7.140625" customWidth="1"/>
    <col min="5" max="5" width="9.5703125" customWidth="1"/>
    <col min="6" max="6" width="7.5703125" customWidth="1"/>
    <col min="7" max="7" width="14.7109375" customWidth="1"/>
    <col min="8" max="8" width="12.7109375" customWidth="1"/>
    <col min="9" max="14" width="10.28515625" hidden="1" customWidth="1" outlineLevel="1"/>
    <col min="15" max="15" width="9.140625" hidden="1" customWidth="1" outlineLevel="1"/>
    <col min="16" max="16" width="9.140625" customWidth="1" collapsed="1"/>
  </cols>
  <sheetData>
    <row r="1" spans="1:23">
      <c r="A1" s="689" t="s">
        <v>104</v>
      </c>
      <c r="B1" s="689"/>
      <c r="C1" s="689"/>
      <c r="D1" s="689"/>
      <c r="E1" s="6"/>
      <c r="F1" s="6"/>
      <c r="G1" s="6"/>
      <c r="H1" s="6"/>
      <c r="I1" s="11"/>
      <c r="J1" s="11"/>
      <c r="K1" s="11"/>
      <c r="L1" s="11"/>
      <c r="M1" s="11"/>
      <c r="N1" s="11"/>
      <c r="O1" s="6"/>
      <c r="P1" s="6"/>
      <c r="Q1" s="6"/>
    </row>
    <row r="2" spans="1:23">
      <c r="A2" s="299"/>
      <c r="B2" s="637"/>
      <c r="C2" s="637"/>
      <c r="D2" s="637"/>
      <c r="E2" s="6"/>
      <c r="F2" s="6"/>
      <c r="G2" s="6"/>
      <c r="H2" s="6"/>
      <c r="I2" s="11"/>
      <c r="J2" s="11"/>
      <c r="K2" s="11"/>
      <c r="L2" s="11"/>
      <c r="M2" s="11"/>
      <c r="N2" s="11"/>
      <c r="O2" s="6"/>
      <c r="P2" s="6"/>
      <c r="Q2" s="6"/>
    </row>
    <row r="3" spans="1:23">
      <c r="A3" s="6"/>
      <c r="B3" s="342"/>
      <c r="C3" s="342"/>
      <c r="D3" s="342"/>
      <c r="E3" s="6"/>
      <c r="F3" s="6"/>
      <c r="G3" s="342" t="s">
        <v>105</v>
      </c>
      <c r="H3" s="6"/>
      <c r="I3" s="11"/>
      <c r="J3" s="11"/>
      <c r="K3" s="11"/>
      <c r="L3" s="11"/>
      <c r="M3" s="11"/>
      <c r="N3" s="11"/>
      <c r="O3" s="11"/>
      <c r="P3" s="69"/>
      <c r="Q3" s="69"/>
      <c r="R3" s="1101"/>
      <c r="S3" s="1101"/>
      <c r="T3" s="1101"/>
      <c r="U3" s="1101"/>
      <c r="V3" s="1101"/>
      <c r="W3" s="1101"/>
    </row>
    <row r="4" spans="1:23">
      <c r="A4" s="6"/>
      <c r="B4" s="342" t="s">
        <v>106</v>
      </c>
      <c r="C4" s="342" t="s">
        <v>107</v>
      </c>
      <c r="D4" s="342" t="s">
        <v>108</v>
      </c>
      <c r="E4" s="6"/>
      <c r="F4" s="342"/>
      <c r="G4" s="342" t="s">
        <v>109</v>
      </c>
      <c r="H4" s="6"/>
      <c r="I4" s="385" t="s">
        <v>110</v>
      </c>
      <c r="J4" s="385"/>
      <c r="K4" s="385"/>
      <c r="L4" s="385"/>
      <c r="M4" s="385"/>
      <c r="N4" s="385"/>
      <c r="O4" s="385"/>
      <c r="P4" s="92" t="s">
        <v>110</v>
      </c>
      <c r="Q4" s="92"/>
      <c r="R4" s="92"/>
      <c r="S4" s="92"/>
      <c r="T4" s="92"/>
      <c r="U4" s="92"/>
      <c r="V4" s="92"/>
      <c r="W4" s="92"/>
    </row>
    <row r="5" spans="1:23">
      <c r="A5" s="2" t="s">
        <v>1431</v>
      </c>
      <c r="B5" s="2" t="s">
        <v>111</v>
      </c>
      <c r="C5" s="2" t="s">
        <v>112</v>
      </c>
      <c r="D5" s="2" t="s">
        <v>113</v>
      </c>
      <c r="E5" s="2" t="s">
        <v>1433</v>
      </c>
      <c r="F5" s="690" t="s">
        <v>114</v>
      </c>
      <c r="G5" s="691" t="s">
        <v>115</v>
      </c>
      <c r="H5" s="343"/>
      <c r="I5" s="388" t="s">
        <v>1435</v>
      </c>
      <c r="J5" s="388" t="s">
        <v>1436</v>
      </c>
      <c r="K5" s="388" t="s">
        <v>1437</v>
      </c>
      <c r="L5" s="388" t="s">
        <v>1438</v>
      </c>
      <c r="M5" s="388" t="s">
        <v>1439</v>
      </c>
      <c r="N5" s="388" t="s">
        <v>116</v>
      </c>
      <c r="O5" s="388" t="s">
        <v>196</v>
      </c>
      <c r="P5" s="388" t="s">
        <v>608</v>
      </c>
      <c r="Q5" s="388" t="s">
        <v>923</v>
      </c>
      <c r="R5" s="274" t="s">
        <v>360</v>
      </c>
      <c r="S5" s="274" t="s">
        <v>1153</v>
      </c>
      <c r="T5" s="274" t="s">
        <v>255</v>
      </c>
      <c r="U5" s="274" t="s">
        <v>840</v>
      </c>
      <c r="V5" s="274" t="s">
        <v>473</v>
      </c>
      <c r="W5" s="274" t="s">
        <v>350</v>
      </c>
    </row>
    <row r="6" spans="1:23" ht="18" customHeight="1">
      <c r="A6" s="699" t="s">
        <v>117</v>
      </c>
      <c r="B6" s="6"/>
      <c r="C6" s="692"/>
      <c r="D6" s="692"/>
      <c r="E6" s="11"/>
      <c r="F6" s="11"/>
      <c r="G6" s="11"/>
      <c r="H6" s="6"/>
      <c r="I6" s="11"/>
      <c r="J6" s="11"/>
      <c r="K6" s="11"/>
      <c r="L6" s="11"/>
      <c r="M6" s="11"/>
      <c r="N6" s="11"/>
      <c r="O6" s="11"/>
      <c r="P6" s="11"/>
      <c r="Q6" s="6"/>
    </row>
    <row r="7" spans="1:23">
      <c r="A7" s="11" t="s">
        <v>178</v>
      </c>
      <c r="B7" s="693" t="s">
        <v>616</v>
      </c>
      <c r="C7" s="343" t="s">
        <v>121</v>
      </c>
      <c r="D7" s="693">
        <v>2</v>
      </c>
      <c r="E7" s="11" t="s">
        <v>122</v>
      </c>
      <c r="F7" s="11">
        <v>101</v>
      </c>
      <c r="G7" s="705">
        <v>250</v>
      </c>
      <c r="H7" s="6"/>
      <c r="I7" s="95">
        <v>0</v>
      </c>
      <c r="J7" s="95">
        <v>0</v>
      </c>
      <c r="K7" s="95">
        <v>0</v>
      </c>
      <c r="L7" s="95">
        <v>0</v>
      </c>
      <c r="M7" s="95">
        <v>0</v>
      </c>
      <c r="N7" s="95">
        <v>0</v>
      </c>
      <c r="O7" s="95">
        <f>$F7*$G7</f>
        <v>25250</v>
      </c>
      <c r="P7" s="95">
        <f t="shared" ref="O7:P9" si="0">O7*1.06</f>
        <v>26765</v>
      </c>
      <c r="Q7" s="95">
        <f t="shared" ref="Q7:R9" si="1">P7*1.03</f>
        <v>27567.95</v>
      </c>
      <c r="R7" s="95">
        <f t="shared" si="1"/>
        <v>28394.988500000003</v>
      </c>
      <c r="S7" s="95">
        <f t="shared" ref="S7:T9" si="2">R7*1.03</f>
        <v>29246.838155000005</v>
      </c>
      <c r="T7" s="95">
        <f t="shared" si="2"/>
        <v>30124.243299650007</v>
      </c>
      <c r="U7" s="95">
        <f>T7*1.03</f>
        <v>31027.970598639509</v>
      </c>
      <c r="V7" s="95">
        <f>U7*1.025</f>
        <v>31803.669863605493</v>
      </c>
      <c r="W7" s="95">
        <f>V7*1.02</f>
        <v>32439.743260877603</v>
      </c>
    </row>
    <row r="8" spans="1:23">
      <c r="A8" s="11" t="s">
        <v>118</v>
      </c>
      <c r="B8" s="693" t="s">
        <v>120</v>
      </c>
      <c r="C8" s="343" t="s">
        <v>121</v>
      </c>
      <c r="D8" s="693">
        <v>6</v>
      </c>
      <c r="E8" s="11" t="s">
        <v>122</v>
      </c>
      <c r="F8" s="11">
        <v>200</v>
      </c>
      <c r="G8" s="694">
        <v>1000</v>
      </c>
      <c r="H8" s="6"/>
      <c r="I8" s="95">
        <v>0</v>
      </c>
      <c r="J8" s="95">
        <v>35000</v>
      </c>
      <c r="K8" s="95">
        <f t="shared" ref="K8:K14" si="3">$F8*$G8</f>
        <v>200000</v>
      </c>
      <c r="L8" s="95">
        <f t="shared" ref="L8:N17" si="4">K8*1.06</f>
        <v>212000</v>
      </c>
      <c r="M8" s="95">
        <f t="shared" si="4"/>
        <v>224720</v>
      </c>
      <c r="N8" s="95">
        <f t="shared" si="4"/>
        <v>238203.2</v>
      </c>
      <c r="O8" s="95">
        <f t="shared" si="0"/>
        <v>252495.39200000002</v>
      </c>
      <c r="P8" s="95">
        <f t="shared" si="0"/>
        <v>267645.11552000005</v>
      </c>
      <c r="Q8" s="95">
        <f t="shared" si="1"/>
        <v>275674.46898560005</v>
      </c>
      <c r="R8" s="95">
        <f t="shared" si="1"/>
        <v>283944.70305516804</v>
      </c>
      <c r="S8" s="95">
        <f t="shared" si="2"/>
        <v>292463.04414682306</v>
      </c>
      <c r="T8" s="95">
        <f t="shared" si="2"/>
        <v>301236.93547122774</v>
      </c>
      <c r="U8" s="95">
        <f>T8*1.03</f>
        <v>310274.04353536456</v>
      </c>
      <c r="V8" s="95">
        <f>U8*1.025</f>
        <v>318030.89462374867</v>
      </c>
      <c r="W8" s="95">
        <f>V8*1.02</f>
        <v>324391.51251622365</v>
      </c>
    </row>
    <row r="9" spans="1:23">
      <c r="A9" s="11" t="s">
        <v>123</v>
      </c>
      <c r="B9" s="693" t="s">
        <v>124</v>
      </c>
      <c r="C9" s="343" t="s">
        <v>121</v>
      </c>
      <c r="D9" s="693">
        <v>27</v>
      </c>
      <c r="E9" s="11" t="s">
        <v>122</v>
      </c>
      <c r="F9" s="11">
        <v>250</v>
      </c>
      <c r="G9" s="694">
        <v>600</v>
      </c>
      <c r="H9" s="6"/>
      <c r="I9" s="95">
        <f>J9/1.06</f>
        <v>133499.466002136</v>
      </c>
      <c r="J9" s="95">
        <f>K9/1.06</f>
        <v>141509.43396226416</v>
      </c>
      <c r="K9" s="95">
        <f t="shared" si="3"/>
        <v>150000</v>
      </c>
      <c r="L9" s="95">
        <f t="shared" si="4"/>
        <v>159000</v>
      </c>
      <c r="M9" s="95">
        <f t="shared" si="4"/>
        <v>168540</v>
      </c>
      <c r="N9" s="95">
        <f t="shared" si="4"/>
        <v>178652.40000000002</v>
      </c>
      <c r="O9" s="95">
        <f t="shared" si="0"/>
        <v>189371.54400000002</v>
      </c>
      <c r="P9" s="95">
        <f t="shared" si="0"/>
        <v>200733.83664000002</v>
      </c>
      <c r="Q9" s="95">
        <f t="shared" si="1"/>
        <v>206755.85173920004</v>
      </c>
      <c r="R9" s="95">
        <f t="shared" si="1"/>
        <v>212958.52729137606</v>
      </c>
      <c r="S9" s="95">
        <f t="shared" si="2"/>
        <v>219347.28311011734</v>
      </c>
      <c r="T9" s="95">
        <f t="shared" si="2"/>
        <v>225927.70160342086</v>
      </c>
      <c r="U9" s="95">
        <f>T9*1.03</f>
        <v>232705.53265152351</v>
      </c>
      <c r="V9" s="95">
        <f>U9*1.025</f>
        <v>238523.17096781157</v>
      </c>
      <c r="W9" s="95">
        <f>V9*1.02</f>
        <v>243293.63438716781</v>
      </c>
    </row>
    <row r="10" spans="1:23">
      <c r="A10" s="11" t="s">
        <v>903</v>
      </c>
      <c r="B10" s="695" t="s">
        <v>905</v>
      </c>
      <c r="C10" s="343" t="s">
        <v>121</v>
      </c>
      <c r="D10" s="693">
        <v>1</v>
      </c>
      <c r="E10" s="11" t="s">
        <v>122</v>
      </c>
      <c r="F10" s="11">
        <v>100</v>
      </c>
      <c r="G10" s="705">
        <v>100</v>
      </c>
      <c r="H10" s="6"/>
      <c r="I10" s="95"/>
      <c r="J10" s="95"/>
      <c r="K10" s="95"/>
      <c r="L10" s="95"/>
      <c r="M10" s="95"/>
      <c r="N10" s="95"/>
      <c r="O10" s="95"/>
      <c r="P10" s="95"/>
      <c r="Q10" s="95">
        <f t="shared" ref="Q10:W10" si="5">F10*G10</f>
        <v>10000</v>
      </c>
      <c r="R10" s="95">
        <f t="shared" si="5"/>
        <v>0</v>
      </c>
      <c r="S10" s="95">
        <f t="shared" si="5"/>
        <v>0</v>
      </c>
      <c r="T10" s="95">
        <f t="shared" si="5"/>
        <v>0</v>
      </c>
      <c r="U10" s="95">
        <f t="shared" si="5"/>
        <v>0</v>
      </c>
      <c r="V10" s="95">
        <f t="shared" si="5"/>
        <v>0</v>
      </c>
      <c r="W10" s="95">
        <f t="shared" si="5"/>
        <v>0</v>
      </c>
    </row>
    <row r="11" spans="1:23">
      <c r="A11" s="11" t="s">
        <v>125</v>
      </c>
      <c r="B11" s="693" t="s">
        <v>126</v>
      </c>
      <c r="C11" s="693" t="s">
        <v>127</v>
      </c>
      <c r="D11" s="693">
        <v>3</v>
      </c>
      <c r="E11" s="11" t="s">
        <v>122</v>
      </c>
      <c r="F11" s="11">
        <v>250</v>
      </c>
      <c r="G11" s="694">
        <v>70</v>
      </c>
      <c r="H11" s="6"/>
      <c r="I11" s="95">
        <f>J11/1.06</f>
        <v>15574.937700249196</v>
      </c>
      <c r="J11" s="95">
        <f>K11/1.06</f>
        <v>16509.433962264149</v>
      </c>
      <c r="K11" s="95">
        <f t="shared" si="3"/>
        <v>17500</v>
      </c>
      <c r="L11" s="95">
        <v>0</v>
      </c>
      <c r="M11" s="95">
        <v>0</v>
      </c>
      <c r="N11" s="95">
        <v>0</v>
      </c>
      <c r="O11" s="95">
        <v>0</v>
      </c>
      <c r="P11" s="95">
        <v>0</v>
      </c>
      <c r="Q11" s="95">
        <v>0</v>
      </c>
      <c r="R11" s="95">
        <v>0</v>
      </c>
      <c r="S11" s="95">
        <v>0</v>
      </c>
      <c r="T11" s="95">
        <v>0</v>
      </c>
      <c r="U11" s="95">
        <v>0</v>
      </c>
      <c r="V11" s="95">
        <v>0</v>
      </c>
      <c r="W11" s="95">
        <v>0</v>
      </c>
    </row>
    <row r="12" spans="1:23">
      <c r="A12" s="11" t="s">
        <v>131</v>
      </c>
      <c r="B12" s="693" t="s">
        <v>132</v>
      </c>
      <c r="C12" s="343" t="s">
        <v>121</v>
      </c>
      <c r="D12" s="693">
        <v>10</v>
      </c>
      <c r="E12" s="11" t="s">
        <v>122</v>
      </c>
      <c r="F12" s="11">
        <v>140</v>
      </c>
      <c r="G12" s="694">
        <v>100</v>
      </c>
      <c r="H12" s="6"/>
      <c r="I12" s="95">
        <f t="shared" ref="I12:J16" si="6">J12/1.06</f>
        <v>12459.950160199358</v>
      </c>
      <c r="J12" s="95">
        <f t="shared" si="6"/>
        <v>13207.54716981132</v>
      </c>
      <c r="K12" s="95">
        <f t="shared" si="3"/>
        <v>14000</v>
      </c>
      <c r="L12" s="95">
        <f t="shared" si="4"/>
        <v>14840</v>
      </c>
      <c r="M12" s="95">
        <f t="shared" si="4"/>
        <v>15730.400000000001</v>
      </c>
      <c r="N12" s="95">
        <f t="shared" si="4"/>
        <v>16674.224000000002</v>
      </c>
      <c r="O12" s="95">
        <f t="shared" ref="O12:P17" si="7">N12*1.06</f>
        <v>17674.677440000003</v>
      </c>
      <c r="P12" s="95">
        <f t="shared" si="7"/>
        <v>18735.158086400003</v>
      </c>
      <c r="Q12" s="95">
        <f t="shared" ref="Q12:R15" si="8">P12*1.03</f>
        <v>19297.212828992004</v>
      </c>
      <c r="R12" s="95">
        <f t="shared" si="8"/>
        <v>19876.129213861765</v>
      </c>
      <c r="S12" s="95">
        <f t="shared" ref="S12:T15" si="9">R12*1.03</f>
        <v>20472.41309027762</v>
      </c>
      <c r="T12" s="95">
        <f t="shared" si="9"/>
        <v>21086.585482985949</v>
      </c>
      <c r="U12" s="95">
        <f>T12*1.03</f>
        <v>21719.18304747553</v>
      </c>
      <c r="V12" s="95">
        <f>U12*1.025</f>
        <v>22262.162623662414</v>
      </c>
      <c r="W12" s="95">
        <f>V12*1.02</f>
        <v>22707.405876135665</v>
      </c>
    </row>
    <row r="13" spans="1:23">
      <c r="A13" s="11" t="s">
        <v>133</v>
      </c>
      <c r="B13" s="693" t="s">
        <v>134</v>
      </c>
      <c r="C13" s="343" t="s">
        <v>121</v>
      </c>
      <c r="D13" s="693">
        <v>12</v>
      </c>
      <c r="E13" s="11" t="s">
        <v>122</v>
      </c>
      <c r="F13" s="11">
        <v>140</v>
      </c>
      <c r="G13" s="694">
        <v>300</v>
      </c>
      <c r="H13" s="6"/>
      <c r="I13" s="95">
        <f t="shared" si="6"/>
        <v>37379.850480598077</v>
      </c>
      <c r="J13" s="95">
        <f t="shared" si="6"/>
        <v>39622.641509433961</v>
      </c>
      <c r="K13" s="95">
        <f t="shared" si="3"/>
        <v>42000</v>
      </c>
      <c r="L13" s="95">
        <f t="shared" si="4"/>
        <v>44520</v>
      </c>
      <c r="M13" s="95">
        <f t="shared" si="4"/>
        <v>47191.200000000004</v>
      </c>
      <c r="N13" s="95">
        <f t="shared" si="4"/>
        <v>50022.672000000006</v>
      </c>
      <c r="O13" s="95">
        <f t="shared" si="7"/>
        <v>53024.032320000006</v>
      </c>
      <c r="P13" s="95">
        <f t="shared" si="7"/>
        <v>56205.474259200011</v>
      </c>
      <c r="Q13" s="95">
        <f t="shared" si="8"/>
        <v>57891.638486976015</v>
      </c>
      <c r="R13" s="95">
        <f t="shared" si="8"/>
        <v>59628.387641585294</v>
      </c>
      <c r="S13" s="95">
        <f t="shared" si="9"/>
        <v>61417.239270832855</v>
      </c>
      <c r="T13" s="95">
        <f t="shared" si="9"/>
        <v>63259.756448957844</v>
      </c>
      <c r="U13" s="95">
        <f>T13*1.03</f>
        <v>65157.549142426578</v>
      </c>
      <c r="V13" s="95">
        <f>U13*1.025</f>
        <v>66786.487870987243</v>
      </c>
      <c r="W13" s="95">
        <f>V13*1.02</f>
        <v>68122.217628406986</v>
      </c>
    </row>
    <row r="14" spans="1:23">
      <c r="A14" s="11" t="s">
        <v>135</v>
      </c>
      <c r="B14" s="693" t="s">
        <v>126</v>
      </c>
      <c r="C14" s="343" t="s">
        <v>121</v>
      </c>
      <c r="D14" s="693">
        <v>7</v>
      </c>
      <c r="E14" s="11" t="s">
        <v>122</v>
      </c>
      <c r="F14" s="11">
        <v>250</v>
      </c>
      <c r="G14" s="694">
        <v>70</v>
      </c>
      <c r="H14" s="6"/>
      <c r="I14" s="95">
        <f t="shared" si="6"/>
        <v>15574.937700249196</v>
      </c>
      <c r="J14" s="95">
        <f t="shared" si="6"/>
        <v>16509.433962264149</v>
      </c>
      <c r="K14" s="95">
        <f t="shared" si="3"/>
        <v>17500</v>
      </c>
      <c r="L14" s="95">
        <f t="shared" si="4"/>
        <v>18550</v>
      </c>
      <c r="M14" s="95">
        <f t="shared" si="4"/>
        <v>19663</v>
      </c>
      <c r="N14" s="95">
        <f t="shared" si="4"/>
        <v>20842.780000000002</v>
      </c>
      <c r="O14" s="95">
        <f t="shared" si="7"/>
        <v>22093.346800000003</v>
      </c>
      <c r="P14" s="95">
        <f t="shared" si="7"/>
        <v>23418.947608000006</v>
      </c>
      <c r="Q14" s="95">
        <f t="shared" si="8"/>
        <v>24121.516036240006</v>
      </c>
      <c r="R14" s="95">
        <f t="shared" si="8"/>
        <v>24845.161517327208</v>
      </c>
      <c r="S14" s="95">
        <f t="shared" si="9"/>
        <v>25590.516362847025</v>
      </c>
      <c r="T14" s="95">
        <f t="shared" si="9"/>
        <v>26358.231853732435</v>
      </c>
      <c r="U14" s="95">
        <f>T14*1.03</f>
        <v>27148.978809344408</v>
      </c>
      <c r="V14" s="95">
        <f>U14*1.025</f>
        <v>27827.703279578014</v>
      </c>
      <c r="W14" s="95">
        <f>V14*1.02</f>
        <v>28384.257345169575</v>
      </c>
    </row>
    <row r="15" spans="1:23">
      <c r="A15" s="11" t="s">
        <v>137</v>
      </c>
      <c r="B15" s="695" t="s">
        <v>138</v>
      </c>
      <c r="C15" s="343" t="s">
        <v>121</v>
      </c>
      <c r="D15" s="695">
        <v>4</v>
      </c>
      <c r="E15" s="11" t="s">
        <v>122</v>
      </c>
      <c r="F15" s="103" t="s">
        <v>737</v>
      </c>
      <c r="G15" s="694" t="s">
        <v>737</v>
      </c>
      <c r="H15" s="6"/>
      <c r="I15" s="95">
        <v>0</v>
      </c>
      <c r="J15" s="95">
        <v>0</v>
      </c>
      <c r="K15" s="95">
        <v>0</v>
      </c>
      <c r="L15" s="95">
        <v>10000</v>
      </c>
      <c r="M15" s="95">
        <f t="shared" si="4"/>
        <v>10600</v>
      </c>
      <c r="N15" s="95">
        <f t="shared" si="4"/>
        <v>11236</v>
      </c>
      <c r="O15" s="95">
        <f t="shared" si="7"/>
        <v>11910.16</v>
      </c>
      <c r="P15" s="95">
        <f t="shared" si="7"/>
        <v>12624.7696</v>
      </c>
      <c r="Q15" s="95">
        <f t="shared" si="8"/>
        <v>13003.512688000001</v>
      </c>
      <c r="R15" s="95">
        <f t="shared" si="8"/>
        <v>13393.61806864</v>
      </c>
      <c r="S15" s="95">
        <f t="shared" si="9"/>
        <v>13795.4266106992</v>
      </c>
      <c r="T15" s="95">
        <f t="shared" si="9"/>
        <v>14209.289409020177</v>
      </c>
      <c r="U15" s="95">
        <f>T15*1.03</f>
        <v>14635.568091290783</v>
      </c>
      <c r="V15" s="95">
        <f>U15*1.025</f>
        <v>15001.45729357305</v>
      </c>
      <c r="W15" s="95">
        <f>V15*1.02</f>
        <v>15301.486439444512</v>
      </c>
    </row>
    <row r="16" spans="1:23">
      <c r="A16" s="11" t="s">
        <v>140</v>
      </c>
      <c r="B16" s="695" t="s">
        <v>141</v>
      </c>
      <c r="C16" s="693" t="s">
        <v>606</v>
      </c>
      <c r="D16" s="341">
        <v>17</v>
      </c>
      <c r="E16" s="11" t="s">
        <v>122</v>
      </c>
      <c r="F16" s="103" t="s">
        <v>737</v>
      </c>
      <c r="G16" s="694" t="s">
        <v>737</v>
      </c>
      <c r="H16" s="6"/>
      <c r="I16" s="95">
        <f t="shared" si="6"/>
        <v>13349.946600213598</v>
      </c>
      <c r="J16" s="95">
        <f t="shared" si="6"/>
        <v>14150.943396226414</v>
      </c>
      <c r="K16" s="95">
        <v>15000</v>
      </c>
      <c r="L16" s="95">
        <f t="shared" si="4"/>
        <v>15900</v>
      </c>
      <c r="M16" s="95">
        <f t="shared" si="4"/>
        <v>16854</v>
      </c>
      <c r="N16" s="95">
        <f t="shared" si="4"/>
        <v>17865.240000000002</v>
      </c>
      <c r="O16" s="95">
        <f t="shared" si="7"/>
        <v>18937.154400000003</v>
      </c>
      <c r="P16" s="95">
        <v>0</v>
      </c>
      <c r="Q16" s="95">
        <v>0</v>
      </c>
      <c r="R16" s="95">
        <v>0</v>
      </c>
      <c r="S16" s="95">
        <v>0</v>
      </c>
      <c r="T16" s="95">
        <v>0</v>
      </c>
      <c r="U16" s="95">
        <v>0</v>
      </c>
      <c r="V16" s="95">
        <v>0</v>
      </c>
      <c r="W16" s="95">
        <v>0</v>
      </c>
    </row>
    <row r="17" spans="1:23">
      <c r="A17" s="19" t="s">
        <v>142</v>
      </c>
      <c r="B17" s="346" t="s">
        <v>127</v>
      </c>
      <c r="C17" s="345" t="s">
        <v>121</v>
      </c>
      <c r="D17" s="345">
        <v>5</v>
      </c>
      <c r="E17" s="19" t="s">
        <v>122</v>
      </c>
      <c r="F17" s="344" t="s">
        <v>737</v>
      </c>
      <c r="G17" s="697" t="s">
        <v>737</v>
      </c>
      <c r="H17" s="20"/>
      <c r="I17" s="348">
        <v>0</v>
      </c>
      <c r="J17" s="348">
        <v>0</v>
      </c>
      <c r="K17" s="348">
        <v>10000</v>
      </c>
      <c r="L17" s="348">
        <f t="shared" si="4"/>
        <v>10600</v>
      </c>
      <c r="M17" s="348">
        <f t="shared" si="4"/>
        <v>11236</v>
      </c>
      <c r="N17" s="348">
        <f t="shared" si="4"/>
        <v>11910.16</v>
      </c>
      <c r="O17" s="348">
        <f t="shared" si="7"/>
        <v>12624.7696</v>
      </c>
      <c r="P17" s="348">
        <f t="shared" si="7"/>
        <v>13382.255776</v>
      </c>
      <c r="Q17" s="348">
        <f>P17*1.03</f>
        <v>13783.72344928</v>
      </c>
      <c r="R17" s="348">
        <f>Q17*1.03</f>
        <v>14197.2351527584</v>
      </c>
      <c r="S17" s="348">
        <f>R17*1.03</f>
        <v>14623.152207341152</v>
      </c>
      <c r="T17" s="348">
        <f>S17*1.03</f>
        <v>15061.846773561387</v>
      </c>
      <c r="U17" s="348">
        <f>T17*1.03</f>
        <v>15513.702176768229</v>
      </c>
      <c r="V17" s="348">
        <f>U17*1.025</f>
        <v>15901.544731187434</v>
      </c>
      <c r="W17" s="348">
        <f>V17*1.02</f>
        <v>16219.575625811183</v>
      </c>
    </row>
    <row r="18" spans="1:23">
      <c r="A18" s="6" t="s">
        <v>143</v>
      </c>
      <c r="B18" s="6"/>
      <c r="C18" s="6"/>
      <c r="D18" s="6"/>
      <c r="E18" s="341"/>
      <c r="F18" s="698"/>
      <c r="G18" s="637"/>
      <c r="H18" s="6"/>
      <c r="I18" s="95">
        <f t="shared" ref="I18:N18" si="10">SUM(I8:I17)</f>
        <v>227839.08864364543</v>
      </c>
      <c r="J18" s="95">
        <f t="shared" si="10"/>
        <v>276509.43396226416</v>
      </c>
      <c r="K18" s="95">
        <f t="shared" si="10"/>
        <v>466000</v>
      </c>
      <c r="L18" s="95">
        <f t="shared" si="10"/>
        <v>485410</v>
      </c>
      <c r="M18" s="95">
        <f t="shared" si="10"/>
        <v>514534.60000000003</v>
      </c>
      <c r="N18" s="95">
        <f t="shared" si="10"/>
        <v>545406.67600000009</v>
      </c>
      <c r="O18" s="95">
        <f t="shared" ref="O18:W18" si="11">SUM(O7:O17)</f>
        <v>603381.07656000007</v>
      </c>
      <c r="P18" s="95">
        <f t="shared" si="11"/>
        <v>619510.55748960015</v>
      </c>
      <c r="Q18" s="95">
        <f t="shared" si="11"/>
        <v>648095.8742142882</v>
      </c>
      <c r="R18" s="95">
        <f t="shared" si="11"/>
        <v>657238.75044071674</v>
      </c>
      <c r="S18" s="95">
        <f t="shared" si="11"/>
        <v>676955.91295393824</v>
      </c>
      <c r="T18" s="95">
        <f t="shared" si="11"/>
        <v>697264.59034255659</v>
      </c>
      <c r="U18" s="95">
        <f t="shared" si="11"/>
        <v>718182.52805283305</v>
      </c>
      <c r="V18" s="95">
        <f>SUM(V7:V17)</f>
        <v>736137.09125415387</v>
      </c>
      <c r="W18" s="95">
        <f t="shared" si="11"/>
        <v>750859.83307923703</v>
      </c>
    </row>
    <row r="19" spans="1:23">
      <c r="A19" s="36"/>
      <c r="B19" s="330"/>
      <c r="C19" s="330"/>
      <c r="D19" s="330"/>
      <c r="E19" s="9"/>
      <c r="F19" s="9"/>
      <c r="G19" s="36"/>
      <c r="H19" s="6"/>
      <c r="I19" s="11"/>
      <c r="J19" s="11"/>
      <c r="K19" s="11"/>
      <c r="L19" s="11"/>
      <c r="M19" s="11"/>
      <c r="N19" s="11"/>
      <c r="O19" s="11"/>
      <c r="P19" s="11"/>
      <c r="Q19" s="11"/>
    </row>
    <row r="20" spans="1:23">
      <c r="A20" s="699" t="s">
        <v>144</v>
      </c>
      <c r="B20" s="6"/>
      <c r="C20" s="699"/>
      <c r="D20" s="699"/>
      <c r="E20" s="11"/>
      <c r="F20" s="11"/>
      <c r="G20" s="6"/>
      <c r="H20" s="6"/>
      <c r="I20" s="11"/>
      <c r="J20" s="11"/>
      <c r="K20" s="11"/>
      <c r="L20" s="11"/>
      <c r="M20" s="11"/>
      <c r="N20" s="11"/>
      <c r="O20" s="11"/>
      <c r="P20" s="11"/>
      <c r="Q20" s="11"/>
    </row>
    <row r="21" spans="1:23">
      <c r="A21" s="11" t="s">
        <v>145</v>
      </c>
      <c r="B21" s="695" t="s">
        <v>132</v>
      </c>
      <c r="C21" s="695" t="s">
        <v>127</v>
      </c>
      <c r="D21" s="695">
        <v>6</v>
      </c>
      <c r="E21" s="11" t="s">
        <v>122</v>
      </c>
      <c r="F21" s="11">
        <v>140</v>
      </c>
      <c r="G21" s="694">
        <v>240</v>
      </c>
      <c r="H21" s="6"/>
      <c r="I21" s="95">
        <f t="shared" ref="I21:J29" si="12">J21/1.06</f>
        <v>29903.88038447846</v>
      </c>
      <c r="J21" s="95">
        <f t="shared" si="12"/>
        <v>31698.113207547169</v>
      </c>
      <c r="K21" s="95">
        <f>$F21*$G21</f>
        <v>33600</v>
      </c>
      <c r="L21" s="95">
        <f>$F21*$G21</f>
        <v>33600</v>
      </c>
      <c r="M21" s="95"/>
      <c r="N21" s="95"/>
      <c r="O21" s="95"/>
      <c r="P21" s="95"/>
      <c r="Q21" s="95"/>
      <c r="R21" s="95"/>
      <c r="S21" s="95"/>
      <c r="T21" s="95"/>
      <c r="U21" s="95"/>
      <c r="V21" s="95"/>
      <c r="W21" s="95"/>
    </row>
    <row r="22" spans="1:23">
      <c r="A22" s="11" t="s">
        <v>904</v>
      </c>
      <c r="B22" s="695" t="s">
        <v>905</v>
      </c>
      <c r="C22" s="343" t="s">
        <v>121</v>
      </c>
      <c r="D22" s="695">
        <v>1</v>
      </c>
      <c r="E22" s="11" t="s">
        <v>122</v>
      </c>
      <c r="F22" s="11">
        <v>140</v>
      </c>
      <c r="G22" s="705">
        <v>300</v>
      </c>
      <c r="H22" s="6"/>
      <c r="I22" s="95"/>
      <c r="J22" s="95"/>
      <c r="K22" s="95"/>
      <c r="L22" s="95"/>
      <c r="M22" s="95"/>
      <c r="N22" s="95"/>
      <c r="O22" s="95"/>
      <c r="P22" s="95"/>
      <c r="Q22" s="95">
        <f>F22*G22</f>
        <v>42000</v>
      </c>
      <c r="R22" s="95">
        <f>Q22*1.05</f>
        <v>44100</v>
      </c>
      <c r="S22" s="95">
        <f>R22*1.05</f>
        <v>46305</v>
      </c>
      <c r="T22" s="95">
        <f>S22*1.05</f>
        <v>48620.25</v>
      </c>
      <c r="U22" s="95">
        <f>T22*1.04</f>
        <v>50565.060000000005</v>
      </c>
      <c r="V22" s="95">
        <f>U22*1.03</f>
        <v>52082.011800000007</v>
      </c>
      <c r="W22" s="95">
        <f>V22*1.02</f>
        <v>53123.652036000007</v>
      </c>
    </row>
    <row r="23" spans="1:23">
      <c r="A23" s="69" t="s">
        <v>166</v>
      </c>
      <c r="B23" s="700" t="s">
        <v>167</v>
      </c>
      <c r="C23" s="343" t="s">
        <v>121</v>
      </c>
      <c r="D23" s="700">
        <v>34</v>
      </c>
      <c r="E23" s="11" t="s">
        <v>122</v>
      </c>
      <c r="F23" s="11">
        <v>250</v>
      </c>
      <c r="G23" s="694">
        <v>800</v>
      </c>
      <c r="H23" s="6"/>
      <c r="I23" s="95">
        <f t="shared" si="12"/>
        <v>177999.28800284796</v>
      </c>
      <c r="J23" s="95">
        <f t="shared" si="12"/>
        <v>188679.24528301886</v>
      </c>
      <c r="K23" s="95">
        <f>$F23*$G23</f>
        <v>200000</v>
      </c>
      <c r="L23" s="95">
        <f t="shared" ref="L23:N27" si="13">K23*1.06</f>
        <v>212000</v>
      </c>
      <c r="M23" s="95">
        <f t="shared" si="13"/>
        <v>224720</v>
      </c>
      <c r="N23" s="95">
        <f t="shared" si="13"/>
        <v>238203.2</v>
      </c>
      <c r="O23" s="95">
        <f t="shared" ref="O23:P27" si="14">N23*1.06</f>
        <v>252495.39200000002</v>
      </c>
      <c r="P23" s="95">
        <f t="shared" si="14"/>
        <v>267645.11552000005</v>
      </c>
      <c r="Q23" s="95">
        <f t="shared" ref="Q23:R25" si="15">P23*1.06</f>
        <v>283703.82245120005</v>
      </c>
      <c r="R23" s="95">
        <f t="shared" si="15"/>
        <v>300726.05179827206</v>
      </c>
      <c r="S23" s="95">
        <f t="shared" ref="S23:T25" si="16">R23*1.06</f>
        <v>318769.61490616843</v>
      </c>
      <c r="T23" s="95">
        <f t="shared" si="16"/>
        <v>337895.79180053854</v>
      </c>
      <c r="U23" s="95">
        <f>T23*1.04</f>
        <v>351411.62347256008</v>
      </c>
      <c r="V23" s="95">
        <f>U23*1.03</f>
        <v>361953.97217673692</v>
      </c>
      <c r="W23" s="95">
        <f>V23*1.02</f>
        <v>369193.05162027164</v>
      </c>
    </row>
    <row r="24" spans="1:23">
      <c r="A24" s="11" t="s">
        <v>168</v>
      </c>
      <c r="B24" s="695" t="s">
        <v>169</v>
      </c>
      <c r="C24" s="343" t="s">
        <v>121</v>
      </c>
      <c r="D24" s="695">
        <v>46</v>
      </c>
      <c r="E24" s="11" t="s">
        <v>122</v>
      </c>
      <c r="F24" s="11">
        <v>250</v>
      </c>
      <c r="G24" s="694">
        <v>700</v>
      </c>
      <c r="H24" s="6"/>
      <c r="I24" s="95">
        <f t="shared" si="12"/>
        <v>155749.37700249196</v>
      </c>
      <c r="J24" s="95">
        <f t="shared" si="12"/>
        <v>165094.33962264151</v>
      </c>
      <c r="K24" s="95">
        <f>$F24*$G24</f>
        <v>175000</v>
      </c>
      <c r="L24" s="95">
        <f t="shared" si="13"/>
        <v>185500</v>
      </c>
      <c r="M24" s="95">
        <f t="shared" si="13"/>
        <v>196630</v>
      </c>
      <c r="N24" s="95">
        <f t="shared" si="13"/>
        <v>208427.80000000002</v>
      </c>
      <c r="O24" s="95">
        <f t="shared" si="14"/>
        <v>220933.46800000002</v>
      </c>
      <c r="P24" s="95">
        <f t="shared" si="14"/>
        <v>234189.47608000002</v>
      </c>
      <c r="Q24" s="95">
        <f t="shared" si="15"/>
        <v>248240.84464480003</v>
      </c>
      <c r="R24" s="95">
        <f t="shared" si="15"/>
        <v>263135.29532348807</v>
      </c>
      <c r="S24" s="95">
        <f t="shared" si="16"/>
        <v>278923.41304289736</v>
      </c>
      <c r="T24" s="95">
        <f t="shared" si="16"/>
        <v>295658.81782547123</v>
      </c>
      <c r="U24" s="95">
        <f>T24*1.04</f>
        <v>307485.17053849011</v>
      </c>
      <c r="V24" s="95">
        <f>U24*1.03</f>
        <v>316709.72565464483</v>
      </c>
      <c r="W24" s="95">
        <f>V24*1.02</f>
        <v>323043.92016773776</v>
      </c>
    </row>
    <row r="25" spans="1:23">
      <c r="A25" s="11" t="s">
        <v>170</v>
      </c>
      <c r="B25" s="695" t="s">
        <v>171</v>
      </c>
      <c r="C25" s="343" t="s">
        <v>121</v>
      </c>
      <c r="D25" s="695">
        <v>23</v>
      </c>
      <c r="E25" s="11" t="s">
        <v>122</v>
      </c>
      <c r="F25" s="11">
        <v>140</v>
      </c>
      <c r="G25" s="694">
        <f>2900*0.7</f>
        <v>2029.9999999999998</v>
      </c>
      <c r="H25" s="6"/>
      <c r="I25" s="95">
        <f t="shared" si="12"/>
        <v>252936.98825204693</v>
      </c>
      <c r="J25" s="95">
        <f t="shared" si="12"/>
        <v>268113.20754716976</v>
      </c>
      <c r="K25" s="95">
        <f>$F25*$G25</f>
        <v>284199.99999999994</v>
      </c>
      <c r="L25" s="95">
        <f t="shared" si="13"/>
        <v>301251.99999999994</v>
      </c>
      <c r="M25" s="95">
        <f t="shared" si="13"/>
        <v>319327.11999999994</v>
      </c>
      <c r="N25" s="95">
        <f t="shared" si="13"/>
        <v>338486.74719999993</v>
      </c>
      <c r="O25" s="95">
        <f t="shared" si="14"/>
        <v>358795.95203199994</v>
      </c>
      <c r="P25" s="95">
        <f t="shared" si="14"/>
        <v>380323.70915391995</v>
      </c>
      <c r="Q25" s="95">
        <f t="shared" si="15"/>
        <v>403143.13170315517</v>
      </c>
      <c r="R25" s="95">
        <f t="shared" si="15"/>
        <v>427331.71960534452</v>
      </c>
      <c r="S25" s="95">
        <f t="shared" si="16"/>
        <v>452971.62278166524</v>
      </c>
      <c r="T25" s="95">
        <v>0</v>
      </c>
      <c r="U25" s="95">
        <v>0</v>
      </c>
      <c r="V25" s="95">
        <v>0</v>
      </c>
      <c r="W25" s="95">
        <v>0</v>
      </c>
    </row>
    <row r="26" spans="1:23">
      <c r="A26" s="11" t="s">
        <v>172</v>
      </c>
      <c r="B26" s="695" t="s">
        <v>173</v>
      </c>
      <c r="C26" s="693" t="s">
        <v>616</v>
      </c>
      <c r="D26" s="695">
        <v>10</v>
      </c>
      <c r="E26" s="11" t="s">
        <v>174</v>
      </c>
      <c r="F26" s="103" t="s">
        <v>737</v>
      </c>
      <c r="G26" s="694" t="s">
        <v>737</v>
      </c>
      <c r="H26" s="6"/>
      <c r="I26" s="95">
        <f t="shared" si="12"/>
        <v>8899.9644001423985</v>
      </c>
      <c r="J26" s="95">
        <f t="shared" si="12"/>
        <v>9433.9622641509432</v>
      </c>
      <c r="K26" s="95">
        <v>10000</v>
      </c>
      <c r="L26" s="95">
        <f t="shared" si="13"/>
        <v>10600</v>
      </c>
      <c r="M26" s="95">
        <f t="shared" si="13"/>
        <v>11236</v>
      </c>
      <c r="N26" s="95">
        <f t="shared" si="13"/>
        <v>11910.16</v>
      </c>
      <c r="O26" s="95">
        <v>0</v>
      </c>
      <c r="P26" s="95">
        <v>0</v>
      </c>
      <c r="Q26" s="95">
        <v>0</v>
      </c>
      <c r="R26" s="95">
        <v>0</v>
      </c>
      <c r="S26" s="95">
        <v>0</v>
      </c>
      <c r="T26" s="95">
        <v>0</v>
      </c>
      <c r="U26" s="95">
        <v>0</v>
      </c>
      <c r="V26" s="95">
        <v>0</v>
      </c>
      <c r="W26" s="95">
        <v>0</v>
      </c>
    </row>
    <row r="27" spans="1:23">
      <c r="A27" s="11" t="s">
        <v>175</v>
      </c>
      <c r="B27" s="693" t="s">
        <v>176</v>
      </c>
      <c r="C27" s="343" t="s">
        <v>121</v>
      </c>
      <c r="D27" s="693">
        <v>21</v>
      </c>
      <c r="E27" s="11" t="s">
        <v>122</v>
      </c>
      <c r="F27" s="11">
        <v>250</v>
      </c>
      <c r="G27" s="694">
        <v>125</v>
      </c>
      <c r="H27" s="6"/>
      <c r="I27" s="95">
        <f t="shared" si="12"/>
        <v>27812.388750444996</v>
      </c>
      <c r="J27" s="95">
        <f t="shared" si="12"/>
        <v>29481.132075471698</v>
      </c>
      <c r="K27" s="95">
        <f>$F27*$G27</f>
        <v>31250</v>
      </c>
      <c r="L27" s="95">
        <f t="shared" si="13"/>
        <v>33125</v>
      </c>
      <c r="M27" s="95">
        <f t="shared" si="13"/>
        <v>35112.5</v>
      </c>
      <c r="N27" s="95">
        <f t="shared" si="13"/>
        <v>37219.25</v>
      </c>
      <c r="O27" s="95">
        <f t="shared" si="14"/>
        <v>39452.404999999999</v>
      </c>
      <c r="P27" s="95">
        <f t="shared" si="14"/>
        <v>41819.549299999999</v>
      </c>
      <c r="Q27" s="95">
        <f>P27*1.06</f>
        <v>44328.722258000002</v>
      </c>
      <c r="R27" s="95">
        <f>Q27*1.05</f>
        <v>46545.158370900004</v>
      </c>
      <c r="S27" s="95">
        <f>R27*1.05</f>
        <v>48872.416289445006</v>
      </c>
      <c r="T27" s="95">
        <f>S27*1.05</f>
        <v>51316.037103917261</v>
      </c>
      <c r="U27" s="95">
        <f>T27*1.04</f>
        <v>53368.678588073955</v>
      </c>
      <c r="V27" s="95">
        <f>U27*1.03</f>
        <v>54969.738945716177</v>
      </c>
      <c r="W27" s="95">
        <f>V27*1.02</f>
        <v>56069.133724630505</v>
      </c>
    </row>
    <row r="28" spans="1:23">
      <c r="A28" s="11" t="s">
        <v>177</v>
      </c>
      <c r="B28" s="700" t="s">
        <v>127</v>
      </c>
      <c r="C28" s="700" t="s">
        <v>127</v>
      </c>
      <c r="D28" s="343">
        <v>1</v>
      </c>
      <c r="E28" s="11" t="s">
        <v>122</v>
      </c>
      <c r="F28" s="103" t="s">
        <v>737</v>
      </c>
      <c r="G28" s="694" t="s">
        <v>737</v>
      </c>
      <c r="H28" s="6"/>
      <c r="I28" s="95"/>
      <c r="J28" s="95"/>
      <c r="K28" s="95">
        <v>10000</v>
      </c>
      <c r="L28" s="95"/>
      <c r="M28" s="95"/>
      <c r="N28" s="95"/>
      <c r="O28" s="95"/>
      <c r="P28" s="95"/>
      <c r="Q28" s="95"/>
      <c r="R28" s="95"/>
      <c r="S28" s="95"/>
      <c r="T28" s="95"/>
      <c r="U28" s="95"/>
      <c r="V28" s="95"/>
      <c r="W28" s="95"/>
    </row>
    <row r="29" spans="1:23">
      <c r="A29" s="20" t="s">
        <v>179</v>
      </c>
      <c r="B29" s="346" t="s">
        <v>180</v>
      </c>
      <c r="C29" s="346" t="s">
        <v>127</v>
      </c>
      <c r="D29" s="345">
        <v>11</v>
      </c>
      <c r="E29" s="19" t="s">
        <v>122</v>
      </c>
      <c r="F29" s="344" t="s">
        <v>737</v>
      </c>
      <c r="G29" s="697" t="s">
        <v>737</v>
      </c>
      <c r="H29" s="20"/>
      <c r="I29" s="348">
        <f t="shared" si="12"/>
        <v>8899.9644001423985</v>
      </c>
      <c r="J29" s="348">
        <f t="shared" si="12"/>
        <v>9433.9622641509432</v>
      </c>
      <c r="K29" s="348">
        <v>10000</v>
      </c>
      <c r="L29" s="348"/>
      <c r="M29" s="348"/>
      <c r="N29" s="348"/>
      <c r="O29" s="348"/>
      <c r="P29" s="348"/>
      <c r="Q29" s="348"/>
      <c r="R29" s="348"/>
      <c r="S29" s="348"/>
      <c r="T29" s="348"/>
      <c r="U29" s="348"/>
      <c r="V29" s="348"/>
      <c r="W29" s="348"/>
    </row>
    <row r="30" spans="1:23">
      <c r="A30" s="6" t="s">
        <v>143</v>
      </c>
      <c r="B30" s="6"/>
      <c r="C30" s="6"/>
      <c r="D30" s="6"/>
      <c r="E30" s="341"/>
      <c r="F30" s="698"/>
      <c r="G30" s="637"/>
      <c r="H30" s="6"/>
      <c r="I30" s="211">
        <f t="shared" ref="I30:W30" si="17">SUM(I21:I29)</f>
        <v>662201.85119259509</v>
      </c>
      <c r="J30" s="211">
        <f t="shared" si="17"/>
        <v>701933.96226415096</v>
      </c>
      <c r="K30" s="211">
        <f t="shared" si="17"/>
        <v>754050</v>
      </c>
      <c r="L30" s="211">
        <f t="shared" si="17"/>
        <v>776077</v>
      </c>
      <c r="M30" s="211">
        <f t="shared" si="17"/>
        <v>787025.61999999988</v>
      </c>
      <c r="N30" s="211">
        <f t="shared" si="17"/>
        <v>834247.1571999999</v>
      </c>
      <c r="O30" s="211">
        <f t="shared" si="17"/>
        <v>871677.21703199996</v>
      </c>
      <c r="P30" s="211">
        <f t="shared" si="17"/>
        <v>923977.85005391994</v>
      </c>
      <c r="Q30" s="211">
        <f t="shared" si="17"/>
        <v>1021416.5210571553</v>
      </c>
      <c r="R30" s="211">
        <f t="shared" si="17"/>
        <v>1081838.2250980046</v>
      </c>
      <c r="S30" s="211">
        <f t="shared" si="17"/>
        <v>1145842.067020176</v>
      </c>
      <c r="T30" s="211">
        <f t="shared" si="17"/>
        <v>733490.89672992704</v>
      </c>
      <c r="U30" s="211">
        <f t="shared" si="17"/>
        <v>762830.53259912413</v>
      </c>
      <c r="V30" s="211">
        <f>SUM(V21:V29)</f>
        <v>785715.44857709797</v>
      </c>
      <c r="W30" s="211">
        <f t="shared" si="17"/>
        <v>801429.7575486399</v>
      </c>
    </row>
    <row r="31" spans="1:23">
      <c r="A31" s="6"/>
      <c r="B31" s="6"/>
      <c r="C31" s="6"/>
      <c r="D31" s="6"/>
      <c r="E31" s="11"/>
      <c r="F31" s="11"/>
      <c r="G31" s="6"/>
      <c r="H31" s="6"/>
      <c r="I31" s="11"/>
      <c r="J31" s="11"/>
      <c r="K31" s="11"/>
      <c r="L31" s="11"/>
      <c r="M31" s="11"/>
      <c r="N31" s="11"/>
      <c r="O31" s="11"/>
      <c r="P31" s="11"/>
      <c r="Q31" s="11"/>
      <c r="R31" s="11"/>
      <c r="S31" s="11"/>
      <c r="T31" s="11"/>
      <c r="U31" s="11"/>
      <c r="V31" s="11"/>
      <c r="W31" s="11"/>
    </row>
    <row r="32" spans="1:23">
      <c r="A32" s="6" t="s">
        <v>1268</v>
      </c>
      <c r="B32" s="6"/>
      <c r="C32" s="6"/>
      <c r="D32" s="6"/>
      <c r="E32" s="11"/>
      <c r="F32" s="11"/>
      <c r="G32" s="6"/>
      <c r="H32" s="6"/>
      <c r="I32" s="119">
        <v>0.1</v>
      </c>
      <c r="J32" s="39">
        <f>+I32</f>
        <v>0.1</v>
      </c>
      <c r="K32" s="39">
        <f t="shared" ref="K32:Q32" si="18">+J32</f>
        <v>0.1</v>
      </c>
      <c r="L32" s="39">
        <f t="shared" si="18"/>
        <v>0.1</v>
      </c>
      <c r="M32" s="39">
        <f t="shared" si="18"/>
        <v>0.1</v>
      </c>
      <c r="N32" s="39">
        <f t="shared" si="18"/>
        <v>0.1</v>
      </c>
      <c r="O32" s="39">
        <f t="shared" si="18"/>
        <v>0.1</v>
      </c>
      <c r="P32" s="39">
        <f t="shared" si="18"/>
        <v>0.1</v>
      </c>
      <c r="Q32" s="39">
        <f t="shared" si="18"/>
        <v>0.1</v>
      </c>
      <c r="R32" s="39">
        <f t="shared" ref="R32:W32" si="19">+Q32</f>
        <v>0.1</v>
      </c>
      <c r="S32" s="39">
        <f t="shared" si="19"/>
        <v>0.1</v>
      </c>
      <c r="T32" s="39">
        <f t="shared" si="19"/>
        <v>0.1</v>
      </c>
      <c r="U32" s="39">
        <f t="shared" si="19"/>
        <v>0.1</v>
      </c>
      <c r="V32" s="39">
        <f t="shared" si="19"/>
        <v>0.1</v>
      </c>
      <c r="W32" s="39">
        <f t="shared" si="19"/>
        <v>0.1</v>
      </c>
    </row>
    <row r="33" spans="1:30">
      <c r="A33" s="6" t="s">
        <v>1269</v>
      </c>
      <c r="B33" s="6"/>
      <c r="C33" s="6"/>
      <c r="D33" s="6"/>
      <c r="E33" s="11"/>
      <c r="F33" s="11"/>
      <c r="G33" s="6"/>
      <c r="H33" s="6"/>
      <c r="I33" s="211">
        <f t="shared" ref="I33:W33" si="20">+I32*(I8+I12+I13+I14+I16+I17+I23+I24+I25+I26+I28+I29)</f>
        <v>68325.026699893206</v>
      </c>
      <c r="J33" s="211">
        <f t="shared" si="20"/>
        <v>75924.528301886792</v>
      </c>
      <c r="K33" s="211">
        <f t="shared" si="20"/>
        <v>98770</v>
      </c>
      <c r="L33" s="211">
        <f t="shared" si="20"/>
        <v>102576.20000000001</v>
      </c>
      <c r="M33" s="211">
        <f t="shared" si="20"/>
        <v>108730.772</v>
      </c>
      <c r="N33" s="211">
        <f t="shared" si="20"/>
        <v>115254.61831999999</v>
      </c>
      <c r="O33" s="211">
        <f t="shared" si="20"/>
        <v>120907.41845920001</v>
      </c>
      <c r="P33" s="211">
        <f t="shared" si="20"/>
        <v>126154.52520035203</v>
      </c>
      <c r="Q33" s="211">
        <f t="shared" si="20"/>
        <v>132585.63585862433</v>
      </c>
      <c r="R33" s="211">
        <f t="shared" si="20"/>
        <v>139368.46833078054</v>
      </c>
      <c r="S33" s="211">
        <f t="shared" si="20"/>
        <v>146523.1015808853</v>
      </c>
      <c r="T33" s="211">
        <f t="shared" si="20"/>
        <v>106055.79656564753</v>
      </c>
      <c r="U33" s="211">
        <f t="shared" si="20"/>
        <v>109871.02507224295</v>
      </c>
      <c r="V33" s="211">
        <f t="shared" si="20"/>
        <v>112947.24909605457</v>
      </c>
      <c r="W33" s="211">
        <f t="shared" si="20"/>
        <v>115206.19407797564</v>
      </c>
    </row>
    <row r="34" spans="1:30">
      <c r="A34" s="6"/>
      <c r="B34" s="6"/>
      <c r="C34" s="6"/>
      <c r="D34" s="6"/>
      <c r="E34" s="11"/>
      <c r="F34" s="11"/>
      <c r="G34" s="6"/>
      <c r="H34" s="6"/>
      <c r="I34" s="11"/>
      <c r="J34" s="11"/>
      <c r="K34" s="11"/>
      <c r="L34" s="11"/>
      <c r="M34" s="11"/>
      <c r="N34" s="11"/>
      <c r="O34" s="11"/>
      <c r="P34" s="11"/>
      <c r="Q34" s="11"/>
      <c r="R34" s="11"/>
      <c r="S34" s="11"/>
      <c r="T34" s="11"/>
      <c r="U34" s="11"/>
      <c r="V34" s="11"/>
      <c r="W34" s="11"/>
    </row>
    <row r="35" spans="1:30" ht="13.5" thickBot="1">
      <c r="A35" s="675" t="s">
        <v>181</v>
      </c>
      <c r="B35" s="675"/>
      <c r="C35" s="675"/>
      <c r="D35" s="675"/>
      <c r="E35" s="701"/>
      <c r="F35" s="701"/>
      <c r="G35" s="675"/>
      <c r="H35" s="675"/>
      <c r="I35" s="702">
        <f t="shared" ref="I35:P35" si="21">+I33+I7+I9+I10+I15+I22+I27</f>
        <v>229636.88145247422</v>
      </c>
      <c r="J35" s="702">
        <f t="shared" si="21"/>
        <v>246915.09433962265</v>
      </c>
      <c r="K35" s="702">
        <f t="shared" si="21"/>
        <v>280020</v>
      </c>
      <c r="L35" s="702">
        <f t="shared" si="21"/>
        <v>304701.2</v>
      </c>
      <c r="M35" s="702">
        <f t="shared" si="21"/>
        <v>322983.272</v>
      </c>
      <c r="N35" s="702">
        <f t="shared" si="21"/>
        <v>342362.26832000003</v>
      </c>
      <c r="O35" s="702">
        <f>+O33+O7+O9+O10+O15+O22+O27</f>
        <v>386891.52745920001</v>
      </c>
      <c r="P35" s="702">
        <f t="shared" si="21"/>
        <v>408097.68074035208</v>
      </c>
      <c r="Q35" s="702">
        <f t="shared" ref="Q35:W35" si="22">+Q33+Q7+Q9+Q10+Q15+Q22+Q27</f>
        <v>476241.67254382436</v>
      </c>
      <c r="R35" s="702">
        <f t="shared" si="22"/>
        <v>484760.76056169666</v>
      </c>
      <c r="S35" s="702">
        <f t="shared" si="22"/>
        <v>504090.06574614689</v>
      </c>
      <c r="T35" s="702">
        <f t="shared" si="22"/>
        <v>476253.31798165583</v>
      </c>
      <c r="U35" s="702">
        <f t="shared" si="22"/>
        <v>492173.8350017707</v>
      </c>
      <c r="V35" s="702">
        <f t="shared" si="22"/>
        <v>505327.29796676082</v>
      </c>
      <c r="W35" s="702">
        <f t="shared" si="22"/>
        <v>515433.8439260961</v>
      </c>
      <c r="X35" s="1512">
        <f t="shared" ref="X35:AD35" si="23">W35*(1+X36)</f>
        <v>524711.6531167659</v>
      </c>
      <c r="Y35" s="1512">
        <f t="shared" si="23"/>
        <v>533107.03956663422</v>
      </c>
      <c r="Z35" s="1512">
        <f t="shared" si="23"/>
        <v>540570.53812056722</v>
      </c>
      <c r="AA35" s="1512">
        <f t="shared" si="23"/>
        <v>547057.38457801414</v>
      </c>
      <c r="AB35" s="1512">
        <f t="shared" si="23"/>
        <v>552527.95842379436</v>
      </c>
      <c r="AC35" s="1512">
        <f t="shared" si="23"/>
        <v>558053.23800803232</v>
      </c>
      <c r="AD35" s="1512">
        <f t="shared" si="23"/>
        <v>563633.77038811264</v>
      </c>
    </row>
    <row r="36" spans="1:30">
      <c r="A36" s="6"/>
      <c r="B36" s="6"/>
      <c r="C36" s="6"/>
      <c r="D36" s="6"/>
      <c r="E36" s="6"/>
      <c r="F36" s="6"/>
      <c r="G36" s="6"/>
      <c r="H36" s="6"/>
      <c r="I36" s="11"/>
      <c r="J36" s="11"/>
      <c r="K36" s="11"/>
      <c r="L36" s="11"/>
      <c r="M36" s="11"/>
      <c r="N36" s="11"/>
      <c r="O36" s="11"/>
      <c r="P36" s="11"/>
      <c r="Q36" s="11"/>
      <c r="S36" s="877">
        <f>+S35/R35-1</f>
        <v>3.9873906382301261E-2</v>
      </c>
      <c r="T36" s="877">
        <f>+T35/S35-1</f>
        <v>-5.5221774155155168E-2</v>
      </c>
      <c r="U36" s="877">
        <f>+U35/T35-1</f>
        <v>3.3428674234933231E-2</v>
      </c>
      <c r="V36" s="877">
        <f>+V35/U35-1</f>
        <v>2.6725238177163213E-2</v>
      </c>
      <c r="W36" s="877">
        <f>+W35/V35-1</f>
        <v>2.000000000000024E-2</v>
      </c>
      <c r="X36" s="1511">
        <f>MAX(W36-0.002, 1%)</f>
        <v>1.8000000000000238E-2</v>
      </c>
      <c r="Y36" s="1511">
        <f t="shared" ref="Y36:AD36" si="24">MAX(X36-0.002, 1%)</f>
        <v>1.6000000000000236E-2</v>
      </c>
      <c r="Z36" s="1511">
        <f t="shared" si="24"/>
        <v>1.4000000000000236E-2</v>
      </c>
      <c r="AA36" s="1511">
        <f t="shared" si="24"/>
        <v>1.2000000000000236E-2</v>
      </c>
      <c r="AB36" s="1511">
        <f t="shared" si="24"/>
        <v>1.0000000000000236E-2</v>
      </c>
      <c r="AC36" s="1511">
        <f t="shared" si="24"/>
        <v>0.01</v>
      </c>
      <c r="AD36" s="1511">
        <f t="shared" si="24"/>
        <v>0.01</v>
      </c>
    </row>
    <row r="37" spans="1:30">
      <c r="A37" s="6" t="s">
        <v>98</v>
      </c>
      <c r="B37" s="6"/>
      <c r="C37" s="6"/>
      <c r="D37" s="6"/>
      <c r="E37" s="6"/>
      <c r="F37" s="6"/>
      <c r="G37" s="6"/>
      <c r="H37" s="6"/>
      <c r="I37" s="95">
        <v>0</v>
      </c>
      <c r="J37" s="95">
        <v>0</v>
      </c>
      <c r="K37" s="95">
        <v>0</v>
      </c>
      <c r="L37" s="95">
        <v>0</v>
      </c>
      <c r="M37" s="95">
        <v>0</v>
      </c>
      <c r="N37" s="95">
        <v>0</v>
      </c>
      <c r="O37" s="95">
        <v>0</v>
      </c>
      <c r="P37" s="95">
        <v>0</v>
      </c>
      <c r="Q37" s="95">
        <v>0</v>
      </c>
    </row>
    <row r="38" spans="1:30">
      <c r="A38" s="6" t="s">
        <v>99</v>
      </c>
      <c r="B38" s="6"/>
      <c r="C38" s="6"/>
      <c r="D38" s="6"/>
      <c r="E38" s="6"/>
      <c r="F38" s="6"/>
      <c r="G38" s="6"/>
      <c r="H38" s="6"/>
      <c r="I38" s="95">
        <f t="shared" ref="I38:N38" si="25">0.4*(I7+I9+I10+I15)+0.4*(I32*I8+I11+I12+I13+I14+I16+I17)+0.05*(I22+I27)+0.05*I32*(I23+I24+I25+I26)</f>
        <v>95504.182983268081</v>
      </c>
      <c r="J38" s="95">
        <f t="shared" si="25"/>
        <v>102634.43396226416</v>
      </c>
      <c r="K38" s="95">
        <f t="shared" si="25"/>
        <v>119308.5</v>
      </c>
      <c r="L38" s="95">
        <f t="shared" si="25"/>
        <v>123047.01</v>
      </c>
      <c r="M38" s="95">
        <f t="shared" si="25"/>
        <v>130429.83060000002</v>
      </c>
      <c r="N38" s="95">
        <f t="shared" si="25"/>
        <v>138255.62043600003</v>
      </c>
      <c r="O38" s="95">
        <f t="shared" ref="O38:T38" si="26">0.4*(O7+O9+O10+O15)+0.4*(O32*O8+O11+O12+O13+O14+O16+O17)+0.05*(O22+O27)+0.05*O32*(O23+O24+O25+O26)</f>
        <v>156587.83381416003</v>
      </c>
      <c r="P38" s="95">
        <f t="shared" si="26"/>
        <v>157953.75037740965</v>
      </c>
      <c r="Q38" s="95">
        <f t="shared" si="26"/>
        <v>168987.41595779502</v>
      </c>
      <c r="R38" s="95">
        <f t="shared" si="26"/>
        <v>170163.6303286067</v>
      </c>
      <c r="S38" s="95">
        <f t="shared" si="26"/>
        <v>175507.86335684493</v>
      </c>
      <c r="T38" s="95">
        <f t="shared" si="26"/>
        <v>178625.1267707065</v>
      </c>
      <c r="U38" s="95">
        <f>0.4*(U7+U9+U10+U15)+0.4*(U32*U8+U11+U12+U13+U14+U16+U17)+0.05*(U22+U27)+0.05*U32*(U23+U24+U25+U26)</f>
        <v>184065.52644786093</v>
      </c>
      <c r="V38" s="95">
        <f>0.4*(V7+V9+V10+V15)+0.4*(V32*V8+V11+V12+V13+V14+V16+V17)+0.05*(V22+V27)+0.05*V32*(V23+V24+V25+V26)</f>
        <v>188709.62046355475</v>
      </c>
      <c r="W38" s="95">
        <f>0.4*(W7+W9+W10+W15)+0.4*(W32*W8+W11+W12+W13+W14+W16+W17)+0.05*(W22+W27)+0.05*W32*(W23+W24+W25+W26)</f>
        <v>192483.81287282589</v>
      </c>
      <c r="X38" s="1514">
        <f t="shared" ref="X38:AD38" si="27">+W38/W35*X35</f>
        <v>195948.52150453677</v>
      </c>
      <c r="Y38" s="1514">
        <f t="shared" si="27"/>
        <v>199083.69784860939</v>
      </c>
      <c r="Z38" s="1514">
        <f t="shared" si="27"/>
        <v>201870.86961848996</v>
      </c>
      <c r="AA38" s="1514">
        <f t="shared" si="27"/>
        <v>204293.32005391188</v>
      </c>
      <c r="AB38" s="1514">
        <f t="shared" si="27"/>
        <v>206336.25325445103</v>
      </c>
      <c r="AC38" s="1514">
        <f t="shared" si="27"/>
        <v>208399.61578699556</v>
      </c>
      <c r="AD38" s="1514">
        <f t="shared" si="27"/>
        <v>210483.61194486552</v>
      </c>
    </row>
    <row r="39" spans="1:30">
      <c r="A39" s="6" t="s">
        <v>100</v>
      </c>
      <c r="B39" s="6"/>
      <c r="C39" s="6"/>
      <c r="D39" s="6"/>
      <c r="E39" s="6"/>
      <c r="F39" s="6"/>
      <c r="G39" s="6"/>
      <c r="H39" s="6"/>
      <c r="I39" s="95">
        <f t="shared" ref="I39:Q39" si="28">I35-I38-I37</f>
        <v>134132.69846920614</v>
      </c>
      <c r="J39" s="95">
        <f t="shared" si="28"/>
        <v>144280.66037735849</v>
      </c>
      <c r="K39" s="95">
        <f t="shared" si="28"/>
        <v>160711.5</v>
      </c>
      <c r="L39" s="95">
        <f t="shared" si="28"/>
        <v>181654.19</v>
      </c>
      <c r="M39" s="95">
        <f t="shared" si="28"/>
        <v>192553.44139999998</v>
      </c>
      <c r="N39" s="95">
        <f t="shared" si="28"/>
        <v>204106.64788400001</v>
      </c>
      <c r="O39" s="95">
        <f t="shared" si="28"/>
        <v>230303.69364503998</v>
      </c>
      <c r="P39" s="95">
        <f t="shared" si="28"/>
        <v>250143.93036294242</v>
      </c>
      <c r="Q39" s="95">
        <f t="shared" si="28"/>
        <v>307254.25658602931</v>
      </c>
      <c r="R39" s="95">
        <f t="shared" ref="R39:W39" si="29">R35-R38-R37</f>
        <v>314597.13023308996</v>
      </c>
      <c r="S39" s="95">
        <f t="shared" si="29"/>
        <v>328582.20238930197</v>
      </c>
      <c r="T39" s="95">
        <f t="shared" si="29"/>
        <v>297628.19121094933</v>
      </c>
      <c r="U39" s="95">
        <f t="shared" si="29"/>
        <v>308108.30855390977</v>
      </c>
      <c r="V39" s="95">
        <f t="shared" si="29"/>
        <v>316617.67750320607</v>
      </c>
      <c r="W39" s="95">
        <f t="shared" si="29"/>
        <v>322950.03105327021</v>
      </c>
      <c r="X39" s="1514">
        <f t="shared" ref="X39:AD39" si="30">+W39/W35*X35</f>
        <v>328763.1316122291</v>
      </c>
      <c r="Y39" s="1514">
        <f t="shared" si="30"/>
        <v>334023.34171802481</v>
      </c>
      <c r="Z39" s="1514">
        <f t="shared" si="30"/>
        <v>338699.66850207723</v>
      </c>
      <c r="AA39" s="1514">
        <f t="shared" si="30"/>
        <v>342764.06452410226</v>
      </c>
      <c r="AB39" s="1514">
        <f t="shared" si="30"/>
        <v>346191.70516934333</v>
      </c>
      <c r="AC39" s="1514">
        <f t="shared" si="30"/>
        <v>349653.62222103676</v>
      </c>
      <c r="AD39" s="1514">
        <f t="shared" si="30"/>
        <v>353150.15844324714</v>
      </c>
    </row>
  </sheetData>
  <phoneticPr fontId="3" type="noConversion"/>
  <pageMargins left="0.75" right="0.75" top="1" bottom="1" header="0.5" footer="0.5"/>
  <pageSetup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Z111"/>
  <sheetViews>
    <sheetView showGridLines="0" workbookViewId="0">
      <pane xSplit="1" ySplit="7" topLeftCell="X8" activePane="bottomRight" state="frozen"/>
      <selection activeCell="Z16" sqref="Z16"/>
      <selection pane="topRight" activeCell="Z16" sqref="Z16"/>
      <selection pane="bottomLeft" activeCell="Z16" sqref="Z16"/>
      <selection pane="bottomRight" activeCell="AI93" sqref="AI93"/>
    </sheetView>
  </sheetViews>
  <sheetFormatPr defaultRowHeight="12.75" outlineLevelRow="1" outlineLevelCol="1"/>
  <cols>
    <col min="1" max="1" width="29.28515625" customWidth="1"/>
    <col min="2" max="2" width="8.28515625" customWidth="1"/>
    <col min="3" max="3" width="9.28515625" customWidth="1"/>
    <col min="4" max="4" width="7" customWidth="1"/>
    <col min="5" max="5" width="10" customWidth="1"/>
    <col min="6" max="6" width="8.140625" customWidth="1"/>
    <col min="7" max="7" width="13.42578125" customWidth="1"/>
    <col min="8" max="8" width="0.7109375" customWidth="1"/>
    <col min="9" max="9" width="10.85546875" customWidth="1"/>
    <col min="10" max="10" width="11" customWidth="1"/>
    <col min="11" max="11" width="1.28515625" customWidth="1"/>
    <col min="12" max="21" width="8.7109375" hidden="1" customWidth="1" outlineLevel="1"/>
    <col min="22" max="23" width="9.140625" hidden="1" customWidth="1" outlineLevel="1"/>
    <col min="24" max="24" width="9.140625" customWidth="1" collapsed="1"/>
    <col min="26" max="33" width="9.5703125" customWidth="1"/>
    <col min="37" max="37" width="9.85546875" bestFit="1" customWidth="1"/>
    <col min="38" max="38" width="9.28515625" bestFit="1" customWidth="1"/>
  </cols>
  <sheetData>
    <row r="1" spans="1:52">
      <c r="A1" s="703" t="s">
        <v>182</v>
      </c>
      <c r="B1" s="342"/>
      <c r="C1" s="342"/>
      <c r="D1" s="342"/>
      <c r="E1" s="342"/>
      <c r="F1" s="342"/>
      <c r="G1" s="342"/>
      <c r="H1" s="84"/>
      <c r="I1" s="84"/>
      <c r="J1" s="84"/>
      <c r="K1" s="84"/>
      <c r="L1" s="84"/>
      <c r="M1" s="342"/>
      <c r="N1" s="342"/>
      <c r="O1" s="342"/>
      <c r="P1" s="342"/>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c r="AS1" s="84"/>
      <c r="AT1" s="84"/>
      <c r="AU1" s="84"/>
      <c r="AV1" s="84"/>
      <c r="AW1" s="84"/>
      <c r="AX1" s="84"/>
      <c r="AY1" s="84"/>
      <c r="AZ1" s="84"/>
    </row>
    <row r="2" spans="1:52">
      <c r="A2" s="84"/>
      <c r="B2" s="342"/>
      <c r="C2" s="342"/>
      <c r="D2" s="342"/>
      <c r="E2" s="643"/>
      <c r="F2" s="342"/>
      <c r="G2" s="342"/>
      <c r="H2" s="84"/>
      <c r="I2" s="84"/>
      <c r="J2" s="84"/>
      <c r="K2" s="84"/>
      <c r="L2" s="84"/>
      <c r="M2" s="342"/>
      <c r="N2" s="342"/>
      <c r="O2" s="342"/>
      <c r="P2" s="342"/>
      <c r="Q2" s="84"/>
      <c r="R2" s="84"/>
      <c r="S2" s="84"/>
      <c r="T2" s="84"/>
      <c r="U2" s="84"/>
      <c r="V2" s="84"/>
      <c r="W2" s="84"/>
      <c r="X2" s="84"/>
      <c r="Y2" s="84"/>
      <c r="Z2" s="84"/>
      <c r="AA2" s="84"/>
      <c r="AB2" s="84"/>
      <c r="AC2" s="84"/>
      <c r="AD2" s="84"/>
      <c r="AE2" s="84"/>
      <c r="AF2" s="84"/>
      <c r="AG2" s="84"/>
      <c r="AH2" s="84"/>
      <c r="AI2" s="84"/>
      <c r="AJ2" s="84"/>
      <c r="AK2" s="84"/>
      <c r="AL2" s="84"/>
      <c r="AM2" s="84"/>
      <c r="AN2" s="84"/>
      <c r="AO2" s="84"/>
      <c r="AP2" s="84"/>
      <c r="AQ2" s="84"/>
      <c r="AR2" s="84"/>
      <c r="AS2" s="84"/>
      <c r="AT2" s="84"/>
      <c r="AU2" s="84"/>
      <c r="AV2" s="84"/>
      <c r="AW2" s="84"/>
      <c r="AX2" s="84"/>
      <c r="AY2" s="84"/>
      <c r="AZ2" s="84"/>
    </row>
    <row r="3" spans="1:52">
      <c r="A3" s="69"/>
      <c r="B3" s="343"/>
      <c r="C3" s="343"/>
      <c r="D3" s="343"/>
      <c r="E3" s="343"/>
      <c r="F3" s="343"/>
      <c r="G3" s="343"/>
      <c r="H3" s="84"/>
      <c r="I3" s="84"/>
      <c r="J3" s="84"/>
      <c r="K3" s="84"/>
      <c r="L3" s="84"/>
      <c r="M3" s="342"/>
      <c r="N3" s="342"/>
      <c r="O3" s="342"/>
      <c r="P3" s="342"/>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c r="AS3" s="84"/>
      <c r="AT3" s="84"/>
      <c r="AU3" s="84"/>
      <c r="AV3" s="84"/>
      <c r="AW3" s="84"/>
      <c r="AX3" s="84"/>
      <c r="AY3" s="84"/>
      <c r="AZ3" s="84"/>
    </row>
    <row r="4" spans="1:52">
      <c r="A4" s="69"/>
      <c r="B4" s="343"/>
      <c r="C4" s="343"/>
      <c r="D4" s="343"/>
      <c r="E4" s="343"/>
      <c r="F4" s="343"/>
      <c r="G4" s="343"/>
      <c r="H4" s="69"/>
      <c r="I4" s="69"/>
      <c r="J4" s="69"/>
      <c r="K4" s="69"/>
      <c r="L4" s="69"/>
      <c r="M4" s="343"/>
      <c r="N4" s="343"/>
      <c r="O4" s="343"/>
      <c r="P4" s="343"/>
      <c r="Q4" s="69"/>
      <c r="R4" s="69"/>
      <c r="S4" s="69"/>
      <c r="T4" s="69"/>
      <c r="U4" s="69"/>
      <c r="V4" s="69"/>
      <c r="W4" s="69"/>
      <c r="X4" s="69"/>
      <c r="Y4" s="69"/>
      <c r="Z4" s="69"/>
      <c r="AA4" s="69"/>
      <c r="AB4" s="69"/>
      <c r="AC4" s="69"/>
      <c r="AD4" s="69"/>
      <c r="AE4" s="69"/>
      <c r="AF4" s="69"/>
      <c r="AG4" s="69"/>
      <c r="AH4" s="69"/>
      <c r="AI4" s="69"/>
      <c r="AJ4" s="69"/>
      <c r="AK4" s="69"/>
      <c r="AL4" s="69"/>
      <c r="AM4" s="69"/>
      <c r="AN4" s="69"/>
      <c r="AO4" s="69"/>
      <c r="AP4" s="69"/>
      <c r="AQ4" s="69"/>
      <c r="AR4" s="69"/>
      <c r="AS4" s="69"/>
      <c r="AT4" s="69"/>
      <c r="AU4" s="69"/>
      <c r="AV4" s="69"/>
      <c r="AW4" s="69"/>
      <c r="AX4" s="69"/>
      <c r="AY4" s="69"/>
      <c r="AZ4" s="69"/>
    </row>
    <row r="5" spans="1:52">
      <c r="A5" s="320" t="s">
        <v>184</v>
      </c>
      <c r="B5" s="342"/>
      <c r="C5" s="342"/>
      <c r="D5" s="342" t="s">
        <v>185</v>
      </c>
      <c r="E5" s="342"/>
      <c r="F5" s="342" t="s">
        <v>186</v>
      </c>
      <c r="G5" s="342"/>
      <c r="H5" s="84"/>
      <c r="I5" s="84"/>
      <c r="J5" s="342"/>
      <c r="K5" s="84"/>
      <c r="L5" s="84"/>
      <c r="M5" s="342"/>
      <c r="N5" s="342"/>
      <c r="O5" s="342"/>
      <c r="P5" s="342"/>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c r="AS5" s="84"/>
      <c r="AT5" s="84"/>
      <c r="AU5" s="84"/>
      <c r="AV5" s="84"/>
      <c r="AW5" s="84"/>
      <c r="AX5" s="84"/>
      <c r="AY5" s="84"/>
      <c r="AZ5" s="84"/>
    </row>
    <row r="6" spans="1:52">
      <c r="A6" s="84"/>
      <c r="B6" s="342" t="s">
        <v>187</v>
      </c>
      <c r="C6" s="342" t="s">
        <v>188</v>
      </c>
      <c r="D6" s="342" t="s">
        <v>189</v>
      </c>
      <c r="E6" s="342" t="s">
        <v>187</v>
      </c>
      <c r="F6" s="1503" t="s">
        <v>565</v>
      </c>
      <c r="G6" s="342" t="s">
        <v>190</v>
      </c>
      <c r="H6" s="84"/>
      <c r="I6" s="342"/>
      <c r="J6" s="342" t="s">
        <v>191</v>
      </c>
      <c r="K6" s="342"/>
      <c r="L6" s="3599" t="s">
        <v>192</v>
      </c>
      <c r="M6" s="3599"/>
      <c r="N6" s="3599"/>
      <c r="O6" s="3599"/>
      <c r="P6" s="3599"/>
      <c r="Q6" s="3599"/>
      <c r="R6" s="342"/>
      <c r="S6" s="342"/>
      <c r="T6" s="342"/>
      <c r="U6" s="342"/>
      <c r="V6" s="84"/>
      <c r="W6" s="84"/>
      <c r="X6" s="84"/>
      <c r="Y6" s="84"/>
      <c r="Z6" s="84"/>
      <c r="AA6" s="84"/>
      <c r="AB6" s="84"/>
      <c r="AC6" s="84"/>
      <c r="AD6" s="84"/>
      <c r="AE6" s="84"/>
      <c r="AF6" s="84"/>
      <c r="AG6" s="84"/>
      <c r="AH6" s="84"/>
      <c r="AI6" s="84"/>
      <c r="AJ6" s="84"/>
      <c r="AK6" s="84"/>
      <c r="AL6" s="84"/>
      <c r="AM6" s="84"/>
      <c r="AN6" s="84"/>
      <c r="AO6" s="84"/>
      <c r="AP6" s="84"/>
      <c r="AQ6" s="84"/>
      <c r="AR6" s="84"/>
      <c r="AS6" s="84"/>
      <c r="AT6" s="84"/>
      <c r="AU6" s="84"/>
      <c r="AV6" s="84"/>
      <c r="AW6" s="84"/>
      <c r="AX6" s="84"/>
      <c r="AY6" s="84"/>
      <c r="AZ6" s="84"/>
    </row>
    <row r="7" spans="1:52">
      <c r="A7" s="2" t="s">
        <v>193</v>
      </c>
      <c r="B7" s="2" t="s">
        <v>194</v>
      </c>
      <c r="C7" s="2" t="s">
        <v>194</v>
      </c>
      <c r="D7" s="2" t="s">
        <v>113</v>
      </c>
      <c r="E7" s="2" t="s">
        <v>112</v>
      </c>
      <c r="F7" s="1491" t="s">
        <v>566</v>
      </c>
      <c r="G7" s="2" t="s">
        <v>1433</v>
      </c>
      <c r="H7" s="84"/>
      <c r="I7" s="2" t="s">
        <v>114</v>
      </c>
      <c r="J7" s="2" t="s">
        <v>195</v>
      </c>
      <c r="K7" s="2"/>
      <c r="L7" s="639" t="s">
        <v>1435</v>
      </c>
      <c r="M7" s="639" t="s">
        <v>1436</v>
      </c>
      <c r="N7" s="639" t="s">
        <v>1437</v>
      </c>
      <c r="O7" s="639" t="s">
        <v>1438</v>
      </c>
      <c r="P7" s="639" t="s">
        <v>1439</v>
      </c>
      <c r="Q7" s="639" t="s">
        <v>116</v>
      </c>
      <c r="R7" s="639" t="s">
        <v>988</v>
      </c>
      <c r="S7" s="639" t="s">
        <v>987</v>
      </c>
      <c r="T7" s="639" t="s">
        <v>490</v>
      </c>
      <c r="U7" s="639" t="s">
        <v>983</v>
      </c>
      <c r="V7" s="639" t="s">
        <v>361</v>
      </c>
      <c r="W7" s="639" t="s">
        <v>1154</v>
      </c>
      <c r="X7" s="639" t="s">
        <v>1070</v>
      </c>
      <c r="Y7" s="639" t="s">
        <v>1072</v>
      </c>
      <c r="Z7" s="2060" t="s">
        <v>555</v>
      </c>
      <c r="AA7" s="2060" t="s">
        <v>556</v>
      </c>
      <c r="AB7" s="2060" t="s">
        <v>557</v>
      </c>
      <c r="AC7" s="2060" t="s">
        <v>558</v>
      </c>
      <c r="AD7" s="2060" t="s">
        <v>1613</v>
      </c>
      <c r="AE7" s="2060" t="s">
        <v>1614</v>
      </c>
      <c r="AF7" s="84"/>
      <c r="AG7" s="84"/>
      <c r="AH7" s="84"/>
      <c r="AI7" s="464"/>
      <c r="AJ7" s="464"/>
      <c r="AK7" s="84">
        <v>1</v>
      </c>
      <c r="AL7" s="84">
        <v>2</v>
      </c>
      <c r="AM7" s="84">
        <v>3</v>
      </c>
      <c r="AN7" s="84">
        <v>4</v>
      </c>
      <c r="AO7" s="84">
        <v>5</v>
      </c>
      <c r="AP7" s="84">
        <v>6</v>
      </c>
      <c r="AQ7" s="84">
        <v>7</v>
      </c>
      <c r="AR7" s="84">
        <v>8</v>
      </c>
      <c r="AS7" s="84">
        <v>9</v>
      </c>
      <c r="AT7" s="84">
        <v>10</v>
      </c>
      <c r="AU7" s="84">
        <v>11</v>
      </c>
      <c r="AV7" s="84">
        <v>12</v>
      </c>
      <c r="AW7" s="84">
        <v>13</v>
      </c>
      <c r="AX7" s="84">
        <v>14</v>
      </c>
      <c r="AY7" s="84">
        <v>15</v>
      </c>
      <c r="AZ7" s="84"/>
    </row>
    <row r="8" spans="1:52" ht="12.75" customHeight="1">
      <c r="A8" s="84" t="s">
        <v>198</v>
      </c>
      <c r="B8" s="704" t="s">
        <v>180</v>
      </c>
      <c r="C8" s="704" t="s">
        <v>127</v>
      </c>
      <c r="D8" s="704">
        <v>11</v>
      </c>
      <c r="E8" s="700" t="s">
        <v>200</v>
      </c>
      <c r="F8" s="343">
        <v>8</v>
      </c>
      <c r="G8" s="343" t="s">
        <v>122</v>
      </c>
      <c r="H8" s="645"/>
      <c r="I8" s="661">
        <f>22*D8</f>
        <v>242</v>
      </c>
      <c r="J8" s="705">
        <f>3100*2/3</f>
        <v>2066.6666666666665</v>
      </c>
      <c r="K8" s="705"/>
      <c r="L8" s="643">
        <f t="shared" ref="L8:T8" si="0">AO8</f>
        <v>45466.666666666664</v>
      </c>
      <c r="M8" s="643">
        <f t="shared" si="0"/>
        <v>45466.666666666664</v>
      </c>
      <c r="N8" s="643">
        <f t="shared" si="0"/>
        <v>45466.666666666664</v>
      </c>
      <c r="O8" s="643">
        <f t="shared" si="0"/>
        <v>45466.666666666664</v>
      </c>
      <c r="P8" s="643">
        <f t="shared" si="0"/>
        <v>0</v>
      </c>
      <c r="Q8" s="643">
        <f t="shared" si="0"/>
        <v>0</v>
      </c>
      <c r="R8" s="643">
        <f t="shared" si="0"/>
        <v>0</v>
      </c>
      <c r="S8" s="643">
        <f t="shared" si="0"/>
        <v>0</v>
      </c>
      <c r="T8" s="643">
        <f t="shared" si="0"/>
        <v>0</v>
      </c>
      <c r="U8" s="643"/>
      <c r="V8" s="84"/>
      <c r="W8" s="84"/>
      <c r="X8" s="84"/>
      <c r="Y8" s="84"/>
      <c r="Z8" s="84"/>
      <c r="AA8" s="84"/>
      <c r="AB8" s="84"/>
      <c r="AC8" s="84"/>
      <c r="AD8" s="84"/>
      <c r="AE8" s="84"/>
      <c r="AF8" s="84"/>
      <c r="AG8" s="84"/>
      <c r="AH8" s="84"/>
      <c r="AI8" s="84"/>
      <c r="AJ8" s="84"/>
      <c r="AK8" s="79">
        <f t="shared" ref="AK8:AK28" si="1">88*$J8</f>
        <v>181866.66666666666</v>
      </c>
      <c r="AL8" s="79">
        <f t="shared" ref="AL8:AL26" si="2">$J8*22</f>
        <v>45466.666666666664</v>
      </c>
      <c r="AM8" s="79">
        <f t="shared" ref="AM8:AR17" si="3">$J8*22</f>
        <v>45466.666666666664</v>
      </c>
      <c r="AN8" s="79">
        <f t="shared" si="3"/>
        <v>45466.666666666664</v>
      </c>
      <c r="AO8" s="85">
        <f t="shared" si="3"/>
        <v>45466.666666666664</v>
      </c>
      <c r="AP8" s="79">
        <f t="shared" si="3"/>
        <v>45466.666666666664</v>
      </c>
      <c r="AQ8" s="79">
        <f t="shared" si="3"/>
        <v>45466.666666666664</v>
      </c>
      <c r="AR8" s="79">
        <f t="shared" si="3"/>
        <v>45466.666666666664</v>
      </c>
      <c r="AS8" s="79"/>
      <c r="AT8" s="79"/>
      <c r="AU8" s="79"/>
      <c r="AV8" s="79"/>
      <c r="AW8" s="79"/>
      <c r="AX8" s="79"/>
      <c r="AY8" s="79"/>
      <c r="AZ8" s="79">
        <f>I8*J8-SUM(AK8:AY8)</f>
        <v>0</v>
      </c>
    </row>
    <row r="9" spans="1:52" ht="12.75" customHeight="1">
      <c r="A9" s="84" t="s">
        <v>201</v>
      </c>
      <c r="B9" s="704" t="s">
        <v>180</v>
      </c>
      <c r="C9" s="704" t="s">
        <v>127</v>
      </c>
      <c r="D9" s="704">
        <v>11</v>
      </c>
      <c r="E9" s="700" t="s">
        <v>202</v>
      </c>
      <c r="F9" s="343" t="s">
        <v>1455</v>
      </c>
      <c r="G9" s="343" t="s">
        <v>203</v>
      </c>
      <c r="H9" s="645"/>
      <c r="I9" s="661">
        <f>22*D9</f>
        <v>242</v>
      </c>
      <c r="J9" s="706">
        <v>570</v>
      </c>
      <c r="K9" s="705"/>
      <c r="L9" s="643">
        <v>0</v>
      </c>
      <c r="M9" s="643">
        <v>0</v>
      </c>
      <c r="N9" s="643">
        <v>0</v>
      </c>
      <c r="O9" s="643">
        <v>0</v>
      </c>
      <c r="P9" s="643">
        <v>0</v>
      </c>
      <c r="Q9" s="707">
        <f>AK9</f>
        <v>137940</v>
      </c>
      <c r="R9" s="643">
        <f>AL9</f>
        <v>0</v>
      </c>
      <c r="S9" s="643">
        <f>AM9</f>
        <v>0</v>
      </c>
      <c r="T9" s="643">
        <f>AN9</f>
        <v>0</v>
      </c>
      <c r="U9" s="643"/>
      <c r="V9" s="84"/>
      <c r="W9" s="84"/>
      <c r="X9" s="84"/>
      <c r="Y9" s="84"/>
      <c r="Z9" s="84"/>
      <c r="AA9" s="84"/>
      <c r="AB9" s="84"/>
      <c r="AC9" s="84"/>
      <c r="AD9" s="84"/>
      <c r="AE9" s="84"/>
      <c r="AF9" s="84"/>
      <c r="AG9" s="84"/>
      <c r="AH9" s="84"/>
      <c r="AI9" s="84"/>
      <c r="AJ9" s="84"/>
      <c r="AK9" s="79">
        <f>I9*$J9</f>
        <v>137940</v>
      </c>
      <c r="AL9" s="79"/>
      <c r="AM9" s="79"/>
      <c r="AN9" s="79"/>
      <c r="AO9" s="79"/>
      <c r="AP9" s="79"/>
      <c r="AQ9" s="79"/>
      <c r="AR9" s="79"/>
      <c r="AS9" s="79"/>
      <c r="AT9" s="79"/>
      <c r="AU9" s="79"/>
      <c r="AV9" s="79"/>
      <c r="AW9" s="79"/>
      <c r="AX9" s="79"/>
      <c r="AY9" s="79"/>
      <c r="AZ9" s="79">
        <f t="shared" ref="AZ9:AZ34" si="4">I9*J9-SUM(AK9:AY9)</f>
        <v>0</v>
      </c>
    </row>
    <row r="10" spans="1:52" ht="12.75" customHeight="1">
      <c r="A10" s="84" t="s">
        <v>1501</v>
      </c>
      <c r="B10" s="704" t="s">
        <v>134</v>
      </c>
      <c r="C10" s="704" t="s">
        <v>138</v>
      </c>
      <c r="D10" s="704">
        <v>9</v>
      </c>
      <c r="E10" s="700" t="s">
        <v>204</v>
      </c>
      <c r="F10" s="343">
        <v>4</v>
      </c>
      <c r="G10" s="342" t="s">
        <v>122</v>
      </c>
      <c r="H10" s="645"/>
      <c r="I10" s="661">
        <f>22*D10</f>
        <v>198</v>
      </c>
      <c r="J10" s="705">
        <f>3500*2/3</f>
        <v>2333.3333333333335</v>
      </c>
      <c r="K10" s="705"/>
      <c r="L10" s="643">
        <f t="shared" ref="L10:T10" si="5">AK10</f>
        <v>205333.33333333334</v>
      </c>
      <c r="M10" s="643">
        <f t="shared" si="5"/>
        <v>51333.333333333336</v>
      </c>
      <c r="N10" s="643">
        <f t="shared" si="5"/>
        <v>51333.333333333336</v>
      </c>
      <c r="O10" s="643">
        <f t="shared" si="5"/>
        <v>51333.333333333336</v>
      </c>
      <c r="P10" s="643">
        <f t="shared" si="5"/>
        <v>51333.333333333336</v>
      </c>
      <c r="Q10" s="643">
        <f t="shared" si="5"/>
        <v>51333.333333333336</v>
      </c>
      <c r="R10" s="643">
        <f t="shared" si="5"/>
        <v>0</v>
      </c>
      <c r="S10" s="643">
        <f t="shared" si="5"/>
        <v>0</v>
      </c>
      <c r="T10" s="643">
        <f t="shared" si="5"/>
        <v>0</v>
      </c>
      <c r="U10" s="643"/>
      <c r="V10" s="668"/>
      <c r="W10" s="668"/>
      <c r="X10" s="668"/>
      <c r="Y10" s="668"/>
      <c r="Z10" s="668"/>
      <c r="AA10" s="668"/>
      <c r="AB10" s="668"/>
      <c r="AC10" s="668"/>
      <c r="AD10" s="668"/>
      <c r="AE10" s="668"/>
      <c r="AF10" s="84"/>
      <c r="AG10" s="84"/>
      <c r="AH10" s="84"/>
      <c r="AI10" s="668"/>
      <c r="AJ10" s="668"/>
      <c r="AK10" s="79">
        <f t="shared" si="1"/>
        <v>205333.33333333334</v>
      </c>
      <c r="AL10" s="79">
        <f t="shared" si="2"/>
        <v>51333.333333333336</v>
      </c>
      <c r="AM10" s="79">
        <f t="shared" si="3"/>
        <v>51333.333333333336</v>
      </c>
      <c r="AN10" s="79">
        <f t="shared" si="3"/>
        <v>51333.333333333336</v>
      </c>
      <c r="AO10" s="79">
        <f t="shared" si="3"/>
        <v>51333.333333333336</v>
      </c>
      <c r="AP10" s="79">
        <f t="shared" si="3"/>
        <v>51333.333333333336</v>
      </c>
      <c r="AQ10" s="79"/>
      <c r="AR10" s="79"/>
      <c r="AS10" s="79"/>
      <c r="AT10" s="79"/>
      <c r="AU10" s="79"/>
      <c r="AV10" s="79"/>
      <c r="AW10" s="79"/>
      <c r="AX10" s="79"/>
      <c r="AY10" s="79"/>
      <c r="AZ10" s="79">
        <f t="shared" si="4"/>
        <v>0</v>
      </c>
    </row>
    <row r="11" spans="1:52" ht="12.75" customHeight="1">
      <c r="A11" s="84" t="s">
        <v>205</v>
      </c>
      <c r="B11" s="704" t="s">
        <v>134</v>
      </c>
      <c r="C11" s="704" t="s">
        <v>138</v>
      </c>
      <c r="D11" s="704">
        <v>9</v>
      </c>
      <c r="E11" s="700" t="s">
        <v>127</v>
      </c>
      <c r="F11" s="343">
        <v>2</v>
      </c>
      <c r="G11" s="342" t="s">
        <v>206</v>
      </c>
      <c r="H11" s="645"/>
      <c r="I11" s="661">
        <f>22*D11</f>
        <v>198</v>
      </c>
      <c r="J11" s="705">
        <v>1000</v>
      </c>
      <c r="K11" s="705"/>
      <c r="L11" s="643">
        <v>0</v>
      </c>
      <c r="M11" s="708">
        <v>0</v>
      </c>
      <c r="N11" s="643">
        <f>AK11</f>
        <v>88000</v>
      </c>
      <c r="O11" s="643">
        <f>AL11</f>
        <v>22000</v>
      </c>
      <c r="P11" s="643">
        <f>AM11</f>
        <v>22000</v>
      </c>
      <c r="Q11" s="643">
        <f>AN11</f>
        <v>22000</v>
      </c>
      <c r="R11" s="643">
        <f>AO11</f>
        <v>22000</v>
      </c>
      <c r="S11" s="643">
        <v>0</v>
      </c>
      <c r="T11" s="643">
        <v>0</v>
      </c>
      <c r="U11" s="707"/>
      <c r="V11" s="668"/>
      <c r="W11" s="668"/>
      <c r="X11" s="668"/>
      <c r="Y11" s="668"/>
      <c r="Z11" s="668"/>
      <c r="AA11" s="668"/>
      <c r="AB11" s="668"/>
      <c r="AC11" s="668"/>
      <c r="AD11" s="668"/>
      <c r="AE11" s="668"/>
      <c r="AF11" s="84"/>
      <c r="AG11" s="84"/>
      <c r="AH11" s="84"/>
      <c r="AI11" s="668"/>
      <c r="AJ11" s="668"/>
      <c r="AK11" s="79">
        <f t="shared" si="1"/>
        <v>88000</v>
      </c>
      <c r="AL11" s="79">
        <f t="shared" si="2"/>
        <v>22000</v>
      </c>
      <c r="AM11" s="79">
        <f t="shared" si="3"/>
        <v>22000</v>
      </c>
      <c r="AN11" s="79">
        <f t="shared" si="3"/>
        <v>22000</v>
      </c>
      <c r="AO11" s="79">
        <f t="shared" si="3"/>
        <v>22000</v>
      </c>
      <c r="AP11" s="79">
        <f t="shared" si="3"/>
        <v>22000</v>
      </c>
      <c r="AQ11" s="79"/>
      <c r="AR11" s="79"/>
      <c r="AS11" s="79"/>
      <c r="AT11" s="79"/>
      <c r="AU11" s="79"/>
      <c r="AV11" s="79"/>
      <c r="AW11" s="79"/>
      <c r="AX11" s="79"/>
      <c r="AY11" s="79"/>
      <c r="AZ11" s="79">
        <f t="shared" si="4"/>
        <v>0</v>
      </c>
    </row>
    <row r="12" spans="1:52" ht="12.75" customHeight="1">
      <c r="A12" s="84" t="s">
        <v>207</v>
      </c>
      <c r="B12" s="704" t="s">
        <v>134</v>
      </c>
      <c r="C12" s="704" t="s">
        <v>138</v>
      </c>
      <c r="D12" s="704">
        <v>9</v>
      </c>
      <c r="E12" s="700" t="s">
        <v>138</v>
      </c>
      <c r="F12" s="343"/>
      <c r="G12" s="342" t="s">
        <v>122</v>
      </c>
      <c r="H12" s="645"/>
      <c r="I12" s="661">
        <f>22*D12</f>
        <v>198</v>
      </c>
      <c r="J12" s="705">
        <v>1000</v>
      </c>
      <c r="K12" s="705"/>
      <c r="L12" s="643">
        <v>0</v>
      </c>
      <c r="M12" s="643">
        <v>0</v>
      </c>
      <c r="N12" s="643">
        <v>0</v>
      </c>
      <c r="O12" s="643">
        <f>AK12</f>
        <v>88000</v>
      </c>
      <c r="P12" s="643">
        <f>AL12</f>
        <v>22000</v>
      </c>
      <c r="Q12" s="643">
        <f>AM12</f>
        <v>22000</v>
      </c>
      <c r="R12" s="643">
        <f>AN12</f>
        <v>22000</v>
      </c>
      <c r="S12" s="643">
        <v>0</v>
      </c>
      <c r="T12" s="643">
        <v>0</v>
      </c>
      <c r="U12" s="707"/>
      <c r="V12" s="668"/>
      <c r="W12" s="668"/>
      <c r="X12" s="668"/>
      <c r="Y12" s="668"/>
      <c r="Z12" s="668"/>
      <c r="AA12" s="668"/>
      <c r="AB12" s="668"/>
      <c r="AC12" s="668"/>
      <c r="AD12" s="668"/>
      <c r="AE12" s="668"/>
      <c r="AF12" s="84"/>
      <c r="AG12" s="84"/>
      <c r="AH12" s="84"/>
      <c r="AI12" s="668"/>
      <c r="AJ12" s="668"/>
      <c r="AK12" s="79">
        <f t="shared" si="1"/>
        <v>88000</v>
      </c>
      <c r="AL12" s="79">
        <f t="shared" si="2"/>
        <v>22000</v>
      </c>
      <c r="AM12" s="79">
        <f t="shared" si="3"/>
        <v>22000</v>
      </c>
      <c r="AN12" s="79">
        <f t="shared" si="3"/>
        <v>22000</v>
      </c>
      <c r="AO12" s="79">
        <f t="shared" si="3"/>
        <v>22000</v>
      </c>
      <c r="AP12" s="79">
        <f t="shared" si="3"/>
        <v>22000</v>
      </c>
      <c r="AQ12" s="79"/>
      <c r="AR12" s="79"/>
      <c r="AS12" s="79"/>
      <c r="AT12" s="79"/>
      <c r="AU12" s="79"/>
      <c r="AV12" s="79"/>
      <c r="AW12" s="79"/>
      <c r="AX12" s="79"/>
      <c r="AY12" s="79"/>
      <c r="AZ12" s="79"/>
    </row>
    <row r="13" spans="1:52" ht="12.75" customHeight="1">
      <c r="A13" s="84" t="s">
        <v>208</v>
      </c>
      <c r="B13" s="704" t="s">
        <v>209</v>
      </c>
      <c r="C13" s="704" t="s">
        <v>120</v>
      </c>
      <c r="D13" s="704">
        <v>9</v>
      </c>
      <c r="E13" s="704" t="s">
        <v>132</v>
      </c>
      <c r="F13" s="342">
        <v>7</v>
      </c>
      <c r="G13" s="342" t="s">
        <v>122</v>
      </c>
      <c r="H13" s="645"/>
      <c r="I13" s="661">
        <f t="shared" ref="I13:I21" si="6">22*D13</f>
        <v>198</v>
      </c>
      <c r="J13" s="694">
        <v>950</v>
      </c>
      <c r="K13" s="705"/>
      <c r="L13" s="643">
        <f t="shared" ref="L13:T13" si="7">AN13</f>
        <v>20900</v>
      </c>
      <c r="M13" s="643">
        <f t="shared" si="7"/>
        <v>20900</v>
      </c>
      <c r="N13" s="643">
        <f t="shared" si="7"/>
        <v>20900</v>
      </c>
      <c r="O13" s="643">
        <f t="shared" si="7"/>
        <v>0</v>
      </c>
      <c r="P13" s="643">
        <f t="shared" si="7"/>
        <v>0</v>
      </c>
      <c r="Q13" s="643">
        <f t="shared" si="7"/>
        <v>0</v>
      </c>
      <c r="R13" s="643">
        <f t="shared" si="7"/>
        <v>0</v>
      </c>
      <c r="S13" s="643">
        <f t="shared" si="7"/>
        <v>0</v>
      </c>
      <c r="T13" s="643">
        <f t="shared" si="7"/>
        <v>0</v>
      </c>
      <c r="U13" s="643"/>
      <c r="V13" s="84"/>
      <c r="W13" s="84"/>
      <c r="X13" s="84"/>
      <c r="Y13" s="84"/>
      <c r="Z13" s="84"/>
      <c r="AA13" s="84"/>
      <c r="AB13" s="84"/>
      <c r="AC13" s="84"/>
      <c r="AD13" s="84"/>
      <c r="AE13" s="84"/>
      <c r="AF13" s="84"/>
      <c r="AG13" s="84"/>
      <c r="AH13" s="84"/>
      <c r="AI13" s="84"/>
      <c r="AJ13" s="84"/>
      <c r="AK13" s="79">
        <f t="shared" si="1"/>
        <v>83600</v>
      </c>
      <c r="AL13" s="79">
        <f t="shared" si="2"/>
        <v>20900</v>
      </c>
      <c r="AM13" s="79">
        <f t="shared" si="3"/>
        <v>20900</v>
      </c>
      <c r="AN13" s="85">
        <f t="shared" si="3"/>
        <v>20900</v>
      </c>
      <c r="AO13" s="79">
        <f t="shared" si="3"/>
        <v>20900</v>
      </c>
      <c r="AP13" s="79">
        <f t="shared" si="3"/>
        <v>20900</v>
      </c>
      <c r="AQ13" s="79"/>
      <c r="AR13" s="79"/>
      <c r="AS13" s="79"/>
      <c r="AT13" s="79"/>
      <c r="AU13" s="79"/>
      <c r="AV13" s="79"/>
      <c r="AW13" s="79"/>
      <c r="AX13" s="79"/>
      <c r="AY13" s="79"/>
      <c r="AZ13" s="79">
        <f t="shared" si="4"/>
        <v>0</v>
      </c>
    </row>
    <row r="14" spans="1:52" ht="12.75" customHeight="1">
      <c r="A14" s="84" t="s">
        <v>210</v>
      </c>
      <c r="B14" s="704" t="s">
        <v>134</v>
      </c>
      <c r="C14" s="704" t="s">
        <v>202</v>
      </c>
      <c r="D14" s="704">
        <v>11</v>
      </c>
      <c r="E14" s="704" t="s">
        <v>211</v>
      </c>
      <c r="F14" s="343">
        <v>8</v>
      </c>
      <c r="G14" s="343" t="s">
        <v>212</v>
      </c>
      <c r="H14" s="645"/>
      <c r="I14" s="661">
        <v>243</v>
      </c>
      <c r="J14" s="694">
        <v>750</v>
      </c>
      <c r="K14" s="694"/>
      <c r="L14" s="643">
        <v>0</v>
      </c>
      <c r="M14" s="643">
        <f t="shared" ref="M14:T15" si="8">AK14</f>
        <v>99000</v>
      </c>
      <c r="N14" s="643">
        <f t="shared" si="8"/>
        <v>16500</v>
      </c>
      <c r="O14" s="643">
        <f t="shared" si="8"/>
        <v>16500</v>
      </c>
      <c r="P14" s="643">
        <f t="shared" si="8"/>
        <v>16500</v>
      </c>
      <c r="Q14" s="643">
        <f t="shared" si="8"/>
        <v>16500</v>
      </c>
      <c r="R14" s="643">
        <f t="shared" si="8"/>
        <v>0</v>
      </c>
      <c r="S14" s="643">
        <f t="shared" si="8"/>
        <v>0</v>
      </c>
      <c r="T14" s="643">
        <f t="shared" si="8"/>
        <v>0</v>
      </c>
      <c r="U14" s="643"/>
      <c r="V14" s="84"/>
      <c r="W14" s="84"/>
      <c r="X14" s="84"/>
      <c r="Y14" s="84"/>
      <c r="Z14" s="84"/>
      <c r="AA14" s="84"/>
      <c r="AB14" s="84"/>
      <c r="AC14" s="84"/>
      <c r="AD14" s="84"/>
      <c r="AE14" s="84"/>
      <c r="AF14" s="84"/>
      <c r="AG14" s="84"/>
      <c r="AH14" s="84"/>
      <c r="AI14" s="84"/>
      <c r="AJ14" s="84"/>
      <c r="AK14" s="79">
        <f>(6*22)*$J14</f>
        <v>99000</v>
      </c>
      <c r="AL14" s="79">
        <f t="shared" si="2"/>
        <v>16500</v>
      </c>
      <c r="AM14" s="79">
        <f t="shared" si="3"/>
        <v>16500</v>
      </c>
      <c r="AN14" s="79">
        <f t="shared" si="3"/>
        <v>16500</v>
      </c>
      <c r="AO14" s="79">
        <f t="shared" si="3"/>
        <v>16500</v>
      </c>
      <c r="AP14" s="79"/>
      <c r="AQ14" s="79"/>
      <c r="AR14" s="79"/>
      <c r="AS14" s="79"/>
      <c r="AT14" s="79"/>
      <c r="AU14" s="79"/>
      <c r="AV14" s="79"/>
      <c r="AW14" s="79"/>
      <c r="AX14" s="79"/>
      <c r="AY14" s="79"/>
      <c r="AZ14" s="79">
        <f>I14*J14-SUM(AK14:AY14)</f>
        <v>17250</v>
      </c>
    </row>
    <row r="15" spans="1:52" ht="12.75" customHeight="1">
      <c r="A15" s="84" t="s">
        <v>213</v>
      </c>
      <c r="B15" s="704" t="s">
        <v>132</v>
      </c>
      <c r="C15" s="704" t="s">
        <v>202</v>
      </c>
      <c r="D15" s="704">
        <v>9</v>
      </c>
      <c r="E15" s="704" t="s">
        <v>127</v>
      </c>
      <c r="F15" s="343">
        <v>2</v>
      </c>
      <c r="G15" s="343" t="s">
        <v>206</v>
      </c>
      <c r="H15" s="645"/>
      <c r="I15" s="661">
        <v>207</v>
      </c>
      <c r="J15" s="705">
        <v>425</v>
      </c>
      <c r="K15" s="694"/>
      <c r="L15" s="643">
        <v>0</v>
      </c>
      <c r="M15" s="643">
        <f t="shared" si="8"/>
        <v>37400</v>
      </c>
      <c r="N15" s="643">
        <f t="shared" si="8"/>
        <v>9350</v>
      </c>
      <c r="O15" s="643">
        <f t="shared" si="8"/>
        <v>9350</v>
      </c>
      <c r="P15" s="643">
        <f t="shared" si="8"/>
        <v>9350</v>
      </c>
      <c r="Q15" s="643">
        <f t="shared" si="8"/>
        <v>9350</v>
      </c>
      <c r="R15" s="643">
        <f t="shared" si="8"/>
        <v>0</v>
      </c>
      <c r="S15" s="643">
        <f t="shared" si="8"/>
        <v>0</v>
      </c>
      <c r="T15" s="643">
        <f t="shared" si="8"/>
        <v>0</v>
      </c>
      <c r="U15" s="643"/>
      <c r="V15" s="84"/>
      <c r="W15" s="84"/>
      <c r="X15" s="84"/>
      <c r="Y15" s="84"/>
      <c r="Z15" s="84"/>
      <c r="AA15" s="84"/>
      <c r="AB15" s="84"/>
      <c r="AC15" s="84"/>
      <c r="AD15" s="84"/>
      <c r="AE15" s="84"/>
      <c r="AF15" s="84"/>
      <c r="AG15" s="84"/>
      <c r="AH15" s="84"/>
      <c r="AI15" s="84"/>
      <c r="AJ15" s="84"/>
      <c r="AK15" s="79">
        <f t="shared" si="1"/>
        <v>37400</v>
      </c>
      <c r="AL15" s="79">
        <f t="shared" si="2"/>
        <v>9350</v>
      </c>
      <c r="AM15" s="79">
        <f t="shared" si="3"/>
        <v>9350</v>
      </c>
      <c r="AN15" s="79">
        <f t="shared" si="3"/>
        <v>9350</v>
      </c>
      <c r="AO15" s="79">
        <f t="shared" si="3"/>
        <v>9350</v>
      </c>
      <c r="AP15" s="79"/>
      <c r="AQ15" s="79"/>
      <c r="AR15" s="79"/>
      <c r="AS15" s="79"/>
      <c r="AT15" s="79"/>
      <c r="AU15" s="79"/>
      <c r="AV15" s="79"/>
      <c r="AW15" s="79"/>
      <c r="AX15" s="79"/>
      <c r="AY15" s="79"/>
      <c r="AZ15" s="79">
        <f t="shared" si="4"/>
        <v>13175</v>
      </c>
    </row>
    <row r="16" spans="1:52" ht="12.75" customHeight="1">
      <c r="A16" s="84" t="s">
        <v>214</v>
      </c>
      <c r="B16" s="704" t="s">
        <v>215</v>
      </c>
      <c r="C16" s="700" t="s">
        <v>216</v>
      </c>
      <c r="D16" s="700">
        <v>9</v>
      </c>
      <c r="E16" s="700" t="s">
        <v>200</v>
      </c>
      <c r="F16" s="343">
        <v>8</v>
      </c>
      <c r="G16" s="343" t="s">
        <v>122</v>
      </c>
      <c r="H16" s="645"/>
      <c r="I16" s="661">
        <f t="shared" si="6"/>
        <v>198</v>
      </c>
      <c r="J16" s="705">
        <v>800</v>
      </c>
      <c r="K16" s="694"/>
      <c r="L16" s="643">
        <f t="shared" ref="L16:T16" si="9">AO16</f>
        <v>17600</v>
      </c>
      <c r="M16" s="643">
        <f t="shared" si="9"/>
        <v>17600</v>
      </c>
      <c r="N16" s="643">
        <f t="shared" si="9"/>
        <v>0</v>
      </c>
      <c r="O16" s="643">
        <f t="shared" si="9"/>
        <v>0</v>
      </c>
      <c r="P16" s="643">
        <f t="shared" si="9"/>
        <v>0</v>
      </c>
      <c r="Q16" s="643">
        <f t="shared" si="9"/>
        <v>0</v>
      </c>
      <c r="R16" s="643">
        <f t="shared" si="9"/>
        <v>0</v>
      </c>
      <c r="S16" s="643">
        <f t="shared" si="9"/>
        <v>0</v>
      </c>
      <c r="T16" s="643">
        <f t="shared" si="9"/>
        <v>0</v>
      </c>
      <c r="U16" s="643"/>
      <c r="V16" s="84"/>
      <c r="W16" s="84"/>
      <c r="X16" s="84"/>
      <c r="Y16" s="84"/>
      <c r="Z16" s="84"/>
      <c r="AA16" s="84"/>
      <c r="AB16" s="84"/>
      <c r="AC16" s="84"/>
      <c r="AD16" s="84"/>
      <c r="AE16" s="84"/>
      <c r="AF16" s="84"/>
      <c r="AG16" s="84"/>
      <c r="AH16" s="84"/>
      <c r="AI16" s="84"/>
      <c r="AJ16" s="84"/>
      <c r="AK16" s="79">
        <f t="shared" si="1"/>
        <v>70400</v>
      </c>
      <c r="AL16" s="79">
        <f t="shared" si="2"/>
        <v>17600</v>
      </c>
      <c r="AM16" s="79">
        <f t="shared" si="3"/>
        <v>17600</v>
      </c>
      <c r="AN16" s="79">
        <f t="shared" si="3"/>
        <v>17600</v>
      </c>
      <c r="AO16" s="85">
        <f t="shared" si="3"/>
        <v>17600</v>
      </c>
      <c r="AP16" s="79">
        <f t="shared" si="3"/>
        <v>17600</v>
      </c>
      <c r="AQ16" s="79"/>
      <c r="AR16" s="79"/>
      <c r="AS16" s="79"/>
      <c r="AT16" s="79"/>
      <c r="AU16" s="79"/>
      <c r="AV16" s="79"/>
      <c r="AW16" s="79"/>
      <c r="AX16" s="79"/>
      <c r="AY16" s="79"/>
      <c r="AZ16" s="79">
        <f t="shared" si="4"/>
        <v>0</v>
      </c>
    </row>
    <row r="17" spans="1:52" ht="12.75" customHeight="1">
      <c r="A17" s="84" t="s">
        <v>217</v>
      </c>
      <c r="B17" s="704" t="s">
        <v>218</v>
      </c>
      <c r="C17" s="704" t="s">
        <v>1407</v>
      </c>
      <c r="D17" s="700">
        <v>10</v>
      </c>
      <c r="E17" s="704" t="s">
        <v>219</v>
      </c>
      <c r="F17" s="343">
        <v>6</v>
      </c>
      <c r="G17" s="343" t="s">
        <v>220</v>
      </c>
      <c r="H17" s="645"/>
      <c r="I17" s="661">
        <v>227</v>
      </c>
      <c r="J17" s="694">
        <v>600</v>
      </c>
      <c r="K17" s="694"/>
      <c r="L17" s="643">
        <f t="shared" ref="L17:T17" si="10">AM17</f>
        <v>13200</v>
      </c>
      <c r="M17" s="643">
        <f t="shared" si="10"/>
        <v>13200</v>
      </c>
      <c r="N17" s="643">
        <f t="shared" si="10"/>
        <v>13200</v>
      </c>
      <c r="O17" s="643">
        <f t="shared" si="10"/>
        <v>13200</v>
      </c>
      <c r="P17" s="643">
        <f t="shared" si="10"/>
        <v>13200</v>
      </c>
      <c r="Q17" s="643">
        <f t="shared" si="10"/>
        <v>13200</v>
      </c>
      <c r="R17" s="643">
        <f t="shared" si="10"/>
        <v>0</v>
      </c>
      <c r="S17" s="643">
        <f t="shared" si="10"/>
        <v>0</v>
      </c>
      <c r="T17" s="643">
        <f t="shared" si="10"/>
        <v>0</v>
      </c>
      <c r="U17" s="643"/>
      <c r="V17" s="84"/>
      <c r="W17" s="84"/>
      <c r="X17" s="84"/>
      <c r="Y17" s="84"/>
      <c r="Z17" s="84"/>
      <c r="AA17" s="84"/>
      <c r="AB17" s="84"/>
      <c r="AC17" s="84"/>
      <c r="AD17" s="84"/>
      <c r="AE17" s="84"/>
      <c r="AF17" s="84"/>
      <c r="AG17" s="84"/>
      <c r="AH17" s="84"/>
      <c r="AI17" s="84"/>
      <c r="AJ17" s="84"/>
      <c r="AK17" s="79">
        <f t="shared" si="1"/>
        <v>52800</v>
      </c>
      <c r="AL17" s="79">
        <f t="shared" si="2"/>
        <v>13200</v>
      </c>
      <c r="AM17" s="85">
        <f t="shared" si="3"/>
        <v>13200</v>
      </c>
      <c r="AN17" s="79">
        <f t="shared" si="3"/>
        <v>13200</v>
      </c>
      <c r="AO17" s="79">
        <f t="shared" si="3"/>
        <v>13200</v>
      </c>
      <c r="AP17" s="79">
        <f t="shared" si="3"/>
        <v>13200</v>
      </c>
      <c r="AQ17" s="79">
        <f t="shared" si="3"/>
        <v>13200</v>
      </c>
      <c r="AR17" s="79">
        <f t="shared" si="3"/>
        <v>13200</v>
      </c>
      <c r="AS17" s="79"/>
      <c r="AT17" s="79"/>
      <c r="AU17" s="79"/>
      <c r="AV17" s="79"/>
      <c r="AW17" s="79"/>
      <c r="AX17" s="79"/>
      <c r="AY17" s="79"/>
      <c r="AZ17" s="79">
        <f t="shared" si="4"/>
        <v>-9000</v>
      </c>
    </row>
    <row r="18" spans="1:52" ht="12.75" customHeight="1">
      <c r="A18" s="84" t="s">
        <v>258</v>
      </c>
      <c r="B18" s="704" t="s">
        <v>134</v>
      </c>
      <c r="C18" s="700" t="s">
        <v>216</v>
      </c>
      <c r="D18" s="700">
        <v>5</v>
      </c>
      <c r="E18" s="700" t="s">
        <v>216</v>
      </c>
      <c r="F18" s="343">
        <v>5</v>
      </c>
      <c r="G18" s="343" t="s">
        <v>220</v>
      </c>
      <c r="H18" s="645"/>
      <c r="I18" s="661">
        <f t="shared" si="6"/>
        <v>110</v>
      </c>
      <c r="J18" s="705">
        <v>500</v>
      </c>
      <c r="K18" s="694"/>
      <c r="L18" s="643">
        <f>AL18</f>
        <v>11000</v>
      </c>
      <c r="M18" s="643">
        <f t="shared" ref="M18:T19" si="11">AM18</f>
        <v>0</v>
      </c>
      <c r="N18" s="643">
        <f t="shared" si="11"/>
        <v>0</v>
      </c>
      <c r="O18" s="643">
        <f t="shared" si="11"/>
        <v>0</v>
      </c>
      <c r="P18" s="643">
        <f t="shared" si="11"/>
        <v>0</v>
      </c>
      <c r="Q18" s="643">
        <f t="shared" si="11"/>
        <v>0</v>
      </c>
      <c r="R18" s="643">
        <f t="shared" si="11"/>
        <v>0</v>
      </c>
      <c r="S18" s="643">
        <f t="shared" si="11"/>
        <v>0</v>
      </c>
      <c r="T18" s="643">
        <f t="shared" si="11"/>
        <v>0</v>
      </c>
      <c r="U18" s="643"/>
      <c r="V18" s="84"/>
      <c r="W18" s="84"/>
      <c r="X18" s="84"/>
      <c r="Y18" s="84"/>
      <c r="Z18" s="84"/>
      <c r="AA18" s="84"/>
      <c r="AB18" s="84"/>
      <c r="AC18" s="84"/>
      <c r="AD18" s="84"/>
      <c r="AE18" s="84"/>
      <c r="AF18" s="84"/>
      <c r="AG18" s="84"/>
      <c r="AH18" s="84"/>
      <c r="AI18" s="84"/>
      <c r="AJ18" s="84"/>
      <c r="AK18" s="79">
        <f t="shared" si="1"/>
        <v>44000</v>
      </c>
      <c r="AL18" s="79">
        <f t="shared" si="2"/>
        <v>11000</v>
      </c>
      <c r="AM18" s="79"/>
      <c r="AN18" s="79"/>
      <c r="AO18" s="79"/>
      <c r="AP18" s="79"/>
      <c r="AQ18" s="79"/>
      <c r="AR18" s="79"/>
      <c r="AS18" s="79"/>
      <c r="AT18" s="79"/>
      <c r="AU18" s="79"/>
      <c r="AV18" s="79"/>
      <c r="AW18" s="79"/>
      <c r="AX18" s="79"/>
      <c r="AY18" s="79"/>
      <c r="AZ18" s="79">
        <f t="shared" si="4"/>
        <v>0</v>
      </c>
    </row>
    <row r="19" spans="1:52" ht="12.75" customHeight="1">
      <c r="A19" s="84" t="s">
        <v>259</v>
      </c>
      <c r="B19" s="704" t="s">
        <v>134</v>
      </c>
      <c r="C19" s="704" t="s">
        <v>120</v>
      </c>
      <c r="D19" s="704">
        <v>7</v>
      </c>
      <c r="E19" s="700" t="s">
        <v>216</v>
      </c>
      <c r="F19" s="343">
        <v>5</v>
      </c>
      <c r="G19" s="343" t="s">
        <v>260</v>
      </c>
      <c r="H19" s="645"/>
      <c r="I19" s="661">
        <f t="shared" si="6"/>
        <v>154</v>
      </c>
      <c r="J19" s="705">
        <v>600</v>
      </c>
      <c r="K19" s="694"/>
      <c r="L19" s="643">
        <f>AL19</f>
        <v>13200</v>
      </c>
      <c r="M19" s="643">
        <f t="shared" si="11"/>
        <v>13200</v>
      </c>
      <c r="N19" s="643">
        <f t="shared" si="11"/>
        <v>13200</v>
      </c>
      <c r="O19" s="643">
        <f t="shared" si="11"/>
        <v>0</v>
      </c>
      <c r="P19" s="643">
        <f t="shared" si="11"/>
        <v>0</v>
      </c>
      <c r="Q19" s="643">
        <f t="shared" si="11"/>
        <v>0</v>
      </c>
      <c r="R19" s="643">
        <f t="shared" si="11"/>
        <v>0</v>
      </c>
      <c r="S19" s="643">
        <f t="shared" si="11"/>
        <v>0</v>
      </c>
      <c r="T19" s="643">
        <f t="shared" si="11"/>
        <v>0</v>
      </c>
      <c r="U19" s="643"/>
      <c r="V19" s="84"/>
      <c r="W19" s="84"/>
      <c r="X19" s="84"/>
      <c r="Y19" s="84"/>
      <c r="Z19" s="84"/>
      <c r="AA19" s="84"/>
      <c r="AB19" s="84"/>
      <c r="AC19" s="84"/>
      <c r="AD19" s="84"/>
      <c r="AE19" s="84"/>
      <c r="AF19" s="84"/>
      <c r="AG19" s="84"/>
      <c r="AH19" s="84"/>
      <c r="AI19" s="84"/>
      <c r="AJ19" s="84"/>
      <c r="AK19" s="79">
        <f t="shared" si="1"/>
        <v>52800</v>
      </c>
      <c r="AL19" s="79">
        <f t="shared" si="2"/>
        <v>13200</v>
      </c>
      <c r="AM19" s="79">
        <f>$J19*22</f>
        <v>13200</v>
      </c>
      <c r="AN19" s="79">
        <f>$J19*22</f>
        <v>13200</v>
      </c>
      <c r="AO19" s="79"/>
      <c r="AP19" s="79"/>
      <c r="AQ19" s="79"/>
      <c r="AR19" s="79"/>
      <c r="AS19" s="79"/>
      <c r="AT19" s="79"/>
      <c r="AU19" s="79"/>
      <c r="AV19" s="79"/>
      <c r="AW19" s="79"/>
      <c r="AX19" s="79"/>
      <c r="AY19" s="79"/>
      <c r="AZ19" s="79">
        <f t="shared" si="4"/>
        <v>0</v>
      </c>
    </row>
    <row r="20" spans="1:52" ht="12.75" customHeight="1">
      <c r="A20" s="84" t="s">
        <v>261</v>
      </c>
      <c r="B20" s="704" t="s">
        <v>218</v>
      </c>
      <c r="C20" s="700" t="s">
        <v>216</v>
      </c>
      <c r="D20" s="700">
        <v>6</v>
      </c>
      <c r="E20" s="700" t="s">
        <v>219</v>
      </c>
      <c r="F20" s="343">
        <v>5</v>
      </c>
      <c r="G20" s="343" t="s">
        <v>262</v>
      </c>
      <c r="H20" s="645"/>
      <c r="I20" s="661">
        <f t="shared" si="6"/>
        <v>132</v>
      </c>
      <c r="J20" s="648">
        <f>Q20/I20</f>
        <v>681.81818181818187</v>
      </c>
      <c r="K20" s="694"/>
      <c r="L20" s="643">
        <f t="shared" ref="L20:T20" si="12">AM20</f>
        <v>15000.000000000002</v>
      </c>
      <c r="M20" s="643">
        <f t="shared" si="12"/>
        <v>0</v>
      </c>
      <c r="N20" s="643">
        <f t="shared" si="12"/>
        <v>0</v>
      </c>
      <c r="O20" s="643">
        <f t="shared" si="12"/>
        <v>0</v>
      </c>
      <c r="P20" s="643">
        <f t="shared" si="12"/>
        <v>0</v>
      </c>
      <c r="Q20" s="707">
        <v>90000</v>
      </c>
      <c r="R20" s="707">
        <f t="shared" si="12"/>
        <v>0</v>
      </c>
      <c r="S20" s="707">
        <f t="shared" si="12"/>
        <v>0</v>
      </c>
      <c r="T20" s="707">
        <f t="shared" si="12"/>
        <v>0</v>
      </c>
      <c r="U20" s="707"/>
      <c r="V20" s="84"/>
      <c r="W20" s="84"/>
      <c r="X20" s="84"/>
      <c r="Y20" s="84"/>
      <c r="Z20" s="84"/>
      <c r="AA20" s="84"/>
      <c r="AB20" s="84"/>
      <c r="AC20" s="84"/>
      <c r="AD20" s="84"/>
      <c r="AE20" s="84"/>
      <c r="AF20" s="84"/>
      <c r="AG20" s="84"/>
      <c r="AH20" s="84"/>
      <c r="AI20" s="84"/>
      <c r="AJ20" s="84"/>
      <c r="AK20" s="79">
        <v>100000</v>
      </c>
      <c r="AL20" s="79">
        <f t="shared" si="2"/>
        <v>15000.000000000002</v>
      </c>
      <c r="AM20" s="85">
        <f>$J20*22</f>
        <v>15000.000000000002</v>
      </c>
      <c r="AN20" s="79"/>
      <c r="AO20" s="79"/>
      <c r="AP20" s="79"/>
      <c r="AQ20" s="79"/>
      <c r="AR20" s="79"/>
      <c r="AS20" s="79"/>
      <c r="AT20" s="79"/>
      <c r="AU20" s="79"/>
      <c r="AV20" s="79"/>
      <c r="AW20" s="79"/>
      <c r="AX20" s="79"/>
      <c r="AY20" s="79"/>
      <c r="AZ20" s="79">
        <f t="shared" si="4"/>
        <v>-40000</v>
      </c>
    </row>
    <row r="21" spans="1:52" ht="12.75" customHeight="1">
      <c r="A21" s="84" t="s">
        <v>263</v>
      </c>
      <c r="B21" s="704" t="s">
        <v>180</v>
      </c>
      <c r="C21" s="700" t="s">
        <v>132</v>
      </c>
      <c r="D21" s="700">
        <v>6</v>
      </c>
      <c r="E21" s="700" t="s">
        <v>138</v>
      </c>
      <c r="F21" s="343">
        <v>1</v>
      </c>
      <c r="G21" s="343" t="s">
        <v>264</v>
      </c>
      <c r="H21" s="645"/>
      <c r="I21" s="661">
        <f t="shared" si="6"/>
        <v>132</v>
      </c>
      <c r="J21" s="705">
        <v>500</v>
      </c>
      <c r="K21" s="694"/>
      <c r="L21" s="643">
        <v>0</v>
      </c>
      <c r="M21" s="643">
        <v>0</v>
      </c>
      <c r="N21" s="643">
        <v>0</v>
      </c>
      <c r="O21" s="643">
        <f t="shared" ref="O21:T21" si="13">AK21</f>
        <v>66000</v>
      </c>
      <c r="P21" s="643">
        <f t="shared" si="13"/>
        <v>0</v>
      </c>
      <c r="Q21" s="643">
        <f t="shared" si="13"/>
        <v>0</v>
      </c>
      <c r="R21" s="643">
        <f t="shared" si="13"/>
        <v>0</v>
      </c>
      <c r="S21" s="643">
        <f t="shared" si="13"/>
        <v>0</v>
      </c>
      <c r="T21" s="643">
        <f t="shared" si="13"/>
        <v>0</v>
      </c>
      <c r="U21" s="643"/>
      <c r="V21" s="84"/>
      <c r="W21" s="84"/>
      <c r="X21" s="84"/>
      <c r="Y21" s="84"/>
      <c r="Z21" s="84"/>
      <c r="AA21" s="84"/>
      <c r="AB21" s="84"/>
      <c r="AC21" s="84"/>
      <c r="AD21" s="84"/>
      <c r="AE21" s="84"/>
      <c r="AF21" s="84"/>
      <c r="AG21" s="84"/>
      <c r="AH21" s="84"/>
      <c r="AI21" s="84"/>
      <c r="AJ21" s="84"/>
      <c r="AK21" s="79">
        <f>(6*22)*$J21</f>
        <v>66000</v>
      </c>
      <c r="AL21" s="79"/>
      <c r="AM21" s="79"/>
      <c r="AN21" s="79"/>
      <c r="AO21" s="79"/>
      <c r="AP21" s="79"/>
      <c r="AQ21" s="79"/>
      <c r="AR21" s="79"/>
      <c r="AS21" s="79"/>
      <c r="AT21" s="79"/>
      <c r="AU21" s="79"/>
      <c r="AV21" s="79"/>
      <c r="AW21" s="79"/>
      <c r="AX21" s="79"/>
      <c r="AY21" s="79"/>
      <c r="AZ21" s="79">
        <f t="shared" si="4"/>
        <v>0</v>
      </c>
    </row>
    <row r="22" spans="1:52" ht="12.75" customHeight="1">
      <c r="A22" s="84" t="s">
        <v>265</v>
      </c>
      <c r="B22" s="704" t="s">
        <v>266</v>
      </c>
      <c r="C22" s="700" t="s">
        <v>209</v>
      </c>
      <c r="D22" s="700">
        <v>11</v>
      </c>
      <c r="E22" s="700" t="s">
        <v>138</v>
      </c>
      <c r="F22" s="343">
        <v>1</v>
      </c>
      <c r="G22" s="343" t="s">
        <v>264</v>
      </c>
      <c r="H22" s="645"/>
      <c r="I22" s="661">
        <v>250</v>
      </c>
      <c r="J22" s="705">
        <v>500</v>
      </c>
      <c r="K22" s="694"/>
      <c r="L22" s="643">
        <f t="shared" ref="L22:T22" si="14">AK22</f>
        <v>125000</v>
      </c>
      <c r="M22" s="643">
        <f t="shared" si="14"/>
        <v>0</v>
      </c>
      <c r="N22" s="643">
        <f t="shared" si="14"/>
        <v>0</v>
      </c>
      <c r="O22" s="643">
        <f t="shared" si="14"/>
        <v>0</v>
      </c>
      <c r="P22" s="643">
        <f t="shared" si="14"/>
        <v>0</v>
      </c>
      <c r="Q22" s="643">
        <f t="shared" si="14"/>
        <v>0</v>
      </c>
      <c r="R22" s="643">
        <f t="shared" si="14"/>
        <v>0</v>
      </c>
      <c r="S22" s="643">
        <f t="shared" si="14"/>
        <v>0</v>
      </c>
      <c r="T22" s="643">
        <f t="shared" si="14"/>
        <v>0</v>
      </c>
      <c r="U22" s="643"/>
      <c r="V22" s="84"/>
      <c r="W22" s="84"/>
      <c r="X22" s="84"/>
      <c r="Y22" s="84"/>
      <c r="Z22" s="84"/>
      <c r="AA22" s="84"/>
      <c r="AB22" s="84"/>
      <c r="AC22" s="84"/>
      <c r="AD22" s="84"/>
      <c r="AE22" s="84"/>
      <c r="AF22" s="84"/>
      <c r="AG22" s="84"/>
      <c r="AH22" s="84"/>
      <c r="AI22" s="84"/>
      <c r="AJ22" s="84"/>
      <c r="AK22" s="79">
        <f>I22*$J22</f>
        <v>125000</v>
      </c>
      <c r="AL22" s="79"/>
      <c r="AM22" s="79"/>
      <c r="AN22" s="79"/>
      <c r="AO22" s="79"/>
      <c r="AP22" s="79"/>
      <c r="AQ22" s="79"/>
      <c r="AR22" s="79"/>
      <c r="AS22" s="79"/>
      <c r="AT22" s="79"/>
      <c r="AU22" s="79"/>
      <c r="AV22" s="79"/>
      <c r="AW22" s="79"/>
      <c r="AX22" s="79"/>
      <c r="AY22" s="79"/>
      <c r="AZ22" s="79">
        <f t="shared" si="4"/>
        <v>0</v>
      </c>
    </row>
    <row r="23" spans="1:52" ht="12.75" customHeight="1">
      <c r="A23" s="84" t="s">
        <v>267</v>
      </c>
      <c r="B23" s="704" t="s">
        <v>219</v>
      </c>
      <c r="C23" s="704" t="s">
        <v>120</v>
      </c>
      <c r="D23" s="704">
        <v>5</v>
      </c>
      <c r="E23" s="700" t="s">
        <v>127</v>
      </c>
      <c r="F23" s="343">
        <v>2</v>
      </c>
      <c r="G23" s="343" t="s">
        <v>268</v>
      </c>
      <c r="H23" s="645"/>
      <c r="I23" s="661">
        <f t="shared" ref="I23:I34" si="15">22*D23</f>
        <v>110</v>
      </c>
      <c r="J23" s="705">
        <f>1250*2/3</f>
        <v>833.33333333333337</v>
      </c>
      <c r="K23" s="694"/>
      <c r="L23" s="643">
        <v>0</v>
      </c>
      <c r="M23" s="709">
        <v>0</v>
      </c>
      <c r="N23" s="643">
        <f>AK23</f>
        <v>73333.333333333343</v>
      </c>
      <c r="O23" s="643">
        <f t="shared" ref="O23:T24" si="16">AL23</f>
        <v>18333.333333333336</v>
      </c>
      <c r="P23" s="643">
        <f t="shared" si="16"/>
        <v>0</v>
      </c>
      <c r="Q23" s="643">
        <f t="shared" si="16"/>
        <v>0</v>
      </c>
      <c r="R23" s="643">
        <f t="shared" si="16"/>
        <v>0</v>
      </c>
      <c r="S23" s="643">
        <f t="shared" si="16"/>
        <v>0</v>
      </c>
      <c r="T23" s="643">
        <f t="shared" si="16"/>
        <v>0</v>
      </c>
      <c r="U23" s="643"/>
      <c r="V23" s="84"/>
      <c r="W23" s="84"/>
      <c r="X23" s="84"/>
      <c r="Y23" s="84"/>
      <c r="Z23" s="84"/>
      <c r="AA23" s="84"/>
      <c r="AB23" s="84"/>
      <c r="AC23" s="84"/>
      <c r="AD23" s="84"/>
      <c r="AE23" s="84"/>
      <c r="AF23" s="84"/>
      <c r="AG23" s="84"/>
      <c r="AH23" s="84"/>
      <c r="AI23" s="84"/>
      <c r="AJ23" s="84"/>
      <c r="AK23" s="79">
        <f t="shared" si="1"/>
        <v>73333.333333333343</v>
      </c>
      <c r="AL23" s="79">
        <f t="shared" si="2"/>
        <v>18333.333333333336</v>
      </c>
      <c r="AM23" s="79"/>
      <c r="AN23" s="79"/>
      <c r="AO23" s="79"/>
      <c r="AP23" s="79"/>
      <c r="AQ23" s="79"/>
      <c r="AR23" s="79"/>
      <c r="AS23" s="79"/>
      <c r="AT23" s="79"/>
      <c r="AU23" s="79"/>
      <c r="AV23" s="79"/>
      <c r="AW23" s="79"/>
      <c r="AX23" s="79"/>
      <c r="AY23" s="79"/>
      <c r="AZ23" s="79">
        <f t="shared" si="4"/>
        <v>0</v>
      </c>
    </row>
    <row r="24" spans="1:52">
      <c r="A24" s="69" t="s">
        <v>269</v>
      </c>
      <c r="B24" s="704" t="s">
        <v>219</v>
      </c>
      <c r="C24" s="704" t="s">
        <v>138</v>
      </c>
      <c r="D24" s="704">
        <v>6</v>
      </c>
      <c r="E24" s="700" t="s">
        <v>127</v>
      </c>
      <c r="F24" s="343">
        <v>2</v>
      </c>
      <c r="G24" s="343" t="s">
        <v>270</v>
      </c>
      <c r="H24" s="645"/>
      <c r="I24" s="661">
        <f t="shared" si="15"/>
        <v>132</v>
      </c>
      <c r="J24" s="694">
        <v>550</v>
      </c>
      <c r="K24" s="694"/>
      <c r="L24" s="643">
        <v>0</v>
      </c>
      <c r="M24" s="709">
        <v>0</v>
      </c>
      <c r="N24" s="643">
        <f>AK24</f>
        <v>48400</v>
      </c>
      <c r="O24" s="643">
        <f t="shared" si="16"/>
        <v>12100</v>
      </c>
      <c r="P24" s="643">
        <f t="shared" si="16"/>
        <v>12100</v>
      </c>
      <c r="Q24" s="643">
        <f t="shared" si="16"/>
        <v>0</v>
      </c>
      <c r="R24" s="643">
        <f t="shared" si="16"/>
        <v>0</v>
      </c>
      <c r="S24" s="643">
        <f t="shared" si="16"/>
        <v>0</v>
      </c>
      <c r="T24" s="643">
        <f t="shared" si="16"/>
        <v>0</v>
      </c>
      <c r="U24" s="643"/>
      <c r="V24" s="84"/>
      <c r="W24" s="84"/>
      <c r="X24" s="84"/>
      <c r="Y24" s="84"/>
      <c r="Z24" s="84"/>
      <c r="AA24" s="84"/>
      <c r="AB24" s="84"/>
      <c r="AC24" s="84"/>
      <c r="AD24" s="84"/>
      <c r="AE24" s="84"/>
      <c r="AF24" s="84"/>
      <c r="AG24" s="84"/>
      <c r="AH24" s="84"/>
      <c r="AI24" s="84"/>
      <c r="AJ24" s="84"/>
      <c r="AK24" s="79">
        <f t="shared" si="1"/>
        <v>48400</v>
      </c>
      <c r="AL24" s="79">
        <f t="shared" si="2"/>
        <v>12100</v>
      </c>
      <c r="AM24" s="79">
        <f>$J24*22</f>
        <v>12100</v>
      </c>
      <c r="AN24" s="79"/>
      <c r="AO24" s="79"/>
      <c r="AP24" s="79"/>
      <c r="AQ24" s="79"/>
      <c r="AR24" s="79"/>
      <c r="AS24" s="79"/>
      <c r="AT24" s="79"/>
      <c r="AU24" s="79"/>
      <c r="AV24" s="79"/>
      <c r="AW24" s="79"/>
      <c r="AX24" s="79"/>
      <c r="AY24" s="79"/>
      <c r="AZ24" s="79">
        <f t="shared" si="4"/>
        <v>0</v>
      </c>
    </row>
    <row r="25" spans="1:52">
      <c r="A25" s="69" t="s">
        <v>271</v>
      </c>
      <c r="B25" s="704" t="s">
        <v>219</v>
      </c>
      <c r="C25" s="704" t="s">
        <v>127</v>
      </c>
      <c r="D25" s="704">
        <v>5</v>
      </c>
      <c r="E25" s="700" t="s">
        <v>120</v>
      </c>
      <c r="F25" s="343"/>
      <c r="G25" s="343"/>
      <c r="H25" s="645"/>
      <c r="I25" s="661">
        <f t="shared" si="15"/>
        <v>110</v>
      </c>
      <c r="J25" s="705">
        <v>500</v>
      </c>
      <c r="K25" s="694"/>
      <c r="L25" s="643">
        <v>0</v>
      </c>
      <c r="M25" s="643">
        <f t="shared" ref="M25:T27" si="17">AK25</f>
        <v>44000</v>
      </c>
      <c r="N25" s="643">
        <f t="shared" si="17"/>
        <v>11000</v>
      </c>
      <c r="O25" s="643">
        <f t="shared" ref="O25:T25" si="18">AM25</f>
        <v>0</v>
      </c>
      <c r="P25" s="643">
        <f t="shared" si="18"/>
        <v>0</v>
      </c>
      <c r="Q25" s="643">
        <f t="shared" si="18"/>
        <v>0</v>
      </c>
      <c r="R25" s="643">
        <f t="shared" si="18"/>
        <v>0</v>
      </c>
      <c r="S25" s="643">
        <f t="shared" si="18"/>
        <v>0</v>
      </c>
      <c r="T25" s="643">
        <f t="shared" si="18"/>
        <v>0</v>
      </c>
      <c r="U25" s="643"/>
      <c r="V25" s="84"/>
      <c r="W25" s="69"/>
      <c r="X25" s="69"/>
      <c r="Y25" s="69"/>
      <c r="Z25" s="69"/>
      <c r="AA25" s="69"/>
      <c r="AB25" s="69"/>
      <c r="AC25" s="69"/>
      <c r="AD25" s="69"/>
      <c r="AE25" s="69"/>
      <c r="AF25" s="69"/>
      <c r="AG25" s="69"/>
      <c r="AH25" s="69"/>
      <c r="AI25" s="69"/>
      <c r="AJ25" s="84"/>
      <c r="AK25" s="79">
        <f t="shared" si="1"/>
        <v>44000</v>
      </c>
      <c r="AL25" s="79">
        <f t="shared" si="2"/>
        <v>11000</v>
      </c>
      <c r="AM25" s="79"/>
      <c r="AN25" s="79"/>
      <c r="AO25" s="79"/>
      <c r="AP25" s="79"/>
      <c r="AQ25" s="79"/>
      <c r="AR25" s="79"/>
      <c r="AS25" s="79"/>
      <c r="AT25" s="79"/>
      <c r="AU25" s="79"/>
      <c r="AV25" s="79"/>
      <c r="AW25" s="79"/>
      <c r="AX25" s="79"/>
      <c r="AY25" s="79"/>
      <c r="AZ25" s="79"/>
    </row>
    <row r="26" spans="1:52" ht="12.75" customHeight="1">
      <c r="A26" s="69" t="s">
        <v>272</v>
      </c>
      <c r="B26" s="700" t="s">
        <v>132</v>
      </c>
      <c r="C26" s="704" t="s">
        <v>1408</v>
      </c>
      <c r="D26" s="704">
        <v>8</v>
      </c>
      <c r="E26" s="700" t="s">
        <v>120</v>
      </c>
      <c r="F26" s="343">
        <v>3</v>
      </c>
      <c r="G26" s="343" t="s">
        <v>270</v>
      </c>
      <c r="H26" s="645"/>
      <c r="I26" s="661">
        <v>178</v>
      </c>
      <c r="J26" s="705">
        <v>500</v>
      </c>
      <c r="K26" s="694"/>
      <c r="L26" s="643">
        <v>0</v>
      </c>
      <c r="M26" s="643">
        <f t="shared" si="17"/>
        <v>33000</v>
      </c>
      <c r="N26" s="643">
        <f t="shared" si="17"/>
        <v>11000</v>
      </c>
      <c r="O26" s="643">
        <f t="shared" si="17"/>
        <v>11000</v>
      </c>
      <c r="P26" s="643">
        <f t="shared" si="17"/>
        <v>11000</v>
      </c>
      <c r="Q26" s="643">
        <f t="shared" si="17"/>
        <v>0</v>
      </c>
      <c r="R26" s="643">
        <f t="shared" si="17"/>
        <v>0</v>
      </c>
      <c r="S26" s="643">
        <f t="shared" si="17"/>
        <v>0</v>
      </c>
      <c r="T26" s="643">
        <f t="shared" si="17"/>
        <v>0</v>
      </c>
      <c r="U26" s="643"/>
      <c r="V26" s="84"/>
      <c r="W26" s="69"/>
      <c r="X26" s="69"/>
      <c r="Y26" s="69"/>
      <c r="Z26" s="69"/>
      <c r="AA26" s="69"/>
      <c r="AB26" s="69"/>
      <c r="AC26" s="69"/>
      <c r="AD26" s="69"/>
      <c r="AE26" s="69"/>
      <c r="AF26" s="69"/>
      <c r="AG26" s="69"/>
      <c r="AH26" s="69"/>
      <c r="AI26" s="69"/>
      <c r="AJ26" s="84"/>
      <c r="AK26" s="79">
        <f>66*$J26</f>
        <v>33000</v>
      </c>
      <c r="AL26" s="79">
        <f t="shared" si="2"/>
        <v>11000</v>
      </c>
      <c r="AM26" s="79">
        <f>$J26*22</f>
        <v>11000</v>
      </c>
      <c r="AN26" s="79">
        <f>$J26*22</f>
        <v>11000</v>
      </c>
      <c r="AO26" s="79"/>
      <c r="AP26" s="79"/>
      <c r="AQ26" s="79"/>
      <c r="AR26" s="79"/>
      <c r="AS26" s="79"/>
      <c r="AT26" s="79"/>
      <c r="AU26" s="79"/>
      <c r="AV26" s="79"/>
      <c r="AW26" s="79"/>
      <c r="AX26" s="79"/>
      <c r="AY26" s="79"/>
      <c r="AZ26" s="79">
        <f t="shared" si="4"/>
        <v>23000</v>
      </c>
    </row>
    <row r="27" spans="1:52" ht="12.75" customHeight="1">
      <c r="A27" s="84" t="s">
        <v>273</v>
      </c>
      <c r="B27" s="704" t="s">
        <v>132</v>
      </c>
      <c r="C27" s="700" t="s">
        <v>126</v>
      </c>
      <c r="D27" s="700">
        <v>4</v>
      </c>
      <c r="E27" s="700" t="s">
        <v>120</v>
      </c>
      <c r="F27" s="343">
        <v>3</v>
      </c>
      <c r="G27" s="343" t="s">
        <v>203</v>
      </c>
      <c r="H27" s="645"/>
      <c r="I27" s="661">
        <f t="shared" si="15"/>
        <v>88</v>
      </c>
      <c r="J27" s="705">
        <v>250</v>
      </c>
      <c r="K27" s="710"/>
      <c r="L27" s="643">
        <v>0</v>
      </c>
      <c r="M27" s="643">
        <f t="shared" si="17"/>
        <v>22000</v>
      </c>
      <c r="N27" s="643">
        <f t="shared" si="17"/>
        <v>0</v>
      </c>
      <c r="O27" s="643">
        <f t="shared" si="17"/>
        <v>0</v>
      </c>
      <c r="P27" s="643">
        <f t="shared" si="17"/>
        <v>0</v>
      </c>
      <c r="Q27" s="643">
        <f t="shared" si="17"/>
        <v>0</v>
      </c>
      <c r="R27" s="643">
        <f t="shared" si="17"/>
        <v>0</v>
      </c>
      <c r="S27" s="643">
        <f t="shared" si="17"/>
        <v>0</v>
      </c>
      <c r="T27" s="643">
        <f t="shared" si="17"/>
        <v>0</v>
      </c>
      <c r="U27" s="643"/>
      <c r="V27" s="84"/>
      <c r="W27" s="69"/>
      <c r="X27" s="69"/>
      <c r="Y27" s="69"/>
      <c r="Z27" s="69"/>
      <c r="AA27" s="69"/>
      <c r="AB27" s="69"/>
      <c r="AC27" s="69"/>
      <c r="AD27" s="69"/>
      <c r="AE27" s="69"/>
      <c r="AF27" s="69"/>
      <c r="AG27" s="69"/>
      <c r="AH27" s="69"/>
      <c r="AI27" s="69"/>
      <c r="AJ27" s="84"/>
      <c r="AK27" s="79">
        <f t="shared" si="1"/>
        <v>22000</v>
      </c>
      <c r="AL27" s="79"/>
      <c r="AM27" s="79"/>
      <c r="AN27" s="79"/>
      <c r="AO27" s="79"/>
      <c r="AP27" s="79"/>
      <c r="AQ27" s="79"/>
      <c r="AR27" s="79"/>
      <c r="AS27" s="79"/>
      <c r="AT27" s="79"/>
      <c r="AU27" s="79"/>
      <c r="AV27" s="79"/>
      <c r="AW27" s="79"/>
      <c r="AX27" s="79"/>
      <c r="AY27" s="79"/>
      <c r="AZ27" s="79">
        <f t="shared" si="4"/>
        <v>0</v>
      </c>
    </row>
    <row r="28" spans="1:52" ht="12.75" customHeight="1">
      <c r="A28" s="84" t="s">
        <v>1477</v>
      </c>
      <c r="B28" s="704" t="s">
        <v>216</v>
      </c>
      <c r="C28" s="342" t="s">
        <v>121</v>
      </c>
      <c r="D28" s="704">
        <v>9</v>
      </c>
      <c r="E28" s="700" t="s">
        <v>138</v>
      </c>
      <c r="F28" s="343">
        <v>1</v>
      </c>
      <c r="G28" s="343" t="s">
        <v>264</v>
      </c>
      <c r="H28" s="645"/>
      <c r="I28" s="661">
        <f t="shared" si="15"/>
        <v>198</v>
      </c>
      <c r="J28" s="694">
        <v>1600</v>
      </c>
      <c r="K28" s="710"/>
      <c r="L28" s="643">
        <v>0</v>
      </c>
      <c r="M28" s="709">
        <v>0</v>
      </c>
      <c r="N28" s="709">
        <v>0</v>
      </c>
      <c r="O28" s="643">
        <f t="shared" ref="O28:T28" si="19">AK28</f>
        <v>140800</v>
      </c>
      <c r="P28" s="643">
        <f t="shared" si="19"/>
        <v>35200</v>
      </c>
      <c r="Q28" s="643">
        <f t="shared" si="19"/>
        <v>35200</v>
      </c>
      <c r="R28" s="707">
        <f t="shared" si="19"/>
        <v>35200</v>
      </c>
      <c r="S28" s="707">
        <f t="shared" si="19"/>
        <v>27200</v>
      </c>
      <c r="T28" s="707">
        <f t="shared" si="19"/>
        <v>38400</v>
      </c>
      <c r="U28" s="707">
        <f>O28*0.35</f>
        <v>49280</v>
      </c>
      <c r="V28" s="84"/>
      <c r="W28" s="69"/>
      <c r="X28" s="69"/>
      <c r="Y28" s="69"/>
      <c r="Z28" s="69"/>
      <c r="AA28" s="69"/>
      <c r="AB28" s="69"/>
      <c r="AC28" s="69"/>
      <c r="AD28" s="69"/>
      <c r="AE28" s="69"/>
      <c r="AF28" s="69"/>
      <c r="AG28" s="69"/>
      <c r="AH28" s="69"/>
      <c r="AI28" s="69"/>
      <c r="AJ28" s="1109"/>
      <c r="AK28" s="1372">
        <f t="shared" si="1"/>
        <v>140800</v>
      </c>
      <c r="AL28" s="1372">
        <f>$J28*22</f>
        <v>35200</v>
      </c>
      <c r="AM28" s="1372">
        <f>$J28*22</f>
        <v>35200</v>
      </c>
      <c r="AN28" s="1372">
        <f>$J28*22</f>
        <v>35200</v>
      </c>
      <c r="AO28" s="1372">
        <f>$J28*17</f>
        <v>27200</v>
      </c>
      <c r="AP28" s="1372">
        <f>$J28*24</f>
        <v>38400</v>
      </c>
      <c r="AQ28" s="1372"/>
      <c r="AR28" s="1372"/>
      <c r="AS28" s="1372"/>
      <c r="AT28" s="1372"/>
      <c r="AU28" s="1372"/>
      <c r="AV28" s="1372"/>
      <c r="AW28" s="1372"/>
      <c r="AX28" s="79"/>
      <c r="AY28" s="79"/>
      <c r="AZ28" s="79">
        <f t="shared" si="4"/>
        <v>4800</v>
      </c>
    </row>
    <row r="29" spans="1:52" ht="12.75" customHeight="1">
      <c r="A29" s="84" t="s">
        <v>274</v>
      </c>
      <c r="B29" s="704" t="s">
        <v>126</v>
      </c>
      <c r="C29" s="700" t="s">
        <v>127</v>
      </c>
      <c r="D29" s="700">
        <v>3</v>
      </c>
      <c r="E29" s="700" t="s">
        <v>127</v>
      </c>
      <c r="F29" s="343">
        <v>2</v>
      </c>
      <c r="G29" s="343" t="s">
        <v>203</v>
      </c>
      <c r="H29" s="645"/>
      <c r="I29" s="661">
        <f t="shared" si="15"/>
        <v>66</v>
      </c>
      <c r="J29" s="705">
        <v>250</v>
      </c>
      <c r="K29" s="710"/>
      <c r="L29" s="643">
        <v>0</v>
      </c>
      <c r="M29" s="709">
        <v>0</v>
      </c>
      <c r="N29" s="643">
        <f t="shared" ref="N29:T29" si="20">AK29</f>
        <v>16500</v>
      </c>
      <c r="O29" s="643">
        <f t="shared" si="20"/>
        <v>0</v>
      </c>
      <c r="P29" s="643">
        <f t="shared" si="20"/>
        <v>0</v>
      </c>
      <c r="Q29" s="643">
        <f t="shared" si="20"/>
        <v>0</v>
      </c>
      <c r="R29" s="643">
        <f t="shared" si="20"/>
        <v>0</v>
      </c>
      <c r="S29" s="643">
        <f t="shared" si="20"/>
        <v>0</v>
      </c>
      <c r="T29" s="643">
        <f t="shared" si="20"/>
        <v>0</v>
      </c>
      <c r="U29" s="643"/>
      <c r="V29" s="84"/>
      <c r="W29" s="69"/>
      <c r="X29" s="69"/>
      <c r="Y29" s="69"/>
      <c r="Z29" s="69"/>
      <c r="AA29" s="69"/>
      <c r="AB29" s="69"/>
      <c r="AC29" s="69"/>
      <c r="AD29" s="69"/>
      <c r="AE29" s="69"/>
      <c r="AF29" s="69"/>
      <c r="AG29" s="69"/>
      <c r="AH29" s="69"/>
      <c r="AI29" s="69"/>
      <c r="AJ29" s="1109"/>
      <c r="AK29" s="1372">
        <f>66*$J29</f>
        <v>16500</v>
      </c>
      <c r="AL29" s="1372"/>
      <c r="AM29" s="1372"/>
      <c r="AN29" s="1372"/>
      <c r="AO29" s="1372"/>
      <c r="AP29" s="1372"/>
      <c r="AQ29" s="1372"/>
      <c r="AR29" s="1372"/>
      <c r="AS29" s="1372"/>
      <c r="AT29" s="1372"/>
      <c r="AU29" s="1372"/>
      <c r="AV29" s="1372"/>
      <c r="AW29" s="1372"/>
      <c r="AX29" s="79"/>
      <c r="AY29" s="79"/>
      <c r="AZ29" s="79">
        <f t="shared" si="4"/>
        <v>0</v>
      </c>
    </row>
    <row r="30" spans="1:52" ht="12.75" customHeight="1">
      <c r="A30" s="84" t="s">
        <v>1479</v>
      </c>
      <c r="B30" s="704" t="s">
        <v>216</v>
      </c>
      <c r="C30" s="342" t="s">
        <v>121</v>
      </c>
      <c r="D30" s="704">
        <v>7</v>
      </c>
      <c r="E30" s="704" t="s">
        <v>138</v>
      </c>
      <c r="F30" s="343">
        <v>1</v>
      </c>
      <c r="G30" s="343" t="s">
        <v>275</v>
      </c>
      <c r="H30" s="645"/>
      <c r="I30" s="661">
        <f t="shared" si="15"/>
        <v>154</v>
      </c>
      <c r="J30" s="705">
        <v>250</v>
      </c>
      <c r="K30" s="84"/>
      <c r="L30" s="643">
        <v>0</v>
      </c>
      <c r="M30" s="709">
        <v>0</v>
      </c>
      <c r="N30" s="709">
        <v>0</v>
      </c>
      <c r="O30" s="643">
        <f t="shared" ref="O30:T30" si="21">AK30</f>
        <v>22000</v>
      </c>
      <c r="P30" s="643">
        <f t="shared" si="21"/>
        <v>5500</v>
      </c>
      <c r="Q30" s="643">
        <f t="shared" si="21"/>
        <v>5500</v>
      </c>
      <c r="R30" s="707">
        <f t="shared" si="21"/>
        <v>0</v>
      </c>
      <c r="S30" s="707">
        <f t="shared" si="21"/>
        <v>0</v>
      </c>
      <c r="T30" s="707">
        <f t="shared" si="21"/>
        <v>0</v>
      </c>
      <c r="U30" s="707"/>
      <c r="V30" s="84"/>
      <c r="W30" s="69"/>
      <c r="X30" s="69"/>
      <c r="Y30" s="69"/>
      <c r="Z30" s="69"/>
      <c r="AA30" s="69"/>
      <c r="AB30" s="69"/>
      <c r="AC30" s="69"/>
      <c r="AD30" s="69"/>
      <c r="AE30" s="69"/>
      <c r="AF30" s="69"/>
      <c r="AG30" s="69"/>
      <c r="AH30" s="69"/>
      <c r="AI30" s="69"/>
      <c r="AJ30" s="1109"/>
      <c r="AK30" s="1372">
        <f>88*$J30</f>
        <v>22000</v>
      </c>
      <c r="AL30" s="1372">
        <f>$J30*22</f>
        <v>5500</v>
      </c>
      <c r="AM30" s="1372">
        <f>$J30*22</f>
        <v>5500</v>
      </c>
      <c r="AN30" s="1372"/>
      <c r="AO30" s="1372"/>
      <c r="AP30" s="1372"/>
      <c r="AQ30" s="1372"/>
      <c r="AR30" s="1372"/>
      <c r="AS30" s="1372"/>
      <c r="AT30" s="1372"/>
      <c r="AU30" s="1372"/>
      <c r="AV30" s="1372"/>
      <c r="AW30" s="1372"/>
      <c r="AX30" s="79"/>
      <c r="AY30" s="79"/>
      <c r="AZ30" s="79">
        <f t="shared" si="4"/>
        <v>5500</v>
      </c>
    </row>
    <row r="31" spans="1:52" ht="12.75" customHeight="1">
      <c r="A31" s="84" t="s">
        <v>276</v>
      </c>
      <c r="B31" s="704" t="s">
        <v>120</v>
      </c>
      <c r="C31" s="704" t="s">
        <v>448</v>
      </c>
      <c r="D31" s="704">
        <v>10</v>
      </c>
      <c r="E31" s="704" t="s">
        <v>616</v>
      </c>
      <c r="F31" s="343" t="s">
        <v>1455</v>
      </c>
      <c r="G31" s="343" t="s">
        <v>277</v>
      </c>
      <c r="H31" s="645"/>
      <c r="I31" s="661">
        <f t="shared" si="15"/>
        <v>220</v>
      </c>
      <c r="J31" s="705">
        <v>900</v>
      </c>
      <c r="K31" s="710"/>
      <c r="L31" s="643">
        <v>0</v>
      </c>
      <c r="M31" s="709">
        <v>0</v>
      </c>
      <c r="N31" s="709">
        <v>0</v>
      </c>
      <c r="O31" s="709">
        <v>0</v>
      </c>
      <c r="P31" s="709">
        <v>0</v>
      </c>
      <c r="Q31" s="707">
        <f>AK31*0.5</f>
        <v>39600</v>
      </c>
      <c r="R31" s="707">
        <f t="shared" ref="R31:Y32" si="22">AL31</f>
        <v>19800</v>
      </c>
      <c r="S31" s="707">
        <f t="shared" si="22"/>
        <v>18900</v>
      </c>
      <c r="T31" s="707">
        <f t="shared" si="22"/>
        <v>19800</v>
      </c>
      <c r="U31" s="707">
        <f t="shared" si="22"/>
        <v>19800</v>
      </c>
      <c r="V31" s="707">
        <f t="shared" si="22"/>
        <v>19800</v>
      </c>
      <c r="W31" s="707">
        <f t="shared" si="22"/>
        <v>15840</v>
      </c>
      <c r="X31" s="707">
        <f t="shared" si="22"/>
        <v>15840</v>
      </c>
      <c r="Y31" s="707">
        <f t="shared" si="22"/>
        <v>15840</v>
      </c>
      <c r="Z31" s="1504">
        <f t="shared" ref="Z31:AE32" si="23">AT31</f>
        <v>15840</v>
      </c>
      <c r="AA31" s="1504">
        <f t="shared" si="23"/>
        <v>15840</v>
      </c>
      <c r="AB31" s="1504">
        <f t="shared" si="23"/>
        <v>15840</v>
      </c>
      <c r="AC31" s="1504">
        <f t="shared" si="23"/>
        <v>15840</v>
      </c>
      <c r="AD31" s="1504">
        <f t="shared" si="23"/>
        <v>15840</v>
      </c>
      <c r="AE31" s="1504">
        <f t="shared" si="23"/>
        <v>15840</v>
      </c>
      <c r="AF31" s="69"/>
      <c r="AG31" s="69"/>
      <c r="AH31" s="707"/>
      <c r="AI31" s="707"/>
      <c r="AJ31" s="1504"/>
      <c r="AK31" s="1372">
        <f>(88*$J31)</f>
        <v>79200</v>
      </c>
      <c r="AL31" s="1372">
        <f>(22*$J31)</f>
        <v>19800</v>
      </c>
      <c r="AM31" s="1372">
        <f>(21*$J31)</f>
        <v>18900</v>
      </c>
      <c r="AN31" s="1372">
        <f>(22*$J31)</f>
        <v>19800</v>
      </c>
      <c r="AO31" s="1372">
        <f>(22*$J31)</f>
        <v>19800</v>
      </c>
      <c r="AP31" s="1372">
        <f>(22*$J31)</f>
        <v>19800</v>
      </c>
      <c r="AQ31" s="1372">
        <f t="shared" ref="AQ31:AY31" si="24">(22*$J31)*0.8</f>
        <v>15840</v>
      </c>
      <c r="AR31" s="1372">
        <f t="shared" si="24"/>
        <v>15840</v>
      </c>
      <c r="AS31" s="1372">
        <f t="shared" si="24"/>
        <v>15840</v>
      </c>
      <c r="AT31" s="1372">
        <f t="shared" si="24"/>
        <v>15840</v>
      </c>
      <c r="AU31" s="1372">
        <f t="shared" si="24"/>
        <v>15840</v>
      </c>
      <c r="AV31" s="1372">
        <f t="shared" si="24"/>
        <v>15840</v>
      </c>
      <c r="AW31" s="1372">
        <f t="shared" si="24"/>
        <v>15840</v>
      </c>
      <c r="AX31" s="1372">
        <f t="shared" si="24"/>
        <v>15840</v>
      </c>
      <c r="AY31" s="1372">
        <f t="shared" si="24"/>
        <v>15840</v>
      </c>
      <c r="AZ31" s="79">
        <f>I31*J31-SUM(AK31:AY31)</f>
        <v>-121860</v>
      </c>
    </row>
    <row r="32" spans="1:52" ht="12.75" customHeight="1">
      <c r="A32" s="84" t="s">
        <v>804</v>
      </c>
      <c r="B32" s="704" t="s">
        <v>127</v>
      </c>
      <c r="C32" s="342" t="s">
        <v>121</v>
      </c>
      <c r="D32" s="704">
        <v>4</v>
      </c>
      <c r="E32" s="704" t="s">
        <v>606</v>
      </c>
      <c r="F32" s="343"/>
      <c r="G32" s="343" t="s">
        <v>607</v>
      </c>
      <c r="H32" s="645"/>
      <c r="I32" s="661">
        <f t="shared" si="15"/>
        <v>88</v>
      </c>
      <c r="J32" s="705">
        <v>500</v>
      </c>
      <c r="K32" s="710"/>
      <c r="L32" s="643">
        <v>0</v>
      </c>
      <c r="M32" s="709">
        <v>0</v>
      </c>
      <c r="N32" s="709">
        <v>0</v>
      </c>
      <c r="O32" s="709">
        <v>0</v>
      </c>
      <c r="P32" s="709">
        <v>0</v>
      </c>
      <c r="Q32" s="643">
        <f>AK32</f>
        <v>44000</v>
      </c>
      <c r="R32" s="707">
        <f t="shared" si="22"/>
        <v>11000</v>
      </c>
      <c r="S32" s="707">
        <f t="shared" si="22"/>
        <v>9500</v>
      </c>
      <c r="T32" s="707">
        <f t="shared" si="22"/>
        <v>11000</v>
      </c>
      <c r="U32" s="707">
        <f t="shared" si="22"/>
        <v>11000</v>
      </c>
      <c r="V32" s="707">
        <f t="shared" si="22"/>
        <v>11000</v>
      </c>
      <c r="W32" s="707">
        <f>AQ32</f>
        <v>11000</v>
      </c>
      <c r="X32" s="707">
        <f>AR32</f>
        <v>11000</v>
      </c>
      <c r="Y32" s="707">
        <f>AS32</f>
        <v>11000</v>
      </c>
      <c r="Z32" s="1504">
        <f t="shared" si="23"/>
        <v>11000</v>
      </c>
      <c r="AA32" s="1504">
        <f t="shared" si="23"/>
        <v>11000</v>
      </c>
      <c r="AB32" s="1504">
        <f t="shared" si="23"/>
        <v>11000</v>
      </c>
      <c r="AC32" s="1504">
        <f t="shared" si="23"/>
        <v>11000</v>
      </c>
      <c r="AD32" s="1504">
        <f t="shared" si="23"/>
        <v>11000</v>
      </c>
      <c r="AE32" s="1504">
        <f t="shared" si="23"/>
        <v>11000</v>
      </c>
      <c r="AF32" s="69"/>
      <c r="AG32" s="69"/>
      <c r="AH32" s="707"/>
      <c r="AI32" s="707"/>
      <c r="AJ32" s="1504"/>
      <c r="AK32" s="1372">
        <f t="shared" ref="AK32:AK37" si="25">88*$J32</f>
        <v>44000</v>
      </c>
      <c r="AL32" s="1372">
        <f>$J32*22</f>
        <v>11000</v>
      </c>
      <c r="AM32" s="1372">
        <f>$J32*19</f>
        <v>9500</v>
      </c>
      <c r="AN32" s="1372">
        <f t="shared" ref="AN32:AY32" si="26">$J32*22</f>
        <v>11000</v>
      </c>
      <c r="AO32" s="1372">
        <f t="shared" si="26"/>
        <v>11000</v>
      </c>
      <c r="AP32" s="1372">
        <f t="shared" si="26"/>
        <v>11000</v>
      </c>
      <c r="AQ32" s="1372">
        <f t="shared" si="26"/>
        <v>11000</v>
      </c>
      <c r="AR32" s="1372">
        <f t="shared" si="26"/>
        <v>11000</v>
      </c>
      <c r="AS32" s="1372">
        <f t="shared" si="26"/>
        <v>11000</v>
      </c>
      <c r="AT32" s="1372">
        <f t="shared" si="26"/>
        <v>11000</v>
      </c>
      <c r="AU32" s="1372">
        <f t="shared" si="26"/>
        <v>11000</v>
      </c>
      <c r="AV32" s="1372">
        <f t="shared" si="26"/>
        <v>11000</v>
      </c>
      <c r="AW32" s="1372">
        <f t="shared" si="26"/>
        <v>11000</v>
      </c>
      <c r="AX32" s="1372">
        <f t="shared" si="26"/>
        <v>11000</v>
      </c>
      <c r="AY32" s="1372">
        <f t="shared" si="26"/>
        <v>11000</v>
      </c>
      <c r="AZ32" s="79"/>
    </row>
    <row r="33" spans="1:52" ht="12.75" customHeight="1">
      <c r="A33" s="84" t="s">
        <v>1456</v>
      </c>
      <c r="B33" s="704" t="s">
        <v>127</v>
      </c>
      <c r="C33" s="342" t="s">
        <v>121</v>
      </c>
      <c r="D33" s="704">
        <v>5</v>
      </c>
      <c r="E33" s="704" t="s">
        <v>606</v>
      </c>
      <c r="F33" s="648" t="s">
        <v>1455</v>
      </c>
      <c r="G33" s="343" t="s">
        <v>270</v>
      </c>
      <c r="H33" s="645"/>
      <c r="I33" s="661">
        <f>22*D33</f>
        <v>110</v>
      </c>
      <c r="J33" s="694">
        <v>1400</v>
      </c>
      <c r="K33" s="694"/>
      <c r="L33" s="643">
        <v>0</v>
      </c>
      <c r="M33" s="709">
        <v>0</v>
      </c>
      <c r="N33" s="709">
        <v>0</v>
      </c>
      <c r="O33" s="709">
        <v>0</v>
      </c>
      <c r="P33" s="709">
        <v>0</v>
      </c>
      <c r="Q33" s="709">
        <v>0</v>
      </c>
      <c r="R33" s="707">
        <f>AK33*0.5</f>
        <v>61600</v>
      </c>
      <c r="S33" s="707">
        <f>AL33*0.5</f>
        <v>12600</v>
      </c>
      <c r="T33" s="707">
        <f>AM33*0.5</f>
        <v>15400</v>
      </c>
      <c r="U33" s="707">
        <f>AN33*0.45</f>
        <v>14490</v>
      </c>
      <c r="V33" s="707">
        <f>AO33*0.45</f>
        <v>14490</v>
      </c>
      <c r="W33" s="69"/>
      <c r="X33" s="69"/>
      <c r="Y33" s="69"/>
      <c r="Z33" s="1109"/>
      <c r="AA33" s="1109"/>
      <c r="AB33" s="1109"/>
      <c r="AC33" s="1109"/>
      <c r="AD33" s="69"/>
      <c r="AE33" s="69"/>
      <c r="AF33" s="69"/>
      <c r="AG33" s="69"/>
      <c r="AH33" s="69"/>
      <c r="AI33" s="69"/>
      <c r="AJ33" s="1109"/>
      <c r="AK33" s="1372">
        <f t="shared" si="25"/>
        <v>123200</v>
      </c>
      <c r="AL33" s="1372">
        <f>$J33*18</f>
        <v>25200</v>
      </c>
      <c r="AM33" s="1372">
        <f>$J33*22</f>
        <v>30800</v>
      </c>
      <c r="AN33" s="1372">
        <f>$J33*23</f>
        <v>32200</v>
      </c>
      <c r="AO33" s="1372">
        <f>$J33*23</f>
        <v>32200</v>
      </c>
      <c r="AP33" s="1109"/>
      <c r="AQ33" s="1109"/>
      <c r="AR33" s="1109"/>
      <c r="AS33" s="1109"/>
      <c r="AT33" s="1109"/>
      <c r="AU33" s="1109"/>
      <c r="AV33" s="1109"/>
      <c r="AW33" s="1109"/>
      <c r="AX33" s="1109"/>
      <c r="AY33" s="1109"/>
      <c r="AZ33" s="84"/>
    </row>
    <row r="34" spans="1:52" ht="13.5" customHeight="1">
      <c r="A34" s="84" t="s">
        <v>1470</v>
      </c>
      <c r="B34" s="704" t="s">
        <v>120</v>
      </c>
      <c r="C34" s="342" t="s">
        <v>121</v>
      </c>
      <c r="D34" s="704">
        <v>6</v>
      </c>
      <c r="E34" s="704" t="s">
        <v>278</v>
      </c>
      <c r="F34" s="648" t="s">
        <v>1455</v>
      </c>
      <c r="G34" s="1359" t="s">
        <v>270</v>
      </c>
      <c r="H34" s="1361"/>
      <c r="I34" s="1361">
        <f t="shared" si="15"/>
        <v>132</v>
      </c>
      <c r="J34" s="1524">
        <v>1300</v>
      </c>
      <c r="K34" s="2164"/>
      <c r="L34" s="1504">
        <v>0</v>
      </c>
      <c r="M34" s="1769">
        <v>0</v>
      </c>
      <c r="N34" s="1769">
        <v>0</v>
      </c>
      <c r="O34" s="1769">
        <v>0</v>
      </c>
      <c r="P34" s="1769">
        <v>0</v>
      </c>
      <c r="Q34" s="1504">
        <f>AK34*0.5</f>
        <v>57200</v>
      </c>
      <c r="R34" s="1504">
        <f>AL34*0.5</f>
        <v>14300</v>
      </c>
      <c r="S34" s="1504">
        <f>AM34*0.5</f>
        <v>14300</v>
      </c>
      <c r="T34" s="1504">
        <f>AN34*0.5</f>
        <v>14300</v>
      </c>
      <c r="U34" s="1504">
        <f>AO34*0.5</f>
        <v>0</v>
      </c>
      <c r="V34" s="1109"/>
      <c r="W34" s="1109"/>
      <c r="X34" s="1109"/>
      <c r="Y34" s="1109"/>
      <c r="Z34" s="1109"/>
      <c r="AA34" s="1109"/>
      <c r="AB34" s="1109"/>
      <c r="AC34" s="1109"/>
      <c r="AD34" s="1109"/>
      <c r="AE34" s="69"/>
      <c r="AF34" s="69"/>
      <c r="AG34" s="69"/>
      <c r="AH34" s="69"/>
      <c r="AI34" s="69"/>
      <c r="AJ34" s="1109"/>
      <c r="AK34" s="1372">
        <f t="shared" si="25"/>
        <v>114400</v>
      </c>
      <c r="AL34" s="1372">
        <f>$J34*22</f>
        <v>28600</v>
      </c>
      <c r="AM34" s="1372">
        <f>$J34*22</f>
        <v>28600</v>
      </c>
      <c r="AN34" s="1372">
        <f>$J34*22</f>
        <v>28600</v>
      </c>
      <c r="AO34" s="1372"/>
      <c r="AP34" s="1372"/>
      <c r="AQ34" s="1372"/>
      <c r="AR34" s="1372"/>
      <c r="AS34" s="1372"/>
      <c r="AT34" s="1372"/>
      <c r="AU34" s="1372"/>
      <c r="AV34" s="1372"/>
      <c r="AW34" s="1372"/>
      <c r="AX34" s="1372"/>
      <c r="AY34" s="1372"/>
      <c r="AZ34" s="79">
        <f t="shared" si="4"/>
        <v>-28600</v>
      </c>
    </row>
    <row r="35" spans="1:52" ht="13.5" customHeight="1">
      <c r="A35" s="84" t="s">
        <v>920</v>
      </c>
      <c r="B35" s="704" t="s">
        <v>127</v>
      </c>
      <c r="C35" s="342" t="s">
        <v>121</v>
      </c>
      <c r="D35" s="704">
        <v>5</v>
      </c>
      <c r="E35" s="704" t="s">
        <v>606</v>
      </c>
      <c r="F35" s="648"/>
      <c r="G35" s="1359" t="s">
        <v>220</v>
      </c>
      <c r="H35" s="1361"/>
      <c r="I35" s="1361">
        <f>22*D35</f>
        <v>110</v>
      </c>
      <c r="J35" s="1524">
        <v>750</v>
      </c>
      <c r="K35" s="2164"/>
      <c r="L35" s="1504"/>
      <c r="M35" s="1769"/>
      <c r="N35" s="1769"/>
      <c r="O35" s="1769"/>
      <c r="P35" s="1769"/>
      <c r="Q35" s="1504"/>
      <c r="R35" s="1504">
        <f t="shared" ref="R35:Y35" si="27">+AK35</f>
        <v>66000</v>
      </c>
      <c r="S35" s="1504">
        <f t="shared" si="27"/>
        <v>13500</v>
      </c>
      <c r="T35" s="1504">
        <f t="shared" si="27"/>
        <v>16500</v>
      </c>
      <c r="U35" s="1504">
        <f t="shared" si="27"/>
        <v>16500</v>
      </c>
      <c r="V35" s="1504">
        <f t="shared" si="27"/>
        <v>16500</v>
      </c>
      <c r="W35" s="1504">
        <f t="shared" si="27"/>
        <v>16500</v>
      </c>
      <c r="X35" s="1504">
        <f t="shared" si="27"/>
        <v>16500</v>
      </c>
      <c r="Y35" s="1504">
        <f t="shared" si="27"/>
        <v>16500</v>
      </c>
      <c r="Z35" s="1504">
        <f t="shared" ref="Z35:AE35" si="28">+AS35</f>
        <v>16500</v>
      </c>
      <c r="AA35" s="1504">
        <f t="shared" si="28"/>
        <v>16500</v>
      </c>
      <c r="AB35" s="1504">
        <f t="shared" si="28"/>
        <v>16500</v>
      </c>
      <c r="AC35" s="1504">
        <f t="shared" si="28"/>
        <v>16500</v>
      </c>
      <c r="AD35" s="1504">
        <f t="shared" si="28"/>
        <v>16500</v>
      </c>
      <c r="AE35" s="1504">
        <f t="shared" si="28"/>
        <v>16500</v>
      </c>
      <c r="AF35" s="69"/>
      <c r="AG35" s="69"/>
      <c r="AH35" s="707"/>
      <c r="AI35" s="707"/>
      <c r="AJ35" s="1504"/>
      <c r="AK35" s="1372">
        <f t="shared" si="25"/>
        <v>66000</v>
      </c>
      <c r="AL35" s="1372">
        <f>18*$J35</f>
        <v>13500</v>
      </c>
      <c r="AM35" s="1372">
        <f t="shared" ref="AM35:AY35" si="29">22*$J35</f>
        <v>16500</v>
      </c>
      <c r="AN35" s="1372">
        <f t="shared" si="29"/>
        <v>16500</v>
      </c>
      <c r="AO35" s="1372">
        <f t="shared" si="29"/>
        <v>16500</v>
      </c>
      <c r="AP35" s="1372">
        <f t="shared" si="29"/>
        <v>16500</v>
      </c>
      <c r="AQ35" s="1372">
        <f t="shared" si="29"/>
        <v>16500</v>
      </c>
      <c r="AR35" s="1372">
        <f t="shared" si="29"/>
        <v>16500</v>
      </c>
      <c r="AS35" s="1372">
        <f t="shared" si="29"/>
        <v>16500</v>
      </c>
      <c r="AT35" s="1372">
        <f t="shared" si="29"/>
        <v>16500</v>
      </c>
      <c r="AU35" s="1372">
        <f t="shared" si="29"/>
        <v>16500</v>
      </c>
      <c r="AV35" s="1372">
        <f t="shared" si="29"/>
        <v>16500</v>
      </c>
      <c r="AW35" s="1372">
        <f t="shared" si="29"/>
        <v>16500</v>
      </c>
      <c r="AX35" s="1372">
        <f t="shared" si="29"/>
        <v>16500</v>
      </c>
      <c r="AY35" s="1372">
        <f t="shared" si="29"/>
        <v>16500</v>
      </c>
      <c r="AZ35" s="79"/>
    </row>
    <row r="36" spans="1:52" ht="13.5" customHeight="1">
      <c r="A36" s="84" t="s">
        <v>1453</v>
      </c>
      <c r="B36" s="1358" t="s">
        <v>138</v>
      </c>
      <c r="C36" s="1359" t="s">
        <v>121</v>
      </c>
      <c r="D36" s="1358">
        <v>5</v>
      </c>
      <c r="E36" s="1358" t="s">
        <v>321</v>
      </c>
      <c r="F36" s="1360" t="s">
        <v>1455</v>
      </c>
      <c r="G36" s="1359" t="s">
        <v>264</v>
      </c>
      <c r="H36" s="1361"/>
      <c r="I36" s="1361">
        <f>(22*D36)-1</f>
        <v>109</v>
      </c>
      <c r="J36" s="1524">
        <v>1750</v>
      </c>
      <c r="K36" s="2164"/>
      <c r="L36" s="1769">
        <v>0</v>
      </c>
      <c r="M36" s="1769">
        <v>0</v>
      </c>
      <c r="N36" s="1769">
        <v>0</v>
      </c>
      <c r="O36" s="1769">
        <v>0</v>
      </c>
      <c r="P36" s="1769">
        <v>0</v>
      </c>
      <c r="Q36" s="1769">
        <v>0</v>
      </c>
      <c r="R36" s="1109"/>
      <c r="S36" s="1504">
        <f>+AK36</f>
        <v>152250</v>
      </c>
      <c r="T36" s="1504">
        <f>+AL36</f>
        <v>36750</v>
      </c>
      <c r="U36" s="1504">
        <f>+AM36</f>
        <v>43750</v>
      </c>
      <c r="V36" s="1504">
        <f>+AN36</f>
        <v>43750</v>
      </c>
      <c r="W36" s="1504">
        <f>+AO36</f>
        <v>43750</v>
      </c>
      <c r="X36" s="1504">
        <v>0</v>
      </c>
      <c r="Y36" s="1504">
        <v>0</v>
      </c>
      <c r="Z36" s="1504">
        <v>0</v>
      </c>
      <c r="AA36" s="1504">
        <v>0</v>
      </c>
      <c r="AB36" s="1504">
        <v>0</v>
      </c>
      <c r="AC36" s="1504">
        <v>0</v>
      </c>
      <c r="AD36" s="1504">
        <v>0</v>
      </c>
      <c r="AE36" s="1504">
        <v>0</v>
      </c>
      <c r="AF36" s="69"/>
      <c r="AG36" s="69"/>
      <c r="AH36" s="707"/>
      <c r="AI36" s="707"/>
      <c r="AJ36" s="1504"/>
      <c r="AK36" s="1372">
        <f>87*$J36</f>
        <v>152250</v>
      </c>
      <c r="AL36" s="1372">
        <f>21*$J36</f>
        <v>36750</v>
      </c>
      <c r="AM36" s="1372">
        <f>25*$J36</f>
        <v>43750</v>
      </c>
      <c r="AN36" s="1372">
        <f>25*$J36</f>
        <v>43750</v>
      </c>
      <c r="AO36" s="1372">
        <f>25*$J36</f>
        <v>43750</v>
      </c>
      <c r="AP36" s="1372">
        <f>25*$J36</f>
        <v>43750</v>
      </c>
      <c r="AQ36" s="1372">
        <f>25*$J36</f>
        <v>43750</v>
      </c>
      <c r="AR36" s="1372"/>
      <c r="AS36" s="1372"/>
      <c r="AT36" s="1372"/>
      <c r="AU36" s="1372"/>
      <c r="AV36" s="1372"/>
      <c r="AW36" s="1372"/>
      <c r="AX36" s="79"/>
      <c r="AY36" s="79"/>
      <c r="AZ36" s="79"/>
    </row>
    <row r="37" spans="1:52">
      <c r="A37" s="84" t="s">
        <v>1449</v>
      </c>
      <c r="B37" s="704" t="s">
        <v>138</v>
      </c>
      <c r="C37" s="342" t="s">
        <v>121</v>
      </c>
      <c r="D37" s="342">
        <v>5</v>
      </c>
      <c r="E37" s="704" t="s">
        <v>606</v>
      </c>
      <c r="F37" s="342"/>
      <c r="G37" s="1359" t="s">
        <v>203</v>
      </c>
      <c r="H37" s="1109"/>
      <c r="I37" s="1361">
        <v>76</v>
      </c>
      <c r="J37" s="1524">
        <v>1100</v>
      </c>
      <c r="K37" s="1109"/>
      <c r="L37" s="1109"/>
      <c r="M37" s="1359"/>
      <c r="N37" s="1359"/>
      <c r="O37" s="1359"/>
      <c r="P37" s="1359"/>
      <c r="Q37" s="1109"/>
      <c r="R37" s="1109"/>
      <c r="S37" s="1504">
        <v>0</v>
      </c>
      <c r="T37" s="1504">
        <f t="shared" ref="T37:Y39" si="30">+AK37</f>
        <v>96800</v>
      </c>
      <c r="U37" s="1504">
        <f t="shared" si="30"/>
        <v>24200</v>
      </c>
      <c r="V37" s="1504">
        <f t="shared" si="30"/>
        <v>24200</v>
      </c>
      <c r="W37" s="1504">
        <f t="shared" si="30"/>
        <v>24200</v>
      </c>
      <c r="X37" s="1504">
        <f t="shared" ref="X37:AC37" si="31">+AO37</f>
        <v>0</v>
      </c>
      <c r="Y37" s="1504">
        <f t="shared" si="31"/>
        <v>0</v>
      </c>
      <c r="Z37" s="1504">
        <f t="shared" si="31"/>
        <v>0</v>
      </c>
      <c r="AA37" s="1504">
        <f t="shared" si="31"/>
        <v>0</v>
      </c>
      <c r="AB37" s="1504">
        <f t="shared" si="31"/>
        <v>0</v>
      </c>
      <c r="AC37" s="1504">
        <f t="shared" si="31"/>
        <v>0</v>
      </c>
      <c r="AD37" s="1504">
        <f>+AU37</f>
        <v>0</v>
      </c>
      <c r="AE37" s="1504">
        <f>+AV37</f>
        <v>0</v>
      </c>
      <c r="AF37" s="69"/>
      <c r="AG37" s="69"/>
      <c r="AH37" s="84"/>
      <c r="AI37" s="84"/>
      <c r="AJ37" s="1504"/>
      <c r="AK37" s="1372">
        <f t="shared" si="25"/>
        <v>96800</v>
      </c>
      <c r="AL37" s="1372">
        <f>22*$J37</f>
        <v>24200</v>
      </c>
      <c r="AM37" s="1372">
        <f>22*$J37</f>
        <v>24200</v>
      </c>
      <c r="AN37" s="1372">
        <f>22*$J37</f>
        <v>24200</v>
      </c>
      <c r="AO37" s="1109"/>
      <c r="AP37" s="1109"/>
      <c r="AQ37" s="1109"/>
      <c r="AR37" s="1109"/>
      <c r="AS37" s="1109"/>
      <c r="AT37" s="1109"/>
      <c r="AU37" s="1109"/>
      <c r="AV37" s="1109"/>
      <c r="AW37" s="1109"/>
      <c r="AX37" s="84"/>
      <c r="AY37" s="84"/>
      <c r="AZ37" s="84"/>
    </row>
    <row r="38" spans="1:52">
      <c r="A38" s="84" t="s">
        <v>491</v>
      </c>
      <c r="B38" s="704" t="s">
        <v>278</v>
      </c>
      <c r="C38" s="342" t="s">
        <v>121</v>
      </c>
      <c r="D38" s="342">
        <v>5</v>
      </c>
      <c r="E38" s="704" t="s">
        <v>980</v>
      </c>
      <c r="F38" s="342"/>
      <c r="G38" s="1359" t="s">
        <v>270</v>
      </c>
      <c r="H38" s="1109"/>
      <c r="I38" s="1361">
        <v>88</v>
      </c>
      <c r="J38" s="1524">
        <v>500</v>
      </c>
      <c r="K38" s="1109"/>
      <c r="L38" s="1109"/>
      <c r="M38" s="1359"/>
      <c r="N38" s="1359"/>
      <c r="O38" s="1359"/>
      <c r="P38" s="1359"/>
      <c r="Q38" s="1109"/>
      <c r="R38" s="1109"/>
      <c r="S38" s="1504"/>
      <c r="T38" s="1504">
        <f t="shared" si="30"/>
        <v>44000</v>
      </c>
      <c r="U38" s="1504">
        <f t="shared" si="30"/>
        <v>11000</v>
      </c>
      <c r="V38" s="1504">
        <f t="shared" si="30"/>
        <v>11000</v>
      </c>
      <c r="W38" s="1504"/>
      <c r="X38" s="1504">
        <v>0</v>
      </c>
      <c r="Y38" s="1504">
        <v>0</v>
      </c>
      <c r="Z38" s="1504">
        <v>0</v>
      </c>
      <c r="AA38" s="1504">
        <v>0</v>
      </c>
      <c r="AB38" s="1504">
        <v>0</v>
      </c>
      <c r="AC38" s="1504">
        <v>0</v>
      </c>
      <c r="AD38" s="1504">
        <v>0</v>
      </c>
      <c r="AE38" s="1504">
        <v>0</v>
      </c>
      <c r="AF38" s="69"/>
      <c r="AG38" s="69"/>
      <c r="AH38" s="84"/>
      <c r="AI38" s="84"/>
      <c r="AJ38" s="1504"/>
      <c r="AK38" s="1372">
        <f t="shared" ref="AK38:AK49" si="32">$I38*$J38</f>
        <v>44000</v>
      </c>
      <c r="AL38" s="1372">
        <f t="shared" ref="AL38:AM41" si="33">22*$J38</f>
        <v>11000</v>
      </c>
      <c r="AM38" s="1372">
        <f t="shared" si="33"/>
        <v>11000</v>
      </c>
      <c r="AN38" s="1109"/>
      <c r="AO38" s="1109"/>
      <c r="AP38" s="1109"/>
      <c r="AQ38" s="1109"/>
      <c r="AR38" s="1109"/>
      <c r="AS38" s="1109"/>
      <c r="AT38" s="1109"/>
      <c r="AU38" s="1109"/>
      <c r="AV38" s="1109"/>
      <c r="AW38" s="1109"/>
      <c r="AX38" s="84"/>
      <c r="AY38" s="84"/>
      <c r="AZ38" s="84"/>
    </row>
    <row r="39" spans="1:52">
      <c r="A39" s="84" t="s">
        <v>593</v>
      </c>
      <c r="B39" s="704" t="s">
        <v>278</v>
      </c>
      <c r="C39" s="342" t="s">
        <v>121</v>
      </c>
      <c r="D39" s="342">
        <v>4</v>
      </c>
      <c r="E39" s="700" t="s">
        <v>980</v>
      </c>
      <c r="F39" s="343"/>
      <c r="G39" s="1359" t="s">
        <v>981</v>
      </c>
      <c r="H39" s="1109"/>
      <c r="I39" s="1361">
        <v>88</v>
      </c>
      <c r="J39" s="1524">
        <v>1000</v>
      </c>
      <c r="K39" s="1109"/>
      <c r="L39" s="1109"/>
      <c r="M39" s="1359"/>
      <c r="N39" s="1359"/>
      <c r="O39" s="1359"/>
      <c r="P39" s="1359"/>
      <c r="Q39" s="1109"/>
      <c r="R39" s="1109"/>
      <c r="S39" s="1504"/>
      <c r="T39" s="1504">
        <f t="shared" si="30"/>
        <v>88000</v>
      </c>
      <c r="U39" s="1504">
        <f t="shared" si="30"/>
        <v>22000</v>
      </c>
      <c r="V39" s="1504">
        <f t="shared" si="30"/>
        <v>22000</v>
      </c>
      <c r="W39" s="1504">
        <f t="shared" si="30"/>
        <v>22000</v>
      </c>
      <c r="X39" s="1504">
        <f t="shared" si="30"/>
        <v>22000</v>
      </c>
      <c r="Y39" s="1504">
        <f t="shared" si="30"/>
        <v>22000</v>
      </c>
      <c r="Z39" s="1504">
        <v>0</v>
      </c>
      <c r="AA39" s="1504">
        <v>0</v>
      </c>
      <c r="AB39" s="1504">
        <v>0</v>
      </c>
      <c r="AC39" s="1504">
        <v>0</v>
      </c>
      <c r="AD39" s="1504">
        <v>0</v>
      </c>
      <c r="AE39" s="1504">
        <v>0</v>
      </c>
      <c r="AF39" s="69"/>
      <c r="AG39" s="69"/>
      <c r="AH39" s="707"/>
      <c r="AI39" s="707"/>
      <c r="AJ39" s="1504"/>
      <c r="AK39" s="1372">
        <f t="shared" si="32"/>
        <v>88000</v>
      </c>
      <c r="AL39" s="1372">
        <f t="shared" si="33"/>
        <v>22000</v>
      </c>
      <c r="AM39" s="1372">
        <f t="shared" si="33"/>
        <v>22000</v>
      </c>
      <c r="AN39" s="1372">
        <f t="shared" ref="AN39:AT39" si="34">22*$J39</f>
        <v>22000</v>
      </c>
      <c r="AO39" s="1372">
        <f t="shared" si="34"/>
        <v>22000</v>
      </c>
      <c r="AP39" s="1372">
        <f t="shared" si="34"/>
        <v>22000</v>
      </c>
      <c r="AQ39" s="1372">
        <f t="shared" si="34"/>
        <v>22000</v>
      </c>
      <c r="AR39" s="1372">
        <f t="shared" si="34"/>
        <v>22000</v>
      </c>
      <c r="AS39" s="1372">
        <f t="shared" si="34"/>
        <v>22000</v>
      </c>
      <c r="AT39" s="1372">
        <f t="shared" si="34"/>
        <v>22000</v>
      </c>
      <c r="AU39" s="1109"/>
      <c r="AV39" s="1109"/>
      <c r="AW39" s="1109"/>
      <c r="AX39" s="84"/>
      <c r="AY39" s="84"/>
      <c r="AZ39" s="84"/>
    </row>
    <row r="40" spans="1:52">
      <c r="A40" s="84" t="s">
        <v>977</v>
      </c>
      <c r="B40" s="704" t="s">
        <v>278</v>
      </c>
      <c r="C40" s="342" t="s">
        <v>121</v>
      </c>
      <c r="D40" s="342">
        <v>4</v>
      </c>
      <c r="E40" s="700" t="s">
        <v>980</v>
      </c>
      <c r="F40" s="343"/>
      <c r="G40" s="1359" t="s">
        <v>978</v>
      </c>
      <c r="H40" s="1109"/>
      <c r="I40" s="1361">
        <v>61</v>
      </c>
      <c r="J40" s="1524">
        <v>700</v>
      </c>
      <c r="K40" s="1109"/>
      <c r="L40" s="1109"/>
      <c r="M40" s="1359"/>
      <c r="N40" s="1359"/>
      <c r="O40" s="1359"/>
      <c r="P40" s="1359"/>
      <c r="Q40" s="1109"/>
      <c r="R40" s="1109"/>
      <c r="S40" s="1504"/>
      <c r="T40" s="1504">
        <f>AK40</f>
        <v>42700</v>
      </c>
      <c r="U40" s="1504">
        <f>AL40</f>
        <v>15400</v>
      </c>
      <c r="V40" s="1504">
        <f>AM40</f>
        <v>15400</v>
      </c>
      <c r="W40" s="1504"/>
      <c r="X40" s="1504">
        <v>0</v>
      </c>
      <c r="Y40" s="1504">
        <v>0</v>
      </c>
      <c r="Z40" s="1504">
        <v>0</v>
      </c>
      <c r="AA40" s="1504">
        <v>0</v>
      </c>
      <c r="AB40" s="1504">
        <v>0</v>
      </c>
      <c r="AC40" s="1504">
        <v>0</v>
      </c>
      <c r="AD40" s="1504">
        <v>0</v>
      </c>
      <c r="AE40" s="1504">
        <v>0</v>
      </c>
      <c r="AF40" s="69"/>
      <c r="AG40" s="69"/>
      <c r="AH40" s="84"/>
      <c r="AI40" s="84"/>
      <c r="AJ40" s="1504"/>
      <c r="AK40" s="1372">
        <f t="shared" si="32"/>
        <v>42700</v>
      </c>
      <c r="AL40" s="1372">
        <f t="shared" si="33"/>
        <v>15400</v>
      </c>
      <c r="AM40" s="1372">
        <f t="shared" si="33"/>
        <v>15400</v>
      </c>
      <c r="AN40" s="1109"/>
      <c r="AO40" s="1109"/>
      <c r="AP40" s="1109"/>
      <c r="AQ40" s="1109"/>
      <c r="AR40" s="1109"/>
      <c r="AS40" s="1109"/>
      <c r="AT40" s="1109"/>
      <c r="AU40" s="1109"/>
      <c r="AV40" s="1109"/>
      <c r="AW40" s="1109"/>
      <c r="AX40" s="84"/>
      <c r="AY40" s="84"/>
      <c r="AZ40" s="84"/>
    </row>
    <row r="41" spans="1:52" ht="13.5" customHeight="1">
      <c r="A41" s="84" t="s">
        <v>594</v>
      </c>
      <c r="B41" s="704" t="s">
        <v>278</v>
      </c>
      <c r="C41" s="342" t="s">
        <v>121</v>
      </c>
      <c r="D41" s="342">
        <v>4</v>
      </c>
      <c r="E41" s="700" t="s">
        <v>980</v>
      </c>
      <c r="F41" s="648"/>
      <c r="G41" s="1359" t="s">
        <v>979</v>
      </c>
      <c r="H41" s="1361"/>
      <c r="I41" s="1361">
        <v>88</v>
      </c>
      <c r="J41" s="1524">
        <v>450</v>
      </c>
      <c r="K41" s="2164"/>
      <c r="L41" s="1504"/>
      <c r="M41" s="1769"/>
      <c r="N41" s="1769"/>
      <c r="O41" s="1769"/>
      <c r="P41" s="1769"/>
      <c r="Q41" s="1504"/>
      <c r="R41" s="1504"/>
      <c r="S41" s="1504"/>
      <c r="T41" s="1504">
        <f>AK41</f>
        <v>39600</v>
      </c>
      <c r="U41" s="1504">
        <f>AL41</f>
        <v>9900</v>
      </c>
      <c r="V41" s="1504"/>
      <c r="W41" s="1504"/>
      <c r="X41" s="1504">
        <v>0</v>
      </c>
      <c r="Y41" s="1504">
        <v>0</v>
      </c>
      <c r="Z41" s="1504">
        <v>0</v>
      </c>
      <c r="AA41" s="1504">
        <v>0</v>
      </c>
      <c r="AB41" s="1504">
        <v>0</v>
      </c>
      <c r="AC41" s="1504">
        <v>0</v>
      </c>
      <c r="AD41" s="1504">
        <v>0</v>
      </c>
      <c r="AE41" s="1504">
        <v>0</v>
      </c>
      <c r="AF41" s="69"/>
      <c r="AG41" s="69"/>
      <c r="AH41" s="707"/>
      <c r="AI41" s="707"/>
      <c r="AJ41" s="1504"/>
      <c r="AK41" s="1372">
        <f t="shared" si="32"/>
        <v>39600</v>
      </c>
      <c r="AL41" s="1372">
        <f t="shared" si="33"/>
        <v>9900</v>
      </c>
      <c r="AM41" s="1372">
        <f t="shared" si="33"/>
        <v>9900</v>
      </c>
      <c r="AN41" s="1372"/>
      <c r="AO41" s="1372"/>
      <c r="AP41" s="1372"/>
      <c r="AQ41" s="1372"/>
      <c r="AR41" s="1372"/>
      <c r="AS41" s="1372"/>
      <c r="AT41" s="1372"/>
      <c r="AU41" s="1372"/>
      <c r="AV41" s="1372"/>
      <c r="AW41" s="1372"/>
      <c r="AX41" s="79"/>
      <c r="AY41" s="79"/>
      <c r="AZ41" s="79"/>
    </row>
    <row r="42" spans="1:52" ht="13.5" customHeight="1">
      <c r="A42" s="84" t="s">
        <v>772</v>
      </c>
      <c r="B42" s="704" t="s">
        <v>980</v>
      </c>
      <c r="C42" s="342" t="s">
        <v>121</v>
      </c>
      <c r="D42" s="342">
        <v>2</v>
      </c>
      <c r="E42" s="700" t="s">
        <v>839</v>
      </c>
      <c r="F42" s="648"/>
      <c r="G42" s="1359" t="s">
        <v>220</v>
      </c>
      <c r="H42" s="1361"/>
      <c r="I42" s="1361">
        <f>22*4</f>
        <v>88</v>
      </c>
      <c r="J42" s="1524">
        <v>2350</v>
      </c>
      <c r="K42" s="2164"/>
      <c r="L42" s="1504"/>
      <c r="M42" s="1769"/>
      <c r="N42" s="1769"/>
      <c r="O42" s="1769"/>
      <c r="P42" s="1769"/>
      <c r="Q42" s="1504"/>
      <c r="R42" s="1504"/>
      <c r="S42" s="1504"/>
      <c r="T42" s="1504"/>
      <c r="U42" s="1504"/>
      <c r="V42" s="1504"/>
      <c r="W42" s="1504"/>
      <c r="X42" s="1504">
        <f t="shared" ref="X42:AC42" si="35">AK42</f>
        <v>206800</v>
      </c>
      <c r="Y42" s="1504">
        <f t="shared" si="35"/>
        <v>51700</v>
      </c>
      <c r="Z42" s="1504">
        <f t="shared" si="35"/>
        <v>51700</v>
      </c>
      <c r="AA42" s="1504">
        <f t="shared" si="35"/>
        <v>51700</v>
      </c>
      <c r="AB42" s="1504">
        <f t="shared" si="35"/>
        <v>51700</v>
      </c>
      <c r="AC42" s="1504">
        <f t="shared" si="35"/>
        <v>51700</v>
      </c>
      <c r="AD42" s="1504">
        <f>AQ42</f>
        <v>51700</v>
      </c>
      <c r="AE42" s="1504">
        <f>AR42</f>
        <v>51700</v>
      </c>
      <c r="AF42" s="69"/>
      <c r="AG42" s="69"/>
      <c r="AH42" s="707"/>
      <c r="AI42" s="707"/>
      <c r="AJ42" s="1504"/>
      <c r="AK42" s="1372">
        <f t="shared" si="32"/>
        <v>206800</v>
      </c>
      <c r="AL42" s="1372">
        <f t="shared" ref="AL42:AM45" si="36">22*$J42</f>
        <v>51700</v>
      </c>
      <c r="AM42" s="1372">
        <f t="shared" si="36"/>
        <v>51700</v>
      </c>
      <c r="AN42" s="1372">
        <f t="shared" ref="AN42:AS45" si="37">22*$J42</f>
        <v>51700</v>
      </c>
      <c r="AO42" s="1372">
        <f t="shared" si="37"/>
        <v>51700</v>
      </c>
      <c r="AP42" s="1372">
        <f t="shared" si="37"/>
        <v>51700</v>
      </c>
      <c r="AQ42" s="1372">
        <f t="shared" si="37"/>
        <v>51700</v>
      </c>
      <c r="AR42" s="1372">
        <f t="shared" si="37"/>
        <v>51700</v>
      </c>
      <c r="AS42" s="1372">
        <f t="shared" si="37"/>
        <v>51700</v>
      </c>
      <c r="AT42" s="1372"/>
      <c r="AU42" s="1372"/>
      <c r="AV42" s="1372"/>
      <c r="AW42" s="1372"/>
      <c r="AX42" s="79"/>
      <c r="AY42" s="79"/>
      <c r="AZ42" s="79"/>
    </row>
    <row r="43" spans="1:52" ht="13.5" customHeight="1">
      <c r="A43" s="69" t="s">
        <v>701</v>
      </c>
      <c r="B43" s="700" t="s">
        <v>702</v>
      </c>
      <c r="C43" s="343" t="s">
        <v>121</v>
      </c>
      <c r="D43" s="343">
        <v>1</v>
      </c>
      <c r="E43" s="700" t="s">
        <v>1463</v>
      </c>
      <c r="F43" s="648"/>
      <c r="G43" s="1359" t="s">
        <v>270</v>
      </c>
      <c r="H43" s="1361"/>
      <c r="I43" s="1361">
        <f>4*22</f>
        <v>88</v>
      </c>
      <c r="J43" s="1524">
        <v>2200</v>
      </c>
      <c r="K43" s="2164"/>
      <c r="L43" s="1504"/>
      <c r="M43" s="1769"/>
      <c r="N43" s="1769"/>
      <c r="O43" s="1769"/>
      <c r="P43" s="1769"/>
      <c r="Q43" s="1504"/>
      <c r="R43" s="1504"/>
      <c r="S43" s="1504"/>
      <c r="T43" s="1504"/>
      <c r="U43" s="1504"/>
      <c r="V43" s="2165"/>
      <c r="W43" s="2165"/>
      <c r="X43" s="1504">
        <v>0</v>
      </c>
      <c r="Y43" s="1504">
        <f t="shared" ref="Y43:AC44" si="38">AK43</f>
        <v>193600</v>
      </c>
      <c r="Z43" s="1504">
        <f t="shared" si="38"/>
        <v>48400</v>
      </c>
      <c r="AA43" s="1504">
        <f t="shared" si="38"/>
        <v>48400</v>
      </c>
      <c r="AB43" s="1504">
        <f t="shared" si="38"/>
        <v>48400</v>
      </c>
      <c r="AC43" s="1504">
        <f t="shared" si="38"/>
        <v>48400</v>
      </c>
      <c r="AD43" s="1504">
        <f>AP43</f>
        <v>48400</v>
      </c>
      <c r="AE43" s="1504">
        <f>AQ43</f>
        <v>48400</v>
      </c>
      <c r="AF43" s="69"/>
      <c r="AG43" s="69"/>
      <c r="AH43" s="707"/>
      <c r="AI43" s="707"/>
      <c r="AJ43" s="2165"/>
      <c r="AK43" s="1372">
        <f>$I43*$J43</f>
        <v>193600</v>
      </c>
      <c r="AL43" s="1372">
        <f t="shared" si="36"/>
        <v>48400</v>
      </c>
      <c r="AM43" s="1372">
        <f t="shared" si="36"/>
        <v>48400</v>
      </c>
      <c r="AN43" s="1372">
        <f t="shared" si="37"/>
        <v>48400</v>
      </c>
      <c r="AO43" s="1372">
        <f t="shared" si="37"/>
        <v>48400</v>
      </c>
      <c r="AP43" s="1372">
        <f t="shared" si="37"/>
        <v>48400</v>
      </c>
      <c r="AQ43" s="1372">
        <f t="shared" si="37"/>
        <v>48400</v>
      </c>
      <c r="AR43" s="1372">
        <f t="shared" si="37"/>
        <v>48400</v>
      </c>
      <c r="AS43" s="1372">
        <f t="shared" si="37"/>
        <v>48400</v>
      </c>
      <c r="AT43" s="1372"/>
      <c r="AU43" s="1372"/>
      <c r="AV43" s="1372"/>
      <c r="AW43" s="1372"/>
      <c r="AX43" s="419"/>
      <c r="AY43" s="419"/>
      <c r="AZ43" s="419"/>
    </row>
    <row r="44" spans="1:52" ht="13.5" customHeight="1">
      <c r="A44" s="938" t="s">
        <v>1157</v>
      </c>
      <c r="B44" s="700" t="s">
        <v>702</v>
      </c>
      <c r="C44" s="343" t="s">
        <v>121</v>
      </c>
      <c r="D44" s="343">
        <v>1</v>
      </c>
      <c r="E44" s="700" t="s">
        <v>1463</v>
      </c>
      <c r="F44" s="648"/>
      <c r="G44" s="1502" t="s">
        <v>576</v>
      </c>
      <c r="H44" s="1151"/>
      <c r="I44" s="1151">
        <f>4*22</f>
        <v>88</v>
      </c>
      <c r="J44" s="705">
        <v>700</v>
      </c>
      <c r="K44" s="1152"/>
      <c r="L44" s="707"/>
      <c r="M44" s="708"/>
      <c r="N44" s="708"/>
      <c r="O44" s="708"/>
      <c r="P44" s="708"/>
      <c r="Q44" s="707"/>
      <c r="R44" s="707"/>
      <c r="S44" s="707"/>
      <c r="T44" s="707"/>
      <c r="U44" s="707"/>
      <c r="V44" s="1070"/>
      <c r="W44" s="1070"/>
      <c r="X44" s="707">
        <v>0</v>
      </c>
      <c r="Y44" s="707">
        <f t="shared" si="38"/>
        <v>61600</v>
      </c>
      <c r="Z44" s="707">
        <f t="shared" si="38"/>
        <v>15400</v>
      </c>
      <c r="AA44" s="707">
        <f t="shared" si="38"/>
        <v>15400</v>
      </c>
      <c r="AB44" s="707">
        <f t="shared" si="38"/>
        <v>15400</v>
      </c>
      <c r="AC44" s="707">
        <f t="shared" si="38"/>
        <v>15400</v>
      </c>
      <c r="AD44" s="707">
        <f>AP44</f>
        <v>15400</v>
      </c>
      <c r="AE44" s="707">
        <f>AQ44</f>
        <v>15400</v>
      </c>
      <c r="AF44" s="69"/>
      <c r="AG44" s="69"/>
      <c r="AH44" s="707"/>
      <c r="AI44" s="707"/>
      <c r="AJ44" s="2165"/>
      <c r="AK44" s="1372">
        <f t="shared" si="32"/>
        <v>61600</v>
      </c>
      <c r="AL44" s="1372">
        <f t="shared" si="36"/>
        <v>15400</v>
      </c>
      <c r="AM44" s="1372">
        <f t="shared" si="36"/>
        <v>15400</v>
      </c>
      <c r="AN44" s="1372">
        <f t="shared" si="37"/>
        <v>15400</v>
      </c>
      <c r="AO44" s="1372">
        <f t="shared" si="37"/>
        <v>15400</v>
      </c>
      <c r="AP44" s="1372">
        <f t="shared" si="37"/>
        <v>15400</v>
      </c>
      <c r="AQ44" s="1372">
        <f t="shared" si="37"/>
        <v>15400</v>
      </c>
      <c r="AR44" s="1372">
        <f t="shared" si="37"/>
        <v>15400</v>
      </c>
      <c r="AS44" s="1372">
        <f t="shared" si="37"/>
        <v>15400</v>
      </c>
      <c r="AT44" s="1372"/>
      <c r="AU44" s="1372"/>
      <c r="AV44" s="1372"/>
      <c r="AW44" s="1372"/>
      <c r="AX44" s="419"/>
      <c r="AY44" s="419"/>
      <c r="AZ44" s="419"/>
    </row>
    <row r="45" spans="1:52" ht="13.5" customHeight="1">
      <c r="A45" s="938" t="s">
        <v>549</v>
      </c>
      <c r="B45" s="700" t="s">
        <v>980</v>
      </c>
      <c r="C45" s="343" t="s">
        <v>121</v>
      </c>
      <c r="D45" s="343">
        <v>1</v>
      </c>
      <c r="E45" s="700" t="s">
        <v>839</v>
      </c>
      <c r="F45" s="648"/>
      <c r="G45" s="1502" t="s">
        <v>398</v>
      </c>
      <c r="H45" s="1151"/>
      <c r="I45" s="1361">
        <v>88</v>
      </c>
      <c r="J45" s="705">
        <v>250</v>
      </c>
      <c r="K45" s="1152"/>
      <c r="L45" s="707"/>
      <c r="M45" s="708"/>
      <c r="N45" s="708"/>
      <c r="O45" s="708"/>
      <c r="P45" s="708"/>
      <c r="Q45" s="707"/>
      <c r="R45" s="707"/>
      <c r="S45" s="707"/>
      <c r="T45" s="707"/>
      <c r="U45" s="707"/>
      <c r="V45" s="1070"/>
      <c r="W45" s="1070"/>
      <c r="X45" s="707">
        <f t="shared" ref="X45:AC45" si="39">AK45</f>
        <v>22000</v>
      </c>
      <c r="Y45" s="707">
        <f t="shared" si="39"/>
        <v>5500</v>
      </c>
      <c r="Z45" s="707">
        <f t="shared" si="39"/>
        <v>5500</v>
      </c>
      <c r="AA45" s="707">
        <f t="shared" si="39"/>
        <v>5500</v>
      </c>
      <c r="AB45" s="707">
        <f t="shared" si="39"/>
        <v>5500</v>
      </c>
      <c r="AC45" s="707">
        <f t="shared" si="39"/>
        <v>5500</v>
      </c>
      <c r="AD45" s="707">
        <f>AQ45</f>
        <v>0</v>
      </c>
      <c r="AE45" s="707">
        <f>AR45</f>
        <v>0</v>
      </c>
      <c r="AF45" s="69"/>
      <c r="AG45" s="69"/>
      <c r="AH45" s="707"/>
      <c r="AI45" s="707"/>
      <c r="AJ45" s="1504"/>
      <c r="AK45" s="1372">
        <f t="shared" si="32"/>
        <v>22000</v>
      </c>
      <c r="AL45" s="1372">
        <f t="shared" si="36"/>
        <v>5500</v>
      </c>
      <c r="AM45" s="1372">
        <f t="shared" si="36"/>
        <v>5500</v>
      </c>
      <c r="AN45" s="1372">
        <f t="shared" si="37"/>
        <v>5500</v>
      </c>
      <c r="AO45" s="1372">
        <f t="shared" si="37"/>
        <v>5500</v>
      </c>
      <c r="AP45" s="1372">
        <f t="shared" si="37"/>
        <v>5500</v>
      </c>
      <c r="AQ45" s="1372"/>
      <c r="AR45" s="1372"/>
      <c r="AS45" s="1372"/>
      <c r="AT45" s="1372"/>
      <c r="AU45" s="1372"/>
      <c r="AV45" s="1372"/>
      <c r="AW45" s="1372"/>
      <c r="AX45" s="419"/>
      <c r="AY45" s="419"/>
      <c r="AZ45" s="419"/>
    </row>
    <row r="46" spans="1:52" ht="13.5" customHeight="1">
      <c r="A46" s="938" t="s">
        <v>549</v>
      </c>
      <c r="B46" s="700"/>
      <c r="C46" s="343"/>
      <c r="D46" s="343"/>
      <c r="E46" s="700"/>
      <c r="F46" s="648"/>
      <c r="G46" s="1502" t="s">
        <v>122</v>
      </c>
      <c r="H46" s="1151"/>
      <c r="I46" s="1361">
        <v>110</v>
      </c>
      <c r="J46" s="1524">
        <v>150</v>
      </c>
      <c r="K46" s="1152"/>
      <c r="L46" s="707"/>
      <c r="M46" s="708"/>
      <c r="N46" s="708"/>
      <c r="O46" s="708"/>
      <c r="P46" s="708"/>
      <c r="Q46" s="707"/>
      <c r="R46" s="707"/>
      <c r="S46" s="707"/>
      <c r="T46" s="707"/>
      <c r="U46" s="707"/>
      <c r="V46" s="1070"/>
      <c r="W46" s="1070"/>
      <c r="X46" s="653">
        <v>0</v>
      </c>
      <c r="Y46" s="1504">
        <f t="shared" ref="Y46:AE46" si="40">AK46</f>
        <v>16500</v>
      </c>
      <c r="Z46" s="707">
        <f t="shared" si="40"/>
        <v>3300</v>
      </c>
      <c r="AA46" s="707">
        <f t="shared" si="40"/>
        <v>3300</v>
      </c>
      <c r="AB46" s="707">
        <f t="shared" si="40"/>
        <v>3300</v>
      </c>
      <c r="AC46" s="707">
        <f t="shared" si="40"/>
        <v>3300</v>
      </c>
      <c r="AD46" s="707">
        <f t="shared" si="40"/>
        <v>3300</v>
      </c>
      <c r="AE46" s="707">
        <f t="shared" si="40"/>
        <v>3300</v>
      </c>
      <c r="AF46" s="69"/>
      <c r="AG46" s="69"/>
      <c r="AH46" s="707"/>
      <c r="AI46" s="707"/>
      <c r="AJ46" s="1504"/>
      <c r="AK46" s="1372">
        <f t="shared" si="32"/>
        <v>16500</v>
      </c>
      <c r="AL46" s="1372">
        <f>22*$J46</f>
        <v>3300</v>
      </c>
      <c r="AM46" s="1372">
        <f t="shared" ref="AM46:AS49" si="41">22*$J46</f>
        <v>3300</v>
      </c>
      <c r="AN46" s="1372">
        <f t="shared" si="41"/>
        <v>3300</v>
      </c>
      <c r="AO46" s="1372">
        <f t="shared" si="41"/>
        <v>3300</v>
      </c>
      <c r="AP46" s="1372">
        <f t="shared" si="41"/>
        <v>3300</v>
      </c>
      <c r="AQ46" s="1372">
        <f t="shared" si="41"/>
        <v>3300</v>
      </c>
      <c r="AR46" s="1372">
        <f t="shared" si="41"/>
        <v>3300</v>
      </c>
      <c r="AS46" s="1372">
        <f t="shared" si="41"/>
        <v>3300</v>
      </c>
      <c r="AT46" s="1372"/>
      <c r="AU46" s="1372"/>
      <c r="AV46" s="1372"/>
      <c r="AW46" s="1372"/>
      <c r="AX46" s="419"/>
      <c r="AY46" s="419"/>
      <c r="AZ46" s="419"/>
    </row>
    <row r="47" spans="1:52" ht="13.5" customHeight="1">
      <c r="A47" s="938" t="s">
        <v>326</v>
      </c>
      <c r="B47" s="700"/>
      <c r="C47" s="343"/>
      <c r="D47" s="343"/>
      <c r="E47" s="700"/>
      <c r="F47" s="648"/>
      <c r="G47" s="1502" t="s">
        <v>576</v>
      </c>
      <c r="H47" s="1151"/>
      <c r="I47" s="1361">
        <f>24*3</f>
        <v>72</v>
      </c>
      <c r="J47" s="1524">
        <v>1700</v>
      </c>
      <c r="K47" s="1152"/>
      <c r="L47" s="707"/>
      <c r="M47" s="708"/>
      <c r="N47" s="708"/>
      <c r="O47" s="708"/>
      <c r="P47" s="708"/>
      <c r="Q47" s="707"/>
      <c r="R47" s="707"/>
      <c r="S47" s="707"/>
      <c r="T47" s="707"/>
      <c r="U47" s="707"/>
      <c r="V47" s="1070"/>
      <c r="W47" s="1070"/>
      <c r="X47" s="653">
        <v>0</v>
      </c>
      <c r="Y47" s="707">
        <v>0</v>
      </c>
      <c r="Z47" s="1504">
        <f t="shared" ref="Z47:AC48" si="42">+AK47</f>
        <v>122400</v>
      </c>
      <c r="AA47" s="1504">
        <f t="shared" si="42"/>
        <v>40800</v>
      </c>
      <c r="AB47" s="1504">
        <f t="shared" si="42"/>
        <v>40800</v>
      </c>
      <c r="AC47" s="1504">
        <f t="shared" si="42"/>
        <v>40800</v>
      </c>
      <c r="AD47" s="1504">
        <f>+AO47</f>
        <v>40800</v>
      </c>
      <c r="AE47" s="1504">
        <f>+AP47</f>
        <v>40800</v>
      </c>
      <c r="AF47" s="69"/>
      <c r="AG47" s="69"/>
      <c r="AH47" s="707"/>
      <c r="AI47" s="707"/>
      <c r="AJ47" s="1504"/>
      <c r="AK47" s="1372">
        <f t="shared" si="32"/>
        <v>122400</v>
      </c>
      <c r="AL47" s="1372">
        <f t="shared" ref="AL47:AS48" si="43">24*$J47</f>
        <v>40800</v>
      </c>
      <c r="AM47" s="1372">
        <f t="shared" si="43"/>
        <v>40800</v>
      </c>
      <c r="AN47" s="1372">
        <f t="shared" si="43"/>
        <v>40800</v>
      </c>
      <c r="AO47" s="1372">
        <f t="shared" si="43"/>
        <v>40800</v>
      </c>
      <c r="AP47" s="1372">
        <f t="shared" si="43"/>
        <v>40800</v>
      </c>
      <c r="AQ47" s="1372">
        <f t="shared" si="43"/>
        <v>40800</v>
      </c>
      <c r="AR47" s="1372">
        <f t="shared" si="43"/>
        <v>40800</v>
      </c>
      <c r="AS47" s="1372">
        <f t="shared" si="43"/>
        <v>40800</v>
      </c>
      <c r="AT47" s="1372"/>
      <c r="AU47" s="1372"/>
      <c r="AV47" s="1372"/>
      <c r="AW47" s="1372"/>
      <c r="AX47" s="419"/>
      <c r="AY47" s="419"/>
      <c r="AZ47" s="419"/>
    </row>
    <row r="48" spans="1:52" ht="13.5" customHeight="1">
      <c r="A48" s="938" t="s">
        <v>326</v>
      </c>
      <c r="B48" s="700"/>
      <c r="C48" s="343"/>
      <c r="D48" s="343"/>
      <c r="E48" s="700"/>
      <c r="F48" s="648"/>
      <c r="G48" s="1502" t="s">
        <v>577</v>
      </c>
      <c r="H48" s="1151"/>
      <c r="I48" s="1361">
        <f>24*3</f>
        <v>72</v>
      </c>
      <c r="J48" s="1524">
        <v>200</v>
      </c>
      <c r="K48" s="1152"/>
      <c r="L48" s="707"/>
      <c r="M48" s="708"/>
      <c r="N48" s="708"/>
      <c r="O48" s="708"/>
      <c r="P48" s="708"/>
      <c r="Q48" s="707"/>
      <c r="R48" s="707"/>
      <c r="S48" s="707"/>
      <c r="T48" s="707"/>
      <c r="U48" s="707"/>
      <c r="V48" s="1070"/>
      <c r="W48" s="1070"/>
      <c r="X48" s="653">
        <v>0</v>
      </c>
      <c r="Y48" s="707">
        <v>0</v>
      </c>
      <c r="Z48" s="1504">
        <f t="shared" si="42"/>
        <v>14400</v>
      </c>
      <c r="AA48" s="1504">
        <f t="shared" si="42"/>
        <v>4800</v>
      </c>
      <c r="AB48" s="1504">
        <f t="shared" si="42"/>
        <v>4800</v>
      </c>
      <c r="AC48" s="1504">
        <f t="shared" si="42"/>
        <v>4800</v>
      </c>
      <c r="AD48" s="1504">
        <f>+AO48</f>
        <v>4800</v>
      </c>
      <c r="AE48" s="1504">
        <f>+AP48</f>
        <v>4800</v>
      </c>
      <c r="AF48" s="69"/>
      <c r="AG48" s="69"/>
      <c r="AH48" s="707"/>
      <c r="AI48" s="707"/>
      <c r="AJ48" s="1504"/>
      <c r="AK48" s="1372">
        <f t="shared" si="32"/>
        <v>14400</v>
      </c>
      <c r="AL48" s="1372">
        <f t="shared" si="43"/>
        <v>4800</v>
      </c>
      <c r="AM48" s="1372">
        <f t="shared" si="43"/>
        <v>4800</v>
      </c>
      <c r="AN48" s="1372">
        <f t="shared" si="43"/>
        <v>4800</v>
      </c>
      <c r="AO48" s="1372">
        <f t="shared" si="43"/>
        <v>4800</v>
      </c>
      <c r="AP48" s="1372">
        <f t="shared" si="43"/>
        <v>4800</v>
      </c>
      <c r="AQ48" s="1372">
        <f t="shared" si="43"/>
        <v>4800</v>
      </c>
      <c r="AR48" s="1372">
        <f t="shared" si="43"/>
        <v>4800</v>
      </c>
      <c r="AS48" s="1372">
        <f t="shared" si="43"/>
        <v>4800</v>
      </c>
      <c r="AT48" s="1372"/>
      <c r="AU48" s="1372"/>
      <c r="AV48" s="1372"/>
      <c r="AW48" s="1372"/>
      <c r="AX48" s="419"/>
      <c r="AY48" s="419"/>
      <c r="AZ48" s="419"/>
    </row>
    <row r="49" spans="1:52" ht="13.5" customHeight="1">
      <c r="A49" s="938" t="s">
        <v>554</v>
      </c>
      <c r="B49" s="700"/>
      <c r="C49" s="343"/>
      <c r="D49" s="343"/>
      <c r="E49" s="700"/>
      <c r="F49" s="648"/>
      <c r="G49" s="1502" t="s">
        <v>564</v>
      </c>
      <c r="H49" s="1151"/>
      <c r="I49" s="1361"/>
      <c r="J49" s="1524"/>
      <c r="K49" s="1152"/>
      <c r="L49" s="707"/>
      <c r="M49" s="708"/>
      <c r="N49" s="708"/>
      <c r="O49" s="708"/>
      <c r="P49" s="708"/>
      <c r="Q49" s="707"/>
      <c r="R49" s="707"/>
      <c r="S49" s="707"/>
      <c r="T49" s="707"/>
      <c r="U49" s="707"/>
      <c r="V49" s="1070"/>
      <c r="W49" s="1070"/>
      <c r="X49" s="653">
        <v>0</v>
      </c>
      <c r="Y49" s="707">
        <v>0</v>
      </c>
      <c r="Z49" s="707">
        <v>0</v>
      </c>
      <c r="AA49" s="1504">
        <f>AK49</f>
        <v>0</v>
      </c>
      <c r="AB49" s="1504">
        <f>AL49</f>
        <v>0</v>
      </c>
      <c r="AC49" s="1504">
        <f>AM49</f>
        <v>0</v>
      </c>
      <c r="AD49" s="1504">
        <f>AN49</f>
        <v>0</v>
      </c>
      <c r="AE49" s="1504">
        <f>AO49</f>
        <v>0</v>
      </c>
      <c r="AF49" s="69"/>
      <c r="AG49" s="69"/>
      <c r="AH49" s="707"/>
      <c r="AI49" s="707"/>
      <c r="AJ49" s="1504"/>
      <c r="AK49" s="1372">
        <f t="shared" si="32"/>
        <v>0</v>
      </c>
      <c r="AL49" s="1372">
        <f>22*$J49</f>
        <v>0</v>
      </c>
      <c r="AM49" s="1372">
        <f t="shared" si="41"/>
        <v>0</v>
      </c>
      <c r="AN49" s="1372">
        <f t="shared" si="41"/>
        <v>0</v>
      </c>
      <c r="AO49" s="1372">
        <f t="shared" si="41"/>
        <v>0</v>
      </c>
      <c r="AP49" s="1372">
        <f t="shared" si="41"/>
        <v>0</v>
      </c>
      <c r="AQ49" s="1372">
        <f t="shared" si="41"/>
        <v>0</v>
      </c>
      <c r="AR49" s="1372">
        <f t="shared" si="41"/>
        <v>0</v>
      </c>
      <c r="AS49" s="1372">
        <f t="shared" si="41"/>
        <v>0</v>
      </c>
      <c r="AT49" s="1372"/>
      <c r="AU49" s="1372"/>
      <c r="AV49" s="1372"/>
      <c r="AW49" s="1372"/>
      <c r="AX49" s="419"/>
      <c r="AY49" s="419"/>
      <c r="AZ49" s="419"/>
    </row>
    <row r="50" spans="1:52" ht="13.5" customHeight="1">
      <c r="A50" s="69" t="s">
        <v>1243</v>
      </c>
      <c r="B50" s="700"/>
      <c r="C50" s="343"/>
      <c r="D50" s="343"/>
      <c r="E50" s="700"/>
      <c r="F50" s="648"/>
      <c r="G50" s="343" t="s">
        <v>122</v>
      </c>
      <c r="H50" s="1151"/>
      <c r="I50" s="1361"/>
      <c r="J50" s="705"/>
      <c r="K50" s="1152"/>
      <c r="L50" s="707"/>
      <c r="M50" s="708"/>
      <c r="N50" s="708"/>
      <c r="O50" s="708"/>
      <c r="P50" s="708"/>
      <c r="Q50" s="707"/>
      <c r="R50" s="707"/>
      <c r="S50" s="707"/>
      <c r="T50" s="707"/>
      <c r="U50" s="707"/>
      <c r="V50" s="1070">
        <f>242*200</f>
        <v>48400</v>
      </c>
      <c r="W50" s="1070"/>
      <c r="X50" s="1505">
        <v>0</v>
      </c>
      <c r="Y50" s="1505">
        <v>0</v>
      </c>
      <c r="Z50" s="1505">
        <v>0</v>
      </c>
      <c r="AA50" s="1505">
        <v>0</v>
      </c>
      <c r="AB50" s="1505">
        <v>0</v>
      </c>
      <c r="AC50" s="1505">
        <v>0</v>
      </c>
      <c r="AD50" s="1505">
        <v>0</v>
      </c>
      <c r="AE50" s="1505">
        <v>0</v>
      </c>
      <c r="AF50" s="69"/>
      <c r="AG50" s="69"/>
      <c r="AH50" s="1070"/>
      <c r="AI50" s="1070"/>
      <c r="AJ50" s="2165"/>
      <c r="AK50" s="1372"/>
      <c r="AL50" s="1372"/>
      <c r="AM50" s="1372"/>
      <c r="AN50" s="1372"/>
      <c r="AO50" s="1372"/>
      <c r="AP50" s="1372"/>
      <c r="AQ50" s="1372"/>
      <c r="AR50" s="1372"/>
      <c r="AS50" s="1372"/>
      <c r="AT50" s="1372"/>
      <c r="AU50" s="1372"/>
      <c r="AV50" s="1372"/>
      <c r="AW50" s="1372"/>
      <c r="AX50" s="419"/>
      <c r="AY50" s="419"/>
      <c r="AZ50" s="419"/>
    </row>
    <row r="51" spans="1:52" ht="13.5" customHeight="1">
      <c r="A51" s="69" t="s">
        <v>699</v>
      </c>
      <c r="B51" s="700"/>
      <c r="C51" s="704" t="s">
        <v>448</v>
      </c>
      <c r="D51" s="343"/>
      <c r="E51" s="700"/>
      <c r="F51" s="648"/>
      <c r="G51" s="1359" t="s">
        <v>1428</v>
      </c>
      <c r="H51" s="1361"/>
      <c r="I51" s="1361">
        <f>22*8</f>
        <v>176</v>
      </c>
      <c r="J51" s="1524">
        <v>450</v>
      </c>
      <c r="K51" s="2164"/>
      <c r="L51" s="1504"/>
      <c r="M51" s="1769"/>
      <c r="N51" s="1769"/>
      <c r="O51" s="1769"/>
      <c r="P51" s="1769"/>
      <c r="Q51" s="1504"/>
      <c r="R51" s="1504"/>
      <c r="S51" s="1504"/>
      <c r="T51" s="1504"/>
      <c r="U51" s="1504"/>
      <c r="V51" s="2165"/>
      <c r="W51" s="2165">
        <f>+J51*I51</f>
        <v>79200</v>
      </c>
      <c r="X51" s="2063">
        <v>0</v>
      </c>
      <c r="Y51" s="2063">
        <v>0</v>
      </c>
      <c r="Z51" s="2063">
        <v>0</v>
      </c>
      <c r="AA51" s="2063">
        <v>0</v>
      </c>
      <c r="AB51" s="2063">
        <v>0</v>
      </c>
      <c r="AC51" s="2063">
        <v>0</v>
      </c>
      <c r="AD51" s="2063">
        <v>0</v>
      </c>
      <c r="AE51" s="2063">
        <v>0</v>
      </c>
      <c r="AF51" s="69"/>
      <c r="AG51" s="69"/>
      <c r="AH51" s="1070"/>
      <c r="AI51" s="1070"/>
      <c r="AJ51" s="2165"/>
      <c r="AK51" s="1372"/>
      <c r="AL51" s="1372"/>
      <c r="AM51" s="1372"/>
      <c r="AN51" s="1372"/>
      <c r="AO51" s="1372"/>
      <c r="AP51" s="1372"/>
      <c r="AQ51" s="1372"/>
      <c r="AR51" s="1372"/>
      <c r="AS51" s="1372"/>
      <c r="AT51" s="1372"/>
      <c r="AU51" s="1372"/>
      <c r="AV51" s="1372"/>
      <c r="AW51" s="1372"/>
      <c r="AX51" s="419"/>
      <c r="AY51" s="419"/>
      <c r="AZ51" s="419"/>
    </row>
    <row r="52" spans="1:52" ht="13.5" customHeight="1">
      <c r="A52" s="938" t="s">
        <v>1544</v>
      </c>
      <c r="B52" s="2061" t="s">
        <v>1548</v>
      </c>
      <c r="C52" s="343" t="s">
        <v>121</v>
      </c>
      <c r="D52" s="343">
        <v>3</v>
      </c>
      <c r="E52" s="700"/>
      <c r="F52" s="648"/>
      <c r="G52" s="3120"/>
      <c r="H52" s="3121"/>
      <c r="I52" s="3121"/>
      <c r="J52" s="3122"/>
      <c r="K52" s="3123"/>
      <c r="L52" s="3124"/>
      <c r="M52" s="3125"/>
      <c r="N52" s="3125"/>
      <c r="O52" s="3125"/>
      <c r="P52" s="3125"/>
      <c r="Q52" s="3124"/>
      <c r="R52" s="3124"/>
      <c r="S52" s="3124"/>
      <c r="T52" s="3124"/>
      <c r="U52" s="3124"/>
      <c r="V52" s="3126"/>
      <c r="W52" s="3126"/>
      <c r="X52" s="3127"/>
      <c r="Y52" s="3127"/>
      <c r="Z52" s="3127"/>
      <c r="AA52" s="2063"/>
      <c r="AB52" s="2063"/>
      <c r="AC52" s="2063"/>
      <c r="AD52" s="2063"/>
      <c r="AE52" s="2063"/>
      <c r="AF52" s="69"/>
      <c r="AG52" s="69"/>
      <c r="AH52" s="1070"/>
      <c r="AI52" s="1070"/>
      <c r="AJ52" s="2165"/>
      <c r="AK52" s="1372"/>
      <c r="AL52" s="1372"/>
      <c r="AM52" s="1372"/>
      <c r="AN52" s="1372"/>
      <c r="AO52" s="1372"/>
      <c r="AP52" s="1372"/>
      <c r="AQ52" s="1372"/>
      <c r="AR52" s="1372"/>
      <c r="AS52" s="1372"/>
      <c r="AT52" s="1372"/>
      <c r="AU52" s="1372"/>
      <c r="AV52" s="1372"/>
      <c r="AW52" s="1372"/>
      <c r="AX52" s="419"/>
      <c r="AY52" s="419"/>
      <c r="AZ52" s="419"/>
    </row>
    <row r="53" spans="1:52" ht="13.5" customHeight="1">
      <c r="A53" s="938" t="s">
        <v>1547</v>
      </c>
      <c r="B53" s="2061" t="s">
        <v>980</v>
      </c>
      <c r="C53" s="343" t="s">
        <v>121</v>
      </c>
      <c r="D53" s="343">
        <v>8</v>
      </c>
      <c r="E53" s="700"/>
      <c r="F53" s="648"/>
      <c r="G53" s="3120"/>
      <c r="H53" s="3121"/>
      <c r="I53" s="3121"/>
      <c r="J53" s="3122"/>
      <c r="K53" s="3123"/>
      <c r="L53" s="3124"/>
      <c r="M53" s="3125"/>
      <c r="N53" s="3125"/>
      <c r="O53" s="3125"/>
      <c r="P53" s="3125"/>
      <c r="Q53" s="3124"/>
      <c r="R53" s="3124"/>
      <c r="S53" s="3124"/>
      <c r="T53" s="3124"/>
      <c r="U53" s="3124"/>
      <c r="V53" s="3126"/>
      <c r="W53" s="3126"/>
      <c r="X53" s="3127"/>
      <c r="Y53" s="3127"/>
      <c r="Z53" s="3127"/>
      <c r="AA53" s="2063"/>
      <c r="AB53" s="2063"/>
      <c r="AC53" s="2063"/>
      <c r="AD53" s="2063"/>
      <c r="AE53" s="2063"/>
      <c r="AF53" s="69"/>
      <c r="AG53" s="69"/>
      <c r="AH53" s="1070"/>
      <c r="AI53" s="1070"/>
      <c r="AJ53" s="1070"/>
      <c r="AK53" s="419"/>
      <c r="AL53" s="419"/>
      <c r="AM53" s="419"/>
      <c r="AN53" s="419"/>
      <c r="AO53" s="419"/>
      <c r="AP53" s="419"/>
      <c r="AQ53" s="419"/>
      <c r="AR53" s="419"/>
      <c r="AS53" s="419"/>
      <c r="AT53" s="419"/>
      <c r="AU53" s="419"/>
      <c r="AV53" s="419"/>
      <c r="AW53" s="419"/>
      <c r="AX53" s="419"/>
      <c r="AY53" s="419"/>
      <c r="AZ53" s="419"/>
    </row>
    <row r="54" spans="1:52" ht="13.5" customHeight="1">
      <c r="A54" s="1579" t="s">
        <v>1546</v>
      </c>
      <c r="B54" s="2487" t="s">
        <v>1549</v>
      </c>
      <c r="C54" s="1359" t="s">
        <v>121</v>
      </c>
      <c r="D54" s="1359">
        <v>3</v>
      </c>
      <c r="E54" s="2487" t="s">
        <v>1551</v>
      </c>
      <c r="F54" s="1360"/>
      <c r="G54" s="3120"/>
      <c r="H54" s="3121"/>
      <c r="I54" s="3121">
        <f>22+23+23</f>
        <v>68</v>
      </c>
      <c r="J54" s="3122">
        <v>600</v>
      </c>
      <c r="K54" s="3123"/>
      <c r="L54" s="3124"/>
      <c r="M54" s="3125"/>
      <c r="N54" s="3125"/>
      <c r="O54" s="3125"/>
      <c r="P54" s="3125"/>
      <c r="Q54" s="3124"/>
      <c r="R54" s="3124"/>
      <c r="S54" s="3124"/>
      <c r="T54" s="3124"/>
      <c r="U54" s="3124"/>
      <c r="V54" s="3126"/>
      <c r="W54" s="3126"/>
      <c r="X54" s="3127"/>
      <c r="Y54" s="3127"/>
      <c r="Z54" s="3127"/>
      <c r="AA54" s="3127"/>
      <c r="AB54" s="3127">
        <f>AK54</f>
        <v>40800</v>
      </c>
      <c r="AC54" s="3127">
        <f t="shared" ref="AC54:AE54" si="44">AL54</f>
        <v>13200</v>
      </c>
      <c r="AD54" s="3127">
        <f t="shared" si="44"/>
        <v>13200</v>
      </c>
      <c r="AE54" s="2063">
        <f t="shared" si="44"/>
        <v>13200</v>
      </c>
      <c r="AF54" s="69"/>
      <c r="AG54" s="69"/>
      <c r="AH54" s="1070"/>
      <c r="AI54" s="1070"/>
      <c r="AJ54" s="1070"/>
      <c r="AK54" s="419">
        <f>I54*$J$54</f>
        <v>40800</v>
      </c>
      <c r="AL54" s="419">
        <f t="shared" ref="AL54:AS54" si="45">22*$J$54</f>
        <v>13200</v>
      </c>
      <c r="AM54" s="419">
        <f t="shared" si="45"/>
        <v>13200</v>
      </c>
      <c r="AN54" s="419">
        <f t="shared" si="45"/>
        <v>13200</v>
      </c>
      <c r="AO54" s="419">
        <f t="shared" si="45"/>
        <v>13200</v>
      </c>
      <c r="AP54" s="419">
        <f t="shared" si="45"/>
        <v>13200</v>
      </c>
      <c r="AQ54" s="419">
        <f t="shared" si="45"/>
        <v>13200</v>
      </c>
      <c r="AR54" s="419">
        <f t="shared" si="45"/>
        <v>13200</v>
      </c>
      <c r="AS54" s="419">
        <f t="shared" si="45"/>
        <v>13200</v>
      </c>
      <c r="AT54" s="419"/>
      <c r="AU54" s="419"/>
      <c r="AV54" s="419"/>
      <c r="AW54" s="419"/>
      <c r="AX54" s="419"/>
      <c r="AY54" s="419"/>
      <c r="AZ54" s="419"/>
    </row>
    <row r="55" spans="1:52" ht="13.5" customHeight="1">
      <c r="A55" s="1579" t="s">
        <v>1768</v>
      </c>
      <c r="B55" s="2487" t="s">
        <v>1549</v>
      </c>
      <c r="C55" s="1359" t="s">
        <v>121</v>
      </c>
      <c r="D55" s="1359">
        <v>3</v>
      </c>
      <c r="E55" s="2487" t="s">
        <v>1552</v>
      </c>
      <c r="F55" s="1360"/>
      <c r="G55" s="3120"/>
      <c r="H55" s="3121"/>
      <c r="I55" s="3121">
        <f>2+23+24+24</f>
        <v>73</v>
      </c>
      <c r="J55" s="3122">
        <v>1000</v>
      </c>
      <c r="K55" s="3123"/>
      <c r="L55" s="3124"/>
      <c r="M55" s="3125"/>
      <c r="N55" s="3125"/>
      <c r="O55" s="3125"/>
      <c r="P55" s="3125"/>
      <c r="Q55" s="3124"/>
      <c r="R55" s="3124"/>
      <c r="S55" s="3124"/>
      <c r="T55" s="3124"/>
      <c r="U55" s="3124"/>
      <c r="V55" s="3126"/>
      <c r="W55" s="3126"/>
      <c r="X55" s="3127"/>
      <c r="Y55" s="3127"/>
      <c r="Z55" s="3127"/>
      <c r="AA55" s="3127"/>
      <c r="AB55" s="3127">
        <f>AK55</f>
        <v>73000</v>
      </c>
      <c r="AC55" s="3127">
        <f>AL55</f>
        <v>23000</v>
      </c>
      <c r="AD55" s="3127">
        <f>AM55</f>
        <v>23000</v>
      </c>
      <c r="AE55" s="2063">
        <f>AN55</f>
        <v>23000</v>
      </c>
      <c r="AF55" s="69"/>
      <c r="AG55" s="69"/>
      <c r="AH55" s="1070"/>
      <c r="AI55" s="1070"/>
      <c r="AJ55" s="1070"/>
      <c r="AK55" s="419">
        <f>I55*$J$55</f>
        <v>73000</v>
      </c>
      <c r="AL55" s="419">
        <f>23*$J$55</f>
        <v>23000</v>
      </c>
      <c r="AM55" s="419">
        <f t="shared" ref="AM55:AS55" si="46">23*$J$55</f>
        <v>23000</v>
      </c>
      <c r="AN55" s="419">
        <f t="shared" si="46"/>
        <v>23000</v>
      </c>
      <c r="AO55" s="419">
        <f t="shared" si="46"/>
        <v>23000</v>
      </c>
      <c r="AP55" s="419">
        <f t="shared" si="46"/>
        <v>23000</v>
      </c>
      <c r="AQ55" s="419">
        <f t="shared" si="46"/>
        <v>23000</v>
      </c>
      <c r="AR55" s="419">
        <f t="shared" si="46"/>
        <v>23000</v>
      </c>
      <c r="AS55" s="419">
        <f t="shared" si="46"/>
        <v>23000</v>
      </c>
      <c r="AT55" s="419"/>
      <c r="AU55" s="419"/>
      <c r="AV55" s="419"/>
      <c r="AW55" s="419"/>
      <c r="AX55" s="419"/>
      <c r="AY55" s="419"/>
      <c r="AZ55" s="419"/>
    </row>
    <row r="56" spans="1:52" ht="13.5" customHeight="1">
      <c r="A56" s="1579" t="s">
        <v>1545</v>
      </c>
      <c r="B56" s="2487" t="s">
        <v>1549</v>
      </c>
      <c r="C56" s="1359" t="s">
        <v>121</v>
      </c>
      <c r="D56" s="1359">
        <v>4</v>
      </c>
      <c r="E56" s="2487" t="s">
        <v>1551</v>
      </c>
      <c r="F56" s="1360"/>
      <c r="G56" s="3120"/>
      <c r="H56" s="3121"/>
      <c r="I56" s="3121">
        <f>22+24+25+25</f>
        <v>96</v>
      </c>
      <c r="J56" s="3122">
        <v>1000</v>
      </c>
      <c r="K56" s="3123"/>
      <c r="L56" s="3124"/>
      <c r="M56" s="3125"/>
      <c r="N56" s="3125"/>
      <c r="O56" s="3125"/>
      <c r="P56" s="3125"/>
      <c r="Q56" s="3124"/>
      <c r="R56" s="3124"/>
      <c r="S56" s="3124"/>
      <c r="T56" s="3124"/>
      <c r="U56" s="3124"/>
      <c r="V56" s="3126"/>
      <c r="W56" s="3126"/>
      <c r="X56" s="3127"/>
      <c r="Y56" s="3127"/>
      <c r="Z56" s="3127"/>
      <c r="AA56" s="3127"/>
      <c r="AB56" s="2807"/>
      <c r="AC56" s="3127">
        <f>AK56</f>
        <v>96000</v>
      </c>
      <c r="AD56" s="3127">
        <f>AL56</f>
        <v>22000</v>
      </c>
      <c r="AE56" s="2063">
        <f>AM56</f>
        <v>22000</v>
      </c>
      <c r="AF56" s="69"/>
      <c r="AG56" s="69"/>
      <c r="AH56" s="2063"/>
      <c r="AI56" s="1070"/>
      <c r="AJ56" s="1070"/>
      <c r="AK56" s="419">
        <f>I56*$J$56</f>
        <v>96000</v>
      </c>
      <c r="AL56" s="419">
        <f t="shared" ref="AL56:AS56" si="47">22*$J$56</f>
        <v>22000</v>
      </c>
      <c r="AM56" s="419">
        <f t="shared" si="47"/>
        <v>22000</v>
      </c>
      <c r="AN56" s="419">
        <f t="shared" si="47"/>
        <v>22000</v>
      </c>
      <c r="AO56" s="419">
        <f t="shared" si="47"/>
        <v>22000</v>
      </c>
      <c r="AP56" s="419">
        <f t="shared" si="47"/>
        <v>22000</v>
      </c>
      <c r="AQ56" s="419">
        <f t="shared" si="47"/>
        <v>22000</v>
      </c>
      <c r="AR56" s="419">
        <f t="shared" si="47"/>
        <v>22000</v>
      </c>
      <c r="AS56" s="419">
        <f t="shared" si="47"/>
        <v>22000</v>
      </c>
      <c r="AT56" s="419"/>
      <c r="AU56" s="419"/>
      <c r="AV56" s="419"/>
      <c r="AW56" s="419"/>
      <c r="AX56" s="419"/>
      <c r="AY56" s="419"/>
      <c r="AZ56" s="419"/>
    </row>
    <row r="57" spans="1:52" ht="13.5" hidden="1" customHeight="1" outlineLevel="1">
      <c r="A57" s="2546" t="s">
        <v>1728</v>
      </c>
      <c r="B57" s="2649" t="s">
        <v>1549</v>
      </c>
      <c r="C57" s="2650" t="s">
        <v>121</v>
      </c>
      <c r="D57" s="2650"/>
      <c r="E57" s="2649" t="s">
        <v>1552</v>
      </c>
      <c r="F57" s="1360"/>
      <c r="G57" s="3120"/>
      <c r="H57" s="3121"/>
      <c r="I57" s="3121"/>
      <c r="J57" s="3122"/>
      <c r="K57" s="3123"/>
      <c r="L57" s="3124"/>
      <c r="M57" s="3125"/>
      <c r="N57" s="3125"/>
      <c r="O57" s="3125"/>
      <c r="P57" s="3125"/>
      <c r="Q57" s="3124"/>
      <c r="R57" s="3124"/>
      <c r="S57" s="3124"/>
      <c r="T57" s="3124"/>
      <c r="U57" s="3124"/>
      <c r="V57" s="3126"/>
      <c r="W57" s="3126"/>
      <c r="X57" s="3126"/>
      <c r="Y57" s="3126"/>
      <c r="Z57" s="3126"/>
      <c r="AA57" s="3126"/>
      <c r="AB57" s="3126"/>
      <c r="AC57" s="3127"/>
      <c r="AD57" s="3127"/>
      <c r="AE57" s="2063"/>
      <c r="AF57" s="69"/>
      <c r="AG57" s="69"/>
      <c r="AH57" s="1070"/>
      <c r="AI57" s="1070"/>
      <c r="AJ57" s="1068"/>
      <c r="AK57" s="419"/>
      <c r="AL57" s="419"/>
      <c r="AM57" s="419"/>
      <c r="AN57" s="419"/>
      <c r="AO57" s="419"/>
      <c r="AP57" s="419"/>
      <c r="AQ57" s="419"/>
      <c r="AR57" s="419"/>
      <c r="AS57" s="419"/>
      <c r="AT57" s="79"/>
      <c r="AU57" s="79"/>
      <c r="AV57" s="79"/>
      <c r="AW57" s="79"/>
      <c r="AX57" s="79"/>
      <c r="AY57" s="79"/>
      <c r="AZ57" s="79"/>
    </row>
    <row r="58" spans="1:52" ht="13.5" customHeight="1" collapsed="1">
      <c r="A58" s="1579" t="s">
        <v>1619</v>
      </c>
      <c r="B58" s="2487" t="s">
        <v>1615</v>
      </c>
      <c r="C58" s="1359" t="s">
        <v>121</v>
      </c>
      <c r="D58" s="1359">
        <v>4</v>
      </c>
      <c r="E58" s="2487" t="s">
        <v>1617</v>
      </c>
      <c r="F58" s="1360"/>
      <c r="G58" s="3120"/>
      <c r="H58" s="3121"/>
      <c r="I58" s="3121">
        <f>13*4</f>
        <v>52</v>
      </c>
      <c r="J58" s="3122">
        <v>1000</v>
      </c>
      <c r="K58" s="3123"/>
      <c r="L58" s="3124"/>
      <c r="M58" s="3125"/>
      <c r="N58" s="3125"/>
      <c r="O58" s="3125"/>
      <c r="P58" s="3125"/>
      <c r="Q58" s="3124"/>
      <c r="R58" s="3124"/>
      <c r="S58" s="3124"/>
      <c r="T58" s="3124"/>
      <c r="U58" s="3124"/>
      <c r="V58" s="3126"/>
      <c r="W58" s="3126"/>
      <c r="X58" s="3126"/>
      <c r="Y58" s="3126"/>
      <c r="Z58" s="3126"/>
      <c r="AA58" s="3126"/>
      <c r="AB58" s="3126"/>
      <c r="AC58" s="3127"/>
      <c r="AD58" s="3127">
        <f>AK58</f>
        <v>52000</v>
      </c>
      <c r="AE58" s="2063">
        <f>AL58</f>
        <v>13000</v>
      </c>
      <c r="AF58" s="69"/>
      <c r="AG58" s="69"/>
      <c r="AH58" s="1070"/>
      <c r="AI58" s="1070"/>
      <c r="AJ58" s="1068"/>
      <c r="AK58" s="419">
        <f>I58*J58</f>
        <v>52000</v>
      </c>
      <c r="AL58" s="419">
        <f>13*J58</f>
        <v>13000</v>
      </c>
      <c r="AM58" s="419"/>
      <c r="AN58" s="419"/>
      <c r="AO58" s="419"/>
      <c r="AP58" s="419"/>
      <c r="AQ58" s="419"/>
      <c r="AR58" s="419"/>
      <c r="AS58" s="419"/>
      <c r="AT58" s="79"/>
      <c r="AU58" s="79"/>
      <c r="AV58" s="79"/>
      <c r="AW58" s="79"/>
      <c r="AX58" s="79"/>
      <c r="AY58" s="79"/>
      <c r="AZ58" s="79"/>
    </row>
    <row r="59" spans="1:52" ht="13.5" customHeight="1">
      <c r="A59" s="1579" t="s">
        <v>1619</v>
      </c>
      <c r="B59" s="2487" t="s">
        <v>1615</v>
      </c>
      <c r="C59" s="1359" t="s">
        <v>121</v>
      </c>
      <c r="D59" s="1359">
        <v>4</v>
      </c>
      <c r="E59" s="2487" t="s">
        <v>1617</v>
      </c>
      <c r="F59" s="1360"/>
      <c r="G59" s="3120"/>
      <c r="H59" s="3121"/>
      <c r="I59" s="3121">
        <f>13*4</f>
        <v>52</v>
      </c>
      <c r="J59" s="3122">
        <v>1000</v>
      </c>
      <c r="K59" s="3123"/>
      <c r="L59" s="3124"/>
      <c r="M59" s="3125"/>
      <c r="N59" s="3125"/>
      <c r="O59" s="3125"/>
      <c r="P59" s="3125"/>
      <c r="Q59" s="3124"/>
      <c r="R59" s="3124"/>
      <c r="S59" s="3124"/>
      <c r="T59" s="3124"/>
      <c r="U59" s="3124"/>
      <c r="V59" s="3126"/>
      <c r="W59" s="3126"/>
      <c r="X59" s="3126"/>
      <c r="Y59" s="3126"/>
      <c r="Z59" s="2165"/>
      <c r="AA59" s="2165"/>
      <c r="AB59" s="2165"/>
      <c r="AC59" s="2063"/>
      <c r="AD59" s="2063">
        <f>AK59</f>
        <v>52000</v>
      </c>
      <c r="AE59" s="2063">
        <f>AL59</f>
        <v>13000</v>
      </c>
      <c r="AF59" s="69"/>
      <c r="AG59" s="69"/>
      <c r="AH59" s="1070"/>
      <c r="AI59" s="1070"/>
      <c r="AJ59" s="1068"/>
      <c r="AK59" s="419">
        <f>I59*J59</f>
        <v>52000</v>
      </c>
      <c r="AL59" s="419">
        <f>13*J59</f>
        <v>13000</v>
      </c>
      <c r="AM59" s="419"/>
      <c r="AN59" s="419"/>
      <c r="AO59" s="419"/>
      <c r="AP59" s="419"/>
      <c r="AQ59" s="419"/>
      <c r="AR59" s="419"/>
      <c r="AS59" s="419"/>
      <c r="AT59" s="79"/>
      <c r="AU59" s="79"/>
      <c r="AV59" s="79"/>
      <c r="AW59" s="79"/>
      <c r="AX59" s="79"/>
      <c r="AY59" s="79"/>
      <c r="AZ59" s="79"/>
    </row>
    <row r="60" spans="1:52" ht="13.5" customHeight="1">
      <c r="A60" s="865" t="s">
        <v>1621</v>
      </c>
      <c r="B60" s="2061" t="s">
        <v>1616</v>
      </c>
      <c r="C60" s="343" t="s">
        <v>121</v>
      </c>
      <c r="D60" s="343">
        <v>4</v>
      </c>
      <c r="E60" s="2061" t="s">
        <v>1618</v>
      </c>
      <c r="F60" s="648"/>
      <c r="G60" s="3120"/>
      <c r="H60" s="3121"/>
      <c r="I60" s="3121">
        <f>13*4</f>
        <v>52</v>
      </c>
      <c r="J60" s="3122">
        <v>1000</v>
      </c>
      <c r="K60" s="3123"/>
      <c r="L60" s="3124"/>
      <c r="M60" s="3125"/>
      <c r="N60" s="3125"/>
      <c r="O60" s="3125"/>
      <c r="P60" s="3125"/>
      <c r="Q60" s="3124"/>
      <c r="R60" s="3124"/>
      <c r="S60" s="3124"/>
      <c r="T60" s="3124"/>
      <c r="U60" s="3124"/>
      <c r="V60" s="3126"/>
      <c r="W60" s="3126"/>
      <c r="X60" s="3126"/>
      <c r="Y60" s="3126"/>
      <c r="Z60" s="2165"/>
      <c r="AA60" s="2165"/>
      <c r="AB60" s="2165"/>
      <c r="AC60" s="2063"/>
      <c r="AD60" s="2063"/>
      <c r="AE60" s="2063">
        <f>AK60</f>
        <v>52000</v>
      </c>
      <c r="AF60" s="69"/>
      <c r="AG60" s="69"/>
      <c r="AH60" s="1070"/>
      <c r="AI60" s="1070"/>
      <c r="AJ60" s="1068"/>
      <c r="AK60" s="419">
        <f>I60*J60</f>
        <v>52000</v>
      </c>
      <c r="AL60" s="419">
        <f>13*J60</f>
        <v>13000</v>
      </c>
      <c r="AM60" s="419"/>
      <c r="AN60" s="419"/>
      <c r="AO60" s="419"/>
      <c r="AP60" s="419"/>
      <c r="AQ60" s="419"/>
      <c r="AR60" s="419"/>
      <c r="AS60" s="419"/>
      <c r="AT60" s="79"/>
      <c r="AU60" s="79"/>
      <c r="AV60" s="79"/>
      <c r="AW60" s="79"/>
      <c r="AX60" s="79"/>
      <c r="AY60" s="79"/>
      <c r="AZ60" s="79"/>
    </row>
    <row r="61" spans="1:52" ht="13.5" customHeight="1">
      <c r="A61" s="865" t="s">
        <v>1621</v>
      </c>
      <c r="B61" s="2061" t="s">
        <v>1616</v>
      </c>
      <c r="C61" s="343" t="s">
        <v>121</v>
      </c>
      <c r="D61" s="343">
        <v>4</v>
      </c>
      <c r="E61" s="2061" t="s">
        <v>1618</v>
      </c>
      <c r="F61" s="648"/>
      <c r="G61" s="1359"/>
      <c r="H61" s="1361"/>
      <c r="I61" s="1361">
        <f>13*4</f>
        <v>52</v>
      </c>
      <c r="J61" s="1524">
        <v>1000</v>
      </c>
      <c r="K61" s="2164"/>
      <c r="L61" s="1504"/>
      <c r="M61" s="1769"/>
      <c r="N61" s="1769"/>
      <c r="O61" s="1769"/>
      <c r="P61" s="1769"/>
      <c r="Q61" s="1504"/>
      <c r="R61" s="1504"/>
      <c r="S61" s="1504"/>
      <c r="T61" s="1504"/>
      <c r="U61" s="1504"/>
      <c r="V61" s="2165"/>
      <c r="W61" s="2165"/>
      <c r="X61" s="2165"/>
      <c r="Y61" s="2165"/>
      <c r="Z61" s="2165"/>
      <c r="AA61" s="2165"/>
      <c r="AB61" s="2165"/>
      <c r="AC61" s="2063"/>
      <c r="AD61" s="2063"/>
      <c r="AE61" s="2063">
        <f>AK61</f>
        <v>52000</v>
      </c>
      <c r="AF61" s="69"/>
      <c r="AG61" s="69"/>
      <c r="AH61" s="1068"/>
      <c r="AI61" s="1070"/>
      <c r="AJ61" s="1068"/>
      <c r="AK61" s="419">
        <f>I61*J61</f>
        <v>52000</v>
      </c>
      <c r="AL61" s="419">
        <f>13*J61</f>
        <v>13000</v>
      </c>
      <c r="AM61" s="419"/>
      <c r="AN61" s="419"/>
      <c r="AO61" s="419"/>
      <c r="AP61" s="419"/>
      <c r="AQ61" s="419"/>
      <c r="AR61" s="419"/>
      <c r="AS61" s="419"/>
      <c r="AT61" s="79"/>
      <c r="AU61" s="79"/>
      <c r="AV61" s="79"/>
      <c r="AW61" s="79"/>
      <c r="AX61" s="79"/>
      <c r="AY61" s="79"/>
      <c r="AZ61" s="79"/>
    </row>
    <row r="62" spans="1:52" ht="12.75" customHeight="1">
      <c r="A62" s="1506" t="s">
        <v>559</v>
      </c>
      <c r="B62" s="1496"/>
      <c r="C62" s="1496"/>
      <c r="D62" s="1496"/>
      <c r="E62" s="1497"/>
      <c r="F62" s="1498"/>
      <c r="G62" s="1498"/>
      <c r="H62" s="2291"/>
      <c r="I62" s="2291"/>
      <c r="J62" s="2292"/>
      <c r="K62" s="2277">
        <f t="shared" ref="K62:W62" si="48">SUM(K8:K60)</f>
        <v>0</v>
      </c>
      <c r="L62" s="2277">
        <f t="shared" si="48"/>
        <v>466700</v>
      </c>
      <c r="M62" s="2277">
        <f t="shared" si="48"/>
        <v>397100</v>
      </c>
      <c r="N62" s="2277">
        <f t="shared" si="48"/>
        <v>418183.33333333337</v>
      </c>
      <c r="O62" s="2277">
        <f t="shared" si="48"/>
        <v>516083.33333333331</v>
      </c>
      <c r="P62" s="2277">
        <f t="shared" si="48"/>
        <v>198183.33333333334</v>
      </c>
      <c r="Q62" s="2277">
        <f t="shared" si="48"/>
        <v>543823.33333333337</v>
      </c>
      <c r="R62" s="2277">
        <f t="shared" si="48"/>
        <v>251900</v>
      </c>
      <c r="S62" s="2277">
        <f t="shared" si="48"/>
        <v>248250</v>
      </c>
      <c r="T62" s="2277">
        <f t="shared" si="48"/>
        <v>463250</v>
      </c>
      <c r="U62" s="2277">
        <f t="shared" si="48"/>
        <v>237320</v>
      </c>
      <c r="V62" s="2277">
        <f t="shared" si="48"/>
        <v>226540</v>
      </c>
      <c r="W62" s="2277">
        <f t="shared" si="48"/>
        <v>212490</v>
      </c>
      <c r="X62" s="2277">
        <f t="shared" ref="X62:AE62" si="49">SUM(X8:X61)</f>
        <v>294140</v>
      </c>
      <c r="Y62" s="2277">
        <f t="shared" si="49"/>
        <v>394240</v>
      </c>
      <c r="Z62" s="2277">
        <f t="shared" si="49"/>
        <v>304440</v>
      </c>
      <c r="AA62" s="2277">
        <f t="shared" si="49"/>
        <v>213240</v>
      </c>
      <c r="AB62" s="2277">
        <f t="shared" si="49"/>
        <v>327040</v>
      </c>
      <c r="AC62" s="2277">
        <f t="shared" si="49"/>
        <v>345440</v>
      </c>
      <c r="AD62" s="2277">
        <f t="shared" si="49"/>
        <v>369940</v>
      </c>
      <c r="AE62" s="2277">
        <f t="shared" si="49"/>
        <v>395940</v>
      </c>
      <c r="AF62" s="69"/>
      <c r="AG62" s="69"/>
      <c r="AH62" s="643"/>
      <c r="AI62" s="1070"/>
      <c r="AJ62" s="643"/>
      <c r="AK62" s="84"/>
      <c r="AL62" s="84"/>
      <c r="AM62" s="84"/>
      <c r="AN62" s="84"/>
      <c r="AO62" s="84"/>
      <c r="AP62" s="84"/>
      <c r="AQ62" s="84"/>
      <c r="AR62" s="84"/>
      <c r="AS62" s="84"/>
      <c r="AT62" s="84"/>
      <c r="AU62" s="84"/>
      <c r="AV62" s="84"/>
      <c r="AW62" s="84"/>
      <c r="AX62" s="84"/>
      <c r="AY62" s="84"/>
      <c r="AZ62" s="84"/>
    </row>
    <row r="63" spans="1:52">
      <c r="A63" s="259" t="s">
        <v>337</v>
      </c>
      <c r="B63" s="342"/>
      <c r="C63" s="342"/>
      <c r="D63" s="342"/>
      <c r="E63" s="704"/>
      <c r="F63" s="648"/>
      <c r="G63" s="648"/>
      <c r="H63" s="714"/>
      <c r="I63" s="714"/>
      <c r="J63" s="710"/>
      <c r="K63" s="710"/>
      <c r="L63" s="710"/>
      <c r="M63" s="1"/>
      <c r="N63" s="475">
        <f t="shared" ref="N63:Y63" si="50">N62/M62-1</f>
        <v>5.3093259464450648E-2</v>
      </c>
      <c r="O63" s="475">
        <f t="shared" si="50"/>
        <v>0.2341078474353353</v>
      </c>
      <c r="P63" s="475">
        <f t="shared" si="50"/>
        <v>-0.61598579040852575</v>
      </c>
      <c r="Q63" s="475">
        <f t="shared" si="50"/>
        <v>1.7440417122193255</v>
      </c>
      <c r="R63" s="475">
        <f t="shared" si="50"/>
        <v>-0.53679810232489722</v>
      </c>
      <c r="S63" s="475">
        <f t="shared" si="50"/>
        <v>-1.4489876935291801E-2</v>
      </c>
      <c r="T63" s="475">
        <f t="shared" si="50"/>
        <v>0.86606243705941588</v>
      </c>
      <c r="U63" s="475">
        <f t="shared" si="50"/>
        <v>-0.48770642201834857</v>
      </c>
      <c r="V63" s="475">
        <f t="shared" si="50"/>
        <v>-4.5423900219113467E-2</v>
      </c>
      <c r="W63" s="475">
        <f t="shared" si="50"/>
        <v>-6.2019952326299976E-2</v>
      </c>
      <c r="X63" s="475">
        <f t="shared" si="50"/>
        <v>0.38425337662948844</v>
      </c>
      <c r="Y63" s="1864">
        <f t="shared" si="50"/>
        <v>0.34031413612565453</v>
      </c>
      <c r="Z63" s="1864">
        <f t="shared" ref="Z63:AE63" si="51">Z62/Y62-1</f>
        <v>-0.22778003246753242</v>
      </c>
      <c r="AA63" s="1864">
        <f t="shared" si="51"/>
        <v>-0.29956641702798581</v>
      </c>
      <c r="AB63" s="1864">
        <f t="shared" si="51"/>
        <v>0.53367098105421129</v>
      </c>
      <c r="AC63" s="1864">
        <f t="shared" si="51"/>
        <v>5.6262230919765122E-2</v>
      </c>
      <c r="AD63" s="1864">
        <f t="shared" si="51"/>
        <v>7.0924038906901243E-2</v>
      </c>
      <c r="AE63" s="1864">
        <f t="shared" si="51"/>
        <v>7.0281667297399597E-2</v>
      </c>
      <c r="AF63" s="69"/>
      <c r="AG63" s="69"/>
      <c r="AH63" s="475"/>
      <c r="AI63" s="1070"/>
      <c r="AJ63" s="475"/>
      <c r="AK63" s="84"/>
      <c r="AL63" s="84"/>
      <c r="AM63" s="84"/>
      <c r="AN63" s="84"/>
      <c r="AO63" s="84"/>
      <c r="AP63" s="84"/>
      <c r="AQ63" s="84"/>
      <c r="AR63" s="84"/>
      <c r="AS63" s="84"/>
      <c r="AT63" s="84"/>
      <c r="AU63" s="84"/>
      <c r="AV63" s="84"/>
      <c r="AW63" s="84"/>
      <c r="AX63" s="84"/>
      <c r="AY63" s="84"/>
      <c r="AZ63" s="84"/>
    </row>
    <row r="64" spans="1:52" ht="12.75" customHeight="1">
      <c r="A64" s="84"/>
      <c r="B64" s="342"/>
      <c r="C64" s="342"/>
      <c r="D64" s="342"/>
      <c r="E64" s="704"/>
      <c r="F64" s="648"/>
      <c r="G64" s="342"/>
      <c r="H64" s="645"/>
      <c r="I64" s="645"/>
      <c r="J64" s="694"/>
      <c r="K64" s="694"/>
      <c r="L64" s="694"/>
      <c r="M64" s="694"/>
      <c r="N64" s="694"/>
      <c r="O64" s="694"/>
      <c r="P64" s="694"/>
      <c r="Q64" s="694"/>
      <c r="R64" s="694"/>
      <c r="S64" s="694"/>
      <c r="T64" s="694"/>
      <c r="U64" s="694"/>
      <c r="V64" s="694"/>
      <c r="W64" s="694"/>
      <c r="X64" s="694"/>
      <c r="Y64" s="694"/>
      <c r="Z64" s="694"/>
      <c r="AA64" s="694"/>
      <c r="AB64" s="694"/>
      <c r="AC64" s="694"/>
      <c r="AD64" s="694"/>
      <c r="AE64" s="1167"/>
      <c r="AF64" s="69"/>
      <c r="AG64" s="69"/>
      <c r="AH64" s="1167"/>
      <c r="AI64" s="1167"/>
      <c r="AJ64" s="69"/>
      <c r="AK64" s="69"/>
      <c r="AL64" s="69"/>
      <c r="AM64" s="69"/>
      <c r="AN64" s="84"/>
      <c r="AO64" s="84"/>
      <c r="AP64" s="84"/>
      <c r="AQ64" s="84"/>
      <c r="AR64" s="84"/>
      <c r="AS64" s="84"/>
      <c r="AT64" s="84"/>
      <c r="AU64" s="84"/>
      <c r="AV64" s="84"/>
      <c r="AW64" s="84"/>
      <c r="AX64" s="84"/>
      <c r="AY64" s="84"/>
      <c r="AZ64" s="84"/>
    </row>
    <row r="65" spans="1:52" ht="12.75" customHeight="1">
      <c r="A65" s="320" t="s">
        <v>560</v>
      </c>
      <c r="B65" s="342"/>
      <c r="C65" s="342"/>
      <c r="D65" s="342"/>
      <c r="E65" s="704"/>
      <c r="F65" s="648"/>
      <c r="G65" s="342"/>
      <c r="H65" s="645"/>
      <c r="I65" s="645"/>
      <c r="J65" s="694"/>
      <c r="K65" s="694"/>
      <c r="L65" s="643"/>
      <c r="M65" s="643"/>
      <c r="N65" s="643"/>
      <c r="O65" s="643"/>
      <c r="P65" s="643"/>
      <c r="Q65" s="643"/>
      <c r="R65" s="643"/>
      <c r="S65" s="643"/>
      <c r="T65" s="643"/>
      <c r="U65" s="643"/>
      <c r="V65" s="84"/>
      <c r="W65" s="84"/>
      <c r="X65" s="84"/>
      <c r="Y65" s="1168"/>
      <c r="Z65" s="1168"/>
      <c r="AA65" s="1168"/>
      <c r="AB65" s="1168"/>
      <c r="AC65" s="1168"/>
      <c r="AD65" s="1168"/>
      <c r="AE65" s="1168"/>
      <c r="AF65" s="69"/>
      <c r="AG65" s="69"/>
      <c r="AH65" s="1168"/>
      <c r="AI65" s="1168"/>
      <c r="AJ65" s="84"/>
      <c r="AK65" s="84"/>
      <c r="AL65" s="84"/>
      <c r="AM65" s="84"/>
      <c r="AN65" s="84"/>
      <c r="AO65" s="84"/>
      <c r="AP65" s="84"/>
      <c r="AQ65" s="84"/>
      <c r="AR65" s="84"/>
      <c r="AS65" s="84"/>
      <c r="AT65" s="84"/>
      <c r="AU65" s="84"/>
      <c r="AV65" s="84"/>
      <c r="AW65" s="84"/>
      <c r="AX65" s="84"/>
      <c r="AY65" s="84"/>
      <c r="AZ65" s="84"/>
    </row>
    <row r="66" spans="1:52" ht="12.75" customHeight="1">
      <c r="A66" s="865" t="s">
        <v>549</v>
      </c>
      <c r="B66" s="704"/>
      <c r="C66" s="704"/>
      <c r="D66" s="704"/>
      <c r="E66" s="700"/>
      <c r="F66" s="343">
        <v>4</v>
      </c>
      <c r="G66" s="1502" t="s">
        <v>575</v>
      </c>
      <c r="H66" s="645"/>
      <c r="I66" s="1361">
        <f>+F66*22</f>
        <v>88</v>
      </c>
      <c r="J66" s="705">
        <v>350</v>
      </c>
      <c r="K66" s="705"/>
      <c r="L66" s="643"/>
      <c r="M66" s="643"/>
      <c r="N66" s="643"/>
      <c r="O66" s="643"/>
      <c r="P66" s="643"/>
      <c r="Q66" s="643"/>
      <c r="R66" s="643"/>
      <c r="S66" s="643"/>
      <c r="T66" s="643"/>
      <c r="U66" s="643"/>
      <c r="V66" s="643"/>
      <c r="W66" s="643"/>
      <c r="X66" s="643">
        <f t="shared" ref="X66:AC67" si="52">AK66</f>
        <v>30800</v>
      </c>
      <c r="Y66" s="643">
        <f t="shared" si="52"/>
        <v>7700</v>
      </c>
      <c r="Z66" s="643">
        <f t="shared" si="52"/>
        <v>7700</v>
      </c>
      <c r="AA66" s="643">
        <f t="shared" si="52"/>
        <v>7700</v>
      </c>
      <c r="AB66" s="643">
        <f t="shared" si="52"/>
        <v>7700</v>
      </c>
      <c r="AC66" s="643">
        <f t="shared" si="52"/>
        <v>7700</v>
      </c>
      <c r="AD66" s="643">
        <f>AQ66</f>
        <v>7700</v>
      </c>
      <c r="AE66" s="643">
        <f>AR66</f>
        <v>7700</v>
      </c>
      <c r="AF66" s="69"/>
      <c r="AG66" s="69"/>
      <c r="AH66" s="643"/>
      <c r="AI66" s="643"/>
      <c r="AJ66" s="643"/>
      <c r="AK66" s="79">
        <f>+I66*J66</f>
        <v>30800</v>
      </c>
      <c r="AL66" s="79">
        <f t="shared" ref="AL66:AS68" si="53">$J66*22</f>
        <v>7700</v>
      </c>
      <c r="AM66" s="79">
        <f t="shared" si="53"/>
        <v>7700</v>
      </c>
      <c r="AN66" s="79">
        <f t="shared" si="53"/>
        <v>7700</v>
      </c>
      <c r="AO66" s="79">
        <f t="shared" si="53"/>
        <v>7700</v>
      </c>
      <c r="AP66" s="79">
        <f t="shared" si="53"/>
        <v>7700</v>
      </c>
      <c r="AQ66" s="79">
        <f t="shared" si="53"/>
        <v>7700</v>
      </c>
      <c r="AR66" s="79">
        <f t="shared" si="53"/>
        <v>7700</v>
      </c>
      <c r="AS66" s="79">
        <f t="shared" si="53"/>
        <v>7700</v>
      </c>
      <c r="AT66" s="79"/>
      <c r="AU66" s="79"/>
      <c r="AV66" s="79"/>
      <c r="AW66" s="79"/>
      <c r="AX66" s="79"/>
      <c r="AY66" s="79"/>
      <c r="AZ66" s="79">
        <f>I66*J66-SUM(AK66:AY66)</f>
        <v>-61600</v>
      </c>
    </row>
    <row r="67" spans="1:52" ht="12.75" customHeight="1">
      <c r="A67" s="865" t="s">
        <v>549</v>
      </c>
      <c r="B67" s="704"/>
      <c r="C67" s="704"/>
      <c r="D67" s="704"/>
      <c r="E67" s="700"/>
      <c r="F67" s="343">
        <v>4</v>
      </c>
      <c r="G67" s="1503" t="s">
        <v>561</v>
      </c>
      <c r="H67" s="645"/>
      <c r="I67" s="1361">
        <f>+F67*22</f>
        <v>88</v>
      </c>
      <c r="J67" s="705">
        <v>550</v>
      </c>
      <c r="K67" s="705"/>
      <c r="L67" s="643"/>
      <c r="M67" s="643"/>
      <c r="N67" s="643"/>
      <c r="O67" s="643"/>
      <c r="P67" s="643"/>
      <c r="Q67" s="643"/>
      <c r="R67" s="643"/>
      <c r="S67" s="643"/>
      <c r="T67" s="643"/>
      <c r="U67" s="643"/>
      <c r="V67" s="643"/>
      <c r="W67" s="1504"/>
      <c r="X67" s="1504">
        <f t="shared" si="52"/>
        <v>48400</v>
      </c>
      <c r="Y67" s="1504">
        <f t="shared" si="52"/>
        <v>12100</v>
      </c>
      <c r="Z67" s="1504">
        <f t="shared" si="52"/>
        <v>12100</v>
      </c>
      <c r="AA67" s="1504">
        <f t="shared" si="52"/>
        <v>12100</v>
      </c>
      <c r="AB67" s="1504">
        <f t="shared" si="52"/>
        <v>12100</v>
      </c>
      <c r="AC67" s="1504">
        <f t="shared" si="52"/>
        <v>12100</v>
      </c>
      <c r="AD67" s="1504">
        <f>AQ67</f>
        <v>12100</v>
      </c>
      <c r="AE67" s="1504">
        <f>AR67</f>
        <v>12100</v>
      </c>
      <c r="AF67" s="69"/>
      <c r="AG67" s="69"/>
      <c r="AH67" s="643"/>
      <c r="AI67" s="643"/>
      <c r="AJ67" s="643"/>
      <c r="AK67" s="79">
        <f>+I67*J67</f>
        <v>48400</v>
      </c>
      <c r="AL67" s="79">
        <f t="shared" si="53"/>
        <v>12100</v>
      </c>
      <c r="AM67" s="79">
        <f t="shared" si="53"/>
        <v>12100</v>
      </c>
      <c r="AN67" s="79">
        <f t="shared" si="53"/>
        <v>12100</v>
      </c>
      <c r="AO67" s="79">
        <f t="shared" si="53"/>
        <v>12100</v>
      </c>
      <c r="AP67" s="79">
        <f t="shared" si="53"/>
        <v>12100</v>
      </c>
      <c r="AQ67" s="79">
        <f t="shared" si="53"/>
        <v>12100</v>
      </c>
      <c r="AR67" s="79">
        <f t="shared" si="53"/>
        <v>12100</v>
      </c>
      <c r="AS67" s="79">
        <f t="shared" si="53"/>
        <v>12100</v>
      </c>
      <c r="AT67" s="79"/>
      <c r="AU67" s="79"/>
      <c r="AV67" s="79"/>
      <c r="AW67" s="79"/>
      <c r="AX67" s="79"/>
      <c r="AY67" s="79"/>
      <c r="AZ67" s="79">
        <f>I67*J67-SUM(AK67:AY67)</f>
        <v>-96800</v>
      </c>
    </row>
    <row r="68" spans="1:52" ht="12.75" customHeight="1">
      <c r="A68" s="84" t="s">
        <v>1157</v>
      </c>
      <c r="B68" s="704"/>
      <c r="C68" s="704"/>
      <c r="D68" s="704"/>
      <c r="E68" s="704"/>
      <c r="F68" s="343">
        <v>4</v>
      </c>
      <c r="G68" s="1502" t="s">
        <v>575</v>
      </c>
      <c r="H68" s="645"/>
      <c r="I68" s="1361">
        <f>+F68*22</f>
        <v>88</v>
      </c>
      <c r="J68" s="705">
        <f>1100-J44</f>
        <v>400</v>
      </c>
      <c r="K68" s="694"/>
      <c r="L68" s="643"/>
      <c r="M68" s="709"/>
      <c r="N68" s="643"/>
      <c r="O68" s="643"/>
      <c r="P68" s="643"/>
      <c r="Q68" s="643"/>
      <c r="R68" s="643"/>
      <c r="S68" s="643"/>
      <c r="T68" s="643"/>
      <c r="U68" s="643"/>
      <c r="V68" s="643"/>
      <c r="W68" s="1504"/>
      <c r="X68" s="1504">
        <v>0</v>
      </c>
      <c r="Y68" s="1504">
        <f t="shared" ref="Y68:AE68" si="54">AK68</f>
        <v>35200</v>
      </c>
      <c r="Z68" s="1504">
        <f t="shared" si="54"/>
        <v>8800</v>
      </c>
      <c r="AA68" s="1504">
        <f t="shared" si="54"/>
        <v>8800</v>
      </c>
      <c r="AB68" s="1504">
        <f t="shared" si="54"/>
        <v>8800</v>
      </c>
      <c r="AC68" s="1504">
        <f t="shared" si="54"/>
        <v>8800</v>
      </c>
      <c r="AD68" s="1504">
        <f t="shared" si="54"/>
        <v>8800</v>
      </c>
      <c r="AE68" s="1504">
        <f t="shared" si="54"/>
        <v>8800</v>
      </c>
      <c r="AF68" s="69"/>
      <c r="AG68" s="69"/>
      <c r="AH68" s="643"/>
      <c r="AI68" s="643"/>
      <c r="AJ68" s="643"/>
      <c r="AK68" s="79">
        <f>+I68*J68</f>
        <v>35200</v>
      </c>
      <c r="AL68" s="79">
        <f t="shared" si="53"/>
        <v>8800</v>
      </c>
      <c r="AM68" s="79">
        <f t="shared" si="53"/>
        <v>8800</v>
      </c>
      <c r="AN68" s="79">
        <f t="shared" si="53"/>
        <v>8800</v>
      </c>
      <c r="AO68" s="79">
        <f t="shared" si="53"/>
        <v>8800</v>
      </c>
      <c r="AP68" s="79">
        <f t="shared" si="53"/>
        <v>8800</v>
      </c>
      <c r="AQ68" s="79">
        <f t="shared" si="53"/>
        <v>8800</v>
      </c>
      <c r="AR68" s="79">
        <f t="shared" si="53"/>
        <v>8800</v>
      </c>
      <c r="AS68" s="79">
        <f t="shared" si="53"/>
        <v>8800</v>
      </c>
      <c r="AT68" s="79"/>
      <c r="AU68" s="79"/>
      <c r="AV68" s="79"/>
      <c r="AW68" s="79"/>
      <c r="AX68" s="79"/>
      <c r="AY68" s="79"/>
      <c r="AZ68" s="79">
        <f>I68*J68-SUM(AK68:AY68)</f>
        <v>-70400</v>
      </c>
    </row>
    <row r="69" spans="1:52" ht="12.75" customHeight="1">
      <c r="A69" s="865" t="s">
        <v>326</v>
      </c>
      <c r="B69" s="704"/>
      <c r="C69" s="704"/>
      <c r="D69" s="704"/>
      <c r="E69" s="704"/>
      <c r="F69" s="343">
        <v>3</v>
      </c>
      <c r="G69" s="1502" t="s">
        <v>575</v>
      </c>
      <c r="H69" s="645"/>
      <c r="I69" s="1361">
        <f>+F69*24</f>
        <v>72</v>
      </c>
      <c r="J69" s="1530">
        <f>2700-J47-J48</f>
        <v>800</v>
      </c>
      <c r="K69" s="694"/>
      <c r="L69" s="643"/>
      <c r="M69" s="709"/>
      <c r="N69" s="643"/>
      <c r="O69" s="643"/>
      <c r="P69" s="643"/>
      <c r="Q69" s="643"/>
      <c r="R69" s="643"/>
      <c r="S69" s="643"/>
      <c r="T69" s="643"/>
      <c r="U69" s="643"/>
      <c r="V69" s="643"/>
      <c r="W69" s="1504"/>
      <c r="X69" s="1504">
        <v>0</v>
      </c>
      <c r="Y69" s="1504">
        <v>0</v>
      </c>
      <c r="Z69" s="1504">
        <f t="shared" ref="Z69:AE69" si="55">+AK69</f>
        <v>57600</v>
      </c>
      <c r="AA69" s="1504">
        <f t="shared" si="55"/>
        <v>19200</v>
      </c>
      <c r="AB69" s="1504">
        <f t="shared" si="55"/>
        <v>19200</v>
      </c>
      <c r="AC69" s="1504">
        <f t="shared" si="55"/>
        <v>19200</v>
      </c>
      <c r="AD69" s="1504">
        <f t="shared" si="55"/>
        <v>19200</v>
      </c>
      <c r="AE69" s="1504">
        <f t="shared" si="55"/>
        <v>19200</v>
      </c>
      <c r="AF69" s="69"/>
      <c r="AG69" s="69"/>
      <c r="AH69" s="643"/>
      <c r="AI69" s="643"/>
      <c r="AJ69" s="643"/>
      <c r="AK69" s="79">
        <f>+I69*J69</f>
        <v>57600</v>
      </c>
      <c r="AL69" s="79">
        <f>$J69*24</f>
        <v>19200</v>
      </c>
      <c r="AM69" s="79">
        <f t="shared" ref="AM69:AS69" si="56">$J69*24</f>
        <v>19200</v>
      </c>
      <c r="AN69" s="79">
        <f t="shared" si="56"/>
        <v>19200</v>
      </c>
      <c r="AO69" s="79">
        <f t="shared" si="56"/>
        <v>19200</v>
      </c>
      <c r="AP69" s="79">
        <f t="shared" si="56"/>
        <v>19200</v>
      </c>
      <c r="AQ69" s="79">
        <f t="shared" si="56"/>
        <v>19200</v>
      </c>
      <c r="AR69" s="79">
        <f t="shared" si="56"/>
        <v>19200</v>
      </c>
      <c r="AS69" s="79">
        <f t="shared" si="56"/>
        <v>19200</v>
      </c>
      <c r="AT69" s="79"/>
      <c r="AU69" s="79"/>
      <c r="AV69" s="79"/>
      <c r="AW69" s="79"/>
      <c r="AX69" s="79"/>
      <c r="AY69" s="79"/>
      <c r="AZ69" s="79">
        <f>I69*J69-SUM(AK69:AY69)</f>
        <v>-153600</v>
      </c>
    </row>
    <row r="70" spans="1:52" s="1577" customFormat="1" ht="12.75" customHeight="1">
      <c r="A70" s="1579" t="s">
        <v>299</v>
      </c>
      <c r="B70" s="1358"/>
      <c r="C70" s="1358"/>
      <c r="D70" s="1358"/>
      <c r="E70" s="1358"/>
      <c r="F70" s="1359">
        <v>8</v>
      </c>
      <c r="G70" s="1768" t="s">
        <v>562</v>
      </c>
      <c r="H70" s="1360"/>
      <c r="I70" s="1361">
        <v>180</v>
      </c>
      <c r="J70" s="1524">
        <v>400</v>
      </c>
      <c r="K70" s="1524"/>
      <c r="L70" s="1504"/>
      <c r="M70" s="1769"/>
      <c r="N70" s="1504"/>
      <c r="O70" s="1504"/>
      <c r="P70" s="1504"/>
      <c r="Q70" s="1504"/>
      <c r="R70" s="1504"/>
      <c r="S70" s="1504"/>
      <c r="T70" s="1504"/>
      <c r="U70" s="1504"/>
      <c r="V70" s="1504"/>
      <c r="W70" s="1504"/>
      <c r="X70" s="1504">
        <f t="shared" ref="X70:AC70" si="57">AK70</f>
        <v>72000</v>
      </c>
      <c r="Y70" s="1504">
        <f>AL70</f>
        <v>0</v>
      </c>
      <c r="Z70" s="1504">
        <f t="shared" si="57"/>
        <v>0</v>
      </c>
      <c r="AA70" s="1504">
        <f t="shared" si="57"/>
        <v>0</v>
      </c>
      <c r="AB70" s="1504">
        <f t="shared" si="57"/>
        <v>0</v>
      </c>
      <c r="AC70" s="1504">
        <f t="shared" si="57"/>
        <v>0</v>
      </c>
      <c r="AD70" s="1504">
        <f>AQ70</f>
        <v>0</v>
      </c>
      <c r="AE70" s="1504">
        <f>AR70</f>
        <v>0</v>
      </c>
      <c r="AF70" s="69"/>
      <c r="AG70" s="69"/>
      <c r="AH70" s="1504"/>
      <c r="AI70" s="1504"/>
      <c r="AJ70" s="1504"/>
      <c r="AK70" s="1372">
        <f>+I70*J70</f>
        <v>72000</v>
      </c>
      <c r="AL70" s="1372">
        <v>0</v>
      </c>
      <c r="AM70" s="1372">
        <v>0</v>
      </c>
      <c r="AN70" s="1372">
        <v>0</v>
      </c>
      <c r="AO70" s="1372">
        <f>+AM70*0.9</f>
        <v>0</v>
      </c>
      <c r="AP70" s="1372"/>
      <c r="AQ70" s="1372"/>
      <c r="AR70" s="1372"/>
      <c r="AS70" s="1372"/>
      <c r="AT70" s="1372"/>
      <c r="AU70" s="1372"/>
      <c r="AV70" s="1372"/>
      <c r="AW70" s="1372"/>
      <c r="AX70" s="1372"/>
      <c r="AY70" s="1372"/>
      <c r="AZ70" s="1372"/>
    </row>
    <row r="71" spans="1:52" s="1577" customFormat="1" ht="12.75" customHeight="1">
      <c r="A71" s="1109" t="s">
        <v>595</v>
      </c>
      <c r="B71" s="1358"/>
      <c r="C71" s="1358"/>
      <c r="D71" s="1358"/>
      <c r="E71" s="1358"/>
      <c r="F71" s="1768" t="s">
        <v>737</v>
      </c>
      <c r="G71" s="1768" t="s">
        <v>562</v>
      </c>
      <c r="H71" s="1360"/>
      <c r="I71" s="1361"/>
      <c r="J71" s="1524"/>
      <c r="K71" s="1524"/>
      <c r="L71" s="1504"/>
      <c r="M71" s="1769"/>
      <c r="N71" s="1504"/>
      <c r="O71" s="1504"/>
      <c r="P71" s="1504"/>
      <c r="Q71" s="1504"/>
      <c r="R71" s="1504"/>
      <c r="S71" s="1504"/>
      <c r="T71" s="1504"/>
      <c r="U71" s="1504"/>
      <c r="V71" s="1504"/>
      <c r="W71" s="1504"/>
      <c r="X71" s="2058">
        <v>45000</v>
      </c>
      <c r="Y71" s="1504">
        <f t="shared" ref="Y71:AC76" si="58">X71</f>
        <v>45000</v>
      </c>
      <c r="Z71" s="1504">
        <f t="shared" si="58"/>
        <v>45000</v>
      </c>
      <c r="AA71" s="1504">
        <f t="shared" si="58"/>
        <v>45000</v>
      </c>
      <c r="AB71" s="1504">
        <f t="shared" si="58"/>
        <v>45000</v>
      </c>
      <c r="AC71" s="1504">
        <f t="shared" si="58"/>
        <v>45000</v>
      </c>
      <c r="AD71" s="1504">
        <f t="shared" ref="AD71:AD76" si="59">AC71</f>
        <v>45000</v>
      </c>
      <c r="AE71" s="1504">
        <f t="shared" ref="AE71:AE76" si="60">AD71</f>
        <v>45000</v>
      </c>
      <c r="AF71" s="69"/>
      <c r="AG71" s="69"/>
      <c r="AH71" s="1504"/>
      <c r="AI71" s="1504"/>
      <c r="AJ71" s="1504"/>
      <c r="AK71" s="1372"/>
      <c r="AL71" s="1372"/>
      <c r="AM71" s="1372"/>
      <c r="AN71" s="1372"/>
      <c r="AO71" s="1372"/>
      <c r="AP71" s="1372"/>
      <c r="AQ71" s="1372"/>
      <c r="AR71" s="1372"/>
      <c r="AS71" s="1372"/>
      <c r="AT71" s="1372"/>
      <c r="AU71" s="1372"/>
      <c r="AV71" s="1372"/>
      <c r="AW71" s="1372"/>
      <c r="AX71" s="1372"/>
      <c r="AY71" s="1372"/>
      <c r="AZ71" s="1372"/>
    </row>
    <row r="72" spans="1:52" s="1577" customFormat="1" ht="12.75" customHeight="1">
      <c r="A72" s="1109" t="s">
        <v>550</v>
      </c>
      <c r="B72" s="1358"/>
      <c r="C72" s="1358"/>
      <c r="D72" s="1358"/>
      <c r="E72" s="1358"/>
      <c r="F72" s="1359"/>
      <c r="G72" s="1768" t="s">
        <v>562</v>
      </c>
      <c r="H72" s="1360"/>
      <c r="I72" s="1361"/>
      <c r="J72" s="1524"/>
      <c r="K72" s="1524"/>
      <c r="L72" s="1504"/>
      <c r="M72" s="1769"/>
      <c r="N72" s="1504"/>
      <c r="O72" s="1504"/>
      <c r="P72" s="1504"/>
      <c r="Q72" s="1504"/>
      <c r="R72" s="1504"/>
      <c r="S72" s="1504"/>
      <c r="T72" s="1504"/>
      <c r="U72" s="1504"/>
      <c r="V72" s="1504"/>
      <c r="W72" s="1504"/>
      <c r="X72" s="2058">
        <v>100000</v>
      </c>
      <c r="Y72" s="1504">
        <f>X72-50000</f>
        <v>50000</v>
      </c>
      <c r="Z72" s="1504">
        <f t="shared" si="58"/>
        <v>50000</v>
      </c>
      <c r="AA72" s="1504">
        <f>Z72</f>
        <v>50000</v>
      </c>
      <c r="AB72" s="1504">
        <f t="shared" si="58"/>
        <v>50000</v>
      </c>
      <c r="AC72" s="1504">
        <f t="shared" si="58"/>
        <v>50000</v>
      </c>
      <c r="AD72" s="1504">
        <f t="shared" si="59"/>
        <v>50000</v>
      </c>
      <c r="AE72" s="1504">
        <f t="shared" si="60"/>
        <v>50000</v>
      </c>
      <c r="AF72" s="69"/>
      <c r="AG72" s="69"/>
      <c r="AH72" s="1504"/>
      <c r="AI72" s="1504"/>
      <c r="AJ72" s="1504"/>
      <c r="AK72" s="1372"/>
      <c r="AL72" s="1372"/>
      <c r="AM72" s="1372"/>
      <c r="AN72" s="1372"/>
      <c r="AO72" s="1372"/>
      <c r="AP72" s="1372"/>
      <c r="AQ72" s="1372"/>
      <c r="AR72" s="1372"/>
      <c r="AS72" s="1372"/>
      <c r="AT72" s="1372"/>
      <c r="AU72" s="1372"/>
      <c r="AV72" s="1372"/>
      <c r="AW72" s="1372"/>
      <c r="AX72" s="1372"/>
      <c r="AY72" s="1372"/>
      <c r="AZ72" s="1372"/>
    </row>
    <row r="73" spans="1:52" ht="12.75" customHeight="1">
      <c r="A73" s="84" t="s">
        <v>551</v>
      </c>
      <c r="B73" s="704"/>
      <c r="C73" s="704"/>
      <c r="D73" s="704"/>
      <c r="E73" s="704"/>
      <c r="F73" s="1359"/>
      <c r="G73" s="1768" t="s">
        <v>561</v>
      </c>
      <c r="H73" s="1360"/>
      <c r="I73" s="1361"/>
      <c r="J73" s="1524"/>
      <c r="K73" s="1524"/>
      <c r="L73" s="1504"/>
      <c r="M73" s="1769"/>
      <c r="N73" s="1504"/>
      <c r="O73" s="1504"/>
      <c r="P73" s="1504"/>
      <c r="Q73" s="1504"/>
      <c r="R73" s="1504"/>
      <c r="S73" s="1504"/>
      <c r="T73" s="1504"/>
      <c r="U73" s="1504"/>
      <c r="V73" s="1504"/>
      <c r="W73" s="1504"/>
      <c r="X73" s="2058">
        <v>80000</v>
      </c>
      <c r="Y73" s="1504">
        <f t="shared" si="58"/>
        <v>80000</v>
      </c>
      <c r="Z73" s="1504">
        <f>Y73-15000</f>
        <v>65000</v>
      </c>
      <c r="AA73" s="1504">
        <f t="shared" si="58"/>
        <v>65000</v>
      </c>
      <c r="AB73" s="1504">
        <f t="shared" si="58"/>
        <v>65000</v>
      </c>
      <c r="AC73" s="1504">
        <f t="shared" si="58"/>
        <v>65000</v>
      </c>
      <c r="AD73" s="1504">
        <f t="shared" si="59"/>
        <v>65000</v>
      </c>
      <c r="AE73" s="1504">
        <f t="shared" si="60"/>
        <v>65000</v>
      </c>
      <c r="AF73" s="69"/>
      <c r="AG73" s="69"/>
      <c r="AH73" s="643"/>
      <c r="AI73" s="643"/>
      <c r="AJ73" s="643"/>
      <c r="AK73" s="79"/>
      <c r="AL73" s="79"/>
      <c r="AM73" s="79"/>
      <c r="AN73" s="79"/>
      <c r="AO73" s="79"/>
      <c r="AP73" s="79"/>
      <c r="AQ73" s="79"/>
      <c r="AR73" s="79"/>
      <c r="AS73" s="79"/>
      <c r="AT73" s="79"/>
      <c r="AU73" s="79"/>
      <c r="AV73" s="79"/>
      <c r="AW73" s="79"/>
      <c r="AX73" s="79"/>
      <c r="AY73" s="79"/>
      <c r="AZ73" s="79"/>
    </row>
    <row r="74" spans="1:52" ht="12.75" customHeight="1">
      <c r="A74" s="84" t="s">
        <v>552</v>
      </c>
      <c r="B74" s="704"/>
      <c r="C74" s="704"/>
      <c r="D74" s="704"/>
      <c r="E74" s="704"/>
      <c r="F74" s="1359"/>
      <c r="G74" s="1768" t="s">
        <v>562</v>
      </c>
      <c r="H74" s="1360"/>
      <c r="I74" s="1361"/>
      <c r="J74" s="1524"/>
      <c r="K74" s="1524"/>
      <c r="L74" s="1504"/>
      <c r="M74" s="1769"/>
      <c r="N74" s="1504"/>
      <c r="O74" s="1504"/>
      <c r="P74" s="1504"/>
      <c r="Q74" s="1504"/>
      <c r="R74" s="1504"/>
      <c r="S74" s="1504"/>
      <c r="T74" s="1504"/>
      <c r="U74" s="1504"/>
      <c r="V74" s="1504"/>
      <c r="W74" s="1504"/>
      <c r="X74" s="2058">
        <v>100000</v>
      </c>
      <c r="Y74" s="1504">
        <f t="shared" si="58"/>
        <v>100000</v>
      </c>
      <c r="Z74" s="1504">
        <f t="shared" si="58"/>
        <v>100000</v>
      </c>
      <c r="AA74" s="1504">
        <f t="shared" si="58"/>
        <v>100000</v>
      </c>
      <c r="AB74" s="1504">
        <f t="shared" si="58"/>
        <v>100000</v>
      </c>
      <c r="AC74" s="1504">
        <f t="shared" si="58"/>
        <v>100000</v>
      </c>
      <c r="AD74" s="1504">
        <f t="shared" si="59"/>
        <v>100000</v>
      </c>
      <c r="AE74" s="1504">
        <f t="shared" si="60"/>
        <v>100000</v>
      </c>
      <c r="AF74" s="69"/>
      <c r="AG74" s="69"/>
      <c r="AH74" s="643"/>
      <c r="AI74" s="643"/>
      <c r="AJ74" s="643"/>
      <c r="AK74" s="79"/>
      <c r="AL74" s="79"/>
      <c r="AM74" s="79"/>
      <c r="AN74" s="79"/>
      <c r="AO74" s="79"/>
      <c r="AP74" s="79"/>
      <c r="AQ74" s="79"/>
      <c r="AR74" s="79"/>
      <c r="AS74" s="79"/>
      <c r="AT74" s="79"/>
      <c r="AU74" s="79"/>
      <c r="AV74" s="79"/>
      <c r="AW74" s="79"/>
      <c r="AX74" s="79"/>
      <c r="AY74" s="79"/>
      <c r="AZ74" s="79"/>
    </row>
    <row r="75" spans="1:52" ht="12.75" customHeight="1">
      <c r="A75" s="84" t="s">
        <v>553</v>
      </c>
      <c r="B75" s="704"/>
      <c r="C75" s="704"/>
      <c r="D75" s="704"/>
      <c r="E75" s="704"/>
      <c r="F75" s="1359"/>
      <c r="G75" s="1768" t="s">
        <v>563</v>
      </c>
      <c r="H75" s="1360"/>
      <c r="I75" s="1361"/>
      <c r="J75" s="1524"/>
      <c r="K75" s="1524"/>
      <c r="L75" s="1504"/>
      <c r="M75" s="1769"/>
      <c r="N75" s="1504"/>
      <c r="O75" s="1504"/>
      <c r="P75" s="1504"/>
      <c r="Q75" s="1504"/>
      <c r="R75" s="1504"/>
      <c r="S75" s="1504"/>
      <c r="T75" s="1504"/>
      <c r="U75" s="1504"/>
      <c r="V75" s="1504"/>
      <c r="W75" s="1504"/>
      <c r="X75" s="2058">
        <v>10000</v>
      </c>
      <c r="Y75" s="1504">
        <f t="shared" si="58"/>
        <v>10000</v>
      </c>
      <c r="Z75" s="1504">
        <f t="shared" si="58"/>
        <v>10000</v>
      </c>
      <c r="AA75" s="1504">
        <f t="shared" si="58"/>
        <v>10000</v>
      </c>
      <c r="AB75" s="1504">
        <f t="shared" si="58"/>
        <v>10000</v>
      </c>
      <c r="AC75" s="1504">
        <f t="shared" si="58"/>
        <v>10000</v>
      </c>
      <c r="AD75" s="1504">
        <f t="shared" si="59"/>
        <v>10000</v>
      </c>
      <c r="AE75" s="1504">
        <f t="shared" si="60"/>
        <v>10000</v>
      </c>
      <c r="AF75" s="69"/>
      <c r="AG75" s="69"/>
      <c r="AH75" s="643"/>
      <c r="AI75" s="643"/>
      <c r="AJ75" s="643"/>
      <c r="AK75" s="79"/>
      <c r="AL75" s="79"/>
      <c r="AM75" s="79"/>
      <c r="AN75" s="79"/>
      <c r="AO75" s="79"/>
      <c r="AP75" s="79"/>
      <c r="AQ75" s="79"/>
      <c r="AR75" s="79"/>
      <c r="AS75" s="79"/>
      <c r="AT75" s="79"/>
      <c r="AU75" s="79"/>
      <c r="AV75" s="79"/>
      <c r="AW75" s="79"/>
      <c r="AX75" s="79"/>
      <c r="AY75" s="79"/>
      <c r="AZ75" s="79"/>
    </row>
    <row r="76" spans="1:52" ht="12.75" customHeight="1">
      <c r="A76" s="865" t="s">
        <v>574</v>
      </c>
      <c r="B76" s="704"/>
      <c r="C76" s="704"/>
      <c r="D76" s="704"/>
      <c r="E76" s="704"/>
      <c r="F76" s="1359"/>
      <c r="G76" s="1768" t="s">
        <v>575</v>
      </c>
      <c r="H76" s="1360"/>
      <c r="I76" s="1361"/>
      <c r="J76" s="1524"/>
      <c r="K76" s="1524"/>
      <c r="L76" s="1504"/>
      <c r="M76" s="1769"/>
      <c r="N76" s="1504"/>
      <c r="O76" s="1504"/>
      <c r="P76" s="1504"/>
      <c r="Q76" s="1504"/>
      <c r="R76" s="1504"/>
      <c r="S76" s="1504"/>
      <c r="T76" s="1504"/>
      <c r="U76" s="1504"/>
      <c r="V76" s="1504"/>
      <c r="W76" s="1504"/>
      <c r="X76" s="2058">
        <v>30000</v>
      </c>
      <c r="Y76" s="1504">
        <f>X76</f>
        <v>30000</v>
      </c>
      <c r="Z76" s="1504">
        <v>0</v>
      </c>
      <c r="AA76" s="1504">
        <f t="shared" si="58"/>
        <v>0</v>
      </c>
      <c r="AB76" s="1504">
        <f t="shared" si="58"/>
        <v>0</v>
      </c>
      <c r="AC76" s="1504">
        <f t="shared" si="58"/>
        <v>0</v>
      </c>
      <c r="AD76" s="1504">
        <f t="shared" si="59"/>
        <v>0</v>
      </c>
      <c r="AE76" s="1504">
        <f t="shared" si="60"/>
        <v>0</v>
      </c>
      <c r="AF76" s="69"/>
      <c r="AG76" s="69"/>
      <c r="AH76" s="643"/>
      <c r="AI76" s="643"/>
      <c r="AJ76" s="643"/>
      <c r="AK76" s="79"/>
      <c r="AL76" s="79"/>
      <c r="AM76" s="79"/>
      <c r="AN76" s="79"/>
      <c r="AO76" s="79"/>
      <c r="AP76" s="79"/>
      <c r="AQ76" s="79"/>
      <c r="AR76" s="79"/>
      <c r="AS76" s="79"/>
      <c r="AT76" s="79"/>
      <c r="AU76" s="79"/>
      <c r="AV76" s="79"/>
      <c r="AW76" s="79"/>
      <c r="AX76" s="79"/>
      <c r="AY76" s="79"/>
      <c r="AZ76" s="79"/>
    </row>
    <row r="77" spans="1:52" s="1577" customFormat="1" ht="12.75" customHeight="1">
      <c r="A77" s="1579" t="s">
        <v>1477</v>
      </c>
      <c r="B77" s="1358"/>
      <c r="C77" s="1358"/>
      <c r="D77" s="1358"/>
      <c r="E77" s="1358"/>
      <c r="F77" s="1359"/>
      <c r="G77" s="1768" t="s">
        <v>1607</v>
      </c>
      <c r="H77" s="1360"/>
      <c r="I77" s="1361"/>
      <c r="J77" s="1524"/>
      <c r="K77" s="1524"/>
      <c r="L77" s="1504"/>
      <c r="M77" s="1769"/>
      <c r="N77" s="1504"/>
      <c r="O77" s="1504"/>
      <c r="P77" s="1504"/>
      <c r="Q77" s="1504"/>
      <c r="R77" s="1504"/>
      <c r="S77" s="1504"/>
      <c r="T77" s="1504"/>
      <c r="U77" s="1504"/>
      <c r="V77" s="1504"/>
      <c r="W77" s="1504"/>
      <c r="X77" s="2058"/>
      <c r="Y77" s="2058"/>
      <c r="Z77" s="1504">
        <f>(23+23+23+23+25+24+24+17+24+23+22+22+22+22+18+1)*200</f>
        <v>67200</v>
      </c>
      <c r="AA77" s="1504"/>
      <c r="AB77" s="1504"/>
      <c r="AC77" s="1504"/>
      <c r="AD77" s="1504"/>
      <c r="AE77" s="1504"/>
      <c r="AF77" s="69"/>
      <c r="AG77" s="69"/>
      <c r="AH77" s="1504"/>
      <c r="AI77" s="1504"/>
      <c r="AJ77" s="1504"/>
      <c r="AK77" s="1372"/>
      <c r="AL77" s="1372"/>
      <c r="AM77" s="1372"/>
      <c r="AN77" s="1372"/>
      <c r="AO77" s="1372"/>
      <c r="AP77" s="1372"/>
      <c r="AQ77" s="1372"/>
      <c r="AR77" s="1372"/>
      <c r="AS77" s="1372"/>
      <c r="AT77" s="1372"/>
      <c r="AU77" s="1372"/>
      <c r="AV77" s="1372"/>
      <c r="AW77" s="1372"/>
      <c r="AX77" s="1372"/>
      <c r="AY77" s="1372"/>
      <c r="AZ77" s="1372"/>
    </row>
    <row r="78" spans="1:52" s="1577" customFormat="1" ht="12.75" customHeight="1">
      <c r="A78" s="1579" t="s">
        <v>1461</v>
      </c>
      <c r="B78" s="1358"/>
      <c r="C78" s="1358"/>
      <c r="D78" s="1358"/>
      <c r="E78" s="1358"/>
      <c r="F78" s="1359"/>
      <c r="G78" s="1768" t="s">
        <v>562</v>
      </c>
      <c r="H78" s="1360"/>
      <c r="I78" s="1361"/>
      <c r="J78" s="1524"/>
      <c r="K78" s="1524"/>
      <c r="L78" s="1504"/>
      <c r="M78" s="1769"/>
      <c r="N78" s="1504"/>
      <c r="O78" s="1504"/>
      <c r="P78" s="1504"/>
      <c r="Q78" s="1504"/>
      <c r="R78" s="1504"/>
      <c r="S78" s="1504"/>
      <c r="T78" s="1504"/>
      <c r="U78" s="1504"/>
      <c r="V78" s="1504"/>
      <c r="W78" s="1504"/>
      <c r="X78" s="2058"/>
      <c r="Y78" s="3128"/>
      <c r="Z78" s="3124">
        <f>(23+23+24+24+19+25+24+24+24+24+24+24)*200</f>
        <v>56400</v>
      </c>
      <c r="AA78" s="3124">
        <f>24*200</f>
        <v>4800</v>
      </c>
      <c r="AB78" s="3124">
        <f>AA78</f>
        <v>4800</v>
      </c>
      <c r="AC78" s="1504">
        <f>AB78</f>
        <v>4800</v>
      </c>
      <c r="AD78" s="1504">
        <f>AC78</f>
        <v>4800</v>
      </c>
      <c r="AE78" s="1504">
        <f>AD78</f>
        <v>4800</v>
      </c>
      <c r="AF78" s="69"/>
      <c r="AG78" s="69"/>
      <c r="AH78" s="1504"/>
      <c r="AI78" s="1504"/>
      <c r="AJ78" s="1504"/>
      <c r="AK78" s="1372"/>
      <c r="AL78" s="1372"/>
      <c r="AM78" s="1372"/>
      <c r="AN78" s="1372"/>
      <c r="AO78" s="1372"/>
      <c r="AP78" s="1372"/>
      <c r="AQ78" s="1372"/>
      <c r="AR78" s="1372"/>
      <c r="AS78" s="1372"/>
      <c r="AT78" s="1372"/>
      <c r="AU78" s="1372"/>
      <c r="AV78" s="1372"/>
      <c r="AW78" s="1372"/>
      <c r="AX78" s="1372"/>
      <c r="AY78" s="1372"/>
      <c r="AZ78" s="1372"/>
    </row>
    <row r="79" spans="1:52" s="1577" customFormat="1" ht="12.75" customHeight="1">
      <c r="A79" s="1579" t="s">
        <v>1602</v>
      </c>
      <c r="B79" s="1358"/>
      <c r="C79" s="1358"/>
      <c r="D79" s="1358"/>
      <c r="E79" s="1358"/>
      <c r="F79" s="1359"/>
      <c r="G79" s="1768" t="s">
        <v>562</v>
      </c>
      <c r="H79" s="1360"/>
      <c r="I79" s="1361"/>
      <c r="J79" s="1524"/>
      <c r="K79" s="1524"/>
      <c r="L79" s="1504"/>
      <c r="M79" s="1769"/>
      <c r="N79" s="1504"/>
      <c r="O79" s="1504"/>
      <c r="P79" s="1504"/>
      <c r="Q79" s="1504"/>
      <c r="R79" s="1504"/>
      <c r="S79" s="1504"/>
      <c r="T79" s="1504"/>
      <c r="U79" s="1504"/>
      <c r="V79" s="1504"/>
      <c r="W79" s="1504"/>
      <c r="X79" s="2058"/>
      <c r="Y79" s="3128"/>
      <c r="Z79" s="3124">
        <f>22*1000*0.5</f>
        <v>11000</v>
      </c>
      <c r="AA79" s="3124">
        <f>22*1000</f>
        <v>22000</v>
      </c>
      <c r="AB79" s="3124">
        <f>22*1000</f>
        <v>22000</v>
      </c>
      <c r="AC79" s="1504">
        <f>22*1000</f>
        <v>22000</v>
      </c>
      <c r="AD79" s="1504">
        <f>22*1000</f>
        <v>22000</v>
      </c>
      <c r="AE79" s="1504">
        <f>22*1000</f>
        <v>22000</v>
      </c>
      <c r="AF79" s="69"/>
      <c r="AG79" s="69"/>
      <c r="AH79" s="1504"/>
      <c r="AI79" s="1504"/>
      <c r="AJ79" s="1504"/>
      <c r="AK79" s="1372"/>
      <c r="AL79" s="1372"/>
      <c r="AM79" s="1372"/>
      <c r="AN79" s="1372"/>
      <c r="AO79" s="1372"/>
      <c r="AP79" s="1372"/>
      <c r="AQ79" s="1372"/>
      <c r="AR79" s="1372"/>
      <c r="AS79" s="1372"/>
      <c r="AT79" s="1372"/>
      <c r="AU79" s="1372"/>
      <c r="AV79" s="1372"/>
      <c r="AW79" s="1372"/>
      <c r="AX79" s="1372"/>
      <c r="AY79" s="1372"/>
      <c r="AZ79" s="1372"/>
    </row>
    <row r="80" spans="1:52" s="1577" customFormat="1" ht="12.75" customHeight="1">
      <c r="A80" s="1579" t="s">
        <v>1603</v>
      </c>
      <c r="B80" s="1358"/>
      <c r="C80" s="1358"/>
      <c r="D80" s="1358"/>
      <c r="E80" s="1358"/>
      <c r="F80" s="1359"/>
      <c r="G80" s="1768" t="s">
        <v>562</v>
      </c>
      <c r="H80" s="1360"/>
      <c r="I80" s="1361"/>
      <c r="J80" s="1524"/>
      <c r="K80" s="1524"/>
      <c r="L80" s="1504"/>
      <c r="M80" s="1769"/>
      <c r="N80" s="1504"/>
      <c r="O80" s="1504"/>
      <c r="P80" s="1504"/>
      <c r="Q80" s="1504"/>
      <c r="R80" s="1504"/>
      <c r="S80" s="1504"/>
      <c r="T80" s="1504"/>
      <c r="U80" s="1504"/>
      <c r="V80" s="1504"/>
      <c r="W80" s="1504"/>
      <c r="X80" s="2058"/>
      <c r="Y80" s="3128"/>
      <c r="Z80" s="3124">
        <f>13*1000*0.5</f>
        <v>6500</v>
      </c>
      <c r="AA80" s="3124">
        <f>13*1000</f>
        <v>13000</v>
      </c>
      <c r="AB80" s="3124">
        <f t="shared" ref="AB80:AE81" si="61">AA80</f>
        <v>13000</v>
      </c>
      <c r="AC80" s="1504">
        <f t="shared" si="61"/>
        <v>13000</v>
      </c>
      <c r="AD80" s="1504">
        <f t="shared" si="61"/>
        <v>13000</v>
      </c>
      <c r="AE80" s="1504">
        <f t="shared" si="61"/>
        <v>13000</v>
      </c>
      <c r="AF80" s="69"/>
      <c r="AG80" s="69"/>
      <c r="AH80" s="1504"/>
      <c r="AI80" s="1504"/>
      <c r="AJ80" s="1504"/>
      <c r="AK80" s="1372"/>
      <c r="AL80" s="1372"/>
      <c r="AM80" s="1372"/>
      <c r="AN80" s="1372"/>
      <c r="AO80" s="1372"/>
      <c r="AP80" s="1372"/>
      <c r="AQ80" s="1372"/>
      <c r="AR80" s="1372"/>
      <c r="AS80" s="1372"/>
      <c r="AT80" s="1372"/>
      <c r="AU80" s="1372"/>
      <c r="AV80" s="1372"/>
      <c r="AW80" s="1372"/>
      <c r="AX80" s="1372"/>
      <c r="AY80" s="1372"/>
      <c r="AZ80" s="1372"/>
    </row>
    <row r="81" spans="1:52" s="1577" customFormat="1" ht="12.75" customHeight="1">
      <c r="A81" s="1579" t="s">
        <v>1608</v>
      </c>
      <c r="B81" s="1358"/>
      <c r="C81" s="1358"/>
      <c r="D81" s="1358"/>
      <c r="E81" s="1358"/>
      <c r="F81" s="1359"/>
      <c r="G81" s="1768" t="s">
        <v>562</v>
      </c>
      <c r="H81" s="1360"/>
      <c r="I81" s="1361"/>
      <c r="J81" s="1524"/>
      <c r="K81" s="1524"/>
      <c r="L81" s="1504"/>
      <c r="M81" s="1769"/>
      <c r="N81" s="1504"/>
      <c r="O81" s="1504"/>
      <c r="P81" s="1504"/>
      <c r="Q81" s="1504"/>
      <c r="R81" s="1504"/>
      <c r="S81" s="1504"/>
      <c r="T81" s="1504"/>
      <c r="U81" s="1504"/>
      <c r="V81" s="1504"/>
      <c r="W81" s="1504"/>
      <c r="X81" s="2058">
        <f>300000-SUM(X70:X72)</f>
        <v>83000</v>
      </c>
      <c r="Y81" s="3127">
        <f>X81</f>
        <v>83000</v>
      </c>
      <c r="Z81" s="3127">
        <f>Y81</f>
        <v>83000</v>
      </c>
      <c r="AA81" s="3127">
        <f>Z81+10000</f>
        <v>93000</v>
      </c>
      <c r="AB81" s="3127">
        <f>AA81</f>
        <v>93000</v>
      </c>
      <c r="AC81" s="3216">
        <f>AB81-20000</f>
        <v>73000</v>
      </c>
      <c r="AD81" s="2063">
        <f t="shared" si="61"/>
        <v>73000</v>
      </c>
      <c r="AE81" s="2063">
        <f t="shared" si="61"/>
        <v>73000</v>
      </c>
      <c r="AF81" s="69"/>
      <c r="AG81" s="69"/>
      <c r="AJ81" s="1504"/>
      <c r="AK81" s="1372"/>
      <c r="AL81" s="1372"/>
      <c r="AM81" s="1372"/>
      <c r="AN81" s="1372"/>
      <c r="AO81" s="1372"/>
      <c r="AP81" s="1372"/>
      <c r="AQ81" s="1372"/>
      <c r="AR81" s="1372"/>
      <c r="AS81" s="1372"/>
      <c r="AT81" s="1372"/>
      <c r="AU81" s="1372"/>
      <c r="AV81" s="1372"/>
      <c r="AW81" s="1372"/>
      <c r="AX81" s="1372"/>
      <c r="AY81" s="1372"/>
      <c r="AZ81" s="1372"/>
    </row>
    <row r="82" spans="1:52" s="1577" customFormat="1" ht="12.75" customHeight="1">
      <c r="A82" s="1579" t="s">
        <v>1781</v>
      </c>
      <c r="B82" s="1358"/>
      <c r="C82" s="1358"/>
      <c r="D82" s="1358"/>
      <c r="E82" s="1358"/>
      <c r="F82" s="1359"/>
      <c r="G82" s="1768"/>
      <c r="H82" s="1360"/>
      <c r="I82" s="1361"/>
      <c r="J82" s="1524"/>
      <c r="K82" s="1524"/>
      <c r="L82" s="1504"/>
      <c r="M82" s="1769"/>
      <c r="N82" s="1504"/>
      <c r="O82" s="1504"/>
      <c r="P82" s="1504"/>
      <c r="Q82" s="1504"/>
      <c r="R82" s="1504"/>
      <c r="S82" s="1504"/>
      <c r="T82" s="1504"/>
      <c r="U82" s="1504"/>
      <c r="V82" s="1504"/>
      <c r="W82" s="1504"/>
      <c r="X82" s="2058"/>
      <c r="Y82" s="3127"/>
      <c r="Z82" s="3127"/>
      <c r="AA82" s="3127">
        <f>(22+23)*400</f>
        <v>18000</v>
      </c>
      <c r="AB82" s="3127">
        <f>23*400</f>
        <v>9200</v>
      </c>
      <c r="AC82" s="2063">
        <f>AB82</f>
        <v>9200</v>
      </c>
      <c r="AD82" s="2063">
        <f>AC82</f>
        <v>9200</v>
      </c>
      <c r="AE82" s="2063">
        <f>AD82</f>
        <v>9200</v>
      </c>
      <c r="AF82" s="69"/>
      <c r="AG82" s="69"/>
      <c r="AJ82" s="1504"/>
      <c r="AK82" s="1372"/>
      <c r="AL82" s="1372"/>
      <c r="AM82" s="1372"/>
      <c r="AN82" s="1372"/>
      <c r="AO82" s="1372"/>
      <c r="AP82" s="1372"/>
      <c r="AQ82" s="1372"/>
      <c r="AR82" s="1372"/>
      <c r="AS82" s="1372"/>
      <c r="AT82" s="1372"/>
      <c r="AU82" s="1372"/>
      <c r="AV82" s="1372"/>
      <c r="AW82" s="1372"/>
      <c r="AX82" s="1372"/>
      <c r="AY82" s="1372"/>
      <c r="AZ82" s="1372"/>
    </row>
    <row r="83" spans="1:52" s="1577" customFormat="1" ht="12.75" customHeight="1">
      <c r="A83" s="1579" t="s">
        <v>1729</v>
      </c>
      <c r="B83" s="1358"/>
      <c r="C83" s="1358"/>
      <c r="D83" s="1358"/>
      <c r="E83" s="1358"/>
      <c r="F83" s="1359"/>
      <c r="G83" s="1768"/>
      <c r="H83" s="1360"/>
      <c r="I83" s="1361"/>
      <c r="J83" s="1524"/>
      <c r="K83" s="1524"/>
      <c r="L83" s="1504"/>
      <c r="M83" s="1769"/>
      <c r="N83" s="1504"/>
      <c r="O83" s="1504"/>
      <c r="P83" s="1504"/>
      <c r="Q83" s="1504"/>
      <c r="R83" s="1504"/>
      <c r="S83" s="1504"/>
      <c r="T83" s="1504"/>
      <c r="U83" s="1504"/>
      <c r="V83" s="1504"/>
      <c r="W83" s="1504"/>
      <c r="X83" s="2058"/>
      <c r="Y83" s="2063"/>
      <c r="Z83" s="2063"/>
      <c r="AA83" s="3127">
        <v>100000</v>
      </c>
      <c r="AB83" s="3127">
        <f>8*5000</f>
        <v>40000</v>
      </c>
      <c r="AC83" s="3127">
        <f>15*5000</f>
        <v>75000</v>
      </c>
      <c r="AD83" s="3127">
        <f t="shared" ref="AD83:AE83" si="62">AC83</f>
        <v>75000</v>
      </c>
      <c r="AE83" s="3127">
        <f t="shared" si="62"/>
        <v>75000</v>
      </c>
      <c r="AF83" s="69"/>
      <c r="AG83" s="69"/>
      <c r="AJ83" s="1504"/>
      <c r="AK83" s="1372"/>
      <c r="AL83" s="1372"/>
      <c r="AM83" s="1372"/>
      <c r="AN83" s="1372"/>
      <c r="AO83" s="1372"/>
      <c r="AP83" s="1372"/>
      <c r="AQ83" s="1372"/>
      <c r="AR83" s="1372"/>
      <c r="AS83" s="1372"/>
      <c r="AT83" s="1372"/>
      <c r="AU83" s="1372"/>
      <c r="AV83" s="1372"/>
      <c r="AW83" s="1372"/>
      <c r="AX83" s="1372"/>
      <c r="AY83" s="1372"/>
      <c r="AZ83" s="1372"/>
    </row>
    <row r="84" spans="1:52" ht="12.75" customHeight="1">
      <c r="A84" s="865" t="s">
        <v>677</v>
      </c>
      <c r="B84" s="704"/>
      <c r="C84" s="704"/>
      <c r="D84" s="704"/>
      <c r="E84" s="704"/>
      <c r="F84" s="343"/>
      <c r="G84" s="343"/>
      <c r="H84" s="645"/>
      <c r="I84" s="661"/>
      <c r="J84" s="705"/>
      <c r="K84" s="694"/>
      <c r="L84" s="643"/>
      <c r="M84" s="709"/>
      <c r="N84" s="643"/>
      <c r="O84" s="643"/>
      <c r="P84" s="643"/>
      <c r="Q84" s="643"/>
      <c r="R84" s="643"/>
      <c r="S84" s="643"/>
      <c r="T84" s="643"/>
      <c r="U84" s="643"/>
      <c r="V84" s="643"/>
      <c r="W84" s="1504"/>
      <c r="X84" s="2058">
        <f>70000-X76</f>
        <v>40000</v>
      </c>
      <c r="Y84" s="2059">
        <f>Scenarios!I124</f>
        <v>35000</v>
      </c>
      <c r="Z84" s="2059">
        <f>Scenarios!J124</f>
        <v>12500</v>
      </c>
      <c r="AA84" s="2059">
        <f>Scenarios!K124</f>
        <v>12500</v>
      </c>
      <c r="AB84" s="2059">
        <f>Scenarios!L124</f>
        <v>15625</v>
      </c>
      <c r="AC84" s="2059">
        <f>Scenarios!M124</f>
        <v>17187.5</v>
      </c>
      <c r="AD84" s="2059">
        <f>Scenarios!N124</f>
        <v>18906.25</v>
      </c>
      <c r="AE84" s="2059">
        <f>Scenarios!O124</f>
        <v>20796.875</v>
      </c>
      <c r="AF84" s="69"/>
      <c r="AG84" s="69"/>
      <c r="AH84" s="1577"/>
      <c r="AI84" s="1577"/>
      <c r="AJ84" s="643"/>
      <c r="AK84" s="79"/>
      <c r="AL84" s="79"/>
      <c r="AM84" s="79"/>
      <c r="AN84" s="79"/>
      <c r="AO84" s="79"/>
      <c r="AP84" s="79"/>
      <c r="AQ84" s="79"/>
      <c r="AR84" s="79"/>
      <c r="AS84" s="79"/>
      <c r="AT84" s="79"/>
      <c r="AU84" s="79"/>
      <c r="AV84" s="79"/>
      <c r="AW84" s="79"/>
      <c r="AX84" s="79"/>
      <c r="AY84" s="79"/>
      <c r="AZ84" s="79"/>
    </row>
    <row r="85" spans="1:52" ht="12.75" customHeight="1">
      <c r="A85" s="1506" t="s">
        <v>568</v>
      </c>
      <c r="B85" s="1496"/>
      <c r="C85" s="1496"/>
      <c r="D85" s="1496"/>
      <c r="E85" s="1497"/>
      <c r="F85" s="1498"/>
      <c r="G85" s="1496"/>
      <c r="H85" s="1499"/>
      <c r="I85" s="1499"/>
      <c r="J85" s="1500"/>
      <c r="K85" s="1500"/>
      <c r="L85" s="1501">
        <f t="shared" ref="L85:S85" si="63">SUM(L66:L68)</f>
        <v>0</v>
      </c>
      <c r="M85" s="1501">
        <f t="shared" si="63"/>
        <v>0</v>
      </c>
      <c r="N85" s="1501">
        <f t="shared" si="63"/>
        <v>0</v>
      </c>
      <c r="O85" s="1501">
        <f t="shared" si="63"/>
        <v>0</v>
      </c>
      <c r="P85" s="1501">
        <f t="shared" si="63"/>
        <v>0</v>
      </c>
      <c r="Q85" s="1501">
        <f t="shared" si="63"/>
        <v>0</v>
      </c>
      <c r="R85" s="1501">
        <f t="shared" si="63"/>
        <v>0</v>
      </c>
      <c r="S85" s="1501">
        <f t="shared" si="63"/>
        <v>0</v>
      </c>
      <c r="T85" s="1501">
        <f t="shared" ref="T85:AE85" si="64">SUM(T66:T84)</f>
        <v>0</v>
      </c>
      <c r="U85" s="1501">
        <f t="shared" si="64"/>
        <v>0</v>
      </c>
      <c r="V85" s="1501">
        <f t="shared" si="64"/>
        <v>0</v>
      </c>
      <c r="W85" s="2277">
        <f t="shared" si="64"/>
        <v>0</v>
      </c>
      <c r="X85" s="2277">
        <f t="shared" si="64"/>
        <v>639200</v>
      </c>
      <c r="Y85" s="2277">
        <f t="shared" si="64"/>
        <v>488000</v>
      </c>
      <c r="Z85" s="2277">
        <f t="shared" si="64"/>
        <v>592800</v>
      </c>
      <c r="AA85" s="2277">
        <f>SUM(AA66:AA84)</f>
        <v>581100</v>
      </c>
      <c r="AB85" s="2277">
        <f t="shared" si="64"/>
        <v>515425</v>
      </c>
      <c r="AC85" s="2277">
        <f t="shared" si="64"/>
        <v>531987.5</v>
      </c>
      <c r="AD85" s="2277">
        <f t="shared" si="64"/>
        <v>533706.25</v>
      </c>
      <c r="AE85" s="2277">
        <f t="shared" si="64"/>
        <v>535596.875</v>
      </c>
      <c r="AF85" s="69"/>
      <c r="AG85" s="69"/>
      <c r="AH85" s="1577"/>
      <c r="AI85" s="1577"/>
      <c r="AJ85" s="643"/>
      <c r="AK85" s="84"/>
      <c r="AL85" s="84"/>
      <c r="AM85" s="84"/>
      <c r="AN85" s="84"/>
      <c r="AO85" s="84"/>
      <c r="AP85" s="84"/>
      <c r="AQ85" s="84"/>
      <c r="AR85" s="84"/>
      <c r="AS85" s="84"/>
      <c r="AT85" s="84"/>
      <c r="AU85" s="84"/>
      <c r="AV85" s="84"/>
      <c r="AW85" s="84"/>
      <c r="AX85" s="84"/>
      <c r="AY85" s="84"/>
      <c r="AZ85" s="84"/>
    </row>
    <row r="86" spans="1:52" ht="12.75" customHeight="1">
      <c r="A86" s="84"/>
      <c r="B86" s="342"/>
      <c r="C86" s="342"/>
      <c r="D86" s="342"/>
      <c r="E86" s="704"/>
      <c r="F86" s="648"/>
      <c r="G86" s="342"/>
      <c r="H86" s="645"/>
      <c r="I86" s="645"/>
      <c r="J86" s="694"/>
      <c r="K86" s="694"/>
      <c r="L86" s="643"/>
      <c r="M86" s="643"/>
      <c r="N86" s="643"/>
      <c r="O86" s="707"/>
      <c r="P86" s="707"/>
      <c r="Q86" s="707"/>
      <c r="R86" s="707"/>
      <c r="S86" s="707"/>
      <c r="T86" s="707"/>
      <c r="U86" s="707"/>
      <c r="V86" s="69"/>
      <c r="W86" s="1109"/>
      <c r="X86" s="1863"/>
      <c r="Y86" s="1800">
        <f t="shared" ref="Y86:AE86" si="65">Y85/X85-1</f>
        <v>-0.23654568210262827</v>
      </c>
      <c r="Z86" s="1800">
        <f t="shared" si="65"/>
        <v>0.21475409836065573</v>
      </c>
      <c r="AA86" s="1800">
        <f t="shared" si="65"/>
        <v>-1.9736842105263164E-2</v>
      </c>
      <c r="AB86" s="1800">
        <f t="shared" si="65"/>
        <v>-0.11301841335398377</v>
      </c>
      <c r="AC86" s="1800">
        <f t="shared" si="65"/>
        <v>3.2133676092545027E-2</v>
      </c>
      <c r="AD86" s="1800">
        <f t="shared" si="65"/>
        <v>3.2308089945722873E-3</v>
      </c>
      <c r="AE86" s="1800">
        <f t="shared" si="65"/>
        <v>3.542444931083244E-3</v>
      </c>
      <c r="AF86" s="69"/>
      <c r="AG86" s="69"/>
      <c r="AH86" s="1167"/>
      <c r="AI86" s="1167"/>
      <c r="AJ86" s="69"/>
      <c r="AK86" s="69"/>
      <c r="AL86" s="69"/>
      <c r="AM86" s="69"/>
      <c r="AN86" s="84"/>
      <c r="AO86" s="84"/>
      <c r="AP86" s="84"/>
      <c r="AQ86" s="84"/>
      <c r="AR86" s="84"/>
      <c r="AS86" s="84"/>
      <c r="AT86" s="84"/>
      <c r="AU86" s="84"/>
      <c r="AV86" s="84"/>
      <c r="AW86" s="84"/>
      <c r="AX86" s="84"/>
      <c r="AY86" s="84"/>
      <c r="AZ86" s="84"/>
    </row>
    <row r="87" spans="1:52" ht="12.75" customHeight="1">
      <c r="A87" s="320" t="s">
        <v>279</v>
      </c>
      <c r="B87" s="342"/>
      <c r="C87" s="342"/>
      <c r="D87" s="342"/>
      <c r="E87" s="704"/>
      <c r="F87" s="648"/>
      <c r="G87" s="342"/>
      <c r="H87" s="645"/>
      <c r="I87" s="645"/>
      <c r="J87" s="694"/>
      <c r="K87" s="694"/>
      <c r="L87" s="643"/>
      <c r="M87" s="643"/>
      <c r="N87" s="643"/>
      <c r="O87" s="643"/>
      <c r="P87" s="643"/>
      <c r="Q87" s="643"/>
      <c r="R87" s="643"/>
      <c r="S87" s="643"/>
      <c r="T87" s="643"/>
      <c r="U87" s="643"/>
      <c r="V87" s="84"/>
      <c r="W87" s="1109"/>
      <c r="X87" s="1109"/>
      <c r="Y87" s="1109"/>
      <c r="Z87" s="1109"/>
      <c r="AA87" s="1109"/>
      <c r="AB87" s="1109"/>
      <c r="AC87" s="1109"/>
      <c r="AD87" s="1504"/>
      <c r="AE87" s="1168"/>
      <c r="AF87" s="69"/>
      <c r="AG87" s="69"/>
      <c r="AH87" s="1168"/>
      <c r="AI87" s="1168"/>
      <c r="AJ87" s="84"/>
      <c r="AK87" s="84"/>
      <c r="AL87" s="84"/>
      <c r="AM87" s="84"/>
      <c r="AN87" s="84"/>
      <c r="AO87" s="84"/>
      <c r="AP87" s="84"/>
      <c r="AQ87" s="84"/>
      <c r="AR87" s="84"/>
      <c r="AS87" s="84"/>
      <c r="AT87" s="84"/>
      <c r="AU87" s="84"/>
      <c r="AV87" s="84"/>
      <c r="AW87" s="84"/>
      <c r="AX87" s="84"/>
      <c r="AY87" s="84"/>
      <c r="AZ87" s="84"/>
    </row>
    <row r="88" spans="1:52" ht="12.75" customHeight="1">
      <c r="A88" s="84" t="s">
        <v>198</v>
      </c>
      <c r="B88" s="704" t="s">
        <v>180</v>
      </c>
      <c r="C88" s="704" t="s">
        <v>127</v>
      </c>
      <c r="D88" s="704">
        <v>11</v>
      </c>
      <c r="E88" s="700" t="s">
        <v>200</v>
      </c>
      <c r="F88" s="343">
        <v>8</v>
      </c>
      <c r="G88" s="343" t="s">
        <v>122</v>
      </c>
      <c r="H88" s="645"/>
      <c r="I88" s="661">
        <f>22*D88</f>
        <v>242</v>
      </c>
      <c r="J88" s="705">
        <f>3100*1/3</f>
        <v>1033.3333333333333</v>
      </c>
      <c r="K88" s="705"/>
      <c r="L88" s="643">
        <f t="shared" ref="L88:S88" si="66">AO88</f>
        <v>22733.333333333332</v>
      </c>
      <c r="M88" s="643">
        <f t="shared" si="66"/>
        <v>22733.333333333332</v>
      </c>
      <c r="N88" s="643">
        <f t="shared" si="66"/>
        <v>22733.333333333332</v>
      </c>
      <c r="O88" s="643">
        <f t="shared" si="66"/>
        <v>22733.333333333332</v>
      </c>
      <c r="P88" s="643">
        <f t="shared" si="66"/>
        <v>22733.333333333332</v>
      </c>
      <c r="Q88" s="643">
        <f t="shared" si="66"/>
        <v>22733.333333333332</v>
      </c>
      <c r="R88" s="643">
        <f t="shared" si="66"/>
        <v>22733.333333333332</v>
      </c>
      <c r="S88" s="643">
        <f t="shared" si="66"/>
        <v>22733.333333333332</v>
      </c>
      <c r="T88" s="643">
        <v>0</v>
      </c>
      <c r="U88" s="643">
        <v>0</v>
      </c>
      <c r="V88" s="643">
        <v>0</v>
      </c>
      <c r="W88" s="1504">
        <v>0</v>
      </c>
      <c r="X88" s="1504">
        <v>0</v>
      </c>
      <c r="Y88" s="1504"/>
      <c r="Z88" s="1504">
        <v>0</v>
      </c>
      <c r="AA88" s="1504">
        <v>0</v>
      </c>
      <c r="AB88" s="1504">
        <v>0</v>
      </c>
      <c r="AC88" s="1504">
        <v>0</v>
      </c>
      <c r="AD88" s="1504">
        <v>0</v>
      </c>
      <c r="AE88" s="1504">
        <v>0</v>
      </c>
      <c r="AF88" s="69"/>
      <c r="AG88" s="69"/>
      <c r="AH88" s="643"/>
      <c r="AI88" s="643"/>
      <c r="AJ88" s="643"/>
      <c r="AK88" s="79">
        <f>22*$J88</f>
        <v>22733.333333333332</v>
      </c>
      <c r="AL88" s="79">
        <f t="shared" ref="AL88:AX90" si="67">$J88*22</f>
        <v>22733.333333333332</v>
      </c>
      <c r="AM88" s="79">
        <f t="shared" si="67"/>
        <v>22733.333333333332</v>
      </c>
      <c r="AN88" s="79">
        <f t="shared" si="67"/>
        <v>22733.333333333332</v>
      </c>
      <c r="AO88" s="85">
        <f t="shared" si="67"/>
        <v>22733.333333333332</v>
      </c>
      <c r="AP88" s="79">
        <f t="shared" si="67"/>
        <v>22733.333333333332</v>
      </c>
      <c r="AQ88" s="79">
        <f t="shared" si="67"/>
        <v>22733.333333333332</v>
      </c>
      <c r="AR88" s="79">
        <f t="shared" si="67"/>
        <v>22733.333333333332</v>
      </c>
      <c r="AS88" s="79">
        <f t="shared" si="67"/>
        <v>22733.333333333332</v>
      </c>
      <c r="AT88" s="79">
        <f t="shared" si="67"/>
        <v>22733.333333333332</v>
      </c>
      <c r="AU88" s="79">
        <f t="shared" si="67"/>
        <v>22733.333333333332</v>
      </c>
      <c r="AV88" s="79">
        <f t="shared" si="67"/>
        <v>22733.333333333332</v>
      </c>
      <c r="AW88" s="79">
        <f t="shared" si="67"/>
        <v>22733.333333333332</v>
      </c>
      <c r="AX88" s="79"/>
      <c r="AY88" s="79"/>
      <c r="AZ88" s="79">
        <f>I88*J88-SUM(AK88:AY88)</f>
        <v>-45466.666666666715</v>
      </c>
    </row>
    <row r="89" spans="1:52" ht="12.75" customHeight="1">
      <c r="A89" s="84" t="s">
        <v>1501</v>
      </c>
      <c r="B89" s="704" t="s">
        <v>134</v>
      </c>
      <c r="C89" s="704" t="s">
        <v>280</v>
      </c>
      <c r="D89" s="704">
        <v>9</v>
      </c>
      <c r="E89" s="700" t="s">
        <v>204</v>
      </c>
      <c r="F89" s="343">
        <v>4</v>
      </c>
      <c r="G89" s="342" t="s">
        <v>122</v>
      </c>
      <c r="H89" s="645"/>
      <c r="I89" s="661">
        <f>22*D89</f>
        <v>198</v>
      </c>
      <c r="J89" s="705">
        <f>3000*1/3</f>
        <v>1000</v>
      </c>
      <c r="K89" s="705"/>
      <c r="L89" s="643">
        <f t="shared" ref="L89:V89" si="68">AK89</f>
        <v>22000</v>
      </c>
      <c r="M89" s="643">
        <f t="shared" si="68"/>
        <v>22000</v>
      </c>
      <c r="N89" s="643">
        <f t="shared" si="68"/>
        <v>22000</v>
      </c>
      <c r="O89" s="643">
        <f t="shared" si="68"/>
        <v>22000</v>
      </c>
      <c r="P89" s="643">
        <f t="shared" si="68"/>
        <v>22000</v>
      </c>
      <c r="Q89" s="643">
        <f t="shared" si="68"/>
        <v>22000</v>
      </c>
      <c r="R89" s="643">
        <f t="shared" si="68"/>
        <v>22000</v>
      </c>
      <c r="S89" s="643">
        <f t="shared" si="68"/>
        <v>22000</v>
      </c>
      <c r="T89" s="643">
        <f t="shared" si="68"/>
        <v>22000</v>
      </c>
      <c r="U89" s="643">
        <f t="shared" si="68"/>
        <v>22000</v>
      </c>
      <c r="V89" s="643">
        <f t="shared" si="68"/>
        <v>22000</v>
      </c>
      <c r="W89" s="1504">
        <f>AV89</f>
        <v>22000</v>
      </c>
      <c r="X89" s="1504">
        <f>AW89</f>
        <v>22000</v>
      </c>
      <c r="Y89" s="1504">
        <f>AX89</f>
        <v>22000</v>
      </c>
      <c r="Z89" s="1504">
        <f t="shared" ref="Z89:AE89" si="69">+Y89</f>
        <v>22000</v>
      </c>
      <c r="AA89" s="1504">
        <f t="shared" si="69"/>
        <v>22000</v>
      </c>
      <c r="AB89" s="1504">
        <f t="shared" si="69"/>
        <v>22000</v>
      </c>
      <c r="AC89" s="1504">
        <f t="shared" si="69"/>
        <v>22000</v>
      </c>
      <c r="AD89" s="1504">
        <f t="shared" si="69"/>
        <v>22000</v>
      </c>
      <c r="AE89" s="1504">
        <f t="shared" si="69"/>
        <v>22000</v>
      </c>
      <c r="AF89" s="69"/>
      <c r="AG89" s="69"/>
      <c r="AH89" s="643"/>
      <c r="AI89" s="643"/>
      <c r="AJ89" s="643"/>
      <c r="AK89" s="79">
        <f>22*$J89</f>
        <v>22000</v>
      </c>
      <c r="AL89" s="79">
        <f t="shared" si="67"/>
        <v>22000</v>
      </c>
      <c r="AM89" s="79">
        <f t="shared" si="67"/>
        <v>22000</v>
      </c>
      <c r="AN89" s="79">
        <f t="shared" si="67"/>
        <v>22000</v>
      </c>
      <c r="AO89" s="79">
        <f t="shared" si="67"/>
        <v>22000</v>
      </c>
      <c r="AP89" s="79">
        <f t="shared" si="67"/>
        <v>22000</v>
      </c>
      <c r="AQ89" s="79">
        <f t="shared" si="67"/>
        <v>22000</v>
      </c>
      <c r="AR89" s="79">
        <f t="shared" si="67"/>
        <v>22000</v>
      </c>
      <c r="AS89" s="79">
        <f t="shared" si="67"/>
        <v>22000</v>
      </c>
      <c r="AT89" s="79">
        <f t="shared" si="67"/>
        <v>22000</v>
      </c>
      <c r="AU89" s="79">
        <f t="shared" si="67"/>
        <v>22000</v>
      </c>
      <c r="AV89" s="79">
        <f t="shared" si="67"/>
        <v>22000</v>
      </c>
      <c r="AW89" s="79">
        <f t="shared" si="67"/>
        <v>22000</v>
      </c>
      <c r="AX89" s="79">
        <f t="shared" si="67"/>
        <v>22000</v>
      </c>
      <c r="AY89" s="79"/>
      <c r="AZ89" s="79">
        <f>I89*J89-SUM(AK89:AY89)</f>
        <v>-110000</v>
      </c>
    </row>
    <row r="90" spans="1:52" ht="12.75" customHeight="1">
      <c r="A90" s="84" t="s">
        <v>267</v>
      </c>
      <c r="B90" s="704" t="s">
        <v>219</v>
      </c>
      <c r="C90" s="704" t="s">
        <v>120</v>
      </c>
      <c r="D90" s="704">
        <v>5</v>
      </c>
      <c r="E90" s="704" t="s">
        <v>127</v>
      </c>
      <c r="F90" s="343">
        <v>2</v>
      </c>
      <c r="G90" s="343" t="s">
        <v>268</v>
      </c>
      <c r="H90" s="645"/>
      <c r="I90" s="661">
        <f>22*D90</f>
        <v>110</v>
      </c>
      <c r="J90" s="705">
        <f>1250*1/3</f>
        <v>416.66666666666669</v>
      </c>
      <c r="K90" s="694"/>
      <c r="L90" s="643">
        <v>0</v>
      </c>
      <c r="M90" s="709">
        <v>0</v>
      </c>
      <c r="N90" s="643">
        <f t="shared" ref="N90:V90" si="70">AK90</f>
        <v>9166.6666666666679</v>
      </c>
      <c r="O90" s="643">
        <f t="shared" si="70"/>
        <v>9166.6666666666679</v>
      </c>
      <c r="P90" s="643">
        <f t="shared" si="70"/>
        <v>9166.6666666666679</v>
      </c>
      <c r="Q90" s="643">
        <f t="shared" si="70"/>
        <v>9166.6666666666679</v>
      </c>
      <c r="R90" s="643">
        <f t="shared" si="70"/>
        <v>9166.6666666666679</v>
      </c>
      <c r="S90" s="643">
        <f t="shared" si="70"/>
        <v>0</v>
      </c>
      <c r="T90" s="643">
        <f t="shared" si="70"/>
        <v>0</v>
      </c>
      <c r="U90" s="643">
        <f t="shared" si="70"/>
        <v>0</v>
      </c>
      <c r="V90" s="643">
        <f t="shared" si="70"/>
        <v>0</v>
      </c>
      <c r="W90" s="643">
        <f>AT90</f>
        <v>0</v>
      </c>
      <c r="X90" s="643">
        <f>AU90</f>
        <v>0</v>
      </c>
      <c r="Y90" s="643"/>
      <c r="Z90" s="643">
        <v>0</v>
      </c>
      <c r="AA90" s="643">
        <v>0</v>
      </c>
      <c r="AB90" s="643">
        <v>0</v>
      </c>
      <c r="AC90" s="643">
        <v>0</v>
      </c>
      <c r="AD90" s="643">
        <v>0</v>
      </c>
      <c r="AE90" s="643">
        <v>0</v>
      </c>
      <c r="AF90" s="69"/>
      <c r="AG90" s="69"/>
      <c r="AH90" s="643"/>
      <c r="AI90" s="643"/>
      <c r="AJ90" s="643"/>
      <c r="AK90" s="79">
        <f>22*$J90</f>
        <v>9166.6666666666679</v>
      </c>
      <c r="AL90" s="79">
        <f t="shared" si="67"/>
        <v>9166.6666666666679</v>
      </c>
      <c r="AM90" s="79">
        <f t="shared" si="67"/>
        <v>9166.6666666666679</v>
      </c>
      <c r="AN90" s="79">
        <f t="shared" si="67"/>
        <v>9166.6666666666679</v>
      </c>
      <c r="AO90" s="79">
        <f t="shared" si="67"/>
        <v>9166.6666666666679</v>
      </c>
      <c r="AP90" s="79"/>
      <c r="AQ90" s="79"/>
      <c r="AR90" s="79"/>
      <c r="AS90" s="79"/>
      <c r="AT90" s="79"/>
      <c r="AU90" s="79"/>
      <c r="AV90" s="79"/>
      <c r="AW90" s="79"/>
      <c r="AX90" s="79"/>
      <c r="AY90" s="79"/>
      <c r="AZ90" s="79">
        <f>I90*J90-SUM(AK90:AY90)</f>
        <v>0</v>
      </c>
    </row>
    <row r="91" spans="1:52" ht="12.75" customHeight="1">
      <c r="A91" s="20" t="s">
        <v>594</v>
      </c>
      <c r="B91" s="691" t="s">
        <v>278</v>
      </c>
      <c r="C91" s="2" t="s">
        <v>121</v>
      </c>
      <c r="D91" s="2">
        <v>3</v>
      </c>
      <c r="E91" s="691" t="s">
        <v>980</v>
      </c>
      <c r="F91" s="927"/>
      <c r="G91" s="345" t="s">
        <v>979</v>
      </c>
      <c r="H91" s="711"/>
      <c r="I91" s="711">
        <v>88</v>
      </c>
      <c r="J91" s="697">
        <f>450*(2/22)</f>
        <v>40.909090909090914</v>
      </c>
      <c r="K91" s="697"/>
      <c r="L91" s="712"/>
      <c r="M91" s="713"/>
      <c r="N91" s="712"/>
      <c r="O91" s="712"/>
      <c r="P91" s="712"/>
      <c r="Q91" s="712"/>
      <c r="R91" s="712"/>
      <c r="S91" s="712"/>
      <c r="T91" s="712">
        <f t="shared" ref="T91:Y91" si="71">AK91</f>
        <v>900.00000000000011</v>
      </c>
      <c r="U91" s="712">
        <f t="shared" si="71"/>
        <v>900.00000000000011</v>
      </c>
      <c r="V91" s="712">
        <f t="shared" si="71"/>
        <v>900.00000000000011</v>
      </c>
      <c r="W91" s="712">
        <f t="shared" si="71"/>
        <v>0</v>
      </c>
      <c r="X91" s="712">
        <f t="shared" si="71"/>
        <v>0</v>
      </c>
      <c r="Y91" s="712">
        <f t="shared" si="71"/>
        <v>0</v>
      </c>
      <c r="Z91" s="712">
        <f t="shared" ref="Z91:AE91" si="72">AQ91</f>
        <v>0</v>
      </c>
      <c r="AA91" s="712">
        <f t="shared" si="72"/>
        <v>0</v>
      </c>
      <c r="AB91" s="712">
        <f t="shared" si="72"/>
        <v>0</v>
      </c>
      <c r="AC91" s="712">
        <f t="shared" si="72"/>
        <v>0</v>
      </c>
      <c r="AD91" s="712">
        <f t="shared" si="72"/>
        <v>0</v>
      </c>
      <c r="AE91" s="712">
        <f t="shared" si="72"/>
        <v>0</v>
      </c>
      <c r="AF91" s="69"/>
      <c r="AG91" s="69"/>
      <c r="AH91" s="643"/>
      <c r="AI91" s="643"/>
      <c r="AJ91" s="643"/>
      <c r="AK91" s="79">
        <f>22*$J91</f>
        <v>900.00000000000011</v>
      </c>
      <c r="AL91" s="79">
        <f>22*$J91</f>
        <v>900.00000000000011</v>
      </c>
      <c r="AM91" s="79">
        <f>22*$J91</f>
        <v>900.00000000000011</v>
      </c>
      <c r="AN91" s="79"/>
      <c r="AO91" s="79"/>
      <c r="AP91" s="79"/>
      <c r="AQ91" s="79"/>
      <c r="AR91" s="79"/>
      <c r="AS91" s="79"/>
      <c r="AT91" s="79"/>
      <c r="AU91" s="79"/>
      <c r="AV91" s="79"/>
      <c r="AW91" s="79"/>
      <c r="AX91" s="79"/>
      <c r="AY91" s="79"/>
      <c r="AZ91" s="79"/>
    </row>
    <row r="92" spans="1:52" ht="12.75" customHeight="1">
      <c r="A92" s="259" t="s">
        <v>570</v>
      </c>
      <c r="B92" s="342"/>
      <c r="C92" s="342"/>
      <c r="D92" s="342"/>
      <c r="E92" s="704"/>
      <c r="F92" s="648"/>
      <c r="G92" s="342"/>
      <c r="H92" s="645"/>
      <c r="I92" s="645"/>
      <c r="J92" s="694"/>
      <c r="K92" s="694"/>
      <c r="L92" s="643">
        <f t="shared" ref="L92:S92" si="73">SUM(L88:L90)</f>
        <v>44733.333333333328</v>
      </c>
      <c r="M92" s="643">
        <f t="shared" si="73"/>
        <v>44733.333333333328</v>
      </c>
      <c r="N92" s="643">
        <f t="shared" si="73"/>
        <v>53900</v>
      </c>
      <c r="O92" s="643">
        <f t="shared" si="73"/>
        <v>53900</v>
      </c>
      <c r="P92" s="643">
        <f t="shared" si="73"/>
        <v>53900</v>
      </c>
      <c r="Q92" s="643">
        <f t="shared" si="73"/>
        <v>53900</v>
      </c>
      <c r="R92" s="643">
        <f t="shared" si="73"/>
        <v>53900</v>
      </c>
      <c r="S92" s="643">
        <f t="shared" si="73"/>
        <v>44733.333333333328</v>
      </c>
      <c r="T92" s="643">
        <f t="shared" ref="T92:Y92" si="74">SUM(T88:T91)</f>
        <v>22900</v>
      </c>
      <c r="U92" s="643">
        <f t="shared" si="74"/>
        <v>22900</v>
      </c>
      <c r="V92" s="643">
        <f t="shared" si="74"/>
        <v>22900</v>
      </c>
      <c r="W92" s="643">
        <f t="shared" si="74"/>
        <v>22000</v>
      </c>
      <c r="X92" s="643">
        <f t="shared" si="74"/>
        <v>22000</v>
      </c>
      <c r="Y92" s="643">
        <f t="shared" si="74"/>
        <v>22000</v>
      </c>
      <c r="Z92" s="643">
        <f t="shared" ref="Z92:AE92" si="75">SUM(Z88:Z91)</f>
        <v>22000</v>
      </c>
      <c r="AA92" s="643">
        <f t="shared" si="75"/>
        <v>22000</v>
      </c>
      <c r="AB92" s="643">
        <f t="shared" si="75"/>
        <v>22000</v>
      </c>
      <c r="AC92" s="643">
        <f t="shared" si="75"/>
        <v>22000</v>
      </c>
      <c r="AD92" s="643">
        <f t="shared" si="75"/>
        <v>22000</v>
      </c>
      <c r="AE92" s="643">
        <f t="shared" si="75"/>
        <v>22000</v>
      </c>
      <c r="AF92" s="69"/>
      <c r="AG92" s="69"/>
      <c r="AH92" s="643"/>
      <c r="AI92" s="643"/>
      <c r="AJ92" s="643"/>
      <c r="AK92" s="84"/>
      <c r="AL92" s="84"/>
      <c r="AM92" s="84"/>
      <c r="AN92" s="84"/>
      <c r="AO92" s="84"/>
      <c r="AP92" s="84"/>
      <c r="AQ92" s="84"/>
      <c r="AR92" s="84"/>
      <c r="AS92" s="84"/>
      <c r="AT92" s="84"/>
      <c r="AU92" s="84"/>
      <c r="AV92" s="84"/>
      <c r="AW92" s="84"/>
      <c r="AX92" s="84"/>
      <c r="AY92" s="84"/>
      <c r="AZ92" s="84"/>
    </row>
    <row r="93" spans="1:52" ht="12.75" customHeight="1">
      <c r="A93" s="84"/>
      <c r="B93" s="704"/>
      <c r="C93" s="704"/>
      <c r="D93" s="704"/>
      <c r="E93" s="704"/>
      <c r="F93" s="342"/>
      <c r="G93" s="342"/>
      <c r="H93" s="645"/>
      <c r="I93" s="645"/>
      <c r="J93" s="694"/>
      <c r="K93" s="694"/>
      <c r="L93" s="694"/>
      <c r="M93" s="715"/>
      <c r="N93" s="715"/>
      <c r="O93" s="715"/>
      <c r="P93" s="715"/>
      <c r="Q93" s="715"/>
      <c r="R93" s="715"/>
      <c r="S93" s="715"/>
      <c r="T93" s="715"/>
      <c r="U93" s="715"/>
      <c r="V93" s="84"/>
      <c r="W93" s="84"/>
      <c r="X93" s="84"/>
      <c r="Y93" s="84"/>
      <c r="Z93" s="84"/>
      <c r="AA93" s="84"/>
      <c r="AB93" s="84"/>
      <c r="AC93" s="84"/>
      <c r="AD93" s="84"/>
      <c r="AE93" s="84"/>
      <c r="AF93" s="69"/>
      <c r="AG93" s="69"/>
      <c r="AH93" s="84"/>
      <c r="AI93" s="84"/>
      <c r="AJ93" s="84"/>
      <c r="AK93" s="84"/>
      <c r="AL93" s="84"/>
      <c r="AM93" s="84"/>
      <c r="AN93" s="84"/>
      <c r="AO93" s="84"/>
      <c r="AP93" s="84"/>
      <c r="AQ93" s="84"/>
      <c r="AR93" s="84"/>
      <c r="AS93" s="84"/>
      <c r="AT93" s="84"/>
      <c r="AU93" s="84"/>
      <c r="AV93" s="84"/>
      <c r="AW93" s="84"/>
      <c r="AX93" s="84"/>
      <c r="AY93" s="84"/>
      <c r="AZ93" s="84"/>
    </row>
    <row r="94" spans="1:52">
      <c r="A94" s="865" t="s">
        <v>567</v>
      </c>
      <c r="B94" s="342"/>
      <c r="C94" s="342"/>
      <c r="D94" s="342"/>
      <c r="E94" s="342"/>
      <c r="F94" s="342"/>
      <c r="G94" s="342"/>
      <c r="H94" s="84"/>
      <c r="I94" s="84"/>
      <c r="J94" s="719"/>
      <c r="K94" s="694"/>
      <c r="L94" s="643">
        <f t="shared" ref="L94:AA94" si="76">L62+L92</f>
        <v>511433.33333333331</v>
      </c>
      <c r="M94" s="643">
        <f t="shared" si="76"/>
        <v>441833.33333333331</v>
      </c>
      <c r="N94" s="643">
        <f t="shared" si="76"/>
        <v>472083.33333333337</v>
      </c>
      <c r="O94" s="643">
        <f t="shared" si="76"/>
        <v>569983.33333333326</v>
      </c>
      <c r="P94" s="643">
        <f t="shared" si="76"/>
        <v>252083.33333333334</v>
      </c>
      <c r="Q94" s="643">
        <f t="shared" si="76"/>
        <v>597723.33333333337</v>
      </c>
      <c r="R94" s="643">
        <f t="shared" si="76"/>
        <v>305800</v>
      </c>
      <c r="S94" s="643">
        <f t="shared" si="76"/>
        <v>292983.33333333331</v>
      </c>
      <c r="T94" s="643">
        <f t="shared" si="76"/>
        <v>486150</v>
      </c>
      <c r="U94" s="643">
        <f t="shared" si="76"/>
        <v>260220</v>
      </c>
      <c r="V94" s="643">
        <f t="shared" si="76"/>
        <v>249440</v>
      </c>
      <c r="W94" s="643">
        <f t="shared" si="76"/>
        <v>234490</v>
      </c>
      <c r="X94" s="643">
        <f t="shared" si="76"/>
        <v>316140</v>
      </c>
      <c r="Y94" s="643">
        <f t="shared" si="76"/>
        <v>416240</v>
      </c>
      <c r="Z94" s="643">
        <f t="shared" si="76"/>
        <v>326440</v>
      </c>
      <c r="AA94" s="643">
        <f t="shared" si="76"/>
        <v>235240</v>
      </c>
      <c r="AB94" s="643">
        <f>AB62+AB92</f>
        <v>349040</v>
      </c>
      <c r="AC94" s="643">
        <f>AC62+AC92</f>
        <v>367440</v>
      </c>
      <c r="AD94" s="643">
        <f>AD62+AD92</f>
        <v>391940</v>
      </c>
      <c r="AE94" s="643">
        <f>AE62+AE92</f>
        <v>417940</v>
      </c>
      <c r="AF94" s="69"/>
      <c r="AG94" s="69"/>
      <c r="AH94" s="643"/>
      <c r="AI94" s="643"/>
      <c r="AJ94" s="643"/>
      <c r="AK94" s="84"/>
      <c r="AL94" s="84"/>
      <c r="AM94" s="84"/>
      <c r="AN94" s="84"/>
      <c r="AO94" s="84"/>
      <c r="AP94" s="84"/>
      <c r="AQ94" s="84"/>
      <c r="AR94" s="84"/>
      <c r="AS94" s="84"/>
      <c r="AT94" s="84"/>
      <c r="AU94" s="84"/>
      <c r="AV94" s="84"/>
      <c r="AW94" s="84"/>
      <c r="AX94" s="84"/>
      <c r="AY94" s="84"/>
      <c r="AZ94" s="84"/>
    </row>
    <row r="95" spans="1:52" ht="13.5" thickBot="1">
      <c r="A95" s="876" t="s">
        <v>568</v>
      </c>
      <c r="B95" s="1507"/>
      <c r="C95" s="1507"/>
      <c r="D95" s="1507"/>
      <c r="E95" s="1507"/>
      <c r="F95" s="1507"/>
      <c r="G95" s="1507"/>
      <c r="H95" s="829"/>
      <c r="I95" s="829"/>
      <c r="J95" s="1508"/>
      <c r="K95" s="1509"/>
      <c r="L95" s="1510"/>
      <c r="M95" s="1510"/>
      <c r="N95" s="1510"/>
      <c r="O95" s="1510"/>
      <c r="P95" s="1510"/>
      <c r="Q95" s="1510"/>
      <c r="R95" s="1510"/>
      <c r="S95" s="1510"/>
      <c r="T95" s="1510"/>
      <c r="U95" s="1510"/>
      <c r="V95" s="1510"/>
      <c r="W95" s="1510"/>
      <c r="X95" s="1510">
        <f t="shared" ref="X95:AC95" si="77">+X85</f>
        <v>639200</v>
      </c>
      <c r="Y95" s="1510">
        <f>+Y85</f>
        <v>488000</v>
      </c>
      <c r="Z95" s="1510">
        <f>+Z85</f>
        <v>592800</v>
      </c>
      <c r="AA95" s="1510">
        <f t="shared" si="77"/>
        <v>581100</v>
      </c>
      <c r="AB95" s="1510">
        <f t="shared" si="77"/>
        <v>515425</v>
      </c>
      <c r="AC95" s="1510">
        <f t="shared" si="77"/>
        <v>531987.5</v>
      </c>
      <c r="AD95" s="1510">
        <f>+AD85</f>
        <v>533706.25</v>
      </c>
      <c r="AE95" s="1510">
        <f>+AE85</f>
        <v>535596.875</v>
      </c>
      <c r="AF95" s="69"/>
      <c r="AG95" s="69"/>
      <c r="AH95" s="643"/>
      <c r="AI95" s="643"/>
      <c r="AJ95" s="643"/>
      <c r="AK95" s="84"/>
      <c r="AL95" s="84"/>
      <c r="AM95" s="84"/>
      <c r="AN95" s="84"/>
      <c r="AO95" s="84"/>
      <c r="AP95" s="84"/>
      <c r="AQ95" s="84"/>
      <c r="AR95" s="84"/>
      <c r="AS95" s="84"/>
      <c r="AT95" s="84"/>
      <c r="AU95" s="84"/>
      <c r="AV95" s="84"/>
      <c r="AW95" s="84"/>
      <c r="AX95" s="84"/>
      <c r="AY95" s="84"/>
      <c r="AZ95" s="84"/>
    </row>
    <row r="96" spans="1:52" ht="13.5" thickBot="1">
      <c r="A96" s="674" t="s">
        <v>569</v>
      </c>
      <c r="B96" s="681"/>
      <c r="C96" s="681"/>
      <c r="D96" s="681"/>
      <c r="E96" s="681"/>
      <c r="F96" s="681"/>
      <c r="G96" s="681"/>
      <c r="H96" s="675"/>
      <c r="I96" s="675"/>
      <c r="J96" s="716"/>
      <c r="K96" s="717"/>
      <c r="L96" s="718">
        <f t="shared" ref="L96:W96" si="78">L64+L94</f>
        <v>511433.33333333331</v>
      </c>
      <c r="M96" s="718">
        <f t="shared" si="78"/>
        <v>441833.33333333331</v>
      </c>
      <c r="N96" s="718">
        <f t="shared" si="78"/>
        <v>472083.33333333337</v>
      </c>
      <c r="O96" s="718">
        <f t="shared" si="78"/>
        <v>569983.33333333326</v>
      </c>
      <c r="P96" s="718">
        <f t="shared" si="78"/>
        <v>252083.33333333334</v>
      </c>
      <c r="Q96" s="718">
        <f t="shared" si="78"/>
        <v>597723.33333333337</v>
      </c>
      <c r="R96" s="718">
        <f t="shared" si="78"/>
        <v>305800</v>
      </c>
      <c r="S96" s="718">
        <f t="shared" si="78"/>
        <v>292983.33333333331</v>
      </c>
      <c r="T96" s="718">
        <f t="shared" si="78"/>
        <v>486150</v>
      </c>
      <c r="U96" s="718">
        <f t="shared" si="78"/>
        <v>260220</v>
      </c>
      <c r="V96" s="718">
        <f t="shared" si="78"/>
        <v>249440</v>
      </c>
      <c r="W96" s="718">
        <f t="shared" si="78"/>
        <v>234490</v>
      </c>
      <c r="X96" s="718">
        <f t="shared" ref="X96:AC96" si="79">+SUM(X94:X95)</f>
        <v>955340</v>
      </c>
      <c r="Y96" s="718">
        <f>+SUM(Y94:Y95)</f>
        <v>904240</v>
      </c>
      <c r="Z96" s="718">
        <f t="shared" si="79"/>
        <v>919240</v>
      </c>
      <c r="AA96" s="718">
        <f t="shared" si="79"/>
        <v>816340</v>
      </c>
      <c r="AB96" s="718">
        <f t="shared" si="79"/>
        <v>864465</v>
      </c>
      <c r="AC96" s="718">
        <f t="shared" si="79"/>
        <v>899427.5</v>
      </c>
      <c r="AD96" s="718">
        <f>+SUM(AD94:AD95)</f>
        <v>925646.25</v>
      </c>
      <c r="AE96" s="718">
        <f>+SUM(AE94:AE95)</f>
        <v>953536.875</v>
      </c>
      <c r="AF96" s="69"/>
      <c r="AG96" s="69"/>
      <c r="AH96" s="643"/>
      <c r="AI96" s="643"/>
      <c r="AJ96" s="643"/>
      <c r="AK96" s="84"/>
      <c r="AL96" s="84"/>
      <c r="AM96" s="84"/>
      <c r="AN96" s="84"/>
      <c r="AO96" s="84"/>
      <c r="AP96" s="84"/>
      <c r="AQ96" s="84"/>
      <c r="AR96" s="84"/>
      <c r="AS96" s="84"/>
      <c r="AT96" s="84"/>
      <c r="AU96" s="84"/>
      <c r="AV96" s="84"/>
      <c r="AW96" s="84"/>
      <c r="AX96" s="84"/>
      <c r="AY96" s="84"/>
      <c r="AZ96" s="84"/>
    </row>
    <row r="97" spans="1:52">
      <c r="A97" s="84"/>
      <c r="B97" s="342"/>
      <c r="C97" s="342"/>
      <c r="D97" s="342"/>
      <c r="E97" s="342"/>
      <c r="F97" s="342"/>
      <c r="G97" s="342"/>
      <c r="H97" s="84"/>
      <c r="I97" s="84"/>
      <c r="J97" s="719"/>
      <c r="K97" s="694"/>
      <c r="L97" s="694"/>
      <c r="M97" s="1"/>
      <c r="N97" s="720"/>
      <c r="O97" s="721"/>
      <c r="P97" s="720"/>
      <c r="Q97" s="720"/>
      <c r="R97" s="720"/>
      <c r="S97" s="720"/>
      <c r="T97" s="720"/>
      <c r="U97" s="720"/>
      <c r="V97" s="84"/>
      <c r="W97" s="84"/>
      <c r="X97" s="1168"/>
      <c r="Y97" s="1100">
        <f t="shared" ref="Y97:AE97" si="80">+Y96/X96-1</f>
        <v>-5.3488810266501985E-2</v>
      </c>
      <c r="Z97" s="1100">
        <f t="shared" si="80"/>
        <v>1.65885163231001E-2</v>
      </c>
      <c r="AA97" s="1100">
        <f t="shared" si="80"/>
        <v>-0.11194029850746268</v>
      </c>
      <c r="AB97" s="1100">
        <f t="shared" si="80"/>
        <v>5.8952152289487136E-2</v>
      </c>
      <c r="AC97" s="1100">
        <f t="shared" si="80"/>
        <v>4.0444089697095897E-2</v>
      </c>
      <c r="AD97" s="1100">
        <f t="shared" si="80"/>
        <v>2.9150487393369673E-2</v>
      </c>
      <c r="AE97" s="1100">
        <f t="shared" si="80"/>
        <v>3.0130976061319314E-2</v>
      </c>
      <c r="AF97" s="69"/>
      <c r="AG97" s="69"/>
      <c r="AH97" s="1168"/>
      <c r="AI97" s="1168"/>
      <c r="AJ97" s="84"/>
      <c r="AK97" s="84"/>
      <c r="AL97" s="84"/>
      <c r="AM97" s="84"/>
      <c r="AN97" s="84"/>
      <c r="AO97" s="84"/>
      <c r="AP97" s="84"/>
      <c r="AQ97" s="84"/>
      <c r="AR97" s="84"/>
      <c r="AS97" s="84"/>
      <c r="AT97" s="84"/>
      <c r="AU97" s="84"/>
      <c r="AV97" s="84"/>
      <c r="AW97" s="84"/>
      <c r="AX97" s="84"/>
      <c r="AY97" s="84"/>
      <c r="AZ97" s="84"/>
    </row>
    <row r="98" spans="1:52">
      <c r="A98" s="6" t="s">
        <v>98</v>
      </c>
      <c r="B98" s="342"/>
      <c r="C98" s="342"/>
      <c r="D98" s="342"/>
      <c r="E98" s="342"/>
      <c r="F98" s="342"/>
      <c r="G98" s="342"/>
      <c r="H98" s="84"/>
      <c r="I98" s="84"/>
      <c r="J98" s="719"/>
      <c r="K98" s="694"/>
      <c r="L98" s="643">
        <v>0</v>
      </c>
      <c r="M98" s="643">
        <v>0</v>
      </c>
      <c r="N98" s="643">
        <v>0</v>
      </c>
      <c r="O98" s="643">
        <v>0</v>
      </c>
      <c r="P98" s="643">
        <v>0</v>
      </c>
      <c r="Q98" s="643">
        <v>0</v>
      </c>
      <c r="R98" s="643">
        <v>0</v>
      </c>
      <c r="S98" s="643">
        <v>0</v>
      </c>
      <c r="T98" s="643">
        <v>0</v>
      </c>
      <c r="U98" s="643"/>
      <c r="V98" s="84"/>
      <c r="W98" s="84"/>
      <c r="X98" s="84"/>
      <c r="Y98" s="84"/>
      <c r="Z98" s="84"/>
      <c r="AA98" s="84"/>
      <c r="AB98" s="84"/>
      <c r="AC98" s="84"/>
      <c r="AD98" s="84"/>
      <c r="AE98" s="84"/>
      <c r="AF98" s="69"/>
      <c r="AG98" s="69"/>
      <c r="AH98" s="84"/>
      <c r="AI98" s="84"/>
      <c r="AJ98" s="84"/>
      <c r="AK98" s="84"/>
      <c r="AL98" s="84"/>
      <c r="AM98" s="84"/>
      <c r="AN98" s="84"/>
      <c r="AO98" s="84"/>
      <c r="AP98" s="84"/>
      <c r="AQ98" s="84"/>
      <c r="AR98" s="84"/>
      <c r="AS98" s="84"/>
      <c r="AT98" s="84"/>
      <c r="AU98" s="84"/>
      <c r="AV98" s="84"/>
      <c r="AW98" s="84"/>
      <c r="AX98" s="84"/>
      <c r="AY98" s="84"/>
      <c r="AZ98" s="84"/>
    </row>
    <row r="99" spans="1:52">
      <c r="A99" s="6" t="s">
        <v>99</v>
      </c>
      <c r="B99" s="343"/>
      <c r="C99" s="342"/>
      <c r="D99" s="342"/>
      <c r="E99" s="342"/>
      <c r="F99" s="342"/>
      <c r="G99" s="342"/>
      <c r="H99" s="84"/>
      <c r="I99" s="84"/>
      <c r="J99" s="719"/>
      <c r="K99" s="694"/>
      <c r="L99" s="707">
        <f>(L8+L10+L13+L16+L23+L88+L89+L90)*0.4</f>
        <v>133613.33333333334</v>
      </c>
      <c r="M99" s="707">
        <f>(M8+M10+M13+M16+M23+M88+M89+M90)*0.4</f>
        <v>72013.333333333343</v>
      </c>
      <c r="N99" s="707">
        <f>(N8+N10+N13+N16+N23+N88+N89+N90)*0.4</f>
        <v>97973.333333333343</v>
      </c>
      <c r="O99" s="707">
        <f t="shared" ref="O99:T99" si="81">(O8+O10+O13+O16+O23+O88+O89+O90+O12)*0.4</f>
        <v>102813.33333333334</v>
      </c>
      <c r="P99" s="707">
        <f t="shared" si="81"/>
        <v>50893.333333333343</v>
      </c>
      <c r="Q99" s="707">
        <f t="shared" si="81"/>
        <v>50893.333333333343</v>
      </c>
      <c r="R99" s="707">
        <f t="shared" si="81"/>
        <v>30360</v>
      </c>
      <c r="S99" s="707">
        <f t="shared" si="81"/>
        <v>17893.333333333332</v>
      </c>
      <c r="T99" s="707">
        <f t="shared" si="81"/>
        <v>8800</v>
      </c>
      <c r="U99" s="707"/>
      <c r="V99" s="707"/>
      <c r="W99" s="84"/>
      <c r="X99" s="84"/>
      <c r="Y99" s="84"/>
      <c r="Z99" s="84"/>
      <c r="AA99" s="84"/>
      <c r="AB99" s="84"/>
      <c r="AC99" s="84"/>
      <c r="AF99" s="1504"/>
      <c r="AG99" s="1504"/>
      <c r="AW99" s="84"/>
      <c r="AX99" s="84"/>
      <c r="AY99" s="84"/>
      <c r="AZ99" s="84"/>
    </row>
    <row r="100" spans="1:52">
      <c r="A100" s="6" t="s">
        <v>100</v>
      </c>
      <c r="B100" s="343"/>
      <c r="C100" s="342"/>
      <c r="D100" s="342"/>
      <c r="E100" s="342"/>
      <c r="F100" s="342"/>
      <c r="G100" s="342"/>
      <c r="H100" s="84"/>
      <c r="I100" s="84"/>
      <c r="J100" s="719"/>
      <c r="K100" s="710"/>
      <c r="L100" s="707">
        <f>L94-L99-L98</f>
        <v>377820</v>
      </c>
      <c r="M100" s="707">
        <f t="shared" ref="M100:T100" si="82">M94-M99-M98</f>
        <v>369820</v>
      </c>
      <c r="N100" s="707">
        <f t="shared" si="82"/>
        <v>374110</v>
      </c>
      <c r="O100" s="707">
        <f t="shared" si="82"/>
        <v>467169.99999999988</v>
      </c>
      <c r="P100" s="707">
        <f t="shared" si="82"/>
        <v>201190</v>
      </c>
      <c r="Q100" s="707">
        <f t="shared" si="82"/>
        <v>546830</v>
      </c>
      <c r="R100" s="707">
        <f t="shared" si="82"/>
        <v>275440</v>
      </c>
      <c r="S100" s="707">
        <f t="shared" si="82"/>
        <v>275090</v>
      </c>
      <c r="T100" s="707">
        <f t="shared" si="82"/>
        <v>477350</v>
      </c>
      <c r="U100" s="707"/>
      <c r="V100" s="84"/>
      <c r="W100" s="84"/>
      <c r="X100" s="84"/>
      <c r="Y100" s="84"/>
      <c r="Z100" s="84"/>
      <c r="AA100" s="84"/>
      <c r="AB100" s="84"/>
      <c r="AC100" s="84"/>
      <c r="AF100" s="1504"/>
      <c r="AG100" s="1504"/>
      <c r="AW100" s="84"/>
      <c r="AX100" s="84"/>
      <c r="AY100" s="84"/>
      <c r="AZ100" s="84"/>
    </row>
    <row r="101" spans="1:52">
      <c r="AF101" s="1504"/>
      <c r="AG101" s="1504"/>
      <c r="AN101" s="1329" t="s">
        <v>1217</v>
      </c>
      <c r="AO101" s="84"/>
      <c r="AP101" s="84"/>
      <c r="AQ101" s="84"/>
      <c r="AR101" s="84"/>
      <c r="AS101" s="84"/>
      <c r="AT101" s="84"/>
      <c r="AU101" s="84"/>
      <c r="AV101" s="84"/>
    </row>
    <row r="102" spans="1:52">
      <c r="AP102" s="1332" t="s">
        <v>1216</v>
      </c>
      <c r="AQ102" s="586"/>
      <c r="AR102" s="586"/>
      <c r="AS102" s="586"/>
      <c r="AT102" s="586"/>
      <c r="AU102" s="586"/>
      <c r="AV102" s="84"/>
    </row>
    <row r="103" spans="1:52">
      <c r="AN103" s="707"/>
      <c r="AO103" s="1340" t="s">
        <v>1215</v>
      </c>
      <c r="AP103" s="470" t="s">
        <v>392</v>
      </c>
      <c r="AQ103" s="102" t="s">
        <v>393</v>
      </c>
      <c r="AR103" s="102" t="s">
        <v>394</v>
      </c>
      <c r="AS103" s="102" t="s">
        <v>395</v>
      </c>
      <c r="AT103" s="1334">
        <v>2013</v>
      </c>
      <c r="AU103" s="1347">
        <v>2014</v>
      </c>
      <c r="AV103" s="102" t="s">
        <v>732</v>
      </c>
    </row>
    <row r="104" spans="1:52">
      <c r="AN104" s="1330" t="s">
        <v>396</v>
      </c>
      <c r="AO104" s="1341">
        <v>550</v>
      </c>
      <c r="AP104" s="1344">
        <f>3*22</f>
        <v>66</v>
      </c>
      <c r="AQ104" s="707"/>
      <c r="AR104" s="6">
        <f>1*22</f>
        <v>22</v>
      </c>
      <c r="AS104" s="84"/>
      <c r="AT104" s="1335">
        <f>SUM(AP104:AS104)</f>
        <v>88</v>
      </c>
      <c r="AU104" s="1348">
        <f>1*22</f>
        <v>22</v>
      </c>
      <c r="AV104" s="210">
        <f>AT104+AU104</f>
        <v>110</v>
      </c>
    </row>
    <row r="105" spans="1:52">
      <c r="AN105" s="1330" t="s">
        <v>397</v>
      </c>
      <c r="AO105" s="1342">
        <v>350</v>
      </c>
      <c r="AP105" s="1344"/>
      <c r="AQ105" s="707"/>
      <c r="AR105" s="6">
        <f>4*22</f>
        <v>88</v>
      </c>
      <c r="AS105" s="84"/>
      <c r="AT105" s="1335">
        <f>SUM(AP105:AS105)</f>
        <v>88</v>
      </c>
      <c r="AU105" s="1348">
        <f>1*22</f>
        <v>22</v>
      </c>
      <c r="AV105" s="210">
        <f>AT105+AU105</f>
        <v>110</v>
      </c>
    </row>
    <row r="106" spans="1:52">
      <c r="AN106" s="1330" t="s">
        <v>398</v>
      </c>
      <c r="AO106" s="1342">
        <v>250</v>
      </c>
      <c r="AP106" s="1344"/>
      <c r="AQ106" s="707"/>
      <c r="AR106" s="6">
        <f>4*22</f>
        <v>88</v>
      </c>
      <c r="AS106" s="84"/>
      <c r="AT106" s="1335">
        <f>SUM(AP106:AS106)</f>
        <v>88</v>
      </c>
      <c r="AU106" s="1348">
        <f>1*22</f>
        <v>22</v>
      </c>
      <c r="AV106" s="210">
        <f>AT106+AU106</f>
        <v>110</v>
      </c>
    </row>
    <row r="107" spans="1:52">
      <c r="AN107" s="275" t="s">
        <v>399</v>
      </c>
      <c r="AO107" s="1342">
        <v>150</v>
      </c>
      <c r="AP107" s="827"/>
      <c r="AQ107" s="20"/>
      <c r="AR107" s="20"/>
      <c r="AS107" s="20"/>
      <c r="AT107" s="1336">
        <f>SUM(AP107:AS107)</f>
        <v>0</v>
      </c>
      <c r="AU107" s="1348">
        <f>4*22+1*22</f>
        <v>110</v>
      </c>
      <c r="AV107" s="1331">
        <f>AT107+AU107</f>
        <v>110</v>
      </c>
    </row>
    <row r="108" spans="1:52">
      <c r="AN108" s="179" t="s">
        <v>516</v>
      </c>
      <c r="AO108" s="1343">
        <f>SUM(AO104:AO107)/1000</f>
        <v>1.3</v>
      </c>
      <c r="AP108" s="1345">
        <f t="shared" ref="AP108:AU108" si="83">SUMPRODUCT($AO104:$AO107,AP104:AP107)/1000</f>
        <v>36.299999999999997</v>
      </c>
      <c r="AQ108" s="1333">
        <f t="shared" si="83"/>
        <v>0</v>
      </c>
      <c r="AR108" s="1333">
        <f t="shared" si="83"/>
        <v>64.900000000000006</v>
      </c>
      <c r="AS108" s="1333">
        <f t="shared" si="83"/>
        <v>0</v>
      </c>
      <c r="AT108" s="1337">
        <f t="shared" si="83"/>
        <v>101.2</v>
      </c>
      <c r="AU108" s="1349">
        <f t="shared" si="83"/>
        <v>41.8</v>
      </c>
      <c r="AV108" s="1333">
        <f>AT108+AU108</f>
        <v>143</v>
      </c>
    </row>
    <row r="109" spans="1:52" ht="9.75" customHeight="1">
      <c r="AO109" s="1101"/>
      <c r="AP109" s="1346"/>
      <c r="AS109" s="1101"/>
      <c r="AT109" s="1338"/>
      <c r="AU109" s="1350"/>
    </row>
    <row r="110" spans="1:52">
      <c r="AN110" s="768" t="s">
        <v>1218</v>
      </c>
      <c r="AO110" s="1116"/>
      <c r="AP110" s="1346"/>
      <c r="AT110" s="1339"/>
      <c r="AU110" s="1351"/>
    </row>
    <row r="111" spans="1:52">
      <c r="AN111" s="179" t="s">
        <v>517</v>
      </c>
      <c r="AO111" s="1333">
        <v>1000</v>
      </c>
      <c r="AP111" s="1345">
        <v>0</v>
      </c>
      <c r="AQ111" s="1333">
        <v>0</v>
      </c>
      <c r="AR111" s="1333">
        <f>88*1</f>
        <v>88</v>
      </c>
      <c r="AS111" s="1333">
        <v>0</v>
      </c>
      <c r="AT111" s="1337">
        <f>SUM(AP111:AS111)</f>
        <v>88</v>
      </c>
      <c r="AU111" s="1349">
        <f>22*1</f>
        <v>22</v>
      </c>
      <c r="AV111" s="1333">
        <f>AT111+AU111</f>
        <v>110</v>
      </c>
    </row>
  </sheetData>
  <mergeCells count="1">
    <mergeCell ref="L6:Q6"/>
  </mergeCells>
  <phoneticPr fontId="3" type="noConversion"/>
  <pageMargins left="0.75" right="0.75" top="1" bottom="1" header="0.5" footer="0.5"/>
  <pageSetup orientation="portrait" r:id="rId1"/>
  <headerFooter alignWithMargins="0"/>
  <ignoredErrors>
    <ignoredError sqref="Y72:Z74 Y45:AC46 AL54:AQ54 AB79:AE79 AD45:AE45" formula="1"/>
  </ignoredErrors>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AG56"/>
  <sheetViews>
    <sheetView showGridLines="0" workbookViewId="0">
      <pane xSplit="1" ySplit="5" topLeftCell="S6" activePane="bottomRight" state="frozen"/>
      <selection activeCell="CA93" sqref="CA93"/>
      <selection pane="topRight" activeCell="CA93" sqref="CA93"/>
      <selection pane="bottomLeft" activeCell="CA93" sqref="CA93"/>
      <selection pane="bottomRight" activeCell="AL43" sqref="AL43"/>
    </sheetView>
  </sheetViews>
  <sheetFormatPr defaultRowHeight="12.75" outlineLevelCol="1"/>
  <cols>
    <col min="1" max="1" width="30.140625" customWidth="1"/>
    <col min="2" max="12" width="9.140625" hidden="1" customWidth="1" outlineLevel="1"/>
    <col min="13" max="13" width="9.140625" hidden="1" customWidth="1" outlineLevel="1" collapsed="1"/>
    <col min="14" max="14" width="9.140625" hidden="1" customWidth="1" outlineLevel="1"/>
    <col min="15" max="15" width="9.140625" hidden="1" customWidth="1" outlineLevel="1" collapsed="1"/>
    <col min="16" max="18" width="9.140625" hidden="1" customWidth="1" outlineLevel="1"/>
    <col min="19" max="19" width="9.140625" collapsed="1"/>
  </cols>
  <sheetData>
    <row r="1" spans="1:33">
      <c r="A1" s="479" t="s">
        <v>638</v>
      </c>
      <c r="B1" s="314"/>
      <c r="C1" s="314"/>
      <c r="D1" s="38"/>
      <c r="E1" s="38"/>
      <c r="F1" s="38"/>
      <c r="G1" s="38"/>
      <c r="H1" s="38"/>
      <c r="I1" s="38"/>
      <c r="J1" s="314"/>
      <c r="K1" s="314"/>
      <c r="L1" s="314"/>
      <c r="M1" s="314"/>
      <c r="N1" s="314"/>
      <c r="O1" s="314"/>
      <c r="P1" s="314"/>
      <c r="Q1" s="314"/>
      <c r="R1" s="314"/>
      <c r="S1" s="314"/>
      <c r="T1" s="314"/>
      <c r="U1" s="314"/>
      <c r="V1" s="314"/>
      <c r="W1" s="314"/>
      <c r="Y1" s="1048"/>
      <c r="Z1" s="1048"/>
      <c r="AA1" s="1048"/>
      <c r="AB1" s="1048"/>
      <c r="AC1" s="1048"/>
      <c r="AD1" s="1048"/>
    </row>
    <row r="2" spans="1:33">
      <c r="A2" s="479" t="s">
        <v>689</v>
      </c>
      <c r="B2" s="314"/>
      <c r="C2" s="314"/>
      <c r="D2" s="38"/>
      <c r="E2" s="38"/>
      <c r="F2" s="38"/>
      <c r="G2" s="38"/>
      <c r="H2" s="38"/>
      <c r="I2" s="38"/>
      <c r="J2" s="314"/>
      <c r="K2" s="314"/>
      <c r="L2" s="314"/>
      <c r="M2" s="314"/>
      <c r="N2" s="314"/>
      <c r="O2" s="314"/>
      <c r="P2" s="314"/>
      <c r="Q2" s="314"/>
      <c r="R2" s="314"/>
      <c r="S2" s="314"/>
      <c r="T2" s="314"/>
      <c r="U2" s="314"/>
      <c r="V2" s="314"/>
      <c r="W2" s="314"/>
      <c r="Y2" s="1048"/>
      <c r="Z2" s="1048"/>
      <c r="AA2" s="1048"/>
      <c r="AB2" s="1048"/>
      <c r="AC2" s="1048"/>
      <c r="AD2" s="1048"/>
    </row>
    <row r="3" spans="1:33">
      <c r="A3" s="480"/>
      <c r="B3" s="314"/>
      <c r="C3" s="314"/>
      <c r="D3" s="38"/>
      <c r="E3" s="38"/>
      <c r="F3" s="39"/>
      <c r="G3" s="39"/>
      <c r="H3" s="38"/>
      <c r="I3" s="314"/>
      <c r="J3" s="314"/>
      <c r="K3" s="314"/>
      <c r="L3" s="314"/>
      <c r="M3" s="314"/>
      <c r="N3" s="314"/>
      <c r="O3" s="314"/>
      <c r="P3" s="314"/>
      <c r="Q3" s="314"/>
      <c r="R3" s="314"/>
      <c r="S3" s="314"/>
      <c r="T3" s="314"/>
      <c r="U3" s="314"/>
      <c r="V3" s="314"/>
      <c r="W3" s="314"/>
      <c r="Y3" s="1048"/>
      <c r="Z3" s="1048"/>
      <c r="AA3" s="1048"/>
      <c r="AB3" s="1048"/>
      <c r="AC3" s="1048"/>
      <c r="AD3" s="1048"/>
    </row>
    <row r="4" spans="1:33">
      <c r="A4" s="480"/>
      <c r="B4" s="314"/>
      <c r="C4" s="314"/>
      <c r="D4" s="38"/>
      <c r="E4" s="38"/>
      <c r="F4" s="314"/>
      <c r="G4" s="314"/>
      <c r="H4" s="314"/>
      <c r="I4" s="314"/>
      <c r="J4" s="145"/>
      <c r="K4" s="145"/>
      <c r="L4" s="145"/>
      <c r="M4" s="145"/>
      <c r="N4" s="145"/>
      <c r="O4" s="145"/>
      <c r="P4" s="145"/>
      <c r="Q4" s="145"/>
      <c r="R4" s="145"/>
      <c r="S4" s="145"/>
      <c r="T4" s="314"/>
      <c r="U4" s="314"/>
      <c r="V4" s="314"/>
      <c r="W4" s="314"/>
      <c r="Y4" s="1048"/>
      <c r="Z4" s="1048"/>
      <c r="AA4" s="1048"/>
      <c r="AB4" s="1048"/>
      <c r="AC4" s="1048"/>
      <c r="AD4" s="1048"/>
    </row>
    <row r="5" spans="1:33">
      <c r="A5" s="496" t="s">
        <v>741</v>
      </c>
      <c r="B5" s="497">
        <v>1998</v>
      </c>
      <c r="C5" s="497">
        <f>+B5+1</f>
        <v>1999</v>
      </c>
      <c r="D5" s="497">
        <f>+C5+1</f>
        <v>2000</v>
      </c>
      <c r="E5" s="481">
        <v>2001</v>
      </c>
      <c r="F5" s="481">
        <v>2002</v>
      </c>
      <c r="G5" s="481">
        <v>2003</v>
      </c>
      <c r="H5" s="481">
        <v>2004</v>
      </c>
      <c r="I5" s="481">
        <v>2005</v>
      </c>
      <c r="J5" s="481">
        <v>2006</v>
      </c>
      <c r="K5" s="481">
        <v>2007</v>
      </c>
      <c r="L5" s="481">
        <v>2008</v>
      </c>
      <c r="M5" s="481">
        <v>2009</v>
      </c>
      <c r="N5" s="481">
        <v>2010</v>
      </c>
      <c r="O5" s="481">
        <v>2011</v>
      </c>
      <c r="P5" s="481">
        <v>2012</v>
      </c>
      <c r="Q5" s="481">
        <v>2013</v>
      </c>
      <c r="R5" s="481">
        <v>2014</v>
      </c>
      <c r="S5" s="481">
        <v>2015</v>
      </c>
      <c r="T5" s="481">
        <v>2016</v>
      </c>
      <c r="U5" s="481" t="s">
        <v>469</v>
      </c>
      <c r="V5" s="481" t="s">
        <v>618</v>
      </c>
      <c r="W5" s="481" t="s">
        <v>385</v>
      </c>
      <c r="X5" s="481" t="s">
        <v>1080</v>
      </c>
      <c r="Y5" s="532" t="s">
        <v>345</v>
      </c>
      <c r="Z5" s="532" t="s">
        <v>346</v>
      </c>
      <c r="AA5" s="532" t="s">
        <v>1122</v>
      </c>
      <c r="AB5" s="532" t="s">
        <v>1123</v>
      </c>
      <c r="AC5" s="532" t="s">
        <v>1519</v>
      </c>
      <c r="AD5" s="532" t="s">
        <v>1609</v>
      </c>
      <c r="AE5" s="532" t="s">
        <v>1698</v>
      </c>
      <c r="AF5" s="532" t="s">
        <v>1803</v>
      </c>
    </row>
    <row r="6" spans="1:33">
      <c r="A6" s="483" t="s">
        <v>675</v>
      </c>
      <c r="B6" s="533">
        <f>'Segment Detail'!F9</f>
        <v>564.6</v>
      </c>
      <c r="C6" s="533">
        <f>'Segment Detail'!L9</f>
        <v>610.70000000000005</v>
      </c>
      <c r="D6" s="533">
        <f>'Segment Detail'!O9</f>
        <v>596</v>
      </c>
      <c r="E6" s="533">
        <f>'Segment Detail'!S9</f>
        <v>648.70000000000005</v>
      </c>
      <c r="F6" s="533">
        <f>'Segment Detail'!Y9</f>
        <v>673.18376825950281</v>
      </c>
      <c r="G6" s="533">
        <f>'Segment Detail'!Z9</f>
        <v>695.43604849016344</v>
      </c>
      <c r="H6" s="533">
        <f>'Segment Detail'!AA9</f>
        <v>753.37172741504628</v>
      </c>
      <c r="I6" s="500">
        <f>'Segment Detail'!AB9</f>
        <v>777.65495746575073</v>
      </c>
      <c r="J6" s="500">
        <f>'Segment Detail'!AC9</f>
        <v>806.96400000000006</v>
      </c>
      <c r="K6" s="500">
        <f>'Segment Detail'!AD9</f>
        <v>886.1</v>
      </c>
      <c r="L6" s="500">
        <f>'Segment Detail'!AE9</f>
        <v>857.7</v>
      </c>
      <c r="M6" s="500">
        <f>'Segment Detail'!AF9</f>
        <v>793.5</v>
      </c>
      <c r="N6" s="500">
        <f>'Segment Detail'!AG9</f>
        <v>790.8</v>
      </c>
      <c r="O6" s="500">
        <f>+Drivers!K39</f>
        <v>787</v>
      </c>
      <c r="P6" s="500">
        <f>+Drivers!L39</f>
        <v>790</v>
      </c>
      <c r="Q6" s="1131">
        <f>'Segment Detail'!AJ9</f>
        <v>809</v>
      </c>
      <c r="R6" s="1131">
        <f>'Segment Detail'!AK9</f>
        <v>778</v>
      </c>
      <c r="S6" s="1131">
        <f>'Segment Detail'!AL9</f>
        <v>780</v>
      </c>
      <c r="T6" s="1131">
        <f>'Segment Detail'!AM9</f>
        <v>767</v>
      </c>
      <c r="U6" s="1131">
        <f>'Segment Detail'!AN9</f>
        <v>804</v>
      </c>
      <c r="V6" s="1131">
        <f>'Segment Detail'!AO9</f>
        <v>816.06</v>
      </c>
      <c r="W6" s="37">
        <f t="shared" ref="W6:AF6" si="0">V6*(1+W7)</f>
        <v>832.38119999999992</v>
      </c>
      <c r="X6" s="37">
        <f t="shared" si="0"/>
        <v>849.02882399999999</v>
      </c>
      <c r="Y6" s="37">
        <f t="shared" si="0"/>
        <v>866.00940047999995</v>
      </c>
      <c r="Z6" s="37">
        <f t="shared" si="0"/>
        <v>883.32958848959993</v>
      </c>
      <c r="AA6" s="37">
        <f t="shared" si="0"/>
        <v>900.99618025939196</v>
      </c>
      <c r="AB6" s="37">
        <f t="shared" si="0"/>
        <v>919.0161038645798</v>
      </c>
      <c r="AC6" s="37">
        <f t="shared" si="0"/>
        <v>937.39642594187137</v>
      </c>
      <c r="AD6" s="37">
        <f t="shared" si="0"/>
        <v>956.14435446070877</v>
      </c>
      <c r="AE6" s="37">
        <f t="shared" si="0"/>
        <v>975.26724154992291</v>
      </c>
      <c r="AF6" s="37">
        <f t="shared" si="0"/>
        <v>994.77258638092144</v>
      </c>
    </row>
    <row r="7" spans="1:33">
      <c r="A7" s="6" t="s">
        <v>676</v>
      </c>
      <c r="B7" s="38"/>
      <c r="C7" s="38">
        <f t="shared" ref="C7:V7" si="1">C6/B6-1</f>
        <v>8.1650726177824984E-2</v>
      </c>
      <c r="D7" s="38">
        <f t="shared" si="1"/>
        <v>-2.4070738496806965E-2</v>
      </c>
      <c r="E7" s="38">
        <f t="shared" si="1"/>
        <v>8.8422818791946467E-2</v>
      </c>
      <c r="F7" s="38">
        <f t="shared" si="1"/>
        <v>3.774282142670371E-2</v>
      </c>
      <c r="G7" s="38">
        <f t="shared" si="1"/>
        <v>3.3055283385981404E-2</v>
      </c>
      <c r="H7" s="38">
        <f t="shared" si="1"/>
        <v>8.3308420739282907E-2</v>
      </c>
      <c r="I7" s="38">
        <f t="shared" si="1"/>
        <v>3.2232733413058323E-2</v>
      </c>
      <c r="J7" s="38">
        <f t="shared" si="1"/>
        <v>3.7689006226826693E-2</v>
      </c>
      <c r="K7" s="38">
        <f t="shared" si="1"/>
        <v>9.8066332574935133E-2</v>
      </c>
      <c r="L7" s="38">
        <f t="shared" si="1"/>
        <v>-3.2050558627694348E-2</v>
      </c>
      <c r="M7" s="38">
        <f t="shared" si="1"/>
        <v>-7.4851346624693949E-2</v>
      </c>
      <c r="N7" s="38">
        <f t="shared" si="1"/>
        <v>-3.4026465028356156E-3</v>
      </c>
      <c r="O7" s="38">
        <f t="shared" si="1"/>
        <v>-4.8052604957005141E-3</v>
      </c>
      <c r="P7" s="38">
        <f t="shared" si="1"/>
        <v>3.8119440914865521E-3</v>
      </c>
      <c r="Q7" s="38">
        <f t="shared" si="1"/>
        <v>2.4050632911392311E-2</v>
      </c>
      <c r="R7" s="38">
        <f t="shared" si="1"/>
        <v>-3.8318912237330083E-2</v>
      </c>
      <c r="S7" s="38">
        <f t="shared" si="1"/>
        <v>2.5706940874035134E-3</v>
      </c>
      <c r="T7" s="38">
        <f t="shared" si="1"/>
        <v>-1.6666666666666718E-2</v>
      </c>
      <c r="U7" s="38">
        <f t="shared" si="1"/>
        <v>4.8239895697522739E-2</v>
      </c>
      <c r="V7" s="38">
        <f t="shared" si="1"/>
        <v>1.4999999999999902E-2</v>
      </c>
      <c r="W7" s="119">
        <v>0.02</v>
      </c>
      <c r="X7" s="119">
        <f t="shared" ref="X7:AF7" si="2">W7</f>
        <v>0.02</v>
      </c>
      <c r="Y7" s="119">
        <f t="shared" si="2"/>
        <v>0.02</v>
      </c>
      <c r="Z7" s="119">
        <f t="shared" si="2"/>
        <v>0.02</v>
      </c>
      <c r="AA7" s="119">
        <f t="shared" si="2"/>
        <v>0.02</v>
      </c>
      <c r="AB7" s="119">
        <f t="shared" si="2"/>
        <v>0.02</v>
      </c>
      <c r="AC7" s="119">
        <f t="shared" si="2"/>
        <v>0.02</v>
      </c>
      <c r="AD7" s="119">
        <f t="shared" si="2"/>
        <v>0.02</v>
      </c>
      <c r="AE7" s="119">
        <f t="shared" si="2"/>
        <v>0.02</v>
      </c>
      <c r="AF7" s="119">
        <f t="shared" si="2"/>
        <v>0.02</v>
      </c>
    </row>
    <row r="8" spans="1:33">
      <c r="A8" s="6"/>
      <c r="B8" s="145"/>
      <c r="C8" s="145"/>
      <c r="D8" s="145"/>
      <c r="E8" s="145"/>
      <c r="F8" s="145"/>
      <c r="G8" s="145"/>
      <c r="H8" s="145"/>
      <c r="I8" s="145"/>
      <c r="J8" s="145"/>
      <c r="K8" s="145"/>
      <c r="L8" s="145"/>
      <c r="M8" s="145"/>
      <c r="N8" s="145"/>
      <c r="O8" s="145"/>
      <c r="P8" s="54"/>
      <c r="Q8" s="145"/>
      <c r="R8" s="145"/>
      <c r="S8" s="145"/>
      <c r="T8" s="145"/>
      <c r="U8" s="145"/>
      <c r="V8" s="145"/>
      <c r="W8" s="145"/>
      <c r="X8" s="145"/>
      <c r="Y8" s="54"/>
      <c r="Z8" s="54"/>
      <c r="AA8" s="54"/>
      <c r="AB8" s="54"/>
      <c r="AC8" s="54"/>
      <c r="AD8" s="54"/>
      <c r="AE8" s="54"/>
      <c r="AF8" s="54"/>
      <c r="AG8" s="54"/>
    </row>
    <row r="9" spans="1:33">
      <c r="A9" s="483" t="s">
        <v>511</v>
      </c>
      <c r="B9" s="329">
        <f>B6-B16-B13</f>
        <v>473.61899999999997</v>
      </c>
      <c r="C9" s="329">
        <f t="shared" ref="C9:T9" si="3">C6-C16-C13</f>
        <v>515.32550000000003</v>
      </c>
      <c r="D9" s="329">
        <f t="shared" si="3"/>
        <v>503.84000000000003</v>
      </c>
      <c r="E9" s="329">
        <f t="shared" si="3"/>
        <v>560.89549999999997</v>
      </c>
      <c r="F9" s="329">
        <f t="shared" si="3"/>
        <v>536.52119372408617</v>
      </c>
      <c r="G9" s="329">
        <f t="shared" si="3"/>
        <v>562.33554025353249</v>
      </c>
      <c r="H9" s="329">
        <f t="shared" si="3"/>
        <v>647.80371695551958</v>
      </c>
      <c r="I9" s="1027">
        <f t="shared" si="3"/>
        <v>667.12400804280719</v>
      </c>
      <c r="J9" s="1027">
        <f t="shared" si="3"/>
        <v>700.72026000000005</v>
      </c>
      <c r="K9" s="1027">
        <f t="shared" si="3"/>
        <v>757.88649999999996</v>
      </c>
      <c r="L9" s="1027">
        <f t="shared" si="3"/>
        <v>739.48050000000001</v>
      </c>
      <c r="M9" s="1027">
        <f t="shared" si="3"/>
        <v>713.32749999999999</v>
      </c>
      <c r="N9" s="1027">
        <f t="shared" si="3"/>
        <v>691.322</v>
      </c>
      <c r="O9" s="1027">
        <f t="shared" si="3"/>
        <v>667.45500000000004</v>
      </c>
      <c r="P9" s="1028">
        <f t="shared" si="3"/>
        <v>673.35</v>
      </c>
      <c r="Q9" s="1027">
        <f>Q6-Q16-Q13</f>
        <v>667.68499999999995</v>
      </c>
      <c r="R9" s="1028">
        <f t="shared" si="3"/>
        <v>643.77</v>
      </c>
      <c r="S9" s="1028">
        <f t="shared" si="3"/>
        <v>632.70000000000005</v>
      </c>
      <c r="T9" s="1028">
        <f t="shared" si="3"/>
        <v>615.15499999999997</v>
      </c>
      <c r="U9" s="1028">
        <f>U6-U16-U13</f>
        <v>639.00800000000004</v>
      </c>
      <c r="V9" s="1028">
        <f>V6-V16-V13</f>
        <v>651.33463499999993</v>
      </c>
      <c r="W9" s="1028">
        <f t="shared" ref="W9:AD9" si="4">W6-W16-W13</f>
        <v>662.18823299999997</v>
      </c>
      <c r="X9" s="1028">
        <f t="shared" si="4"/>
        <v>673.25890296</v>
      </c>
      <c r="Y9" s="1028">
        <f t="shared" si="4"/>
        <v>684.55098631919998</v>
      </c>
      <c r="Z9" s="1028">
        <f t="shared" si="4"/>
        <v>696.06891134558396</v>
      </c>
      <c r="AA9" s="1028">
        <f t="shared" si="4"/>
        <v>707.81719487249552</v>
      </c>
      <c r="AB9" s="1028">
        <f t="shared" si="4"/>
        <v>719.80044406994557</v>
      </c>
      <c r="AC9" s="1028">
        <f t="shared" si="4"/>
        <v>732.02335825134446</v>
      </c>
      <c r="AD9" s="1028">
        <f t="shared" si="4"/>
        <v>744.49073071637122</v>
      </c>
      <c r="AE9" s="1028">
        <f>AE6-AE16-AE13</f>
        <v>757.20745063069876</v>
      </c>
      <c r="AF9" s="1028">
        <f>AF6-AF16-AF13</f>
        <v>770.17850494331276</v>
      </c>
    </row>
    <row r="10" spans="1:33">
      <c r="A10" s="483" t="s">
        <v>837</v>
      </c>
      <c r="B10" s="38">
        <f t="shared" ref="B10:X10" si="5">B9/B6</f>
        <v>0.8388575982996811</v>
      </c>
      <c r="C10" s="38">
        <f t="shared" si="5"/>
        <v>0.84382757491403304</v>
      </c>
      <c r="D10" s="38">
        <f t="shared" si="5"/>
        <v>0.84536912751677862</v>
      </c>
      <c r="E10" s="38">
        <f t="shared" si="5"/>
        <v>0.86464544473562499</v>
      </c>
      <c r="F10" s="38">
        <f t="shared" si="5"/>
        <v>0.79699068667571449</v>
      </c>
      <c r="G10" s="38">
        <f t="shared" si="5"/>
        <v>0.8086085578600638</v>
      </c>
      <c r="H10" s="38">
        <f t="shared" si="5"/>
        <v>0.85987261451694041</v>
      </c>
      <c r="I10" s="38">
        <f t="shared" si="5"/>
        <v>0.85786633472620599</v>
      </c>
      <c r="J10" s="38">
        <f t="shared" si="5"/>
        <v>0.86834141299983647</v>
      </c>
      <c r="K10" s="38">
        <f t="shared" si="5"/>
        <v>0.85530583455591913</v>
      </c>
      <c r="L10" s="38">
        <f t="shared" si="5"/>
        <v>0.8621668415529905</v>
      </c>
      <c r="M10" s="38">
        <f t="shared" si="5"/>
        <v>0.89896345305608061</v>
      </c>
      <c r="N10" s="38">
        <f t="shared" si="5"/>
        <v>0.87420586747597373</v>
      </c>
      <c r="O10" s="38">
        <f t="shared" si="5"/>
        <v>0.84810038119440923</v>
      </c>
      <c r="P10" s="39">
        <f t="shared" si="5"/>
        <v>0.85234177215189877</v>
      </c>
      <c r="Q10" s="38">
        <f t="shared" si="5"/>
        <v>0.8253213844252163</v>
      </c>
      <c r="R10" s="39">
        <f t="shared" si="5"/>
        <v>0.82746786632390745</v>
      </c>
      <c r="S10" s="39">
        <f t="shared" si="5"/>
        <v>0.81115384615384623</v>
      </c>
      <c r="T10" s="39">
        <f t="shared" si="5"/>
        <v>0.8020273794002607</v>
      </c>
      <c r="U10" s="39">
        <f t="shared" si="5"/>
        <v>0.79478606965174137</v>
      </c>
      <c r="V10" s="39">
        <f t="shared" ref="V10" si="6">V9/V6</f>
        <v>0.79814552238805969</v>
      </c>
      <c r="W10" s="39">
        <f t="shared" si="5"/>
        <v>0.79553482587064683</v>
      </c>
      <c r="X10" s="39">
        <f t="shared" si="5"/>
        <v>0.79297531948102629</v>
      </c>
      <c r="Y10" s="39">
        <f t="shared" ref="Y10:AD10" si="7">Y9/Y6</f>
        <v>0.79046599949120222</v>
      </c>
      <c r="Z10" s="39">
        <f t="shared" si="7"/>
        <v>0.78800588185411979</v>
      </c>
      <c r="AA10" s="39">
        <f t="shared" si="7"/>
        <v>0.7855940018177644</v>
      </c>
      <c r="AB10" s="39">
        <f t="shared" si="7"/>
        <v>0.78322941354682796</v>
      </c>
      <c r="AC10" s="39">
        <f t="shared" si="7"/>
        <v>0.78091118975179208</v>
      </c>
      <c r="AD10" s="39">
        <f t="shared" si="7"/>
        <v>0.77863842132528627</v>
      </c>
      <c r="AE10" s="39">
        <f>AE9/AE6</f>
        <v>0.77641021698557489</v>
      </c>
      <c r="AF10" s="39">
        <f>AF9/AF6</f>
        <v>0.77422570292703419</v>
      </c>
    </row>
    <row r="11" spans="1:33">
      <c r="A11" s="6" t="s">
        <v>676</v>
      </c>
      <c r="B11" s="145"/>
      <c r="C11" s="38">
        <f t="shared" ref="C11:X11" si="8">C9/B9-1</f>
        <v>8.8059178369111146E-2</v>
      </c>
      <c r="D11" s="38">
        <f t="shared" si="8"/>
        <v>-2.2287854957691811E-2</v>
      </c>
      <c r="E11" s="38">
        <f t="shared" si="8"/>
        <v>0.11324130676405186</v>
      </c>
      <c r="F11" s="38">
        <f t="shared" si="8"/>
        <v>-4.3456056031674017E-2</v>
      </c>
      <c r="G11" s="38">
        <f t="shared" si="8"/>
        <v>4.8114309055089732E-2</v>
      </c>
      <c r="H11" s="38">
        <f t="shared" si="8"/>
        <v>0.15198786237742201</v>
      </c>
      <c r="I11" s="38">
        <f t="shared" si="8"/>
        <v>2.98242979803931E-2</v>
      </c>
      <c r="J11" s="38">
        <f t="shared" si="8"/>
        <v>5.0359830484525192E-2</v>
      </c>
      <c r="K11" s="38">
        <f t="shared" si="8"/>
        <v>8.1582113809582024E-2</v>
      </c>
      <c r="L11" s="38">
        <f t="shared" si="8"/>
        <v>-2.4285958385589335E-2</v>
      </c>
      <c r="M11" s="38">
        <f t="shared" si="8"/>
        <v>-3.5366720285389563E-2</v>
      </c>
      <c r="N11" s="38">
        <f t="shared" si="8"/>
        <v>-3.0849084046247977E-2</v>
      </c>
      <c r="O11" s="38">
        <f t="shared" si="8"/>
        <v>-3.4523709646156142E-2</v>
      </c>
      <c r="P11" s="39">
        <f t="shared" si="8"/>
        <v>8.8320560936692161E-3</v>
      </c>
      <c r="Q11" s="38">
        <f t="shared" si="8"/>
        <v>-8.413158090146422E-3</v>
      </c>
      <c r="R11" s="39">
        <f t="shared" si="8"/>
        <v>-3.5817788328328382E-2</v>
      </c>
      <c r="S11" s="39">
        <f t="shared" si="8"/>
        <v>-1.7195582273171972E-2</v>
      </c>
      <c r="T11" s="39">
        <f t="shared" si="8"/>
        <v>-2.7730361940888404E-2</v>
      </c>
      <c r="U11" s="39">
        <f t="shared" si="8"/>
        <v>3.8775593143191678E-2</v>
      </c>
      <c r="V11" s="39">
        <f t="shared" si="8"/>
        <v>1.9290267101507164E-2</v>
      </c>
      <c r="W11" s="39">
        <f t="shared" si="8"/>
        <v>1.6663627906106981E-2</v>
      </c>
      <c r="X11" s="39">
        <f t="shared" si="8"/>
        <v>1.6718312721814899E-2</v>
      </c>
      <c r="Y11" s="39">
        <f t="shared" ref="Y11:AF11" si="9">Y9/X9-1</f>
        <v>1.6772274840412882E-2</v>
      </c>
      <c r="Z11" s="39">
        <f t="shared" si="9"/>
        <v>1.6825518122930871E-2</v>
      </c>
      <c r="AA11" s="39">
        <f t="shared" si="9"/>
        <v>1.6878046606334962E-2</v>
      </c>
      <c r="AB11" s="39">
        <f t="shared" si="9"/>
        <v>1.6929864496451952E-2</v>
      </c>
      <c r="AC11" s="39">
        <f t="shared" si="9"/>
        <v>1.6980976160958283E-2</v>
      </c>
      <c r="AD11" s="39">
        <f t="shared" si="9"/>
        <v>1.7031386122444037E-2</v>
      </c>
      <c r="AE11" s="39">
        <f t="shared" si="9"/>
        <v>1.7081099051550419E-2</v>
      </c>
      <c r="AF11" s="39">
        <f t="shared" si="9"/>
        <v>1.7130119760192519E-2</v>
      </c>
    </row>
    <row r="12" spans="1:33">
      <c r="A12" s="6"/>
      <c r="B12" s="6"/>
      <c r="C12" s="6"/>
      <c r="D12" s="6"/>
      <c r="E12" s="6"/>
      <c r="F12" s="145"/>
      <c r="G12" s="145"/>
      <c r="H12" s="145"/>
      <c r="I12" s="6"/>
      <c r="J12" s="6"/>
      <c r="K12" s="6"/>
      <c r="L12" s="6"/>
      <c r="M12" s="6"/>
      <c r="N12" s="6"/>
      <c r="O12" s="6"/>
      <c r="P12" s="11"/>
      <c r="Q12" s="6"/>
      <c r="R12" s="11"/>
      <c r="S12" s="11"/>
      <c r="T12" s="11"/>
      <c r="U12" s="11"/>
      <c r="V12" s="11"/>
      <c r="W12" s="11"/>
      <c r="X12" s="11"/>
      <c r="Y12" s="11"/>
      <c r="Z12" s="11"/>
      <c r="AA12" s="11"/>
      <c r="AB12" s="11"/>
      <c r="AC12" s="11"/>
      <c r="AD12" s="11"/>
      <c r="AE12" s="11"/>
      <c r="AF12" s="11"/>
      <c r="AG12" s="11"/>
    </row>
    <row r="13" spans="1:33">
      <c r="A13" s="483" t="s">
        <v>749</v>
      </c>
      <c r="B13" s="48">
        <f t="shared" ref="B13:S13" si="10">B14*B6</f>
        <v>19.761000000000003</v>
      </c>
      <c r="C13" s="48">
        <f t="shared" si="10"/>
        <v>21.374500000000005</v>
      </c>
      <c r="D13" s="48">
        <f t="shared" si="10"/>
        <v>20.860000000000003</v>
      </c>
      <c r="E13" s="48">
        <f t="shared" si="10"/>
        <v>22.704500000000003</v>
      </c>
      <c r="F13" s="48">
        <f t="shared" si="10"/>
        <v>23.561431889082602</v>
      </c>
      <c r="G13" s="48">
        <f t="shared" si="10"/>
        <v>24.340261697155722</v>
      </c>
      <c r="H13" s="48">
        <f t="shared" si="10"/>
        <v>26.368010459526623</v>
      </c>
      <c r="I13" s="48">
        <f t="shared" si="10"/>
        <v>27.217923511301279</v>
      </c>
      <c r="J13" s="48">
        <f t="shared" si="10"/>
        <v>28.243740000000006</v>
      </c>
      <c r="K13" s="48">
        <f t="shared" si="10"/>
        <v>31.013500000000004</v>
      </c>
      <c r="L13" s="48">
        <f t="shared" si="10"/>
        <v>30.019500000000004</v>
      </c>
      <c r="M13" s="48">
        <f t="shared" si="10"/>
        <v>27.772500000000004</v>
      </c>
      <c r="N13" s="48">
        <f t="shared" si="10"/>
        <v>27.678000000000001</v>
      </c>
      <c r="O13" s="48">
        <f t="shared" si="10"/>
        <v>27.545000000000002</v>
      </c>
      <c r="P13" s="49">
        <f t="shared" si="10"/>
        <v>27.650000000000002</v>
      </c>
      <c r="Q13" s="48">
        <f>Q14*Q6</f>
        <v>28.315000000000001</v>
      </c>
      <c r="R13" s="49">
        <f t="shared" si="10"/>
        <v>27.230000000000004</v>
      </c>
      <c r="S13" s="49">
        <f t="shared" si="10"/>
        <v>27.300000000000004</v>
      </c>
      <c r="T13" s="49">
        <f t="shared" ref="T13:Z13" si="11">T14*T6</f>
        <v>26.845000000000002</v>
      </c>
      <c r="U13" s="49">
        <f t="shared" si="11"/>
        <v>28.140000000000004</v>
      </c>
      <c r="V13" s="49">
        <f t="shared" ref="V13" si="12">V14*V6</f>
        <v>28.562100000000001</v>
      </c>
      <c r="W13" s="49">
        <f t="shared" si="11"/>
        <v>29.133341999999999</v>
      </c>
      <c r="X13" s="49">
        <f t="shared" si="11"/>
        <v>29.716008840000001</v>
      </c>
      <c r="Y13" s="49">
        <f t="shared" si="11"/>
        <v>30.310329016800001</v>
      </c>
      <c r="Z13" s="49">
        <f t="shared" si="11"/>
        <v>30.916535597136001</v>
      </c>
      <c r="AA13" s="49">
        <f t="shared" ref="AA13:AF13" si="13">AA14*AA6</f>
        <v>31.534866309078723</v>
      </c>
      <c r="AB13" s="49">
        <f t="shared" si="13"/>
        <v>32.165563635260298</v>
      </c>
      <c r="AC13" s="49">
        <f t="shared" si="13"/>
        <v>32.808874907965503</v>
      </c>
      <c r="AD13" s="49">
        <f t="shared" si="13"/>
        <v>33.465052406124812</v>
      </c>
      <c r="AE13" s="49">
        <f t="shared" si="13"/>
        <v>34.134353454247304</v>
      </c>
      <c r="AF13" s="49">
        <f t="shared" si="13"/>
        <v>34.817040523332253</v>
      </c>
    </row>
    <row r="14" spans="1:33">
      <c r="A14" s="508" t="s">
        <v>1099</v>
      </c>
      <c r="B14" s="130">
        <v>3.5000000000000003E-2</v>
      </c>
      <c r="C14" s="130">
        <v>3.5000000000000003E-2</v>
      </c>
      <c r="D14" s="130">
        <v>3.5000000000000003E-2</v>
      </c>
      <c r="E14" s="130">
        <v>3.5000000000000003E-2</v>
      </c>
      <c r="F14" s="130">
        <v>3.5000000000000003E-2</v>
      </c>
      <c r="G14" s="130">
        <v>3.5000000000000003E-2</v>
      </c>
      <c r="H14" s="130">
        <v>3.5000000000000003E-2</v>
      </c>
      <c r="I14" s="130">
        <v>3.5000000000000003E-2</v>
      </c>
      <c r="J14" s="130">
        <f>I14</f>
        <v>3.5000000000000003E-2</v>
      </c>
      <c r="K14" s="130">
        <f t="shared" ref="K14:S14" si="14">J14</f>
        <v>3.5000000000000003E-2</v>
      </c>
      <c r="L14" s="130">
        <f t="shared" si="14"/>
        <v>3.5000000000000003E-2</v>
      </c>
      <c r="M14" s="130">
        <f t="shared" si="14"/>
        <v>3.5000000000000003E-2</v>
      </c>
      <c r="N14" s="130">
        <f t="shared" si="14"/>
        <v>3.5000000000000003E-2</v>
      </c>
      <c r="O14" s="130">
        <f t="shared" si="14"/>
        <v>3.5000000000000003E-2</v>
      </c>
      <c r="P14" s="119">
        <f t="shared" si="14"/>
        <v>3.5000000000000003E-2</v>
      </c>
      <c r="Q14" s="130">
        <f t="shared" si="14"/>
        <v>3.5000000000000003E-2</v>
      </c>
      <c r="R14" s="119">
        <f t="shared" si="14"/>
        <v>3.5000000000000003E-2</v>
      </c>
      <c r="S14" s="119">
        <f t="shared" si="14"/>
        <v>3.5000000000000003E-2</v>
      </c>
      <c r="T14" s="119">
        <f>S14</f>
        <v>3.5000000000000003E-2</v>
      </c>
      <c r="U14" s="119">
        <f>T14</f>
        <v>3.5000000000000003E-2</v>
      </c>
      <c r="V14" s="119">
        <f>U14</f>
        <v>3.5000000000000003E-2</v>
      </c>
      <c r="W14" s="119">
        <f>V14</f>
        <v>3.5000000000000003E-2</v>
      </c>
      <c r="X14" s="119">
        <f t="shared" ref="X14:AF14" si="15">W14</f>
        <v>3.5000000000000003E-2</v>
      </c>
      <c r="Y14" s="119">
        <f t="shared" si="15"/>
        <v>3.5000000000000003E-2</v>
      </c>
      <c r="Z14" s="119">
        <f t="shared" si="15"/>
        <v>3.5000000000000003E-2</v>
      </c>
      <c r="AA14" s="119">
        <f t="shared" si="15"/>
        <v>3.5000000000000003E-2</v>
      </c>
      <c r="AB14" s="119">
        <f t="shared" si="15"/>
        <v>3.5000000000000003E-2</v>
      </c>
      <c r="AC14" s="119">
        <f t="shared" si="15"/>
        <v>3.5000000000000003E-2</v>
      </c>
      <c r="AD14" s="119">
        <f t="shared" si="15"/>
        <v>3.5000000000000003E-2</v>
      </c>
      <c r="AE14" s="119">
        <f t="shared" si="15"/>
        <v>3.5000000000000003E-2</v>
      </c>
      <c r="AF14" s="119">
        <f t="shared" si="15"/>
        <v>3.5000000000000003E-2</v>
      </c>
    </row>
    <row r="15" spans="1:33">
      <c r="A15" s="508"/>
      <c r="B15" s="6"/>
      <c r="C15" s="6"/>
      <c r="D15" s="6"/>
      <c r="E15" s="6"/>
      <c r="F15" s="6"/>
      <c r="G15" s="6"/>
      <c r="H15" s="6"/>
      <c r="I15" s="6"/>
      <c r="J15" s="48"/>
      <c r="K15" s="48"/>
      <c r="L15" s="48"/>
      <c r="M15" s="48"/>
      <c r="N15" s="48"/>
      <c r="O15" s="48"/>
      <c r="P15" s="49"/>
      <c r="Q15" s="48"/>
      <c r="R15" s="49"/>
      <c r="S15" s="49"/>
      <c r="T15" s="49"/>
      <c r="U15" s="49"/>
      <c r="V15" s="49"/>
      <c r="W15" s="49"/>
      <c r="X15" s="49"/>
      <c r="Y15" s="49"/>
      <c r="Z15" s="49"/>
      <c r="AA15" s="49"/>
      <c r="AB15" s="49"/>
      <c r="AC15" s="49"/>
      <c r="AD15" s="49"/>
      <c r="AE15" s="49"/>
      <c r="AF15" s="49"/>
      <c r="AG15" s="49"/>
    </row>
    <row r="16" spans="1:33">
      <c r="A16" s="479" t="s">
        <v>745</v>
      </c>
      <c r="B16" s="198">
        <f>'Segment Detail'!F16</f>
        <v>71.22</v>
      </c>
      <c r="C16" s="198">
        <f>'Segment Detail'!L16</f>
        <v>74</v>
      </c>
      <c r="D16" s="198">
        <f>'Segment Detail'!O16</f>
        <v>71.3</v>
      </c>
      <c r="E16" s="198">
        <f>'Segment Detail'!S16</f>
        <v>65.099999999999994</v>
      </c>
      <c r="F16" s="198">
        <f>'Segment Detail'!Y16</f>
        <v>113.10114264633393</v>
      </c>
      <c r="G16" s="198">
        <f>'Segment Detail'!Z16</f>
        <v>108.76024653947522</v>
      </c>
      <c r="H16" s="198">
        <f>'Segment Detail'!AA16</f>
        <v>79.199999999999989</v>
      </c>
      <c r="I16" s="1026">
        <f>'Segment Detail'!AB16</f>
        <v>83.313025911642228</v>
      </c>
      <c r="J16" s="1026">
        <f>'Segment Detail'!AC16</f>
        <v>78</v>
      </c>
      <c r="K16" s="1026">
        <f>'Segment Detail'!AD16</f>
        <v>97.2</v>
      </c>
      <c r="L16" s="1026">
        <f>'Segment Detail'!AE16</f>
        <v>88.2</v>
      </c>
      <c r="M16" s="1026">
        <f>'Segment Detail'!AF16</f>
        <v>52.4</v>
      </c>
      <c r="N16" s="1026">
        <f>'Segment Detail'!AG16</f>
        <v>71.800000000000011</v>
      </c>
      <c r="O16" s="1026">
        <f>+Drivers!K91</f>
        <v>92</v>
      </c>
      <c r="P16" s="1026">
        <f>+Drivers!L91</f>
        <v>89</v>
      </c>
      <c r="Q16" s="1323">
        <f>Drivers!M91</f>
        <v>113</v>
      </c>
      <c r="R16" s="1323">
        <f>Drivers!N91</f>
        <v>107</v>
      </c>
      <c r="S16" s="1323">
        <f>Drivers!Q91</f>
        <v>120</v>
      </c>
      <c r="T16" s="1323">
        <f>Drivers!R91</f>
        <v>125</v>
      </c>
      <c r="U16" s="1323">
        <f>Drivers!T91</f>
        <v>136.852</v>
      </c>
      <c r="V16" s="1323">
        <f>Drivers!U91</f>
        <v>136.163265</v>
      </c>
      <c r="W16" s="880">
        <f t="shared" ref="W16:AF16" si="16">+V16+(W6-V6)*0.3</f>
        <v>141.05962499999998</v>
      </c>
      <c r="X16" s="880">
        <f t="shared" si="16"/>
        <v>146.05391220000001</v>
      </c>
      <c r="Y16" s="880">
        <f t="shared" si="16"/>
        <v>151.14808514399999</v>
      </c>
      <c r="Z16" s="880">
        <f t="shared" si="16"/>
        <v>156.34414154688</v>
      </c>
      <c r="AA16" s="880">
        <f t="shared" si="16"/>
        <v>161.64411907781761</v>
      </c>
      <c r="AB16" s="880">
        <f t="shared" si="16"/>
        <v>167.05009615937396</v>
      </c>
      <c r="AC16" s="880">
        <f t="shared" si="16"/>
        <v>172.56419278256143</v>
      </c>
      <c r="AD16" s="880">
        <f t="shared" si="16"/>
        <v>178.18857133821265</v>
      </c>
      <c r="AE16" s="880">
        <f t="shared" si="16"/>
        <v>183.92543746497691</v>
      </c>
      <c r="AF16" s="880">
        <f t="shared" si="16"/>
        <v>189.77704091427645</v>
      </c>
    </row>
    <row r="17" spans="1:32">
      <c r="A17" s="314" t="s">
        <v>680</v>
      </c>
      <c r="B17" s="38">
        <f t="shared" ref="B17:AB17" si="17">B16/B6</f>
        <v>0.12614240170031879</v>
      </c>
      <c r="C17" s="38">
        <f t="shared" si="17"/>
        <v>0.12117242508596691</v>
      </c>
      <c r="D17" s="38">
        <f t="shared" si="17"/>
        <v>0.11963087248322148</v>
      </c>
      <c r="E17" s="38">
        <f t="shared" si="17"/>
        <v>0.10035455526437488</v>
      </c>
      <c r="F17" s="38">
        <f t="shared" si="17"/>
        <v>0.16800931332428537</v>
      </c>
      <c r="G17" s="38">
        <f t="shared" si="17"/>
        <v>0.15639144213993614</v>
      </c>
      <c r="H17" s="38">
        <f t="shared" si="17"/>
        <v>0.10512738548305949</v>
      </c>
      <c r="I17" s="38">
        <f t="shared" si="17"/>
        <v>0.10713366527379398</v>
      </c>
      <c r="J17" s="38">
        <f t="shared" si="17"/>
        <v>9.6658587000163568E-2</v>
      </c>
      <c r="K17" s="38">
        <f t="shared" si="17"/>
        <v>0.10969416544408081</v>
      </c>
      <c r="L17" s="38">
        <f t="shared" si="17"/>
        <v>0.10283315844700944</v>
      </c>
      <c r="M17" s="38">
        <f t="shared" si="17"/>
        <v>6.6036546943919347E-2</v>
      </c>
      <c r="N17" s="38">
        <f t="shared" si="17"/>
        <v>9.0794132524026322E-2</v>
      </c>
      <c r="O17" s="38">
        <f t="shared" si="17"/>
        <v>0.11689961880559085</v>
      </c>
      <c r="P17" s="38">
        <f t="shared" si="17"/>
        <v>0.11265822784810127</v>
      </c>
      <c r="Q17" s="39">
        <f t="shared" si="17"/>
        <v>0.13967861557478367</v>
      </c>
      <c r="R17" s="39">
        <f t="shared" si="17"/>
        <v>0.13753213367609254</v>
      </c>
      <c r="S17" s="39">
        <f t="shared" si="17"/>
        <v>0.15384615384615385</v>
      </c>
      <c r="T17" s="39">
        <f t="shared" si="17"/>
        <v>0.16297262059973924</v>
      </c>
      <c r="U17" s="39">
        <f t="shared" si="17"/>
        <v>0.17021393034825871</v>
      </c>
      <c r="V17" s="39">
        <f t="shared" si="17"/>
        <v>0.16685447761194031</v>
      </c>
      <c r="W17" s="39">
        <f t="shared" si="17"/>
        <v>0.16946517412935322</v>
      </c>
      <c r="X17" s="39">
        <f t="shared" si="17"/>
        <v>0.17202468051897377</v>
      </c>
      <c r="Y17" s="39">
        <f t="shared" si="17"/>
        <v>0.1745340005087978</v>
      </c>
      <c r="Z17" s="39">
        <f t="shared" si="17"/>
        <v>0.1769941181458802</v>
      </c>
      <c r="AA17" s="39">
        <f t="shared" si="17"/>
        <v>0.17940599818223552</v>
      </c>
      <c r="AB17" s="39">
        <f t="shared" si="17"/>
        <v>0.18177058645317207</v>
      </c>
      <c r="AC17" s="39">
        <f>AC16/AC6</f>
        <v>0.18408881024820792</v>
      </c>
      <c r="AD17" s="39">
        <f>AD16/AD6</f>
        <v>0.18636157867471362</v>
      </c>
      <c r="AE17" s="39">
        <f>AE16/AE6</f>
        <v>0.18858978301442514</v>
      </c>
      <c r="AF17" s="39">
        <f>AF16/AF6</f>
        <v>0.19077429707296581</v>
      </c>
    </row>
    <row r="18" spans="1:32">
      <c r="A18" s="482" t="s">
        <v>676</v>
      </c>
      <c r="B18" s="6"/>
      <c r="C18" s="38">
        <f t="shared" ref="C18:X18" si="18">C16/B16-1</f>
        <v>3.9033979219320392E-2</v>
      </c>
      <c r="D18" s="38">
        <f t="shared" si="18"/>
        <v>-3.6486486486486558E-2</v>
      </c>
      <c r="E18" s="38">
        <f t="shared" si="18"/>
        <v>-8.6956521739130488E-2</v>
      </c>
      <c r="F18" s="38">
        <f t="shared" si="18"/>
        <v>0.73734474111112047</v>
      </c>
      <c r="G18" s="38">
        <f t="shared" si="18"/>
        <v>-3.8380656510541566E-2</v>
      </c>
      <c r="H18" s="38">
        <f t="shared" si="18"/>
        <v>-0.27179275038463757</v>
      </c>
      <c r="I18" s="38">
        <f t="shared" si="18"/>
        <v>5.1932145349018244E-2</v>
      </c>
      <c r="J18" s="38">
        <f t="shared" si="18"/>
        <v>-6.3771851442257832E-2</v>
      </c>
      <c r="K18" s="38">
        <f t="shared" si="18"/>
        <v>0.24615384615384617</v>
      </c>
      <c r="L18" s="38">
        <f t="shared" si="18"/>
        <v>-9.259259259259256E-2</v>
      </c>
      <c r="M18" s="38">
        <f t="shared" si="18"/>
        <v>-0.4058956916099774</v>
      </c>
      <c r="N18" s="38">
        <f t="shared" si="18"/>
        <v>0.37022900763358813</v>
      </c>
      <c r="O18" s="38">
        <f t="shared" si="18"/>
        <v>0.28133704735376019</v>
      </c>
      <c r="P18" s="39">
        <f t="shared" si="18"/>
        <v>-3.2608695652173947E-2</v>
      </c>
      <c r="Q18" s="38">
        <f>Q16/P16-1</f>
        <v>0.2696629213483146</v>
      </c>
      <c r="R18" s="39">
        <f t="shared" si="18"/>
        <v>-5.3097345132743334E-2</v>
      </c>
      <c r="S18" s="39">
        <f t="shared" si="18"/>
        <v>0.12149532710280364</v>
      </c>
      <c r="T18" s="39">
        <f t="shared" si="18"/>
        <v>4.1666666666666741E-2</v>
      </c>
      <c r="U18" s="39">
        <f t="shared" si="18"/>
        <v>9.4816000000000011E-2</v>
      </c>
      <c r="V18" s="39">
        <f t="shared" si="18"/>
        <v>-5.0326995586473799E-3</v>
      </c>
      <c r="W18" s="39">
        <f t="shared" si="18"/>
        <v>3.595947849811032E-2</v>
      </c>
      <c r="X18" s="39">
        <f t="shared" si="18"/>
        <v>3.5405504587156189E-2</v>
      </c>
      <c r="Y18" s="39">
        <f t="shared" ref="Y18:AF18" si="19">Y16/X16-1</f>
        <v>3.4878716134794319E-2</v>
      </c>
      <c r="Z18" s="39">
        <f t="shared" si="19"/>
        <v>3.4377255907209747E-2</v>
      </c>
      <c r="AA18" s="39">
        <f t="shared" si="19"/>
        <v>3.3899431590459717E-2</v>
      </c>
      <c r="AB18" s="39">
        <f t="shared" si="19"/>
        <v>3.3443697874055323E-2</v>
      </c>
      <c r="AC18" s="39">
        <f t="shared" si="19"/>
        <v>3.3008640820695767E-2</v>
      </c>
      <c r="AD18" s="39">
        <f t="shared" si="19"/>
        <v>3.2592964188915996E-2</v>
      </c>
      <c r="AE18" s="39">
        <f t="shared" si="19"/>
        <v>3.2195477429780572E-2</v>
      </c>
      <c r="AF18" s="39">
        <f t="shared" si="19"/>
        <v>3.1815085123360509E-2</v>
      </c>
    </row>
    <row r="19" spans="1:32">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row>
    <row r="20" spans="1:32">
      <c r="A20" s="3320" t="s">
        <v>1804</v>
      </c>
      <c r="B20" s="48">
        <f t="shared" ref="B20:P20" si="20">B21*B6</f>
        <v>8.4689999999999994</v>
      </c>
      <c r="C20" s="48">
        <f t="shared" si="20"/>
        <v>9.1605000000000008</v>
      </c>
      <c r="D20" s="48">
        <f t="shared" si="20"/>
        <v>8.94</v>
      </c>
      <c r="E20" s="48">
        <f t="shared" si="20"/>
        <v>9.730500000000001</v>
      </c>
      <c r="F20" s="48">
        <f t="shared" si="20"/>
        <v>10.097756523892542</v>
      </c>
      <c r="G20" s="48">
        <f t="shared" si="20"/>
        <v>10.431540727352452</v>
      </c>
      <c r="H20" s="48">
        <f t="shared" si="20"/>
        <v>11.300575911225694</v>
      </c>
      <c r="I20" s="48">
        <f t="shared" si="20"/>
        <v>11.664824361986261</v>
      </c>
      <c r="J20" s="1026">
        <f>'Segment Detail'!AC22+'Segment Detail'!AC27</f>
        <v>9.5</v>
      </c>
      <c r="K20" s="1026">
        <f>'Segment Detail'!AD22+'Segment Detail'!AD27</f>
        <v>9.1</v>
      </c>
      <c r="L20" s="1026">
        <f>'Segment Detail'!AE22+'Segment Detail'!AE27</f>
        <v>9.5</v>
      </c>
      <c r="M20" s="1026">
        <f>'Segment Detail'!AF22+'Segment Detail'!AF27</f>
        <v>7.7</v>
      </c>
      <c r="N20" s="1026">
        <f>'Segment Detail'!AG22+'Segment Detail'!AG27</f>
        <v>7.1000000000000005</v>
      </c>
      <c r="O20" s="48">
        <f t="shared" si="20"/>
        <v>7.0829999999999993</v>
      </c>
      <c r="P20" s="2796">
        <f t="shared" si="20"/>
        <v>6.714999999999999</v>
      </c>
      <c r="Q20" s="2796">
        <f>Q21*Q6</f>
        <v>6.4719999999999986</v>
      </c>
      <c r="R20" s="2796">
        <f>R21*R6</f>
        <v>5.8349999999999982</v>
      </c>
      <c r="S20" s="2796">
        <f>S21*S6</f>
        <v>5.4599999999999982</v>
      </c>
      <c r="T20" s="2796">
        <f>T21*T6</f>
        <v>4.9854999999999974</v>
      </c>
      <c r="U20" s="49">
        <f t="shared" ref="U20:Z20" si="21">U21*U6</f>
        <v>4.8239999999999972</v>
      </c>
      <c r="V20" s="49">
        <f t="shared" si="21"/>
        <v>4.4883299999999968</v>
      </c>
      <c r="W20" s="49">
        <f t="shared" si="21"/>
        <v>4.1619060000000001</v>
      </c>
      <c r="X20" s="49">
        <f t="shared" si="21"/>
        <v>4.24514412</v>
      </c>
      <c r="Y20" s="49">
        <f t="shared" si="21"/>
        <v>4.3300470023999997</v>
      </c>
      <c r="Z20" s="49">
        <f t="shared" si="21"/>
        <v>4.4166479424479999</v>
      </c>
      <c r="AA20" s="49">
        <f t="shared" ref="AA20:AF20" si="22">AA21*AA6</f>
        <v>4.5049809012969595</v>
      </c>
      <c r="AB20" s="49">
        <f t="shared" si="22"/>
        <v>4.5950805193228987</v>
      </c>
      <c r="AC20" s="49">
        <f t="shared" si="22"/>
        <v>4.6869821297093566</v>
      </c>
      <c r="AD20" s="49">
        <f t="shared" si="22"/>
        <v>4.7807217723035436</v>
      </c>
      <c r="AE20" s="49">
        <f t="shared" si="22"/>
        <v>4.8763362077496151</v>
      </c>
      <c r="AF20" s="49">
        <f t="shared" si="22"/>
        <v>4.9738629319046073</v>
      </c>
    </row>
    <row r="21" spans="1:32">
      <c r="A21" s="3321" t="s">
        <v>1805</v>
      </c>
      <c r="B21" s="485">
        <v>1.4999999999999999E-2</v>
      </c>
      <c r="C21" s="485">
        <v>1.4999999999999999E-2</v>
      </c>
      <c r="D21" s="485">
        <v>1.4999999999999999E-2</v>
      </c>
      <c r="E21" s="485">
        <v>1.4999999999999999E-2</v>
      </c>
      <c r="F21" s="485">
        <v>1.4999999999999999E-2</v>
      </c>
      <c r="G21" s="485">
        <v>1.4999999999999999E-2</v>
      </c>
      <c r="H21" s="485">
        <v>1.4999999999999999E-2</v>
      </c>
      <c r="I21" s="485">
        <f>H21</f>
        <v>1.4999999999999999E-2</v>
      </c>
      <c r="J21" s="888">
        <f t="shared" ref="J21:M21" si="23">J20/J6</f>
        <v>1.1772520211558384E-2</v>
      </c>
      <c r="K21" s="888">
        <f t="shared" si="23"/>
        <v>1.0269721250423202E-2</v>
      </c>
      <c r="L21" s="888">
        <f t="shared" si="23"/>
        <v>1.1076133846333215E-2</v>
      </c>
      <c r="M21" s="888">
        <f t="shared" si="23"/>
        <v>9.7038437303087581E-3</v>
      </c>
      <c r="N21" s="888">
        <f>N20/N6</f>
        <v>8.978249873545778E-3</v>
      </c>
      <c r="O21" s="485">
        <v>8.9999999999999993E-3</v>
      </c>
      <c r="P21" s="485">
        <f>MAX(O21-0.0005, 0.5%)</f>
        <v>8.4999999999999989E-3</v>
      </c>
      <c r="Q21" s="485">
        <f t="shared" ref="Q21:W21" si="24">MAX(P21-0.0005, 0.5%)</f>
        <v>7.9999999999999984E-3</v>
      </c>
      <c r="R21" s="485">
        <f t="shared" si="24"/>
        <v>7.499999999999998E-3</v>
      </c>
      <c r="S21" s="485">
        <f t="shared" si="24"/>
        <v>6.9999999999999975E-3</v>
      </c>
      <c r="T21" s="485">
        <f t="shared" si="24"/>
        <v>6.4999999999999971E-3</v>
      </c>
      <c r="U21" s="485">
        <f t="shared" si="24"/>
        <v>5.9999999999999967E-3</v>
      </c>
      <c r="V21" s="485">
        <f t="shared" si="24"/>
        <v>5.4999999999999962E-3</v>
      </c>
      <c r="W21" s="485">
        <f t="shared" si="24"/>
        <v>5.0000000000000001E-3</v>
      </c>
      <c r="X21" s="485">
        <f t="shared" ref="X21:AF21" si="25">MAX(W21-0.001, 0.5%)</f>
        <v>5.0000000000000001E-3</v>
      </c>
      <c r="Y21" s="485">
        <f t="shared" si="25"/>
        <v>5.0000000000000001E-3</v>
      </c>
      <c r="Z21" s="485">
        <f t="shared" si="25"/>
        <v>5.0000000000000001E-3</v>
      </c>
      <c r="AA21" s="485">
        <f t="shared" si="25"/>
        <v>5.0000000000000001E-3</v>
      </c>
      <c r="AB21" s="485">
        <f t="shared" si="25"/>
        <v>5.0000000000000001E-3</v>
      </c>
      <c r="AC21" s="485">
        <f t="shared" si="25"/>
        <v>5.0000000000000001E-3</v>
      </c>
      <c r="AD21" s="485">
        <f t="shared" si="25"/>
        <v>5.0000000000000001E-3</v>
      </c>
      <c r="AE21" s="485">
        <f t="shared" si="25"/>
        <v>5.0000000000000001E-3</v>
      </c>
      <c r="AF21" s="485">
        <f t="shared" si="25"/>
        <v>5.0000000000000001E-3</v>
      </c>
    </row>
    <row r="22" spans="1:32">
      <c r="A22" s="483"/>
      <c r="B22" s="6"/>
      <c r="C22" s="6"/>
      <c r="D22" s="6"/>
      <c r="E22" s="6"/>
      <c r="F22" s="6"/>
      <c r="G22" s="6"/>
      <c r="H22" s="6"/>
      <c r="I22" s="6"/>
      <c r="J22" s="6"/>
      <c r="K22" s="6"/>
      <c r="L22" s="6"/>
      <c r="M22" s="6"/>
      <c r="N22" s="6"/>
      <c r="O22" s="6"/>
      <c r="P22" s="6"/>
      <c r="Q22" s="6"/>
      <c r="R22" s="11"/>
      <c r="S22" s="11"/>
      <c r="T22" s="11"/>
      <c r="U22" s="11"/>
      <c r="V22" s="11"/>
      <c r="W22" s="11"/>
      <c r="X22" s="11"/>
      <c r="Y22" s="11"/>
      <c r="Z22" s="11"/>
      <c r="AA22" s="11"/>
      <c r="AB22" s="11"/>
      <c r="AC22" s="11"/>
      <c r="AD22" s="11"/>
      <c r="AE22" s="11"/>
    </row>
    <row r="23" spans="1:32">
      <c r="A23" s="483" t="s">
        <v>1100</v>
      </c>
      <c r="B23" s="105">
        <f t="shared" ref="B23:S23" si="26">B16-B20</f>
        <v>62.750999999999998</v>
      </c>
      <c r="C23" s="105">
        <f t="shared" si="26"/>
        <v>64.839500000000001</v>
      </c>
      <c r="D23" s="105">
        <f t="shared" si="26"/>
        <v>62.36</v>
      </c>
      <c r="E23" s="105">
        <f t="shared" si="26"/>
        <v>55.369499999999995</v>
      </c>
      <c r="F23" s="105">
        <f t="shared" si="26"/>
        <v>103.00338612244138</v>
      </c>
      <c r="G23" s="105">
        <f t="shared" si="26"/>
        <v>98.328705812122763</v>
      </c>
      <c r="H23" s="105">
        <f t="shared" si="26"/>
        <v>67.899424088774296</v>
      </c>
      <c r="I23" s="308">
        <f t="shared" si="26"/>
        <v>71.648201549655965</v>
      </c>
      <c r="J23" s="308">
        <f t="shared" si="26"/>
        <v>68.5</v>
      </c>
      <c r="K23" s="308">
        <f t="shared" si="26"/>
        <v>88.100000000000009</v>
      </c>
      <c r="L23" s="308">
        <f t="shared" si="26"/>
        <v>78.7</v>
      </c>
      <c r="M23" s="308">
        <f t="shared" si="26"/>
        <v>44.699999999999996</v>
      </c>
      <c r="N23" s="308">
        <f t="shared" si="26"/>
        <v>64.700000000000017</v>
      </c>
      <c r="O23" s="308">
        <f t="shared" si="26"/>
        <v>84.917000000000002</v>
      </c>
      <c r="P23" s="308">
        <f t="shared" si="26"/>
        <v>82.284999999999997</v>
      </c>
      <c r="Q23" s="308">
        <f t="shared" si="26"/>
        <v>106.52800000000001</v>
      </c>
      <c r="R23" s="308">
        <f t="shared" si="26"/>
        <v>101.16500000000001</v>
      </c>
      <c r="S23" s="308">
        <f t="shared" si="26"/>
        <v>114.54</v>
      </c>
      <c r="T23" s="308">
        <f t="shared" ref="T23:Z23" si="27">T16-T20</f>
        <v>120.0145</v>
      </c>
      <c r="U23" s="308">
        <f t="shared" si="27"/>
        <v>132.02800000000002</v>
      </c>
      <c r="V23" s="308">
        <f t="shared" si="27"/>
        <v>131.674935</v>
      </c>
      <c r="W23" s="308">
        <f t="shared" si="27"/>
        <v>136.897719</v>
      </c>
      <c r="X23" s="308">
        <f t="shared" si="27"/>
        <v>141.80876808000002</v>
      </c>
      <c r="Y23" s="308">
        <f t="shared" si="27"/>
        <v>146.8180381416</v>
      </c>
      <c r="Z23" s="308">
        <f t="shared" si="27"/>
        <v>151.92749360443199</v>
      </c>
      <c r="AA23" s="308">
        <f t="shared" ref="AA23:AF23" si="28">AA16-AA20</f>
        <v>157.13913817652065</v>
      </c>
      <c r="AB23" s="308">
        <f t="shared" si="28"/>
        <v>162.45501564005107</v>
      </c>
      <c r="AC23" s="308">
        <f t="shared" si="28"/>
        <v>167.87721065285209</v>
      </c>
      <c r="AD23" s="308">
        <f t="shared" si="28"/>
        <v>173.40784956590912</v>
      </c>
      <c r="AE23" s="308">
        <f t="shared" si="28"/>
        <v>179.04910125722731</v>
      </c>
      <c r="AF23" s="308">
        <f t="shared" si="28"/>
        <v>184.80317798237184</v>
      </c>
    </row>
    <row r="24" spans="1:32">
      <c r="A24" s="314" t="s">
        <v>1101</v>
      </c>
      <c r="B24" s="38">
        <f t="shared" ref="B24:X24" si="29">B23/B6</f>
        <v>0.1111424017003188</v>
      </c>
      <c r="C24" s="38">
        <f t="shared" si="29"/>
        <v>0.10617242508596691</v>
      </c>
      <c r="D24" s="38">
        <f t="shared" si="29"/>
        <v>0.10463087248322148</v>
      </c>
      <c r="E24" s="38">
        <f t="shared" si="29"/>
        <v>8.5354555264374896E-2</v>
      </c>
      <c r="F24" s="38">
        <f t="shared" si="29"/>
        <v>0.15300931332428538</v>
      </c>
      <c r="G24" s="38">
        <f t="shared" si="29"/>
        <v>0.14139144213993612</v>
      </c>
      <c r="H24" s="38">
        <f t="shared" si="29"/>
        <v>9.0127385483059499E-2</v>
      </c>
      <c r="I24" s="38">
        <f t="shared" si="29"/>
        <v>9.2133665273793977E-2</v>
      </c>
      <c r="J24" s="38">
        <f t="shared" si="29"/>
        <v>8.4886066788605191E-2</v>
      </c>
      <c r="K24" s="38">
        <f t="shared" si="29"/>
        <v>9.9424444193657605E-2</v>
      </c>
      <c r="L24" s="38">
        <f t="shared" si="29"/>
        <v>9.1757024600676224E-2</v>
      </c>
      <c r="M24" s="38">
        <f t="shared" si="29"/>
        <v>5.6332703213610578E-2</v>
      </c>
      <c r="N24" s="38">
        <f t="shared" si="29"/>
        <v>8.1815882650480551E-2</v>
      </c>
      <c r="O24" s="38">
        <f t="shared" si="29"/>
        <v>0.10789961880559085</v>
      </c>
      <c r="P24" s="38">
        <f t="shared" si="29"/>
        <v>0.10415822784810126</v>
      </c>
      <c r="Q24" s="38">
        <f t="shared" si="29"/>
        <v>0.13167861557478369</v>
      </c>
      <c r="R24" s="39">
        <f t="shared" si="29"/>
        <v>0.13003213367609257</v>
      </c>
      <c r="S24" s="39">
        <f t="shared" si="29"/>
        <v>0.14684615384615385</v>
      </c>
      <c r="T24" s="39">
        <f t="shared" si="29"/>
        <v>0.15647262059973924</v>
      </c>
      <c r="U24" s="39">
        <f t="shared" si="29"/>
        <v>0.16421393034825874</v>
      </c>
      <c r="V24" s="39">
        <f t="shared" si="29"/>
        <v>0.16135447761194033</v>
      </c>
      <c r="W24" s="39">
        <f t="shared" si="29"/>
        <v>0.16446517412935324</v>
      </c>
      <c r="X24" s="39">
        <f t="shared" si="29"/>
        <v>0.16702468051897379</v>
      </c>
      <c r="Y24" s="39">
        <f t="shared" ref="Y24:AD24" si="30">Y23/Y6</f>
        <v>0.1695340005087978</v>
      </c>
      <c r="Z24" s="39">
        <f t="shared" si="30"/>
        <v>0.1719941181458802</v>
      </c>
      <c r="AA24" s="39">
        <f t="shared" si="30"/>
        <v>0.17440599818223551</v>
      </c>
      <c r="AB24" s="39">
        <f t="shared" si="30"/>
        <v>0.17677058645317209</v>
      </c>
      <c r="AC24" s="39">
        <f t="shared" si="30"/>
        <v>0.17908881024820791</v>
      </c>
      <c r="AD24" s="39">
        <f t="shared" si="30"/>
        <v>0.18136157867471364</v>
      </c>
      <c r="AE24" s="39">
        <f>AE23/AE6</f>
        <v>0.18358978301442516</v>
      </c>
      <c r="AF24" s="39">
        <f>AF23/AF6</f>
        <v>0.1857742970729658</v>
      </c>
    </row>
    <row r="25" spans="1:32">
      <c r="A25" s="483"/>
      <c r="B25" s="6"/>
      <c r="C25" s="6"/>
      <c r="D25" s="6"/>
      <c r="E25" s="6"/>
      <c r="F25" s="6"/>
      <c r="G25" s="6"/>
      <c r="H25" s="6"/>
      <c r="I25" s="6"/>
      <c r="J25" s="6"/>
      <c r="K25" s="6"/>
      <c r="L25" s="6"/>
      <c r="M25" s="6"/>
      <c r="N25" s="6"/>
      <c r="O25" s="6"/>
      <c r="P25" s="6"/>
      <c r="Q25" s="6"/>
      <c r="R25" s="11"/>
      <c r="S25" s="11"/>
      <c r="T25" s="11"/>
      <c r="U25" s="11"/>
      <c r="V25" s="11"/>
      <c r="W25" s="11"/>
      <c r="X25" s="11"/>
      <c r="Y25" s="11"/>
      <c r="Z25" s="11"/>
      <c r="AA25" s="11"/>
      <c r="AB25" s="11"/>
      <c r="AC25" s="11"/>
      <c r="AD25" s="11"/>
      <c r="AE25" s="11"/>
    </row>
    <row r="26" spans="1:32">
      <c r="A26" s="484" t="s">
        <v>686</v>
      </c>
      <c r="B26" s="48">
        <f t="shared" ref="B26:S26" si="31">B27*B6</f>
        <v>8.4689999999999994</v>
      </c>
      <c r="C26" s="48">
        <f t="shared" si="31"/>
        <v>9.1605000000000008</v>
      </c>
      <c r="D26" s="48">
        <f t="shared" si="31"/>
        <v>8.94</v>
      </c>
      <c r="E26" s="48">
        <f t="shared" si="31"/>
        <v>9.730500000000001</v>
      </c>
      <c r="F26" s="48">
        <f t="shared" si="31"/>
        <v>10.097756523892542</v>
      </c>
      <c r="G26" s="48">
        <f t="shared" si="31"/>
        <v>10.431540727352452</v>
      </c>
      <c r="H26" s="48">
        <f t="shared" si="31"/>
        <v>11.300575911225694</v>
      </c>
      <c r="I26" s="48">
        <f t="shared" si="31"/>
        <v>11.664824361986261</v>
      </c>
      <c r="J26" s="48">
        <f t="shared" si="31"/>
        <v>12.10446</v>
      </c>
      <c r="K26" s="48">
        <f t="shared" si="31"/>
        <v>13.291499999999999</v>
      </c>
      <c r="L26" s="48">
        <f t="shared" si="31"/>
        <v>12.865500000000001</v>
      </c>
      <c r="M26" s="48">
        <f t="shared" si="31"/>
        <v>11.9025</v>
      </c>
      <c r="N26" s="48">
        <f t="shared" si="31"/>
        <v>11.861999999999998</v>
      </c>
      <c r="O26" s="48">
        <f t="shared" si="31"/>
        <v>11.805</v>
      </c>
      <c r="P26" s="48">
        <f t="shared" si="31"/>
        <v>11.85</v>
      </c>
      <c r="Q26" s="48">
        <f t="shared" si="31"/>
        <v>12.135</v>
      </c>
      <c r="R26" s="49">
        <f t="shared" si="31"/>
        <v>11.67</v>
      </c>
      <c r="S26" s="49">
        <f t="shared" si="31"/>
        <v>11.7</v>
      </c>
      <c r="T26" s="49">
        <f t="shared" ref="T26:Z26" si="32">T27*T6</f>
        <v>11.504999999999999</v>
      </c>
      <c r="U26" s="49">
        <f t="shared" si="32"/>
        <v>12.059999999999999</v>
      </c>
      <c r="V26" s="49">
        <f t="shared" ref="V26" si="33">V27*V6</f>
        <v>12.240899999999998</v>
      </c>
      <c r="W26" s="49">
        <f t="shared" si="32"/>
        <v>12.485717999999999</v>
      </c>
      <c r="X26" s="49">
        <f t="shared" si="32"/>
        <v>12.735432359999999</v>
      </c>
      <c r="Y26" s="49">
        <f t="shared" si="32"/>
        <v>12.990141007199998</v>
      </c>
      <c r="Z26" s="49">
        <f t="shared" si="32"/>
        <v>13.249943827343998</v>
      </c>
      <c r="AA26" s="49">
        <f t="shared" ref="AA26:AF26" si="34">AA27*AA6</f>
        <v>13.514942703890879</v>
      </c>
      <c r="AB26" s="49">
        <f t="shared" si="34"/>
        <v>13.785241557968696</v>
      </c>
      <c r="AC26" s="49">
        <f t="shared" si="34"/>
        <v>14.06094638912807</v>
      </c>
      <c r="AD26" s="49">
        <f t="shared" si="34"/>
        <v>14.342165316910631</v>
      </c>
      <c r="AE26" s="49">
        <f t="shared" si="34"/>
        <v>14.629008623248843</v>
      </c>
      <c r="AF26" s="49">
        <f t="shared" si="34"/>
        <v>14.921588795713822</v>
      </c>
    </row>
    <row r="27" spans="1:32">
      <c r="A27" s="484" t="s">
        <v>1102</v>
      </c>
      <c r="B27" s="485">
        <v>1.4999999999999999E-2</v>
      </c>
      <c r="C27" s="485">
        <v>1.4999999999999999E-2</v>
      </c>
      <c r="D27" s="485">
        <v>1.4999999999999999E-2</v>
      </c>
      <c r="E27" s="485">
        <v>1.4999999999999999E-2</v>
      </c>
      <c r="F27" s="485">
        <v>1.4999999999999999E-2</v>
      </c>
      <c r="G27" s="485">
        <v>1.4999999999999999E-2</v>
      </c>
      <c r="H27" s="485">
        <v>1.4999999999999999E-2</v>
      </c>
      <c r="I27" s="485">
        <f>H27</f>
        <v>1.4999999999999999E-2</v>
      </c>
      <c r="J27" s="485">
        <f t="shared" ref="J27:S27" si="35">I27</f>
        <v>1.4999999999999999E-2</v>
      </c>
      <c r="K27" s="485">
        <f t="shared" si="35"/>
        <v>1.4999999999999999E-2</v>
      </c>
      <c r="L27" s="485">
        <f t="shared" si="35"/>
        <v>1.4999999999999999E-2</v>
      </c>
      <c r="M27" s="485">
        <f t="shared" si="35"/>
        <v>1.4999999999999999E-2</v>
      </c>
      <c r="N27" s="485">
        <f t="shared" si="35"/>
        <v>1.4999999999999999E-2</v>
      </c>
      <c r="O27" s="485">
        <f t="shared" si="35"/>
        <v>1.4999999999999999E-2</v>
      </c>
      <c r="P27" s="485">
        <f t="shared" si="35"/>
        <v>1.4999999999999999E-2</v>
      </c>
      <c r="Q27" s="485">
        <f t="shared" si="35"/>
        <v>1.4999999999999999E-2</v>
      </c>
      <c r="R27" s="394">
        <f t="shared" si="35"/>
        <v>1.4999999999999999E-2</v>
      </c>
      <c r="S27" s="394">
        <f t="shared" si="35"/>
        <v>1.4999999999999999E-2</v>
      </c>
      <c r="T27" s="394">
        <f t="shared" ref="T27:Z27" si="36">S27</f>
        <v>1.4999999999999999E-2</v>
      </c>
      <c r="U27" s="394">
        <f t="shared" si="36"/>
        <v>1.4999999999999999E-2</v>
      </c>
      <c r="V27" s="394">
        <f t="shared" si="36"/>
        <v>1.4999999999999999E-2</v>
      </c>
      <c r="W27" s="394">
        <f t="shared" si="36"/>
        <v>1.4999999999999999E-2</v>
      </c>
      <c r="X27" s="394">
        <f t="shared" si="36"/>
        <v>1.4999999999999999E-2</v>
      </c>
      <c r="Y27" s="394">
        <f t="shared" si="36"/>
        <v>1.4999999999999999E-2</v>
      </c>
      <c r="Z27" s="394">
        <f t="shared" si="36"/>
        <v>1.4999999999999999E-2</v>
      </c>
      <c r="AA27" s="394">
        <f t="shared" ref="AA27:AF27" si="37">Z27</f>
        <v>1.4999999999999999E-2</v>
      </c>
      <c r="AB27" s="394">
        <f t="shared" si="37"/>
        <v>1.4999999999999999E-2</v>
      </c>
      <c r="AC27" s="394">
        <f t="shared" si="37"/>
        <v>1.4999999999999999E-2</v>
      </c>
      <c r="AD27" s="394">
        <f t="shared" si="37"/>
        <v>1.4999999999999999E-2</v>
      </c>
      <c r="AE27" s="394">
        <f t="shared" si="37"/>
        <v>1.4999999999999999E-2</v>
      </c>
      <c r="AF27" s="394">
        <f t="shared" si="37"/>
        <v>1.4999999999999999E-2</v>
      </c>
    </row>
    <row r="28" spans="1:32">
      <c r="A28" s="484"/>
      <c r="B28" s="485"/>
      <c r="C28" s="485"/>
      <c r="D28" s="485"/>
      <c r="E28" s="485"/>
      <c r="F28" s="485"/>
      <c r="G28" s="485"/>
      <c r="H28" s="485"/>
      <c r="I28" s="485"/>
      <c r="J28" s="485"/>
      <c r="K28" s="485"/>
      <c r="L28" s="485"/>
      <c r="M28" s="485"/>
      <c r="N28" s="485"/>
      <c r="O28" s="485"/>
      <c r="P28" s="485"/>
      <c r="Q28" s="485"/>
      <c r="R28" s="394"/>
      <c r="S28" s="394"/>
      <c r="T28" s="394"/>
      <c r="U28" s="394"/>
      <c r="V28" s="394"/>
      <c r="W28" s="394"/>
      <c r="X28" s="394"/>
      <c r="Y28" s="394"/>
      <c r="Z28" s="394"/>
      <c r="AA28" s="394"/>
      <c r="AB28" s="394"/>
      <c r="AC28" s="394"/>
      <c r="AD28" s="394"/>
      <c r="AE28" s="394"/>
      <c r="AF28" s="394"/>
    </row>
    <row r="29" spans="1:32">
      <c r="A29" s="13" t="s">
        <v>74</v>
      </c>
      <c r="B29" s="76"/>
      <c r="C29" s="76"/>
      <c r="D29" s="76"/>
      <c r="E29" s="76"/>
      <c r="F29" s="76"/>
      <c r="G29" s="76"/>
      <c r="H29" s="76"/>
      <c r="I29" s="106">
        <f t="shared" ref="I29:S29" si="38">I39*I23</f>
        <v>17.553809379665712</v>
      </c>
      <c r="J29" s="106">
        <f t="shared" si="38"/>
        <v>16.782499999999999</v>
      </c>
      <c r="K29" s="106">
        <f t="shared" si="38"/>
        <v>21.584500000000002</v>
      </c>
      <c r="L29" s="106">
        <f t="shared" si="38"/>
        <v>19.281500000000001</v>
      </c>
      <c r="M29" s="106">
        <f t="shared" si="38"/>
        <v>10.951499999999999</v>
      </c>
      <c r="N29" s="106">
        <f t="shared" si="38"/>
        <v>15.851500000000003</v>
      </c>
      <c r="O29" s="106">
        <f t="shared" si="38"/>
        <v>20.804665</v>
      </c>
      <c r="P29" s="106">
        <f t="shared" si="38"/>
        <v>20.159824999999998</v>
      </c>
      <c r="Q29" s="106">
        <f t="shared" si="38"/>
        <v>26.099360000000001</v>
      </c>
      <c r="R29" s="105">
        <f t="shared" si="38"/>
        <v>24.785425</v>
      </c>
      <c r="S29" s="105">
        <f t="shared" si="38"/>
        <v>28.0623</v>
      </c>
      <c r="T29" s="105">
        <f t="shared" ref="T29:Z29" si="39">T39*T23</f>
        <v>29.4035525</v>
      </c>
      <c r="U29" s="105">
        <f t="shared" si="39"/>
        <v>32.346860000000007</v>
      </c>
      <c r="V29" s="105">
        <f t="shared" ref="V29" si="40">V39*V23</f>
        <v>32.260359075000004</v>
      </c>
      <c r="W29" s="105">
        <f t="shared" si="39"/>
        <v>33.539941155000001</v>
      </c>
      <c r="X29" s="105">
        <f t="shared" si="39"/>
        <v>34.743148179600006</v>
      </c>
      <c r="Y29" s="105">
        <f t="shared" si="39"/>
        <v>35.970419344691997</v>
      </c>
      <c r="Z29" s="105">
        <f t="shared" si="39"/>
        <v>37.222235933085834</v>
      </c>
      <c r="AA29" s="105">
        <f t="shared" ref="AA29:AF29" si="41">AA39*AA23</f>
        <v>38.499088853247557</v>
      </c>
      <c r="AB29" s="105">
        <f t="shared" si="41"/>
        <v>39.80147883181251</v>
      </c>
      <c r="AC29" s="105">
        <f t="shared" si="41"/>
        <v>41.129916609948758</v>
      </c>
      <c r="AD29" s="105">
        <f t="shared" si="41"/>
        <v>42.484923143647734</v>
      </c>
      <c r="AE29" s="105">
        <f t="shared" si="41"/>
        <v>43.867029808020689</v>
      </c>
      <c r="AF29" s="105">
        <f t="shared" si="41"/>
        <v>45.276778605681102</v>
      </c>
    </row>
    <row r="30" spans="1:32">
      <c r="A30" s="484"/>
      <c r="B30" s="6"/>
      <c r="C30" s="6"/>
      <c r="D30" s="6"/>
      <c r="E30" s="6"/>
      <c r="F30" s="6"/>
      <c r="G30" s="6"/>
      <c r="H30" s="6"/>
      <c r="I30" s="6"/>
      <c r="J30" s="6"/>
      <c r="K30" s="6"/>
      <c r="L30" s="6"/>
      <c r="M30" s="6"/>
      <c r="N30" s="6"/>
      <c r="O30" s="6"/>
      <c r="P30" s="6"/>
      <c r="Q30" s="6"/>
      <c r="R30" s="11"/>
      <c r="S30" s="11"/>
      <c r="T30" s="11"/>
      <c r="U30" s="11"/>
      <c r="V30" s="11"/>
      <c r="W30" s="11"/>
      <c r="X30" s="11"/>
      <c r="Y30" s="11"/>
      <c r="Z30" s="11"/>
      <c r="AA30" s="11"/>
      <c r="AB30" s="11"/>
      <c r="AC30" s="11"/>
      <c r="AD30" s="11"/>
      <c r="AE30" s="11"/>
      <c r="AF30" s="11"/>
    </row>
    <row r="31" spans="1:32">
      <c r="A31" s="486" t="s">
        <v>75</v>
      </c>
      <c r="B31" s="13"/>
      <c r="C31" s="13"/>
      <c r="D31" s="13"/>
      <c r="E31" s="13"/>
      <c r="F31" s="13"/>
      <c r="G31" s="13"/>
      <c r="H31" s="13"/>
      <c r="I31" s="13">
        <f t="shared" ref="I31:S31" si="42">I16-I26-I29</f>
        <v>54.094392169990257</v>
      </c>
      <c r="J31" s="13">
        <f t="shared" si="42"/>
        <v>49.113039999999998</v>
      </c>
      <c r="K31" s="13">
        <f t="shared" si="42"/>
        <v>62.323999999999998</v>
      </c>
      <c r="L31" s="13">
        <f t="shared" si="42"/>
        <v>56.053000000000004</v>
      </c>
      <c r="M31" s="13">
        <f t="shared" si="42"/>
        <v>29.546000000000003</v>
      </c>
      <c r="N31" s="13">
        <f t="shared" si="42"/>
        <v>44.086500000000015</v>
      </c>
      <c r="O31" s="13">
        <f t="shared" si="42"/>
        <v>59.390334999999993</v>
      </c>
      <c r="P31" s="13">
        <f t="shared" si="42"/>
        <v>56.990175000000008</v>
      </c>
      <c r="Q31" s="13">
        <f t="shared" si="42"/>
        <v>74.765639999999991</v>
      </c>
      <c r="R31" s="14">
        <f t="shared" si="42"/>
        <v>70.544574999999995</v>
      </c>
      <c r="S31" s="14">
        <f t="shared" si="42"/>
        <v>80.23769999999999</v>
      </c>
      <c r="T31" s="14">
        <f t="shared" ref="T31:Z31" si="43">T16-T26-T29</f>
        <v>84.091447500000001</v>
      </c>
      <c r="U31" s="14">
        <f t="shared" si="43"/>
        <v>92.445139999999995</v>
      </c>
      <c r="V31" s="14">
        <f t="shared" ref="V31" si="44">V16-V26-V29</f>
        <v>91.662005924999988</v>
      </c>
      <c r="W31" s="14">
        <f t="shared" si="43"/>
        <v>95.033965844999983</v>
      </c>
      <c r="X31" s="14">
        <f t="shared" si="43"/>
        <v>98.575331660399996</v>
      </c>
      <c r="Y31" s="14">
        <f t="shared" si="43"/>
        <v>102.18752479210798</v>
      </c>
      <c r="Z31" s="14">
        <f t="shared" si="43"/>
        <v>105.87196178645016</v>
      </c>
      <c r="AA31" s="14">
        <f t="shared" ref="AA31:AF31" si="45">AA16-AA26-AA29</f>
        <v>109.63008752067917</v>
      </c>
      <c r="AB31" s="14">
        <f t="shared" si="45"/>
        <v>113.46337576959274</v>
      </c>
      <c r="AC31" s="14">
        <f t="shared" si="45"/>
        <v>117.37332978348459</v>
      </c>
      <c r="AD31" s="14">
        <f t="shared" si="45"/>
        <v>121.36148287765428</v>
      </c>
      <c r="AE31" s="14">
        <f t="shared" si="45"/>
        <v>125.42939903370738</v>
      </c>
      <c r="AF31" s="14">
        <f t="shared" si="45"/>
        <v>129.57867351288152</v>
      </c>
    </row>
    <row r="32" spans="1:32">
      <c r="A32" s="483" t="s">
        <v>1103</v>
      </c>
      <c r="B32" s="38"/>
      <c r="C32" s="38"/>
      <c r="D32" s="38"/>
      <c r="E32" s="38"/>
      <c r="F32" s="38"/>
      <c r="G32" s="38"/>
      <c r="H32" s="38"/>
      <c r="I32" s="38">
        <f t="shared" ref="I32:X32" si="46">I31/I6</f>
        <v>6.9560917281714457E-2</v>
      </c>
      <c r="J32" s="38">
        <f t="shared" si="46"/>
        <v>6.08615006369553E-2</v>
      </c>
      <c r="K32" s="38">
        <f t="shared" si="46"/>
        <v>7.0335176616634687E-2</v>
      </c>
      <c r="L32" s="38">
        <f t="shared" si="46"/>
        <v>6.5352687419843764E-2</v>
      </c>
      <c r="M32" s="38">
        <f t="shared" si="46"/>
        <v>3.7235034656584752E-2</v>
      </c>
      <c r="N32" s="38">
        <f t="shared" si="46"/>
        <v>5.5749241274658592E-2</v>
      </c>
      <c r="O32" s="38">
        <f t="shared" si="46"/>
        <v>7.5464212198221081E-2</v>
      </c>
      <c r="P32" s="38">
        <f t="shared" si="46"/>
        <v>7.2139462025316459E-2</v>
      </c>
      <c r="Q32" s="38">
        <f t="shared" si="46"/>
        <v>9.2417354758961665E-2</v>
      </c>
      <c r="R32" s="39">
        <f t="shared" si="46"/>
        <v>9.0674260925449862E-2</v>
      </c>
      <c r="S32" s="39">
        <f t="shared" si="46"/>
        <v>0.10286884615384614</v>
      </c>
      <c r="T32" s="39">
        <f t="shared" si="46"/>
        <v>0.10963682855280313</v>
      </c>
      <c r="U32" s="39">
        <f t="shared" si="46"/>
        <v>0.11498151741293532</v>
      </c>
      <c r="V32" s="39">
        <f t="shared" ref="V32" si="47">V31/V6</f>
        <v>0.11232263059701492</v>
      </c>
      <c r="W32" s="39">
        <f t="shared" si="46"/>
        <v>0.11417120646766168</v>
      </c>
      <c r="X32" s="39">
        <f t="shared" si="46"/>
        <v>0.11610363379182519</v>
      </c>
      <c r="Y32" s="39">
        <f t="shared" ref="Y32:AD32" si="48">Y31/Y6</f>
        <v>0.11799817038414233</v>
      </c>
      <c r="Z32" s="39">
        <f t="shared" si="48"/>
        <v>0.11985555920013956</v>
      </c>
      <c r="AA32" s="39">
        <f t="shared" si="48"/>
        <v>0.12167652862758781</v>
      </c>
      <c r="AB32" s="39">
        <f t="shared" si="48"/>
        <v>0.1234617927721449</v>
      </c>
      <c r="AC32" s="39">
        <f t="shared" si="48"/>
        <v>0.12521205173739697</v>
      </c>
      <c r="AD32" s="39">
        <f t="shared" si="48"/>
        <v>0.12692799189940879</v>
      </c>
      <c r="AE32" s="39">
        <f>AE31/AE6</f>
        <v>0.12861028617589099</v>
      </c>
      <c r="AF32" s="39">
        <f>AF31/AF6</f>
        <v>0.13025959429008918</v>
      </c>
    </row>
    <row r="33" spans="1:32">
      <c r="A33" s="483"/>
      <c r="B33" s="6"/>
      <c r="C33" s="6"/>
      <c r="D33" s="6"/>
      <c r="E33" s="6"/>
      <c r="F33" s="6"/>
      <c r="G33" s="6"/>
      <c r="H33" s="6"/>
      <c r="I33" s="6"/>
      <c r="J33" s="6"/>
      <c r="K33" s="6"/>
      <c r="L33" s="6"/>
      <c r="M33" s="6"/>
      <c r="N33" s="6"/>
      <c r="O33" s="6"/>
      <c r="P33" s="6"/>
      <c r="Q33" s="6"/>
      <c r="R33" s="11"/>
      <c r="S33" s="11"/>
      <c r="T33" s="11"/>
      <c r="U33" s="11"/>
      <c r="V33" s="11"/>
      <c r="W33" s="6"/>
      <c r="X33" s="6"/>
      <c r="Y33" s="11"/>
      <c r="Z33" s="11"/>
      <c r="AA33" s="11"/>
      <c r="AB33" s="11"/>
      <c r="AC33" s="11"/>
      <c r="AD33" s="11"/>
    </row>
    <row r="34" spans="1:32">
      <c r="A34" s="6"/>
      <c r="B34" s="6"/>
      <c r="C34" s="6"/>
      <c r="D34" s="6"/>
      <c r="E34" s="6"/>
      <c r="F34" s="6"/>
      <c r="G34" s="6"/>
      <c r="H34" s="6"/>
      <c r="I34" s="6"/>
      <c r="J34" s="6"/>
      <c r="K34" s="6"/>
      <c r="L34" s="6"/>
      <c r="M34" s="6"/>
      <c r="N34" s="6"/>
      <c r="O34" s="6"/>
      <c r="P34" s="6"/>
      <c r="Q34" s="6"/>
      <c r="R34" s="11"/>
      <c r="S34" s="11"/>
      <c r="T34" s="11"/>
      <c r="U34" s="11"/>
      <c r="V34" s="11"/>
      <c r="W34" s="6"/>
      <c r="Y34" s="1048"/>
      <c r="Z34" s="1048"/>
      <c r="AA34" s="1048"/>
      <c r="AB34" s="1048"/>
      <c r="AC34" s="1048"/>
      <c r="AD34" s="1048"/>
    </row>
    <row r="35" spans="1:32">
      <c r="A35" s="36" t="s">
        <v>65</v>
      </c>
      <c r="B35" s="6"/>
      <c r="C35" s="6"/>
      <c r="D35" s="6"/>
      <c r="E35" s="6"/>
      <c r="F35" s="6"/>
      <c r="G35" s="6"/>
      <c r="H35" s="6"/>
      <c r="I35" s="6"/>
      <c r="J35" s="6"/>
      <c r="K35" s="6"/>
      <c r="L35" s="6"/>
      <c r="M35" s="6"/>
      <c r="N35" s="6"/>
      <c r="O35" s="6"/>
      <c r="P35" s="6"/>
      <c r="Q35" s="6"/>
      <c r="R35" s="11"/>
      <c r="S35" s="11"/>
      <c r="T35" s="11"/>
      <c r="U35" s="11"/>
      <c r="V35" s="11"/>
      <c r="W35" s="6"/>
      <c r="Y35" s="1048"/>
      <c r="Z35" s="1048"/>
      <c r="AA35" s="1048"/>
      <c r="AB35" s="1048"/>
      <c r="AC35" s="1048"/>
      <c r="AD35" s="1048"/>
    </row>
    <row r="36" spans="1:32">
      <c r="A36" s="295" t="s">
        <v>246</v>
      </c>
      <c r="B36" s="6"/>
      <c r="C36" s="6"/>
      <c r="D36" s="6"/>
      <c r="E36" s="6"/>
      <c r="F36" s="6"/>
      <c r="G36" s="6"/>
      <c r="H36" s="487"/>
      <c r="I36" s="488">
        <f ca="1">FMV!B271</f>
        <v>4.6359932385549224E-2</v>
      </c>
      <c r="J36" s="298">
        <f t="shared" ref="J36:S36" ca="1" si="49">+I36</f>
        <v>4.6359932385549224E-2</v>
      </c>
      <c r="K36" s="298">
        <f t="shared" ca="1" si="49"/>
        <v>4.6359932385549224E-2</v>
      </c>
      <c r="L36" s="298">
        <f t="shared" ca="1" si="49"/>
        <v>4.6359932385549224E-2</v>
      </c>
      <c r="M36" s="298">
        <f t="shared" ca="1" si="49"/>
        <v>4.6359932385549224E-2</v>
      </c>
      <c r="N36" s="298">
        <f t="shared" ca="1" si="49"/>
        <v>4.6359932385549224E-2</v>
      </c>
      <c r="O36" s="298">
        <f t="shared" ca="1" si="49"/>
        <v>4.6359932385549224E-2</v>
      </c>
      <c r="P36" s="298">
        <f t="shared" ca="1" si="49"/>
        <v>4.6359932385549224E-2</v>
      </c>
      <c r="Q36" s="298">
        <f t="shared" ca="1" si="49"/>
        <v>4.6359932385549224E-2</v>
      </c>
      <c r="R36" s="536">
        <f t="shared" ca="1" si="49"/>
        <v>4.6359932385549224E-2</v>
      </c>
      <c r="S36" s="536">
        <f t="shared" ca="1" si="49"/>
        <v>4.6359932385549224E-2</v>
      </c>
      <c r="T36" s="536">
        <f t="shared" ref="T36:U39" ca="1" si="50">+S36</f>
        <v>4.6359932385549224E-2</v>
      </c>
      <c r="U36" s="536">
        <f t="shared" ca="1" si="50"/>
        <v>4.6359932385549224E-2</v>
      </c>
      <c r="V36" s="536">
        <f t="shared" ref="V36:W39" ca="1" si="51">+U36</f>
        <v>4.6359932385549224E-2</v>
      </c>
      <c r="W36" s="536">
        <f t="shared" ca="1" si="51"/>
        <v>4.6359932385549224E-2</v>
      </c>
      <c r="X36" s="536">
        <f t="shared" ref="X36:Z39" ca="1" si="52">+W36</f>
        <v>4.6359932385549224E-2</v>
      </c>
      <c r="Y36" s="536">
        <f t="shared" ca="1" si="52"/>
        <v>4.6359932385549224E-2</v>
      </c>
      <c r="Z36" s="536">
        <f t="shared" ca="1" si="52"/>
        <v>4.6359932385549224E-2</v>
      </c>
      <c r="AA36" s="536">
        <f t="shared" ref="AA36:AF39" ca="1" si="53">+Z36</f>
        <v>4.6359932385549224E-2</v>
      </c>
      <c r="AB36" s="536">
        <f t="shared" ca="1" si="53"/>
        <v>4.6359932385549224E-2</v>
      </c>
      <c r="AC36" s="536">
        <f t="shared" ca="1" si="53"/>
        <v>4.6359932385549224E-2</v>
      </c>
      <c r="AD36" s="536">
        <f t="shared" ca="1" si="53"/>
        <v>4.6359932385549224E-2</v>
      </c>
      <c r="AE36" s="536">
        <f t="shared" ca="1" si="53"/>
        <v>4.6359932385549224E-2</v>
      </c>
      <c r="AF36" s="536">
        <f t="shared" ca="1" si="53"/>
        <v>4.6359932385549224E-2</v>
      </c>
    </row>
    <row r="37" spans="1:32">
      <c r="A37" s="295" t="s">
        <v>247</v>
      </c>
      <c r="B37" s="6"/>
      <c r="C37" s="6"/>
      <c r="D37" s="6"/>
      <c r="E37" s="6"/>
      <c r="F37" s="6"/>
      <c r="G37" s="6"/>
      <c r="H37" s="487"/>
      <c r="I37" s="488">
        <f>FMV!B272</f>
        <v>0.1</v>
      </c>
      <c r="J37" s="298">
        <f t="shared" ref="J37:S37" si="54">+I37</f>
        <v>0.1</v>
      </c>
      <c r="K37" s="298">
        <f t="shared" si="54"/>
        <v>0.1</v>
      </c>
      <c r="L37" s="298">
        <f t="shared" si="54"/>
        <v>0.1</v>
      </c>
      <c r="M37" s="298">
        <f t="shared" si="54"/>
        <v>0.1</v>
      </c>
      <c r="N37" s="298">
        <f t="shared" si="54"/>
        <v>0.1</v>
      </c>
      <c r="O37" s="298">
        <f t="shared" si="54"/>
        <v>0.1</v>
      </c>
      <c r="P37" s="298">
        <f t="shared" si="54"/>
        <v>0.1</v>
      </c>
      <c r="Q37" s="298">
        <f t="shared" si="54"/>
        <v>0.1</v>
      </c>
      <c r="R37" s="536">
        <f t="shared" si="54"/>
        <v>0.1</v>
      </c>
      <c r="S37" s="536">
        <f t="shared" si="54"/>
        <v>0.1</v>
      </c>
      <c r="T37" s="536">
        <f t="shared" si="50"/>
        <v>0.1</v>
      </c>
      <c r="U37" s="536">
        <f t="shared" si="50"/>
        <v>0.1</v>
      </c>
      <c r="V37" s="536">
        <f t="shared" si="51"/>
        <v>0.1</v>
      </c>
      <c r="W37" s="536">
        <f t="shared" si="51"/>
        <v>0.1</v>
      </c>
      <c r="X37" s="536">
        <f t="shared" si="52"/>
        <v>0.1</v>
      </c>
      <c r="Y37" s="536">
        <f t="shared" si="52"/>
        <v>0.1</v>
      </c>
      <c r="Z37" s="536">
        <f t="shared" si="52"/>
        <v>0.1</v>
      </c>
      <c r="AA37" s="536">
        <f t="shared" si="53"/>
        <v>0.1</v>
      </c>
      <c r="AB37" s="536">
        <f t="shared" si="53"/>
        <v>0.1</v>
      </c>
      <c r="AC37" s="536">
        <f t="shared" si="53"/>
        <v>0.1</v>
      </c>
      <c r="AD37" s="536">
        <f t="shared" si="53"/>
        <v>0.1</v>
      </c>
      <c r="AE37" s="536">
        <f t="shared" si="53"/>
        <v>0.1</v>
      </c>
      <c r="AF37" s="536">
        <f t="shared" si="53"/>
        <v>0.1</v>
      </c>
    </row>
    <row r="38" spans="1:32">
      <c r="A38" s="295" t="s">
        <v>248</v>
      </c>
      <c r="B38" s="6"/>
      <c r="C38" s="6"/>
      <c r="D38" s="6"/>
      <c r="E38" s="6"/>
      <c r="F38" s="6"/>
      <c r="G38" s="6"/>
      <c r="H38" s="487"/>
      <c r="I38" s="488">
        <f>FMV!B273</f>
        <v>0.3</v>
      </c>
      <c r="J38" s="298">
        <f t="shared" ref="J38:S38" si="55">+I38</f>
        <v>0.3</v>
      </c>
      <c r="K38" s="298">
        <f t="shared" si="55"/>
        <v>0.3</v>
      </c>
      <c r="L38" s="298">
        <f t="shared" si="55"/>
        <v>0.3</v>
      </c>
      <c r="M38" s="298">
        <f t="shared" si="55"/>
        <v>0.3</v>
      </c>
      <c r="N38" s="298">
        <f t="shared" si="55"/>
        <v>0.3</v>
      </c>
      <c r="O38" s="298">
        <f t="shared" si="55"/>
        <v>0.3</v>
      </c>
      <c r="P38" s="298">
        <f t="shared" si="55"/>
        <v>0.3</v>
      </c>
      <c r="Q38" s="298">
        <f t="shared" si="55"/>
        <v>0.3</v>
      </c>
      <c r="R38" s="536">
        <f t="shared" si="55"/>
        <v>0.3</v>
      </c>
      <c r="S38" s="536">
        <f t="shared" si="55"/>
        <v>0.3</v>
      </c>
      <c r="T38" s="536">
        <f t="shared" si="50"/>
        <v>0.3</v>
      </c>
      <c r="U38" s="536">
        <f t="shared" si="50"/>
        <v>0.3</v>
      </c>
      <c r="V38" s="536">
        <f t="shared" si="51"/>
        <v>0.3</v>
      </c>
      <c r="W38" s="536">
        <f t="shared" si="51"/>
        <v>0.3</v>
      </c>
      <c r="X38" s="536">
        <f t="shared" si="52"/>
        <v>0.3</v>
      </c>
      <c r="Y38" s="536">
        <f t="shared" si="52"/>
        <v>0.3</v>
      </c>
      <c r="Z38" s="536">
        <f t="shared" si="52"/>
        <v>0.3</v>
      </c>
      <c r="AA38" s="536">
        <f t="shared" si="53"/>
        <v>0.3</v>
      </c>
      <c r="AB38" s="536">
        <f t="shared" si="53"/>
        <v>0.3</v>
      </c>
      <c r="AC38" s="536">
        <f t="shared" si="53"/>
        <v>0.3</v>
      </c>
      <c r="AD38" s="536">
        <f t="shared" si="53"/>
        <v>0.3</v>
      </c>
      <c r="AE38" s="536">
        <f t="shared" si="53"/>
        <v>0.3</v>
      </c>
      <c r="AF38" s="536">
        <f t="shared" si="53"/>
        <v>0.3</v>
      </c>
    </row>
    <row r="39" spans="1:32">
      <c r="A39" s="295" t="s">
        <v>249</v>
      </c>
      <c r="B39" s="6"/>
      <c r="C39" s="6"/>
      <c r="D39" s="6"/>
      <c r="E39" s="6"/>
      <c r="F39" s="6"/>
      <c r="G39" s="6"/>
      <c r="H39" s="487"/>
      <c r="I39" s="488">
        <f>FMV!B274</f>
        <v>0.245</v>
      </c>
      <c r="J39" s="298">
        <f t="shared" ref="J39:S39" si="56">+I39</f>
        <v>0.245</v>
      </c>
      <c r="K39" s="298">
        <f t="shared" si="56"/>
        <v>0.245</v>
      </c>
      <c r="L39" s="298">
        <f t="shared" si="56"/>
        <v>0.245</v>
      </c>
      <c r="M39" s="298">
        <f t="shared" si="56"/>
        <v>0.245</v>
      </c>
      <c r="N39" s="298">
        <f t="shared" si="56"/>
        <v>0.245</v>
      </c>
      <c r="O39" s="298">
        <f t="shared" si="56"/>
        <v>0.245</v>
      </c>
      <c r="P39" s="298">
        <f t="shared" si="56"/>
        <v>0.245</v>
      </c>
      <c r="Q39" s="298">
        <f t="shared" si="56"/>
        <v>0.245</v>
      </c>
      <c r="R39" s="536">
        <f t="shared" si="56"/>
        <v>0.245</v>
      </c>
      <c r="S39" s="536">
        <f t="shared" si="56"/>
        <v>0.245</v>
      </c>
      <c r="T39" s="536">
        <f t="shared" si="50"/>
        <v>0.245</v>
      </c>
      <c r="U39" s="536">
        <f t="shared" si="50"/>
        <v>0.245</v>
      </c>
      <c r="V39" s="536">
        <f t="shared" si="51"/>
        <v>0.245</v>
      </c>
      <c r="W39" s="536">
        <f t="shared" si="51"/>
        <v>0.245</v>
      </c>
      <c r="X39" s="536">
        <f t="shared" si="52"/>
        <v>0.245</v>
      </c>
      <c r="Y39" s="536">
        <f t="shared" si="52"/>
        <v>0.245</v>
      </c>
      <c r="Z39" s="536">
        <f t="shared" si="52"/>
        <v>0.245</v>
      </c>
      <c r="AA39" s="536">
        <f t="shared" si="53"/>
        <v>0.245</v>
      </c>
      <c r="AB39" s="536">
        <f t="shared" si="53"/>
        <v>0.245</v>
      </c>
      <c r="AC39" s="536">
        <f t="shared" si="53"/>
        <v>0.245</v>
      </c>
      <c r="AD39" s="536">
        <f t="shared" si="53"/>
        <v>0.245</v>
      </c>
      <c r="AE39" s="536">
        <f t="shared" si="53"/>
        <v>0.245</v>
      </c>
      <c r="AF39" s="536">
        <f t="shared" si="53"/>
        <v>0.245</v>
      </c>
    </row>
    <row r="40" spans="1:32">
      <c r="A40" s="295" t="s">
        <v>250</v>
      </c>
      <c r="B40" s="6"/>
      <c r="C40" s="6"/>
      <c r="D40" s="6"/>
      <c r="E40" s="6"/>
      <c r="F40" s="6"/>
      <c r="G40" s="6"/>
      <c r="H40" s="298"/>
      <c r="I40" s="298">
        <f t="shared" ref="I40:X40" ca="1" si="57">((I36*(1-I39)*I38))+(I37*(1-I38))</f>
        <v>8.0500524685326896E-2</v>
      </c>
      <c r="J40" s="298">
        <f t="shared" ca="1" si="57"/>
        <v>8.0500524685326896E-2</v>
      </c>
      <c r="K40" s="298">
        <f t="shared" ca="1" si="57"/>
        <v>8.0500524685326896E-2</v>
      </c>
      <c r="L40" s="298">
        <f t="shared" ca="1" si="57"/>
        <v>8.0500524685326896E-2</v>
      </c>
      <c r="M40" s="298">
        <f t="shared" ca="1" si="57"/>
        <v>8.0500524685326896E-2</v>
      </c>
      <c r="N40" s="298">
        <f t="shared" ca="1" si="57"/>
        <v>8.0500524685326896E-2</v>
      </c>
      <c r="O40" s="298">
        <f t="shared" ca="1" si="57"/>
        <v>8.0500524685326896E-2</v>
      </c>
      <c r="P40" s="298">
        <f t="shared" ca="1" si="57"/>
        <v>8.0500524685326896E-2</v>
      </c>
      <c r="Q40" s="298">
        <f t="shared" ca="1" si="57"/>
        <v>8.0500524685326896E-2</v>
      </c>
      <c r="R40" s="536">
        <f t="shared" ca="1" si="57"/>
        <v>8.0500524685326896E-2</v>
      </c>
      <c r="S40" s="536">
        <f t="shared" ca="1" si="57"/>
        <v>8.0500524685326896E-2</v>
      </c>
      <c r="T40" s="536">
        <f t="shared" ca="1" si="57"/>
        <v>8.0500524685326896E-2</v>
      </c>
      <c r="U40" s="536">
        <f t="shared" ca="1" si="57"/>
        <v>8.0500524685326896E-2</v>
      </c>
      <c r="V40" s="536">
        <f t="shared" ca="1" si="57"/>
        <v>8.0500524685326896E-2</v>
      </c>
      <c r="W40" s="536">
        <f t="shared" ca="1" si="57"/>
        <v>8.0500524685326896E-2</v>
      </c>
      <c r="X40" s="536">
        <f t="shared" ca="1" si="57"/>
        <v>8.0500524685326896E-2</v>
      </c>
      <c r="Y40" s="536">
        <f t="shared" ref="Y40:AD40" ca="1" si="58">((Y36*(1-Y39)*Y38))+(Y37*(1-Y38))</f>
        <v>8.0500524685326896E-2</v>
      </c>
      <c r="Z40" s="536">
        <f t="shared" ca="1" si="58"/>
        <v>8.0500524685326896E-2</v>
      </c>
      <c r="AA40" s="536">
        <f t="shared" ca="1" si="58"/>
        <v>8.0500524685326896E-2</v>
      </c>
      <c r="AB40" s="536">
        <f t="shared" ca="1" si="58"/>
        <v>8.0500524685326896E-2</v>
      </c>
      <c r="AC40" s="536">
        <f t="shared" ca="1" si="58"/>
        <v>8.0500524685326896E-2</v>
      </c>
      <c r="AD40" s="536">
        <f t="shared" ca="1" si="58"/>
        <v>8.0500524685326896E-2</v>
      </c>
      <c r="AE40" s="536">
        <f ca="1">((AE36*(1-AE39)*AE38))+(AE37*(1-AE38))</f>
        <v>8.0500524685326896E-2</v>
      </c>
      <c r="AF40" s="536">
        <f ca="1">((AF36*(1-AF39)*AF38))+(AF37*(1-AF38))</f>
        <v>8.0500524685326896E-2</v>
      </c>
    </row>
    <row r="41" spans="1:32">
      <c r="A41" s="295" t="s">
        <v>251</v>
      </c>
      <c r="B41" s="6"/>
      <c r="C41" s="6"/>
      <c r="D41" s="6"/>
      <c r="E41" s="6"/>
      <c r="F41" s="6"/>
      <c r="G41" s="6"/>
      <c r="H41" s="487"/>
      <c r="I41" s="488">
        <f>FMV!B276</f>
        <v>0.01</v>
      </c>
      <c r="J41" s="298">
        <f t="shared" ref="J41:S41" si="59">+I41</f>
        <v>0.01</v>
      </c>
      <c r="K41" s="298">
        <f t="shared" si="59"/>
        <v>0.01</v>
      </c>
      <c r="L41" s="298">
        <f t="shared" si="59"/>
        <v>0.01</v>
      </c>
      <c r="M41" s="298">
        <f t="shared" si="59"/>
        <v>0.01</v>
      </c>
      <c r="N41" s="298">
        <f t="shared" si="59"/>
        <v>0.01</v>
      </c>
      <c r="O41" s="298">
        <f t="shared" si="59"/>
        <v>0.01</v>
      </c>
      <c r="P41" s="298">
        <f t="shared" si="59"/>
        <v>0.01</v>
      </c>
      <c r="Q41" s="298">
        <f t="shared" si="59"/>
        <v>0.01</v>
      </c>
      <c r="R41" s="536">
        <f t="shared" si="59"/>
        <v>0.01</v>
      </c>
      <c r="S41" s="536">
        <f t="shared" si="59"/>
        <v>0.01</v>
      </c>
      <c r="T41" s="536">
        <f t="shared" ref="T41:Z41" si="60">+S41</f>
        <v>0.01</v>
      </c>
      <c r="U41" s="536">
        <f t="shared" si="60"/>
        <v>0.01</v>
      </c>
      <c r="V41" s="536">
        <f t="shared" si="60"/>
        <v>0.01</v>
      </c>
      <c r="W41" s="536">
        <f t="shared" si="60"/>
        <v>0.01</v>
      </c>
      <c r="X41" s="536">
        <f t="shared" si="60"/>
        <v>0.01</v>
      </c>
      <c r="Y41" s="536">
        <f t="shared" si="60"/>
        <v>0.01</v>
      </c>
      <c r="Z41" s="536">
        <f t="shared" si="60"/>
        <v>0.01</v>
      </c>
      <c r="AA41" s="536">
        <f t="shared" ref="AA41:AF41" si="61">+Z41</f>
        <v>0.01</v>
      </c>
      <c r="AB41" s="536">
        <f t="shared" si="61"/>
        <v>0.01</v>
      </c>
      <c r="AC41" s="536">
        <f t="shared" si="61"/>
        <v>0.01</v>
      </c>
      <c r="AD41" s="536">
        <f t="shared" si="61"/>
        <v>0.01</v>
      </c>
      <c r="AE41" s="536">
        <f t="shared" si="61"/>
        <v>0.01</v>
      </c>
      <c r="AF41" s="536">
        <f t="shared" si="61"/>
        <v>0.01</v>
      </c>
    </row>
    <row r="42" spans="1:32">
      <c r="A42" s="295"/>
      <c r="B42" s="6"/>
      <c r="C42" s="6"/>
      <c r="D42" s="6"/>
      <c r="E42" s="6"/>
      <c r="F42" s="6"/>
      <c r="G42" s="6"/>
      <c r="H42" s="487"/>
      <c r="I42" s="6"/>
      <c r="J42" s="6"/>
      <c r="K42" s="6"/>
      <c r="L42" s="6"/>
      <c r="M42" s="6"/>
      <c r="N42" s="6"/>
      <c r="O42" s="6"/>
      <c r="P42" s="6"/>
      <c r="Q42" s="6"/>
      <c r="R42" s="11"/>
      <c r="S42" s="11"/>
      <c r="T42" s="11"/>
      <c r="U42" s="11"/>
      <c r="V42" s="11"/>
      <c r="W42" s="11"/>
      <c r="X42" s="11"/>
      <c r="Y42" s="11"/>
      <c r="Z42" s="11"/>
      <c r="AA42" s="11"/>
      <c r="AB42" s="11"/>
      <c r="AC42" s="11"/>
      <c r="AD42" s="11"/>
    </row>
    <row r="43" spans="1:32">
      <c r="A43" s="295" t="s">
        <v>53</v>
      </c>
      <c r="B43" s="6"/>
      <c r="C43" s="6"/>
      <c r="D43" s="6"/>
      <c r="E43" s="6"/>
      <c r="F43" s="6"/>
      <c r="G43" s="6"/>
      <c r="H43" s="774" t="s">
        <v>337</v>
      </c>
      <c r="I43" s="489">
        <f>AF16*(1+I41)</f>
        <v>191.67481132341922</v>
      </c>
      <c r="J43" s="489">
        <f>+I43</f>
        <v>191.67481132341922</v>
      </c>
      <c r="K43" s="489">
        <f t="shared" ref="K43:S43" si="62">+J43</f>
        <v>191.67481132341922</v>
      </c>
      <c r="L43" s="489">
        <f t="shared" si="62"/>
        <v>191.67481132341922</v>
      </c>
      <c r="M43" s="489">
        <f t="shared" si="62"/>
        <v>191.67481132341922</v>
      </c>
      <c r="N43" s="489">
        <f t="shared" si="62"/>
        <v>191.67481132341922</v>
      </c>
      <c r="O43" s="489">
        <f t="shared" si="62"/>
        <v>191.67481132341922</v>
      </c>
      <c r="P43" s="489">
        <f>+O43</f>
        <v>191.67481132341922</v>
      </c>
      <c r="Q43" s="489">
        <f t="shared" si="62"/>
        <v>191.67481132341922</v>
      </c>
      <c r="R43" s="181">
        <f>+Q43</f>
        <v>191.67481132341922</v>
      </c>
      <c r="S43" s="181">
        <f t="shared" si="62"/>
        <v>191.67481132341922</v>
      </c>
      <c r="T43" s="181">
        <f t="shared" ref="T43:U45" si="63">+S43</f>
        <v>191.67481132341922</v>
      </c>
      <c r="U43" s="181">
        <f t="shared" si="63"/>
        <v>191.67481132341922</v>
      </c>
      <c r="V43" s="181">
        <f t="shared" ref="V43:W45" si="64">+U43</f>
        <v>191.67481132341922</v>
      </c>
      <c r="W43" s="181">
        <f t="shared" si="64"/>
        <v>191.67481132341922</v>
      </c>
      <c r="X43" s="181">
        <f t="shared" ref="X43:Z45" si="65">+W43</f>
        <v>191.67481132341922</v>
      </c>
      <c r="Y43" s="181">
        <f>+X43</f>
        <v>191.67481132341922</v>
      </c>
      <c r="Z43" s="181">
        <f t="shared" si="65"/>
        <v>191.67481132341922</v>
      </c>
      <c r="AA43" s="181">
        <f t="shared" ref="AA43:AB45" si="66">+Z43</f>
        <v>191.67481132341922</v>
      </c>
      <c r="AB43" s="181">
        <f t="shared" si="66"/>
        <v>191.67481132341922</v>
      </c>
      <c r="AC43" s="181">
        <f t="shared" ref="AC43:AF45" si="67">+AB43</f>
        <v>191.67481132341922</v>
      </c>
      <c r="AD43" s="181">
        <f>+AC43</f>
        <v>191.67481132341922</v>
      </c>
      <c r="AE43" s="181">
        <f>+AD43</f>
        <v>191.67481132341922</v>
      </c>
      <c r="AF43" s="181">
        <f>+AE43</f>
        <v>191.67481132341922</v>
      </c>
    </row>
    <row r="44" spans="1:32">
      <c r="A44" s="490" t="s">
        <v>54</v>
      </c>
      <c r="B44" s="6"/>
      <c r="C44" s="6"/>
      <c r="D44" s="6"/>
      <c r="E44" s="6"/>
      <c r="F44" s="6"/>
      <c r="G44" s="6"/>
      <c r="H44" s="487"/>
      <c r="I44" s="489">
        <f>AF29*(1+I41)</f>
        <v>45.729546391737912</v>
      </c>
      <c r="J44" s="489">
        <f t="shared" ref="J44:S44" si="68">+I44</f>
        <v>45.729546391737912</v>
      </c>
      <c r="K44" s="489">
        <f t="shared" si="68"/>
        <v>45.729546391737912</v>
      </c>
      <c r="L44" s="489">
        <f t="shared" si="68"/>
        <v>45.729546391737912</v>
      </c>
      <c r="M44" s="489">
        <f t="shared" si="68"/>
        <v>45.729546391737912</v>
      </c>
      <c r="N44" s="489">
        <f t="shared" si="68"/>
        <v>45.729546391737912</v>
      </c>
      <c r="O44" s="489">
        <f t="shared" si="68"/>
        <v>45.729546391737912</v>
      </c>
      <c r="P44" s="489">
        <f t="shared" si="68"/>
        <v>45.729546391737912</v>
      </c>
      <c r="Q44" s="489">
        <f t="shared" si="68"/>
        <v>45.729546391737912</v>
      </c>
      <c r="R44" s="181">
        <f t="shared" si="68"/>
        <v>45.729546391737912</v>
      </c>
      <c r="S44" s="181">
        <f t="shared" si="68"/>
        <v>45.729546391737912</v>
      </c>
      <c r="T44" s="181">
        <f t="shared" si="63"/>
        <v>45.729546391737912</v>
      </c>
      <c r="U44" s="181">
        <f t="shared" si="63"/>
        <v>45.729546391737912</v>
      </c>
      <c r="V44" s="181">
        <f t="shared" si="64"/>
        <v>45.729546391737912</v>
      </c>
      <c r="W44" s="181">
        <f t="shared" si="64"/>
        <v>45.729546391737912</v>
      </c>
      <c r="X44" s="181">
        <f t="shared" si="65"/>
        <v>45.729546391737912</v>
      </c>
      <c r="Y44" s="181">
        <f t="shared" si="65"/>
        <v>45.729546391737912</v>
      </c>
      <c r="Z44" s="181">
        <f t="shared" si="65"/>
        <v>45.729546391737912</v>
      </c>
      <c r="AA44" s="181">
        <f t="shared" si="66"/>
        <v>45.729546391737912</v>
      </c>
      <c r="AB44" s="181">
        <f t="shared" si="66"/>
        <v>45.729546391737912</v>
      </c>
      <c r="AC44" s="181">
        <f t="shared" si="67"/>
        <v>45.729546391737912</v>
      </c>
      <c r="AD44" s="181">
        <f t="shared" si="67"/>
        <v>45.729546391737912</v>
      </c>
      <c r="AE44" s="181">
        <f t="shared" si="67"/>
        <v>45.729546391737912</v>
      </c>
      <c r="AF44" s="181">
        <f t="shared" si="67"/>
        <v>45.729546391737912</v>
      </c>
    </row>
    <row r="45" spans="1:32">
      <c r="A45" s="490" t="s">
        <v>67</v>
      </c>
      <c r="B45" s="6"/>
      <c r="C45" s="6"/>
      <c r="D45" s="6"/>
      <c r="E45" s="6"/>
      <c r="F45" s="6"/>
      <c r="G45" s="6"/>
      <c r="H45" s="51"/>
      <c r="I45" s="491">
        <f>AF26*(1+I41)</f>
        <v>15.070804683670961</v>
      </c>
      <c r="J45" s="491">
        <f t="shared" ref="J45:S45" si="69">+I45</f>
        <v>15.070804683670961</v>
      </c>
      <c r="K45" s="491">
        <f t="shared" si="69"/>
        <v>15.070804683670961</v>
      </c>
      <c r="L45" s="491">
        <f t="shared" si="69"/>
        <v>15.070804683670961</v>
      </c>
      <c r="M45" s="491">
        <f t="shared" si="69"/>
        <v>15.070804683670961</v>
      </c>
      <c r="N45" s="491">
        <f t="shared" si="69"/>
        <v>15.070804683670961</v>
      </c>
      <c r="O45" s="491">
        <f t="shared" si="69"/>
        <v>15.070804683670961</v>
      </c>
      <c r="P45" s="491">
        <f t="shared" si="69"/>
        <v>15.070804683670961</v>
      </c>
      <c r="Q45" s="491">
        <f t="shared" si="69"/>
        <v>15.070804683670961</v>
      </c>
      <c r="R45" s="537">
        <f t="shared" si="69"/>
        <v>15.070804683670961</v>
      </c>
      <c r="S45" s="537">
        <f t="shared" si="69"/>
        <v>15.070804683670961</v>
      </c>
      <c r="T45" s="537">
        <f t="shared" si="63"/>
        <v>15.070804683670961</v>
      </c>
      <c r="U45" s="537">
        <f t="shared" si="63"/>
        <v>15.070804683670961</v>
      </c>
      <c r="V45" s="537">
        <f t="shared" si="64"/>
        <v>15.070804683670961</v>
      </c>
      <c r="W45" s="537">
        <f t="shared" si="64"/>
        <v>15.070804683670961</v>
      </c>
      <c r="X45" s="537">
        <f t="shared" si="65"/>
        <v>15.070804683670961</v>
      </c>
      <c r="Y45" s="537">
        <f t="shared" si="65"/>
        <v>15.070804683670961</v>
      </c>
      <c r="Z45" s="537">
        <f t="shared" si="65"/>
        <v>15.070804683670961</v>
      </c>
      <c r="AA45" s="537">
        <f t="shared" si="66"/>
        <v>15.070804683670961</v>
      </c>
      <c r="AB45" s="537">
        <f t="shared" si="66"/>
        <v>15.070804683670961</v>
      </c>
      <c r="AC45" s="537">
        <f t="shared" si="67"/>
        <v>15.070804683670961</v>
      </c>
      <c r="AD45" s="537">
        <f t="shared" si="67"/>
        <v>15.070804683670961</v>
      </c>
      <c r="AE45" s="537">
        <f t="shared" si="67"/>
        <v>15.070804683670961</v>
      </c>
      <c r="AF45" s="537">
        <f t="shared" si="67"/>
        <v>15.070804683670961</v>
      </c>
    </row>
    <row r="46" spans="1:32">
      <c r="A46" s="295" t="s">
        <v>56</v>
      </c>
      <c r="B46" s="6"/>
      <c r="C46" s="6"/>
      <c r="D46" s="6"/>
      <c r="E46" s="6"/>
      <c r="F46" s="6"/>
      <c r="G46" s="6"/>
      <c r="H46" s="6"/>
      <c r="I46" s="489">
        <f>+I43-I44-I45</f>
        <v>130.87446024801037</v>
      </c>
      <c r="J46" s="489">
        <f t="shared" ref="J46:X46" si="70">+J43-J44-J45</f>
        <v>130.87446024801037</v>
      </c>
      <c r="K46" s="489">
        <f t="shared" si="70"/>
        <v>130.87446024801037</v>
      </c>
      <c r="L46" s="489">
        <f t="shared" si="70"/>
        <v>130.87446024801037</v>
      </c>
      <c r="M46" s="489">
        <f t="shared" si="70"/>
        <v>130.87446024801037</v>
      </c>
      <c r="N46" s="489">
        <f t="shared" si="70"/>
        <v>130.87446024801037</v>
      </c>
      <c r="O46" s="489">
        <f t="shared" si="70"/>
        <v>130.87446024801037</v>
      </c>
      <c r="P46" s="489">
        <f t="shared" si="70"/>
        <v>130.87446024801037</v>
      </c>
      <c r="Q46" s="489">
        <f t="shared" si="70"/>
        <v>130.87446024801037</v>
      </c>
      <c r="R46" s="181">
        <f t="shared" si="70"/>
        <v>130.87446024801037</v>
      </c>
      <c r="S46" s="181">
        <f t="shared" si="70"/>
        <v>130.87446024801037</v>
      </c>
      <c r="T46" s="181">
        <f t="shared" si="70"/>
        <v>130.87446024801037</v>
      </c>
      <c r="U46" s="181">
        <f t="shared" si="70"/>
        <v>130.87446024801037</v>
      </c>
      <c r="V46" s="181">
        <f t="shared" si="70"/>
        <v>130.87446024801037</v>
      </c>
      <c r="W46" s="181">
        <f t="shared" si="70"/>
        <v>130.87446024801037</v>
      </c>
      <c r="X46" s="181">
        <f t="shared" si="70"/>
        <v>130.87446024801037</v>
      </c>
      <c r="Y46" s="181">
        <f t="shared" ref="Y46:AD46" si="71">+Y43-Y44-Y45</f>
        <v>130.87446024801037</v>
      </c>
      <c r="Z46" s="181">
        <f t="shared" si="71"/>
        <v>130.87446024801037</v>
      </c>
      <c r="AA46" s="181">
        <f t="shared" si="71"/>
        <v>130.87446024801037</v>
      </c>
      <c r="AB46" s="181">
        <f t="shared" si="71"/>
        <v>130.87446024801037</v>
      </c>
      <c r="AC46" s="181">
        <f t="shared" si="71"/>
        <v>130.87446024801037</v>
      </c>
      <c r="AD46" s="181">
        <f t="shared" si="71"/>
        <v>130.87446024801037</v>
      </c>
      <c r="AE46" s="181">
        <f>+AE43-AE44-AE45</f>
        <v>130.87446024801037</v>
      </c>
      <c r="AF46" s="181">
        <f>+AF43-AF44-AF45</f>
        <v>130.87446024801037</v>
      </c>
    </row>
    <row r="47" spans="1:32">
      <c r="A47" s="490" t="s">
        <v>57</v>
      </c>
      <c r="B47" s="6"/>
      <c r="C47" s="6"/>
      <c r="D47" s="6"/>
      <c r="E47" s="6"/>
      <c r="F47" s="6"/>
      <c r="G47" s="6"/>
      <c r="H47" s="6"/>
      <c r="I47" s="489">
        <f ca="1">1/(I40-I41)</f>
        <v>14.184291598728024</v>
      </c>
      <c r="J47" s="489">
        <f t="shared" ref="J47:S47" ca="1" si="72">1/(J40-J41)</f>
        <v>14.184291598728024</v>
      </c>
      <c r="K47" s="489">
        <f t="shared" ca="1" si="72"/>
        <v>14.184291598728024</v>
      </c>
      <c r="L47" s="489">
        <f t="shared" ca="1" si="72"/>
        <v>14.184291598728024</v>
      </c>
      <c r="M47" s="489">
        <f t="shared" ca="1" si="72"/>
        <v>14.184291598728024</v>
      </c>
      <c r="N47" s="489">
        <f t="shared" ca="1" si="72"/>
        <v>14.184291598728024</v>
      </c>
      <c r="O47" s="489">
        <f t="shared" ca="1" si="72"/>
        <v>14.184291598728024</v>
      </c>
      <c r="P47" s="489">
        <f t="shared" ca="1" si="72"/>
        <v>14.184291598728024</v>
      </c>
      <c r="Q47" s="489">
        <f t="shared" ca="1" si="72"/>
        <v>14.184291598728024</v>
      </c>
      <c r="R47" s="181">
        <f t="shared" ca="1" si="72"/>
        <v>14.184291598728024</v>
      </c>
      <c r="S47" s="181">
        <f t="shared" ca="1" si="72"/>
        <v>14.184291598728024</v>
      </c>
      <c r="T47" s="181">
        <f t="shared" ref="T47:Z47" ca="1" si="73">1/(T40-T41)</f>
        <v>14.184291598728024</v>
      </c>
      <c r="U47" s="181">
        <f t="shared" ca="1" si="73"/>
        <v>14.184291598728024</v>
      </c>
      <c r="V47" s="181">
        <f t="shared" ca="1" si="73"/>
        <v>14.184291598728024</v>
      </c>
      <c r="W47" s="181">
        <f t="shared" ca="1" si="73"/>
        <v>14.184291598728024</v>
      </c>
      <c r="X47" s="181">
        <f t="shared" ca="1" si="73"/>
        <v>14.184291598728024</v>
      </c>
      <c r="Y47" s="181">
        <f t="shared" ca="1" si="73"/>
        <v>14.184291598728024</v>
      </c>
      <c r="Z47" s="181">
        <f t="shared" ca="1" si="73"/>
        <v>14.184291598728024</v>
      </c>
      <c r="AA47" s="181">
        <f t="shared" ref="AA47:AF47" ca="1" si="74">1/(AA40-AA41)</f>
        <v>14.184291598728024</v>
      </c>
      <c r="AB47" s="181">
        <f t="shared" ca="1" si="74"/>
        <v>14.184291598728024</v>
      </c>
      <c r="AC47" s="181">
        <f t="shared" ca="1" si="74"/>
        <v>14.184291598728024</v>
      </c>
      <c r="AD47" s="181">
        <f t="shared" ca="1" si="74"/>
        <v>14.184291598728024</v>
      </c>
      <c r="AE47" s="181">
        <f t="shared" ca="1" si="74"/>
        <v>14.184291598728024</v>
      </c>
      <c r="AF47" s="181">
        <f t="shared" ca="1" si="74"/>
        <v>14.184291598728024</v>
      </c>
    </row>
    <row r="48" spans="1:32">
      <c r="A48" s="490" t="s">
        <v>58</v>
      </c>
      <c r="B48" s="6"/>
      <c r="C48" s="6"/>
      <c r="D48" s="6"/>
      <c r="E48" s="6"/>
      <c r="F48" s="6"/>
      <c r="G48" s="6"/>
      <c r="H48" s="6"/>
      <c r="I48" s="489">
        <f ca="1">+I49/I43</f>
        <v>9.6849528332213577</v>
      </c>
      <c r="J48" s="489">
        <f t="shared" ref="J48:S48" ca="1" si="75">+J49/J43</f>
        <v>9.6849528332213577</v>
      </c>
      <c r="K48" s="489">
        <f t="shared" ca="1" si="75"/>
        <v>9.6849528332213577</v>
      </c>
      <c r="L48" s="489">
        <f t="shared" ca="1" si="75"/>
        <v>9.6849528332213577</v>
      </c>
      <c r="M48" s="489">
        <f t="shared" ca="1" si="75"/>
        <v>9.6849528332213577</v>
      </c>
      <c r="N48" s="489">
        <f t="shared" ca="1" si="75"/>
        <v>9.6849528332213577</v>
      </c>
      <c r="O48" s="489">
        <f t="shared" ca="1" si="75"/>
        <v>9.6849528332213577</v>
      </c>
      <c r="P48" s="489">
        <f t="shared" ca="1" si="75"/>
        <v>9.6849528332213577</v>
      </c>
      <c r="Q48" s="489">
        <f t="shared" ca="1" si="75"/>
        <v>9.6849528332213577</v>
      </c>
      <c r="R48" s="181">
        <f t="shared" ca="1" si="75"/>
        <v>9.6849528332213577</v>
      </c>
      <c r="S48" s="181">
        <f t="shared" ca="1" si="75"/>
        <v>9.6849528332213577</v>
      </c>
      <c r="T48" s="181">
        <f t="shared" ref="T48:Z48" ca="1" si="76">+T49/T43</f>
        <v>9.6849528332213577</v>
      </c>
      <c r="U48" s="181">
        <f t="shared" ca="1" si="76"/>
        <v>9.6849528332213577</v>
      </c>
      <c r="V48" s="181">
        <f t="shared" ca="1" si="76"/>
        <v>9.6849528332213577</v>
      </c>
      <c r="W48" s="181">
        <f t="shared" ca="1" si="76"/>
        <v>9.6849528332213577</v>
      </c>
      <c r="X48" s="181">
        <f t="shared" ca="1" si="76"/>
        <v>9.6849528332213577</v>
      </c>
      <c r="Y48" s="181">
        <f t="shared" ca="1" si="76"/>
        <v>9.6849528332213577</v>
      </c>
      <c r="Z48" s="181">
        <f t="shared" ca="1" si="76"/>
        <v>9.6849528332213577</v>
      </c>
      <c r="AA48" s="181">
        <f t="shared" ref="AA48:AF48" ca="1" si="77">+AA49/AA43</f>
        <v>9.6849528332213577</v>
      </c>
      <c r="AB48" s="181">
        <f t="shared" ca="1" si="77"/>
        <v>9.6849528332213577</v>
      </c>
      <c r="AC48" s="181">
        <f t="shared" ca="1" si="77"/>
        <v>9.6849528332213577</v>
      </c>
      <c r="AD48" s="181">
        <f t="shared" ca="1" si="77"/>
        <v>9.6849528332213577</v>
      </c>
      <c r="AE48" s="181">
        <f t="shared" ca="1" si="77"/>
        <v>9.6849528332213577</v>
      </c>
      <c r="AF48" s="181">
        <f t="shared" ca="1" si="77"/>
        <v>9.6849528332213577</v>
      </c>
    </row>
    <row r="49" spans="1:33">
      <c r="A49" s="295" t="s">
        <v>59</v>
      </c>
      <c r="B49" s="6"/>
      <c r="C49" s="6"/>
      <c r="D49" s="6"/>
      <c r="E49" s="6"/>
      <c r="F49" s="6"/>
      <c r="G49" s="6"/>
      <c r="H49" s="6"/>
      <c r="I49" s="489">
        <f ca="1">I47*I46</f>
        <v>1856.3615069839182</v>
      </c>
      <c r="J49" s="489">
        <f t="shared" ref="J49:S49" ca="1" si="78">J47*J46</f>
        <v>1856.3615069839182</v>
      </c>
      <c r="K49" s="489">
        <f t="shared" ca="1" si="78"/>
        <v>1856.3615069839182</v>
      </c>
      <c r="L49" s="489">
        <f t="shared" ca="1" si="78"/>
        <v>1856.3615069839182</v>
      </c>
      <c r="M49" s="489">
        <f t="shared" ca="1" si="78"/>
        <v>1856.3615069839182</v>
      </c>
      <c r="N49" s="489">
        <f t="shared" ca="1" si="78"/>
        <v>1856.3615069839182</v>
      </c>
      <c r="O49" s="489">
        <f t="shared" ca="1" si="78"/>
        <v>1856.3615069839182</v>
      </c>
      <c r="P49" s="489">
        <f t="shared" ca="1" si="78"/>
        <v>1856.3615069839182</v>
      </c>
      <c r="Q49" s="489">
        <f t="shared" ca="1" si="78"/>
        <v>1856.3615069839182</v>
      </c>
      <c r="R49" s="181">
        <f t="shared" ca="1" si="78"/>
        <v>1856.3615069839182</v>
      </c>
      <c r="S49" s="181">
        <f t="shared" ca="1" si="78"/>
        <v>1856.3615069839182</v>
      </c>
      <c r="T49" s="181">
        <f t="shared" ref="T49:Z49" ca="1" si="79">T47*T46</f>
        <v>1856.3615069839182</v>
      </c>
      <c r="U49" s="181">
        <f t="shared" ca="1" si="79"/>
        <v>1856.3615069839182</v>
      </c>
      <c r="V49" s="181">
        <f t="shared" ca="1" si="79"/>
        <v>1856.3615069839182</v>
      </c>
      <c r="W49" s="181">
        <f t="shared" ca="1" si="79"/>
        <v>1856.3615069839182</v>
      </c>
      <c r="X49" s="181">
        <f t="shared" ca="1" si="79"/>
        <v>1856.3615069839182</v>
      </c>
      <c r="Y49" s="181">
        <f t="shared" ca="1" si="79"/>
        <v>1856.3615069839182</v>
      </c>
      <c r="Z49" s="181">
        <f t="shared" ca="1" si="79"/>
        <v>1856.3615069839182</v>
      </c>
      <c r="AA49" s="181">
        <f t="shared" ref="AA49:AF49" ca="1" si="80">AA47*AA46</f>
        <v>1856.3615069839182</v>
      </c>
      <c r="AB49" s="181">
        <f t="shared" ca="1" si="80"/>
        <v>1856.3615069839182</v>
      </c>
      <c r="AC49" s="181">
        <f t="shared" ca="1" si="80"/>
        <v>1856.3615069839182</v>
      </c>
      <c r="AD49" s="181">
        <f t="shared" ca="1" si="80"/>
        <v>1856.3615069839182</v>
      </c>
      <c r="AE49" s="181">
        <f t="shared" ca="1" si="80"/>
        <v>1856.3615069839182</v>
      </c>
      <c r="AF49" s="181">
        <f t="shared" ca="1" si="80"/>
        <v>1856.3615069839182</v>
      </c>
    </row>
    <row r="50" spans="1:33">
      <c r="A50" s="295" t="s">
        <v>60</v>
      </c>
      <c r="B50" s="6"/>
      <c r="C50" s="6"/>
      <c r="D50" s="6"/>
      <c r="E50" s="6"/>
      <c r="F50" s="6"/>
      <c r="G50" s="6"/>
      <c r="H50" s="6"/>
      <c r="I50" s="489">
        <f ca="1">I49/((1+I40)^I56)</f>
        <v>312.81528512862326</v>
      </c>
      <c r="J50" s="489">
        <f t="shared" ref="J50:X50" ca="1" si="81">J49/((1+J40)^J56)</f>
        <v>337.99707971106756</v>
      </c>
      <c r="K50" s="489">
        <f t="shared" ca="1" si="81"/>
        <v>365.20602196991678</v>
      </c>
      <c r="L50" s="489">
        <f t="shared" ca="1" si="81"/>
        <v>394.60529835673617</v>
      </c>
      <c r="M50" s="489">
        <f t="shared" ca="1" si="81"/>
        <v>426.37123191806342</v>
      </c>
      <c r="N50" s="489">
        <f t="shared" ca="1" si="81"/>
        <v>460.69433979819684</v>
      </c>
      <c r="O50" s="489">
        <f t="shared" ca="1" si="81"/>
        <v>497.78047587151201</v>
      </c>
      <c r="P50" s="489">
        <f ca="1">P49/((1+P40)^P56)</f>
        <v>537.85206535728037</v>
      </c>
      <c r="Q50" s="489">
        <f t="shared" ca="1" si="81"/>
        <v>581.14943882162845</v>
      </c>
      <c r="R50" s="181">
        <f t="shared" ca="1" si="81"/>
        <v>627.93227356735281</v>
      </c>
      <c r="S50" s="181">
        <f t="shared" ca="1" si="81"/>
        <v>678.48115105637498</v>
      </c>
      <c r="T50" s="181">
        <f t="shared" ca="1" si="81"/>
        <v>733.09923970551779</v>
      </c>
      <c r="U50" s="181">
        <f t="shared" ca="1" si="81"/>
        <v>792.11411314822624</v>
      </c>
      <c r="V50" s="181">
        <f t="shared" ca="1" si="81"/>
        <v>855.87971486731089</v>
      </c>
      <c r="W50" s="181">
        <f t="shared" ca="1" si="81"/>
        <v>924.77848098165759</v>
      </c>
      <c r="X50" s="181">
        <f t="shared" ca="1" si="81"/>
        <v>999.22363391838064</v>
      </c>
      <c r="Y50" s="181">
        <f t="shared" ref="Y50:AD50" ca="1" si="82">Y49/((1+Y40)^Y56)</f>
        <v>1079.6616607267895</v>
      </c>
      <c r="Z50" s="181">
        <f t="shared" ca="1" si="82"/>
        <v>1166.5749908979276</v>
      </c>
      <c r="AA50" s="181">
        <f t="shared" ca="1" si="82"/>
        <v>1260.4848897499912</v>
      </c>
      <c r="AB50" s="181">
        <f t="shared" ca="1" si="82"/>
        <v>1361.954584732792</v>
      </c>
      <c r="AC50" s="181">
        <f t="shared" ca="1" si="82"/>
        <v>1471.5926434013686</v>
      </c>
      <c r="AD50" s="181">
        <f t="shared" ca="1" si="82"/>
        <v>1590.056623318246</v>
      </c>
      <c r="AE50" s="181">
        <f ca="1">AE49/((1+AE40)^AE56)</f>
        <v>1718.0570157747441</v>
      </c>
      <c r="AF50" s="181">
        <f ca="1">AF49/((1+AF40)^AF56)</f>
        <v>1856.3615069839182</v>
      </c>
    </row>
    <row r="51" spans="1:33">
      <c r="A51" s="295" t="s">
        <v>63</v>
      </c>
      <c r="B51" s="6"/>
      <c r="C51" s="6"/>
      <c r="D51" s="6"/>
      <c r="E51" s="6"/>
      <c r="F51" s="6"/>
      <c r="G51" s="6"/>
      <c r="H51" s="6"/>
      <c r="I51" s="172">
        <f ca="1">NPV(I40,J31:$AF31)</f>
        <v>751.39247493006235</v>
      </c>
      <c r="J51" s="172">
        <f ca="1">NPV(J40,K31:$AF31)</f>
        <v>762.76692340653881</v>
      </c>
      <c r="K51" s="172">
        <f ca="1">NPV(K40,L31:$AF31)</f>
        <v>761.84606095337801</v>
      </c>
      <c r="L51" s="172">
        <f ca="1">NPV(L40,M31:$AF31)</f>
        <v>767.1220685895745</v>
      </c>
      <c r="M51" s="172">
        <f ca="1">NPV(M40,N31:$AF31)</f>
        <v>799.32979760872843</v>
      </c>
      <c r="N51" s="172">
        <f ca="1">NPV(N40,O31:$AF31)</f>
        <v>819.58976571284722</v>
      </c>
      <c r="O51" s="172">
        <f ca="1">NPV(O40,P31:$AF31)</f>
        <v>826.17683687945578</v>
      </c>
      <c r="P51" s="172">
        <f ca="1">NPV(P40,Q31:$AF31)</f>
        <v>835.69433073111554</v>
      </c>
      <c r="Q51" s="172">
        <f ca="1">NPV(Q40,R31:$AF31)</f>
        <v>828.20252283152365</v>
      </c>
      <c r="R51" s="172">
        <f ca="1">NPV(R40,S31:$AF31)</f>
        <v>824.32868546517295</v>
      </c>
      <c r="S51" s="172">
        <f ca="1">NPV(S40,T31:$AF31)</f>
        <v>810.4498771582854</v>
      </c>
      <c r="T51" s="172">
        <f ca="1">NPV(T40,U31:$AF31)</f>
        <v>791.60007000068606</v>
      </c>
      <c r="U51" s="172">
        <f ca="1">NPV(U40,V31:$AF31)</f>
        <v>762.87915097668281</v>
      </c>
      <c r="V51" s="172">
        <f ca="1">NPV(V40,W31:$AF31)</f>
        <v>732.62931697680267</v>
      </c>
      <c r="W51" s="172">
        <f ca="1">NPV(W40,X31:$AF31)</f>
        <v>696.572395548288</v>
      </c>
      <c r="X51" s="172">
        <f ca="1">NPV(X40,Y31:$AF31)</f>
        <v>654.07150721084031</v>
      </c>
      <c r="Y51" s="172">
        <f ca="1">NPV(Y40,Z31:$AF31)</f>
        <v>604.53708193092757</v>
      </c>
      <c r="Z51" s="172">
        <f ca="1">NPV(Z40,AA31:$AF31)</f>
        <v>547.33067243165374</v>
      </c>
      <c r="AA51" s="172">
        <f ca="1">NPV(AA40,AB31:$AF31)</f>
        <v>481.7609912180954</v>
      </c>
      <c r="AB51" s="172">
        <f ca="1">NPV(AB40,AC31:$AF31)</f>
        <v>407.07962801448252</v>
      </c>
      <c r="AC51" s="172">
        <f ca="1">NPV(AC40,AD31:$AF31)</f>
        <v>322.47642187487156</v>
      </c>
      <c r="AD51" s="172">
        <f ca="1">NPV(AD40,AE31:$AF31)</f>
        <v>227.07446015679128</v>
      </c>
      <c r="AE51" s="172">
        <f ca="1">NPV(AE40,AF31:$AF31)</f>
        <v>119.92467430834296</v>
      </c>
      <c r="AG51" s="1396"/>
    </row>
    <row r="52" spans="1:33">
      <c r="A52" s="295"/>
      <c r="B52" s="6"/>
      <c r="C52" s="6"/>
      <c r="D52" s="6"/>
      <c r="E52" s="6"/>
      <c r="F52" s="6"/>
      <c r="G52" s="6"/>
      <c r="H52" s="6"/>
      <c r="I52" s="492"/>
      <c r="J52" s="492"/>
      <c r="K52" s="492"/>
      <c r="L52" s="492"/>
      <c r="M52" s="492"/>
      <c r="N52" s="492"/>
      <c r="O52" s="492"/>
      <c r="P52" s="492"/>
      <c r="Q52" s="492"/>
      <c r="R52" s="539"/>
      <c r="S52" s="539"/>
      <c r="T52" s="539"/>
      <c r="U52" s="539"/>
      <c r="V52" s="539"/>
      <c r="W52" s="539"/>
      <c r="Y52" s="1048"/>
      <c r="Z52" s="1048"/>
      <c r="AA52" s="1048"/>
      <c r="AB52" s="1048"/>
      <c r="AC52" s="1048"/>
      <c r="AD52" s="1048"/>
    </row>
    <row r="53" spans="1:33">
      <c r="A53" s="295" t="s">
        <v>64</v>
      </c>
      <c r="B53" s="6"/>
      <c r="C53" s="6"/>
      <c r="D53" s="6"/>
      <c r="E53" s="6"/>
      <c r="F53" s="6"/>
      <c r="G53" s="6"/>
      <c r="H53" s="6"/>
      <c r="I53" s="493">
        <f t="shared" ref="I53:S53" ca="1" si="83">I51+I50</f>
        <v>1064.2077600586856</v>
      </c>
      <c r="J53" s="493">
        <f t="shared" ca="1" si="83"/>
        <v>1100.7640031176063</v>
      </c>
      <c r="K53" s="493">
        <f t="shared" ca="1" si="83"/>
        <v>1127.0520829232948</v>
      </c>
      <c r="L53" s="493">
        <f t="shared" ca="1" si="83"/>
        <v>1161.7273669463107</v>
      </c>
      <c r="M53" s="493">
        <f t="shared" ca="1" si="83"/>
        <v>1225.7010295267919</v>
      </c>
      <c r="N53" s="493">
        <f t="shared" ca="1" si="83"/>
        <v>1280.2841055110441</v>
      </c>
      <c r="O53" s="493">
        <f t="shared" ca="1" si="83"/>
        <v>1323.9573127509677</v>
      </c>
      <c r="P53" s="493">
        <f t="shared" ca="1" si="83"/>
        <v>1373.5463960883958</v>
      </c>
      <c r="Q53" s="493">
        <f t="shared" ca="1" si="83"/>
        <v>1409.3519616531521</v>
      </c>
      <c r="R53" s="540">
        <f t="shared" ca="1" si="83"/>
        <v>1452.2609590325258</v>
      </c>
      <c r="S53" s="540">
        <f t="shared" ca="1" si="83"/>
        <v>1488.9310282146603</v>
      </c>
      <c r="T53" s="540">
        <f t="shared" ref="T53:Z53" ca="1" si="84">T51+T50</f>
        <v>1524.6993097062038</v>
      </c>
      <c r="U53" s="540">
        <f t="shared" ca="1" si="84"/>
        <v>1554.993264124909</v>
      </c>
      <c r="V53" s="540">
        <f t="shared" ca="1" si="84"/>
        <v>1588.5090318441135</v>
      </c>
      <c r="W53" s="540">
        <f t="shared" ca="1" si="84"/>
        <v>1621.3508765299457</v>
      </c>
      <c r="X53" s="540">
        <f t="shared" ca="1" si="84"/>
        <v>1653.2951411292211</v>
      </c>
      <c r="Y53" s="540">
        <f t="shared" ca="1" si="84"/>
        <v>1684.198742657717</v>
      </c>
      <c r="Z53" s="540">
        <f t="shared" ca="1" si="84"/>
        <v>1713.9056633295813</v>
      </c>
      <c r="AA53" s="540">
        <f t="shared" ref="AA53:AF53" ca="1" si="85">AA51+AA50</f>
        <v>1742.2458809680866</v>
      </c>
      <c r="AB53" s="540">
        <f t="shared" ca="1" si="85"/>
        <v>1769.0342127472745</v>
      </c>
      <c r="AC53" s="540">
        <f t="shared" ca="1" si="85"/>
        <v>1794.0690652762401</v>
      </c>
      <c r="AD53" s="540">
        <f t="shared" ca="1" si="85"/>
        <v>1817.1310834750373</v>
      </c>
      <c r="AE53" s="540">
        <f t="shared" ca="1" si="85"/>
        <v>1837.981690083087</v>
      </c>
      <c r="AF53" s="540">
        <f t="shared" ca="1" si="85"/>
        <v>1856.3615069839182</v>
      </c>
    </row>
    <row r="54" spans="1:33">
      <c r="A54" s="490" t="s">
        <v>72</v>
      </c>
      <c r="B54" s="6"/>
      <c r="C54" s="6"/>
      <c r="D54" s="6"/>
      <c r="E54" s="6"/>
      <c r="F54" s="6"/>
      <c r="G54" s="6"/>
      <c r="H54" s="6"/>
      <c r="I54" s="494">
        <f ca="1">I53/I16</f>
        <v>12.773605908724681</v>
      </c>
      <c r="J54" s="494">
        <f t="shared" ref="J54:Z54" ca="1" si="86">J53/J16</f>
        <v>14.112359014328286</v>
      </c>
      <c r="K54" s="494">
        <f t="shared" ca="1" si="86"/>
        <v>11.595186038305503</v>
      </c>
      <c r="L54" s="494">
        <f t="shared" ca="1" si="86"/>
        <v>13.171512096896945</v>
      </c>
      <c r="M54" s="494">
        <f t="shared" ca="1" si="86"/>
        <v>23.391241021503664</v>
      </c>
      <c r="N54" s="494">
        <f t="shared" ca="1" si="86"/>
        <v>17.831254951407296</v>
      </c>
      <c r="O54" s="494">
        <f t="shared" ca="1" si="86"/>
        <v>14.390840355988781</v>
      </c>
      <c r="P54" s="494">
        <f t="shared" ca="1" si="86"/>
        <v>15.43310557402692</v>
      </c>
      <c r="Q54" s="494">
        <f t="shared" ca="1" si="86"/>
        <v>12.472141253567719</v>
      </c>
      <c r="R54" s="494">
        <f t="shared" ca="1" si="86"/>
        <v>13.572532327406783</v>
      </c>
      <c r="S54" s="494">
        <f t="shared" ca="1" si="86"/>
        <v>12.407758568455503</v>
      </c>
      <c r="T54" s="494">
        <f t="shared" ca="1" si="86"/>
        <v>12.197594477649631</v>
      </c>
      <c r="U54" s="494">
        <f t="shared" ca="1" si="86"/>
        <v>11.362590712045925</v>
      </c>
      <c r="V54" s="494">
        <f t="shared" ca="1" si="86"/>
        <v>11.666208443548365</v>
      </c>
      <c r="W54" s="494">
        <f t="shared" ca="1" si="86"/>
        <v>11.494081857441106</v>
      </c>
      <c r="X54" s="494">
        <f t="shared" ca="1" si="86"/>
        <v>11.319759369850148</v>
      </c>
      <c r="Y54" s="541">
        <f t="shared" ca="1" si="86"/>
        <v>11.142706446152907</v>
      </c>
      <c r="Z54" s="541">
        <f t="shared" ca="1" si="86"/>
        <v>10.962391339848603</v>
      </c>
      <c r="AA54" s="541">
        <f t="shared" ref="AA54:AF54" ca="1" si="87">AA53/AA16</f>
        <v>10.77828188806143</v>
      </c>
      <c r="AB54" s="541">
        <f t="shared" ca="1" si="87"/>
        <v>10.589842528791658</v>
      </c>
      <c r="AC54" s="541">
        <f t="shared" ca="1" si="87"/>
        <v>10.396531495597392</v>
      </c>
      <c r="AD54" s="541">
        <f t="shared" ca="1" si="87"/>
        <v>10.19779815185797</v>
      </c>
      <c r="AE54" s="541">
        <f t="shared" ca="1" si="87"/>
        <v>9.9930804320260247</v>
      </c>
      <c r="AF54" s="541">
        <f t="shared" ca="1" si="87"/>
        <v>9.7818023615535719</v>
      </c>
    </row>
    <row r="55" spans="1:33">
      <c r="A55" s="490" t="s">
        <v>73</v>
      </c>
      <c r="B55" s="6"/>
      <c r="C55" s="6"/>
      <c r="D55" s="6"/>
      <c r="E55" s="6"/>
      <c r="F55" s="6"/>
      <c r="G55" s="6"/>
      <c r="H55" s="6"/>
      <c r="I55" s="494">
        <f t="shared" ref="I55:Y55" ca="1" si="88">I53/J16</f>
        <v>13.643689231521611</v>
      </c>
      <c r="J55" s="494">
        <f t="shared" ca="1" si="88"/>
        <v>11.324732542362204</v>
      </c>
      <c r="K55" s="494">
        <f t="shared" ca="1" si="88"/>
        <v>12.778368287112187</v>
      </c>
      <c r="L55" s="494">
        <f t="shared" ca="1" si="88"/>
        <v>22.170369598212037</v>
      </c>
      <c r="M55" s="494">
        <f t="shared" ca="1" si="88"/>
        <v>17.07104497948178</v>
      </c>
      <c r="N55" s="494">
        <f t="shared" ca="1" si="88"/>
        <v>13.916131581641784</v>
      </c>
      <c r="O55" s="494">
        <f t="shared" ca="1" si="88"/>
        <v>14.875924862370423</v>
      </c>
      <c r="P55" s="494">
        <f t="shared" ca="1" si="88"/>
        <v>12.155277841490228</v>
      </c>
      <c r="Q55" s="494">
        <f t="shared" ca="1" si="88"/>
        <v>13.171513660309833</v>
      </c>
      <c r="R55" s="494">
        <f t="shared" ca="1" si="88"/>
        <v>12.102174658604381</v>
      </c>
      <c r="S55" s="494">
        <f t="shared" ca="1" si="88"/>
        <v>11.911448225717281</v>
      </c>
      <c r="T55" s="494">
        <f t="shared" ca="1" si="88"/>
        <v>11.141227820610615</v>
      </c>
      <c r="U55" s="494">
        <f t="shared" ca="1" si="88"/>
        <v>11.420064465440873</v>
      </c>
      <c r="V55" s="494">
        <f t="shared" ca="1" si="88"/>
        <v>11.261259427310357</v>
      </c>
      <c r="W55" s="494">
        <f t="shared" ca="1" si="88"/>
        <v>11.101043800249164</v>
      </c>
      <c r="X55" s="494">
        <f t="shared" ca="1" si="88"/>
        <v>10.938247345668412</v>
      </c>
      <c r="Y55" s="541">
        <f t="shared" ca="1" si="88"/>
        <v>10.772381529580421</v>
      </c>
      <c r="Z55" s="541">
        <f t="shared" ref="Z55:AE55" ca="1" si="89">Z53/AA16</f>
        <v>10.602957120292663</v>
      </c>
      <c r="AA55" s="541">
        <f t="shared" ca="1" si="89"/>
        <v>10.429481461093555</v>
      </c>
      <c r="AB55" s="541">
        <f t="shared" ca="1" si="89"/>
        <v>10.25145590300032</v>
      </c>
      <c r="AC55" s="541">
        <f t="shared" ca="1" si="89"/>
        <v>10.068373363132189</v>
      </c>
      <c r="AD55" s="541">
        <f t="shared" ca="1" si="89"/>
        <v>9.8797159790420803</v>
      </c>
      <c r="AE55" s="541">
        <f t="shared" ca="1" si="89"/>
        <v>9.6849528332213559</v>
      </c>
    </row>
    <row r="56" spans="1:33">
      <c r="A56" s="495" t="s">
        <v>61</v>
      </c>
      <c r="B56" s="6"/>
      <c r="C56" s="6"/>
      <c r="D56" s="6"/>
      <c r="E56" s="6"/>
      <c r="F56" s="6"/>
      <c r="G56" s="6"/>
      <c r="H56" s="6"/>
      <c r="I56" s="1402">
        <f>J56+1</f>
        <v>23</v>
      </c>
      <c r="J56" s="1402">
        <f t="shared" ref="J56:Z56" si="90">K56+1</f>
        <v>22</v>
      </c>
      <c r="K56" s="1402">
        <f t="shared" si="90"/>
        <v>21</v>
      </c>
      <c r="L56" s="1402">
        <f t="shared" si="90"/>
        <v>20</v>
      </c>
      <c r="M56" s="1402">
        <f t="shared" si="90"/>
        <v>19</v>
      </c>
      <c r="N56" s="1402">
        <f t="shared" si="90"/>
        <v>18</v>
      </c>
      <c r="O56" s="1402">
        <f t="shared" si="90"/>
        <v>17</v>
      </c>
      <c r="P56" s="1402">
        <f t="shared" si="90"/>
        <v>16</v>
      </c>
      <c r="Q56" s="1402">
        <f t="shared" si="90"/>
        <v>15</v>
      </c>
      <c r="R56" s="1402">
        <f t="shared" si="90"/>
        <v>14</v>
      </c>
      <c r="S56" s="1402">
        <f t="shared" si="90"/>
        <v>13</v>
      </c>
      <c r="T56" s="1402">
        <f t="shared" si="90"/>
        <v>12</v>
      </c>
      <c r="U56" s="1402">
        <f t="shared" si="90"/>
        <v>11</v>
      </c>
      <c r="V56" s="1402">
        <f t="shared" si="90"/>
        <v>10</v>
      </c>
      <c r="W56" s="1402">
        <f t="shared" si="90"/>
        <v>9</v>
      </c>
      <c r="X56" s="1402">
        <f t="shared" si="90"/>
        <v>8</v>
      </c>
      <c r="Y56" s="1402">
        <f t="shared" si="90"/>
        <v>7</v>
      </c>
      <c r="Z56" s="1402">
        <f t="shared" si="90"/>
        <v>6</v>
      </c>
      <c r="AA56" s="1402">
        <f>AB56+1</f>
        <v>5</v>
      </c>
      <c r="AB56" s="1402">
        <f>AC56+1</f>
        <v>4</v>
      </c>
      <c r="AC56" s="1402">
        <f>AD56+1</f>
        <v>3</v>
      </c>
      <c r="AD56" s="1402">
        <f>AE56+1</f>
        <v>2</v>
      </c>
      <c r="AE56" s="1402">
        <f>AF56+1</f>
        <v>1</v>
      </c>
      <c r="AF56" s="1401">
        <v>0</v>
      </c>
      <c r="AG56" s="1396"/>
    </row>
  </sheetData>
  <phoneticPr fontId="3" type="noConversion"/>
  <pageMargins left="0.75" right="0.75" top="1" bottom="1" header="0.5" footer="0.5"/>
  <pageSetup orientation="portrait" r:id="rId1"/>
  <headerFooter alignWithMargins="0"/>
  <ignoredErrors>
    <ignoredError sqref="T40:AC40 AD40:AE40 Q40:S40 J40:P40" formula="1"/>
  </ignoredErrors>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BS92"/>
  <sheetViews>
    <sheetView showGridLines="0" workbookViewId="0">
      <pane xSplit="1" ySplit="6" topLeftCell="U7" activePane="bottomRight" state="frozen"/>
      <selection activeCell="S18" sqref="S18"/>
      <selection pane="topRight" activeCell="S18" sqref="S18"/>
      <selection pane="bottomLeft" activeCell="S18" sqref="S18"/>
      <selection pane="bottomRight" activeCell="AM108" sqref="AM108"/>
    </sheetView>
  </sheetViews>
  <sheetFormatPr defaultRowHeight="12.75" outlineLevelCol="1"/>
  <cols>
    <col min="1" max="1" width="28" customWidth="1"/>
    <col min="2" max="22" width="9.140625" hidden="1" customWidth="1" outlineLevel="1"/>
    <col min="23" max="23" width="9.140625" hidden="1" customWidth="1" outlineLevel="1" collapsed="1"/>
    <col min="24" max="26" width="9.140625" hidden="1" customWidth="1" outlineLevel="1"/>
    <col min="27" max="27" width="9.140625" collapsed="1"/>
  </cols>
  <sheetData>
    <row r="1" spans="1:71" ht="15">
      <c r="A1" s="567" t="s">
        <v>638</v>
      </c>
      <c r="B1" s="36"/>
      <c r="C1" s="584"/>
      <c r="D1" s="36"/>
      <c r="E1" s="36"/>
      <c r="F1" s="36"/>
      <c r="G1" s="36"/>
      <c r="H1" s="36"/>
      <c r="I1" s="6"/>
      <c r="J1" s="6"/>
      <c r="K1" s="6"/>
      <c r="L1" s="6"/>
      <c r="M1" s="6"/>
      <c r="N1" s="6"/>
      <c r="O1" s="6"/>
      <c r="P1" s="6"/>
      <c r="Q1" s="6"/>
      <c r="R1" s="6"/>
      <c r="S1" s="126"/>
      <c r="T1" s="126"/>
      <c r="U1" s="126"/>
      <c r="V1" s="126"/>
      <c r="W1" s="126"/>
      <c r="X1" s="124"/>
      <c r="Y1" s="124"/>
      <c r="Z1" s="124"/>
      <c r="AA1" s="124"/>
      <c r="AB1" s="124"/>
      <c r="AC1" s="124"/>
      <c r="AD1" s="124"/>
      <c r="AE1" s="124"/>
      <c r="AF1" s="124"/>
      <c r="AG1" s="124"/>
      <c r="AH1" s="124"/>
      <c r="AI1" s="124"/>
      <c r="AJ1" s="124"/>
      <c r="AK1" s="124"/>
      <c r="AL1" s="1211"/>
      <c r="AM1" s="1211"/>
      <c r="AN1" s="1211"/>
      <c r="AO1" s="1211"/>
      <c r="AP1" s="124"/>
      <c r="AQ1" s="124"/>
      <c r="AR1" s="124"/>
      <c r="AS1" s="124"/>
      <c r="AT1" s="124"/>
      <c r="AU1" s="6"/>
      <c r="AV1" s="6"/>
      <c r="AW1" s="6"/>
      <c r="AX1" s="6"/>
      <c r="AY1" s="6"/>
      <c r="AZ1" s="6"/>
      <c r="BA1" s="6"/>
      <c r="BB1" s="6"/>
      <c r="BC1" s="6"/>
      <c r="BD1" s="6"/>
      <c r="BE1" s="6"/>
      <c r="BF1" s="6"/>
      <c r="BG1" s="6"/>
      <c r="BH1" s="6"/>
      <c r="BI1" s="6"/>
      <c r="BJ1" s="6"/>
      <c r="BK1" s="6"/>
      <c r="BL1" s="6"/>
      <c r="BM1" s="6"/>
      <c r="BN1" s="6"/>
      <c r="BO1" s="6"/>
      <c r="BP1" s="6"/>
      <c r="BQ1" s="6"/>
      <c r="BR1" s="6"/>
      <c r="BS1" s="6"/>
    </row>
    <row r="2" spans="1:71" ht="15">
      <c r="A2" s="567" t="s">
        <v>1129</v>
      </c>
      <c r="B2" s="259"/>
      <c r="C2" s="585"/>
      <c r="D2" s="259"/>
      <c r="E2" s="259"/>
      <c r="F2" s="259"/>
      <c r="G2" s="259"/>
      <c r="H2" s="259"/>
      <c r="I2" s="6"/>
      <c r="J2" s="6"/>
      <c r="K2" s="6"/>
      <c r="L2" s="6"/>
      <c r="M2" s="6"/>
      <c r="N2" s="6"/>
      <c r="O2" s="6"/>
      <c r="P2" s="6"/>
      <c r="Q2" s="6"/>
      <c r="R2" s="6"/>
      <c r="S2" s="126"/>
      <c r="T2" s="126"/>
      <c r="U2" s="126"/>
      <c r="V2" s="126"/>
      <c r="W2" s="126"/>
      <c r="X2" s="124"/>
      <c r="Y2" s="124"/>
      <c r="Z2" s="124"/>
      <c r="AA2" s="124"/>
      <c r="AB2" s="124"/>
      <c r="AC2" s="124"/>
      <c r="AD2" s="124"/>
      <c r="AE2" s="124"/>
      <c r="AF2" s="124"/>
      <c r="AG2" s="124"/>
      <c r="AH2" s="124"/>
      <c r="AI2" s="124"/>
      <c r="AJ2" s="124"/>
      <c r="AK2" s="124"/>
      <c r="AL2" s="124"/>
      <c r="AM2" s="124"/>
      <c r="AN2" s="124"/>
      <c r="AO2" s="1211"/>
      <c r="AP2" s="124"/>
      <c r="AQ2" s="124"/>
      <c r="AR2" s="124"/>
      <c r="AS2" s="124"/>
      <c r="AT2" s="124"/>
      <c r="AU2" s="6"/>
      <c r="AV2" s="6"/>
      <c r="AW2" s="6"/>
      <c r="AX2" s="6"/>
      <c r="AY2" s="6"/>
      <c r="AZ2" s="6"/>
      <c r="BA2" s="6"/>
      <c r="BB2" s="6"/>
      <c r="BC2" s="6"/>
      <c r="BD2" s="6"/>
      <c r="BE2" s="6"/>
      <c r="BF2" s="6"/>
      <c r="BG2" s="6"/>
      <c r="BH2" s="6"/>
      <c r="BI2" s="6"/>
      <c r="BJ2" s="6"/>
      <c r="BK2" s="6"/>
      <c r="BL2" s="6"/>
      <c r="BM2" s="6"/>
      <c r="BN2" s="6"/>
      <c r="BO2" s="6"/>
      <c r="BP2" s="6"/>
      <c r="BQ2" s="6"/>
      <c r="BR2" s="6"/>
      <c r="BS2" s="6"/>
    </row>
    <row r="3" spans="1:71">
      <c r="A3" s="543"/>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row>
    <row r="4" spans="1:71">
      <c r="A4" s="544"/>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row>
    <row r="5" spans="1:71">
      <c r="A5" s="545" t="s">
        <v>741</v>
      </c>
      <c r="B5" s="497">
        <v>1990</v>
      </c>
      <c r="C5" s="497">
        <f t="shared" ref="C5:L5" si="0">+B5+1</f>
        <v>1991</v>
      </c>
      <c r="D5" s="497">
        <f t="shared" si="0"/>
        <v>1992</v>
      </c>
      <c r="E5" s="497">
        <f t="shared" si="0"/>
        <v>1993</v>
      </c>
      <c r="F5" s="497">
        <f t="shared" si="0"/>
        <v>1994</v>
      </c>
      <c r="G5" s="497">
        <f t="shared" si="0"/>
        <v>1995</v>
      </c>
      <c r="H5" s="497">
        <f t="shared" si="0"/>
        <v>1996</v>
      </c>
      <c r="I5" s="497">
        <f t="shared" si="0"/>
        <v>1997</v>
      </c>
      <c r="J5" s="497">
        <f t="shared" si="0"/>
        <v>1998</v>
      </c>
      <c r="K5" s="497">
        <f t="shared" si="0"/>
        <v>1999</v>
      </c>
      <c r="L5" s="497">
        <f t="shared" si="0"/>
        <v>2000</v>
      </c>
      <c r="M5" s="481">
        <v>2001</v>
      </c>
      <c r="N5" s="481">
        <v>2002</v>
      </c>
      <c r="O5" s="481">
        <v>2003</v>
      </c>
      <c r="P5" s="481">
        <v>2004</v>
      </c>
      <c r="Q5" s="481">
        <v>2005</v>
      </c>
      <c r="R5" s="481">
        <v>2006</v>
      </c>
      <c r="S5" s="481">
        <v>2007</v>
      </c>
      <c r="T5" s="481">
        <v>2008</v>
      </c>
      <c r="U5" s="481">
        <v>2009</v>
      </c>
      <c r="V5" s="481">
        <v>2010</v>
      </c>
      <c r="W5" s="481">
        <v>2011</v>
      </c>
      <c r="X5" s="481">
        <v>2012</v>
      </c>
      <c r="Y5" s="481">
        <v>2013</v>
      </c>
      <c r="Z5" s="481">
        <v>2014</v>
      </c>
      <c r="AA5" s="481">
        <v>2015</v>
      </c>
      <c r="AB5" s="481">
        <v>2016</v>
      </c>
      <c r="AC5" s="481" t="s">
        <v>469</v>
      </c>
      <c r="AD5" s="481" t="s">
        <v>618</v>
      </c>
      <c r="AE5" s="481" t="s">
        <v>385</v>
      </c>
      <c r="AF5" s="481" t="s">
        <v>1080</v>
      </c>
      <c r="AG5" s="532" t="s">
        <v>345</v>
      </c>
      <c r="AH5" s="532" t="s">
        <v>346</v>
      </c>
      <c r="AI5" s="532" t="s">
        <v>1122</v>
      </c>
      <c r="AJ5" s="532" t="s">
        <v>1123</v>
      </c>
      <c r="AK5" s="532" t="s">
        <v>1519</v>
      </c>
      <c r="AL5" s="532" t="s">
        <v>1609</v>
      </c>
      <c r="AM5" s="532" t="s">
        <v>1698</v>
      </c>
      <c r="AN5" s="532" t="s">
        <v>1803</v>
      </c>
    </row>
    <row r="6" spans="1:71">
      <c r="A6" s="54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11"/>
      <c r="AH6" s="11"/>
      <c r="AI6" s="11"/>
      <c r="AJ6" s="11"/>
      <c r="AK6" s="11"/>
      <c r="AL6" s="11"/>
      <c r="AM6" s="11"/>
      <c r="AN6" s="11"/>
    </row>
    <row r="7" spans="1:71">
      <c r="A7" s="560" t="s">
        <v>225</v>
      </c>
      <c r="B7" s="6"/>
      <c r="C7" s="6"/>
      <c r="D7" s="6"/>
      <c r="E7" s="6"/>
      <c r="F7" s="6"/>
      <c r="G7" s="6"/>
      <c r="H7" s="6"/>
      <c r="I7" s="6"/>
      <c r="J7" s="6"/>
      <c r="K7" s="6"/>
      <c r="L7" s="6"/>
      <c r="M7" s="6"/>
      <c r="N7" s="6"/>
      <c r="O7" s="6"/>
      <c r="P7" s="6"/>
      <c r="Q7" s="6"/>
      <c r="R7" s="6"/>
      <c r="S7" s="6"/>
      <c r="T7" s="549">
        <f>T64</f>
        <v>986.23853211009168</v>
      </c>
      <c r="U7" s="549">
        <f>U64</f>
        <v>774.19724770642199</v>
      </c>
      <c r="V7" s="549">
        <f>V64</f>
        <v>946.84323394495402</v>
      </c>
      <c r="W7" s="549">
        <f>W64</f>
        <v>880.56420756880721</v>
      </c>
      <c r="X7" s="549">
        <f>X64</f>
        <v>924.59241794724767</v>
      </c>
      <c r="Y7" s="1778">
        <f t="shared" ref="Y7:AC7" si="1">Y9-Y8</f>
        <v>853.44419478804639</v>
      </c>
      <c r="Z7" s="1778">
        <f t="shared" si="1"/>
        <v>847.80879201756795</v>
      </c>
      <c r="AA7" s="1778">
        <f t="shared" si="1"/>
        <v>767.30600635418136</v>
      </c>
      <c r="AB7" s="1778">
        <f t="shared" si="1"/>
        <v>875.46818513204209</v>
      </c>
      <c r="AC7" s="1778">
        <f t="shared" si="1"/>
        <v>725.77667582488766</v>
      </c>
      <c r="AD7" s="1778">
        <f>AD9-AD8</f>
        <v>811.91467582488747</v>
      </c>
      <c r="AE7" s="1650">
        <f>AE64</f>
        <v>754.22813810752916</v>
      </c>
      <c r="AF7" s="1650">
        <f t="shared" ref="AF7:AK7" si="2">AF64</f>
        <v>842.47283026611001</v>
      </c>
      <c r="AG7" s="1650">
        <f t="shared" si="2"/>
        <v>706.6662100272132</v>
      </c>
      <c r="AH7" s="1650">
        <f t="shared" si="2"/>
        <v>828.70746449891294</v>
      </c>
      <c r="AI7" s="1650">
        <f t="shared" si="2"/>
        <v>694.0425015178397</v>
      </c>
      <c r="AJ7" s="1650">
        <f t="shared" si="2"/>
        <v>821.468704796515</v>
      </c>
      <c r="AK7" s="1650">
        <f t="shared" si="2"/>
        <v>727.57483183827344</v>
      </c>
      <c r="AL7" s="1650">
        <f>AL64</f>
        <v>766.57284282480498</v>
      </c>
      <c r="AM7" s="1650">
        <f>AM64</f>
        <v>670.06132191316203</v>
      </c>
      <c r="AN7" s="1650">
        <f>AN64</f>
        <v>853.25608732422063</v>
      </c>
    </row>
    <row r="8" spans="1:71">
      <c r="A8" s="560" t="s">
        <v>183</v>
      </c>
      <c r="B8" s="20"/>
      <c r="C8" s="20"/>
      <c r="D8" s="20"/>
      <c r="E8" s="20"/>
      <c r="F8" s="20"/>
      <c r="G8" s="20"/>
      <c r="H8" s="20"/>
      <c r="I8" s="20"/>
      <c r="J8" s="20"/>
      <c r="K8" s="20"/>
      <c r="L8" s="20"/>
      <c r="M8" s="20"/>
      <c r="N8" s="20"/>
      <c r="O8" s="20"/>
      <c r="P8" s="20"/>
      <c r="Q8" s="20"/>
      <c r="R8" s="20"/>
      <c r="S8" s="20"/>
      <c r="T8" s="20">
        <v>25</v>
      </c>
      <c r="U8" s="1132">
        <f>50*0.5</f>
        <v>25</v>
      </c>
      <c r="V8" s="1132">
        <f>+Retrans!B8*0.5</f>
        <v>42</v>
      </c>
      <c r="W8" s="1132">
        <f>+Retrans!C8*0.5</f>
        <v>76.356000000000009</v>
      </c>
      <c r="X8" s="1132">
        <f>+Retrans!D8*0.5</f>
        <v>104</v>
      </c>
      <c r="Y8" s="2477">
        <f>+Retrans!E8*0.5</f>
        <v>144.21</v>
      </c>
      <c r="Z8" s="2477">
        <f>+Retrans!F8*0.5</f>
        <v>179.41980000000001</v>
      </c>
      <c r="AA8" s="2477">
        <f>+Retrans!G8+Retrans!G37</f>
        <v>420.33509488714884</v>
      </c>
      <c r="AB8" s="2477">
        <f>+Retrans!H8+Retrans!H37</f>
        <v>487.44572914026901</v>
      </c>
      <c r="AC8" s="2477">
        <f>+Retrans!I8+Retrans!I37</f>
        <v>557.74206776343999</v>
      </c>
      <c r="AD8" s="2477">
        <f>+Retrans!J8+Retrans!J37</f>
        <v>691.45227188738284</v>
      </c>
      <c r="AE8" s="2477">
        <f>+Retrans!K8+Retrans!K37</f>
        <v>858.48398363968647</v>
      </c>
      <c r="AF8" s="2477">
        <f>+Retrans!L8+Retrans!L37</f>
        <v>1183.8948528897772</v>
      </c>
      <c r="AG8" s="2477">
        <f>+Retrans!M8+Retrans!M37</f>
        <v>1412.8884427688058</v>
      </c>
      <c r="AH8" s="2477">
        <f>+Retrans!N8+Retrans!N37</f>
        <v>1517.4542758673838</v>
      </c>
      <c r="AI8" s="2477">
        <f>+Retrans!O8+Retrans!O37</f>
        <v>1610.3302738707257</v>
      </c>
      <c r="AJ8" s="2477">
        <f>+Retrans!P8+Retrans!P37</f>
        <v>1690.7759941469949</v>
      </c>
      <c r="AK8" s="2477">
        <f>+Retrans!Q8+Retrans!Q37</f>
        <v>1765.6538928514587</v>
      </c>
      <c r="AL8" s="2477">
        <f>+Retrans!R8+Retrans!R37</f>
        <v>1844.2719707593201</v>
      </c>
      <c r="AM8" s="2477">
        <f>+Retrans!S8+Retrans!S37</f>
        <v>1925.3801144580411</v>
      </c>
      <c r="AN8" s="2477">
        <f>+Retrans!T8+Retrans!T37</f>
        <v>2002.515896318519</v>
      </c>
    </row>
    <row r="9" spans="1:71">
      <c r="A9" s="547" t="s">
        <v>675</v>
      </c>
      <c r="B9" s="501">
        <v>436</v>
      </c>
      <c r="C9" s="501">
        <v>401</v>
      </c>
      <c r="D9" s="501">
        <v>503</v>
      </c>
      <c r="E9" s="501">
        <v>506</v>
      </c>
      <c r="F9" s="501">
        <v>572</v>
      </c>
      <c r="G9" s="501">
        <v>500</v>
      </c>
      <c r="H9" s="501">
        <v>809</v>
      </c>
      <c r="I9" s="501">
        <v>836</v>
      </c>
      <c r="J9" s="501">
        <v>980</v>
      </c>
      <c r="K9" s="501">
        <v>1000</v>
      </c>
      <c r="L9" s="548">
        <f t="shared" ref="L9:S9" si="3">+L64</f>
        <v>1136.9999999999998</v>
      </c>
      <c r="M9" s="548">
        <f t="shared" si="3"/>
        <v>1068.78</v>
      </c>
      <c r="N9" s="548">
        <f t="shared" si="3"/>
        <v>1177.79556</v>
      </c>
      <c r="O9" s="548">
        <f t="shared" si="3"/>
        <v>1177.79556</v>
      </c>
      <c r="P9" s="548">
        <f t="shared" si="3"/>
        <v>1307.3530716</v>
      </c>
      <c r="Q9" s="548">
        <f t="shared" si="3"/>
        <v>1258.4763578048669</v>
      </c>
      <c r="R9" s="548">
        <f t="shared" si="3"/>
        <v>1346.5697028512075</v>
      </c>
      <c r="S9" s="548">
        <f t="shared" si="3"/>
        <v>1202.1836768626324</v>
      </c>
      <c r="T9" s="548">
        <f>T7+T8</f>
        <v>1011.2385321100917</v>
      </c>
      <c r="U9" s="548">
        <f>U7+U8</f>
        <v>799.19724770642199</v>
      </c>
      <c r="V9" s="548">
        <f>V7+V8</f>
        <v>988.84323394495402</v>
      </c>
      <c r="W9" s="548">
        <f>W7+W8</f>
        <v>956.9202075688072</v>
      </c>
      <c r="X9" s="548">
        <f t="shared" ref="X9:AF9" si="4">X7+X8</f>
        <v>1028.5924179472477</v>
      </c>
      <c r="Y9" s="2478">
        <f>'Segment Detail'!AJ93</f>
        <v>997.65419478804642</v>
      </c>
      <c r="Z9" s="2478">
        <f>'Segment Detail'!AK93</f>
        <v>1027.228592017568</v>
      </c>
      <c r="AA9" s="2478">
        <f>'Segment Detail'!AL93</f>
        <v>1187.6411012413303</v>
      </c>
      <c r="AB9" s="2478">
        <f>'Segment Detail'!AM93</f>
        <v>1362.9139142723111</v>
      </c>
      <c r="AC9" s="2478">
        <f>'Segment Detail'!AN93</f>
        <v>1283.5187435883277</v>
      </c>
      <c r="AD9" s="2478">
        <f>'Segment Detail'!AO93</f>
        <v>1503.3669477122703</v>
      </c>
      <c r="AE9" s="2304">
        <f t="shared" si="4"/>
        <v>1612.7121217472156</v>
      </c>
      <c r="AF9" s="2304">
        <f t="shared" si="4"/>
        <v>2026.3676831558873</v>
      </c>
      <c r="AG9" s="2304">
        <f t="shared" ref="AG9:AL9" si="5">AG7+AG8</f>
        <v>2119.5546527960191</v>
      </c>
      <c r="AH9" s="2304">
        <f t="shared" si="5"/>
        <v>2346.1617403662967</v>
      </c>
      <c r="AI9" s="2304">
        <f t="shared" si="5"/>
        <v>2304.3727753885655</v>
      </c>
      <c r="AJ9" s="2304">
        <f t="shared" si="5"/>
        <v>2512.2446989435098</v>
      </c>
      <c r="AK9" s="2304">
        <f t="shared" si="5"/>
        <v>2493.2287246897322</v>
      </c>
      <c r="AL9" s="2304">
        <f t="shared" si="5"/>
        <v>2610.8448135841249</v>
      </c>
      <c r="AM9" s="2304">
        <f>AM7+AM8</f>
        <v>2595.4414363712031</v>
      </c>
      <c r="AN9" s="2304">
        <f>AN7+AN8</f>
        <v>2855.7719836427395</v>
      </c>
    </row>
    <row r="10" spans="1:71" s="2068" customFormat="1">
      <c r="A10" s="2641" t="s">
        <v>676</v>
      </c>
      <c r="B10" s="2066"/>
      <c r="C10" s="2066">
        <f t="shared" ref="C10:T10" si="6">C9/B9-1</f>
        <v>-8.0275229357798183E-2</v>
      </c>
      <c r="D10" s="2066">
        <f t="shared" si="6"/>
        <v>0.25436408977556102</v>
      </c>
      <c r="E10" s="2066">
        <f t="shared" si="6"/>
        <v>5.9642147117295874E-3</v>
      </c>
      <c r="F10" s="2066">
        <f t="shared" si="6"/>
        <v>0.13043478260869557</v>
      </c>
      <c r="G10" s="2066">
        <f t="shared" si="6"/>
        <v>-0.12587412587412583</v>
      </c>
      <c r="H10" s="2066">
        <f t="shared" si="6"/>
        <v>0.6180000000000001</v>
      </c>
      <c r="I10" s="2066">
        <f t="shared" si="6"/>
        <v>3.3374536464771287E-2</v>
      </c>
      <c r="J10" s="2066">
        <f t="shared" si="6"/>
        <v>0.17224880382775121</v>
      </c>
      <c r="K10" s="2066">
        <f t="shared" si="6"/>
        <v>2.0408163265306145E-2</v>
      </c>
      <c r="L10" s="2066">
        <f t="shared" si="6"/>
        <v>0.13699999999999979</v>
      </c>
      <c r="M10" s="2066">
        <f t="shared" si="6"/>
        <v>-5.9999999999999831E-2</v>
      </c>
      <c r="N10" s="2066">
        <f t="shared" si="6"/>
        <v>0.10200000000000009</v>
      </c>
      <c r="O10" s="2066">
        <f t="shared" si="6"/>
        <v>0</v>
      </c>
      <c r="P10" s="2066">
        <f t="shared" si="6"/>
        <v>0.1100000000000001</v>
      </c>
      <c r="Q10" s="2066">
        <f t="shared" si="6"/>
        <v>-3.7386009071991189E-2</v>
      </c>
      <c r="R10" s="2066">
        <f t="shared" si="6"/>
        <v>6.999999999999984E-2</v>
      </c>
      <c r="S10" s="2066">
        <f t="shared" si="6"/>
        <v>-0.10722506653970765</v>
      </c>
      <c r="T10" s="2066">
        <f t="shared" si="6"/>
        <v>-0.15883192263170209</v>
      </c>
      <c r="U10" s="2066">
        <f>U9/T9-1</f>
        <v>-0.20968473576774782</v>
      </c>
      <c r="V10" s="2066">
        <f t="shared" ref="V10:AF10" si="7">V9/U9-1</f>
        <v>0.2372955947768689</v>
      </c>
      <c r="W10" s="2066">
        <f>W9/V9-1</f>
        <v>-3.2283202514104326E-2</v>
      </c>
      <c r="X10" s="2066">
        <f t="shared" si="7"/>
        <v>7.4898836717571138E-2</v>
      </c>
      <c r="Y10" s="1364">
        <f t="shared" si="7"/>
        <v>-3.0078214285250482E-2</v>
      </c>
      <c r="Z10" s="1364">
        <f>Z9/Y9-1</f>
        <v>2.9643936129396753E-2</v>
      </c>
      <c r="AA10" s="1364">
        <f t="shared" si="7"/>
        <v>0.15616047924512877</v>
      </c>
      <c r="AB10" s="1364">
        <f t="shared" si="7"/>
        <v>0.14758062250269433</v>
      </c>
      <c r="AC10" s="1364">
        <f>AC9/AB9-1</f>
        <v>-5.825398790970171E-2</v>
      </c>
      <c r="AD10" s="1364">
        <f>AD9/AC9-1</f>
        <v>0.1712855423593691</v>
      </c>
      <c r="AE10" s="1364">
        <f t="shared" si="7"/>
        <v>7.2733522711364573E-2</v>
      </c>
      <c r="AF10" s="1364">
        <f t="shared" si="7"/>
        <v>0.25649683897738451</v>
      </c>
      <c r="AG10" s="1364">
        <f t="shared" ref="AG10:AN10" si="8">AG9/AF9-1</f>
        <v>4.598719690150288E-2</v>
      </c>
      <c r="AH10" s="1364">
        <f t="shared" si="8"/>
        <v>0.10691259471481329</v>
      </c>
      <c r="AI10" s="1364">
        <f t="shared" si="8"/>
        <v>-1.7811630058892192E-2</v>
      </c>
      <c r="AJ10" s="1364">
        <f t="shared" si="8"/>
        <v>9.0207593916697304E-2</v>
      </c>
      <c r="AK10" s="1364">
        <f t="shared" si="8"/>
        <v>-7.5693161027564626E-3</v>
      </c>
      <c r="AL10" s="1364">
        <f t="shared" si="8"/>
        <v>4.7174207376031729E-2</v>
      </c>
      <c r="AM10" s="1364">
        <f t="shared" si="8"/>
        <v>-5.8997674364936747E-3</v>
      </c>
      <c r="AN10" s="1364">
        <f t="shared" si="8"/>
        <v>0.10030299417409161</v>
      </c>
      <c r="AO10"/>
    </row>
    <row r="11" spans="1:71">
      <c r="A11" s="547"/>
      <c r="B11" s="548"/>
      <c r="C11" s="548"/>
      <c r="D11" s="548"/>
      <c r="E11" s="548"/>
      <c r="F11" s="548"/>
      <c r="G11" s="548"/>
      <c r="H11" s="548"/>
      <c r="I11" s="548"/>
      <c r="J11" s="548"/>
      <c r="K11" s="548"/>
      <c r="L11" s="548"/>
      <c r="M11" s="548"/>
      <c r="N11" s="548"/>
      <c r="O11" s="548"/>
      <c r="P11" s="548"/>
      <c r="Q11" s="548"/>
      <c r="R11" s="548"/>
      <c r="S11" s="548"/>
      <c r="T11" s="548"/>
      <c r="U11" s="548"/>
      <c r="V11" s="548"/>
      <c r="W11" s="548"/>
      <c r="X11" s="1176"/>
      <c r="Y11" s="548"/>
      <c r="Z11" s="548"/>
      <c r="AA11" s="548"/>
      <c r="AB11" s="548"/>
      <c r="AC11" s="548"/>
      <c r="AD11" s="548"/>
      <c r="AE11" s="548"/>
      <c r="AF11" s="548"/>
      <c r="AG11" s="1176"/>
      <c r="AH11" s="1176"/>
      <c r="AI11" s="1176"/>
      <c r="AJ11" s="1176"/>
      <c r="AK11" s="1176"/>
      <c r="AL11" s="1176"/>
    </row>
    <row r="12" spans="1:71">
      <c r="A12" s="2639" t="s">
        <v>1755</v>
      </c>
      <c r="B12" s="2638"/>
      <c r="C12" s="2638"/>
      <c r="D12" s="2638"/>
      <c r="E12" s="2638"/>
      <c r="F12" s="2638"/>
      <c r="G12" s="2638"/>
      <c r="H12" s="2638"/>
      <c r="I12" s="2638"/>
      <c r="J12" s="2638"/>
      <c r="K12" s="2638"/>
      <c r="L12" s="2638"/>
      <c r="M12" s="2638"/>
      <c r="N12" s="2638"/>
      <c r="O12" s="2638"/>
      <c r="P12" s="2638"/>
      <c r="Q12" s="2638"/>
      <c r="R12" s="2638"/>
      <c r="S12" s="2638"/>
      <c r="T12" s="2642">
        <v>0</v>
      </c>
      <c r="U12" s="2642">
        <v>0</v>
      </c>
      <c r="V12" s="2642">
        <v>0</v>
      </c>
      <c r="W12" s="2642">
        <v>0</v>
      </c>
      <c r="X12" s="2642">
        <v>0</v>
      </c>
      <c r="Y12" s="2642">
        <v>0</v>
      </c>
      <c r="Z12" s="2642">
        <v>0</v>
      </c>
      <c r="AA12" s="2642">
        <f>Drivers!Q188</f>
        <v>-217</v>
      </c>
      <c r="AB12" s="2642">
        <f>Drivers!R188</f>
        <v>-257.37134498606201</v>
      </c>
      <c r="AC12" s="2642">
        <f>Drivers!T188</f>
        <v>-305.78263202048498</v>
      </c>
      <c r="AD12" s="2642">
        <f>Drivers!U188</f>
        <v>-404.49957905411901</v>
      </c>
      <c r="AE12" s="2642">
        <f>Drivers!V188</f>
        <v>-515.09039018381191</v>
      </c>
      <c r="AF12" s="2642">
        <f>Drivers!W188</f>
        <v>-734.01480879166195</v>
      </c>
      <c r="AG12" s="2642">
        <f>Drivers!X188</f>
        <v>-904.24860337203586</v>
      </c>
      <c r="AH12" s="2642">
        <f>Drivers!Y188</f>
        <v>-1001.5198220724735</v>
      </c>
      <c r="AI12" s="2642">
        <f>Drivers!Z188</f>
        <v>-1095.0245862320937</v>
      </c>
      <c r="AJ12" s="2642">
        <f>Drivers!AA188</f>
        <v>-1183.5431959028967</v>
      </c>
      <c r="AK12" s="2642">
        <f>Drivers!AB188</f>
        <v>-1271.2708028530506</v>
      </c>
      <c r="AL12" s="2642">
        <f>Drivers!AC188</f>
        <v>-1346.3185386543041</v>
      </c>
      <c r="AM12" s="2642">
        <f>Drivers!AD188</f>
        <v>-1424.7812846989509</v>
      </c>
      <c r="AN12" s="2642">
        <f>Drivers!AE188</f>
        <v>-1501.8869222388894</v>
      </c>
    </row>
    <row r="13" spans="1:71" s="875" customFormat="1">
      <c r="A13" s="2640" t="s">
        <v>1756</v>
      </c>
      <c r="B13" s="2648"/>
      <c r="C13" s="2648"/>
      <c r="D13" s="2648"/>
      <c r="E13" s="2648"/>
      <c r="F13" s="2648"/>
      <c r="G13" s="2648"/>
      <c r="H13" s="2648"/>
      <c r="I13" s="2648"/>
      <c r="J13" s="2648"/>
      <c r="K13" s="2648"/>
      <c r="L13" s="2648"/>
      <c r="M13" s="2648"/>
      <c r="N13" s="2648"/>
      <c r="O13" s="2648"/>
      <c r="P13" s="2648"/>
      <c r="Q13" s="2648"/>
      <c r="R13" s="2648"/>
      <c r="S13" s="2648"/>
      <c r="T13" s="2648">
        <f t="shared" ref="T13:Z13" si="9">T9+T12</f>
        <v>1011.2385321100917</v>
      </c>
      <c r="U13" s="2648">
        <f t="shared" si="9"/>
        <v>799.19724770642199</v>
      </c>
      <c r="V13" s="2648">
        <f t="shared" si="9"/>
        <v>988.84323394495402</v>
      </c>
      <c r="W13" s="2648">
        <f t="shared" si="9"/>
        <v>956.9202075688072</v>
      </c>
      <c r="X13" s="2648">
        <f t="shared" si="9"/>
        <v>1028.5924179472477</v>
      </c>
      <c r="Y13" s="2648">
        <f t="shared" si="9"/>
        <v>997.65419478804642</v>
      </c>
      <c r="Z13" s="2648">
        <f t="shared" si="9"/>
        <v>1027.228592017568</v>
      </c>
      <c r="AA13" s="2648">
        <f>AA9+AA12</f>
        <v>970.64110124133026</v>
      </c>
      <c r="AB13" s="2648">
        <f t="shared" ref="AB13:AM13" si="10">AB9+AB12</f>
        <v>1105.5425692862491</v>
      </c>
      <c r="AC13" s="2648">
        <f t="shared" si="10"/>
        <v>977.73611156784273</v>
      </c>
      <c r="AD13" s="2648">
        <f t="shared" ref="AD13" si="11">AD9+AD12</f>
        <v>1098.8673686581512</v>
      </c>
      <c r="AE13" s="2648">
        <f t="shared" si="10"/>
        <v>1097.6217315634037</v>
      </c>
      <c r="AF13" s="2648">
        <f t="shared" si="10"/>
        <v>1292.3528743642255</v>
      </c>
      <c r="AG13" s="2648">
        <f t="shared" si="10"/>
        <v>1215.3060494239833</v>
      </c>
      <c r="AH13" s="2648">
        <f t="shared" si="10"/>
        <v>1344.6419182938232</v>
      </c>
      <c r="AI13" s="2648">
        <f t="shared" si="10"/>
        <v>1209.3481891564718</v>
      </c>
      <c r="AJ13" s="2648">
        <f t="shared" si="10"/>
        <v>1328.701503040613</v>
      </c>
      <c r="AK13" s="2648">
        <f t="shared" si="10"/>
        <v>1221.9579218366816</v>
      </c>
      <c r="AL13" s="2648">
        <f t="shared" si="10"/>
        <v>1264.5262749298208</v>
      </c>
      <c r="AM13" s="2648">
        <f t="shared" si="10"/>
        <v>1170.6601516722521</v>
      </c>
      <c r="AN13" s="2648">
        <f t="shared" ref="AN13" si="12">AN9+AN12</f>
        <v>1353.8850614038502</v>
      </c>
      <c r="AO13"/>
    </row>
    <row r="14" spans="1:71" s="2068" customFormat="1">
      <c r="A14" s="2641" t="s">
        <v>676</v>
      </c>
      <c r="B14" s="2066"/>
      <c r="C14" s="2066"/>
      <c r="D14" s="2066"/>
      <c r="E14" s="2066"/>
      <c r="F14" s="2066"/>
      <c r="G14" s="2066"/>
      <c r="H14" s="2066"/>
      <c r="I14" s="2066"/>
      <c r="J14" s="2066"/>
      <c r="K14" s="2066"/>
      <c r="L14" s="2066"/>
      <c r="M14" s="2066"/>
      <c r="N14" s="2066"/>
      <c r="O14" s="2066"/>
      <c r="P14" s="2066"/>
      <c r="Q14" s="2066"/>
      <c r="R14" s="2066"/>
      <c r="S14" s="2066"/>
      <c r="T14" s="2066"/>
      <c r="U14" s="2066">
        <f>U13/T13-1</f>
        <v>-0.20968473576774782</v>
      </c>
      <c r="V14" s="2066">
        <f>V13/U13-1</f>
        <v>0.2372955947768689</v>
      </c>
      <c r="W14" s="2066">
        <f t="shared" ref="W14:AN14" si="13">W13/V13-1</f>
        <v>-3.2283202514104326E-2</v>
      </c>
      <c r="X14" s="2066">
        <f t="shared" si="13"/>
        <v>7.4898836717571138E-2</v>
      </c>
      <c r="Y14" s="2066">
        <f t="shared" si="13"/>
        <v>-3.0078214285250482E-2</v>
      </c>
      <c r="Z14" s="2066">
        <f t="shared" si="13"/>
        <v>2.9643936129396753E-2</v>
      </c>
      <c r="AA14" s="2066">
        <f t="shared" si="13"/>
        <v>-5.508753476681838E-2</v>
      </c>
      <c r="AB14" s="2066">
        <f t="shared" si="13"/>
        <v>0.13898182126472536</v>
      </c>
      <c r="AC14" s="2066">
        <f t="shared" si="13"/>
        <v>-0.1156051890438915</v>
      </c>
      <c r="AD14" s="2066">
        <f t="shared" si="13"/>
        <v>0.12388951953106164</v>
      </c>
      <c r="AE14" s="2066">
        <f t="shared" si="13"/>
        <v>-1.133564550441224E-3</v>
      </c>
      <c r="AF14" s="2066">
        <f t="shared" si="13"/>
        <v>0.17741188717487888</v>
      </c>
      <c r="AG14" s="2066">
        <f t="shared" si="13"/>
        <v>-5.9617482553397383E-2</v>
      </c>
      <c r="AH14" s="2066">
        <f t="shared" si="13"/>
        <v>0.10642246776533448</v>
      </c>
      <c r="AI14" s="2066">
        <f t="shared" si="13"/>
        <v>-0.10061692060665617</v>
      </c>
      <c r="AJ14" s="2066">
        <f t="shared" si="13"/>
        <v>9.8692266589815558E-2</v>
      </c>
      <c r="AK14" s="2066">
        <f t="shared" si="13"/>
        <v>-8.0336765601347171E-2</v>
      </c>
      <c r="AL14" s="2066">
        <f t="shared" si="13"/>
        <v>3.4836185708552181E-2</v>
      </c>
      <c r="AM14" s="2066">
        <f t="shared" si="13"/>
        <v>-7.4230267190595223E-2</v>
      </c>
      <c r="AN14" s="2066">
        <f t="shared" si="13"/>
        <v>0.15651417661211653</v>
      </c>
      <c r="AO14"/>
    </row>
    <row r="15" spans="1:71">
      <c r="A15" s="550"/>
      <c r="B15" s="549"/>
      <c r="C15" s="6"/>
      <c r="D15" s="6"/>
      <c r="E15" s="6"/>
      <c r="F15" s="6"/>
      <c r="G15" s="6"/>
      <c r="H15" s="6"/>
      <c r="I15" s="6"/>
      <c r="J15" s="6"/>
      <c r="K15" s="6"/>
      <c r="L15" s="6"/>
      <c r="M15" s="6"/>
      <c r="N15" s="549"/>
      <c r="O15" s="549"/>
      <c r="P15" s="549"/>
      <c r="Q15" s="6"/>
      <c r="R15" s="6"/>
      <c r="S15" s="6"/>
      <c r="T15" s="6"/>
      <c r="U15" s="549"/>
      <c r="V15" s="549"/>
      <c r="W15" s="557"/>
      <c r="X15" s="557"/>
      <c r="Y15" s="557"/>
      <c r="Z15" s="6"/>
      <c r="AA15" s="6"/>
      <c r="AB15" s="6"/>
      <c r="AC15" s="6"/>
      <c r="AD15" s="6"/>
      <c r="AE15" s="6"/>
      <c r="AF15" s="6"/>
      <c r="AG15" s="6"/>
      <c r="AH15" s="6"/>
      <c r="AI15" s="6"/>
      <c r="AJ15" s="6"/>
      <c r="AK15" s="6"/>
      <c r="AL15" s="6"/>
      <c r="AM15" s="6"/>
      <c r="AN15" s="6"/>
    </row>
    <row r="16" spans="1:71">
      <c r="A16" s="36" t="s">
        <v>1567</v>
      </c>
      <c r="B16" s="549">
        <f t="shared" ref="B16:I16" si="14">+B23+B20</f>
        <v>208.72800000000001</v>
      </c>
      <c r="C16" s="549">
        <f t="shared" si="14"/>
        <v>179.298</v>
      </c>
      <c r="D16" s="549">
        <f t="shared" si="14"/>
        <v>224.29400000000001</v>
      </c>
      <c r="E16" s="549">
        <f t="shared" si="14"/>
        <v>229.58799999999999</v>
      </c>
      <c r="F16" s="549">
        <f t="shared" si="14"/>
        <v>289.05599999999998</v>
      </c>
      <c r="G16" s="549">
        <f t="shared" si="14"/>
        <v>234</v>
      </c>
      <c r="H16" s="549">
        <f t="shared" si="14"/>
        <v>359.28199999999998</v>
      </c>
      <c r="I16" s="549">
        <f t="shared" si="14"/>
        <v>406.928</v>
      </c>
      <c r="J16" s="501">
        <v>510</v>
      </c>
      <c r="K16" s="501">
        <v>530</v>
      </c>
      <c r="L16" s="548">
        <f t="shared" ref="L16:S16" si="15">+L9-L79</f>
        <v>560.48999999999978</v>
      </c>
      <c r="M16" s="548">
        <f t="shared" si="15"/>
        <v>438.19979999999998</v>
      </c>
      <c r="N16" s="548">
        <f t="shared" si="15"/>
        <v>487.78755799999999</v>
      </c>
      <c r="O16" s="548">
        <f t="shared" si="15"/>
        <v>500.80976243999999</v>
      </c>
      <c r="P16" s="548">
        <f t="shared" si="15"/>
        <v>540.63954245160005</v>
      </c>
      <c r="Q16" s="548">
        <f t="shared" si="15"/>
        <v>459.54826624035741</v>
      </c>
      <c r="R16" s="548">
        <f t="shared" si="15"/>
        <v>510.31840595667131</v>
      </c>
      <c r="S16" s="549">
        <f t="shared" si="15"/>
        <v>422.16080410572204</v>
      </c>
      <c r="T16" s="1114">
        <f>'Segment Detail'!AE123</f>
        <v>296.13446004831894</v>
      </c>
      <c r="U16" s="549">
        <f t="shared" ref="U16:Z16" si="16">+U9-U79</f>
        <v>129.16018593100478</v>
      </c>
      <c r="V16" s="549">
        <f t="shared" si="16"/>
        <v>288.35889818396493</v>
      </c>
      <c r="W16" s="549">
        <f t="shared" si="16"/>
        <v>291.32653929232595</v>
      </c>
      <c r="X16" s="549">
        <f t="shared" si="16"/>
        <v>389.89796075503057</v>
      </c>
      <c r="Y16" s="549">
        <f t="shared" si="16"/>
        <v>390.96747727054185</v>
      </c>
      <c r="Z16" s="549">
        <f t="shared" si="16"/>
        <v>419.69387450006343</v>
      </c>
      <c r="AA16" s="2996">
        <f>+AA13-AA79</f>
        <v>393.03499654865072</v>
      </c>
      <c r="AB16" s="2996">
        <f>+AB13-AB79</f>
        <v>507.85750237266166</v>
      </c>
      <c r="AC16" s="2996">
        <f>+AC13-AC79</f>
        <v>413.02486504596504</v>
      </c>
      <c r="AD16" s="2996">
        <f t="shared" ref="AD16" si="17">+AD13-AD79</f>
        <v>524.29919291501039</v>
      </c>
      <c r="AE16" s="2996">
        <f t="shared" ref="AE16:AM16" si="18">+AE13-AE79</f>
        <v>516.69010052363524</v>
      </c>
      <c r="AF16" s="549">
        <f t="shared" si="18"/>
        <v>699.48167121528127</v>
      </c>
      <c r="AG16" s="549">
        <f t="shared" si="18"/>
        <v>615.78954310251879</v>
      </c>
      <c r="AH16" s="549">
        <f t="shared" si="18"/>
        <v>732.79049690301281</v>
      </c>
      <c r="AI16" s="549">
        <f t="shared" si="18"/>
        <v>590.55668464534926</v>
      </c>
      <c r="AJ16" s="549">
        <f t="shared" si="18"/>
        <v>697.16439333076676</v>
      </c>
      <c r="AK16" s="549">
        <f t="shared" si="18"/>
        <v>583.17239919997962</v>
      </c>
      <c r="AL16" s="549">
        <f t="shared" si="18"/>
        <v>612.56843523874568</v>
      </c>
      <c r="AM16" s="549">
        <f t="shared" si="18"/>
        <v>511.13137080431102</v>
      </c>
      <c r="AN16" s="549">
        <f t="shared" ref="AN16" si="19">+AN13-AN79</f>
        <v>680.74052293599379</v>
      </c>
    </row>
    <row r="17" spans="1:41">
      <c r="A17" s="6" t="s">
        <v>680</v>
      </c>
      <c r="B17" s="38">
        <f t="shared" ref="B17:AF17" si="20">+B16/B9</f>
        <v>0.47873394495412847</v>
      </c>
      <c r="C17" s="38">
        <f t="shared" si="20"/>
        <v>0.44712718204488777</v>
      </c>
      <c r="D17" s="38">
        <f t="shared" si="20"/>
        <v>0.44591252485089466</v>
      </c>
      <c r="E17" s="38">
        <f t="shared" si="20"/>
        <v>0.45373122529644266</v>
      </c>
      <c r="F17" s="38">
        <f t="shared" si="20"/>
        <v>0.50534265734265726</v>
      </c>
      <c r="G17" s="38">
        <f t="shared" si="20"/>
        <v>0.46800000000000003</v>
      </c>
      <c r="H17" s="38">
        <f t="shared" si="20"/>
        <v>0.44410630407911</v>
      </c>
      <c r="I17" s="38">
        <f t="shared" si="20"/>
        <v>0.486755980861244</v>
      </c>
      <c r="J17" s="38">
        <f t="shared" si="20"/>
        <v>0.52040816326530615</v>
      </c>
      <c r="K17" s="38">
        <f t="shared" si="20"/>
        <v>0.53</v>
      </c>
      <c r="L17" s="38">
        <f t="shared" si="20"/>
        <v>0.4929551451187334</v>
      </c>
      <c r="M17" s="38">
        <f t="shared" si="20"/>
        <v>0.41</v>
      </c>
      <c r="N17" s="38">
        <f t="shared" si="20"/>
        <v>0.41415299442969539</v>
      </c>
      <c r="O17" s="38">
        <f t="shared" si="20"/>
        <v>0.42520941617405994</v>
      </c>
      <c r="P17" s="38">
        <f t="shared" si="20"/>
        <v>0.41353751652561616</v>
      </c>
      <c r="Q17" s="38">
        <f t="shared" si="20"/>
        <v>0.36516241516204367</v>
      </c>
      <c r="R17" s="38">
        <f t="shared" si="20"/>
        <v>0.37897659874281325</v>
      </c>
      <c r="S17" s="38">
        <f t="shared" si="20"/>
        <v>0.3511616504455003</v>
      </c>
      <c r="T17" s="38">
        <f t="shared" si="20"/>
        <v>0.29284333087109793</v>
      </c>
      <c r="U17" s="38">
        <f t="shared" si="20"/>
        <v>0.16161240082054265</v>
      </c>
      <c r="V17" s="38">
        <f t="shared" si="20"/>
        <v>0.29161234893984928</v>
      </c>
      <c r="W17" s="38">
        <f t="shared" si="20"/>
        <v>0.30444183014222548</v>
      </c>
      <c r="X17" s="38">
        <f t="shared" si="20"/>
        <v>0.37905972662441584</v>
      </c>
      <c r="Y17" s="38">
        <f t="shared" si="20"/>
        <v>0.39188676729175048</v>
      </c>
      <c r="Z17" s="38">
        <f t="shared" si="20"/>
        <v>0.40856911281621111</v>
      </c>
      <c r="AA17" s="2802">
        <f t="shared" si="20"/>
        <v>0.33093751650885772</v>
      </c>
      <c r="AB17" s="2802">
        <f t="shared" si="20"/>
        <v>0.37262625104522296</v>
      </c>
      <c r="AC17" s="2802">
        <f>+AC16/AC9</f>
        <v>0.32179106624596165</v>
      </c>
      <c r="AD17" s="2802">
        <f>+AD16/AD9</f>
        <v>0.34874997997851159</v>
      </c>
      <c r="AE17" s="2802">
        <f t="shared" si="20"/>
        <v>0.32038582308406793</v>
      </c>
      <c r="AF17" s="38">
        <f t="shared" si="20"/>
        <v>0.34518990656518012</v>
      </c>
      <c r="AG17" s="39">
        <f t="shared" ref="AG17:AL17" si="21">+AG16/AG9</f>
        <v>0.29052779662472844</v>
      </c>
      <c r="AH17" s="39">
        <f t="shared" si="21"/>
        <v>0.31233588217520125</v>
      </c>
      <c r="AI17" s="39">
        <f t="shared" si="21"/>
        <v>0.25627654125785659</v>
      </c>
      <c r="AJ17" s="39">
        <f t="shared" si="21"/>
        <v>0.27750656360184567</v>
      </c>
      <c r="AK17" s="39">
        <f t="shared" si="21"/>
        <v>0.23390248693390617</v>
      </c>
      <c r="AL17" s="39">
        <f t="shared" si="21"/>
        <v>0.23462460581784705</v>
      </c>
      <c r="AM17" s="39">
        <f>+AM16/AM9</f>
        <v>0.19693427239065178</v>
      </c>
      <c r="AN17" s="39">
        <f>+AN16/AN9</f>
        <v>0.2383735560244768</v>
      </c>
    </row>
    <row r="18" spans="1:41">
      <c r="A18" s="550" t="s">
        <v>676</v>
      </c>
      <c r="B18" s="38"/>
      <c r="C18" s="38">
        <f t="shared" ref="C18:AF18" si="22">+C16/B16-1</f>
        <v>-0.14099689548120042</v>
      </c>
      <c r="D18" s="38">
        <f t="shared" si="22"/>
        <v>0.25095650815960036</v>
      </c>
      <c r="E18" s="38">
        <f t="shared" si="22"/>
        <v>2.3602949699947251E-2</v>
      </c>
      <c r="F18" s="38">
        <f t="shared" si="22"/>
        <v>0.25902050629823847</v>
      </c>
      <c r="G18" s="38">
        <f t="shared" si="22"/>
        <v>-0.19046828296247087</v>
      </c>
      <c r="H18" s="38">
        <f t="shared" si="22"/>
        <v>0.53539316239316226</v>
      </c>
      <c r="I18" s="38">
        <f t="shared" si="22"/>
        <v>0.1326144922372956</v>
      </c>
      <c r="J18" s="38">
        <f t="shared" si="22"/>
        <v>0.25329296583179328</v>
      </c>
      <c r="K18" s="38">
        <f t="shared" si="22"/>
        <v>3.9215686274509887E-2</v>
      </c>
      <c r="L18" s="38">
        <f t="shared" si="22"/>
        <v>5.7528301886792033E-2</v>
      </c>
      <c r="M18" s="38">
        <f t="shared" si="22"/>
        <v>-0.21818444575282314</v>
      </c>
      <c r="N18" s="38">
        <f t="shared" si="22"/>
        <v>0.11316243868664477</v>
      </c>
      <c r="O18" s="38">
        <f t="shared" si="22"/>
        <v>2.6696466989426515E-2</v>
      </c>
      <c r="P18" s="38">
        <f t="shared" si="22"/>
        <v>7.9530757981923106E-2</v>
      </c>
      <c r="Q18" s="38">
        <f t="shared" si="22"/>
        <v>-0.14999138953751656</v>
      </c>
      <c r="R18" s="38">
        <f t="shared" si="22"/>
        <v>0.11047836200465522</v>
      </c>
      <c r="S18" s="38">
        <f t="shared" si="22"/>
        <v>-0.17275019051230212</v>
      </c>
      <c r="T18" s="38">
        <f t="shared" si="22"/>
        <v>-0.29852687135265699</v>
      </c>
      <c r="U18" s="38">
        <f t="shared" si="22"/>
        <v>-0.56384614640953878</v>
      </c>
      <c r="V18" s="38">
        <f t="shared" si="22"/>
        <v>1.2325680015512015</v>
      </c>
      <c r="W18" s="38">
        <f t="shared" si="22"/>
        <v>1.0291484421152575E-2</v>
      </c>
      <c r="X18" s="38">
        <f t="shared" si="22"/>
        <v>0.33835373084151121</v>
      </c>
      <c r="Y18" s="38">
        <f t="shared" si="22"/>
        <v>2.7430677335171794E-3</v>
      </c>
      <c r="Z18" s="38">
        <f t="shared" si="22"/>
        <v>7.3475158164226118E-2</v>
      </c>
      <c r="AA18" s="2802">
        <f t="shared" si="22"/>
        <v>-6.351981663580053E-2</v>
      </c>
      <c r="AB18" s="2802">
        <f t="shared" si="22"/>
        <v>0.29214321073771843</v>
      </c>
      <c r="AC18" s="2802">
        <f t="shared" si="22"/>
        <v>-0.18673079925697189</v>
      </c>
      <c r="AD18" s="2802">
        <f t="shared" si="22"/>
        <v>0.26941314503343938</v>
      </c>
      <c r="AE18" s="2802">
        <f t="shared" si="22"/>
        <v>-1.4512882137143746E-2</v>
      </c>
      <c r="AF18" s="39">
        <f t="shared" si="22"/>
        <v>0.35377409109715363</v>
      </c>
      <c r="AG18" s="39">
        <f t="shared" ref="AG18:AN18" si="23">+AG16/AF16-1</f>
        <v>-0.11964877931305273</v>
      </c>
      <c r="AH18" s="39">
        <f t="shared" si="23"/>
        <v>0.19000152748780152</v>
      </c>
      <c r="AI18" s="39">
        <f t="shared" si="23"/>
        <v>-0.19409887663497993</v>
      </c>
      <c r="AJ18" s="39">
        <f t="shared" si="23"/>
        <v>0.18052070437478718</v>
      </c>
      <c r="AK18" s="39">
        <f t="shared" si="23"/>
        <v>-0.16350805523239642</v>
      </c>
      <c r="AL18" s="39">
        <f t="shared" si="23"/>
        <v>5.0407111308924613E-2</v>
      </c>
      <c r="AM18" s="39">
        <f t="shared" si="23"/>
        <v>-0.16559303189512209</v>
      </c>
      <c r="AN18" s="39">
        <f t="shared" si="23"/>
        <v>0.33183084001435392</v>
      </c>
    </row>
    <row r="19" spans="1:41">
      <c r="A19" s="6"/>
      <c r="B19" s="6"/>
      <c r="C19" s="6"/>
      <c r="D19" s="6"/>
      <c r="E19" s="6"/>
      <c r="F19" s="6"/>
      <c r="G19" s="6"/>
      <c r="H19" s="6"/>
      <c r="I19" s="6"/>
      <c r="J19" s="551"/>
      <c r="K19" s="551"/>
      <c r="L19" s="6"/>
      <c r="M19" s="95"/>
      <c r="N19" s="95"/>
      <c r="O19" s="95"/>
      <c r="P19" s="95"/>
      <c r="Q19" s="95"/>
      <c r="R19" s="11"/>
      <c r="S19" s="6"/>
      <c r="T19" s="6"/>
      <c r="U19" s="6"/>
      <c r="V19" s="6"/>
      <c r="W19" s="6"/>
      <c r="X19" s="6"/>
      <c r="Y19" s="6"/>
      <c r="Z19" s="6"/>
      <c r="AA19" s="6"/>
      <c r="AO19" s="6"/>
    </row>
    <row r="20" spans="1:41">
      <c r="A20" s="552" t="s">
        <v>692</v>
      </c>
      <c r="B20" s="553">
        <f t="shared" ref="B20:I20" si="24">+B21*B9</f>
        <v>42.728000000000002</v>
      </c>
      <c r="C20" s="553">
        <f t="shared" si="24"/>
        <v>39.298000000000002</v>
      </c>
      <c r="D20" s="553">
        <f t="shared" si="24"/>
        <v>49.294000000000004</v>
      </c>
      <c r="E20" s="553">
        <f t="shared" si="24"/>
        <v>49.588000000000001</v>
      </c>
      <c r="F20" s="553">
        <f t="shared" si="24"/>
        <v>56.056000000000004</v>
      </c>
      <c r="G20" s="553">
        <f t="shared" si="24"/>
        <v>49</v>
      </c>
      <c r="H20" s="553">
        <f t="shared" si="24"/>
        <v>79.281999999999996</v>
      </c>
      <c r="I20" s="553">
        <f t="shared" si="24"/>
        <v>81.927999999999997</v>
      </c>
      <c r="J20" s="554">
        <v>96.4</v>
      </c>
      <c r="K20" s="554">
        <v>78.400000000000006</v>
      </c>
      <c r="L20" s="553">
        <f t="shared" ref="L20:AA20" si="25">+L21*L9</f>
        <v>89.140799999999999</v>
      </c>
      <c r="M20" s="553">
        <f t="shared" si="25"/>
        <v>83.792352000000008</v>
      </c>
      <c r="N20" s="553">
        <f t="shared" si="25"/>
        <v>21.416000750277949</v>
      </c>
      <c r="O20" s="553">
        <f t="shared" si="25"/>
        <v>22.11631545187489</v>
      </c>
      <c r="P20" s="553">
        <f t="shared" si="25"/>
        <v>22.58136437372281</v>
      </c>
      <c r="Q20" s="553">
        <f t="shared" si="25"/>
        <v>21.552210605824779</v>
      </c>
      <c r="R20" s="553">
        <f t="shared" si="25"/>
        <v>21.787316396755628</v>
      </c>
      <c r="S20" s="553">
        <f t="shared" si="25"/>
        <v>22.532034085867995</v>
      </c>
      <c r="T20" s="553">
        <f t="shared" si="25"/>
        <v>19.458847057261583</v>
      </c>
      <c r="U20" s="553">
        <f t="shared" si="25"/>
        <v>15.778222477567882</v>
      </c>
      <c r="V20" s="553">
        <f t="shared" si="25"/>
        <v>15.72260741972477</v>
      </c>
      <c r="W20" s="553">
        <f t="shared" si="25"/>
        <v>14.210265082396788</v>
      </c>
      <c r="X20" s="553">
        <f t="shared" si="25"/>
        <v>19.197608669936606</v>
      </c>
      <c r="Y20" s="553">
        <f t="shared" si="25"/>
        <v>15.745391313326159</v>
      </c>
      <c r="Z20" s="553">
        <f t="shared" si="25"/>
        <v>16.247381680928417</v>
      </c>
      <c r="AA20" s="553">
        <f t="shared" si="25"/>
        <v>17.029806246664112</v>
      </c>
      <c r="AB20" s="553">
        <f t="shared" ref="AB20:AH20" ca="1" si="26">+AB21*AB9</f>
        <v>17.228448963118392</v>
      </c>
      <c r="AC20" s="553">
        <f ca="1">+AC21*AC9</f>
        <v>15.319719317201702</v>
      </c>
      <c r="AD20" s="553">
        <f t="shared" ref="AD20" ca="1" si="27">+AD21*AD9</f>
        <v>16.863581015334173</v>
      </c>
      <c r="AE20" s="553">
        <f t="shared" ca="1" si="26"/>
        <v>16.477416546360704</v>
      </c>
      <c r="AF20" s="553">
        <f t="shared" ca="1" si="26"/>
        <v>20.263676831558875</v>
      </c>
      <c r="AG20" s="561">
        <f t="shared" ca="1" si="26"/>
        <v>21.195546527960193</v>
      </c>
      <c r="AH20" s="561">
        <f t="shared" ca="1" si="26"/>
        <v>23.461617403662967</v>
      </c>
      <c r="AI20" s="561">
        <f t="shared" ref="AI20:AN20" ca="1" si="28">+AI21*AI9</f>
        <v>23.043727753885655</v>
      </c>
      <c r="AJ20" s="561">
        <f t="shared" ca="1" si="28"/>
        <v>25.122446989435097</v>
      </c>
      <c r="AK20" s="561">
        <f t="shared" ca="1" si="28"/>
        <v>24.932287246897321</v>
      </c>
      <c r="AL20" s="561">
        <f t="shared" ca="1" si="28"/>
        <v>26.10844813584125</v>
      </c>
      <c r="AM20" s="561">
        <f t="shared" ca="1" si="28"/>
        <v>25.954414363712033</v>
      </c>
      <c r="AN20" s="561">
        <f t="shared" ca="1" si="28"/>
        <v>28.557719836427395</v>
      </c>
    </row>
    <row r="21" spans="1:41">
      <c r="A21" s="552" t="s">
        <v>1130</v>
      </c>
      <c r="B21" s="130">
        <f t="shared" ref="B21:H21" si="29">+C21</f>
        <v>9.8000000000000004E-2</v>
      </c>
      <c r="C21" s="130">
        <f t="shared" si="29"/>
        <v>9.8000000000000004E-2</v>
      </c>
      <c r="D21" s="130">
        <f t="shared" si="29"/>
        <v>9.8000000000000004E-2</v>
      </c>
      <c r="E21" s="130">
        <f t="shared" si="29"/>
        <v>9.8000000000000004E-2</v>
      </c>
      <c r="F21" s="130">
        <f t="shared" si="29"/>
        <v>9.8000000000000004E-2</v>
      </c>
      <c r="G21" s="130">
        <f t="shared" si="29"/>
        <v>9.8000000000000004E-2</v>
      </c>
      <c r="H21" s="130">
        <f t="shared" si="29"/>
        <v>9.8000000000000004E-2</v>
      </c>
      <c r="I21" s="130">
        <v>9.8000000000000004E-2</v>
      </c>
      <c r="J21" s="38">
        <f>+J20/J9</f>
        <v>9.836734693877551E-2</v>
      </c>
      <c r="K21" s="38">
        <f>+K20/K9</f>
        <v>7.8400000000000011E-2</v>
      </c>
      <c r="L21" s="38">
        <f>+K21</f>
        <v>7.8400000000000011E-2</v>
      </c>
      <c r="M21" s="38">
        <f>+L21</f>
        <v>7.8400000000000011E-2</v>
      </c>
      <c r="N21" s="511">
        <f>'Segment Detail'!Y152</f>
        <v>1.8183122332604097E-2</v>
      </c>
      <c r="O21" s="511">
        <f>'Segment Detail'!Z152</f>
        <v>1.8777720177409134E-2</v>
      </c>
      <c r="P21" s="511">
        <f>'Segment Detail'!AA152</f>
        <v>1.7272582949674549E-2</v>
      </c>
      <c r="Q21" s="511">
        <f>'Segment Detail'!AB152</f>
        <v>1.7125638056020246E-2</v>
      </c>
      <c r="R21" s="511">
        <f>'Segment Detail'!AC152</f>
        <v>1.6179865290763245E-2</v>
      </c>
      <c r="S21" s="511">
        <f>'Segment Detail'!AD152</f>
        <v>1.8742588607316965E-2</v>
      </c>
      <c r="T21" s="511">
        <f>'Segment Detail'!AE152</f>
        <v>1.9242588607316966E-2</v>
      </c>
      <c r="U21" s="511">
        <f>'Segment Detail'!AF152</f>
        <v>1.9742588607316966E-2</v>
      </c>
      <c r="V21" s="511">
        <f>'Segment Detail'!AG152</f>
        <v>1.5900000000000001E-2</v>
      </c>
      <c r="W21" s="511">
        <f>'Segment Detail'!AH152</f>
        <v>1.485E-2</v>
      </c>
      <c r="X21" s="511">
        <f>'Segment Detail'!AI152</f>
        <v>1.8663960899351267E-2</v>
      </c>
      <c r="Y21" s="511">
        <f>'Segment Detail'!AJ152</f>
        <v>1.5782413781832792E-2</v>
      </c>
      <c r="Z21" s="511">
        <f>'Segment Detail'!AK152</f>
        <v>1.5816714806406545E-2</v>
      </c>
      <c r="AA21" s="511">
        <f>'Segment Detail'!AL152</f>
        <v>1.4339185658751996E-2</v>
      </c>
      <c r="AB21" s="511">
        <f ca="1">'Segment Detail'!AM152</f>
        <v>1.2640893003368469E-2</v>
      </c>
      <c r="AC21" s="511">
        <f ca="1">'Segment Detail'!AN152</f>
        <v>1.1935719204514639E-2</v>
      </c>
      <c r="AD21" s="511">
        <f ca="1">'Segment Detail'!AO152</f>
        <v>1.1217208839795311E-2</v>
      </c>
      <c r="AE21" s="511">
        <f ca="1">'Segment Detail'!AP152</f>
        <v>1.0217208839795312E-2</v>
      </c>
      <c r="AF21" s="511">
        <f ca="1">'Segment Detail'!AQ152</f>
        <v>0.01</v>
      </c>
      <c r="AG21" s="514">
        <f ca="1">'Segment Detail'!AR152</f>
        <v>0.01</v>
      </c>
      <c r="AH21" s="514">
        <f ca="1">'Segment Detail'!AS152</f>
        <v>0.01</v>
      </c>
      <c r="AI21" s="514">
        <f ca="1">'Segment Detail'!AT152</f>
        <v>0.01</v>
      </c>
      <c r="AJ21" s="514">
        <f ca="1">'Segment Detail'!AU152</f>
        <v>0.01</v>
      </c>
      <c r="AK21" s="514">
        <f ca="1">'Segment Detail'!AV152</f>
        <v>0.01</v>
      </c>
      <c r="AL21" s="514">
        <f ca="1">'Segment Detail'!AW152</f>
        <v>0.01</v>
      </c>
      <c r="AM21" s="514">
        <f ca="1">'Segment Detail'!AX152</f>
        <v>0.01</v>
      </c>
      <c r="AN21" s="514">
        <f ca="1">'Segment Detail'!AY152</f>
        <v>0.01</v>
      </c>
    </row>
    <row r="22" spans="1:41">
      <c r="A22" s="552"/>
      <c r="B22" s="6"/>
      <c r="C22" s="6"/>
      <c r="D22" s="6"/>
      <c r="E22" s="6"/>
      <c r="F22" s="6"/>
      <c r="G22" s="6"/>
      <c r="H22" s="6"/>
      <c r="I22" s="6"/>
      <c r="J22" s="6"/>
      <c r="K22" s="6"/>
      <c r="L22" s="6"/>
      <c r="M22" s="6"/>
      <c r="N22" s="6"/>
      <c r="O22" s="6"/>
      <c r="P22" s="6"/>
      <c r="Q22" s="6"/>
      <c r="R22" s="6"/>
      <c r="S22" s="6"/>
      <c r="T22" s="549"/>
      <c r="U22" s="174"/>
      <c r="V22" s="174"/>
      <c r="W22" s="6"/>
      <c r="X22" s="6"/>
      <c r="Y22" s="6"/>
      <c r="Z22" s="6"/>
      <c r="AA22" s="6"/>
      <c r="AB22" s="6"/>
      <c r="AC22" s="6"/>
      <c r="AD22" s="6"/>
      <c r="AE22" s="6"/>
      <c r="AF22" s="6"/>
      <c r="AG22" s="11"/>
      <c r="AH22" s="11"/>
      <c r="AI22" s="11"/>
      <c r="AJ22" s="11"/>
      <c r="AK22" s="11"/>
      <c r="AL22" s="11"/>
    </row>
    <row r="23" spans="1:41">
      <c r="A23" s="555" t="s">
        <v>1100</v>
      </c>
      <c r="B23" s="501">
        <v>166</v>
      </c>
      <c r="C23" s="501">
        <v>140</v>
      </c>
      <c r="D23" s="501">
        <v>175</v>
      </c>
      <c r="E23" s="501">
        <v>180</v>
      </c>
      <c r="F23" s="501">
        <v>233</v>
      </c>
      <c r="G23" s="501">
        <v>185</v>
      </c>
      <c r="H23" s="501">
        <v>280</v>
      </c>
      <c r="I23" s="501">
        <v>325</v>
      </c>
      <c r="J23" s="549">
        <f t="shared" ref="J23:AA23" si="30">+J16-J20</f>
        <v>413.6</v>
      </c>
      <c r="K23" s="549">
        <f t="shared" si="30"/>
        <v>451.6</v>
      </c>
      <c r="L23" s="549">
        <f t="shared" si="30"/>
        <v>471.34919999999977</v>
      </c>
      <c r="M23" s="549">
        <f t="shared" si="30"/>
        <v>354.40744799999999</v>
      </c>
      <c r="N23" s="549">
        <f t="shared" si="30"/>
        <v>466.37155724972206</v>
      </c>
      <c r="O23" s="549">
        <f t="shared" si="30"/>
        <v>478.69344698812512</v>
      </c>
      <c r="P23" s="549">
        <f t="shared" si="30"/>
        <v>518.05817807787719</v>
      </c>
      <c r="Q23" s="549">
        <f t="shared" si="30"/>
        <v>437.99605563453264</v>
      </c>
      <c r="R23" s="549">
        <f t="shared" si="30"/>
        <v>488.5310895599157</v>
      </c>
      <c r="S23" s="549">
        <f t="shared" si="30"/>
        <v>399.62877001985402</v>
      </c>
      <c r="T23" s="549">
        <f t="shared" si="30"/>
        <v>276.67561299105733</v>
      </c>
      <c r="U23" s="549">
        <f t="shared" si="30"/>
        <v>113.3819634534369</v>
      </c>
      <c r="V23" s="549">
        <f t="shared" si="30"/>
        <v>272.63629076424013</v>
      </c>
      <c r="W23" s="549">
        <f>+W16-W20</f>
        <v>277.11627420992914</v>
      </c>
      <c r="X23" s="549">
        <f t="shared" si="30"/>
        <v>370.70035208509398</v>
      </c>
      <c r="Y23" s="549">
        <f t="shared" si="30"/>
        <v>375.22208595721571</v>
      </c>
      <c r="Z23" s="549">
        <f t="shared" si="30"/>
        <v>403.44649281913502</v>
      </c>
      <c r="AA23" s="549">
        <f t="shared" si="30"/>
        <v>376.0051903019866</v>
      </c>
      <c r="AB23" s="549">
        <f t="shared" ref="AB23:AH23" ca="1" si="31">+AB16-AB20</f>
        <v>490.62905340954325</v>
      </c>
      <c r="AC23" s="549">
        <f ca="1">+AC16-AC20</f>
        <v>397.70514572876334</v>
      </c>
      <c r="AD23" s="549">
        <f t="shared" ref="AD23" ca="1" si="32">+AD16-AD20</f>
        <v>507.43561189967625</v>
      </c>
      <c r="AE23" s="549">
        <f t="shared" ca="1" si="31"/>
        <v>500.21268397727454</v>
      </c>
      <c r="AF23" s="549">
        <f t="shared" ca="1" si="31"/>
        <v>679.21799438372238</v>
      </c>
      <c r="AG23" s="557">
        <f t="shared" ca="1" si="31"/>
        <v>594.59399657455856</v>
      </c>
      <c r="AH23" s="557">
        <f t="shared" ca="1" si="31"/>
        <v>709.3288794993498</v>
      </c>
      <c r="AI23" s="557">
        <f t="shared" ref="AI23:AN23" ca="1" si="33">+AI16-AI20</f>
        <v>567.51295689146366</v>
      </c>
      <c r="AJ23" s="557">
        <f t="shared" ca="1" si="33"/>
        <v>672.04194634133171</v>
      </c>
      <c r="AK23" s="557">
        <f t="shared" ca="1" si="33"/>
        <v>558.24011195308231</v>
      </c>
      <c r="AL23" s="557">
        <f t="shared" ca="1" si="33"/>
        <v>586.45998710290439</v>
      </c>
      <c r="AM23" s="557">
        <f t="shared" ca="1" si="33"/>
        <v>485.17695644059899</v>
      </c>
      <c r="AN23" s="557">
        <f t="shared" ca="1" si="33"/>
        <v>652.1828030995664</v>
      </c>
    </row>
    <row r="24" spans="1:41">
      <c r="A24" s="6" t="s">
        <v>1101</v>
      </c>
      <c r="B24" s="38">
        <f t="shared" ref="B24:AF24" si="34">+B23/B9</f>
        <v>0.38073394495412843</v>
      </c>
      <c r="C24" s="38">
        <f t="shared" si="34"/>
        <v>0.3491271820448878</v>
      </c>
      <c r="D24" s="38">
        <f t="shared" si="34"/>
        <v>0.34791252485089463</v>
      </c>
      <c r="E24" s="38">
        <f t="shared" si="34"/>
        <v>0.35573122529644269</v>
      </c>
      <c r="F24" s="38">
        <f t="shared" si="34"/>
        <v>0.40734265734265734</v>
      </c>
      <c r="G24" s="38">
        <f t="shared" si="34"/>
        <v>0.37</v>
      </c>
      <c r="H24" s="38">
        <f t="shared" si="34"/>
        <v>0.34610630407911003</v>
      </c>
      <c r="I24" s="38">
        <f t="shared" si="34"/>
        <v>0.38875598086124402</v>
      </c>
      <c r="J24" s="38">
        <f t="shared" si="34"/>
        <v>0.42204081632653062</v>
      </c>
      <c r="K24" s="38">
        <f t="shared" si="34"/>
        <v>0.4516</v>
      </c>
      <c r="L24" s="38">
        <f t="shared" si="34"/>
        <v>0.41455514511873337</v>
      </c>
      <c r="M24" s="38">
        <f t="shared" si="34"/>
        <v>0.33160000000000001</v>
      </c>
      <c r="N24" s="38">
        <f t="shared" si="34"/>
        <v>0.39596987209709134</v>
      </c>
      <c r="O24" s="38">
        <f t="shared" si="34"/>
        <v>0.4064316959966508</v>
      </c>
      <c r="P24" s="38">
        <f t="shared" si="34"/>
        <v>0.39626493357594156</v>
      </c>
      <c r="Q24" s="38">
        <f t="shared" si="34"/>
        <v>0.34803677710602343</v>
      </c>
      <c r="R24" s="38">
        <f t="shared" si="34"/>
        <v>0.36279673345204999</v>
      </c>
      <c r="S24" s="38">
        <f t="shared" si="34"/>
        <v>0.33241906183818332</v>
      </c>
      <c r="T24" s="38">
        <f t="shared" si="34"/>
        <v>0.27360074226378089</v>
      </c>
      <c r="U24" s="38">
        <f t="shared" si="34"/>
        <v>0.14186981221322567</v>
      </c>
      <c r="V24" s="38">
        <f t="shared" si="34"/>
        <v>0.27571234893984925</v>
      </c>
      <c r="W24" s="38">
        <f t="shared" si="34"/>
        <v>0.28959183014222545</v>
      </c>
      <c r="X24" s="38">
        <f t="shared" si="34"/>
        <v>0.3603957657250646</v>
      </c>
      <c r="Y24" s="38">
        <f t="shared" si="34"/>
        <v>0.37610435350991772</v>
      </c>
      <c r="Z24" s="38">
        <f t="shared" si="34"/>
        <v>0.3927523980098046</v>
      </c>
      <c r="AA24" s="38">
        <f t="shared" si="34"/>
        <v>0.31659833085010575</v>
      </c>
      <c r="AB24" s="38">
        <f t="shared" ca="1" si="34"/>
        <v>0.35998535804185444</v>
      </c>
      <c r="AC24" s="38">
        <f ca="1">+AC23/AC9</f>
        <v>0.30985534704144702</v>
      </c>
      <c r="AD24" s="38">
        <f t="shared" ref="AD24" ca="1" si="35">+AD23/AD9</f>
        <v>0.33753277113871633</v>
      </c>
      <c r="AE24" s="38">
        <f t="shared" ca="1" si="34"/>
        <v>0.31016861424427261</v>
      </c>
      <c r="AF24" s="38">
        <f t="shared" ca="1" si="34"/>
        <v>0.33518990656518011</v>
      </c>
      <c r="AG24" s="39">
        <f t="shared" ref="AG24:AL24" ca="1" si="36">+AG23/AG9</f>
        <v>0.28052779662472843</v>
      </c>
      <c r="AH24" s="39">
        <f t="shared" ca="1" si="36"/>
        <v>0.30233588217520124</v>
      </c>
      <c r="AI24" s="39">
        <f t="shared" ca="1" si="36"/>
        <v>0.24627654125785664</v>
      </c>
      <c r="AJ24" s="39">
        <f t="shared" ca="1" si="36"/>
        <v>0.26750656360184571</v>
      </c>
      <c r="AK24" s="39">
        <f t="shared" ca="1" si="36"/>
        <v>0.22390248693390616</v>
      </c>
      <c r="AL24" s="39">
        <f t="shared" ca="1" si="36"/>
        <v>0.22462460581784705</v>
      </c>
      <c r="AM24" s="39">
        <f ca="1">+AM23/AM9</f>
        <v>0.18693427239065177</v>
      </c>
      <c r="AN24" s="39">
        <f ca="1">+AN23/AN9</f>
        <v>0.22837355602447679</v>
      </c>
    </row>
    <row r="25" spans="1:41">
      <c r="A25" s="552" t="s">
        <v>746</v>
      </c>
      <c r="B25" s="6"/>
      <c r="C25" s="38">
        <f t="shared" ref="C25:AF25" si="37">+C23/B23-1</f>
        <v>-0.15662650602409633</v>
      </c>
      <c r="D25" s="38">
        <f t="shared" si="37"/>
        <v>0.25</v>
      </c>
      <c r="E25" s="38">
        <f t="shared" si="37"/>
        <v>2.857142857142847E-2</v>
      </c>
      <c r="F25" s="38">
        <f t="shared" si="37"/>
        <v>0.29444444444444451</v>
      </c>
      <c r="G25" s="38">
        <f t="shared" si="37"/>
        <v>-0.20600858369098718</v>
      </c>
      <c r="H25" s="38">
        <f t="shared" si="37"/>
        <v>0.5135135135135136</v>
      </c>
      <c r="I25" s="38">
        <f t="shared" si="37"/>
        <v>0.16071428571428581</v>
      </c>
      <c r="J25" s="38">
        <f t="shared" si="37"/>
        <v>0.2726153846153847</v>
      </c>
      <c r="K25" s="38">
        <f t="shared" si="37"/>
        <v>9.1876208897485379E-2</v>
      </c>
      <c r="L25" s="38">
        <f t="shared" si="37"/>
        <v>4.3731620903453727E-2</v>
      </c>
      <c r="M25" s="38">
        <f t="shared" si="37"/>
        <v>-0.24810003284189264</v>
      </c>
      <c r="N25" s="38">
        <f t="shared" si="37"/>
        <v>0.31591917687272209</v>
      </c>
      <c r="O25" s="38">
        <f t="shared" si="37"/>
        <v>2.6420757327199507E-2</v>
      </c>
      <c r="P25" s="38">
        <f t="shared" si="37"/>
        <v>8.2233695358542525E-2</v>
      </c>
      <c r="Q25" s="38">
        <f t="shared" si="37"/>
        <v>-0.15454272479665243</v>
      </c>
      <c r="R25" s="38">
        <f t="shared" si="37"/>
        <v>0.11537782880754954</v>
      </c>
      <c r="S25" s="38">
        <f t="shared" si="37"/>
        <v>-0.18197883704831908</v>
      </c>
      <c r="T25" s="38">
        <f t="shared" si="37"/>
        <v>-0.30766843193669025</v>
      </c>
      <c r="U25" s="38">
        <f t="shared" si="37"/>
        <v>-0.59019892563822896</v>
      </c>
      <c r="V25" s="38">
        <f t="shared" si="37"/>
        <v>1.4045825496416362</v>
      </c>
      <c r="W25" s="38">
        <f t="shared" si="37"/>
        <v>1.6432087720717359E-2</v>
      </c>
      <c r="X25" s="38">
        <f t="shared" si="37"/>
        <v>0.337706899899608</v>
      </c>
      <c r="Y25" s="38">
        <f t="shared" si="37"/>
        <v>1.2197813804837532E-2</v>
      </c>
      <c r="Z25" s="38">
        <f t="shared" si="37"/>
        <v>7.5220537165122003E-2</v>
      </c>
      <c r="AA25" s="39">
        <f t="shared" si="37"/>
        <v>-6.8017204277570298E-2</v>
      </c>
      <c r="AB25" s="39">
        <f t="shared" ca="1" si="37"/>
        <v>0.30484649165480149</v>
      </c>
      <c r="AC25" s="39">
        <f ca="1">+AC23/AB23-1</f>
        <v>-0.18939748275203228</v>
      </c>
      <c r="AD25" s="39">
        <f t="shared" ca="1" si="37"/>
        <v>0.27590909333053881</v>
      </c>
      <c r="AE25" s="39">
        <f t="shared" ca="1" si="37"/>
        <v>-1.4234176224568462E-2</v>
      </c>
      <c r="AF25" s="39">
        <f t="shared" ca="1" si="37"/>
        <v>0.35785839931755969</v>
      </c>
      <c r="AG25" s="39">
        <f t="shared" ref="AG25:AN25" ca="1" si="38">+AG23/AF23-1</f>
        <v>-0.12459033551657606</v>
      </c>
      <c r="AH25" s="39">
        <f t="shared" ca="1" si="38"/>
        <v>0.1929634062667569</v>
      </c>
      <c r="AI25" s="39">
        <f t="shared" ca="1" si="38"/>
        <v>-0.19992971766211043</v>
      </c>
      <c r="AJ25" s="39">
        <f t="shared" ca="1" si="38"/>
        <v>0.18418784660428322</v>
      </c>
      <c r="AK25" s="39">
        <f t="shared" ca="1" si="38"/>
        <v>-0.16933739777375323</v>
      </c>
      <c r="AL25" s="39">
        <f t="shared" ca="1" si="38"/>
        <v>5.0551500233637636E-2</v>
      </c>
      <c r="AM25" s="39">
        <f t="shared" ca="1" si="38"/>
        <v>-0.17270237167012992</v>
      </c>
      <c r="AN25" s="39">
        <f t="shared" ca="1" si="38"/>
        <v>0.34421636156047364</v>
      </c>
    </row>
    <row r="26" spans="1:41">
      <c r="A26" s="552" t="s">
        <v>686</v>
      </c>
      <c r="B26" s="553">
        <f t="shared" ref="B26:AA26" si="39">+B27*B9</f>
        <v>8.7200000000000006</v>
      </c>
      <c r="C26" s="553">
        <f t="shared" si="39"/>
        <v>8.02</v>
      </c>
      <c r="D26" s="553">
        <f t="shared" si="39"/>
        <v>10.06</v>
      </c>
      <c r="E26" s="553">
        <f t="shared" si="39"/>
        <v>10.120000000000001</v>
      </c>
      <c r="F26" s="553">
        <f t="shared" si="39"/>
        <v>11.44</v>
      </c>
      <c r="G26" s="553">
        <f t="shared" si="39"/>
        <v>10</v>
      </c>
      <c r="H26" s="553">
        <f t="shared" si="39"/>
        <v>16.18</v>
      </c>
      <c r="I26" s="553">
        <f t="shared" si="39"/>
        <v>16.72</v>
      </c>
      <c r="J26" s="553">
        <f t="shared" si="39"/>
        <v>19.600000000000001</v>
      </c>
      <c r="K26" s="553">
        <f t="shared" si="39"/>
        <v>20</v>
      </c>
      <c r="L26" s="553">
        <f t="shared" si="39"/>
        <v>22.739999999999995</v>
      </c>
      <c r="M26" s="553">
        <f t="shared" si="39"/>
        <v>21.375599999999999</v>
      </c>
      <c r="N26" s="553">
        <f t="shared" si="39"/>
        <v>20.655669362694116</v>
      </c>
      <c r="O26" s="553">
        <f t="shared" si="39"/>
        <v>17.937281611888714</v>
      </c>
      <c r="P26" s="553">
        <f t="shared" si="39"/>
        <v>18.651764200844582</v>
      </c>
      <c r="Q26" s="553">
        <f t="shared" si="39"/>
        <v>27.660385815611793</v>
      </c>
      <c r="R26" s="553">
        <f t="shared" si="39"/>
        <v>30.729342018876835</v>
      </c>
      <c r="S26" s="553">
        <f t="shared" si="39"/>
        <v>28.617135265472651</v>
      </c>
      <c r="T26" s="553">
        <f t="shared" si="39"/>
        <v>20.776474643012818</v>
      </c>
      <c r="U26" s="553">
        <f t="shared" si="39"/>
        <v>8.4950753476533425</v>
      </c>
      <c r="V26" s="553">
        <f t="shared" si="39"/>
        <v>12.403642317200793</v>
      </c>
      <c r="W26" s="553">
        <f t="shared" si="39"/>
        <v>11.66250058130278</v>
      </c>
      <c r="X26" s="553">
        <f t="shared" si="39"/>
        <v>12.536008308060357</v>
      </c>
      <c r="Y26" s="553">
        <f t="shared" si="39"/>
        <v>11.161293369100791</v>
      </c>
      <c r="Z26" s="553">
        <f t="shared" si="39"/>
        <v>11.286712318452361</v>
      </c>
      <c r="AA26" s="561">
        <f t="shared" si="39"/>
        <v>12.455430172583114</v>
      </c>
      <c r="AB26" s="561">
        <f t="shared" ref="AB26:AH26" si="40">+AB27*AB9</f>
        <v>14.021027528137308</v>
      </c>
      <c r="AC26" s="561">
        <f t="shared" si="40"/>
        <v>13.204246760031602</v>
      </c>
      <c r="AD26" s="561">
        <f t="shared" ref="AD26" si="41">+AD27*AD9</f>
        <v>15.31560663299933</v>
      </c>
      <c r="AE26" s="561">
        <f t="shared" si="40"/>
        <v>16.268293443704195</v>
      </c>
      <c r="AF26" s="561">
        <f t="shared" si="40"/>
        <v>20.238422519255241</v>
      </c>
      <c r="AG26" s="561">
        <f t="shared" si="40"/>
        <v>21.169130840624039</v>
      </c>
      <c r="AH26" s="561">
        <f t="shared" si="40"/>
        <v>23.432377546652532</v>
      </c>
      <c r="AI26" s="561">
        <f t="shared" ref="AI26:AN26" si="42">+AI27*AI9</f>
        <v>23.015008706391264</v>
      </c>
      <c r="AJ26" s="561">
        <f t="shared" si="42"/>
        <v>25.091137265766658</v>
      </c>
      <c r="AK26" s="561">
        <f t="shared" si="42"/>
        <v>24.901214516424421</v>
      </c>
      <c r="AL26" s="561">
        <f t="shared" si="42"/>
        <v>26.075909573937277</v>
      </c>
      <c r="AM26" s="561">
        <f t="shared" si="42"/>
        <v>25.922067771756012</v>
      </c>
      <c r="AN26" s="561">
        <f t="shared" si="42"/>
        <v>28.52212878444686</v>
      </c>
    </row>
    <row r="27" spans="1:41">
      <c r="A27" s="552" t="s">
        <v>1102</v>
      </c>
      <c r="B27" s="130">
        <v>0.02</v>
      </c>
      <c r="C27" s="245">
        <f t="shared" ref="C27:M27" si="43">+B27</f>
        <v>0.02</v>
      </c>
      <c r="D27" s="245">
        <f t="shared" si="43"/>
        <v>0.02</v>
      </c>
      <c r="E27" s="245">
        <f t="shared" si="43"/>
        <v>0.02</v>
      </c>
      <c r="F27" s="245">
        <f t="shared" si="43"/>
        <v>0.02</v>
      </c>
      <c r="G27" s="245">
        <f t="shared" si="43"/>
        <v>0.02</v>
      </c>
      <c r="H27" s="245">
        <f t="shared" si="43"/>
        <v>0.02</v>
      </c>
      <c r="I27" s="245">
        <f t="shared" si="43"/>
        <v>0.02</v>
      </c>
      <c r="J27" s="245">
        <f t="shared" si="43"/>
        <v>0.02</v>
      </c>
      <c r="K27" s="245">
        <f t="shared" si="43"/>
        <v>0.02</v>
      </c>
      <c r="L27" s="245">
        <f t="shared" si="43"/>
        <v>0.02</v>
      </c>
      <c r="M27" s="245">
        <f t="shared" si="43"/>
        <v>0.02</v>
      </c>
      <c r="N27" s="534">
        <f>'Segment Detail'!Y161</f>
        <v>1.7537567693576731E-2</v>
      </c>
      <c r="O27" s="534">
        <f>'Segment Detail'!Z161</f>
        <v>1.5229537469039801E-2</v>
      </c>
      <c r="P27" s="534">
        <f>'Segment Detail'!AA161</f>
        <v>1.4266814838334129E-2</v>
      </c>
      <c r="Q27" s="534">
        <f>'Segment Detail'!AB161</f>
        <v>2.1979265358515916E-2</v>
      </c>
      <c r="R27" s="534">
        <f>'Segment Detail'!AC161</f>
        <v>2.2820461468731224E-2</v>
      </c>
      <c r="S27" s="534">
        <f>'Segment Detail'!AD161</f>
        <v>2.3804295313803858E-2</v>
      </c>
      <c r="T27" s="534">
        <f>'Segment Detail'!AE161</f>
        <v>2.0545572566009501E-2</v>
      </c>
      <c r="U27" s="534">
        <f>'Segment Detail'!AF161</f>
        <v>1.0629510264246972E-2</v>
      </c>
      <c r="V27" s="534">
        <f>'Segment Detail'!AG161</f>
        <v>1.2543588196196595E-2</v>
      </c>
      <c r="W27" s="534">
        <f>'Segment Detail'!AH161</f>
        <v>1.218753715206102E-2</v>
      </c>
      <c r="X27" s="534">
        <f>'Segment Detail'!AI161</f>
        <v>1.218753715206102E-2</v>
      </c>
      <c r="Y27" s="534">
        <f>'Segment Detail'!AJ161</f>
        <v>1.1187537152061021E-2</v>
      </c>
      <c r="Z27" s="534">
        <f>'Segment Detail'!AK161</f>
        <v>1.098753715206102E-2</v>
      </c>
      <c r="AA27" s="535">
        <f>'Segment Detail'!AL161</f>
        <v>1.048753715206102E-2</v>
      </c>
      <c r="AB27" s="535">
        <f>'Segment Detail'!AM161</f>
        <v>1.0287537152061019E-2</v>
      </c>
      <c r="AC27" s="535">
        <f>'Segment Detail'!AN161</f>
        <v>1.0287537152061019E-2</v>
      </c>
      <c r="AD27" s="535">
        <f>'Segment Detail'!AO161</f>
        <v>1.018753715206102E-2</v>
      </c>
      <c r="AE27" s="535">
        <f>'Segment Detail'!AP161</f>
        <v>1.0087537152061021E-2</v>
      </c>
      <c r="AF27" s="535">
        <f>'Segment Detail'!AQ161</f>
        <v>9.9875371520610212E-3</v>
      </c>
      <c r="AG27" s="535">
        <f>'Segment Detail'!AR161</f>
        <v>9.9875371520610212E-3</v>
      </c>
      <c r="AH27" s="535">
        <f>'Segment Detail'!AS161</f>
        <v>9.9875371520610212E-3</v>
      </c>
      <c r="AI27" s="535">
        <f>'Segment Detail'!AT161</f>
        <v>9.9875371520610212E-3</v>
      </c>
      <c r="AJ27" s="535">
        <f>'Segment Detail'!AU161</f>
        <v>9.9875371520610212E-3</v>
      </c>
      <c r="AK27" s="535">
        <f>'Segment Detail'!AV161</f>
        <v>9.9875371520610212E-3</v>
      </c>
      <c r="AL27" s="535">
        <f>'Segment Detail'!AW161</f>
        <v>9.9875371520610212E-3</v>
      </c>
      <c r="AM27" s="535">
        <f>'Segment Detail'!AX161</f>
        <v>9.9875371520610212E-3</v>
      </c>
      <c r="AN27" s="535">
        <f>'Segment Detail'!AY161</f>
        <v>9.9875371520610212E-3</v>
      </c>
    </row>
    <row r="28" spans="1:41">
      <c r="A28" s="484"/>
      <c r="B28" s="485"/>
      <c r="C28" s="485"/>
      <c r="D28" s="485"/>
      <c r="E28" s="485"/>
      <c r="F28" s="485"/>
      <c r="G28" s="485"/>
      <c r="H28" s="485"/>
      <c r="I28" s="485"/>
      <c r="J28" s="485"/>
      <c r="K28" s="485"/>
      <c r="L28" s="485"/>
      <c r="M28" s="485"/>
      <c r="N28" s="485"/>
      <c r="O28" s="485"/>
      <c r="P28" s="485"/>
      <c r="Q28" s="485"/>
      <c r="R28" s="485"/>
      <c r="S28" s="485"/>
      <c r="T28" s="6"/>
      <c r="U28" s="6"/>
      <c r="V28" s="6"/>
      <c r="W28" s="6"/>
      <c r="X28" s="6"/>
      <c r="Y28" s="6"/>
      <c r="Z28" s="6"/>
      <c r="AA28" s="11"/>
      <c r="AB28" s="11"/>
      <c r="AC28" s="11"/>
      <c r="AD28" s="11"/>
      <c r="AE28" s="11"/>
      <c r="AF28" s="11"/>
      <c r="AG28" s="11"/>
      <c r="AH28" s="11"/>
      <c r="AI28" s="11"/>
      <c r="AJ28" s="11"/>
      <c r="AK28" s="11"/>
      <c r="AL28" s="11"/>
    </row>
    <row r="29" spans="1:41">
      <c r="A29" s="13" t="s">
        <v>74</v>
      </c>
      <c r="B29" s="76"/>
      <c r="C29" s="76"/>
      <c r="D29" s="76"/>
      <c r="E29" s="76"/>
      <c r="F29" s="76"/>
      <c r="G29" s="76"/>
      <c r="H29" s="76"/>
      <c r="I29" s="76"/>
      <c r="J29" s="76"/>
      <c r="K29" s="76"/>
      <c r="L29" s="76"/>
      <c r="M29" s="76"/>
      <c r="N29" s="76"/>
      <c r="O29" s="76"/>
      <c r="P29" s="76"/>
      <c r="Q29" s="106">
        <f>Q39*Q23</f>
        <v>107.30903363046049</v>
      </c>
      <c r="R29" s="106">
        <f t="shared" ref="R29:AA29" si="44">R39*R23</f>
        <v>119.69011694217934</v>
      </c>
      <c r="S29" s="106">
        <f t="shared" si="44"/>
        <v>97.909048654864236</v>
      </c>
      <c r="T29" s="106">
        <f t="shared" si="44"/>
        <v>67.785525182809039</v>
      </c>
      <c r="U29" s="106">
        <f t="shared" si="44"/>
        <v>27.778581046092039</v>
      </c>
      <c r="V29" s="106">
        <f t="shared" si="44"/>
        <v>66.795891237238834</v>
      </c>
      <c r="W29" s="106">
        <f t="shared" si="44"/>
        <v>67.893487181432633</v>
      </c>
      <c r="X29" s="106">
        <f>X39*X23</f>
        <v>90.821586260848022</v>
      </c>
      <c r="Y29" s="106">
        <f t="shared" si="44"/>
        <v>91.929411059517847</v>
      </c>
      <c r="Z29" s="106">
        <f t="shared" si="44"/>
        <v>98.844390740688084</v>
      </c>
      <c r="AA29" s="105">
        <f t="shared" si="44"/>
        <v>92.121271623986715</v>
      </c>
      <c r="AB29" s="105">
        <f t="shared" ref="AB29:AH29" ca="1" si="45">AB39*AB23</f>
        <v>120.2041180853381</v>
      </c>
      <c r="AC29" s="105">
        <f ca="1">AC39*AC23</f>
        <v>97.437760703547013</v>
      </c>
      <c r="AD29" s="105">
        <f t="shared" ref="AD29" ca="1" si="46">AD39*AD23</f>
        <v>124.32172491542067</v>
      </c>
      <c r="AE29" s="105">
        <f t="shared" ca="1" si="45"/>
        <v>122.55210757443226</v>
      </c>
      <c r="AF29" s="105">
        <f t="shared" ca="1" si="45"/>
        <v>166.40840862401197</v>
      </c>
      <c r="AG29" s="105">
        <f t="shared" ca="1" si="45"/>
        <v>145.67552916076684</v>
      </c>
      <c r="AH29" s="105">
        <f t="shared" ca="1" si="45"/>
        <v>173.7855754773407</v>
      </c>
      <c r="AI29" s="105">
        <f t="shared" ref="AI29:AN29" ca="1" si="47">AI39*AI23</f>
        <v>139.04067443840859</v>
      </c>
      <c r="AJ29" s="105">
        <f t="shared" ca="1" si="47"/>
        <v>164.65027685362625</v>
      </c>
      <c r="AK29" s="105">
        <f t="shared" ca="1" si="47"/>
        <v>136.76882742850518</v>
      </c>
      <c r="AL29" s="105">
        <f t="shared" ca="1" si="47"/>
        <v>143.68269684021158</v>
      </c>
      <c r="AM29" s="105">
        <f t="shared" ca="1" si="47"/>
        <v>118.86835432794675</v>
      </c>
      <c r="AN29" s="105">
        <f t="shared" ca="1" si="47"/>
        <v>159.78478675939377</v>
      </c>
    </row>
    <row r="30" spans="1:41">
      <c r="A30" s="484"/>
      <c r="B30" s="6"/>
      <c r="C30" s="6"/>
      <c r="D30" s="6"/>
      <c r="E30" s="6"/>
      <c r="F30" s="6"/>
      <c r="G30" s="6"/>
      <c r="H30" s="6"/>
      <c r="I30" s="6"/>
      <c r="J30" s="6"/>
      <c r="K30" s="6"/>
      <c r="L30" s="6"/>
      <c r="M30" s="6"/>
      <c r="N30" s="6"/>
      <c r="O30" s="6"/>
      <c r="P30" s="6"/>
      <c r="Q30" s="6"/>
      <c r="R30" s="6"/>
      <c r="S30" s="6"/>
      <c r="T30" s="6"/>
      <c r="U30" s="6"/>
      <c r="V30" s="6"/>
      <c r="W30" s="6"/>
      <c r="X30" s="6"/>
      <c r="Y30" s="6"/>
      <c r="Z30" s="6"/>
      <c r="AA30" s="11"/>
      <c r="AB30" s="11"/>
      <c r="AC30" s="11"/>
      <c r="AD30" s="11"/>
      <c r="AE30" s="11"/>
      <c r="AF30" s="11"/>
      <c r="AG30" s="11"/>
      <c r="AH30" s="11"/>
      <c r="AI30" s="11"/>
      <c r="AJ30" s="11"/>
      <c r="AK30" s="11"/>
      <c r="AL30" s="11"/>
    </row>
    <row r="31" spans="1:41">
      <c r="A31" s="486" t="s">
        <v>75</v>
      </c>
      <c r="B31" s="13"/>
      <c r="C31" s="13"/>
      <c r="D31" s="13"/>
      <c r="E31" s="13"/>
      <c r="F31" s="13"/>
      <c r="G31" s="13"/>
      <c r="H31" s="13"/>
      <c r="I31" s="13"/>
      <c r="J31" s="13"/>
      <c r="K31" s="13"/>
      <c r="L31" s="13"/>
      <c r="M31" s="13"/>
      <c r="N31" s="13"/>
      <c r="O31" s="13"/>
      <c r="P31" s="13"/>
      <c r="Q31" s="13">
        <f>Q16-Q26-Q29</f>
        <v>324.57884679428514</v>
      </c>
      <c r="R31" s="13">
        <f t="shared" ref="R31:AA31" si="48">R16-R26-R29</f>
        <v>359.89894699561512</v>
      </c>
      <c r="S31" s="13">
        <f t="shared" si="48"/>
        <v>295.63462018538513</v>
      </c>
      <c r="T31" s="13">
        <f t="shared" si="48"/>
        <v>207.57246022249709</v>
      </c>
      <c r="U31" s="13">
        <f t="shared" si="48"/>
        <v>92.886529537259392</v>
      </c>
      <c r="V31" s="13">
        <f t="shared" si="48"/>
        <v>209.15936462952527</v>
      </c>
      <c r="W31" s="13">
        <f t="shared" si="48"/>
        <v>211.77055152959053</v>
      </c>
      <c r="X31" s="13">
        <f t="shared" si="48"/>
        <v>286.54036618612224</v>
      </c>
      <c r="Y31" s="13">
        <f t="shared" si="48"/>
        <v>287.87677284192318</v>
      </c>
      <c r="Z31" s="13">
        <f t="shared" si="48"/>
        <v>309.56277144092297</v>
      </c>
      <c r="AA31" s="14">
        <f t="shared" si="48"/>
        <v>288.45829475208086</v>
      </c>
      <c r="AB31" s="14">
        <f t="shared" ref="AB31:AH31" ca="1" si="49">AB16-AB26-AB29</f>
        <v>373.63235675918622</v>
      </c>
      <c r="AC31" s="14">
        <f ca="1">AC16-AC26-AC29</f>
        <v>302.38285758238646</v>
      </c>
      <c r="AD31" s="14">
        <f t="shared" ref="AD31" ca="1" si="50">AD16-AD26-AD29</f>
        <v>384.66186136659041</v>
      </c>
      <c r="AE31" s="14">
        <f t="shared" ca="1" si="49"/>
        <v>377.86969950549883</v>
      </c>
      <c r="AF31" s="14">
        <f t="shared" ca="1" si="49"/>
        <v>512.83484007201412</v>
      </c>
      <c r="AG31" s="14">
        <f t="shared" ca="1" si="49"/>
        <v>448.94488310112797</v>
      </c>
      <c r="AH31" s="14">
        <f t="shared" ca="1" si="49"/>
        <v>535.57254387901958</v>
      </c>
      <c r="AI31" s="14">
        <f t="shared" ref="AI31:AN31" ca="1" si="51">AI16-AI26-AI29</f>
        <v>428.50100150054936</v>
      </c>
      <c r="AJ31" s="14">
        <f t="shared" ca="1" si="51"/>
        <v>507.4229792113739</v>
      </c>
      <c r="AK31" s="14">
        <f t="shared" ca="1" si="51"/>
        <v>421.50235725505007</v>
      </c>
      <c r="AL31" s="14">
        <f t="shared" ca="1" si="51"/>
        <v>442.80982882459688</v>
      </c>
      <c r="AM31" s="14">
        <f t="shared" ca="1" si="51"/>
        <v>366.34094870460825</v>
      </c>
      <c r="AN31" s="14">
        <f t="shared" ca="1" si="51"/>
        <v>492.43360739215314</v>
      </c>
    </row>
    <row r="32" spans="1:41">
      <c r="A32" s="483" t="s">
        <v>1103</v>
      </c>
      <c r="B32" s="38"/>
      <c r="C32" s="38"/>
      <c r="D32" s="38"/>
      <c r="E32" s="38"/>
      <c r="F32" s="38"/>
      <c r="G32" s="38"/>
      <c r="H32" s="38"/>
      <c r="I32" s="38"/>
      <c r="J32" s="38"/>
      <c r="K32" s="38"/>
      <c r="L32" s="38"/>
      <c r="M32" s="38"/>
      <c r="N32" s="38"/>
      <c r="O32" s="38"/>
      <c r="P32" s="38"/>
      <c r="Q32" s="38">
        <f>Q31/Q9</f>
        <v>0.25791413941255203</v>
      </c>
      <c r="R32" s="38">
        <f t="shared" ref="R32:AF32" si="52">R31/R9</f>
        <v>0.26727093757832976</v>
      </c>
      <c r="S32" s="38">
        <f t="shared" si="52"/>
        <v>0.24591468498134153</v>
      </c>
      <c r="T32" s="38">
        <f t="shared" si="52"/>
        <v>0.20526557645046209</v>
      </c>
      <c r="U32" s="38">
        <f t="shared" si="52"/>
        <v>0.11622478656405538</v>
      </c>
      <c r="V32" s="38">
        <f t="shared" si="52"/>
        <v>0.21151923525338956</v>
      </c>
      <c r="W32" s="38">
        <f t="shared" si="52"/>
        <v>0.22130429460531922</v>
      </c>
      <c r="X32" s="38">
        <f t="shared" si="52"/>
        <v>0.27857522686971403</v>
      </c>
      <c r="Y32" s="38">
        <f t="shared" si="52"/>
        <v>0.28855366352975959</v>
      </c>
      <c r="Z32" s="38">
        <f t="shared" si="52"/>
        <v>0.30135723815174797</v>
      </c>
      <c r="AA32" s="39">
        <f t="shared" si="52"/>
        <v>0.2428833882985208</v>
      </c>
      <c r="AB32" s="39">
        <f t="shared" ca="1" si="52"/>
        <v>0.27414230117290755</v>
      </c>
      <c r="AC32" s="39">
        <f t="shared" ca="1" si="52"/>
        <v>0.23558896906874616</v>
      </c>
      <c r="AD32" s="39">
        <f t="shared" ref="AD32" ca="1" si="53">AD31/AD9</f>
        <v>0.25586691389746513</v>
      </c>
      <c r="AE32" s="39">
        <f t="shared" ca="1" si="52"/>
        <v>0.23430697544216014</v>
      </c>
      <c r="AF32" s="39">
        <f t="shared" ca="1" si="52"/>
        <v>0.25308084230465</v>
      </c>
      <c r="AG32" s="39">
        <f t="shared" ref="AG32:AL32" ca="1" si="54">AG31/AG9</f>
        <v>0.211810949299609</v>
      </c>
      <c r="AH32" s="39">
        <f t="shared" ca="1" si="54"/>
        <v>0.22827605389021594</v>
      </c>
      <c r="AI32" s="39">
        <f t="shared" ca="1" si="54"/>
        <v>0.18595125149762071</v>
      </c>
      <c r="AJ32" s="39">
        <f t="shared" ca="1" si="54"/>
        <v>0.20197991836733251</v>
      </c>
      <c r="AK32" s="39">
        <f t="shared" ca="1" si="54"/>
        <v>0.16905884048303815</v>
      </c>
      <c r="AL32" s="39">
        <f t="shared" ca="1" si="54"/>
        <v>0.16960404024041353</v>
      </c>
      <c r="AM32" s="39">
        <f ca="1">AM31/AM9</f>
        <v>0.14114783850288107</v>
      </c>
      <c r="AN32" s="39">
        <f ca="1">AN31/AN9</f>
        <v>0.17243449764641894</v>
      </c>
    </row>
    <row r="33" spans="1:40">
      <c r="A33" s="483"/>
      <c r="B33" s="6"/>
      <c r="C33" s="6"/>
      <c r="D33" s="6"/>
      <c r="E33" s="6"/>
      <c r="F33" s="6"/>
      <c r="G33" s="6"/>
      <c r="H33" s="6"/>
      <c r="I33" s="6"/>
      <c r="J33" s="6"/>
      <c r="K33" s="6"/>
      <c r="L33" s="6"/>
      <c r="M33" s="6"/>
      <c r="N33" s="6"/>
      <c r="O33" s="6"/>
      <c r="P33" s="6"/>
      <c r="Q33" s="11"/>
      <c r="R33" s="11"/>
      <c r="S33" s="11"/>
      <c r="T33" s="11"/>
      <c r="U33" s="11"/>
      <c r="V33" s="11"/>
      <c r="W33" s="11"/>
      <c r="X33" s="11"/>
      <c r="Y33" s="11"/>
      <c r="Z33" s="11"/>
      <c r="AA33" s="11"/>
      <c r="AB33" s="11"/>
      <c r="AC33" s="11"/>
      <c r="AD33" s="11"/>
      <c r="AE33" s="6"/>
      <c r="AF33" s="6"/>
      <c r="AG33" s="11"/>
      <c r="AH33" s="11"/>
      <c r="AI33" s="11"/>
      <c r="AJ33" s="11"/>
      <c r="AK33" s="11"/>
      <c r="AL33" s="11"/>
    </row>
    <row r="34" spans="1:40">
      <c r="A34" s="6"/>
      <c r="B34" s="6"/>
      <c r="C34" s="6"/>
      <c r="D34" s="6"/>
      <c r="E34" s="6"/>
      <c r="F34" s="6"/>
      <c r="G34" s="6"/>
      <c r="H34" s="6"/>
      <c r="I34" s="6"/>
      <c r="J34" s="6"/>
      <c r="K34" s="6"/>
      <c r="L34" s="6"/>
      <c r="M34" s="6"/>
      <c r="N34" s="6"/>
      <c r="O34" s="6"/>
      <c r="P34" s="6"/>
      <c r="Q34" s="11"/>
      <c r="R34" s="11"/>
      <c r="S34" s="11"/>
      <c r="T34" s="11"/>
      <c r="U34" s="11"/>
      <c r="V34" s="11"/>
      <c r="W34" s="11"/>
      <c r="X34" s="11"/>
      <c r="Y34" s="11"/>
      <c r="Z34" s="11"/>
      <c r="AA34" s="11"/>
      <c r="AB34" s="11"/>
      <c r="AC34" s="11"/>
      <c r="AD34" s="11"/>
      <c r="AE34" s="6"/>
      <c r="AG34" s="1048"/>
      <c r="AH34" s="1048"/>
      <c r="AI34" s="1048"/>
      <c r="AJ34" s="1048"/>
      <c r="AK34" s="1048"/>
      <c r="AL34" s="1048"/>
    </row>
    <row r="35" spans="1:40">
      <c r="A35" s="36" t="s">
        <v>65</v>
      </c>
      <c r="B35" s="6"/>
      <c r="C35" s="6"/>
      <c r="D35" s="6"/>
      <c r="E35" s="6"/>
      <c r="F35" s="6"/>
      <c r="G35" s="6"/>
      <c r="H35" s="6"/>
      <c r="I35" s="6"/>
      <c r="J35" s="6"/>
      <c r="K35" s="6"/>
      <c r="L35" s="6"/>
      <c r="M35" s="6"/>
      <c r="N35" s="6"/>
      <c r="O35" s="6"/>
      <c r="P35" s="6"/>
      <c r="Q35" s="11"/>
      <c r="R35" s="11"/>
      <c r="S35" s="11"/>
      <c r="T35" s="11"/>
      <c r="U35" s="11"/>
      <c r="V35" s="11"/>
      <c r="W35" s="11"/>
      <c r="X35" s="11"/>
      <c r="Y35" s="11"/>
      <c r="Z35" s="11"/>
      <c r="AA35" s="11"/>
      <c r="AB35" s="11"/>
      <c r="AC35" s="11"/>
      <c r="AD35" s="11"/>
      <c r="AE35" s="6"/>
      <c r="AG35" s="1048"/>
      <c r="AH35" s="1048"/>
      <c r="AI35" s="1048"/>
      <c r="AJ35" s="1048"/>
      <c r="AK35" s="1048"/>
      <c r="AL35" s="1048"/>
    </row>
    <row r="36" spans="1:40">
      <c r="A36" s="295" t="s">
        <v>246</v>
      </c>
      <c r="B36" s="6"/>
      <c r="C36" s="6"/>
      <c r="D36" s="6"/>
      <c r="E36" s="6"/>
      <c r="F36" s="6"/>
      <c r="G36" s="6"/>
      <c r="H36" s="6"/>
      <c r="I36" s="6"/>
      <c r="J36" s="6"/>
      <c r="K36" s="6"/>
      <c r="L36" s="6"/>
      <c r="M36" s="6"/>
      <c r="N36" s="6"/>
      <c r="O36" s="6"/>
      <c r="P36" s="487"/>
      <c r="Q36" s="775">
        <f ca="1">FMV!B95</f>
        <v>4.6359932385549224E-2</v>
      </c>
      <c r="R36" s="536">
        <f t="shared" ref="R36:AA39" ca="1" si="55">+Q36</f>
        <v>4.6359932385549224E-2</v>
      </c>
      <c r="S36" s="536">
        <f t="shared" ca="1" si="55"/>
        <v>4.6359932385549224E-2</v>
      </c>
      <c r="T36" s="536">
        <f t="shared" ca="1" si="55"/>
        <v>4.6359932385549224E-2</v>
      </c>
      <c r="U36" s="536">
        <f t="shared" ca="1" si="55"/>
        <v>4.6359932385549224E-2</v>
      </c>
      <c r="V36" s="536">
        <f t="shared" ca="1" si="55"/>
        <v>4.6359932385549224E-2</v>
      </c>
      <c r="W36" s="536">
        <f t="shared" ca="1" si="55"/>
        <v>4.6359932385549224E-2</v>
      </c>
      <c r="X36" s="536">
        <f t="shared" ca="1" si="55"/>
        <v>4.6359932385549224E-2</v>
      </c>
      <c r="Y36" s="536">
        <f t="shared" ca="1" si="55"/>
        <v>4.6359932385549224E-2</v>
      </c>
      <c r="Z36" s="536">
        <f t="shared" ca="1" si="55"/>
        <v>4.6359932385549224E-2</v>
      </c>
      <c r="AA36" s="536">
        <f t="shared" ca="1" si="55"/>
        <v>4.6359932385549224E-2</v>
      </c>
      <c r="AB36" s="536">
        <f t="shared" ref="AB36:AD39" ca="1" si="56">+AA36</f>
        <v>4.6359932385549224E-2</v>
      </c>
      <c r="AC36" s="536">
        <f t="shared" ca="1" si="56"/>
        <v>4.6359932385549224E-2</v>
      </c>
      <c r="AD36" s="536">
        <f t="shared" ca="1" si="56"/>
        <v>4.6359932385549224E-2</v>
      </c>
      <c r="AE36" s="536">
        <f t="shared" ref="AE36:AE39" ca="1" si="57">+AD36</f>
        <v>4.6359932385549224E-2</v>
      </c>
      <c r="AF36" s="536">
        <f t="shared" ref="AF36:AH39" ca="1" si="58">+AE36</f>
        <v>4.6359932385549224E-2</v>
      </c>
      <c r="AG36" s="536">
        <f t="shared" ca="1" si="58"/>
        <v>4.6359932385549224E-2</v>
      </c>
      <c r="AH36" s="536">
        <f t="shared" ca="1" si="58"/>
        <v>4.6359932385549224E-2</v>
      </c>
      <c r="AI36" s="536">
        <f t="shared" ref="AI36:AN39" ca="1" si="59">+AH36</f>
        <v>4.6359932385549224E-2</v>
      </c>
      <c r="AJ36" s="536">
        <f t="shared" ca="1" si="59"/>
        <v>4.6359932385549224E-2</v>
      </c>
      <c r="AK36" s="536">
        <f t="shared" ca="1" si="59"/>
        <v>4.6359932385549224E-2</v>
      </c>
      <c r="AL36" s="536">
        <f t="shared" ca="1" si="59"/>
        <v>4.6359932385549224E-2</v>
      </c>
      <c r="AM36" s="536">
        <f t="shared" ca="1" si="59"/>
        <v>4.6359932385549224E-2</v>
      </c>
      <c r="AN36" s="536">
        <f t="shared" ca="1" si="59"/>
        <v>4.6359932385549224E-2</v>
      </c>
    </row>
    <row r="37" spans="1:40">
      <c r="A37" s="295" t="s">
        <v>247</v>
      </c>
      <c r="B37" s="6"/>
      <c r="C37" s="6"/>
      <c r="D37" s="6"/>
      <c r="E37" s="6"/>
      <c r="F37" s="6"/>
      <c r="G37" s="6"/>
      <c r="H37" s="6"/>
      <c r="I37" s="6"/>
      <c r="J37" s="6"/>
      <c r="K37" s="6"/>
      <c r="L37" s="6"/>
      <c r="M37" s="6"/>
      <c r="N37" s="6"/>
      <c r="O37" s="6"/>
      <c r="P37" s="487"/>
      <c r="Q37" s="775">
        <f>FMV!B96</f>
        <v>0.1</v>
      </c>
      <c r="R37" s="536">
        <f t="shared" si="55"/>
        <v>0.1</v>
      </c>
      <c r="S37" s="536">
        <f t="shared" si="55"/>
        <v>0.1</v>
      </c>
      <c r="T37" s="536">
        <f t="shared" si="55"/>
        <v>0.1</v>
      </c>
      <c r="U37" s="536">
        <f t="shared" si="55"/>
        <v>0.1</v>
      </c>
      <c r="V37" s="536">
        <f t="shared" si="55"/>
        <v>0.1</v>
      </c>
      <c r="W37" s="536">
        <f t="shared" si="55"/>
        <v>0.1</v>
      </c>
      <c r="X37" s="536">
        <f t="shared" si="55"/>
        <v>0.1</v>
      </c>
      <c r="Y37" s="536">
        <f t="shared" si="55"/>
        <v>0.1</v>
      </c>
      <c r="Z37" s="536">
        <f t="shared" si="55"/>
        <v>0.1</v>
      </c>
      <c r="AA37" s="536">
        <f t="shared" si="55"/>
        <v>0.1</v>
      </c>
      <c r="AB37" s="536">
        <f t="shared" si="56"/>
        <v>0.1</v>
      </c>
      <c r="AC37" s="536">
        <f t="shared" si="56"/>
        <v>0.1</v>
      </c>
      <c r="AD37" s="536">
        <f t="shared" si="56"/>
        <v>0.1</v>
      </c>
      <c r="AE37" s="536">
        <f t="shared" si="57"/>
        <v>0.1</v>
      </c>
      <c r="AF37" s="536">
        <f t="shared" si="58"/>
        <v>0.1</v>
      </c>
      <c r="AG37" s="536">
        <f t="shared" si="58"/>
        <v>0.1</v>
      </c>
      <c r="AH37" s="536">
        <f t="shared" si="58"/>
        <v>0.1</v>
      </c>
      <c r="AI37" s="536">
        <f t="shared" si="59"/>
        <v>0.1</v>
      </c>
      <c r="AJ37" s="536">
        <f t="shared" si="59"/>
        <v>0.1</v>
      </c>
      <c r="AK37" s="536">
        <f t="shared" si="59"/>
        <v>0.1</v>
      </c>
      <c r="AL37" s="536">
        <f t="shared" si="59"/>
        <v>0.1</v>
      </c>
      <c r="AM37" s="536">
        <f t="shared" si="59"/>
        <v>0.1</v>
      </c>
      <c r="AN37" s="536">
        <f t="shared" si="59"/>
        <v>0.1</v>
      </c>
    </row>
    <row r="38" spans="1:40">
      <c r="A38" s="295" t="s">
        <v>248</v>
      </c>
      <c r="B38" s="6"/>
      <c r="C38" s="6"/>
      <c r="D38" s="6"/>
      <c r="E38" s="6"/>
      <c r="F38" s="6"/>
      <c r="G38" s="6"/>
      <c r="H38" s="6"/>
      <c r="I38" s="6"/>
      <c r="J38" s="6"/>
      <c r="K38" s="6"/>
      <c r="L38" s="6"/>
      <c r="M38" s="6"/>
      <c r="N38" s="6"/>
      <c r="O38" s="6"/>
      <c r="P38" s="487"/>
      <c r="Q38" s="775">
        <f>FMV!B97</f>
        <v>0.3</v>
      </c>
      <c r="R38" s="536">
        <f t="shared" si="55"/>
        <v>0.3</v>
      </c>
      <c r="S38" s="536">
        <f t="shared" si="55"/>
        <v>0.3</v>
      </c>
      <c r="T38" s="536">
        <f t="shared" si="55"/>
        <v>0.3</v>
      </c>
      <c r="U38" s="536">
        <f t="shared" si="55"/>
        <v>0.3</v>
      </c>
      <c r="V38" s="536">
        <f t="shared" si="55"/>
        <v>0.3</v>
      </c>
      <c r="W38" s="536">
        <f t="shared" si="55"/>
        <v>0.3</v>
      </c>
      <c r="X38" s="536">
        <f t="shared" si="55"/>
        <v>0.3</v>
      </c>
      <c r="Y38" s="536">
        <f t="shared" si="55"/>
        <v>0.3</v>
      </c>
      <c r="Z38" s="536">
        <f t="shared" si="55"/>
        <v>0.3</v>
      </c>
      <c r="AA38" s="536">
        <f t="shared" si="55"/>
        <v>0.3</v>
      </c>
      <c r="AB38" s="536">
        <f t="shared" si="56"/>
        <v>0.3</v>
      </c>
      <c r="AC38" s="536">
        <f t="shared" si="56"/>
        <v>0.3</v>
      </c>
      <c r="AD38" s="536">
        <f t="shared" si="56"/>
        <v>0.3</v>
      </c>
      <c r="AE38" s="536">
        <f t="shared" si="57"/>
        <v>0.3</v>
      </c>
      <c r="AF38" s="536">
        <f t="shared" si="58"/>
        <v>0.3</v>
      </c>
      <c r="AG38" s="536">
        <f t="shared" si="58"/>
        <v>0.3</v>
      </c>
      <c r="AH38" s="536">
        <f t="shared" si="58"/>
        <v>0.3</v>
      </c>
      <c r="AI38" s="536">
        <f t="shared" si="59"/>
        <v>0.3</v>
      </c>
      <c r="AJ38" s="536">
        <f t="shared" si="59"/>
        <v>0.3</v>
      </c>
      <c r="AK38" s="536">
        <f t="shared" si="59"/>
        <v>0.3</v>
      </c>
      <c r="AL38" s="536">
        <f t="shared" si="59"/>
        <v>0.3</v>
      </c>
      <c r="AM38" s="536">
        <f t="shared" si="59"/>
        <v>0.3</v>
      </c>
      <c r="AN38" s="536">
        <f t="shared" si="59"/>
        <v>0.3</v>
      </c>
    </row>
    <row r="39" spans="1:40">
      <c r="A39" s="295" t="s">
        <v>249</v>
      </c>
      <c r="B39" s="6"/>
      <c r="C39" s="6"/>
      <c r="D39" s="6"/>
      <c r="E39" s="6"/>
      <c r="F39" s="6"/>
      <c r="G39" s="6"/>
      <c r="H39" s="6"/>
      <c r="I39" s="6"/>
      <c r="J39" s="6"/>
      <c r="K39" s="6"/>
      <c r="L39" s="6"/>
      <c r="M39" s="6"/>
      <c r="N39" s="6"/>
      <c r="O39" s="6"/>
      <c r="P39" s="487"/>
      <c r="Q39" s="775">
        <f>FMV!B98</f>
        <v>0.245</v>
      </c>
      <c r="R39" s="536">
        <f t="shared" si="55"/>
        <v>0.245</v>
      </c>
      <c r="S39" s="536">
        <f t="shared" si="55"/>
        <v>0.245</v>
      </c>
      <c r="T39" s="536">
        <f t="shared" si="55"/>
        <v>0.245</v>
      </c>
      <c r="U39" s="536">
        <f t="shared" si="55"/>
        <v>0.245</v>
      </c>
      <c r="V39" s="536">
        <f t="shared" si="55"/>
        <v>0.245</v>
      </c>
      <c r="W39" s="536">
        <f t="shared" si="55"/>
        <v>0.245</v>
      </c>
      <c r="X39" s="536">
        <f t="shared" si="55"/>
        <v>0.245</v>
      </c>
      <c r="Y39" s="536">
        <f t="shared" si="55"/>
        <v>0.245</v>
      </c>
      <c r="Z39" s="536">
        <f t="shared" si="55"/>
        <v>0.245</v>
      </c>
      <c r="AA39" s="536">
        <f t="shared" si="55"/>
        <v>0.245</v>
      </c>
      <c r="AB39" s="536">
        <f t="shared" si="56"/>
        <v>0.245</v>
      </c>
      <c r="AC39" s="536">
        <f t="shared" si="56"/>
        <v>0.245</v>
      </c>
      <c r="AD39" s="536">
        <f t="shared" si="56"/>
        <v>0.245</v>
      </c>
      <c r="AE39" s="536">
        <f t="shared" si="57"/>
        <v>0.245</v>
      </c>
      <c r="AF39" s="536">
        <f t="shared" si="58"/>
        <v>0.245</v>
      </c>
      <c r="AG39" s="536">
        <f t="shared" si="58"/>
        <v>0.245</v>
      </c>
      <c r="AH39" s="536">
        <f t="shared" si="58"/>
        <v>0.245</v>
      </c>
      <c r="AI39" s="536">
        <f t="shared" si="59"/>
        <v>0.245</v>
      </c>
      <c r="AJ39" s="536">
        <f t="shared" si="59"/>
        <v>0.245</v>
      </c>
      <c r="AK39" s="536">
        <f t="shared" si="59"/>
        <v>0.245</v>
      </c>
      <c r="AL39" s="536">
        <f t="shared" si="59"/>
        <v>0.245</v>
      </c>
      <c r="AM39" s="536">
        <f t="shared" si="59"/>
        <v>0.245</v>
      </c>
      <c r="AN39" s="536">
        <f t="shared" si="59"/>
        <v>0.245</v>
      </c>
    </row>
    <row r="40" spans="1:40">
      <c r="A40" s="295" t="s">
        <v>250</v>
      </c>
      <c r="B40" s="6"/>
      <c r="C40" s="6"/>
      <c r="D40" s="6"/>
      <c r="E40" s="6"/>
      <c r="F40" s="6"/>
      <c r="G40" s="6"/>
      <c r="H40" s="6"/>
      <c r="I40" s="6"/>
      <c r="J40" s="6"/>
      <c r="K40" s="6"/>
      <c r="L40" s="6"/>
      <c r="M40" s="6"/>
      <c r="N40" s="6"/>
      <c r="O40" s="6"/>
      <c r="P40" s="298"/>
      <c r="Q40" s="536">
        <f t="shared" ref="Q40:AF40" ca="1" si="60">((Q36*(1-Q39)*Q38))+(Q37*(1-Q38))</f>
        <v>8.0500524685326896E-2</v>
      </c>
      <c r="R40" s="536">
        <f t="shared" ca="1" si="60"/>
        <v>8.0500524685326896E-2</v>
      </c>
      <c r="S40" s="536">
        <f t="shared" ca="1" si="60"/>
        <v>8.0500524685326896E-2</v>
      </c>
      <c r="T40" s="536">
        <f t="shared" ca="1" si="60"/>
        <v>8.0500524685326896E-2</v>
      </c>
      <c r="U40" s="536">
        <f t="shared" ca="1" si="60"/>
        <v>8.0500524685326896E-2</v>
      </c>
      <c r="V40" s="536">
        <f t="shared" ca="1" si="60"/>
        <v>8.0500524685326896E-2</v>
      </c>
      <c r="W40" s="536">
        <f t="shared" ca="1" si="60"/>
        <v>8.0500524685326896E-2</v>
      </c>
      <c r="X40" s="536">
        <f t="shared" ca="1" si="60"/>
        <v>8.0500524685326896E-2</v>
      </c>
      <c r="Y40" s="536">
        <f t="shared" ca="1" si="60"/>
        <v>8.0500524685326896E-2</v>
      </c>
      <c r="Z40" s="536">
        <f t="shared" ca="1" si="60"/>
        <v>8.0500524685326896E-2</v>
      </c>
      <c r="AA40" s="536">
        <f t="shared" ca="1" si="60"/>
        <v>8.0500524685326896E-2</v>
      </c>
      <c r="AB40" s="536">
        <f t="shared" ca="1" si="60"/>
        <v>8.0500524685326896E-2</v>
      </c>
      <c r="AC40" s="536">
        <f t="shared" ca="1" si="60"/>
        <v>8.0500524685326896E-2</v>
      </c>
      <c r="AD40" s="536">
        <f t="shared" ref="AD40" ca="1" si="61">((AD36*(1-AD39)*AD38))+(AD37*(1-AD38))</f>
        <v>8.0500524685326896E-2</v>
      </c>
      <c r="AE40" s="536">
        <f t="shared" ca="1" si="60"/>
        <v>8.0500524685326896E-2</v>
      </c>
      <c r="AF40" s="536">
        <f t="shared" ca="1" si="60"/>
        <v>8.0500524685326896E-2</v>
      </c>
      <c r="AG40" s="536">
        <f t="shared" ref="AG40:AL40" ca="1" si="62">((AG36*(1-AG39)*AG38))+(AG37*(1-AG38))</f>
        <v>8.0500524685326896E-2</v>
      </c>
      <c r="AH40" s="536">
        <f t="shared" ca="1" si="62"/>
        <v>8.0500524685326896E-2</v>
      </c>
      <c r="AI40" s="536">
        <f t="shared" ca="1" si="62"/>
        <v>8.0500524685326896E-2</v>
      </c>
      <c r="AJ40" s="536">
        <f t="shared" ca="1" si="62"/>
        <v>8.0500524685326896E-2</v>
      </c>
      <c r="AK40" s="536">
        <f t="shared" ca="1" si="62"/>
        <v>8.0500524685326896E-2</v>
      </c>
      <c r="AL40" s="536">
        <f t="shared" ca="1" si="62"/>
        <v>8.0500524685326896E-2</v>
      </c>
      <c r="AM40" s="536">
        <f ca="1">((AM36*(1-AM39)*AM38))+(AM37*(1-AM38))</f>
        <v>8.0500524685326896E-2</v>
      </c>
      <c r="AN40" s="536">
        <f ca="1">((AN36*(1-AN39)*AN38))+(AN37*(1-AN38))</f>
        <v>8.0500524685326896E-2</v>
      </c>
    </row>
    <row r="41" spans="1:40">
      <c r="A41" s="295" t="s">
        <v>251</v>
      </c>
      <c r="B41" s="6"/>
      <c r="C41" s="6"/>
      <c r="D41" s="6"/>
      <c r="E41" s="6"/>
      <c r="F41" s="6"/>
      <c r="G41" s="6"/>
      <c r="H41" s="6"/>
      <c r="I41" s="6"/>
      <c r="J41" s="6"/>
      <c r="K41" s="6"/>
      <c r="L41" s="6"/>
      <c r="M41" s="6"/>
      <c r="N41" s="6"/>
      <c r="O41" s="6"/>
      <c r="P41" s="487"/>
      <c r="Q41" s="775">
        <f>FMV!B100</f>
        <v>0.02</v>
      </c>
      <c r="R41" s="536">
        <f t="shared" ref="R41:AA41" si="63">+Q41</f>
        <v>0.02</v>
      </c>
      <c r="S41" s="536">
        <f t="shared" si="63"/>
        <v>0.02</v>
      </c>
      <c r="T41" s="536">
        <f t="shared" si="63"/>
        <v>0.02</v>
      </c>
      <c r="U41" s="536">
        <f t="shared" si="63"/>
        <v>0.02</v>
      </c>
      <c r="V41" s="536">
        <f t="shared" si="63"/>
        <v>0.02</v>
      </c>
      <c r="W41" s="536">
        <f t="shared" si="63"/>
        <v>0.02</v>
      </c>
      <c r="X41" s="536">
        <f t="shared" si="63"/>
        <v>0.02</v>
      </c>
      <c r="Y41" s="536">
        <f t="shared" si="63"/>
        <v>0.02</v>
      </c>
      <c r="Z41" s="536">
        <f t="shared" si="63"/>
        <v>0.02</v>
      </c>
      <c r="AA41" s="536">
        <f t="shared" si="63"/>
        <v>0.02</v>
      </c>
      <c r="AB41" s="536">
        <f t="shared" ref="AB41:AH41" si="64">+AA41</f>
        <v>0.02</v>
      </c>
      <c r="AC41" s="536">
        <f t="shared" si="64"/>
        <v>0.02</v>
      </c>
      <c r="AD41" s="536">
        <f t="shared" si="64"/>
        <v>0.02</v>
      </c>
      <c r="AE41" s="536">
        <f t="shared" si="64"/>
        <v>0.02</v>
      </c>
      <c r="AF41" s="536">
        <f t="shared" si="64"/>
        <v>0.02</v>
      </c>
      <c r="AG41" s="536">
        <f t="shared" si="64"/>
        <v>0.02</v>
      </c>
      <c r="AH41" s="536">
        <f t="shared" si="64"/>
        <v>0.02</v>
      </c>
      <c r="AI41" s="536">
        <f t="shared" ref="AI41:AN41" si="65">+AH41</f>
        <v>0.02</v>
      </c>
      <c r="AJ41" s="536">
        <f t="shared" si="65"/>
        <v>0.02</v>
      </c>
      <c r="AK41" s="536">
        <f t="shared" si="65"/>
        <v>0.02</v>
      </c>
      <c r="AL41" s="536">
        <f t="shared" si="65"/>
        <v>0.02</v>
      </c>
      <c r="AM41" s="536">
        <f t="shared" si="65"/>
        <v>0.02</v>
      </c>
      <c r="AN41" s="536">
        <f t="shared" si="65"/>
        <v>0.02</v>
      </c>
    </row>
    <row r="42" spans="1:40">
      <c r="A42" s="295"/>
      <c r="B42" s="6"/>
      <c r="C42" s="6"/>
      <c r="D42" s="6"/>
      <c r="E42" s="6"/>
      <c r="F42" s="6"/>
      <c r="G42" s="6"/>
      <c r="H42" s="6"/>
      <c r="I42" s="6"/>
      <c r="J42" s="6"/>
      <c r="K42" s="6"/>
      <c r="L42" s="6"/>
      <c r="M42" s="6"/>
      <c r="N42" s="6"/>
      <c r="O42" s="6"/>
      <c r="P42" s="774" t="s">
        <v>337</v>
      </c>
      <c r="Q42" s="11"/>
      <c r="R42" s="11"/>
      <c r="S42" s="11"/>
      <c r="T42" s="11"/>
      <c r="U42" s="11"/>
      <c r="V42" s="11"/>
      <c r="W42" s="11"/>
      <c r="X42" s="11"/>
      <c r="Y42" s="11"/>
      <c r="Z42" s="11"/>
      <c r="AA42" s="11"/>
      <c r="AB42" s="11"/>
      <c r="AC42" s="11"/>
      <c r="AD42" s="11"/>
      <c r="AE42" s="11"/>
      <c r="AF42" s="11"/>
      <c r="AG42" s="11"/>
      <c r="AH42" s="11"/>
      <c r="AI42" s="11"/>
      <c r="AJ42" s="11"/>
      <c r="AK42" s="11"/>
      <c r="AL42" s="11"/>
      <c r="AM42" s="11"/>
      <c r="AN42" s="11"/>
    </row>
    <row r="43" spans="1:40">
      <c r="A43" s="295" t="s">
        <v>53</v>
      </c>
      <c r="B43" s="6"/>
      <c r="C43" s="6"/>
      <c r="D43" s="6"/>
      <c r="E43" s="6"/>
      <c r="F43" s="6"/>
      <c r="G43" s="6"/>
      <c r="H43" s="6"/>
      <c r="I43" s="6"/>
      <c r="J43" s="6"/>
      <c r="K43" s="6"/>
      <c r="L43" s="6"/>
      <c r="M43" s="6"/>
      <c r="N43" s="6"/>
      <c r="O43" s="6"/>
      <c r="P43" s="487"/>
      <c r="Q43" s="181">
        <f>AN16*(1+Q41)</f>
        <v>694.35533339471374</v>
      </c>
      <c r="R43" s="181">
        <f t="shared" ref="R43:X43" si="66">+Q43</f>
        <v>694.35533339471374</v>
      </c>
      <c r="S43" s="181">
        <f t="shared" si="66"/>
        <v>694.35533339471374</v>
      </c>
      <c r="T43" s="181">
        <f t="shared" si="66"/>
        <v>694.35533339471374</v>
      </c>
      <c r="U43" s="181">
        <f t="shared" si="66"/>
        <v>694.35533339471374</v>
      </c>
      <c r="V43" s="181">
        <f t="shared" si="66"/>
        <v>694.35533339471374</v>
      </c>
      <c r="W43" s="181">
        <f t="shared" si="66"/>
        <v>694.35533339471374</v>
      </c>
      <c r="X43" s="181">
        <f t="shared" si="66"/>
        <v>694.35533339471374</v>
      </c>
      <c r="Y43" s="181">
        <f t="shared" ref="R43:AB45" si="67">+X43</f>
        <v>694.35533339471374</v>
      </c>
      <c r="Z43" s="181">
        <f t="shared" si="67"/>
        <v>694.35533339471374</v>
      </c>
      <c r="AA43" s="181">
        <f t="shared" si="67"/>
        <v>694.35533339471374</v>
      </c>
      <c r="AB43" s="181">
        <f t="shared" si="67"/>
        <v>694.35533339471374</v>
      </c>
      <c r="AC43" s="181">
        <f t="shared" ref="AC43:AD45" si="68">+AB43</f>
        <v>694.35533339471374</v>
      </c>
      <c r="AD43" s="181">
        <f t="shared" si="68"/>
        <v>694.35533339471374</v>
      </c>
      <c r="AE43" s="181">
        <f t="shared" ref="AE43:AE45" si="69">+AD43</f>
        <v>694.35533339471374</v>
      </c>
      <c r="AF43" s="181">
        <f t="shared" ref="AF43:AH45" si="70">+AE43</f>
        <v>694.35533339471374</v>
      </c>
      <c r="AG43" s="181">
        <f t="shared" si="70"/>
        <v>694.35533339471374</v>
      </c>
      <c r="AH43" s="181">
        <f t="shared" si="70"/>
        <v>694.35533339471374</v>
      </c>
      <c r="AI43" s="181">
        <f t="shared" ref="AI43:AN45" si="71">+AH43</f>
        <v>694.35533339471374</v>
      </c>
      <c r="AJ43" s="181">
        <f t="shared" si="71"/>
        <v>694.35533339471374</v>
      </c>
      <c r="AK43" s="181">
        <f t="shared" si="71"/>
        <v>694.35533339471374</v>
      </c>
      <c r="AL43" s="181">
        <f t="shared" si="71"/>
        <v>694.35533339471374</v>
      </c>
      <c r="AM43" s="181">
        <f t="shared" si="71"/>
        <v>694.35533339471374</v>
      </c>
      <c r="AN43" s="181">
        <f t="shared" si="71"/>
        <v>694.35533339471374</v>
      </c>
    </row>
    <row r="44" spans="1:40">
      <c r="A44" s="490" t="s">
        <v>54</v>
      </c>
      <c r="B44" s="6"/>
      <c r="C44" s="6"/>
      <c r="D44" s="6"/>
      <c r="E44" s="6"/>
      <c r="F44" s="6"/>
      <c r="G44" s="6"/>
      <c r="H44" s="6"/>
      <c r="I44" s="6"/>
      <c r="J44" s="6"/>
      <c r="K44" s="6"/>
      <c r="L44" s="6"/>
      <c r="M44" s="6"/>
      <c r="N44" s="6"/>
      <c r="O44" s="6"/>
      <c r="P44" s="487"/>
      <c r="Q44" s="181">
        <f ca="1">AN29*(1+Q41)</f>
        <v>162.98048249458165</v>
      </c>
      <c r="R44" s="181">
        <f t="shared" ca="1" si="67"/>
        <v>162.98048249458165</v>
      </c>
      <c r="S44" s="181">
        <f t="shared" ca="1" si="67"/>
        <v>162.98048249458165</v>
      </c>
      <c r="T44" s="181">
        <f t="shared" ca="1" si="67"/>
        <v>162.98048249458165</v>
      </c>
      <c r="U44" s="181">
        <f t="shared" ca="1" si="67"/>
        <v>162.98048249458165</v>
      </c>
      <c r="V44" s="181">
        <f t="shared" ca="1" si="67"/>
        <v>162.98048249458165</v>
      </c>
      <c r="W44" s="181">
        <f t="shared" ca="1" si="67"/>
        <v>162.98048249458165</v>
      </c>
      <c r="X44" s="181">
        <f t="shared" ca="1" si="67"/>
        <v>162.98048249458165</v>
      </c>
      <c r="Y44" s="181">
        <f t="shared" ca="1" si="67"/>
        <v>162.98048249458165</v>
      </c>
      <c r="Z44" s="181">
        <f t="shared" ca="1" si="67"/>
        <v>162.98048249458165</v>
      </c>
      <c r="AA44" s="181">
        <f t="shared" ca="1" si="67"/>
        <v>162.98048249458165</v>
      </c>
      <c r="AB44" s="181">
        <f t="shared" ca="1" si="67"/>
        <v>162.98048249458165</v>
      </c>
      <c r="AC44" s="181">
        <f t="shared" ca="1" si="68"/>
        <v>162.98048249458165</v>
      </c>
      <c r="AD44" s="181">
        <f t="shared" ca="1" si="68"/>
        <v>162.98048249458165</v>
      </c>
      <c r="AE44" s="181">
        <f t="shared" ca="1" si="69"/>
        <v>162.98048249458165</v>
      </c>
      <c r="AF44" s="181">
        <f t="shared" ca="1" si="70"/>
        <v>162.98048249458165</v>
      </c>
      <c r="AG44" s="181">
        <f t="shared" ca="1" si="70"/>
        <v>162.98048249458165</v>
      </c>
      <c r="AH44" s="181">
        <f t="shared" ca="1" si="70"/>
        <v>162.98048249458165</v>
      </c>
      <c r="AI44" s="181">
        <f t="shared" ca="1" si="71"/>
        <v>162.98048249458165</v>
      </c>
      <c r="AJ44" s="181">
        <f t="shared" ca="1" si="71"/>
        <v>162.98048249458165</v>
      </c>
      <c r="AK44" s="181">
        <f t="shared" ca="1" si="71"/>
        <v>162.98048249458165</v>
      </c>
      <c r="AL44" s="181">
        <f t="shared" ca="1" si="71"/>
        <v>162.98048249458165</v>
      </c>
      <c r="AM44" s="181">
        <f t="shared" ca="1" si="71"/>
        <v>162.98048249458165</v>
      </c>
      <c r="AN44" s="181">
        <f t="shared" ca="1" si="71"/>
        <v>162.98048249458165</v>
      </c>
    </row>
    <row r="45" spans="1:40">
      <c r="A45" s="490" t="s">
        <v>67</v>
      </c>
      <c r="B45" s="6"/>
      <c r="C45" s="6"/>
      <c r="D45" s="6"/>
      <c r="E45" s="6"/>
      <c r="F45" s="6"/>
      <c r="G45" s="6"/>
      <c r="H45" s="6"/>
      <c r="I45" s="6"/>
      <c r="J45" s="6"/>
      <c r="K45" s="6"/>
      <c r="L45" s="6"/>
      <c r="M45" s="6"/>
      <c r="N45" s="6"/>
      <c r="O45" s="6"/>
      <c r="P45" s="51"/>
      <c r="Q45" s="1061">
        <f>AN26*(1+Q41)</f>
        <v>29.092571360135796</v>
      </c>
      <c r="R45" s="1061">
        <f t="shared" si="67"/>
        <v>29.092571360135796</v>
      </c>
      <c r="S45" s="1061">
        <f t="shared" si="67"/>
        <v>29.092571360135796</v>
      </c>
      <c r="T45" s="1061">
        <f t="shared" si="67"/>
        <v>29.092571360135796</v>
      </c>
      <c r="U45" s="1061">
        <f t="shared" si="67"/>
        <v>29.092571360135796</v>
      </c>
      <c r="V45" s="1061">
        <f t="shared" si="67"/>
        <v>29.092571360135796</v>
      </c>
      <c r="W45" s="1061">
        <f t="shared" si="67"/>
        <v>29.092571360135796</v>
      </c>
      <c r="X45" s="1061">
        <f t="shared" si="67"/>
        <v>29.092571360135796</v>
      </c>
      <c r="Y45" s="1061">
        <f t="shared" si="67"/>
        <v>29.092571360135796</v>
      </c>
      <c r="Z45" s="1061">
        <f t="shared" si="67"/>
        <v>29.092571360135796</v>
      </c>
      <c r="AA45" s="1061">
        <f t="shared" si="67"/>
        <v>29.092571360135796</v>
      </c>
      <c r="AB45" s="1061">
        <f t="shared" si="67"/>
        <v>29.092571360135796</v>
      </c>
      <c r="AC45" s="1061">
        <f t="shared" si="68"/>
        <v>29.092571360135796</v>
      </c>
      <c r="AD45" s="1061">
        <f t="shared" si="68"/>
        <v>29.092571360135796</v>
      </c>
      <c r="AE45" s="1061">
        <f t="shared" si="69"/>
        <v>29.092571360135796</v>
      </c>
      <c r="AF45" s="1061">
        <f t="shared" si="70"/>
        <v>29.092571360135796</v>
      </c>
      <c r="AG45" s="1061">
        <f t="shared" si="70"/>
        <v>29.092571360135796</v>
      </c>
      <c r="AH45" s="1061">
        <f t="shared" si="70"/>
        <v>29.092571360135796</v>
      </c>
      <c r="AI45" s="1061">
        <f t="shared" si="71"/>
        <v>29.092571360135796</v>
      </c>
      <c r="AJ45" s="1061">
        <f t="shared" si="71"/>
        <v>29.092571360135796</v>
      </c>
      <c r="AK45" s="1061">
        <f t="shared" si="71"/>
        <v>29.092571360135796</v>
      </c>
      <c r="AL45" s="1061">
        <f t="shared" si="71"/>
        <v>29.092571360135796</v>
      </c>
      <c r="AM45" s="1061">
        <f t="shared" si="71"/>
        <v>29.092571360135796</v>
      </c>
      <c r="AN45" s="1061">
        <f t="shared" si="71"/>
        <v>29.092571360135796</v>
      </c>
    </row>
    <row r="46" spans="1:40">
      <c r="A46" s="295" t="s">
        <v>56</v>
      </c>
      <c r="B46" s="6"/>
      <c r="C46" s="6"/>
      <c r="D46" s="6"/>
      <c r="E46" s="6"/>
      <c r="F46" s="6"/>
      <c r="G46" s="6"/>
      <c r="H46" s="6"/>
      <c r="I46" s="6"/>
      <c r="J46" s="6"/>
      <c r="K46" s="6"/>
      <c r="L46" s="6"/>
      <c r="M46" s="6"/>
      <c r="N46" s="6"/>
      <c r="O46" s="6"/>
      <c r="P46" s="6"/>
      <c r="Q46" s="181">
        <f ca="1">+Q43-Q44-Q45</f>
        <v>502.28227953999624</v>
      </c>
      <c r="R46" s="181">
        <f t="shared" ref="R46:AF46" ca="1" si="72">+R43-R44-R45</f>
        <v>502.28227953999624</v>
      </c>
      <c r="S46" s="181">
        <f t="shared" ca="1" si="72"/>
        <v>502.28227953999624</v>
      </c>
      <c r="T46" s="181">
        <f t="shared" ca="1" si="72"/>
        <v>502.28227953999624</v>
      </c>
      <c r="U46" s="181">
        <f t="shared" ca="1" si="72"/>
        <v>502.28227953999624</v>
      </c>
      <c r="V46" s="181">
        <f t="shared" ca="1" si="72"/>
        <v>502.28227953999624</v>
      </c>
      <c r="W46" s="181">
        <f t="shared" ca="1" si="72"/>
        <v>502.28227953999624</v>
      </c>
      <c r="X46" s="181">
        <f t="shared" ca="1" si="72"/>
        <v>502.28227953999624</v>
      </c>
      <c r="Y46" s="181">
        <f t="shared" ca="1" si="72"/>
        <v>502.28227953999624</v>
      </c>
      <c r="Z46" s="181">
        <f t="shared" ca="1" si="72"/>
        <v>502.28227953999624</v>
      </c>
      <c r="AA46" s="181">
        <f t="shared" ca="1" si="72"/>
        <v>502.28227953999624</v>
      </c>
      <c r="AB46" s="181">
        <f t="shared" ca="1" si="72"/>
        <v>502.28227953999624</v>
      </c>
      <c r="AC46" s="181">
        <f t="shared" ca="1" si="72"/>
        <v>502.28227953999624</v>
      </c>
      <c r="AD46" s="181">
        <f t="shared" ref="AD46" ca="1" si="73">+AD43-AD44-AD45</f>
        <v>502.28227953999624</v>
      </c>
      <c r="AE46" s="181">
        <f t="shared" ca="1" si="72"/>
        <v>502.28227953999624</v>
      </c>
      <c r="AF46" s="181">
        <f t="shared" ca="1" si="72"/>
        <v>502.28227953999624</v>
      </c>
      <c r="AG46" s="181">
        <f t="shared" ref="AG46:AL46" ca="1" si="74">+AG43-AG44-AG45</f>
        <v>502.28227953999624</v>
      </c>
      <c r="AH46" s="181">
        <f t="shared" ca="1" si="74"/>
        <v>502.28227953999624</v>
      </c>
      <c r="AI46" s="181">
        <f t="shared" ca="1" si="74"/>
        <v>502.28227953999624</v>
      </c>
      <c r="AJ46" s="181">
        <f t="shared" ca="1" si="74"/>
        <v>502.28227953999624</v>
      </c>
      <c r="AK46" s="181">
        <f t="shared" ca="1" si="74"/>
        <v>502.28227953999624</v>
      </c>
      <c r="AL46" s="181">
        <f t="shared" ca="1" si="74"/>
        <v>502.28227953999624</v>
      </c>
      <c r="AM46" s="181">
        <f ca="1">+AM43-AM44-AM45</f>
        <v>502.28227953999624</v>
      </c>
      <c r="AN46" s="181">
        <f ca="1">+AN43-AN44-AN45</f>
        <v>502.28227953999624</v>
      </c>
    </row>
    <row r="47" spans="1:40">
      <c r="A47" s="490" t="s">
        <v>57</v>
      </c>
      <c r="B47" s="6"/>
      <c r="C47" s="6"/>
      <c r="D47" s="6"/>
      <c r="E47" s="6"/>
      <c r="F47" s="6"/>
      <c r="G47" s="6"/>
      <c r="H47" s="6"/>
      <c r="I47" s="6"/>
      <c r="J47" s="6"/>
      <c r="K47" s="6"/>
      <c r="L47" s="6"/>
      <c r="M47" s="6"/>
      <c r="N47" s="6"/>
      <c r="O47" s="6"/>
      <c r="P47" s="6"/>
      <c r="Q47" s="181">
        <f ca="1">1/(Q40-Q41)</f>
        <v>16.528782274222632</v>
      </c>
      <c r="R47" s="181">
        <f t="shared" ref="R47:AB47" ca="1" si="75">1/(R40-R41)</f>
        <v>16.528782274222632</v>
      </c>
      <c r="S47" s="181">
        <f t="shared" ca="1" si="75"/>
        <v>16.528782274222632</v>
      </c>
      <c r="T47" s="181">
        <f t="shared" ca="1" si="75"/>
        <v>16.528782274222632</v>
      </c>
      <c r="U47" s="181">
        <f t="shared" ca="1" si="75"/>
        <v>16.528782274222632</v>
      </c>
      <c r="V47" s="181">
        <f t="shared" ca="1" si="75"/>
        <v>16.528782274222632</v>
      </c>
      <c r="W47" s="181">
        <f t="shared" ca="1" si="75"/>
        <v>16.528782274222632</v>
      </c>
      <c r="X47" s="181">
        <f t="shared" ca="1" si="75"/>
        <v>16.528782274222632</v>
      </c>
      <c r="Y47" s="181">
        <f t="shared" ca="1" si="75"/>
        <v>16.528782274222632</v>
      </c>
      <c r="Z47" s="181">
        <f t="shared" ca="1" si="75"/>
        <v>16.528782274222632</v>
      </c>
      <c r="AA47" s="181">
        <f t="shared" ca="1" si="75"/>
        <v>16.528782274222632</v>
      </c>
      <c r="AB47" s="181">
        <f t="shared" ca="1" si="75"/>
        <v>16.528782274222632</v>
      </c>
      <c r="AC47" s="181">
        <f t="shared" ref="AC47:AH47" ca="1" si="76">1/(AC40-AC41)</f>
        <v>16.528782274222632</v>
      </c>
      <c r="AD47" s="181">
        <f t="shared" ref="AD47" ca="1" si="77">1/(AD40-AD41)</f>
        <v>16.528782274222632</v>
      </c>
      <c r="AE47" s="181">
        <f t="shared" ca="1" si="76"/>
        <v>16.528782274222632</v>
      </c>
      <c r="AF47" s="181">
        <f t="shared" ca="1" si="76"/>
        <v>16.528782274222632</v>
      </c>
      <c r="AG47" s="181">
        <f t="shared" ca="1" si="76"/>
        <v>16.528782274222632</v>
      </c>
      <c r="AH47" s="181">
        <f t="shared" ca="1" si="76"/>
        <v>16.528782274222632</v>
      </c>
      <c r="AI47" s="181">
        <f t="shared" ref="AI47:AN47" ca="1" si="78">1/(AI40-AI41)</f>
        <v>16.528782274222632</v>
      </c>
      <c r="AJ47" s="181">
        <f t="shared" ca="1" si="78"/>
        <v>16.528782274222632</v>
      </c>
      <c r="AK47" s="181">
        <f t="shared" ca="1" si="78"/>
        <v>16.528782274222632</v>
      </c>
      <c r="AL47" s="181">
        <f t="shared" ca="1" si="78"/>
        <v>16.528782274222632</v>
      </c>
      <c r="AM47" s="181">
        <f t="shared" ca="1" si="78"/>
        <v>16.528782274222632</v>
      </c>
      <c r="AN47" s="181">
        <f t="shared" ca="1" si="78"/>
        <v>16.528782274222632</v>
      </c>
    </row>
    <row r="48" spans="1:40">
      <c r="A48" s="490" t="s">
        <v>58</v>
      </c>
      <c r="B48" s="6"/>
      <c r="C48" s="6"/>
      <c r="D48" s="6"/>
      <c r="E48" s="6"/>
      <c r="F48" s="6"/>
      <c r="G48" s="6"/>
      <c r="H48" s="6"/>
      <c r="I48" s="6"/>
      <c r="J48" s="6"/>
      <c r="K48" s="6"/>
      <c r="L48" s="6"/>
      <c r="M48" s="6"/>
      <c r="N48" s="6"/>
      <c r="O48" s="6"/>
      <c r="P48" s="6"/>
      <c r="Q48" s="181">
        <f ca="1">+Q49/Q43</f>
        <v>11.956579058920255</v>
      </c>
      <c r="R48" s="181">
        <f t="shared" ref="R48:AB48" ca="1" si="79">+R49/R43</f>
        <v>11.956579058920255</v>
      </c>
      <c r="S48" s="181">
        <f t="shared" ca="1" si="79"/>
        <v>11.956579058920255</v>
      </c>
      <c r="T48" s="181">
        <f t="shared" ca="1" si="79"/>
        <v>11.956579058920255</v>
      </c>
      <c r="U48" s="181">
        <f t="shared" ca="1" si="79"/>
        <v>11.956579058920255</v>
      </c>
      <c r="V48" s="181">
        <f t="shared" ca="1" si="79"/>
        <v>11.956579058920255</v>
      </c>
      <c r="W48" s="181">
        <f t="shared" ca="1" si="79"/>
        <v>11.956579058920255</v>
      </c>
      <c r="X48" s="181">
        <f t="shared" ca="1" si="79"/>
        <v>11.956579058920255</v>
      </c>
      <c r="Y48" s="181">
        <f t="shared" ca="1" si="79"/>
        <v>11.956579058920255</v>
      </c>
      <c r="Z48" s="181">
        <f t="shared" ca="1" si="79"/>
        <v>11.956579058920255</v>
      </c>
      <c r="AA48" s="181">
        <f t="shared" ca="1" si="79"/>
        <v>11.956579058920255</v>
      </c>
      <c r="AB48" s="181">
        <f t="shared" ca="1" si="79"/>
        <v>11.956579058920255</v>
      </c>
      <c r="AC48" s="181">
        <f t="shared" ref="AC48:AH48" ca="1" si="80">+AC49/AC43</f>
        <v>11.956579058920255</v>
      </c>
      <c r="AD48" s="181">
        <f t="shared" ref="AD48" ca="1" si="81">+AD49/AD43</f>
        <v>11.956579058920255</v>
      </c>
      <c r="AE48" s="181">
        <f t="shared" ca="1" si="80"/>
        <v>11.956579058920255</v>
      </c>
      <c r="AF48" s="181">
        <f t="shared" ca="1" si="80"/>
        <v>11.956579058920255</v>
      </c>
      <c r="AG48" s="181">
        <f t="shared" ca="1" si="80"/>
        <v>11.956579058920255</v>
      </c>
      <c r="AH48" s="181">
        <f t="shared" ca="1" si="80"/>
        <v>11.956579058920255</v>
      </c>
      <c r="AI48" s="181">
        <f t="shared" ref="AI48:AN48" ca="1" si="82">+AI49/AI43</f>
        <v>11.956579058920255</v>
      </c>
      <c r="AJ48" s="181">
        <f t="shared" ca="1" si="82"/>
        <v>11.956579058920255</v>
      </c>
      <c r="AK48" s="181">
        <f t="shared" ca="1" si="82"/>
        <v>11.956579058920255</v>
      </c>
      <c r="AL48" s="181">
        <f t="shared" ca="1" si="82"/>
        <v>11.956579058920255</v>
      </c>
      <c r="AM48" s="181">
        <f t="shared" ca="1" si="82"/>
        <v>11.956579058920255</v>
      </c>
      <c r="AN48" s="181">
        <f t="shared" ca="1" si="82"/>
        <v>11.956579058920255</v>
      </c>
    </row>
    <row r="49" spans="1:41">
      <c r="A49" s="295" t="s">
        <v>59</v>
      </c>
      <c r="B49" s="6"/>
      <c r="C49" s="6"/>
      <c r="D49" s="6"/>
      <c r="E49" s="6"/>
      <c r="F49" s="6"/>
      <c r="G49" s="6"/>
      <c r="H49" s="6"/>
      <c r="I49" s="6"/>
      <c r="J49" s="6"/>
      <c r="K49" s="6"/>
      <c r="L49" s="6"/>
      <c r="M49" s="6"/>
      <c r="N49" s="6"/>
      <c r="O49" s="6"/>
      <c r="P49" s="6"/>
      <c r="Q49" s="181">
        <f ca="1">Q47*Q46</f>
        <v>8302.114438716826</v>
      </c>
      <c r="R49" s="181">
        <f t="shared" ref="R49:AB49" ca="1" si="83">R47*R46</f>
        <v>8302.114438716826</v>
      </c>
      <c r="S49" s="181">
        <f t="shared" ca="1" si="83"/>
        <v>8302.114438716826</v>
      </c>
      <c r="T49" s="181">
        <f t="shared" ca="1" si="83"/>
        <v>8302.114438716826</v>
      </c>
      <c r="U49" s="181">
        <f t="shared" ca="1" si="83"/>
        <v>8302.114438716826</v>
      </c>
      <c r="V49" s="181">
        <f t="shared" ca="1" si="83"/>
        <v>8302.114438716826</v>
      </c>
      <c r="W49" s="181">
        <f t="shared" ca="1" si="83"/>
        <v>8302.114438716826</v>
      </c>
      <c r="X49" s="181">
        <f t="shared" ca="1" si="83"/>
        <v>8302.114438716826</v>
      </c>
      <c r="Y49" s="181">
        <f t="shared" ca="1" si="83"/>
        <v>8302.114438716826</v>
      </c>
      <c r="Z49" s="181">
        <f t="shared" ca="1" si="83"/>
        <v>8302.114438716826</v>
      </c>
      <c r="AA49" s="181">
        <f t="shared" ca="1" si="83"/>
        <v>8302.114438716826</v>
      </c>
      <c r="AB49" s="181">
        <f t="shared" ca="1" si="83"/>
        <v>8302.114438716826</v>
      </c>
      <c r="AC49" s="181">
        <f t="shared" ref="AC49:AH49" ca="1" si="84">AC47*AC46</f>
        <v>8302.114438716826</v>
      </c>
      <c r="AD49" s="181">
        <f t="shared" ref="AD49" ca="1" si="85">AD47*AD46</f>
        <v>8302.114438716826</v>
      </c>
      <c r="AE49" s="181">
        <f t="shared" ca="1" si="84"/>
        <v>8302.114438716826</v>
      </c>
      <c r="AF49" s="181">
        <f t="shared" ca="1" si="84"/>
        <v>8302.114438716826</v>
      </c>
      <c r="AG49" s="181">
        <f t="shared" ca="1" si="84"/>
        <v>8302.114438716826</v>
      </c>
      <c r="AH49" s="181">
        <f t="shared" ca="1" si="84"/>
        <v>8302.114438716826</v>
      </c>
      <c r="AI49" s="181">
        <f t="shared" ref="AI49:AM49" ca="1" si="86">AI47*AI46</f>
        <v>8302.114438716826</v>
      </c>
      <c r="AJ49" s="181">
        <f t="shared" ca="1" si="86"/>
        <v>8302.114438716826</v>
      </c>
      <c r="AK49" s="181">
        <f t="shared" ca="1" si="86"/>
        <v>8302.114438716826</v>
      </c>
      <c r="AL49" s="181">
        <f t="shared" ca="1" si="86"/>
        <v>8302.114438716826</v>
      </c>
      <c r="AM49" s="181">
        <f t="shared" ca="1" si="86"/>
        <v>8302.114438716826</v>
      </c>
      <c r="AN49" s="181">
        <f ca="1">AN47*AN46</f>
        <v>8302.114438716826</v>
      </c>
    </row>
    <row r="50" spans="1:41">
      <c r="A50" s="295" t="s">
        <v>60</v>
      </c>
      <c r="B50" s="6"/>
      <c r="C50" s="6"/>
      <c r="D50" s="6"/>
      <c r="E50" s="6"/>
      <c r="F50" s="6"/>
      <c r="G50" s="6"/>
      <c r="H50" s="6"/>
      <c r="I50" s="6"/>
      <c r="J50" s="6"/>
      <c r="K50" s="6"/>
      <c r="L50" s="6"/>
      <c r="M50" s="6"/>
      <c r="N50" s="6"/>
      <c r="O50" s="6"/>
      <c r="P50" s="6"/>
      <c r="Q50" s="181">
        <f ca="1">Q49/((1+Q40)^Q56)</f>
        <v>1398.9884435478989</v>
      </c>
      <c r="R50" s="181">
        <f t="shared" ref="R50:AF50" ca="1" si="87">R49/((1+R40)^R56)</f>
        <v>1511.6077472822137</v>
      </c>
      <c r="S50" s="181">
        <f t="shared" ca="1" si="87"/>
        <v>1633.292964056837</v>
      </c>
      <c r="T50" s="181">
        <f t="shared" ca="1" si="87"/>
        <v>1764.7739046282657</v>
      </c>
      <c r="U50" s="181">
        <f t="shared" ca="1" si="87"/>
        <v>1906.839129901814</v>
      </c>
      <c r="V50" s="181">
        <f t="shared" ca="1" si="87"/>
        <v>2060.3406803494227</v>
      </c>
      <c r="W50" s="181">
        <f t="shared" ca="1" si="87"/>
        <v>2226.1991861480747</v>
      </c>
      <c r="X50" s="181">
        <f t="shared" ca="1" si="87"/>
        <v>2405.4093886870428</v>
      </c>
      <c r="Y50" s="181">
        <f t="shared" ca="1" si="87"/>
        <v>2599.0461065593618</v>
      </c>
      <c r="Z50" s="181">
        <f t="shared" ca="1" si="87"/>
        <v>2808.2706818187467</v>
      </c>
      <c r="AA50" s="181">
        <f t="shared" ca="1" si="87"/>
        <v>3034.3379451635765</v>
      </c>
      <c r="AB50" s="181">
        <f t="shared" ca="1" si="87"/>
        <v>3278.6037418218411</v>
      </c>
      <c r="AC50" s="181">
        <f t="shared" ca="1" si="87"/>
        <v>3542.533063273776</v>
      </c>
      <c r="AD50" s="181">
        <f t="shared" ref="AD50" ca="1" si="88">AD49/((1+AD40)^AD56)</f>
        <v>3827.7088335824333</v>
      </c>
      <c r="AE50" s="181">
        <f t="shared" ca="1" si="87"/>
        <v>4135.8414030284812</v>
      </c>
      <c r="AF50" s="181">
        <f t="shared" ca="1" si="87"/>
        <v>4468.778805987572</v>
      </c>
      <c r="AG50" s="181">
        <f t="shared" ref="AG50:AN50" ca="1" si="89">AG49/((1+AG40)^AG56)</f>
        <v>4828.5178445722413</v>
      </c>
      <c r="AH50" s="181">
        <f t="shared" ca="1" si="89"/>
        <v>5217.2160645127706</v>
      </c>
      <c r="AI50" s="181">
        <f t="shared" ca="1" si="89"/>
        <v>5637.204695102766</v>
      </c>
      <c r="AJ50" s="181">
        <f t="shared" ca="1" si="89"/>
        <v>6091.0026308171273</v>
      </c>
      <c r="AK50" s="181">
        <f t="shared" ca="1" si="89"/>
        <v>6581.3315384576135</v>
      </c>
      <c r="AL50" s="181">
        <f t="shared" ca="1" si="89"/>
        <v>7111.1321804315412</v>
      </c>
      <c r="AM50" s="181">
        <f t="shared" ca="1" si="89"/>
        <v>7683.5820520629941</v>
      </c>
      <c r="AN50" s="181">
        <f t="shared" ca="1" si="89"/>
        <v>8302.114438716826</v>
      </c>
    </row>
    <row r="51" spans="1:41">
      <c r="A51" s="295" t="s">
        <v>63</v>
      </c>
      <c r="B51" s="6"/>
      <c r="C51" s="6"/>
      <c r="D51" s="6"/>
      <c r="E51" s="6"/>
      <c r="F51" s="6"/>
      <c r="G51" s="6"/>
      <c r="H51" s="6"/>
      <c r="I51" s="6"/>
      <c r="J51" s="6"/>
      <c r="K51" s="6"/>
      <c r="L51" s="6"/>
      <c r="M51" s="6"/>
      <c r="N51" s="6"/>
      <c r="O51" s="6"/>
      <c r="P51" s="6"/>
      <c r="Q51" s="173">
        <f ca="1">NPV(Q40,R31:$AN31)</f>
        <v>3233.6934426592929</v>
      </c>
      <c r="R51" s="173">
        <f ca="1">NPV(R40,S31:$AN31)</f>
        <v>3134.108514469252</v>
      </c>
      <c r="S51" s="173">
        <f ca="1">NPV(S40,T31:$AN31)</f>
        <v>3090.7712741193927</v>
      </c>
      <c r="T51" s="173">
        <f ca="1">NPV(T40,U31:$AN31)</f>
        <v>3132.0075231458432</v>
      </c>
      <c r="U51" s="173">
        <f ca="1">NPV(U40,V31:$AN31)</f>
        <v>3291.2492425402156</v>
      </c>
      <c r="V51" s="173">
        <f ca="1">NPV(V40,W31:$AN31)</f>
        <v>3347.0371688053633</v>
      </c>
      <c r="W51" s="173">
        <f ca="1">NPV(W40,X31:$AN31)</f>
        <v>3404.7048655058957</v>
      </c>
      <c r="X51" s="173">
        <f ca="1">NPV(X40,Y31:$AN31)</f>
        <v>3392.2450273916838</v>
      </c>
      <c r="Y51" s="173">
        <f ca="1">NPV(Y40,Z31:$AN31)</f>
        <v>3377.4457591159835</v>
      </c>
      <c r="Z51" s="173">
        <f ca="1">NPV(Z40,AA31:$AN31)</f>
        <v>3339.7691433801292</v>
      </c>
      <c r="AA51" s="173">
        <f ca="1">NPV(AA40,AB31:$AN31)</f>
        <v>3320.1640169980128</v>
      </c>
      <c r="AB51" s="173">
        <f ca="1">NPV(AB40,AC31:$AN31)</f>
        <v>3213.80660564851</v>
      </c>
      <c r="AC51" s="173">
        <f ca="1">NPV(AC40,AD31:$AN31)</f>
        <v>3170.1368660579978</v>
      </c>
      <c r="AD51" s="173">
        <f ca="1">NPV(AD40,AE31:$AN31)</f>
        <v>3040.6726857333751</v>
      </c>
      <c r="AE51" s="173">
        <f ca="1">NPV(AE40,AF31:$AN31)</f>
        <v>2907.5787328257552</v>
      </c>
      <c r="AF51" s="173">
        <f ca="1">NPV(AF40,AG31:$AN31)</f>
        <v>2628.8055063101119</v>
      </c>
      <c r="AG51" s="173">
        <f ca="1">NPV(AG40,AH31:$AN31)</f>
        <v>2391.4808457626254</v>
      </c>
      <c r="AH51" s="173">
        <f ca="1">NPV(AH40,AI31:$AN31)</f>
        <v>2048.4237647424065</v>
      </c>
      <c r="AI51" s="173">
        <f ca="1">NPV(AI40,AJ31:$AN31)</f>
        <v>1784.8219510815136</v>
      </c>
      <c r="AJ51" s="173">
        <f ca="1">NPV(AJ40,AK31:$AN31)</f>
        <v>1421.0780754020905</v>
      </c>
      <c r="AK51" s="173">
        <f ca="1">NPV(AK40,AL31:$AN31)</f>
        <v>1113.9732488357233</v>
      </c>
      <c r="AL51" s="173">
        <f ca="1">NPV(AL40,AM31:$AN31)</f>
        <v>760.83885102782051</v>
      </c>
      <c r="AM51" s="173">
        <f ca="1">NPV(AM40,AN31:$AN31)</f>
        <v>455.74582903193317</v>
      </c>
      <c r="AN51" s="771">
        <v>0</v>
      </c>
      <c r="AO51" s="1396"/>
    </row>
    <row r="52" spans="1:41">
      <c r="A52" s="295"/>
      <c r="B52" s="6"/>
      <c r="C52" s="6"/>
      <c r="D52" s="6"/>
      <c r="E52" s="6"/>
      <c r="F52" s="6"/>
      <c r="G52" s="6"/>
      <c r="H52" s="6"/>
      <c r="I52" s="6"/>
      <c r="J52" s="6"/>
      <c r="K52" s="6"/>
      <c r="L52" s="6"/>
      <c r="M52" s="6"/>
      <c r="N52" s="6"/>
      <c r="O52" s="6"/>
      <c r="P52" s="6"/>
      <c r="Q52" s="539"/>
      <c r="R52" s="539"/>
      <c r="S52" s="539"/>
      <c r="T52" s="539"/>
      <c r="U52" s="539"/>
      <c r="V52" s="539"/>
      <c r="W52" s="539"/>
      <c r="X52" s="539"/>
      <c r="Y52" s="539"/>
      <c r="Z52" s="539"/>
      <c r="AA52" s="539"/>
      <c r="AB52" s="539"/>
      <c r="AC52" s="539"/>
      <c r="AD52" s="539"/>
      <c r="AE52" s="539"/>
      <c r="AG52" s="1048"/>
      <c r="AH52" s="1048"/>
      <c r="AI52" s="1048"/>
      <c r="AJ52" s="1048"/>
      <c r="AK52" s="1048"/>
      <c r="AL52" s="1048"/>
    </row>
    <row r="53" spans="1:41">
      <c r="A53" s="295" t="s">
        <v>64</v>
      </c>
      <c r="B53" s="6"/>
      <c r="C53" s="6"/>
      <c r="D53" s="6"/>
      <c r="E53" s="6"/>
      <c r="F53" s="6"/>
      <c r="G53" s="6"/>
      <c r="H53" s="6"/>
      <c r="I53" s="6"/>
      <c r="J53" s="6"/>
      <c r="K53" s="6"/>
      <c r="L53" s="6"/>
      <c r="M53" s="6"/>
      <c r="N53" s="6"/>
      <c r="O53" s="6"/>
      <c r="P53" s="6"/>
      <c r="Q53" s="540">
        <f ca="1">Q51+Q50</f>
        <v>4632.6818862071923</v>
      </c>
      <c r="R53" s="540">
        <f t="shared" ref="R53:AA53" ca="1" si="90">R51+R50</f>
        <v>4645.7162617514659</v>
      </c>
      <c r="S53" s="540">
        <f t="shared" ca="1" si="90"/>
        <v>4724.06423817623</v>
      </c>
      <c r="T53" s="540">
        <f t="shared" ca="1" si="90"/>
        <v>4896.781427774109</v>
      </c>
      <c r="U53" s="540">
        <f t="shared" ca="1" si="90"/>
        <v>5198.0883724420291</v>
      </c>
      <c r="V53" s="540">
        <f t="shared" ca="1" si="90"/>
        <v>5407.3778491547855</v>
      </c>
      <c r="W53" s="540">
        <f t="shared" ca="1" si="90"/>
        <v>5630.9040516539699</v>
      </c>
      <c r="X53" s="540">
        <f t="shared" ca="1" si="90"/>
        <v>5797.6544160787271</v>
      </c>
      <c r="Y53" s="540">
        <f t="shared" ca="1" si="90"/>
        <v>5976.4918656753453</v>
      </c>
      <c r="Z53" s="540">
        <f t="shared" ca="1" si="90"/>
        <v>6148.0398251988754</v>
      </c>
      <c r="AA53" s="540">
        <f t="shared" ca="1" si="90"/>
        <v>6354.5019621615893</v>
      </c>
      <c r="AB53" s="540">
        <f t="shared" ref="AB53:AH53" ca="1" si="91">AB51+AB50</f>
        <v>6492.4103474703516</v>
      </c>
      <c r="AC53" s="540">
        <f t="shared" ca="1" si="91"/>
        <v>6712.6699293317743</v>
      </c>
      <c r="AD53" s="540">
        <f t="shared" ref="AD53" ca="1" si="92">AD51+AD50</f>
        <v>6868.381519315808</v>
      </c>
      <c r="AE53" s="540">
        <f t="shared" ca="1" si="91"/>
        <v>7043.4201358542359</v>
      </c>
      <c r="AF53" s="540">
        <f t="shared" ca="1" si="91"/>
        <v>7097.5843122976839</v>
      </c>
      <c r="AG53" s="540">
        <f t="shared" ca="1" si="91"/>
        <v>7219.9986903348672</v>
      </c>
      <c r="AH53" s="540">
        <f t="shared" ca="1" si="91"/>
        <v>7265.6398292551767</v>
      </c>
      <c r="AI53" s="540">
        <f t="shared" ref="AI53:AN53" ca="1" si="93">AI51+AI50</f>
        <v>7422.0266461842793</v>
      </c>
      <c r="AJ53" s="540">
        <f t="shared" ca="1" si="93"/>
        <v>7512.080706219218</v>
      </c>
      <c r="AK53" s="540">
        <f t="shared" ca="1" si="93"/>
        <v>7695.3047872933366</v>
      </c>
      <c r="AL53" s="540">
        <f t="shared" ca="1" si="93"/>
        <v>7871.9710314593613</v>
      </c>
      <c r="AM53" s="540">
        <f t="shared" ca="1" si="93"/>
        <v>8139.3278810949269</v>
      </c>
      <c r="AN53" s="540">
        <f t="shared" ca="1" si="93"/>
        <v>8302.114438716826</v>
      </c>
    </row>
    <row r="54" spans="1:41">
      <c r="A54" s="490" t="s">
        <v>72</v>
      </c>
      <c r="B54" s="6"/>
      <c r="C54" s="6"/>
      <c r="D54" s="6"/>
      <c r="E54" s="6"/>
      <c r="F54" s="6"/>
      <c r="G54" s="6"/>
      <c r="H54" s="6"/>
      <c r="I54" s="6"/>
      <c r="J54" s="6"/>
      <c r="K54" s="6"/>
      <c r="L54" s="6"/>
      <c r="M54" s="6"/>
      <c r="N54" s="6"/>
      <c r="O54" s="6"/>
      <c r="P54" s="6"/>
      <c r="Q54" s="541">
        <f ca="1">Q53/Q16</f>
        <v>10.080947370573174</v>
      </c>
      <c r="R54" s="541">
        <f t="shared" ref="R54:AF54" ca="1" si="94">R53/R16</f>
        <v>9.1035639857871633</v>
      </c>
      <c r="S54" s="541">
        <f t="shared" ca="1" si="94"/>
        <v>11.190200966627824</v>
      </c>
      <c r="T54" s="541">
        <f t="shared" ca="1" si="94"/>
        <v>16.535669057140879</v>
      </c>
      <c r="U54" s="541">
        <f t="shared" ca="1" si="94"/>
        <v>40.24528406314591</v>
      </c>
      <c r="V54" s="541">
        <f t="shared" ca="1" si="94"/>
        <v>18.752248962003694</v>
      </c>
      <c r="W54" s="541">
        <f t="shared" ca="1" si="94"/>
        <v>19.328496694232683</v>
      </c>
      <c r="X54" s="541">
        <f t="shared" ca="1" si="94"/>
        <v>14.869671041242871</v>
      </c>
      <c r="Y54" s="541">
        <f t="shared" ca="1" si="94"/>
        <v>15.286416935237121</v>
      </c>
      <c r="Z54" s="541">
        <f t="shared" ca="1" si="94"/>
        <v>14.648867183306832</v>
      </c>
      <c r="AA54" s="541">
        <f t="shared" ca="1" si="94"/>
        <v>16.167776452382697</v>
      </c>
      <c r="AB54" s="541">
        <f t="shared" ca="1" si="94"/>
        <v>12.78392131087644</v>
      </c>
      <c r="AC54" s="541">
        <f t="shared" ca="1" si="94"/>
        <v>16.252459591227588</v>
      </c>
      <c r="AD54" s="541">
        <f t="shared" ref="AD54" ca="1" si="95">AD53/AD16</f>
        <v>13.100118428809372</v>
      </c>
      <c r="AE54" s="541">
        <f t="shared" ca="1" si="94"/>
        <v>13.63180778713612</v>
      </c>
      <c r="AF54" s="541">
        <f t="shared" ca="1" si="94"/>
        <v>10.146919646895569</v>
      </c>
      <c r="AG54" s="541">
        <f t="shared" ref="AG54:AL54" ca="1" si="96">AG53/AG16</f>
        <v>11.724782876238054</v>
      </c>
      <c r="AH54" s="541">
        <f t="shared" ca="1" si="96"/>
        <v>9.9150300938152149</v>
      </c>
      <c r="AI54" s="541">
        <f t="shared" ca="1" si="96"/>
        <v>12.567847996914091</v>
      </c>
      <c r="AJ54" s="541">
        <f t="shared" ca="1" si="96"/>
        <v>10.775192735144667</v>
      </c>
      <c r="AK54" s="541">
        <f t="shared" ca="1" si="96"/>
        <v>13.195591557230896</v>
      </c>
      <c r="AL54" s="541">
        <f t="shared" ca="1" si="96"/>
        <v>12.850761773892737</v>
      </c>
      <c r="AM54" s="541">
        <f ca="1">AM53/AM16</f>
        <v>15.924140731739797</v>
      </c>
      <c r="AN54" s="541">
        <f ca="1">AN53/AN16</f>
        <v>12.19571064009866</v>
      </c>
    </row>
    <row r="55" spans="1:41">
      <c r="A55" s="490" t="s">
        <v>73</v>
      </c>
      <c r="B55" s="6"/>
      <c r="C55" s="6"/>
      <c r="D55" s="6"/>
      <c r="E55" s="6"/>
      <c r="F55" s="6"/>
      <c r="G55" s="6"/>
      <c r="H55" s="6"/>
      <c r="I55" s="6"/>
      <c r="J55" s="6"/>
      <c r="K55" s="6"/>
      <c r="L55" s="6"/>
      <c r="M55" s="6"/>
      <c r="N55" s="6"/>
      <c r="O55" s="6"/>
      <c r="P55" s="6"/>
      <c r="Q55" s="541">
        <f ca="1">Q53/R16</f>
        <v>9.0780223329834815</v>
      </c>
      <c r="R55" s="541">
        <f t="shared" ref="R55:AF55" ca="1" si="97">R53/S16</f>
        <v>11.004612973467891</v>
      </c>
      <c r="S55" s="541">
        <f t="shared" ca="1" si="97"/>
        <v>15.952429978616557</v>
      </c>
      <c r="T55" s="541">
        <f t="shared" ca="1" si="97"/>
        <v>37.912468091288503</v>
      </c>
      <c r="U55" s="541">
        <f t="shared" ca="1" si="97"/>
        <v>18.02645385725463</v>
      </c>
      <c r="V55" s="541">
        <f t="shared" ca="1" si="97"/>
        <v>18.561226389775829</v>
      </c>
      <c r="W55" s="541">
        <f t="shared" ca="1" si="97"/>
        <v>14.441994107252633</v>
      </c>
      <c r="X55" s="541">
        <f t="shared" ca="1" si="97"/>
        <v>14.828994105990212</v>
      </c>
      <c r="Y55" s="541">
        <f t="shared" ca="1" si="97"/>
        <v>14.240121738241958</v>
      </c>
      <c r="Z55" s="541">
        <f t="shared" ca="1" si="97"/>
        <v>15.642474281391015</v>
      </c>
      <c r="AA55" s="541">
        <f t="shared" ca="1" si="97"/>
        <v>12.512371939912208</v>
      </c>
      <c r="AB55" s="541">
        <f t="shared" ca="1" si="97"/>
        <v>15.719175519245843</v>
      </c>
      <c r="AC55" s="541">
        <f t="shared" ca="1" si="97"/>
        <v>12.803128480916634</v>
      </c>
      <c r="AD55" s="541">
        <f t="shared" ca="1" si="97"/>
        <v>13.293038733188625</v>
      </c>
      <c r="AE55" s="541">
        <f t="shared" ca="1" si="97"/>
        <v>10.069484913903432</v>
      </c>
      <c r="AF55" s="541">
        <f t="shared" ca="1" si="97"/>
        <v>11.525990318929553</v>
      </c>
      <c r="AG55" s="541">
        <f t="shared" ref="AG55:AM55" ca="1" si="98">AG53/AH16</f>
        <v>9.852746072511442</v>
      </c>
      <c r="AH55" s="541">
        <f t="shared" ca="1" si="98"/>
        <v>12.303035454790351</v>
      </c>
      <c r="AI55" s="541">
        <f t="shared" ca="1" si="98"/>
        <v>10.646020819745063</v>
      </c>
      <c r="AJ55" s="541">
        <f t="shared" ca="1" si="98"/>
        <v>12.881406452919592</v>
      </c>
      <c r="AK55" s="541">
        <f t="shared" ca="1" si="98"/>
        <v>12.562359313035984</v>
      </c>
      <c r="AL55" s="541">
        <f t="shared" ca="1" si="98"/>
        <v>15.401071976999004</v>
      </c>
      <c r="AM55" s="541">
        <f t="shared" ca="1" si="98"/>
        <v>11.956579058920255</v>
      </c>
      <c r="AO55" s="1396"/>
    </row>
    <row r="56" spans="1:41">
      <c r="A56" s="495" t="s">
        <v>61</v>
      </c>
      <c r="B56" s="6"/>
      <c r="C56" s="6"/>
      <c r="D56" s="6"/>
      <c r="E56" s="6"/>
      <c r="F56" s="6"/>
      <c r="G56" s="6"/>
      <c r="H56" s="6"/>
      <c r="I56" s="6"/>
      <c r="J56" s="6"/>
      <c r="K56" s="6"/>
      <c r="L56" s="6"/>
      <c r="M56" s="6"/>
      <c r="N56" s="6"/>
      <c r="O56" s="6"/>
      <c r="P56" s="6"/>
      <c r="Q56" s="11">
        <f>R56+1</f>
        <v>23</v>
      </c>
      <c r="R56" s="11">
        <f t="shared" ref="R56:AH56" si="99">S56+1</f>
        <v>22</v>
      </c>
      <c r="S56" s="11">
        <f t="shared" si="99"/>
        <v>21</v>
      </c>
      <c r="T56" s="11">
        <f t="shared" si="99"/>
        <v>20</v>
      </c>
      <c r="U56" s="11">
        <f t="shared" si="99"/>
        <v>19</v>
      </c>
      <c r="V56" s="11">
        <f t="shared" si="99"/>
        <v>18</v>
      </c>
      <c r="W56" s="11">
        <f t="shared" si="99"/>
        <v>17</v>
      </c>
      <c r="X56" s="11">
        <f t="shared" si="99"/>
        <v>16</v>
      </c>
      <c r="Y56" s="11">
        <f t="shared" si="99"/>
        <v>15</v>
      </c>
      <c r="Z56" s="11">
        <f t="shared" si="99"/>
        <v>14</v>
      </c>
      <c r="AA56" s="11">
        <f t="shared" si="99"/>
        <v>13</v>
      </c>
      <c r="AB56" s="11">
        <f t="shared" si="99"/>
        <v>12</v>
      </c>
      <c r="AC56" s="11">
        <f t="shared" si="99"/>
        <v>11</v>
      </c>
      <c r="AD56" s="11">
        <f t="shared" si="99"/>
        <v>10</v>
      </c>
      <c r="AE56" s="11">
        <f t="shared" si="99"/>
        <v>9</v>
      </c>
      <c r="AF56" s="11">
        <f t="shared" si="99"/>
        <v>8</v>
      </c>
      <c r="AG56" s="11">
        <f t="shared" si="99"/>
        <v>7</v>
      </c>
      <c r="AH56" s="11">
        <f t="shared" si="99"/>
        <v>6</v>
      </c>
      <c r="AI56" s="11">
        <f>AJ56+1</f>
        <v>5</v>
      </c>
      <c r="AJ56" s="11">
        <f>AK56+1</f>
        <v>4</v>
      </c>
      <c r="AK56" s="11">
        <f>AL56+1</f>
        <v>3</v>
      </c>
      <c r="AL56" s="1402">
        <f>AM56+1</f>
        <v>2</v>
      </c>
      <c r="AM56" s="1402">
        <f>AN56+1</f>
        <v>1</v>
      </c>
      <c r="AN56" s="1401">
        <v>0</v>
      </c>
      <c r="AO56" s="1396"/>
    </row>
    <row r="57" spans="1:41">
      <c r="A57" s="546"/>
      <c r="B57" s="6"/>
      <c r="C57" s="6"/>
      <c r="D57" s="6"/>
      <c r="E57" s="6"/>
      <c r="F57" s="6"/>
      <c r="G57" s="6"/>
      <c r="H57" s="6"/>
      <c r="I57" s="6"/>
      <c r="J57" s="6"/>
      <c r="K57" s="6"/>
      <c r="L57" s="6"/>
      <c r="M57" s="6"/>
      <c r="N57" s="6"/>
      <c r="O57" s="6"/>
      <c r="P57" s="6"/>
      <c r="Q57" s="11"/>
      <c r="R57" s="11"/>
      <c r="S57" s="133"/>
      <c r="T57" s="11"/>
      <c r="U57" s="11"/>
      <c r="V57" s="11"/>
      <c r="W57" s="11"/>
      <c r="X57" s="11"/>
      <c r="Y57" s="11"/>
      <c r="Z57" s="11"/>
      <c r="AA57" s="11"/>
      <c r="AB57" s="11"/>
      <c r="AC57" s="11"/>
      <c r="AD57" s="11"/>
      <c r="AE57" s="11"/>
      <c r="AF57" s="11"/>
      <c r="AG57" s="11"/>
      <c r="AH57" s="11"/>
      <c r="AI57" s="11"/>
      <c r="AJ57" s="11"/>
      <c r="AK57" s="11"/>
      <c r="AL57" s="11"/>
    </row>
    <row r="58" spans="1:41">
      <c r="A58" s="546"/>
      <c r="B58" s="6"/>
      <c r="C58" s="6"/>
      <c r="D58" s="6"/>
      <c r="E58" s="6"/>
      <c r="F58" s="6"/>
      <c r="G58" s="6"/>
      <c r="H58" s="6"/>
      <c r="I58" s="6"/>
      <c r="J58" s="6"/>
      <c r="K58" s="6"/>
      <c r="L58" s="6"/>
      <c r="M58" s="6"/>
      <c r="N58" s="6"/>
      <c r="O58" s="6"/>
      <c r="P58" s="549"/>
      <c r="Q58" s="38"/>
      <c r="R58" s="549"/>
      <c r="S58" s="549"/>
      <c r="T58" s="6"/>
      <c r="U58" s="6"/>
      <c r="V58" s="6"/>
      <c r="W58" s="549"/>
      <c r="X58" s="6"/>
      <c r="Y58" s="11"/>
      <c r="Z58" s="11"/>
      <c r="AA58" s="11"/>
      <c r="AB58" s="11"/>
      <c r="AC58" s="11"/>
      <c r="AD58" s="11"/>
      <c r="AE58" s="11"/>
      <c r="AF58" s="11"/>
      <c r="AG58" s="11"/>
      <c r="AH58" s="11"/>
      <c r="AI58" s="11"/>
      <c r="AJ58" s="11"/>
      <c r="AK58" s="11"/>
      <c r="AL58" s="11"/>
      <c r="AM58" s="1577"/>
      <c r="AN58" s="1577"/>
    </row>
    <row r="59" spans="1:41">
      <c r="A59" s="2043" t="s">
        <v>1725</v>
      </c>
      <c r="B59" s="549">
        <f t="shared" ref="B59:K59" si="100">+B64*(1.09)</f>
        <v>475.24</v>
      </c>
      <c r="C59" s="549">
        <f t="shared" si="100"/>
        <v>437.09000000000003</v>
      </c>
      <c r="D59" s="549">
        <f t="shared" si="100"/>
        <v>548.2700000000001</v>
      </c>
      <c r="E59" s="549">
        <f t="shared" si="100"/>
        <v>551.54000000000008</v>
      </c>
      <c r="F59" s="549">
        <f t="shared" si="100"/>
        <v>623.48</v>
      </c>
      <c r="G59" s="549">
        <f t="shared" si="100"/>
        <v>545</v>
      </c>
      <c r="H59" s="549">
        <f t="shared" si="100"/>
        <v>881.81000000000006</v>
      </c>
      <c r="I59" s="549">
        <f t="shared" si="100"/>
        <v>911.24000000000012</v>
      </c>
      <c r="J59" s="549">
        <f t="shared" si="100"/>
        <v>1068.2</v>
      </c>
      <c r="K59" s="549">
        <f t="shared" si="100"/>
        <v>1090</v>
      </c>
      <c r="L59" s="549">
        <f t="shared" ref="L59:W59" si="101">+K59*(1+L61)</f>
        <v>1239.33</v>
      </c>
      <c r="M59" s="549">
        <f t="shared" si="101"/>
        <v>1164.9702</v>
      </c>
      <c r="N59" s="549">
        <f t="shared" si="101"/>
        <v>1283.7971604000002</v>
      </c>
      <c r="O59" s="549">
        <f t="shared" si="101"/>
        <v>1283.7971604000002</v>
      </c>
      <c r="P59" s="549">
        <f>+O59*(1+P61)</f>
        <v>1425.0148480440002</v>
      </c>
      <c r="Q59" s="549">
        <f t="shared" si="101"/>
        <v>1371.739230007305</v>
      </c>
      <c r="R59" s="549">
        <f t="shared" si="101"/>
        <v>1467.7609761078163</v>
      </c>
      <c r="S59" s="557">
        <f>(R59-(30*10/12)-(50*7.5/12)-(10*0.25))*0.93</f>
        <v>1310.3802077802693</v>
      </c>
      <c r="T59" s="1113">
        <v>1075</v>
      </c>
      <c r="U59" s="549">
        <f t="shared" si="101"/>
        <v>843.875</v>
      </c>
      <c r="V59" s="549">
        <f t="shared" si="101"/>
        <v>1032.059125</v>
      </c>
      <c r="W59" s="549">
        <f t="shared" si="101"/>
        <v>959.81498624999995</v>
      </c>
      <c r="X59" s="549">
        <f>+W59*(1+X61)</f>
        <v>1007.8057355625</v>
      </c>
      <c r="Y59" s="1309">
        <f t="shared" ref="Y59:AD59" si="102">Y62*Y60</f>
        <v>930.25417231897063</v>
      </c>
      <c r="Z59" s="1309">
        <f t="shared" si="102"/>
        <v>924.11158329914917</v>
      </c>
      <c r="AA59" s="1778">
        <f t="shared" si="102"/>
        <v>836.36354692605778</v>
      </c>
      <c r="AB59" s="1778">
        <f t="shared" si="102"/>
        <v>954.26032179392598</v>
      </c>
      <c r="AC59" s="1778">
        <f t="shared" si="102"/>
        <v>791.09657664912766</v>
      </c>
      <c r="AD59" s="1778">
        <f t="shared" si="102"/>
        <v>884.98699664912738</v>
      </c>
      <c r="AE59" s="1650">
        <f t="shared" ref="AE59:AN59" si="103">+AD59*(1+AE61)</f>
        <v>822.10867053720688</v>
      </c>
      <c r="AF59" s="1650">
        <f t="shared" si="103"/>
        <v>918.29538499006003</v>
      </c>
      <c r="AG59" s="1650">
        <f t="shared" si="103"/>
        <v>770.2661689296624</v>
      </c>
      <c r="AH59" s="1650">
        <f t="shared" si="103"/>
        <v>903.29113630381516</v>
      </c>
      <c r="AI59" s="1650">
        <f t="shared" si="103"/>
        <v>756.50632665444527</v>
      </c>
      <c r="AJ59" s="1650">
        <f t="shared" si="103"/>
        <v>895.40088822820144</v>
      </c>
      <c r="AK59" s="1650">
        <f t="shared" si="103"/>
        <v>793.05656670371809</v>
      </c>
      <c r="AL59" s="1650">
        <f t="shared" si="103"/>
        <v>835.56439867903748</v>
      </c>
      <c r="AM59" s="1650">
        <f t="shared" si="103"/>
        <v>730.36684088534662</v>
      </c>
      <c r="AN59" s="1650">
        <f t="shared" si="103"/>
        <v>930.04913518340049</v>
      </c>
    </row>
    <row r="60" spans="1:41">
      <c r="A60" s="556" t="s">
        <v>1131</v>
      </c>
      <c r="B60" s="558">
        <v>1.0900000000000001</v>
      </c>
      <c r="C60" s="52">
        <f t="shared" ref="C60:AA60" si="104">+B60</f>
        <v>1.0900000000000001</v>
      </c>
      <c r="D60" s="52">
        <f t="shared" si="104"/>
        <v>1.0900000000000001</v>
      </c>
      <c r="E60" s="52">
        <f t="shared" si="104"/>
        <v>1.0900000000000001</v>
      </c>
      <c r="F60" s="52">
        <f t="shared" si="104"/>
        <v>1.0900000000000001</v>
      </c>
      <c r="G60" s="52">
        <f t="shared" si="104"/>
        <v>1.0900000000000001</v>
      </c>
      <c r="H60" s="52">
        <f t="shared" si="104"/>
        <v>1.0900000000000001</v>
      </c>
      <c r="I60" s="52">
        <f t="shared" si="104"/>
        <v>1.0900000000000001</v>
      </c>
      <c r="J60" s="52">
        <f t="shared" si="104"/>
        <v>1.0900000000000001</v>
      </c>
      <c r="K60" s="52">
        <f t="shared" si="104"/>
        <v>1.0900000000000001</v>
      </c>
      <c r="L60" s="52">
        <f t="shared" si="104"/>
        <v>1.0900000000000001</v>
      </c>
      <c r="M60" s="52">
        <f t="shared" si="104"/>
        <v>1.0900000000000001</v>
      </c>
      <c r="N60" s="52">
        <f t="shared" si="104"/>
        <v>1.0900000000000001</v>
      </c>
      <c r="O60" s="52">
        <f t="shared" si="104"/>
        <v>1.0900000000000001</v>
      </c>
      <c r="P60" s="52">
        <f t="shared" si="104"/>
        <v>1.0900000000000001</v>
      </c>
      <c r="Q60" s="52">
        <f t="shared" si="104"/>
        <v>1.0900000000000001</v>
      </c>
      <c r="R60" s="52">
        <f t="shared" si="104"/>
        <v>1.0900000000000001</v>
      </c>
      <c r="S60" s="52">
        <f t="shared" si="104"/>
        <v>1.0900000000000001</v>
      </c>
      <c r="T60" s="52">
        <f t="shared" si="104"/>
        <v>1.0900000000000001</v>
      </c>
      <c r="U60" s="52">
        <f t="shared" si="104"/>
        <v>1.0900000000000001</v>
      </c>
      <c r="V60" s="52">
        <f t="shared" si="104"/>
        <v>1.0900000000000001</v>
      </c>
      <c r="W60" s="52">
        <f t="shared" si="104"/>
        <v>1.0900000000000001</v>
      </c>
      <c r="X60" s="52">
        <f t="shared" si="104"/>
        <v>1.0900000000000001</v>
      </c>
      <c r="Y60" s="88">
        <f t="shared" si="104"/>
        <v>1.0900000000000001</v>
      </c>
      <c r="Z60" s="52">
        <f>+Y60</f>
        <v>1.0900000000000001</v>
      </c>
      <c r="AA60" s="1135">
        <f t="shared" si="104"/>
        <v>1.0900000000000001</v>
      </c>
      <c r="AB60" s="1135">
        <f t="shared" ref="AB60:AH60" si="105">+AA60</f>
        <v>1.0900000000000001</v>
      </c>
      <c r="AC60" s="1135">
        <f t="shared" si="105"/>
        <v>1.0900000000000001</v>
      </c>
      <c r="AD60" s="1135">
        <f t="shared" si="105"/>
        <v>1.0900000000000001</v>
      </c>
      <c r="AE60" s="1135">
        <f t="shared" si="105"/>
        <v>1.0900000000000001</v>
      </c>
      <c r="AF60" s="1135">
        <f t="shared" si="105"/>
        <v>1.0900000000000001</v>
      </c>
      <c r="AG60" s="1135">
        <f t="shared" si="105"/>
        <v>1.0900000000000001</v>
      </c>
      <c r="AH60" s="1135">
        <f t="shared" si="105"/>
        <v>1.0900000000000001</v>
      </c>
      <c r="AI60" s="1135">
        <f t="shared" ref="AI60:AN60" si="106">+AH60</f>
        <v>1.0900000000000001</v>
      </c>
      <c r="AJ60" s="1135">
        <f t="shared" si="106"/>
        <v>1.0900000000000001</v>
      </c>
      <c r="AK60" s="1135">
        <f t="shared" si="106"/>
        <v>1.0900000000000001</v>
      </c>
      <c r="AL60" s="1135">
        <f t="shared" si="106"/>
        <v>1.0900000000000001</v>
      </c>
      <c r="AM60" s="1135">
        <f t="shared" si="106"/>
        <v>1.0900000000000001</v>
      </c>
      <c r="AN60" s="1135">
        <f t="shared" si="106"/>
        <v>1.0900000000000001</v>
      </c>
    </row>
    <row r="61" spans="1:41">
      <c r="A61" s="556" t="s">
        <v>1132</v>
      </c>
      <c r="B61" s="558"/>
      <c r="C61" s="52">
        <f t="shared" ref="C61:K61" si="107">+C59/B59-1</f>
        <v>-8.0275229357798072E-2</v>
      </c>
      <c r="D61" s="52">
        <f t="shared" si="107"/>
        <v>0.25436408977556124</v>
      </c>
      <c r="E61" s="52">
        <f t="shared" si="107"/>
        <v>5.9642147117295874E-3</v>
      </c>
      <c r="F61" s="52">
        <f t="shared" si="107"/>
        <v>0.13043478260869557</v>
      </c>
      <c r="G61" s="52">
        <f t="shared" si="107"/>
        <v>-0.12587412587412594</v>
      </c>
      <c r="H61" s="52">
        <f t="shared" si="107"/>
        <v>0.6180000000000001</v>
      </c>
      <c r="I61" s="52">
        <f t="shared" si="107"/>
        <v>3.3374536464771287E-2</v>
      </c>
      <c r="J61" s="52">
        <f t="shared" si="107"/>
        <v>0.17224880382775098</v>
      </c>
      <c r="K61" s="38">
        <f t="shared" si="107"/>
        <v>2.0408163265306145E-2</v>
      </c>
      <c r="L61" s="130">
        <v>0.13700000000000001</v>
      </c>
      <c r="M61" s="130">
        <v>-0.06</v>
      </c>
      <c r="N61" s="485">
        <v>0.10199999999999999</v>
      </c>
      <c r="O61" s="485">
        <v>0</v>
      </c>
      <c r="P61" s="485">
        <v>0.11</v>
      </c>
      <c r="Q61" s="485">
        <f>0.0145-(((95/3)+30)/P62)*1.1</f>
        <v>-3.7386009071991341E-2</v>
      </c>
      <c r="R61" s="485">
        <v>7.0000000000000007E-2</v>
      </c>
      <c r="S61" s="245">
        <f>S59/(R59-80)-1</f>
        <v>-5.5759435277228375E-2</v>
      </c>
      <c r="T61" s="245">
        <f>T59/(S59-(30*2/12)-(50*4.5/12)-(10*0.75))-1</f>
        <v>-0.15958516696631331</v>
      </c>
      <c r="U61" s="534">
        <f>+Scenarios!D46</f>
        <v>-0.215</v>
      </c>
      <c r="V61" s="534">
        <f>+Scenarios!E46</f>
        <v>0.22300000000000006</v>
      </c>
      <c r="W61" s="534">
        <f>+Scenarios!F46</f>
        <v>-7.0000000000000007E-2</v>
      </c>
      <c r="X61" s="534">
        <f>+Scenarios!G46</f>
        <v>0.05</v>
      </c>
      <c r="Y61" s="242">
        <f t="shared" ref="Y61:AC61" si="108">Y59/X59-1</f>
        <v>-7.6950904829138023E-2</v>
      </c>
      <c r="Z61" s="242">
        <f t="shared" si="108"/>
        <v>-6.6031297709839842E-3</v>
      </c>
      <c r="AA61" s="1164">
        <f t="shared" si="108"/>
        <v>-9.4953940583478169E-2</v>
      </c>
      <c r="AB61" s="1164">
        <f t="shared" si="108"/>
        <v>0.14096355024221463</v>
      </c>
      <c r="AC61" s="1164">
        <f t="shared" si="108"/>
        <v>-0.17098452216693316</v>
      </c>
      <c r="AD61" s="1164">
        <f>AD59/AC59-1</f>
        <v>0.11868389115990663</v>
      </c>
      <c r="AE61" s="2167">
        <f>+Scenarios!N46</f>
        <v>-7.1050000000000002E-2</v>
      </c>
      <c r="AF61" s="2167">
        <f>+Scenarios!O46</f>
        <v>0.11700000000000001</v>
      </c>
      <c r="AG61" s="2167">
        <f>+Scenarios!P46</f>
        <v>-0.16120000000000001</v>
      </c>
      <c r="AH61" s="2167">
        <f>+Scenarios!Q46</f>
        <v>0.17269999999999999</v>
      </c>
      <c r="AI61" s="2167">
        <f>+Scenarios!R46</f>
        <v>-0.16250000000000001</v>
      </c>
      <c r="AJ61" s="2167">
        <f>+Scenarios!S46</f>
        <v>0.18360000000000001</v>
      </c>
      <c r="AK61" s="2167">
        <f>+Scenarios!T46</f>
        <v>-0.1143</v>
      </c>
      <c r="AL61" s="2167">
        <f>+Scenarios!U46</f>
        <v>5.3600000000000002E-2</v>
      </c>
      <c r="AM61" s="2167">
        <f>+Scenarios!V46</f>
        <v>-0.12590000000000001</v>
      </c>
      <c r="AN61" s="2167">
        <f>+Scenarios!W46</f>
        <v>0.27339999999999998</v>
      </c>
    </row>
    <row r="62" spans="1:41">
      <c r="A62" s="559" t="s">
        <v>1133</v>
      </c>
      <c r="B62" s="553">
        <f t="shared" ref="B62:K62" si="109">+B64</f>
        <v>436</v>
      </c>
      <c r="C62" s="553">
        <f t="shared" si="109"/>
        <v>401</v>
      </c>
      <c r="D62" s="553">
        <f t="shared" si="109"/>
        <v>503</v>
      </c>
      <c r="E62" s="553">
        <f t="shared" si="109"/>
        <v>506</v>
      </c>
      <c r="F62" s="553">
        <f t="shared" si="109"/>
        <v>572</v>
      </c>
      <c r="G62" s="553">
        <f t="shared" si="109"/>
        <v>500</v>
      </c>
      <c r="H62" s="553">
        <f t="shared" si="109"/>
        <v>809</v>
      </c>
      <c r="I62" s="553">
        <f t="shared" si="109"/>
        <v>836</v>
      </c>
      <c r="J62" s="553">
        <f t="shared" si="109"/>
        <v>980</v>
      </c>
      <c r="K62" s="13">
        <f t="shared" si="109"/>
        <v>1000</v>
      </c>
      <c r="L62" s="13">
        <f t="shared" ref="L62:W62" si="110">+L59/L60</f>
        <v>1136.9999999999998</v>
      </c>
      <c r="M62" s="13">
        <f t="shared" si="110"/>
        <v>1068.78</v>
      </c>
      <c r="N62" s="13">
        <f t="shared" si="110"/>
        <v>1177.79556</v>
      </c>
      <c r="O62" s="13">
        <f t="shared" si="110"/>
        <v>1177.79556</v>
      </c>
      <c r="P62" s="13">
        <f>+P59/P60</f>
        <v>1307.3530716</v>
      </c>
      <c r="Q62" s="13">
        <f t="shared" si="110"/>
        <v>1258.4763578048669</v>
      </c>
      <c r="R62" s="13">
        <f t="shared" si="110"/>
        <v>1346.5697028512075</v>
      </c>
      <c r="S62" s="13">
        <f t="shared" si="110"/>
        <v>1202.1836768626324</v>
      </c>
      <c r="T62" s="13">
        <f t="shared" si="110"/>
        <v>986.23853211009168</v>
      </c>
      <c r="U62" s="13">
        <f t="shared" si="110"/>
        <v>774.19724770642199</v>
      </c>
      <c r="V62" s="13">
        <f t="shared" si="110"/>
        <v>946.84323394495402</v>
      </c>
      <c r="W62" s="13">
        <f t="shared" si="110"/>
        <v>880.56420756880721</v>
      </c>
      <c r="X62" s="13">
        <f>+X59/X60</f>
        <v>924.59241794724767</v>
      </c>
      <c r="Y62" s="14">
        <f t="shared" ref="Y62:AA62" si="111">Y64</f>
        <v>853.44419478804639</v>
      </c>
      <c r="Z62" s="14">
        <f t="shared" si="111"/>
        <v>847.80879201756795</v>
      </c>
      <c r="AA62" s="1357">
        <f t="shared" si="111"/>
        <v>767.30600635418136</v>
      </c>
      <c r="AB62" s="1357">
        <f>AB64</f>
        <v>875.46818513204209</v>
      </c>
      <c r="AC62" s="1357">
        <f>AC64</f>
        <v>725.77667582488766</v>
      </c>
      <c r="AD62" s="1357">
        <f>AD64</f>
        <v>811.91467582488747</v>
      </c>
      <c r="AE62" s="1357">
        <f t="shared" ref="AE62:AM62" si="112">+AE59/AE60</f>
        <v>754.22813810752916</v>
      </c>
      <c r="AF62" s="1357">
        <f t="shared" si="112"/>
        <v>842.47283026611001</v>
      </c>
      <c r="AG62" s="1357">
        <f t="shared" si="112"/>
        <v>706.6662100272132</v>
      </c>
      <c r="AH62" s="1357">
        <f t="shared" si="112"/>
        <v>828.70746449891294</v>
      </c>
      <c r="AI62" s="1357">
        <f t="shared" si="112"/>
        <v>694.0425015178397</v>
      </c>
      <c r="AJ62" s="1357">
        <f t="shared" si="112"/>
        <v>821.468704796515</v>
      </c>
      <c r="AK62" s="1357">
        <f t="shared" si="112"/>
        <v>727.57483183827344</v>
      </c>
      <c r="AL62" s="1357">
        <f t="shared" si="112"/>
        <v>766.57284282480498</v>
      </c>
      <c r="AM62" s="1357">
        <f t="shared" si="112"/>
        <v>670.06132191316203</v>
      </c>
      <c r="AN62" s="1357">
        <f t="shared" ref="AN62" si="113">+AN59/AN60</f>
        <v>853.25608732422063</v>
      </c>
    </row>
    <row r="63" spans="1:41">
      <c r="A63" s="560" t="s">
        <v>1134</v>
      </c>
      <c r="B63" s="472">
        <v>0</v>
      </c>
      <c r="C63" s="472">
        <v>0</v>
      </c>
      <c r="D63" s="472">
        <v>0</v>
      </c>
      <c r="E63" s="472">
        <v>0</v>
      </c>
      <c r="F63" s="472">
        <v>0</v>
      </c>
      <c r="G63" s="472">
        <v>0</v>
      </c>
      <c r="H63" s="472">
        <v>0</v>
      </c>
      <c r="I63" s="472">
        <v>0</v>
      </c>
      <c r="J63" s="472">
        <v>0</v>
      </c>
      <c r="K63" s="472">
        <v>0</v>
      </c>
      <c r="L63" s="472">
        <v>0</v>
      </c>
      <c r="M63" s="472">
        <v>0</v>
      </c>
      <c r="N63" s="472">
        <v>0</v>
      </c>
      <c r="O63" s="472">
        <v>0</v>
      </c>
      <c r="P63" s="472">
        <v>0</v>
      </c>
      <c r="Q63" s="472">
        <v>0</v>
      </c>
      <c r="R63" s="472">
        <v>0</v>
      </c>
      <c r="S63" s="472">
        <v>0</v>
      </c>
      <c r="T63" s="472">
        <v>0</v>
      </c>
      <c r="U63" s="472">
        <v>0</v>
      </c>
      <c r="V63" s="472">
        <v>0</v>
      </c>
      <c r="W63" s="472">
        <v>0</v>
      </c>
      <c r="X63" s="472">
        <v>0</v>
      </c>
      <c r="Y63" s="460">
        <v>0</v>
      </c>
      <c r="Z63" s="472">
        <v>0</v>
      </c>
      <c r="AA63" s="1380">
        <v>0</v>
      </c>
      <c r="AB63" s="1380">
        <v>0</v>
      </c>
      <c r="AC63" s="1380">
        <v>0</v>
      </c>
      <c r="AD63" s="1380">
        <v>0</v>
      </c>
      <c r="AE63" s="1380">
        <v>0</v>
      </c>
      <c r="AF63" s="1380">
        <v>0</v>
      </c>
      <c r="AG63" s="1380">
        <v>0</v>
      </c>
      <c r="AH63" s="1380">
        <v>0</v>
      </c>
      <c r="AI63" s="1380">
        <v>0</v>
      </c>
      <c r="AJ63" s="1380">
        <v>0</v>
      </c>
      <c r="AK63" s="1380">
        <v>0</v>
      </c>
      <c r="AL63" s="1380">
        <v>0</v>
      </c>
      <c r="AM63" s="1380">
        <v>0</v>
      </c>
      <c r="AN63" s="1380">
        <v>0</v>
      </c>
    </row>
    <row r="64" spans="1:41">
      <c r="A64" s="560" t="s">
        <v>748</v>
      </c>
      <c r="B64" s="549">
        <f t="shared" ref="B64:K64" si="114">+B9</f>
        <v>436</v>
      </c>
      <c r="C64" s="549">
        <f t="shared" si="114"/>
        <v>401</v>
      </c>
      <c r="D64" s="549">
        <f t="shared" si="114"/>
        <v>503</v>
      </c>
      <c r="E64" s="549">
        <f t="shared" si="114"/>
        <v>506</v>
      </c>
      <c r="F64" s="549">
        <f t="shared" si="114"/>
        <v>572</v>
      </c>
      <c r="G64" s="549">
        <f t="shared" si="114"/>
        <v>500</v>
      </c>
      <c r="H64" s="549">
        <f t="shared" si="114"/>
        <v>809</v>
      </c>
      <c r="I64" s="549">
        <f t="shared" si="114"/>
        <v>836</v>
      </c>
      <c r="J64" s="549">
        <f t="shared" si="114"/>
        <v>980</v>
      </c>
      <c r="K64" s="549">
        <f t="shared" si="114"/>
        <v>1000</v>
      </c>
      <c r="L64" s="549">
        <f t="shared" ref="L64:W64" si="115">+L62</f>
        <v>1136.9999999999998</v>
      </c>
      <c r="M64" s="549">
        <f t="shared" si="115"/>
        <v>1068.78</v>
      </c>
      <c r="N64" s="549">
        <f t="shared" si="115"/>
        <v>1177.79556</v>
      </c>
      <c r="O64" s="549">
        <f t="shared" si="115"/>
        <v>1177.79556</v>
      </c>
      <c r="P64" s="549">
        <f t="shared" si="115"/>
        <v>1307.3530716</v>
      </c>
      <c r="Q64" s="549">
        <f t="shared" si="115"/>
        <v>1258.4763578048669</v>
      </c>
      <c r="R64" s="549">
        <f t="shared" si="115"/>
        <v>1346.5697028512075</v>
      </c>
      <c r="S64" s="549">
        <f t="shared" si="115"/>
        <v>1202.1836768626324</v>
      </c>
      <c r="T64" s="549">
        <f>+T62</f>
        <v>986.23853211009168</v>
      </c>
      <c r="U64" s="549">
        <f t="shared" si="115"/>
        <v>774.19724770642199</v>
      </c>
      <c r="V64" s="549">
        <f t="shared" si="115"/>
        <v>946.84323394495402</v>
      </c>
      <c r="W64" s="549">
        <f t="shared" si="115"/>
        <v>880.56420756880721</v>
      </c>
      <c r="X64" s="549">
        <f>+X62</f>
        <v>924.59241794724767</v>
      </c>
      <c r="Y64" s="1778">
        <f t="shared" ref="Y64:AD64" si="116">Y7</f>
        <v>853.44419478804639</v>
      </c>
      <c r="Z64" s="1778">
        <f t="shared" si="116"/>
        <v>847.80879201756795</v>
      </c>
      <c r="AA64" s="1778">
        <f t="shared" si="116"/>
        <v>767.30600635418136</v>
      </c>
      <c r="AB64" s="1778">
        <f t="shared" si="116"/>
        <v>875.46818513204209</v>
      </c>
      <c r="AC64" s="1778">
        <f t="shared" si="116"/>
        <v>725.77667582488766</v>
      </c>
      <c r="AD64" s="1778">
        <f t="shared" si="116"/>
        <v>811.91467582488747</v>
      </c>
      <c r="AE64" s="1650">
        <f t="shared" ref="AE64:AM64" si="117">+AE62</f>
        <v>754.22813810752916</v>
      </c>
      <c r="AF64" s="1650">
        <f t="shared" si="117"/>
        <v>842.47283026611001</v>
      </c>
      <c r="AG64" s="1650">
        <f t="shared" si="117"/>
        <v>706.6662100272132</v>
      </c>
      <c r="AH64" s="1650">
        <f t="shared" si="117"/>
        <v>828.70746449891294</v>
      </c>
      <c r="AI64" s="1650">
        <f t="shared" si="117"/>
        <v>694.0425015178397</v>
      </c>
      <c r="AJ64" s="1650">
        <f t="shared" si="117"/>
        <v>821.468704796515</v>
      </c>
      <c r="AK64" s="1650">
        <f t="shared" si="117"/>
        <v>727.57483183827344</v>
      </c>
      <c r="AL64" s="1650">
        <f t="shared" si="117"/>
        <v>766.57284282480498</v>
      </c>
      <c r="AM64" s="1650">
        <f t="shared" si="117"/>
        <v>670.06132191316203</v>
      </c>
      <c r="AN64" s="1650">
        <f t="shared" ref="AN64" si="118">+AN62</f>
        <v>853.25608732422063</v>
      </c>
    </row>
    <row r="65" spans="1:44" s="2068" customFormat="1">
      <c r="A65" s="543" t="s">
        <v>1522</v>
      </c>
      <c r="B65" s="43"/>
      <c r="C65" s="43"/>
      <c r="D65" s="43"/>
      <c r="E65" s="43"/>
      <c r="F65" s="43"/>
      <c r="G65" s="43"/>
      <c r="H65" s="43"/>
      <c r="I65" s="43"/>
      <c r="J65" s="43"/>
      <c r="K65" s="43"/>
      <c r="L65" s="43"/>
      <c r="M65" s="43"/>
      <c r="N65" s="43"/>
      <c r="O65" s="43"/>
      <c r="P65" s="43"/>
      <c r="Q65" s="43"/>
      <c r="R65" s="43"/>
      <c r="S65" s="43"/>
      <c r="T65" s="2257"/>
      <c r="U65" s="43"/>
      <c r="V65" s="43"/>
      <c r="W65" s="43"/>
      <c r="X65" s="1651"/>
      <c r="Y65" s="1651"/>
      <c r="Z65" s="1364">
        <f>Z64/Y64-1</f>
        <v>-6.6031297709839842E-3</v>
      </c>
      <c r="AA65" s="1364">
        <f>AA64/Z64-1</f>
        <v>-9.4953940583478169E-2</v>
      </c>
      <c r="AB65" s="1364">
        <f>AB64/AA64-1</f>
        <v>0.14096355024221463</v>
      </c>
      <c r="AC65" s="1364">
        <f>AC64/AB64-1</f>
        <v>-0.17098452216693316</v>
      </c>
      <c r="AD65" s="1364">
        <f t="shared" ref="AD65:AN65" si="119">AD64/AC64-1</f>
        <v>0.11868389115990663</v>
      </c>
      <c r="AE65" s="1364">
        <f t="shared" si="119"/>
        <v>-7.1050000000000058E-2</v>
      </c>
      <c r="AF65" s="1364">
        <f t="shared" si="119"/>
        <v>0.11699999999999999</v>
      </c>
      <c r="AG65" s="1364">
        <f t="shared" si="119"/>
        <v>-0.1611999999999999</v>
      </c>
      <c r="AH65" s="1364">
        <f t="shared" si="119"/>
        <v>0.17270000000000008</v>
      </c>
      <c r="AI65" s="1364">
        <f t="shared" si="119"/>
        <v>-0.16249999999999987</v>
      </c>
      <c r="AJ65" s="1364">
        <f t="shared" si="119"/>
        <v>0.18359999999999999</v>
      </c>
      <c r="AK65" s="1364">
        <f t="shared" si="119"/>
        <v>-0.11429999999999985</v>
      </c>
      <c r="AL65" s="1364">
        <f t="shared" si="119"/>
        <v>5.3600000000000092E-2</v>
      </c>
      <c r="AM65" s="1364">
        <f t="shared" si="119"/>
        <v>-0.12590000000000001</v>
      </c>
      <c r="AN65" s="1364">
        <f t="shared" si="119"/>
        <v>0.27340000000000009</v>
      </c>
    </row>
    <row r="66" spans="1:44">
      <c r="A66" s="556"/>
      <c r="B66" s="6"/>
      <c r="C66" s="6"/>
      <c r="D66" s="6"/>
      <c r="E66" s="6"/>
      <c r="F66" s="6"/>
      <c r="G66" s="6"/>
      <c r="H66" s="6"/>
      <c r="I66" s="6"/>
      <c r="J66" s="6"/>
      <c r="K66" s="6"/>
      <c r="L66" s="6"/>
      <c r="M66" s="6"/>
      <c r="N66" s="6"/>
      <c r="O66" s="6"/>
      <c r="P66" s="6"/>
      <c r="Q66" s="6"/>
      <c r="R66" s="6"/>
      <c r="S66" s="6"/>
      <c r="T66" s="174"/>
      <c r="U66" s="6"/>
      <c r="V66" s="6"/>
      <c r="W66" s="6"/>
      <c r="X66" s="6"/>
      <c r="Y66" s="6"/>
      <c r="Z66" s="6"/>
      <c r="AA66" s="2862"/>
      <c r="AB66" s="2862"/>
      <c r="AC66" s="2862"/>
      <c r="AD66" s="2862"/>
      <c r="AE66" s="2862"/>
      <c r="AF66" s="2862"/>
      <c r="AG66" s="2862"/>
      <c r="AH66" s="2862"/>
      <c r="AI66" s="2862"/>
      <c r="AJ66" s="2862"/>
      <c r="AK66" s="2862"/>
      <c r="AL66" s="2862"/>
      <c r="AM66" s="2807"/>
    </row>
    <row r="67" spans="1:44">
      <c r="A67" s="2043" t="s">
        <v>1541</v>
      </c>
      <c r="B67" s="6"/>
      <c r="C67" s="6"/>
      <c r="D67" s="6"/>
      <c r="E67" s="6"/>
      <c r="F67" s="6"/>
      <c r="G67" s="6"/>
      <c r="H67" s="6"/>
      <c r="I67" s="6"/>
      <c r="J67" s="6"/>
      <c r="K67" s="6"/>
      <c r="L67" s="6"/>
      <c r="M67" s="6"/>
      <c r="N67" s="6"/>
      <c r="O67" s="6"/>
      <c r="P67" s="6"/>
      <c r="Q67" s="6"/>
      <c r="R67" s="6"/>
      <c r="S67" s="6"/>
      <c r="T67" s="174"/>
      <c r="U67" s="6"/>
      <c r="V67" s="6"/>
      <c r="W67" s="6"/>
      <c r="X67" s="2044">
        <f>Drivers!L300</f>
        <v>141.1</v>
      </c>
      <c r="Y67" s="2044">
        <f>Drivers!M300</f>
        <v>0</v>
      </c>
      <c r="Z67" s="2044">
        <f>Drivers!N300</f>
        <v>123.3</v>
      </c>
      <c r="AA67" s="3176">
        <f>Drivers!Q300</f>
        <v>0</v>
      </c>
      <c r="AB67" s="3176">
        <f>Drivers!R300</f>
        <v>183.5</v>
      </c>
      <c r="AC67" s="3176">
        <f>Drivers!T300</f>
        <v>0</v>
      </c>
      <c r="AD67" s="3176">
        <f>Drivers!U300</f>
        <v>129.465</v>
      </c>
      <c r="AE67" s="3176">
        <f>Drivers!V300</f>
        <v>0</v>
      </c>
      <c r="AF67" s="3176">
        <f>Drivers!W300</f>
        <v>192.67500000000001</v>
      </c>
      <c r="AG67" s="3176">
        <f>Drivers!X300</f>
        <v>0</v>
      </c>
      <c r="AH67" s="3176">
        <f>Drivers!Y300</f>
        <v>135.29092499999999</v>
      </c>
      <c r="AI67" s="3176">
        <f>Drivers!Z300</f>
        <v>0</v>
      </c>
      <c r="AJ67" s="3176">
        <f>Drivers!AA300</f>
        <v>200.38200000000001</v>
      </c>
      <c r="AK67" s="3176">
        <f>Drivers!AB300</f>
        <v>0</v>
      </c>
      <c r="AL67" s="3176">
        <f>Drivers!AC300</f>
        <v>140.02610737499998</v>
      </c>
      <c r="AM67" s="3176">
        <f>Drivers!AD300</f>
        <v>0</v>
      </c>
      <c r="AN67" s="3176">
        <f>Drivers!AE300</f>
        <v>206.39346</v>
      </c>
    </row>
    <row r="68" spans="1:44">
      <c r="A68" s="2043" t="s">
        <v>1775</v>
      </c>
      <c r="B68" s="6"/>
      <c r="C68" s="6"/>
      <c r="D68" s="6"/>
      <c r="E68" s="6"/>
      <c r="F68" s="6"/>
      <c r="G68" s="6"/>
      <c r="H68" s="6"/>
      <c r="I68" s="6"/>
      <c r="J68" s="6"/>
      <c r="K68" s="6"/>
      <c r="L68" s="6"/>
      <c r="M68" s="6"/>
      <c r="N68" s="6"/>
      <c r="O68" s="6"/>
      <c r="P68" s="6"/>
      <c r="Q68" s="6"/>
      <c r="R68" s="6"/>
      <c r="S68" s="6"/>
      <c r="T68" s="174"/>
      <c r="U68" s="6"/>
      <c r="V68" s="6"/>
      <c r="W68" s="6"/>
      <c r="X68" s="6"/>
      <c r="Y68" s="2044">
        <v>25</v>
      </c>
      <c r="Z68" s="2044"/>
      <c r="AA68" s="3176"/>
      <c r="AB68" s="3176">
        <f>30.0727014425361+AB92</f>
        <v>35.072701442536101</v>
      </c>
      <c r="AC68" s="3129">
        <f>AC91+AC92</f>
        <v>10</v>
      </c>
      <c r="AD68" s="3129">
        <f t="shared" ref="AD68:AL68" si="120">AD91+AD92</f>
        <v>5.5125000000000002</v>
      </c>
      <c r="AE68" s="3129">
        <f t="shared" si="120"/>
        <v>45.608606658916493</v>
      </c>
      <c r="AF68" s="3129">
        <f t="shared" si="120"/>
        <v>6.0775312500000007</v>
      </c>
      <c r="AG68" s="3129">
        <f t="shared" si="120"/>
        <v>12.155062500000001</v>
      </c>
      <c r="AH68" s="3129">
        <f t="shared" si="120"/>
        <v>46.471625860878966</v>
      </c>
      <c r="AI68" s="3129">
        <f t="shared" si="120"/>
        <v>13.400956406250002</v>
      </c>
      <c r="AJ68" s="3129">
        <f t="shared" si="120"/>
        <v>7.3872772189453135</v>
      </c>
      <c r="AK68" s="3129">
        <f t="shared" si="120"/>
        <v>60.511374244307682</v>
      </c>
      <c r="AL68" s="3129">
        <f t="shared" si="120"/>
        <v>8.1444731338872085</v>
      </c>
      <c r="AM68" s="3129">
        <f>AM91+AM92</f>
        <v>16.288946267774417</v>
      </c>
      <c r="AN68" s="3129">
        <f t="shared" ref="AN68" si="121">AN91+AN92</f>
        <v>61.576624407490257</v>
      </c>
      <c r="AO68" s="2807"/>
    </row>
    <row r="69" spans="1:44">
      <c r="A69" s="2043" t="s">
        <v>1542</v>
      </c>
      <c r="B69" s="6"/>
      <c r="C69" s="6"/>
      <c r="D69" s="6"/>
      <c r="E69" s="6"/>
      <c r="F69" s="6"/>
      <c r="G69" s="6"/>
      <c r="H69" s="6"/>
      <c r="I69" s="6"/>
      <c r="J69" s="6"/>
      <c r="K69" s="6"/>
      <c r="L69" s="6"/>
      <c r="M69" s="6"/>
      <c r="N69" s="6"/>
      <c r="O69" s="6"/>
      <c r="P69" s="6"/>
      <c r="Q69" s="6"/>
      <c r="R69" s="6"/>
      <c r="S69" s="6"/>
      <c r="T69" s="174"/>
      <c r="U69" s="6"/>
      <c r="V69" s="6"/>
      <c r="W69" s="6"/>
      <c r="X69" s="145">
        <f t="shared" ref="X69:AK69" si="122">X62-0.7*(X67)-X68</f>
        <v>825.82241794724769</v>
      </c>
      <c r="Y69" s="145">
        <f>Y62-0.7*(Y67)-Y68</f>
        <v>828.44419478804639</v>
      </c>
      <c r="Z69" s="145">
        <f>Z62-0.7*(Z67)-Z68</f>
        <v>761.49879201756801</v>
      </c>
      <c r="AA69" s="3097">
        <f t="shared" si="122"/>
        <v>767.30600635418136</v>
      </c>
      <c r="AB69" s="3097">
        <f>AB62-0.7*(AB67)-AB68</f>
        <v>711.94548368950609</v>
      </c>
      <c r="AC69" s="3097">
        <f>AC62-0.7*(AC67)-AC68</f>
        <v>715.77667582488766</v>
      </c>
      <c r="AD69" s="3097">
        <f>AD62-0.7*(AD67)-AD68</f>
        <v>715.77667582488743</v>
      </c>
      <c r="AE69" s="3097">
        <f>AE62-0.7*(AE67)-AE68</f>
        <v>708.61953144861263</v>
      </c>
      <c r="AF69" s="3097">
        <f>AF62-0.7*(AF67)-AF68</f>
        <v>701.52279901610996</v>
      </c>
      <c r="AG69" s="3097">
        <f t="shared" si="122"/>
        <v>694.51114752721321</v>
      </c>
      <c r="AH69" s="3097">
        <f t="shared" si="122"/>
        <v>687.53219113803402</v>
      </c>
      <c r="AI69" s="3097">
        <f t="shared" si="122"/>
        <v>680.64154511158972</v>
      </c>
      <c r="AJ69" s="3097">
        <f t="shared" si="122"/>
        <v>673.81402757756973</v>
      </c>
      <c r="AK69" s="3097">
        <f t="shared" si="122"/>
        <v>667.06345759396572</v>
      </c>
      <c r="AL69" s="3097">
        <f>AL62-0.7*(AL67)-AL68</f>
        <v>660.41009452841774</v>
      </c>
      <c r="AM69" s="3097">
        <f>AM62-0.7*(AM67)-AM68</f>
        <v>653.77237564538757</v>
      </c>
      <c r="AN69" s="3097">
        <f>AN62-0.7*(AN67)-AN68</f>
        <v>647.20404091673038</v>
      </c>
      <c r="AO69" s="2807"/>
    </row>
    <row r="70" spans="1:44">
      <c r="A70" s="543" t="s">
        <v>1543</v>
      </c>
      <c r="B70" s="6"/>
      <c r="C70" s="6"/>
      <c r="D70" s="6"/>
      <c r="E70" s="6"/>
      <c r="F70" s="6"/>
      <c r="G70" s="6"/>
      <c r="H70" s="6"/>
      <c r="I70" s="6"/>
      <c r="J70" s="6"/>
      <c r="K70" s="6"/>
      <c r="L70" s="6"/>
      <c r="M70" s="6"/>
      <c r="N70" s="6"/>
      <c r="O70" s="6"/>
      <c r="P70" s="6"/>
      <c r="Q70" s="6"/>
      <c r="R70" s="6"/>
      <c r="S70" s="6"/>
      <c r="T70" s="174"/>
      <c r="U70" s="6"/>
      <c r="V70" s="6"/>
      <c r="W70" s="1108"/>
      <c r="X70" s="1108"/>
      <c r="Y70" s="1364">
        <f>Y69/X69-1</f>
        <v>3.1747465118658891E-3</v>
      </c>
      <c r="Z70" s="1364">
        <f t="shared" ref="Z70:AN70" si="123">Z69/Y69-1</f>
        <v>-8.0808584563268115E-2</v>
      </c>
      <c r="AA70" s="2827">
        <f t="shared" si="123"/>
        <v>7.6260322373293832E-3</v>
      </c>
      <c r="AB70" s="2827">
        <f t="shared" si="123"/>
        <v>-7.2149210622914572E-2</v>
      </c>
      <c r="AC70" s="2827">
        <f>AC69/AB69-1</f>
        <v>5.3812998651627808E-3</v>
      </c>
      <c r="AD70" s="2827">
        <f>AD69/AC69-1</f>
        <v>0</v>
      </c>
      <c r="AE70" s="2827">
        <f t="shared" si="123"/>
        <v>-9.9991304802250491E-3</v>
      </c>
      <c r="AF70" s="2827">
        <f>AF69/AE69-1</f>
        <v>-1.0014869923208325E-2</v>
      </c>
      <c r="AG70" s="2827">
        <f t="shared" si="123"/>
        <v>-9.9949018032352566E-3</v>
      </c>
      <c r="AH70" s="2827">
        <f t="shared" si="123"/>
        <v>-1.0048731995199178E-2</v>
      </c>
      <c r="AI70" s="2827">
        <f t="shared" si="123"/>
        <v>-1.0022288578282579E-2</v>
      </c>
      <c r="AJ70" s="2827">
        <f t="shared" si="123"/>
        <v>-1.0031003224906909E-2</v>
      </c>
      <c r="AK70" s="2827">
        <f t="shared" si="123"/>
        <v>-1.0018446792912528E-2</v>
      </c>
      <c r="AL70" s="2827">
        <f t="shared" si="123"/>
        <v>-9.9741081448923019E-3</v>
      </c>
      <c r="AM70" s="2827">
        <f t="shared" si="123"/>
        <v>-1.0050904639442249E-2</v>
      </c>
      <c r="AN70" s="2827">
        <f t="shared" si="123"/>
        <v>-1.0046822064289751E-2</v>
      </c>
      <c r="AO70" s="2807"/>
    </row>
    <row r="71" spans="1:44">
      <c r="A71" s="560"/>
      <c r="B71" s="6"/>
      <c r="C71" s="6"/>
      <c r="D71" s="6"/>
      <c r="E71" s="6"/>
      <c r="F71" s="6"/>
      <c r="G71" s="6"/>
      <c r="H71" s="6"/>
      <c r="I71" s="6"/>
      <c r="J71" s="6"/>
      <c r="K71" s="6"/>
      <c r="L71" s="6"/>
      <c r="M71" s="549"/>
      <c r="N71" s="6"/>
      <c r="O71" s="6"/>
      <c r="P71" s="6"/>
      <c r="Q71" s="6"/>
      <c r="R71" s="6"/>
      <c r="S71" s="6"/>
      <c r="T71" s="6"/>
      <c r="U71" s="6"/>
      <c r="V71" s="6"/>
      <c r="W71" s="1108"/>
      <c r="X71" s="1108"/>
      <c r="Y71" s="1108"/>
      <c r="Z71" s="1108"/>
      <c r="AA71" s="2862"/>
      <c r="AB71" s="2862"/>
      <c r="AC71" s="2862"/>
      <c r="AD71" s="2862"/>
      <c r="AE71" s="2862"/>
      <c r="AF71" s="2862"/>
      <c r="AG71" s="2862"/>
      <c r="AH71" s="2862"/>
      <c r="AI71" s="2862"/>
      <c r="AJ71" s="2862"/>
      <c r="AK71" s="2862"/>
      <c r="AL71" s="2862"/>
      <c r="AM71" s="2862"/>
      <c r="AN71" s="2862"/>
      <c r="AO71" s="2862"/>
      <c r="AP71" s="1108"/>
      <c r="AQ71" s="1108"/>
      <c r="AR71" s="1108"/>
    </row>
    <row r="72" spans="1:44">
      <c r="A72" s="560" t="s">
        <v>1135</v>
      </c>
      <c r="B72" s="553">
        <f t="shared" ref="B72:T72" si="124">+B82*B$9</f>
        <v>21.8</v>
      </c>
      <c r="C72" s="553">
        <f t="shared" si="124"/>
        <v>20.05</v>
      </c>
      <c r="D72" s="553">
        <f t="shared" si="124"/>
        <v>25.150000000000002</v>
      </c>
      <c r="E72" s="553">
        <f t="shared" si="124"/>
        <v>25.3</v>
      </c>
      <c r="F72" s="553">
        <f t="shared" si="124"/>
        <v>25.74</v>
      </c>
      <c r="G72" s="553">
        <f t="shared" si="124"/>
        <v>22.5</v>
      </c>
      <c r="H72" s="553">
        <f t="shared" si="124"/>
        <v>40.450000000000003</v>
      </c>
      <c r="I72" s="553">
        <f t="shared" si="124"/>
        <v>33.44</v>
      </c>
      <c r="J72" s="553">
        <f t="shared" si="124"/>
        <v>29.4</v>
      </c>
      <c r="K72" s="553">
        <f t="shared" si="124"/>
        <v>30</v>
      </c>
      <c r="L72" s="553">
        <f t="shared" si="124"/>
        <v>34.109999999999992</v>
      </c>
      <c r="M72" s="553">
        <f t="shared" si="124"/>
        <v>32.063400000000001</v>
      </c>
      <c r="N72" s="553">
        <f t="shared" si="124"/>
        <v>35.333866800000003</v>
      </c>
      <c r="O72" s="553">
        <f t="shared" si="124"/>
        <v>35.333866800000003</v>
      </c>
      <c r="P72" s="553">
        <f>+P82*P$9</f>
        <v>39.220592148000001</v>
      </c>
      <c r="Q72" s="553">
        <f t="shared" si="124"/>
        <v>37.754290734146004</v>
      </c>
      <c r="R72" s="553">
        <f t="shared" si="124"/>
        <v>40.397091085536225</v>
      </c>
      <c r="S72" s="553">
        <f t="shared" si="124"/>
        <v>36.065510305878973</v>
      </c>
      <c r="T72" s="553">
        <f t="shared" si="124"/>
        <v>34.382110091743122</v>
      </c>
      <c r="U72" s="554">
        <f>+T72*1.01</f>
        <v>34.725931192660553</v>
      </c>
      <c r="V72" s="554">
        <f>U72*1.08</f>
        <v>37.504005688073399</v>
      </c>
      <c r="W72" s="2082">
        <f t="shared" ref="W72:W77" si="125">V72</f>
        <v>37.504005688073399</v>
      </c>
      <c r="X72" s="2082">
        <f t="shared" ref="X72:X77" si="126">+W72*1.05</f>
        <v>39.379205972477067</v>
      </c>
      <c r="Y72" s="2082">
        <f>+X72*1.03</f>
        <v>40.560582151651381</v>
      </c>
      <c r="Z72" s="2082">
        <f t="shared" ref="Z72:Z77" si="127">+Y72</f>
        <v>40.560582151651381</v>
      </c>
      <c r="AA72" s="3129">
        <f>+Z72*1.01</f>
        <v>40.966187973167898</v>
      </c>
      <c r="AB72" s="3129">
        <f>+AA72*1.01</f>
        <v>41.375849852899577</v>
      </c>
      <c r="AC72" s="3129">
        <f>+AB72*1</f>
        <v>41.375849852899577</v>
      </c>
      <c r="AD72" s="3129">
        <f>+AC72*1.02</f>
        <v>42.203366849957568</v>
      </c>
      <c r="AE72" s="3129">
        <f t="shared" ref="AE72:AN72" si="128">+AD72*1.03</f>
        <v>43.469467855456294</v>
      </c>
      <c r="AF72" s="3129">
        <f t="shared" si="128"/>
        <v>44.773551891119986</v>
      </c>
      <c r="AG72" s="3129">
        <f t="shared" si="128"/>
        <v>46.116758447853584</v>
      </c>
      <c r="AH72" s="3129">
        <f t="shared" si="128"/>
        <v>47.500261201289192</v>
      </c>
      <c r="AI72" s="3129">
        <f t="shared" si="128"/>
        <v>48.925269037327865</v>
      </c>
      <c r="AJ72" s="3129">
        <f t="shared" si="128"/>
        <v>50.393027108447704</v>
      </c>
      <c r="AK72" s="3129">
        <f t="shared" si="128"/>
        <v>51.904817921701138</v>
      </c>
      <c r="AL72" s="3129">
        <f t="shared" si="128"/>
        <v>53.461962459352172</v>
      </c>
      <c r="AM72" s="3129">
        <f t="shared" si="128"/>
        <v>55.065821333132739</v>
      </c>
      <c r="AN72" s="3129">
        <f t="shared" si="128"/>
        <v>56.717795973126719</v>
      </c>
      <c r="AO72" s="2807"/>
    </row>
    <row r="73" spans="1:44">
      <c r="A73" s="560" t="s">
        <v>1136</v>
      </c>
      <c r="B73" s="553">
        <f t="shared" ref="B73:K73" si="129">+B83*B$9</f>
        <v>65.835999999999999</v>
      </c>
      <c r="C73" s="553">
        <f t="shared" si="129"/>
        <v>64.16</v>
      </c>
      <c r="D73" s="553">
        <f t="shared" si="129"/>
        <v>80.48</v>
      </c>
      <c r="E73" s="553">
        <f t="shared" si="129"/>
        <v>80.960000000000008</v>
      </c>
      <c r="F73" s="553">
        <f t="shared" si="129"/>
        <v>85.8</v>
      </c>
      <c r="G73" s="553">
        <f t="shared" si="129"/>
        <v>75</v>
      </c>
      <c r="H73" s="553">
        <f t="shared" si="129"/>
        <v>121.35</v>
      </c>
      <c r="I73" s="553">
        <f t="shared" si="129"/>
        <v>125.39999999999999</v>
      </c>
      <c r="J73" s="553">
        <f t="shared" si="129"/>
        <v>127.4</v>
      </c>
      <c r="K73" s="553">
        <f t="shared" si="129"/>
        <v>125</v>
      </c>
      <c r="L73" s="553">
        <v>175</v>
      </c>
      <c r="M73" s="553">
        <f>+M83*M$9</f>
        <v>213.756</v>
      </c>
      <c r="N73" s="553">
        <f t="shared" ref="N73:T73" si="130">+N83*N$9</f>
        <v>223.78115640000001</v>
      </c>
      <c r="O73" s="553">
        <f t="shared" si="130"/>
        <v>226.13674752</v>
      </c>
      <c r="P73" s="553">
        <f t="shared" si="130"/>
        <v>248.39708360400002</v>
      </c>
      <c r="Q73" s="553">
        <f t="shared" si="130"/>
        <v>251.6952715609734</v>
      </c>
      <c r="R73" s="553">
        <f t="shared" si="130"/>
        <v>262.58109205598544</v>
      </c>
      <c r="S73" s="553">
        <f t="shared" si="130"/>
        <v>238.03236801880124</v>
      </c>
      <c r="T73" s="553">
        <f t="shared" si="130"/>
        <v>250.78715596330272</v>
      </c>
      <c r="U73" s="554">
        <f>+T73-25</f>
        <v>225.78715596330272</v>
      </c>
      <c r="V73" s="554">
        <f>U73*1.03</f>
        <v>232.56077064220182</v>
      </c>
      <c r="W73" s="2082">
        <f>V73*0.9-10</f>
        <v>199.30469357798165</v>
      </c>
      <c r="X73" s="2082">
        <f>W73*0.9</f>
        <v>179.37422422018349</v>
      </c>
      <c r="Y73" s="2082">
        <f>X73*1.05</f>
        <v>188.34293543119267</v>
      </c>
      <c r="Z73" s="2082">
        <f t="shared" si="127"/>
        <v>188.34293543119267</v>
      </c>
      <c r="AA73" s="3129">
        <f>Z73*1.01</f>
        <v>190.22636478550459</v>
      </c>
      <c r="AB73" s="3129">
        <f>AA73*1.07</f>
        <v>203.54221032048991</v>
      </c>
      <c r="AC73" s="3129">
        <f>AB73*0.88</f>
        <v>179.11714508203113</v>
      </c>
      <c r="AD73" s="3129">
        <f>AC73*1.02</f>
        <v>182.69948798367176</v>
      </c>
      <c r="AE73" s="3176">
        <f>(1+Scenarios!N58)*AD73</f>
        <v>186.35347774334519</v>
      </c>
      <c r="AF73" s="3176">
        <f>(1+Scenarios!O58)*AE73</f>
        <v>190.08054729821211</v>
      </c>
      <c r="AG73" s="3176">
        <f>(1+Scenarios!P58)*AF73</f>
        <v>193.88215824417637</v>
      </c>
      <c r="AH73" s="3176">
        <f>(1+Scenarios!Q58)*AG73</f>
        <v>197.75980140905989</v>
      </c>
      <c r="AI73" s="3176">
        <f>(1+Scenarios!R58)*AH73</f>
        <v>201.7149974372411</v>
      </c>
      <c r="AJ73" s="3176">
        <f>(1+Scenarios!S58)*AI73</f>
        <v>205.74929738598593</v>
      </c>
      <c r="AK73" s="3176">
        <f>(1+Scenarios!T58)*AJ73</f>
        <v>209.86428333370566</v>
      </c>
      <c r="AL73" s="3176">
        <f>(1+Scenarios!U58)*AK73</f>
        <v>214.06156900037976</v>
      </c>
      <c r="AM73" s="3176">
        <f>(1+Scenarios!V58)*AL73</f>
        <v>218.34280038038736</v>
      </c>
      <c r="AN73" s="3176">
        <f>(1+Scenarios!W58)*AM73</f>
        <v>222.7096563879951</v>
      </c>
      <c r="AO73" s="2807"/>
    </row>
    <row r="74" spans="1:44">
      <c r="A74" s="560" t="s">
        <v>1137</v>
      </c>
      <c r="B74" s="553">
        <f t="shared" ref="B74:K74" si="131">+B84*B$9</f>
        <v>6.1040000000000001</v>
      </c>
      <c r="C74" s="553">
        <f t="shared" si="131"/>
        <v>5.6139999999999999</v>
      </c>
      <c r="D74" s="553">
        <f t="shared" si="131"/>
        <v>7.0419999999999998</v>
      </c>
      <c r="E74" s="553">
        <f t="shared" si="131"/>
        <v>7.0840000000000005</v>
      </c>
      <c r="F74" s="553">
        <f t="shared" si="131"/>
        <v>8.0080000000000009</v>
      </c>
      <c r="G74" s="553">
        <f t="shared" si="131"/>
        <v>15</v>
      </c>
      <c r="H74" s="553">
        <f t="shared" si="131"/>
        <v>24.27</v>
      </c>
      <c r="I74" s="553">
        <f t="shared" si="131"/>
        <v>12.54</v>
      </c>
      <c r="J74" s="553">
        <f t="shared" si="131"/>
        <v>9.8000000000000007</v>
      </c>
      <c r="K74" s="553">
        <f t="shared" si="131"/>
        <v>10</v>
      </c>
      <c r="L74" s="553">
        <f>+L84*L$9</f>
        <v>11.369999999999997</v>
      </c>
      <c r="M74" s="553">
        <f t="shared" ref="M74:T74" si="132">+M84*M$9</f>
        <v>10.687799999999999</v>
      </c>
      <c r="N74" s="553">
        <f t="shared" si="132"/>
        <v>11.7779556</v>
      </c>
      <c r="O74" s="553">
        <f t="shared" si="132"/>
        <v>11.7779556</v>
      </c>
      <c r="P74" s="553">
        <f t="shared" si="132"/>
        <v>13.073530716</v>
      </c>
      <c r="Q74" s="553">
        <f t="shared" si="132"/>
        <v>12.584763578048669</v>
      </c>
      <c r="R74" s="553">
        <f t="shared" si="132"/>
        <v>13.465697028512075</v>
      </c>
      <c r="S74" s="553">
        <f t="shared" si="132"/>
        <v>12.021836768626324</v>
      </c>
      <c r="T74" s="553">
        <f t="shared" si="132"/>
        <v>10.112385321100916</v>
      </c>
      <c r="U74" s="554">
        <f>+T74*1.02</f>
        <v>10.314633027522936</v>
      </c>
      <c r="V74" s="554">
        <f>U74*1.1</f>
        <v>11.34609633027523</v>
      </c>
      <c r="W74" s="2082">
        <f t="shared" si="125"/>
        <v>11.34609633027523</v>
      </c>
      <c r="X74" s="2082">
        <f t="shared" si="126"/>
        <v>11.913401146788992</v>
      </c>
      <c r="Y74" s="2082">
        <f>+X74*1.02</f>
        <v>12.151669169724771</v>
      </c>
      <c r="Z74" s="2082">
        <f t="shared" si="127"/>
        <v>12.151669169724771</v>
      </c>
      <c r="AA74" s="3129">
        <f>+Z74*1.01</f>
        <v>12.27318586142202</v>
      </c>
      <c r="AB74" s="3129">
        <f>+AA74*1.02</f>
        <v>12.518649578650461</v>
      </c>
      <c r="AC74" s="3129">
        <f>+AB74*1</f>
        <v>12.518649578650461</v>
      </c>
      <c r="AD74" s="3129">
        <f t="shared" ref="AD74" si="133">+AC74*1.02</f>
        <v>12.76902257022347</v>
      </c>
      <c r="AE74" s="3129">
        <f>+AD74*1.02</f>
        <v>13.02440302162794</v>
      </c>
      <c r="AF74" s="3129">
        <f t="shared" ref="AF74:AN74" si="134">+AE74*1.02</f>
        <v>13.284891082060499</v>
      </c>
      <c r="AG74" s="3129">
        <f t="shared" si="134"/>
        <v>13.550588903701708</v>
      </c>
      <c r="AH74" s="3129">
        <f t="shared" si="134"/>
        <v>13.821600681775744</v>
      </c>
      <c r="AI74" s="3129">
        <f t="shared" si="134"/>
        <v>14.098032695411259</v>
      </c>
      <c r="AJ74" s="3129">
        <f t="shared" si="134"/>
        <v>14.379993349319484</v>
      </c>
      <c r="AK74" s="3129">
        <f t="shared" si="134"/>
        <v>14.667593216305875</v>
      </c>
      <c r="AL74" s="3129">
        <f t="shared" si="134"/>
        <v>14.960945080631992</v>
      </c>
      <c r="AM74" s="3129">
        <f t="shared" si="134"/>
        <v>15.260163982244633</v>
      </c>
      <c r="AN74" s="3129">
        <f t="shared" si="134"/>
        <v>15.565367261889525</v>
      </c>
      <c r="AO74" s="2807"/>
    </row>
    <row r="75" spans="1:44">
      <c r="A75" s="560" t="s">
        <v>1138</v>
      </c>
      <c r="B75" s="553">
        <f t="shared" ref="B75:K75" si="135">+B85*B$9</f>
        <v>74.12</v>
      </c>
      <c r="C75" s="553">
        <f t="shared" si="135"/>
        <v>68.17</v>
      </c>
      <c r="D75" s="553">
        <f t="shared" si="135"/>
        <v>85.51</v>
      </c>
      <c r="E75" s="553">
        <f t="shared" si="135"/>
        <v>86.02000000000001</v>
      </c>
      <c r="F75" s="553">
        <f t="shared" si="135"/>
        <v>97.240000000000009</v>
      </c>
      <c r="G75" s="553">
        <f t="shared" si="135"/>
        <v>85</v>
      </c>
      <c r="H75" s="553">
        <f t="shared" si="135"/>
        <v>137.53</v>
      </c>
      <c r="I75" s="553">
        <f t="shared" si="135"/>
        <v>142.12</v>
      </c>
      <c r="J75" s="553">
        <f t="shared" si="135"/>
        <v>107.8</v>
      </c>
      <c r="K75" s="553">
        <f t="shared" si="135"/>
        <v>110</v>
      </c>
      <c r="L75" s="553">
        <f>+L85*L$9</f>
        <v>125.06999999999998</v>
      </c>
      <c r="M75" s="553">
        <f t="shared" ref="M75:T75" si="136">+M85*M$9</f>
        <v>138.94139999999999</v>
      </c>
      <c r="N75" s="553">
        <f t="shared" si="136"/>
        <v>153.1134228</v>
      </c>
      <c r="O75" s="553">
        <f t="shared" si="136"/>
        <v>153.1134228</v>
      </c>
      <c r="P75" s="553">
        <f t="shared" si="136"/>
        <v>169.955899308</v>
      </c>
      <c r="Q75" s="553">
        <f t="shared" si="136"/>
        <v>176.18669009268137</v>
      </c>
      <c r="R75" s="553">
        <f t="shared" si="136"/>
        <v>185.82661899346664</v>
      </c>
      <c r="S75" s="553">
        <f t="shared" si="136"/>
        <v>165.90134740704329</v>
      </c>
      <c r="T75" s="553">
        <f t="shared" si="136"/>
        <v>139.55091743119266</v>
      </c>
      <c r="U75" s="554">
        <f>+T75*0.95</f>
        <v>132.57337155963302</v>
      </c>
      <c r="V75" s="554">
        <f>U75*1.06</f>
        <v>140.52777385321102</v>
      </c>
      <c r="W75" s="2082">
        <f>V75*0.975</f>
        <v>137.01457950688075</v>
      </c>
      <c r="X75" s="2082">
        <f>W75*0.98</f>
        <v>134.27428791674313</v>
      </c>
      <c r="Y75" s="2082">
        <f>+X75*1.02</f>
        <v>136.959773675078</v>
      </c>
      <c r="Z75" s="2082">
        <f t="shared" si="127"/>
        <v>136.959773675078</v>
      </c>
      <c r="AA75" s="3129">
        <f>Z75*1.01</f>
        <v>138.32937141182879</v>
      </c>
      <c r="AB75" s="3129">
        <f>AA75*1.03</f>
        <v>142.47925255418366</v>
      </c>
      <c r="AC75" s="3129">
        <f>AB75*0.94</f>
        <v>133.93049740093264</v>
      </c>
      <c r="AD75" s="3129">
        <f>AC75*1.02</f>
        <v>136.60910734895128</v>
      </c>
      <c r="AE75" s="3176">
        <f>(1+Scenarios!N63)*AD75</f>
        <v>135.24301627546177</v>
      </c>
      <c r="AF75" s="3176">
        <f>(1+Scenarios!O63)*AE75</f>
        <v>139.30030676372562</v>
      </c>
      <c r="AG75" s="3176">
        <f>(1+Scenarios!P63)*AF75</f>
        <v>137.90730369608835</v>
      </c>
      <c r="AH75" s="3176">
        <f>(1+Scenarios!Q63)*AG75</f>
        <v>142.044522806971</v>
      </c>
      <c r="AI75" s="3176">
        <f>(1+Scenarios!R63)*AH75</f>
        <v>140.62407757890128</v>
      </c>
      <c r="AJ75" s="3176">
        <f>(1+Scenarios!S63)*AI75</f>
        <v>144.84279990626831</v>
      </c>
      <c r="AK75" s="3176">
        <f>(1+Scenarios!T63)*AJ75</f>
        <v>143.39437190720562</v>
      </c>
      <c r="AL75" s="3176">
        <f>(1+Scenarios!U63)*AK75</f>
        <v>147.69620306442181</v>
      </c>
      <c r="AM75" s="3176">
        <f>(1+Scenarios!V63)*AL75</f>
        <v>146.21924103377759</v>
      </c>
      <c r="AN75" s="3176">
        <f>(1+Scenarios!W63)*AM75</f>
        <v>150.60581826479091</v>
      </c>
      <c r="AO75" s="2807"/>
    </row>
    <row r="76" spans="1:44">
      <c r="A76" s="560" t="s">
        <v>1139</v>
      </c>
      <c r="B76" s="553">
        <f t="shared" ref="B76:K76" si="137">+B86*B$9</f>
        <v>30.520000000000003</v>
      </c>
      <c r="C76" s="553">
        <f t="shared" si="137"/>
        <v>32.08</v>
      </c>
      <c r="D76" s="553">
        <f t="shared" si="137"/>
        <v>40.24</v>
      </c>
      <c r="E76" s="553">
        <f t="shared" si="137"/>
        <v>40.480000000000004</v>
      </c>
      <c r="F76" s="553">
        <f t="shared" si="137"/>
        <v>40.040000000000006</v>
      </c>
      <c r="G76" s="553">
        <f t="shared" si="137"/>
        <v>40</v>
      </c>
      <c r="H76" s="553">
        <f t="shared" si="137"/>
        <v>64.72</v>
      </c>
      <c r="I76" s="553">
        <f t="shared" si="137"/>
        <v>58.52</v>
      </c>
      <c r="J76" s="553">
        <f t="shared" si="137"/>
        <v>49</v>
      </c>
      <c r="K76" s="553">
        <f t="shared" si="137"/>
        <v>50</v>
      </c>
      <c r="L76" s="553">
        <f>+L86*L$9</f>
        <v>56.849999999999994</v>
      </c>
      <c r="M76" s="553">
        <f t="shared" ref="M76:T76" si="138">+M86*M$9</f>
        <v>53.439</v>
      </c>
      <c r="N76" s="553">
        <f t="shared" si="138"/>
        <v>58.889778000000007</v>
      </c>
      <c r="O76" s="553">
        <f t="shared" si="138"/>
        <v>57.71198244</v>
      </c>
      <c r="P76" s="553">
        <f t="shared" si="138"/>
        <v>64.060300508400005</v>
      </c>
      <c r="Q76" s="553">
        <f t="shared" si="138"/>
        <v>59.815381286465325</v>
      </c>
      <c r="R76" s="553">
        <f t="shared" si="138"/>
        <v>62.722408816987532</v>
      </c>
      <c r="S76" s="553">
        <f t="shared" si="138"/>
        <v>55.996994358055304</v>
      </c>
      <c r="T76" s="553">
        <f t="shared" si="138"/>
        <v>47.102884082568806</v>
      </c>
      <c r="U76" s="554">
        <f>+T76*1.01</f>
        <v>47.573912923394495</v>
      </c>
      <c r="V76" s="554">
        <f>U76*1.05</f>
        <v>49.952608569564219</v>
      </c>
      <c r="W76" s="2082">
        <f t="shared" si="125"/>
        <v>49.952608569564219</v>
      </c>
      <c r="X76" s="2082">
        <f t="shared" si="126"/>
        <v>52.45023899804243</v>
      </c>
      <c r="Y76" s="2082">
        <f>+X76*1.01</f>
        <v>52.974741388022856</v>
      </c>
      <c r="Z76" s="2082">
        <f t="shared" si="127"/>
        <v>52.974741388022856</v>
      </c>
      <c r="AA76" s="3129">
        <f>+Z76*1.01</f>
        <v>53.504488801903086</v>
      </c>
      <c r="AB76" s="3129">
        <f>+AA76*1.01</f>
        <v>54.039533689922116</v>
      </c>
      <c r="AC76" s="3129">
        <f>+AB76*1</f>
        <v>54.039533689922116</v>
      </c>
      <c r="AD76" s="3129">
        <f t="shared" ref="AD76:AN76" si="139">+AC76*1.02</f>
        <v>55.120324363720563</v>
      </c>
      <c r="AE76" s="2082">
        <f t="shared" si="139"/>
        <v>56.222730850994978</v>
      </c>
      <c r="AF76" s="2082">
        <f t="shared" si="139"/>
        <v>57.347185468014878</v>
      </c>
      <c r="AG76" s="2082">
        <f t="shared" si="139"/>
        <v>58.494129177375179</v>
      </c>
      <c r="AH76" s="2082">
        <f t="shared" si="139"/>
        <v>59.664011760922683</v>
      </c>
      <c r="AI76" s="2082">
        <f t="shared" si="139"/>
        <v>60.857291996141136</v>
      </c>
      <c r="AJ76" s="2082">
        <f t="shared" si="139"/>
        <v>62.074437836063957</v>
      </c>
      <c r="AK76" s="2082">
        <f t="shared" si="139"/>
        <v>63.315926592785239</v>
      </c>
      <c r="AL76" s="2082">
        <f t="shared" si="139"/>
        <v>64.582245124640949</v>
      </c>
      <c r="AM76" s="2082">
        <f t="shared" si="139"/>
        <v>65.873890027133768</v>
      </c>
      <c r="AN76" s="2082">
        <f t="shared" si="139"/>
        <v>67.191367827676444</v>
      </c>
      <c r="AO76" s="2807"/>
    </row>
    <row r="77" spans="1:44">
      <c r="A77" s="560" t="s">
        <v>1140</v>
      </c>
      <c r="B77" s="553">
        <f t="shared" ref="B77:K77" si="140">+B87*B$9</f>
        <v>17.440000000000001</v>
      </c>
      <c r="C77" s="553">
        <f t="shared" si="140"/>
        <v>16.04</v>
      </c>
      <c r="D77" s="553">
        <f t="shared" si="140"/>
        <v>20.12</v>
      </c>
      <c r="E77" s="553">
        <f t="shared" si="140"/>
        <v>20.240000000000002</v>
      </c>
      <c r="F77" s="553">
        <f t="shared" si="140"/>
        <v>17.16</v>
      </c>
      <c r="G77" s="553">
        <f t="shared" si="140"/>
        <v>20</v>
      </c>
      <c r="H77" s="553">
        <f t="shared" si="140"/>
        <v>32.36</v>
      </c>
      <c r="I77" s="553">
        <f t="shared" si="140"/>
        <v>33.44</v>
      </c>
      <c r="J77" s="553">
        <f t="shared" si="140"/>
        <v>19.600000000000001</v>
      </c>
      <c r="K77" s="553">
        <f t="shared" si="140"/>
        <v>20</v>
      </c>
      <c r="L77" s="553">
        <f>+L87*L$9</f>
        <v>34.109999999999992</v>
      </c>
      <c r="M77" s="553">
        <f t="shared" ref="M77:T77" si="141">+M87*M$9</f>
        <v>42.751199999999997</v>
      </c>
      <c r="N77" s="553">
        <f t="shared" si="141"/>
        <v>47.111822400000001</v>
      </c>
      <c r="O77" s="553">
        <f t="shared" si="141"/>
        <v>47.111822400000001</v>
      </c>
      <c r="P77" s="553">
        <f t="shared" si="141"/>
        <v>52.294122864000002</v>
      </c>
      <c r="Q77" s="553">
        <f t="shared" si="141"/>
        <v>50.339054312194676</v>
      </c>
      <c r="R77" s="553">
        <f t="shared" si="141"/>
        <v>53.8627881140483</v>
      </c>
      <c r="S77" s="553">
        <f t="shared" si="141"/>
        <v>48.087347074505296</v>
      </c>
      <c r="T77" s="553">
        <f t="shared" si="141"/>
        <v>40.449541284403665</v>
      </c>
      <c r="U77" s="554">
        <f>+T77*0.95</f>
        <v>38.427064220183482</v>
      </c>
      <c r="V77" s="554">
        <f>U77*1.06</f>
        <v>40.732688073394492</v>
      </c>
      <c r="W77" s="2082">
        <f t="shared" si="125"/>
        <v>40.732688073394492</v>
      </c>
      <c r="X77" s="2082">
        <f t="shared" si="126"/>
        <v>42.769322477064222</v>
      </c>
      <c r="Y77" s="2082">
        <f>+X77*1.01</f>
        <v>43.197015701834864</v>
      </c>
      <c r="Z77" s="2082">
        <f t="shared" si="127"/>
        <v>43.197015701834864</v>
      </c>
      <c r="AA77" s="3129">
        <f>+Z77*1.01</f>
        <v>43.628985858853213</v>
      </c>
      <c r="AB77" s="3129">
        <f>+AA77*1.01</f>
        <v>44.065275717441743</v>
      </c>
      <c r="AC77" s="3129">
        <f>+AB77*1</f>
        <v>44.065275717441743</v>
      </c>
      <c r="AD77" s="3129">
        <f t="shared" ref="AD77:AN77" si="142">+AC77*1.01</f>
        <v>44.505928474616162</v>
      </c>
      <c r="AE77" s="2082">
        <f t="shared" si="142"/>
        <v>44.950987759362327</v>
      </c>
      <c r="AF77" s="2082">
        <f t="shared" si="142"/>
        <v>45.400497636955954</v>
      </c>
      <c r="AG77" s="2082">
        <f t="shared" si="142"/>
        <v>45.854502613325515</v>
      </c>
      <c r="AH77" s="2082">
        <f t="shared" si="142"/>
        <v>46.313047639458773</v>
      </c>
      <c r="AI77" s="2082">
        <f t="shared" si="142"/>
        <v>46.776178115853362</v>
      </c>
      <c r="AJ77" s="2082">
        <f t="shared" si="142"/>
        <v>47.243939897011899</v>
      </c>
      <c r="AK77" s="2082">
        <f t="shared" si="142"/>
        <v>47.716379295982016</v>
      </c>
      <c r="AL77" s="2082">
        <f t="shared" si="142"/>
        <v>48.193543088941837</v>
      </c>
      <c r="AM77" s="2082">
        <f t="shared" si="142"/>
        <v>48.675478519831259</v>
      </c>
      <c r="AN77" s="2082">
        <f t="shared" si="142"/>
        <v>49.162233305029574</v>
      </c>
      <c r="AO77" s="2082"/>
    </row>
    <row r="78" spans="1:44">
      <c r="A78" s="562" t="s">
        <v>1143</v>
      </c>
      <c r="B78" s="1059">
        <f t="shared" ref="B78:K78" si="143">+B79-SUM(B72:B77)</f>
        <v>11.45199999999997</v>
      </c>
      <c r="C78" s="1059">
        <f t="shared" si="143"/>
        <v>15.587999999999994</v>
      </c>
      <c r="D78" s="1059">
        <f t="shared" si="143"/>
        <v>20.163999999999987</v>
      </c>
      <c r="E78" s="1059">
        <f t="shared" si="143"/>
        <v>16.327999999999975</v>
      </c>
      <c r="F78" s="1059">
        <f t="shared" si="143"/>
        <v>8.9559999999999604</v>
      </c>
      <c r="G78" s="1059">
        <f t="shared" si="143"/>
        <v>8.5</v>
      </c>
      <c r="H78" s="1059">
        <f t="shared" si="143"/>
        <v>29.037999999999954</v>
      </c>
      <c r="I78" s="1059">
        <f t="shared" si="143"/>
        <v>23.612000000000023</v>
      </c>
      <c r="J78" s="1059">
        <f t="shared" si="143"/>
        <v>126.99999999999994</v>
      </c>
      <c r="K78" s="1059">
        <f t="shared" si="143"/>
        <v>125</v>
      </c>
      <c r="L78" s="1059">
        <v>140</v>
      </c>
      <c r="M78" s="1059">
        <f>+M88*M$9</f>
        <v>138.94139999999999</v>
      </c>
      <c r="N78" s="1059">
        <v>160</v>
      </c>
      <c r="O78" s="1060">
        <f>+N78*1.08-27</f>
        <v>145.80000000000001</v>
      </c>
      <c r="P78" s="1060">
        <f>+(O78+27)*1.04</f>
        <v>179.71200000000002</v>
      </c>
      <c r="Q78" s="1060">
        <f>+P78*1.0325+25</f>
        <v>210.55264000000003</v>
      </c>
      <c r="R78" s="1060">
        <f>+Q78*1.0325</f>
        <v>217.39560080000001</v>
      </c>
      <c r="S78" s="1060">
        <f>+R78*1.03</f>
        <v>223.91746882400003</v>
      </c>
      <c r="T78" s="1060">
        <f>+S78*1.03</f>
        <v>230.63499288872003</v>
      </c>
      <c r="U78" s="1060">
        <f>T78-50</f>
        <v>180.63499288872003</v>
      </c>
      <c r="V78" s="1060">
        <f>U78*1.04</f>
        <v>187.86039260426884</v>
      </c>
      <c r="W78" s="2099">
        <f>+V78*1.01</f>
        <v>189.73899653031154</v>
      </c>
      <c r="X78" s="2099">
        <f>W78*1.02-15</f>
        <v>178.53377646091778</v>
      </c>
      <c r="Y78" s="2099">
        <v>132.5</v>
      </c>
      <c r="Z78" s="2099">
        <f>Y78*1.0064</f>
        <v>133.34799999999998</v>
      </c>
      <c r="AA78" s="3444">
        <f>Z78*0.74</f>
        <v>98.677519999999987</v>
      </c>
      <c r="AB78" s="3444">
        <f>AA78*1.01</f>
        <v>99.664295199999984</v>
      </c>
      <c r="AC78" s="3444">
        <f>AB78*1</f>
        <v>99.664295199999984</v>
      </c>
      <c r="AD78" s="3444">
        <f>AC78*1.01</f>
        <v>100.66093815199999</v>
      </c>
      <c r="AE78" s="2099">
        <f t="shared" ref="AE78:AN78" si="144">AD78*1.01</f>
        <v>101.66754753351999</v>
      </c>
      <c r="AF78" s="2099">
        <f t="shared" si="144"/>
        <v>102.6842230088552</v>
      </c>
      <c r="AG78" s="2099">
        <f t="shared" si="144"/>
        <v>103.71106523894375</v>
      </c>
      <c r="AH78" s="2099">
        <f t="shared" si="144"/>
        <v>104.74817589133319</v>
      </c>
      <c r="AI78" s="2099">
        <f t="shared" si="144"/>
        <v>105.79565765024653</v>
      </c>
      <c r="AJ78" s="2099">
        <f t="shared" si="144"/>
        <v>106.85361422674899</v>
      </c>
      <c r="AK78" s="2099">
        <f t="shared" si="144"/>
        <v>107.92215036901648</v>
      </c>
      <c r="AL78" s="2099">
        <f t="shared" si="144"/>
        <v>109.00137187270664</v>
      </c>
      <c r="AM78" s="2099">
        <f t="shared" si="144"/>
        <v>110.09138559143371</v>
      </c>
      <c r="AN78" s="2099">
        <f t="shared" si="144"/>
        <v>111.19229944734805</v>
      </c>
    </row>
    <row r="79" spans="1:44">
      <c r="A79" s="560" t="s">
        <v>1144</v>
      </c>
      <c r="B79" s="145">
        <f t="shared" ref="B79:K79" si="145">+B9-B16</f>
        <v>227.27199999999999</v>
      </c>
      <c r="C79" s="145">
        <f t="shared" si="145"/>
        <v>221.702</v>
      </c>
      <c r="D79" s="145">
        <f t="shared" si="145"/>
        <v>278.70600000000002</v>
      </c>
      <c r="E79" s="145">
        <f t="shared" si="145"/>
        <v>276.41200000000003</v>
      </c>
      <c r="F79" s="145">
        <f t="shared" si="145"/>
        <v>282.94400000000002</v>
      </c>
      <c r="G79" s="145">
        <f t="shared" si="145"/>
        <v>266</v>
      </c>
      <c r="H79" s="145">
        <f t="shared" si="145"/>
        <v>449.71800000000002</v>
      </c>
      <c r="I79" s="145">
        <f t="shared" si="145"/>
        <v>429.072</v>
      </c>
      <c r="J79" s="145">
        <f t="shared" si="145"/>
        <v>470</v>
      </c>
      <c r="K79" s="145">
        <f t="shared" si="145"/>
        <v>470</v>
      </c>
      <c r="L79" s="145">
        <f t="shared" ref="L79:AE79" si="146">SUM(L72:L78)</f>
        <v>576.51</v>
      </c>
      <c r="M79" s="145">
        <f t="shared" si="146"/>
        <v>630.58019999999999</v>
      </c>
      <c r="N79" s="145">
        <f t="shared" si="146"/>
        <v>690.00800200000003</v>
      </c>
      <c r="O79" s="145">
        <f t="shared" si="146"/>
        <v>676.98579756000004</v>
      </c>
      <c r="P79" s="145">
        <f t="shared" si="146"/>
        <v>766.71352914839997</v>
      </c>
      <c r="Q79" s="145">
        <f t="shared" si="146"/>
        <v>798.92809156450949</v>
      </c>
      <c r="R79" s="145">
        <f t="shared" si="146"/>
        <v>836.25129689453615</v>
      </c>
      <c r="S79" s="145">
        <f t="shared" si="146"/>
        <v>780.02287275691037</v>
      </c>
      <c r="T79" s="145">
        <f t="shared" si="146"/>
        <v>753.01998706303198</v>
      </c>
      <c r="U79" s="145">
        <f t="shared" si="146"/>
        <v>670.03706177541721</v>
      </c>
      <c r="V79" s="145">
        <f t="shared" si="146"/>
        <v>700.4843357609891</v>
      </c>
      <c r="W79" s="1146">
        <f t="shared" si="146"/>
        <v>665.59366827648125</v>
      </c>
      <c r="X79" s="1146">
        <f t="shared" si="146"/>
        <v>638.6944571922171</v>
      </c>
      <c r="Y79" s="1146">
        <f t="shared" si="146"/>
        <v>606.68671751750458</v>
      </c>
      <c r="Z79" s="1146">
        <f t="shared" si="146"/>
        <v>607.53471751750453</v>
      </c>
      <c r="AA79" s="3097">
        <f t="shared" si="146"/>
        <v>577.60610469267954</v>
      </c>
      <c r="AB79" s="3097">
        <f t="shared" si="146"/>
        <v>597.68506691358743</v>
      </c>
      <c r="AC79" s="3097">
        <f t="shared" si="146"/>
        <v>564.71124652187768</v>
      </c>
      <c r="AD79" s="3097">
        <f t="shared" si="146"/>
        <v>574.56817574314084</v>
      </c>
      <c r="AE79" s="1146">
        <f t="shared" si="146"/>
        <v>580.93163103976849</v>
      </c>
      <c r="AF79" s="1146">
        <f t="shared" ref="AF79:AK79" si="147">SUM(AF72:AF78)</f>
        <v>592.87120314894423</v>
      </c>
      <c r="AG79" s="1146">
        <f t="shared" si="147"/>
        <v>599.51650632146448</v>
      </c>
      <c r="AH79" s="1146">
        <f t="shared" si="147"/>
        <v>611.8514213908104</v>
      </c>
      <c r="AI79" s="1146">
        <f t="shared" si="147"/>
        <v>618.79150451112253</v>
      </c>
      <c r="AJ79" s="1146">
        <f t="shared" si="147"/>
        <v>631.53710970984628</v>
      </c>
      <c r="AK79" s="1146">
        <f t="shared" si="147"/>
        <v>638.78552263670201</v>
      </c>
      <c r="AL79" s="1146">
        <f>SUM(AL72:AL78)</f>
        <v>651.95783969107515</v>
      </c>
      <c r="AM79" s="1146">
        <f>SUM(AM72:AM78)</f>
        <v>659.52878086794112</v>
      </c>
      <c r="AN79" s="1146">
        <f>SUM(AN72:AN78)</f>
        <v>673.14453846785636</v>
      </c>
    </row>
    <row r="80" spans="1:44" ht="12" customHeight="1">
      <c r="A80" s="562"/>
      <c r="B80" s="6"/>
      <c r="C80" s="6"/>
      <c r="D80" s="6"/>
      <c r="E80" s="6"/>
      <c r="F80" s="6"/>
      <c r="G80" s="6"/>
      <c r="H80" s="6"/>
      <c r="I80" s="6"/>
      <c r="J80" s="6"/>
      <c r="K80" s="6"/>
      <c r="L80" s="6"/>
      <c r="M80" s="6"/>
      <c r="N80" s="6"/>
      <c r="O80" s="6"/>
      <c r="P80" s="6"/>
      <c r="Q80" s="6"/>
      <c r="R80" s="6"/>
      <c r="S80" s="6"/>
      <c r="T80" s="6"/>
      <c r="U80" s="6"/>
      <c r="V80" s="54"/>
      <c r="W80" s="1146"/>
      <c r="X80" s="1110">
        <f t="shared" ref="X80:AC80" si="148">X79/W79-1</f>
        <v>-4.0413862640728215E-2</v>
      </c>
      <c r="Y80" s="1110">
        <f t="shared" si="148"/>
        <v>-5.0114321980219922E-2</v>
      </c>
      <c r="Z80" s="1110">
        <f>Z78/Y78-1</f>
        <v>6.3999999999999613E-3</v>
      </c>
      <c r="AA80" s="2802">
        <f t="shared" si="148"/>
        <v>-4.9262391040167497E-2</v>
      </c>
      <c r="AB80" s="2802">
        <f t="shared" si="148"/>
        <v>3.4762378821447948E-2</v>
      </c>
      <c r="AC80" s="2802">
        <f t="shared" si="148"/>
        <v>-5.5169222416723174E-2</v>
      </c>
      <c r="AD80" s="2802">
        <f t="shared" ref="AD80:AN80" si="149">AD79/AC79-1</f>
        <v>1.745481302519325E-2</v>
      </c>
      <c r="AE80" s="1110">
        <f t="shared" si="149"/>
        <v>1.1075196234802354E-2</v>
      </c>
      <c r="AF80" s="1110">
        <f t="shared" si="149"/>
        <v>2.0552456556386822E-2</v>
      </c>
      <c r="AG80" s="1110">
        <f t="shared" si="149"/>
        <v>1.1208679283501555E-2</v>
      </c>
      <c r="AH80" s="1110">
        <f t="shared" si="149"/>
        <v>2.0574771402093628E-2</v>
      </c>
      <c r="AI80" s="1110">
        <f t="shared" si="149"/>
        <v>1.1342758842557643E-2</v>
      </c>
      <c r="AJ80" s="1110">
        <f t="shared" si="149"/>
        <v>2.0597576252753269E-2</v>
      </c>
      <c r="AK80" s="1110">
        <f t="shared" si="149"/>
        <v>1.1477414098731265E-2</v>
      </c>
      <c r="AL80" s="1110">
        <f t="shared" si="149"/>
        <v>2.0620876002326982E-2</v>
      </c>
      <c r="AM80" s="1110">
        <f t="shared" si="149"/>
        <v>1.1612623878337613E-2</v>
      </c>
      <c r="AN80" s="1110">
        <f t="shared" si="149"/>
        <v>2.0644675402939683E-2</v>
      </c>
    </row>
    <row r="81" spans="1:42">
      <c r="A81" s="546" t="s">
        <v>1187</v>
      </c>
      <c r="B81" s="6"/>
      <c r="C81" s="6"/>
      <c r="D81" s="6"/>
      <c r="E81" s="6"/>
      <c r="F81" s="6"/>
      <c r="G81" s="6"/>
      <c r="H81" s="6"/>
      <c r="I81" s="6"/>
      <c r="J81" s="6"/>
      <c r="K81" s="6"/>
      <c r="L81" s="6"/>
      <c r="M81" s="6"/>
      <c r="N81" s="6"/>
      <c r="O81" s="6"/>
      <c r="P81" s="6"/>
      <c r="Q81" s="51"/>
      <c r="R81" s="6"/>
      <c r="S81" s="6"/>
      <c r="T81" s="6"/>
      <c r="U81" s="6"/>
      <c r="V81" s="6"/>
      <c r="W81" s="1108"/>
      <c r="X81" s="1108"/>
      <c r="Y81" s="1108"/>
      <c r="Z81" s="1108"/>
      <c r="AA81" s="1108"/>
      <c r="AB81" s="1108"/>
      <c r="AC81" s="1108"/>
      <c r="AD81" s="1108"/>
      <c r="AE81" s="1108"/>
      <c r="AF81" s="1108"/>
      <c r="AG81" s="1108"/>
      <c r="AH81" s="1108"/>
      <c r="AI81" s="1108"/>
      <c r="AJ81" s="1108"/>
      <c r="AK81" s="1108"/>
      <c r="AL81" s="1108"/>
      <c r="AM81" s="1108"/>
      <c r="AN81" s="1108"/>
      <c r="AO81" s="1108"/>
      <c r="AP81" s="1108"/>
    </row>
    <row r="82" spans="1:42">
      <c r="A82" s="560" t="s">
        <v>1135</v>
      </c>
      <c r="B82" s="563">
        <v>0.05</v>
      </c>
      <c r="C82" s="485">
        <v>0.05</v>
      </c>
      <c r="D82" s="485">
        <v>0.05</v>
      </c>
      <c r="E82" s="485">
        <v>0.05</v>
      </c>
      <c r="F82" s="485">
        <v>4.4999999999999998E-2</v>
      </c>
      <c r="G82" s="485">
        <v>4.4999999999999998E-2</v>
      </c>
      <c r="H82" s="485">
        <v>0.05</v>
      </c>
      <c r="I82" s="485">
        <v>0.04</v>
      </c>
      <c r="J82" s="485">
        <v>0.03</v>
      </c>
      <c r="K82" s="485">
        <v>0.03</v>
      </c>
      <c r="L82" s="245">
        <f t="shared" ref="L82:S82" si="150">+K82</f>
        <v>0.03</v>
      </c>
      <c r="M82" s="245">
        <f t="shared" si="150"/>
        <v>0.03</v>
      </c>
      <c r="N82" s="245">
        <f t="shared" si="150"/>
        <v>0.03</v>
      </c>
      <c r="O82" s="245">
        <f t="shared" si="150"/>
        <v>0.03</v>
      </c>
      <c r="P82" s="245">
        <f>+O82</f>
        <v>0.03</v>
      </c>
      <c r="Q82" s="245">
        <f>+P82</f>
        <v>0.03</v>
      </c>
      <c r="R82" s="245">
        <f t="shared" si="150"/>
        <v>0.03</v>
      </c>
      <c r="S82" s="245">
        <f t="shared" si="150"/>
        <v>0.03</v>
      </c>
      <c r="T82" s="245">
        <f>+S82+0.004</f>
        <v>3.4000000000000002E-2</v>
      </c>
      <c r="U82" s="245">
        <f>+U72/U$64</f>
        <v>4.4854113464671906E-2</v>
      </c>
      <c r="V82" s="245">
        <f t="shared" ref="V82:AD82" si="151">+V72/V$64</f>
        <v>3.9609519658091299E-2</v>
      </c>
      <c r="W82" s="1164">
        <f t="shared" si="151"/>
        <v>4.2590881352786346E-2</v>
      </c>
      <c r="X82" s="1164">
        <f t="shared" si="151"/>
        <v>4.2590881352786339E-2</v>
      </c>
      <c r="Y82" s="1164">
        <f t="shared" si="151"/>
        <v>4.7525757863669853E-2</v>
      </c>
      <c r="Z82" s="1164">
        <f t="shared" si="151"/>
        <v>4.784166257007972E-2</v>
      </c>
      <c r="AA82" s="1164">
        <f t="shared" si="151"/>
        <v>5.3389635469969568E-2</v>
      </c>
      <c r="AB82" s="1164">
        <f t="shared" si="151"/>
        <v>4.7261397450621329E-2</v>
      </c>
      <c r="AC82" s="1164">
        <f t="shared" si="151"/>
        <v>5.7009065227776164E-2</v>
      </c>
      <c r="AD82" s="1164">
        <f t="shared" si="151"/>
        <v>5.1980051730287885E-2</v>
      </c>
      <c r="AE82" s="1164">
        <f t="shared" ref="AE82:AF85" si="152">+AE72/AE$64</f>
        <v>5.7634375673821542E-2</v>
      </c>
      <c r="AF82" s="1164">
        <f t="shared" si="152"/>
        <v>5.3145395652673406E-2</v>
      </c>
      <c r="AG82" s="1164">
        <f t="shared" ref="AG82:AH87" si="153">+AG72/AG$64</f>
        <v>6.5259606011270385E-2</v>
      </c>
      <c r="AH82" s="1164">
        <f t="shared" si="153"/>
        <v>5.7318490825964435E-2</v>
      </c>
      <c r="AI82" s="1164">
        <f t="shared" ref="AI82:AJ87" si="154">+AI72/AI$64</f>
        <v>7.0493188717305505E-2</v>
      </c>
      <c r="AJ82" s="1164">
        <f t="shared" si="154"/>
        <v>6.1345035805022541E-2</v>
      </c>
      <c r="AK82" s="1164">
        <f t="shared" ref="AK82:AL87" si="155">+AK72/AK$64</f>
        <v>7.1339490661819133E-2</v>
      </c>
      <c r="AL82" s="1164">
        <f t="shared" si="155"/>
        <v>6.974152940553692E-2</v>
      </c>
      <c r="AM82" s="1164">
        <f t="shared" ref="AM82:AN87" si="156">+AM72/AM$64</f>
        <v>8.218027146516764E-2</v>
      </c>
      <c r="AN82" s="1164">
        <f t="shared" si="156"/>
        <v>6.647218439541594E-2</v>
      </c>
    </row>
    <row r="83" spans="1:42" s="1577" customFormat="1">
      <c r="A83" s="2644" t="s">
        <v>1136</v>
      </c>
      <c r="B83" s="2645">
        <v>0.151</v>
      </c>
      <c r="C83" s="1600">
        <v>0.16</v>
      </c>
      <c r="D83" s="1600">
        <v>0.16</v>
      </c>
      <c r="E83" s="1600">
        <v>0.16</v>
      </c>
      <c r="F83" s="1600">
        <v>0.15</v>
      </c>
      <c r="G83" s="1600">
        <v>0.15</v>
      </c>
      <c r="H83" s="1600">
        <v>0.15</v>
      </c>
      <c r="I83" s="1600">
        <v>0.15</v>
      </c>
      <c r="J83" s="1600">
        <v>0.13</v>
      </c>
      <c r="K83" s="1600">
        <v>0.125</v>
      </c>
      <c r="L83" s="1600">
        <f>+L73/L9</f>
        <v>0.15391380826737031</v>
      </c>
      <c r="M83" s="1600">
        <v>0.2</v>
      </c>
      <c r="N83" s="1600">
        <v>0.19</v>
      </c>
      <c r="O83" s="1600">
        <v>0.192</v>
      </c>
      <c r="P83" s="1600">
        <v>0.19</v>
      </c>
      <c r="Q83" s="1600">
        <v>0.2</v>
      </c>
      <c r="R83" s="1164">
        <v>0.19500000000000001</v>
      </c>
      <c r="S83" s="1164">
        <v>0.19800000000000001</v>
      </c>
      <c r="T83" s="1164">
        <f>+S83+0.05</f>
        <v>0.248</v>
      </c>
      <c r="U83" s="1164">
        <f t="shared" ref="U83:AD87" si="157">+U73/U$64</f>
        <v>0.2916403495778403</v>
      </c>
      <c r="V83" s="1164">
        <f t="shared" si="157"/>
        <v>0.24561697470578539</v>
      </c>
      <c r="W83" s="1164">
        <f t="shared" si="157"/>
        <v>0.22633749119584559</v>
      </c>
      <c r="X83" s="1164">
        <f t="shared" si="157"/>
        <v>0.19400356388215334</v>
      </c>
      <c r="Y83" s="1164">
        <f t="shared" si="157"/>
        <v>0.22068570690549696</v>
      </c>
      <c r="Z83" s="1164">
        <f t="shared" si="157"/>
        <v>0.22215260941442314</v>
      </c>
      <c r="AA83" s="1164">
        <f t="shared" si="157"/>
        <v>0.24791460409564142</v>
      </c>
      <c r="AB83" s="1164">
        <f t="shared" si="157"/>
        <v>0.23249526799170978</v>
      </c>
      <c r="AC83" s="1164">
        <f t="shared" si="157"/>
        <v>0.24679374668310194</v>
      </c>
      <c r="AD83" s="1164">
        <f t="shared" si="157"/>
        <v>0.22502301463888813</v>
      </c>
      <c r="AE83" s="1164">
        <f>+AE73/AE$64</f>
        <v>0.24707839488849337</v>
      </c>
      <c r="AF83" s="1164">
        <f t="shared" si="152"/>
        <v>0.22562216901187401</v>
      </c>
      <c r="AG83" s="1164">
        <f t="shared" si="153"/>
        <v>0.2743617219743818</v>
      </c>
      <c r="AH83" s="1164">
        <f t="shared" si="153"/>
        <v>0.23863644275080534</v>
      </c>
      <c r="AI83" s="1164">
        <f t="shared" si="154"/>
        <v>0.29063781684277185</v>
      </c>
      <c r="AJ83" s="1164">
        <f t="shared" si="154"/>
        <v>0.25046516828288889</v>
      </c>
      <c r="AK83" s="1164">
        <f t="shared" si="155"/>
        <v>0.28844357191887399</v>
      </c>
      <c r="AL83" s="1164">
        <f t="shared" si="155"/>
        <v>0.2792449158667914</v>
      </c>
      <c r="AM83" s="1164">
        <f t="shared" si="156"/>
        <v>0.32585495273324244</v>
      </c>
      <c r="AN83" s="1164">
        <f t="shared" si="156"/>
        <v>0.26101150603730738</v>
      </c>
    </row>
    <row r="84" spans="1:42">
      <c r="A84" s="560" t="s">
        <v>1137</v>
      </c>
      <c r="B84" s="563">
        <v>1.4E-2</v>
      </c>
      <c r="C84" s="485">
        <v>1.4E-2</v>
      </c>
      <c r="D84" s="485">
        <v>1.4E-2</v>
      </c>
      <c r="E84" s="485">
        <v>1.4E-2</v>
      </c>
      <c r="F84" s="485">
        <v>1.4E-2</v>
      </c>
      <c r="G84" s="485">
        <v>0.03</v>
      </c>
      <c r="H84" s="485">
        <v>0.03</v>
      </c>
      <c r="I84" s="485">
        <v>1.4999999999999999E-2</v>
      </c>
      <c r="J84" s="485">
        <v>0.01</v>
      </c>
      <c r="K84" s="485">
        <v>0.01</v>
      </c>
      <c r="L84" s="245">
        <f>+K84</f>
        <v>0.01</v>
      </c>
      <c r="M84" s="245">
        <v>0.01</v>
      </c>
      <c r="N84" s="245">
        <f t="shared" ref="N84:T84" si="158">+M84</f>
        <v>0.01</v>
      </c>
      <c r="O84" s="245">
        <f t="shared" si="158"/>
        <v>0.01</v>
      </c>
      <c r="P84" s="245">
        <f t="shared" si="158"/>
        <v>0.01</v>
      </c>
      <c r="Q84" s="245">
        <f t="shared" si="158"/>
        <v>0.01</v>
      </c>
      <c r="R84" s="245">
        <f t="shared" si="158"/>
        <v>0.01</v>
      </c>
      <c r="S84" s="245">
        <f t="shared" si="158"/>
        <v>0.01</v>
      </c>
      <c r="T84" s="245">
        <f t="shared" si="158"/>
        <v>0.01</v>
      </c>
      <c r="U84" s="245">
        <f t="shared" si="157"/>
        <v>1.3323003999407496E-2</v>
      </c>
      <c r="V84" s="245">
        <f t="shared" si="157"/>
        <v>1.1983078004373057E-2</v>
      </c>
      <c r="W84" s="245">
        <f t="shared" si="157"/>
        <v>1.2885030112229093E-2</v>
      </c>
      <c r="X84" s="245">
        <f t="shared" si="157"/>
        <v>1.2885030112229091E-2</v>
      </c>
      <c r="Y84" s="245">
        <f t="shared" si="157"/>
        <v>1.4238387517232628E-2</v>
      </c>
      <c r="Z84" s="245">
        <f t="shared" si="157"/>
        <v>1.4333030376822242E-2</v>
      </c>
      <c r="AA84" s="245">
        <f t="shared" si="157"/>
        <v>1.5995164588555079E-2</v>
      </c>
      <c r="AB84" s="245">
        <f>+AB74/AB$64</f>
        <v>1.4299376940536498E-2</v>
      </c>
      <c r="AC84" s="245">
        <f t="shared" si="157"/>
        <v>1.7248624812063962E-2</v>
      </c>
      <c r="AD84" s="245">
        <f t="shared" si="157"/>
        <v>1.5727049837164754E-2</v>
      </c>
      <c r="AE84" s="245">
        <f t="shared" si="152"/>
        <v>1.726851911718397E-2</v>
      </c>
      <c r="AF84" s="245">
        <f t="shared" si="152"/>
        <v>1.5768925245772294E-2</v>
      </c>
      <c r="AG84" s="242">
        <f t="shared" si="153"/>
        <v>1.9175374047076463E-2</v>
      </c>
      <c r="AH84" s="242">
        <f t="shared" si="153"/>
        <v>1.6678503903827059E-2</v>
      </c>
      <c r="AI84" s="242">
        <f t="shared" si="154"/>
        <v>2.0312924157496835E-2</v>
      </c>
      <c r="AJ84" s="242">
        <f t="shared" si="154"/>
        <v>1.7505223589596799E-2</v>
      </c>
      <c r="AK84" s="242">
        <f t="shared" si="155"/>
        <v>2.0159566513931054E-2</v>
      </c>
      <c r="AL84" s="242">
        <f t="shared" si="155"/>
        <v>1.9516664620548286E-2</v>
      </c>
      <c r="AM84" s="242">
        <f t="shared" si="156"/>
        <v>2.2774279731105424E-2</v>
      </c>
      <c r="AN84" s="242">
        <f t="shared" si="156"/>
        <v>1.8242316103131404E-2</v>
      </c>
    </row>
    <row r="85" spans="1:42">
      <c r="A85" s="560" t="s">
        <v>1138</v>
      </c>
      <c r="B85" s="563">
        <v>0.17</v>
      </c>
      <c r="C85" s="485">
        <v>0.17</v>
      </c>
      <c r="D85" s="485">
        <v>0.17</v>
      </c>
      <c r="E85" s="485">
        <v>0.17</v>
      </c>
      <c r="F85" s="485">
        <v>0.17</v>
      </c>
      <c r="G85" s="485">
        <v>0.17</v>
      </c>
      <c r="H85" s="485">
        <v>0.17</v>
      </c>
      <c r="I85" s="485">
        <v>0.17</v>
      </c>
      <c r="J85" s="485">
        <v>0.11</v>
      </c>
      <c r="K85" s="485">
        <v>0.11</v>
      </c>
      <c r="L85" s="245">
        <f>+K85</f>
        <v>0.11</v>
      </c>
      <c r="M85" s="485">
        <v>0.13</v>
      </c>
      <c r="N85" s="245">
        <v>0.13</v>
      </c>
      <c r="O85" s="245">
        <f>N85</f>
        <v>0.13</v>
      </c>
      <c r="P85" s="245">
        <f>+O85</f>
        <v>0.13</v>
      </c>
      <c r="Q85" s="245">
        <f>P85+0.01</f>
        <v>0.14000000000000001</v>
      </c>
      <c r="R85" s="245">
        <f>+Q85-0.002</f>
        <v>0.13800000000000001</v>
      </c>
      <c r="S85" s="245">
        <f t="shared" ref="S85:T87" si="159">+R85</f>
        <v>0.13800000000000001</v>
      </c>
      <c r="T85" s="245">
        <f t="shared" si="159"/>
        <v>0.13800000000000001</v>
      </c>
      <c r="U85" s="245">
        <f t="shared" si="157"/>
        <v>0.17123978669826692</v>
      </c>
      <c r="V85" s="245">
        <f t="shared" si="157"/>
        <v>0.14841714955041943</v>
      </c>
      <c r="W85" s="245">
        <f t="shared" si="157"/>
        <v>0.15559862452866555</v>
      </c>
      <c r="X85" s="245">
        <f t="shared" si="157"/>
        <v>0.14522538289342116</v>
      </c>
      <c r="Y85" s="245">
        <f t="shared" si="157"/>
        <v>0.1604788860378763</v>
      </c>
      <c r="Z85" s="245">
        <f t="shared" si="157"/>
        <v>0.16154559254941056</v>
      </c>
      <c r="AA85" s="245">
        <f t="shared" si="157"/>
        <v>0.18027927615097702</v>
      </c>
      <c r="AB85" s="245">
        <f t="shared" si="157"/>
        <v>0.16274635100839704</v>
      </c>
      <c r="AC85" s="245">
        <f t="shared" si="157"/>
        <v>0.18453403348724701</v>
      </c>
      <c r="AD85" s="245">
        <f>+AD75/AD$64</f>
        <v>0.1682554970571993</v>
      </c>
      <c r="AE85" s="245">
        <f t="shared" si="152"/>
        <v>0.17931314073591401</v>
      </c>
      <c r="AF85" s="245">
        <f t="shared" si="152"/>
        <v>0.16534694266606217</v>
      </c>
      <c r="AG85" s="242">
        <f t="shared" si="153"/>
        <v>0.19515197095779865</v>
      </c>
      <c r="AH85" s="242">
        <f t="shared" si="153"/>
        <v>0.17140490328859265</v>
      </c>
      <c r="AI85" s="242">
        <f t="shared" si="154"/>
        <v>0.20261594537994829</v>
      </c>
      <c r="AJ85" s="242">
        <f t="shared" si="154"/>
        <v>0.17632175037288506</v>
      </c>
      <c r="AK85" s="242">
        <f t="shared" si="155"/>
        <v>0.19708539332635899</v>
      </c>
      <c r="AL85" s="242">
        <f t="shared" si="155"/>
        <v>0.19267080023362734</v>
      </c>
      <c r="AM85" s="242">
        <f t="shared" si="156"/>
        <v>0.21821770075653937</v>
      </c>
      <c r="AN85" s="242">
        <f t="shared" si="156"/>
        <v>0.17650717117891904</v>
      </c>
    </row>
    <row r="86" spans="1:42">
      <c r="A86" s="560" t="s">
        <v>1139</v>
      </c>
      <c r="B86" s="563">
        <v>7.0000000000000007E-2</v>
      </c>
      <c r="C86" s="485">
        <v>0.08</v>
      </c>
      <c r="D86" s="485">
        <v>0.08</v>
      </c>
      <c r="E86" s="485">
        <v>0.08</v>
      </c>
      <c r="F86" s="485">
        <v>7.0000000000000007E-2</v>
      </c>
      <c r="G86" s="485">
        <v>0.08</v>
      </c>
      <c r="H86" s="485">
        <v>0.08</v>
      </c>
      <c r="I86" s="485">
        <v>7.0000000000000007E-2</v>
      </c>
      <c r="J86" s="485">
        <v>0.05</v>
      </c>
      <c r="K86" s="485">
        <v>0.05</v>
      </c>
      <c r="L86" s="485">
        <v>0.05</v>
      </c>
      <c r="M86" s="245">
        <f>+L86</f>
        <v>0.05</v>
      </c>
      <c r="N86" s="245">
        <f>+M86</f>
        <v>0.05</v>
      </c>
      <c r="O86" s="245">
        <f>+N86*0.98</f>
        <v>4.9000000000000002E-2</v>
      </c>
      <c r="P86" s="245">
        <f>+O86</f>
        <v>4.9000000000000002E-2</v>
      </c>
      <c r="Q86" s="245">
        <f>+P86*0.97</f>
        <v>4.7530000000000003E-2</v>
      </c>
      <c r="R86" s="245">
        <f>+Q86*0.98</f>
        <v>4.65794E-2</v>
      </c>
      <c r="S86" s="245">
        <f t="shared" si="159"/>
        <v>4.65794E-2</v>
      </c>
      <c r="T86" s="245">
        <f t="shared" si="159"/>
        <v>4.65794E-2</v>
      </c>
      <c r="U86" s="245">
        <f t="shared" si="157"/>
        <v>6.1449343903421716E-2</v>
      </c>
      <c r="V86" s="245">
        <f t="shared" ref="V86:AE86" si="160">+V76/V$64</f>
        <v>5.275700008061554E-2</v>
      </c>
      <c r="W86" s="245">
        <f t="shared" si="160"/>
        <v>5.6727957075930695E-2</v>
      </c>
      <c r="X86" s="245">
        <f t="shared" si="160"/>
        <v>5.6727957075930688E-2</v>
      </c>
      <c r="Y86" s="245">
        <f t="shared" si="160"/>
        <v>6.2071710970134586E-2</v>
      </c>
      <c r="Z86" s="245">
        <f t="shared" si="160"/>
        <v>6.2484302931037704E-2</v>
      </c>
      <c r="AA86" s="245">
        <f t="shared" si="160"/>
        <v>6.973031405830793E-2</v>
      </c>
      <c r="AB86" s="245">
        <f t="shared" si="160"/>
        <v>6.1726439187246566E-2</v>
      </c>
      <c r="AC86" s="245">
        <f t="shared" si="160"/>
        <v>7.4457523216081622E-2</v>
      </c>
      <c r="AD86" s="245">
        <f>+AD76/AD$64</f>
        <v>6.7889306604440328E-2</v>
      </c>
      <c r="AE86" s="245">
        <f t="shared" si="160"/>
        <v>7.4543401406457988E-2</v>
      </c>
      <c r="AF86" s="245">
        <f>+AF76/AF$64</f>
        <v>6.8070071114223057E-2</v>
      </c>
      <c r="AG86" s="242">
        <f t="shared" si="153"/>
        <v>8.2774764588111005E-2</v>
      </c>
      <c r="AH86" s="242">
        <f t="shared" si="153"/>
        <v>7.1996469582905454E-2</v>
      </c>
      <c r="AI86" s="242">
        <f t="shared" si="154"/>
        <v>8.7685252506941549E-2</v>
      </c>
      <c r="AJ86" s="242">
        <f t="shared" si="154"/>
        <v>7.5565188878912115E-2</v>
      </c>
      <c r="AK86" s="242">
        <f t="shared" si="155"/>
        <v>8.7023250148459241E-2</v>
      </c>
      <c r="AL86" s="242">
        <f t="shared" si="155"/>
        <v>8.4248021214339816E-2</v>
      </c>
      <c r="AM86" s="242">
        <f t="shared" si="156"/>
        <v>9.8310240977721786E-2</v>
      </c>
      <c r="AN86" s="242">
        <f t="shared" si="156"/>
        <v>7.8747012562648197E-2</v>
      </c>
    </row>
    <row r="87" spans="1:42">
      <c r="A87" s="560" t="s">
        <v>1140</v>
      </c>
      <c r="B87" s="563">
        <v>0.04</v>
      </c>
      <c r="C87" s="485">
        <v>0.04</v>
      </c>
      <c r="D87" s="485">
        <v>0.04</v>
      </c>
      <c r="E87" s="485">
        <v>0.04</v>
      </c>
      <c r="F87" s="485">
        <v>0.03</v>
      </c>
      <c r="G87" s="485">
        <v>0.04</v>
      </c>
      <c r="H87" s="485">
        <v>0.04</v>
      </c>
      <c r="I87" s="485">
        <v>0.04</v>
      </c>
      <c r="J87" s="485">
        <v>0.02</v>
      </c>
      <c r="K87" s="485">
        <v>0.02</v>
      </c>
      <c r="L87" s="485">
        <v>0.03</v>
      </c>
      <c r="M87" s="245">
        <v>0.04</v>
      </c>
      <c r="N87" s="245">
        <f>+M87</f>
        <v>0.04</v>
      </c>
      <c r="O87" s="245">
        <f>+N87</f>
        <v>0.04</v>
      </c>
      <c r="P87" s="245">
        <f>+O87</f>
        <v>0.04</v>
      </c>
      <c r="Q87" s="245">
        <f>+P87</f>
        <v>0.04</v>
      </c>
      <c r="R87" s="245">
        <f>+Q87</f>
        <v>0.04</v>
      </c>
      <c r="S87" s="245">
        <f t="shared" si="159"/>
        <v>0.04</v>
      </c>
      <c r="T87" s="245">
        <f t="shared" si="159"/>
        <v>0.04</v>
      </c>
      <c r="U87" s="245">
        <f t="shared" si="157"/>
        <v>4.9634720782106352E-2</v>
      </c>
      <c r="V87" s="245">
        <f t="shared" ref="V87:AE87" si="161">+V77/V$64</f>
        <v>4.3019463637802728E-2</v>
      </c>
      <c r="W87" s="245">
        <f t="shared" si="161"/>
        <v>4.6257487782583581E-2</v>
      </c>
      <c r="X87" s="245">
        <f t="shared" si="161"/>
        <v>4.6257487782583581E-2</v>
      </c>
      <c r="Y87" s="245">
        <f t="shared" si="161"/>
        <v>5.0614927098499837E-2</v>
      </c>
      <c r="Z87" s="245">
        <f t="shared" si="161"/>
        <v>5.095136557741637E-2</v>
      </c>
      <c r="AA87" s="245">
        <f t="shared" si="161"/>
        <v>5.6859956129047262E-2</v>
      </c>
      <c r="AB87" s="245">
        <f t="shared" si="161"/>
        <v>5.0333383286561825E-2</v>
      </c>
      <c r="AC87" s="245">
        <f t="shared" si="161"/>
        <v>6.0714648438321576E-2</v>
      </c>
      <c r="AD87" s="245">
        <f>+AD77/AD$64</f>
        <v>5.4816016756193152E-2</v>
      </c>
      <c r="AE87" s="245">
        <f t="shared" si="161"/>
        <v>5.9598661848059738E-2</v>
      </c>
      <c r="AF87" s="245">
        <f>+AF77/AF$64</f>
        <v>5.3889568904691446E-2</v>
      </c>
      <c r="AG87" s="242">
        <f t="shared" si="153"/>
        <v>6.4888489024485393E-2</v>
      </c>
      <c r="AH87" s="242">
        <f t="shared" si="153"/>
        <v>5.5885882079585787E-2</v>
      </c>
      <c r="AI87" s="242">
        <f t="shared" si="154"/>
        <v>6.7396705552694489E-2</v>
      </c>
      <c r="AJ87" s="242">
        <f t="shared" si="154"/>
        <v>5.7511551713603788E-2</v>
      </c>
      <c r="AK87" s="242">
        <f t="shared" si="155"/>
        <v>6.558277885372002E-2</v>
      </c>
      <c r="AL87" s="242">
        <f t="shared" si="155"/>
        <v>6.2868836980122633E-2</v>
      </c>
      <c r="AM87" s="242">
        <f t="shared" si="156"/>
        <v>7.2643319242562482E-2</v>
      </c>
      <c r="AN87" s="242">
        <f t="shared" si="156"/>
        <v>5.7617207817644185E-2</v>
      </c>
    </row>
    <row r="88" spans="1:42">
      <c r="A88" s="560" t="s">
        <v>1143</v>
      </c>
      <c r="B88" s="466">
        <f t="shared" ref="B88:K88" si="162">+B78/B9</f>
        <v>2.6266055045871491E-2</v>
      </c>
      <c r="C88" s="466">
        <f t="shared" si="162"/>
        <v>3.8872817955112202E-2</v>
      </c>
      <c r="D88" s="466">
        <f t="shared" si="162"/>
        <v>4.0087475149105344E-2</v>
      </c>
      <c r="E88" s="466">
        <f t="shared" si="162"/>
        <v>3.2268774703557261E-2</v>
      </c>
      <c r="F88" s="466">
        <f t="shared" si="162"/>
        <v>1.5657342657342588E-2</v>
      </c>
      <c r="G88" s="466">
        <f t="shared" si="162"/>
        <v>1.7000000000000001E-2</v>
      </c>
      <c r="H88" s="466">
        <f t="shared" si="162"/>
        <v>3.589369592088993E-2</v>
      </c>
      <c r="I88" s="466">
        <f t="shared" si="162"/>
        <v>2.8244019138756009E-2</v>
      </c>
      <c r="J88" s="466">
        <f t="shared" si="162"/>
        <v>0.12959183673469382</v>
      </c>
      <c r="K88" s="466">
        <f t="shared" si="162"/>
        <v>0.125</v>
      </c>
      <c r="L88" s="485">
        <v>0.12</v>
      </c>
      <c r="M88" s="485">
        <v>0.13</v>
      </c>
      <c r="N88" s="466">
        <f t="shared" ref="N88:AA88" si="163">+N78/N9</f>
        <v>0.13584700557030457</v>
      </c>
      <c r="O88" s="466">
        <f t="shared" si="163"/>
        <v>0.12379058382594005</v>
      </c>
      <c r="P88" s="466">
        <f t="shared" si="163"/>
        <v>0.13746248347438389</v>
      </c>
      <c r="Q88" s="466">
        <f t="shared" si="163"/>
        <v>0.1673075848379563</v>
      </c>
      <c r="R88" s="466">
        <f t="shared" si="163"/>
        <v>0.1614440012571868</v>
      </c>
      <c r="S88" s="466">
        <f t="shared" si="163"/>
        <v>0.1862589495544997</v>
      </c>
      <c r="T88" s="466">
        <f t="shared" si="163"/>
        <v>0.22807180063388963</v>
      </c>
      <c r="U88" s="466">
        <f t="shared" si="163"/>
        <v>0.2260205392437421</v>
      </c>
      <c r="V88" s="466">
        <f t="shared" si="163"/>
        <v>0.18997995451190647</v>
      </c>
      <c r="W88" s="466">
        <f t="shared" si="163"/>
        <v>0.19828089638985744</v>
      </c>
      <c r="X88" s="466">
        <f t="shared" si="163"/>
        <v>0.17357096294489122</v>
      </c>
      <c r="Y88" s="466">
        <f t="shared" si="163"/>
        <v>0.13281155002625925</v>
      </c>
      <c r="Z88" s="466">
        <f t="shared" si="163"/>
        <v>0.12981336485006975</v>
      </c>
      <c r="AA88" s="360">
        <f t="shared" si="163"/>
        <v>8.3086986377333694E-2</v>
      </c>
      <c r="AB88" s="360">
        <f t="shared" ref="AB88:AH88" si="164">+AB78/AB9</f>
        <v>7.3125891632864343E-2</v>
      </c>
      <c r="AC88" s="360">
        <f t="shared" si="164"/>
        <v>7.7649271347116411E-2</v>
      </c>
      <c r="AD88" s="360">
        <f>+AD78/AD9</f>
        <v>6.6956998293184175E-2</v>
      </c>
      <c r="AE88" s="360">
        <f t="shared" si="164"/>
        <v>6.3041348894539939E-2</v>
      </c>
      <c r="AF88" s="360">
        <f t="shared" si="164"/>
        <v>5.0674033080182992E-2</v>
      </c>
      <c r="AG88" s="360">
        <f t="shared" si="164"/>
        <v>4.8930592613940324E-2</v>
      </c>
      <c r="AH88" s="360">
        <f t="shared" si="164"/>
        <v>4.4646613270140224E-2</v>
      </c>
      <c r="AI88" s="360">
        <f t="shared" ref="AI88:AN88" si="165">+AI78/AI9</f>
        <v>4.5910826052181233E-2</v>
      </c>
      <c r="AJ88" s="360">
        <f t="shared" si="165"/>
        <v>4.253312357338631E-2</v>
      </c>
      <c r="AK88" s="360">
        <f t="shared" si="165"/>
        <v>4.3286100990372139E-2</v>
      </c>
      <c r="AL88" s="360">
        <f t="shared" si="165"/>
        <v>4.1749464121948847E-2</v>
      </c>
      <c r="AM88" s="360">
        <f t="shared" si="165"/>
        <v>4.2417210440069554E-2</v>
      </c>
      <c r="AN88" s="360">
        <f t="shared" si="165"/>
        <v>3.8935986515812232E-2</v>
      </c>
    </row>
    <row r="91" spans="1:42">
      <c r="A91" s="2320" t="s">
        <v>1626</v>
      </c>
      <c r="Y91" s="2044">
        <v>25</v>
      </c>
      <c r="Z91" s="2044"/>
      <c r="AA91" s="2044"/>
      <c r="AB91" s="533">
        <v>30.072701442536083</v>
      </c>
      <c r="AC91" s="1390"/>
      <c r="AD91" s="1390"/>
      <c r="AE91" s="3129">
        <f>AB91*1.15</f>
        <v>34.583606658916494</v>
      </c>
      <c r="AF91" s="1390"/>
      <c r="AG91" s="1390"/>
      <c r="AH91" s="3129">
        <f>AE91*1.15</f>
        <v>39.771147657753964</v>
      </c>
      <c r="AI91" s="1390"/>
      <c r="AJ91" s="1390"/>
      <c r="AK91" s="3129">
        <f>AH91*1.15</f>
        <v>45.736819806417053</v>
      </c>
      <c r="AL91" s="1390"/>
      <c r="AM91" s="1390"/>
      <c r="AN91" s="3129">
        <f>AK91*1.15</f>
        <v>52.597342777379609</v>
      </c>
    </row>
    <row r="92" spans="1:42">
      <c r="A92" s="2320" t="s">
        <v>1786</v>
      </c>
      <c r="AB92" s="3175">
        <v>5</v>
      </c>
      <c r="AC92" s="3175">
        <f>AB92/35*70</f>
        <v>10</v>
      </c>
      <c r="AD92" s="3175">
        <f>AB92*1.05^2</f>
        <v>5.5125000000000002</v>
      </c>
      <c r="AE92" s="3175">
        <f t="shared" ref="AE92:AL92" si="166">AC92*1.05^2</f>
        <v>11.025</v>
      </c>
      <c r="AF92" s="3175">
        <f t="shared" si="166"/>
        <v>6.0775312500000007</v>
      </c>
      <c r="AG92" s="3175">
        <f t="shared" si="166"/>
        <v>12.155062500000001</v>
      </c>
      <c r="AH92" s="3175">
        <f t="shared" si="166"/>
        <v>6.7004782031250008</v>
      </c>
      <c r="AI92" s="3175">
        <f t="shared" si="166"/>
        <v>13.400956406250002</v>
      </c>
      <c r="AJ92" s="3175">
        <f t="shared" si="166"/>
        <v>7.3872772189453135</v>
      </c>
      <c r="AK92" s="3175">
        <f t="shared" si="166"/>
        <v>14.774554437890627</v>
      </c>
      <c r="AL92" s="3175">
        <f t="shared" si="166"/>
        <v>8.1444731338872085</v>
      </c>
      <c r="AM92" s="3175">
        <f>AK92*1.05^2</f>
        <v>16.288946267774417</v>
      </c>
      <c r="AN92" s="3175">
        <f>AL92*1.05^2</f>
        <v>8.9792816301106484</v>
      </c>
    </row>
  </sheetData>
  <phoneticPr fontId="3" type="noConversion"/>
  <pageMargins left="0.75" right="0.75" top="1" bottom="1" header="0.5" footer="0.5"/>
  <pageSetup orientation="portrait" horizontalDpi="300" r:id="rId1"/>
  <headerFooter alignWithMargins="0"/>
  <ignoredErrors>
    <ignoredError sqref="X40:AC41 W74:Z74 W73:AA73 W79:AB80 W75:AA75 AE40:AK41 AE75:AN75 W76:Z76 W77:AA77 W78:Z78 AB74 AB76:AD78 AB75 AC75 AC74:AD74 AD73 AD75" formula="1"/>
  </ignoredErrors>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BT105"/>
  <sheetViews>
    <sheetView showGridLines="0" topLeftCell="A27" zoomScaleNormal="100" workbookViewId="0">
      <pane xSplit="1" ySplit="4" topLeftCell="Y31" activePane="bottomRight" state="frozen"/>
      <selection activeCell="S18" sqref="S18"/>
      <selection pane="topRight" activeCell="S18" sqref="S18"/>
      <selection pane="bottomLeft" activeCell="S18" sqref="S18"/>
      <selection pane="bottomRight" activeCell="AP67" sqref="AP67"/>
    </sheetView>
  </sheetViews>
  <sheetFormatPr defaultRowHeight="12.75" outlineLevelRow="1" outlineLevelCol="1"/>
  <cols>
    <col min="1" max="1" width="34.28515625" customWidth="1"/>
    <col min="2" max="2" width="0" hidden="1" customWidth="1"/>
    <col min="3" max="3" width="6.140625" hidden="1" customWidth="1"/>
    <col min="4" max="4" width="5.42578125" hidden="1" customWidth="1"/>
    <col min="5" max="5" width="4" hidden="1" customWidth="1"/>
    <col min="6" max="6" width="9.7109375" hidden="1" customWidth="1" outlineLevel="1"/>
    <col min="7" max="7" width="9.42578125" hidden="1" customWidth="1" outlineLevel="1"/>
    <col min="8" max="8" width="9.28515625" hidden="1" customWidth="1" outlineLevel="1"/>
    <col min="9" max="18" width="9.140625" hidden="1" customWidth="1" outlineLevel="1"/>
    <col min="19" max="19" width="9.140625" hidden="1" customWidth="1" outlineLevel="1" collapsed="1"/>
    <col min="20" max="20" width="9.140625" hidden="1" customWidth="1" outlineLevel="1"/>
    <col min="21" max="21" width="9.140625" hidden="1" customWidth="1" outlineLevel="1" collapsed="1"/>
    <col min="22" max="24" width="9.140625" hidden="1" customWidth="1" outlineLevel="1"/>
    <col min="25" max="25" width="9.140625" collapsed="1"/>
    <col min="47" max="50" width="9.140625" hidden="1" customWidth="1" outlineLevel="1"/>
    <col min="51" max="51" width="3.140625" hidden="1" customWidth="1" outlineLevel="1"/>
    <col min="52" max="52" width="7.28515625" hidden="1" customWidth="1" outlineLevel="1"/>
    <col min="53" max="56" width="9.140625" hidden="1" customWidth="1" outlineLevel="1"/>
    <col min="57" max="57" width="10.42578125" hidden="1" customWidth="1" outlineLevel="1"/>
    <col min="58" max="60" width="9.140625" hidden="1" customWidth="1" outlineLevel="1"/>
    <col min="61" max="61" width="2.85546875" hidden="1" customWidth="1" outlineLevel="1"/>
    <col min="62" max="62" width="9.140625" hidden="1" customWidth="1" outlineLevel="1"/>
    <col min="63" max="63" width="8.42578125" hidden="1" customWidth="1" outlineLevel="1"/>
    <col min="64" max="64" width="8.85546875" hidden="1" customWidth="1" outlineLevel="1"/>
    <col min="65" max="65" width="8.5703125" hidden="1" customWidth="1" outlineLevel="1"/>
    <col min="66" max="66" width="2.7109375" hidden="1" customWidth="1" outlineLevel="1"/>
    <col min="67" max="71" width="9.140625" hidden="1" customWidth="1" outlineLevel="1"/>
    <col min="72" max="72" width="9.140625" customWidth="1" collapsed="1"/>
  </cols>
  <sheetData>
    <row r="1" spans="1:71" ht="15">
      <c r="A1" s="566"/>
      <c r="B1" s="6"/>
      <c r="C1" s="6"/>
      <c r="D1" s="6"/>
      <c r="E1" s="6"/>
      <c r="F1" s="6"/>
      <c r="G1" s="6"/>
      <c r="H1" s="6"/>
      <c r="I1" s="6"/>
      <c r="J1" s="6"/>
      <c r="K1" s="6"/>
      <c r="L1" s="6"/>
      <c r="M1" s="6"/>
      <c r="N1" s="6"/>
      <c r="O1" s="6"/>
      <c r="P1" s="6"/>
      <c r="Q1" s="6"/>
      <c r="R1" s="6"/>
      <c r="S1" s="6"/>
      <c r="T1" s="6"/>
      <c r="U1" s="6"/>
      <c r="V1" s="6"/>
      <c r="W1" s="6"/>
      <c r="X1" s="11"/>
      <c r="Y1" s="11"/>
      <c r="Z1" s="11"/>
      <c r="AA1" s="11"/>
      <c r="AB1" s="11"/>
      <c r="AC1" s="11"/>
      <c r="AD1" s="11"/>
      <c r="AE1" s="11"/>
      <c r="AF1" s="11"/>
      <c r="AG1" s="11"/>
      <c r="AH1" s="11"/>
      <c r="AI1" s="11"/>
      <c r="AJ1" s="11"/>
      <c r="AK1" s="11"/>
      <c r="AL1" s="69"/>
      <c r="AM1" s="69"/>
      <c r="AN1" s="69"/>
      <c r="AO1" s="69"/>
      <c r="AP1" s="11"/>
      <c r="AQ1" s="11"/>
      <c r="AR1" s="11"/>
      <c r="AS1" s="11"/>
      <c r="AT1" s="11"/>
      <c r="AU1" s="6"/>
      <c r="AV1" s="6"/>
      <c r="AW1" s="6"/>
      <c r="AX1" s="6"/>
      <c r="AY1" s="6"/>
      <c r="AZ1" s="6"/>
      <c r="BA1" s="6"/>
      <c r="BB1" s="6"/>
      <c r="BC1" s="6"/>
      <c r="BD1" s="6"/>
      <c r="BE1" s="6"/>
      <c r="BF1" s="6"/>
      <c r="BG1" s="6"/>
      <c r="BH1" s="6"/>
      <c r="BI1" s="6"/>
      <c r="BJ1" s="6"/>
      <c r="BK1" s="6"/>
      <c r="BL1" s="6"/>
      <c r="BM1" s="6"/>
      <c r="BN1" s="6"/>
      <c r="BO1" s="6"/>
      <c r="BP1" s="6"/>
      <c r="BQ1" s="6"/>
      <c r="BR1" s="6"/>
      <c r="BS1" s="6"/>
    </row>
    <row r="2" spans="1:71" ht="15">
      <c r="A2" s="567"/>
      <c r="B2" s="303"/>
      <c r="C2" s="303"/>
      <c r="D2" s="48"/>
      <c r="E2" s="48"/>
      <c r="F2" s="48"/>
      <c r="G2" s="48"/>
      <c r="H2" s="48"/>
      <c r="I2" s="48"/>
      <c r="J2" s="48"/>
      <c r="K2" s="48"/>
      <c r="L2" s="48"/>
      <c r="M2" s="48"/>
      <c r="N2" s="48"/>
      <c r="O2" s="48"/>
      <c r="P2" s="6"/>
      <c r="Q2" s="6"/>
      <c r="R2" s="6"/>
      <c r="S2" s="6"/>
      <c r="T2" s="6"/>
      <c r="U2" s="6"/>
      <c r="V2" s="6"/>
      <c r="W2" s="6"/>
      <c r="X2" s="11"/>
      <c r="Y2" s="11"/>
      <c r="Z2" s="11"/>
      <c r="AA2" s="11"/>
      <c r="AB2" s="11"/>
      <c r="AC2" s="11"/>
      <c r="AD2" s="11"/>
      <c r="AE2" s="11"/>
      <c r="AF2" s="11"/>
      <c r="AG2" s="11"/>
      <c r="AH2" s="11"/>
      <c r="AI2" s="11"/>
      <c r="AJ2" s="11"/>
      <c r="AK2" s="11"/>
      <c r="AL2" s="69"/>
      <c r="AM2" s="69"/>
      <c r="AN2" s="69"/>
      <c r="AO2" s="69"/>
      <c r="AP2" s="11"/>
      <c r="AQ2" s="11"/>
      <c r="AR2" s="11"/>
      <c r="AS2" s="11"/>
      <c r="AT2" s="11"/>
      <c r="AU2" s="6"/>
      <c r="AV2" s="6"/>
      <c r="AW2" s="6"/>
      <c r="AX2" s="6"/>
      <c r="AY2" s="6"/>
      <c r="AZ2" s="6"/>
      <c r="BA2" s="6"/>
      <c r="BB2" s="6"/>
      <c r="BC2" s="6"/>
      <c r="BD2" s="6"/>
      <c r="BE2" s="6"/>
      <c r="BF2" s="6"/>
      <c r="BG2" s="6"/>
      <c r="BH2" s="6"/>
      <c r="BI2" s="6"/>
      <c r="BJ2" s="6"/>
      <c r="BK2" s="6"/>
      <c r="BL2" s="6"/>
      <c r="BM2" s="6"/>
      <c r="BN2" s="6"/>
      <c r="BO2" s="6"/>
      <c r="BP2" s="6"/>
      <c r="BQ2" s="6"/>
      <c r="BR2" s="6"/>
      <c r="BS2" s="6"/>
    </row>
    <row r="3" spans="1:71">
      <c r="A3" s="543" t="s">
        <v>741</v>
      </c>
      <c r="B3" s="48"/>
      <c r="C3" s="48"/>
      <c r="D3" s="48"/>
      <c r="E3" s="48"/>
      <c r="F3" s="48"/>
      <c r="G3" s="48"/>
      <c r="H3" s="48"/>
      <c r="I3" s="48"/>
      <c r="J3" s="48"/>
      <c r="K3" s="48"/>
      <c r="L3" s="48"/>
      <c r="M3" s="48"/>
      <c r="N3" s="48"/>
      <c r="O3" s="48"/>
      <c r="P3" s="6"/>
      <c r="Q3" s="6"/>
      <c r="R3" s="6"/>
      <c r="S3" s="6"/>
      <c r="T3" s="6"/>
      <c r="U3" s="6"/>
      <c r="V3" s="6"/>
      <c r="W3" s="6"/>
      <c r="X3" s="11"/>
      <c r="Y3" s="11"/>
      <c r="Z3" s="11"/>
      <c r="AA3" s="11"/>
      <c r="AB3" s="11"/>
      <c r="AC3" s="11"/>
      <c r="AD3" s="11"/>
      <c r="AE3" s="11"/>
      <c r="AF3" s="11"/>
      <c r="AG3" s="11"/>
      <c r="AH3" s="11"/>
      <c r="AI3" s="11"/>
      <c r="AJ3" s="11"/>
      <c r="AK3" s="11"/>
      <c r="AL3" s="69"/>
      <c r="AM3" s="69"/>
      <c r="AN3" s="69"/>
      <c r="AO3" s="69"/>
      <c r="AP3" s="11"/>
      <c r="AQ3" s="11"/>
      <c r="AR3" s="11"/>
      <c r="AS3" s="11"/>
      <c r="AT3" s="11"/>
      <c r="AU3" s="6"/>
      <c r="AV3" s="6"/>
      <c r="AW3" s="6"/>
      <c r="AX3" s="6"/>
      <c r="AY3" s="6"/>
      <c r="AZ3" s="6"/>
      <c r="BA3" s="6"/>
      <c r="BB3" s="6"/>
      <c r="BC3" s="6"/>
      <c r="BD3" s="6"/>
      <c r="BE3" s="6"/>
      <c r="BF3" s="6"/>
      <c r="BG3" s="6"/>
      <c r="BH3" s="6"/>
      <c r="BI3" s="6"/>
      <c r="BJ3" s="6"/>
      <c r="BK3" s="6"/>
      <c r="BL3" s="6"/>
      <c r="BM3" s="6"/>
      <c r="BN3" s="6"/>
      <c r="BO3" s="6"/>
      <c r="BP3" s="6"/>
      <c r="BQ3" s="6"/>
      <c r="BR3" s="6"/>
      <c r="BS3" s="6"/>
    </row>
    <row r="4" spans="1:71">
      <c r="A4" s="544"/>
      <c r="B4" s="568"/>
      <c r="C4" s="568"/>
      <c r="D4" s="568"/>
      <c r="E4" s="568"/>
      <c r="F4" s="568"/>
      <c r="G4" s="568"/>
      <c r="H4" s="568"/>
      <c r="I4" s="568"/>
      <c r="J4" s="568"/>
      <c r="K4" s="568"/>
      <c r="L4" s="568"/>
      <c r="M4" s="568"/>
      <c r="N4" s="568"/>
      <c r="O4" s="568"/>
      <c r="P4" s="568"/>
      <c r="Q4" s="568"/>
      <c r="R4" s="568"/>
      <c r="S4" s="568"/>
      <c r="T4" s="87"/>
      <c r="U4" s="87"/>
      <c r="V4" s="87"/>
      <c r="W4" s="87"/>
      <c r="X4" s="350"/>
      <c r="Y4" s="350"/>
      <c r="Z4" s="350"/>
      <c r="AA4" s="350"/>
      <c r="AB4" s="350"/>
      <c r="AC4" s="350"/>
      <c r="AD4" s="350"/>
      <c r="AE4" s="350"/>
      <c r="AF4" s="350"/>
      <c r="AG4" s="350"/>
      <c r="AH4" s="350"/>
      <c r="AI4" s="350"/>
      <c r="AJ4" s="350"/>
      <c r="AK4" s="350"/>
      <c r="AL4" s="350"/>
      <c r="AM4" s="350"/>
      <c r="AN4" s="350"/>
      <c r="AO4" s="350"/>
      <c r="AP4" s="350"/>
      <c r="AQ4" s="350"/>
      <c r="AR4" s="350"/>
      <c r="AS4" s="350"/>
      <c r="AT4" s="350"/>
      <c r="AU4" s="6"/>
      <c r="AV4" s="6"/>
      <c r="AW4" s="6"/>
      <c r="AX4" s="6"/>
      <c r="AY4" s="6"/>
      <c r="AZ4" s="6"/>
      <c r="BA4" s="6"/>
      <c r="BB4" s="6"/>
      <c r="BC4" s="6"/>
      <c r="BD4" s="6"/>
      <c r="BE4" s="6"/>
      <c r="BF4" s="6"/>
      <c r="BG4" s="6"/>
      <c r="BH4" s="6"/>
      <c r="BI4" s="6"/>
      <c r="BJ4" s="6"/>
      <c r="BK4" s="6"/>
      <c r="BL4" s="6"/>
      <c r="BM4" s="6"/>
      <c r="BN4" s="6"/>
      <c r="BO4" s="6"/>
      <c r="BP4" s="6"/>
      <c r="BQ4" s="6"/>
      <c r="BR4" s="6"/>
      <c r="BS4" s="6"/>
    </row>
    <row r="5" spans="1:71">
      <c r="A5" s="545"/>
      <c r="B5" s="569" t="s">
        <v>811</v>
      </c>
      <c r="C5" s="570" t="s">
        <v>1188</v>
      </c>
      <c r="D5" s="570" t="s">
        <v>743</v>
      </c>
      <c r="E5" s="570"/>
      <c r="F5" s="569" t="s">
        <v>1189</v>
      </c>
      <c r="G5" s="569">
        <v>1997</v>
      </c>
      <c r="H5" s="569"/>
      <c r="I5" s="569"/>
      <c r="J5" s="569"/>
      <c r="K5" s="570"/>
      <c r="L5" s="570"/>
      <c r="M5" s="570"/>
      <c r="N5" s="570"/>
      <c r="O5" s="570"/>
      <c r="P5" s="570"/>
      <c r="Q5" s="570"/>
      <c r="R5" s="570"/>
      <c r="S5" s="570"/>
      <c r="T5" s="571"/>
      <c r="U5" s="571"/>
      <c r="V5" s="571"/>
      <c r="W5" s="571"/>
      <c r="X5" s="783"/>
      <c r="Y5" s="783"/>
      <c r="Z5" s="783"/>
      <c r="AA5" s="783"/>
      <c r="AB5" s="783"/>
      <c r="AC5" s="783"/>
      <c r="AD5" s="783"/>
      <c r="AE5" s="783"/>
      <c r="AF5" s="783"/>
      <c r="AG5" s="783"/>
      <c r="AH5" s="783"/>
      <c r="AI5" s="783"/>
      <c r="AJ5" s="783"/>
      <c r="AK5" s="783"/>
      <c r="AL5" s="783"/>
      <c r="AM5" s="783"/>
      <c r="AN5" s="783"/>
      <c r="AO5" s="783"/>
      <c r="AP5" s="783"/>
      <c r="AQ5" s="783"/>
      <c r="AR5" s="783"/>
      <c r="AS5" s="783"/>
      <c r="AT5" s="783"/>
      <c r="AU5" s="6"/>
      <c r="AV5" s="6"/>
      <c r="AW5" s="6"/>
      <c r="AX5" s="6"/>
      <c r="AY5" s="6"/>
      <c r="AZ5" s="6"/>
      <c r="BA5" s="6"/>
      <c r="BB5" s="6"/>
      <c r="BC5" s="6"/>
      <c r="BD5" s="6"/>
      <c r="BE5" s="6"/>
      <c r="BF5" s="6"/>
      <c r="BG5" s="6"/>
      <c r="BH5" s="6"/>
      <c r="BI5" s="6"/>
      <c r="BJ5" s="6"/>
      <c r="BK5" s="6"/>
      <c r="BL5" s="6"/>
      <c r="BM5" s="6"/>
      <c r="BN5" s="6"/>
      <c r="BO5" s="6"/>
      <c r="BP5" s="6"/>
      <c r="BQ5" s="6"/>
      <c r="BR5" s="6"/>
      <c r="BS5" s="6"/>
    </row>
    <row r="6" spans="1:71">
      <c r="A6" s="546"/>
      <c r="B6" s="572"/>
      <c r="C6" s="572"/>
      <c r="D6" s="572"/>
      <c r="E6" s="572"/>
      <c r="F6" s="572"/>
      <c r="G6" s="572"/>
      <c r="H6" s="572"/>
      <c r="I6" s="572"/>
      <c r="J6" s="572"/>
      <c r="K6" s="572"/>
      <c r="L6" s="572"/>
      <c r="M6" s="572"/>
      <c r="N6" s="572"/>
      <c r="O6" s="572"/>
      <c r="P6" s="6"/>
      <c r="Q6" s="6"/>
      <c r="R6" s="6"/>
      <c r="S6" s="6"/>
      <c r="T6" s="6"/>
      <c r="U6" s="6"/>
      <c r="V6" s="6"/>
      <c r="W6" s="6"/>
      <c r="X6" s="11"/>
      <c r="Y6" s="11"/>
      <c r="Z6" s="11"/>
      <c r="AA6" s="11"/>
      <c r="AB6" s="11"/>
      <c r="AC6" s="11"/>
      <c r="AD6" s="11"/>
      <c r="AE6" s="11"/>
      <c r="AF6" s="11"/>
      <c r="AG6" s="11"/>
      <c r="AH6" s="11"/>
      <c r="AI6" s="11"/>
      <c r="AJ6" s="11"/>
      <c r="AK6" s="11"/>
      <c r="AL6" s="69"/>
      <c r="AM6" s="69"/>
      <c r="AN6" s="69"/>
      <c r="AO6" s="69"/>
      <c r="AP6" s="11"/>
      <c r="AQ6" s="11"/>
      <c r="AR6" s="11"/>
      <c r="AS6" s="11"/>
      <c r="AT6" s="11"/>
      <c r="AU6" s="6"/>
      <c r="AV6" s="6"/>
      <c r="AW6" s="6"/>
      <c r="AX6" s="6"/>
      <c r="AY6" s="6"/>
      <c r="AZ6" s="6"/>
      <c r="BA6" s="6"/>
      <c r="BB6" s="6"/>
      <c r="BC6" s="6"/>
      <c r="BD6" s="6"/>
      <c r="BE6" s="6"/>
      <c r="BF6" s="6"/>
      <c r="BG6" s="6"/>
      <c r="BH6" s="6"/>
      <c r="BI6" s="6"/>
      <c r="BJ6" s="6"/>
      <c r="BK6" s="6"/>
      <c r="BL6" s="6"/>
      <c r="BM6" s="6"/>
      <c r="BN6" s="6"/>
      <c r="BO6" s="6"/>
      <c r="BP6" s="6"/>
      <c r="BQ6" s="6"/>
      <c r="BR6" s="6"/>
      <c r="BS6" s="6"/>
    </row>
    <row r="7" spans="1:71">
      <c r="A7" s="546"/>
      <c r="B7" s="572"/>
      <c r="C7" s="572"/>
      <c r="D7" s="572"/>
      <c r="E7" s="572"/>
      <c r="F7" s="572"/>
      <c r="G7" s="572"/>
      <c r="H7" s="572"/>
      <c r="I7" s="572"/>
      <c r="J7" s="572"/>
      <c r="K7" s="572"/>
      <c r="L7" s="572"/>
      <c r="M7" s="572"/>
      <c r="N7" s="572"/>
      <c r="O7" s="572"/>
      <c r="P7" s="6"/>
      <c r="Q7" s="6"/>
      <c r="R7" s="6"/>
      <c r="S7" s="6"/>
      <c r="T7" s="6"/>
      <c r="U7" s="6"/>
      <c r="V7" s="6"/>
      <c r="W7" s="6"/>
      <c r="X7" s="11"/>
      <c r="Y7" s="11"/>
      <c r="Z7" s="11"/>
      <c r="AA7" s="11"/>
      <c r="AB7" s="11"/>
      <c r="AC7" s="11"/>
      <c r="AD7" s="11"/>
      <c r="AE7" s="11"/>
      <c r="AF7" s="11"/>
      <c r="AG7" s="11"/>
      <c r="AH7" s="11"/>
      <c r="AI7" s="11"/>
      <c r="AJ7" s="11"/>
      <c r="AK7" s="11"/>
      <c r="AL7" s="69"/>
      <c r="AM7" s="69"/>
      <c r="AN7" s="69"/>
      <c r="AO7" s="69"/>
      <c r="AP7" s="11"/>
      <c r="AQ7" s="11"/>
      <c r="AR7" s="11"/>
      <c r="AS7" s="11"/>
      <c r="AT7" s="11"/>
      <c r="AU7" s="6"/>
      <c r="AV7" s="6"/>
      <c r="AW7" s="6"/>
      <c r="AX7" s="6"/>
      <c r="AY7" s="6"/>
      <c r="AZ7" s="6"/>
      <c r="BA7" s="6"/>
      <c r="BB7" s="6"/>
      <c r="BC7" s="6"/>
      <c r="BD7" s="6"/>
      <c r="BE7" s="6"/>
      <c r="BF7" s="6"/>
      <c r="BG7" s="6"/>
      <c r="BH7" s="6"/>
      <c r="BI7" s="6"/>
      <c r="BJ7" s="6"/>
      <c r="BK7" s="6"/>
      <c r="BL7" s="6"/>
      <c r="BM7" s="6"/>
      <c r="BN7" s="6"/>
      <c r="BO7" s="6"/>
      <c r="BP7" s="6"/>
      <c r="BQ7" s="6"/>
      <c r="BR7" s="6"/>
      <c r="BS7" s="6"/>
    </row>
    <row r="8" spans="1:71">
      <c r="A8" s="36" t="s">
        <v>675</v>
      </c>
      <c r="B8" s="6"/>
      <c r="C8" s="48"/>
      <c r="D8" s="6"/>
      <c r="E8" s="6"/>
      <c r="F8" s="6"/>
      <c r="G8" s="6"/>
      <c r="H8" s="87"/>
      <c r="I8" s="87"/>
      <c r="J8" s="87"/>
      <c r="K8" s="87"/>
      <c r="L8" s="87"/>
      <c r="M8" s="87"/>
      <c r="N8" s="87"/>
      <c r="O8" s="87"/>
      <c r="P8" s="6"/>
      <c r="Q8" s="6"/>
      <c r="R8" s="6"/>
      <c r="S8" s="6"/>
      <c r="T8" s="6"/>
      <c r="U8" s="6"/>
      <c r="V8" s="6"/>
      <c r="W8" s="6"/>
      <c r="X8" s="11"/>
      <c r="Y8" s="11"/>
      <c r="Z8" s="11"/>
      <c r="AA8" s="11"/>
      <c r="AB8" s="11"/>
      <c r="AC8" s="11"/>
      <c r="AD8" s="11"/>
      <c r="AE8" s="11"/>
      <c r="AF8" s="11"/>
      <c r="AG8" s="11"/>
      <c r="AH8" s="11"/>
      <c r="AI8" s="11"/>
      <c r="AJ8" s="11"/>
      <c r="AK8" s="11"/>
      <c r="AL8" s="69"/>
      <c r="AM8" s="69"/>
      <c r="AN8" s="69"/>
      <c r="AO8" s="69"/>
      <c r="AP8" s="11"/>
      <c r="AQ8" s="11"/>
      <c r="AR8" s="11"/>
      <c r="AS8" s="11"/>
      <c r="AT8" s="11"/>
      <c r="AU8" s="6"/>
      <c r="AV8" s="6"/>
      <c r="AW8" s="6"/>
      <c r="AX8" s="6"/>
      <c r="AY8" s="6"/>
      <c r="AZ8" s="6"/>
      <c r="BA8" s="6"/>
      <c r="BB8" s="6"/>
      <c r="BC8" s="6"/>
      <c r="BD8" s="6"/>
      <c r="BE8" s="6"/>
      <c r="BF8" s="6"/>
      <c r="BG8" s="6"/>
      <c r="BH8" s="6"/>
      <c r="BI8" s="6"/>
      <c r="BJ8" s="6"/>
      <c r="BK8" s="6"/>
      <c r="BL8" s="6"/>
      <c r="BM8" s="6"/>
      <c r="BN8" s="6"/>
      <c r="BO8" s="6"/>
      <c r="BP8" s="6"/>
      <c r="BQ8" s="6"/>
      <c r="BR8" s="6"/>
      <c r="BS8" s="6"/>
    </row>
    <row r="9" spans="1:71">
      <c r="A9" s="556" t="s">
        <v>1190</v>
      </c>
      <c r="B9" s="573">
        <f>B11-B10</f>
        <v>342.3</v>
      </c>
      <c r="C9" s="574">
        <v>382.3</v>
      </c>
      <c r="D9" s="574">
        <v>390.3</v>
      </c>
      <c r="E9" s="574"/>
      <c r="F9" s="575">
        <v>390.3</v>
      </c>
      <c r="G9" s="575">
        <v>422.7</v>
      </c>
      <c r="H9" s="553"/>
      <c r="I9" s="553"/>
      <c r="J9" s="553"/>
      <c r="K9" s="553"/>
      <c r="L9" s="553"/>
      <c r="M9" s="553"/>
      <c r="N9" s="553"/>
      <c r="O9" s="553"/>
      <c r="P9" s="553"/>
      <c r="Q9" s="553"/>
      <c r="R9" s="553"/>
      <c r="S9" s="553"/>
      <c r="T9" s="553"/>
      <c r="U9" s="553"/>
      <c r="V9" s="553"/>
      <c r="W9" s="553"/>
      <c r="X9" s="561"/>
      <c r="Y9" s="561"/>
      <c r="Z9" s="561"/>
      <c r="AA9" s="561"/>
      <c r="AB9" s="561"/>
      <c r="AC9" s="561"/>
      <c r="AD9" s="561"/>
      <c r="AE9" s="561"/>
      <c r="AF9" s="561"/>
      <c r="AG9" s="561"/>
      <c r="AH9" s="561"/>
      <c r="AI9" s="561"/>
      <c r="AJ9" s="561"/>
      <c r="AK9" s="561"/>
      <c r="AL9" s="561"/>
      <c r="AM9" s="561"/>
      <c r="AN9" s="561"/>
      <c r="AO9" s="561"/>
      <c r="AP9" s="561"/>
      <c r="AQ9" s="561"/>
      <c r="AR9" s="561"/>
      <c r="AS9" s="561"/>
      <c r="AT9" s="561"/>
      <c r="AU9" s="6"/>
      <c r="AV9" s="6"/>
      <c r="AW9" s="6"/>
      <c r="AX9" s="6"/>
      <c r="AY9" s="6"/>
      <c r="AZ9" s="6"/>
      <c r="BA9" s="6"/>
      <c r="BB9" s="6"/>
      <c r="BC9" s="6"/>
      <c r="BD9" s="6"/>
      <c r="BE9" s="6"/>
      <c r="BF9" s="6"/>
      <c r="BG9" s="6"/>
      <c r="BH9" s="6"/>
      <c r="BI9" s="6"/>
      <c r="BJ9" s="6"/>
      <c r="BK9" s="6"/>
      <c r="BL9" s="6"/>
      <c r="BM9" s="6"/>
      <c r="BN9" s="6"/>
      <c r="BO9" s="6"/>
      <c r="BP9" s="6"/>
      <c r="BQ9" s="6"/>
      <c r="BR9" s="6"/>
      <c r="BS9" s="6"/>
    </row>
    <row r="10" spans="1:71">
      <c r="A10" s="576" t="s">
        <v>1191</v>
      </c>
      <c r="B10" s="577">
        <v>102.3</v>
      </c>
      <c r="C10" s="577">
        <f>488.9-382.3</f>
        <v>106.59999999999997</v>
      </c>
      <c r="D10" s="577">
        <v>113.5</v>
      </c>
      <c r="E10" s="577"/>
      <c r="F10" s="578">
        <v>0</v>
      </c>
      <c r="G10" s="578">
        <v>0</v>
      </c>
      <c r="H10" s="578"/>
      <c r="I10" s="578"/>
      <c r="J10" s="578"/>
      <c r="K10" s="578"/>
      <c r="L10" s="578"/>
      <c r="M10" s="578"/>
      <c r="N10" s="578"/>
      <c r="O10" s="578"/>
      <c r="P10" s="578"/>
      <c r="Q10" s="578"/>
      <c r="R10" s="578"/>
      <c r="S10" s="578"/>
      <c r="T10" s="578"/>
      <c r="U10" s="578"/>
      <c r="V10" s="578"/>
      <c r="W10" s="578"/>
      <c r="X10" s="784"/>
      <c r="Y10" s="784"/>
      <c r="Z10" s="784"/>
      <c r="AA10" s="784"/>
      <c r="AB10" s="784"/>
      <c r="AC10" s="784"/>
      <c r="AD10" s="784"/>
      <c r="AE10" s="784"/>
      <c r="AF10" s="784"/>
      <c r="AG10" s="784"/>
      <c r="AH10" s="784"/>
      <c r="AI10" s="784"/>
      <c r="AJ10" s="784"/>
      <c r="AK10" s="784"/>
      <c r="AL10" s="1225"/>
      <c r="AM10" s="1225"/>
      <c r="AN10" s="1225"/>
      <c r="AO10" s="1225"/>
      <c r="AP10" s="784"/>
      <c r="AQ10" s="784"/>
      <c r="AR10" s="784"/>
      <c r="AS10" s="784"/>
      <c r="AT10" s="784"/>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row>
    <row r="11" spans="1:71">
      <c r="A11" s="556" t="s">
        <v>1192</v>
      </c>
      <c r="B11" s="574">
        <v>444.6</v>
      </c>
      <c r="C11" s="574">
        <v>488.9</v>
      </c>
      <c r="D11" s="574">
        <f>390.3+113.5</f>
        <v>503.8</v>
      </c>
      <c r="E11" s="574"/>
      <c r="F11" s="575">
        <v>390.3</v>
      </c>
      <c r="G11" s="575">
        <v>422.7</v>
      </c>
      <c r="H11" s="579"/>
      <c r="I11" s="579"/>
      <c r="J11" s="579"/>
      <c r="K11" s="579"/>
      <c r="L11" s="579"/>
      <c r="M11" s="579"/>
      <c r="N11" s="579"/>
      <c r="O11" s="579"/>
      <c r="P11" s="579"/>
      <c r="Q11" s="579"/>
      <c r="R11" s="579"/>
      <c r="S11" s="579"/>
      <c r="T11" s="579"/>
      <c r="U11" s="579"/>
      <c r="V11" s="579"/>
      <c r="W11" s="579"/>
      <c r="X11" s="785"/>
      <c r="Y11" s="785"/>
      <c r="Z11" s="785"/>
      <c r="AA11" s="785"/>
      <c r="AB11" s="785"/>
      <c r="AC11" s="785"/>
      <c r="AD11" s="785"/>
      <c r="AE11" s="785"/>
      <c r="AF11" s="785"/>
      <c r="AG11" s="785"/>
      <c r="AH11" s="785"/>
      <c r="AI11" s="785"/>
      <c r="AJ11" s="785"/>
      <c r="AK11" s="785"/>
      <c r="AL11" s="1226"/>
      <c r="AM11" s="1226"/>
      <c r="AN11" s="1226"/>
      <c r="AO11" s="1226"/>
      <c r="AP11" s="785"/>
      <c r="AQ11" s="785"/>
      <c r="AR11" s="785"/>
      <c r="AS11" s="785"/>
      <c r="AT11" s="785"/>
      <c r="AU11" s="6"/>
      <c r="AV11" s="6"/>
      <c r="AW11" s="6"/>
      <c r="AX11" s="6"/>
      <c r="AY11" s="6"/>
      <c r="AZ11" s="6"/>
      <c r="BA11" s="6"/>
      <c r="BB11" s="6"/>
      <c r="BC11" s="6"/>
      <c r="BD11" s="6"/>
      <c r="BE11" s="6"/>
      <c r="BF11" s="6"/>
      <c r="BG11" s="6"/>
      <c r="BH11" s="6"/>
      <c r="BI11" s="6"/>
      <c r="BJ11" s="6"/>
      <c r="BK11" s="6"/>
      <c r="BL11" s="6"/>
      <c r="BM11" s="6"/>
      <c r="BN11" s="6"/>
      <c r="BO11" s="6"/>
      <c r="BP11" s="6"/>
      <c r="BQ11" s="6"/>
      <c r="BR11" s="6"/>
      <c r="BS11" s="6"/>
    </row>
    <row r="12" spans="1:71">
      <c r="A12" s="560" t="s">
        <v>746</v>
      </c>
      <c r="B12" s="48"/>
      <c r="C12" s="38">
        <f>C11/B11-1</f>
        <v>9.9640125955915426E-2</v>
      </c>
      <c r="D12" s="38">
        <f>D11/C11-1</f>
        <v>3.0476580077725579E-2</v>
      </c>
      <c r="E12" s="38"/>
      <c r="F12" s="38"/>
      <c r="G12" s="38">
        <f>G11/F11-1</f>
        <v>8.301306687163712E-2</v>
      </c>
      <c r="H12" s="38"/>
      <c r="I12" s="38"/>
      <c r="J12" s="38"/>
      <c r="K12" s="38"/>
      <c r="L12" s="38"/>
      <c r="M12" s="38"/>
      <c r="N12" s="38"/>
      <c r="O12" s="38"/>
      <c r="P12" s="38"/>
      <c r="Q12" s="38"/>
      <c r="R12" s="38"/>
      <c r="S12" s="38"/>
      <c r="T12" s="38"/>
      <c r="U12" s="38"/>
      <c r="V12" s="38"/>
      <c r="W12" s="38"/>
      <c r="X12" s="39"/>
      <c r="Y12" s="39"/>
      <c r="Z12" s="39"/>
      <c r="AA12" s="39"/>
      <c r="AB12" s="39"/>
      <c r="AC12" s="39"/>
      <c r="AD12" s="39"/>
      <c r="AE12" s="39"/>
      <c r="AF12" s="39"/>
      <c r="AG12" s="39"/>
      <c r="AH12" s="39"/>
      <c r="AI12" s="39"/>
      <c r="AJ12" s="39"/>
      <c r="AK12" s="39"/>
      <c r="AL12" s="359"/>
      <c r="AM12" s="359"/>
      <c r="AN12" s="359"/>
      <c r="AO12" s="359"/>
      <c r="AP12" s="39"/>
      <c r="AQ12" s="39"/>
      <c r="AR12" s="39"/>
      <c r="AS12" s="39"/>
      <c r="AT12" s="39"/>
      <c r="AU12" s="6"/>
      <c r="AV12" s="6"/>
      <c r="AW12" s="6"/>
      <c r="AX12" s="6"/>
      <c r="AY12" s="6"/>
      <c r="AZ12" s="6"/>
      <c r="BA12" s="6"/>
      <c r="BB12" s="6"/>
      <c r="BC12" s="6"/>
      <c r="BD12" s="6"/>
      <c r="BE12" s="6"/>
      <c r="BF12" s="6"/>
      <c r="BG12" s="6"/>
      <c r="BH12" s="6"/>
      <c r="BI12" s="6"/>
      <c r="BJ12" s="6"/>
      <c r="BK12" s="6"/>
      <c r="BL12" s="6"/>
      <c r="BM12" s="6"/>
      <c r="BN12" s="6"/>
      <c r="BO12" s="6"/>
      <c r="BP12" s="6"/>
      <c r="BQ12" s="6"/>
      <c r="BR12" s="6"/>
      <c r="BS12" s="6"/>
    </row>
    <row r="13" spans="1:71">
      <c r="A13" s="6"/>
      <c r="B13" s="6"/>
      <c r="C13" s="6"/>
      <c r="D13" s="6"/>
      <c r="E13" s="6"/>
      <c r="F13" s="6"/>
      <c r="G13" s="6"/>
      <c r="H13" s="6"/>
      <c r="I13" s="6"/>
      <c r="J13" s="6"/>
      <c r="K13" s="6"/>
      <c r="L13" s="6"/>
      <c r="M13" s="6"/>
      <c r="N13" s="6"/>
      <c r="O13" s="6"/>
      <c r="P13" s="6"/>
      <c r="Q13" s="6"/>
      <c r="R13" s="6"/>
      <c r="S13" s="6"/>
      <c r="T13" s="6"/>
      <c r="U13" s="6"/>
      <c r="V13" s="6"/>
      <c r="W13" s="6"/>
      <c r="X13" s="11"/>
      <c r="Y13" s="11"/>
      <c r="Z13" s="11"/>
      <c r="AA13" s="11"/>
      <c r="AB13" s="11"/>
      <c r="AC13" s="11"/>
      <c r="AD13" s="11"/>
      <c r="AE13" s="11"/>
      <c r="AF13" s="11"/>
      <c r="AG13" s="11"/>
      <c r="AH13" s="11"/>
      <c r="AI13" s="11"/>
      <c r="AJ13" s="11"/>
      <c r="AK13" s="11"/>
      <c r="AL13" s="69"/>
      <c r="AM13" s="69"/>
      <c r="AN13" s="69"/>
      <c r="AO13" s="69"/>
      <c r="AP13" s="11"/>
      <c r="AQ13" s="11"/>
      <c r="AR13" s="11"/>
      <c r="AS13" s="11"/>
      <c r="AT13" s="11"/>
      <c r="AU13" s="6"/>
      <c r="AV13" s="6"/>
      <c r="AW13" s="6"/>
      <c r="AX13" s="6"/>
      <c r="AY13" s="6"/>
      <c r="AZ13" s="6"/>
      <c r="BA13" s="6"/>
      <c r="BB13" s="6"/>
      <c r="BC13" s="6"/>
      <c r="BD13" s="6"/>
      <c r="BE13" s="6"/>
      <c r="BF13" s="6"/>
      <c r="BG13" s="6"/>
      <c r="BH13" s="6"/>
      <c r="BI13" s="6"/>
      <c r="BJ13" s="6"/>
      <c r="BK13" s="6"/>
      <c r="BL13" s="6"/>
      <c r="BM13" s="6"/>
      <c r="BN13" s="6"/>
      <c r="BO13" s="6"/>
      <c r="BP13" s="6"/>
      <c r="BQ13" s="6"/>
      <c r="BR13" s="6"/>
      <c r="BS13" s="6"/>
    </row>
    <row r="14" spans="1:71">
      <c r="A14" s="36" t="s">
        <v>745</v>
      </c>
      <c r="B14" s="6"/>
      <c r="C14" s="6"/>
      <c r="D14" s="6"/>
      <c r="E14" s="6"/>
      <c r="F14" s="6"/>
      <c r="G14" s="6"/>
      <c r="H14" s="6"/>
      <c r="I14" s="6"/>
      <c r="J14" s="6"/>
      <c r="K14" s="6"/>
      <c r="L14" s="6"/>
      <c r="M14" s="6"/>
      <c r="N14" s="6"/>
      <c r="O14" s="6"/>
      <c r="P14" s="6"/>
      <c r="Q14" s="6"/>
      <c r="R14" s="6"/>
      <c r="S14" s="6"/>
      <c r="T14" s="6"/>
      <c r="U14" s="6"/>
      <c r="V14" s="6"/>
      <c r="W14" s="6"/>
      <c r="X14" s="11"/>
      <c r="Y14" s="11"/>
      <c r="Z14" s="11"/>
      <c r="AA14" s="11"/>
      <c r="AB14" s="11"/>
      <c r="AC14" s="11"/>
      <c r="AD14" s="11"/>
      <c r="AE14" s="11"/>
      <c r="AF14" s="11"/>
      <c r="AG14" s="11"/>
      <c r="AH14" s="11"/>
      <c r="AI14" s="11"/>
      <c r="AJ14" s="11"/>
      <c r="AK14" s="11"/>
      <c r="AL14" s="69"/>
      <c r="AM14" s="69"/>
      <c r="AN14" s="69"/>
      <c r="AO14" s="69"/>
      <c r="AP14" s="11"/>
      <c r="AQ14" s="11"/>
      <c r="AR14" s="11"/>
      <c r="AS14" s="11"/>
      <c r="AT14" s="11"/>
      <c r="AU14" s="6"/>
      <c r="AV14" s="6"/>
      <c r="AW14" s="6"/>
      <c r="AX14" s="6"/>
      <c r="AY14" s="6"/>
      <c r="AZ14" s="6"/>
      <c r="BA14" s="6"/>
      <c r="BB14" s="6"/>
      <c r="BC14" s="6"/>
      <c r="BD14" s="6"/>
      <c r="BE14" s="6"/>
      <c r="BF14" s="6"/>
      <c r="BG14" s="6"/>
      <c r="BH14" s="6"/>
      <c r="BI14" s="6"/>
      <c r="BJ14" s="6"/>
      <c r="BK14" s="6"/>
      <c r="BL14" s="6"/>
      <c r="BM14" s="6"/>
      <c r="BN14" s="6"/>
      <c r="BO14" s="6"/>
      <c r="BP14" s="6"/>
      <c r="BQ14" s="6"/>
      <c r="BR14" s="6"/>
      <c r="BS14" s="6"/>
    </row>
    <row r="15" spans="1:71">
      <c r="A15" s="556" t="s">
        <v>1190</v>
      </c>
      <c r="B15" s="145">
        <f>+B17-B16</f>
        <v>131.30000000000001</v>
      </c>
      <c r="C15" s="472">
        <v>146</v>
      </c>
      <c r="D15" s="472">
        <v>148.80000000000001</v>
      </c>
      <c r="E15" s="472"/>
      <c r="F15" s="575">
        <v>148.80000000000001</v>
      </c>
      <c r="G15" s="575">
        <v>156.9</v>
      </c>
      <c r="H15" s="573"/>
      <c r="I15" s="573"/>
      <c r="J15" s="573"/>
      <c r="K15" s="573"/>
      <c r="L15" s="573"/>
      <c r="M15" s="573"/>
      <c r="N15" s="573"/>
      <c r="O15" s="573"/>
      <c r="P15" s="573"/>
      <c r="Q15" s="573"/>
      <c r="R15" s="573"/>
      <c r="S15" s="573"/>
      <c r="T15" s="573"/>
      <c r="U15" s="573"/>
      <c r="V15" s="573"/>
      <c r="W15" s="573"/>
      <c r="X15" s="786"/>
      <c r="Y15" s="786"/>
      <c r="Z15" s="786"/>
      <c r="AA15" s="786"/>
      <c r="AB15" s="786"/>
      <c r="AC15" s="786"/>
      <c r="AD15" s="786"/>
      <c r="AE15" s="786"/>
      <c r="AF15" s="786"/>
      <c r="AG15" s="786"/>
      <c r="AH15" s="786"/>
      <c r="AI15" s="786"/>
      <c r="AJ15" s="786"/>
      <c r="AK15" s="786"/>
      <c r="AL15" s="561"/>
      <c r="AM15" s="561"/>
      <c r="AN15" s="561"/>
      <c r="AO15" s="561"/>
      <c r="AP15" s="786"/>
      <c r="AQ15" s="786"/>
      <c r="AR15" s="786"/>
      <c r="AS15" s="786"/>
      <c r="AT15" s="786"/>
      <c r="AU15" s="6"/>
      <c r="AV15" s="6"/>
      <c r="AW15" s="6"/>
      <c r="AX15" s="6"/>
      <c r="AY15" s="6"/>
      <c r="AZ15" s="6"/>
      <c r="BA15" s="6"/>
      <c r="BB15" s="6"/>
      <c r="BC15" s="6"/>
      <c r="BD15" s="6"/>
      <c r="BE15" s="6"/>
      <c r="BF15" s="6"/>
      <c r="BG15" s="6"/>
      <c r="BH15" s="6"/>
      <c r="BI15" s="6"/>
      <c r="BJ15" s="6"/>
      <c r="BK15" s="6"/>
      <c r="BL15" s="6"/>
      <c r="BM15" s="6"/>
      <c r="BN15" s="6"/>
      <c r="BO15" s="6"/>
      <c r="BP15" s="6"/>
      <c r="BQ15" s="6"/>
      <c r="BR15" s="6"/>
      <c r="BS15" s="6"/>
    </row>
    <row r="16" spans="1:71">
      <c r="A16" s="576" t="s">
        <v>1191</v>
      </c>
      <c r="B16" s="580">
        <v>44.5</v>
      </c>
      <c r="C16" s="580">
        <f>196.4-146</f>
        <v>50.400000000000006</v>
      </c>
      <c r="D16" s="580">
        <v>58</v>
      </c>
      <c r="E16" s="580"/>
      <c r="F16" s="578">
        <v>0</v>
      </c>
      <c r="G16" s="578">
        <v>0</v>
      </c>
      <c r="H16" s="578"/>
      <c r="I16" s="578"/>
      <c r="J16" s="578"/>
      <c r="K16" s="578"/>
      <c r="L16" s="578"/>
      <c r="M16" s="578"/>
      <c r="N16" s="578"/>
      <c r="O16" s="578"/>
      <c r="P16" s="578"/>
      <c r="Q16" s="578"/>
      <c r="R16" s="578"/>
      <c r="S16" s="578"/>
      <c r="T16" s="578"/>
      <c r="U16" s="578"/>
      <c r="V16" s="578"/>
      <c r="W16" s="578"/>
      <c r="X16" s="784"/>
      <c r="Y16" s="784"/>
      <c r="Z16" s="784"/>
      <c r="AA16" s="784"/>
      <c r="AB16" s="784"/>
      <c r="AC16" s="784"/>
      <c r="AD16" s="784"/>
      <c r="AE16" s="784"/>
      <c r="AF16" s="784"/>
      <c r="AG16" s="784"/>
      <c r="AH16" s="784"/>
      <c r="AI16" s="784"/>
      <c r="AJ16" s="784"/>
      <c r="AK16" s="784"/>
      <c r="AL16" s="1225"/>
      <c r="AM16" s="1225"/>
      <c r="AN16" s="1225"/>
      <c r="AO16" s="1225"/>
      <c r="AP16" s="784"/>
      <c r="AQ16" s="784"/>
      <c r="AR16" s="784"/>
      <c r="AS16" s="784"/>
      <c r="AT16" s="784"/>
      <c r="AU16" s="257"/>
      <c r="AV16" s="257"/>
      <c r="AW16" s="257"/>
      <c r="AX16" s="257"/>
      <c r="AY16" s="257"/>
      <c r="AZ16" s="257"/>
      <c r="BA16" s="257"/>
      <c r="BB16" s="257"/>
      <c r="BC16" s="257"/>
      <c r="BD16" s="257"/>
      <c r="BE16" s="257"/>
      <c r="BF16" s="257"/>
      <c r="BG16" s="257"/>
      <c r="BH16" s="257"/>
      <c r="BI16" s="257"/>
      <c r="BJ16" s="257"/>
      <c r="BK16" s="257"/>
      <c r="BL16" s="257"/>
      <c r="BM16" s="257"/>
      <c r="BN16" s="257"/>
      <c r="BO16" s="257"/>
      <c r="BP16" s="257"/>
      <c r="BQ16" s="257"/>
      <c r="BR16" s="257"/>
      <c r="BS16" s="257"/>
    </row>
    <row r="17" spans="1:71">
      <c r="A17" s="556" t="s">
        <v>1192</v>
      </c>
      <c r="B17" s="574">
        <v>175.8</v>
      </c>
      <c r="C17" s="574">
        <v>196.4</v>
      </c>
      <c r="D17" s="472">
        <f>148.8+58</f>
        <v>206.8</v>
      </c>
      <c r="E17" s="472"/>
      <c r="F17" s="575">
        <v>148.80000000000001</v>
      </c>
      <c r="G17" s="575">
        <v>156.9</v>
      </c>
      <c r="H17" s="145"/>
      <c r="I17" s="145"/>
      <c r="J17" s="145"/>
      <c r="K17" s="145"/>
      <c r="L17" s="145"/>
      <c r="M17" s="145"/>
      <c r="N17" s="145"/>
      <c r="O17" s="145"/>
      <c r="P17" s="145"/>
      <c r="Q17" s="145"/>
      <c r="R17" s="145"/>
      <c r="S17" s="145"/>
      <c r="T17" s="145"/>
      <c r="U17" s="145"/>
      <c r="V17" s="145"/>
      <c r="W17" s="145"/>
      <c r="X17" s="54"/>
      <c r="Y17" s="54"/>
      <c r="Z17" s="54"/>
      <c r="AA17" s="54"/>
      <c r="AB17" s="54"/>
      <c r="AC17" s="54"/>
      <c r="AD17" s="54"/>
      <c r="AE17" s="54"/>
      <c r="AF17" s="54"/>
      <c r="AG17" s="54"/>
      <c r="AH17" s="54"/>
      <c r="AI17" s="54"/>
      <c r="AJ17" s="54"/>
      <c r="AK17" s="54"/>
      <c r="AL17" s="441"/>
      <c r="AM17" s="441"/>
      <c r="AN17" s="441"/>
      <c r="AO17" s="441"/>
      <c r="AP17" s="54"/>
      <c r="AQ17" s="54"/>
      <c r="AR17" s="54"/>
      <c r="AS17" s="54"/>
      <c r="AT17" s="54"/>
      <c r="AU17" s="6"/>
      <c r="AV17" s="6"/>
      <c r="AW17" s="6"/>
      <c r="AX17" s="6"/>
      <c r="AY17" s="6"/>
      <c r="AZ17" s="6"/>
      <c r="BA17" s="6"/>
      <c r="BB17" s="6"/>
      <c r="BC17" s="6"/>
      <c r="BD17" s="6"/>
      <c r="BE17" s="6"/>
      <c r="BF17" s="6"/>
      <c r="BG17" s="6"/>
      <c r="BH17" s="6"/>
      <c r="BI17" s="6"/>
      <c r="BJ17" s="6"/>
      <c r="BK17" s="6"/>
      <c r="BL17" s="6"/>
      <c r="BM17" s="6"/>
      <c r="BN17" s="6"/>
      <c r="BO17" s="6"/>
      <c r="BP17" s="6"/>
      <c r="BQ17" s="6"/>
      <c r="BR17" s="6"/>
      <c r="BS17" s="6"/>
    </row>
    <row r="18" spans="1:71">
      <c r="A18" s="6"/>
      <c r="B18" s="6"/>
      <c r="C18" s="6"/>
      <c r="D18" s="6"/>
      <c r="E18" s="6"/>
      <c r="F18" s="6"/>
      <c r="G18" s="6"/>
      <c r="H18" s="337"/>
      <c r="I18" s="6"/>
      <c r="J18" s="6"/>
      <c r="K18" s="6"/>
      <c r="L18" s="6"/>
      <c r="M18" s="6"/>
      <c r="N18" s="6"/>
      <c r="O18" s="6"/>
      <c r="P18" s="6"/>
      <c r="Q18" s="6"/>
      <c r="R18" s="6"/>
      <c r="S18" s="6"/>
      <c r="T18" s="6"/>
      <c r="U18" s="6"/>
      <c r="V18" s="6"/>
      <c r="W18" s="6"/>
      <c r="X18" s="11"/>
      <c r="Y18" s="11"/>
      <c r="Z18" s="11"/>
      <c r="AA18" s="11"/>
      <c r="AB18" s="11"/>
      <c r="AC18" s="11"/>
      <c r="AD18" s="11"/>
      <c r="AE18" s="11"/>
      <c r="AF18" s="11"/>
      <c r="AG18" s="11"/>
      <c r="AH18" s="11"/>
      <c r="AI18" s="11"/>
      <c r="AJ18" s="11"/>
      <c r="AK18" s="11"/>
      <c r="AL18" s="69"/>
      <c r="AM18" s="69"/>
      <c r="AN18" s="69"/>
      <c r="AO18" s="69"/>
      <c r="AP18" s="11"/>
      <c r="AQ18" s="11"/>
      <c r="AR18" s="11"/>
      <c r="AS18" s="11"/>
      <c r="AT18" s="11"/>
      <c r="AU18" s="6"/>
      <c r="AV18" s="6"/>
      <c r="AW18" s="6"/>
      <c r="AX18" s="6"/>
      <c r="AY18" s="6"/>
      <c r="AZ18" s="6"/>
      <c r="BA18" s="6"/>
      <c r="BB18" s="6"/>
      <c r="BC18" s="6"/>
      <c r="BD18" s="6"/>
      <c r="BE18" s="6"/>
      <c r="BF18" s="6"/>
      <c r="BG18" s="6"/>
      <c r="BH18" s="6"/>
      <c r="BI18" s="6"/>
      <c r="BJ18" s="6"/>
      <c r="BK18" s="6"/>
      <c r="BL18" s="6"/>
      <c r="BM18" s="6"/>
      <c r="BN18" s="6"/>
      <c r="BO18" s="6"/>
      <c r="BP18" s="6"/>
      <c r="BQ18" s="6"/>
      <c r="BR18" s="6"/>
      <c r="BS18" s="6"/>
    </row>
    <row r="19" spans="1:71">
      <c r="A19" s="581" t="s">
        <v>1193</v>
      </c>
      <c r="B19" s="6"/>
      <c r="C19" s="6"/>
      <c r="D19" s="6"/>
      <c r="E19" s="6"/>
      <c r="F19" s="6"/>
      <c r="G19" s="6"/>
      <c r="H19" s="6"/>
      <c r="I19" s="6"/>
      <c r="J19" s="6"/>
      <c r="K19" s="6"/>
      <c r="L19" s="6"/>
      <c r="M19" s="6"/>
      <c r="N19" s="6"/>
      <c r="O19" s="6"/>
      <c r="P19" s="6"/>
      <c r="Q19" s="6"/>
      <c r="R19" s="6"/>
      <c r="S19" s="6"/>
      <c r="T19" s="6"/>
      <c r="U19" s="6"/>
      <c r="V19" s="6"/>
      <c r="W19" s="6"/>
      <c r="X19" s="11"/>
      <c r="Y19" s="11"/>
      <c r="Z19" s="11"/>
      <c r="AA19" s="11"/>
      <c r="AB19" s="11"/>
      <c r="AC19" s="11"/>
      <c r="AD19" s="11"/>
      <c r="AE19" s="11"/>
      <c r="AF19" s="11"/>
      <c r="AG19" s="11"/>
      <c r="AH19" s="11"/>
      <c r="AI19" s="11"/>
      <c r="AJ19" s="11"/>
      <c r="AK19" s="11"/>
      <c r="AL19" s="69"/>
      <c r="AM19" s="69"/>
      <c r="AN19" s="69"/>
      <c r="AO19" s="69"/>
      <c r="AP19" s="11"/>
      <c r="AQ19" s="11"/>
      <c r="AR19" s="11"/>
      <c r="AS19" s="11"/>
      <c r="AT19" s="11"/>
      <c r="AU19" s="6"/>
      <c r="AV19" s="6"/>
      <c r="AW19" s="6"/>
      <c r="AX19" s="6"/>
      <c r="AY19" s="6"/>
      <c r="AZ19" s="6"/>
      <c r="BA19" s="6"/>
      <c r="BB19" s="6"/>
      <c r="BC19" s="6"/>
      <c r="BD19" s="6"/>
      <c r="BE19" s="6"/>
      <c r="BF19" s="6"/>
      <c r="BG19" s="6"/>
      <c r="BH19" s="6"/>
      <c r="BI19" s="6"/>
      <c r="BJ19" s="6"/>
      <c r="BK19" s="6"/>
      <c r="BL19" s="6"/>
      <c r="BM19" s="6"/>
      <c r="BN19" s="6"/>
      <c r="BO19" s="6"/>
      <c r="BP19" s="6"/>
      <c r="BQ19" s="6"/>
      <c r="BR19" s="6"/>
      <c r="BS19" s="6"/>
    </row>
    <row r="20" spans="1:71">
      <c r="A20" s="556" t="s">
        <v>1190</v>
      </c>
      <c r="B20" s="38">
        <f t="shared" ref="B20:D22" si="0">B15/B9</f>
        <v>0.38358165352030382</v>
      </c>
      <c r="C20" s="38">
        <f t="shared" si="0"/>
        <v>0.38189903217368559</v>
      </c>
      <c r="D20" s="38">
        <f t="shared" si="0"/>
        <v>0.38124519600307455</v>
      </c>
      <c r="E20" s="38"/>
      <c r="F20" s="38">
        <f>F15/F9</f>
        <v>0.38124519600307455</v>
      </c>
      <c r="G20" s="38">
        <f>G15/G9</f>
        <v>0.37118523775727469</v>
      </c>
      <c r="H20" s="130"/>
      <c r="I20" s="130"/>
      <c r="J20" s="130"/>
      <c r="K20" s="130"/>
      <c r="L20" s="130"/>
      <c r="M20" s="130"/>
      <c r="N20" s="130"/>
      <c r="O20" s="130"/>
      <c r="P20" s="130"/>
      <c r="Q20" s="130"/>
      <c r="R20" s="130"/>
      <c r="S20" s="130"/>
      <c r="T20" s="130"/>
      <c r="U20" s="130"/>
      <c r="V20" s="130"/>
      <c r="W20" s="130"/>
      <c r="X20" s="119"/>
      <c r="Y20" s="119"/>
      <c r="Z20" s="119"/>
      <c r="AA20" s="119"/>
      <c r="AB20" s="119"/>
      <c r="AC20" s="119"/>
      <c r="AD20" s="119"/>
      <c r="AE20" s="119"/>
      <c r="AF20" s="119"/>
      <c r="AG20" s="119"/>
      <c r="AH20" s="119"/>
      <c r="AI20" s="119"/>
      <c r="AJ20" s="119"/>
      <c r="AK20" s="119"/>
      <c r="AL20" s="471"/>
      <c r="AM20" s="471"/>
      <c r="AN20" s="471"/>
      <c r="AO20" s="471"/>
      <c r="AP20" s="119"/>
      <c r="AQ20" s="119"/>
      <c r="AR20" s="119"/>
      <c r="AS20" s="119"/>
      <c r="AT20" s="119"/>
      <c r="AU20" s="6"/>
      <c r="AV20" s="6"/>
      <c r="AW20" s="6"/>
      <c r="AX20" s="6"/>
      <c r="AY20" s="6"/>
      <c r="AZ20" s="6"/>
      <c r="BA20" s="6"/>
      <c r="BB20" s="6"/>
      <c r="BC20" s="6"/>
      <c r="BD20" s="6"/>
      <c r="BE20" s="6"/>
      <c r="BF20" s="6"/>
      <c r="BG20" s="6"/>
      <c r="BH20" s="6"/>
      <c r="BI20" s="6"/>
      <c r="BJ20" s="6"/>
      <c r="BK20" s="6"/>
      <c r="BL20" s="6"/>
      <c r="BM20" s="6"/>
      <c r="BN20" s="6"/>
      <c r="BO20" s="6"/>
      <c r="BP20" s="6"/>
      <c r="BQ20" s="6"/>
      <c r="BR20" s="6"/>
      <c r="BS20" s="6"/>
    </row>
    <row r="21" spans="1:71">
      <c r="A21" s="576" t="s">
        <v>1191</v>
      </c>
      <c r="B21" s="582">
        <f t="shared" si="0"/>
        <v>0.43499511241446726</v>
      </c>
      <c r="C21" s="582">
        <f t="shared" si="0"/>
        <v>0.47279549718574132</v>
      </c>
      <c r="D21" s="582">
        <f t="shared" si="0"/>
        <v>0.51101321585903081</v>
      </c>
      <c r="E21" s="582"/>
      <c r="F21" s="583" t="s">
        <v>737</v>
      </c>
      <c r="G21" s="583" t="s">
        <v>737</v>
      </c>
      <c r="H21" s="583"/>
      <c r="I21" s="583"/>
      <c r="J21" s="583"/>
      <c r="K21" s="583"/>
      <c r="L21" s="583"/>
      <c r="M21" s="583"/>
      <c r="N21" s="583"/>
      <c r="O21" s="583"/>
      <c r="P21" s="583"/>
      <c r="Q21" s="583"/>
      <c r="R21" s="583"/>
      <c r="S21" s="583"/>
      <c r="T21" s="583"/>
      <c r="U21" s="583"/>
      <c r="V21" s="583"/>
      <c r="W21" s="583"/>
      <c r="X21" s="411"/>
      <c r="Y21" s="411"/>
      <c r="Z21" s="411"/>
      <c r="AA21" s="411"/>
      <c r="AB21" s="411"/>
      <c r="AC21" s="411"/>
      <c r="AD21" s="411"/>
      <c r="AE21" s="411"/>
      <c r="AF21" s="411"/>
      <c r="AG21" s="411"/>
      <c r="AH21" s="411"/>
      <c r="AI21" s="411"/>
      <c r="AJ21" s="411"/>
      <c r="AK21" s="411"/>
      <c r="AL21" s="1227"/>
      <c r="AM21" s="1227"/>
      <c r="AN21" s="1227"/>
      <c r="AO21" s="1227"/>
      <c r="AP21" s="411"/>
      <c r="AQ21" s="411"/>
      <c r="AR21" s="411"/>
      <c r="AS21" s="411"/>
      <c r="AT21" s="411"/>
      <c r="AU21" s="257"/>
      <c r="AV21" s="257"/>
      <c r="AW21" s="257"/>
      <c r="AX21" s="257"/>
      <c r="AY21" s="257"/>
      <c r="AZ21" s="257"/>
      <c r="BA21" s="257"/>
      <c r="BB21" s="257"/>
      <c r="BC21" s="257"/>
      <c r="BD21" s="257"/>
      <c r="BE21" s="257"/>
      <c r="BF21" s="257"/>
      <c r="BG21" s="257"/>
      <c r="BH21" s="257"/>
      <c r="BI21" s="257"/>
      <c r="BJ21" s="257"/>
      <c r="BK21" s="257"/>
      <c r="BL21" s="257"/>
      <c r="BM21" s="257"/>
      <c r="BN21" s="257"/>
      <c r="BO21" s="257"/>
      <c r="BP21" s="257"/>
      <c r="BQ21" s="257"/>
      <c r="BR21" s="257"/>
      <c r="BS21" s="257"/>
    </row>
    <row r="22" spans="1:71">
      <c r="A22" s="556" t="s">
        <v>1192</v>
      </c>
      <c r="B22" s="38">
        <f t="shared" si="0"/>
        <v>0.39541160593792174</v>
      </c>
      <c r="C22" s="38">
        <f t="shared" si="0"/>
        <v>0.40171814276948253</v>
      </c>
      <c r="D22" s="38">
        <f t="shared" si="0"/>
        <v>0.41048034934497818</v>
      </c>
      <c r="E22" s="38"/>
      <c r="F22" s="38">
        <f>F17/F11</f>
        <v>0.38124519600307455</v>
      </c>
      <c r="G22" s="38">
        <f>G17/G11</f>
        <v>0.37118523775727469</v>
      </c>
      <c r="H22" s="38"/>
      <c r="I22" s="38"/>
      <c r="J22" s="38"/>
      <c r="K22" s="38"/>
      <c r="L22" s="38"/>
      <c r="M22" s="38"/>
      <c r="N22" s="38"/>
      <c r="O22" s="38"/>
      <c r="P22" s="38"/>
      <c r="Q22" s="38"/>
      <c r="R22" s="38"/>
      <c r="S22" s="38"/>
      <c r="T22" s="38"/>
      <c r="U22" s="38"/>
      <c r="V22" s="38"/>
      <c r="W22" s="38"/>
      <c r="X22" s="39"/>
      <c r="Y22" s="39"/>
      <c r="Z22" s="39"/>
      <c r="AA22" s="39"/>
      <c r="AB22" s="39"/>
      <c r="AC22" s="39"/>
      <c r="AD22" s="39"/>
      <c r="AE22" s="39"/>
      <c r="AF22" s="39"/>
      <c r="AG22" s="39"/>
      <c r="AH22" s="39"/>
      <c r="AI22" s="39"/>
      <c r="AJ22" s="39"/>
      <c r="AK22" s="39"/>
      <c r="AL22" s="359"/>
      <c r="AM22" s="359"/>
      <c r="AN22" s="359"/>
      <c r="AO22" s="359"/>
      <c r="AP22" s="39"/>
      <c r="AQ22" s="39"/>
      <c r="AR22" s="39"/>
      <c r="AS22" s="39"/>
      <c r="AT22" s="39"/>
      <c r="AU22" s="6"/>
      <c r="AV22" s="6"/>
      <c r="AW22" s="6"/>
      <c r="AX22" s="6"/>
      <c r="AY22" s="6"/>
      <c r="AZ22" s="6"/>
      <c r="BA22" s="6"/>
      <c r="BB22" s="6"/>
      <c r="BC22" s="6"/>
      <c r="BD22" s="6"/>
      <c r="BE22" s="6"/>
      <c r="BF22" s="6"/>
      <c r="BG22" s="6"/>
      <c r="BH22" s="6"/>
      <c r="BI22" s="6"/>
      <c r="BJ22" s="6"/>
      <c r="BK22" s="6"/>
      <c r="BL22" s="6"/>
      <c r="BM22" s="6"/>
      <c r="BN22" s="6"/>
      <c r="BO22" s="6"/>
      <c r="BP22" s="6"/>
      <c r="BQ22" s="6"/>
      <c r="BR22" s="6"/>
      <c r="BS22" s="6"/>
    </row>
    <row r="23" spans="1:71">
      <c r="A23" s="6"/>
      <c r="B23" s="6"/>
      <c r="C23" s="6"/>
      <c r="D23" s="6"/>
      <c r="E23" s="6"/>
      <c r="F23" s="6"/>
      <c r="G23" s="6"/>
      <c r="H23" s="6"/>
      <c r="I23" s="6"/>
      <c r="J23" s="6"/>
      <c r="K23" s="6"/>
      <c r="L23" s="6"/>
      <c r="M23" s="6"/>
      <c r="N23" s="6"/>
      <c r="O23" s="6"/>
      <c r="P23" s="6"/>
      <c r="Q23" s="6"/>
      <c r="R23" s="6"/>
      <c r="S23" s="6"/>
      <c r="T23" s="6"/>
      <c r="U23" s="6"/>
      <c r="V23" s="6"/>
      <c r="W23" s="6"/>
      <c r="X23" s="11"/>
      <c r="Y23" s="11"/>
      <c r="Z23" s="11"/>
      <c r="AA23" s="11"/>
      <c r="AB23" s="11"/>
      <c r="AC23" s="11"/>
      <c r="AD23" s="11"/>
      <c r="AE23" s="11"/>
      <c r="AF23" s="11"/>
      <c r="AG23" s="11"/>
      <c r="AH23" s="11"/>
      <c r="AI23" s="11"/>
      <c r="AJ23" s="11"/>
      <c r="AK23" s="11"/>
      <c r="AL23" s="69"/>
      <c r="AM23" s="69"/>
      <c r="AN23" s="69"/>
      <c r="AO23" s="69"/>
      <c r="AP23" s="11"/>
      <c r="AQ23" s="11"/>
      <c r="AR23" s="11"/>
      <c r="AS23" s="11"/>
      <c r="AT23" s="11"/>
      <c r="AU23" s="6"/>
      <c r="AV23" s="6"/>
      <c r="AW23" s="6"/>
      <c r="AX23" s="6"/>
      <c r="AY23" s="6"/>
      <c r="AZ23" s="6"/>
      <c r="BA23" s="6"/>
      <c r="BB23" s="6"/>
      <c r="BC23" s="6"/>
      <c r="BD23" s="6"/>
      <c r="BE23" s="6"/>
      <c r="BF23" s="6"/>
      <c r="BG23" s="6"/>
      <c r="BH23" s="6"/>
      <c r="BI23" s="6"/>
      <c r="BJ23" s="6"/>
      <c r="BK23" s="6"/>
      <c r="BL23" s="6"/>
      <c r="BM23" s="6"/>
      <c r="BN23" s="6"/>
      <c r="BO23" s="6"/>
      <c r="BP23" s="6"/>
      <c r="BQ23" s="6"/>
      <c r="BR23" s="6"/>
      <c r="BS23" s="6"/>
    </row>
    <row r="24" spans="1:71">
      <c r="A24" s="43" t="s">
        <v>1194</v>
      </c>
      <c r="B24" s="6"/>
      <c r="C24" s="6"/>
      <c r="D24" s="6"/>
      <c r="E24" s="6"/>
      <c r="F24" s="6"/>
      <c r="G24" s="6"/>
      <c r="H24" s="6"/>
      <c r="I24" s="6"/>
      <c r="J24" s="6"/>
      <c r="K24" s="6"/>
      <c r="L24" s="6"/>
      <c r="M24" s="6"/>
      <c r="N24" s="6"/>
      <c r="O24" s="6"/>
      <c r="P24" s="6"/>
      <c r="Q24" s="6"/>
      <c r="R24" s="6"/>
      <c r="S24" s="6"/>
      <c r="T24" s="6"/>
      <c r="U24" s="6"/>
      <c r="V24" s="6"/>
      <c r="W24" s="6"/>
      <c r="X24" s="11"/>
      <c r="Y24" s="11"/>
      <c r="Z24" s="11"/>
      <c r="AA24" s="11"/>
      <c r="AB24" s="11"/>
      <c r="AC24" s="11"/>
      <c r="AD24" s="11"/>
      <c r="AE24" s="11"/>
      <c r="AF24" s="11"/>
      <c r="AG24" s="11"/>
      <c r="AH24" s="11"/>
      <c r="AI24" s="11"/>
      <c r="AJ24" s="11"/>
      <c r="AK24" s="11"/>
      <c r="AL24" s="69"/>
      <c r="AM24" s="69"/>
      <c r="AN24" s="69"/>
      <c r="AO24" s="69"/>
      <c r="AP24" s="11"/>
      <c r="AQ24" s="11"/>
      <c r="AR24" s="11"/>
      <c r="AS24" s="11"/>
      <c r="AT24" s="11"/>
      <c r="AU24" s="6"/>
      <c r="AV24" s="6"/>
      <c r="AW24" s="6"/>
      <c r="AX24" s="6"/>
      <c r="AY24" s="6"/>
      <c r="AZ24" s="6"/>
      <c r="BA24" s="6"/>
      <c r="BB24" s="6"/>
      <c r="BC24" s="6"/>
      <c r="BD24" s="6"/>
      <c r="BE24" s="6"/>
      <c r="BF24" s="6"/>
      <c r="BG24" s="6"/>
      <c r="BH24" s="6"/>
      <c r="BI24" s="6"/>
      <c r="BJ24" s="6"/>
      <c r="BK24" s="6"/>
      <c r="BL24" s="6"/>
      <c r="BM24" s="6"/>
      <c r="BN24" s="6"/>
      <c r="BO24" s="6"/>
      <c r="BP24" s="6"/>
      <c r="BQ24" s="6"/>
      <c r="BR24" s="6"/>
      <c r="BS24" s="6"/>
    </row>
    <row r="25" spans="1:71">
      <c r="A25" s="6"/>
      <c r="B25" s="126"/>
      <c r="C25" s="126"/>
      <c r="D25" s="126"/>
      <c r="E25" s="126"/>
      <c r="F25" s="126"/>
      <c r="G25" s="126"/>
      <c r="H25" s="126"/>
      <c r="I25" s="126"/>
      <c r="J25" s="126"/>
      <c r="K25" s="126"/>
      <c r="L25" s="126"/>
      <c r="M25" s="126"/>
      <c r="N25" s="126"/>
      <c r="O25" s="126"/>
      <c r="P25" s="126"/>
      <c r="Q25" s="126"/>
      <c r="R25" s="126"/>
      <c r="S25" s="126"/>
      <c r="T25" s="126"/>
      <c r="U25" s="126"/>
      <c r="V25" s="126"/>
      <c r="W25" s="126"/>
      <c r="X25" s="124"/>
      <c r="Y25" s="124"/>
      <c r="Z25" s="124"/>
      <c r="AA25" s="124"/>
      <c r="AB25" s="124"/>
      <c r="AC25" s="124"/>
      <c r="AD25" s="124"/>
      <c r="AE25" s="124"/>
      <c r="AF25" s="124"/>
      <c r="AG25" s="124"/>
      <c r="AH25" s="124"/>
      <c r="AI25" s="124"/>
      <c r="AJ25" s="124"/>
      <c r="AK25" s="124"/>
      <c r="AL25" s="1211"/>
      <c r="AM25" s="1211"/>
      <c r="AN25" s="1211"/>
      <c r="AO25" s="1211"/>
      <c r="AP25" s="124"/>
      <c r="AQ25" s="124"/>
      <c r="AR25" s="124"/>
      <c r="AS25" s="124"/>
      <c r="AT25" s="124"/>
      <c r="AU25" s="6"/>
      <c r="AV25" s="6"/>
      <c r="AW25" s="6"/>
      <c r="AX25" s="6"/>
      <c r="AY25" s="6"/>
      <c r="AZ25" s="6"/>
      <c r="BA25" s="6"/>
      <c r="BB25" s="6"/>
      <c r="BC25" s="6"/>
      <c r="BD25" s="6"/>
      <c r="BE25" s="6"/>
      <c r="BF25" s="6"/>
      <c r="BG25" s="6"/>
      <c r="BH25" s="6"/>
      <c r="BI25" s="6"/>
      <c r="BJ25" s="6"/>
      <c r="BK25" s="6"/>
      <c r="BL25" s="6"/>
      <c r="BM25" s="6"/>
      <c r="BN25" s="6"/>
      <c r="BO25" s="6"/>
      <c r="BP25" s="6"/>
      <c r="BQ25" s="6"/>
      <c r="BR25" s="6"/>
      <c r="BS25" s="6"/>
    </row>
    <row r="26" spans="1:71">
      <c r="A26" s="6"/>
      <c r="B26" s="126"/>
      <c r="C26" s="126"/>
      <c r="D26" s="126"/>
      <c r="E26" s="126"/>
      <c r="F26" s="126"/>
      <c r="G26" s="126"/>
      <c r="H26" s="126"/>
      <c r="I26" s="126"/>
      <c r="J26" s="126"/>
      <c r="K26" s="126"/>
      <c r="L26" s="126"/>
      <c r="M26" s="126"/>
      <c r="N26" s="126"/>
      <c r="O26" s="126"/>
      <c r="P26" s="126"/>
      <c r="Q26" s="126"/>
      <c r="R26" s="126"/>
      <c r="S26" s="126"/>
      <c r="T26" s="126"/>
      <c r="U26" s="126"/>
      <c r="V26" s="126"/>
      <c r="W26" s="126"/>
      <c r="X26" s="124"/>
      <c r="Y26" s="124"/>
      <c r="Z26" s="124"/>
      <c r="AA26" s="124"/>
      <c r="AB26" s="124"/>
      <c r="AC26" s="124"/>
      <c r="AD26" s="124"/>
      <c r="AE26" s="124"/>
      <c r="AF26" s="124"/>
      <c r="AG26" s="124"/>
      <c r="AH26" s="124"/>
      <c r="AI26" s="124"/>
      <c r="AJ26" s="124"/>
      <c r="AK26" s="124"/>
      <c r="AL26" s="1211"/>
      <c r="AM26" s="1211"/>
      <c r="AN26" s="1211"/>
      <c r="AO26" s="1211"/>
      <c r="AP26" s="124"/>
      <c r="AQ26" s="124"/>
      <c r="AR26" s="124"/>
      <c r="AS26" s="124"/>
      <c r="AT26" s="124"/>
      <c r="AU26" s="6"/>
      <c r="AV26" s="6"/>
      <c r="AW26" s="6"/>
      <c r="AX26" s="6"/>
      <c r="AY26" s="6"/>
      <c r="AZ26" s="6"/>
      <c r="BA26" s="6"/>
      <c r="BB26" s="6"/>
      <c r="BC26" s="6"/>
      <c r="BD26" s="6"/>
      <c r="BE26" s="6"/>
      <c r="BF26" s="6"/>
      <c r="BG26" s="6"/>
      <c r="BH26" s="6"/>
      <c r="BI26" s="6"/>
      <c r="BJ26" s="6"/>
      <c r="BK26" s="6"/>
      <c r="BL26" s="6"/>
      <c r="BM26" s="6"/>
      <c r="BN26" s="6"/>
      <c r="BO26" s="6"/>
      <c r="BP26" s="6"/>
      <c r="BQ26" s="6"/>
      <c r="BR26" s="6"/>
      <c r="BS26" s="6"/>
    </row>
    <row r="27" spans="1:71" ht="15">
      <c r="A27" s="567" t="s">
        <v>638</v>
      </c>
      <c r="B27" s="36"/>
      <c r="C27" s="584"/>
      <c r="D27" s="36"/>
      <c r="E27" s="36"/>
      <c r="F27" s="36"/>
      <c r="G27" s="36"/>
      <c r="H27" s="36"/>
      <c r="I27" s="6"/>
      <c r="J27" s="6"/>
      <c r="K27" s="6"/>
      <c r="L27" s="6"/>
      <c r="M27" s="6"/>
      <c r="N27" s="6"/>
      <c r="O27" s="6"/>
      <c r="P27" s="6"/>
      <c r="Q27" s="6"/>
      <c r="R27" s="6"/>
      <c r="S27" s="126"/>
      <c r="T27" s="126"/>
      <c r="U27" s="126"/>
      <c r="V27" s="126"/>
      <c r="W27" s="126"/>
      <c r="X27" s="124"/>
      <c r="Y27" s="124"/>
      <c r="Z27" s="124"/>
      <c r="AA27" s="124"/>
      <c r="AB27" s="124"/>
      <c r="AC27" s="124"/>
      <c r="AD27" s="124"/>
      <c r="AE27" s="124"/>
      <c r="AF27" s="124"/>
      <c r="AG27" s="124"/>
      <c r="AH27" s="124"/>
      <c r="AI27" s="124"/>
      <c r="AJ27" s="124"/>
      <c r="AK27" s="124"/>
      <c r="AL27" s="1211"/>
      <c r="AM27" s="1211"/>
      <c r="AN27" s="1211"/>
      <c r="AO27" s="1211"/>
      <c r="AP27" s="124"/>
      <c r="AQ27" s="124"/>
      <c r="AR27" s="124"/>
      <c r="AS27" s="124"/>
      <c r="AT27" s="124"/>
      <c r="AU27" s="6"/>
      <c r="AV27" s="6"/>
      <c r="AW27" s="6"/>
      <c r="AX27" s="6"/>
      <c r="AY27" s="6"/>
      <c r="AZ27" s="6"/>
      <c r="BA27" s="6"/>
      <c r="BB27" s="6"/>
      <c r="BC27" s="6"/>
      <c r="BD27" s="6"/>
      <c r="BE27" s="6"/>
      <c r="BF27" s="6"/>
      <c r="BG27" s="6"/>
      <c r="BH27" s="6"/>
      <c r="BI27" s="6"/>
      <c r="BJ27" s="6"/>
      <c r="BK27" s="6"/>
      <c r="BL27" s="6"/>
      <c r="BM27" s="6"/>
      <c r="BN27" s="6"/>
      <c r="BO27" s="6"/>
      <c r="BP27" s="6"/>
      <c r="BQ27" s="6"/>
      <c r="BR27" s="6"/>
      <c r="BS27" s="6"/>
    </row>
    <row r="28" spans="1:71" ht="15">
      <c r="A28" s="567" t="s">
        <v>1397</v>
      </c>
      <c r="B28" s="259"/>
      <c r="C28" s="585"/>
      <c r="D28" s="259"/>
      <c r="E28" s="259"/>
      <c r="F28" s="259"/>
      <c r="G28" s="259"/>
      <c r="H28" s="259"/>
      <c r="I28" s="6"/>
      <c r="J28" s="6"/>
      <c r="K28" s="6"/>
      <c r="L28" s="6"/>
      <c r="M28" s="6"/>
      <c r="N28" s="6"/>
      <c r="O28" s="6"/>
      <c r="P28" s="6"/>
      <c r="Q28" s="6"/>
      <c r="R28" s="6"/>
      <c r="S28" s="126"/>
      <c r="T28" s="126"/>
      <c r="U28" s="126"/>
      <c r="V28" s="126"/>
      <c r="W28" s="126"/>
      <c r="X28" s="124"/>
      <c r="Y28" s="124"/>
      <c r="Z28" s="124"/>
      <c r="AA28" s="124"/>
      <c r="AB28" s="124"/>
      <c r="AC28" s="124"/>
      <c r="AD28" s="124"/>
      <c r="AE28" s="124"/>
      <c r="AF28" s="124"/>
      <c r="AG28" s="124"/>
      <c r="AH28" s="124"/>
      <c r="AI28" s="124"/>
      <c r="AJ28" s="124"/>
      <c r="AK28" s="124"/>
      <c r="AL28" s="1211"/>
      <c r="AM28" s="1211"/>
      <c r="AN28" s="1211"/>
      <c r="AO28" s="1211"/>
      <c r="AP28" s="124"/>
      <c r="AQ28" s="124"/>
      <c r="AR28" s="124"/>
      <c r="AS28" s="124"/>
      <c r="AT28" s="124"/>
      <c r="AU28" s="6"/>
      <c r="AV28" s="6"/>
      <c r="AW28" s="6"/>
      <c r="AX28" s="6"/>
      <c r="AY28" s="6"/>
      <c r="AZ28" s="6"/>
      <c r="BA28" s="6"/>
      <c r="BB28" s="6"/>
      <c r="BC28" s="6"/>
      <c r="BD28" s="6"/>
      <c r="BE28" s="6"/>
      <c r="BF28" s="6"/>
      <c r="BG28" s="6"/>
      <c r="BH28" s="6"/>
      <c r="BI28" s="6"/>
      <c r="BJ28" s="6"/>
      <c r="BK28" s="6"/>
      <c r="BL28" s="6"/>
      <c r="BM28" s="6"/>
      <c r="BN28" s="6"/>
      <c r="BO28" s="6"/>
      <c r="BP28" s="6"/>
      <c r="BQ28" s="6"/>
      <c r="BR28" s="6"/>
      <c r="BS28" s="6"/>
    </row>
    <row r="29" spans="1:71">
      <c r="A29" s="543" t="s">
        <v>741</v>
      </c>
      <c r="B29" s="84"/>
      <c r="C29" s="585"/>
      <c r="D29" s="84"/>
      <c r="E29" s="84"/>
      <c r="F29" s="84"/>
      <c r="G29" s="84"/>
      <c r="H29" s="84"/>
      <c r="I29" s="36"/>
      <c r="J29" s="36"/>
      <c r="K29" s="36"/>
      <c r="L29" s="6"/>
      <c r="M29" s="6"/>
      <c r="N29" s="6"/>
      <c r="O29" s="6"/>
      <c r="P29" s="6"/>
      <c r="Q29" s="6"/>
      <c r="R29" s="6"/>
      <c r="S29" s="126"/>
      <c r="T29" s="126"/>
      <c r="U29" s="126"/>
      <c r="V29" s="126"/>
      <c r="W29" s="126"/>
      <c r="X29" s="124"/>
      <c r="Y29" s="124"/>
      <c r="Z29" s="124"/>
      <c r="AA29" s="124"/>
      <c r="AB29" s="124"/>
      <c r="AC29" s="124"/>
      <c r="AD29" s="124"/>
      <c r="AE29" s="124"/>
      <c r="AF29" s="124"/>
      <c r="AG29" s="124"/>
      <c r="AH29" s="124"/>
      <c r="AI29" s="124"/>
      <c r="AJ29" s="124"/>
      <c r="AK29" s="124"/>
      <c r="AL29" s="1211"/>
      <c r="AM29" s="1211"/>
      <c r="AN29" s="1211"/>
      <c r="AO29" s="1211"/>
      <c r="AP29" s="124"/>
      <c r="AQ29" s="124"/>
      <c r="AR29" s="124"/>
      <c r="AS29" s="124"/>
      <c r="AT29" s="124"/>
      <c r="AU29" s="6">
        <v>1998</v>
      </c>
      <c r="AV29" s="586"/>
      <c r="AW29" s="586"/>
      <c r="AX29" s="586"/>
      <c r="AY29" s="586"/>
      <c r="AZ29" s="6">
        <v>1999</v>
      </c>
      <c r="BA29" s="586"/>
      <c r="BB29" s="586"/>
      <c r="BC29" s="586"/>
      <c r="BD29" s="586"/>
      <c r="BE29" s="587">
        <v>2000</v>
      </c>
      <c r="BF29" s="588"/>
      <c r="BG29" s="588"/>
      <c r="BH29" s="588"/>
      <c r="BI29" s="342"/>
      <c r="BJ29" s="587">
        <v>2001</v>
      </c>
      <c r="BK29" s="588"/>
      <c r="BL29" s="588"/>
      <c r="BM29" s="588"/>
      <c r="BN29" s="342"/>
      <c r="BO29" s="587">
        <f>+'Segment Detail'!BZ4</f>
        <v>2002</v>
      </c>
      <c r="BP29" s="588"/>
      <c r="BQ29" s="588"/>
      <c r="BR29" s="588"/>
      <c r="BS29" s="6"/>
    </row>
    <row r="30" spans="1:71">
      <c r="A30" s="589"/>
      <c r="B30" s="20"/>
      <c r="C30" s="590"/>
      <c r="D30" s="590"/>
      <c r="E30" s="590"/>
      <c r="F30" s="591" t="str">
        <f>+F5</f>
        <v>1996PF</v>
      </c>
      <c r="G30" s="591" t="s">
        <v>1195</v>
      </c>
      <c r="H30" s="592">
        <v>1998</v>
      </c>
      <c r="I30" s="592">
        <v>1999</v>
      </c>
      <c r="J30" s="592">
        <f>+I30+1</f>
        <v>2000</v>
      </c>
      <c r="K30" s="592">
        <v>2001</v>
      </c>
      <c r="L30" s="592">
        <v>2002</v>
      </c>
      <c r="M30" s="592">
        <v>2003</v>
      </c>
      <c r="N30" s="592">
        <v>2004</v>
      </c>
      <c r="O30" s="592">
        <v>2005</v>
      </c>
      <c r="P30" s="592">
        <v>2006</v>
      </c>
      <c r="Q30" s="592">
        <v>2007</v>
      </c>
      <c r="R30" s="592">
        <v>2008</v>
      </c>
      <c r="S30" s="592">
        <v>2009</v>
      </c>
      <c r="T30" s="592">
        <v>2010</v>
      </c>
      <c r="U30" s="592">
        <v>2011</v>
      </c>
      <c r="V30" s="592">
        <v>2012</v>
      </c>
      <c r="W30" s="592">
        <v>2013</v>
      </c>
      <c r="X30" s="344">
        <v>2014</v>
      </c>
      <c r="Y30" s="138">
        <v>2015</v>
      </c>
      <c r="Z30" s="138">
        <v>2016</v>
      </c>
      <c r="AA30" s="138" t="s">
        <v>469</v>
      </c>
      <c r="AB30" s="138" t="s">
        <v>618</v>
      </c>
      <c r="AC30" s="138" t="s">
        <v>385</v>
      </c>
      <c r="AD30" s="138" t="s">
        <v>1080</v>
      </c>
      <c r="AE30" s="138" t="s">
        <v>345</v>
      </c>
      <c r="AF30" s="138" t="s">
        <v>346</v>
      </c>
      <c r="AG30" s="138" t="s">
        <v>1122</v>
      </c>
      <c r="AH30" s="138" t="s">
        <v>1123</v>
      </c>
      <c r="AI30" s="138" t="s">
        <v>1519</v>
      </c>
      <c r="AJ30" s="138" t="s">
        <v>1609</v>
      </c>
      <c r="AK30" s="138" t="s">
        <v>1698</v>
      </c>
      <c r="AL30" s="138" t="s">
        <v>1803</v>
      </c>
      <c r="AM30" s="93"/>
      <c r="AN30" s="93"/>
      <c r="AO30" s="93"/>
      <c r="AP30" s="274"/>
      <c r="AQ30" s="274"/>
      <c r="AR30" s="274"/>
      <c r="AS30" s="274"/>
      <c r="AT30" s="274"/>
      <c r="AU30" s="6" t="s">
        <v>670</v>
      </c>
      <c r="AV30" s="593" t="s">
        <v>671</v>
      </c>
      <c r="AW30" s="593" t="s">
        <v>672</v>
      </c>
      <c r="AX30" s="593" t="s">
        <v>673</v>
      </c>
      <c r="AY30" s="594"/>
      <c r="AZ30" s="6" t="s">
        <v>670</v>
      </c>
      <c r="BA30" s="595" t="s">
        <v>671</v>
      </c>
      <c r="BB30" s="595" t="s">
        <v>672</v>
      </c>
      <c r="BC30" s="595" t="s">
        <v>673</v>
      </c>
      <c r="BD30" s="596"/>
      <c r="BE30" s="595" t="s">
        <v>670</v>
      </c>
      <c r="BF30" s="595" t="s">
        <v>671</v>
      </c>
      <c r="BG30" s="595" t="s">
        <v>672</v>
      </c>
      <c r="BH30" s="595" t="s">
        <v>674</v>
      </c>
      <c r="BI30" s="596"/>
      <c r="BJ30" s="595" t="str">
        <f>+'Segment Detail'!BU5</f>
        <v>1Q</v>
      </c>
      <c r="BK30" s="595" t="str">
        <f>+'Segment Detail'!BV5</f>
        <v>2Q</v>
      </c>
      <c r="BL30" s="595" t="str">
        <f>+'Segment Detail'!BW5</f>
        <v>3Q</v>
      </c>
      <c r="BM30" s="595" t="str">
        <f>+'Segment Detail'!BX5</f>
        <v>4Q</v>
      </c>
      <c r="BN30" s="595"/>
      <c r="BO30" s="595" t="str">
        <f>+'Segment Detail'!BZ5</f>
        <v>1Q</v>
      </c>
      <c r="BP30" s="595" t="str">
        <f>+'Segment Detail'!CA5</f>
        <v>2Q</v>
      </c>
      <c r="BQ30" s="595" t="str">
        <f>+'Segment Detail'!CB5</f>
        <v>3Q</v>
      </c>
      <c r="BR30" s="595" t="str">
        <f>+'Segment Detail'!CC5</f>
        <v>4Q</v>
      </c>
      <c r="BS30" s="6"/>
    </row>
    <row r="31" spans="1:71">
      <c r="A31" s="597"/>
      <c r="B31" s="84"/>
      <c r="C31" s="598"/>
      <c r="D31" s="598"/>
      <c r="E31" s="598"/>
      <c r="F31" s="598"/>
      <c r="G31" s="598"/>
      <c r="H31" s="598"/>
      <c r="I31" s="599"/>
      <c r="J31" s="464"/>
      <c r="K31" s="464"/>
      <c r="L31" s="464"/>
      <c r="M31" s="599"/>
      <c r="N31" s="599"/>
      <c r="O31" s="599"/>
      <c r="P31" s="599"/>
      <c r="Q31" s="599"/>
      <c r="R31" s="599"/>
      <c r="S31" s="221"/>
      <c r="T31" s="221"/>
      <c r="U31" s="221"/>
      <c r="V31" s="221"/>
      <c r="W31" s="221"/>
      <c r="X31" s="459"/>
      <c r="Y31" s="459"/>
      <c r="Z31" s="459"/>
      <c r="AA31" s="459"/>
      <c r="AB31" s="459"/>
      <c r="AC31" s="459"/>
      <c r="AD31" s="459"/>
      <c r="AE31" s="459"/>
      <c r="AF31" s="459"/>
      <c r="AG31" s="459"/>
      <c r="AH31" s="459"/>
      <c r="AI31" s="459"/>
      <c r="AJ31" s="459"/>
      <c r="AK31" s="459"/>
      <c r="AL31" s="459"/>
      <c r="AM31" s="459"/>
      <c r="AN31" s="350"/>
      <c r="AO31" s="350"/>
      <c r="AP31" s="459"/>
      <c r="AQ31" s="459"/>
      <c r="AR31" s="459"/>
      <c r="AS31" s="459"/>
      <c r="AT31" s="459"/>
      <c r="AU31" s="6"/>
      <c r="AV31" s="6"/>
      <c r="AW31" s="6"/>
      <c r="AX31" s="6"/>
      <c r="AY31" s="6"/>
      <c r="AZ31" s="6"/>
      <c r="BA31" s="6"/>
      <c r="BB31" s="6"/>
      <c r="BC31" s="6"/>
      <c r="BD31" s="6"/>
      <c r="BE31" s="6"/>
      <c r="BF31" s="6"/>
      <c r="BG31" s="6"/>
      <c r="BH31" s="6"/>
      <c r="BI31" s="6"/>
      <c r="BJ31" s="6"/>
      <c r="BK31" s="6"/>
      <c r="BL31" s="6"/>
      <c r="BM31" s="6"/>
      <c r="BN31" s="6"/>
      <c r="BO31" s="6"/>
      <c r="BP31" s="6"/>
      <c r="BQ31" s="6"/>
      <c r="BR31" s="6"/>
      <c r="BS31" s="6"/>
    </row>
    <row r="32" spans="1:71">
      <c r="A32" s="600" t="s">
        <v>1196</v>
      </c>
      <c r="B32" s="601"/>
      <c r="C32" s="601"/>
      <c r="D32" s="601"/>
      <c r="E32" s="601"/>
      <c r="F32" s="601"/>
      <c r="G32" s="601"/>
      <c r="H32" s="601"/>
      <c r="I32" s="601"/>
      <c r="J32" s="601"/>
      <c r="K32" s="601"/>
      <c r="L32" s="601"/>
      <c r="M32" s="601"/>
      <c r="N32" s="601"/>
      <c r="O32" s="601"/>
      <c r="P32" s="601"/>
      <c r="Q32" s="601"/>
      <c r="R32" s="601"/>
      <c r="S32" s="221"/>
      <c r="T32" s="221"/>
      <c r="U32" s="221"/>
      <c r="V32" s="221"/>
      <c r="W32" s="221"/>
      <c r="X32" s="459"/>
      <c r="Y32" s="459"/>
      <c r="Z32" s="459"/>
      <c r="AA32" s="459"/>
      <c r="AB32" s="459"/>
      <c r="AC32" s="459"/>
      <c r="AD32" s="459"/>
      <c r="AE32" s="459"/>
      <c r="AF32" s="459"/>
      <c r="AG32" s="459"/>
      <c r="AH32" s="459"/>
      <c r="AI32" s="459"/>
      <c r="AJ32" s="459"/>
      <c r="AK32" s="459"/>
      <c r="AL32" s="459"/>
      <c r="AM32" s="459"/>
      <c r="AN32" s="1228"/>
      <c r="AO32" s="1228"/>
      <c r="AP32" s="459"/>
      <c r="AQ32" s="459"/>
      <c r="AR32" s="459"/>
      <c r="AS32" s="459"/>
      <c r="AT32" s="459"/>
      <c r="AU32" s="6"/>
      <c r="AV32" s="6"/>
      <c r="AW32" s="6"/>
      <c r="AX32" s="6"/>
      <c r="AY32" s="6"/>
      <c r="AZ32" s="6"/>
      <c r="BA32" s="6"/>
      <c r="BB32" s="6"/>
      <c r="BC32" s="6"/>
      <c r="BD32" s="6"/>
      <c r="BE32" s="6"/>
      <c r="BF32" s="6"/>
      <c r="BG32" s="6"/>
      <c r="BH32" s="6"/>
      <c r="BI32" s="6"/>
      <c r="BJ32" s="6"/>
      <c r="BK32" s="6"/>
      <c r="BL32" s="6"/>
      <c r="BM32" s="6"/>
      <c r="BN32" s="6"/>
      <c r="BO32" s="6"/>
      <c r="BP32" s="6"/>
      <c r="BQ32" s="6"/>
      <c r="BR32" s="6"/>
      <c r="BS32" s="6"/>
    </row>
    <row r="33" spans="1:71">
      <c r="A33" s="550" t="s">
        <v>1197</v>
      </c>
      <c r="B33" s="601"/>
      <c r="C33" s="601"/>
      <c r="D33" s="601"/>
      <c r="E33" s="602"/>
      <c r="F33" s="603">
        <v>5128</v>
      </c>
      <c r="G33" s="603">
        <v>5359.9</v>
      </c>
      <c r="H33" s="603">
        <v>5736.1</v>
      </c>
      <c r="I33" s="602">
        <f t="shared" ref="I33:Y33" si="1">I103*I100</f>
        <v>6829.2987668385449</v>
      </c>
      <c r="J33" s="602">
        <f t="shared" si="1"/>
        <v>7034.1777298437009</v>
      </c>
      <c r="K33" s="602">
        <f t="shared" si="1"/>
        <v>7034.1777298437009</v>
      </c>
      <c r="L33" s="602">
        <f t="shared" si="1"/>
        <v>7248.8260749884093</v>
      </c>
      <c r="M33" s="602">
        <f t="shared" si="1"/>
        <v>7538.7791179879459</v>
      </c>
      <c r="N33" s="602">
        <f t="shared" si="1"/>
        <v>8066.4936562471021</v>
      </c>
      <c r="O33" s="602">
        <f t="shared" si="1"/>
        <v>8066.4936562471021</v>
      </c>
      <c r="P33" s="602">
        <f t="shared" si="1"/>
        <v>7663.1689734347465</v>
      </c>
      <c r="Q33" s="602">
        <f t="shared" si="1"/>
        <v>7280.010524763009</v>
      </c>
      <c r="R33" s="602">
        <f t="shared" si="1"/>
        <v>6163.6805397464632</v>
      </c>
      <c r="S33" s="602">
        <f t="shared" si="1"/>
        <v>5209.0929069932918</v>
      </c>
      <c r="T33" s="602">
        <f t="shared" si="1"/>
        <v>7045.6185199081974</v>
      </c>
      <c r="U33" s="602">
        <f t="shared" si="1"/>
        <v>6037.6268258674654</v>
      </c>
      <c r="V33" s="602">
        <f t="shared" si="1"/>
        <v>6655.869010744691</v>
      </c>
      <c r="W33" s="602">
        <f>W103*W100</f>
        <v>6038.6438738083643</v>
      </c>
      <c r="X33" s="787">
        <f t="shared" si="1"/>
        <v>6559.7893133860789</v>
      </c>
      <c r="Y33" s="787">
        <f t="shared" si="1"/>
        <v>6229.8903428459735</v>
      </c>
      <c r="Z33" s="787">
        <f>Z103*Z100</f>
        <v>6410.5691632486487</v>
      </c>
      <c r="AA33" s="787">
        <f t="shared" ref="AA33:AF33" si="2">AA103*AA100</f>
        <v>6428.0764431444368</v>
      </c>
      <c r="AB33" s="787">
        <f>AB103*AB100</f>
        <v>6428.0764431444368</v>
      </c>
      <c r="AC33" s="787">
        <f t="shared" si="2"/>
        <v>6363.7956787129924</v>
      </c>
      <c r="AD33" s="787">
        <f t="shared" si="2"/>
        <v>6300.1577219258625</v>
      </c>
      <c r="AE33" s="787">
        <f t="shared" si="2"/>
        <v>6237.1561447066033</v>
      </c>
      <c r="AF33" s="787">
        <f t="shared" si="2"/>
        <v>6174.7845832595367</v>
      </c>
      <c r="AG33" s="787">
        <f t="shared" ref="AG33:AL33" si="3">AG103*AG100</f>
        <v>6113.0367374269417</v>
      </c>
      <c r="AH33" s="787">
        <f t="shared" si="3"/>
        <v>6051.9063700526713</v>
      </c>
      <c r="AI33" s="787">
        <f t="shared" si="3"/>
        <v>5991.3873063521451</v>
      </c>
      <c r="AJ33" s="787">
        <f t="shared" si="3"/>
        <v>5931.4734332886237</v>
      </c>
      <c r="AK33" s="787">
        <f t="shared" si="3"/>
        <v>5872.1586989557372</v>
      </c>
      <c r="AL33" s="787">
        <f t="shared" si="3"/>
        <v>5813.4371119661801</v>
      </c>
      <c r="AM33" s="1229"/>
      <c r="AN33" s="1229"/>
      <c r="AO33" s="1229"/>
      <c r="AP33" s="787"/>
      <c r="AQ33" s="787"/>
      <c r="AR33" s="787"/>
      <c r="AS33" s="787"/>
      <c r="AT33" s="787"/>
      <c r="AU33" s="6"/>
      <c r="AV33" s="6"/>
      <c r="AW33" s="6"/>
      <c r="AX33" s="6"/>
      <c r="AY33" s="6"/>
      <c r="AZ33" s="6"/>
      <c r="BA33" s="6"/>
      <c r="BB33" s="6"/>
      <c r="BC33" s="6"/>
      <c r="BD33" s="6"/>
      <c r="BE33" s="6"/>
      <c r="BF33" s="6"/>
      <c r="BG33" s="6"/>
      <c r="BH33" s="6"/>
      <c r="BI33" s="6"/>
      <c r="BJ33" s="6"/>
      <c r="BK33" s="6"/>
      <c r="BL33" s="6"/>
      <c r="BM33" s="6"/>
      <c r="BN33" s="6"/>
      <c r="BO33" s="6"/>
      <c r="BP33" s="6"/>
      <c r="BQ33" s="6"/>
      <c r="BR33" s="6"/>
      <c r="BS33" s="6"/>
    </row>
    <row r="34" spans="1:71">
      <c r="A34" s="550" t="s">
        <v>1198</v>
      </c>
      <c r="B34" s="601"/>
      <c r="C34" s="601"/>
      <c r="D34" s="601"/>
      <c r="E34" s="602"/>
      <c r="F34" s="604"/>
      <c r="G34" s="38">
        <f t="shared" ref="G34:AD34" si="4">G33/F33-1</f>
        <v>4.5222308892355567E-2</v>
      </c>
      <c r="H34" s="38">
        <f t="shared" si="4"/>
        <v>7.0187876639489666E-2</v>
      </c>
      <c r="I34" s="38">
        <f t="shared" si="4"/>
        <v>0.19058223650887274</v>
      </c>
      <c r="J34" s="38">
        <f t="shared" si="4"/>
        <v>3.0000000000000027E-2</v>
      </c>
      <c r="K34" s="38">
        <f t="shared" si="4"/>
        <v>0</v>
      </c>
      <c r="L34" s="38">
        <f t="shared" si="4"/>
        <v>3.0515058531152217E-2</v>
      </c>
      <c r="M34" s="38">
        <f t="shared" si="4"/>
        <v>4.0000000000000036E-2</v>
      </c>
      <c r="N34" s="38">
        <f t="shared" si="4"/>
        <v>7.0000000000000062E-2</v>
      </c>
      <c r="O34" s="38">
        <f t="shared" si="4"/>
        <v>0</v>
      </c>
      <c r="P34" s="38">
        <f t="shared" si="4"/>
        <v>-5.0000000000000044E-2</v>
      </c>
      <c r="Q34" s="38">
        <f t="shared" si="4"/>
        <v>-5.0000000000000044E-2</v>
      </c>
      <c r="R34" s="38">
        <f t="shared" si="4"/>
        <v>-0.15334180922120111</v>
      </c>
      <c r="S34" s="38">
        <f t="shared" si="4"/>
        <v>-0.15487298970112384</v>
      </c>
      <c r="T34" s="38">
        <f t="shared" si="4"/>
        <v>0.35256150076519854</v>
      </c>
      <c r="U34" s="38">
        <f t="shared" si="4"/>
        <v>-0.14306645913237237</v>
      </c>
      <c r="V34" s="38">
        <f t="shared" si="4"/>
        <v>0.10239821087127199</v>
      </c>
      <c r="W34" s="38">
        <f t="shared" si="4"/>
        <v>-9.2733966960577008E-2</v>
      </c>
      <c r="X34" s="39">
        <f t="shared" si="4"/>
        <v>8.6301734374185868E-2</v>
      </c>
      <c r="Y34" s="39">
        <f t="shared" si="4"/>
        <v>-5.0291092408548121E-2</v>
      </c>
      <c r="Z34" s="39">
        <f>Z33/Y33-1</f>
        <v>2.9001926271488232E-2</v>
      </c>
      <c r="AA34" s="39">
        <f t="shared" si="4"/>
        <v>2.731002419591011E-3</v>
      </c>
      <c r="AB34" s="39">
        <f t="shared" si="4"/>
        <v>0</v>
      </c>
      <c r="AC34" s="39">
        <f t="shared" si="4"/>
        <v>-1.0000000000000009E-2</v>
      </c>
      <c r="AD34" s="39">
        <f t="shared" si="4"/>
        <v>-1.0000000000000009E-2</v>
      </c>
      <c r="AE34" s="39">
        <f t="shared" ref="AE34:AJ34" si="5">AE33/AD33-1</f>
        <v>-1.000000000000012E-2</v>
      </c>
      <c r="AF34" s="39">
        <f t="shared" si="5"/>
        <v>-1.000000000000012E-2</v>
      </c>
      <c r="AG34" s="39">
        <f t="shared" si="5"/>
        <v>-9.9999999999998979E-3</v>
      </c>
      <c r="AH34" s="39">
        <f t="shared" si="5"/>
        <v>-1.000000000000012E-2</v>
      </c>
      <c r="AI34" s="39">
        <f t="shared" si="5"/>
        <v>-9.9999999999998979E-3</v>
      </c>
      <c r="AJ34" s="39">
        <f t="shared" si="5"/>
        <v>-1.0000000000000009E-2</v>
      </c>
      <c r="AK34" s="39">
        <f>AK33/AJ33-1</f>
        <v>-1.0000000000000009E-2</v>
      </c>
      <c r="AL34" s="39">
        <f>AL33/AK33-1</f>
        <v>-1.0000000000000009E-2</v>
      </c>
      <c r="AM34" s="80"/>
      <c r="AN34" s="80"/>
      <c r="AO34" s="80"/>
      <c r="AP34" s="39"/>
      <c r="AQ34" s="39"/>
      <c r="AR34" s="39"/>
      <c r="AS34" s="39"/>
      <c r="AT34" s="39"/>
      <c r="AU34" s="6"/>
      <c r="AV34" s="6"/>
      <c r="AW34" s="6"/>
      <c r="AX34" s="6"/>
      <c r="AY34" s="6"/>
      <c r="AZ34" s="6"/>
      <c r="BA34" s="6"/>
      <c r="BB34" s="6"/>
      <c r="BC34" s="6"/>
      <c r="BD34" s="6"/>
      <c r="BE34" s="6"/>
      <c r="BF34" s="6"/>
      <c r="BG34" s="6"/>
      <c r="BH34" s="6"/>
      <c r="BI34" s="6"/>
      <c r="BJ34" s="6"/>
      <c r="BK34" s="6"/>
      <c r="BL34" s="6"/>
      <c r="BM34" s="6"/>
      <c r="BN34" s="6"/>
      <c r="BO34" s="6"/>
      <c r="BP34" s="6"/>
      <c r="BQ34" s="6"/>
      <c r="BR34" s="6"/>
      <c r="BS34" s="6"/>
    </row>
    <row r="35" spans="1:71">
      <c r="A35" s="605" t="s">
        <v>1199</v>
      </c>
      <c r="B35" s="601"/>
      <c r="C35" s="601"/>
      <c r="D35" s="601"/>
      <c r="E35" s="602"/>
      <c r="F35" s="604">
        <f>F33*0.85</f>
        <v>4358.8</v>
      </c>
      <c r="G35" s="604">
        <f>G33*0.85</f>
        <v>4555.915</v>
      </c>
      <c r="H35" s="604">
        <f>H33*0.85</f>
        <v>4875.6850000000004</v>
      </c>
      <c r="I35" s="602">
        <f t="shared" ref="I35:Y35" si="6">I104*I102</f>
        <v>5804.9039518127629</v>
      </c>
      <c r="J35" s="602">
        <f t="shared" si="6"/>
        <v>5979.0510703671462</v>
      </c>
      <c r="K35" s="602">
        <f t="shared" si="6"/>
        <v>5979.0510703671462</v>
      </c>
      <c r="L35" s="602">
        <f t="shared" si="6"/>
        <v>6161.5021637401478</v>
      </c>
      <c r="M35" s="602">
        <f t="shared" si="6"/>
        <v>6407.9622502897546</v>
      </c>
      <c r="N35" s="602">
        <f t="shared" si="6"/>
        <v>6856.5196078100362</v>
      </c>
      <c r="O35" s="602">
        <f t="shared" ref="O35:T35" si="7">O104*O102</f>
        <v>6856.5196078100362</v>
      </c>
      <c r="P35" s="602">
        <f t="shared" si="7"/>
        <v>6513.6936274195341</v>
      </c>
      <c r="Q35" s="602">
        <f t="shared" si="7"/>
        <v>6188.0089460485569</v>
      </c>
      <c r="R35" s="602">
        <f t="shared" si="7"/>
        <v>5239.128458784493</v>
      </c>
      <c r="S35" s="602">
        <f t="shared" si="7"/>
        <v>4427.7289709442975</v>
      </c>
      <c r="T35" s="602">
        <f t="shared" si="7"/>
        <v>5988.7757419219679</v>
      </c>
      <c r="U35" s="602">
        <f>U104*U102</f>
        <v>5131.9828019873457</v>
      </c>
      <c r="V35" s="602">
        <f>V104*V102</f>
        <v>5657.4886591329878</v>
      </c>
      <c r="W35" s="602">
        <f>W104*W102</f>
        <v>5132.8472927371095</v>
      </c>
      <c r="X35" s="787">
        <f t="shared" si="6"/>
        <v>5575.8209163781667</v>
      </c>
      <c r="Y35" s="787">
        <f t="shared" si="6"/>
        <v>5295.4067914190773</v>
      </c>
      <c r="Z35" s="787">
        <f t="shared" ref="Z35:AJ35" si="8">Z104*Z102</f>
        <v>5448.9837887613512</v>
      </c>
      <c r="AA35" s="787">
        <f t="shared" si="8"/>
        <v>5463.8649766727713</v>
      </c>
      <c r="AB35" s="787">
        <f>AB104*AB102</f>
        <v>5463.8649766727713</v>
      </c>
      <c r="AC35" s="787">
        <f t="shared" si="8"/>
        <v>5409.2263269060431</v>
      </c>
      <c r="AD35" s="787">
        <f t="shared" si="8"/>
        <v>5355.1340636369823</v>
      </c>
      <c r="AE35" s="787">
        <f t="shared" si="8"/>
        <v>5301.5827230006125</v>
      </c>
      <c r="AF35" s="787">
        <f t="shared" si="8"/>
        <v>5248.5668957706066</v>
      </c>
      <c r="AG35" s="787">
        <f t="shared" si="8"/>
        <v>5196.0812268129002</v>
      </c>
      <c r="AH35" s="787">
        <f t="shared" si="8"/>
        <v>5144.1204145447709</v>
      </c>
      <c r="AI35" s="787">
        <f t="shared" si="8"/>
        <v>5092.679210399323</v>
      </c>
      <c r="AJ35" s="787">
        <f t="shared" si="8"/>
        <v>5041.7524182953302</v>
      </c>
      <c r="AK35" s="787">
        <f>AK104*AK102</f>
        <v>4991.3348941123768</v>
      </c>
      <c r="AL35" s="787">
        <f>AL104*AL102</f>
        <v>4941.4215451712535</v>
      </c>
      <c r="AM35" s="1229"/>
      <c r="AN35" s="1229"/>
      <c r="AO35" s="1229"/>
      <c r="AP35" s="787"/>
      <c r="AQ35" s="787"/>
      <c r="AR35" s="787"/>
      <c r="AS35" s="787"/>
      <c r="AT35" s="787"/>
      <c r="AU35" s="6"/>
      <c r="AV35" s="6"/>
      <c r="AW35" s="6"/>
      <c r="AX35" s="6"/>
      <c r="AY35" s="6"/>
      <c r="AZ35" s="6"/>
      <c r="BA35" s="6"/>
      <c r="BB35" s="6"/>
      <c r="BC35" s="6"/>
      <c r="BD35" s="6"/>
      <c r="BE35" s="6"/>
      <c r="BF35" s="6"/>
      <c r="BG35" s="6"/>
      <c r="BH35" s="6"/>
      <c r="BI35" s="6"/>
      <c r="BJ35" s="6"/>
      <c r="BK35" s="6"/>
      <c r="BL35" s="6"/>
      <c r="BM35" s="6"/>
      <c r="BN35" s="6"/>
      <c r="BO35" s="6"/>
      <c r="BP35" s="6"/>
      <c r="BQ35" s="6"/>
      <c r="BR35" s="6"/>
      <c r="BS35" s="6"/>
    </row>
    <row r="36" spans="1:71">
      <c r="A36" s="550" t="s">
        <v>1198</v>
      </c>
      <c r="B36" s="601"/>
      <c r="C36" s="601"/>
      <c r="D36" s="601"/>
      <c r="E36" s="602"/>
      <c r="F36" s="604"/>
      <c r="G36" s="38">
        <f t="shared" ref="G36:AD36" si="9">G35/F35-1</f>
        <v>4.5222308892355567E-2</v>
      </c>
      <c r="H36" s="38">
        <f t="shared" si="9"/>
        <v>7.0187876639489666E-2</v>
      </c>
      <c r="I36" s="38">
        <f t="shared" si="9"/>
        <v>0.19058223650887252</v>
      </c>
      <c r="J36" s="38">
        <f t="shared" si="9"/>
        <v>3.0000000000000027E-2</v>
      </c>
      <c r="K36" s="38">
        <f t="shared" si="9"/>
        <v>0</v>
      </c>
      <c r="L36" s="38">
        <f t="shared" si="9"/>
        <v>3.0515058531152217E-2</v>
      </c>
      <c r="M36" s="38">
        <f t="shared" si="9"/>
        <v>4.0000000000000036E-2</v>
      </c>
      <c r="N36" s="38">
        <f t="shared" si="9"/>
        <v>6.999999999999984E-2</v>
      </c>
      <c r="O36" s="38">
        <f t="shared" si="9"/>
        <v>0</v>
      </c>
      <c r="P36" s="38">
        <f t="shared" si="9"/>
        <v>-5.0000000000000044E-2</v>
      </c>
      <c r="Q36" s="38">
        <f t="shared" si="9"/>
        <v>-5.0000000000000044E-2</v>
      </c>
      <c r="R36" s="38">
        <f t="shared" si="9"/>
        <v>-0.15334180922120122</v>
      </c>
      <c r="S36" s="38">
        <f>S35/R35-1</f>
        <v>-0.15487298970112384</v>
      </c>
      <c r="T36" s="38">
        <f t="shared" si="9"/>
        <v>0.35256150076519877</v>
      </c>
      <c r="U36" s="38">
        <f>U35/T35-1</f>
        <v>-0.14306645913237237</v>
      </c>
      <c r="V36" s="38">
        <f t="shared" si="9"/>
        <v>0.10239821087127199</v>
      </c>
      <c r="W36" s="132">
        <f>W43/V43-1</f>
        <v>-9.2733966960577119E-2</v>
      </c>
      <c r="X36" s="39">
        <f t="shared" si="9"/>
        <v>8.6301734374185868E-2</v>
      </c>
      <c r="Y36" s="39">
        <f t="shared" si="9"/>
        <v>-5.029109240854801E-2</v>
      </c>
      <c r="Z36" s="39">
        <f>Z35/Y35-1</f>
        <v>2.9001926271488232E-2</v>
      </c>
      <c r="AA36" s="39">
        <f>AA35/Z35-1</f>
        <v>2.731002419591233E-3</v>
      </c>
      <c r="AB36" s="39">
        <f>AB35/AA35-1</f>
        <v>0</v>
      </c>
      <c r="AC36" s="39">
        <f>AC35/AB35-1</f>
        <v>-1.000000000000012E-2</v>
      </c>
      <c r="AD36" s="39">
        <f t="shared" si="9"/>
        <v>-1.000000000000012E-2</v>
      </c>
      <c r="AE36" s="39">
        <f t="shared" ref="AE36:AJ36" si="10">AE35/AD35-1</f>
        <v>-1.0000000000000009E-2</v>
      </c>
      <c r="AF36" s="39">
        <f t="shared" si="10"/>
        <v>-1.0000000000000009E-2</v>
      </c>
      <c r="AG36" s="39">
        <f t="shared" si="10"/>
        <v>-1.0000000000000009E-2</v>
      </c>
      <c r="AH36" s="39">
        <f t="shared" si="10"/>
        <v>-1.0000000000000009E-2</v>
      </c>
      <c r="AI36" s="39">
        <f t="shared" si="10"/>
        <v>-1.0000000000000009E-2</v>
      </c>
      <c r="AJ36" s="39">
        <f t="shared" si="10"/>
        <v>-9.9999999999998979E-3</v>
      </c>
      <c r="AK36" s="39">
        <f>AK35/AJ35-1</f>
        <v>-1.0000000000000009E-2</v>
      </c>
      <c r="AL36" s="39">
        <f>AL35/AK35-1</f>
        <v>-9.9999999999998979E-3</v>
      </c>
      <c r="AM36" s="80"/>
      <c r="AN36" s="80"/>
      <c r="AO36" s="80"/>
      <c r="AP36" s="39"/>
      <c r="AQ36" s="39"/>
      <c r="AR36" s="39"/>
      <c r="AS36" s="39"/>
      <c r="AT36" s="39"/>
      <c r="AU36" s="6"/>
      <c r="AV36" s="6"/>
      <c r="AW36" s="6"/>
      <c r="AX36" s="6"/>
      <c r="AY36" s="6"/>
      <c r="AZ36" s="6"/>
      <c r="BA36" s="6"/>
      <c r="BB36" s="6"/>
      <c r="BC36" s="6"/>
      <c r="BD36" s="6"/>
      <c r="BE36" s="6"/>
      <c r="BF36" s="6"/>
      <c r="BG36" s="6"/>
      <c r="BH36" s="6"/>
      <c r="BI36" s="6"/>
      <c r="BJ36" s="6"/>
      <c r="BK36" s="6"/>
      <c r="BL36" s="6"/>
      <c r="BM36" s="6"/>
      <c r="BN36" s="6"/>
      <c r="BO36" s="6"/>
      <c r="BP36" s="6"/>
      <c r="BQ36" s="6"/>
      <c r="BR36" s="6"/>
      <c r="BS36" s="6"/>
    </row>
    <row r="37" spans="1:71">
      <c r="A37" s="550"/>
      <c r="B37" s="601"/>
      <c r="C37" s="601"/>
      <c r="D37" s="601"/>
      <c r="E37" s="602"/>
      <c r="F37" s="604"/>
      <c r="G37" s="38"/>
      <c r="H37" s="602"/>
      <c r="I37" s="602"/>
      <c r="J37" s="602"/>
      <c r="K37" s="602"/>
      <c r="L37" s="602"/>
      <c r="M37" s="602"/>
      <c r="N37" s="602"/>
      <c r="O37" s="602"/>
      <c r="P37" s="602"/>
      <c r="Q37" s="602"/>
      <c r="R37" s="602"/>
      <c r="S37" s="221"/>
      <c r="T37" s="221"/>
      <c r="U37" s="221"/>
      <c r="V37" s="221"/>
      <c r="W37" s="221"/>
      <c r="X37" s="459"/>
      <c r="Y37" s="459"/>
      <c r="Z37" s="459"/>
      <c r="AA37" s="459"/>
      <c r="AB37" s="459"/>
      <c r="AC37" s="459"/>
      <c r="AD37" s="459"/>
      <c r="AE37" s="459"/>
      <c r="AF37" s="459"/>
      <c r="AG37" s="459"/>
      <c r="AH37" s="459"/>
      <c r="AI37" s="459"/>
      <c r="AJ37" s="459"/>
      <c r="AK37" s="459"/>
      <c r="AL37" s="459"/>
      <c r="AM37" s="1228"/>
      <c r="AN37" s="1228"/>
      <c r="AO37" s="1228"/>
      <c r="AP37" s="459"/>
      <c r="AQ37" s="459"/>
      <c r="AR37" s="459"/>
      <c r="AS37" s="459"/>
      <c r="AT37" s="459"/>
      <c r="AU37" s="6"/>
      <c r="AV37" s="6"/>
      <c r="AW37" s="6"/>
      <c r="AX37" s="6"/>
      <c r="AY37" s="6"/>
      <c r="AZ37" s="6"/>
      <c r="BA37" s="6"/>
      <c r="BB37" s="6"/>
      <c r="BC37" s="6"/>
      <c r="BD37" s="6"/>
      <c r="BE37" s="6"/>
      <c r="BF37" s="6"/>
      <c r="BG37" s="6"/>
      <c r="BH37" s="6"/>
      <c r="BI37" s="6"/>
      <c r="BJ37" s="6"/>
      <c r="BK37" s="6"/>
      <c r="BL37" s="6"/>
      <c r="BM37" s="6"/>
      <c r="BN37" s="6"/>
      <c r="BO37" s="6"/>
      <c r="BP37" s="6"/>
      <c r="BQ37" s="6"/>
      <c r="BR37" s="6"/>
      <c r="BS37" s="6"/>
    </row>
    <row r="38" spans="1:71">
      <c r="A38" s="606" t="s">
        <v>1200</v>
      </c>
      <c r="B38" s="601"/>
      <c r="C38" s="601"/>
      <c r="D38" s="601"/>
      <c r="E38" s="602"/>
      <c r="F38" s="602"/>
      <c r="G38" s="38">
        <f>G43/G33</f>
        <v>9.0412134554749168E-2</v>
      </c>
      <c r="H38" s="38">
        <f>H43/H33</f>
        <v>8.7577437836939831E-2</v>
      </c>
      <c r="I38" s="38">
        <f>I43/I33</f>
        <v>7.529840349270582E-2</v>
      </c>
      <c r="J38" s="38">
        <f t="shared" ref="J38:Y38" si="11">J40*J41</f>
        <v>8.3826353695908837E-2</v>
      </c>
      <c r="K38" s="38">
        <f t="shared" si="11"/>
        <v>8.3826353695908837E-2</v>
      </c>
      <c r="L38" s="38">
        <f t="shared" si="11"/>
        <v>8.3826353695908837E-2</v>
      </c>
      <c r="M38" s="38">
        <f t="shared" si="11"/>
        <v>8.3826353695908837E-2</v>
      </c>
      <c r="N38" s="38">
        <f t="shared" si="11"/>
        <v>8.3826353695908837E-2</v>
      </c>
      <c r="O38" s="38">
        <f t="shared" si="11"/>
        <v>8.3826353695908837E-2</v>
      </c>
      <c r="P38" s="38">
        <f t="shared" si="11"/>
        <v>8.3826353695908837E-2</v>
      </c>
      <c r="Q38" s="38">
        <f t="shared" si="11"/>
        <v>8.3826353695908837E-2</v>
      </c>
      <c r="R38" s="38">
        <f t="shared" si="11"/>
        <v>8.3826353695908837E-2</v>
      </c>
      <c r="S38" s="38">
        <f t="shared" si="11"/>
        <v>8.3826353695908837E-2</v>
      </c>
      <c r="T38" s="38">
        <f t="shared" si="11"/>
        <v>8.3826353695908837E-2</v>
      </c>
      <c r="U38" s="38">
        <f t="shared" si="11"/>
        <v>8.3826353695908837E-2</v>
      </c>
      <c r="V38" s="38">
        <f t="shared" si="11"/>
        <v>8.3826353695908837E-2</v>
      </c>
      <c r="W38" s="38">
        <f t="shared" si="11"/>
        <v>8.3826353695908837E-2</v>
      </c>
      <c r="X38" s="39">
        <f t="shared" si="11"/>
        <v>8.3826353695908837E-2</v>
      </c>
      <c r="Y38" s="39">
        <f t="shared" si="11"/>
        <v>8.3826353695908837E-2</v>
      </c>
      <c r="Z38" s="39">
        <f t="shared" ref="Z38:AF38" si="12">Z40*Z41</f>
        <v>8.3826353695908837E-2</v>
      </c>
      <c r="AA38" s="39">
        <f t="shared" si="12"/>
        <v>8.3826353695908837E-2</v>
      </c>
      <c r="AB38" s="39">
        <f t="shared" si="12"/>
        <v>8.3826353695908837E-2</v>
      </c>
      <c r="AC38" s="39">
        <f t="shared" si="12"/>
        <v>8.3826353695908837E-2</v>
      </c>
      <c r="AD38" s="39">
        <f t="shared" si="12"/>
        <v>8.3826353695908837E-2</v>
      </c>
      <c r="AE38" s="39">
        <f t="shared" si="12"/>
        <v>8.3826353695908837E-2</v>
      </c>
      <c r="AF38" s="39">
        <f t="shared" si="12"/>
        <v>8.3826353695908837E-2</v>
      </c>
      <c r="AG38" s="39">
        <f t="shared" ref="AG38:AL38" si="13">AG40*AG41</f>
        <v>8.3826353695908837E-2</v>
      </c>
      <c r="AH38" s="39">
        <f t="shared" si="13"/>
        <v>8.3826353695908837E-2</v>
      </c>
      <c r="AI38" s="39">
        <f t="shared" si="13"/>
        <v>8.3826353695908837E-2</v>
      </c>
      <c r="AJ38" s="39">
        <f t="shared" si="13"/>
        <v>8.3826353695908837E-2</v>
      </c>
      <c r="AK38" s="39">
        <f t="shared" si="13"/>
        <v>8.3826353695908837E-2</v>
      </c>
      <c r="AL38" s="39">
        <f t="shared" si="13"/>
        <v>8.3826353695908837E-2</v>
      </c>
      <c r="AM38" s="359"/>
      <c r="AN38" s="359"/>
      <c r="AO38" s="359"/>
      <c r="AP38" s="39"/>
      <c r="AQ38" s="39"/>
      <c r="AR38" s="39"/>
      <c r="AS38" s="39"/>
      <c r="AT38" s="39"/>
      <c r="AU38" s="6"/>
      <c r="AV38" s="6"/>
      <c r="AW38" s="6"/>
      <c r="AX38" s="6"/>
      <c r="AY38" s="6"/>
      <c r="AZ38" s="6"/>
      <c r="BA38" s="6"/>
      <c r="BB38" s="6"/>
      <c r="BC38" s="6"/>
      <c r="BD38" s="6"/>
      <c r="BE38" s="6"/>
      <c r="BF38" s="6"/>
      <c r="BG38" s="6"/>
      <c r="BH38" s="6"/>
      <c r="BI38" s="6"/>
      <c r="BJ38" s="6"/>
      <c r="BK38" s="6"/>
      <c r="BL38" s="6"/>
      <c r="BM38" s="6"/>
      <c r="BN38" s="6"/>
      <c r="BO38" s="6"/>
      <c r="BP38" s="6"/>
      <c r="BQ38" s="6"/>
      <c r="BR38" s="6"/>
      <c r="BS38" s="6"/>
    </row>
    <row r="39" spans="1:71">
      <c r="A39" s="606" t="s">
        <v>1201</v>
      </c>
      <c r="B39" s="601"/>
      <c r="C39" s="601"/>
      <c r="D39" s="601"/>
      <c r="E39" s="601"/>
      <c r="F39" s="38"/>
      <c r="G39" s="38">
        <f>G45/G35</f>
        <v>9.2780484271545893E-2</v>
      </c>
      <c r="H39" s="38">
        <f>H45/H35</f>
        <v>8.7577437836939831E-2</v>
      </c>
      <c r="I39" s="38">
        <f>I45/I35</f>
        <v>7.5298403492705834E-2</v>
      </c>
      <c r="J39" s="38">
        <f t="shared" ref="J39:AD39" si="14">J38</f>
        <v>8.3826353695908837E-2</v>
      </c>
      <c r="K39" s="38">
        <f t="shared" si="14"/>
        <v>8.3826353695908837E-2</v>
      </c>
      <c r="L39" s="38">
        <f t="shared" si="14"/>
        <v>8.3826353695908837E-2</v>
      </c>
      <c r="M39" s="38">
        <f t="shared" si="14"/>
        <v>8.3826353695908837E-2</v>
      </c>
      <c r="N39" s="38">
        <f t="shared" si="14"/>
        <v>8.3826353695908837E-2</v>
      </c>
      <c r="O39" s="38">
        <f t="shared" si="14"/>
        <v>8.3826353695908837E-2</v>
      </c>
      <c r="P39" s="38">
        <f t="shared" si="14"/>
        <v>8.3826353695908837E-2</v>
      </c>
      <c r="Q39" s="38">
        <f t="shared" si="14"/>
        <v>8.3826353695908837E-2</v>
      </c>
      <c r="R39" s="38">
        <f t="shared" si="14"/>
        <v>8.3826353695908837E-2</v>
      </c>
      <c r="S39" s="38">
        <f t="shared" si="14"/>
        <v>8.3826353695908837E-2</v>
      </c>
      <c r="T39" s="38">
        <f t="shared" si="14"/>
        <v>8.3826353695908837E-2</v>
      </c>
      <c r="U39" s="38">
        <f t="shared" si="14"/>
        <v>8.3826353695908837E-2</v>
      </c>
      <c r="V39" s="38">
        <f t="shared" si="14"/>
        <v>8.3826353695908837E-2</v>
      </c>
      <c r="W39" s="38">
        <f t="shared" si="14"/>
        <v>8.3826353695908837E-2</v>
      </c>
      <c r="X39" s="39">
        <f t="shared" si="14"/>
        <v>8.3826353695908837E-2</v>
      </c>
      <c r="Y39" s="39">
        <f t="shared" si="14"/>
        <v>8.3826353695908837E-2</v>
      </c>
      <c r="Z39" s="39">
        <f t="shared" si="14"/>
        <v>8.3826353695908837E-2</v>
      </c>
      <c r="AA39" s="39">
        <f t="shared" si="14"/>
        <v>8.3826353695908837E-2</v>
      </c>
      <c r="AB39" s="39">
        <f t="shared" si="14"/>
        <v>8.3826353695908837E-2</v>
      </c>
      <c r="AC39" s="39">
        <f t="shared" si="14"/>
        <v>8.3826353695908837E-2</v>
      </c>
      <c r="AD39" s="39">
        <f t="shared" si="14"/>
        <v>8.3826353695908837E-2</v>
      </c>
      <c r="AE39" s="39">
        <f t="shared" ref="AE39:AJ39" si="15">AE38</f>
        <v>8.3826353695908837E-2</v>
      </c>
      <c r="AF39" s="39">
        <f t="shared" si="15"/>
        <v>8.3826353695908837E-2</v>
      </c>
      <c r="AG39" s="39">
        <f t="shared" si="15"/>
        <v>8.3826353695908837E-2</v>
      </c>
      <c r="AH39" s="39">
        <f t="shared" si="15"/>
        <v>8.3826353695908837E-2</v>
      </c>
      <c r="AI39" s="39">
        <f t="shared" si="15"/>
        <v>8.3826353695908837E-2</v>
      </c>
      <c r="AJ39" s="39">
        <f t="shared" si="15"/>
        <v>8.3826353695908837E-2</v>
      </c>
      <c r="AK39" s="39">
        <f>AK38</f>
        <v>8.3826353695908837E-2</v>
      </c>
      <c r="AL39" s="39">
        <f>AL38</f>
        <v>8.3826353695908837E-2</v>
      </c>
      <c r="AM39" s="359"/>
      <c r="AN39" s="359"/>
      <c r="AO39" s="359"/>
      <c r="AP39" s="39"/>
      <c r="AQ39" s="39"/>
      <c r="AR39" s="39"/>
      <c r="AS39" s="39"/>
      <c r="AT39" s="39"/>
      <c r="AU39" s="6"/>
      <c r="AV39" s="6"/>
      <c r="AW39" s="6"/>
      <c r="AX39" s="6"/>
      <c r="AY39" s="6"/>
      <c r="AZ39" s="6"/>
      <c r="BA39" s="6"/>
      <c r="BB39" s="6"/>
      <c r="BC39" s="6"/>
      <c r="BD39" s="6"/>
      <c r="BE39" s="6"/>
      <c r="BF39" s="6"/>
      <c r="BG39" s="6"/>
      <c r="BH39" s="6"/>
      <c r="BI39" s="6"/>
      <c r="BJ39" s="6"/>
      <c r="BK39" s="6"/>
      <c r="BL39" s="6"/>
      <c r="BM39" s="6"/>
      <c r="BN39" s="6"/>
      <c r="BO39" s="6"/>
      <c r="BP39" s="6"/>
      <c r="BQ39" s="6"/>
      <c r="BR39" s="6"/>
      <c r="BS39" s="6"/>
    </row>
    <row r="40" spans="1:71">
      <c r="A40" s="606" t="s">
        <v>1202</v>
      </c>
      <c r="B40" s="601"/>
      <c r="C40" s="601"/>
      <c r="D40" s="601"/>
      <c r="E40" s="601"/>
      <c r="F40" s="38"/>
      <c r="G40" s="607">
        <v>5.8985958180624021E-2</v>
      </c>
      <c r="H40" s="607">
        <v>5.3712514963278994E-2</v>
      </c>
      <c r="I40" s="130">
        <f>H40</f>
        <v>5.3712514963278994E-2</v>
      </c>
      <c r="J40" s="130">
        <v>5.2999999999999999E-2</v>
      </c>
      <c r="K40" s="130">
        <f t="shared" ref="K40:Y40" si="16">J40</f>
        <v>5.2999999999999999E-2</v>
      </c>
      <c r="L40" s="130">
        <f t="shared" si="16"/>
        <v>5.2999999999999999E-2</v>
      </c>
      <c r="M40" s="130">
        <f t="shared" si="16"/>
        <v>5.2999999999999999E-2</v>
      </c>
      <c r="N40" s="130">
        <f t="shared" si="16"/>
        <v>5.2999999999999999E-2</v>
      </c>
      <c r="O40" s="130">
        <f t="shared" si="16"/>
        <v>5.2999999999999999E-2</v>
      </c>
      <c r="P40" s="130">
        <f t="shared" si="16"/>
        <v>5.2999999999999999E-2</v>
      </c>
      <c r="Q40" s="130">
        <f t="shared" si="16"/>
        <v>5.2999999999999999E-2</v>
      </c>
      <c r="R40" s="130">
        <f t="shared" si="16"/>
        <v>5.2999999999999999E-2</v>
      </c>
      <c r="S40" s="130">
        <f t="shared" si="16"/>
        <v>5.2999999999999999E-2</v>
      </c>
      <c r="T40" s="130">
        <f t="shared" si="16"/>
        <v>5.2999999999999999E-2</v>
      </c>
      <c r="U40" s="130">
        <f t="shared" si="16"/>
        <v>5.2999999999999999E-2</v>
      </c>
      <c r="V40" s="130">
        <f t="shared" si="16"/>
        <v>5.2999999999999999E-2</v>
      </c>
      <c r="W40" s="130">
        <f t="shared" si="16"/>
        <v>5.2999999999999999E-2</v>
      </c>
      <c r="X40" s="119">
        <f t="shared" si="16"/>
        <v>5.2999999999999999E-2</v>
      </c>
      <c r="Y40" s="119">
        <f t="shared" si="16"/>
        <v>5.2999999999999999E-2</v>
      </c>
      <c r="Z40" s="119">
        <f t="shared" ref="Z40:AK41" si="17">Y40</f>
        <v>5.2999999999999999E-2</v>
      </c>
      <c r="AA40" s="119">
        <f t="shared" si="17"/>
        <v>5.2999999999999999E-2</v>
      </c>
      <c r="AB40" s="119">
        <f t="shared" si="17"/>
        <v>5.2999999999999999E-2</v>
      </c>
      <c r="AC40" s="119">
        <f t="shared" si="17"/>
        <v>5.2999999999999999E-2</v>
      </c>
      <c r="AD40" s="119">
        <f t="shared" si="17"/>
        <v>5.2999999999999999E-2</v>
      </c>
      <c r="AE40" s="119">
        <f t="shared" si="17"/>
        <v>5.2999999999999999E-2</v>
      </c>
      <c r="AF40" s="119">
        <f t="shared" si="17"/>
        <v>5.2999999999999999E-2</v>
      </c>
      <c r="AG40" s="119">
        <f t="shared" si="17"/>
        <v>5.2999999999999999E-2</v>
      </c>
      <c r="AH40" s="119">
        <f t="shared" si="17"/>
        <v>5.2999999999999999E-2</v>
      </c>
      <c r="AI40" s="119">
        <f t="shared" si="17"/>
        <v>5.2999999999999999E-2</v>
      </c>
      <c r="AJ40" s="119">
        <f t="shared" si="17"/>
        <v>5.2999999999999999E-2</v>
      </c>
      <c r="AK40" s="119">
        <f t="shared" si="17"/>
        <v>5.2999999999999999E-2</v>
      </c>
      <c r="AL40" s="119">
        <f>AK40</f>
        <v>5.2999999999999999E-2</v>
      </c>
      <c r="AM40" s="471"/>
      <c r="AN40" s="471"/>
      <c r="AO40" s="471"/>
      <c r="AP40" s="119"/>
      <c r="AQ40" s="119"/>
      <c r="AR40" s="119"/>
      <c r="AS40" s="119"/>
      <c r="AT40" s="119"/>
      <c r="AU40" s="130"/>
      <c r="AV40" s="6"/>
      <c r="AW40" s="6"/>
      <c r="AX40" s="6"/>
      <c r="AY40" s="6"/>
      <c r="AZ40" s="6"/>
      <c r="BA40" s="6"/>
      <c r="BB40" s="6"/>
      <c r="BC40" s="6"/>
      <c r="BD40" s="6"/>
      <c r="BE40" s="6"/>
      <c r="BF40" s="6"/>
      <c r="BG40" s="6"/>
      <c r="BH40" s="6"/>
      <c r="BI40" s="6"/>
      <c r="BJ40" s="6"/>
      <c r="BK40" s="6"/>
      <c r="BL40" s="6"/>
      <c r="BM40" s="6"/>
      <c r="BN40" s="6"/>
      <c r="BO40" s="6"/>
      <c r="BP40" s="6"/>
      <c r="BQ40" s="6"/>
      <c r="BR40" s="6"/>
      <c r="BS40" s="6"/>
    </row>
    <row r="41" spans="1:71">
      <c r="A41" s="606" t="s">
        <v>1203</v>
      </c>
      <c r="B41" s="601"/>
      <c r="C41" s="601"/>
      <c r="D41" s="601"/>
      <c r="E41" s="601"/>
      <c r="F41" s="38"/>
      <c r="G41" s="608">
        <f>G38/G40</f>
        <v>1.53277385573518</v>
      </c>
      <c r="H41" s="608">
        <f>H38/H40</f>
        <v>1.6304847742991158</v>
      </c>
      <c r="I41" s="609">
        <f>AVERAGE(G41:H41)</f>
        <v>1.5816293150171479</v>
      </c>
      <c r="J41" s="609">
        <f>I41</f>
        <v>1.5816293150171479</v>
      </c>
      <c r="K41" s="609">
        <f t="shared" ref="K41:Y41" si="18">J41</f>
        <v>1.5816293150171479</v>
      </c>
      <c r="L41" s="609">
        <f t="shared" si="18"/>
        <v>1.5816293150171479</v>
      </c>
      <c r="M41" s="609">
        <f t="shared" si="18"/>
        <v>1.5816293150171479</v>
      </c>
      <c r="N41" s="609">
        <f t="shared" si="18"/>
        <v>1.5816293150171479</v>
      </c>
      <c r="O41" s="609">
        <f t="shared" si="18"/>
        <v>1.5816293150171479</v>
      </c>
      <c r="P41" s="609">
        <f t="shared" si="18"/>
        <v>1.5816293150171479</v>
      </c>
      <c r="Q41" s="609">
        <f t="shared" si="18"/>
        <v>1.5816293150171479</v>
      </c>
      <c r="R41" s="609">
        <f t="shared" si="18"/>
        <v>1.5816293150171479</v>
      </c>
      <c r="S41" s="609">
        <f t="shared" si="18"/>
        <v>1.5816293150171479</v>
      </c>
      <c r="T41" s="609">
        <f t="shared" si="18"/>
        <v>1.5816293150171479</v>
      </c>
      <c r="U41" s="609">
        <f t="shared" si="18"/>
        <v>1.5816293150171479</v>
      </c>
      <c r="V41" s="609">
        <f t="shared" si="18"/>
        <v>1.5816293150171479</v>
      </c>
      <c r="W41" s="609">
        <f t="shared" si="18"/>
        <v>1.5816293150171479</v>
      </c>
      <c r="X41" s="788">
        <f t="shared" si="18"/>
        <v>1.5816293150171479</v>
      </c>
      <c r="Y41" s="788">
        <f t="shared" si="18"/>
        <v>1.5816293150171479</v>
      </c>
      <c r="Z41" s="788">
        <f t="shared" si="17"/>
        <v>1.5816293150171479</v>
      </c>
      <c r="AA41" s="788">
        <f t="shared" si="17"/>
        <v>1.5816293150171479</v>
      </c>
      <c r="AB41" s="788">
        <f t="shared" si="17"/>
        <v>1.5816293150171479</v>
      </c>
      <c r="AC41" s="788">
        <f t="shared" ref="AC41:AK41" si="19">AB41</f>
        <v>1.5816293150171479</v>
      </c>
      <c r="AD41" s="788">
        <f t="shared" si="19"/>
        <v>1.5816293150171479</v>
      </c>
      <c r="AE41" s="788">
        <f t="shared" si="19"/>
        <v>1.5816293150171479</v>
      </c>
      <c r="AF41" s="788">
        <f t="shared" si="19"/>
        <v>1.5816293150171479</v>
      </c>
      <c r="AG41" s="788">
        <f t="shared" si="19"/>
        <v>1.5816293150171479</v>
      </c>
      <c r="AH41" s="788">
        <f t="shared" si="19"/>
        <v>1.5816293150171479</v>
      </c>
      <c r="AI41" s="788">
        <f t="shared" si="19"/>
        <v>1.5816293150171479</v>
      </c>
      <c r="AJ41" s="788">
        <f t="shared" si="19"/>
        <v>1.5816293150171479</v>
      </c>
      <c r="AK41" s="788">
        <f t="shared" si="19"/>
        <v>1.5816293150171479</v>
      </c>
      <c r="AL41" s="788">
        <f>AK41</f>
        <v>1.5816293150171479</v>
      </c>
      <c r="AM41" s="471"/>
      <c r="AN41" s="471"/>
      <c r="AO41" s="471"/>
      <c r="AP41" s="119"/>
      <c r="AQ41" s="119"/>
      <c r="AR41" s="119"/>
      <c r="AS41" s="119"/>
      <c r="AT41" s="119"/>
      <c r="AU41" s="6"/>
      <c r="AV41" s="6"/>
      <c r="AW41" s="6"/>
      <c r="AX41" s="6"/>
      <c r="AY41" s="6"/>
      <c r="AZ41" s="6"/>
      <c r="BA41" s="6"/>
      <c r="BB41" s="6"/>
      <c r="BC41" s="6"/>
      <c r="BD41" s="6"/>
      <c r="BE41" s="6"/>
      <c r="BF41" s="6"/>
      <c r="BG41" s="6"/>
      <c r="BH41" s="6"/>
      <c r="BI41" s="6"/>
      <c r="BJ41" s="6"/>
      <c r="BK41" s="6"/>
      <c r="BL41" s="6"/>
      <c r="BM41" s="6"/>
      <c r="BN41" s="6"/>
      <c r="BO41" s="6"/>
      <c r="BP41" s="6"/>
      <c r="BQ41" s="6"/>
      <c r="BR41" s="6"/>
      <c r="BS41" s="6"/>
    </row>
    <row r="42" spans="1:71">
      <c r="A42" s="550"/>
      <c r="B42" s="601"/>
      <c r="C42" s="601"/>
      <c r="D42" s="601"/>
      <c r="E42" s="601"/>
      <c r="F42" s="38"/>
      <c r="G42" s="38"/>
      <c r="H42" s="38"/>
      <c r="I42" s="38"/>
      <c r="J42" s="38"/>
      <c r="K42" s="38"/>
      <c r="L42" s="38"/>
      <c r="M42" s="38"/>
      <c r="N42" s="38"/>
      <c r="O42" s="38"/>
      <c r="P42" s="38"/>
      <c r="Q42" s="38"/>
      <c r="R42" s="38"/>
      <c r="S42" s="39"/>
      <c r="T42" s="39"/>
      <c r="U42" s="39"/>
      <c r="V42" s="39"/>
      <c r="W42" s="39"/>
      <c r="X42" s="39"/>
      <c r="Y42" s="39"/>
      <c r="Z42" s="39"/>
      <c r="AA42" s="39"/>
      <c r="AB42" s="39"/>
      <c r="AC42" s="39"/>
      <c r="AD42" s="39"/>
      <c r="AE42" s="39"/>
      <c r="AF42" s="39"/>
      <c r="AG42" s="39"/>
      <c r="AH42" s="39"/>
      <c r="AI42" s="39"/>
      <c r="AJ42" s="39"/>
      <c r="AK42" s="39"/>
      <c r="AL42" s="471"/>
      <c r="AM42" s="471"/>
      <c r="AN42" s="471"/>
      <c r="AO42" s="471"/>
      <c r="AP42" s="119"/>
      <c r="AQ42" s="119"/>
      <c r="AR42" s="119"/>
      <c r="AS42" s="119"/>
      <c r="AT42" s="119"/>
      <c r="AU42" s="6"/>
      <c r="AV42" s="6"/>
      <c r="AW42" s="6"/>
      <c r="AX42" s="6"/>
      <c r="AY42" s="6"/>
      <c r="AZ42" s="6"/>
      <c r="BA42" s="6"/>
      <c r="BB42" s="6"/>
      <c r="BC42" s="6"/>
      <c r="BD42" s="6"/>
      <c r="BE42" s="6"/>
      <c r="BF42" s="6"/>
      <c r="BG42" s="6"/>
      <c r="BH42" s="6"/>
      <c r="BI42" s="6"/>
      <c r="BJ42" s="6"/>
      <c r="BK42" s="6"/>
      <c r="BL42" s="6"/>
      <c r="BM42" s="6"/>
      <c r="BN42" s="6"/>
      <c r="BO42" s="6"/>
      <c r="BP42" s="6"/>
      <c r="BQ42" s="6"/>
      <c r="BR42" s="6"/>
      <c r="BS42" s="6"/>
    </row>
    <row r="43" spans="1:71">
      <c r="A43" s="550" t="s">
        <v>1204</v>
      </c>
      <c r="B43" s="601"/>
      <c r="C43" s="601"/>
      <c r="D43" s="601"/>
      <c r="E43" s="601"/>
      <c r="F43" s="48"/>
      <c r="G43" s="603">
        <v>484.6</v>
      </c>
      <c r="H43" s="48">
        <f>+H45/0.85</f>
        <v>502.35294117647061</v>
      </c>
      <c r="I43" s="48">
        <f>+I45/0.85</f>
        <v>514.23529411764707</v>
      </c>
      <c r="J43" s="122">
        <v>500</v>
      </c>
      <c r="K43" s="122">
        <f>J43*0.96</f>
        <v>480</v>
      </c>
      <c r="L43" s="122">
        <f>+L45/0.85</f>
        <v>554.22742352941179</v>
      </c>
      <c r="M43" s="122">
        <f>(L43*(0.975))+45</f>
        <v>585.37173794117643</v>
      </c>
      <c r="N43" s="122">
        <f>M43*(1+N36)</f>
        <v>626.34775959705871</v>
      </c>
      <c r="O43" s="122">
        <f>N43*(1+O36)</f>
        <v>626.34775959705871</v>
      </c>
      <c r="P43" s="122">
        <f>O43*(1+P36)</f>
        <v>595.03037161720579</v>
      </c>
      <c r="Q43" s="122">
        <f>(P43*(1+Q36))-(37.5*0.25)</f>
        <v>555.90385303634548</v>
      </c>
      <c r="R43" s="48">
        <f>R45/0.85</f>
        <v>470.66055045871553</v>
      </c>
      <c r="S43" s="49">
        <f>S45/0.85</f>
        <v>397.7679438747976</v>
      </c>
      <c r="T43" s="49">
        <f>T45/0.85</f>
        <v>538.00560712358356</v>
      </c>
      <c r="U43" s="64">
        <f>T43*(1+U36)</f>
        <v>461.03504991905021</v>
      </c>
      <c r="V43" s="64">
        <f>U43*(1+V36)</f>
        <v>508.24421417970854</v>
      </c>
      <c r="W43" s="73">
        <f t="shared" ref="W43:AB43" si="20">W45/W44</f>
        <v>461.11271201406294</v>
      </c>
      <c r="X43" s="73">
        <f t="shared" si="20"/>
        <v>500.90753880286104</v>
      </c>
      <c r="Y43" s="73">
        <f t="shared" si="20"/>
        <v>475.71635148078803</v>
      </c>
      <c r="Z43" s="73">
        <f t="shared" si="20"/>
        <v>489.51304203257524</v>
      </c>
      <c r="AA43" s="73">
        <f t="shared" si="20"/>
        <v>490.8499033347876</v>
      </c>
      <c r="AB43" s="73">
        <f t="shared" si="20"/>
        <v>490.8499033347876</v>
      </c>
      <c r="AC43" s="64">
        <f>AB43*(1+AC36)</f>
        <v>485.94140430143966</v>
      </c>
      <c r="AD43" s="64">
        <f>AC43*(1+AD36)</f>
        <v>481.08199025842521</v>
      </c>
      <c r="AE43" s="64">
        <f>AD43*(1+AE36)</f>
        <v>476.27117035584098</v>
      </c>
      <c r="AF43" s="64">
        <f t="shared" ref="AF43:AI43" si="21">AE43*(1+AF36)</f>
        <v>471.50845865228257</v>
      </c>
      <c r="AG43" s="64">
        <f t="shared" si="21"/>
        <v>466.79337406575974</v>
      </c>
      <c r="AH43" s="64">
        <f t="shared" si="21"/>
        <v>462.12544032510215</v>
      </c>
      <c r="AI43" s="64">
        <f t="shared" si="21"/>
        <v>457.5041859218511</v>
      </c>
      <c r="AJ43" s="64">
        <f>AI43*(1+AJ36)</f>
        <v>452.92914406263264</v>
      </c>
      <c r="AK43" s="64">
        <f>AJ43*(1+AK36)</f>
        <v>448.39985262200634</v>
      </c>
      <c r="AL43" s="64">
        <f>AK43*(1+AL36)</f>
        <v>443.9158540957863</v>
      </c>
      <c r="AM43" s="471"/>
      <c r="AN43" s="471"/>
      <c r="AO43" s="471"/>
      <c r="AP43" s="119"/>
      <c r="AQ43" s="119"/>
      <c r="AR43" s="119"/>
      <c r="AS43" s="119"/>
      <c r="AT43" s="119"/>
      <c r="AU43" s="6"/>
      <c r="AV43" s="6"/>
      <c r="AW43" s="6"/>
      <c r="AX43" s="6"/>
      <c r="AY43" s="6"/>
      <c r="AZ43" s="6"/>
      <c r="BA43" s="6"/>
      <c r="BB43" s="6"/>
      <c r="BC43" s="6"/>
      <c r="BD43" s="6"/>
      <c r="BE43" s="6"/>
      <c r="BF43" s="6"/>
      <c r="BG43" s="6"/>
      <c r="BH43" s="6"/>
      <c r="BI43" s="6"/>
      <c r="BJ43" s="6"/>
      <c r="BK43" s="6"/>
      <c r="BL43" s="6"/>
      <c r="BM43" s="6"/>
      <c r="BN43" s="6"/>
      <c r="BO43" s="6"/>
      <c r="BP43" s="6"/>
      <c r="BQ43" s="6"/>
      <c r="BR43" s="6"/>
      <c r="BS43" s="6"/>
    </row>
    <row r="44" spans="1:71">
      <c r="A44" s="550" t="s">
        <v>1226</v>
      </c>
      <c r="B44" s="601"/>
      <c r="C44" s="601"/>
      <c r="D44" s="601"/>
      <c r="E44" s="601"/>
      <c r="F44" s="48"/>
      <c r="G44" s="48"/>
      <c r="H44" s="281">
        <f t="shared" ref="H44:AD44" si="22">+H45/H43</f>
        <v>0.85</v>
      </c>
      <c r="I44" s="281">
        <f t="shared" si="22"/>
        <v>0.85</v>
      </c>
      <c r="J44" s="281">
        <f t="shared" si="22"/>
        <v>0.85</v>
      </c>
      <c r="K44" s="281">
        <f t="shared" si="22"/>
        <v>0.85</v>
      </c>
      <c r="L44" s="281">
        <f t="shared" si="22"/>
        <v>0.84999999999999987</v>
      </c>
      <c r="M44" s="281">
        <f t="shared" si="22"/>
        <v>0.85</v>
      </c>
      <c r="N44" s="281">
        <f t="shared" si="22"/>
        <v>0.85000000000000009</v>
      </c>
      <c r="O44" s="281">
        <f t="shared" si="22"/>
        <v>0.85000000000000009</v>
      </c>
      <c r="P44" s="281">
        <f t="shared" si="22"/>
        <v>0.85</v>
      </c>
      <c r="Q44" s="281">
        <f t="shared" si="22"/>
        <v>0.85</v>
      </c>
      <c r="R44" s="281">
        <f t="shared" si="22"/>
        <v>0.85</v>
      </c>
      <c r="S44" s="366">
        <f t="shared" si="22"/>
        <v>0.85</v>
      </c>
      <c r="T44" s="366">
        <f t="shared" si="22"/>
        <v>0.85</v>
      </c>
      <c r="U44" s="366">
        <f t="shared" si="22"/>
        <v>0.84999999999999987</v>
      </c>
      <c r="V44" s="366">
        <f t="shared" si="22"/>
        <v>0.85</v>
      </c>
      <c r="W44" s="367">
        <v>0.85</v>
      </c>
      <c r="X44" s="367">
        <v>0.85</v>
      </c>
      <c r="Y44" s="367">
        <v>0.85</v>
      </c>
      <c r="Z44" s="367">
        <v>0.85</v>
      </c>
      <c r="AA44" s="367">
        <v>0.85</v>
      </c>
      <c r="AB44" s="367">
        <v>0.85</v>
      </c>
      <c r="AC44" s="366">
        <f t="shared" si="22"/>
        <v>0.85</v>
      </c>
      <c r="AD44" s="366">
        <f t="shared" si="22"/>
        <v>0.85000000000000009</v>
      </c>
      <c r="AE44" s="366">
        <f t="shared" ref="AE44:AJ44" si="23">+AE45/AE43</f>
        <v>0.85</v>
      </c>
      <c r="AF44" s="366">
        <f t="shared" si="23"/>
        <v>0.85</v>
      </c>
      <c r="AG44" s="366">
        <f t="shared" si="23"/>
        <v>0.85</v>
      </c>
      <c r="AH44" s="366">
        <f t="shared" si="23"/>
        <v>0.85</v>
      </c>
      <c r="AI44" s="366">
        <f t="shared" si="23"/>
        <v>0.85</v>
      </c>
      <c r="AJ44" s="366">
        <f t="shared" si="23"/>
        <v>0.85</v>
      </c>
      <c r="AK44" s="366">
        <f>+AK45/AK43</f>
        <v>0.85</v>
      </c>
      <c r="AL44" s="366">
        <f>+AL45/AL43</f>
        <v>0.85</v>
      </c>
      <c r="AM44" s="471"/>
      <c r="AN44" s="471"/>
      <c r="AO44" s="471"/>
      <c r="AP44" s="119"/>
      <c r="AQ44" s="119"/>
      <c r="AR44" s="119"/>
      <c r="AS44" s="119"/>
      <c r="AT44" s="119"/>
      <c r="AU44" s="6"/>
      <c r="AV44" s="6"/>
      <c r="AW44" s="6"/>
      <c r="AX44" s="6"/>
      <c r="AY44" s="6"/>
      <c r="AZ44" s="6"/>
      <c r="BA44" s="6"/>
      <c r="BB44" s="6"/>
      <c r="BC44" s="6"/>
      <c r="BD44" s="6"/>
      <c r="BE44" s="6"/>
      <c r="BF44" s="6"/>
      <c r="BG44" s="6"/>
      <c r="BH44" s="6"/>
      <c r="BI44" s="6"/>
      <c r="BJ44" s="6"/>
      <c r="BK44" s="6"/>
      <c r="BL44" s="6"/>
      <c r="BM44" s="6"/>
      <c r="BN44" s="6"/>
      <c r="BO44" s="6"/>
      <c r="BP44" s="6"/>
      <c r="BQ44" s="6"/>
      <c r="BR44" s="6"/>
      <c r="BS44" s="6"/>
    </row>
    <row r="45" spans="1:71">
      <c r="A45" s="547" t="s">
        <v>1227</v>
      </c>
      <c r="B45" s="601"/>
      <c r="C45" s="610"/>
      <c r="D45" s="610"/>
      <c r="E45" s="610"/>
      <c r="F45" s="610"/>
      <c r="G45" s="611">
        <v>422.7</v>
      </c>
      <c r="H45" s="612">
        <v>427</v>
      </c>
      <c r="I45" s="612">
        <v>437.1</v>
      </c>
      <c r="J45" s="610">
        <f>J43*0.85</f>
        <v>425</v>
      </c>
      <c r="K45" s="610">
        <f>K43*0.85</f>
        <v>408</v>
      </c>
      <c r="L45" s="610">
        <f>SUM(BO45:BR45)</f>
        <v>471.09330999999997</v>
      </c>
      <c r="M45" s="610">
        <f>M43*0.85</f>
        <v>497.56597724999995</v>
      </c>
      <c r="N45" s="610">
        <f>N43*0.85</f>
        <v>532.39559565749994</v>
      </c>
      <c r="O45" s="610">
        <f>O43*0.85</f>
        <v>532.39559565749994</v>
      </c>
      <c r="P45" s="610">
        <f>P43*0.85</f>
        <v>505.77581587462493</v>
      </c>
      <c r="Q45" s="610">
        <f>Q43*0.85</f>
        <v>472.51827508089366</v>
      </c>
      <c r="R45" s="1119">
        <f>Drivers!H122</f>
        <v>400.06146788990822</v>
      </c>
      <c r="S45" s="1182">
        <f>Drivers!I122</f>
        <v>338.10275229357796</v>
      </c>
      <c r="T45" s="1182">
        <f>Drivers!J122</f>
        <v>457.304766055046</v>
      </c>
      <c r="U45" s="1182">
        <f>Drivers!K122</f>
        <v>391.87979243119264</v>
      </c>
      <c r="V45" s="1182">
        <f>Drivers!L122</f>
        <v>432.00758205275224</v>
      </c>
      <c r="W45" s="1182">
        <f>'Segment Detail'!AJ95</f>
        <v>391.94580521195348</v>
      </c>
      <c r="X45" s="1182">
        <f>'Segment Detail'!AK95</f>
        <v>425.77140798243187</v>
      </c>
      <c r="Y45" s="1182">
        <f>'Segment Detail'!AL95</f>
        <v>404.3588987586698</v>
      </c>
      <c r="Z45" s="1182">
        <f>'Segment Detail'!AM95</f>
        <v>416.08608572768895</v>
      </c>
      <c r="AA45" s="1182">
        <f>'Segment Detail'!AN95</f>
        <v>417.22241783456946</v>
      </c>
      <c r="AB45" s="1182">
        <f>'Segment Detail'!AO95</f>
        <v>417.22241783456946</v>
      </c>
      <c r="AC45" s="789">
        <f t="shared" ref="AC45:AK45" si="24">AC43*0.85</f>
        <v>413.05019365622371</v>
      </c>
      <c r="AD45" s="789">
        <f t="shared" si="24"/>
        <v>408.91969171966144</v>
      </c>
      <c r="AE45" s="789">
        <f t="shared" si="24"/>
        <v>404.83049480246484</v>
      </c>
      <c r="AF45" s="789">
        <f t="shared" si="24"/>
        <v>400.78218985444016</v>
      </c>
      <c r="AG45" s="789">
        <f t="shared" si="24"/>
        <v>396.77436795589574</v>
      </c>
      <c r="AH45" s="789">
        <f t="shared" si="24"/>
        <v>392.80662427633683</v>
      </c>
      <c r="AI45" s="789">
        <f t="shared" si="24"/>
        <v>388.87855803357343</v>
      </c>
      <c r="AJ45" s="789">
        <f t="shared" si="24"/>
        <v>384.98977245323772</v>
      </c>
      <c r="AK45" s="789">
        <f t="shared" si="24"/>
        <v>381.13987472870537</v>
      </c>
      <c r="AL45" s="789">
        <f t="shared" ref="AL45" si="25">AL43*0.85</f>
        <v>377.32847598141836</v>
      </c>
      <c r="AM45" s="471"/>
      <c r="AN45" s="471"/>
      <c r="AO45" s="471"/>
      <c r="AP45" s="119"/>
      <c r="AQ45" s="119"/>
      <c r="AR45" s="119"/>
      <c r="AS45" s="119"/>
      <c r="AT45" s="119"/>
      <c r="AU45" s="862">
        <v>94.9</v>
      </c>
      <c r="AV45" s="613">
        <v>116.3</v>
      </c>
      <c r="AW45" s="613">
        <v>94.6</v>
      </c>
      <c r="AX45" s="613">
        <f>+H45-AU45-AV45-AW45</f>
        <v>121.20000000000002</v>
      </c>
      <c r="AY45" s="145"/>
      <c r="AZ45" s="6">
        <v>95</v>
      </c>
      <c r="BA45" s="77">
        <v>110</v>
      </c>
      <c r="BB45" s="77">
        <v>95</v>
      </c>
      <c r="BC45" s="77">
        <f>I45-BB45-BA45-AZ45</f>
        <v>137.10000000000002</v>
      </c>
      <c r="BD45" s="145"/>
      <c r="BE45" s="472">
        <v>97.7</v>
      </c>
      <c r="BF45" s="472">
        <f>+'Segment Detail'!BL95</f>
        <v>114.55499999999999</v>
      </c>
      <c r="BG45" s="533">
        <f>+'Segment Detail'!BM95</f>
        <v>103.53</v>
      </c>
      <c r="BH45" s="533">
        <f>+J45-SUM(BE45:BG45)</f>
        <v>109.21500000000003</v>
      </c>
      <c r="BI45" s="145"/>
      <c r="BJ45" s="145">
        <f>+BE45*(1+BJ46)</f>
        <v>88.907000000000011</v>
      </c>
      <c r="BK45" s="145">
        <f>+BF45*(1+BK46)</f>
        <v>104.24504999999999</v>
      </c>
      <c r="BL45" s="145">
        <f>+BG45*(1+BL46)</f>
        <v>95.247600000000006</v>
      </c>
      <c r="BM45" s="145">
        <f>+K45-SUM(BJ45:BL45)</f>
        <v>119.60034999999999</v>
      </c>
      <c r="BN45" s="145"/>
      <c r="BO45" s="145">
        <f>+BJ45*(1+BO46)</f>
        <v>81.794440000000009</v>
      </c>
      <c r="BP45" s="145">
        <f>+BK45*(1+BP46)</f>
        <v>100.07524799999999</v>
      </c>
      <c r="BQ45" s="472">
        <f>(BL45*1.16)+20</f>
        <v>130.48721599999999</v>
      </c>
      <c r="BR45" s="472">
        <f>(BM45*1.16)+20</f>
        <v>158.73640599999999</v>
      </c>
      <c r="BS45" s="145">
        <f>+L45-SUM(BO45:BR45)</f>
        <v>0</v>
      </c>
    </row>
    <row r="46" spans="1:71">
      <c r="A46" s="550" t="s">
        <v>676</v>
      </c>
      <c r="B46" s="601"/>
      <c r="C46" s="610"/>
      <c r="D46" s="614"/>
      <c r="E46" s="614"/>
      <c r="F46" s="614"/>
      <c r="G46" s="614"/>
      <c r="H46" s="614">
        <f t="shared" ref="H46:AD46" si="26">+H45/G45-1</f>
        <v>1.0172699313934164E-2</v>
      </c>
      <c r="I46" s="614">
        <f t="shared" si="26"/>
        <v>2.3653395784543285E-2</v>
      </c>
      <c r="J46" s="614">
        <f t="shared" si="26"/>
        <v>-2.7682452528025703E-2</v>
      </c>
      <c r="K46" s="614">
        <f t="shared" si="26"/>
        <v>-4.0000000000000036E-2</v>
      </c>
      <c r="L46" s="614">
        <f t="shared" si="26"/>
        <v>0.15464046568627454</v>
      </c>
      <c r="M46" s="614">
        <f t="shared" si="26"/>
        <v>5.6194105685771545E-2</v>
      </c>
      <c r="N46" s="614">
        <f t="shared" si="26"/>
        <v>7.0000000000000062E-2</v>
      </c>
      <c r="O46" s="614">
        <f t="shared" si="26"/>
        <v>0</v>
      </c>
      <c r="P46" s="614">
        <f t="shared" si="26"/>
        <v>-5.0000000000000044E-2</v>
      </c>
      <c r="Q46" s="614">
        <f t="shared" si="26"/>
        <v>-6.5755498285776759E-2</v>
      </c>
      <c r="R46" s="614">
        <f t="shared" si="26"/>
        <v>-0.15334180922120111</v>
      </c>
      <c r="S46" s="790">
        <f t="shared" si="26"/>
        <v>-0.15487298970112384</v>
      </c>
      <c r="T46" s="790">
        <f t="shared" si="26"/>
        <v>0.35256150076519854</v>
      </c>
      <c r="U46" s="790">
        <f t="shared" si="26"/>
        <v>-0.14306645913237237</v>
      </c>
      <c r="V46" s="790">
        <f t="shared" si="26"/>
        <v>0.10239821087127199</v>
      </c>
      <c r="W46" s="790">
        <f t="shared" si="26"/>
        <v>-9.2733966960577119E-2</v>
      </c>
      <c r="X46" s="790">
        <f t="shared" si="26"/>
        <v>8.6301734374185868E-2</v>
      </c>
      <c r="Y46" s="790">
        <f t="shared" si="26"/>
        <v>-5.029109240854801E-2</v>
      </c>
      <c r="Z46" s="790">
        <f t="shared" si="26"/>
        <v>2.9001926271488232E-2</v>
      </c>
      <c r="AA46" s="790">
        <f t="shared" si="26"/>
        <v>2.731002419591011E-3</v>
      </c>
      <c r="AB46" s="790">
        <f t="shared" si="26"/>
        <v>0</v>
      </c>
      <c r="AC46" s="790">
        <f t="shared" si="26"/>
        <v>-1.000000000000012E-2</v>
      </c>
      <c r="AD46" s="790">
        <f t="shared" si="26"/>
        <v>-1.000000000000012E-2</v>
      </c>
      <c r="AE46" s="790">
        <f t="shared" ref="AE46:AL46" si="27">+AE45/AD45-1</f>
        <v>-1.0000000000000009E-2</v>
      </c>
      <c r="AF46" s="790">
        <f t="shared" si="27"/>
        <v>-1.000000000000012E-2</v>
      </c>
      <c r="AG46" s="790">
        <f t="shared" si="27"/>
        <v>-1.0000000000000009E-2</v>
      </c>
      <c r="AH46" s="790">
        <f t="shared" si="27"/>
        <v>-9.9999999999998979E-3</v>
      </c>
      <c r="AI46" s="790">
        <f t="shared" si="27"/>
        <v>-1.000000000000012E-2</v>
      </c>
      <c r="AJ46" s="790">
        <f t="shared" si="27"/>
        <v>-9.9999999999998979E-3</v>
      </c>
      <c r="AK46" s="790">
        <f t="shared" si="27"/>
        <v>-9.9999999999998979E-3</v>
      </c>
      <c r="AL46" s="790">
        <f t="shared" si="27"/>
        <v>-9.9999999999998979E-3</v>
      </c>
      <c r="AM46" s="471"/>
      <c r="AN46" s="471"/>
      <c r="AO46" s="471"/>
      <c r="AP46" s="119"/>
      <c r="AQ46" s="119"/>
      <c r="AR46" s="119"/>
      <c r="AS46" s="119"/>
      <c r="AT46" s="119"/>
      <c r="AU46" s="862"/>
      <c r="AV46" s="613"/>
      <c r="AW46" s="613"/>
      <c r="AX46" s="862"/>
      <c r="AY46" s="462"/>
      <c r="AZ46" s="245">
        <f>+AZ45/AU45-1</f>
        <v>1.0537407797681642E-3</v>
      </c>
      <c r="BA46" s="245">
        <f>+BA45/AV45-1</f>
        <v>-5.4170249355116051E-2</v>
      </c>
      <c r="BB46" s="245">
        <f>+BB45/AW45-1</f>
        <v>4.2283298097252064E-3</v>
      </c>
      <c r="BC46" s="245">
        <f>+BC45/AX45-1</f>
        <v>0.1311881188118813</v>
      </c>
      <c r="BD46" s="245"/>
      <c r="BE46" s="245">
        <f>+BE45/AZ45-1</f>
        <v>2.8421052631578902E-2</v>
      </c>
      <c r="BF46" s="245">
        <f>+BF45/BA45-1</f>
        <v>4.1409090909090951E-2</v>
      </c>
      <c r="BG46" s="245">
        <f>+BG45/BB45-1</f>
        <v>8.9789473684210641E-2</v>
      </c>
      <c r="BH46" s="245">
        <f>+BH45/BC45-1</f>
        <v>-0.20339168490153159</v>
      </c>
      <c r="BI46" s="245"/>
      <c r="BJ46" s="130">
        <v>-0.09</v>
      </c>
      <c r="BK46" s="130">
        <v>-0.09</v>
      </c>
      <c r="BL46" s="130">
        <v>-0.08</v>
      </c>
      <c r="BM46" s="38">
        <f>+BM45/BH45-1</f>
        <v>9.5090875795448948E-2</v>
      </c>
      <c r="BN46" s="245"/>
      <c r="BO46" s="130">
        <v>-0.08</v>
      </c>
      <c r="BP46" s="130">
        <v>-0.04</v>
      </c>
      <c r="BQ46" s="38">
        <f>+BQ45/BL45-1</f>
        <v>0.36997904409139948</v>
      </c>
      <c r="BR46" s="38">
        <f>+BR45/BM45-1</f>
        <v>0.32722359090086273</v>
      </c>
      <c r="BS46" s="6"/>
    </row>
    <row r="47" spans="1:71">
      <c r="A47" s="550"/>
      <c r="B47" s="601"/>
      <c r="C47" s="38"/>
      <c r="D47" s="38"/>
      <c r="E47" s="38"/>
      <c r="F47" s="38"/>
      <c r="G47" s="38"/>
      <c r="H47" s="38"/>
      <c r="I47" s="601"/>
      <c r="J47" s="601"/>
      <c r="K47" s="601"/>
      <c r="L47" s="601"/>
      <c r="M47" s="601"/>
      <c r="N47" s="601"/>
      <c r="O47" s="601"/>
      <c r="P47" s="601"/>
      <c r="Q47" s="601"/>
      <c r="R47" s="601"/>
      <c r="S47" s="39"/>
      <c r="T47" s="39"/>
      <c r="U47" s="39"/>
      <c r="V47" s="39"/>
      <c r="W47" s="39"/>
      <c r="X47" s="39"/>
      <c r="Y47" s="39"/>
      <c r="Z47" s="39"/>
      <c r="AA47" s="39"/>
      <c r="AB47" s="39"/>
      <c r="AC47" s="39"/>
      <c r="AD47" s="39"/>
      <c r="AE47" s="39"/>
      <c r="AF47" s="39"/>
      <c r="AG47" s="39"/>
      <c r="AH47" s="39"/>
      <c r="AI47" s="39"/>
      <c r="AJ47" s="39"/>
      <c r="AK47" s="39"/>
      <c r="AL47" s="39"/>
      <c r="AM47" s="39"/>
      <c r="AN47" s="471"/>
      <c r="AO47" s="471"/>
      <c r="AP47" s="119"/>
      <c r="AQ47" s="119"/>
      <c r="AR47" s="119"/>
      <c r="AS47" s="119"/>
      <c r="AT47" s="119"/>
      <c r="AU47" s="862"/>
      <c r="AV47" s="862"/>
      <c r="AW47" s="862"/>
      <c r="AX47" s="862"/>
      <c r="AY47" s="6"/>
      <c r="AZ47" s="6"/>
      <c r="BA47" s="145"/>
      <c r="BB47" s="145"/>
      <c r="BC47" s="145"/>
      <c r="BD47" s="145"/>
      <c r="BE47" s="6"/>
      <c r="BF47" s="6"/>
      <c r="BG47" s="6"/>
      <c r="BH47" s="6"/>
      <c r="BI47" s="6"/>
      <c r="BJ47" s="6"/>
      <c r="BK47" s="6"/>
      <c r="BL47" s="6"/>
      <c r="BM47" s="6"/>
      <c r="BN47" s="6"/>
      <c r="BO47" s="6"/>
      <c r="BP47" s="6"/>
      <c r="BQ47" s="6"/>
      <c r="BR47" s="6"/>
      <c r="BS47" s="6"/>
    </row>
    <row r="48" spans="1:71">
      <c r="A48" s="36" t="s">
        <v>1228</v>
      </c>
      <c r="B48" s="84"/>
      <c r="C48" s="598"/>
      <c r="D48" s="598"/>
      <c r="E48" s="598"/>
      <c r="F48" s="598"/>
      <c r="G48" s="598"/>
      <c r="H48" s="615">
        <f>+H45-H51</f>
        <v>278.7</v>
      </c>
      <c r="I48" s="615">
        <f>+I45-I51</f>
        <v>285.60000000000002</v>
      </c>
      <c r="J48" s="616">
        <v>305</v>
      </c>
      <c r="K48" s="616">
        <v>295</v>
      </c>
      <c r="L48" s="616">
        <f>(K48*1.05)+(((L45/1.03)-K45)*0.3)-(0.03*L45)</f>
        <v>310.42884438932037</v>
      </c>
      <c r="M48" s="616">
        <f>+L48*1.11</f>
        <v>344.57601727214563</v>
      </c>
      <c r="N48" s="616">
        <f>(M48*1.03)+(((N45/1.03)-M45)*0.3)</f>
        <v>360.7101829621547</v>
      </c>
      <c r="O48" s="616">
        <f>(N48*1.03)+(((O45/1.03)-N45)*0.3)-5</f>
        <v>361.87948810061403</v>
      </c>
      <c r="P48" s="616">
        <f>(O48*1.03)+(((P45/1.03)-O45)*0.3)-5</f>
        <v>355.33053847588485</v>
      </c>
      <c r="Q48" s="616">
        <f>(P48*1.04)+(((Q45/1.03)-P45)*0.35)</f>
        <v>353.08668686493047</v>
      </c>
      <c r="R48" s="616">
        <f>(Q48*0.965)+(((R45/1.03)-Q45)*0.3)</f>
        <v>315.49592793822717</v>
      </c>
      <c r="S48" s="791">
        <f>(R48*1.05)+(((S45/1.03)-R45)*0.3)-32</f>
        <v>277.72881376241207</v>
      </c>
      <c r="T48" s="1183">
        <f t="shared" ref="T48:Z48" si="28">T45-T51</f>
        <v>323.4302747530736</v>
      </c>
      <c r="U48" s="1183">
        <f t="shared" si="28"/>
        <v>257.5663317235186</v>
      </c>
      <c r="V48" s="1183">
        <f t="shared" si="28"/>
        <v>297.62554280778284</v>
      </c>
      <c r="W48" s="1183">
        <f t="shared" si="28"/>
        <v>312.29328248249544</v>
      </c>
      <c r="X48" s="1183">
        <f t="shared" si="28"/>
        <v>290.37528248249538</v>
      </c>
      <c r="Y48" s="1183">
        <f>Y45-Y51</f>
        <v>259.89389530732052</v>
      </c>
      <c r="Z48" s="1183">
        <f t="shared" si="28"/>
        <v>261.64358810035066</v>
      </c>
      <c r="AA48" s="1183">
        <f>AA45-AA51</f>
        <v>276.94112145763745</v>
      </c>
      <c r="AB48" s="1183">
        <f>AB45-AB51</f>
        <v>261.9394452027401</v>
      </c>
      <c r="AC48" s="616">
        <f>(AB48*1.013)+(((AC45/1.03)-AB45)*0.3)</f>
        <v>260.48381428744864</v>
      </c>
      <c r="AD48" s="616">
        <f t="shared" ref="AD48:AE48" si="29">(AC48*1.013)+(((AD45/1.03)-AC45)*0.3)</f>
        <v>259.05786860728767</v>
      </c>
      <c r="AE48" s="616">
        <f t="shared" si="29"/>
        <v>257.66150798594362</v>
      </c>
      <c r="AF48" s="616">
        <f>(AE48*1.012)+(((AF45/1.03)-AE45)*0.3)</f>
        <v>256.03697429766851</v>
      </c>
      <c r="AG48" s="616">
        <f>(AF48*1.011)+(((AG45/1.03)-AF45)*0.3)</f>
        <v>254.18407394867751</v>
      </c>
      <c r="AH48" s="616">
        <f>(AG48*1.01)+(((AH45/1.03)-AG45)*0.3)</f>
        <v>252.10330069256159</v>
      </c>
      <c r="AI48" s="616">
        <f t="shared" ref="AI48:AL48" si="30">(AH48*1.01)+(((AI45/1.03)-AH45)*0.3)</f>
        <v>250.04794584384055</v>
      </c>
      <c r="AJ48" s="616">
        <f t="shared" si="30"/>
        <v>248.0178013251888</v>
      </c>
      <c r="AK48" s="616">
        <f t="shared" si="30"/>
        <v>246.01266160112144</v>
      </c>
      <c r="AL48" s="616">
        <f t="shared" si="30"/>
        <v>244.03232365718659</v>
      </c>
      <c r="AM48" s="39"/>
      <c r="AN48" s="471"/>
      <c r="AO48" s="471"/>
      <c r="AP48" s="119"/>
      <c r="AQ48" s="119"/>
      <c r="AR48" s="119"/>
      <c r="AS48" s="119"/>
      <c r="AT48" s="119"/>
      <c r="AU48" s="862"/>
      <c r="AV48" s="862"/>
      <c r="AW48" s="862"/>
      <c r="AX48" s="862"/>
      <c r="AY48" s="6"/>
      <c r="AZ48" s="6"/>
      <c r="BA48" s="6"/>
      <c r="BB48" s="6"/>
      <c r="BC48" s="6"/>
      <c r="BD48" s="6"/>
      <c r="BE48" s="6"/>
      <c r="BF48" s="6"/>
      <c r="BG48" s="6"/>
      <c r="BH48" s="6"/>
      <c r="BI48" s="6"/>
      <c r="BJ48" s="6"/>
      <c r="BK48" s="6"/>
      <c r="BL48" s="6"/>
      <c r="BM48" s="6"/>
      <c r="BN48" s="6"/>
      <c r="BO48" s="6"/>
      <c r="BP48" s="6"/>
      <c r="BQ48" s="6"/>
      <c r="BR48" s="6"/>
      <c r="BS48" s="6"/>
    </row>
    <row r="49" spans="1:71">
      <c r="A49" s="6" t="s">
        <v>739</v>
      </c>
      <c r="B49" s="84"/>
      <c r="C49" s="80"/>
      <c r="D49" s="80"/>
      <c r="E49" s="80"/>
      <c r="F49" s="80"/>
      <c r="G49" s="80"/>
      <c r="H49" s="80">
        <f t="shared" ref="H49:AD49" si="31">+H48/H45</f>
        <v>0.65269320843091327</v>
      </c>
      <c r="I49" s="80">
        <f t="shared" si="31"/>
        <v>0.65339739190116675</v>
      </c>
      <c r="J49" s="80">
        <f t="shared" si="31"/>
        <v>0.71764705882352942</v>
      </c>
      <c r="K49" s="80">
        <f t="shared" si="31"/>
        <v>0.72303921568627449</v>
      </c>
      <c r="L49" s="80">
        <f t="shared" si="31"/>
        <v>0.65895404965381565</v>
      </c>
      <c r="M49" s="80">
        <f t="shared" si="31"/>
        <v>0.69252326932919461</v>
      </c>
      <c r="N49" s="80">
        <f t="shared" si="31"/>
        <v>0.67752285312706895</v>
      </c>
      <c r="O49" s="80">
        <f t="shared" si="31"/>
        <v>0.67971916193953241</v>
      </c>
      <c r="P49" s="80">
        <f t="shared" si="31"/>
        <v>0.70254552970552975</v>
      </c>
      <c r="Q49" s="80">
        <f t="shared" si="31"/>
        <v>0.7472445098646886</v>
      </c>
      <c r="R49" s="80">
        <f t="shared" si="31"/>
        <v>0.78861863303728019</v>
      </c>
      <c r="S49" s="359">
        <f t="shared" si="31"/>
        <v>0.82143316455838078</v>
      </c>
      <c r="T49" s="359">
        <f t="shared" si="31"/>
        <v>0.70725323408097207</v>
      </c>
      <c r="U49" s="359">
        <f t="shared" si="31"/>
        <v>0.65725851829612481</v>
      </c>
      <c r="V49" s="359">
        <f t="shared" si="31"/>
        <v>0.68893592421125593</v>
      </c>
      <c r="W49" s="359">
        <f>+W48/W45</f>
        <v>0.79677669292471653</v>
      </c>
      <c r="X49" s="359">
        <f t="shared" si="31"/>
        <v>0.68199807934138412</v>
      </c>
      <c r="Y49" s="359">
        <f t="shared" si="31"/>
        <v>0.64273074267726416</v>
      </c>
      <c r="Z49" s="359">
        <f t="shared" si="31"/>
        <v>0.62882080673946283</v>
      </c>
      <c r="AA49" s="359">
        <f t="shared" si="31"/>
        <v>0.66377334874523886</v>
      </c>
      <c r="AB49" s="359">
        <f t="shared" si="31"/>
        <v>0.62781728403338155</v>
      </c>
      <c r="AC49" s="359">
        <f>+AC48/AC45</f>
        <v>0.63063477099891141</v>
      </c>
      <c r="AD49" s="359">
        <f t="shared" si="31"/>
        <v>0.63351771473232721</v>
      </c>
      <c r="AE49" s="359">
        <f t="shared" ref="AE49:AJ49" si="32">+AE48/AE45</f>
        <v>0.63646763594641842</v>
      </c>
      <c r="AF49" s="359">
        <f t="shared" si="32"/>
        <v>0.6388431940816991</v>
      </c>
      <c r="AG49" s="359">
        <f t="shared" si="32"/>
        <v>0.64062624624212583</v>
      </c>
      <c r="AH49" s="359">
        <f t="shared" si="32"/>
        <v>0.64180002350268051</v>
      </c>
      <c r="AI49" s="359">
        <f t="shared" si="32"/>
        <v>0.64299751343516587</v>
      </c>
      <c r="AJ49" s="359">
        <f t="shared" si="32"/>
        <v>0.64421919508345893</v>
      </c>
      <c r="AK49" s="359">
        <f>+AK48/AK45</f>
        <v>0.64546555716909126</v>
      </c>
      <c r="AL49" s="359">
        <f>+AL48/AL45</f>
        <v>0.64673709828675652</v>
      </c>
      <c r="AM49" s="39"/>
      <c r="AN49" s="471"/>
      <c r="AO49" s="471"/>
      <c r="AP49" s="119"/>
      <c r="AQ49" s="119"/>
      <c r="AR49" s="119"/>
      <c r="AS49" s="119"/>
      <c r="AT49" s="119"/>
      <c r="AU49" s="862"/>
      <c r="AV49" s="862"/>
      <c r="AW49" s="862"/>
      <c r="AX49" s="862"/>
      <c r="AY49" s="6"/>
      <c r="AZ49" s="6"/>
      <c r="BA49" s="6"/>
      <c r="BB49" s="6"/>
      <c r="BC49" s="6"/>
      <c r="BD49" s="6"/>
      <c r="BE49" s="6"/>
      <c r="BF49" s="6"/>
      <c r="BG49" s="6"/>
      <c r="BH49" s="6"/>
      <c r="BI49" s="6"/>
      <c r="BJ49" s="6"/>
      <c r="BK49" s="6"/>
      <c r="BL49" s="6"/>
      <c r="BM49" s="6"/>
      <c r="BN49" s="6"/>
      <c r="BO49" s="6"/>
      <c r="BP49" s="6"/>
      <c r="BQ49" s="6"/>
      <c r="BR49" s="6"/>
      <c r="BS49" s="6"/>
    </row>
    <row r="50" spans="1:71">
      <c r="A50" s="84"/>
      <c r="B50" s="84"/>
      <c r="C50" s="617"/>
      <c r="D50" s="617"/>
      <c r="E50" s="617"/>
      <c r="F50" s="617"/>
      <c r="G50" s="617"/>
      <c r="H50" s="1037"/>
      <c r="I50" s="1038"/>
      <c r="J50" s="1038"/>
      <c r="K50" s="1038"/>
      <c r="L50" s="1038"/>
      <c r="M50" s="1038"/>
      <c r="N50" s="1038"/>
      <c r="O50" s="1038"/>
      <c r="P50" s="1038"/>
      <c r="Q50" s="1038"/>
      <c r="R50" s="1038"/>
      <c r="S50" s="1039"/>
      <c r="T50" s="1039"/>
      <c r="U50" s="1039"/>
      <c r="V50" s="1039"/>
      <c r="W50" s="1039"/>
      <c r="X50" s="2448"/>
      <c r="Y50" s="2448"/>
      <c r="Z50" s="2448"/>
      <c r="AA50" s="2448"/>
      <c r="AB50" s="2448"/>
      <c r="AC50" s="2448"/>
      <c r="AD50" s="2448"/>
      <c r="AE50" s="2448"/>
      <c r="AF50" s="2448"/>
      <c r="AG50" s="2448"/>
      <c r="AH50" s="2448"/>
      <c r="AI50" s="2448"/>
      <c r="AJ50" s="2448"/>
      <c r="AK50" s="2448"/>
      <c r="AL50" s="2448"/>
      <c r="AM50" s="39"/>
      <c r="AN50" s="471"/>
      <c r="AO50" s="471"/>
      <c r="AP50" s="119"/>
      <c r="AQ50" s="119"/>
      <c r="AR50" s="119"/>
      <c r="AS50" s="119"/>
      <c r="AT50" s="119"/>
      <c r="AU50" s="862"/>
      <c r="AV50" s="862"/>
      <c r="AW50" s="862"/>
      <c r="AX50" s="862"/>
      <c r="AY50" s="6"/>
      <c r="AZ50" s="6"/>
      <c r="BA50" s="6"/>
      <c r="BB50" s="6"/>
      <c r="BC50" s="6"/>
      <c r="BD50" s="6"/>
      <c r="BE50" s="6"/>
      <c r="BF50" s="6"/>
      <c r="BG50" s="6"/>
      <c r="BH50" s="6"/>
      <c r="BI50" s="6"/>
      <c r="BJ50" s="6"/>
      <c r="BK50" s="6"/>
      <c r="BL50" s="6"/>
      <c r="BM50" s="6"/>
      <c r="BN50" s="6"/>
      <c r="BO50" s="6"/>
      <c r="BP50" s="6"/>
      <c r="BQ50" s="6"/>
      <c r="BR50" s="6"/>
      <c r="BS50" s="6"/>
    </row>
    <row r="51" spans="1:71">
      <c r="A51" s="36" t="s">
        <v>1569</v>
      </c>
      <c r="B51" s="84"/>
      <c r="C51" s="618"/>
      <c r="D51" s="618"/>
      <c r="E51" s="618"/>
      <c r="F51" s="618"/>
      <c r="G51" s="618"/>
      <c r="H51" s="612">
        <v>148.30000000000001</v>
      </c>
      <c r="I51" s="616">
        <v>151.5</v>
      </c>
      <c r="J51" s="618">
        <f t="shared" ref="J51:R51" si="33">J45-J48</f>
        <v>120</v>
      </c>
      <c r="K51" s="618">
        <f t="shared" si="33"/>
        <v>113</v>
      </c>
      <c r="L51" s="618">
        <f t="shared" si="33"/>
        <v>160.6644656106796</v>
      </c>
      <c r="M51" s="618">
        <f t="shared" si="33"/>
        <v>152.98995997785431</v>
      </c>
      <c r="N51" s="618">
        <f t="shared" si="33"/>
        <v>171.68541269534524</v>
      </c>
      <c r="O51" s="618">
        <f t="shared" si="33"/>
        <v>170.51610755688591</v>
      </c>
      <c r="P51" s="618">
        <f t="shared" si="33"/>
        <v>150.44527739874007</v>
      </c>
      <c r="Q51" s="618">
        <f t="shared" si="33"/>
        <v>119.43158821596319</v>
      </c>
      <c r="R51" s="618">
        <f t="shared" si="33"/>
        <v>84.565539951681046</v>
      </c>
      <c r="S51" s="792">
        <f>S45-S48</f>
        <v>60.373938531165891</v>
      </c>
      <c r="T51" s="1184">
        <f>'Segment Detail'!AG125</f>
        <v>133.8744913019724</v>
      </c>
      <c r="U51" s="1184">
        <f>'Segment Detail'!AH125</f>
        <v>134.31346070767404</v>
      </c>
      <c r="V51" s="1184">
        <f>'Segment Detail'!AI125</f>
        <v>134.38203924496941</v>
      </c>
      <c r="W51" s="1184">
        <f>'Segment Detail'!AJ125</f>
        <v>79.652522729458042</v>
      </c>
      <c r="X51" s="2250">
        <f>'Segment Detail'!AK125</f>
        <v>135.39612549993649</v>
      </c>
      <c r="Y51" s="2643">
        <f>'Segment Detail'!AL125</f>
        <v>144.46500345134928</v>
      </c>
      <c r="Z51" s="3565">
        <f>'Segment Detail'!AM125</f>
        <v>154.4424976273383</v>
      </c>
      <c r="AA51" s="3565">
        <f>'Segment Detail'!AN125</f>
        <v>140.281296376932</v>
      </c>
      <c r="AB51" s="3565">
        <f>'Segment Detail'!AO125</f>
        <v>155.28297263182935</v>
      </c>
      <c r="AC51" s="3566">
        <f>AC45-AC48</f>
        <v>152.56637936877507</v>
      </c>
      <c r="AD51" s="3566">
        <f t="shared" ref="AD51:AJ51" si="34">AD45-AD48</f>
        <v>149.86182311237377</v>
      </c>
      <c r="AE51" s="3566">
        <f t="shared" si="34"/>
        <v>147.16898681652123</v>
      </c>
      <c r="AF51" s="3566">
        <f t="shared" si="34"/>
        <v>144.74521555677165</v>
      </c>
      <c r="AG51" s="3566">
        <f t="shared" si="34"/>
        <v>142.59029400721823</v>
      </c>
      <c r="AH51" s="3566">
        <f t="shared" si="34"/>
        <v>140.70332358377524</v>
      </c>
      <c r="AI51" s="3566">
        <f t="shared" si="34"/>
        <v>138.83061218973288</v>
      </c>
      <c r="AJ51" s="3566">
        <f t="shared" si="34"/>
        <v>136.97197112804892</v>
      </c>
      <c r="AK51" s="3566">
        <f>AK45-AK48</f>
        <v>135.12721312758393</v>
      </c>
      <c r="AL51" s="3566">
        <f>AL45-AL48</f>
        <v>133.29615232423177</v>
      </c>
      <c r="AM51" s="2802"/>
      <c r="AN51" s="3567"/>
      <c r="AO51" s="3567"/>
      <c r="AP51" s="2897"/>
      <c r="AQ51" s="119"/>
      <c r="AR51" s="119"/>
      <c r="AS51" s="119"/>
      <c r="AT51" s="119"/>
      <c r="AU51" s="862">
        <v>22.3</v>
      </c>
      <c r="AV51" s="613">
        <v>44.5</v>
      </c>
      <c r="AW51" s="613">
        <v>31.5</v>
      </c>
      <c r="AX51" s="613">
        <f>+H51-AU51-AV51-AW51</f>
        <v>50.000000000000014</v>
      </c>
      <c r="AY51" s="145"/>
      <c r="AZ51" s="6">
        <v>25.6</v>
      </c>
      <c r="BA51" s="613">
        <v>38.9</v>
      </c>
      <c r="BB51" s="619">
        <v>32.200000000000003</v>
      </c>
      <c r="BC51" s="619">
        <f>I51-BB51-BA51-AZ51</f>
        <v>54.800000000000004</v>
      </c>
      <c r="BD51" s="145"/>
      <c r="BE51" s="472">
        <v>28.7</v>
      </c>
      <c r="BF51" s="472">
        <f>+'Segment Detail'!BL125</f>
        <v>41.239799999999995</v>
      </c>
      <c r="BG51" s="533">
        <f>+'Segment Detail'!BM125</f>
        <v>35.200200000000002</v>
      </c>
      <c r="BH51" s="533">
        <f>+J51-SUM(BE51:BG51)</f>
        <v>14.860000000000014</v>
      </c>
      <c r="BI51" s="145"/>
      <c r="BJ51" s="145">
        <f>+BJ52*BJ45</f>
        <v>30.228380000000005</v>
      </c>
      <c r="BK51" s="145">
        <f>+BK52*BK45</f>
        <v>35.443317</v>
      </c>
      <c r="BL51" s="145">
        <f>+BL52*BL45</f>
        <v>9.5247600000000006</v>
      </c>
      <c r="BM51" s="145">
        <f>+K51-SUM(BJ51:BL51)</f>
        <v>37.803542999999991</v>
      </c>
      <c r="BN51" s="145"/>
      <c r="BO51" s="145">
        <f>+BO52*BO45</f>
        <v>24.538332</v>
      </c>
      <c r="BP51" s="145">
        <f>+BP52*BP45</f>
        <v>39.029346719999999</v>
      </c>
      <c r="BQ51" s="145">
        <f>+BQ52*BQ45</f>
        <v>32.621803999999997</v>
      </c>
      <c r="BR51" s="145">
        <f>+L51-SUM(BO51:BQ51)</f>
        <v>64.474982890679598</v>
      </c>
      <c r="BS51" s="145">
        <f>+L51-SUM(BO51:BR51)</f>
        <v>0</v>
      </c>
    </row>
    <row r="52" spans="1:71">
      <c r="A52" s="6" t="s">
        <v>680</v>
      </c>
      <c r="B52" s="84"/>
      <c r="C52" s="38"/>
      <c r="D52" s="38"/>
      <c r="E52" s="38"/>
      <c r="F52" s="38"/>
      <c r="G52" s="38"/>
      <c r="H52" s="38">
        <f t="shared" ref="H52:AD52" si="35">+H51/H45</f>
        <v>0.34730679156908667</v>
      </c>
      <c r="I52" s="38">
        <f t="shared" si="35"/>
        <v>0.3466026080988332</v>
      </c>
      <c r="J52" s="38">
        <f t="shared" si="35"/>
        <v>0.28235294117647058</v>
      </c>
      <c r="K52" s="38">
        <f t="shared" si="35"/>
        <v>0.27696078431372551</v>
      </c>
      <c r="L52" s="38">
        <f t="shared" si="35"/>
        <v>0.34104595034618429</v>
      </c>
      <c r="M52" s="38">
        <f t="shared" si="35"/>
        <v>0.30747673067080539</v>
      </c>
      <c r="N52" s="38">
        <f t="shared" si="35"/>
        <v>0.32247714687293105</v>
      </c>
      <c r="O52" s="38">
        <f t="shared" si="35"/>
        <v>0.32028083806046759</v>
      </c>
      <c r="P52" s="38">
        <f t="shared" si="35"/>
        <v>0.29745447029447025</v>
      </c>
      <c r="Q52" s="38">
        <f t="shared" si="35"/>
        <v>0.2527554901353114</v>
      </c>
      <c r="R52" s="38">
        <f t="shared" si="35"/>
        <v>0.21138136696271984</v>
      </c>
      <c r="S52" s="39">
        <f t="shared" si="35"/>
        <v>0.17856683544161925</v>
      </c>
      <c r="T52" s="39">
        <f t="shared" si="35"/>
        <v>0.29274676591902798</v>
      </c>
      <c r="U52" s="39">
        <f t="shared" si="35"/>
        <v>0.34274148170387525</v>
      </c>
      <c r="V52" s="39">
        <f t="shared" si="35"/>
        <v>0.31106407578874407</v>
      </c>
      <c r="W52" s="39">
        <f t="shared" si="35"/>
        <v>0.20322330707528341</v>
      </c>
      <c r="X52" s="1110">
        <f t="shared" si="35"/>
        <v>0.31800192065861593</v>
      </c>
      <c r="Y52" s="1110">
        <f t="shared" si="35"/>
        <v>0.35726925732273579</v>
      </c>
      <c r="Z52" s="2802">
        <f t="shared" si="35"/>
        <v>0.37117919326053717</v>
      </c>
      <c r="AA52" s="2802">
        <f t="shared" si="35"/>
        <v>0.33622665125476109</v>
      </c>
      <c r="AB52" s="2802">
        <f t="shared" si="35"/>
        <v>0.37218271596661839</v>
      </c>
      <c r="AC52" s="2802">
        <f t="shared" si="35"/>
        <v>0.36936522900108865</v>
      </c>
      <c r="AD52" s="2802">
        <f t="shared" si="35"/>
        <v>0.36648228526767279</v>
      </c>
      <c r="AE52" s="2802">
        <f t="shared" ref="AE52:AJ52" si="36">+AE51/AE45</f>
        <v>0.36353236405358164</v>
      </c>
      <c r="AF52" s="2802">
        <f t="shared" si="36"/>
        <v>0.36115680591830085</v>
      </c>
      <c r="AG52" s="2802">
        <f t="shared" si="36"/>
        <v>0.35937375375787417</v>
      </c>
      <c r="AH52" s="2802">
        <f t="shared" si="36"/>
        <v>0.35819997649731944</v>
      </c>
      <c r="AI52" s="2802">
        <f t="shared" si="36"/>
        <v>0.35700248656483413</v>
      </c>
      <c r="AJ52" s="2802">
        <f t="shared" si="36"/>
        <v>0.35578080491654113</v>
      </c>
      <c r="AK52" s="2802">
        <f>+AK51/AK45</f>
        <v>0.35453444283090879</v>
      </c>
      <c r="AL52" s="2802">
        <f>+AL51/AL45</f>
        <v>0.35326290171324354</v>
      </c>
      <c r="AM52" s="2802"/>
      <c r="AN52" s="3567"/>
      <c r="AO52" s="3567"/>
      <c r="AP52" s="2897"/>
      <c r="AQ52" s="119"/>
      <c r="AR52" s="119"/>
      <c r="AS52" s="119"/>
      <c r="AT52" s="119"/>
      <c r="AU52" s="877">
        <f>+AU51/AU45</f>
        <v>0.23498419388830347</v>
      </c>
      <c r="AV52" s="877">
        <f>+AV51/AV45</f>
        <v>0.3826311263972485</v>
      </c>
      <c r="AW52" s="877">
        <f>+AW51/AW45</f>
        <v>0.33298097251585623</v>
      </c>
      <c r="AX52" s="877">
        <f>+AX51/AX45</f>
        <v>0.41254125412541259</v>
      </c>
      <c r="AY52" s="38"/>
      <c r="AZ52" s="38">
        <f>+AZ51/AZ45</f>
        <v>0.26947368421052631</v>
      </c>
      <c r="BA52" s="38">
        <f>+BA51/BA45</f>
        <v>0.35363636363636364</v>
      </c>
      <c r="BB52" s="38">
        <f>+BB51/BB45</f>
        <v>0.33894736842105266</v>
      </c>
      <c r="BC52" s="38">
        <f>+BC51/BC45</f>
        <v>0.39970824215900796</v>
      </c>
      <c r="BD52" s="245"/>
      <c r="BE52" s="245">
        <f>+BE51/BE45</f>
        <v>0.29375639713408391</v>
      </c>
      <c r="BF52" s="245">
        <f>+BF51/BF45</f>
        <v>0.36</v>
      </c>
      <c r="BG52" s="245">
        <f>+BG51/BG45</f>
        <v>0.34</v>
      </c>
      <c r="BH52" s="245">
        <f>+BH51/BH45</f>
        <v>0.13606189625967138</v>
      </c>
      <c r="BI52" s="245"/>
      <c r="BJ52" s="130">
        <v>0.34</v>
      </c>
      <c r="BK52" s="130">
        <v>0.34</v>
      </c>
      <c r="BL52" s="130">
        <v>0.1</v>
      </c>
      <c r="BM52" s="38">
        <f>+BM51/BM45</f>
        <v>0.31608221046175861</v>
      </c>
      <c r="BN52" s="245"/>
      <c r="BO52" s="130">
        <v>0.3</v>
      </c>
      <c r="BP52" s="130">
        <v>0.39</v>
      </c>
      <c r="BQ52" s="130">
        <v>0.25</v>
      </c>
      <c r="BR52" s="38">
        <f>+BR51/BR45</f>
        <v>0.40617640600152938</v>
      </c>
      <c r="BS52" s="6"/>
    </row>
    <row r="53" spans="1:71">
      <c r="A53" s="6"/>
      <c r="B53" s="84"/>
      <c r="C53" s="38"/>
      <c r="D53" s="38"/>
      <c r="E53" s="38"/>
      <c r="F53" s="38"/>
      <c r="G53" s="38"/>
      <c r="H53" s="38"/>
      <c r="I53" s="38"/>
      <c r="J53" s="38"/>
      <c r="K53" s="38"/>
      <c r="L53" s="38"/>
      <c r="M53" s="38"/>
      <c r="N53" s="38"/>
      <c r="O53" s="38"/>
      <c r="P53" s="38"/>
      <c r="Q53" s="38"/>
      <c r="R53" s="38"/>
      <c r="S53" s="39"/>
      <c r="T53" s="39"/>
      <c r="U53" s="39"/>
      <c r="V53" s="39"/>
      <c r="W53" s="39"/>
      <c r="X53" s="39"/>
      <c r="Y53" s="39"/>
      <c r="Z53" s="2802"/>
      <c r="AA53" s="2802"/>
      <c r="AB53" s="2802"/>
      <c r="AC53" s="2802"/>
      <c r="AD53" s="2802"/>
      <c r="AE53" s="2802"/>
      <c r="AF53" s="2802"/>
      <c r="AG53" s="2802"/>
      <c r="AH53" s="2802"/>
      <c r="AI53" s="2802"/>
      <c r="AJ53" s="2802"/>
      <c r="AK53" s="2802"/>
      <c r="AL53" s="2802"/>
      <c r="AM53" s="2802"/>
      <c r="AN53" s="3567"/>
      <c r="AO53" s="3567"/>
      <c r="AP53" s="2897"/>
      <c r="AQ53" s="119"/>
      <c r="AR53" s="119"/>
      <c r="AS53" s="119"/>
      <c r="AT53" s="119"/>
      <c r="AU53" s="6"/>
      <c r="AV53" s="6"/>
      <c r="AW53" s="6"/>
      <c r="AX53" s="6"/>
      <c r="AY53" s="38"/>
      <c r="AZ53" s="6"/>
      <c r="BA53" s="38"/>
      <c r="BB53" s="38"/>
      <c r="BC53" s="38"/>
      <c r="BD53" s="245"/>
      <c r="BE53" s="245"/>
      <c r="BF53" s="245"/>
      <c r="BG53" s="245"/>
      <c r="BH53" s="245"/>
      <c r="BI53" s="245"/>
      <c r="BJ53" s="130"/>
      <c r="BK53" s="130"/>
      <c r="BL53" s="130"/>
      <c r="BM53" s="38"/>
      <c r="BN53" s="245"/>
      <c r="BO53" s="130"/>
      <c r="BP53" s="130"/>
      <c r="BQ53" s="130"/>
      <c r="BR53" s="38"/>
      <c r="BS53" s="6"/>
    </row>
    <row r="54" spans="1:71">
      <c r="A54" s="6"/>
      <c r="B54" s="84"/>
      <c r="C54" s="38"/>
      <c r="D54" s="38"/>
      <c r="E54" s="38"/>
      <c r="F54" s="38"/>
      <c r="G54" s="38"/>
      <c r="H54" s="38"/>
      <c r="I54" s="475"/>
      <c r="J54" s="6"/>
      <c r="K54" s="6"/>
      <c r="L54" s="6"/>
      <c r="M54" s="6"/>
      <c r="N54" s="6"/>
      <c r="O54" s="6"/>
      <c r="P54" s="6"/>
      <c r="Q54" s="6"/>
      <c r="R54" s="6"/>
      <c r="S54" s="11"/>
      <c r="T54" s="11"/>
      <c r="U54" s="11"/>
      <c r="V54" s="54"/>
      <c r="W54" s="392"/>
      <c r="X54" s="392"/>
      <c r="Y54" s="392"/>
      <c r="Z54" s="3568"/>
      <c r="AA54" s="3568"/>
      <c r="AB54" s="3568"/>
      <c r="AC54" s="3568"/>
      <c r="AD54" s="3568"/>
      <c r="AE54" s="3568"/>
      <c r="AF54" s="3568"/>
      <c r="AG54" s="3568"/>
      <c r="AH54" s="3568"/>
      <c r="AI54" s="3568"/>
      <c r="AJ54" s="3568"/>
      <c r="AK54" s="2862"/>
      <c r="AL54" s="2802"/>
      <c r="AM54" s="2802"/>
      <c r="AN54" s="3567"/>
      <c r="AO54" s="3567"/>
      <c r="AP54" s="2897"/>
      <c r="AQ54" s="119"/>
      <c r="AR54" s="119"/>
      <c r="AS54" s="119"/>
      <c r="AT54" s="119"/>
      <c r="AU54" s="6"/>
      <c r="AV54" s="6"/>
      <c r="AW54" s="6"/>
      <c r="AX54" s="6"/>
      <c r="AY54" s="6"/>
      <c r="AZ54" s="6"/>
      <c r="BA54" s="6"/>
      <c r="BB54" s="6"/>
      <c r="BC54" s="6"/>
      <c r="BD54" s="6"/>
      <c r="BE54" s="6"/>
      <c r="BF54" s="6"/>
      <c r="BG54" s="6"/>
      <c r="BH54" s="6"/>
      <c r="BI54" s="6"/>
      <c r="BJ54" s="6"/>
      <c r="BK54" s="6"/>
      <c r="BL54" s="6"/>
      <c r="BM54" s="6"/>
      <c r="BN54" s="6"/>
      <c r="BO54" s="38">
        <f>+BO51/BJ51-1</f>
        <v>-0.18823529411764717</v>
      </c>
      <c r="BP54" s="38">
        <f>+BP51/BK51-1</f>
        <v>0.1011764705882352</v>
      </c>
      <c r="BQ54" s="38">
        <f>+BQ51/BL51-1</f>
        <v>2.4249476102284988</v>
      </c>
      <c r="BR54" s="38">
        <f>+BR51/BM51-1</f>
        <v>0.7055275186952612</v>
      </c>
      <c r="BS54" s="6"/>
    </row>
    <row r="55" spans="1:71">
      <c r="A55" s="6" t="s">
        <v>692</v>
      </c>
      <c r="B55" s="6"/>
      <c r="C55" s="145"/>
      <c r="D55" s="145"/>
      <c r="E55" s="145"/>
      <c r="F55" s="145"/>
      <c r="G55" s="145"/>
      <c r="H55" s="145"/>
      <c r="I55" s="145"/>
      <c r="J55" s="145"/>
      <c r="K55" s="145"/>
      <c r="L55" s="145">
        <f t="shared" ref="L55:Y55" si="37">L56*L45</f>
        <v>8.5659472858013839</v>
      </c>
      <c r="M55" s="145">
        <f t="shared" si="37"/>
        <v>9.3431546905996186</v>
      </c>
      <c r="N55" s="145">
        <f t="shared" si="37"/>
        <v>9.1958470880355581</v>
      </c>
      <c r="O55" s="145">
        <f t="shared" si="37"/>
        <v>9.1176142738496484</v>
      </c>
      <c r="P55" s="145">
        <f t="shared" si="37"/>
        <v>8.1833845681773063</v>
      </c>
      <c r="Q55" s="145">
        <f t="shared" si="37"/>
        <v>8.8562156392802205</v>
      </c>
      <c r="R55" s="145">
        <f t="shared" si="37"/>
        <v>7.6982182442448499</v>
      </c>
      <c r="S55" s="54">
        <f t="shared" si="37"/>
        <v>6.6750235455337021</v>
      </c>
      <c r="T55" s="54">
        <f t="shared" si="37"/>
        <v>7.2711457802752317</v>
      </c>
      <c r="U55" s="54">
        <f t="shared" si="37"/>
        <v>5.8194149176032113</v>
      </c>
      <c r="V55" s="54">
        <f t="shared" si="37"/>
        <v>8.0629726196558522</v>
      </c>
      <c r="W55" s="54">
        <f t="shared" si="37"/>
        <v>6.1858508779086856</v>
      </c>
      <c r="X55" s="1146">
        <f t="shared" si="37"/>
        <v>6.734304932780292</v>
      </c>
      <c r="Y55" s="1146">
        <f t="shared" si="37"/>
        <v>5.7981773220690682</v>
      </c>
      <c r="Z55" s="3097">
        <f t="shared" ref="Z55:AF55" ca="1" si="38">Z56*Z45</f>
        <v>5.2596996898741164</v>
      </c>
      <c r="AA55" s="3097">
        <f t="shared" ca="1" si="38"/>
        <v>4.9798496251021014</v>
      </c>
      <c r="AB55" s="3097">
        <f t="shared" ca="1" si="38"/>
        <v>4.6800709934947049</v>
      </c>
      <c r="AC55" s="3097">
        <f t="shared" ca="1" si="38"/>
        <v>4.2202200899035338</v>
      </c>
      <c r="AD55" s="3097">
        <f t="shared" ca="1" si="38"/>
        <v>4.0891969171966149</v>
      </c>
      <c r="AE55" s="3097">
        <f t="shared" ca="1" si="38"/>
        <v>4.0483049480246489</v>
      </c>
      <c r="AF55" s="3097">
        <f t="shared" ca="1" si="38"/>
        <v>4.0078218985444014</v>
      </c>
      <c r="AG55" s="3097">
        <f t="shared" ref="AG55:AL55" ca="1" si="39">AG56*AG45</f>
        <v>3.9677436795589576</v>
      </c>
      <c r="AH55" s="3097">
        <f t="shared" ca="1" si="39"/>
        <v>3.9280662427633684</v>
      </c>
      <c r="AI55" s="3097">
        <f t="shared" ca="1" si="39"/>
        <v>3.8887855803357345</v>
      </c>
      <c r="AJ55" s="3097">
        <f t="shared" ca="1" si="39"/>
        <v>3.8498977245323771</v>
      </c>
      <c r="AK55" s="3097">
        <f t="shared" ca="1" si="39"/>
        <v>3.8113987472870536</v>
      </c>
      <c r="AL55" s="3097">
        <f t="shared" ca="1" si="39"/>
        <v>3.7732847598141839</v>
      </c>
      <c r="AM55" s="2802"/>
      <c r="AN55" s="3567"/>
      <c r="AO55" s="3567"/>
      <c r="AP55" s="2897"/>
      <c r="AQ55" s="119"/>
      <c r="AR55" s="119"/>
      <c r="AS55" s="119"/>
      <c r="AT55" s="119"/>
      <c r="AU55" s="6"/>
      <c r="AV55" s="6"/>
      <c r="AW55" s="6"/>
      <c r="AX55" s="6"/>
      <c r="AY55" s="6"/>
      <c r="AZ55" s="6"/>
      <c r="BA55" s="6"/>
      <c r="BB55" s="6"/>
      <c r="BC55" s="6"/>
      <c r="BD55" s="6"/>
      <c r="BE55" s="6"/>
      <c r="BF55" s="6"/>
      <c r="BG55" s="6"/>
      <c r="BH55" s="6"/>
      <c r="BI55" s="6"/>
      <c r="BJ55" s="6"/>
      <c r="BK55" s="6"/>
      <c r="BL55" s="6"/>
      <c r="BM55" s="6"/>
      <c r="BN55" s="6"/>
      <c r="BO55" s="6"/>
      <c r="BP55" s="6"/>
      <c r="BQ55" s="6"/>
      <c r="BR55" s="6"/>
      <c r="BS55" s="6"/>
    </row>
    <row r="56" spans="1:71">
      <c r="A56" s="6" t="s">
        <v>1130</v>
      </c>
      <c r="B56" s="6"/>
      <c r="C56" s="38"/>
      <c r="D56" s="38"/>
      <c r="E56" s="38"/>
      <c r="F56" s="38"/>
      <c r="G56" s="38"/>
      <c r="H56" s="38"/>
      <c r="I56" s="38"/>
      <c r="J56" s="130"/>
      <c r="K56" s="130"/>
      <c r="L56" s="511">
        <f>'Segment Detail'!Y152</f>
        <v>1.8183122332604097E-2</v>
      </c>
      <c r="M56" s="511">
        <f>'Segment Detail'!Z152</f>
        <v>1.8777720177409134E-2</v>
      </c>
      <c r="N56" s="511">
        <f>'Segment Detail'!AA152</f>
        <v>1.7272582949674549E-2</v>
      </c>
      <c r="O56" s="511">
        <f>'Segment Detail'!AB152</f>
        <v>1.7125638056020246E-2</v>
      </c>
      <c r="P56" s="511">
        <f>'Segment Detail'!AC152</f>
        <v>1.6179865290763245E-2</v>
      </c>
      <c r="Q56" s="511">
        <f>'Segment Detail'!AD152</f>
        <v>1.8742588607316965E-2</v>
      </c>
      <c r="R56" s="511">
        <f>'Segment Detail'!AE152</f>
        <v>1.9242588607316966E-2</v>
      </c>
      <c r="S56" s="511">
        <f>'Segment Detail'!AF152</f>
        <v>1.9742588607316966E-2</v>
      </c>
      <c r="T56" s="511">
        <f>'Segment Detail'!AG152</f>
        <v>1.5900000000000001E-2</v>
      </c>
      <c r="U56" s="511">
        <f>'Segment Detail'!AH152</f>
        <v>1.485E-2</v>
      </c>
      <c r="V56" s="511">
        <f>'Segment Detail'!AI152</f>
        <v>1.8663960899351267E-2</v>
      </c>
      <c r="W56" s="511">
        <f>'Segment Detail'!AJ152</f>
        <v>1.5782413781832792E-2</v>
      </c>
      <c r="X56" s="1551">
        <f>'Segment Detail'!AK152</f>
        <v>1.5816714806406545E-2</v>
      </c>
      <c r="Y56" s="1551">
        <f>'Segment Detail'!AL152</f>
        <v>1.4339185658751996E-2</v>
      </c>
      <c r="Z56" s="1551">
        <f ca="1">'Segment Detail'!AM152</f>
        <v>1.2640893003368469E-2</v>
      </c>
      <c r="AA56" s="1551">
        <f ca="1">'Segment Detail'!AN152</f>
        <v>1.1935719204514639E-2</v>
      </c>
      <c r="AB56" s="1551">
        <f ca="1">'Segment Detail'!AO152</f>
        <v>1.1217208839795311E-2</v>
      </c>
      <c r="AC56" s="1551">
        <f ca="1">'Segment Detail'!AP152</f>
        <v>1.0217208839795312E-2</v>
      </c>
      <c r="AD56" s="1551">
        <f ca="1">'Segment Detail'!AQ152</f>
        <v>0.01</v>
      </c>
      <c r="AE56" s="1551">
        <f ca="1">'Segment Detail'!AR152</f>
        <v>0.01</v>
      </c>
      <c r="AF56" s="1551">
        <f ca="1">'Segment Detail'!AS152</f>
        <v>0.01</v>
      </c>
      <c r="AG56" s="1551">
        <f ca="1">'Segment Detail'!AT152</f>
        <v>0.01</v>
      </c>
      <c r="AH56" s="1551">
        <f ca="1">'Segment Detail'!AU152</f>
        <v>0.01</v>
      </c>
      <c r="AI56" s="1551">
        <f ca="1">'Segment Detail'!AV152</f>
        <v>0.01</v>
      </c>
      <c r="AJ56" s="1551">
        <f ca="1">'Segment Detail'!AW152</f>
        <v>0.01</v>
      </c>
      <c r="AK56" s="1551">
        <f ca="1">'Segment Detail'!AX152</f>
        <v>0.01</v>
      </c>
      <c r="AL56" s="1551">
        <f ca="1">'Segment Detail'!AY152</f>
        <v>0.01</v>
      </c>
      <c r="AM56" s="39"/>
      <c r="AN56" s="471"/>
      <c r="AO56" s="471"/>
      <c r="AP56" s="119"/>
      <c r="AQ56" s="119"/>
      <c r="AR56" s="119"/>
      <c r="AS56" s="119"/>
      <c r="AT56" s="119"/>
      <c r="AU56" s="6"/>
      <c r="AV56" s="6"/>
      <c r="AW56" s="6"/>
      <c r="AX56" s="6"/>
      <c r="AY56" s="6"/>
      <c r="AZ56" s="6"/>
      <c r="BA56" s="6"/>
      <c r="BB56" s="6"/>
      <c r="BC56" s="6"/>
      <c r="BD56" s="6"/>
      <c r="BE56" s="6"/>
      <c r="BF56" s="6"/>
      <c r="BG56" s="6"/>
      <c r="BH56" s="6"/>
      <c r="BI56" s="6"/>
      <c r="BJ56" s="6"/>
      <c r="BK56" s="6"/>
      <c r="BL56" s="6"/>
      <c r="BM56" s="6"/>
      <c r="BN56" s="6"/>
      <c r="BO56" s="6"/>
      <c r="BP56" s="6"/>
      <c r="BQ56" s="6"/>
      <c r="BR56" s="6"/>
      <c r="BS56" s="6"/>
    </row>
    <row r="57" spans="1:71">
      <c r="A57" s="6"/>
      <c r="B57" s="6"/>
      <c r="C57" s="38"/>
      <c r="D57" s="38"/>
      <c r="E57" s="38"/>
      <c r="F57" s="38"/>
      <c r="G57" s="38"/>
      <c r="H57" s="38"/>
      <c r="I57" s="38"/>
      <c r="J57" s="38"/>
      <c r="K57" s="38"/>
      <c r="L57" s="38"/>
      <c r="M57" s="38"/>
      <c r="N57" s="38"/>
      <c r="O57" s="38"/>
      <c r="P57" s="38"/>
      <c r="Q57" s="38"/>
      <c r="R57" s="38"/>
      <c r="S57" s="38"/>
      <c r="T57" s="38"/>
      <c r="U57" s="38"/>
      <c r="V57" s="38"/>
      <c r="W57" s="38"/>
      <c r="X57" s="1110"/>
      <c r="Y57" s="1110"/>
      <c r="Z57" s="1110"/>
      <c r="AA57" s="1110"/>
      <c r="AB57" s="1110"/>
      <c r="AC57" s="1110"/>
      <c r="AD57" s="1110"/>
      <c r="AE57" s="1110"/>
      <c r="AF57" s="1110"/>
      <c r="AG57" s="1110"/>
      <c r="AH57" s="1110"/>
      <c r="AI57" s="1110"/>
      <c r="AJ57" s="1110"/>
      <c r="AK57" s="1110"/>
      <c r="AL57" s="39"/>
      <c r="AM57" s="39"/>
      <c r="AN57" s="471"/>
      <c r="AO57" s="471"/>
      <c r="AP57" s="119"/>
      <c r="AQ57" s="119"/>
      <c r="AR57" s="119"/>
      <c r="AS57" s="119"/>
      <c r="AT57" s="119"/>
      <c r="AU57" s="6"/>
      <c r="AV57" s="6"/>
      <c r="AW57" s="6"/>
      <c r="AX57" s="6"/>
      <c r="AY57" s="6"/>
      <c r="AZ57" s="6"/>
      <c r="BA57" s="6"/>
      <c r="BB57" s="6"/>
      <c r="BC57" s="6"/>
      <c r="BD57" s="6"/>
      <c r="BE57" s="6"/>
      <c r="BF57" s="6"/>
      <c r="BG57" s="6"/>
      <c r="BH57" s="6"/>
      <c r="BI57" s="6"/>
      <c r="BJ57" s="6"/>
      <c r="BK57" s="6"/>
      <c r="BL57" s="6"/>
      <c r="BM57" s="6"/>
      <c r="BN57" s="6"/>
      <c r="BO57" s="6"/>
      <c r="BP57" s="6"/>
      <c r="BQ57" s="6"/>
      <c r="BR57" s="6"/>
      <c r="BS57" s="6"/>
    </row>
    <row r="58" spans="1:71">
      <c r="A58" s="6" t="s">
        <v>1100</v>
      </c>
      <c r="B58" s="6"/>
      <c r="C58" s="462"/>
      <c r="D58" s="462"/>
      <c r="E58" s="462"/>
      <c r="F58" s="462"/>
      <c r="G58" s="462"/>
      <c r="H58" s="620">
        <f t="shared" ref="H58:Y58" si="40">H51-H55</f>
        <v>148.30000000000001</v>
      </c>
      <c r="I58" s="620">
        <f t="shared" si="40"/>
        <v>151.5</v>
      </c>
      <c r="J58" s="620">
        <f t="shared" si="40"/>
        <v>120</v>
      </c>
      <c r="K58" s="620">
        <f t="shared" si="40"/>
        <v>113</v>
      </c>
      <c r="L58" s="620">
        <f t="shared" si="40"/>
        <v>152.09851832487823</v>
      </c>
      <c r="M58" s="620">
        <f t="shared" si="40"/>
        <v>143.64680528725469</v>
      </c>
      <c r="N58" s="620">
        <f t="shared" si="40"/>
        <v>162.48956560730969</v>
      </c>
      <c r="O58" s="620">
        <f t="shared" si="40"/>
        <v>161.39849328303626</v>
      </c>
      <c r="P58" s="620">
        <f t="shared" si="40"/>
        <v>142.26189283056277</v>
      </c>
      <c r="Q58" s="620">
        <f t="shared" si="40"/>
        <v>110.57537257668297</v>
      </c>
      <c r="R58" s="620">
        <f t="shared" si="40"/>
        <v>76.86732170743619</v>
      </c>
      <c r="S58" s="620">
        <f t="shared" si="40"/>
        <v>53.698914985632186</v>
      </c>
      <c r="T58" s="620">
        <f t="shared" si="40"/>
        <v>126.60334552169716</v>
      </c>
      <c r="U58" s="620">
        <f t="shared" si="40"/>
        <v>128.49404579007083</v>
      </c>
      <c r="V58" s="620">
        <f t="shared" si="40"/>
        <v>126.31906662531355</v>
      </c>
      <c r="W58" s="620">
        <f t="shared" si="40"/>
        <v>73.46667185154935</v>
      </c>
      <c r="X58" s="2449">
        <f t="shared" si="40"/>
        <v>128.66182056715618</v>
      </c>
      <c r="Y58" s="2449">
        <f t="shared" si="40"/>
        <v>138.6668261292802</v>
      </c>
      <c r="Z58" s="2449">
        <f t="shared" ref="Z58:AF58" ca="1" si="41">Z51-Z55</f>
        <v>149.18279793746419</v>
      </c>
      <c r="AA58" s="2449">
        <f t="shared" ca="1" si="41"/>
        <v>135.3014467518299</v>
      </c>
      <c r="AB58" s="2449">
        <f t="shared" ca="1" si="41"/>
        <v>150.60290163833466</v>
      </c>
      <c r="AC58" s="2449">
        <f t="shared" ca="1" si="41"/>
        <v>148.34615927887154</v>
      </c>
      <c r="AD58" s="2449">
        <f t="shared" ca="1" si="41"/>
        <v>145.77262619517717</v>
      </c>
      <c r="AE58" s="2449">
        <f t="shared" ca="1" si="41"/>
        <v>143.12068186849658</v>
      </c>
      <c r="AF58" s="2449">
        <f t="shared" ca="1" si="41"/>
        <v>140.73739365822726</v>
      </c>
      <c r="AG58" s="2449">
        <f t="shared" ref="AG58:AL58" ca="1" si="42">AG51-AG55</f>
        <v>138.62255032765927</v>
      </c>
      <c r="AH58" s="2449">
        <f t="shared" ca="1" si="42"/>
        <v>136.77525734101187</v>
      </c>
      <c r="AI58" s="2449">
        <f t="shared" ca="1" si="42"/>
        <v>134.94182660939714</v>
      </c>
      <c r="AJ58" s="2449">
        <f t="shared" ca="1" si="42"/>
        <v>133.12207340351654</v>
      </c>
      <c r="AK58" s="2449">
        <f t="shared" ca="1" si="42"/>
        <v>131.31581438029687</v>
      </c>
      <c r="AL58" s="2449">
        <f t="shared" ca="1" si="42"/>
        <v>129.5228675644176</v>
      </c>
      <c r="AM58" s="39"/>
      <c r="AN58" s="471"/>
      <c r="AO58" s="471"/>
      <c r="AP58" s="119"/>
      <c r="AQ58" s="119"/>
      <c r="AR58" s="119"/>
      <c r="AS58" s="119"/>
      <c r="AT58" s="119"/>
      <c r="AU58" s="6"/>
      <c r="AV58" s="6"/>
      <c r="AW58" s="6"/>
      <c r="AX58" s="6"/>
      <c r="AY58" s="6"/>
      <c r="AZ58" s="6"/>
      <c r="BA58" s="6"/>
      <c r="BB58" s="6"/>
      <c r="BC58" s="6"/>
      <c r="BD58" s="6"/>
      <c r="BE58" s="6"/>
      <c r="BF58" s="6"/>
      <c r="BG58" s="6"/>
      <c r="BH58" s="6"/>
      <c r="BI58" s="6"/>
      <c r="BJ58" s="6"/>
      <c r="BK58" s="6"/>
      <c r="BL58" s="6"/>
      <c r="BM58" s="6"/>
      <c r="BN58" s="6"/>
      <c r="BO58" s="6"/>
      <c r="BP58" s="6"/>
      <c r="BQ58" s="6"/>
      <c r="BR58" s="6"/>
      <c r="BS58" s="6"/>
    </row>
    <row r="59" spans="1:71">
      <c r="A59" s="6" t="s">
        <v>1101</v>
      </c>
      <c r="B59" s="6"/>
      <c r="C59" s="38"/>
      <c r="D59" s="38"/>
      <c r="E59" s="38"/>
      <c r="F59" s="38"/>
      <c r="G59" s="38"/>
      <c r="H59" s="38">
        <f t="shared" ref="H59:AD59" si="43">+H58/H45</f>
        <v>0.34730679156908667</v>
      </c>
      <c r="I59" s="38">
        <f t="shared" si="43"/>
        <v>0.3466026080988332</v>
      </c>
      <c r="J59" s="38">
        <f t="shared" si="43"/>
        <v>0.28235294117647058</v>
      </c>
      <c r="K59" s="38">
        <f t="shared" si="43"/>
        <v>0.27696078431372551</v>
      </c>
      <c r="L59" s="38">
        <f t="shared" si="43"/>
        <v>0.32286282801358024</v>
      </c>
      <c r="M59" s="38">
        <f t="shared" si="43"/>
        <v>0.28869901049339625</v>
      </c>
      <c r="N59" s="38">
        <f t="shared" si="43"/>
        <v>0.30520456392325657</v>
      </c>
      <c r="O59" s="38">
        <f t="shared" si="43"/>
        <v>0.30315520000444734</v>
      </c>
      <c r="P59" s="38">
        <f t="shared" si="43"/>
        <v>0.28127460500370699</v>
      </c>
      <c r="Q59" s="38">
        <f t="shared" si="43"/>
        <v>0.23401290152799445</v>
      </c>
      <c r="R59" s="38">
        <f t="shared" si="43"/>
        <v>0.19213877835540286</v>
      </c>
      <c r="S59" s="38">
        <f t="shared" si="43"/>
        <v>0.15882424683430227</v>
      </c>
      <c r="T59" s="38">
        <f t="shared" si="43"/>
        <v>0.27684676591902796</v>
      </c>
      <c r="U59" s="38">
        <f t="shared" si="43"/>
        <v>0.32789148170387522</v>
      </c>
      <c r="V59" s="38">
        <f t="shared" si="43"/>
        <v>0.29240011488939283</v>
      </c>
      <c r="W59" s="38">
        <f t="shared" si="43"/>
        <v>0.18744089329345059</v>
      </c>
      <c r="X59" s="1110">
        <f t="shared" si="43"/>
        <v>0.30218520585220937</v>
      </c>
      <c r="Y59" s="1110">
        <f t="shared" si="43"/>
        <v>0.34293007166398376</v>
      </c>
      <c r="Z59" s="1110">
        <f t="shared" ca="1" si="43"/>
        <v>0.35853830025716871</v>
      </c>
      <c r="AA59" s="1110">
        <f t="shared" ca="1" si="43"/>
        <v>0.32429093205024645</v>
      </c>
      <c r="AB59" s="1110">
        <f t="shared" ca="1" si="43"/>
        <v>0.36096550712682313</v>
      </c>
      <c r="AC59" s="1110">
        <f t="shared" ca="1" si="43"/>
        <v>0.35914802016129332</v>
      </c>
      <c r="AD59" s="1110">
        <f t="shared" ca="1" si="43"/>
        <v>0.35648228526767278</v>
      </c>
      <c r="AE59" s="1110">
        <f t="shared" ref="AE59:AJ59" ca="1" si="44">+AE58/AE45</f>
        <v>0.35353236405358163</v>
      </c>
      <c r="AF59" s="1110">
        <f t="shared" ca="1" si="44"/>
        <v>0.3511568059183009</v>
      </c>
      <c r="AG59" s="1110">
        <f t="shared" ca="1" si="44"/>
        <v>0.34937375375787416</v>
      </c>
      <c r="AH59" s="1110">
        <f t="shared" ca="1" si="44"/>
        <v>0.34819997649731943</v>
      </c>
      <c r="AI59" s="1110">
        <f t="shared" ca="1" si="44"/>
        <v>0.34700248656483412</v>
      </c>
      <c r="AJ59" s="1110">
        <f t="shared" ca="1" si="44"/>
        <v>0.34578080491654112</v>
      </c>
      <c r="AK59" s="1110">
        <f ca="1">+AK58/AK45</f>
        <v>0.34453444283090878</v>
      </c>
      <c r="AL59" s="1110">
        <f ca="1">+AL58/AL45</f>
        <v>0.34326290171324358</v>
      </c>
      <c r="AM59" s="359"/>
      <c r="AN59" s="359"/>
      <c r="AO59" s="359"/>
      <c r="AP59" s="39"/>
      <c r="AQ59" s="39"/>
      <c r="AR59" s="39"/>
      <c r="AS59" s="39"/>
      <c r="AT59" s="39"/>
      <c r="AU59" s="6"/>
      <c r="AV59" s="6"/>
      <c r="AW59" s="6"/>
      <c r="AX59" s="6"/>
      <c r="AY59" s="6"/>
      <c r="AZ59" s="6"/>
      <c r="BA59" s="6"/>
      <c r="BB59" s="6"/>
      <c r="BC59" s="6"/>
      <c r="BD59" s="6"/>
      <c r="BE59" s="6"/>
      <c r="BF59" s="6"/>
      <c r="BG59" s="6"/>
      <c r="BH59" s="6"/>
      <c r="BI59" s="6"/>
      <c r="BJ59" s="6"/>
      <c r="BK59" s="6"/>
      <c r="BL59" s="6"/>
      <c r="BM59" s="6"/>
      <c r="BN59" s="6"/>
      <c r="BO59" s="6"/>
      <c r="BP59" s="6"/>
      <c r="BQ59" s="6"/>
      <c r="BR59" s="6"/>
      <c r="BS59" s="6"/>
    </row>
    <row r="60" spans="1:71">
      <c r="A60" s="91"/>
      <c r="B60" s="91"/>
      <c r="C60" s="91"/>
      <c r="D60" s="91"/>
      <c r="E60" s="91"/>
      <c r="F60" s="91"/>
      <c r="G60" s="91"/>
      <c r="H60" s="91"/>
      <c r="I60" s="91"/>
      <c r="J60" s="6"/>
      <c r="K60" s="6"/>
      <c r="L60" s="6"/>
      <c r="M60" s="6"/>
      <c r="N60" s="6"/>
      <c r="O60" s="6"/>
      <c r="P60" s="6"/>
      <c r="Q60" s="6"/>
      <c r="R60" s="6"/>
      <c r="S60" s="6"/>
      <c r="T60" s="6"/>
      <c r="U60" s="6"/>
      <c r="V60" s="6"/>
      <c r="W60" s="6"/>
      <c r="X60" s="1108"/>
      <c r="Y60" s="1108"/>
      <c r="Z60" s="1108"/>
      <c r="AA60" s="1108"/>
      <c r="AB60" s="1108"/>
      <c r="AC60" s="1108"/>
      <c r="AD60" s="1108"/>
      <c r="AE60" s="1108"/>
      <c r="AF60" s="1108"/>
      <c r="AG60" s="1108"/>
      <c r="AH60" s="1108"/>
      <c r="AI60" s="1108"/>
      <c r="AJ60" s="1108"/>
      <c r="AK60" s="1108"/>
      <c r="AL60" s="1108"/>
      <c r="AM60" s="69"/>
      <c r="AN60" s="69"/>
      <c r="AO60" s="69"/>
      <c r="AP60" s="11"/>
      <c r="AQ60" s="11"/>
      <c r="AR60" s="11"/>
      <c r="AS60" s="11"/>
      <c r="AT60" s="11"/>
      <c r="AU60" s="6"/>
      <c r="AV60" s="6"/>
      <c r="AW60" s="6"/>
      <c r="AX60" s="6"/>
      <c r="AY60" s="6"/>
      <c r="AZ60" s="6"/>
      <c r="BA60" s="6"/>
      <c r="BB60" s="6"/>
      <c r="BC60" s="6"/>
      <c r="BD60" s="6"/>
      <c r="BE60" s="6"/>
      <c r="BF60" s="6"/>
      <c r="BG60" s="6"/>
      <c r="BH60" s="6"/>
      <c r="BI60" s="6"/>
      <c r="BJ60" s="6"/>
      <c r="BK60" s="6"/>
      <c r="BL60" s="6"/>
      <c r="BM60" s="6"/>
      <c r="BN60" s="6"/>
      <c r="BO60" s="6"/>
      <c r="BP60" s="6"/>
      <c r="BQ60" s="6"/>
      <c r="BR60" s="6"/>
      <c r="BS60" s="6"/>
    </row>
    <row r="61" spans="1:71">
      <c r="A61" s="6" t="s">
        <v>686</v>
      </c>
      <c r="B61" s="6"/>
      <c r="C61" s="145"/>
      <c r="D61" s="145"/>
      <c r="E61" s="145"/>
      <c r="F61" s="145"/>
      <c r="G61" s="145"/>
      <c r="H61" s="145">
        <f t="shared" ref="H61:Y61" si="45">+H62*H45</f>
        <v>12.809999999999999</v>
      </c>
      <c r="I61" s="145">
        <f t="shared" si="45"/>
        <v>13.113</v>
      </c>
      <c r="J61" s="145">
        <f t="shared" si="45"/>
        <v>12.75</v>
      </c>
      <c r="K61" s="145">
        <f t="shared" si="45"/>
        <v>12.24</v>
      </c>
      <c r="L61" s="145">
        <f t="shared" si="45"/>
        <v>8.2618308141161272</v>
      </c>
      <c r="M61" s="145">
        <f t="shared" si="45"/>
        <v>7.5776996938482792</v>
      </c>
      <c r="N61" s="145">
        <f t="shared" si="45"/>
        <v>7.5955893839901574</v>
      </c>
      <c r="O61" s="145">
        <f t="shared" si="45"/>
        <v>11.701664072661336</v>
      </c>
      <c r="P61" s="145">
        <f t="shared" si="45"/>
        <v>11.542037517982976</v>
      </c>
      <c r="Q61" s="145">
        <f t="shared" si="45"/>
        <v>11.247964561194799</v>
      </c>
      <c r="R61" s="145">
        <f t="shared" si="45"/>
        <v>8.2194919193963898</v>
      </c>
      <c r="S61" s="145">
        <f t="shared" si="45"/>
        <v>3.5938666758747382</v>
      </c>
      <c r="T61" s="145">
        <f t="shared" si="45"/>
        <v>5.7362426655525205</v>
      </c>
      <c r="U61" s="145">
        <f t="shared" si="45"/>
        <v>4.7760495293971212</v>
      </c>
      <c r="V61" s="145">
        <f t="shared" si="45"/>
        <v>5.2651084562399673</v>
      </c>
      <c r="W61" s="145">
        <f t="shared" si="45"/>
        <v>4.3849082574032021</v>
      </c>
      <c r="X61" s="1146">
        <f t="shared" si="45"/>
        <v>4.6781791634923007</v>
      </c>
      <c r="Y61" s="1146">
        <f t="shared" si="45"/>
        <v>4.2407289734980305</v>
      </c>
      <c r="Z61" s="1146">
        <f t="shared" ref="Z61:AF61" si="46">+Z62*Z45</f>
        <v>4.2805010653792461</v>
      </c>
      <c r="AA61" s="1146">
        <f t="shared" si="46"/>
        <v>4.2921911241458597</v>
      </c>
      <c r="AB61" s="1146">
        <f t="shared" si="46"/>
        <v>4.2504688823624024</v>
      </c>
      <c r="AC61" s="1146">
        <f t="shared" si="46"/>
        <v>4.166659174173156</v>
      </c>
      <c r="AD61" s="1146">
        <f t="shared" si="46"/>
        <v>4.0841006132594586</v>
      </c>
      <c r="AE61" s="1146">
        <f t="shared" si="46"/>
        <v>4.0432596071268634</v>
      </c>
      <c r="AF61" s="1146">
        <f t="shared" si="46"/>
        <v>4.0028270110555946</v>
      </c>
      <c r="AG61" s="1146">
        <f t="shared" ref="AG61:AL61" si="47">+AG62*AG45</f>
        <v>3.9627987409450385</v>
      </c>
      <c r="AH61" s="1146">
        <f t="shared" si="47"/>
        <v>3.9231707535355889</v>
      </c>
      <c r="AI61" s="1146">
        <f t="shared" si="47"/>
        <v>3.8839390460002323</v>
      </c>
      <c r="AJ61" s="1146">
        <f t="shared" si="47"/>
        <v>3.8450996555402304</v>
      </c>
      <c r="AK61" s="1146">
        <f t="shared" si="47"/>
        <v>3.8066486589848285</v>
      </c>
      <c r="AL61" s="1146">
        <f t="shared" si="47"/>
        <v>3.7685821723949808</v>
      </c>
      <c r="AM61" s="441"/>
      <c r="AN61" s="441"/>
      <c r="AO61" s="441"/>
      <c r="AP61" s="54"/>
      <c r="AQ61" s="54"/>
      <c r="AR61" s="54"/>
      <c r="AS61" s="54"/>
      <c r="AT61" s="54"/>
      <c r="AU61" s="6"/>
      <c r="AV61" s="6"/>
      <c r="AW61" s="6"/>
      <c r="AX61" s="6"/>
      <c r="AY61" s="6"/>
      <c r="AZ61" s="6"/>
      <c r="BA61" s="6"/>
      <c r="BB61" s="6"/>
      <c r="BC61" s="6"/>
      <c r="BD61" s="6"/>
      <c r="BE61" s="6"/>
      <c r="BF61" s="6"/>
      <c r="BG61" s="6"/>
      <c r="BH61" s="6"/>
      <c r="BI61" s="6"/>
      <c r="BJ61" s="6"/>
      <c r="BK61" s="6"/>
      <c r="BL61" s="6"/>
      <c r="BM61" s="6"/>
      <c r="BN61" s="6"/>
      <c r="BO61" s="6"/>
      <c r="BP61" s="6"/>
      <c r="BQ61" s="6"/>
      <c r="BR61" s="6"/>
      <c r="BS61" s="6"/>
    </row>
    <row r="62" spans="1:71">
      <c r="A62" s="6" t="s">
        <v>1102</v>
      </c>
      <c r="B62" s="6"/>
      <c r="C62" s="38"/>
      <c r="D62" s="38"/>
      <c r="E62" s="38"/>
      <c r="F62" s="38"/>
      <c r="G62" s="38"/>
      <c r="H62" s="245">
        <v>0.03</v>
      </c>
      <c r="I62" s="245">
        <v>0.03</v>
      </c>
      <c r="J62" s="130">
        <f>I62</f>
        <v>0.03</v>
      </c>
      <c r="K62" s="130">
        <f>J62</f>
        <v>0.03</v>
      </c>
      <c r="L62" s="511">
        <f>'Segment Detail'!Y161</f>
        <v>1.7537567693576731E-2</v>
      </c>
      <c r="M62" s="511">
        <f>'Segment Detail'!Z161</f>
        <v>1.5229537469039801E-2</v>
      </c>
      <c r="N62" s="511">
        <f>'Segment Detail'!AA161</f>
        <v>1.4266814838334129E-2</v>
      </c>
      <c r="O62" s="511">
        <f>'Segment Detail'!AB161</f>
        <v>2.1979265358515916E-2</v>
      </c>
      <c r="P62" s="511">
        <f>'Segment Detail'!AC161</f>
        <v>2.2820461468731224E-2</v>
      </c>
      <c r="Q62" s="511">
        <f>'Segment Detail'!AD161</f>
        <v>2.3804295313803858E-2</v>
      </c>
      <c r="R62" s="511">
        <f>'Segment Detail'!AE161</f>
        <v>2.0545572566009501E-2</v>
      </c>
      <c r="S62" s="511">
        <f>'Segment Detail'!AF161</f>
        <v>1.0629510264246972E-2</v>
      </c>
      <c r="T62" s="511">
        <f>'Segment Detail'!AG161</f>
        <v>1.2543588196196595E-2</v>
      </c>
      <c r="U62" s="511">
        <f>'Segment Detail'!AH161</f>
        <v>1.218753715206102E-2</v>
      </c>
      <c r="V62" s="511">
        <f>'Segment Detail'!AI161</f>
        <v>1.218753715206102E-2</v>
      </c>
      <c r="W62" s="511">
        <f>'Segment Detail'!AJ161</f>
        <v>1.1187537152061021E-2</v>
      </c>
      <c r="X62" s="1551">
        <f>'Segment Detail'!AK161</f>
        <v>1.098753715206102E-2</v>
      </c>
      <c r="Y62" s="1551">
        <f>'Segment Detail'!AL161</f>
        <v>1.048753715206102E-2</v>
      </c>
      <c r="Z62" s="1551">
        <f>'Segment Detail'!AM161</f>
        <v>1.0287537152061019E-2</v>
      </c>
      <c r="AA62" s="1551">
        <f>'Segment Detail'!AN161</f>
        <v>1.0287537152061019E-2</v>
      </c>
      <c r="AB62" s="1551">
        <f>'Segment Detail'!AO161</f>
        <v>1.018753715206102E-2</v>
      </c>
      <c r="AC62" s="1551">
        <f>'Segment Detail'!AP161</f>
        <v>1.0087537152061021E-2</v>
      </c>
      <c r="AD62" s="1551">
        <f>'Segment Detail'!AQ161</f>
        <v>9.9875371520610212E-3</v>
      </c>
      <c r="AE62" s="1551">
        <f>'Segment Detail'!AR161</f>
        <v>9.9875371520610212E-3</v>
      </c>
      <c r="AF62" s="1551">
        <f>'Segment Detail'!AS161</f>
        <v>9.9875371520610212E-3</v>
      </c>
      <c r="AG62" s="1551">
        <f>'Segment Detail'!AT161</f>
        <v>9.9875371520610212E-3</v>
      </c>
      <c r="AH62" s="1551">
        <f>'Segment Detail'!AU161</f>
        <v>9.9875371520610212E-3</v>
      </c>
      <c r="AI62" s="1551">
        <f>'Segment Detail'!AV161</f>
        <v>9.9875371520610212E-3</v>
      </c>
      <c r="AJ62" s="1551">
        <f>'Segment Detail'!AW161</f>
        <v>9.9875371520610212E-3</v>
      </c>
      <c r="AK62" s="1551">
        <f>'Segment Detail'!AX161</f>
        <v>9.9875371520610212E-3</v>
      </c>
      <c r="AL62" s="1551">
        <f>'Segment Detail'!AY161</f>
        <v>9.9875371520610212E-3</v>
      </c>
      <c r="AM62" s="1219"/>
      <c r="AN62" s="1219"/>
      <c r="AO62" s="1219"/>
      <c r="AP62" s="514"/>
      <c r="AQ62" s="514"/>
      <c r="AR62" s="514"/>
      <c r="AS62" s="514"/>
      <c r="AT62" s="119"/>
      <c r="AU62" s="6"/>
      <c r="AV62" s="6"/>
      <c r="AW62" s="6"/>
      <c r="AX62" s="6"/>
      <c r="AY62" s="6"/>
      <c r="AZ62" s="6"/>
      <c r="BA62" s="6"/>
      <c r="BB62" s="6"/>
      <c r="BC62" s="6"/>
      <c r="BD62" s="6"/>
      <c r="BE62" s="6"/>
      <c r="BF62" s="6"/>
      <c r="BG62" s="6"/>
      <c r="BH62" s="6"/>
      <c r="BI62" s="6"/>
      <c r="BJ62" s="6"/>
      <c r="BK62" s="6"/>
      <c r="BL62" s="6"/>
      <c r="BM62" s="6"/>
      <c r="BN62" s="6"/>
      <c r="BO62" s="6"/>
      <c r="BP62" s="6"/>
      <c r="BQ62" s="6"/>
      <c r="BR62" s="6"/>
      <c r="BS62" s="6"/>
    </row>
    <row r="63" spans="1:71">
      <c r="A63" s="484"/>
      <c r="B63" s="485"/>
      <c r="C63" s="485"/>
      <c r="D63" s="485"/>
      <c r="E63" s="485"/>
      <c r="F63" s="485"/>
      <c r="G63" s="485"/>
      <c r="H63" s="485"/>
      <c r="I63" s="485"/>
      <c r="J63" s="485"/>
      <c r="K63" s="485"/>
      <c r="L63" s="485"/>
      <c r="M63" s="485"/>
      <c r="N63" s="485"/>
      <c r="O63" s="485"/>
      <c r="P63" s="485"/>
      <c r="Q63" s="485"/>
      <c r="R63" s="485"/>
      <c r="S63" s="485"/>
      <c r="T63" s="6"/>
      <c r="U63" s="6"/>
      <c r="V63" s="6"/>
      <c r="W63" s="6"/>
      <c r="X63" s="11"/>
      <c r="Y63" s="11"/>
      <c r="Z63" s="11"/>
      <c r="AA63" s="11"/>
      <c r="AB63" s="11"/>
      <c r="AC63" s="11"/>
      <c r="AD63" s="11"/>
      <c r="AE63" s="11"/>
      <c r="AF63" s="11"/>
      <c r="AG63" s="11"/>
      <c r="AH63" s="11"/>
      <c r="AI63" s="11"/>
      <c r="AJ63" s="11"/>
      <c r="AK63" s="11"/>
      <c r="AL63" s="69"/>
      <c r="AM63" s="69"/>
      <c r="AN63" s="69"/>
      <c r="AO63" s="69"/>
      <c r="AP63" s="11"/>
      <c r="AQ63" s="11"/>
      <c r="AR63" s="11"/>
      <c r="AS63" s="11"/>
      <c r="AT63" s="11"/>
      <c r="AU63" s="6"/>
      <c r="AV63" s="6"/>
      <c r="AW63" s="6"/>
      <c r="AX63" s="6"/>
      <c r="AY63" s="6"/>
      <c r="AZ63" s="6"/>
      <c r="BA63" s="6"/>
      <c r="BB63" s="6"/>
      <c r="BC63" s="6"/>
      <c r="BD63" s="6"/>
      <c r="BE63" s="6"/>
      <c r="BF63" s="6"/>
      <c r="BG63" s="6"/>
      <c r="BH63" s="6"/>
      <c r="BI63" s="6"/>
      <c r="BJ63" s="6"/>
      <c r="BK63" s="6"/>
      <c r="BL63" s="6"/>
      <c r="BM63" s="6"/>
      <c r="BN63" s="6"/>
      <c r="BO63" s="6"/>
      <c r="BP63" s="6"/>
      <c r="BQ63" s="6"/>
      <c r="BR63" s="6"/>
      <c r="BS63" s="6"/>
    </row>
    <row r="64" spans="1:71">
      <c r="A64" s="13" t="s">
        <v>74</v>
      </c>
      <c r="B64" s="76"/>
      <c r="C64" s="76"/>
      <c r="D64" s="76"/>
      <c r="E64" s="76"/>
      <c r="F64" s="76"/>
      <c r="G64" s="76"/>
      <c r="H64" s="76"/>
      <c r="I64" s="76"/>
      <c r="J64" s="76"/>
      <c r="K64" s="76"/>
      <c r="L64" s="76"/>
      <c r="M64" s="76"/>
      <c r="N64" s="76"/>
      <c r="O64" s="106">
        <f t="shared" ref="O64:Y64" si="48">O74*O58</f>
        <v>39.542630854343884</v>
      </c>
      <c r="P64" s="106">
        <f t="shared" si="48"/>
        <v>34.854163743487881</v>
      </c>
      <c r="Q64" s="106">
        <f t="shared" si="48"/>
        <v>27.090966281287326</v>
      </c>
      <c r="R64" s="106">
        <f t="shared" si="48"/>
        <v>18.832493818321865</v>
      </c>
      <c r="S64" s="106">
        <f t="shared" si="48"/>
        <v>13.156234171479886</v>
      </c>
      <c r="T64" s="106">
        <f t="shared" si="48"/>
        <v>31.017819652815806</v>
      </c>
      <c r="U64" s="106">
        <f t="shared" si="48"/>
        <v>31.481041218567352</v>
      </c>
      <c r="V64" s="106">
        <f t="shared" si="48"/>
        <v>30.948171323201819</v>
      </c>
      <c r="W64" s="106">
        <f t="shared" si="48"/>
        <v>17.999334603629592</v>
      </c>
      <c r="X64" s="105">
        <f t="shared" si="48"/>
        <v>31.522146038953263</v>
      </c>
      <c r="Y64" s="105">
        <f t="shared" si="48"/>
        <v>33.97337240167365</v>
      </c>
      <c r="Z64" s="105">
        <f t="shared" ref="Z64:AF64" ca="1" si="49">Z74*Z58</f>
        <v>36.549785494678723</v>
      </c>
      <c r="AA64" s="105">
        <f t="shared" ca="1" si="49"/>
        <v>33.148854454198322</v>
      </c>
      <c r="AB64" s="105">
        <f t="shared" ca="1" si="49"/>
        <v>36.897710901391989</v>
      </c>
      <c r="AC64" s="105">
        <f t="shared" ca="1" si="49"/>
        <v>36.344809023323528</v>
      </c>
      <c r="AD64" s="105">
        <f t="shared" ca="1" si="49"/>
        <v>35.714293417818403</v>
      </c>
      <c r="AE64" s="105">
        <f t="shared" ca="1" si="49"/>
        <v>35.064567057781659</v>
      </c>
      <c r="AF64" s="105">
        <f t="shared" ca="1" si="49"/>
        <v>34.480661446265678</v>
      </c>
      <c r="AG64" s="105">
        <f t="shared" ref="AG64:AL64" ca="1" si="50">AG74*AG58</f>
        <v>33.962524830276521</v>
      </c>
      <c r="AH64" s="105">
        <f t="shared" ca="1" si="50"/>
        <v>33.509938048547909</v>
      </c>
      <c r="AI64" s="105">
        <f t="shared" ca="1" si="50"/>
        <v>33.060747519302296</v>
      </c>
      <c r="AJ64" s="105">
        <f t="shared" ca="1" si="50"/>
        <v>32.614907983861549</v>
      </c>
      <c r="AK64" s="2804">
        <f t="shared" ca="1" si="50"/>
        <v>32.172374523172735</v>
      </c>
      <c r="AL64" s="2804">
        <f t="shared" ca="1" si="50"/>
        <v>31.733102553282311</v>
      </c>
      <c r="AM64" s="309"/>
      <c r="AN64" s="309"/>
      <c r="AO64" s="309"/>
      <c r="AP64" s="105"/>
      <c r="AQ64" s="105"/>
      <c r="AR64" s="105"/>
      <c r="AS64" s="105"/>
      <c r="AT64" s="105"/>
      <c r="AU64" s="106"/>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row>
    <row r="65" spans="1:71">
      <c r="A65" s="6"/>
      <c r="B65" s="6"/>
      <c r="C65" s="6"/>
      <c r="D65" s="6"/>
      <c r="E65" s="6"/>
      <c r="F65" s="6"/>
      <c r="G65" s="6"/>
      <c r="H65" s="6"/>
      <c r="I65" s="6"/>
      <c r="J65" s="6"/>
      <c r="K65" s="6"/>
      <c r="L65" s="6"/>
      <c r="M65" s="6"/>
      <c r="N65" s="6"/>
      <c r="O65" s="6"/>
      <c r="P65" s="6"/>
      <c r="Q65" s="6"/>
      <c r="R65" s="6"/>
      <c r="S65" s="6"/>
      <c r="T65" s="6"/>
      <c r="U65" s="6"/>
      <c r="V65" s="6"/>
      <c r="W65" s="6"/>
      <c r="X65" s="11"/>
      <c r="Y65" s="11"/>
      <c r="Z65" s="11"/>
      <c r="AA65" s="11"/>
      <c r="AB65" s="11"/>
      <c r="AC65" s="11"/>
      <c r="AD65" s="11"/>
      <c r="AE65" s="11"/>
      <c r="AF65" s="11"/>
      <c r="AG65" s="11"/>
      <c r="AH65" s="11"/>
      <c r="AI65" s="11"/>
      <c r="AJ65" s="11"/>
      <c r="AK65" s="11"/>
      <c r="AL65" s="11"/>
      <c r="AM65" s="69"/>
      <c r="AN65" s="69"/>
      <c r="AO65" s="69"/>
      <c r="AP65" s="11"/>
      <c r="AQ65" s="11"/>
      <c r="AR65" s="11"/>
      <c r="AS65" s="11"/>
      <c r="AT65" s="11"/>
      <c r="AU65" s="6"/>
      <c r="AV65" s="6"/>
      <c r="AW65" s="6"/>
      <c r="AX65" s="6"/>
      <c r="AY65" s="6"/>
      <c r="AZ65" s="6"/>
      <c r="BA65" s="6"/>
      <c r="BB65" s="6"/>
      <c r="BC65" s="6"/>
      <c r="BD65" s="6"/>
      <c r="BE65" s="6"/>
      <c r="BF65" s="6"/>
      <c r="BG65" s="6"/>
      <c r="BH65" s="6"/>
      <c r="BI65" s="6"/>
      <c r="BJ65" s="6"/>
      <c r="BK65" s="6"/>
      <c r="BL65" s="6"/>
      <c r="BM65" s="6"/>
      <c r="BN65" s="6"/>
      <c r="BO65" s="6"/>
      <c r="BP65" s="6"/>
      <c r="BQ65" s="6"/>
      <c r="BR65" s="6"/>
      <c r="BS65" s="6"/>
    </row>
    <row r="66" spans="1:71">
      <c r="A66" s="6" t="s">
        <v>754</v>
      </c>
      <c r="B66" s="6"/>
      <c r="C66" s="462"/>
      <c r="D66" s="462"/>
      <c r="E66" s="462"/>
      <c r="F66" s="462"/>
      <c r="G66" s="462"/>
      <c r="H66" s="462">
        <f t="shared" ref="H66:N66" si="51">H51-H61</f>
        <v>135.49</v>
      </c>
      <c r="I66" s="462">
        <f t="shared" si="51"/>
        <v>138.387</v>
      </c>
      <c r="J66" s="462">
        <f t="shared" si="51"/>
        <v>107.25</v>
      </c>
      <c r="K66" s="462">
        <f t="shared" si="51"/>
        <v>100.76</v>
      </c>
      <c r="L66" s="462">
        <f t="shared" si="51"/>
        <v>152.40263479656346</v>
      </c>
      <c r="M66" s="462">
        <f t="shared" si="51"/>
        <v>145.41226028400604</v>
      </c>
      <c r="N66" s="462">
        <f t="shared" si="51"/>
        <v>164.08982331135508</v>
      </c>
      <c r="O66" s="462">
        <f>O51-O61-O64</f>
        <v>119.27181262988069</v>
      </c>
      <c r="P66" s="462">
        <f t="shared" ref="P66:Y66" si="52">P51-P61-P64</f>
        <v>104.04907613726922</v>
      </c>
      <c r="Q66" s="462">
        <f t="shared" si="52"/>
        <v>81.09265737348106</v>
      </c>
      <c r="R66" s="462">
        <f t="shared" si="52"/>
        <v>57.513554213962792</v>
      </c>
      <c r="S66" s="462">
        <f t="shared" si="52"/>
        <v>43.623837683811267</v>
      </c>
      <c r="T66" s="462">
        <f t="shared" si="52"/>
        <v>97.120428983604086</v>
      </c>
      <c r="U66" s="462">
        <f t="shared" si="52"/>
        <v>98.056369959709571</v>
      </c>
      <c r="V66" s="462">
        <f t="shared" si="52"/>
        <v>98.168759465527614</v>
      </c>
      <c r="W66" s="462">
        <f t="shared" si="52"/>
        <v>57.268279868425253</v>
      </c>
      <c r="X66" s="749">
        <f t="shared" si="52"/>
        <v>99.195800297490919</v>
      </c>
      <c r="Y66" s="749">
        <f t="shared" si="52"/>
        <v>106.2509020761776</v>
      </c>
      <c r="Z66" s="749">
        <f t="shared" ref="Z66:AF66" ca="1" si="53">Z51-Z61-Z64</f>
        <v>113.61221106728033</v>
      </c>
      <c r="AA66" s="749">
        <f t="shared" ca="1" si="53"/>
        <v>102.84025079858782</v>
      </c>
      <c r="AB66" s="749">
        <f t="shared" ca="1" si="53"/>
        <v>114.13479284807495</v>
      </c>
      <c r="AC66" s="749">
        <f t="shared" ca="1" si="53"/>
        <v>112.05491117127838</v>
      </c>
      <c r="AD66" s="749">
        <f t="shared" ca="1" si="53"/>
        <v>110.06342908129591</v>
      </c>
      <c r="AE66" s="749">
        <f t="shared" ca="1" si="53"/>
        <v>108.06116015161271</v>
      </c>
      <c r="AF66" s="749">
        <f t="shared" ca="1" si="53"/>
        <v>106.26172709945038</v>
      </c>
      <c r="AG66" s="749">
        <f t="shared" ref="AG66:AL66" ca="1" si="54">AG51-AG61-AG64</f>
        <v>104.66497043599668</v>
      </c>
      <c r="AH66" s="749">
        <f t="shared" ca="1" si="54"/>
        <v>103.27021478169173</v>
      </c>
      <c r="AI66" s="749">
        <f t="shared" ca="1" si="54"/>
        <v>101.88592562443036</v>
      </c>
      <c r="AJ66" s="749">
        <f t="shared" ca="1" si="54"/>
        <v>100.51196348864715</v>
      </c>
      <c r="AK66" s="749">
        <f t="shared" ca="1" si="54"/>
        <v>99.148189945426353</v>
      </c>
      <c r="AL66" s="749">
        <f t="shared" ca="1" si="54"/>
        <v>97.794467598554476</v>
      </c>
      <c r="AM66" s="898"/>
      <c r="AN66" s="898"/>
      <c r="AO66" s="898"/>
      <c r="AP66" s="749"/>
      <c r="AQ66" s="749"/>
      <c r="AR66" s="749"/>
      <c r="AS66" s="749"/>
      <c r="AT66" s="749"/>
      <c r="AU66" s="6"/>
      <c r="AV66" s="6"/>
      <c r="AW66" s="6"/>
      <c r="AX66" s="6"/>
      <c r="AY66" s="6"/>
      <c r="AZ66" s="6"/>
      <c r="BA66" s="6"/>
      <c r="BB66" s="6"/>
      <c r="BC66" s="6"/>
      <c r="BD66" s="6"/>
      <c r="BE66" s="6"/>
      <c r="BF66" s="6"/>
      <c r="BG66" s="6"/>
      <c r="BH66" s="6"/>
      <c r="BI66" s="6"/>
      <c r="BJ66" s="6"/>
      <c r="BK66" s="6"/>
      <c r="BL66" s="6"/>
      <c r="BM66" s="6"/>
      <c r="BN66" s="6"/>
      <c r="BO66" s="6"/>
      <c r="BP66" s="6"/>
      <c r="BQ66" s="6"/>
      <c r="BR66" s="6"/>
      <c r="BS66" s="6"/>
    </row>
    <row r="67" spans="1:71">
      <c r="A67" s="6" t="s">
        <v>1103</v>
      </c>
      <c r="B67" s="6"/>
      <c r="C67" s="38"/>
      <c r="D67" s="38"/>
      <c r="E67" s="38"/>
      <c r="F67" s="38"/>
      <c r="G67" s="38"/>
      <c r="H67" s="38">
        <f t="shared" ref="H67:AD67" si="55">H66/H45</f>
        <v>0.3173067915690867</v>
      </c>
      <c r="I67" s="38">
        <f t="shared" si="55"/>
        <v>0.31660260809883323</v>
      </c>
      <c r="J67" s="38">
        <f t="shared" si="55"/>
        <v>0.25235294117647061</v>
      </c>
      <c r="K67" s="38">
        <f t="shared" si="55"/>
        <v>0.24696078431372551</v>
      </c>
      <c r="L67" s="38">
        <f t="shared" si="55"/>
        <v>0.32350838265260756</v>
      </c>
      <c r="M67" s="38">
        <f t="shared" si="55"/>
        <v>0.29224719320176562</v>
      </c>
      <c r="N67" s="38">
        <f t="shared" si="55"/>
        <v>0.30821033203459697</v>
      </c>
      <c r="O67" s="38">
        <f t="shared" si="55"/>
        <v>0.22402854870086206</v>
      </c>
      <c r="P67" s="38">
        <f t="shared" si="55"/>
        <v>0.20572173059983082</v>
      </c>
      <c r="Q67" s="38">
        <f t="shared" si="55"/>
        <v>0.17161803394714892</v>
      </c>
      <c r="R67" s="38">
        <f t="shared" si="55"/>
        <v>0.14376179369963663</v>
      </c>
      <c r="S67" s="38">
        <f t="shared" si="55"/>
        <v>0.12902538470296823</v>
      </c>
      <c r="T67" s="38">
        <f t="shared" si="55"/>
        <v>0.21237572007266955</v>
      </c>
      <c r="U67" s="38">
        <f t="shared" si="55"/>
        <v>0.2502205315343648</v>
      </c>
      <c r="V67" s="38">
        <f t="shared" si="55"/>
        <v>0.22723851048878183</v>
      </c>
      <c r="W67" s="38">
        <f t="shared" si="55"/>
        <v>0.14611275106632701</v>
      </c>
      <c r="X67" s="39">
        <f t="shared" si="55"/>
        <v>0.23297900807276362</v>
      </c>
      <c r="Y67" s="39">
        <f t="shared" si="55"/>
        <v>0.26276385261299878</v>
      </c>
      <c r="Z67" s="39">
        <f t="shared" ca="1" si="55"/>
        <v>0.2730497725454698</v>
      </c>
      <c r="AA67" s="39">
        <f t="shared" ca="1" si="55"/>
        <v>0.24648783575038971</v>
      </c>
      <c r="AB67" s="39">
        <f t="shared" ca="1" si="55"/>
        <v>0.2735586295684857</v>
      </c>
      <c r="AC67" s="39">
        <f t="shared" ca="1" si="55"/>
        <v>0.27128642690951071</v>
      </c>
      <c r="AD67" s="39">
        <f t="shared" ca="1" si="55"/>
        <v>0.26915658822503191</v>
      </c>
      <c r="AE67" s="39">
        <f t="shared" ref="AE67:AJ67" ca="1" si="56">AE66/AE45</f>
        <v>0.26692939770839313</v>
      </c>
      <c r="AF67" s="39">
        <f t="shared" ca="1" si="56"/>
        <v>0.26513585131625611</v>
      </c>
      <c r="AG67" s="39">
        <f t="shared" ca="1" si="56"/>
        <v>0.26378964693513401</v>
      </c>
      <c r="AH67" s="39">
        <f t="shared" ca="1" si="56"/>
        <v>0.26290344510341512</v>
      </c>
      <c r="AI67" s="39">
        <f t="shared" ca="1" si="56"/>
        <v>0.26199934020438881</v>
      </c>
      <c r="AJ67" s="39">
        <f t="shared" ca="1" si="56"/>
        <v>0.26107697055992757</v>
      </c>
      <c r="AK67" s="39">
        <f ca="1">AK66/AK45</f>
        <v>0.2601359671852751</v>
      </c>
      <c r="AL67" s="39">
        <f ca="1">AL66/AL45</f>
        <v>0.25917595364143786</v>
      </c>
      <c r="AM67" s="359"/>
      <c r="AN67" s="359"/>
      <c r="AO67" s="359"/>
      <c r="AP67" s="39"/>
      <c r="AQ67" s="39"/>
      <c r="AR67" s="39"/>
      <c r="AS67" s="39"/>
      <c r="AT67" s="39"/>
      <c r="AU67" s="6"/>
      <c r="AV67" s="6"/>
      <c r="AW67" s="6"/>
      <c r="AX67" s="6"/>
      <c r="AY67" s="6"/>
      <c r="AZ67" s="6"/>
      <c r="BA67" s="6"/>
      <c r="BB67" s="6"/>
      <c r="BC67" s="6"/>
      <c r="BD67" s="6"/>
      <c r="BE67" s="6"/>
      <c r="BF67" s="6"/>
      <c r="BG67" s="6"/>
      <c r="BH67" s="6"/>
      <c r="BI67" s="6"/>
      <c r="BJ67" s="6"/>
      <c r="BK67" s="6"/>
      <c r="BL67" s="6"/>
      <c r="BM67" s="6"/>
      <c r="BN67" s="6"/>
      <c r="BO67" s="6"/>
      <c r="BP67" s="6"/>
      <c r="BQ67" s="6"/>
      <c r="BR67" s="6"/>
      <c r="BS67" s="6"/>
    </row>
    <row r="68" spans="1:71">
      <c r="A68" s="483"/>
      <c r="B68" s="6"/>
      <c r="C68" s="6"/>
      <c r="D68" s="6"/>
      <c r="E68" s="6"/>
      <c r="F68" s="6"/>
      <c r="G68" s="6"/>
      <c r="H68" s="6"/>
      <c r="I68" s="6"/>
      <c r="J68" s="6"/>
      <c r="K68" s="6"/>
      <c r="L68" s="6"/>
      <c r="M68" s="6"/>
      <c r="N68" s="6"/>
      <c r="O68" s="6"/>
      <c r="P68" s="6"/>
      <c r="Q68" s="6"/>
      <c r="R68" s="6"/>
      <c r="S68" s="6"/>
      <c r="T68" s="6"/>
      <c r="U68" s="6"/>
      <c r="V68" s="6"/>
      <c r="W68" s="6"/>
      <c r="X68" s="6"/>
      <c r="Y68" s="11"/>
      <c r="Z68" s="11"/>
      <c r="AA68" s="11"/>
      <c r="AB68" s="11"/>
      <c r="AC68" s="11"/>
      <c r="AD68" s="11"/>
      <c r="AE68" s="11"/>
      <c r="AF68" s="11"/>
      <c r="AG68" s="11"/>
      <c r="AH68" s="11"/>
      <c r="AI68" s="11"/>
      <c r="AJ68" s="11"/>
      <c r="AK68" s="11"/>
      <c r="AL68" s="69"/>
      <c r="AM68" s="69"/>
      <c r="AN68" s="69"/>
      <c r="AO68" s="69"/>
      <c r="AP68" s="11"/>
      <c r="AQ68" s="11"/>
      <c r="AR68" s="11"/>
      <c r="AS68" s="11"/>
      <c r="AT68" s="11"/>
      <c r="AU68" s="6"/>
      <c r="AV68" s="6"/>
      <c r="AW68" s="6"/>
      <c r="AX68" s="6"/>
      <c r="AY68" s="6"/>
      <c r="AZ68" s="6"/>
      <c r="BA68" s="6"/>
      <c r="BB68" s="6"/>
      <c r="BC68" s="6"/>
      <c r="BD68" s="6"/>
      <c r="BE68" s="6"/>
      <c r="BF68" s="6"/>
      <c r="BG68" s="6"/>
      <c r="BH68" s="6"/>
      <c r="BI68" s="6"/>
      <c r="BJ68" s="6"/>
      <c r="BK68" s="6"/>
      <c r="BL68" s="6"/>
      <c r="BM68" s="6"/>
      <c r="BN68" s="6"/>
      <c r="BO68" s="6"/>
      <c r="BP68" s="6"/>
      <c r="BQ68" s="6"/>
      <c r="BR68" s="6"/>
      <c r="BS68" s="6"/>
    </row>
    <row r="69" spans="1:71">
      <c r="A69" s="6"/>
      <c r="B69" s="6"/>
      <c r="C69" s="6"/>
      <c r="D69" s="6"/>
      <c r="E69" s="6"/>
      <c r="F69" s="6"/>
      <c r="G69" s="6"/>
      <c r="H69" s="6"/>
      <c r="I69" s="6"/>
      <c r="J69" s="6"/>
      <c r="K69" s="6"/>
      <c r="L69" s="6"/>
      <c r="M69" s="6"/>
      <c r="N69" s="6"/>
      <c r="O69" s="6"/>
      <c r="P69" s="6"/>
      <c r="Q69" s="6"/>
      <c r="R69" s="6"/>
      <c r="S69" s="6"/>
      <c r="T69" s="6"/>
      <c r="U69" s="6"/>
      <c r="V69" s="6"/>
      <c r="W69" s="6"/>
      <c r="X69" s="6"/>
      <c r="Y69" s="11"/>
      <c r="Z69" s="11"/>
      <c r="AA69" s="11"/>
      <c r="AB69" s="11"/>
      <c r="AC69" s="11"/>
      <c r="AD69" s="11"/>
      <c r="AE69" s="11"/>
      <c r="AF69" s="11"/>
      <c r="AG69" s="11"/>
      <c r="AH69" s="11"/>
      <c r="AI69" s="11"/>
      <c r="AJ69" s="11"/>
      <c r="AK69" s="11"/>
      <c r="AL69" s="69"/>
      <c r="AM69" s="69"/>
      <c r="AN69" s="69"/>
      <c r="AO69" s="69"/>
      <c r="AP69" s="11"/>
      <c r="AQ69" s="11"/>
      <c r="AR69" s="11"/>
      <c r="AS69" s="11"/>
      <c r="AT69" s="11"/>
      <c r="AU69" s="6"/>
      <c r="AV69" s="6"/>
      <c r="AW69" s="6"/>
      <c r="AX69" s="6"/>
      <c r="AY69" s="6"/>
      <c r="AZ69" s="6"/>
      <c r="BA69" s="6"/>
      <c r="BB69" s="6"/>
      <c r="BC69" s="6"/>
      <c r="BD69" s="6"/>
      <c r="BE69" s="6"/>
      <c r="BF69" s="6"/>
      <c r="BG69" s="6"/>
      <c r="BH69" s="6"/>
      <c r="BI69" s="6"/>
      <c r="BJ69" s="6"/>
      <c r="BK69" s="6"/>
      <c r="BL69" s="6"/>
      <c r="BM69" s="6"/>
      <c r="BN69" s="6"/>
      <c r="BO69" s="6"/>
      <c r="BP69" s="6"/>
      <c r="BQ69" s="6"/>
      <c r="BR69" s="6"/>
      <c r="BS69" s="6"/>
    </row>
    <row r="70" spans="1:71">
      <c r="A70" s="36" t="s">
        <v>65</v>
      </c>
      <c r="B70" s="6"/>
      <c r="C70" s="6"/>
      <c r="D70" s="6"/>
      <c r="E70" s="6"/>
      <c r="F70" s="6"/>
      <c r="G70" s="6"/>
      <c r="H70" s="6"/>
      <c r="I70" s="6"/>
      <c r="J70" s="6"/>
      <c r="K70" s="6"/>
      <c r="L70" s="6"/>
      <c r="M70" s="6"/>
      <c r="N70" s="6"/>
      <c r="O70" s="6"/>
      <c r="P70" s="6"/>
      <c r="Q70" s="6"/>
      <c r="R70" s="6"/>
      <c r="S70" s="6"/>
      <c r="T70" s="6"/>
      <c r="U70" s="6"/>
      <c r="V70" s="6"/>
      <c r="W70" s="6"/>
      <c r="X70" s="6"/>
      <c r="Y70" s="11"/>
      <c r="Z70" s="11"/>
      <c r="AA70" s="11"/>
      <c r="AB70" s="11"/>
      <c r="AC70" s="11"/>
      <c r="AD70" s="11"/>
      <c r="AE70" s="11"/>
      <c r="AF70" s="11"/>
      <c r="AG70" s="11"/>
      <c r="AH70" s="11"/>
      <c r="AI70" s="11"/>
      <c r="AJ70" s="11"/>
      <c r="AK70" s="11"/>
      <c r="AL70" s="69"/>
      <c r="AM70" s="69"/>
      <c r="AN70" s="69"/>
      <c r="AO70" s="69"/>
      <c r="AP70" s="11"/>
      <c r="AQ70" s="11"/>
      <c r="AR70" s="11"/>
      <c r="AS70" s="11"/>
      <c r="AT70" s="11"/>
      <c r="AU70" s="6"/>
      <c r="AV70" s="6"/>
      <c r="AW70" s="6"/>
      <c r="AX70" s="6"/>
      <c r="AY70" s="6"/>
      <c r="AZ70" s="6"/>
      <c r="BA70" s="6"/>
      <c r="BB70" s="6"/>
      <c r="BC70" s="6"/>
      <c r="BD70" s="6"/>
      <c r="BE70" s="6"/>
      <c r="BF70" s="6"/>
      <c r="BG70" s="6"/>
      <c r="BH70" s="6"/>
      <c r="BI70" s="6"/>
      <c r="BJ70" s="6"/>
      <c r="BK70" s="6"/>
      <c r="BL70" s="6"/>
      <c r="BM70" s="6"/>
      <c r="BN70" s="6"/>
      <c r="BO70" s="6"/>
      <c r="BP70" s="6"/>
      <c r="BQ70" s="6"/>
      <c r="BR70" s="6"/>
      <c r="BS70" s="6"/>
    </row>
    <row r="71" spans="1:71">
      <c r="A71" s="295" t="s">
        <v>246</v>
      </c>
      <c r="B71" s="6"/>
      <c r="C71" s="6"/>
      <c r="D71" s="6"/>
      <c r="E71" s="6"/>
      <c r="F71" s="6"/>
      <c r="G71" s="6"/>
      <c r="H71" s="6"/>
      <c r="I71" s="6"/>
      <c r="J71" s="6"/>
      <c r="K71" s="6"/>
      <c r="L71" s="6"/>
      <c r="M71" s="6"/>
      <c r="N71" s="487"/>
      <c r="O71" s="488">
        <f ca="1">FMV!B124</f>
        <v>4.6359932385549224E-2</v>
      </c>
      <c r="P71" s="298">
        <f t="shared" ref="P71:Y74" ca="1" si="57">+O71</f>
        <v>4.6359932385549224E-2</v>
      </c>
      <c r="Q71" s="298">
        <f t="shared" ca="1" si="57"/>
        <v>4.6359932385549224E-2</v>
      </c>
      <c r="R71" s="298">
        <f t="shared" ca="1" si="57"/>
        <v>4.6359932385549224E-2</v>
      </c>
      <c r="S71" s="298">
        <f t="shared" ca="1" si="57"/>
        <v>4.6359932385549224E-2</v>
      </c>
      <c r="T71" s="298">
        <f t="shared" ca="1" si="57"/>
        <v>4.6359932385549224E-2</v>
      </c>
      <c r="U71" s="298">
        <f t="shared" ca="1" si="57"/>
        <v>4.6359932385549224E-2</v>
      </c>
      <c r="V71" s="298">
        <f t="shared" ca="1" si="57"/>
        <v>4.6359932385549224E-2</v>
      </c>
      <c r="W71" s="298">
        <f t="shared" ca="1" si="57"/>
        <v>4.6359932385549224E-2</v>
      </c>
      <c r="X71" s="298">
        <f t="shared" ca="1" si="57"/>
        <v>4.6359932385549224E-2</v>
      </c>
      <c r="Y71" s="536">
        <f t="shared" ca="1" si="57"/>
        <v>4.6359932385549224E-2</v>
      </c>
      <c r="Z71" s="536">
        <f t="shared" ref="Z71:AA74" ca="1" si="58">+Y71</f>
        <v>4.6359932385549224E-2</v>
      </c>
      <c r="AA71" s="536">
        <f t="shared" ca="1" si="58"/>
        <v>4.6359932385549224E-2</v>
      </c>
      <c r="AB71" s="536">
        <f t="shared" ref="AB71:AC74" ca="1" si="59">+AA71</f>
        <v>4.6359932385549224E-2</v>
      </c>
      <c r="AC71" s="536">
        <f t="shared" ca="1" si="59"/>
        <v>4.6359932385549224E-2</v>
      </c>
      <c r="AD71" s="536">
        <f t="shared" ref="AD71:AF74" ca="1" si="60">+AC71</f>
        <v>4.6359932385549224E-2</v>
      </c>
      <c r="AE71" s="536">
        <f t="shared" ca="1" si="60"/>
        <v>4.6359932385549224E-2</v>
      </c>
      <c r="AF71" s="536">
        <f t="shared" ca="1" si="60"/>
        <v>4.6359932385549224E-2</v>
      </c>
      <c r="AG71" s="536">
        <f t="shared" ref="AG71:AL74" ca="1" si="61">+AF71</f>
        <v>4.6359932385549224E-2</v>
      </c>
      <c r="AH71" s="536">
        <f t="shared" ca="1" si="61"/>
        <v>4.6359932385549224E-2</v>
      </c>
      <c r="AI71" s="536">
        <f t="shared" ca="1" si="61"/>
        <v>4.6359932385549224E-2</v>
      </c>
      <c r="AJ71" s="536">
        <f t="shared" ca="1" si="61"/>
        <v>4.6359932385549224E-2</v>
      </c>
      <c r="AK71" s="536">
        <f t="shared" ca="1" si="61"/>
        <v>4.6359932385549224E-2</v>
      </c>
      <c r="AL71" s="536">
        <f t="shared" ca="1" si="61"/>
        <v>4.6359932385549224E-2</v>
      </c>
      <c r="AM71" s="1230"/>
      <c r="AN71" s="1230"/>
      <c r="AO71" s="1230"/>
      <c r="AP71" s="536"/>
      <c r="AQ71" s="536"/>
      <c r="AR71" s="536"/>
      <c r="AS71" s="536"/>
      <c r="AT71" s="11"/>
      <c r="AU71" s="6"/>
      <c r="AV71" s="6"/>
      <c r="AW71" s="6"/>
      <c r="AX71" s="6"/>
      <c r="AY71" s="6"/>
      <c r="AZ71" s="6"/>
      <c r="BA71" s="6"/>
      <c r="BB71" s="6"/>
      <c r="BC71" s="6"/>
      <c r="BD71" s="6"/>
      <c r="BE71" s="6"/>
      <c r="BF71" s="6"/>
      <c r="BG71" s="6"/>
      <c r="BH71" s="6"/>
      <c r="BI71" s="6"/>
      <c r="BJ71" s="6"/>
      <c r="BK71" s="6"/>
      <c r="BL71" s="6"/>
      <c r="BM71" s="6"/>
      <c r="BN71" s="6"/>
      <c r="BO71" s="6"/>
      <c r="BP71" s="6"/>
      <c r="BQ71" s="6"/>
      <c r="BR71" s="6"/>
      <c r="BS71" s="6"/>
    </row>
    <row r="72" spans="1:71">
      <c r="A72" s="295" t="s">
        <v>247</v>
      </c>
      <c r="B72" s="6"/>
      <c r="C72" s="6"/>
      <c r="D72" s="6"/>
      <c r="E72" s="6"/>
      <c r="F72" s="6"/>
      <c r="G72" s="6"/>
      <c r="H72" s="6"/>
      <c r="I72" s="6"/>
      <c r="J72" s="6"/>
      <c r="K72" s="6"/>
      <c r="L72" s="6"/>
      <c r="M72" s="6"/>
      <c r="N72" s="487"/>
      <c r="O72" s="488">
        <f>FMV!B125</f>
        <v>0.1</v>
      </c>
      <c r="P72" s="298">
        <f t="shared" si="57"/>
        <v>0.1</v>
      </c>
      <c r="Q72" s="298">
        <f t="shared" si="57"/>
        <v>0.1</v>
      </c>
      <c r="R72" s="298">
        <f t="shared" si="57"/>
        <v>0.1</v>
      </c>
      <c r="S72" s="298">
        <f t="shared" si="57"/>
        <v>0.1</v>
      </c>
      <c r="T72" s="298">
        <f t="shared" si="57"/>
        <v>0.1</v>
      </c>
      <c r="U72" s="298">
        <f t="shared" si="57"/>
        <v>0.1</v>
      </c>
      <c r="V72" s="298">
        <f t="shared" si="57"/>
        <v>0.1</v>
      </c>
      <c r="W72" s="298">
        <f t="shared" si="57"/>
        <v>0.1</v>
      </c>
      <c r="X72" s="298">
        <f t="shared" si="57"/>
        <v>0.1</v>
      </c>
      <c r="Y72" s="536">
        <f t="shared" si="57"/>
        <v>0.1</v>
      </c>
      <c r="Z72" s="536">
        <f t="shared" si="58"/>
        <v>0.1</v>
      </c>
      <c r="AA72" s="536">
        <f t="shared" si="58"/>
        <v>0.1</v>
      </c>
      <c r="AB72" s="536">
        <f t="shared" si="59"/>
        <v>0.1</v>
      </c>
      <c r="AC72" s="536">
        <f t="shared" si="59"/>
        <v>0.1</v>
      </c>
      <c r="AD72" s="536">
        <f t="shared" si="60"/>
        <v>0.1</v>
      </c>
      <c r="AE72" s="536">
        <f t="shared" si="60"/>
        <v>0.1</v>
      </c>
      <c r="AF72" s="536">
        <f t="shared" si="60"/>
        <v>0.1</v>
      </c>
      <c r="AG72" s="536">
        <f t="shared" si="61"/>
        <v>0.1</v>
      </c>
      <c r="AH72" s="536">
        <f t="shared" si="61"/>
        <v>0.1</v>
      </c>
      <c r="AI72" s="536">
        <f t="shared" si="61"/>
        <v>0.1</v>
      </c>
      <c r="AJ72" s="536">
        <f t="shared" si="61"/>
        <v>0.1</v>
      </c>
      <c r="AK72" s="536">
        <f t="shared" si="61"/>
        <v>0.1</v>
      </c>
      <c r="AL72" s="536">
        <f t="shared" si="61"/>
        <v>0.1</v>
      </c>
      <c r="AM72" s="1230"/>
      <c r="AN72" s="1230"/>
      <c r="AO72" s="1230"/>
      <c r="AP72" s="536"/>
      <c r="AQ72" s="536"/>
      <c r="AR72" s="536"/>
      <c r="AS72" s="536"/>
      <c r="AT72" s="11"/>
      <c r="AU72" s="6"/>
      <c r="AV72" s="6"/>
      <c r="AW72" s="6"/>
      <c r="AX72" s="6"/>
      <c r="AY72" s="6"/>
      <c r="AZ72" s="6"/>
      <c r="BA72" s="6"/>
      <c r="BB72" s="6"/>
      <c r="BC72" s="6"/>
      <c r="BD72" s="6"/>
      <c r="BE72" s="6"/>
      <c r="BF72" s="6"/>
      <c r="BG72" s="6"/>
      <c r="BH72" s="6"/>
      <c r="BI72" s="6"/>
      <c r="BJ72" s="6"/>
      <c r="BK72" s="6"/>
      <c r="BL72" s="6"/>
      <c r="BM72" s="6"/>
      <c r="BN72" s="6"/>
      <c r="BO72" s="6"/>
      <c r="BP72" s="6"/>
      <c r="BQ72" s="6"/>
      <c r="BR72" s="6"/>
      <c r="BS72" s="6"/>
    </row>
    <row r="73" spans="1:71">
      <c r="A73" s="295" t="s">
        <v>248</v>
      </c>
      <c r="B73" s="6"/>
      <c r="C73" s="6"/>
      <c r="D73" s="6"/>
      <c r="E73" s="6"/>
      <c r="F73" s="6"/>
      <c r="G73" s="6"/>
      <c r="H73" s="6"/>
      <c r="I73" s="6"/>
      <c r="J73" s="6"/>
      <c r="K73" s="6"/>
      <c r="L73" s="6"/>
      <c r="M73" s="6"/>
      <c r="N73" s="487"/>
      <c r="O73" s="488">
        <f>FMV!B126</f>
        <v>0.3</v>
      </c>
      <c r="P73" s="298">
        <f t="shared" si="57"/>
        <v>0.3</v>
      </c>
      <c r="Q73" s="298">
        <f t="shared" si="57"/>
        <v>0.3</v>
      </c>
      <c r="R73" s="298">
        <f t="shared" si="57"/>
        <v>0.3</v>
      </c>
      <c r="S73" s="298">
        <f t="shared" si="57"/>
        <v>0.3</v>
      </c>
      <c r="T73" s="298">
        <f t="shared" si="57"/>
        <v>0.3</v>
      </c>
      <c r="U73" s="298">
        <f t="shared" si="57"/>
        <v>0.3</v>
      </c>
      <c r="V73" s="298">
        <f t="shared" si="57"/>
        <v>0.3</v>
      </c>
      <c r="W73" s="298">
        <f t="shared" si="57"/>
        <v>0.3</v>
      </c>
      <c r="X73" s="298">
        <f t="shared" si="57"/>
        <v>0.3</v>
      </c>
      <c r="Y73" s="536">
        <f t="shared" si="57"/>
        <v>0.3</v>
      </c>
      <c r="Z73" s="536">
        <f t="shared" si="58"/>
        <v>0.3</v>
      </c>
      <c r="AA73" s="536">
        <f t="shared" si="58"/>
        <v>0.3</v>
      </c>
      <c r="AB73" s="536">
        <f t="shared" si="59"/>
        <v>0.3</v>
      </c>
      <c r="AC73" s="536">
        <f t="shared" si="59"/>
        <v>0.3</v>
      </c>
      <c r="AD73" s="536">
        <f t="shared" si="60"/>
        <v>0.3</v>
      </c>
      <c r="AE73" s="536">
        <f t="shared" si="60"/>
        <v>0.3</v>
      </c>
      <c r="AF73" s="536">
        <f t="shared" si="60"/>
        <v>0.3</v>
      </c>
      <c r="AG73" s="536">
        <f t="shared" si="61"/>
        <v>0.3</v>
      </c>
      <c r="AH73" s="536">
        <f t="shared" si="61"/>
        <v>0.3</v>
      </c>
      <c r="AI73" s="536">
        <f t="shared" si="61"/>
        <v>0.3</v>
      </c>
      <c r="AJ73" s="536">
        <f t="shared" si="61"/>
        <v>0.3</v>
      </c>
      <c r="AK73" s="536">
        <f t="shared" si="61"/>
        <v>0.3</v>
      </c>
      <c r="AL73" s="536">
        <f t="shared" si="61"/>
        <v>0.3</v>
      </c>
      <c r="AM73" s="1230"/>
      <c r="AN73" s="1230"/>
      <c r="AO73" s="1230"/>
      <c r="AP73" s="536"/>
      <c r="AQ73" s="536"/>
      <c r="AR73" s="536"/>
      <c r="AS73" s="536"/>
      <c r="AT73" s="11"/>
      <c r="AU73" s="6"/>
      <c r="AV73" s="6"/>
      <c r="AW73" s="6"/>
      <c r="AX73" s="6"/>
      <c r="AY73" s="6"/>
      <c r="AZ73" s="6"/>
      <c r="BA73" s="6"/>
      <c r="BB73" s="6"/>
      <c r="BC73" s="6"/>
      <c r="BD73" s="6"/>
      <c r="BE73" s="6"/>
      <c r="BF73" s="6"/>
      <c r="BG73" s="6"/>
      <c r="BH73" s="6"/>
      <c r="BI73" s="6"/>
      <c r="BJ73" s="6"/>
      <c r="BK73" s="6"/>
      <c r="BL73" s="6"/>
      <c r="BM73" s="6"/>
      <c r="BN73" s="6"/>
      <c r="BO73" s="6"/>
      <c r="BP73" s="6"/>
      <c r="BQ73" s="6"/>
      <c r="BR73" s="6"/>
      <c r="BS73" s="6"/>
    </row>
    <row r="74" spans="1:71">
      <c r="A74" s="295" t="s">
        <v>249</v>
      </c>
      <c r="B74" s="6"/>
      <c r="C74" s="6"/>
      <c r="D74" s="6"/>
      <c r="E74" s="6"/>
      <c r="F74" s="6"/>
      <c r="G74" s="6"/>
      <c r="H74" s="6"/>
      <c r="I74" s="6"/>
      <c r="J74" s="6"/>
      <c r="K74" s="6"/>
      <c r="L74" s="6"/>
      <c r="M74" s="6"/>
      <c r="N74" s="487"/>
      <c r="O74" s="488">
        <f>FMV!B127</f>
        <v>0.245</v>
      </c>
      <c r="P74" s="298">
        <f t="shared" si="57"/>
        <v>0.245</v>
      </c>
      <c r="Q74" s="298">
        <f t="shared" si="57"/>
        <v>0.245</v>
      </c>
      <c r="R74" s="298">
        <f t="shared" si="57"/>
        <v>0.245</v>
      </c>
      <c r="S74" s="298">
        <f t="shared" si="57"/>
        <v>0.245</v>
      </c>
      <c r="T74" s="298">
        <f t="shared" si="57"/>
        <v>0.245</v>
      </c>
      <c r="U74" s="298">
        <f t="shared" si="57"/>
        <v>0.245</v>
      </c>
      <c r="V74" s="298">
        <f t="shared" si="57"/>
        <v>0.245</v>
      </c>
      <c r="W74" s="298">
        <f t="shared" si="57"/>
        <v>0.245</v>
      </c>
      <c r="X74" s="298">
        <f t="shared" si="57"/>
        <v>0.245</v>
      </c>
      <c r="Y74" s="536">
        <f t="shared" si="57"/>
        <v>0.245</v>
      </c>
      <c r="Z74" s="536">
        <f t="shared" si="58"/>
        <v>0.245</v>
      </c>
      <c r="AA74" s="536">
        <f t="shared" si="58"/>
        <v>0.245</v>
      </c>
      <c r="AB74" s="536">
        <f t="shared" si="59"/>
        <v>0.245</v>
      </c>
      <c r="AC74" s="536">
        <f t="shared" si="59"/>
        <v>0.245</v>
      </c>
      <c r="AD74" s="536">
        <f t="shared" si="60"/>
        <v>0.245</v>
      </c>
      <c r="AE74" s="536">
        <f t="shared" si="60"/>
        <v>0.245</v>
      </c>
      <c r="AF74" s="536">
        <f t="shared" si="60"/>
        <v>0.245</v>
      </c>
      <c r="AG74" s="536">
        <f t="shared" si="61"/>
        <v>0.245</v>
      </c>
      <c r="AH74" s="536">
        <f t="shared" si="61"/>
        <v>0.245</v>
      </c>
      <c r="AI74" s="536">
        <f t="shared" si="61"/>
        <v>0.245</v>
      </c>
      <c r="AJ74" s="536">
        <f t="shared" si="61"/>
        <v>0.245</v>
      </c>
      <c r="AK74" s="536">
        <f t="shared" si="61"/>
        <v>0.245</v>
      </c>
      <c r="AL74" s="536">
        <f t="shared" si="61"/>
        <v>0.245</v>
      </c>
      <c r="AM74" s="1230"/>
      <c r="AN74" s="1230"/>
      <c r="AO74" s="1230"/>
      <c r="AP74" s="536"/>
      <c r="AQ74" s="536"/>
      <c r="AR74" s="536"/>
      <c r="AS74" s="536"/>
      <c r="AT74" s="11"/>
      <c r="AU74" s="6"/>
      <c r="AV74" s="6"/>
      <c r="AW74" s="6"/>
      <c r="AX74" s="6"/>
      <c r="AY74" s="6"/>
      <c r="AZ74" s="6"/>
      <c r="BA74" s="6"/>
      <c r="BB74" s="6"/>
      <c r="BC74" s="6"/>
      <c r="BD74" s="6"/>
      <c r="BE74" s="6"/>
      <c r="BF74" s="6"/>
      <c r="BG74" s="6"/>
      <c r="BH74" s="6"/>
      <c r="BI74" s="6"/>
      <c r="BJ74" s="6"/>
      <c r="BK74" s="6"/>
      <c r="BL74" s="6"/>
      <c r="BM74" s="6"/>
      <c r="BN74" s="6"/>
      <c r="BO74" s="6"/>
      <c r="BP74" s="6"/>
      <c r="BQ74" s="6"/>
      <c r="BR74" s="6"/>
      <c r="BS74" s="6"/>
    </row>
    <row r="75" spans="1:71">
      <c r="A75" s="295" t="s">
        <v>250</v>
      </c>
      <c r="B75" s="6"/>
      <c r="C75" s="6"/>
      <c r="D75" s="6"/>
      <c r="E75" s="6"/>
      <c r="F75" s="6"/>
      <c r="G75" s="6"/>
      <c r="H75" s="6"/>
      <c r="I75" s="6"/>
      <c r="J75" s="6"/>
      <c r="K75" s="6"/>
      <c r="L75" s="6"/>
      <c r="M75" s="6"/>
      <c r="N75" s="298"/>
      <c r="O75" s="298">
        <f t="shared" ref="O75:AD75" ca="1" si="62">((O71*(1-O74)*O73))+(O72*(1-O73))</f>
        <v>8.0500524685326896E-2</v>
      </c>
      <c r="P75" s="298">
        <f t="shared" ca="1" si="62"/>
        <v>8.0500524685326896E-2</v>
      </c>
      <c r="Q75" s="298">
        <f t="shared" ca="1" si="62"/>
        <v>8.0500524685326896E-2</v>
      </c>
      <c r="R75" s="298">
        <f t="shared" ca="1" si="62"/>
        <v>8.0500524685326896E-2</v>
      </c>
      <c r="S75" s="298">
        <f t="shared" ca="1" si="62"/>
        <v>8.0500524685326896E-2</v>
      </c>
      <c r="T75" s="298">
        <f t="shared" ca="1" si="62"/>
        <v>8.0500524685326896E-2</v>
      </c>
      <c r="U75" s="298">
        <f t="shared" ca="1" si="62"/>
        <v>8.0500524685326896E-2</v>
      </c>
      <c r="V75" s="298">
        <f t="shared" ca="1" si="62"/>
        <v>8.0500524685326896E-2</v>
      </c>
      <c r="W75" s="298">
        <f t="shared" ca="1" si="62"/>
        <v>8.0500524685326896E-2</v>
      </c>
      <c r="X75" s="298">
        <f t="shared" ca="1" si="62"/>
        <v>8.0500524685326896E-2</v>
      </c>
      <c r="Y75" s="536">
        <f t="shared" ca="1" si="62"/>
        <v>8.0500524685326896E-2</v>
      </c>
      <c r="Z75" s="536">
        <f t="shared" ca="1" si="62"/>
        <v>8.0500524685326896E-2</v>
      </c>
      <c r="AA75" s="536">
        <f t="shared" ca="1" si="62"/>
        <v>8.0500524685326896E-2</v>
      </c>
      <c r="AB75" s="536">
        <f t="shared" ca="1" si="62"/>
        <v>8.0500524685326896E-2</v>
      </c>
      <c r="AC75" s="536">
        <f t="shared" ca="1" si="62"/>
        <v>8.0500524685326896E-2</v>
      </c>
      <c r="AD75" s="536">
        <f t="shared" ca="1" si="62"/>
        <v>8.0500524685326896E-2</v>
      </c>
      <c r="AE75" s="536">
        <f t="shared" ref="AE75:AJ75" ca="1" si="63">((AE71*(1-AE74)*AE73))+(AE72*(1-AE73))</f>
        <v>8.0500524685326896E-2</v>
      </c>
      <c r="AF75" s="536">
        <f t="shared" ca="1" si="63"/>
        <v>8.0500524685326896E-2</v>
      </c>
      <c r="AG75" s="536">
        <f t="shared" ca="1" si="63"/>
        <v>8.0500524685326896E-2</v>
      </c>
      <c r="AH75" s="536">
        <f t="shared" ca="1" si="63"/>
        <v>8.0500524685326896E-2</v>
      </c>
      <c r="AI75" s="536">
        <f t="shared" ca="1" si="63"/>
        <v>8.0500524685326896E-2</v>
      </c>
      <c r="AJ75" s="536">
        <f t="shared" ca="1" si="63"/>
        <v>8.0500524685326896E-2</v>
      </c>
      <c r="AK75" s="536">
        <f ca="1">((AK71*(1-AK74)*AK73))+(AK72*(1-AK73))</f>
        <v>8.0500524685326896E-2</v>
      </c>
      <c r="AL75" s="536">
        <f ca="1">((AL71*(1-AL74)*AL73))+(AL72*(1-AL73))</f>
        <v>8.0500524685326896E-2</v>
      </c>
      <c r="AM75" s="1230"/>
      <c r="AN75" s="1230"/>
      <c r="AO75" s="1230"/>
      <c r="AP75" s="536"/>
      <c r="AQ75" s="536"/>
      <c r="AR75" s="536"/>
      <c r="AS75" s="536"/>
      <c r="AT75" s="11"/>
      <c r="AU75" s="6"/>
      <c r="AV75" s="6"/>
      <c r="AW75" s="6"/>
      <c r="AX75" s="6"/>
      <c r="AY75" s="6"/>
      <c r="AZ75" s="6"/>
      <c r="BA75" s="6"/>
      <c r="BB75" s="6"/>
      <c r="BC75" s="6"/>
      <c r="BD75" s="6"/>
      <c r="BE75" s="6"/>
      <c r="BF75" s="6"/>
      <c r="BG75" s="6"/>
      <c r="BH75" s="6"/>
      <c r="BI75" s="6"/>
      <c r="BJ75" s="6"/>
      <c r="BK75" s="6"/>
      <c r="BL75" s="6"/>
      <c r="BM75" s="6"/>
      <c r="BN75" s="6"/>
      <c r="BO75" s="6"/>
      <c r="BP75" s="6"/>
      <c r="BQ75" s="6"/>
      <c r="BR75" s="6"/>
      <c r="BS75" s="6"/>
    </row>
    <row r="76" spans="1:71">
      <c r="A76" s="295" t="s">
        <v>251</v>
      </c>
      <c r="B76" s="6"/>
      <c r="C76" s="6"/>
      <c r="D76" s="6"/>
      <c r="E76" s="6"/>
      <c r="F76" s="6"/>
      <c r="G76" s="6"/>
      <c r="H76" s="6"/>
      <c r="I76" s="6"/>
      <c r="J76" s="6"/>
      <c r="K76" s="6"/>
      <c r="L76" s="6"/>
      <c r="M76" s="6"/>
      <c r="N76" s="487"/>
      <c r="O76" s="488">
        <f>FMV!B129</f>
        <v>0.02</v>
      </c>
      <c r="P76" s="298">
        <f t="shared" ref="P76:Y76" si="64">+O76</f>
        <v>0.02</v>
      </c>
      <c r="Q76" s="298">
        <f t="shared" si="64"/>
        <v>0.02</v>
      </c>
      <c r="R76" s="298">
        <f t="shared" si="64"/>
        <v>0.02</v>
      </c>
      <c r="S76" s="298">
        <f t="shared" si="64"/>
        <v>0.02</v>
      </c>
      <c r="T76" s="298">
        <f t="shared" si="64"/>
        <v>0.02</v>
      </c>
      <c r="U76" s="298">
        <f t="shared" si="64"/>
        <v>0.02</v>
      </c>
      <c r="V76" s="298">
        <f t="shared" si="64"/>
        <v>0.02</v>
      </c>
      <c r="W76" s="298">
        <f t="shared" si="64"/>
        <v>0.02</v>
      </c>
      <c r="X76" s="298">
        <f t="shared" si="64"/>
        <v>0.02</v>
      </c>
      <c r="Y76" s="536">
        <f t="shared" si="64"/>
        <v>0.02</v>
      </c>
      <c r="Z76" s="536">
        <f t="shared" ref="Z76:AF76" si="65">+Y76</f>
        <v>0.02</v>
      </c>
      <c r="AA76" s="536">
        <f t="shared" si="65"/>
        <v>0.02</v>
      </c>
      <c r="AB76" s="536">
        <f t="shared" si="65"/>
        <v>0.02</v>
      </c>
      <c r="AC76" s="536">
        <f t="shared" si="65"/>
        <v>0.02</v>
      </c>
      <c r="AD76" s="536">
        <f t="shared" si="65"/>
        <v>0.02</v>
      </c>
      <c r="AE76" s="536">
        <f t="shared" si="65"/>
        <v>0.02</v>
      </c>
      <c r="AF76" s="536">
        <f t="shared" si="65"/>
        <v>0.02</v>
      </c>
      <c r="AG76" s="536">
        <f t="shared" ref="AG76:AL76" si="66">+AF76</f>
        <v>0.02</v>
      </c>
      <c r="AH76" s="536">
        <f t="shared" si="66"/>
        <v>0.02</v>
      </c>
      <c r="AI76" s="536">
        <f t="shared" si="66"/>
        <v>0.02</v>
      </c>
      <c r="AJ76" s="536">
        <f t="shared" si="66"/>
        <v>0.02</v>
      </c>
      <c r="AK76" s="536">
        <f t="shared" si="66"/>
        <v>0.02</v>
      </c>
      <c r="AL76" s="536">
        <f t="shared" si="66"/>
        <v>0.02</v>
      </c>
      <c r="AM76" s="1230"/>
      <c r="AN76" s="1230"/>
      <c r="AO76" s="1230"/>
      <c r="AP76" s="536"/>
      <c r="AQ76" s="536"/>
      <c r="AR76" s="536"/>
      <c r="AS76" s="536"/>
      <c r="AT76" s="11"/>
      <c r="AU76" s="6"/>
      <c r="AV76" s="6"/>
      <c r="AW76" s="6"/>
      <c r="AX76" s="6"/>
      <c r="AY76" s="6"/>
      <c r="AZ76" s="6"/>
      <c r="BA76" s="6"/>
      <c r="BB76" s="6"/>
      <c r="BC76" s="6"/>
      <c r="BD76" s="6"/>
      <c r="BE76" s="6"/>
      <c r="BF76" s="6"/>
      <c r="BG76" s="6"/>
      <c r="BH76" s="6"/>
      <c r="BI76" s="6"/>
      <c r="BJ76" s="6"/>
      <c r="BK76" s="6"/>
      <c r="BL76" s="6"/>
      <c r="BM76" s="6"/>
      <c r="BN76" s="6"/>
      <c r="BO76" s="6"/>
      <c r="BP76" s="6"/>
      <c r="BQ76" s="6"/>
      <c r="BR76" s="6"/>
      <c r="BS76" s="6"/>
    </row>
    <row r="77" spans="1:71">
      <c r="A77" s="295"/>
      <c r="B77" s="6"/>
      <c r="C77" s="6"/>
      <c r="D77" s="6"/>
      <c r="E77" s="6"/>
      <c r="F77" s="6"/>
      <c r="G77" s="6"/>
      <c r="H77" s="6"/>
      <c r="I77" s="6"/>
      <c r="J77" s="6"/>
      <c r="K77" s="6"/>
      <c r="L77" s="6"/>
      <c r="M77" s="6"/>
      <c r="N77" s="487"/>
      <c r="O77" s="6"/>
      <c r="P77" s="6"/>
      <c r="Q77" s="6"/>
      <c r="R77" s="6"/>
      <c r="S77" s="6"/>
      <c r="T77" s="6"/>
      <c r="U77" s="6"/>
      <c r="V77" s="6"/>
      <c r="W77" s="6"/>
      <c r="X77" s="6"/>
      <c r="Y77" s="11"/>
      <c r="Z77" s="11"/>
      <c r="AA77" s="11"/>
      <c r="AB77" s="11"/>
      <c r="AC77" s="11"/>
      <c r="AD77" s="11"/>
      <c r="AE77" s="11"/>
      <c r="AF77" s="11"/>
      <c r="AG77" s="11"/>
      <c r="AH77" s="11"/>
      <c r="AI77" s="11"/>
      <c r="AJ77" s="11"/>
      <c r="AK77" s="11"/>
      <c r="AL77" s="69"/>
      <c r="AM77" s="69"/>
      <c r="AN77" s="69"/>
      <c r="AO77" s="69"/>
      <c r="AP77" s="11"/>
      <c r="AQ77" s="11"/>
      <c r="AR77" s="11"/>
      <c r="AS77" s="11"/>
      <c r="AT77" s="11"/>
      <c r="AU77" s="6"/>
      <c r="AV77" s="6"/>
      <c r="AW77" s="6"/>
      <c r="AX77" s="6"/>
      <c r="AY77" s="6"/>
      <c r="AZ77" s="6"/>
      <c r="BA77" s="6"/>
      <c r="BB77" s="6"/>
      <c r="BC77" s="6"/>
      <c r="BD77" s="6"/>
      <c r="BE77" s="6"/>
      <c r="BF77" s="6"/>
      <c r="BG77" s="6"/>
      <c r="BH77" s="6"/>
      <c r="BI77" s="6"/>
      <c r="BJ77" s="6"/>
      <c r="BK77" s="6"/>
      <c r="BL77" s="6"/>
      <c r="BM77" s="6"/>
      <c r="BN77" s="6"/>
      <c r="BO77" s="6"/>
      <c r="BP77" s="6"/>
      <c r="BQ77" s="6"/>
      <c r="BR77" s="6"/>
      <c r="BS77" s="6"/>
    </row>
    <row r="78" spans="1:71">
      <c r="A78" s="295" t="s">
        <v>1009</v>
      </c>
      <c r="B78" s="6"/>
      <c r="C78" s="6"/>
      <c r="D78" s="6"/>
      <c r="E78" s="6"/>
      <c r="F78" s="6"/>
      <c r="G78" s="6"/>
      <c r="H78" s="6"/>
      <c r="I78" s="6"/>
      <c r="J78" s="6"/>
      <c r="K78" s="6"/>
      <c r="L78" s="6"/>
      <c r="M78" s="6"/>
      <c r="N78" s="487"/>
      <c r="O78" s="489">
        <f>AL51*(1+O76)</f>
        <v>135.96207537071641</v>
      </c>
      <c r="P78" s="489">
        <f t="shared" ref="P78:Y80" si="67">+O78</f>
        <v>135.96207537071641</v>
      </c>
      <c r="Q78" s="489">
        <f t="shared" si="67"/>
        <v>135.96207537071641</v>
      </c>
      <c r="R78" s="489">
        <f t="shared" si="67"/>
        <v>135.96207537071641</v>
      </c>
      <c r="S78" s="489">
        <f t="shared" si="67"/>
        <v>135.96207537071641</v>
      </c>
      <c r="T78" s="489">
        <f t="shared" si="67"/>
        <v>135.96207537071641</v>
      </c>
      <c r="U78" s="489">
        <f t="shared" si="67"/>
        <v>135.96207537071641</v>
      </c>
      <c r="V78" s="489">
        <f t="shared" si="67"/>
        <v>135.96207537071641</v>
      </c>
      <c r="W78" s="489">
        <f t="shared" si="67"/>
        <v>135.96207537071641</v>
      </c>
      <c r="X78" s="489">
        <f t="shared" si="67"/>
        <v>135.96207537071641</v>
      </c>
      <c r="Y78" s="181">
        <f t="shared" si="67"/>
        <v>135.96207537071641</v>
      </c>
      <c r="Z78" s="181">
        <f t="shared" ref="Z78:AA80" si="68">+Y78</f>
        <v>135.96207537071641</v>
      </c>
      <c r="AA78" s="181">
        <f t="shared" si="68"/>
        <v>135.96207537071641</v>
      </c>
      <c r="AB78" s="181">
        <f t="shared" ref="AB78:AC80" si="69">+AA78</f>
        <v>135.96207537071641</v>
      </c>
      <c r="AC78" s="181">
        <f t="shared" si="69"/>
        <v>135.96207537071641</v>
      </c>
      <c r="AD78" s="181">
        <f t="shared" ref="AD78:AF80" si="70">+AC78</f>
        <v>135.96207537071641</v>
      </c>
      <c r="AE78" s="181">
        <f t="shared" si="70"/>
        <v>135.96207537071641</v>
      </c>
      <c r="AF78" s="181">
        <f t="shared" si="70"/>
        <v>135.96207537071641</v>
      </c>
      <c r="AG78" s="181">
        <f t="shared" ref="AG78:AI80" si="71">+AF78</f>
        <v>135.96207537071641</v>
      </c>
      <c r="AH78" s="181">
        <f t="shared" si="71"/>
        <v>135.96207537071641</v>
      </c>
      <c r="AI78" s="181">
        <f t="shared" si="71"/>
        <v>135.96207537071641</v>
      </c>
      <c r="AJ78" s="181">
        <f t="shared" ref="AJ78:AL80" si="72">+AI78</f>
        <v>135.96207537071641</v>
      </c>
      <c r="AK78" s="181">
        <f t="shared" si="72"/>
        <v>135.96207537071641</v>
      </c>
      <c r="AL78" s="181">
        <f t="shared" si="72"/>
        <v>135.96207537071641</v>
      </c>
      <c r="AM78" s="1231"/>
      <c r="AN78" s="1231"/>
      <c r="AO78" s="1231"/>
      <c r="AP78" s="181"/>
      <c r="AQ78" s="181"/>
      <c r="AR78" s="181"/>
      <c r="AS78" s="181"/>
      <c r="AT78" s="11"/>
      <c r="AU78" s="6"/>
      <c r="AV78" s="6"/>
      <c r="AW78" s="6"/>
      <c r="AX78" s="6"/>
      <c r="AY78" s="6"/>
      <c r="AZ78" s="6"/>
      <c r="BA78" s="38"/>
      <c r="BB78" s="38"/>
      <c r="BC78" s="6"/>
      <c r="BD78" s="6"/>
      <c r="BE78" s="6"/>
      <c r="BF78" s="6"/>
      <c r="BG78" s="6"/>
      <c r="BH78" s="6"/>
      <c r="BI78" s="6"/>
      <c r="BJ78" s="6"/>
      <c r="BK78" s="6"/>
      <c r="BL78" s="6"/>
      <c r="BM78" s="6"/>
      <c r="BN78" s="6"/>
      <c r="BO78" s="6"/>
      <c r="BP78" s="6"/>
      <c r="BQ78" s="6"/>
      <c r="BR78" s="6"/>
      <c r="BS78" s="6"/>
    </row>
    <row r="79" spans="1:71">
      <c r="A79" s="490" t="s">
        <v>54</v>
      </c>
      <c r="B79" s="6"/>
      <c r="C79" s="6"/>
      <c r="D79" s="6"/>
      <c r="E79" s="6"/>
      <c r="F79" s="6"/>
      <c r="G79" s="6"/>
      <c r="H79" s="6"/>
      <c r="I79" s="6"/>
      <c r="J79" s="6"/>
      <c r="K79" s="6"/>
      <c r="L79" s="6"/>
      <c r="M79" s="6"/>
      <c r="N79" s="487"/>
      <c r="O79" s="489">
        <f ca="1">AL64*(1+O76)</f>
        <v>32.367764604347961</v>
      </c>
      <c r="P79" s="489">
        <f t="shared" ca="1" si="67"/>
        <v>32.367764604347961</v>
      </c>
      <c r="Q79" s="489">
        <f t="shared" ca="1" si="67"/>
        <v>32.367764604347961</v>
      </c>
      <c r="R79" s="489">
        <f t="shared" ca="1" si="67"/>
        <v>32.367764604347961</v>
      </c>
      <c r="S79" s="489">
        <f t="shared" ca="1" si="67"/>
        <v>32.367764604347961</v>
      </c>
      <c r="T79" s="489">
        <f t="shared" ca="1" si="67"/>
        <v>32.367764604347961</v>
      </c>
      <c r="U79" s="489">
        <f t="shared" ca="1" si="67"/>
        <v>32.367764604347961</v>
      </c>
      <c r="V79" s="489">
        <f t="shared" ca="1" si="67"/>
        <v>32.367764604347961</v>
      </c>
      <c r="W79" s="489">
        <f t="shared" ca="1" si="67"/>
        <v>32.367764604347961</v>
      </c>
      <c r="X79" s="489">
        <f t="shared" ca="1" si="67"/>
        <v>32.367764604347961</v>
      </c>
      <c r="Y79" s="181">
        <f t="shared" ca="1" si="67"/>
        <v>32.367764604347961</v>
      </c>
      <c r="Z79" s="181">
        <f t="shared" ca="1" si="68"/>
        <v>32.367764604347961</v>
      </c>
      <c r="AA79" s="181">
        <f t="shared" ca="1" si="68"/>
        <v>32.367764604347961</v>
      </c>
      <c r="AB79" s="181">
        <f t="shared" ca="1" si="69"/>
        <v>32.367764604347961</v>
      </c>
      <c r="AC79" s="181">
        <f t="shared" ca="1" si="69"/>
        <v>32.367764604347961</v>
      </c>
      <c r="AD79" s="181">
        <f t="shared" ca="1" si="70"/>
        <v>32.367764604347961</v>
      </c>
      <c r="AE79" s="181">
        <f t="shared" ca="1" si="70"/>
        <v>32.367764604347961</v>
      </c>
      <c r="AF79" s="181">
        <f t="shared" ca="1" si="70"/>
        <v>32.367764604347961</v>
      </c>
      <c r="AG79" s="181">
        <f t="shared" ca="1" si="71"/>
        <v>32.367764604347961</v>
      </c>
      <c r="AH79" s="181">
        <f t="shared" ca="1" si="71"/>
        <v>32.367764604347961</v>
      </c>
      <c r="AI79" s="181">
        <f t="shared" ca="1" si="71"/>
        <v>32.367764604347961</v>
      </c>
      <c r="AJ79" s="181">
        <f t="shared" ca="1" si="72"/>
        <v>32.367764604347961</v>
      </c>
      <c r="AK79" s="181">
        <f t="shared" ca="1" si="72"/>
        <v>32.367764604347961</v>
      </c>
      <c r="AL79" s="181">
        <f t="shared" ca="1" si="72"/>
        <v>32.367764604347961</v>
      </c>
      <c r="AM79" s="1231"/>
      <c r="AN79" s="1231"/>
      <c r="AO79" s="1231"/>
      <c r="AP79" s="181"/>
      <c r="AQ79" s="181"/>
      <c r="AR79" s="181"/>
      <c r="AS79" s="181"/>
      <c r="AT79" s="11"/>
      <c r="AU79" s="6"/>
      <c r="AV79" s="6"/>
      <c r="AW79" s="6"/>
      <c r="AX79" s="6"/>
      <c r="AY79" s="6"/>
      <c r="AZ79" s="6"/>
      <c r="BA79" s="38"/>
      <c r="BB79" s="38"/>
      <c r="BC79" s="6"/>
      <c r="BD79" s="6"/>
      <c r="BE79" s="6"/>
      <c r="BF79" s="6"/>
      <c r="BG79" s="6"/>
      <c r="BH79" s="6"/>
      <c r="BI79" s="6"/>
      <c r="BJ79" s="6"/>
      <c r="BK79" s="6"/>
      <c r="BL79" s="6"/>
      <c r="BM79" s="6"/>
      <c r="BN79" s="6"/>
      <c r="BO79" s="6"/>
      <c r="BP79" s="6"/>
      <c r="BQ79" s="6"/>
      <c r="BR79" s="6"/>
      <c r="BS79" s="6"/>
    </row>
    <row r="80" spans="1:71">
      <c r="A80" s="490" t="s">
        <v>67</v>
      </c>
      <c r="B80" s="6"/>
      <c r="C80" s="6"/>
      <c r="D80" s="6"/>
      <c r="E80" s="6"/>
      <c r="F80" s="6"/>
      <c r="G80" s="6"/>
      <c r="H80" s="6"/>
      <c r="I80" s="6"/>
      <c r="J80" s="6"/>
      <c r="K80" s="6"/>
      <c r="L80" s="6"/>
      <c r="M80" s="6"/>
      <c r="N80" s="51"/>
      <c r="O80" s="491">
        <f>AL61*(1+O76)</f>
        <v>3.8439538158428803</v>
      </c>
      <c r="P80" s="491">
        <f t="shared" si="67"/>
        <v>3.8439538158428803</v>
      </c>
      <c r="Q80" s="491">
        <f t="shared" si="67"/>
        <v>3.8439538158428803</v>
      </c>
      <c r="R80" s="491">
        <f t="shared" si="67"/>
        <v>3.8439538158428803</v>
      </c>
      <c r="S80" s="491">
        <f t="shared" si="67"/>
        <v>3.8439538158428803</v>
      </c>
      <c r="T80" s="491">
        <f t="shared" si="67"/>
        <v>3.8439538158428803</v>
      </c>
      <c r="U80" s="491">
        <f t="shared" si="67"/>
        <v>3.8439538158428803</v>
      </c>
      <c r="V80" s="491">
        <f t="shared" si="67"/>
        <v>3.8439538158428803</v>
      </c>
      <c r="W80" s="491">
        <f t="shared" si="67"/>
        <v>3.8439538158428803</v>
      </c>
      <c r="X80" s="491">
        <f t="shared" si="67"/>
        <v>3.8439538158428803</v>
      </c>
      <c r="Y80" s="537">
        <f t="shared" si="67"/>
        <v>3.8439538158428803</v>
      </c>
      <c r="Z80" s="537">
        <f t="shared" si="68"/>
        <v>3.8439538158428803</v>
      </c>
      <c r="AA80" s="537">
        <f t="shared" si="68"/>
        <v>3.8439538158428803</v>
      </c>
      <c r="AB80" s="537">
        <f t="shared" si="69"/>
        <v>3.8439538158428803</v>
      </c>
      <c r="AC80" s="537">
        <f t="shared" si="69"/>
        <v>3.8439538158428803</v>
      </c>
      <c r="AD80" s="537">
        <f t="shared" si="70"/>
        <v>3.8439538158428803</v>
      </c>
      <c r="AE80" s="537">
        <f t="shared" si="70"/>
        <v>3.8439538158428803</v>
      </c>
      <c r="AF80" s="537">
        <f t="shared" si="70"/>
        <v>3.8439538158428803</v>
      </c>
      <c r="AG80" s="537">
        <f t="shared" si="71"/>
        <v>3.8439538158428803</v>
      </c>
      <c r="AH80" s="537">
        <f t="shared" si="71"/>
        <v>3.8439538158428803</v>
      </c>
      <c r="AI80" s="537">
        <f t="shared" si="71"/>
        <v>3.8439538158428803</v>
      </c>
      <c r="AJ80" s="537">
        <f t="shared" si="72"/>
        <v>3.8439538158428803</v>
      </c>
      <c r="AK80" s="537">
        <f t="shared" si="72"/>
        <v>3.8439538158428803</v>
      </c>
      <c r="AL80" s="537">
        <f t="shared" si="72"/>
        <v>3.8439538158428803</v>
      </c>
      <c r="AM80" s="1232"/>
      <c r="AN80" s="1232"/>
      <c r="AO80" s="1232"/>
      <c r="AP80" s="537"/>
      <c r="AQ80" s="537"/>
      <c r="AR80" s="537"/>
      <c r="AS80" s="537"/>
      <c r="AT80" s="11"/>
      <c r="AU80" s="6"/>
      <c r="AV80" s="6"/>
      <c r="AW80" s="6"/>
      <c r="AX80" s="6"/>
      <c r="AY80" s="6"/>
      <c r="AZ80" s="6"/>
      <c r="BA80" s="38"/>
      <c r="BB80" s="38"/>
      <c r="BC80" s="6"/>
      <c r="BD80" s="6"/>
      <c r="BE80" s="6"/>
      <c r="BF80" s="6"/>
      <c r="BG80" s="6"/>
      <c r="BH80" s="6"/>
      <c r="BI80" s="6"/>
      <c r="BJ80" s="6"/>
      <c r="BK80" s="6"/>
      <c r="BL80" s="6"/>
      <c r="BM80" s="6"/>
      <c r="BN80" s="6"/>
      <c r="BO80" s="6"/>
      <c r="BP80" s="6"/>
      <c r="BQ80" s="6"/>
      <c r="BR80" s="6"/>
      <c r="BS80" s="6"/>
    </row>
    <row r="81" spans="1:71">
      <c r="A81" s="295" t="s">
        <v>56</v>
      </c>
      <c r="B81" s="6"/>
      <c r="C81" s="6"/>
      <c r="D81" s="6"/>
      <c r="E81" s="6"/>
      <c r="F81" s="6"/>
      <c r="G81" s="6"/>
      <c r="H81" s="6"/>
      <c r="I81" s="6"/>
      <c r="J81" s="6"/>
      <c r="K81" s="6"/>
      <c r="L81" s="6"/>
      <c r="M81" s="6"/>
      <c r="N81" s="6"/>
      <c r="O81" s="489">
        <f ca="1">+O78-O79-O80</f>
        <v>99.750356950525557</v>
      </c>
      <c r="P81" s="489">
        <f t="shared" ref="P81:AD81" ca="1" si="73">+P78-P79-P80</f>
        <v>99.750356950525557</v>
      </c>
      <c r="Q81" s="489">
        <f t="shared" ca="1" si="73"/>
        <v>99.750356950525557</v>
      </c>
      <c r="R81" s="489">
        <f t="shared" ca="1" si="73"/>
        <v>99.750356950525557</v>
      </c>
      <c r="S81" s="489">
        <f t="shared" ca="1" si="73"/>
        <v>99.750356950525557</v>
      </c>
      <c r="T81" s="489">
        <f t="shared" ca="1" si="73"/>
        <v>99.750356950525557</v>
      </c>
      <c r="U81" s="489">
        <f t="shared" ca="1" si="73"/>
        <v>99.750356950525557</v>
      </c>
      <c r="V81" s="489">
        <f t="shared" ca="1" si="73"/>
        <v>99.750356950525557</v>
      </c>
      <c r="W81" s="489">
        <f t="shared" ca="1" si="73"/>
        <v>99.750356950525557</v>
      </c>
      <c r="X81" s="489">
        <f t="shared" ca="1" si="73"/>
        <v>99.750356950525557</v>
      </c>
      <c r="Y81" s="181">
        <f t="shared" ca="1" si="73"/>
        <v>99.750356950525557</v>
      </c>
      <c r="Z81" s="181">
        <f t="shared" ca="1" si="73"/>
        <v>99.750356950525557</v>
      </c>
      <c r="AA81" s="181">
        <f t="shared" ca="1" si="73"/>
        <v>99.750356950525557</v>
      </c>
      <c r="AB81" s="181">
        <f t="shared" ca="1" si="73"/>
        <v>99.750356950525557</v>
      </c>
      <c r="AC81" s="181">
        <f t="shared" ca="1" si="73"/>
        <v>99.750356950525557</v>
      </c>
      <c r="AD81" s="181">
        <f t="shared" ca="1" si="73"/>
        <v>99.750356950525557</v>
      </c>
      <c r="AE81" s="181">
        <f t="shared" ref="AE81:AJ81" ca="1" si="74">+AE78-AE79-AE80</f>
        <v>99.750356950525557</v>
      </c>
      <c r="AF81" s="181">
        <f t="shared" ca="1" si="74"/>
        <v>99.750356950525557</v>
      </c>
      <c r="AG81" s="181">
        <f t="shared" ca="1" si="74"/>
        <v>99.750356950525557</v>
      </c>
      <c r="AH81" s="181">
        <f t="shared" ca="1" si="74"/>
        <v>99.750356950525557</v>
      </c>
      <c r="AI81" s="181">
        <f t="shared" ca="1" si="74"/>
        <v>99.750356950525557</v>
      </c>
      <c r="AJ81" s="181">
        <f t="shared" ca="1" si="74"/>
        <v>99.750356950525557</v>
      </c>
      <c r="AK81" s="181">
        <f ca="1">+AK78-AK79-AK80</f>
        <v>99.750356950525557</v>
      </c>
      <c r="AL81" s="181">
        <f ca="1">+AL78-AL79-AL80</f>
        <v>99.750356950525557</v>
      </c>
      <c r="AM81" s="1231"/>
      <c r="AN81" s="1231"/>
      <c r="AO81" s="1231"/>
      <c r="AP81" s="181"/>
      <c r="AQ81" s="181"/>
      <c r="AR81" s="181"/>
      <c r="AS81" s="181"/>
      <c r="AT81" s="11"/>
      <c r="AU81" s="6"/>
      <c r="AV81" s="6"/>
      <c r="AW81" s="6"/>
      <c r="AX81" s="6"/>
      <c r="AY81" s="6"/>
      <c r="AZ81" s="6"/>
      <c r="BA81" s="38"/>
      <c r="BB81" s="38"/>
      <c r="BC81" s="6"/>
      <c r="BD81" s="6"/>
      <c r="BE81" s="6"/>
      <c r="BF81" s="6"/>
      <c r="BG81" s="6"/>
      <c r="BH81" s="6"/>
      <c r="BI81" s="6"/>
      <c r="BJ81" s="6"/>
      <c r="BK81" s="6"/>
      <c r="BL81" s="6"/>
      <c r="BM81" s="6"/>
      <c r="BN81" s="6"/>
      <c r="BO81" s="6"/>
      <c r="BP81" s="6"/>
      <c r="BQ81" s="6"/>
      <c r="BR81" s="6"/>
      <c r="BS81" s="6"/>
    </row>
    <row r="82" spans="1:71">
      <c r="A82" s="490" t="s">
        <v>57</v>
      </c>
      <c r="B82" s="6"/>
      <c r="C82" s="6"/>
      <c r="D82" s="6"/>
      <c r="E82" s="6"/>
      <c r="F82" s="6"/>
      <c r="G82" s="6"/>
      <c r="H82" s="6"/>
      <c r="I82" s="6"/>
      <c r="J82" s="6"/>
      <c r="K82" s="6"/>
      <c r="L82" s="6"/>
      <c r="M82" s="6"/>
      <c r="N82" s="6"/>
      <c r="O82" s="489">
        <f ca="1">1/(O75-O76)</f>
        <v>16.528782274222632</v>
      </c>
      <c r="P82" s="489">
        <f t="shared" ref="P82:Y82" ca="1" si="75">1/(P75-P76)</f>
        <v>16.528782274222632</v>
      </c>
      <c r="Q82" s="489">
        <f t="shared" ca="1" si="75"/>
        <v>16.528782274222632</v>
      </c>
      <c r="R82" s="489">
        <f t="shared" ca="1" si="75"/>
        <v>16.528782274222632</v>
      </c>
      <c r="S82" s="489">
        <f t="shared" ca="1" si="75"/>
        <v>16.528782274222632</v>
      </c>
      <c r="T82" s="489">
        <f t="shared" ca="1" si="75"/>
        <v>16.528782274222632</v>
      </c>
      <c r="U82" s="489">
        <f t="shared" ca="1" si="75"/>
        <v>16.528782274222632</v>
      </c>
      <c r="V82" s="489">
        <f t="shared" ca="1" si="75"/>
        <v>16.528782274222632</v>
      </c>
      <c r="W82" s="489">
        <f t="shared" ca="1" si="75"/>
        <v>16.528782274222632</v>
      </c>
      <c r="X82" s="489">
        <f t="shared" ca="1" si="75"/>
        <v>16.528782274222632</v>
      </c>
      <c r="Y82" s="181">
        <f t="shared" ca="1" si="75"/>
        <v>16.528782274222632</v>
      </c>
      <c r="Z82" s="181">
        <f t="shared" ref="Z82:AF82" ca="1" si="76">1/(Z75-Z76)</f>
        <v>16.528782274222632</v>
      </c>
      <c r="AA82" s="181">
        <f t="shared" ca="1" si="76"/>
        <v>16.528782274222632</v>
      </c>
      <c r="AB82" s="181">
        <f t="shared" ca="1" si="76"/>
        <v>16.528782274222632</v>
      </c>
      <c r="AC82" s="181">
        <f t="shared" ca="1" si="76"/>
        <v>16.528782274222632</v>
      </c>
      <c r="AD82" s="181">
        <f t="shared" ca="1" si="76"/>
        <v>16.528782274222632</v>
      </c>
      <c r="AE82" s="181">
        <f t="shared" ca="1" si="76"/>
        <v>16.528782274222632</v>
      </c>
      <c r="AF82" s="181">
        <f t="shared" ca="1" si="76"/>
        <v>16.528782274222632</v>
      </c>
      <c r="AG82" s="181">
        <f t="shared" ref="AG82:AL82" ca="1" si="77">1/(AG75-AG76)</f>
        <v>16.528782274222632</v>
      </c>
      <c r="AH82" s="181">
        <f t="shared" ca="1" si="77"/>
        <v>16.528782274222632</v>
      </c>
      <c r="AI82" s="181">
        <f t="shared" ca="1" si="77"/>
        <v>16.528782274222632</v>
      </c>
      <c r="AJ82" s="181">
        <f t="shared" ca="1" si="77"/>
        <v>16.528782274222632</v>
      </c>
      <c r="AK82" s="181">
        <f t="shared" ca="1" si="77"/>
        <v>16.528782274222632</v>
      </c>
      <c r="AL82" s="181">
        <f t="shared" ca="1" si="77"/>
        <v>16.528782274222632</v>
      </c>
      <c r="AM82" s="1231"/>
      <c r="AN82" s="1231"/>
      <c r="AO82" s="1231"/>
      <c r="AP82" s="181"/>
      <c r="AQ82" s="181"/>
      <c r="AR82" s="181"/>
      <c r="AS82" s="181"/>
      <c r="AT82" s="11"/>
      <c r="AU82" s="6"/>
      <c r="AV82" s="6"/>
      <c r="AW82" s="6"/>
      <c r="AX82" s="6"/>
      <c r="AY82" s="6"/>
      <c r="AZ82" s="6"/>
      <c r="BA82" s="38"/>
      <c r="BB82" s="38"/>
      <c r="BC82" s="6"/>
      <c r="BD82" s="6"/>
      <c r="BE82" s="6"/>
      <c r="BF82" s="6"/>
      <c r="BG82" s="6"/>
      <c r="BH82" s="6"/>
      <c r="BI82" s="6"/>
      <c r="BJ82" s="6"/>
      <c r="BK82" s="6"/>
      <c r="BL82" s="6"/>
      <c r="BM82" s="6"/>
      <c r="BN82" s="6"/>
      <c r="BO82" s="6"/>
      <c r="BP82" s="6"/>
      <c r="BQ82" s="6"/>
      <c r="BR82" s="6"/>
      <c r="BS82" s="6"/>
    </row>
    <row r="83" spans="1:71">
      <c r="A83" s="490" t="s">
        <v>58</v>
      </c>
      <c r="B83" s="6"/>
      <c r="C83" s="6"/>
      <c r="D83" s="6"/>
      <c r="E83" s="6"/>
      <c r="F83" s="6"/>
      <c r="G83" s="6"/>
      <c r="H83" s="6"/>
      <c r="I83" s="6"/>
      <c r="J83" s="6"/>
      <c r="K83" s="6"/>
      <c r="L83" s="6"/>
      <c r="M83" s="6"/>
      <c r="N83" s="6"/>
      <c r="O83" s="489">
        <f ca="1">+O84/O78</f>
        <v>12.126557551550411</v>
      </c>
      <c r="P83" s="489">
        <f t="shared" ref="P83:Y83" ca="1" si="78">+P84/P78</f>
        <v>12.126557551550411</v>
      </c>
      <c r="Q83" s="489">
        <f t="shared" ca="1" si="78"/>
        <v>12.126557551550411</v>
      </c>
      <c r="R83" s="489">
        <f t="shared" ca="1" si="78"/>
        <v>12.126557551550411</v>
      </c>
      <c r="S83" s="489">
        <f t="shared" ca="1" si="78"/>
        <v>12.126557551550411</v>
      </c>
      <c r="T83" s="489">
        <f t="shared" ca="1" si="78"/>
        <v>12.126557551550411</v>
      </c>
      <c r="U83" s="489">
        <f t="shared" ca="1" si="78"/>
        <v>12.126557551550411</v>
      </c>
      <c r="V83" s="489">
        <f t="shared" ca="1" si="78"/>
        <v>12.126557551550411</v>
      </c>
      <c r="W83" s="489">
        <f t="shared" ca="1" si="78"/>
        <v>12.126557551550411</v>
      </c>
      <c r="X83" s="489">
        <f t="shared" ca="1" si="78"/>
        <v>12.126557551550411</v>
      </c>
      <c r="Y83" s="181">
        <f t="shared" ca="1" si="78"/>
        <v>12.126557551550411</v>
      </c>
      <c r="Z83" s="181">
        <f t="shared" ref="Z83:AF83" ca="1" si="79">+Z84/Z78</f>
        <v>12.126557551550411</v>
      </c>
      <c r="AA83" s="181">
        <f t="shared" ca="1" si="79"/>
        <v>12.126557551550411</v>
      </c>
      <c r="AB83" s="181">
        <f t="shared" ca="1" si="79"/>
        <v>12.126557551550411</v>
      </c>
      <c r="AC83" s="181">
        <f t="shared" ca="1" si="79"/>
        <v>12.126557551550411</v>
      </c>
      <c r="AD83" s="181">
        <f t="shared" ca="1" si="79"/>
        <v>12.126557551550411</v>
      </c>
      <c r="AE83" s="181">
        <f t="shared" ca="1" si="79"/>
        <v>12.126557551550411</v>
      </c>
      <c r="AF83" s="181">
        <f t="shared" ca="1" si="79"/>
        <v>12.126557551550411</v>
      </c>
      <c r="AG83" s="181">
        <f t="shared" ref="AG83:AL83" ca="1" si="80">+AG84/AG78</f>
        <v>12.126557551550411</v>
      </c>
      <c r="AH83" s="181">
        <f t="shared" ca="1" si="80"/>
        <v>12.126557551550411</v>
      </c>
      <c r="AI83" s="181">
        <f t="shared" ca="1" si="80"/>
        <v>12.126557551550411</v>
      </c>
      <c r="AJ83" s="181">
        <f t="shared" ca="1" si="80"/>
        <v>12.126557551550411</v>
      </c>
      <c r="AK83" s="181">
        <f t="shared" ca="1" si="80"/>
        <v>12.126557551550411</v>
      </c>
      <c r="AL83" s="181">
        <f t="shared" ca="1" si="80"/>
        <v>12.126557551550411</v>
      </c>
      <c r="AM83" s="1231"/>
      <c r="AN83" s="1231"/>
      <c r="AO83" s="1231"/>
      <c r="AP83" s="181"/>
      <c r="AQ83" s="181"/>
      <c r="AR83" s="181"/>
      <c r="AS83" s="181"/>
      <c r="AT83" s="11"/>
      <c r="AU83" s="6"/>
      <c r="AV83" s="6"/>
      <c r="AW83" s="6"/>
      <c r="AX83" s="6"/>
      <c r="AY83" s="6"/>
      <c r="AZ83" s="6"/>
      <c r="BA83" s="38"/>
      <c r="BB83" s="38"/>
      <c r="BC83" s="6"/>
      <c r="BD83" s="6"/>
      <c r="BE83" s="6"/>
      <c r="BF83" s="6"/>
      <c r="BG83" s="6"/>
      <c r="BH83" s="6"/>
      <c r="BI83" s="6"/>
      <c r="BJ83" s="6"/>
      <c r="BK83" s="6"/>
      <c r="BL83" s="6"/>
      <c r="BM83" s="6"/>
      <c r="BN83" s="6"/>
      <c r="BO83" s="6"/>
      <c r="BP83" s="6"/>
      <c r="BQ83" s="6"/>
      <c r="BR83" s="6"/>
      <c r="BS83" s="6"/>
    </row>
    <row r="84" spans="1:71">
      <c r="A84" s="295" t="s">
        <v>59</v>
      </c>
      <c r="B84" s="6"/>
      <c r="C84" s="6"/>
      <c r="D84" s="6"/>
      <c r="E84" s="6"/>
      <c r="F84" s="6"/>
      <c r="G84" s="6"/>
      <c r="H84" s="6"/>
      <c r="I84" s="6"/>
      <c r="J84" s="6"/>
      <c r="K84" s="6"/>
      <c r="L84" s="6"/>
      <c r="M84" s="6"/>
      <c r="N84" s="6"/>
      <c r="O84" s="489">
        <f ca="1">O82*O81</f>
        <v>1648.7519318112272</v>
      </c>
      <c r="P84" s="489">
        <f t="shared" ref="P84:Y84" ca="1" si="81">P82*P81</f>
        <v>1648.7519318112272</v>
      </c>
      <c r="Q84" s="489">
        <f t="shared" ca="1" si="81"/>
        <v>1648.7519318112272</v>
      </c>
      <c r="R84" s="489">
        <f t="shared" ca="1" si="81"/>
        <v>1648.7519318112272</v>
      </c>
      <c r="S84" s="489">
        <f t="shared" ca="1" si="81"/>
        <v>1648.7519318112272</v>
      </c>
      <c r="T84" s="489">
        <f t="shared" ca="1" si="81"/>
        <v>1648.7519318112272</v>
      </c>
      <c r="U84" s="489">
        <f t="shared" ca="1" si="81"/>
        <v>1648.7519318112272</v>
      </c>
      <c r="V84" s="489">
        <f t="shared" ca="1" si="81"/>
        <v>1648.7519318112272</v>
      </c>
      <c r="W84" s="489">
        <f t="shared" ca="1" si="81"/>
        <v>1648.7519318112272</v>
      </c>
      <c r="X84" s="489">
        <f t="shared" ca="1" si="81"/>
        <v>1648.7519318112272</v>
      </c>
      <c r="Y84" s="181">
        <f t="shared" ca="1" si="81"/>
        <v>1648.7519318112272</v>
      </c>
      <c r="Z84" s="181">
        <f t="shared" ref="Z84:AF84" ca="1" si="82">Z82*Z81</f>
        <v>1648.7519318112272</v>
      </c>
      <c r="AA84" s="181">
        <f t="shared" ca="1" si="82"/>
        <v>1648.7519318112272</v>
      </c>
      <c r="AB84" s="181">
        <f t="shared" ca="1" si="82"/>
        <v>1648.7519318112272</v>
      </c>
      <c r="AC84" s="181">
        <f t="shared" ca="1" si="82"/>
        <v>1648.7519318112272</v>
      </c>
      <c r="AD84" s="181">
        <f t="shared" ca="1" si="82"/>
        <v>1648.7519318112272</v>
      </c>
      <c r="AE84" s="181">
        <f t="shared" ca="1" si="82"/>
        <v>1648.7519318112272</v>
      </c>
      <c r="AF84" s="181">
        <f t="shared" ca="1" si="82"/>
        <v>1648.7519318112272</v>
      </c>
      <c r="AG84" s="181">
        <f t="shared" ref="AG84:AL84" ca="1" si="83">AG82*AG81</f>
        <v>1648.7519318112272</v>
      </c>
      <c r="AH84" s="181">
        <f t="shared" ca="1" si="83"/>
        <v>1648.7519318112272</v>
      </c>
      <c r="AI84" s="181">
        <f t="shared" ca="1" si="83"/>
        <v>1648.7519318112272</v>
      </c>
      <c r="AJ84" s="181">
        <f t="shared" ca="1" si="83"/>
        <v>1648.7519318112272</v>
      </c>
      <c r="AK84" s="181">
        <f t="shared" ca="1" si="83"/>
        <v>1648.7519318112272</v>
      </c>
      <c r="AL84" s="181">
        <f t="shared" ca="1" si="83"/>
        <v>1648.7519318112272</v>
      </c>
      <c r="AM84" s="1231"/>
      <c r="AN84" s="1231"/>
      <c r="AO84" s="1231"/>
      <c r="AP84" s="181"/>
      <c r="AQ84" s="181"/>
      <c r="AR84" s="181"/>
      <c r="AS84" s="181"/>
      <c r="AT84" s="11"/>
      <c r="AU84" s="6"/>
      <c r="AV84" s="6"/>
      <c r="AW84" s="6"/>
      <c r="AX84" s="6"/>
      <c r="AY84" s="6"/>
      <c r="AZ84" s="6"/>
      <c r="BA84" s="38"/>
      <c r="BB84" s="38"/>
      <c r="BC84" s="6"/>
      <c r="BD84" s="6"/>
      <c r="BE84" s="6"/>
      <c r="BF84" s="6"/>
      <c r="BG84" s="6"/>
      <c r="BH84" s="6"/>
      <c r="BI84" s="6"/>
      <c r="BJ84" s="6"/>
      <c r="BK84" s="6"/>
      <c r="BL84" s="6"/>
      <c r="BM84" s="6"/>
      <c r="BN84" s="6"/>
      <c r="BO84" s="6"/>
      <c r="BP84" s="6"/>
      <c r="BQ84" s="6"/>
      <c r="BR84" s="6"/>
      <c r="BS84" s="6"/>
    </row>
    <row r="85" spans="1:71">
      <c r="A85" s="295" t="s">
        <v>60</v>
      </c>
      <c r="B85" s="6"/>
      <c r="C85" s="6"/>
      <c r="D85" s="6"/>
      <c r="E85" s="6"/>
      <c r="F85" s="6"/>
      <c r="G85" s="6"/>
      <c r="H85" s="6"/>
      <c r="I85" s="6"/>
      <c r="J85" s="6"/>
      <c r="K85" s="6"/>
      <c r="L85" s="6"/>
      <c r="M85" s="6"/>
      <c r="N85" s="6"/>
      <c r="O85" s="489">
        <f ca="1">O84/((1+O75)^O91)</f>
        <v>277.83101713515839</v>
      </c>
      <c r="P85" s="489">
        <f t="shared" ref="P85:AD85" ca="1" si="84">P84/((1+P75)^P91)</f>
        <v>300.19655978839671</v>
      </c>
      <c r="Q85" s="489">
        <f t="shared" ca="1" si="84"/>
        <v>324.36254036009279</v>
      </c>
      <c r="R85" s="489">
        <f t="shared" ca="1" si="84"/>
        <v>350.47389504734582</v>
      </c>
      <c r="S85" s="489">
        <f t="shared" ca="1" si="84"/>
        <v>378.68722748716738</v>
      </c>
      <c r="T85" s="489">
        <f t="shared" ca="1" si="84"/>
        <v>409.17174799151616</v>
      </c>
      <c r="U85" s="489">
        <f t="shared" ca="1" si="84"/>
        <v>442.1102883912456</v>
      </c>
      <c r="V85" s="489">
        <f t="shared" ca="1" si="84"/>
        <v>477.70039857552206</v>
      </c>
      <c r="W85" s="489">
        <f t="shared" ca="1" si="84"/>
        <v>516.15553130324156</v>
      </c>
      <c r="X85" s="489">
        <f t="shared" ca="1" si="84"/>
        <v>557.70632239238626</v>
      </c>
      <c r="Y85" s="181">
        <f t="shared" ca="1" si="84"/>
        <v>602.60197396529736</v>
      </c>
      <c r="Z85" s="181">
        <f t="shared" ca="1" si="84"/>
        <v>651.11174904591758</v>
      </c>
      <c r="AA85" s="181">
        <f t="shared" ca="1" si="84"/>
        <v>703.52658647289491</v>
      </c>
      <c r="AB85" s="181">
        <f t="shared" ca="1" si="84"/>
        <v>760.16084581404004</v>
      </c>
      <c r="AC85" s="181">
        <f t="shared" ca="1" si="84"/>
        <v>821.35419274731225</v>
      </c>
      <c r="AD85" s="181">
        <f t="shared" ca="1" si="84"/>
        <v>887.47363621596401</v>
      </c>
      <c r="AE85" s="181">
        <f t="shared" ref="AE85:AJ85" ca="1" si="85">AE84/((1+AE75)^AE91)</f>
        <v>958.91572957574431</v>
      </c>
      <c r="AF85" s="181">
        <f t="shared" ca="1" si="85"/>
        <v>1036.1089489356048</v>
      </c>
      <c r="AG85" s="181">
        <f t="shared" ca="1" si="85"/>
        <v>1119.5162629560837</v>
      </c>
      <c r="AH85" s="181">
        <f t="shared" ca="1" si="85"/>
        <v>1209.6379095178049</v>
      </c>
      <c r="AI85" s="181">
        <f t="shared" ca="1" si="85"/>
        <v>1307.0143959132504</v>
      </c>
      <c r="AJ85" s="181">
        <f t="shared" ca="1" si="85"/>
        <v>1412.2297405555428</v>
      </c>
      <c r="AK85" s="181">
        <f ca="1">AK84/((1+AK75)^AK91)</f>
        <v>1525.9149756464872</v>
      </c>
      <c r="AL85" s="181">
        <f ca="1">AL84/((1+AL75)^AL91)</f>
        <v>1648.7519318112272</v>
      </c>
      <c r="AM85" s="1231"/>
      <c r="AN85" s="1231"/>
      <c r="AO85" s="1231"/>
      <c r="AP85" s="181"/>
      <c r="AQ85" s="181"/>
      <c r="AR85" s="181"/>
      <c r="AS85" s="181"/>
      <c r="AT85" s="11"/>
      <c r="AU85" s="6"/>
      <c r="AV85" s="6"/>
      <c r="AW85" s="6"/>
      <c r="AX85" s="6"/>
      <c r="AY85" s="6"/>
      <c r="AZ85" s="6"/>
      <c r="BA85" s="38"/>
      <c r="BB85" s="38"/>
      <c r="BC85" s="6"/>
      <c r="BD85" s="6"/>
      <c r="BE85" s="6"/>
      <c r="BF85" s="6"/>
      <c r="BG85" s="6"/>
      <c r="BH85" s="6"/>
      <c r="BI85" s="6"/>
      <c r="BJ85" s="6"/>
      <c r="BK85" s="6"/>
      <c r="BL85" s="6"/>
      <c r="BM85" s="6"/>
      <c r="BN85" s="6"/>
      <c r="BO85" s="6"/>
      <c r="BP85" s="6"/>
      <c r="BQ85" s="6"/>
      <c r="BR85" s="6"/>
      <c r="BS85" s="6"/>
    </row>
    <row r="86" spans="1:71">
      <c r="A86" s="295" t="s">
        <v>63</v>
      </c>
      <c r="B86" s="6"/>
      <c r="C86" s="6"/>
      <c r="D86" s="6"/>
      <c r="E86" s="6"/>
      <c r="F86" s="6"/>
      <c r="G86" s="6"/>
      <c r="H86" s="6"/>
      <c r="I86" s="6"/>
      <c r="J86" s="6"/>
      <c r="K86" s="6"/>
      <c r="L86" s="6"/>
      <c r="M86" s="6"/>
      <c r="N86" s="6"/>
      <c r="O86" s="172">
        <f ca="1">NPV(O75,P66:$AL66)</f>
        <v>945.87201558574566</v>
      </c>
      <c r="P86" s="172">
        <f ca="1">NPV(P75,Q66:$AL66)</f>
        <v>917.96613298829698</v>
      </c>
      <c r="Q86" s="172">
        <f ca="1">NPV(Q75,R66:$AL66)</f>
        <v>910.77023096373443</v>
      </c>
      <c r="R86" s="172">
        <f ca="1">NPV(R75,S66:$AL66)</f>
        <v>926.57415821012899</v>
      </c>
      <c r="S86" s="172">
        <f ca="1">NPV(S75,T66:$AL66)</f>
        <v>957.54002642209787</v>
      </c>
      <c r="T86" s="172">
        <f ca="1">NPV(T75,U66:$AL66)</f>
        <v>937.50207197267457</v>
      </c>
      <c r="U86" s="172">
        <f ca="1">NPV(U75,V66:$AL66)</f>
        <v>914.91511070034676</v>
      </c>
      <c r="V86" s="172">
        <f ca="1">NPV(V75,W66:$AL66)</f>
        <v>890.39749768873071</v>
      </c>
      <c r="W86" s="172">
        <f ca="1">NPV(W75,X66:$AL66)</f>
        <v>904.80668356275078</v>
      </c>
      <c r="X86" s="172">
        <f ca="1">NPV(X75,Y66:$AL66)</f>
        <v>878.44829603085168</v>
      </c>
      <c r="Y86" s="172">
        <f ca="1">NPV(Y75,Z66:$AL66)</f>
        <v>842.91294269408922</v>
      </c>
      <c r="Z86" s="172">
        <f ca="1">NPV(Z75,AA66:$AL66)</f>
        <v>797.15566577773598</v>
      </c>
      <c r="AA86" s="172">
        <f ca="1">NPV(AA75,AB66:$AL66)</f>
        <v>758.48686433013722</v>
      </c>
      <c r="AB86" s="172">
        <f ca="1">NPV(AB75,AC66:$AL66)</f>
        <v>705.41066202756667</v>
      </c>
      <c r="AC86" s="172">
        <f ca="1">NPV(AC75,AD66:$AL66)</f>
        <v>650.14167926813127</v>
      </c>
      <c r="AD86" s="172">
        <f ca="1">NPV(AD75,AE66:$AL66)</f>
        <v>592.41499648771958</v>
      </c>
      <c r="AE86" s="172">
        <f ca="1">NPV(AE75,AF66:$AL66)</f>
        <v>532.04355438482435</v>
      </c>
      <c r="AF86" s="172">
        <f ca="1">NPV(AF75,AG66:$AL66)</f>
        <v>468.61161256879865</v>
      </c>
      <c r="AG86" s="172">
        <f ca="1">NPV(AG75,AH66:$AL66)</f>
        <v>401.67012281822741</v>
      </c>
      <c r="AH86" s="172">
        <f ca="1">NPV(AH75,AI66:$AL66)</f>
        <v>330.73456367382272</v>
      </c>
      <c r="AI86" s="172">
        <f ca="1">NPV(AI75,AJ66:$AL66)</f>
        <v>255.47294395670775</v>
      </c>
      <c r="AJ86" s="172">
        <f ca="1">NPV(AJ75,AK66:$AL66)</f>
        <v>175.52668649948075</v>
      </c>
      <c r="AK86" s="172">
        <f ca="1">NPV(AK75,AL66:$AL66)</f>
        <v>90.5084869135395</v>
      </c>
      <c r="AL86" s="771">
        <v>0</v>
      </c>
      <c r="AM86" s="1399"/>
      <c r="AN86" s="1233"/>
      <c r="AO86" s="1233"/>
      <c r="AP86" s="771"/>
      <c r="AQ86" s="771"/>
      <c r="AR86" s="771"/>
      <c r="AS86" s="771"/>
      <c r="AT86" s="11"/>
      <c r="AU86" s="6"/>
      <c r="AV86" s="6"/>
      <c r="AW86" s="6"/>
      <c r="AX86" s="6"/>
      <c r="AY86" s="6"/>
      <c r="AZ86" s="6"/>
      <c r="BA86" s="38"/>
      <c r="BB86" s="38"/>
      <c r="BC86" s="6"/>
      <c r="BD86" s="6"/>
      <c r="BE86" s="6"/>
      <c r="BF86" s="6"/>
      <c r="BG86" s="6"/>
      <c r="BH86" s="6"/>
      <c r="BI86" s="6"/>
      <c r="BJ86" s="6"/>
      <c r="BK86" s="6"/>
      <c r="BL86" s="6"/>
      <c r="BM86" s="6"/>
      <c r="BN86" s="6"/>
      <c r="BO86" s="6"/>
      <c r="BP86" s="6"/>
      <c r="BQ86" s="6"/>
      <c r="BR86" s="6"/>
      <c r="BS86" s="6"/>
    </row>
    <row r="87" spans="1:71">
      <c r="A87" s="295"/>
      <c r="B87" s="6"/>
      <c r="C87" s="6"/>
      <c r="D87" s="6"/>
      <c r="E87" s="6"/>
      <c r="F87" s="6"/>
      <c r="G87" s="6"/>
      <c r="H87" s="6"/>
      <c r="I87" s="6"/>
      <c r="J87" s="6"/>
      <c r="K87" s="6"/>
      <c r="L87" s="6"/>
      <c r="M87" s="6"/>
      <c r="N87" s="6"/>
      <c r="O87" s="492"/>
      <c r="P87" s="492"/>
      <c r="Q87" s="492"/>
      <c r="R87" s="492"/>
      <c r="S87" s="492"/>
      <c r="T87" s="492"/>
      <c r="U87" s="492"/>
      <c r="V87" s="492"/>
      <c r="W87" s="492"/>
      <c r="X87" s="492"/>
      <c r="Y87" s="539"/>
      <c r="Z87" s="539"/>
      <c r="AA87" s="539"/>
      <c r="AB87" s="539"/>
      <c r="AC87" s="539"/>
      <c r="AD87" s="539"/>
      <c r="AE87" s="539"/>
      <c r="AF87" s="539"/>
      <c r="AG87" s="539"/>
      <c r="AH87" s="539"/>
      <c r="AI87" s="539"/>
      <c r="AJ87" s="539"/>
      <c r="AK87" s="539"/>
      <c r="AL87" s="539"/>
      <c r="AM87" s="539"/>
      <c r="AN87" s="1234"/>
      <c r="AO87" s="1234"/>
      <c r="AP87" s="539"/>
      <c r="AQ87" s="539"/>
      <c r="AR87" s="539"/>
      <c r="AS87" s="539"/>
      <c r="AT87" s="11"/>
      <c r="AU87" s="6"/>
      <c r="AV87" s="6"/>
      <c r="AW87" s="6"/>
      <c r="AX87" s="6"/>
      <c r="AY87" s="6"/>
      <c r="AZ87" s="6"/>
      <c r="BA87" s="38"/>
      <c r="BB87" s="38"/>
      <c r="BC87" s="6"/>
      <c r="BD87" s="6"/>
      <c r="BE87" s="6"/>
      <c r="BF87" s="6"/>
      <c r="BG87" s="6"/>
      <c r="BH87" s="6"/>
      <c r="BI87" s="6"/>
      <c r="BJ87" s="6"/>
      <c r="BK87" s="6"/>
      <c r="BL87" s="6"/>
      <c r="BM87" s="6"/>
      <c r="BN87" s="6"/>
      <c r="BO87" s="6"/>
      <c r="BP87" s="6"/>
      <c r="BQ87" s="6"/>
      <c r="BR87" s="6"/>
      <c r="BS87" s="6"/>
    </row>
    <row r="88" spans="1:71">
      <c r="A88" s="295" t="s">
        <v>64</v>
      </c>
      <c r="B88" s="6"/>
      <c r="C88" s="6"/>
      <c r="D88" s="6"/>
      <c r="E88" s="6"/>
      <c r="F88" s="6"/>
      <c r="G88" s="6"/>
      <c r="H88" s="6"/>
      <c r="I88" s="6"/>
      <c r="J88" s="6"/>
      <c r="K88" s="6"/>
      <c r="L88" s="6"/>
      <c r="M88" s="6"/>
      <c r="N88" s="6"/>
      <c r="O88" s="493">
        <f ca="1">O86+O85</f>
        <v>1223.703032720904</v>
      </c>
      <c r="P88" s="493">
        <f t="shared" ref="P88:Y88" ca="1" si="86">P86+P85</f>
        <v>1218.1626927766938</v>
      </c>
      <c r="Q88" s="493">
        <f t="shared" ca="1" si="86"/>
        <v>1235.1327713238272</v>
      </c>
      <c r="R88" s="493">
        <f t="shared" ca="1" si="86"/>
        <v>1277.0480532574747</v>
      </c>
      <c r="S88" s="493">
        <f t="shared" ca="1" si="86"/>
        <v>1336.2272539092653</v>
      </c>
      <c r="T88" s="493">
        <f t="shared" ca="1" si="86"/>
        <v>1346.6738199641907</v>
      </c>
      <c r="U88" s="493">
        <f t="shared" ca="1" si="86"/>
        <v>1357.0253990915924</v>
      </c>
      <c r="V88" s="493">
        <f t="shared" ca="1" si="86"/>
        <v>1368.0978962642528</v>
      </c>
      <c r="W88" s="493">
        <f t="shared" ca="1" si="86"/>
        <v>1420.9622148659923</v>
      </c>
      <c r="X88" s="493">
        <f t="shared" ca="1" si="86"/>
        <v>1436.1546184232379</v>
      </c>
      <c r="Y88" s="540">
        <f t="shared" ca="1" si="86"/>
        <v>1445.5149166593865</v>
      </c>
      <c r="Z88" s="540">
        <f t="shared" ref="Z88:AF88" ca="1" si="87">Z86+Z85</f>
        <v>1448.2674148236536</v>
      </c>
      <c r="AA88" s="540">
        <f t="shared" ca="1" si="87"/>
        <v>1462.0134508030321</v>
      </c>
      <c r="AB88" s="540">
        <f t="shared" ca="1" si="87"/>
        <v>1465.5715078416067</v>
      </c>
      <c r="AC88" s="540">
        <f t="shared" ca="1" si="87"/>
        <v>1471.4958720154436</v>
      </c>
      <c r="AD88" s="540">
        <f t="shared" ca="1" si="87"/>
        <v>1479.8886327036835</v>
      </c>
      <c r="AE88" s="540">
        <f ca="1">AE86+AE85</f>
        <v>1490.9592839605687</v>
      </c>
      <c r="AF88" s="540">
        <f t="shared" ca="1" si="87"/>
        <v>1504.7205615044033</v>
      </c>
      <c r="AG88" s="540">
        <f t="shared" ref="AG88:AL88" ca="1" si="88">AG86+AG85</f>
        <v>1521.186385774311</v>
      </c>
      <c r="AH88" s="540">
        <f t="shared" ca="1" si="88"/>
        <v>1540.3724731916277</v>
      </c>
      <c r="AI88" s="540">
        <f t="shared" ca="1" si="88"/>
        <v>1562.4873398699581</v>
      </c>
      <c r="AJ88" s="540">
        <f t="shared" ca="1" si="88"/>
        <v>1587.7564270550236</v>
      </c>
      <c r="AK88" s="540">
        <f t="shared" ca="1" si="88"/>
        <v>1616.4234625600266</v>
      </c>
      <c r="AL88" s="540">
        <f t="shared" ca="1" si="88"/>
        <v>1648.7519318112272</v>
      </c>
      <c r="AM88" s="540"/>
      <c r="AN88" s="1235"/>
      <c r="AO88" s="1235"/>
      <c r="AP88" s="540"/>
      <c r="AQ88" s="540"/>
      <c r="AR88" s="540"/>
      <c r="AS88" s="540"/>
      <c r="AT88" s="11"/>
      <c r="AU88" s="6"/>
      <c r="AV88" s="6"/>
      <c r="AW88" s="6"/>
      <c r="AX88" s="6"/>
      <c r="AY88" s="6"/>
      <c r="AZ88" s="6"/>
      <c r="BA88" s="38"/>
      <c r="BB88" s="38"/>
      <c r="BC88" s="6"/>
      <c r="BD88" s="6"/>
      <c r="BE88" s="6"/>
      <c r="BF88" s="6"/>
      <c r="BG88" s="6"/>
      <c r="BH88" s="6"/>
      <c r="BI88" s="6"/>
      <c r="BJ88" s="6"/>
      <c r="BK88" s="6"/>
      <c r="BL88" s="6"/>
      <c r="BM88" s="6"/>
      <c r="BN88" s="6"/>
      <c r="BO88" s="6"/>
      <c r="BP88" s="6"/>
      <c r="BQ88" s="6"/>
      <c r="BR88" s="6"/>
      <c r="BS88" s="6"/>
    </row>
    <row r="89" spans="1:71">
      <c r="A89" s="490" t="s">
        <v>72</v>
      </c>
      <c r="B89" s="6"/>
      <c r="C89" s="6"/>
      <c r="D89" s="6"/>
      <c r="E89" s="6"/>
      <c r="F89" s="6"/>
      <c r="G89" s="6"/>
      <c r="H89" s="6"/>
      <c r="I89" s="6"/>
      <c r="J89" s="6"/>
      <c r="K89" s="6"/>
      <c r="L89" s="6"/>
      <c r="M89" s="6"/>
      <c r="N89" s="6"/>
      <c r="O89" s="494">
        <f ca="1">O88/O51</f>
        <v>7.1764659084342766</v>
      </c>
      <c r="P89" s="494">
        <f t="shared" ref="P89:AD89" ca="1" si="89">P88/P51</f>
        <v>8.0970484008486103</v>
      </c>
      <c r="Q89" s="494">
        <f t="shared" ca="1" si="89"/>
        <v>10.341759577796017</v>
      </c>
      <c r="R89" s="494">
        <f t="shared" ca="1" si="89"/>
        <v>15.101281845857697</v>
      </c>
      <c r="S89" s="494">
        <f t="shared" ca="1" si="89"/>
        <v>22.132517546780317</v>
      </c>
      <c r="T89" s="494">
        <f t="shared" ca="1" si="89"/>
        <v>10.059226420712083</v>
      </c>
      <c r="U89" s="494">
        <f t="shared" ca="1" si="89"/>
        <v>10.103420699173887</v>
      </c>
      <c r="V89" s="494">
        <f t="shared" ca="1" si="89"/>
        <v>10.180660331923542</v>
      </c>
      <c r="W89" s="494">
        <f t="shared" ca="1" si="89"/>
        <v>17.839513001896112</v>
      </c>
      <c r="X89" s="494">
        <f t="shared" ca="1" si="89"/>
        <v>10.607058459910743</v>
      </c>
      <c r="Y89" s="494">
        <f t="shared" ca="1" si="89"/>
        <v>10.0059867935156</v>
      </c>
      <c r="Z89" s="494">
        <f t="shared" ca="1" si="89"/>
        <v>9.3773892359488222</v>
      </c>
      <c r="AA89" s="494">
        <f t="shared" ca="1" si="89"/>
        <v>10.422012688524363</v>
      </c>
      <c r="AB89" s="494">
        <f t="shared" ca="1" si="89"/>
        <v>9.4380696286412995</v>
      </c>
      <c r="AC89" s="494">
        <f t="shared" ca="1" si="89"/>
        <v>9.644955055652364</v>
      </c>
      <c r="AD89" s="494">
        <f t="shared" ca="1" si="89"/>
        <v>9.8750208823630157</v>
      </c>
      <c r="AE89" s="541">
        <f ca="1">AE88/AE51</f>
        <v>10.130933943435922</v>
      </c>
      <c r="AF89" s="541">
        <f t="shared" ref="AF89:AK89" ca="1" si="90">AF88/AF51</f>
        <v>10.395649733335919</v>
      </c>
      <c r="AG89" s="541">
        <f t="shared" ca="1" si="90"/>
        <v>10.668232339133162</v>
      </c>
      <c r="AH89" s="541">
        <f t="shared" ca="1" si="90"/>
        <v>10.947662314987781</v>
      </c>
      <c r="AI89" s="541">
        <f t="shared" ca="1" si="90"/>
        <v>11.25463120291211</v>
      </c>
      <c r="AJ89" s="541">
        <f t="shared" ca="1" si="90"/>
        <v>11.591834548184327</v>
      </c>
      <c r="AK89" s="541">
        <f t="shared" ca="1" si="90"/>
        <v>11.962234883315752</v>
      </c>
      <c r="AL89" s="541">
        <f t="shared" ref="AL89" ca="1" si="91">AL88/AL51</f>
        <v>12.36908870258142</v>
      </c>
      <c r="AM89" s="494"/>
      <c r="AN89" s="1236"/>
      <c r="AO89" s="1236"/>
      <c r="AP89" s="494"/>
      <c r="AQ89" s="494"/>
      <c r="AR89" s="494"/>
      <c r="AS89" s="494"/>
      <c r="AT89" s="11"/>
      <c r="AU89" s="6"/>
      <c r="AV89" s="6"/>
      <c r="AW89" s="6"/>
      <c r="AX89" s="6"/>
      <c r="AY89" s="6"/>
      <c r="AZ89" s="6"/>
      <c r="BA89" s="38"/>
      <c r="BB89" s="38"/>
      <c r="BC89" s="6"/>
      <c r="BD89" s="6"/>
      <c r="BE89" s="6"/>
      <c r="BF89" s="6"/>
      <c r="BG89" s="6"/>
      <c r="BH89" s="6"/>
      <c r="BI89" s="6"/>
      <c r="BJ89" s="6"/>
      <c r="BK89" s="6"/>
      <c r="BL89" s="6"/>
      <c r="BM89" s="6"/>
      <c r="BN89" s="6"/>
      <c r="BO89" s="6"/>
      <c r="BP89" s="6"/>
      <c r="BQ89" s="6"/>
      <c r="BR89" s="6"/>
      <c r="BS89" s="6"/>
    </row>
    <row r="90" spans="1:71">
      <c r="A90" s="490" t="s">
        <v>73</v>
      </c>
      <c r="B90" s="6"/>
      <c r="C90" s="6"/>
      <c r="D90" s="6"/>
      <c r="E90" s="6"/>
      <c r="F90" s="6"/>
      <c r="G90" s="6"/>
      <c r="H90" s="6"/>
      <c r="I90" s="6"/>
      <c r="J90" s="6"/>
      <c r="K90" s="6"/>
      <c r="L90" s="6"/>
      <c r="M90" s="6"/>
      <c r="N90" s="6"/>
      <c r="O90" s="494">
        <f ca="1">O88/P51</f>
        <v>8.1338746810749143</v>
      </c>
      <c r="P90" s="494">
        <f ca="1">P88/Q51</f>
        <v>10.199669207897836</v>
      </c>
      <c r="Q90" s="494">
        <f ca="1">Q88/R51</f>
        <v>14.605627446233488</v>
      </c>
      <c r="R90" s="494">
        <f ca="1">R88/S51</f>
        <v>21.152306513815464</v>
      </c>
      <c r="S90" s="494">
        <f ca="1">S88/T51</f>
        <v>9.9811938847649486</v>
      </c>
      <c r="T90" s="494">
        <f t="shared" ref="T90:AD90" ca="1" si="92">T88/U51</f>
        <v>10.026350396072015</v>
      </c>
      <c r="U90" s="494">
        <f t="shared" ca="1" si="92"/>
        <v>10.098264669267493</v>
      </c>
      <c r="V90" s="494">
        <f t="shared" ca="1" si="92"/>
        <v>17.175826318910634</v>
      </c>
      <c r="W90" s="494">
        <f t="shared" ca="1" si="92"/>
        <v>10.494851382336336</v>
      </c>
      <c r="X90" s="494">
        <f t="shared" ca="1" si="92"/>
        <v>9.9411939508718756</v>
      </c>
      <c r="Y90" s="494">
        <f t="shared" ca="1" si="92"/>
        <v>9.3595670807353724</v>
      </c>
      <c r="Z90" s="494">
        <f t="shared" ca="1" si="92"/>
        <v>10.32402360277737</v>
      </c>
      <c r="AA90" s="494">
        <f t="shared" ca="1" si="92"/>
        <v>9.4151562532835857</v>
      </c>
      <c r="AB90" s="494">
        <f t="shared" ca="1" si="92"/>
        <v>9.6061236683024891</v>
      </c>
      <c r="AC90" s="494">
        <f t="shared" ca="1" si="92"/>
        <v>9.8190175553385846</v>
      </c>
      <c r="AD90" s="494">
        <f t="shared" ca="1" si="92"/>
        <v>10.055709866024237</v>
      </c>
      <c r="AE90" s="541">
        <f t="shared" ref="AE90:AK90" ca="1" si="93">AE88/AF51</f>
        <v>10.300577315978972</v>
      </c>
      <c r="AF90" s="541">
        <f t="shared" ca="1" si="93"/>
        <v>10.55275586589527</v>
      </c>
      <c r="AG90" s="541">
        <f t="shared" ca="1" si="93"/>
        <v>10.811303862830158</v>
      </c>
      <c r="AH90" s="541">
        <f t="shared" ca="1" si="93"/>
        <v>11.095337324353778</v>
      </c>
      <c r="AI90" s="541">
        <f t="shared" ca="1" si="93"/>
        <v>11.407350912759071</v>
      </c>
      <c r="AJ90" s="541">
        <f t="shared" ca="1" si="93"/>
        <v>11.750086383827819</v>
      </c>
      <c r="AK90" s="541">
        <f t="shared" ca="1" si="93"/>
        <v>12.126557551550411</v>
      </c>
      <c r="AL90" s="3302"/>
      <c r="AM90" s="1397"/>
      <c r="AN90" s="1236"/>
      <c r="AO90" s="1236"/>
      <c r="AP90" s="494"/>
      <c r="AQ90" s="494"/>
      <c r="AR90" s="494"/>
      <c r="AS90" s="494"/>
      <c r="AT90" s="11"/>
      <c r="AU90" s="6"/>
      <c r="AV90" s="6"/>
      <c r="AW90" s="6"/>
      <c r="AX90" s="6"/>
      <c r="AY90" s="6"/>
      <c r="AZ90" s="6"/>
      <c r="BA90" s="38"/>
      <c r="BB90" s="38"/>
      <c r="BC90" s="6"/>
      <c r="BD90" s="6"/>
      <c r="BE90" s="6"/>
      <c r="BF90" s="6"/>
      <c r="BG90" s="6"/>
      <c r="BH90" s="6"/>
      <c r="BI90" s="6"/>
      <c r="BJ90" s="6"/>
      <c r="BK90" s="6"/>
      <c r="BL90" s="6"/>
      <c r="BM90" s="6"/>
      <c r="BN90" s="6"/>
      <c r="BO90" s="6"/>
      <c r="BP90" s="6"/>
      <c r="BQ90" s="6"/>
      <c r="BR90" s="6"/>
      <c r="BS90" s="6"/>
    </row>
    <row r="91" spans="1:71">
      <c r="A91" s="495" t="s">
        <v>61</v>
      </c>
      <c r="B91" s="6"/>
      <c r="C91" s="6"/>
      <c r="D91" s="6"/>
      <c r="E91" s="6"/>
      <c r="F91" s="6"/>
      <c r="G91" s="6"/>
      <c r="H91" s="6"/>
      <c r="I91" s="6"/>
      <c r="J91" s="6"/>
      <c r="K91" s="6"/>
      <c r="L91" s="6"/>
      <c r="M91" s="6"/>
      <c r="N91" s="6"/>
      <c r="O91" s="11">
        <f t="shared" ref="O91:AH91" si="94">P91+1</f>
        <v>23</v>
      </c>
      <c r="P91" s="11">
        <f t="shared" si="94"/>
        <v>22</v>
      </c>
      <c r="Q91" s="11">
        <f t="shared" si="94"/>
        <v>21</v>
      </c>
      <c r="R91" s="11">
        <f t="shared" si="94"/>
        <v>20</v>
      </c>
      <c r="S91" s="11">
        <f t="shared" si="94"/>
        <v>19</v>
      </c>
      <c r="T91" s="11">
        <f t="shared" si="94"/>
        <v>18</v>
      </c>
      <c r="U91" s="11">
        <f t="shared" si="94"/>
        <v>17</v>
      </c>
      <c r="V91" s="11">
        <f t="shared" si="94"/>
        <v>16</v>
      </c>
      <c r="W91" s="11">
        <f t="shared" si="94"/>
        <v>15</v>
      </c>
      <c r="X91" s="11">
        <f t="shared" si="94"/>
        <v>14</v>
      </c>
      <c r="Y91" s="11">
        <f t="shared" si="94"/>
        <v>13</v>
      </c>
      <c r="Z91" s="11">
        <f t="shared" si="94"/>
        <v>12</v>
      </c>
      <c r="AA91" s="11">
        <f t="shared" si="94"/>
        <v>11</v>
      </c>
      <c r="AB91" s="11">
        <f t="shared" si="94"/>
        <v>10</v>
      </c>
      <c r="AC91" s="11">
        <f t="shared" si="94"/>
        <v>9</v>
      </c>
      <c r="AD91" s="11">
        <f t="shared" si="94"/>
        <v>8</v>
      </c>
      <c r="AE91" s="11">
        <f t="shared" si="94"/>
        <v>7</v>
      </c>
      <c r="AF91" s="11">
        <f t="shared" si="94"/>
        <v>6</v>
      </c>
      <c r="AG91" s="11">
        <f t="shared" si="94"/>
        <v>5</v>
      </c>
      <c r="AH91" s="11">
        <f t="shared" si="94"/>
        <v>4</v>
      </c>
      <c r="AI91" s="11">
        <f>AJ91+1</f>
        <v>3</v>
      </c>
      <c r="AJ91" s="1402">
        <f>AK91+1</f>
        <v>2</v>
      </c>
      <c r="AK91" s="1402">
        <f>AL91+1</f>
        <v>1</v>
      </c>
      <c r="AL91" s="1401">
        <v>0</v>
      </c>
      <c r="AM91" s="1398"/>
      <c r="AN91" s="69"/>
      <c r="AO91" s="69"/>
      <c r="AP91" s="11"/>
      <c r="AQ91" s="11"/>
      <c r="AR91" s="11"/>
      <c r="AS91" s="11"/>
      <c r="AT91" s="11"/>
      <c r="AU91" s="6"/>
      <c r="AV91" s="6"/>
      <c r="AW91" s="6"/>
      <c r="AX91" s="6"/>
      <c r="AY91" s="6"/>
      <c r="AZ91" s="6"/>
      <c r="BA91" s="38"/>
      <c r="BB91" s="38"/>
      <c r="BC91" s="6"/>
      <c r="BD91" s="6"/>
      <c r="BE91" s="6"/>
      <c r="BF91" s="6"/>
      <c r="BG91" s="6"/>
      <c r="BH91" s="6"/>
      <c r="BI91" s="6"/>
      <c r="BJ91" s="6"/>
      <c r="BK91" s="6"/>
      <c r="BL91" s="6"/>
      <c r="BM91" s="6"/>
      <c r="BN91" s="6"/>
      <c r="BO91" s="6"/>
      <c r="BP91" s="6"/>
      <c r="BQ91" s="6"/>
      <c r="BR91" s="6"/>
      <c r="BS91" s="6"/>
    </row>
    <row r="92" spans="1:71">
      <c r="A92" s="546"/>
      <c r="B92" s="6"/>
      <c r="C92" s="6"/>
      <c r="D92" s="6"/>
      <c r="E92" s="6"/>
      <c r="F92" s="6"/>
      <c r="G92" s="6"/>
      <c r="H92" s="6"/>
      <c r="I92" s="6"/>
      <c r="J92" s="6"/>
      <c r="K92" s="6"/>
      <c r="L92" s="6"/>
      <c r="M92" s="6"/>
      <c r="N92" s="6"/>
      <c r="O92" s="6"/>
      <c r="P92" s="6"/>
      <c r="Q92" s="6"/>
      <c r="R92" s="6"/>
      <c r="S92" s="6"/>
      <c r="T92" s="6"/>
      <c r="U92" s="6"/>
      <c r="V92" s="6"/>
      <c r="W92" s="6"/>
      <c r="X92" s="6"/>
      <c r="Y92" s="11"/>
      <c r="Z92" s="11"/>
      <c r="AA92" s="11"/>
      <c r="AB92" s="11"/>
      <c r="AC92" s="11"/>
      <c r="AD92" s="11"/>
      <c r="AE92" s="11"/>
      <c r="AF92" s="11"/>
      <c r="AG92" s="11"/>
      <c r="AH92" s="11"/>
      <c r="AI92" s="11"/>
      <c r="AJ92" s="11"/>
      <c r="AK92" s="11"/>
      <c r="AL92" s="69"/>
      <c r="AM92" s="69"/>
      <c r="AN92" s="69"/>
      <c r="AO92" s="69"/>
      <c r="AP92" s="11"/>
      <c r="AQ92" s="11"/>
      <c r="AR92" s="11"/>
      <c r="AS92" s="11"/>
      <c r="AT92" s="11"/>
      <c r="AU92" s="6"/>
      <c r="AV92" s="6"/>
      <c r="AW92" s="6"/>
      <c r="AX92" s="6"/>
      <c r="AY92" s="6"/>
      <c r="AZ92" s="6"/>
      <c r="BA92" s="6"/>
      <c r="BB92" s="6"/>
      <c r="BC92" s="6"/>
      <c r="BD92" s="6"/>
      <c r="BE92" s="6"/>
      <c r="BF92" s="6"/>
      <c r="BG92" s="6"/>
      <c r="BH92" s="6"/>
      <c r="BI92" s="6"/>
      <c r="BJ92" s="6"/>
      <c r="BK92" s="6"/>
      <c r="BL92" s="6"/>
      <c r="BM92" s="6"/>
      <c r="BN92" s="6"/>
      <c r="BO92" s="6"/>
      <c r="BP92" s="6"/>
      <c r="BQ92" s="6"/>
      <c r="BR92" s="6"/>
      <c r="BS92" s="6"/>
    </row>
    <row r="93" spans="1:71">
      <c r="A93" s="550"/>
      <c r="B93" s="601"/>
      <c r="C93" s="610"/>
      <c r="D93" s="610"/>
      <c r="E93" s="610"/>
      <c r="F93" s="610"/>
      <c r="G93" s="610"/>
      <c r="H93" s="610"/>
      <c r="I93" s="601"/>
      <c r="J93" s="601"/>
      <c r="K93" s="601"/>
      <c r="L93" s="601"/>
      <c r="M93" s="601"/>
      <c r="N93" s="601"/>
      <c r="O93" s="601"/>
      <c r="P93" s="601"/>
      <c r="Q93" s="601"/>
      <c r="R93" s="601"/>
      <c r="S93" s="601"/>
      <c r="T93" s="601"/>
      <c r="U93" s="601"/>
      <c r="V93" s="601"/>
      <c r="W93" s="601"/>
      <c r="X93" s="601"/>
      <c r="Y93" s="601"/>
      <c r="Z93" s="601"/>
      <c r="AA93" s="601"/>
      <c r="AB93" s="601"/>
      <c r="AC93" s="601"/>
      <c r="AD93" s="601"/>
      <c r="AE93" s="1256"/>
      <c r="AF93" s="1256"/>
      <c r="AG93" s="1256"/>
      <c r="AH93" s="1256"/>
      <c r="AI93" s="1256"/>
      <c r="AJ93" s="1256"/>
      <c r="AK93" s="601"/>
      <c r="AL93" s="1237"/>
      <c r="AM93" s="1237"/>
      <c r="AN93" s="1237"/>
      <c r="AO93" s="1237"/>
      <c r="AP93" s="601"/>
      <c r="AQ93" s="601"/>
      <c r="AR93" s="601"/>
      <c r="AS93" s="601"/>
      <c r="AT93" s="601"/>
      <c r="AU93" s="6"/>
      <c r="AV93" s="6"/>
      <c r="AW93" s="6"/>
      <c r="AX93" s="6"/>
      <c r="AY93" s="6"/>
      <c r="AZ93" s="6"/>
      <c r="BA93" s="6"/>
      <c r="BB93" s="6"/>
      <c r="BC93" s="6"/>
      <c r="BD93" s="6"/>
      <c r="BE93" s="6"/>
      <c r="BF93" s="6"/>
      <c r="BG93" s="6"/>
      <c r="BH93" s="6"/>
      <c r="BI93" s="6"/>
      <c r="BJ93" s="6"/>
      <c r="BK93" s="6"/>
      <c r="BL93" s="6"/>
      <c r="BM93" s="6"/>
      <c r="BN93" s="6"/>
      <c r="BO93" s="6"/>
      <c r="BP93" s="6"/>
      <c r="BQ93" s="6"/>
      <c r="BR93" s="6"/>
      <c r="BS93" s="6"/>
    </row>
    <row r="94" spans="1:71" s="1577" customFormat="1" outlineLevel="1">
      <c r="A94" s="2628" t="s">
        <v>1229</v>
      </c>
      <c r="B94" s="2629"/>
      <c r="C94" s="2630"/>
      <c r="D94" s="2630"/>
      <c r="E94" s="2630"/>
      <c r="F94" s="2630"/>
      <c r="G94" s="2630"/>
      <c r="H94" s="2630"/>
      <c r="I94" s="2629"/>
      <c r="J94" s="2629"/>
      <c r="K94" s="2629"/>
      <c r="L94" s="2629"/>
      <c r="M94" s="2629"/>
      <c r="N94" s="2629"/>
      <c r="O94" s="2629"/>
      <c r="P94" s="2629"/>
      <c r="Q94" s="2629"/>
      <c r="R94" s="2629"/>
      <c r="S94" s="2629"/>
      <c r="T94" s="2629"/>
      <c r="U94" s="2629"/>
      <c r="V94" s="2629"/>
      <c r="W94" s="2629"/>
      <c r="X94" s="2629"/>
      <c r="Y94" s="2629"/>
      <c r="Z94" s="2629"/>
      <c r="AA94" s="2629"/>
      <c r="AB94" s="2629"/>
      <c r="AC94" s="2629"/>
      <c r="AD94" s="2629"/>
      <c r="AE94" s="2629"/>
      <c r="AF94" s="2629"/>
      <c r="AG94" s="2629"/>
      <c r="AH94" s="2629"/>
      <c r="AI94" s="2629"/>
      <c r="AJ94" s="2629"/>
      <c r="AK94" s="2629"/>
      <c r="AL94" s="2631"/>
      <c r="AM94" s="2631"/>
      <c r="AN94" s="2631"/>
      <c r="AO94" s="2631"/>
      <c r="AP94" s="2629"/>
      <c r="AQ94" s="2629"/>
      <c r="AR94" s="2629"/>
      <c r="AS94" s="2629"/>
      <c r="AT94" s="2629"/>
      <c r="AU94" s="1108"/>
      <c r="AV94" s="1108"/>
      <c r="AW94" s="1108"/>
      <c r="AX94" s="1108"/>
      <c r="AY94" s="1108"/>
      <c r="AZ94" s="1108"/>
      <c r="BA94" s="1108"/>
      <c r="BB94" s="1108"/>
      <c r="BC94" s="1108"/>
      <c r="BD94" s="1108"/>
      <c r="BE94" s="1108"/>
      <c r="BF94" s="1108"/>
      <c r="BG94" s="1108"/>
      <c r="BH94" s="1108"/>
      <c r="BI94" s="1108"/>
      <c r="BJ94" s="1108"/>
      <c r="BK94" s="1108"/>
      <c r="BL94" s="1108"/>
      <c r="BM94" s="1108"/>
      <c r="BN94" s="1108"/>
      <c r="BO94" s="1108"/>
      <c r="BP94" s="1108"/>
      <c r="BQ94" s="1108"/>
      <c r="BR94" s="1108"/>
      <c r="BS94" s="1108"/>
    </row>
    <row r="95" spans="1:71" s="1577" customFormat="1" outlineLevel="1">
      <c r="A95" s="2632" t="s">
        <v>1754</v>
      </c>
      <c r="B95" s="2629"/>
      <c r="C95" s="2630"/>
      <c r="D95" s="2630"/>
      <c r="E95" s="2630"/>
      <c r="F95" s="2633">
        <v>95.931905136268355</v>
      </c>
      <c r="G95" s="2633">
        <v>96.41125539903706</v>
      </c>
      <c r="H95" s="2633">
        <v>96.910696104744801</v>
      </c>
      <c r="I95" s="2633">
        <v>97.417148955464114</v>
      </c>
      <c r="J95" s="2633">
        <v>97.927354804041642</v>
      </c>
      <c r="K95" s="2633">
        <v>98.440509345668076</v>
      </c>
      <c r="L95" s="2633">
        <v>98.956422041057166</v>
      </c>
      <c r="M95" s="2630">
        <f>L95*1.015</f>
        <v>100.44076837167302</v>
      </c>
      <c r="N95" s="2630">
        <f t="shared" ref="N95:U95" si="95">M95*1.015</f>
        <v>101.9473798972481</v>
      </c>
      <c r="O95" s="2630">
        <f t="shared" si="95"/>
        <v>103.47659059570681</v>
      </c>
      <c r="P95" s="2630">
        <f t="shared" si="95"/>
        <v>105.02873945464241</v>
      </c>
      <c r="Q95" s="2630">
        <f t="shared" si="95"/>
        <v>106.60417054646203</v>
      </c>
      <c r="R95" s="2630">
        <f t="shared" si="95"/>
        <v>108.20323310465895</v>
      </c>
      <c r="S95" s="2630">
        <f t="shared" si="95"/>
        <v>109.82628160122883</v>
      </c>
      <c r="T95" s="2630">
        <f t="shared" si="95"/>
        <v>111.47367582524726</v>
      </c>
      <c r="U95" s="2630">
        <f t="shared" si="95"/>
        <v>113.14578096262595</v>
      </c>
      <c r="V95" s="2634">
        <f>Retrans!D61</f>
        <v>114.2</v>
      </c>
      <c r="W95" s="2634">
        <f>Retrans!E61</f>
        <v>115.6</v>
      </c>
      <c r="X95" s="2634">
        <f>Retrans!F61</f>
        <v>116.3</v>
      </c>
      <c r="Y95" s="2634">
        <f>Retrans!G61</f>
        <v>116.4</v>
      </c>
      <c r="Z95" s="2634">
        <f>Retrans!H61</f>
        <v>118.4</v>
      </c>
      <c r="AA95" s="2634">
        <f>Retrans!I61</f>
        <v>119.6</v>
      </c>
      <c r="AB95" s="2634">
        <f>Retrans!J61</f>
        <v>120.80008094594592</v>
      </c>
      <c r="AC95" s="2634">
        <f>Retrans!K61</f>
        <v>122.00000242969429</v>
      </c>
      <c r="AD95" s="2634">
        <f>Retrans!L61</f>
        <v>123.19952169109521</v>
      </c>
      <c r="AE95" s="2634">
        <f>Retrans!M61</f>
        <v>124.3983936922138</v>
      </c>
      <c r="AF95" s="2634">
        <f>Retrans!N61</f>
        <v>125.59637119342894</v>
      </c>
      <c r="AG95" s="2634">
        <f>Retrans!O61</f>
        <v>126.67907953450511</v>
      </c>
      <c r="AH95" s="2634">
        <f>Retrans!P61</f>
        <v>127.64335028300971</v>
      </c>
      <c r="AI95" s="2634">
        <f>Retrans!Q61</f>
        <v>128.48634602026937</v>
      </c>
      <c r="AJ95" s="2634">
        <f>Retrans!R61</f>
        <v>129.20557425012984</v>
      </c>
      <c r="AK95" s="2634">
        <f>Retrans!S61</f>
        <v>129.7988996765273</v>
      </c>
      <c r="AL95" s="2634">
        <f>Retrans!T61</f>
        <v>130.39494971495216</v>
      </c>
      <c r="AM95" s="2635"/>
      <c r="AN95" s="2635"/>
      <c r="AO95" s="2635"/>
      <c r="AP95" s="2630"/>
      <c r="AQ95" s="2630"/>
      <c r="AR95" s="2630"/>
      <c r="AS95" s="2630"/>
      <c r="AT95" s="2630"/>
      <c r="AU95" s="1108"/>
      <c r="AV95" s="1108"/>
      <c r="AW95" s="1108"/>
      <c r="AX95" s="1108"/>
      <c r="AY95" s="1108"/>
      <c r="AZ95" s="1108"/>
      <c r="BA95" s="1108"/>
      <c r="BB95" s="1108"/>
      <c r="BC95" s="1108"/>
      <c r="BD95" s="1108"/>
      <c r="BE95" s="1108"/>
      <c r="BF95" s="1108"/>
      <c r="BG95" s="1108"/>
      <c r="BH95" s="1108"/>
      <c r="BI95" s="1108"/>
      <c r="BJ95" s="1108"/>
      <c r="BK95" s="1108"/>
      <c r="BL95" s="1108"/>
      <c r="BM95" s="1108"/>
      <c r="BN95" s="1108"/>
      <c r="BO95" s="1108"/>
      <c r="BP95" s="1108"/>
      <c r="BQ95" s="1108"/>
      <c r="BR95" s="1108"/>
      <c r="BS95" s="1108"/>
    </row>
    <row r="96" spans="1:71" s="1577" customFormat="1" outlineLevel="1">
      <c r="A96" s="2636" t="s">
        <v>1230</v>
      </c>
      <c r="B96" s="2629"/>
      <c r="C96" s="2630"/>
      <c r="D96" s="2630"/>
      <c r="E96" s="2630"/>
      <c r="F96" s="2637">
        <v>23.966999999999999</v>
      </c>
      <c r="G96" s="2637">
        <v>24.252046999999997</v>
      </c>
      <c r="H96" s="2637">
        <v>24.541165452999998</v>
      </c>
      <c r="I96" s="2630">
        <f t="shared" ref="I96:U96" si="96">+H96*1.012</f>
        <v>24.835659438435997</v>
      </c>
      <c r="J96" s="2630">
        <f t="shared" si="96"/>
        <v>25.13368735169723</v>
      </c>
      <c r="K96" s="2630">
        <f t="shared" si="96"/>
        <v>25.435291599917598</v>
      </c>
      <c r="L96" s="2630">
        <f t="shared" si="96"/>
        <v>25.74051509911661</v>
      </c>
      <c r="M96" s="2630">
        <f t="shared" si="96"/>
        <v>26.049401280306011</v>
      </c>
      <c r="N96" s="2630">
        <f t="shared" si="96"/>
        <v>26.361994095669683</v>
      </c>
      <c r="O96" s="2630">
        <f t="shared" si="96"/>
        <v>26.67833802481772</v>
      </c>
      <c r="P96" s="2630">
        <f t="shared" si="96"/>
        <v>26.998478081115532</v>
      </c>
      <c r="Q96" s="2630">
        <f t="shared" si="96"/>
        <v>27.32245981808892</v>
      </c>
      <c r="R96" s="2630">
        <f t="shared" si="96"/>
        <v>27.650329335905987</v>
      </c>
      <c r="S96" s="2630">
        <f t="shared" si="96"/>
        <v>27.982133287936858</v>
      </c>
      <c r="T96" s="2630">
        <f t="shared" si="96"/>
        <v>28.3179188873921</v>
      </c>
      <c r="U96" s="2630">
        <f t="shared" si="96"/>
        <v>28.657733914040804</v>
      </c>
      <c r="V96" s="2630">
        <f>U96*V95/U95</f>
        <v>28.924748100545568</v>
      </c>
      <c r="W96" s="2630">
        <f t="shared" ref="W96:AL96" si="97">V96*W95/V95</f>
        <v>29.279342210359609</v>
      </c>
      <c r="X96" s="2630">
        <f t="shared" si="97"/>
        <v>29.456639265266631</v>
      </c>
      <c r="Y96" s="2630">
        <f t="shared" si="97"/>
        <v>29.481967415967635</v>
      </c>
      <c r="Z96" s="2630">
        <f t="shared" si="97"/>
        <v>29.988530429987698</v>
      </c>
      <c r="AA96" s="2630">
        <f t="shared" si="97"/>
        <v>30.292468238399731</v>
      </c>
      <c r="AB96" s="2630">
        <f t="shared" si="97"/>
        <v>30.596426548922942</v>
      </c>
      <c r="AC96" s="2630">
        <f t="shared" si="97"/>
        <v>30.900344470620439</v>
      </c>
      <c r="AD96" s="2630">
        <f t="shared" si="97"/>
        <v>31.204160516835625</v>
      </c>
      <c r="AE96" s="2630">
        <f t="shared" si="97"/>
        <v>31.507812623991072</v>
      </c>
      <c r="AF96" s="2630">
        <f t="shared" si="97"/>
        <v>31.811238170862953</v>
      </c>
      <c r="AG96" s="2630">
        <f t="shared" si="97"/>
        <v>32.085468171143056</v>
      </c>
      <c r="AH96" s="2630">
        <f t="shared" si="97"/>
        <v>32.329700119489992</v>
      </c>
      <c r="AI96" s="2630">
        <f t="shared" si="97"/>
        <v>32.543215350226149</v>
      </c>
      <c r="AJ96" s="2630">
        <f t="shared" si="97"/>
        <v>32.725382560169365</v>
      </c>
      <c r="AK96" s="2630">
        <f t="shared" si="97"/>
        <v>32.875660918314679</v>
      </c>
      <c r="AL96" s="2630">
        <f t="shared" si="97"/>
        <v>33.026629370300313</v>
      </c>
      <c r="AM96" s="2635"/>
      <c r="AN96" s="2635"/>
      <c r="AO96" s="2635"/>
      <c r="AP96" s="2630"/>
      <c r="AQ96" s="2630"/>
      <c r="AR96" s="2630"/>
      <c r="AS96" s="2630"/>
      <c r="AT96" s="2630"/>
      <c r="AU96" s="1108"/>
      <c r="AV96" s="1108"/>
      <c r="AW96" s="1108"/>
      <c r="AX96" s="1108"/>
      <c r="AY96" s="1108"/>
      <c r="AZ96" s="1108"/>
      <c r="BA96" s="1108"/>
      <c r="BB96" s="1108"/>
      <c r="BC96" s="1108"/>
      <c r="BD96" s="1108"/>
      <c r="BE96" s="1108"/>
      <c r="BF96" s="1108"/>
      <c r="BG96" s="1108"/>
      <c r="BH96" s="1108"/>
      <c r="BI96" s="1108"/>
      <c r="BJ96" s="1108"/>
      <c r="BK96" s="1108"/>
      <c r="BL96" s="1108"/>
      <c r="BM96" s="1108"/>
      <c r="BN96" s="1108"/>
      <c r="BO96" s="1108"/>
      <c r="BP96" s="1108"/>
      <c r="BQ96" s="1108"/>
      <c r="BR96" s="1108"/>
      <c r="BS96" s="1108"/>
    </row>
    <row r="97" spans="1:71" s="1577" customFormat="1" outlineLevel="1">
      <c r="A97" s="1108" t="s">
        <v>1231</v>
      </c>
      <c r="B97" s="1108"/>
      <c r="C97" s="1135"/>
      <c r="D97" s="1135"/>
      <c r="E97" s="1135"/>
      <c r="F97" s="1110">
        <f t="shared" ref="F97:AD97" si="98">+F96/F95</f>
        <v>0.24983346224549177</v>
      </c>
      <c r="G97" s="1110">
        <f t="shared" si="98"/>
        <v>0.25154788099815806</v>
      </c>
      <c r="H97" s="1110">
        <f t="shared" si="98"/>
        <v>0.253234848571049</v>
      </c>
      <c r="I97" s="1110">
        <f t="shared" si="98"/>
        <v>0.25494134969798832</v>
      </c>
      <c r="J97" s="1110">
        <f t="shared" si="98"/>
        <v>0.25665645112125418</v>
      </c>
      <c r="K97" s="1110">
        <f t="shared" si="98"/>
        <v>0.25838236483115973</v>
      </c>
      <c r="L97" s="1110">
        <f t="shared" si="98"/>
        <v>0.26011970287726077</v>
      </c>
      <c r="M97" s="1110">
        <f t="shared" si="98"/>
        <v>0.25935087616924923</v>
      </c>
      <c r="N97" s="1110">
        <f t="shared" si="98"/>
        <v>0.2585843218554485</v>
      </c>
      <c r="O97" s="1110">
        <f t="shared" si="98"/>
        <v>0.2578200332194226</v>
      </c>
      <c r="P97" s="1110">
        <f t="shared" si="98"/>
        <v>0.25705800356458686</v>
      </c>
      <c r="Q97" s="1110">
        <f t="shared" si="98"/>
        <v>0.25629822621414972</v>
      </c>
      <c r="R97" s="1110">
        <f t="shared" si="98"/>
        <v>0.25554069451105371</v>
      </c>
      <c r="S97" s="1110">
        <f t="shared" si="98"/>
        <v>0.25478540181791759</v>
      </c>
      <c r="T97" s="1110">
        <f t="shared" si="98"/>
        <v>0.25403234151697796</v>
      </c>
      <c r="U97" s="1110">
        <f t="shared" si="98"/>
        <v>0.25328150701003127</v>
      </c>
      <c r="V97" s="1110">
        <f t="shared" si="98"/>
        <v>0.25328150701003121</v>
      </c>
      <c r="W97" s="1110">
        <f t="shared" si="98"/>
        <v>0.25328150701003121</v>
      </c>
      <c r="X97" s="1110">
        <f t="shared" si="98"/>
        <v>0.25328150701003121</v>
      </c>
      <c r="Y97" s="1110">
        <f t="shared" si="98"/>
        <v>0.25328150701003121</v>
      </c>
      <c r="Z97" s="1110">
        <f t="shared" si="98"/>
        <v>0.25328150701003121</v>
      </c>
      <c r="AA97" s="1110">
        <f t="shared" si="98"/>
        <v>0.25328150701003121</v>
      </c>
      <c r="AB97" s="1110">
        <f t="shared" si="98"/>
        <v>0.25328150701003121</v>
      </c>
      <c r="AC97" s="1110">
        <f t="shared" si="98"/>
        <v>0.25328150701003121</v>
      </c>
      <c r="AD97" s="1110">
        <f t="shared" si="98"/>
        <v>0.25328150701003121</v>
      </c>
      <c r="AE97" s="1110">
        <f t="shared" ref="AE97:AJ97" si="99">+AE96/AE95</f>
        <v>0.25328150701003121</v>
      </c>
      <c r="AF97" s="1110">
        <f t="shared" si="99"/>
        <v>0.25328150701003121</v>
      </c>
      <c r="AG97" s="1110">
        <f t="shared" si="99"/>
        <v>0.25328150701003121</v>
      </c>
      <c r="AH97" s="1110">
        <f t="shared" si="99"/>
        <v>0.25328150701003121</v>
      </c>
      <c r="AI97" s="1110">
        <f t="shared" si="99"/>
        <v>0.25328150701003121</v>
      </c>
      <c r="AJ97" s="1110">
        <f t="shared" si="99"/>
        <v>0.25328150701003116</v>
      </c>
      <c r="AK97" s="1110">
        <f>+AK96/AK95</f>
        <v>0.25328150701003116</v>
      </c>
      <c r="AL97" s="1110">
        <f>+AL96/AL95</f>
        <v>0.2532815070100311</v>
      </c>
      <c r="AM97" s="1801"/>
      <c r="AN97" s="1801"/>
      <c r="AO97" s="1801"/>
      <c r="AP97" s="1110"/>
      <c r="AQ97" s="1110"/>
      <c r="AR97" s="1110"/>
      <c r="AS97" s="1110"/>
      <c r="AT97" s="1110"/>
      <c r="AU97" s="1108"/>
      <c r="AV97" s="1108"/>
      <c r="AW97" s="1108"/>
      <c r="AX97" s="1108"/>
      <c r="AY97" s="1108"/>
      <c r="AZ97" s="1108"/>
      <c r="BA97" s="1108"/>
      <c r="BB97" s="1108"/>
      <c r="BC97" s="1108"/>
      <c r="BD97" s="1108"/>
      <c r="BE97" s="1108"/>
      <c r="BF97" s="1108"/>
      <c r="BG97" s="1108"/>
      <c r="BH97" s="1108"/>
      <c r="BI97" s="1108"/>
      <c r="BJ97" s="1108"/>
      <c r="BK97" s="1108"/>
      <c r="BL97" s="1108"/>
      <c r="BM97" s="1108"/>
      <c r="BN97" s="1108"/>
      <c r="BO97" s="1108"/>
      <c r="BP97" s="1108"/>
      <c r="BQ97" s="1108"/>
      <c r="BR97" s="1108"/>
      <c r="BS97" s="1108"/>
    </row>
    <row r="98" spans="1:71" outlineLevel="1">
      <c r="A98" s="6"/>
      <c r="B98" s="6"/>
      <c r="C98" s="52"/>
      <c r="D98" s="52"/>
      <c r="E98" s="52"/>
      <c r="F98" s="52"/>
      <c r="G98" s="52"/>
      <c r="H98" s="52"/>
      <c r="I98" s="6"/>
      <c r="J98" s="6"/>
      <c r="K98" s="6"/>
      <c r="L98" s="6"/>
      <c r="M98" s="6"/>
      <c r="N98" s="6"/>
      <c r="O98" s="6"/>
      <c r="P98" s="6"/>
      <c r="Q98" s="6"/>
      <c r="R98" s="6"/>
      <c r="S98" s="6"/>
      <c r="T98" s="6"/>
      <c r="U98" s="6"/>
      <c r="V98" s="6"/>
      <c r="W98" s="6"/>
      <c r="X98" s="6"/>
      <c r="Y98" s="6"/>
      <c r="Z98" s="6"/>
      <c r="AA98" s="6"/>
      <c r="AB98" s="6"/>
      <c r="AC98" s="6"/>
      <c r="AD98" s="6"/>
      <c r="AE98" s="11"/>
      <c r="AF98" s="11"/>
      <c r="AG98" s="11"/>
      <c r="AH98" s="11"/>
      <c r="AI98" s="11"/>
      <c r="AJ98" s="11"/>
      <c r="AK98" s="6"/>
      <c r="AL98" s="84"/>
      <c r="AM98" s="84"/>
      <c r="AN98" s="84"/>
      <c r="AO98" s="84"/>
      <c r="AP98" s="6"/>
      <c r="AQ98" s="6"/>
      <c r="AR98" s="6"/>
      <c r="AS98" s="6"/>
      <c r="AT98" s="6"/>
      <c r="AU98" s="6"/>
      <c r="AV98" s="6"/>
      <c r="AW98" s="6"/>
      <c r="AX98" s="6"/>
      <c r="AY98" s="6"/>
      <c r="AZ98" s="6"/>
      <c r="BA98" s="6"/>
      <c r="BB98" s="6"/>
      <c r="BC98" s="6"/>
      <c r="BD98" s="6"/>
      <c r="BE98" s="6"/>
      <c r="BF98" s="6"/>
      <c r="BG98" s="6"/>
      <c r="BH98" s="6"/>
      <c r="BI98" s="6"/>
      <c r="BJ98" s="6"/>
      <c r="BK98" s="6"/>
      <c r="BL98" s="6"/>
      <c r="BM98" s="6"/>
      <c r="BN98" s="6"/>
      <c r="BO98" s="6"/>
      <c r="BP98" s="6"/>
      <c r="BQ98" s="6"/>
      <c r="BR98" s="6"/>
      <c r="BS98" s="6"/>
    </row>
    <row r="99" spans="1:71" outlineLevel="1">
      <c r="A99" s="621" t="s">
        <v>1232</v>
      </c>
      <c r="B99" s="601"/>
      <c r="C99" s="610"/>
      <c r="D99" s="610"/>
      <c r="E99" s="610"/>
      <c r="F99" s="610"/>
      <c r="G99" s="610"/>
      <c r="H99" s="610"/>
      <c r="I99" s="610"/>
      <c r="J99" s="610"/>
      <c r="K99" s="610"/>
      <c r="L99" s="610"/>
      <c r="M99" s="610"/>
      <c r="N99" s="610"/>
      <c r="O99" s="38"/>
      <c r="P99" s="610"/>
      <c r="Q99" s="610"/>
      <c r="R99" s="601"/>
      <c r="S99" s="601"/>
      <c r="T99" s="601"/>
      <c r="U99" s="601"/>
      <c r="V99" s="601"/>
      <c r="W99" s="601"/>
      <c r="X99" s="601"/>
      <c r="Y99" s="601"/>
      <c r="Z99" s="601"/>
      <c r="AA99" s="601"/>
      <c r="AB99" s="601"/>
      <c r="AC99" s="601"/>
      <c r="AD99" s="601"/>
      <c r="AE99" s="1256"/>
      <c r="AF99" s="1256"/>
      <c r="AG99" s="1256"/>
      <c r="AH99" s="1256"/>
      <c r="AI99" s="1256"/>
      <c r="AJ99" s="1256"/>
      <c r="AK99" s="601"/>
      <c r="AL99" s="1237"/>
      <c r="AM99" s="1237"/>
      <c r="AN99" s="1237"/>
      <c r="AO99" s="1237"/>
      <c r="AP99" s="601"/>
      <c r="AQ99" s="601"/>
      <c r="AR99" s="601"/>
      <c r="AS99" s="601"/>
      <c r="AT99" s="601"/>
      <c r="AU99" s="6"/>
      <c r="AV99" s="6"/>
      <c r="AW99" s="6"/>
      <c r="AX99" s="6"/>
      <c r="AY99" s="6"/>
      <c r="AZ99" s="6"/>
      <c r="BA99" s="6"/>
      <c r="BB99" s="6"/>
      <c r="BC99" s="6"/>
      <c r="BD99" s="6"/>
      <c r="BE99" s="6"/>
      <c r="BF99" s="6"/>
      <c r="BG99" s="6"/>
      <c r="BH99" s="6"/>
      <c r="BI99" s="6"/>
      <c r="BJ99" s="6"/>
      <c r="BK99" s="6"/>
      <c r="BL99" s="6"/>
      <c r="BM99" s="6"/>
      <c r="BN99" s="6"/>
      <c r="BO99" s="6"/>
      <c r="BP99" s="6"/>
      <c r="BQ99" s="6"/>
      <c r="BR99" s="6"/>
      <c r="BS99" s="6"/>
    </row>
    <row r="100" spans="1:71" outlineLevel="1">
      <c r="A100" s="550" t="s">
        <v>1233</v>
      </c>
      <c r="B100" s="601"/>
      <c r="C100" s="622"/>
      <c r="D100" s="622"/>
      <c r="E100" s="622"/>
      <c r="F100" s="623">
        <v>25000</v>
      </c>
      <c r="G100" s="622">
        <f t="shared" ref="G100:Y100" si="100">F100*(1+G101)</f>
        <v>25750</v>
      </c>
      <c r="H100" s="622">
        <f t="shared" si="100"/>
        <v>26007.5</v>
      </c>
      <c r="I100" s="622">
        <f t="shared" si="100"/>
        <v>26787.725000000002</v>
      </c>
      <c r="J100" s="622">
        <f t="shared" si="100"/>
        <v>27591.356750000003</v>
      </c>
      <c r="K100" s="622">
        <f t="shared" si="100"/>
        <v>27591.356750000003</v>
      </c>
      <c r="L100" s="622">
        <f t="shared" si="100"/>
        <v>27867.270317500002</v>
      </c>
      <c r="M100" s="622">
        <f t="shared" si="100"/>
        <v>28981.961130200005</v>
      </c>
      <c r="N100" s="622">
        <f t="shared" si="100"/>
        <v>31010.698409314005</v>
      </c>
      <c r="O100" s="622">
        <f t="shared" si="100"/>
        <v>31010.698409314005</v>
      </c>
      <c r="P100" s="622">
        <f t="shared" si="100"/>
        <v>29460.163488848302</v>
      </c>
      <c r="Q100" s="622">
        <f t="shared" si="100"/>
        <v>27987.155314405885</v>
      </c>
      <c r="R100" s="622">
        <f t="shared" si="100"/>
        <v>23695.554283540132</v>
      </c>
      <c r="S100" s="622">
        <f t="shared" si="100"/>
        <v>20025.752949023001</v>
      </c>
      <c r="T100" s="622">
        <f t="shared" si="100"/>
        <v>27086.062462683651</v>
      </c>
      <c r="U100" s="622">
        <f t="shared" si="100"/>
        <v>23210.955414309235</v>
      </c>
      <c r="V100" s="622">
        <f t="shared" si="100"/>
        <v>25587.715721347366</v>
      </c>
      <c r="W100" s="622">
        <f>V100*(1+W101)</f>
        <v>23214.8653370473</v>
      </c>
      <c r="X100" s="622">
        <f t="shared" si="100"/>
        <v>25218.348478897653</v>
      </c>
      <c r="Y100" s="622">
        <f t="shared" si="100"/>
        <v>23950.090185154444</v>
      </c>
      <c r="Z100" s="622">
        <f t="shared" ref="Z100:AF100" si="101">Y100*(1+Z101)</f>
        <v>24644.688934899787</v>
      </c>
      <c r="AA100" s="622">
        <f t="shared" si="101"/>
        <v>24711.993640011067</v>
      </c>
      <c r="AB100" s="622">
        <f>AA100*(1+AB101)</f>
        <v>24711.993640011067</v>
      </c>
      <c r="AC100" s="622">
        <f t="shared" si="101"/>
        <v>24464.873703610956</v>
      </c>
      <c r="AD100" s="622">
        <f t="shared" si="101"/>
        <v>24220.224966574846</v>
      </c>
      <c r="AE100" s="1257">
        <f t="shared" si="101"/>
        <v>23978.022716909098</v>
      </c>
      <c r="AF100" s="1257">
        <f t="shared" si="101"/>
        <v>23738.242489740005</v>
      </c>
      <c r="AG100" s="1257">
        <f t="shared" ref="AG100:AL100" si="102">AF100*(1+AG101)</f>
        <v>23500.860064842604</v>
      </c>
      <c r="AH100" s="1257">
        <f t="shared" si="102"/>
        <v>23265.851464194177</v>
      </c>
      <c r="AI100" s="1257">
        <f t="shared" si="102"/>
        <v>23033.192949552234</v>
      </c>
      <c r="AJ100" s="1257">
        <f t="shared" si="102"/>
        <v>22802.861020056713</v>
      </c>
      <c r="AK100" s="1257">
        <f t="shared" si="102"/>
        <v>22574.832409856146</v>
      </c>
      <c r="AL100" s="1257">
        <f t="shared" si="102"/>
        <v>22349.084085757586</v>
      </c>
      <c r="AM100" s="1238"/>
      <c r="AN100" s="1238"/>
      <c r="AO100" s="1238"/>
      <c r="AP100" s="622"/>
      <c r="AQ100" s="622"/>
      <c r="AR100" s="622"/>
      <c r="AS100" s="622"/>
      <c r="AT100" s="622"/>
      <c r="AU100" s="6"/>
      <c r="AV100" s="6"/>
      <c r="AW100" s="6"/>
      <c r="AX100" s="6"/>
      <c r="AY100" s="6"/>
      <c r="AZ100" s="6"/>
      <c r="BA100" s="6"/>
      <c r="BB100" s="6"/>
      <c r="BC100" s="6"/>
      <c r="BD100" s="6"/>
      <c r="BE100" s="6"/>
      <c r="BF100" s="6"/>
      <c r="BG100" s="6"/>
      <c r="BH100" s="6"/>
      <c r="BI100" s="6"/>
      <c r="BJ100" s="6"/>
      <c r="BK100" s="6"/>
      <c r="BL100" s="6"/>
      <c r="BM100" s="6"/>
      <c r="BN100" s="6"/>
      <c r="BO100" s="6"/>
      <c r="BP100" s="6"/>
      <c r="BQ100" s="6"/>
      <c r="BR100" s="6"/>
      <c r="BS100" s="6"/>
    </row>
    <row r="101" spans="1:71" outlineLevel="1">
      <c r="A101" s="550"/>
      <c r="B101" s="601"/>
      <c r="C101" s="622"/>
      <c r="D101" s="622"/>
      <c r="E101" s="622"/>
      <c r="F101" s="624"/>
      <c r="G101" s="130">
        <v>0.03</v>
      </c>
      <c r="H101" s="130">
        <v>0.01</v>
      </c>
      <c r="I101" s="130">
        <v>0.03</v>
      </c>
      <c r="J101" s="130">
        <v>0.03</v>
      </c>
      <c r="K101" s="130">
        <v>0</v>
      </c>
      <c r="L101" s="130">
        <v>0.01</v>
      </c>
      <c r="M101" s="130">
        <v>0.04</v>
      </c>
      <c r="N101" s="130">
        <v>7.0000000000000007E-2</v>
      </c>
      <c r="O101" s="130">
        <v>0</v>
      </c>
      <c r="P101" s="130">
        <f>+-0.05</f>
        <v>-0.05</v>
      </c>
      <c r="Q101" s="130">
        <f>+-0.05</f>
        <v>-0.05</v>
      </c>
      <c r="R101" s="130">
        <f>+Scenarios!C53</f>
        <v>-0.15334180922120111</v>
      </c>
      <c r="S101" s="511">
        <f>+Scenarios!D53</f>
        <v>-0.15487298970112384</v>
      </c>
      <c r="T101" s="511">
        <f>+Scenarios!E53</f>
        <v>0.35256150076519854</v>
      </c>
      <c r="U101" s="511">
        <f>+Scenarios!F53</f>
        <v>-0.14306645913237237</v>
      </c>
      <c r="V101" s="511">
        <f>+Scenarios!G53</f>
        <v>0.10239821087127199</v>
      </c>
      <c r="W101" s="511">
        <f>+Scenarios!H53</f>
        <v>-9.2733966960577119E-2</v>
      </c>
      <c r="X101" s="511">
        <f>+Scenarios!I53</f>
        <v>8.6301734374185868E-2</v>
      </c>
      <c r="Y101" s="511">
        <f>+Scenarios!J53</f>
        <v>-5.029109240854801E-2</v>
      </c>
      <c r="Z101" s="511">
        <f>+Scenarios!K53</f>
        <v>2.9001926271488232E-2</v>
      </c>
      <c r="AA101" s="511">
        <f>+Scenarios!L53</f>
        <v>2.731002419591011E-3</v>
      </c>
      <c r="AB101" s="511">
        <f>+Scenarios!M53</f>
        <v>0</v>
      </c>
      <c r="AC101" s="511">
        <f>+Scenarios!N53</f>
        <v>-0.01</v>
      </c>
      <c r="AD101" s="511">
        <f>+Scenarios!O53</f>
        <v>-0.01</v>
      </c>
      <c r="AE101" s="511">
        <f>+Scenarios!P53</f>
        <v>-0.01</v>
      </c>
      <c r="AF101" s="511">
        <f>+Scenarios!Q53</f>
        <v>-0.01</v>
      </c>
      <c r="AG101" s="511">
        <f>+Scenarios!R53</f>
        <v>-0.01</v>
      </c>
      <c r="AH101" s="511">
        <f>+Scenarios!S53</f>
        <v>-0.01</v>
      </c>
      <c r="AI101" s="511">
        <f>+Scenarios!T53</f>
        <v>-0.01</v>
      </c>
      <c r="AJ101" s="511">
        <f>+Scenarios!U53</f>
        <v>-0.01</v>
      </c>
      <c r="AK101" s="511">
        <f>+Scenarios!V53</f>
        <v>-0.01</v>
      </c>
      <c r="AL101" s="511">
        <f>+Scenarios!W53</f>
        <v>-0.01</v>
      </c>
      <c r="AM101" s="1239"/>
      <c r="AN101" s="1239"/>
      <c r="AO101" s="1239"/>
      <c r="AP101" s="130"/>
      <c r="AQ101" s="130"/>
      <c r="AR101" s="130"/>
      <c r="AS101" s="130"/>
      <c r="AT101" s="130"/>
      <c r="AU101" s="6"/>
      <c r="AV101" s="6"/>
      <c r="AW101" s="6"/>
      <c r="AX101" s="6"/>
      <c r="AY101" s="6"/>
      <c r="AZ101" s="6"/>
      <c r="BA101" s="6"/>
      <c r="BB101" s="6"/>
      <c r="BC101" s="6"/>
      <c r="BD101" s="6"/>
      <c r="BE101" s="6"/>
      <c r="BF101" s="6"/>
      <c r="BG101" s="6"/>
      <c r="BH101" s="6"/>
      <c r="BI101" s="6"/>
      <c r="BJ101" s="6"/>
      <c r="BK101" s="6"/>
      <c r="BL101" s="6"/>
      <c r="BM101" s="6"/>
      <c r="BN101" s="6"/>
      <c r="BO101" s="6"/>
      <c r="BP101" s="6"/>
      <c r="BQ101" s="6"/>
      <c r="BR101" s="6"/>
      <c r="BS101" s="6"/>
    </row>
    <row r="102" spans="1:71" outlineLevel="1">
      <c r="A102" s="550" t="s">
        <v>1234</v>
      </c>
      <c r="B102" s="601"/>
      <c r="C102" s="622"/>
      <c r="D102" s="622"/>
      <c r="E102" s="622"/>
      <c r="F102" s="622">
        <f t="shared" ref="F102:Y102" si="103">+F100*0.85</f>
        <v>21250</v>
      </c>
      <c r="G102" s="622">
        <f t="shared" si="103"/>
        <v>21887.5</v>
      </c>
      <c r="H102" s="622">
        <f t="shared" si="103"/>
        <v>22106.375</v>
      </c>
      <c r="I102" s="622">
        <f t="shared" si="103"/>
        <v>22769.56625</v>
      </c>
      <c r="J102" s="622">
        <f t="shared" si="103"/>
        <v>23452.653237500002</v>
      </c>
      <c r="K102" s="622">
        <f t="shared" si="103"/>
        <v>23452.653237500002</v>
      </c>
      <c r="L102" s="622">
        <f t="shared" si="103"/>
        <v>23687.179769875002</v>
      </c>
      <c r="M102" s="622">
        <f t="shared" si="103"/>
        <v>24634.666960670005</v>
      </c>
      <c r="N102" s="622">
        <f t="shared" si="103"/>
        <v>26359.093647916903</v>
      </c>
      <c r="O102" s="622">
        <f t="shared" si="103"/>
        <v>26359.093647916903</v>
      </c>
      <c r="P102" s="622">
        <f t="shared" si="103"/>
        <v>25041.138965521055</v>
      </c>
      <c r="Q102" s="622">
        <f t="shared" si="103"/>
        <v>23789.082017245</v>
      </c>
      <c r="R102" s="622">
        <f t="shared" si="103"/>
        <v>20141.221141009111</v>
      </c>
      <c r="S102" s="622">
        <f t="shared" si="103"/>
        <v>17021.89000666955</v>
      </c>
      <c r="T102" s="622">
        <f t="shared" si="103"/>
        <v>23023.153093281104</v>
      </c>
      <c r="U102" s="622">
        <f t="shared" si="103"/>
        <v>19729.31210216285</v>
      </c>
      <c r="V102" s="622">
        <f t="shared" si="103"/>
        <v>21749.558363145261</v>
      </c>
      <c r="W102" s="622">
        <f>+W100*0.85</f>
        <v>19732.635536490205</v>
      </c>
      <c r="X102" s="622">
        <f t="shared" si="103"/>
        <v>21435.596207063005</v>
      </c>
      <c r="Y102" s="622">
        <f t="shared" si="103"/>
        <v>20357.576657381276</v>
      </c>
      <c r="Z102" s="622">
        <f t="shared" ref="Z102:AF102" si="104">+Z100*0.85</f>
        <v>20947.985594664817</v>
      </c>
      <c r="AA102" s="1767">
        <f t="shared" si="104"/>
        <v>21005.194594009408</v>
      </c>
      <c r="AB102" s="1767">
        <f t="shared" si="104"/>
        <v>21005.194594009408</v>
      </c>
      <c r="AC102" s="1767">
        <f t="shared" si="104"/>
        <v>20795.142648069312</v>
      </c>
      <c r="AD102" s="1767">
        <f t="shared" si="104"/>
        <v>20587.191221588619</v>
      </c>
      <c r="AE102" s="1767">
        <f t="shared" si="104"/>
        <v>20381.319309372731</v>
      </c>
      <c r="AF102" s="1767">
        <f t="shared" si="104"/>
        <v>20177.506116279004</v>
      </c>
      <c r="AG102" s="1767">
        <f t="shared" ref="AG102:AL102" si="105">+AG100*0.85</f>
        <v>19975.731055116212</v>
      </c>
      <c r="AH102" s="1767">
        <f t="shared" si="105"/>
        <v>19775.97374456505</v>
      </c>
      <c r="AI102" s="1767">
        <f t="shared" si="105"/>
        <v>19578.214007119397</v>
      </c>
      <c r="AJ102" s="1767">
        <f t="shared" si="105"/>
        <v>19382.431867048206</v>
      </c>
      <c r="AK102" s="1767">
        <f t="shared" si="105"/>
        <v>19188.607548377724</v>
      </c>
      <c r="AL102" s="1767">
        <f t="shared" si="105"/>
        <v>18996.721472893947</v>
      </c>
      <c r="AM102" s="1238"/>
      <c r="AN102" s="1238"/>
      <c r="AO102" s="1238"/>
      <c r="AP102" s="622"/>
      <c r="AQ102" s="622"/>
      <c r="AR102" s="622"/>
      <c r="AS102" s="622"/>
      <c r="AT102" s="622"/>
      <c r="AU102" s="6"/>
      <c r="AV102" s="6"/>
      <c r="AW102" s="6"/>
      <c r="AX102" s="6"/>
      <c r="AY102" s="6"/>
      <c r="AZ102" s="6"/>
      <c r="BA102" s="6"/>
      <c r="BB102" s="6"/>
      <c r="BC102" s="6"/>
      <c r="BD102" s="6"/>
      <c r="BE102" s="6"/>
      <c r="BF102" s="6"/>
      <c r="BG102" s="6"/>
      <c r="BH102" s="6"/>
      <c r="BI102" s="6"/>
      <c r="BJ102" s="6"/>
      <c r="BK102" s="6"/>
      <c r="BL102" s="6"/>
      <c r="BM102" s="6"/>
      <c r="BN102" s="6"/>
      <c r="BO102" s="6"/>
      <c r="BP102" s="6"/>
      <c r="BQ102" s="6"/>
      <c r="BR102" s="6"/>
      <c r="BS102" s="6"/>
    </row>
    <row r="103" spans="1:71" outlineLevel="1">
      <c r="A103" s="550" t="s">
        <v>1235</v>
      </c>
      <c r="B103" s="601"/>
      <c r="C103" s="622"/>
      <c r="D103" s="622"/>
      <c r="E103" s="622"/>
      <c r="F103" s="38">
        <f>F33/F100</f>
        <v>0.20512</v>
      </c>
      <c r="G103" s="38">
        <f>G33/G100</f>
        <v>0.20815145631067961</v>
      </c>
      <c r="H103" s="38">
        <f>H33/H100</f>
        <v>0.22055560895895415</v>
      </c>
      <c r="I103" s="130">
        <f>I97</f>
        <v>0.25494134969798832</v>
      </c>
      <c r="J103" s="130">
        <f>+I103</f>
        <v>0.25494134969798832</v>
      </c>
      <c r="K103" s="130">
        <f>+J103</f>
        <v>0.25494134969798832</v>
      </c>
      <c r="L103" s="130">
        <f>L97</f>
        <v>0.26011970287726077</v>
      </c>
      <c r="M103" s="130">
        <f t="shared" ref="M103:Y103" si="106">+L103</f>
        <v>0.26011970287726077</v>
      </c>
      <c r="N103" s="130">
        <f t="shared" si="106"/>
        <v>0.26011970287726077</v>
      </c>
      <c r="O103" s="130">
        <f t="shared" si="106"/>
        <v>0.26011970287726077</v>
      </c>
      <c r="P103" s="130">
        <f t="shared" si="106"/>
        <v>0.26011970287726077</v>
      </c>
      <c r="Q103" s="130">
        <f t="shared" si="106"/>
        <v>0.26011970287726077</v>
      </c>
      <c r="R103" s="130">
        <f t="shared" si="106"/>
        <v>0.26011970287726077</v>
      </c>
      <c r="S103" s="130">
        <f t="shared" si="106"/>
        <v>0.26011970287726077</v>
      </c>
      <c r="T103" s="130">
        <f t="shared" si="106"/>
        <v>0.26011970287726077</v>
      </c>
      <c r="U103" s="130">
        <f t="shared" si="106"/>
        <v>0.26011970287726077</v>
      </c>
      <c r="V103" s="130">
        <f t="shared" si="106"/>
        <v>0.26011970287726077</v>
      </c>
      <c r="W103" s="130">
        <f t="shared" si="106"/>
        <v>0.26011970287726077</v>
      </c>
      <c r="X103" s="130">
        <f t="shared" si="106"/>
        <v>0.26011970287726077</v>
      </c>
      <c r="Y103" s="130">
        <f t="shared" si="106"/>
        <v>0.26011970287726077</v>
      </c>
      <c r="Z103" s="130">
        <f>+Y103</f>
        <v>0.26011970287726077</v>
      </c>
      <c r="AA103" s="1482">
        <f>+Z103</f>
        <v>0.26011970287726077</v>
      </c>
      <c r="AB103" s="1482">
        <f t="shared" ref="AB103:AL103" si="107">+AA103</f>
        <v>0.26011970287726077</v>
      </c>
      <c r="AC103" s="1482">
        <f t="shared" si="107"/>
        <v>0.26011970287726077</v>
      </c>
      <c r="AD103" s="1482">
        <f t="shared" si="107"/>
        <v>0.26011970287726077</v>
      </c>
      <c r="AE103" s="1482">
        <f t="shared" si="107"/>
        <v>0.26011970287726077</v>
      </c>
      <c r="AF103" s="1482">
        <f t="shared" si="107"/>
        <v>0.26011970287726077</v>
      </c>
      <c r="AG103" s="1482">
        <f t="shared" si="107"/>
        <v>0.26011970287726077</v>
      </c>
      <c r="AH103" s="1482">
        <f t="shared" si="107"/>
        <v>0.26011970287726077</v>
      </c>
      <c r="AI103" s="1482">
        <f t="shared" si="107"/>
        <v>0.26011970287726077</v>
      </c>
      <c r="AJ103" s="1482">
        <f t="shared" si="107"/>
        <v>0.26011970287726077</v>
      </c>
      <c r="AK103" s="1482">
        <f t="shared" si="107"/>
        <v>0.26011970287726077</v>
      </c>
      <c r="AL103" s="1482">
        <f t="shared" si="107"/>
        <v>0.26011970287726077</v>
      </c>
      <c r="AM103" s="474"/>
      <c r="AN103" s="474"/>
      <c r="AO103" s="474"/>
      <c r="AP103" s="130"/>
      <c r="AQ103" s="130"/>
      <c r="AR103" s="130"/>
      <c r="AS103" s="130"/>
      <c r="AT103" s="130"/>
      <c r="AU103" s="6"/>
      <c r="AV103" s="6"/>
      <c r="AW103" s="6"/>
      <c r="AX103" s="6"/>
      <c r="AY103" s="6"/>
      <c r="AZ103" s="6"/>
      <c r="BA103" s="6"/>
      <c r="BB103" s="6"/>
      <c r="BC103" s="6"/>
      <c r="BD103" s="6"/>
      <c r="BE103" s="6"/>
      <c r="BF103" s="6"/>
      <c r="BG103" s="6"/>
      <c r="BH103" s="6"/>
      <c r="BI103" s="6"/>
      <c r="BJ103" s="6"/>
      <c r="BK103" s="6"/>
      <c r="BL103" s="6"/>
      <c r="BM103" s="6"/>
      <c r="BN103" s="6"/>
      <c r="BO103" s="6"/>
      <c r="BP103" s="6"/>
      <c r="BQ103" s="6"/>
      <c r="BR103" s="6"/>
      <c r="BS103" s="6"/>
    </row>
    <row r="104" spans="1:71" outlineLevel="1">
      <c r="A104" s="550" t="s">
        <v>1236</v>
      </c>
      <c r="B104" s="601"/>
      <c r="C104" s="622"/>
      <c r="D104" s="622"/>
      <c r="E104" s="622"/>
      <c r="F104" s="38">
        <f>F35/F102</f>
        <v>0.20512</v>
      </c>
      <c r="G104" s="38">
        <f>G35/G102</f>
        <v>0.20815145631067961</v>
      </c>
      <c r="H104" s="38">
        <f>H35/H102</f>
        <v>0.22055560895895415</v>
      </c>
      <c r="I104" s="130">
        <f t="shared" ref="I104:AA104" si="108">I103</f>
        <v>0.25494134969798832</v>
      </c>
      <c r="J104" s="130">
        <f t="shared" si="108"/>
        <v>0.25494134969798832</v>
      </c>
      <c r="K104" s="130">
        <f t="shared" si="108"/>
        <v>0.25494134969798832</v>
      </c>
      <c r="L104" s="130">
        <f t="shared" si="108"/>
        <v>0.26011970287726077</v>
      </c>
      <c r="M104" s="130">
        <f t="shared" si="108"/>
        <v>0.26011970287726077</v>
      </c>
      <c r="N104" s="130">
        <f t="shared" si="108"/>
        <v>0.26011970287726077</v>
      </c>
      <c r="O104" s="130">
        <f t="shared" si="108"/>
        <v>0.26011970287726077</v>
      </c>
      <c r="P104" s="130">
        <f t="shared" si="108"/>
        <v>0.26011970287726077</v>
      </c>
      <c r="Q104" s="130">
        <f t="shared" si="108"/>
        <v>0.26011970287726077</v>
      </c>
      <c r="R104" s="130">
        <f t="shared" si="108"/>
        <v>0.26011970287726077</v>
      </c>
      <c r="S104" s="130">
        <f t="shared" si="108"/>
        <v>0.26011970287726077</v>
      </c>
      <c r="T104" s="130">
        <f t="shared" si="108"/>
        <v>0.26011970287726077</v>
      </c>
      <c r="U104" s="130">
        <f t="shared" si="108"/>
        <v>0.26011970287726077</v>
      </c>
      <c r="V104" s="130">
        <f t="shared" si="108"/>
        <v>0.26011970287726077</v>
      </c>
      <c r="W104" s="130">
        <f t="shared" si="108"/>
        <v>0.26011970287726077</v>
      </c>
      <c r="X104" s="130">
        <f t="shared" si="108"/>
        <v>0.26011970287726077</v>
      </c>
      <c r="Y104" s="130">
        <f t="shared" si="108"/>
        <v>0.26011970287726077</v>
      </c>
      <c r="Z104" s="130">
        <f t="shared" si="108"/>
        <v>0.26011970287726077</v>
      </c>
      <c r="AA104" s="1482">
        <f t="shared" si="108"/>
        <v>0.26011970287726077</v>
      </c>
      <c r="AB104" s="1482">
        <f t="shared" ref="AB104:AL104" si="109">AB103</f>
        <v>0.26011970287726077</v>
      </c>
      <c r="AC104" s="1482">
        <f t="shared" si="109"/>
        <v>0.26011970287726077</v>
      </c>
      <c r="AD104" s="1482">
        <f t="shared" si="109"/>
        <v>0.26011970287726077</v>
      </c>
      <c r="AE104" s="1482">
        <f t="shared" si="109"/>
        <v>0.26011970287726077</v>
      </c>
      <c r="AF104" s="1482">
        <f t="shared" si="109"/>
        <v>0.26011970287726077</v>
      </c>
      <c r="AG104" s="1482">
        <f t="shared" si="109"/>
        <v>0.26011970287726077</v>
      </c>
      <c r="AH104" s="1482">
        <f t="shared" si="109"/>
        <v>0.26011970287726077</v>
      </c>
      <c r="AI104" s="1482">
        <f t="shared" si="109"/>
        <v>0.26011970287726077</v>
      </c>
      <c r="AJ104" s="1482">
        <f t="shared" si="109"/>
        <v>0.26011970287726077</v>
      </c>
      <c r="AK104" s="1482">
        <f t="shared" si="109"/>
        <v>0.26011970287726077</v>
      </c>
      <c r="AL104" s="1482">
        <f t="shared" si="109"/>
        <v>0.26011970287726077</v>
      </c>
      <c r="AM104" s="474"/>
      <c r="AN104" s="474"/>
      <c r="AO104" s="474"/>
      <c r="AP104" s="130"/>
      <c r="AQ104" s="130"/>
      <c r="AR104" s="130"/>
      <c r="AS104" s="130"/>
      <c r="AT104" s="130"/>
      <c r="AU104" s="6"/>
      <c r="AV104" s="6"/>
      <c r="AW104" s="6"/>
      <c r="AX104" s="6"/>
      <c r="AY104" s="6"/>
      <c r="AZ104" s="6"/>
      <c r="BA104" s="6"/>
      <c r="BB104" s="6"/>
      <c r="BC104" s="6"/>
      <c r="BD104" s="6"/>
      <c r="BE104" s="6"/>
      <c r="BF104" s="6"/>
      <c r="BG104" s="6"/>
      <c r="BH104" s="6"/>
      <c r="BI104" s="6"/>
      <c r="BJ104" s="6"/>
      <c r="BK104" s="6"/>
      <c r="BL104" s="6"/>
      <c r="BM104" s="6"/>
      <c r="BN104" s="6"/>
      <c r="BO104" s="6"/>
      <c r="BP104" s="6"/>
      <c r="BQ104" s="6"/>
      <c r="BR104" s="6"/>
      <c r="BS104" s="6"/>
    </row>
    <row r="105" spans="1:71">
      <c r="AA105" s="1577"/>
      <c r="AB105" s="1577"/>
      <c r="AC105" s="1577"/>
      <c r="AD105" s="1577"/>
      <c r="AE105" s="1577"/>
      <c r="AF105" s="1577"/>
      <c r="AG105" s="1577"/>
      <c r="AH105" s="1577"/>
      <c r="AI105" s="1577"/>
      <c r="AJ105" s="1577"/>
      <c r="AK105" s="1577"/>
      <c r="AL105" s="1577"/>
    </row>
  </sheetData>
  <phoneticPr fontId="3" type="noConversion"/>
  <pageMargins left="0.75" right="0.75" top="1" bottom="1" header="0.5" footer="0.5"/>
  <pageSetup scale="38" orientation="portrait" horizontalDpi="300" r:id="rId1"/>
  <headerFooter alignWithMargins="0"/>
  <ignoredErrors>
    <ignoredError sqref="V35:Y35 V37:AI41 V36:Y36 AD36:AI36 AC35:AH35 AI35:AJ35 AK35:AL35 T75:AL75 Z35:AA35" formula="1"/>
  </ignoredErrors>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C85"/>
  <sheetViews>
    <sheetView showGridLines="0" workbookViewId="0">
      <pane xSplit="1" ySplit="5" topLeftCell="D6" activePane="bottomRight" state="frozen"/>
      <selection activeCell="CA93" sqref="CA93"/>
      <selection pane="topRight" activeCell="CA93" sqref="CA93"/>
      <selection pane="bottomLeft" activeCell="CA93" sqref="CA93"/>
      <selection pane="bottomRight" activeCell="AG42" sqref="AG42"/>
    </sheetView>
  </sheetViews>
  <sheetFormatPr defaultRowHeight="12.75" outlineLevelCol="1"/>
  <cols>
    <col min="1" max="1" width="30.140625" customWidth="1"/>
    <col min="2" max="8" width="9.140625" hidden="1" customWidth="1" outlineLevel="1"/>
    <col min="9" max="9" width="9.140625" hidden="1" customWidth="1" outlineLevel="1" collapsed="1"/>
    <col min="10" max="10" width="9.140625" hidden="1" customWidth="1" outlineLevel="1"/>
    <col min="11" max="11" width="9.140625" hidden="1" customWidth="1" outlineLevel="1" collapsed="1"/>
    <col min="12" max="14" width="9.140625" hidden="1" customWidth="1" outlineLevel="1"/>
    <col min="15" max="15" width="9.140625" collapsed="1"/>
  </cols>
  <sheetData>
    <row r="1" spans="1:28">
      <c r="A1" s="479" t="s">
        <v>638</v>
      </c>
      <c r="B1" s="38"/>
      <c r="C1" s="38"/>
      <c r="D1" s="38"/>
      <c r="E1" s="38"/>
      <c r="F1" s="314"/>
      <c r="G1" s="314"/>
      <c r="H1" s="314"/>
      <c r="I1" s="314"/>
      <c r="J1" s="314"/>
      <c r="K1" s="314"/>
      <c r="L1" s="314"/>
      <c r="M1" s="314"/>
      <c r="N1" s="314"/>
      <c r="O1" s="314"/>
      <c r="P1" s="314"/>
      <c r="Q1" s="314"/>
      <c r="R1" s="314"/>
      <c r="U1" s="1048"/>
      <c r="V1" s="1048"/>
      <c r="W1" s="1048"/>
      <c r="X1" s="1048"/>
      <c r="Y1" s="1048"/>
      <c r="Z1" s="1048"/>
    </row>
    <row r="2" spans="1:28">
      <c r="A2" s="479"/>
      <c r="B2" s="38"/>
      <c r="C2" s="38"/>
      <c r="D2" s="38"/>
      <c r="E2" s="38"/>
      <c r="F2" s="314"/>
      <c r="G2" s="314"/>
      <c r="H2" s="314"/>
      <c r="I2" s="314"/>
      <c r="J2" s="314"/>
      <c r="K2" s="314"/>
      <c r="L2" s="314"/>
      <c r="M2" s="314"/>
      <c r="N2" s="314"/>
      <c r="O2" s="314"/>
      <c r="P2" s="314"/>
      <c r="Q2" s="314"/>
      <c r="R2" s="314"/>
      <c r="U2" s="1048"/>
      <c r="V2" s="1048"/>
      <c r="W2" s="1048"/>
      <c r="X2" s="1048"/>
      <c r="Y2" s="1048"/>
      <c r="Z2" s="1048"/>
    </row>
    <row r="3" spans="1:28">
      <c r="A3" s="480"/>
      <c r="B3" s="39"/>
      <c r="C3" s="39"/>
      <c r="D3" s="38"/>
      <c r="E3" s="314"/>
      <c r="F3" s="314"/>
      <c r="G3" s="314"/>
      <c r="H3" s="314"/>
      <c r="I3" s="314"/>
      <c r="J3" s="314"/>
      <c r="K3" s="314"/>
      <c r="L3" s="314"/>
      <c r="M3" s="314"/>
      <c r="N3" s="314"/>
      <c r="O3" s="314"/>
      <c r="P3" s="314"/>
      <c r="Q3" s="314"/>
      <c r="R3" s="314"/>
      <c r="U3" s="1048"/>
      <c r="V3" s="1048"/>
      <c r="W3" s="1048"/>
      <c r="X3" s="1048"/>
      <c r="Y3" s="1048"/>
      <c r="Z3" s="1048"/>
    </row>
    <row r="4" spans="1:28">
      <c r="A4" s="480"/>
      <c r="B4" s="314"/>
      <c r="C4" s="314"/>
      <c r="D4" s="314"/>
      <c r="E4" s="314"/>
      <c r="F4" s="314"/>
      <c r="G4" s="314"/>
      <c r="H4" s="314"/>
      <c r="I4" s="314"/>
      <c r="J4" s="314"/>
      <c r="K4" s="314"/>
      <c r="L4" s="314"/>
      <c r="M4" s="314"/>
      <c r="N4" s="314"/>
      <c r="O4" s="314"/>
      <c r="P4" s="314"/>
      <c r="Q4" s="314"/>
      <c r="R4" s="314"/>
      <c r="U4" s="1048"/>
      <c r="V4" s="1048"/>
      <c r="W4" s="1048"/>
      <c r="X4" s="1048"/>
      <c r="Y4" s="1048"/>
      <c r="Z4" s="1048"/>
    </row>
    <row r="5" spans="1:28">
      <c r="A5" s="496" t="s">
        <v>741</v>
      </c>
      <c r="B5" s="481">
        <v>2002</v>
      </c>
      <c r="C5" s="481">
        <v>2003</v>
      </c>
      <c r="D5" s="481">
        <v>2004</v>
      </c>
      <c r="E5" s="481">
        <v>2005</v>
      </c>
      <c r="F5" s="481">
        <v>2006</v>
      </c>
      <c r="G5" s="481">
        <v>2007</v>
      </c>
      <c r="H5" s="481">
        <v>2008</v>
      </c>
      <c r="I5" s="481">
        <v>2009</v>
      </c>
      <c r="J5" s="481">
        <v>2010</v>
      </c>
      <c r="K5" s="481">
        <v>2011</v>
      </c>
      <c r="L5" s="481">
        <v>2012</v>
      </c>
      <c r="M5" s="481">
        <v>2013</v>
      </c>
      <c r="N5" s="481">
        <v>2014</v>
      </c>
      <c r="O5" s="481">
        <v>2015</v>
      </c>
      <c r="P5" s="532">
        <v>2016</v>
      </c>
      <c r="Q5" s="532" t="s">
        <v>469</v>
      </c>
      <c r="R5" s="532" t="s">
        <v>618</v>
      </c>
      <c r="S5" s="532" t="s">
        <v>385</v>
      </c>
      <c r="T5" s="532" t="s">
        <v>1080</v>
      </c>
      <c r="U5" s="532" t="s">
        <v>345</v>
      </c>
      <c r="V5" s="532" t="s">
        <v>346</v>
      </c>
      <c r="W5" s="532" t="s">
        <v>1122</v>
      </c>
      <c r="X5" s="532" t="s">
        <v>1123</v>
      </c>
      <c r="Y5" s="532" t="s">
        <v>1519</v>
      </c>
      <c r="Z5" s="532" t="s">
        <v>1609</v>
      </c>
      <c r="AA5" s="532" t="s">
        <v>1698</v>
      </c>
      <c r="AB5" s="532" t="s">
        <v>1803</v>
      </c>
    </row>
    <row r="6" spans="1:28">
      <c r="A6" s="84" t="s">
        <v>863</v>
      </c>
      <c r="B6" s="198">
        <f>'Revenue and OCF'!O83</f>
        <v>-54.100000000000051</v>
      </c>
      <c r="C6" s="198">
        <f>'Revenue and OCF'!P83</f>
        <v>-71.299999999999983</v>
      </c>
      <c r="D6" s="198">
        <f>'Revenue and OCF'!Q83</f>
        <v>-96.69999999999996</v>
      </c>
      <c r="E6" s="198">
        <f>'Revenue and OCF'!R83</f>
        <v>-118.7</v>
      </c>
      <c r="F6" s="198">
        <f>'Revenue and OCF'!S83</f>
        <v>-162.9</v>
      </c>
      <c r="G6" s="198">
        <f>'Revenue and OCF'!W83+'Revenue and OCF'!W84</f>
        <v>-255.5</v>
      </c>
      <c r="H6" s="198">
        <f>'Revenue and OCF'!X83+'Revenue and OCF'!X84</f>
        <v>-224.7</v>
      </c>
      <c r="I6" s="198">
        <f>'Revenue and OCF'!Y83+'Revenue and OCF'!Y84</f>
        <v>-290.8</v>
      </c>
      <c r="J6" s="198">
        <f>'Revenue and OCF'!Z83+'Revenue and OCF'!Z84</f>
        <v>-323.3</v>
      </c>
      <c r="K6" s="198">
        <f>'Revenue and OCF'!AA83+'Revenue and OCF'!AA84</f>
        <v>-309</v>
      </c>
      <c r="L6" s="198">
        <f>'Revenue and OCF'!AB83+'Revenue and OCF'!AB84</f>
        <v>-296</v>
      </c>
      <c r="M6" s="198">
        <f>'Revenue and OCF'!AC83+'Revenue and OCF'!AC84</f>
        <v>-342</v>
      </c>
      <c r="N6" s="198">
        <f>'Revenue and OCF'!AD83+'Revenue and OCF'!AD84</f>
        <v>-269</v>
      </c>
      <c r="O6" s="198">
        <f>'Revenue and OCF'!AG83+'Revenue and OCF'!AG84</f>
        <v>-245</v>
      </c>
      <c r="P6" s="198">
        <f>'Revenue and OCF'!AH83+'Revenue and OCF'!AH84</f>
        <v>-320</v>
      </c>
      <c r="Q6" s="198">
        <f>'Revenue and OCF'!AJ83+'Revenue and OCF'!AJ84</f>
        <v>-326</v>
      </c>
      <c r="R6" s="198">
        <f>'Revenue and OCF'!AK83+'Revenue and OCF'!AK84</f>
        <v>-339.03999999999996</v>
      </c>
      <c r="S6" s="198">
        <f>'Revenue and OCF'!AL83+'Revenue and OCF'!AL84</f>
        <v>-349.21119999999996</v>
      </c>
      <c r="T6" s="198">
        <f>'Revenue and OCF'!AM83+'Revenue and OCF'!AM84</f>
        <v>-359.68753599999997</v>
      </c>
      <c r="U6" s="225">
        <f>'Revenue and OCF'!AN83+'Revenue and OCF'!AN84</f>
        <v>-370.47816207999995</v>
      </c>
      <c r="V6" s="225">
        <f>'Revenue and OCF'!AO83+'Revenue and OCF'!AO84</f>
        <v>-381.59250694239995</v>
      </c>
      <c r="W6" s="225">
        <f>'Revenue and OCF'!AP83+'Revenue and OCF'!AP84</f>
        <v>-393.04028215067194</v>
      </c>
      <c r="X6" s="225">
        <f>'Revenue and OCF'!AQ83+'Revenue and OCF'!AQ84</f>
        <v>-404.83149061519214</v>
      </c>
      <c r="Y6" s="225">
        <f>'Revenue and OCF'!AR83+'Revenue and OCF'!AR84</f>
        <v>-416.97643533364788</v>
      </c>
      <c r="Z6" s="225">
        <f>'Revenue and OCF'!AS83+'Revenue and OCF'!AS84</f>
        <v>-429.48572839365733</v>
      </c>
      <c r="AA6" s="225">
        <f>'Revenue and OCF'!AT83+'Revenue and OCF'!AT84</f>
        <v>-442.37030024546704</v>
      </c>
      <c r="AB6" s="225">
        <f>'Revenue and OCF'!AU83+'Revenue and OCF'!AU84</f>
        <v>-455.64140925283107</v>
      </c>
    </row>
    <row r="7" spans="1:28">
      <c r="A7" s="257" t="s">
        <v>861</v>
      </c>
      <c r="B7" s="1023">
        <f>'Revenue and OCF'!O85</f>
        <v>-4.9737991503207013E-13</v>
      </c>
      <c r="C7" s="1023">
        <f>'Revenue and OCF'!P85</f>
        <v>0.20000000000098339</v>
      </c>
      <c r="D7" s="1023">
        <f>'Revenue and OCF'!Q85</f>
        <v>-1.8000000000006793</v>
      </c>
      <c r="E7" s="1023">
        <f>'Revenue and OCF'!R85</f>
        <v>-1.7999999999998124</v>
      </c>
      <c r="F7" s="1023">
        <f>'Revenue and OCF'!S85</f>
        <v>0</v>
      </c>
      <c r="G7" s="1023">
        <f>'Revenue and OCF'!T85</f>
        <v>3.4000000000005457</v>
      </c>
      <c r="H7" s="1023">
        <f>'Revenue and OCF'!U85</f>
        <v>2.6999999999999997</v>
      </c>
      <c r="I7" s="1023">
        <f>'Revenue and OCF'!Y85</f>
        <v>-2.1999999999999993</v>
      </c>
      <c r="J7" s="1023">
        <f>'Revenue and OCF'!Z85</f>
        <v>3.4000000000000004</v>
      </c>
      <c r="K7" s="1023">
        <f>'Revenue and OCF'!AA85</f>
        <v>7</v>
      </c>
      <c r="L7" s="1023">
        <f>'Revenue and OCF'!AB85</f>
        <v>0</v>
      </c>
      <c r="M7" s="1023">
        <f>'Revenue and OCF'!AC85</f>
        <v>0</v>
      </c>
      <c r="N7" s="1023">
        <f>'Revenue and OCF'!AD85</f>
        <v>0</v>
      </c>
      <c r="O7" s="1023">
        <f>'Revenue and OCF'!AG85</f>
        <v>0</v>
      </c>
      <c r="P7" s="1024">
        <f>'Revenue and OCF'!AH85</f>
        <v>0</v>
      </c>
      <c r="Q7" s="1024">
        <f>'Revenue and OCF'!AJ85</f>
        <v>0</v>
      </c>
      <c r="R7" s="1024">
        <f>'Revenue and OCF'!AK85</f>
        <v>0</v>
      </c>
      <c r="S7" s="1024">
        <f>'Revenue and OCF'!AL85</f>
        <v>0</v>
      </c>
      <c r="T7" s="1024">
        <f>'Revenue and OCF'!AM85</f>
        <v>0</v>
      </c>
      <c r="U7" s="1024">
        <f>'Revenue and OCF'!AN85</f>
        <v>0</v>
      </c>
      <c r="V7" s="1024">
        <f>'Revenue and OCF'!AO85</f>
        <v>0</v>
      </c>
      <c r="W7" s="1024">
        <f>'Revenue and OCF'!AP85</f>
        <v>0</v>
      </c>
      <c r="X7" s="1024">
        <f>'Revenue and OCF'!AQ85</f>
        <v>0</v>
      </c>
      <c r="Y7" s="1024">
        <f>'Revenue and OCF'!AR85</f>
        <v>0</v>
      </c>
      <c r="Z7" s="1024">
        <f>'Revenue and OCF'!AS85</f>
        <v>0</v>
      </c>
      <c r="AA7" s="1024">
        <f>'Revenue and OCF'!AT85</f>
        <v>0</v>
      </c>
      <c r="AB7" s="1024">
        <f>'Revenue and OCF'!AU85</f>
        <v>0</v>
      </c>
    </row>
    <row r="8" spans="1:28">
      <c r="A8" s="479" t="s">
        <v>745</v>
      </c>
      <c r="B8" s="303">
        <f t="shared" ref="B8:R8" si="0">SUM(B6:B7)</f>
        <v>-54.100000000000549</v>
      </c>
      <c r="C8" s="303">
        <f t="shared" si="0"/>
        <v>-71.099999999999</v>
      </c>
      <c r="D8" s="303">
        <f t="shared" si="0"/>
        <v>-98.500000000000639</v>
      </c>
      <c r="E8" s="303">
        <f t="shared" si="0"/>
        <v>-120.49999999999982</v>
      </c>
      <c r="F8" s="303">
        <f t="shared" si="0"/>
        <v>-162.9</v>
      </c>
      <c r="G8" s="303">
        <f t="shared" si="0"/>
        <v>-252.09999999999945</v>
      </c>
      <c r="H8" s="303">
        <f t="shared" si="0"/>
        <v>-222</v>
      </c>
      <c r="I8" s="303">
        <f t="shared" si="0"/>
        <v>-293</v>
      </c>
      <c r="J8" s="303">
        <f t="shared" si="0"/>
        <v>-319.90000000000003</v>
      </c>
      <c r="K8" s="303">
        <f t="shared" si="0"/>
        <v>-302</v>
      </c>
      <c r="L8" s="303">
        <f t="shared" si="0"/>
        <v>-296</v>
      </c>
      <c r="M8" s="303">
        <f t="shared" si="0"/>
        <v>-342</v>
      </c>
      <c r="N8" s="303">
        <f t="shared" si="0"/>
        <v>-269</v>
      </c>
      <c r="O8" s="303">
        <f t="shared" si="0"/>
        <v>-245</v>
      </c>
      <c r="P8" s="1025">
        <f t="shared" si="0"/>
        <v>-320</v>
      </c>
      <c r="Q8" s="1025">
        <f t="shared" si="0"/>
        <v>-326</v>
      </c>
      <c r="R8" s="1025">
        <f t="shared" si="0"/>
        <v>-339.03999999999996</v>
      </c>
      <c r="S8" s="1025">
        <f t="shared" ref="S8:X8" si="1">SUM(S6:S7)</f>
        <v>-349.21119999999996</v>
      </c>
      <c r="T8" s="1025">
        <f t="shared" si="1"/>
        <v>-359.68753599999997</v>
      </c>
      <c r="U8" s="1025">
        <f t="shared" si="1"/>
        <v>-370.47816207999995</v>
      </c>
      <c r="V8" s="1025">
        <f t="shared" si="1"/>
        <v>-381.59250694239995</v>
      </c>
      <c r="W8" s="1025">
        <f t="shared" si="1"/>
        <v>-393.04028215067194</v>
      </c>
      <c r="X8" s="1025">
        <f t="shared" si="1"/>
        <v>-404.83149061519214</v>
      </c>
      <c r="Y8" s="1025">
        <f>SUM(Y6:Y7)</f>
        <v>-416.97643533364788</v>
      </c>
      <c r="Z8" s="1025">
        <f>SUM(Z6:Z7)</f>
        <v>-429.48572839365733</v>
      </c>
      <c r="AA8" s="1025">
        <f>SUM(AA6:AA7)</f>
        <v>-442.37030024546704</v>
      </c>
      <c r="AB8" s="1025">
        <f>SUM(AB6:AB7)</f>
        <v>-455.64140925283107</v>
      </c>
    </row>
    <row r="9" spans="1:28">
      <c r="A9" s="482" t="s">
        <v>676</v>
      </c>
      <c r="B9" s="38"/>
      <c r="C9" s="38">
        <f t="shared" ref="C9:R9" si="2">C8/B8-1</f>
        <v>0.31423290203323995</v>
      </c>
      <c r="D9" s="38">
        <f t="shared" si="2"/>
        <v>0.38537271448666699</v>
      </c>
      <c r="E9" s="38">
        <f t="shared" si="2"/>
        <v>0.22335025380709683</v>
      </c>
      <c r="F9" s="38">
        <f t="shared" si="2"/>
        <v>0.35186721991701453</v>
      </c>
      <c r="G9" s="38">
        <f t="shared" si="2"/>
        <v>0.54757519950889777</v>
      </c>
      <c r="H9" s="38">
        <f t="shared" si="2"/>
        <v>-0.11939706465688027</v>
      </c>
      <c r="I9" s="38">
        <f t="shared" si="2"/>
        <v>0.31981981981981988</v>
      </c>
      <c r="J9" s="38">
        <f t="shared" si="2"/>
        <v>9.1808873720136575E-2</v>
      </c>
      <c r="K9" s="38">
        <f t="shared" si="2"/>
        <v>-5.5954985933104218E-2</v>
      </c>
      <c r="L9" s="38">
        <f t="shared" si="2"/>
        <v>-1.9867549668874163E-2</v>
      </c>
      <c r="M9" s="38">
        <f t="shared" si="2"/>
        <v>0.15540540540540548</v>
      </c>
      <c r="N9" s="38">
        <f t="shared" si="2"/>
        <v>-0.21345029239766078</v>
      </c>
      <c r="O9" s="38">
        <f t="shared" si="2"/>
        <v>-8.9219330855018542E-2</v>
      </c>
      <c r="P9" s="39">
        <f t="shared" si="2"/>
        <v>0.30612244897959173</v>
      </c>
      <c r="Q9" s="39">
        <f t="shared" si="2"/>
        <v>1.8750000000000044E-2</v>
      </c>
      <c r="R9" s="39">
        <f t="shared" si="2"/>
        <v>3.9999999999999813E-2</v>
      </c>
      <c r="S9" s="39">
        <f t="shared" ref="S9:AB9" si="3">S8/R8-1</f>
        <v>3.0000000000000027E-2</v>
      </c>
      <c r="T9" s="39">
        <f t="shared" si="3"/>
        <v>3.0000000000000027E-2</v>
      </c>
      <c r="U9" s="39">
        <f t="shared" si="3"/>
        <v>3.0000000000000027E-2</v>
      </c>
      <c r="V9" s="39">
        <f t="shared" si="3"/>
        <v>3.0000000000000027E-2</v>
      </c>
      <c r="W9" s="39">
        <f t="shared" si="3"/>
        <v>3.0000000000000027E-2</v>
      </c>
      <c r="X9" s="39">
        <f t="shared" si="3"/>
        <v>3.0000000000000027E-2</v>
      </c>
      <c r="Y9" s="39">
        <f t="shared" si="3"/>
        <v>3.0000000000000027E-2</v>
      </c>
      <c r="Z9" s="39">
        <f t="shared" si="3"/>
        <v>3.0000000000000027E-2</v>
      </c>
      <c r="AA9" s="39">
        <f t="shared" si="3"/>
        <v>3.0000000000000027E-2</v>
      </c>
      <c r="AB9" s="39">
        <f t="shared" si="3"/>
        <v>3.0000000000000027E-2</v>
      </c>
    </row>
    <row r="10" spans="1:28">
      <c r="A10" s="6"/>
      <c r="B10" s="6"/>
      <c r="C10" s="6"/>
      <c r="D10" s="6"/>
      <c r="E10" s="6"/>
      <c r="F10" s="6"/>
      <c r="G10" s="6"/>
      <c r="H10" s="6"/>
      <c r="I10" s="6"/>
      <c r="J10" s="6"/>
      <c r="K10" s="6"/>
      <c r="L10" s="6"/>
      <c r="M10" s="6"/>
      <c r="N10" s="6"/>
      <c r="O10" s="6"/>
      <c r="P10" s="11"/>
      <c r="Q10" s="11"/>
      <c r="R10" s="11"/>
      <c r="S10" s="11"/>
      <c r="T10" s="11"/>
      <c r="U10" s="11"/>
      <c r="V10" s="11"/>
      <c r="W10" s="11"/>
      <c r="X10" s="11"/>
      <c r="Y10" s="11"/>
      <c r="Z10" s="11"/>
      <c r="AA10" s="11"/>
      <c r="AB10" s="11"/>
    </row>
    <row r="11" spans="1:28">
      <c r="A11" s="483" t="s">
        <v>692</v>
      </c>
      <c r="B11" s="198">
        <f>'Segment Detail'!Y198</f>
        <v>7.6341081008098968</v>
      </c>
      <c r="C11" s="198">
        <f>'Segment Detail'!Z198</f>
        <v>6.5500000000000682</v>
      </c>
      <c r="D11" s="198">
        <f>'Segment Detail'!AA198</f>
        <v>8.9000000000000341</v>
      </c>
      <c r="E11" s="198">
        <f>'Segment Detail'!AB198</f>
        <v>7.2</v>
      </c>
      <c r="F11" s="198">
        <f>'Segment Detail'!AC198</f>
        <v>5.6999999999999993</v>
      </c>
      <c r="G11" s="198">
        <f>'Segment Detail'!AD198</f>
        <v>8.5</v>
      </c>
      <c r="H11" s="198">
        <f>'Segment Detail'!AE198</f>
        <v>9.2000000000000011</v>
      </c>
      <c r="I11" s="198">
        <f>'Segment Detail'!AF198</f>
        <v>14.899999999999999</v>
      </c>
      <c r="J11" s="198">
        <f>'Segment Detail'!AG198</f>
        <v>15.899999999999988</v>
      </c>
      <c r="K11" s="198">
        <f>'Segment Detail'!AH198</f>
        <v>15.200000000000017</v>
      </c>
      <c r="L11" s="198">
        <f>'Segment Detail'!AI198</f>
        <v>11.720000000000006</v>
      </c>
      <c r="M11" s="198">
        <f>'Segment Detail'!AJ198</f>
        <v>13.936</v>
      </c>
      <c r="N11" s="198">
        <f>'Segment Detail'!AK198</f>
        <v>16.2288</v>
      </c>
      <c r="O11" s="225">
        <f>'Segment Detail'!AL198</f>
        <v>20.983039999999999</v>
      </c>
      <c r="P11" s="225">
        <f ca="1">'Segment Detail'!AM198</f>
        <v>26.786432000000001</v>
      </c>
      <c r="Q11" s="225">
        <f ca="1">'Segment Detail'!AN198</f>
        <v>28.446608000000001</v>
      </c>
      <c r="R11" s="225">
        <f ca="1">'Segment Detail'!AO198</f>
        <v>28.446608000000001</v>
      </c>
      <c r="S11" s="225">
        <f ca="1">'Segment Detail'!AP198</f>
        <v>27.446608000000001</v>
      </c>
      <c r="T11" s="225">
        <f ca="1">'Segment Detail'!AQ198</f>
        <v>26.446608000000001</v>
      </c>
      <c r="U11" s="225">
        <f ca="1">'Segment Detail'!AR198</f>
        <v>25.446608000000001</v>
      </c>
      <c r="V11" s="225">
        <f ca="1">'Segment Detail'!AS198</f>
        <v>24.446608000000001</v>
      </c>
      <c r="W11" s="225">
        <f ca="1">'Segment Detail'!AT198</f>
        <v>23.446608000000001</v>
      </c>
      <c r="X11" s="225">
        <f ca="1">'Segment Detail'!AU198</f>
        <v>22.446608000000001</v>
      </c>
      <c r="Y11" s="225">
        <f ca="1">'Segment Detail'!AV198</f>
        <v>21.446608000000001</v>
      </c>
      <c r="Z11" s="225">
        <f ca="1">'Segment Detail'!AW198</f>
        <v>20.446608000000001</v>
      </c>
      <c r="AA11" s="225">
        <f ca="1">'Segment Detail'!AX198</f>
        <v>19.446608000000001</v>
      </c>
      <c r="AB11" s="225">
        <f ca="1">'Segment Detail'!AY198</f>
        <v>18.446608000000001</v>
      </c>
    </row>
    <row r="12" spans="1:28">
      <c r="A12" s="483"/>
      <c r="B12" s="6"/>
      <c r="C12" s="6"/>
      <c r="D12" s="6"/>
      <c r="E12" s="6"/>
      <c r="F12" s="6"/>
      <c r="G12" s="6"/>
      <c r="H12" s="6"/>
      <c r="I12" s="6"/>
      <c r="J12" s="6"/>
      <c r="K12" s="6"/>
      <c r="L12" s="6"/>
      <c r="M12" s="6"/>
      <c r="N12" s="6"/>
      <c r="O12" s="11"/>
      <c r="P12" s="11"/>
      <c r="Q12" s="11"/>
      <c r="R12" s="11"/>
      <c r="S12" s="11"/>
      <c r="T12" s="11"/>
      <c r="U12" s="11"/>
      <c r="V12" s="11"/>
      <c r="W12" s="11"/>
      <c r="X12" s="11"/>
      <c r="Y12" s="11"/>
      <c r="Z12" s="11"/>
      <c r="AA12" s="11"/>
      <c r="AB12" s="11"/>
    </row>
    <row r="13" spans="1:28">
      <c r="A13" s="483" t="s">
        <v>1100</v>
      </c>
      <c r="B13" s="105">
        <f t="shared" ref="B13:O13" si="4">B8-B11</f>
        <v>-61.734108100810445</v>
      </c>
      <c r="C13" s="105">
        <f t="shared" si="4"/>
        <v>-77.649999999999068</v>
      </c>
      <c r="D13" s="105">
        <f t="shared" si="4"/>
        <v>-107.40000000000067</v>
      </c>
      <c r="E13" s="105">
        <f>E8-E11</f>
        <v>-127.69999999999982</v>
      </c>
      <c r="F13" s="105">
        <f t="shared" si="4"/>
        <v>-168.6</v>
      </c>
      <c r="G13" s="105">
        <f t="shared" si="4"/>
        <v>-260.59999999999945</v>
      </c>
      <c r="H13" s="105">
        <f t="shared" si="4"/>
        <v>-231.2</v>
      </c>
      <c r="I13" s="105">
        <f t="shared" si="4"/>
        <v>-307.89999999999998</v>
      </c>
      <c r="J13" s="105">
        <f t="shared" si="4"/>
        <v>-335.8</v>
      </c>
      <c r="K13" s="105">
        <f t="shared" si="4"/>
        <v>-317.20000000000005</v>
      </c>
      <c r="L13" s="105">
        <f t="shared" si="4"/>
        <v>-307.72000000000003</v>
      </c>
      <c r="M13" s="105">
        <f t="shared" si="4"/>
        <v>-355.93599999999998</v>
      </c>
      <c r="N13" s="105">
        <f t="shared" si="4"/>
        <v>-285.22879999999998</v>
      </c>
      <c r="O13" s="105">
        <f t="shared" si="4"/>
        <v>-265.98304000000002</v>
      </c>
      <c r="P13" s="105">
        <f t="shared" ref="P13:V13" ca="1" si="5">P8-P11</f>
        <v>-346.78643199999999</v>
      </c>
      <c r="Q13" s="105">
        <f t="shared" ca="1" si="5"/>
        <v>-354.44660800000003</v>
      </c>
      <c r="R13" s="105">
        <f t="shared" ca="1" si="5"/>
        <v>-367.48660799999999</v>
      </c>
      <c r="S13" s="105">
        <f t="shared" ca="1" si="5"/>
        <v>-376.65780799999999</v>
      </c>
      <c r="T13" s="105">
        <f t="shared" ca="1" si="5"/>
        <v>-386.13414399999999</v>
      </c>
      <c r="U13" s="105">
        <f t="shared" ca="1" si="5"/>
        <v>-395.92477007999997</v>
      </c>
      <c r="V13" s="105">
        <f t="shared" ca="1" si="5"/>
        <v>-406.03911494239998</v>
      </c>
      <c r="W13" s="105">
        <f t="shared" ref="W13:AB13" ca="1" si="6">W8-W11</f>
        <v>-416.48689015067197</v>
      </c>
      <c r="X13" s="105">
        <f t="shared" ca="1" si="6"/>
        <v>-427.27809861519216</v>
      </c>
      <c r="Y13" s="105">
        <f t="shared" ca="1" si="6"/>
        <v>-438.42304333364791</v>
      </c>
      <c r="Z13" s="105">
        <f t="shared" ca="1" si="6"/>
        <v>-449.93233639365735</v>
      </c>
      <c r="AA13" s="105">
        <f t="shared" ca="1" si="6"/>
        <v>-461.81690824546706</v>
      </c>
      <c r="AB13" s="105">
        <f t="shared" ca="1" si="6"/>
        <v>-474.08801725283109</v>
      </c>
    </row>
    <row r="14" spans="1:28">
      <c r="A14" s="314"/>
      <c r="B14" s="38"/>
      <c r="C14" s="38"/>
      <c r="D14" s="38"/>
      <c r="E14" s="38"/>
      <c r="F14" s="38"/>
      <c r="G14" s="38"/>
      <c r="H14" s="38"/>
      <c r="I14" s="38"/>
      <c r="J14" s="38"/>
      <c r="K14" s="38"/>
      <c r="L14" s="38"/>
      <c r="M14" s="38"/>
      <c r="N14" s="38"/>
      <c r="O14" s="39"/>
      <c r="P14" s="39"/>
      <c r="Q14" s="39"/>
      <c r="R14" s="39"/>
      <c r="S14" s="39"/>
      <c r="T14" s="39"/>
      <c r="U14" s="39"/>
      <c r="V14" s="39"/>
      <c r="W14" s="39"/>
      <c r="X14" s="39"/>
      <c r="Y14" s="39"/>
      <c r="Z14" s="39"/>
      <c r="AA14" s="39"/>
      <c r="AB14" s="2802"/>
    </row>
    <row r="15" spans="1:28">
      <c r="A15" s="484" t="s">
        <v>686</v>
      </c>
      <c r="B15" s="198">
        <f>'Segment Detail'!Y220</f>
        <v>3</v>
      </c>
      <c r="C15" s="198">
        <f>'Segment Detail'!Z220</f>
        <v>2.5499999999999998</v>
      </c>
      <c r="D15" s="198">
        <f>'Segment Detail'!AA220</f>
        <v>12.25</v>
      </c>
      <c r="E15" s="198">
        <f>'Segment Detail'!AB220</f>
        <v>19.5</v>
      </c>
      <c r="F15" s="198">
        <f>'Segment Detail'!AC220</f>
        <v>12.9</v>
      </c>
      <c r="G15" s="198">
        <f>'Segment Detail'!AD220</f>
        <v>13.5</v>
      </c>
      <c r="H15" s="198">
        <f>'Segment Detail'!AE220</f>
        <v>22.700000000000045</v>
      </c>
      <c r="I15" s="198">
        <f>'Segment Detail'!AF220</f>
        <v>15.099999999999994</v>
      </c>
      <c r="J15" s="198">
        <f>'Segment Detail'!AG220</f>
        <v>17.300000000000011</v>
      </c>
      <c r="K15" s="198">
        <f>'Segment Detail'!AH220</f>
        <v>14</v>
      </c>
      <c r="L15" s="198">
        <f>'Segment Detail'!AI220</f>
        <v>12.42849529153392</v>
      </c>
      <c r="M15" s="198">
        <f>'Segment Detail'!AJ220</f>
        <v>39.294038152471472</v>
      </c>
      <c r="N15" s="198">
        <f>'Segment Detail'!AK220</f>
        <v>33.723165311581802</v>
      </c>
      <c r="O15" s="225">
        <f>'Segment Detail'!AL220</f>
        <v>28.089948646536115</v>
      </c>
      <c r="P15" s="225">
        <f>'Segment Detail'!AM220</f>
        <v>29.934608246496445</v>
      </c>
      <c r="Q15" s="225">
        <f>'Segment Detail'!AN220</f>
        <v>30.533300411426374</v>
      </c>
      <c r="R15" s="225">
        <f>'Segment Detail'!AO220</f>
        <v>31.143966419654902</v>
      </c>
      <c r="S15" s="225">
        <f>'Segment Detail'!AP220</f>
        <v>31.766845748047999</v>
      </c>
      <c r="T15" s="225">
        <f>'Segment Detail'!AQ220</f>
        <v>32.402182663008958</v>
      </c>
      <c r="U15" s="225">
        <f>'Segment Detail'!AR220</f>
        <v>33.050226316269139</v>
      </c>
      <c r="V15" s="225">
        <f>'Segment Detail'!AS220</f>
        <v>33.711230842594524</v>
      </c>
      <c r="W15" s="225">
        <f>'Segment Detail'!AT220</f>
        <v>34.385455459446419</v>
      </c>
      <c r="X15" s="225">
        <f>'Segment Detail'!AU220</f>
        <v>35.073164568635349</v>
      </c>
      <c r="Y15" s="225">
        <f>'Segment Detail'!AV220</f>
        <v>35.774627860008053</v>
      </c>
      <c r="Z15" s="225">
        <f>'Segment Detail'!AW220</f>
        <v>36.490120417208217</v>
      </c>
      <c r="AA15" s="225">
        <f>'Segment Detail'!AX220</f>
        <v>37.219922825552381</v>
      </c>
      <c r="AB15" s="3349">
        <f>'Segment Detail'!AY220</f>
        <v>37.96432128206343</v>
      </c>
    </row>
    <row r="16" spans="1:28">
      <c r="A16" s="484"/>
      <c r="B16" s="485"/>
      <c r="C16" s="485"/>
      <c r="D16" s="485"/>
      <c r="E16" s="485"/>
      <c r="F16" s="485"/>
      <c r="G16" s="485"/>
      <c r="H16" s="485"/>
      <c r="I16" s="485"/>
      <c r="J16" s="485"/>
      <c r="K16" s="485"/>
      <c r="L16" s="485"/>
      <c r="M16" s="485"/>
      <c r="N16" s="485"/>
      <c r="O16" s="394"/>
      <c r="P16" s="394"/>
      <c r="Q16" s="394"/>
      <c r="R16" s="394"/>
      <c r="S16" s="394"/>
      <c r="T16" s="394"/>
      <c r="U16" s="394"/>
      <c r="V16" s="394"/>
      <c r="W16" s="394"/>
      <c r="X16" s="394"/>
      <c r="Y16" s="394"/>
      <c r="Z16" s="394"/>
      <c r="AA16" s="394"/>
      <c r="AB16" s="3350"/>
    </row>
    <row r="17" spans="1:28">
      <c r="A17" s="13" t="s">
        <v>74</v>
      </c>
      <c r="B17" s="76"/>
      <c r="C17" s="76"/>
      <c r="D17" s="76"/>
      <c r="E17" s="106">
        <f>E27*E13</f>
        <v>-31.286499999999954</v>
      </c>
      <c r="F17" s="106">
        <f t="shared" ref="F17:O17" si="7">F27*F13</f>
        <v>-41.306999999999995</v>
      </c>
      <c r="G17" s="106">
        <f t="shared" si="7"/>
        <v>-63.846999999999866</v>
      </c>
      <c r="H17" s="106">
        <f t="shared" si="7"/>
        <v>-56.643999999999998</v>
      </c>
      <c r="I17" s="106">
        <f t="shared" si="7"/>
        <v>-75.43549999999999</v>
      </c>
      <c r="J17" s="106">
        <f t="shared" si="7"/>
        <v>-82.271000000000001</v>
      </c>
      <c r="K17" s="106">
        <f t="shared" si="7"/>
        <v>-77.714000000000013</v>
      </c>
      <c r="L17" s="106">
        <f t="shared" si="7"/>
        <v>-75.391400000000004</v>
      </c>
      <c r="M17" s="106">
        <f t="shared" si="7"/>
        <v>-87.204319999999996</v>
      </c>
      <c r="N17" s="106">
        <f t="shared" si="7"/>
        <v>-69.881055999999987</v>
      </c>
      <c r="O17" s="105">
        <f t="shared" si="7"/>
        <v>-65.165844800000002</v>
      </c>
      <c r="P17" s="105">
        <f t="shared" ref="P17:V17" ca="1" si="8">P27*P13</f>
        <v>-84.962675840000003</v>
      </c>
      <c r="Q17" s="105">
        <f t="shared" ca="1" si="8"/>
        <v>-86.839418960000003</v>
      </c>
      <c r="R17" s="105">
        <f t="shared" ca="1" si="8"/>
        <v>-90.03421895999999</v>
      </c>
      <c r="S17" s="105">
        <f t="shared" ca="1" si="8"/>
        <v>-92.281162959999989</v>
      </c>
      <c r="T17" s="105">
        <f t="shared" ca="1" si="8"/>
        <v>-94.602865280000003</v>
      </c>
      <c r="U17" s="105">
        <f t="shared" ca="1" si="8"/>
        <v>-97.00156866959999</v>
      </c>
      <c r="V17" s="105">
        <f t="shared" ca="1" si="8"/>
        <v>-99.479583160887998</v>
      </c>
      <c r="W17" s="105">
        <f t="shared" ref="W17:AB17" ca="1" si="9">W27*W13</f>
        <v>-102.03928808691462</v>
      </c>
      <c r="X17" s="105">
        <f t="shared" ca="1" si="9"/>
        <v>-104.68313416072208</v>
      </c>
      <c r="Y17" s="105">
        <f t="shared" ca="1" si="9"/>
        <v>-107.41364561674374</v>
      </c>
      <c r="Z17" s="105">
        <f t="shared" ca="1" si="9"/>
        <v>-110.23342241644605</v>
      </c>
      <c r="AA17" s="105">
        <f t="shared" ca="1" si="9"/>
        <v>-113.14514252013943</v>
      </c>
      <c r="AB17" s="2804">
        <f t="shared" ca="1" si="9"/>
        <v>-116.15156422694362</v>
      </c>
    </row>
    <row r="18" spans="1:28">
      <c r="A18" s="484"/>
      <c r="B18" s="6"/>
      <c r="C18" s="6"/>
      <c r="D18" s="6"/>
      <c r="E18" s="6"/>
      <c r="F18" s="6"/>
      <c r="G18" s="6"/>
      <c r="H18" s="6"/>
      <c r="I18" s="6"/>
      <c r="J18" s="6"/>
      <c r="K18" s="6"/>
      <c r="L18" s="6"/>
      <c r="M18" s="6"/>
      <c r="N18" s="6"/>
      <c r="O18" s="11"/>
      <c r="P18" s="11"/>
      <c r="Q18" s="11"/>
      <c r="R18" s="11"/>
      <c r="S18" s="11"/>
      <c r="T18" s="11"/>
      <c r="U18" s="11"/>
      <c r="V18" s="11"/>
      <c r="W18" s="11"/>
      <c r="X18" s="11"/>
      <c r="Y18" s="11"/>
      <c r="Z18" s="11"/>
      <c r="AA18" s="11"/>
      <c r="AB18" s="2862"/>
    </row>
    <row r="19" spans="1:28">
      <c r="A19" s="486" t="s">
        <v>75</v>
      </c>
      <c r="B19" s="13"/>
      <c r="C19" s="13"/>
      <c r="D19" s="13"/>
      <c r="E19" s="13">
        <f t="shared" ref="E19:O19" si="10">E8-E15-E17</f>
        <v>-108.71349999999987</v>
      </c>
      <c r="F19" s="13">
        <f t="shared" si="10"/>
        <v>-134.49300000000002</v>
      </c>
      <c r="G19" s="13">
        <f t="shared" si="10"/>
        <v>-201.75299999999959</v>
      </c>
      <c r="H19" s="13">
        <f t="shared" si="10"/>
        <v>-188.05600000000004</v>
      </c>
      <c r="I19" s="13">
        <f t="shared" si="10"/>
        <v>-232.66450000000003</v>
      </c>
      <c r="J19" s="13">
        <f t="shared" si="10"/>
        <v>-254.92900000000003</v>
      </c>
      <c r="K19" s="13">
        <f t="shared" si="10"/>
        <v>-238.286</v>
      </c>
      <c r="L19" s="13">
        <f t="shared" si="10"/>
        <v>-233.03709529153392</v>
      </c>
      <c r="M19" s="13">
        <f t="shared" si="10"/>
        <v>-294.08971815247145</v>
      </c>
      <c r="N19" s="13">
        <f t="shared" si="10"/>
        <v>-232.84210931158179</v>
      </c>
      <c r="O19" s="14">
        <f t="shared" si="10"/>
        <v>-207.92410384653613</v>
      </c>
      <c r="P19" s="14">
        <f t="shared" ref="P19:V19" ca="1" si="11">P8-P15-P17</f>
        <v>-264.97193240649642</v>
      </c>
      <c r="Q19" s="14">
        <f t="shared" ca="1" si="11"/>
        <v>-269.69388145142636</v>
      </c>
      <c r="R19" s="14">
        <f t="shared" ca="1" si="11"/>
        <v>-280.14974745965492</v>
      </c>
      <c r="S19" s="14">
        <f t="shared" ca="1" si="11"/>
        <v>-288.69688278804801</v>
      </c>
      <c r="T19" s="14">
        <f t="shared" ca="1" si="11"/>
        <v>-297.48685338300891</v>
      </c>
      <c r="U19" s="14">
        <f t="shared" ca="1" si="11"/>
        <v>-306.52681972666909</v>
      </c>
      <c r="V19" s="14">
        <f t="shared" ca="1" si="11"/>
        <v>-315.82415462410648</v>
      </c>
      <c r="W19" s="14">
        <f t="shared" ref="W19:AB19" ca="1" si="12">W8-W15-W17</f>
        <v>-325.38644952320374</v>
      </c>
      <c r="X19" s="14">
        <f t="shared" ca="1" si="12"/>
        <v>-335.22152102310537</v>
      </c>
      <c r="Y19" s="14">
        <f t="shared" ca="1" si="12"/>
        <v>-345.33741757691217</v>
      </c>
      <c r="Z19" s="14">
        <f t="shared" ca="1" si="12"/>
        <v>-355.74242639441951</v>
      </c>
      <c r="AA19" s="14">
        <f t="shared" ca="1" si="12"/>
        <v>-366.44508055087999</v>
      </c>
      <c r="AB19" s="2806">
        <f t="shared" ca="1" si="12"/>
        <v>-377.45416630795091</v>
      </c>
    </row>
    <row r="20" spans="1:28">
      <c r="A20" s="483"/>
      <c r="B20" s="38"/>
      <c r="C20" s="38"/>
      <c r="D20" s="38"/>
      <c r="E20" s="38"/>
      <c r="F20" s="38"/>
      <c r="G20" s="38"/>
      <c r="H20" s="38"/>
      <c r="I20" s="38"/>
      <c r="J20" s="38"/>
      <c r="K20" s="38"/>
      <c r="L20" s="38"/>
      <c r="M20" s="38"/>
      <c r="N20" s="38"/>
      <c r="O20" s="39"/>
      <c r="P20" s="39"/>
      <c r="Q20" s="39"/>
      <c r="R20" s="39"/>
      <c r="S20" s="39"/>
      <c r="T20" s="39"/>
      <c r="U20" s="39"/>
      <c r="V20" s="39"/>
      <c r="W20" s="39"/>
      <c r="X20" s="39"/>
      <c r="Y20" s="39"/>
      <c r="Z20" s="39"/>
      <c r="AB20" s="2807"/>
    </row>
    <row r="21" spans="1:28">
      <c r="A21" s="483"/>
      <c r="B21" s="6"/>
      <c r="C21" s="6"/>
      <c r="D21" s="6"/>
      <c r="E21" s="6"/>
      <c r="F21" s="6"/>
      <c r="G21" s="6"/>
      <c r="H21" s="6"/>
      <c r="I21" s="6"/>
      <c r="J21" s="6"/>
      <c r="K21" s="6"/>
      <c r="L21" s="6"/>
      <c r="M21" s="6"/>
      <c r="N21" s="6"/>
      <c r="O21" s="11"/>
      <c r="P21" s="11"/>
      <c r="Q21" s="11"/>
      <c r="R21" s="11"/>
      <c r="S21" s="11"/>
      <c r="T21" s="11"/>
      <c r="U21" s="11"/>
      <c r="V21" s="11"/>
      <c r="W21" s="11"/>
      <c r="X21" s="11"/>
      <c r="Y21" s="11"/>
      <c r="Z21" s="11"/>
    </row>
    <row r="22" spans="1:28">
      <c r="A22" s="6"/>
      <c r="B22" s="6"/>
      <c r="C22" s="6"/>
      <c r="D22" s="6"/>
      <c r="E22" s="6"/>
      <c r="F22" s="6"/>
      <c r="G22" s="6"/>
      <c r="H22" s="6"/>
      <c r="I22" s="6"/>
      <c r="J22" s="6"/>
      <c r="K22" s="6"/>
      <c r="L22" s="6"/>
      <c r="M22" s="6"/>
      <c r="N22" s="6"/>
      <c r="O22" s="11"/>
      <c r="P22" s="11"/>
      <c r="Q22" s="11"/>
      <c r="R22" s="11"/>
      <c r="U22" s="1048"/>
      <c r="V22" s="1048"/>
      <c r="W22" s="1048"/>
      <c r="X22" s="1048"/>
      <c r="Y22" s="1048"/>
      <c r="Z22" s="1048"/>
    </row>
    <row r="23" spans="1:28">
      <c r="A23" s="36" t="s">
        <v>65</v>
      </c>
      <c r="B23" s="6"/>
      <c r="C23" s="6"/>
      <c r="D23" s="6"/>
      <c r="E23" s="6"/>
      <c r="F23" s="6"/>
      <c r="G23" s="6"/>
      <c r="H23" s="6"/>
      <c r="I23" s="6"/>
      <c r="J23" s="6"/>
      <c r="K23" s="6"/>
      <c r="L23" s="6"/>
      <c r="M23" s="6"/>
      <c r="N23" s="6"/>
      <c r="O23" s="11"/>
      <c r="P23" s="11"/>
      <c r="Q23" s="11"/>
      <c r="R23" s="11"/>
      <c r="U23" s="1048"/>
      <c r="V23" s="1048"/>
      <c r="W23" s="1048"/>
      <c r="X23" s="1048"/>
      <c r="Y23" s="1048"/>
      <c r="Z23" s="1048"/>
    </row>
    <row r="24" spans="1:28">
      <c r="A24" s="295" t="s">
        <v>246</v>
      </c>
      <c r="B24" s="6"/>
      <c r="C24" s="6"/>
      <c r="D24" s="487"/>
      <c r="E24" s="488">
        <f ca="1">FMV!B52</f>
        <v>4.6359932385549224E-2</v>
      </c>
      <c r="F24" s="298">
        <f t="shared" ref="F24:O24" ca="1" si="13">+E24</f>
        <v>4.6359932385549224E-2</v>
      </c>
      <c r="G24" s="298">
        <f t="shared" ca="1" si="13"/>
        <v>4.6359932385549224E-2</v>
      </c>
      <c r="H24" s="298">
        <f t="shared" ca="1" si="13"/>
        <v>4.6359932385549224E-2</v>
      </c>
      <c r="I24" s="298">
        <f t="shared" ca="1" si="13"/>
        <v>4.6359932385549224E-2</v>
      </c>
      <c r="J24" s="298">
        <f t="shared" ca="1" si="13"/>
        <v>4.6359932385549224E-2</v>
      </c>
      <c r="K24" s="298">
        <f t="shared" ca="1" si="13"/>
        <v>4.6359932385549224E-2</v>
      </c>
      <c r="L24" s="298">
        <f t="shared" ca="1" si="13"/>
        <v>4.6359932385549224E-2</v>
      </c>
      <c r="M24" s="298">
        <f t="shared" ca="1" si="13"/>
        <v>4.6359932385549224E-2</v>
      </c>
      <c r="N24" s="298">
        <f t="shared" ca="1" si="13"/>
        <v>4.6359932385549224E-2</v>
      </c>
      <c r="O24" s="536">
        <f t="shared" ca="1" si="13"/>
        <v>4.6359932385549224E-2</v>
      </c>
      <c r="P24" s="536">
        <f t="shared" ref="P24:Q27" ca="1" si="14">+O24</f>
        <v>4.6359932385549224E-2</v>
      </c>
      <c r="Q24" s="536">
        <f t="shared" ca="1" si="14"/>
        <v>4.6359932385549224E-2</v>
      </c>
      <c r="R24" s="536">
        <f t="shared" ref="R24:T27" ca="1" si="15">+Q24</f>
        <v>4.6359932385549224E-2</v>
      </c>
      <c r="S24" s="536">
        <f t="shared" ca="1" si="15"/>
        <v>4.6359932385549224E-2</v>
      </c>
      <c r="T24" s="536">
        <f t="shared" ca="1" si="15"/>
        <v>4.6359932385549224E-2</v>
      </c>
      <c r="U24" s="536">
        <f t="shared" ref="U24:V27" ca="1" si="16">+T24</f>
        <v>4.6359932385549224E-2</v>
      </c>
      <c r="V24" s="536">
        <f t="shared" ca="1" si="16"/>
        <v>4.6359932385549224E-2</v>
      </c>
      <c r="W24" s="536">
        <f t="shared" ref="W24:AB27" ca="1" si="17">+V24</f>
        <v>4.6359932385549224E-2</v>
      </c>
      <c r="X24" s="536">
        <f t="shared" ca="1" si="17"/>
        <v>4.6359932385549224E-2</v>
      </c>
      <c r="Y24" s="536">
        <f t="shared" ca="1" si="17"/>
        <v>4.6359932385549224E-2</v>
      </c>
      <c r="Z24" s="536">
        <f t="shared" ca="1" si="17"/>
        <v>4.6359932385549224E-2</v>
      </c>
      <c r="AA24" s="536">
        <f t="shared" ca="1" si="17"/>
        <v>4.6359932385549224E-2</v>
      </c>
      <c r="AB24" s="536">
        <f t="shared" ca="1" si="17"/>
        <v>4.6359932385549224E-2</v>
      </c>
    </row>
    <row r="25" spans="1:28">
      <c r="A25" s="295" t="s">
        <v>247</v>
      </c>
      <c r="B25" s="6"/>
      <c r="C25" s="6"/>
      <c r="D25" s="487"/>
      <c r="E25" s="488">
        <f>FMV!B53</f>
        <v>0.1</v>
      </c>
      <c r="F25" s="298">
        <f t="shared" ref="F25:O25" si="18">+E25</f>
        <v>0.1</v>
      </c>
      <c r="G25" s="298">
        <f t="shared" si="18"/>
        <v>0.1</v>
      </c>
      <c r="H25" s="298">
        <f t="shared" si="18"/>
        <v>0.1</v>
      </c>
      <c r="I25" s="298">
        <f t="shared" si="18"/>
        <v>0.1</v>
      </c>
      <c r="J25" s="298">
        <f t="shared" si="18"/>
        <v>0.1</v>
      </c>
      <c r="K25" s="298">
        <f t="shared" si="18"/>
        <v>0.1</v>
      </c>
      <c r="L25" s="298">
        <f t="shared" si="18"/>
        <v>0.1</v>
      </c>
      <c r="M25" s="298">
        <f t="shared" si="18"/>
        <v>0.1</v>
      </c>
      <c r="N25" s="298">
        <f t="shared" si="18"/>
        <v>0.1</v>
      </c>
      <c r="O25" s="536">
        <f t="shared" si="18"/>
        <v>0.1</v>
      </c>
      <c r="P25" s="536">
        <f t="shared" si="14"/>
        <v>0.1</v>
      </c>
      <c r="Q25" s="536">
        <f t="shared" si="14"/>
        <v>0.1</v>
      </c>
      <c r="R25" s="536">
        <f t="shared" si="15"/>
        <v>0.1</v>
      </c>
      <c r="S25" s="536">
        <f t="shared" si="15"/>
        <v>0.1</v>
      </c>
      <c r="T25" s="536">
        <f t="shared" si="15"/>
        <v>0.1</v>
      </c>
      <c r="U25" s="536">
        <f t="shared" si="16"/>
        <v>0.1</v>
      </c>
      <c r="V25" s="536">
        <f t="shared" si="16"/>
        <v>0.1</v>
      </c>
      <c r="W25" s="536">
        <f t="shared" si="17"/>
        <v>0.1</v>
      </c>
      <c r="X25" s="536">
        <f t="shared" si="17"/>
        <v>0.1</v>
      </c>
      <c r="Y25" s="536">
        <f t="shared" si="17"/>
        <v>0.1</v>
      </c>
      <c r="Z25" s="536">
        <f t="shared" si="17"/>
        <v>0.1</v>
      </c>
      <c r="AA25" s="536">
        <f t="shared" si="17"/>
        <v>0.1</v>
      </c>
      <c r="AB25" s="536">
        <f t="shared" si="17"/>
        <v>0.1</v>
      </c>
    </row>
    <row r="26" spans="1:28">
      <c r="A26" s="295" t="s">
        <v>248</v>
      </c>
      <c r="B26" s="6"/>
      <c r="C26" s="6"/>
      <c r="D26" s="487"/>
      <c r="E26" s="488">
        <f>FMV!B54</f>
        <v>0.3</v>
      </c>
      <c r="F26" s="298">
        <f t="shared" ref="F26:O26" si="19">+E26</f>
        <v>0.3</v>
      </c>
      <c r="G26" s="298">
        <f t="shared" si="19"/>
        <v>0.3</v>
      </c>
      <c r="H26" s="298">
        <f t="shared" si="19"/>
        <v>0.3</v>
      </c>
      <c r="I26" s="298">
        <f t="shared" si="19"/>
        <v>0.3</v>
      </c>
      <c r="J26" s="298">
        <f t="shared" si="19"/>
        <v>0.3</v>
      </c>
      <c r="K26" s="298">
        <f t="shared" si="19"/>
        <v>0.3</v>
      </c>
      <c r="L26" s="298">
        <f t="shared" si="19"/>
        <v>0.3</v>
      </c>
      <c r="M26" s="298">
        <f t="shared" si="19"/>
        <v>0.3</v>
      </c>
      <c r="N26" s="298">
        <f t="shared" si="19"/>
        <v>0.3</v>
      </c>
      <c r="O26" s="536">
        <f t="shared" si="19"/>
        <v>0.3</v>
      </c>
      <c r="P26" s="536">
        <f t="shared" si="14"/>
        <v>0.3</v>
      </c>
      <c r="Q26" s="536">
        <f t="shared" si="14"/>
        <v>0.3</v>
      </c>
      <c r="R26" s="536">
        <f t="shared" si="15"/>
        <v>0.3</v>
      </c>
      <c r="S26" s="536">
        <f t="shared" si="15"/>
        <v>0.3</v>
      </c>
      <c r="T26" s="536">
        <f t="shared" si="15"/>
        <v>0.3</v>
      </c>
      <c r="U26" s="536">
        <f t="shared" si="16"/>
        <v>0.3</v>
      </c>
      <c r="V26" s="536">
        <f t="shared" si="16"/>
        <v>0.3</v>
      </c>
      <c r="W26" s="536">
        <f t="shared" si="17"/>
        <v>0.3</v>
      </c>
      <c r="X26" s="536">
        <f t="shared" si="17"/>
        <v>0.3</v>
      </c>
      <c r="Y26" s="536">
        <f t="shared" si="17"/>
        <v>0.3</v>
      </c>
      <c r="Z26" s="536">
        <f t="shared" si="17"/>
        <v>0.3</v>
      </c>
      <c r="AA26" s="536">
        <f t="shared" si="17"/>
        <v>0.3</v>
      </c>
      <c r="AB26" s="536">
        <f t="shared" si="17"/>
        <v>0.3</v>
      </c>
    </row>
    <row r="27" spans="1:28">
      <c r="A27" s="295" t="s">
        <v>249</v>
      </c>
      <c r="B27" s="6"/>
      <c r="C27" s="6"/>
      <c r="D27" s="487"/>
      <c r="E27" s="488">
        <f>FMV!B55</f>
        <v>0.245</v>
      </c>
      <c r="F27" s="298">
        <f t="shared" ref="F27:O27" si="20">+E27</f>
        <v>0.245</v>
      </c>
      <c r="G27" s="298">
        <f t="shared" si="20"/>
        <v>0.245</v>
      </c>
      <c r="H27" s="298">
        <f t="shared" si="20"/>
        <v>0.245</v>
      </c>
      <c r="I27" s="298">
        <f t="shared" si="20"/>
        <v>0.245</v>
      </c>
      <c r="J27" s="298">
        <f t="shared" si="20"/>
        <v>0.245</v>
      </c>
      <c r="K27" s="298">
        <f t="shared" si="20"/>
        <v>0.245</v>
      </c>
      <c r="L27" s="298">
        <f t="shared" si="20"/>
        <v>0.245</v>
      </c>
      <c r="M27" s="298">
        <f t="shared" si="20"/>
        <v>0.245</v>
      </c>
      <c r="N27" s="298">
        <f t="shared" si="20"/>
        <v>0.245</v>
      </c>
      <c r="O27" s="536">
        <f t="shared" si="20"/>
        <v>0.245</v>
      </c>
      <c r="P27" s="536">
        <f t="shared" si="14"/>
        <v>0.245</v>
      </c>
      <c r="Q27" s="536">
        <f t="shared" si="14"/>
        <v>0.245</v>
      </c>
      <c r="R27" s="536">
        <f t="shared" si="15"/>
        <v>0.245</v>
      </c>
      <c r="S27" s="536">
        <f t="shared" si="15"/>
        <v>0.245</v>
      </c>
      <c r="T27" s="536">
        <f t="shared" si="15"/>
        <v>0.245</v>
      </c>
      <c r="U27" s="536">
        <f t="shared" si="16"/>
        <v>0.245</v>
      </c>
      <c r="V27" s="536">
        <f t="shared" si="16"/>
        <v>0.245</v>
      </c>
      <c r="W27" s="536">
        <f t="shared" si="17"/>
        <v>0.245</v>
      </c>
      <c r="X27" s="536">
        <f t="shared" si="17"/>
        <v>0.245</v>
      </c>
      <c r="Y27" s="536">
        <f t="shared" si="17"/>
        <v>0.245</v>
      </c>
      <c r="Z27" s="536">
        <f t="shared" si="17"/>
        <v>0.245</v>
      </c>
      <c r="AA27" s="536">
        <f t="shared" si="17"/>
        <v>0.245</v>
      </c>
      <c r="AB27" s="536">
        <f t="shared" si="17"/>
        <v>0.245</v>
      </c>
    </row>
    <row r="28" spans="1:28">
      <c r="A28" s="295" t="s">
        <v>250</v>
      </c>
      <c r="B28" s="6"/>
      <c r="C28" s="6"/>
      <c r="D28" s="298"/>
      <c r="E28" s="298">
        <f t="shared" ref="E28:R28" ca="1" si="21">((E24*(1-E27)*E26))+(E25*(1-E26))</f>
        <v>8.0500524685326896E-2</v>
      </c>
      <c r="F28" s="298">
        <f t="shared" ca="1" si="21"/>
        <v>8.0500524685326896E-2</v>
      </c>
      <c r="G28" s="298">
        <f t="shared" ca="1" si="21"/>
        <v>8.0500524685326896E-2</v>
      </c>
      <c r="H28" s="298">
        <f t="shared" ca="1" si="21"/>
        <v>8.0500524685326896E-2</v>
      </c>
      <c r="I28" s="298">
        <f t="shared" ca="1" si="21"/>
        <v>8.0500524685326896E-2</v>
      </c>
      <c r="J28" s="298">
        <f t="shared" ca="1" si="21"/>
        <v>8.0500524685326896E-2</v>
      </c>
      <c r="K28" s="298">
        <f t="shared" ca="1" si="21"/>
        <v>8.0500524685326896E-2</v>
      </c>
      <c r="L28" s="298">
        <f t="shared" ca="1" si="21"/>
        <v>8.0500524685326896E-2</v>
      </c>
      <c r="M28" s="298">
        <f t="shared" ca="1" si="21"/>
        <v>8.0500524685326896E-2</v>
      </c>
      <c r="N28" s="298">
        <f t="shared" ca="1" si="21"/>
        <v>8.0500524685326896E-2</v>
      </c>
      <c r="O28" s="536">
        <f t="shared" ca="1" si="21"/>
        <v>8.0500524685326896E-2</v>
      </c>
      <c r="P28" s="536">
        <f t="shared" ca="1" si="21"/>
        <v>8.0500524685326896E-2</v>
      </c>
      <c r="Q28" s="536">
        <f t="shared" ca="1" si="21"/>
        <v>8.0500524685326896E-2</v>
      </c>
      <c r="R28" s="536">
        <f t="shared" ca="1" si="21"/>
        <v>8.0500524685326896E-2</v>
      </c>
      <c r="S28" s="536">
        <f t="shared" ref="S28:X28" ca="1" si="22">((S24*(1-S27)*S26))+(S25*(1-S26))</f>
        <v>8.0500524685326896E-2</v>
      </c>
      <c r="T28" s="536">
        <f t="shared" ca="1" si="22"/>
        <v>8.0500524685326896E-2</v>
      </c>
      <c r="U28" s="536">
        <f t="shared" ca="1" si="22"/>
        <v>8.0500524685326896E-2</v>
      </c>
      <c r="V28" s="536">
        <f t="shared" ca="1" si="22"/>
        <v>8.0500524685326896E-2</v>
      </c>
      <c r="W28" s="536">
        <f t="shared" ca="1" si="22"/>
        <v>8.0500524685326896E-2</v>
      </c>
      <c r="X28" s="536">
        <f t="shared" ca="1" si="22"/>
        <v>8.0500524685326896E-2</v>
      </c>
      <c r="Y28" s="536">
        <f ca="1">((Y24*(1-Y27)*Y26))+(Y25*(1-Y26))</f>
        <v>8.0500524685326896E-2</v>
      </c>
      <c r="Z28" s="536">
        <f ca="1">((Z24*(1-Z27)*Z26))+(Z25*(1-Z26))</f>
        <v>8.0500524685326896E-2</v>
      </c>
      <c r="AA28" s="536">
        <f ca="1">((AA24*(1-AA27)*AA26))+(AA25*(1-AA26))</f>
        <v>8.0500524685326896E-2</v>
      </c>
      <c r="AB28" s="536">
        <f ca="1">((AB24*(1-AB27)*AB26))+(AB25*(1-AB26))</f>
        <v>8.0500524685326896E-2</v>
      </c>
    </row>
    <row r="29" spans="1:28">
      <c r="A29" s="295" t="s">
        <v>251</v>
      </c>
      <c r="B29" s="6"/>
      <c r="C29" s="6"/>
      <c r="D29" s="487"/>
      <c r="E29" s="488">
        <f>FMV!B57</f>
        <v>0.02</v>
      </c>
      <c r="F29" s="298">
        <f t="shared" ref="F29:O29" si="23">+E29</f>
        <v>0.02</v>
      </c>
      <c r="G29" s="298">
        <f t="shared" si="23"/>
        <v>0.02</v>
      </c>
      <c r="H29" s="298">
        <f t="shared" si="23"/>
        <v>0.02</v>
      </c>
      <c r="I29" s="298">
        <f t="shared" si="23"/>
        <v>0.02</v>
      </c>
      <c r="J29" s="298">
        <f t="shared" si="23"/>
        <v>0.02</v>
      </c>
      <c r="K29" s="298">
        <f t="shared" si="23"/>
        <v>0.02</v>
      </c>
      <c r="L29" s="298">
        <f t="shared" si="23"/>
        <v>0.02</v>
      </c>
      <c r="M29" s="298">
        <f t="shared" si="23"/>
        <v>0.02</v>
      </c>
      <c r="N29" s="298">
        <f t="shared" si="23"/>
        <v>0.02</v>
      </c>
      <c r="O29" s="536">
        <f t="shared" si="23"/>
        <v>0.02</v>
      </c>
      <c r="P29" s="536">
        <f t="shared" ref="P29:V29" si="24">+O29</f>
        <v>0.02</v>
      </c>
      <c r="Q29" s="536">
        <f t="shared" si="24"/>
        <v>0.02</v>
      </c>
      <c r="R29" s="536">
        <f t="shared" si="24"/>
        <v>0.02</v>
      </c>
      <c r="S29" s="536">
        <f t="shared" si="24"/>
        <v>0.02</v>
      </c>
      <c r="T29" s="536">
        <f t="shared" si="24"/>
        <v>0.02</v>
      </c>
      <c r="U29" s="536">
        <f t="shared" si="24"/>
        <v>0.02</v>
      </c>
      <c r="V29" s="536">
        <f t="shared" si="24"/>
        <v>0.02</v>
      </c>
      <c r="W29" s="536">
        <f t="shared" ref="W29:AB29" si="25">+V29</f>
        <v>0.02</v>
      </c>
      <c r="X29" s="536">
        <f t="shared" si="25"/>
        <v>0.02</v>
      </c>
      <c r="Y29" s="536">
        <f t="shared" si="25"/>
        <v>0.02</v>
      </c>
      <c r="Z29" s="536">
        <f t="shared" si="25"/>
        <v>0.02</v>
      </c>
      <c r="AA29" s="536">
        <f t="shared" si="25"/>
        <v>0.02</v>
      </c>
      <c r="AB29" s="536">
        <f t="shared" si="25"/>
        <v>0.02</v>
      </c>
    </row>
    <row r="30" spans="1:28">
      <c r="A30" s="295"/>
      <c r="B30" s="6"/>
      <c r="C30" s="6"/>
      <c r="D30" s="487"/>
      <c r="E30" s="6"/>
      <c r="F30" s="6"/>
      <c r="G30" s="6"/>
      <c r="H30" s="6"/>
      <c r="I30" s="6"/>
      <c r="J30" s="6"/>
      <c r="K30" s="6"/>
      <c r="L30" s="6"/>
      <c r="M30" s="6"/>
      <c r="N30" s="6"/>
      <c r="O30" s="11"/>
      <c r="P30" s="11"/>
      <c r="Q30" s="11"/>
      <c r="R30" s="11"/>
      <c r="S30" s="11"/>
      <c r="T30" s="11"/>
      <c r="U30" s="11"/>
      <c r="V30" s="11"/>
      <c r="W30" s="11"/>
      <c r="X30" s="11"/>
      <c r="Y30" s="11"/>
      <c r="Z30" s="11"/>
    </row>
    <row r="31" spans="1:28">
      <c r="A31" s="295" t="s">
        <v>53</v>
      </c>
      <c r="B31" s="6"/>
      <c r="C31" s="6"/>
      <c r="D31" s="487"/>
      <c r="E31" s="489">
        <f>AB8*(1+E29)</f>
        <v>-464.7542374378877</v>
      </c>
      <c r="F31" s="489">
        <f t="shared" ref="F31:O31" si="26">+E31</f>
        <v>-464.7542374378877</v>
      </c>
      <c r="G31" s="489">
        <f t="shared" si="26"/>
        <v>-464.7542374378877</v>
      </c>
      <c r="H31" s="489">
        <f t="shared" si="26"/>
        <v>-464.7542374378877</v>
      </c>
      <c r="I31" s="489">
        <f t="shared" si="26"/>
        <v>-464.7542374378877</v>
      </c>
      <c r="J31" s="489">
        <f t="shared" si="26"/>
        <v>-464.7542374378877</v>
      </c>
      <c r="K31" s="489">
        <f t="shared" si="26"/>
        <v>-464.7542374378877</v>
      </c>
      <c r="L31" s="489">
        <f t="shared" si="26"/>
        <v>-464.7542374378877</v>
      </c>
      <c r="M31" s="489">
        <f t="shared" si="26"/>
        <v>-464.7542374378877</v>
      </c>
      <c r="N31" s="489">
        <f t="shared" si="26"/>
        <v>-464.7542374378877</v>
      </c>
      <c r="O31" s="181">
        <f t="shared" si="26"/>
        <v>-464.7542374378877</v>
      </c>
      <c r="P31" s="181">
        <f t="shared" ref="P31:Q33" si="27">+O31</f>
        <v>-464.7542374378877</v>
      </c>
      <c r="Q31" s="181">
        <f t="shared" si="27"/>
        <v>-464.7542374378877</v>
      </c>
      <c r="R31" s="181">
        <f t="shared" ref="R31:T33" si="28">+Q31</f>
        <v>-464.7542374378877</v>
      </c>
      <c r="S31" s="181">
        <f t="shared" si="28"/>
        <v>-464.7542374378877</v>
      </c>
      <c r="T31" s="181">
        <f t="shared" si="28"/>
        <v>-464.7542374378877</v>
      </c>
      <c r="U31" s="181">
        <f t="shared" ref="U31:V33" si="29">+T31</f>
        <v>-464.7542374378877</v>
      </c>
      <c r="V31" s="181">
        <f t="shared" si="29"/>
        <v>-464.7542374378877</v>
      </c>
      <c r="W31" s="181">
        <f t="shared" ref="W31:Z33" si="30">+V31</f>
        <v>-464.7542374378877</v>
      </c>
      <c r="X31" s="181">
        <f t="shared" si="30"/>
        <v>-464.7542374378877</v>
      </c>
      <c r="Y31" s="181">
        <f t="shared" si="30"/>
        <v>-464.7542374378877</v>
      </c>
      <c r="Z31" s="181">
        <f t="shared" si="30"/>
        <v>-464.7542374378877</v>
      </c>
      <c r="AA31" s="181">
        <f t="shared" ref="AA31:AB33" si="31">+Z31</f>
        <v>-464.7542374378877</v>
      </c>
      <c r="AB31" s="181">
        <f t="shared" si="31"/>
        <v>-464.7542374378877</v>
      </c>
    </row>
    <row r="32" spans="1:28">
      <c r="A32" s="490" t="s">
        <v>54</v>
      </c>
      <c r="B32" s="6"/>
      <c r="C32" s="6"/>
      <c r="D32" s="487"/>
      <c r="E32" s="489">
        <f ca="1">AB17*(1+E29)</f>
        <v>-118.47459551148249</v>
      </c>
      <c r="F32" s="489">
        <f t="shared" ref="F32:O32" ca="1" si="32">+E32</f>
        <v>-118.47459551148249</v>
      </c>
      <c r="G32" s="489">
        <f t="shared" ca="1" si="32"/>
        <v>-118.47459551148249</v>
      </c>
      <c r="H32" s="489">
        <f t="shared" ca="1" si="32"/>
        <v>-118.47459551148249</v>
      </c>
      <c r="I32" s="489">
        <f t="shared" ca="1" si="32"/>
        <v>-118.47459551148249</v>
      </c>
      <c r="J32" s="489">
        <f t="shared" ca="1" si="32"/>
        <v>-118.47459551148249</v>
      </c>
      <c r="K32" s="489">
        <f t="shared" ca="1" si="32"/>
        <v>-118.47459551148249</v>
      </c>
      <c r="L32" s="489">
        <f t="shared" ca="1" si="32"/>
        <v>-118.47459551148249</v>
      </c>
      <c r="M32" s="489">
        <f t="shared" ca="1" si="32"/>
        <v>-118.47459551148249</v>
      </c>
      <c r="N32" s="489">
        <f t="shared" ca="1" si="32"/>
        <v>-118.47459551148249</v>
      </c>
      <c r="O32" s="181">
        <f t="shared" ca="1" si="32"/>
        <v>-118.47459551148249</v>
      </c>
      <c r="P32" s="181">
        <f t="shared" ca="1" si="27"/>
        <v>-118.47459551148249</v>
      </c>
      <c r="Q32" s="181">
        <f t="shared" ca="1" si="27"/>
        <v>-118.47459551148249</v>
      </c>
      <c r="R32" s="181">
        <f t="shared" ca="1" si="28"/>
        <v>-118.47459551148249</v>
      </c>
      <c r="S32" s="181">
        <f t="shared" ca="1" si="28"/>
        <v>-118.47459551148249</v>
      </c>
      <c r="T32" s="181">
        <f t="shared" ca="1" si="28"/>
        <v>-118.47459551148249</v>
      </c>
      <c r="U32" s="181">
        <f t="shared" ca="1" si="29"/>
        <v>-118.47459551148249</v>
      </c>
      <c r="V32" s="181">
        <f t="shared" ca="1" si="29"/>
        <v>-118.47459551148249</v>
      </c>
      <c r="W32" s="181">
        <f t="shared" ca="1" si="30"/>
        <v>-118.47459551148249</v>
      </c>
      <c r="X32" s="181">
        <f t="shared" ca="1" si="30"/>
        <v>-118.47459551148249</v>
      </c>
      <c r="Y32" s="181">
        <f t="shared" ca="1" si="30"/>
        <v>-118.47459551148249</v>
      </c>
      <c r="Z32" s="181">
        <f t="shared" ca="1" si="30"/>
        <v>-118.47459551148249</v>
      </c>
      <c r="AA32" s="181">
        <f t="shared" ca="1" si="31"/>
        <v>-118.47459551148249</v>
      </c>
      <c r="AB32" s="181">
        <f t="shared" ca="1" si="31"/>
        <v>-118.47459551148249</v>
      </c>
    </row>
    <row r="33" spans="1:29">
      <c r="A33" s="490" t="s">
        <v>67</v>
      </c>
      <c r="B33" s="6"/>
      <c r="C33" s="6"/>
      <c r="D33" s="51"/>
      <c r="E33" s="491">
        <f>AB15*(1+E29)</f>
        <v>38.723607707704701</v>
      </c>
      <c r="F33" s="491">
        <f t="shared" ref="F33:O33" si="33">+E33</f>
        <v>38.723607707704701</v>
      </c>
      <c r="G33" s="491">
        <f t="shared" si="33"/>
        <v>38.723607707704701</v>
      </c>
      <c r="H33" s="491">
        <f t="shared" si="33"/>
        <v>38.723607707704701</v>
      </c>
      <c r="I33" s="491">
        <f t="shared" si="33"/>
        <v>38.723607707704701</v>
      </c>
      <c r="J33" s="491">
        <f t="shared" si="33"/>
        <v>38.723607707704701</v>
      </c>
      <c r="K33" s="491">
        <f t="shared" si="33"/>
        <v>38.723607707704701</v>
      </c>
      <c r="L33" s="491">
        <f t="shared" si="33"/>
        <v>38.723607707704701</v>
      </c>
      <c r="M33" s="491">
        <f t="shared" si="33"/>
        <v>38.723607707704701</v>
      </c>
      <c r="N33" s="491">
        <f t="shared" si="33"/>
        <v>38.723607707704701</v>
      </c>
      <c r="O33" s="537">
        <f t="shared" si="33"/>
        <v>38.723607707704701</v>
      </c>
      <c r="P33" s="537">
        <f t="shared" si="27"/>
        <v>38.723607707704701</v>
      </c>
      <c r="Q33" s="537">
        <f t="shared" si="27"/>
        <v>38.723607707704701</v>
      </c>
      <c r="R33" s="537">
        <f t="shared" si="28"/>
        <v>38.723607707704701</v>
      </c>
      <c r="S33" s="537">
        <f t="shared" si="28"/>
        <v>38.723607707704701</v>
      </c>
      <c r="T33" s="537">
        <f t="shared" si="28"/>
        <v>38.723607707704701</v>
      </c>
      <c r="U33" s="537">
        <f t="shared" si="29"/>
        <v>38.723607707704701</v>
      </c>
      <c r="V33" s="537">
        <f t="shared" si="29"/>
        <v>38.723607707704701</v>
      </c>
      <c r="W33" s="537">
        <f t="shared" si="30"/>
        <v>38.723607707704701</v>
      </c>
      <c r="X33" s="537">
        <f t="shared" si="30"/>
        <v>38.723607707704701</v>
      </c>
      <c r="Y33" s="537">
        <f t="shared" si="30"/>
        <v>38.723607707704701</v>
      </c>
      <c r="Z33" s="537">
        <f t="shared" si="30"/>
        <v>38.723607707704701</v>
      </c>
      <c r="AA33" s="537">
        <f t="shared" si="31"/>
        <v>38.723607707704701</v>
      </c>
      <c r="AB33" s="537">
        <f t="shared" si="31"/>
        <v>38.723607707704701</v>
      </c>
    </row>
    <row r="34" spans="1:29">
      <c r="A34" s="295" t="s">
        <v>56</v>
      </c>
      <c r="B34" s="6"/>
      <c r="C34" s="6"/>
      <c r="D34" s="6"/>
      <c r="E34" s="489">
        <f ca="1">+E31-E32-E33</f>
        <v>-385.00324963410992</v>
      </c>
      <c r="F34" s="489">
        <f t="shared" ref="F34:R34" ca="1" si="34">+F31-F32-F33</f>
        <v>-385.00324963410992</v>
      </c>
      <c r="G34" s="489">
        <f t="shared" ca="1" si="34"/>
        <v>-385.00324963410992</v>
      </c>
      <c r="H34" s="489">
        <f t="shared" ca="1" si="34"/>
        <v>-385.00324963410992</v>
      </c>
      <c r="I34" s="489">
        <f t="shared" ca="1" si="34"/>
        <v>-385.00324963410992</v>
      </c>
      <c r="J34" s="489">
        <f t="shared" ca="1" si="34"/>
        <v>-385.00324963410992</v>
      </c>
      <c r="K34" s="489">
        <f t="shared" ca="1" si="34"/>
        <v>-385.00324963410992</v>
      </c>
      <c r="L34" s="489">
        <f t="shared" ca="1" si="34"/>
        <v>-385.00324963410992</v>
      </c>
      <c r="M34" s="489">
        <f t="shared" ca="1" si="34"/>
        <v>-385.00324963410992</v>
      </c>
      <c r="N34" s="489">
        <f t="shared" ca="1" si="34"/>
        <v>-385.00324963410992</v>
      </c>
      <c r="O34" s="181">
        <f t="shared" ca="1" si="34"/>
        <v>-385.00324963410992</v>
      </c>
      <c r="P34" s="181">
        <f t="shared" ca="1" si="34"/>
        <v>-385.00324963410992</v>
      </c>
      <c r="Q34" s="181">
        <f t="shared" ca="1" si="34"/>
        <v>-385.00324963410992</v>
      </c>
      <c r="R34" s="181">
        <f t="shared" ca="1" si="34"/>
        <v>-385.00324963410992</v>
      </c>
      <c r="S34" s="181">
        <f t="shared" ref="S34:X34" ca="1" si="35">+S31-S32-S33</f>
        <v>-385.00324963410992</v>
      </c>
      <c r="T34" s="181">
        <f t="shared" ca="1" si="35"/>
        <v>-385.00324963410992</v>
      </c>
      <c r="U34" s="181">
        <f t="shared" ca="1" si="35"/>
        <v>-385.00324963410992</v>
      </c>
      <c r="V34" s="181">
        <f t="shared" ca="1" si="35"/>
        <v>-385.00324963410992</v>
      </c>
      <c r="W34" s="181">
        <f t="shared" ca="1" si="35"/>
        <v>-385.00324963410992</v>
      </c>
      <c r="X34" s="181">
        <f t="shared" ca="1" si="35"/>
        <v>-385.00324963410992</v>
      </c>
      <c r="Y34" s="181">
        <f ca="1">+Y31-Y32-Y33</f>
        <v>-385.00324963410992</v>
      </c>
      <c r="Z34" s="181">
        <f ca="1">+Z31-Z32-Z33</f>
        <v>-385.00324963410992</v>
      </c>
      <c r="AA34" s="181">
        <f ca="1">+AA31-AA32-AA33</f>
        <v>-385.00324963410992</v>
      </c>
      <c r="AB34" s="181">
        <f ca="1">+AB31-AB32-AB33</f>
        <v>-385.00324963410992</v>
      </c>
    </row>
    <row r="35" spans="1:29">
      <c r="A35" s="490" t="s">
        <v>57</v>
      </c>
      <c r="B35" s="6"/>
      <c r="C35" s="6"/>
      <c r="D35" s="6"/>
      <c r="E35" s="489">
        <f ca="1">1/(E28-E29)</f>
        <v>16.528782274222632</v>
      </c>
      <c r="F35" s="489">
        <f t="shared" ref="F35:O35" ca="1" si="36">1/(F28-F29)</f>
        <v>16.528782274222632</v>
      </c>
      <c r="G35" s="489">
        <f t="shared" ca="1" si="36"/>
        <v>16.528782274222632</v>
      </c>
      <c r="H35" s="489">
        <f t="shared" ca="1" si="36"/>
        <v>16.528782274222632</v>
      </c>
      <c r="I35" s="489">
        <f t="shared" ca="1" si="36"/>
        <v>16.528782274222632</v>
      </c>
      <c r="J35" s="489">
        <f t="shared" ca="1" si="36"/>
        <v>16.528782274222632</v>
      </c>
      <c r="K35" s="489">
        <f t="shared" ca="1" si="36"/>
        <v>16.528782274222632</v>
      </c>
      <c r="L35" s="489">
        <f t="shared" ca="1" si="36"/>
        <v>16.528782274222632</v>
      </c>
      <c r="M35" s="489">
        <f t="shared" ca="1" si="36"/>
        <v>16.528782274222632</v>
      </c>
      <c r="N35" s="489">
        <f t="shared" ca="1" si="36"/>
        <v>16.528782274222632</v>
      </c>
      <c r="O35" s="181">
        <f t="shared" ca="1" si="36"/>
        <v>16.528782274222632</v>
      </c>
      <c r="P35" s="181">
        <f t="shared" ref="P35:V35" ca="1" si="37">1/(P28-P29)</f>
        <v>16.528782274222632</v>
      </c>
      <c r="Q35" s="181">
        <f t="shared" ca="1" si="37"/>
        <v>16.528782274222632</v>
      </c>
      <c r="R35" s="181">
        <f t="shared" ca="1" si="37"/>
        <v>16.528782274222632</v>
      </c>
      <c r="S35" s="181">
        <f t="shared" ca="1" si="37"/>
        <v>16.528782274222632</v>
      </c>
      <c r="T35" s="181">
        <f t="shared" ca="1" si="37"/>
        <v>16.528782274222632</v>
      </c>
      <c r="U35" s="181">
        <f t="shared" ca="1" si="37"/>
        <v>16.528782274222632</v>
      </c>
      <c r="V35" s="181">
        <f t="shared" ca="1" si="37"/>
        <v>16.528782274222632</v>
      </c>
      <c r="W35" s="181">
        <f t="shared" ref="W35:AB35" ca="1" si="38">1/(W28-W29)</f>
        <v>16.528782274222632</v>
      </c>
      <c r="X35" s="181">
        <f t="shared" ca="1" si="38"/>
        <v>16.528782274222632</v>
      </c>
      <c r="Y35" s="181">
        <f t="shared" ca="1" si="38"/>
        <v>16.528782274222632</v>
      </c>
      <c r="Z35" s="181">
        <f t="shared" ca="1" si="38"/>
        <v>16.528782274222632</v>
      </c>
      <c r="AA35" s="181">
        <f t="shared" ca="1" si="38"/>
        <v>16.528782274222632</v>
      </c>
      <c r="AB35" s="181">
        <f t="shared" ca="1" si="38"/>
        <v>16.528782274222632</v>
      </c>
    </row>
    <row r="36" spans="1:29">
      <c r="A36" s="490" t="s">
        <v>58</v>
      </c>
      <c r="B36" s="6"/>
      <c r="C36" s="6"/>
      <c r="D36" s="6"/>
      <c r="E36" s="489">
        <f ca="1">+E37/E31</f>
        <v>13.692473086748043</v>
      </c>
      <c r="F36" s="489">
        <f t="shared" ref="F36:O36" ca="1" si="39">+F37/F31</f>
        <v>13.692473086748043</v>
      </c>
      <c r="G36" s="489">
        <f t="shared" ca="1" si="39"/>
        <v>13.692473086748043</v>
      </c>
      <c r="H36" s="489">
        <f t="shared" ca="1" si="39"/>
        <v>13.692473086748043</v>
      </c>
      <c r="I36" s="489">
        <f t="shared" ca="1" si="39"/>
        <v>13.692473086748043</v>
      </c>
      <c r="J36" s="489">
        <f t="shared" ca="1" si="39"/>
        <v>13.692473086748043</v>
      </c>
      <c r="K36" s="489">
        <f t="shared" ca="1" si="39"/>
        <v>13.692473086748043</v>
      </c>
      <c r="L36" s="489">
        <f t="shared" ca="1" si="39"/>
        <v>13.692473086748043</v>
      </c>
      <c r="M36" s="489">
        <f t="shared" ca="1" si="39"/>
        <v>13.692473086748043</v>
      </c>
      <c r="N36" s="489">
        <f t="shared" ca="1" si="39"/>
        <v>13.692473086748043</v>
      </c>
      <c r="O36" s="181">
        <f t="shared" ca="1" si="39"/>
        <v>13.692473086748043</v>
      </c>
      <c r="P36" s="181">
        <f t="shared" ref="P36:V36" ca="1" si="40">+P37/P31</f>
        <v>13.692473086748043</v>
      </c>
      <c r="Q36" s="181">
        <f t="shared" ca="1" si="40"/>
        <v>13.692473086748043</v>
      </c>
      <c r="R36" s="181">
        <f t="shared" ca="1" si="40"/>
        <v>13.692473086748043</v>
      </c>
      <c r="S36" s="181">
        <f t="shared" ca="1" si="40"/>
        <v>13.692473086748043</v>
      </c>
      <c r="T36" s="181">
        <f t="shared" ca="1" si="40"/>
        <v>13.692473086748043</v>
      </c>
      <c r="U36" s="181">
        <f t="shared" ca="1" si="40"/>
        <v>13.692473086748043</v>
      </c>
      <c r="V36" s="181">
        <f t="shared" ca="1" si="40"/>
        <v>13.692473086748043</v>
      </c>
      <c r="W36" s="181">
        <f t="shared" ref="W36:AB36" ca="1" si="41">+W37/W31</f>
        <v>13.692473086748043</v>
      </c>
      <c r="X36" s="181">
        <f t="shared" ca="1" si="41"/>
        <v>13.692473086748043</v>
      </c>
      <c r="Y36" s="181">
        <f t="shared" ca="1" si="41"/>
        <v>13.692473086748043</v>
      </c>
      <c r="Z36" s="181">
        <f t="shared" ca="1" si="41"/>
        <v>13.692473086748043</v>
      </c>
      <c r="AA36" s="181">
        <f t="shared" ca="1" si="41"/>
        <v>13.692473086748043</v>
      </c>
      <c r="AB36" s="181">
        <f t="shared" ca="1" si="41"/>
        <v>13.692473086748043</v>
      </c>
    </row>
    <row r="37" spans="1:29">
      <c r="A37" s="295" t="s">
        <v>59</v>
      </c>
      <c r="B37" s="6"/>
      <c r="C37" s="6"/>
      <c r="D37" s="6"/>
      <c r="E37" s="489">
        <f ca="1">E35*E34</f>
        <v>-6363.6348880703872</v>
      </c>
      <c r="F37" s="489">
        <f t="shared" ref="F37:O37" ca="1" si="42">F35*F34</f>
        <v>-6363.6348880703872</v>
      </c>
      <c r="G37" s="489">
        <f t="shared" ca="1" si="42"/>
        <v>-6363.6348880703872</v>
      </c>
      <c r="H37" s="489">
        <f t="shared" ca="1" si="42"/>
        <v>-6363.6348880703872</v>
      </c>
      <c r="I37" s="489">
        <f t="shared" ca="1" si="42"/>
        <v>-6363.6348880703872</v>
      </c>
      <c r="J37" s="489">
        <f t="shared" ca="1" si="42"/>
        <v>-6363.6348880703872</v>
      </c>
      <c r="K37" s="489">
        <f t="shared" ca="1" si="42"/>
        <v>-6363.6348880703872</v>
      </c>
      <c r="L37" s="489">
        <f t="shared" ca="1" si="42"/>
        <v>-6363.6348880703872</v>
      </c>
      <c r="M37" s="489">
        <f t="shared" ca="1" si="42"/>
        <v>-6363.6348880703872</v>
      </c>
      <c r="N37" s="489">
        <f t="shared" ca="1" si="42"/>
        <v>-6363.6348880703872</v>
      </c>
      <c r="O37" s="181">
        <f t="shared" ca="1" si="42"/>
        <v>-6363.6348880703872</v>
      </c>
      <c r="P37" s="181">
        <f t="shared" ref="P37:V37" ca="1" si="43">P35*P34</f>
        <v>-6363.6348880703872</v>
      </c>
      <c r="Q37" s="181">
        <f t="shared" ca="1" si="43"/>
        <v>-6363.6348880703872</v>
      </c>
      <c r="R37" s="181">
        <f t="shared" ca="1" si="43"/>
        <v>-6363.6348880703872</v>
      </c>
      <c r="S37" s="181">
        <f t="shared" ca="1" si="43"/>
        <v>-6363.6348880703872</v>
      </c>
      <c r="T37" s="181">
        <f t="shared" ca="1" si="43"/>
        <v>-6363.6348880703872</v>
      </c>
      <c r="U37" s="181">
        <f t="shared" ca="1" si="43"/>
        <v>-6363.6348880703872</v>
      </c>
      <c r="V37" s="181">
        <f t="shared" ca="1" si="43"/>
        <v>-6363.6348880703872</v>
      </c>
      <c r="W37" s="181">
        <f t="shared" ref="W37:AB37" ca="1" si="44">W35*W34</f>
        <v>-6363.6348880703872</v>
      </c>
      <c r="X37" s="181">
        <f t="shared" ca="1" si="44"/>
        <v>-6363.6348880703872</v>
      </c>
      <c r="Y37" s="181">
        <f t="shared" ca="1" si="44"/>
        <v>-6363.6348880703872</v>
      </c>
      <c r="Z37" s="181">
        <f t="shared" ca="1" si="44"/>
        <v>-6363.6348880703872</v>
      </c>
      <c r="AA37" s="181">
        <f t="shared" ca="1" si="44"/>
        <v>-6363.6348880703872</v>
      </c>
      <c r="AB37" s="181">
        <f t="shared" ca="1" si="44"/>
        <v>-6363.6348880703872</v>
      </c>
    </row>
    <row r="38" spans="1:29">
      <c r="A38" s="295" t="s">
        <v>60</v>
      </c>
      <c r="B38" s="6"/>
      <c r="C38" s="6"/>
      <c r="D38" s="6"/>
      <c r="E38" s="489">
        <f ca="1">E37/((1+E28)^E44)</f>
        <v>-1072.3354553933</v>
      </c>
      <c r="F38" s="489">
        <f t="shared" ref="F38:R38" ca="1" si="45">F37/((1+F28)^F44)</f>
        <v>-1158.6590221911397</v>
      </c>
      <c r="G38" s="489">
        <f t="shared" ca="1" si="45"/>
        <v>-1251.9316814089143</v>
      </c>
      <c r="H38" s="489">
        <f t="shared" ca="1" si="45"/>
        <v>-1352.7128386325157</v>
      </c>
      <c r="I38" s="489">
        <f t="shared" ca="1" si="45"/>
        <v>-1461.6069318910113</v>
      </c>
      <c r="J38" s="489">
        <f t="shared" ca="1" si="45"/>
        <v>-1579.2670567919488</v>
      </c>
      <c r="K38" s="489">
        <f t="shared" ca="1" si="45"/>
        <v>-1706.3988834819527</v>
      </c>
      <c r="L38" s="489">
        <f t="shared" ca="1" si="45"/>
        <v>-1843.7648889247059</v>
      </c>
      <c r="M38" s="489">
        <f t="shared" ca="1" si="45"/>
        <v>-1992.188929879529</v>
      </c>
      <c r="N38" s="489">
        <f t="shared" ca="1" si="45"/>
        <v>-2152.561184007131</v>
      </c>
      <c r="O38" s="181">
        <f t="shared" ca="1" si="45"/>
        <v>-2325.843488736974</v>
      </c>
      <c r="P38" s="181">
        <f t="shared" ca="1" si="45"/>
        <v>-2513.0751099162517</v>
      </c>
      <c r="Q38" s="181">
        <f t="shared" ca="1" si="45"/>
        <v>-2715.3789748381455</v>
      </c>
      <c r="R38" s="181">
        <f t="shared" ca="1" si="45"/>
        <v>-2933.9684070321214</v>
      </c>
      <c r="S38" s="181">
        <f t="shared" ref="S38:X38" ca="1" si="46">S37/((1+S28)^S44)</f>
        <v>-3170.1544032083807</v>
      </c>
      <c r="T38" s="181">
        <f t="shared" ca="1" si="46"/>
        <v>-3425.3534960001548</v>
      </c>
      <c r="U38" s="181">
        <f t="shared" ca="1" si="46"/>
        <v>-3701.0962496608868</v>
      </c>
      <c r="V38" s="181">
        <f t="shared" ca="1" si="46"/>
        <v>-3999.036439669484</v>
      </c>
      <c r="W38" s="181">
        <f t="shared" ca="1" si="46"/>
        <v>-4320.9609712986194</v>
      </c>
      <c r="X38" s="181">
        <f t="shared" ca="1" si="46"/>
        <v>-4668.8005966329783</v>
      </c>
      <c r="Y38" s="181">
        <f ca="1">Y37/((1+Y28)^Y44)</f>
        <v>-5044.6414943131012</v>
      </c>
      <c r="Z38" s="181">
        <f ca="1">Z37/((1+Z28)^Z44)</f>
        <v>-5450.737781454678</v>
      </c>
      <c r="AA38" s="181">
        <f ca="1">AA37/((1+AA28)^AA44)</f>
        <v>-5889.5250327839149</v>
      </c>
      <c r="AB38" s="181">
        <f ca="1">AB37/((1+AB28)^AB44)</f>
        <v>-6363.6348880703872</v>
      </c>
    </row>
    <row r="39" spans="1:29">
      <c r="A39" s="295" t="s">
        <v>63</v>
      </c>
      <c r="B39" s="6"/>
      <c r="C39" s="6"/>
      <c r="D39" s="6"/>
      <c r="E39" s="172">
        <f ca="1">NPV(E28,F19:$AB19)</f>
        <v>-2563.3052262148931</v>
      </c>
      <c r="F39" s="172">
        <f ca="1">NPV(F28,G19:$AB19)</f>
        <v>-2635.1596418538329</v>
      </c>
      <c r="G39" s="172">
        <f ca="1">NPV(G28,H19:$AB19)</f>
        <v>-2645.5383756526639</v>
      </c>
      <c r="H39" s="172">
        <f ca="1">NPV(H28,I19:$AB19)</f>
        <v>-2670.4496029678708</v>
      </c>
      <c r="I39" s="172">
        <f ca="1">NPV(I28,J19:$AB19)</f>
        <v>-2652.7576971525082</v>
      </c>
      <c r="J39" s="172">
        <f ca="1">NPV(J28,K19:$AB19)</f>
        <v>-2611.3770836363251</v>
      </c>
      <c r="K39" s="172">
        <f ca="1">NPV(K28,L19:$AB19)</f>
        <v>-2583.3083090202877</v>
      </c>
      <c r="L39" s="172">
        <f ca="1">NPV(L28,M19:$AB19)</f>
        <v>-2558.2288880288515</v>
      </c>
      <c r="M39" s="172">
        <f ca="1">NPV(M28,N19:$AB19)</f>
        <v>-2470.0779376278638</v>
      </c>
      <c r="N39" s="172">
        <f ca="1">NPV(N28,O19:$AB19)</f>
        <v>-2436.0783983089746</v>
      </c>
      <c r="O39" s="172">
        <f ca="1">NPV(O28,P19:$AB19)</f>
        <v>-2424.2598837009023</v>
      </c>
      <c r="P39" s="172">
        <f ca="1">NPV(P28,Q19:$AB19)</f>
        <v>-2354.4421439059183</v>
      </c>
      <c r="Q39" s="172">
        <f ca="1">NPV(Q28,R19:$AB19)</f>
        <v>-2274.2820903801644</v>
      </c>
      <c r="R39" s="172">
        <f ca="1">NPV(R28,S19:$AB19)</f>
        <v>-2177.2132444785552</v>
      </c>
      <c r="S39" s="172">
        <f ca="1">NPV(S28,T19:$AB19)</f>
        <v>-2063.7831702228737</v>
      </c>
      <c r="T39" s="172">
        <f ca="1">NPV(T28,U19:$AB19)</f>
        <v>-1932.4319448795541</v>
      </c>
      <c r="U39" s="172">
        <f ca="1">NPV(U28,V19:$AB19)</f>
        <v>-1781.4669106343756</v>
      </c>
      <c r="V39" s="172">
        <f ca="1">NPV(V28,W19:$AB19)</f>
        <v>-1609.0517770258853</v>
      </c>
      <c r="W39" s="172">
        <f ca="1">NPV(W28,X19:$AB19)</f>
        <v>-1413.194839799123</v>
      </c>
      <c r="X39" s="172">
        <f ca="1">NPV(X28,Y19:$AB19)</f>
        <v>-1191.7362448624435</v>
      </c>
      <c r="Y39" s="172">
        <f ca="1">NPV(Y28,Z19:$AB19)</f>
        <v>-942.33422028347923</v>
      </c>
      <c r="Z39" s="172">
        <f ca="1">NPV(Z28,AA19:$AB19)</f>
        <v>-662.45019305081837</v>
      </c>
      <c r="AA39" s="172">
        <f ca="1">NPV(AA28,AB19:$AB19)</f>
        <v>-349.33270061842541</v>
      </c>
      <c r="AB39" s="771">
        <v>0</v>
      </c>
      <c r="AC39" s="1396"/>
    </row>
    <row r="40" spans="1:29">
      <c r="A40" s="295"/>
      <c r="B40" s="6"/>
      <c r="C40" s="6"/>
      <c r="D40" s="6"/>
      <c r="E40" s="492"/>
      <c r="F40" s="492"/>
      <c r="G40" s="492"/>
      <c r="H40" s="492"/>
      <c r="I40" s="492"/>
      <c r="J40" s="492"/>
      <c r="K40" s="492"/>
      <c r="L40" s="492"/>
      <c r="M40" s="492"/>
      <c r="N40" s="492"/>
      <c r="O40" s="539"/>
      <c r="P40" s="539"/>
      <c r="Q40" s="539"/>
      <c r="R40" s="539"/>
      <c r="S40" s="539"/>
      <c r="T40" s="539"/>
      <c r="U40" s="539"/>
      <c r="V40" s="539"/>
      <c r="W40" s="539"/>
      <c r="X40" s="539"/>
      <c r="Y40" s="539"/>
      <c r="Z40" s="539"/>
      <c r="AA40" s="539"/>
      <c r="AB40" s="539"/>
    </row>
    <row r="41" spans="1:29">
      <c r="A41" s="295" t="s">
        <v>64</v>
      </c>
      <c r="B41" s="6"/>
      <c r="C41" s="6"/>
      <c r="D41" s="6"/>
      <c r="E41" s="493">
        <f ca="1">E39+E38</f>
        <v>-3635.6406816081931</v>
      </c>
      <c r="F41" s="493">
        <f t="shared" ref="F41:AB41" ca="1" si="47">F39+F38</f>
        <v>-3793.8186640449726</v>
      </c>
      <c r="G41" s="493">
        <f t="shared" ca="1" si="47"/>
        <v>-3897.4700570615782</v>
      </c>
      <c r="H41" s="493">
        <f t="shared" ca="1" si="47"/>
        <v>-4023.1624416003865</v>
      </c>
      <c r="I41" s="493">
        <f t="shared" ca="1" si="47"/>
        <v>-4114.364629043519</v>
      </c>
      <c r="J41" s="493">
        <f t="shared" ca="1" si="47"/>
        <v>-4190.6441404282741</v>
      </c>
      <c r="K41" s="493">
        <f t="shared" ca="1" si="47"/>
        <v>-4289.7071925022401</v>
      </c>
      <c r="L41" s="493">
        <f t="shared" ca="1" si="47"/>
        <v>-4401.9937769535572</v>
      </c>
      <c r="M41" s="493">
        <f t="shared" ca="1" si="47"/>
        <v>-4462.2668675073928</v>
      </c>
      <c r="N41" s="493">
        <f t="shared" ca="1" si="47"/>
        <v>-4588.6395823161056</v>
      </c>
      <c r="O41" s="493">
        <f t="shared" ca="1" si="47"/>
        <v>-4750.1033724378758</v>
      </c>
      <c r="P41" s="493">
        <f t="shared" ca="1" si="47"/>
        <v>-4867.5172538221705</v>
      </c>
      <c r="Q41" s="493">
        <f t="shared" ca="1" si="47"/>
        <v>-4989.6610652183099</v>
      </c>
      <c r="R41" s="493">
        <f t="shared" ca="1" si="47"/>
        <v>-5111.1816515106766</v>
      </c>
      <c r="S41" s="493">
        <f t="shared" ca="1" si="47"/>
        <v>-5233.9375734312543</v>
      </c>
      <c r="T41" s="493">
        <f t="shared" ca="1" si="47"/>
        <v>-5357.7854408797084</v>
      </c>
      <c r="U41" s="493">
        <f t="shared" ca="1" si="47"/>
        <v>-5482.5631602952626</v>
      </c>
      <c r="V41" s="493">
        <f t="shared" ca="1" si="47"/>
        <v>-5608.0882166953688</v>
      </c>
      <c r="W41" s="493">
        <f t="shared" ca="1" si="47"/>
        <v>-5734.1558110977421</v>
      </c>
      <c r="X41" s="493">
        <f t="shared" ca="1" si="47"/>
        <v>-5860.5368414954219</v>
      </c>
      <c r="Y41" s="493">
        <f t="shared" ca="1" si="47"/>
        <v>-5986.9757145965805</v>
      </c>
      <c r="Z41" s="493">
        <f t="shared" ca="1" si="47"/>
        <v>-6113.1879745054966</v>
      </c>
      <c r="AA41" s="493">
        <f t="shared" ca="1" si="47"/>
        <v>-6238.8577334023403</v>
      </c>
      <c r="AB41" s="493">
        <f t="shared" ca="1" si="47"/>
        <v>-6363.6348880703872</v>
      </c>
    </row>
    <row r="42" spans="1:29">
      <c r="A42" s="490" t="s">
        <v>72</v>
      </c>
      <c r="B42" s="6"/>
      <c r="C42" s="6"/>
      <c r="D42" s="6"/>
      <c r="E42" s="494">
        <f ca="1">E41/E8</f>
        <v>30.171291963553514</v>
      </c>
      <c r="F42" s="494">
        <f t="shared" ref="F42" ca="1" si="48">F41/F8</f>
        <v>23.28924901193967</v>
      </c>
      <c r="G42" s="494">
        <f t="shared" ref="G42:AA42" ca="1" si="49">G41/G8</f>
        <v>15.460016093064604</v>
      </c>
      <c r="H42" s="494">
        <f t="shared" ca="1" si="49"/>
        <v>18.122353340542283</v>
      </c>
      <c r="I42" s="494">
        <f t="shared" ca="1" si="49"/>
        <v>14.042200099124639</v>
      </c>
      <c r="J42" s="494">
        <f t="shared" ca="1" si="49"/>
        <v>13.099856644039617</v>
      </c>
      <c r="K42" s="494">
        <f t="shared" ca="1" si="49"/>
        <v>14.204328451994172</v>
      </c>
      <c r="L42" s="494">
        <f t="shared" ca="1" si="49"/>
        <v>14.871600597816071</v>
      </c>
      <c r="M42" s="494">
        <f t="shared" ca="1" si="49"/>
        <v>13.047563940080096</v>
      </c>
      <c r="N42" s="494">
        <f t="shared" ca="1" si="49"/>
        <v>17.058139711212288</v>
      </c>
      <c r="O42" s="494">
        <f t="shared" ca="1" si="49"/>
        <v>19.388177030358676</v>
      </c>
      <c r="P42" s="494">
        <f t="shared" ca="1" si="49"/>
        <v>15.210991418194283</v>
      </c>
      <c r="Q42" s="494">
        <f t="shared" ca="1" si="49"/>
        <v>15.30570878901322</v>
      </c>
      <c r="R42" s="494">
        <f t="shared" ca="1" si="49"/>
        <v>15.0754531958196</v>
      </c>
      <c r="S42" s="494">
        <f t="shared" ca="1" si="49"/>
        <v>14.987885764921787</v>
      </c>
      <c r="T42" s="494">
        <f t="shared" ca="1" si="49"/>
        <v>14.895666111932522</v>
      </c>
      <c r="U42" s="494">
        <f t="shared" ca="1" si="49"/>
        <v>14.798613579580906</v>
      </c>
      <c r="V42" s="494">
        <f t="shared" ca="1" si="49"/>
        <v>14.696536526965636</v>
      </c>
      <c r="W42" s="494">
        <f t="shared" ca="1" si="49"/>
        <v>14.589231871402825</v>
      </c>
      <c r="X42" s="494">
        <f t="shared" ca="1" si="49"/>
        <v>14.476484604963913</v>
      </c>
      <c r="Y42" s="494">
        <f t="shared" ca="1" si="49"/>
        <v>14.358067284560198</v>
      </c>
      <c r="Z42" s="494">
        <f t="shared" ca="1" si="49"/>
        <v>14.233739494370999</v>
      </c>
      <c r="AA42" s="494">
        <f t="shared" ca="1" si="49"/>
        <v>14.103247279350485</v>
      </c>
      <c r="AB42" s="541">
        <f ca="1">AB41/AB8</f>
        <v>13.966322548483005</v>
      </c>
    </row>
    <row r="43" spans="1:29">
      <c r="A43" s="490" t="s">
        <v>73</v>
      </c>
      <c r="B43" s="6"/>
      <c r="C43" s="6"/>
      <c r="D43" s="6"/>
      <c r="E43" s="494">
        <f t="shared" ref="E43:F43" ca="1" si="50">E41/F8</f>
        <v>22.318236228411251</v>
      </c>
      <c r="F43" s="494">
        <f t="shared" ca="1" si="50"/>
        <v>15.048864196925747</v>
      </c>
      <c r="G43" s="494">
        <f t="shared" ref="G43" ca="1" si="51">G41/H8</f>
        <v>17.556171428205307</v>
      </c>
      <c r="H43" s="494">
        <f t="shared" ref="H43" ca="1" si="52">H41/I8</f>
        <v>13.730929834813606</v>
      </c>
      <c r="I43" s="494">
        <f t="shared" ref="I43" ca="1" si="53">I41/J8</f>
        <v>12.861408655965985</v>
      </c>
      <c r="J43" s="494">
        <f t="shared" ref="J43" ca="1" si="54">J41/K8</f>
        <v>13.876305100755875</v>
      </c>
      <c r="K43" s="494">
        <f t="shared" ref="K43" ca="1" si="55">K41/L8</f>
        <v>14.492254028723783</v>
      </c>
      <c r="L43" s="494">
        <f t="shared" ref="L43" ca="1" si="56">L41/M8</f>
        <v>12.871326833197536</v>
      </c>
      <c r="M43" s="494">
        <f t="shared" ref="M43" ca="1" si="57">M41/N8</f>
        <v>16.588352667313728</v>
      </c>
      <c r="N43" s="494">
        <f t="shared" ref="N43" ca="1" si="58">N41/O8</f>
        <v>18.729141152310635</v>
      </c>
      <c r="O43" s="494">
        <f t="shared" ref="O43" ca="1" si="59">O41/P8</f>
        <v>14.844073038868363</v>
      </c>
      <c r="P43" s="494">
        <f t="shared" ref="P43" ca="1" si="60">P41/Q8</f>
        <v>14.931034520926904</v>
      </c>
      <c r="Q43" s="494">
        <f t="shared" ref="Q43" ca="1" si="61">Q41/R8</f>
        <v>14.717027681743483</v>
      </c>
      <c r="R43" s="494">
        <f t="shared" ref="R43" ca="1" si="62">R41/S8</f>
        <v>14.636362326038446</v>
      </c>
      <c r="S43" s="494">
        <f t="shared" ref="S43" ca="1" si="63">S41/T8</f>
        <v>14.551345402836686</v>
      </c>
      <c r="T43" s="494">
        <f t="shared" ref="T43" ca="1" si="64">T41/U8</f>
        <v>14.461811759157788</v>
      </c>
      <c r="U43" s="494">
        <f t="shared" ref="U43" ca="1" si="65">U41/V8</f>
        <v>14.367585999593111</v>
      </c>
      <c r="V43" s="494">
        <f t="shared" ref="V43" ca="1" si="66">V41/W8</f>
        <v>14.268482065015181</v>
      </c>
      <c r="W43" s="494">
        <f t="shared" ref="W43" ca="1" si="67">W41/X8</f>
        <v>14.164302787769731</v>
      </c>
      <c r="X43" s="494">
        <f t="shared" ref="X43" ca="1" si="68">X41/Y8</f>
        <v>14.054839422295062</v>
      </c>
      <c r="Y43" s="494">
        <f t="shared" ref="Y43" ca="1" si="69">Y41/Z8</f>
        <v>13.939871150058444</v>
      </c>
      <c r="Z43" s="494">
        <f t="shared" ref="Z43" ca="1" si="70">Z41/AA8</f>
        <v>13.819164557641749</v>
      </c>
      <c r="AA43" s="494">
        <f t="shared" ref="AA43" ca="1" si="71">AA41/AB8</f>
        <v>13.692473086748043</v>
      </c>
      <c r="AB43" s="541"/>
    </row>
    <row r="44" spans="1:29">
      <c r="A44" s="495" t="s">
        <v>61</v>
      </c>
      <c r="B44" s="6"/>
      <c r="C44" s="6"/>
      <c r="D44" s="6"/>
      <c r="E44" s="1402">
        <f t="shared" ref="E44:F44" si="72">F44+1</f>
        <v>23</v>
      </c>
      <c r="F44" s="1402">
        <f t="shared" si="72"/>
        <v>22</v>
      </c>
      <c r="G44" s="1402">
        <f t="shared" ref="G44" si="73">H44+1</f>
        <v>21</v>
      </c>
      <c r="H44" s="1402">
        <f t="shared" ref="H44" si="74">I44+1</f>
        <v>20</v>
      </c>
      <c r="I44" s="1402">
        <f t="shared" ref="I44" si="75">J44+1</f>
        <v>19</v>
      </c>
      <c r="J44" s="1402">
        <f t="shared" ref="J44" si="76">K44+1</f>
        <v>18</v>
      </c>
      <c r="K44" s="1402">
        <f t="shared" ref="K44" si="77">L44+1</f>
        <v>17</v>
      </c>
      <c r="L44" s="1402">
        <f t="shared" ref="L44" si="78">M44+1</f>
        <v>16</v>
      </c>
      <c r="M44" s="1402">
        <f t="shared" ref="M44" si="79">N44+1</f>
        <v>15</v>
      </c>
      <c r="N44" s="1402">
        <f t="shared" ref="N44" si="80">O44+1</f>
        <v>14</v>
      </c>
      <c r="O44" s="1402">
        <f t="shared" ref="O44" si="81">P44+1</f>
        <v>13</v>
      </c>
      <c r="P44" s="1402">
        <f t="shared" ref="P44" si="82">Q44+1</f>
        <v>12</v>
      </c>
      <c r="Q44" s="1402">
        <f t="shared" ref="Q44" si="83">R44+1</f>
        <v>11</v>
      </c>
      <c r="R44" s="1402">
        <f t="shared" ref="R44" si="84">S44+1</f>
        <v>10</v>
      </c>
      <c r="S44" s="1402">
        <f t="shared" ref="S44" si="85">T44+1</f>
        <v>9</v>
      </c>
      <c r="T44" s="1402">
        <f t="shared" ref="T44" si="86">U44+1</f>
        <v>8</v>
      </c>
      <c r="U44" s="1402">
        <f t="shared" ref="U44" si="87">V44+1</f>
        <v>7</v>
      </c>
      <c r="V44" s="1402">
        <f t="shared" ref="V44" si="88">W44+1</f>
        <v>6</v>
      </c>
      <c r="W44" s="1402">
        <f t="shared" ref="W44" si="89">X44+1</f>
        <v>5</v>
      </c>
      <c r="X44" s="1402">
        <f t="shared" ref="X44" si="90">Y44+1</f>
        <v>4</v>
      </c>
      <c r="Y44" s="1402">
        <f t="shared" ref="Y44" si="91">Z44+1</f>
        <v>3</v>
      </c>
      <c r="Z44" s="1402">
        <f t="shared" ref="Z44" si="92">AA44+1</f>
        <v>2</v>
      </c>
      <c r="AA44" s="1402">
        <f t="shared" ref="AA44" si="93">AB44+1</f>
        <v>1</v>
      </c>
      <c r="AB44" s="1401">
        <v>0</v>
      </c>
      <c r="AC44" s="1396"/>
    </row>
    <row r="45" spans="1:29">
      <c r="A45" s="36"/>
      <c r="B45" s="6"/>
      <c r="C45" s="6"/>
      <c r="D45" s="6"/>
      <c r="E45" s="48"/>
      <c r="F45" s="48"/>
      <c r="G45" s="48"/>
      <c r="H45" s="48"/>
      <c r="I45" s="48"/>
      <c r="J45" s="48"/>
      <c r="K45" s="48"/>
      <c r="L45" s="48"/>
      <c r="M45" s="48"/>
      <c r="N45" s="48"/>
      <c r="O45" s="49"/>
      <c r="P45" s="49"/>
      <c r="Q45" s="49"/>
      <c r="R45" s="49"/>
      <c r="U45" s="1048"/>
      <c r="V45" s="1048"/>
      <c r="W45" s="1048"/>
      <c r="X45" s="1048"/>
      <c r="Y45" s="1048"/>
      <c r="Z45" s="1048"/>
    </row>
    <row r="46" spans="1:29">
      <c r="A46" s="295"/>
      <c r="B46" s="6"/>
      <c r="C46" s="6"/>
      <c r="D46" s="6"/>
      <c r="E46" s="6"/>
      <c r="F46" s="6"/>
      <c r="G46" s="6"/>
      <c r="H46" s="6"/>
      <c r="I46" s="6"/>
      <c r="J46" s="6"/>
      <c r="K46" s="6"/>
      <c r="L46" s="6"/>
      <c r="M46" s="6"/>
      <c r="N46" s="6"/>
      <c r="O46" s="11"/>
      <c r="P46" s="11"/>
      <c r="Q46" s="11"/>
      <c r="R46" s="11"/>
      <c r="U46" s="1048"/>
      <c r="V46" s="1048"/>
      <c r="W46" s="1048"/>
      <c r="X46" s="1048"/>
      <c r="Y46" s="1048"/>
      <c r="Z46" s="1048"/>
    </row>
    <row r="47" spans="1:29">
      <c r="A47" s="490"/>
      <c r="B47" s="6"/>
      <c r="C47" s="6"/>
      <c r="D47" s="6"/>
      <c r="E47" s="6"/>
      <c r="F47" s="6"/>
      <c r="G47" s="6"/>
      <c r="H47" s="6"/>
      <c r="I47" s="6"/>
      <c r="J47" s="6"/>
      <c r="K47" s="6"/>
      <c r="L47" s="6"/>
      <c r="M47" s="6"/>
      <c r="N47" s="6"/>
      <c r="O47" s="11"/>
      <c r="P47" s="11"/>
      <c r="Q47" s="11"/>
      <c r="R47" s="11"/>
      <c r="U47" s="1048"/>
      <c r="V47" s="1048"/>
      <c r="W47" s="1048"/>
      <c r="X47" s="1048"/>
      <c r="Y47" s="1048"/>
      <c r="Z47" s="1048"/>
    </row>
    <row r="48" spans="1:29">
      <c r="A48" s="490"/>
      <c r="B48" s="6"/>
      <c r="C48" s="6"/>
      <c r="D48" s="6"/>
      <c r="E48" s="6"/>
      <c r="F48" s="6"/>
      <c r="G48" s="6"/>
      <c r="H48" s="6"/>
      <c r="I48" s="6"/>
      <c r="J48" s="6"/>
      <c r="K48" s="6"/>
      <c r="L48" s="6"/>
      <c r="M48" s="6"/>
      <c r="N48" s="6"/>
      <c r="O48" s="6"/>
      <c r="P48" s="11"/>
      <c r="Q48" s="11"/>
      <c r="R48" s="11"/>
      <c r="U48" s="1048"/>
      <c r="V48" s="1048"/>
      <c r="W48" s="1048"/>
      <c r="X48" s="1048"/>
      <c r="Y48" s="1048"/>
      <c r="Z48" s="1048"/>
    </row>
    <row r="49" spans="1:28">
      <c r="A49" s="479" t="s">
        <v>829</v>
      </c>
      <c r="B49" s="48"/>
      <c r="C49" s="48"/>
      <c r="D49" s="48"/>
      <c r="E49" s="48"/>
      <c r="F49" s="48">
        <f>-'GAAP Financial Statements'!L12</f>
        <v>-64.3</v>
      </c>
      <c r="G49" s="48">
        <f>-'GAAP Financial Statements'!M12</f>
        <v>-106.6</v>
      </c>
      <c r="H49" s="48">
        <f>-'GAAP Financial Statements'!N12</f>
        <v>-137.9</v>
      </c>
      <c r="I49" s="48">
        <f>-'GAAP Financial Statements'!R12</f>
        <v>-135.6</v>
      </c>
      <c r="J49" s="48">
        <f>-'GAAP Financial Statements'!S12</f>
        <v>-143.73599999999999</v>
      </c>
      <c r="K49" s="48">
        <f>-'GAAP Financial Statements'!T12</f>
        <v>-139</v>
      </c>
      <c r="L49" s="48">
        <f>-'GAAP Financial Statements'!U12</f>
        <v>-153</v>
      </c>
      <c r="M49" s="48">
        <f>-'GAAP Financial Statements'!V12</f>
        <v>-229</v>
      </c>
      <c r="N49" s="48">
        <f>-'GAAP Financial Statements'!W12</f>
        <v>-154</v>
      </c>
      <c r="O49" s="48">
        <f>-'GAAP Financial Statements'!Z12</f>
        <v>-174</v>
      </c>
      <c r="P49" s="49">
        <f>-'GAAP Financial Statements'!AA12</f>
        <v>-182.3</v>
      </c>
      <c r="Q49" s="49">
        <f>-'GAAP Financial Statements'!AC12</f>
        <v>-173.1</v>
      </c>
      <c r="R49" s="49">
        <f>-'GAAP Financial Statements'!AD12</f>
        <v>-178.29300000000001</v>
      </c>
      <c r="S49" s="49">
        <f>-'GAAP Financial Statements'!AE12</f>
        <v>-183.64179000000001</v>
      </c>
      <c r="T49" s="49">
        <f>-'GAAP Financial Statements'!AF12</f>
        <v>-189.15104370000003</v>
      </c>
      <c r="U49" s="49">
        <f>-'GAAP Financial Statements'!AG12</f>
        <v>-194.82557501100004</v>
      </c>
      <c r="V49" s="49">
        <f>-'GAAP Financial Statements'!AH12</f>
        <v>-200.67034226133003</v>
      </c>
      <c r="W49" s="49">
        <f>-'GAAP Financial Statements'!AI12</f>
        <v>-206.69045252916993</v>
      </c>
      <c r="X49" s="49">
        <f>-'GAAP Financial Statements'!AJ12</f>
        <v>-212.89116610504504</v>
      </c>
      <c r="Y49" s="49">
        <f>-'GAAP Financial Statements'!AK12</f>
        <v>-219.27790108819642</v>
      </c>
      <c r="Z49" s="49">
        <f>-'GAAP Financial Statements'!AL12</f>
        <v>-225.85623812084231</v>
      </c>
      <c r="AA49" s="49">
        <f>-'GAAP Financial Statements'!AM12</f>
        <v>-232.63192526446758</v>
      </c>
      <c r="AB49" s="49">
        <f>-'GAAP Financial Statements'!AN12</f>
        <v>-239.61088302240162</v>
      </c>
    </row>
    <row r="50" spans="1:28">
      <c r="A50" s="482" t="s">
        <v>676</v>
      </c>
      <c r="B50" s="38"/>
      <c r="C50" s="38"/>
      <c r="D50" s="38"/>
      <c r="E50" s="38"/>
      <c r="F50" s="38"/>
      <c r="G50" s="38">
        <f t="shared" ref="G50:R50" si="94">G49/F49-1</f>
        <v>0.65785381026438561</v>
      </c>
      <c r="H50" s="38">
        <f t="shared" si="94"/>
        <v>0.29362101313320843</v>
      </c>
      <c r="I50" s="38">
        <f t="shared" si="94"/>
        <v>-1.6678752719361922E-2</v>
      </c>
      <c r="J50" s="38">
        <f t="shared" si="94"/>
        <v>6.0000000000000053E-2</v>
      </c>
      <c r="K50" s="38">
        <f t="shared" si="94"/>
        <v>-3.2949295931429812E-2</v>
      </c>
      <c r="L50" s="38">
        <f t="shared" si="94"/>
        <v>0.10071942446043169</v>
      </c>
      <c r="M50" s="38">
        <f t="shared" si="94"/>
        <v>0.49673202614379086</v>
      </c>
      <c r="N50" s="38">
        <f t="shared" si="94"/>
        <v>-0.32751091703056767</v>
      </c>
      <c r="O50" s="38">
        <f t="shared" si="94"/>
        <v>0.12987012987012991</v>
      </c>
      <c r="P50" s="39">
        <f t="shared" si="94"/>
        <v>4.770114942528747E-2</v>
      </c>
      <c r="Q50" s="39">
        <f t="shared" si="94"/>
        <v>-5.0466264399341876E-2</v>
      </c>
      <c r="R50" s="39">
        <f t="shared" si="94"/>
        <v>3.0000000000000027E-2</v>
      </c>
      <c r="S50" s="39">
        <f t="shared" ref="S50:AB50" si="95">S49/R49-1</f>
        <v>3.0000000000000027E-2</v>
      </c>
      <c r="T50" s="39">
        <f t="shared" si="95"/>
        <v>3.0000000000000027E-2</v>
      </c>
      <c r="U50" s="39">
        <f t="shared" si="95"/>
        <v>3.0000000000000027E-2</v>
      </c>
      <c r="V50" s="39">
        <f t="shared" si="95"/>
        <v>3.0000000000000027E-2</v>
      </c>
      <c r="W50" s="39">
        <f t="shared" si="95"/>
        <v>3.0000000000000027E-2</v>
      </c>
      <c r="X50" s="39">
        <f t="shared" si="95"/>
        <v>3.0000000000000027E-2</v>
      </c>
      <c r="Y50" s="39">
        <f t="shared" si="95"/>
        <v>3.0000000000000027E-2</v>
      </c>
      <c r="Z50" s="39">
        <f t="shared" si="95"/>
        <v>3.0000000000000027E-2</v>
      </c>
      <c r="AA50" s="39">
        <f t="shared" si="95"/>
        <v>3.0000000000000027E-2</v>
      </c>
      <c r="AB50" s="39">
        <f t="shared" si="95"/>
        <v>3.0000000000000027E-2</v>
      </c>
    </row>
    <row r="51" spans="1:28">
      <c r="A51" s="6"/>
      <c r="B51" s="6"/>
      <c r="C51" s="6"/>
      <c r="D51" s="6"/>
      <c r="E51" s="6"/>
      <c r="F51" s="6"/>
      <c r="G51" s="6"/>
      <c r="H51" s="6"/>
      <c r="I51" s="6"/>
      <c r="J51" s="6"/>
      <c r="K51" s="6"/>
      <c r="L51" s="6"/>
      <c r="M51" s="6"/>
      <c r="N51" s="6"/>
      <c r="O51" s="6"/>
      <c r="P51" s="11"/>
      <c r="Q51" s="11"/>
      <c r="R51" s="11"/>
      <c r="S51" s="11"/>
      <c r="T51" s="11"/>
      <c r="U51" s="11"/>
      <c r="V51" s="11"/>
      <c r="W51" s="11"/>
      <c r="X51" s="11"/>
      <c r="Y51" s="11"/>
      <c r="Z51" s="11"/>
      <c r="AA51" s="11"/>
      <c r="AB51" s="11"/>
    </row>
    <row r="52" spans="1:28">
      <c r="A52" s="483" t="s">
        <v>692</v>
      </c>
      <c r="B52" s="198"/>
      <c r="C52" s="198"/>
      <c r="D52" s="198"/>
      <c r="E52" s="198"/>
      <c r="F52" s="198">
        <f>'Segment Detail'!AC198</f>
        <v>5.6999999999999993</v>
      </c>
      <c r="G52" s="198">
        <f>'Segment Detail'!AD198</f>
        <v>8.5</v>
      </c>
      <c r="H52" s="198">
        <f>'Segment Detail'!AE198</f>
        <v>9.2000000000000011</v>
      </c>
      <c r="I52" s="198">
        <f>'Segment Detail'!AF198</f>
        <v>14.899999999999999</v>
      </c>
      <c r="J52" s="198">
        <f>'Segment Detail'!AG198</f>
        <v>15.899999999999988</v>
      </c>
      <c r="K52" s="198">
        <f>'Segment Detail'!AH198</f>
        <v>15.200000000000017</v>
      </c>
      <c r="L52" s="198">
        <f>'Segment Detail'!AI198</f>
        <v>11.720000000000006</v>
      </c>
      <c r="M52" s="198">
        <f>'Segment Detail'!AJ198</f>
        <v>13.936</v>
      </c>
      <c r="N52" s="198">
        <f>'Segment Detail'!AK198</f>
        <v>16.2288</v>
      </c>
      <c r="O52" s="198">
        <f>'Segment Detail'!AL198</f>
        <v>20.983039999999999</v>
      </c>
      <c r="P52" s="198">
        <f ca="1">'Segment Detail'!AM198</f>
        <v>26.786432000000001</v>
      </c>
      <c r="Q52" s="198">
        <f ca="1">'Segment Detail'!AN198</f>
        <v>28.446608000000001</v>
      </c>
      <c r="R52" s="198">
        <f ca="1">'Segment Detail'!AO198</f>
        <v>28.446608000000001</v>
      </c>
      <c r="S52" s="198">
        <f ca="1">'Segment Detail'!AP198</f>
        <v>27.446608000000001</v>
      </c>
      <c r="T52" s="198">
        <f ca="1">'Segment Detail'!AQ198</f>
        <v>26.446608000000001</v>
      </c>
      <c r="U52" s="198">
        <f ca="1">'Segment Detail'!AR198</f>
        <v>25.446608000000001</v>
      </c>
      <c r="V52" s="198">
        <f ca="1">'Segment Detail'!AS198</f>
        <v>24.446608000000001</v>
      </c>
      <c r="W52" s="198">
        <f ca="1">'Segment Detail'!AT198</f>
        <v>23.446608000000001</v>
      </c>
      <c r="X52" s="198">
        <f ca="1">'Segment Detail'!AU198</f>
        <v>22.446608000000001</v>
      </c>
      <c r="Y52" s="198">
        <f ca="1">'Segment Detail'!AV198</f>
        <v>21.446608000000001</v>
      </c>
      <c r="Z52" s="198">
        <f ca="1">'Segment Detail'!AW198</f>
        <v>20.446608000000001</v>
      </c>
      <c r="AA52" s="198">
        <f ca="1">'Segment Detail'!AX198</f>
        <v>19.446608000000001</v>
      </c>
      <c r="AB52" s="198">
        <f ca="1">'Segment Detail'!AY198</f>
        <v>18.446608000000001</v>
      </c>
    </row>
    <row r="53" spans="1:28">
      <c r="A53" s="483"/>
      <c r="B53" s="6"/>
      <c r="C53" s="6"/>
      <c r="D53" s="6"/>
      <c r="E53" s="6"/>
      <c r="F53" s="6"/>
      <c r="G53" s="6"/>
      <c r="H53" s="6"/>
      <c r="I53" s="6"/>
      <c r="J53" s="6"/>
      <c r="K53" s="6"/>
      <c r="L53" s="6"/>
      <c r="M53" s="6"/>
      <c r="N53" s="6"/>
      <c r="O53" s="6"/>
      <c r="P53" s="11"/>
      <c r="Q53" s="11"/>
      <c r="R53" s="11"/>
      <c r="S53" s="11"/>
      <c r="T53" s="11"/>
      <c r="U53" s="11"/>
      <c r="V53" s="11"/>
      <c r="W53" s="11"/>
      <c r="X53" s="11"/>
      <c r="Y53" s="11"/>
      <c r="Z53" s="11"/>
      <c r="AA53" s="11"/>
      <c r="AB53" s="11"/>
    </row>
    <row r="54" spans="1:28">
      <c r="A54" s="483" t="s">
        <v>1100</v>
      </c>
      <c r="B54" s="105"/>
      <c r="C54" s="105"/>
      <c r="D54" s="105"/>
      <c r="E54" s="105"/>
      <c r="F54" s="105">
        <f t="shared" ref="F54:O54" si="96">F49-F52</f>
        <v>-70</v>
      </c>
      <c r="G54" s="105">
        <f t="shared" si="96"/>
        <v>-115.1</v>
      </c>
      <c r="H54" s="105">
        <f t="shared" si="96"/>
        <v>-147.1</v>
      </c>
      <c r="I54" s="105">
        <f t="shared" si="96"/>
        <v>-150.5</v>
      </c>
      <c r="J54" s="105">
        <f t="shared" si="96"/>
        <v>-159.63599999999997</v>
      </c>
      <c r="K54" s="105">
        <f t="shared" si="96"/>
        <v>-154.20000000000002</v>
      </c>
      <c r="L54" s="105">
        <f t="shared" si="96"/>
        <v>-164.72</v>
      </c>
      <c r="M54" s="105">
        <f t="shared" si="96"/>
        <v>-242.93600000000001</v>
      </c>
      <c r="N54" s="105">
        <f t="shared" si="96"/>
        <v>-170.22880000000001</v>
      </c>
      <c r="O54" s="105">
        <f t="shared" si="96"/>
        <v>-194.98303999999999</v>
      </c>
      <c r="P54" s="105">
        <f t="shared" ref="P54:V54" ca="1" si="97">P49-P52</f>
        <v>-209.086432</v>
      </c>
      <c r="Q54" s="105">
        <f t="shared" ca="1" si="97"/>
        <v>-201.54660799999999</v>
      </c>
      <c r="R54" s="105">
        <f t="shared" ca="1" si="97"/>
        <v>-206.739608</v>
      </c>
      <c r="S54" s="105">
        <f t="shared" ca="1" si="97"/>
        <v>-211.08839800000001</v>
      </c>
      <c r="T54" s="105">
        <f t="shared" ca="1" si="97"/>
        <v>-215.59765170000003</v>
      </c>
      <c r="U54" s="105">
        <f t="shared" ca="1" si="97"/>
        <v>-220.27218301100004</v>
      </c>
      <c r="V54" s="105">
        <f t="shared" ca="1" si="97"/>
        <v>-225.11695026133003</v>
      </c>
      <c r="W54" s="105">
        <f t="shared" ref="W54:AB54" ca="1" si="98">W49-W52</f>
        <v>-230.13706052916993</v>
      </c>
      <c r="X54" s="105">
        <f t="shared" ca="1" si="98"/>
        <v>-235.33777410504504</v>
      </c>
      <c r="Y54" s="105">
        <f t="shared" ca="1" si="98"/>
        <v>-240.72450908819641</v>
      </c>
      <c r="Z54" s="105">
        <f t="shared" ca="1" si="98"/>
        <v>-246.3028461208423</v>
      </c>
      <c r="AA54" s="105">
        <f t="shared" ca="1" si="98"/>
        <v>-252.07853326446758</v>
      </c>
      <c r="AB54" s="105">
        <f t="shared" ca="1" si="98"/>
        <v>-258.05749102240162</v>
      </c>
    </row>
    <row r="55" spans="1:28">
      <c r="A55" s="314"/>
      <c r="B55" s="38"/>
      <c r="C55" s="38"/>
      <c r="D55" s="38"/>
      <c r="E55" s="38"/>
      <c r="F55" s="38"/>
      <c r="G55" s="38"/>
      <c r="H55" s="38"/>
      <c r="I55" s="38"/>
      <c r="J55" s="38"/>
      <c r="K55" s="38"/>
      <c r="L55" s="38"/>
      <c r="M55" s="38"/>
      <c r="N55" s="38"/>
      <c r="O55" s="38"/>
      <c r="P55" s="39"/>
      <c r="Q55" s="39"/>
      <c r="R55" s="39"/>
      <c r="S55" s="39"/>
      <c r="T55" s="39"/>
      <c r="U55" s="39"/>
      <c r="V55" s="39"/>
      <c r="W55" s="39"/>
      <c r="X55" s="39"/>
      <c r="Y55" s="39"/>
      <c r="Z55" s="39"/>
      <c r="AA55" s="39"/>
      <c r="AB55" s="39"/>
    </row>
    <row r="56" spans="1:28">
      <c r="A56" s="484" t="s">
        <v>686</v>
      </c>
      <c r="B56" s="198"/>
      <c r="C56" s="198"/>
      <c r="D56" s="198"/>
      <c r="E56" s="198"/>
      <c r="F56" s="198">
        <f>'Segment Detail'!AC220</f>
        <v>12.9</v>
      </c>
      <c r="G56" s="198">
        <f>'Segment Detail'!AD220</f>
        <v>13.5</v>
      </c>
      <c r="H56" s="198">
        <f>'Segment Detail'!AE220</f>
        <v>22.700000000000045</v>
      </c>
      <c r="I56" s="198">
        <f>'Segment Detail'!AF220</f>
        <v>15.099999999999994</v>
      </c>
      <c r="J56" s="198">
        <f>'Segment Detail'!AG220</f>
        <v>17.300000000000011</v>
      </c>
      <c r="K56" s="198">
        <f>'Segment Detail'!AH220</f>
        <v>14</v>
      </c>
      <c r="L56" s="198">
        <f>'Segment Detail'!AI220</f>
        <v>12.42849529153392</v>
      </c>
      <c r="M56" s="198">
        <f>'Segment Detail'!AJ220</f>
        <v>39.294038152471472</v>
      </c>
      <c r="N56" s="198">
        <f>'Segment Detail'!AK220</f>
        <v>33.723165311581802</v>
      </c>
      <c r="O56" s="198">
        <f>'Segment Detail'!AL220</f>
        <v>28.089948646536115</v>
      </c>
      <c r="P56" s="198">
        <f>'Segment Detail'!AM220</f>
        <v>29.934608246496445</v>
      </c>
      <c r="Q56" s="198">
        <f>'Segment Detail'!AN220</f>
        <v>30.533300411426374</v>
      </c>
      <c r="R56" s="198">
        <f>'Segment Detail'!AO220</f>
        <v>31.143966419654902</v>
      </c>
      <c r="S56" s="198">
        <f>'Segment Detail'!AP220</f>
        <v>31.766845748047999</v>
      </c>
      <c r="T56" s="198">
        <f>'Segment Detail'!AQ220</f>
        <v>32.402182663008958</v>
      </c>
      <c r="U56" s="198">
        <f>'Segment Detail'!AR220</f>
        <v>33.050226316269139</v>
      </c>
      <c r="V56" s="198">
        <f>'Segment Detail'!AS220</f>
        <v>33.711230842594524</v>
      </c>
      <c r="W56" s="198">
        <f>'Segment Detail'!AT220</f>
        <v>34.385455459446419</v>
      </c>
      <c r="X56" s="198">
        <f>'Segment Detail'!AU220</f>
        <v>35.073164568635349</v>
      </c>
      <c r="Y56" s="198">
        <f>'Segment Detail'!AV220</f>
        <v>35.774627860008053</v>
      </c>
      <c r="Z56" s="198">
        <f>'Segment Detail'!AW220</f>
        <v>36.490120417208217</v>
      </c>
      <c r="AA56" s="198">
        <f>'Segment Detail'!AX220</f>
        <v>37.219922825552381</v>
      </c>
      <c r="AB56" s="198">
        <f>'Segment Detail'!AY220</f>
        <v>37.96432128206343</v>
      </c>
    </row>
    <row r="57" spans="1:28">
      <c r="A57" s="484"/>
      <c r="B57" s="485"/>
      <c r="C57" s="485"/>
      <c r="D57" s="485"/>
      <c r="E57" s="485"/>
      <c r="F57" s="485"/>
      <c r="G57" s="485"/>
      <c r="H57" s="485"/>
      <c r="I57" s="485"/>
      <c r="J57" s="485"/>
      <c r="K57" s="485"/>
      <c r="L57" s="485"/>
      <c r="M57" s="485"/>
      <c r="N57" s="485"/>
      <c r="O57" s="485"/>
      <c r="P57" s="394"/>
      <c r="Q57" s="394"/>
      <c r="R57" s="394"/>
      <c r="S57" s="394"/>
      <c r="T57" s="394"/>
      <c r="U57" s="394"/>
      <c r="V57" s="394"/>
      <c r="W57" s="394"/>
      <c r="X57" s="394"/>
      <c r="Y57" s="394"/>
      <c r="Z57" s="394"/>
      <c r="AA57" s="394"/>
      <c r="AB57" s="394"/>
    </row>
    <row r="58" spans="1:28">
      <c r="A58" s="13" t="s">
        <v>74</v>
      </c>
      <c r="B58" s="76"/>
      <c r="C58" s="76"/>
      <c r="D58" s="76"/>
      <c r="E58" s="106"/>
      <c r="F58" s="106">
        <f t="shared" ref="F58:O58" si="99">F68*F54</f>
        <v>-17.149999999999999</v>
      </c>
      <c r="G58" s="106">
        <f t="shared" si="99"/>
        <v>-28.199499999999997</v>
      </c>
      <c r="H58" s="106">
        <f t="shared" si="99"/>
        <v>-36.039499999999997</v>
      </c>
      <c r="I58" s="106">
        <f t="shared" si="99"/>
        <v>-36.872500000000002</v>
      </c>
      <c r="J58" s="106">
        <f t="shared" si="99"/>
        <v>-39.11081999999999</v>
      </c>
      <c r="K58" s="106">
        <f t="shared" si="99"/>
        <v>-37.779000000000003</v>
      </c>
      <c r="L58" s="106">
        <f t="shared" si="99"/>
        <v>-40.356400000000001</v>
      </c>
      <c r="M58" s="106">
        <f t="shared" si="99"/>
        <v>-59.51932</v>
      </c>
      <c r="N58" s="106">
        <f t="shared" si="99"/>
        <v>-41.706056000000004</v>
      </c>
      <c r="O58" s="106">
        <f t="shared" si="99"/>
        <v>-47.770844799999999</v>
      </c>
      <c r="P58" s="105">
        <f t="shared" ref="P58:V58" ca="1" si="100">P68*P54</f>
        <v>-51.226175839999996</v>
      </c>
      <c r="Q58" s="105">
        <f t="shared" ca="1" si="100"/>
        <v>-49.37891896</v>
      </c>
      <c r="R58" s="105">
        <f t="shared" ca="1" si="100"/>
        <v>-50.651203959999997</v>
      </c>
      <c r="S58" s="105">
        <f t="shared" ca="1" si="100"/>
        <v>-51.716657510000005</v>
      </c>
      <c r="T58" s="105">
        <f t="shared" ca="1" si="100"/>
        <v>-52.821424666500008</v>
      </c>
      <c r="U58" s="105">
        <f t="shared" ca="1" si="100"/>
        <v>-53.966684837695006</v>
      </c>
      <c r="V58" s="105">
        <f t="shared" ca="1" si="100"/>
        <v>-55.153652814025854</v>
      </c>
      <c r="W58" s="105">
        <f t="shared" ref="W58:AB58" ca="1" si="101">W68*W54</f>
        <v>-56.383579829646635</v>
      </c>
      <c r="X58" s="105">
        <f t="shared" ca="1" si="101"/>
        <v>-57.657754655736035</v>
      </c>
      <c r="Y58" s="105">
        <f t="shared" ca="1" si="101"/>
        <v>-58.977504726608117</v>
      </c>
      <c r="Z58" s="105">
        <f t="shared" ca="1" si="101"/>
        <v>-60.344197299606364</v>
      </c>
      <c r="AA58" s="105">
        <f t="shared" ca="1" si="101"/>
        <v>-61.759240649794556</v>
      </c>
      <c r="AB58" s="105">
        <f t="shared" ca="1" si="101"/>
        <v>-63.224085300488397</v>
      </c>
    </row>
    <row r="59" spans="1:28">
      <c r="A59" s="484"/>
      <c r="B59" s="6"/>
      <c r="C59" s="6"/>
      <c r="D59" s="6"/>
      <c r="E59" s="6"/>
      <c r="F59" s="6"/>
      <c r="G59" s="6"/>
      <c r="H59" s="6"/>
      <c r="I59" s="6"/>
      <c r="J59" s="6"/>
      <c r="K59" s="6"/>
      <c r="L59" s="6"/>
      <c r="M59" s="6"/>
      <c r="N59" s="6"/>
      <c r="O59" s="6"/>
      <c r="P59" s="11"/>
      <c r="Q59" s="11"/>
      <c r="R59" s="11"/>
      <c r="S59" s="11"/>
      <c r="T59" s="11"/>
      <c r="U59" s="11"/>
      <c r="V59" s="11"/>
      <c r="W59" s="11"/>
      <c r="X59" s="11"/>
      <c r="Y59" s="11"/>
      <c r="Z59" s="11"/>
      <c r="AA59" s="11"/>
      <c r="AB59" s="11"/>
    </row>
    <row r="60" spans="1:28">
      <c r="A60" s="486" t="s">
        <v>75</v>
      </c>
      <c r="B60" s="13"/>
      <c r="C60" s="13"/>
      <c r="D60" s="13"/>
      <c r="E60" s="13"/>
      <c r="F60" s="13">
        <f t="shared" ref="F60:O60" si="102">F49-F56-F58</f>
        <v>-60.050000000000004</v>
      </c>
      <c r="G60" s="13">
        <f t="shared" si="102"/>
        <v>-91.900499999999994</v>
      </c>
      <c r="H60" s="13">
        <f t="shared" si="102"/>
        <v>-124.56050000000005</v>
      </c>
      <c r="I60" s="13">
        <f t="shared" si="102"/>
        <v>-113.82749999999999</v>
      </c>
      <c r="J60" s="13">
        <f t="shared" si="102"/>
        <v>-121.92518000000001</v>
      </c>
      <c r="K60" s="13">
        <f t="shared" si="102"/>
        <v>-115.221</v>
      </c>
      <c r="L60" s="13">
        <f t="shared" si="102"/>
        <v>-125.07209529153391</v>
      </c>
      <c r="M60" s="13">
        <f t="shared" si="102"/>
        <v>-208.77471815247145</v>
      </c>
      <c r="N60" s="13">
        <f t="shared" si="102"/>
        <v>-146.01710931158181</v>
      </c>
      <c r="O60" s="13">
        <f t="shared" si="102"/>
        <v>-154.31910384653614</v>
      </c>
      <c r="P60" s="14">
        <f t="shared" ref="P60:V60" ca="1" si="103">P49-P56-P58</f>
        <v>-161.00843240649647</v>
      </c>
      <c r="Q60" s="14">
        <f t="shared" ca="1" si="103"/>
        <v>-154.25438145142638</v>
      </c>
      <c r="R60" s="14">
        <f t="shared" ca="1" si="103"/>
        <v>-158.7857624596549</v>
      </c>
      <c r="S60" s="14">
        <f t="shared" ca="1" si="103"/>
        <v>-163.69197823804802</v>
      </c>
      <c r="T60" s="14">
        <f t="shared" ca="1" si="103"/>
        <v>-168.731801696509</v>
      </c>
      <c r="U60" s="14">
        <f t="shared" ca="1" si="103"/>
        <v>-173.90911648957419</v>
      </c>
      <c r="V60" s="14">
        <f t="shared" ca="1" si="103"/>
        <v>-179.22792028989869</v>
      </c>
      <c r="W60" s="14">
        <f t="shared" ref="W60:AB60" ca="1" si="104">W49-W56-W58</f>
        <v>-184.6923281589697</v>
      </c>
      <c r="X60" s="14">
        <f t="shared" ca="1" si="104"/>
        <v>-190.30657601794437</v>
      </c>
      <c r="Y60" s="14">
        <f t="shared" ca="1" si="104"/>
        <v>-196.07502422159635</v>
      </c>
      <c r="Z60" s="14">
        <f t="shared" ca="1" si="104"/>
        <v>-202.00216123844416</v>
      </c>
      <c r="AA60" s="14">
        <f t="shared" ca="1" si="104"/>
        <v>-208.09260744022544</v>
      </c>
      <c r="AB60" s="14">
        <f t="shared" ca="1" si="104"/>
        <v>-214.35111900397663</v>
      </c>
    </row>
    <row r="61" spans="1:28">
      <c r="A61" s="483"/>
      <c r="B61" s="38"/>
      <c r="C61" s="38"/>
      <c r="D61" s="38"/>
      <c r="E61" s="38"/>
      <c r="F61" s="38"/>
      <c r="G61" s="38"/>
      <c r="H61" s="38"/>
      <c r="I61" s="38"/>
      <c r="J61" s="38"/>
      <c r="K61" s="38"/>
      <c r="L61" s="38"/>
      <c r="M61" s="38"/>
      <c r="N61" s="38"/>
      <c r="O61" s="38"/>
      <c r="P61" s="39"/>
      <c r="Q61" s="39"/>
      <c r="R61" s="39"/>
      <c r="S61" s="39"/>
      <c r="T61" s="39"/>
      <c r="U61" s="39"/>
      <c r="V61" s="39"/>
      <c r="W61" s="39"/>
      <c r="X61" s="39"/>
      <c r="Y61" s="39"/>
      <c r="Z61" s="39"/>
    </row>
    <row r="62" spans="1:28">
      <c r="A62" s="483"/>
      <c r="B62" s="6"/>
      <c r="C62" s="6"/>
      <c r="D62" s="6"/>
      <c r="E62" s="6"/>
      <c r="F62" s="6"/>
      <c r="G62" s="6"/>
      <c r="H62" s="6"/>
      <c r="I62" s="6"/>
      <c r="J62" s="6"/>
      <c r="K62" s="6"/>
      <c r="L62" s="6"/>
      <c r="M62" s="6"/>
      <c r="N62" s="6"/>
      <c r="O62" s="6"/>
      <c r="P62" s="11"/>
      <c r="Q62" s="11"/>
      <c r="R62" s="11"/>
      <c r="S62" s="11"/>
      <c r="T62" s="11"/>
      <c r="U62" s="11"/>
      <c r="V62" s="11"/>
      <c r="W62" s="11"/>
      <c r="X62" s="11"/>
      <c r="Y62" s="11"/>
      <c r="Z62" s="11"/>
    </row>
    <row r="63" spans="1:28">
      <c r="A63" s="6"/>
      <c r="B63" s="6"/>
      <c r="C63" s="6"/>
      <c r="D63" s="6"/>
      <c r="E63" s="6"/>
      <c r="F63" s="6"/>
      <c r="G63" s="6"/>
      <c r="H63" s="6"/>
      <c r="I63" s="6"/>
      <c r="J63" s="6"/>
      <c r="K63" s="6"/>
      <c r="L63" s="6"/>
      <c r="M63" s="6"/>
      <c r="N63" s="6"/>
      <c r="O63" s="6"/>
      <c r="P63" s="11"/>
      <c r="Q63" s="11"/>
      <c r="R63" s="11"/>
      <c r="S63" s="11"/>
      <c r="T63" s="11"/>
      <c r="U63" s="11"/>
      <c r="V63" s="11"/>
      <c r="W63" s="11"/>
      <c r="X63" s="11"/>
      <c r="Y63" s="11"/>
      <c r="Z63" s="11"/>
    </row>
    <row r="64" spans="1:28">
      <c r="A64" s="36" t="s">
        <v>65</v>
      </c>
      <c r="B64" s="6"/>
      <c r="C64" s="6"/>
      <c r="D64" s="6"/>
      <c r="E64" s="6"/>
      <c r="F64" s="6"/>
      <c r="G64" s="6"/>
      <c r="H64" s="6"/>
      <c r="I64" s="6"/>
      <c r="J64" s="6"/>
      <c r="K64" s="6"/>
      <c r="L64" s="6"/>
      <c r="M64" s="6"/>
      <c r="N64" s="6"/>
      <c r="O64" s="6"/>
      <c r="P64" s="11"/>
      <c r="Q64" s="11"/>
      <c r="R64" s="11"/>
      <c r="S64" s="11"/>
      <c r="T64" s="11"/>
      <c r="U64" s="11"/>
      <c r="V64" s="11"/>
      <c r="W64" s="11"/>
      <c r="X64" s="11"/>
      <c r="Y64" s="11"/>
      <c r="Z64" s="11"/>
    </row>
    <row r="65" spans="1:29">
      <c r="A65" s="295" t="s">
        <v>246</v>
      </c>
      <c r="B65" s="6"/>
      <c r="C65" s="6"/>
      <c r="D65" s="487"/>
      <c r="E65" s="488">
        <f ca="1">FMV!B52</f>
        <v>4.6359932385549224E-2</v>
      </c>
      <c r="F65" s="298">
        <f t="shared" ref="F65:O65" ca="1" si="105">+E65</f>
        <v>4.6359932385549224E-2</v>
      </c>
      <c r="G65" s="298">
        <f t="shared" ca="1" si="105"/>
        <v>4.6359932385549224E-2</v>
      </c>
      <c r="H65" s="298">
        <f t="shared" ca="1" si="105"/>
        <v>4.6359932385549224E-2</v>
      </c>
      <c r="I65" s="298">
        <f t="shared" ca="1" si="105"/>
        <v>4.6359932385549224E-2</v>
      </c>
      <c r="J65" s="298">
        <f t="shared" ca="1" si="105"/>
        <v>4.6359932385549224E-2</v>
      </c>
      <c r="K65" s="298">
        <f t="shared" ca="1" si="105"/>
        <v>4.6359932385549224E-2</v>
      </c>
      <c r="L65" s="298">
        <f t="shared" ca="1" si="105"/>
        <v>4.6359932385549224E-2</v>
      </c>
      <c r="M65" s="298">
        <f t="shared" ca="1" si="105"/>
        <v>4.6359932385549224E-2</v>
      </c>
      <c r="N65" s="298">
        <f t="shared" ca="1" si="105"/>
        <v>4.6359932385549224E-2</v>
      </c>
      <c r="O65" s="298">
        <f t="shared" ca="1" si="105"/>
        <v>4.6359932385549224E-2</v>
      </c>
      <c r="P65" s="536">
        <f t="shared" ref="P65:Q68" ca="1" si="106">+O65</f>
        <v>4.6359932385549224E-2</v>
      </c>
      <c r="Q65" s="536">
        <f t="shared" ca="1" si="106"/>
        <v>4.6359932385549224E-2</v>
      </c>
      <c r="R65" s="536">
        <f t="shared" ref="R65:T68" ca="1" si="107">+Q65</f>
        <v>4.6359932385549224E-2</v>
      </c>
      <c r="S65" s="536">
        <f t="shared" ca="1" si="107"/>
        <v>4.6359932385549224E-2</v>
      </c>
      <c r="T65" s="536">
        <f t="shared" ca="1" si="107"/>
        <v>4.6359932385549224E-2</v>
      </c>
      <c r="U65" s="536">
        <f t="shared" ref="U65:V68" ca="1" si="108">+T65</f>
        <v>4.6359932385549224E-2</v>
      </c>
      <c r="V65" s="536">
        <f t="shared" ca="1" si="108"/>
        <v>4.6359932385549224E-2</v>
      </c>
      <c r="W65" s="536">
        <f t="shared" ref="W65:AB68" ca="1" si="109">+V65</f>
        <v>4.6359932385549224E-2</v>
      </c>
      <c r="X65" s="536">
        <f t="shared" ca="1" si="109"/>
        <v>4.6359932385549224E-2</v>
      </c>
      <c r="Y65" s="536">
        <f t="shared" ca="1" si="109"/>
        <v>4.6359932385549224E-2</v>
      </c>
      <c r="Z65" s="536">
        <f t="shared" ca="1" si="109"/>
        <v>4.6359932385549224E-2</v>
      </c>
      <c r="AA65" s="536">
        <f t="shared" ca="1" si="109"/>
        <v>4.6359932385549224E-2</v>
      </c>
      <c r="AB65" s="536">
        <f t="shared" ca="1" si="109"/>
        <v>4.6359932385549224E-2</v>
      </c>
    </row>
    <row r="66" spans="1:29">
      <c r="A66" s="295" t="s">
        <v>247</v>
      </c>
      <c r="B66" s="6"/>
      <c r="C66" s="6"/>
      <c r="D66" s="487"/>
      <c r="E66" s="488">
        <f>FMV!B53</f>
        <v>0.1</v>
      </c>
      <c r="F66" s="298">
        <f t="shared" ref="F66:O66" si="110">+E66</f>
        <v>0.1</v>
      </c>
      <c r="G66" s="298">
        <f t="shared" si="110"/>
        <v>0.1</v>
      </c>
      <c r="H66" s="298">
        <f t="shared" si="110"/>
        <v>0.1</v>
      </c>
      <c r="I66" s="298">
        <f t="shared" si="110"/>
        <v>0.1</v>
      </c>
      <c r="J66" s="298">
        <f t="shared" si="110"/>
        <v>0.1</v>
      </c>
      <c r="K66" s="298">
        <f t="shared" si="110"/>
        <v>0.1</v>
      </c>
      <c r="L66" s="298">
        <f t="shared" si="110"/>
        <v>0.1</v>
      </c>
      <c r="M66" s="298">
        <f t="shared" si="110"/>
        <v>0.1</v>
      </c>
      <c r="N66" s="298">
        <f t="shared" si="110"/>
        <v>0.1</v>
      </c>
      <c r="O66" s="298">
        <f t="shared" si="110"/>
        <v>0.1</v>
      </c>
      <c r="P66" s="536">
        <f t="shared" si="106"/>
        <v>0.1</v>
      </c>
      <c r="Q66" s="536">
        <f t="shared" si="106"/>
        <v>0.1</v>
      </c>
      <c r="R66" s="536">
        <f t="shared" si="107"/>
        <v>0.1</v>
      </c>
      <c r="S66" s="536">
        <f t="shared" si="107"/>
        <v>0.1</v>
      </c>
      <c r="T66" s="536">
        <f t="shared" si="107"/>
        <v>0.1</v>
      </c>
      <c r="U66" s="536">
        <f t="shared" si="108"/>
        <v>0.1</v>
      </c>
      <c r="V66" s="536">
        <f t="shared" si="108"/>
        <v>0.1</v>
      </c>
      <c r="W66" s="536">
        <f t="shared" si="109"/>
        <v>0.1</v>
      </c>
      <c r="X66" s="536">
        <f t="shared" si="109"/>
        <v>0.1</v>
      </c>
      <c r="Y66" s="536">
        <f t="shared" si="109"/>
        <v>0.1</v>
      </c>
      <c r="Z66" s="536">
        <f t="shared" si="109"/>
        <v>0.1</v>
      </c>
      <c r="AA66" s="536">
        <f t="shared" si="109"/>
        <v>0.1</v>
      </c>
      <c r="AB66" s="536">
        <f t="shared" si="109"/>
        <v>0.1</v>
      </c>
    </row>
    <row r="67" spans="1:29">
      <c r="A67" s="295" t="s">
        <v>248</v>
      </c>
      <c r="B67" s="6"/>
      <c r="C67" s="6"/>
      <c r="D67" s="487"/>
      <c r="E67" s="488">
        <f>FMV!B54</f>
        <v>0.3</v>
      </c>
      <c r="F67" s="298">
        <f t="shared" ref="F67:O67" si="111">+E67</f>
        <v>0.3</v>
      </c>
      <c r="G67" s="298">
        <f t="shared" si="111"/>
        <v>0.3</v>
      </c>
      <c r="H67" s="298">
        <f t="shared" si="111"/>
        <v>0.3</v>
      </c>
      <c r="I67" s="298">
        <f t="shared" si="111"/>
        <v>0.3</v>
      </c>
      <c r="J67" s="298">
        <f t="shared" si="111"/>
        <v>0.3</v>
      </c>
      <c r="K67" s="298">
        <f t="shared" si="111"/>
        <v>0.3</v>
      </c>
      <c r="L67" s="298">
        <f t="shared" si="111"/>
        <v>0.3</v>
      </c>
      <c r="M67" s="298">
        <f t="shared" si="111"/>
        <v>0.3</v>
      </c>
      <c r="N67" s="298">
        <f t="shared" si="111"/>
        <v>0.3</v>
      </c>
      <c r="O67" s="298">
        <f t="shared" si="111"/>
        <v>0.3</v>
      </c>
      <c r="P67" s="536">
        <f t="shared" si="106"/>
        <v>0.3</v>
      </c>
      <c r="Q67" s="536">
        <f t="shared" si="106"/>
        <v>0.3</v>
      </c>
      <c r="R67" s="536">
        <f t="shared" si="107"/>
        <v>0.3</v>
      </c>
      <c r="S67" s="536">
        <f t="shared" si="107"/>
        <v>0.3</v>
      </c>
      <c r="T67" s="536">
        <f t="shared" si="107"/>
        <v>0.3</v>
      </c>
      <c r="U67" s="536">
        <f t="shared" si="108"/>
        <v>0.3</v>
      </c>
      <c r="V67" s="536">
        <f t="shared" si="108"/>
        <v>0.3</v>
      </c>
      <c r="W67" s="536">
        <f t="shared" si="109"/>
        <v>0.3</v>
      </c>
      <c r="X67" s="536">
        <f t="shared" si="109"/>
        <v>0.3</v>
      </c>
      <c r="Y67" s="536">
        <f t="shared" si="109"/>
        <v>0.3</v>
      </c>
      <c r="Z67" s="536">
        <f t="shared" si="109"/>
        <v>0.3</v>
      </c>
      <c r="AA67" s="536">
        <f t="shared" si="109"/>
        <v>0.3</v>
      </c>
      <c r="AB67" s="536">
        <f t="shared" si="109"/>
        <v>0.3</v>
      </c>
    </row>
    <row r="68" spans="1:29">
      <c r="A68" s="295" t="s">
        <v>249</v>
      </c>
      <c r="B68" s="6"/>
      <c r="C68" s="6"/>
      <c r="D68" s="487"/>
      <c r="E68" s="488">
        <f>FMV!B55</f>
        <v>0.245</v>
      </c>
      <c r="F68" s="298">
        <f t="shared" ref="F68:O68" si="112">+E68</f>
        <v>0.245</v>
      </c>
      <c r="G68" s="298">
        <f t="shared" si="112"/>
        <v>0.245</v>
      </c>
      <c r="H68" s="298">
        <f t="shared" si="112"/>
        <v>0.245</v>
      </c>
      <c r="I68" s="298">
        <f t="shared" si="112"/>
        <v>0.245</v>
      </c>
      <c r="J68" s="298">
        <f t="shared" si="112"/>
        <v>0.245</v>
      </c>
      <c r="K68" s="298">
        <f t="shared" si="112"/>
        <v>0.245</v>
      </c>
      <c r="L68" s="298">
        <f t="shared" si="112"/>
        <v>0.245</v>
      </c>
      <c r="M68" s="298">
        <f t="shared" si="112"/>
        <v>0.245</v>
      </c>
      <c r="N68" s="298">
        <f t="shared" si="112"/>
        <v>0.245</v>
      </c>
      <c r="O68" s="298">
        <f t="shared" si="112"/>
        <v>0.245</v>
      </c>
      <c r="P68" s="536">
        <f t="shared" si="106"/>
        <v>0.245</v>
      </c>
      <c r="Q68" s="536">
        <f t="shared" si="106"/>
        <v>0.245</v>
      </c>
      <c r="R68" s="536">
        <f t="shared" si="107"/>
        <v>0.245</v>
      </c>
      <c r="S68" s="536">
        <f t="shared" si="107"/>
        <v>0.245</v>
      </c>
      <c r="T68" s="536">
        <f t="shared" si="107"/>
        <v>0.245</v>
      </c>
      <c r="U68" s="536">
        <f t="shared" si="108"/>
        <v>0.245</v>
      </c>
      <c r="V68" s="536">
        <f t="shared" si="108"/>
        <v>0.245</v>
      </c>
      <c r="W68" s="536">
        <f t="shared" si="109"/>
        <v>0.245</v>
      </c>
      <c r="X68" s="536">
        <f t="shared" si="109"/>
        <v>0.245</v>
      </c>
      <c r="Y68" s="536">
        <f t="shared" si="109"/>
        <v>0.245</v>
      </c>
      <c r="Z68" s="536">
        <f t="shared" si="109"/>
        <v>0.245</v>
      </c>
      <c r="AA68" s="536">
        <f t="shared" si="109"/>
        <v>0.245</v>
      </c>
      <c r="AB68" s="536">
        <f t="shared" si="109"/>
        <v>0.245</v>
      </c>
    </row>
    <row r="69" spans="1:29">
      <c r="A69" s="295" t="s">
        <v>250</v>
      </c>
      <c r="B69" s="6"/>
      <c r="C69" s="6"/>
      <c r="D69" s="298"/>
      <c r="E69" s="298">
        <f t="shared" ref="E69:R69" ca="1" si="113">((E65*(1-E68)*E67))+(E66*(1-E67))</f>
        <v>8.0500524685326896E-2</v>
      </c>
      <c r="F69" s="298">
        <f t="shared" ca="1" si="113"/>
        <v>8.0500524685326896E-2</v>
      </c>
      <c r="G69" s="298">
        <f t="shared" ca="1" si="113"/>
        <v>8.0500524685326896E-2</v>
      </c>
      <c r="H69" s="298">
        <f t="shared" ca="1" si="113"/>
        <v>8.0500524685326896E-2</v>
      </c>
      <c r="I69" s="298">
        <f t="shared" ca="1" si="113"/>
        <v>8.0500524685326896E-2</v>
      </c>
      <c r="J69" s="298">
        <f t="shared" ca="1" si="113"/>
        <v>8.0500524685326896E-2</v>
      </c>
      <c r="K69" s="298">
        <f t="shared" ca="1" si="113"/>
        <v>8.0500524685326896E-2</v>
      </c>
      <c r="L69" s="298">
        <f t="shared" ca="1" si="113"/>
        <v>8.0500524685326896E-2</v>
      </c>
      <c r="M69" s="298">
        <f t="shared" ca="1" si="113"/>
        <v>8.0500524685326896E-2</v>
      </c>
      <c r="N69" s="298">
        <f t="shared" ca="1" si="113"/>
        <v>8.0500524685326896E-2</v>
      </c>
      <c r="O69" s="298">
        <f t="shared" ca="1" si="113"/>
        <v>8.0500524685326896E-2</v>
      </c>
      <c r="P69" s="536">
        <f t="shared" ca="1" si="113"/>
        <v>8.0500524685326896E-2</v>
      </c>
      <c r="Q69" s="536">
        <f t="shared" ca="1" si="113"/>
        <v>8.0500524685326896E-2</v>
      </c>
      <c r="R69" s="536">
        <f t="shared" ca="1" si="113"/>
        <v>8.0500524685326896E-2</v>
      </c>
      <c r="S69" s="536">
        <f t="shared" ref="S69:X69" ca="1" si="114">((S65*(1-S68)*S67))+(S66*(1-S67))</f>
        <v>8.0500524685326896E-2</v>
      </c>
      <c r="T69" s="536">
        <f t="shared" ca="1" si="114"/>
        <v>8.0500524685326896E-2</v>
      </c>
      <c r="U69" s="536">
        <f t="shared" ca="1" si="114"/>
        <v>8.0500524685326896E-2</v>
      </c>
      <c r="V69" s="536">
        <f t="shared" ca="1" si="114"/>
        <v>8.0500524685326896E-2</v>
      </c>
      <c r="W69" s="536">
        <f t="shared" ca="1" si="114"/>
        <v>8.0500524685326896E-2</v>
      </c>
      <c r="X69" s="536">
        <f t="shared" ca="1" si="114"/>
        <v>8.0500524685326896E-2</v>
      </c>
      <c r="Y69" s="536">
        <f ca="1">((Y65*(1-Y68)*Y67))+(Y66*(1-Y67))</f>
        <v>8.0500524685326896E-2</v>
      </c>
      <c r="Z69" s="536">
        <f ca="1">((Z65*(1-Z68)*Z67))+(Z66*(1-Z67))</f>
        <v>8.0500524685326896E-2</v>
      </c>
      <c r="AA69" s="536">
        <f ca="1">((AA65*(1-AA68)*AA67))+(AA66*(1-AA67))</f>
        <v>8.0500524685326896E-2</v>
      </c>
      <c r="AB69" s="536">
        <f ca="1">((AB65*(1-AB68)*AB67))+(AB66*(1-AB67))</f>
        <v>8.0500524685326896E-2</v>
      </c>
    </row>
    <row r="70" spans="1:29">
      <c r="A70" s="295" t="s">
        <v>251</v>
      </c>
      <c r="B70" s="6"/>
      <c r="C70" s="6"/>
      <c r="D70" s="487"/>
      <c r="E70" s="488">
        <f>FMV!B57</f>
        <v>0.02</v>
      </c>
      <c r="F70" s="298">
        <f t="shared" ref="F70:O70" si="115">+E70</f>
        <v>0.02</v>
      </c>
      <c r="G70" s="298">
        <f t="shared" si="115"/>
        <v>0.02</v>
      </c>
      <c r="H70" s="298">
        <f t="shared" si="115"/>
        <v>0.02</v>
      </c>
      <c r="I70" s="298">
        <f t="shared" si="115"/>
        <v>0.02</v>
      </c>
      <c r="J70" s="298">
        <f t="shared" si="115"/>
        <v>0.02</v>
      </c>
      <c r="K70" s="298">
        <f t="shared" si="115"/>
        <v>0.02</v>
      </c>
      <c r="L70" s="298">
        <f t="shared" si="115"/>
        <v>0.02</v>
      </c>
      <c r="M70" s="298">
        <f t="shared" si="115"/>
        <v>0.02</v>
      </c>
      <c r="N70" s="298">
        <f t="shared" si="115"/>
        <v>0.02</v>
      </c>
      <c r="O70" s="298">
        <f t="shared" si="115"/>
        <v>0.02</v>
      </c>
      <c r="P70" s="536">
        <f t="shared" ref="P70:V70" si="116">+O70</f>
        <v>0.02</v>
      </c>
      <c r="Q70" s="536">
        <f t="shared" si="116"/>
        <v>0.02</v>
      </c>
      <c r="R70" s="536">
        <f t="shared" si="116"/>
        <v>0.02</v>
      </c>
      <c r="S70" s="536">
        <f t="shared" si="116"/>
        <v>0.02</v>
      </c>
      <c r="T70" s="536">
        <f t="shared" si="116"/>
        <v>0.02</v>
      </c>
      <c r="U70" s="536">
        <f t="shared" si="116"/>
        <v>0.02</v>
      </c>
      <c r="V70" s="536">
        <f t="shared" si="116"/>
        <v>0.02</v>
      </c>
      <c r="W70" s="536">
        <f t="shared" ref="W70:AB70" si="117">+V70</f>
        <v>0.02</v>
      </c>
      <c r="X70" s="536">
        <f t="shared" si="117"/>
        <v>0.02</v>
      </c>
      <c r="Y70" s="536">
        <f t="shared" si="117"/>
        <v>0.02</v>
      </c>
      <c r="Z70" s="536">
        <f t="shared" si="117"/>
        <v>0.02</v>
      </c>
      <c r="AA70" s="536">
        <f t="shared" si="117"/>
        <v>0.02</v>
      </c>
      <c r="AB70" s="536">
        <f t="shared" si="117"/>
        <v>0.02</v>
      </c>
    </row>
    <row r="71" spans="1:29">
      <c r="A71" s="295"/>
      <c r="B71" s="6"/>
      <c r="C71" s="6"/>
      <c r="D71" s="487"/>
      <c r="E71" s="6"/>
      <c r="F71" s="6"/>
      <c r="G71" s="6"/>
      <c r="H71" s="6"/>
      <c r="I71" s="6"/>
      <c r="J71" s="6"/>
      <c r="K71" s="6"/>
      <c r="L71" s="6"/>
      <c r="M71" s="6"/>
      <c r="N71" s="6"/>
      <c r="O71" s="6"/>
      <c r="P71" s="11"/>
      <c r="Q71" s="11"/>
      <c r="R71" s="11"/>
      <c r="S71" s="11"/>
      <c r="T71" s="11"/>
      <c r="U71" s="11"/>
      <c r="V71" s="11"/>
      <c r="W71" s="11"/>
      <c r="X71" s="11"/>
      <c r="Y71" s="11"/>
      <c r="Z71" s="11"/>
    </row>
    <row r="72" spans="1:29">
      <c r="A72" s="295" t="s">
        <v>53</v>
      </c>
      <c r="B72" s="6"/>
      <c r="C72" s="6"/>
      <c r="D72" s="487"/>
      <c r="E72" s="489">
        <f>AB49*(1+E70)</f>
        <v>-244.40310068284967</v>
      </c>
      <c r="F72" s="489">
        <f t="shared" ref="F72:O72" si="118">+E72</f>
        <v>-244.40310068284967</v>
      </c>
      <c r="G72" s="489">
        <f t="shared" si="118"/>
        <v>-244.40310068284967</v>
      </c>
      <c r="H72" s="489">
        <f t="shared" si="118"/>
        <v>-244.40310068284967</v>
      </c>
      <c r="I72" s="489">
        <f t="shared" si="118"/>
        <v>-244.40310068284967</v>
      </c>
      <c r="J72" s="489">
        <f t="shared" si="118"/>
        <v>-244.40310068284967</v>
      </c>
      <c r="K72" s="489">
        <f t="shared" si="118"/>
        <v>-244.40310068284967</v>
      </c>
      <c r="L72" s="489">
        <f t="shared" si="118"/>
        <v>-244.40310068284967</v>
      </c>
      <c r="M72" s="489">
        <f t="shared" si="118"/>
        <v>-244.40310068284967</v>
      </c>
      <c r="N72" s="489">
        <f t="shared" si="118"/>
        <v>-244.40310068284967</v>
      </c>
      <c r="O72" s="489">
        <f t="shared" si="118"/>
        <v>-244.40310068284967</v>
      </c>
      <c r="P72" s="181">
        <f t="shared" ref="P72:Q74" si="119">+O72</f>
        <v>-244.40310068284967</v>
      </c>
      <c r="Q72" s="181">
        <f t="shared" si="119"/>
        <v>-244.40310068284967</v>
      </c>
      <c r="R72" s="181">
        <f t="shared" ref="R72:T74" si="120">+Q72</f>
        <v>-244.40310068284967</v>
      </c>
      <c r="S72" s="181">
        <f t="shared" si="120"/>
        <v>-244.40310068284967</v>
      </c>
      <c r="T72" s="181">
        <f t="shared" si="120"/>
        <v>-244.40310068284967</v>
      </c>
      <c r="U72" s="181">
        <f t="shared" ref="U72:V74" si="121">+T72</f>
        <v>-244.40310068284967</v>
      </c>
      <c r="V72" s="181">
        <f t="shared" si="121"/>
        <v>-244.40310068284967</v>
      </c>
      <c r="W72" s="181">
        <f t="shared" ref="W72:AB74" si="122">+V72</f>
        <v>-244.40310068284967</v>
      </c>
      <c r="X72" s="181">
        <f t="shared" si="122"/>
        <v>-244.40310068284967</v>
      </c>
      <c r="Y72" s="181">
        <f t="shared" si="122"/>
        <v>-244.40310068284967</v>
      </c>
      <c r="Z72" s="181">
        <f t="shared" si="122"/>
        <v>-244.40310068284967</v>
      </c>
      <c r="AA72" s="181">
        <f t="shared" si="122"/>
        <v>-244.40310068284967</v>
      </c>
      <c r="AB72" s="181">
        <f t="shared" si="122"/>
        <v>-244.40310068284967</v>
      </c>
    </row>
    <row r="73" spans="1:29">
      <c r="A73" s="490" t="s">
        <v>54</v>
      </c>
      <c r="B73" s="6"/>
      <c r="C73" s="6"/>
      <c r="D73" s="487"/>
      <c r="E73" s="489">
        <f ca="1">AB58*(1+E70)</f>
        <v>-64.488567006498172</v>
      </c>
      <c r="F73" s="489">
        <f t="shared" ref="F73:O73" ca="1" si="123">+E73</f>
        <v>-64.488567006498172</v>
      </c>
      <c r="G73" s="489">
        <f t="shared" ca="1" si="123"/>
        <v>-64.488567006498172</v>
      </c>
      <c r="H73" s="489">
        <f t="shared" ca="1" si="123"/>
        <v>-64.488567006498172</v>
      </c>
      <c r="I73" s="489">
        <f t="shared" ca="1" si="123"/>
        <v>-64.488567006498172</v>
      </c>
      <c r="J73" s="489">
        <f t="shared" ca="1" si="123"/>
        <v>-64.488567006498172</v>
      </c>
      <c r="K73" s="489">
        <f t="shared" ca="1" si="123"/>
        <v>-64.488567006498172</v>
      </c>
      <c r="L73" s="489">
        <f t="shared" ca="1" si="123"/>
        <v>-64.488567006498172</v>
      </c>
      <c r="M73" s="489">
        <f t="shared" ca="1" si="123"/>
        <v>-64.488567006498172</v>
      </c>
      <c r="N73" s="489">
        <f t="shared" ca="1" si="123"/>
        <v>-64.488567006498172</v>
      </c>
      <c r="O73" s="489">
        <f t="shared" ca="1" si="123"/>
        <v>-64.488567006498172</v>
      </c>
      <c r="P73" s="181">
        <f t="shared" ca="1" si="119"/>
        <v>-64.488567006498172</v>
      </c>
      <c r="Q73" s="181">
        <f t="shared" ca="1" si="119"/>
        <v>-64.488567006498172</v>
      </c>
      <c r="R73" s="181">
        <f t="shared" ca="1" si="120"/>
        <v>-64.488567006498172</v>
      </c>
      <c r="S73" s="181">
        <f t="shared" ca="1" si="120"/>
        <v>-64.488567006498172</v>
      </c>
      <c r="T73" s="181">
        <f t="shared" ca="1" si="120"/>
        <v>-64.488567006498172</v>
      </c>
      <c r="U73" s="181">
        <f t="shared" ca="1" si="121"/>
        <v>-64.488567006498172</v>
      </c>
      <c r="V73" s="181">
        <f t="shared" ca="1" si="121"/>
        <v>-64.488567006498172</v>
      </c>
      <c r="W73" s="181">
        <f t="shared" ca="1" si="122"/>
        <v>-64.488567006498172</v>
      </c>
      <c r="X73" s="181">
        <f t="shared" ca="1" si="122"/>
        <v>-64.488567006498172</v>
      </c>
      <c r="Y73" s="181">
        <f t="shared" ca="1" si="122"/>
        <v>-64.488567006498172</v>
      </c>
      <c r="Z73" s="181">
        <f t="shared" ca="1" si="122"/>
        <v>-64.488567006498172</v>
      </c>
      <c r="AA73" s="181">
        <f t="shared" ca="1" si="122"/>
        <v>-64.488567006498172</v>
      </c>
      <c r="AB73" s="181">
        <f t="shared" ca="1" si="122"/>
        <v>-64.488567006498172</v>
      </c>
    </row>
    <row r="74" spans="1:29">
      <c r="A74" s="490" t="s">
        <v>67</v>
      </c>
      <c r="B74" s="6"/>
      <c r="C74" s="6"/>
      <c r="D74" s="51"/>
      <c r="E74" s="491">
        <f>AB56*(1+E70)</f>
        <v>38.723607707704701</v>
      </c>
      <c r="F74" s="491">
        <f t="shared" ref="F74:O74" si="124">+E74</f>
        <v>38.723607707704701</v>
      </c>
      <c r="G74" s="491">
        <f t="shared" si="124"/>
        <v>38.723607707704701</v>
      </c>
      <c r="H74" s="491">
        <f t="shared" si="124"/>
        <v>38.723607707704701</v>
      </c>
      <c r="I74" s="491">
        <f t="shared" si="124"/>
        <v>38.723607707704701</v>
      </c>
      <c r="J74" s="491">
        <f t="shared" si="124"/>
        <v>38.723607707704701</v>
      </c>
      <c r="K74" s="491">
        <f t="shared" si="124"/>
        <v>38.723607707704701</v>
      </c>
      <c r="L74" s="491">
        <f t="shared" si="124"/>
        <v>38.723607707704701</v>
      </c>
      <c r="M74" s="491">
        <f t="shared" si="124"/>
        <v>38.723607707704701</v>
      </c>
      <c r="N74" s="491">
        <f t="shared" si="124"/>
        <v>38.723607707704701</v>
      </c>
      <c r="O74" s="491">
        <f t="shared" si="124"/>
        <v>38.723607707704701</v>
      </c>
      <c r="P74" s="537">
        <f t="shared" si="119"/>
        <v>38.723607707704701</v>
      </c>
      <c r="Q74" s="537">
        <f t="shared" si="119"/>
        <v>38.723607707704701</v>
      </c>
      <c r="R74" s="537">
        <f t="shared" si="120"/>
        <v>38.723607707704701</v>
      </c>
      <c r="S74" s="537">
        <f t="shared" si="120"/>
        <v>38.723607707704701</v>
      </c>
      <c r="T74" s="537">
        <f t="shared" si="120"/>
        <v>38.723607707704701</v>
      </c>
      <c r="U74" s="537">
        <f t="shared" si="121"/>
        <v>38.723607707704701</v>
      </c>
      <c r="V74" s="537">
        <f t="shared" si="121"/>
        <v>38.723607707704701</v>
      </c>
      <c r="W74" s="537">
        <f t="shared" si="122"/>
        <v>38.723607707704701</v>
      </c>
      <c r="X74" s="537">
        <f t="shared" si="122"/>
        <v>38.723607707704701</v>
      </c>
      <c r="Y74" s="537">
        <f t="shared" si="122"/>
        <v>38.723607707704701</v>
      </c>
      <c r="Z74" s="537">
        <f t="shared" si="122"/>
        <v>38.723607707704701</v>
      </c>
      <c r="AA74" s="537">
        <f t="shared" si="122"/>
        <v>38.723607707704701</v>
      </c>
      <c r="AB74" s="537">
        <f t="shared" si="122"/>
        <v>38.723607707704701</v>
      </c>
    </row>
    <row r="75" spans="1:29">
      <c r="A75" s="295" t="s">
        <v>56</v>
      </c>
      <c r="B75" s="6"/>
      <c r="C75" s="6"/>
      <c r="D75" s="6"/>
      <c r="E75" s="489">
        <f ca="1">+E72-E73-E74</f>
        <v>-218.63814138405618</v>
      </c>
      <c r="F75" s="489">
        <f t="shared" ref="F75:R75" ca="1" si="125">+F72-F73-F74</f>
        <v>-218.63814138405618</v>
      </c>
      <c r="G75" s="489">
        <f t="shared" ca="1" si="125"/>
        <v>-218.63814138405618</v>
      </c>
      <c r="H75" s="489">
        <f t="shared" ca="1" si="125"/>
        <v>-218.63814138405618</v>
      </c>
      <c r="I75" s="489">
        <f t="shared" ca="1" si="125"/>
        <v>-218.63814138405618</v>
      </c>
      <c r="J75" s="489">
        <f t="shared" ca="1" si="125"/>
        <v>-218.63814138405618</v>
      </c>
      <c r="K75" s="489">
        <f t="shared" ca="1" si="125"/>
        <v>-218.63814138405618</v>
      </c>
      <c r="L75" s="489">
        <f t="shared" ca="1" si="125"/>
        <v>-218.63814138405618</v>
      </c>
      <c r="M75" s="489">
        <f t="shared" ca="1" si="125"/>
        <v>-218.63814138405618</v>
      </c>
      <c r="N75" s="489">
        <f t="shared" ca="1" si="125"/>
        <v>-218.63814138405618</v>
      </c>
      <c r="O75" s="489">
        <f t="shared" ca="1" si="125"/>
        <v>-218.63814138405618</v>
      </c>
      <c r="P75" s="181">
        <f t="shared" ca="1" si="125"/>
        <v>-218.63814138405618</v>
      </c>
      <c r="Q75" s="181">
        <f t="shared" ca="1" si="125"/>
        <v>-218.63814138405618</v>
      </c>
      <c r="R75" s="181">
        <f t="shared" ca="1" si="125"/>
        <v>-218.63814138405618</v>
      </c>
      <c r="S75" s="181">
        <f t="shared" ref="S75:X75" ca="1" si="126">+S72-S73-S74</f>
        <v>-218.63814138405618</v>
      </c>
      <c r="T75" s="181">
        <f t="shared" ca="1" si="126"/>
        <v>-218.63814138405618</v>
      </c>
      <c r="U75" s="181">
        <f t="shared" ca="1" si="126"/>
        <v>-218.63814138405618</v>
      </c>
      <c r="V75" s="181">
        <f t="shared" ca="1" si="126"/>
        <v>-218.63814138405618</v>
      </c>
      <c r="W75" s="181">
        <f t="shared" ca="1" si="126"/>
        <v>-218.63814138405618</v>
      </c>
      <c r="X75" s="181">
        <f t="shared" ca="1" si="126"/>
        <v>-218.63814138405618</v>
      </c>
      <c r="Y75" s="181">
        <f ca="1">+Y72-Y73-Y74</f>
        <v>-218.63814138405618</v>
      </c>
      <c r="Z75" s="181">
        <f ca="1">+Z72-Z73-Z74</f>
        <v>-218.63814138405618</v>
      </c>
      <c r="AA75" s="181">
        <f ca="1">+AA72-AA73-AA74</f>
        <v>-218.63814138405618</v>
      </c>
      <c r="AB75" s="181">
        <f ca="1">+AB72-AB73-AB74</f>
        <v>-218.63814138405618</v>
      </c>
    </row>
    <row r="76" spans="1:29">
      <c r="A76" s="490" t="s">
        <v>57</v>
      </c>
      <c r="B76" s="6"/>
      <c r="C76" s="6"/>
      <c r="D76" s="6"/>
      <c r="E76" s="489">
        <f ca="1">1/(E69-E70)</f>
        <v>16.528782274222632</v>
      </c>
      <c r="F76" s="489">
        <f t="shared" ref="F76:O76" ca="1" si="127">1/(F69-F70)</f>
        <v>16.528782274222632</v>
      </c>
      <c r="G76" s="489">
        <f t="shared" ca="1" si="127"/>
        <v>16.528782274222632</v>
      </c>
      <c r="H76" s="489">
        <f t="shared" ca="1" si="127"/>
        <v>16.528782274222632</v>
      </c>
      <c r="I76" s="489">
        <f t="shared" ca="1" si="127"/>
        <v>16.528782274222632</v>
      </c>
      <c r="J76" s="489">
        <f t="shared" ca="1" si="127"/>
        <v>16.528782274222632</v>
      </c>
      <c r="K76" s="489">
        <f t="shared" ca="1" si="127"/>
        <v>16.528782274222632</v>
      </c>
      <c r="L76" s="489">
        <f t="shared" ca="1" si="127"/>
        <v>16.528782274222632</v>
      </c>
      <c r="M76" s="489">
        <f t="shared" ca="1" si="127"/>
        <v>16.528782274222632</v>
      </c>
      <c r="N76" s="489">
        <f t="shared" ca="1" si="127"/>
        <v>16.528782274222632</v>
      </c>
      <c r="O76" s="489">
        <f t="shared" ca="1" si="127"/>
        <v>16.528782274222632</v>
      </c>
      <c r="P76" s="181">
        <f t="shared" ref="P76:V76" ca="1" si="128">1/(P69-P70)</f>
        <v>16.528782274222632</v>
      </c>
      <c r="Q76" s="181">
        <f t="shared" ca="1" si="128"/>
        <v>16.528782274222632</v>
      </c>
      <c r="R76" s="181">
        <f t="shared" ca="1" si="128"/>
        <v>16.528782274222632</v>
      </c>
      <c r="S76" s="181">
        <f t="shared" ca="1" si="128"/>
        <v>16.528782274222632</v>
      </c>
      <c r="T76" s="181">
        <f t="shared" ca="1" si="128"/>
        <v>16.528782274222632</v>
      </c>
      <c r="U76" s="181">
        <f t="shared" ca="1" si="128"/>
        <v>16.528782274222632</v>
      </c>
      <c r="V76" s="181">
        <f t="shared" ca="1" si="128"/>
        <v>16.528782274222632</v>
      </c>
      <c r="W76" s="181">
        <f t="shared" ref="W76:AB76" ca="1" si="129">1/(W69-W70)</f>
        <v>16.528782274222632</v>
      </c>
      <c r="X76" s="181">
        <f t="shared" ca="1" si="129"/>
        <v>16.528782274222632</v>
      </c>
      <c r="Y76" s="181">
        <f t="shared" ca="1" si="129"/>
        <v>16.528782274222632</v>
      </c>
      <c r="Z76" s="181">
        <f t="shared" ca="1" si="129"/>
        <v>16.528782274222632</v>
      </c>
      <c r="AA76" s="181">
        <f t="shared" ca="1" si="129"/>
        <v>16.528782274222632</v>
      </c>
      <c r="AB76" s="181">
        <f t="shared" ca="1" si="129"/>
        <v>16.528782274222632</v>
      </c>
    </row>
    <row r="77" spans="1:29">
      <c r="A77" s="490" t="s">
        <v>58</v>
      </c>
      <c r="B77" s="6"/>
      <c r="C77" s="6"/>
      <c r="D77" s="6"/>
      <c r="E77" s="489">
        <f ca="1">+E78/E72</f>
        <v>14.786319100211644</v>
      </c>
      <c r="F77" s="489">
        <f t="shared" ref="F77:O77" ca="1" si="130">+F78/F72</f>
        <v>14.786319100211644</v>
      </c>
      <c r="G77" s="489">
        <f t="shared" ca="1" si="130"/>
        <v>14.786319100211644</v>
      </c>
      <c r="H77" s="489">
        <f t="shared" ca="1" si="130"/>
        <v>14.786319100211644</v>
      </c>
      <c r="I77" s="489">
        <f t="shared" ca="1" si="130"/>
        <v>14.786319100211644</v>
      </c>
      <c r="J77" s="489">
        <f t="shared" ca="1" si="130"/>
        <v>14.786319100211644</v>
      </c>
      <c r="K77" s="489">
        <f t="shared" ca="1" si="130"/>
        <v>14.786319100211644</v>
      </c>
      <c r="L77" s="489">
        <f t="shared" ca="1" si="130"/>
        <v>14.786319100211644</v>
      </c>
      <c r="M77" s="489">
        <f t="shared" ca="1" si="130"/>
        <v>14.786319100211644</v>
      </c>
      <c r="N77" s="489">
        <f t="shared" ca="1" si="130"/>
        <v>14.786319100211644</v>
      </c>
      <c r="O77" s="489">
        <f t="shared" ca="1" si="130"/>
        <v>14.786319100211644</v>
      </c>
      <c r="P77" s="181">
        <f t="shared" ref="P77:V77" ca="1" si="131">+P78/P72</f>
        <v>14.786319100211644</v>
      </c>
      <c r="Q77" s="181">
        <f t="shared" ca="1" si="131"/>
        <v>14.786319100211644</v>
      </c>
      <c r="R77" s="181">
        <f t="shared" ca="1" si="131"/>
        <v>14.786319100211644</v>
      </c>
      <c r="S77" s="181">
        <f t="shared" ca="1" si="131"/>
        <v>14.786319100211644</v>
      </c>
      <c r="T77" s="181">
        <f t="shared" ca="1" si="131"/>
        <v>14.786319100211644</v>
      </c>
      <c r="U77" s="181">
        <f t="shared" ca="1" si="131"/>
        <v>14.786319100211644</v>
      </c>
      <c r="V77" s="181">
        <f t="shared" ca="1" si="131"/>
        <v>14.786319100211644</v>
      </c>
      <c r="W77" s="181">
        <f t="shared" ref="W77:AB77" ca="1" si="132">+W78/W72</f>
        <v>14.786319100211644</v>
      </c>
      <c r="X77" s="181">
        <f t="shared" ca="1" si="132"/>
        <v>14.786319100211644</v>
      </c>
      <c r="Y77" s="181">
        <f t="shared" ca="1" si="132"/>
        <v>14.786319100211644</v>
      </c>
      <c r="Z77" s="181">
        <f t="shared" ca="1" si="132"/>
        <v>14.786319100211644</v>
      </c>
      <c r="AA77" s="181">
        <f t="shared" ca="1" si="132"/>
        <v>14.786319100211644</v>
      </c>
      <c r="AB77" s="181">
        <f t="shared" ca="1" si="132"/>
        <v>14.786319100211644</v>
      </c>
    </row>
    <row r="78" spans="1:29">
      <c r="A78" s="295" t="s">
        <v>59</v>
      </c>
      <c r="B78" s="6"/>
      <c r="C78" s="6"/>
      <c r="D78" s="6"/>
      <c r="E78" s="489">
        <f ca="1">E76*E75</f>
        <v>-3613.8222357777695</v>
      </c>
      <c r="F78" s="489">
        <f t="shared" ref="F78:O78" ca="1" si="133">F76*F75</f>
        <v>-3613.8222357777695</v>
      </c>
      <c r="G78" s="489">
        <f t="shared" ca="1" si="133"/>
        <v>-3613.8222357777695</v>
      </c>
      <c r="H78" s="489">
        <f t="shared" ca="1" si="133"/>
        <v>-3613.8222357777695</v>
      </c>
      <c r="I78" s="489">
        <f t="shared" ca="1" si="133"/>
        <v>-3613.8222357777695</v>
      </c>
      <c r="J78" s="489">
        <f t="shared" ca="1" si="133"/>
        <v>-3613.8222357777695</v>
      </c>
      <c r="K78" s="489">
        <f t="shared" ca="1" si="133"/>
        <v>-3613.8222357777695</v>
      </c>
      <c r="L78" s="489">
        <f t="shared" ca="1" si="133"/>
        <v>-3613.8222357777695</v>
      </c>
      <c r="M78" s="489">
        <f t="shared" ca="1" si="133"/>
        <v>-3613.8222357777695</v>
      </c>
      <c r="N78" s="489">
        <f t="shared" ca="1" si="133"/>
        <v>-3613.8222357777695</v>
      </c>
      <c r="O78" s="489">
        <f t="shared" ca="1" si="133"/>
        <v>-3613.8222357777695</v>
      </c>
      <c r="P78" s="181">
        <f t="shared" ref="P78:V78" ca="1" si="134">P76*P75</f>
        <v>-3613.8222357777695</v>
      </c>
      <c r="Q78" s="181">
        <f t="shared" ca="1" si="134"/>
        <v>-3613.8222357777695</v>
      </c>
      <c r="R78" s="181">
        <f t="shared" ca="1" si="134"/>
        <v>-3613.8222357777695</v>
      </c>
      <c r="S78" s="181">
        <f t="shared" ca="1" si="134"/>
        <v>-3613.8222357777695</v>
      </c>
      <c r="T78" s="181">
        <f t="shared" ca="1" si="134"/>
        <v>-3613.8222357777695</v>
      </c>
      <c r="U78" s="181">
        <f t="shared" ca="1" si="134"/>
        <v>-3613.8222357777695</v>
      </c>
      <c r="V78" s="181">
        <f t="shared" ca="1" si="134"/>
        <v>-3613.8222357777695</v>
      </c>
      <c r="W78" s="181">
        <f t="shared" ref="W78:AB78" ca="1" si="135">W76*W75</f>
        <v>-3613.8222357777695</v>
      </c>
      <c r="X78" s="181">
        <f t="shared" ca="1" si="135"/>
        <v>-3613.8222357777695</v>
      </c>
      <c r="Y78" s="181">
        <f t="shared" ca="1" si="135"/>
        <v>-3613.8222357777695</v>
      </c>
      <c r="Z78" s="181">
        <f t="shared" ca="1" si="135"/>
        <v>-3613.8222357777695</v>
      </c>
      <c r="AA78" s="181">
        <f t="shared" ca="1" si="135"/>
        <v>-3613.8222357777695</v>
      </c>
      <c r="AB78" s="181">
        <f t="shared" ca="1" si="135"/>
        <v>-3613.8222357777695</v>
      </c>
    </row>
    <row r="79" spans="1:29">
      <c r="A79" s="295" t="s">
        <v>60</v>
      </c>
      <c r="B79" s="6"/>
      <c r="C79" s="6"/>
      <c r="D79" s="6"/>
      <c r="E79" s="489">
        <f ca="1">E78/((1+E69)^E85)</f>
        <v>-608.9648103755768</v>
      </c>
      <c r="F79" s="489">
        <f t="shared" ref="F79:R79" ca="1" si="136">F78/((1+F69)^F85)</f>
        <v>-657.9867971257114</v>
      </c>
      <c r="G79" s="489">
        <f t="shared" ca="1" si="136"/>
        <v>-710.95507953034894</v>
      </c>
      <c r="H79" s="489">
        <f t="shared" ca="1" si="136"/>
        <v>-768.18733646024043</v>
      </c>
      <c r="I79" s="489">
        <f t="shared" ca="1" si="136"/>
        <v>-830.02682010191359</v>
      </c>
      <c r="J79" s="489">
        <f t="shared" ca="1" si="136"/>
        <v>-896.84441462301118</v>
      </c>
      <c r="K79" s="489">
        <f t="shared" ca="1" si="136"/>
        <v>-969.04086056126857</v>
      </c>
      <c r="L79" s="489">
        <f t="shared" ca="1" si="136"/>
        <v>-1047.0491582779714</v>
      </c>
      <c r="M79" s="489">
        <f t="shared" ca="1" si="136"/>
        <v>-1131.3371648906784</v>
      </c>
      <c r="N79" s="489">
        <f t="shared" ca="1" si="136"/>
        <v>-1222.4104002603883</v>
      </c>
      <c r="O79" s="489">
        <f t="shared" ca="1" si="136"/>
        <v>-1320.8150788621501</v>
      </c>
      <c r="P79" s="181">
        <f t="shared" ca="1" si="136"/>
        <v>-1427.1413857228447</v>
      </c>
      <c r="Q79" s="181">
        <f t="shared" ca="1" si="136"/>
        <v>-1542.0270160736782</v>
      </c>
      <c r="R79" s="181">
        <f t="shared" ca="1" si="136"/>
        <v>-1666.1609999465584</v>
      </c>
      <c r="S79" s="181">
        <f t="shared" ref="S79:X79" ca="1" si="137">S78/((1+S69)^S85)</f>
        <v>-1800.2878346524858</v>
      </c>
      <c r="T79" s="181">
        <f t="shared" ca="1" si="137"/>
        <v>-1945.2119499266219</v>
      </c>
      <c r="U79" s="181">
        <f t="shared" ca="1" si="137"/>
        <v>-2101.8025325198832</v>
      </c>
      <c r="V79" s="181">
        <f t="shared" ca="1" si="137"/>
        <v>-2270.9987391726827</v>
      </c>
      <c r="W79" s="181">
        <f t="shared" ca="1" si="137"/>
        <v>-2453.8153292357997</v>
      </c>
      <c r="X79" s="181">
        <f t="shared" ca="1" si="137"/>
        <v>-2651.3487507201803</v>
      </c>
      <c r="Y79" s="181">
        <f ca="1">Y78/((1+Y69)^Y85)</f>
        <v>-2864.783716276941</v>
      </c>
      <c r="Z79" s="181">
        <f ca="1">Z78/((1+Z69)^Z85)</f>
        <v>-3095.4003085472159</v>
      </c>
      <c r="AA79" s="181">
        <f ca="1">AA78/((1+AA69)^AA85)</f>
        <v>-3344.5816574963897</v>
      </c>
      <c r="AB79" s="181">
        <f ca="1">AB78/((1+AB69)^AB85)</f>
        <v>-3613.8222357777695</v>
      </c>
    </row>
    <row r="80" spans="1:29">
      <c r="A80" s="295" t="s">
        <v>63</v>
      </c>
      <c r="B80" s="6"/>
      <c r="C80" s="6"/>
      <c r="D80" s="6"/>
      <c r="E80" s="172">
        <f ca="1">NPV(E69,F60:$AB60)</f>
        <v>-1440.0204535099442</v>
      </c>
      <c r="F80" s="172">
        <f ca="1">NPV(F69,G60:$AB60)</f>
        <v>-1495.8928555750972</v>
      </c>
      <c r="G80" s="172">
        <f ca="1">NPV(G69,H60:$AB60)</f>
        <v>-1524.4125153219243</v>
      </c>
      <c r="H80" s="172">
        <f ca="1">NPV(H69,I60:$AB60)</f>
        <v>-1522.5680226422182</v>
      </c>
      <c r="I80" s="172">
        <f ca="1">NPV(I69,J60:$AB60)</f>
        <v>-1531.3080473340178</v>
      </c>
      <c r="J80" s="172">
        <f ca="1">NPV(J69,K60:$AB60)</f>
        <v>-1532.6539685992695</v>
      </c>
      <c r="K80" s="172">
        <f ca="1">NPV(K69,L60:$AB60)</f>
        <v>-1540.8124172325595</v>
      </c>
      <c r="L80" s="172">
        <f ca="1">NPV(L69,M60:$AB60)</f>
        <v>-1539.7765299699138</v>
      </c>
      <c r="M80" s="172">
        <f ca="1">NPV(M69,N60:$AB60)</f>
        <v>-1454.9546303781722</v>
      </c>
      <c r="N80" s="172">
        <f ca="1">NPV(N69,O60:$AB60)</f>
        <v>-1426.0621322053794</v>
      </c>
      <c r="O80" s="172">
        <f ca="1">NPV(O69,P60:$AB60)</f>
        <v>-1386.5417782352522</v>
      </c>
      <c r="P80" s="172">
        <f ca="1">NPV(P69,Q60:$AB60)</f>
        <v>-1337.1506864748198</v>
      </c>
      <c r="Q80" s="172">
        <f ca="1">NPV(Q69,R60:$AB60)</f>
        <v>-1290.5376368679622</v>
      </c>
      <c r="R80" s="172">
        <f ca="1">NPV(R69,S60:$AB60)</f>
        <v>-1235.6408313023398</v>
      </c>
      <c r="S80" s="172">
        <f ca="1">NPV(S69,T60:$AB60)</f>
        <v>-1171.4185883067439</v>
      </c>
      <c r="T80" s="172">
        <f ca="1">NPV(T69,U60:$AB60)</f>
        <v>-1096.9865975950727</v>
      </c>
      <c r="U80" s="172">
        <f ca="1">NPV(U69,V60:$AB60)</f>
        <v>-1011.3854777846735</v>
      </c>
      <c r="V80" s="172">
        <f ca="1">NPV(V69,W60:$AB60)</f>
        <v>-913.57461911556129</v>
      </c>
      <c r="W80" s="172">
        <f ca="1">NPV(W69,X60:$AB60)</f>
        <v>-802.42552713459213</v>
      </c>
      <c r="X80" s="172">
        <f ca="1">NPV(X69,Y60:$AB60)</f>
        <v>-676.71462707188243</v>
      </c>
      <c r="Y80" s="172">
        <f ca="1">NPV(Y69,Z60:$AB60)</f>
        <v>-535.11548539180808</v>
      </c>
      <c r="Z80" s="172">
        <f ca="1">NPV(Z69,AA60:$AB60)</f>
        <v>-376.1904014946478</v>
      </c>
      <c r="AA80" s="172">
        <f ca="1">NPV(AA69,AB60:$AB60)</f>
        <v>-198.38131875632536</v>
      </c>
      <c r="AB80" s="771">
        <v>0</v>
      </c>
      <c r="AC80" s="1396"/>
    </row>
    <row r="81" spans="1:29">
      <c r="A81" s="295"/>
      <c r="B81" s="6"/>
      <c r="C81" s="6"/>
      <c r="D81" s="6"/>
      <c r="E81" s="492"/>
      <c r="F81" s="492"/>
      <c r="G81" s="492"/>
      <c r="H81" s="492"/>
      <c r="I81" s="492"/>
      <c r="J81" s="492"/>
      <c r="K81" s="492"/>
      <c r="L81" s="492"/>
      <c r="M81" s="492"/>
      <c r="N81" s="492"/>
      <c r="O81" s="492"/>
      <c r="P81" s="539"/>
      <c r="Q81" s="539"/>
      <c r="R81" s="539"/>
      <c r="S81" s="539"/>
      <c r="T81" s="539"/>
      <c r="U81" s="539"/>
      <c r="V81" s="539"/>
      <c r="W81" s="539"/>
      <c r="X81" s="539"/>
      <c r="Y81" s="539"/>
      <c r="Z81" s="539"/>
    </row>
    <row r="82" spans="1:29">
      <c r="A82" s="295" t="s">
        <v>64</v>
      </c>
      <c r="B82" s="6"/>
      <c r="C82" s="6"/>
      <c r="D82" s="6"/>
      <c r="E82" s="493">
        <f t="shared" ref="E82:O82" ca="1" si="138">E80+E79</f>
        <v>-2048.9852638855209</v>
      </c>
      <c r="F82" s="493">
        <f t="shared" ca="1" si="138"/>
        <v>-2153.8796527008085</v>
      </c>
      <c r="G82" s="493">
        <f t="shared" ca="1" si="138"/>
        <v>-2235.3675948522732</v>
      </c>
      <c r="H82" s="493">
        <f t="shared" ca="1" si="138"/>
        <v>-2290.7553591024589</v>
      </c>
      <c r="I82" s="493">
        <f t="shared" ca="1" si="138"/>
        <v>-2361.3348674359313</v>
      </c>
      <c r="J82" s="493">
        <f t="shared" ca="1" si="138"/>
        <v>-2429.4983832222806</v>
      </c>
      <c r="K82" s="493">
        <f t="shared" ca="1" si="138"/>
        <v>-2509.8532777938281</v>
      </c>
      <c r="L82" s="493">
        <f t="shared" ca="1" si="138"/>
        <v>-2586.8256882478854</v>
      </c>
      <c r="M82" s="493">
        <f t="shared" ca="1" si="138"/>
        <v>-2586.2917952688504</v>
      </c>
      <c r="N82" s="493">
        <f t="shared" ca="1" si="138"/>
        <v>-2648.4725324657675</v>
      </c>
      <c r="O82" s="493">
        <f t="shared" ca="1" si="138"/>
        <v>-2707.3568570974021</v>
      </c>
      <c r="P82" s="540">
        <f t="shared" ref="P82:V82" ca="1" si="139">P80+P79</f>
        <v>-2764.2920721976643</v>
      </c>
      <c r="Q82" s="540">
        <f t="shared" ca="1" si="139"/>
        <v>-2832.5646529416404</v>
      </c>
      <c r="R82" s="540">
        <f t="shared" ca="1" si="139"/>
        <v>-2901.8018312488985</v>
      </c>
      <c r="S82" s="540">
        <f t="shared" ca="1" si="139"/>
        <v>-2971.7064229592297</v>
      </c>
      <c r="T82" s="540">
        <f t="shared" ca="1" si="139"/>
        <v>-3042.1985475216943</v>
      </c>
      <c r="U82" s="540">
        <f t="shared" ca="1" si="139"/>
        <v>-3113.1880103045569</v>
      </c>
      <c r="V82" s="540">
        <f t="shared" ca="1" si="139"/>
        <v>-3184.573358288244</v>
      </c>
      <c r="W82" s="540">
        <f t="shared" ref="W82:AB82" ca="1" si="140">W80+W79</f>
        <v>-3256.2408563703921</v>
      </c>
      <c r="X82" s="540">
        <f t="shared" ca="1" si="140"/>
        <v>-3328.063377792063</v>
      </c>
      <c r="Y82" s="540">
        <f t="shared" ca="1" si="140"/>
        <v>-3399.8992016687489</v>
      </c>
      <c r="Z82" s="540">
        <f t="shared" ca="1" si="140"/>
        <v>-3471.5907100418635</v>
      </c>
      <c r="AA82" s="540">
        <f t="shared" ca="1" si="140"/>
        <v>-3542.9629762527152</v>
      </c>
      <c r="AB82" s="540">
        <f t="shared" ca="1" si="140"/>
        <v>-3613.8222357777695</v>
      </c>
    </row>
    <row r="83" spans="1:29">
      <c r="A83" s="490" t="s">
        <v>72</v>
      </c>
      <c r="B83" s="6"/>
      <c r="C83" s="6"/>
      <c r="D83" s="6"/>
      <c r="E83" s="494"/>
      <c r="F83" s="494">
        <f t="shared" ref="F83:R83" ca="1" si="141">F82/F49</f>
        <v>33.497350741847725</v>
      </c>
      <c r="G83" s="494">
        <f t="shared" ca="1" si="141"/>
        <v>20.969677250021327</v>
      </c>
      <c r="H83" s="494">
        <f t="shared" ca="1" si="141"/>
        <v>16.611713989140384</v>
      </c>
      <c r="I83" s="494">
        <f t="shared" ca="1" si="141"/>
        <v>17.41397394864256</v>
      </c>
      <c r="J83" s="494">
        <f t="shared" ca="1" si="141"/>
        <v>16.902504475025609</v>
      </c>
      <c r="K83" s="494">
        <f t="shared" ca="1" si="141"/>
        <v>18.056498401394446</v>
      </c>
      <c r="L83" s="494">
        <f t="shared" ca="1" si="141"/>
        <v>16.907357439528663</v>
      </c>
      <c r="M83" s="494">
        <f t="shared" ca="1" si="141"/>
        <v>11.293850634361792</v>
      </c>
      <c r="N83" s="494">
        <f t="shared" ca="1" si="141"/>
        <v>17.19787358744005</v>
      </c>
      <c r="O83" s="494">
        <f t="shared" ca="1" si="141"/>
        <v>15.559522167226449</v>
      </c>
      <c r="P83" s="541">
        <f t="shared" ca="1" si="141"/>
        <v>15.163423325275174</v>
      </c>
      <c r="Q83" s="541">
        <f t="shared" ca="1" si="141"/>
        <v>16.363747272915312</v>
      </c>
      <c r="R83" s="541">
        <f t="shared" ca="1" si="141"/>
        <v>16.275466963082668</v>
      </c>
      <c r="S83" s="541">
        <f t="shared" ref="S83:X83" ca="1" si="142">S82/S49</f>
        <v>16.182081556486839</v>
      </c>
      <c r="T83" s="541">
        <f t="shared" ca="1" si="142"/>
        <v>16.083435163840409</v>
      </c>
      <c r="U83" s="541">
        <f t="shared" ca="1" si="142"/>
        <v>15.979360051311453</v>
      </c>
      <c r="V83" s="541">
        <f t="shared" ca="1" si="142"/>
        <v>15.869676218227708</v>
      </c>
      <c r="W83" s="541">
        <f t="shared" ca="1" si="142"/>
        <v>15.754190948470846</v>
      </c>
      <c r="X83" s="541">
        <f t="shared" ca="1" si="142"/>
        <v>15.632698334462246</v>
      </c>
      <c r="Y83" s="541">
        <f ca="1">Y82/Y49</f>
        <v>15.504978772581671</v>
      </c>
      <c r="Z83" s="541">
        <f ca="1">Z82/Z49</f>
        <v>15.370798428797086</v>
      </c>
      <c r="AA83" s="541">
        <f ca="1">AA82/AA49</f>
        <v>15.229908673217995</v>
      </c>
      <c r="AB83" s="541">
        <f ca="1">AB82/AB49</f>
        <v>15.082045482215877</v>
      </c>
    </row>
    <row r="84" spans="1:29">
      <c r="A84" s="490" t="s">
        <v>73</v>
      </c>
      <c r="B84" s="6"/>
      <c r="C84" s="6"/>
      <c r="D84" s="6"/>
      <c r="E84" s="494">
        <f ca="1">E82/F49</f>
        <v>31.866022766493327</v>
      </c>
      <c r="F84" s="494">
        <f t="shared" ref="F84:AA84" ca="1" si="143">F82/G49</f>
        <v>20.205250025335914</v>
      </c>
      <c r="G84" s="494">
        <f t="shared" ca="1" si="143"/>
        <v>16.210062326702488</v>
      </c>
      <c r="H84" s="494">
        <f t="shared" ca="1" si="143"/>
        <v>16.893476099575658</v>
      </c>
      <c r="I84" s="494">
        <f t="shared" ca="1" si="143"/>
        <v>16.428277310040155</v>
      </c>
      <c r="J84" s="494">
        <f t="shared" ca="1" si="143"/>
        <v>17.478405634692667</v>
      </c>
      <c r="K84" s="494">
        <f t="shared" ca="1" si="143"/>
        <v>16.404269789502145</v>
      </c>
      <c r="L84" s="494">
        <f t="shared" ca="1" si="143"/>
        <v>11.296182044750591</v>
      </c>
      <c r="M84" s="494">
        <f t="shared" ca="1" si="143"/>
        <v>16.794102566680845</v>
      </c>
      <c r="N84" s="494">
        <f t="shared" ca="1" si="143"/>
        <v>15.221106508423951</v>
      </c>
      <c r="O84" s="494">
        <f t="shared" ca="1" si="143"/>
        <v>14.851107279744388</v>
      </c>
      <c r="P84" s="494">
        <f t="shared" ca="1" si="143"/>
        <v>15.969336061222787</v>
      </c>
      <c r="Q84" s="494">
        <f t="shared" ca="1" si="143"/>
        <v>15.887133274675058</v>
      </c>
      <c r="R84" s="494">
        <f t="shared" ca="1" si="143"/>
        <v>15.801424236002591</v>
      </c>
      <c r="S84" s="494">
        <f t="shared" ca="1" si="143"/>
        <v>15.710758792705668</v>
      </c>
      <c r="T84" s="494">
        <f t="shared" ca="1" si="143"/>
        <v>15.614985595961562</v>
      </c>
      <c r="U84" s="494">
        <f t="shared" ca="1" si="143"/>
        <v>15.51394179738976</v>
      </c>
      <c r="V84" s="494">
        <f t="shared" ca="1" si="143"/>
        <v>15.407452639056029</v>
      </c>
      <c r="W84" s="494">
        <f t="shared" ca="1" si="143"/>
        <v>15.29533101793286</v>
      </c>
      <c r="X84" s="494">
        <f t="shared" ca="1" si="143"/>
        <v>15.177377023749752</v>
      </c>
      <c r="Y84" s="494">
        <f t="shared" ca="1" si="143"/>
        <v>15.053377449108419</v>
      </c>
      <c r="Z84" s="494">
        <f t="shared" ca="1" si="143"/>
        <v>14.923105270676782</v>
      </c>
      <c r="AA84" s="494">
        <f t="shared" ca="1" si="143"/>
        <v>14.786319100211644</v>
      </c>
      <c r="AB84" s="541"/>
    </row>
    <row r="85" spans="1:29">
      <c r="A85" s="495" t="s">
        <v>61</v>
      </c>
      <c r="B85" s="6"/>
      <c r="C85" s="6"/>
      <c r="D85" s="6"/>
      <c r="E85" s="1402">
        <f t="shared" ref="E85:AA85" si="144">F85+1</f>
        <v>23</v>
      </c>
      <c r="F85" s="1402">
        <f t="shared" si="144"/>
        <v>22</v>
      </c>
      <c r="G85" s="1402">
        <f t="shared" si="144"/>
        <v>21</v>
      </c>
      <c r="H85" s="1402">
        <f t="shared" si="144"/>
        <v>20</v>
      </c>
      <c r="I85" s="1402">
        <f t="shared" si="144"/>
        <v>19</v>
      </c>
      <c r="J85" s="1402">
        <f t="shared" si="144"/>
        <v>18</v>
      </c>
      <c r="K85" s="1402">
        <f t="shared" si="144"/>
        <v>17</v>
      </c>
      <c r="L85" s="1402">
        <f t="shared" si="144"/>
        <v>16</v>
      </c>
      <c r="M85" s="1402">
        <f t="shared" si="144"/>
        <v>15</v>
      </c>
      <c r="N85" s="1402">
        <f t="shared" si="144"/>
        <v>14</v>
      </c>
      <c r="O85" s="1402">
        <f t="shared" si="144"/>
        <v>13</v>
      </c>
      <c r="P85" s="1402">
        <f t="shared" si="144"/>
        <v>12</v>
      </c>
      <c r="Q85" s="1402">
        <f t="shared" si="144"/>
        <v>11</v>
      </c>
      <c r="R85" s="1402">
        <f t="shared" si="144"/>
        <v>10</v>
      </c>
      <c r="S85" s="1402">
        <f t="shared" si="144"/>
        <v>9</v>
      </c>
      <c r="T85" s="1402">
        <f t="shared" si="144"/>
        <v>8</v>
      </c>
      <c r="U85" s="1402">
        <f t="shared" si="144"/>
        <v>7</v>
      </c>
      <c r="V85" s="1402">
        <f t="shared" si="144"/>
        <v>6</v>
      </c>
      <c r="W85" s="1402">
        <f t="shared" si="144"/>
        <v>5</v>
      </c>
      <c r="X85" s="1402">
        <f t="shared" si="144"/>
        <v>4</v>
      </c>
      <c r="Y85" s="1402">
        <f t="shared" si="144"/>
        <v>3</v>
      </c>
      <c r="Z85" s="1402">
        <f t="shared" si="144"/>
        <v>2</v>
      </c>
      <c r="AA85" s="1402">
        <f t="shared" si="144"/>
        <v>1</v>
      </c>
      <c r="AB85" s="1401">
        <v>0</v>
      </c>
      <c r="AC85" s="1396"/>
    </row>
  </sheetData>
  <phoneticPr fontId="3" type="noConversion"/>
  <pageMargins left="0.75" right="0.75" top="1" bottom="1" header="0.5" footer="0.5"/>
  <pageSetup orientation="portrait" r:id="rId1"/>
  <headerFooter alignWithMargins="0"/>
  <ignoredErrors>
    <ignoredError sqref="S28:AB28 W69:AB69" formula="1"/>
  </ignoredError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43"/>
  <sheetViews>
    <sheetView workbookViewId="0">
      <selection activeCell="B42" sqref="B42"/>
    </sheetView>
  </sheetViews>
  <sheetFormatPr defaultRowHeight="12.75"/>
  <cols>
    <col min="1" max="1" width="29.5703125" style="3620" bestFit="1" customWidth="1"/>
    <col min="2" max="2" width="19.85546875" style="3622" customWidth="1"/>
    <col min="3" max="3" width="12" style="3620" bestFit="1" customWidth="1"/>
    <col min="4" max="256" width="9.140625" style="3620"/>
    <col min="257" max="257" width="29.5703125" style="3620" bestFit="1" customWidth="1"/>
    <col min="258" max="258" width="19.85546875" style="3620" customWidth="1"/>
    <col min="259" max="259" width="12" style="3620" bestFit="1" customWidth="1"/>
    <col min="260" max="512" width="9.140625" style="3620"/>
    <col min="513" max="513" width="29.5703125" style="3620" bestFit="1" customWidth="1"/>
    <col min="514" max="514" width="19.85546875" style="3620" customWidth="1"/>
    <col min="515" max="515" width="12" style="3620" bestFit="1" customWidth="1"/>
    <col min="516" max="768" width="9.140625" style="3620"/>
    <col min="769" max="769" width="29.5703125" style="3620" bestFit="1" customWidth="1"/>
    <col min="770" max="770" width="19.85546875" style="3620" customWidth="1"/>
    <col min="771" max="771" width="12" style="3620" bestFit="1" customWidth="1"/>
    <col min="772" max="1024" width="9.140625" style="3620"/>
    <col min="1025" max="1025" width="29.5703125" style="3620" bestFit="1" customWidth="1"/>
    <col min="1026" max="1026" width="19.85546875" style="3620" customWidth="1"/>
    <col min="1027" max="1027" width="12" style="3620" bestFit="1" customWidth="1"/>
    <col min="1028" max="1280" width="9.140625" style="3620"/>
    <col min="1281" max="1281" width="29.5703125" style="3620" bestFit="1" customWidth="1"/>
    <col min="1282" max="1282" width="19.85546875" style="3620" customWidth="1"/>
    <col min="1283" max="1283" width="12" style="3620" bestFit="1" customWidth="1"/>
    <col min="1284" max="1536" width="9.140625" style="3620"/>
    <col min="1537" max="1537" width="29.5703125" style="3620" bestFit="1" customWidth="1"/>
    <col min="1538" max="1538" width="19.85546875" style="3620" customWidth="1"/>
    <col min="1539" max="1539" width="12" style="3620" bestFit="1" customWidth="1"/>
    <col min="1540" max="1792" width="9.140625" style="3620"/>
    <col min="1793" max="1793" width="29.5703125" style="3620" bestFit="1" customWidth="1"/>
    <col min="1794" max="1794" width="19.85546875" style="3620" customWidth="1"/>
    <col min="1795" max="1795" width="12" style="3620" bestFit="1" customWidth="1"/>
    <col min="1796" max="2048" width="9.140625" style="3620"/>
    <col min="2049" max="2049" width="29.5703125" style="3620" bestFit="1" customWidth="1"/>
    <col min="2050" max="2050" width="19.85546875" style="3620" customWidth="1"/>
    <col min="2051" max="2051" width="12" style="3620" bestFit="1" customWidth="1"/>
    <col min="2052" max="2304" width="9.140625" style="3620"/>
    <col min="2305" max="2305" width="29.5703125" style="3620" bestFit="1" customWidth="1"/>
    <col min="2306" max="2306" width="19.85546875" style="3620" customWidth="1"/>
    <col min="2307" max="2307" width="12" style="3620" bestFit="1" customWidth="1"/>
    <col min="2308" max="2560" width="9.140625" style="3620"/>
    <col min="2561" max="2561" width="29.5703125" style="3620" bestFit="1" customWidth="1"/>
    <col min="2562" max="2562" width="19.85546875" style="3620" customWidth="1"/>
    <col min="2563" max="2563" width="12" style="3620" bestFit="1" customWidth="1"/>
    <col min="2564" max="2816" width="9.140625" style="3620"/>
    <col min="2817" max="2817" width="29.5703125" style="3620" bestFit="1" customWidth="1"/>
    <col min="2818" max="2818" width="19.85546875" style="3620" customWidth="1"/>
    <col min="2819" max="2819" width="12" style="3620" bestFit="1" customWidth="1"/>
    <col min="2820" max="3072" width="9.140625" style="3620"/>
    <col min="3073" max="3073" width="29.5703125" style="3620" bestFit="1" customWidth="1"/>
    <col min="3074" max="3074" width="19.85546875" style="3620" customWidth="1"/>
    <col min="3075" max="3075" width="12" style="3620" bestFit="1" customWidth="1"/>
    <col min="3076" max="3328" width="9.140625" style="3620"/>
    <col min="3329" max="3329" width="29.5703125" style="3620" bestFit="1" customWidth="1"/>
    <col min="3330" max="3330" width="19.85546875" style="3620" customWidth="1"/>
    <col min="3331" max="3331" width="12" style="3620" bestFit="1" customWidth="1"/>
    <col min="3332" max="3584" width="9.140625" style="3620"/>
    <col min="3585" max="3585" width="29.5703125" style="3620" bestFit="1" customWidth="1"/>
    <col min="3586" max="3586" width="19.85546875" style="3620" customWidth="1"/>
    <col min="3587" max="3587" width="12" style="3620" bestFit="1" customWidth="1"/>
    <col min="3588" max="3840" width="9.140625" style="3620"/>
    <col min="3841" max="3841" width="29.5703125" style="3620" bestFit="1" customWidth="1"/>
    <col min="3842" max="3842" width="19.85546875" style="3620" customWidth="1"/>
    <col min="3843" max="3843" width="12" style="3620" bestFit="1" customWidth="1"/>
    <col min="3844" max="4096" width="9.140625" style="3620"/>
    <col min="4097" max="4097" width="29.5703125" style="3620" bestFit="1" customWidth="1"/>
    <col min="4098" max="4098" width="19.85546875" style="3620" customWidth="1"/>
    <col min="4099" max="4099" width="12" style="3620" bestFit="1" customWidth="1"/>
    <col min="4100" max="4352" width="9.140625" style="3620"/>
    <col min="4353" max="4353" width="29.5703125" style="3620" bestFit="1" customWidth="1"/>
    <col min="4354" max="4354" width="19.85546875" style="3620" customWidth="1"/>
    <col min="4355" max="4355" width="12" style="3620" bestFit="1" customWidth="1"/>
    <col min="4356" max="4608" width="9.140625" style="3620"/>
    <col min="4609" max="4609" width="29.5703125" style="3620" bestFit="1" customWidth="1"/>
    <col min="4610" max="4610" width="19.85546875" style="3620" customWidth="1"/>
    <col min="4611" max="4611" width="12" style="3620" bestFit="1" customWidth="1"/>
    <col min="4612" max="4864" width="9.140625" style="3620"/>
    <col min="4865" max="4865" width="29.5703125" style="3620" bestFit="1" customWidth="1"/>
    <col min="4866" max="4866" width="19.85546875" style="3620" customWidth="1"/>
    <col min="4867" max="4867" width="12" style="3620" bestFit="1" customWidth="1"/>
    <col min="4868" max="5120" width="9.140625" style="3620"/>
    <col min="5121" max="5121" width="29.5703125" style="3620" bestFit="1" customWidth="1"/>
    <col min="5122" max="5122" width="19.85546875" style="3620" customWidth="1"/>
    <col min="5123" max="5123" width="12" style="3620" bestFit="1" customWidth="1"/>
    <col min="5124" max="5376" width="9.140625" style="3620"/>
    <col min="5377" max="5377" width="29.5703125" style="3620" bestFit="1" customWidth="1"/>
    <col min="5378" max="5378" width="19.85546875" style="3620" customWidth="1"/>
    <col min="5379" max="5379" width="12" style="3620" bestFit="1" customWidth="1"/>
    <col min="5380" max="5632" width="9.140625" style="3620"/>
    <col min="5633" max="5633" width="29.5703125" style="3620" bestFit="1" customWidth="1"/>
    <col min="5634" max="5634" width="19.85546875" style="3620" customWidth="1"/>
    <col min="5635" max="5635" width="12" style="3620" bestFit="1" customWidth="1"/>
    <col min="5636" max="5888" width="9.140625" style="3620"/>
    <col min="5889" max="5889" width="29.5703125" style="3620" bestFit="1" customWidth="1"/>
    <col min="5890" max="5890" width="19.85546875" style="3620" customWidth="1"/>
    <col min="5891" max="5891" width="12" style="3620" bestFit="1" customWidth="1"/>
    <col min="5892" max="6144" width="9.140625" style="3620"/>
    <col min="6145" max="6145" width="29.5703125" style="3620" bestFit="1" customWidth="1"/>
    <col min="6146" max="6146" width="19.85546875" style="3620" customWidth="1"/>
    <col min="6147" max="6147" width="12" style="3620" bestFit="1" customWidth="1"/>
    <col min="6148" max="6400" width="9.140625" style="3620"/>
    <col min="6401" max="6401" width="29.5703125" style="3620" bestFit="1" customWidth="1"/>
    <col min="6402" max="6402" width="19.85546875" style="3620" customWidth="1"/>
    <col min="6403" max="6403" width="12" style="3620" bestFit="1" customWidth="1"/>
    <col min="6404" max="6656" width="9.140625" style="3620"/>
    <col min="6657" max="6657" width="29.5703125" style="3620" bestFit="1" customWidth="1"/>
    <col min="6658" max="6658" width="19.85546875" style="3620" customWidth="1"/>
    <col min="6659" max="6659" width="12" style="3620" bestFit="1" customWidth="1"/>
    <col min="6660" max="6912" width="9.140625" style="3620"/>
    <col min="6913" max="6913" width="29.5703125" style="3620" bestFit="1" customWidth="1"/>
    <col min="6914" max="6914" width="19.85546875" style="3620" customWidth="1"/>
    <col min="6915" max="6915" width="12" style="3620" bestFit="1" customWidth="1"/>
    <col min="6916" max="7168" width="9.140625" style="3620"/>
    <col min="7169" max="7169" width="29.5703125" style="3620" bestFit="1" customWidth="1"/>
    <col min="7170" max="7170" width="19.85546875" style="3620" customWidth="1"/>
    <col min="7171" max="7171" width="12" style="3620" bestFit="1" customWidth="1"/>
    <col min="7172" max="7424" width="9.140625" style="3620"/>
    <col min="7425" max="7425" width="29.5703125" style="3620" bestFit="1" customWidth="1"/>
    <col min="7426" max="7426" width="19.85546875" style="3620" customWidth="1"/>
    <col min="7427" max="7427" width="12" style="3620" bestFit="1" customWidth="1"/>
    <col min="7428" max="7680" width="9.140625" style="3620"/>
    <col min="7681" max="7681" width="29.5703125" style="3620" bestFit="1" customWidth="1"/>
    <col min="7682" max="7682" width="19.85546875" style="3620" customWidth="1"/>
    <col min="7683" max="7683" width="12" style="3620" bestFit="1" customWidth="1"/>
    <col min="7684" max="7936" width="9.140625" style="3620"/>
    <col min="7937" max="7937" width="29.5703125" style="3620" bestFit="1" customWidth="1"/>
    <col min="7938" max="7938" width="19.85546875" style="3620" customWidth="1"/>
    <col min="7939" max="7939" width="12" style="3620" bestFit="1" customWidth="1"/>
    <col min="7940" max="8192" width="9.140625" style="3620"/>
    <col min="8193" max="8193" width="29.5703125" style="3620" bestFit="1" customWidth="1"/>
    <col min="8194" max="8194" width="19.85546875" style="3620" customWidth="1"/>
    <col min="8195" max="8195" width="12" style="3620" bestFit="1" customWidth="1"/>
    <col min="8196" max="8448" width="9.140625" style="3620"/>
    <col min="8449" max="8449" width="29.5703125" style="3620" bestFit="1" customWidth="1"/>
    <col min="8450" max="8450" width="19.85546875" style="3620" customWidth="1"/>
    <col min="8451" max="8451" width="12" style="3620" bestFit="1" customWidth="1"/>
    <col min="8452" max="8704" width="9.140625" style="3620"/>
    <col min="8705" max="8705" width="29.5703125" style="3620" bestFit="1" customWidth="1"/>
    <col min="8706" max="8706" width="19.85546875" style="3620" customWidth="1"/>
    <col min="8707" max="8707" width="12" style="3620" bestFit="1" customWidth="1"/>
    <col min="8708" max="8960" width="9.140625" style="3620"/>
    <col min="8961" max="8961" width="29.5703125" style="3620" bestFit="1" customWidth="1"/>
    <col min="8962" max="8962" width="19.85546875" style="3620" customWidth="1"/>
    <col min="8963" max="8963" width="12" style="3620" bestFit="1" customWidth="1"/>
    <col min="8964" max="9216" width="9.140625" style="3620"/>
    <col min="9217" max="9217" width="29.5703125" style="3620" bestFit="1" customWidth="1"/>
    <col min="9218" max="9218" width="19.85546875" style="3620" customWidth="1"/>
    <col min="9219" max="9219" width="12" style="3620" bestFit="1" customWidth="1"/>
    <col min="9220" max="9472" width="9.140625" style="3620"/>
    <col min="9473" max="9473" width="29.5703125" style="3620" bestFit="1" customWidth="1"/>
    <col min="9474" max="9474" width="19.85546875" style="3620" customWidth="1"/>
    <col min="9475" max="9475" width="12" style="3620" bestFit="1" customWidth="1"/>
    <col min="9476" max="9728" width="9.140625" style="3620"/>
    <col min="9729" max="9729" width="29.5703125" style="3620" bestFit="1" customWidth="1"/>
    <col min="9730" max="9730" width="19.85546875" style="3620" customWidth="1"/>
    <col min="9731" max="9731" width="12" style="3620" bestFit="1" customWidth="1"/>
    <col min="9732" max="9984" width="9.140625" style="3620"/>
    <col min="9985" max="9985" width="29.5703125" style="3620" bestFit="1" customWidth="1"/>
    <col min="9986" max="9986" width="19.85546875" style="3620" customWidth="1"/>
    <col min="9987" max="9987" width="12" style="3620" bestFit="1" customWidth="1"/>
    <col min="9988" max="10240" width="9.140625" style="3620"/>
    <col min="10241" max="10241" width="29.5703125" style="3620" bestFit="1" customWidth="1"/>
    <col min="10242" max="10242" width="19.85546875" style="3620" customWidth="1"/>
    <col min="10243" max="10243" width="12" style="3620" bestFit="1" customWidth="1"/>
    <col min="10244" max="10496" width="9.140625" style="3620"/>
    <col min="10497" max="10497" width="29.5703125" style="3620" bestFit="1" customWidth="1"/>
    <col min="10498" max="10498" width="19.85546875" style="3620" customWidth="1"/>
    <col min="10499" max="10499" width="12" style="3620" bestFit="1" customWidth="1"/>
    <col min="10500" max="10752" width="9.140625" style="3620"/>
    <col min="10753" max="10753" width="29.5703125" style="3620" bestFit="1" customWidth="1"/>
    <col min="10754" max="10754" width="19.85546875" style="3620" customWidth="1"/>
    <col min="10755" max="10755" width="12" style="3620" bestFit="1" customWidth="1"/>
    <col min="10756" max="11008" width="9.140625" style="3620"/>
    <col min="11009" max="11009" width="29.5703125" style="3620" bestFit="1" customWidth="1"/>
    <col min="11010" max="11010" width="19.85546875" style="3620" customWidth="1"/>
    <col min="11011" max="11011" width="12" style="3620" bestFit="1" customWidth="1"/>
    <col min="11012" max="11264" width="9.140625" style="3620"/>
    <col min="11265" max="11265" width="29.5703125" style="3620" bestFit="1" customWidth="1"/>
    <col min="11266" max="11266" width="19.85546875" style="3620" customWidth="1"/>
    <col min="11267" max="11267" width="12" style="3620" bestFit="1" customWidth="1"/>
    <col min="11268" max="11520" width="9.140625" style="3620"/>
    <col min="11521" max="11521" width="29.5703125" style="3620" bestFit="1" customWidth="1"/>
    <col min="11522" max="11522" width="19.85546875" style="3620" customWidth="1"/>
    <col min="11523" max="11523" width="12" style="3620" bestFit="1" customWidth="1"/>
    <col min="11524" max="11776" width="9.140625" style="3620"/>
    <col min="11777" max="11777" width="29.5703125" style="3620" bestFit="1" customWidth="1"/>
    <col min="11778" max="11778" width="19.85546875" style="3620" customWidth="1"/>
    <col min="11779" max="11779" width="12" style="3620" bestFit="1" customWidth="1"/>
    <col min="11780" max="12032" width="9.140625" style="3620"/>
    <col min="12033" max="12033" width="29.5703125" style="3620" bestFit="1" customWidth="1"/>
    <col min="12034" max="12034" width="19.85546875" style="3620" customWidth="1"/>
    <col min="12035" max="12035" width="12" style="3620" bestFit="1" customWidth="1"/>
    <col min="12036" max="12288" width="9.140625" style="3620"/>
    <col min="12289" max="12289" width="29.5703125" style="3620" bestFit="1" customWidth="1"/>
    <col min="12290" max="12290" width="19.85546875" style="3620" customWidth="1"/>
    <col min="12291" max="12291" width="12" style="3620" bestFit="1" customWidth="1"/>
    <col min="12292" max="12544" width="9.140625" style="3620"/>
    <col min="12545" max="12545" width="29.5703125" style="3620" bestFit="1" customWidth="1"/>
    <col min="12546" max="12546" width="19.85546875" style="3620" customWidth="1"/>
    <col min="12547" max="12547" width="12" style="3620" bestFit="1" customWidth="1"/>
    <col min="12548" max="12800" width="9.140625" style="3620"/>
    <col min="12801" max="12801" width="29.5703125" style="3620" bestFit="1" customWidth="1"/>
    <col min="12802" max="12802" width="19.85546875" style="3620" customWidth="1"/>
    <col min="12803" max="12803" width="12" style="3620" bestFit="1" customWidth="1"/>
    <col min="12804" max="13056" width="9.140625" style="3620"/>
    <col min="13057" max="13057" width="29.5703125" style="3620" bestFit="1" customWidth="1"/>
    <col min="13058" max="13058" width="19.85546875" style="3620" customWidth="1"/>
    <col min="13059" max="13059" width="12" style="3620" bestFit="1" customWidth="1"/>
    <col min="13060" max="13312" width="9.140625" style="3620"/>
    <col min="13313" max="13313" width="29.5703125" style="3620" bestFit="1" customWidth="1"/>
    <col min="13314" max="13314" width="19.85546875" style="3620" customWidth="1"/>
    <col min="13315" max="13315" width="12" style="3620" bestFit="1" customWidth="1"/>
    <col min="13316" max="13568" width="9.140625" style="3620"/>
    <col min="13569" max="13569" width="29.5703125" style="3620" bestFit="1" customWidth="1"/>
    <col min="13570" max="13570" width="19.85546875" style="3620" customWidth="1"/>
    <col min="13571" max="13571" width="12" style="3620" bestFit="1" customWidth="1"/>
    <col min="13572" max="13824" width="9.140625" style="3620"/>
    <col min="13825" max="13825" width="29.5703125" style="3620" bestFit="1" customWidth="1"/>
    <col min="13826" max="13826" width="19.85546875" style="3620" customWidth="1"/>
    <col min="13827" max="13827" width="12" style="3620" bestFit="1" customWidth="1"/>
    <col min="13828" max="14080" width="9.140625" style="3620"/>
    <col min="14081" max="14081" width="29.5703125" style="3620" bestFit="1" customWidth="1"/>
    <col min="14082" max="14082" width="19.85546875" style="3620" customWidth="1"/>
    <col min="14083" max="14083" width="12" style="3620" bestFit="1" customWidth="1"/>
    <col min="14084" max="14336" width="9.140625" style="3620"/>
    <col min="14337" max="14337" width="29.5703125" style="3620" bestFit="1" customWidth="1"/>
    <col min="14338" max="14338" width="19.85546875" style="3620" customWidth="1"/>
    <col min="14339" max="14339" width="12" style="3620" bestFit="1" customWidth="1"/>
    <col min="14340" max="14592" width="9.140625" style="3620"/>
    <col min="14593" max="14593" width="29.5703125" style="3620" bestFit="1" customWidth="1"/>
    <col min="14594" max="14594" width="19.85546875" style="3620" customWidth="1"/>
    <col min="14595" max="14595" width="12" style="3620" bestFit="1" customWidth="1"/>
    <col min="14596" max="14848" width="9.140625" style="3620"/>
    <col min="14849" max="14849" width="29.5703125" style="3620" bestFit="1" customWidth="1"/>
    <col min="14850" max="14850" width="19.85546875" style="3620" customWidth="1"/>
    <col min="14851" max="14851" width="12" style="3620" bestFit="1" customWidth="1"/>
    <col min="14852" max="15104" width="9.140625" style="3620"/>
    <col min="15105" max="15105" width="29.5703125" style="3620" bestFit="1" customWidth="1"/>
    <col min="15106" max="15106" width="19.85546875" style="3620" customWidth="1"/>
    <col min="15107" max="15107" width="12" style="3620" bestFit="1" customWidth="1"/>
    <col min="15108" max="15360" width="9.140625" style="3620"/>
    <col min="15361" max="15361" width="29.5703125" style="3620" bestFit="1" customWidth="1"/>
    <col min="15362" max="15362" width="19.85546875" style="3620" customWidth="1"/>
    <col min="15363" max="15363" width="12" style="3620" bestFit="1" customWidth="1"/>
    <col min="15364" max="15616" width="9.140625" style="3620"/>
    <col min="15617" max="15617" width="29.5703125" style="3620" bestFit="1" customWidth="1"/>
    <col min="15618" max="15618" width="19.85546875" style="3620" customWidth="1"/>
    <col min="15619" max="15619" width="12" style="3620" bestFit="1" customWidth="1"/>
    <col min="15620" max="15872" width="9.140625" style="3620"/>
    <col min="15873" max="15873" width="29.5703125" style="3620" bestFit="1" customWidth="1"/>
    <col min="15874" max="15874" width="19.85546875" style="3620" customWidth="1"/>
    <col min="15875" max="15875" width="12" style="3620" bestFit="1" customWidth="1"/>
    <col min="15876" max="16128" width="9.140625" style="3620"/>
    <col min="16129" max="16129" width="29.5703125" style="3620" bestFit="1" customWidth="1"/>
    <col min="16130" max="16130" width="19.85546875" style="3620" customWidth="1"/>
    <col min="16131" max="16131" width="12" style="3620" bestFit="1" customWidth="1"/>
    <col min="16132" max="16384" width="9.140625" style="3620"/>
  </cols>
  <sheetData>
    <row r="1" spans="1:2">
      <c r="A1" s="3620" t="s">
        <v>2136</v>
      </c>
      <c r="B1" s="3621">
        <v>6.1</v>
      </c>
    </row>
    <row r="2" spans="1:2">
      <c r="A2" s="3620" t="s">
        <v>2137</v>
      </c>
      <c r="B2" s="3625">
        <v>43123.684016203704</v>
      </c>
    </row>
    <row r="3" spans="1:2">
      <c r="A3" s="3620" t="s">
        <v>2138</v>
      </c>
      <c r="B3" s="3622" t="s">
        <v>1838</v>
      </c>
    </row>
    <row r="4" spans="1:2">
      <c r="A4" s="3620" t="s">
        <v>2139</v>
      </c>
      <c r="B4" s="3622" t="s">
        <v>364</v>
      </c>
    </row>
    <row r="5" spans="1:2">
      <c r="A5" s="3620" t="s">
        <v>2140</v>
      </c>
      <c r="B5" s="3622" t="s">
        <v>2141</v>
      </c>
    </row>
    <row r="6" spans="1:2">
      <c r="A6" s="3620" t="s">
        <v>2142</v>
      </c>
    </row>
    <row r="7" spans="1:2">
      <c r="A7" s="3620" t="s">
        <v>2143</v>
      </c>
      <c r="B7" s="3622" t="s">
        <v>1291</v>
      </c>
    </row>
    <row r="8" spans="1:2">
      <c r="A8" s="3620" t="s">
        <v>2144</v>
      </c>
      <c r="B8" s="3622" t="s">
        <v>2145</v>
      </c>
    </row>
    <row r="9" spans="1:2">
      <c r="A9" s="3620" t="s">
        <v>2146</v>
      </c>
      <c r="B9" s="3622" t="s">
        <v>2183</v>
      </c>
    </row>
    <row r="10" spans="1:2">
      <c r="A10" s="3620" t="s">
        <v>2147</v>
      </c>
    </row>
    <row r="11" spans="1:2">
      <c r="A11" s="3620" t="s">
        <v>2148</v>
      </c>
    </row>
    <row r="12" spans="1:2">
      <c r="A12" s="3620" t="s">
        <v>2149</v>
      </c>
    </row>
    <row r="13" spans="1:2">
      <c r="A13" s="3620" t="s">
        <v>2150</v>
      </c>
    </row>
    <row r="14" spans="1:2">
      <c r="A14" s="3620" t="s">
        <v>2151</v>
      </c>
    </row>
    <row r="15" spans="1:2">
      <c r="A15" s="3620" t="s">
        <v>2152</v>
      </c>
    </row>
    <row r="16" spans="1:2">
      <c r="A16" s="3620" t="s">
        <v>2153</v>
      </c>
    </row>
    <row r="17" spans="1:4">
      <c r="A17" s="3620" t="s">
        <v>2154</v>
      </c>
      <c r="B17" s="3622" t="s">
        <v>2184</v>
      </c>
    </row>
    <row r="18" spans="1:4">
      <c r="A18" s="3620" t="s">
        <v>2155</v>
      </c>
      <c r="B18" s="3622" t="s">
        <v>2187</v>
      </c>
    </row>
    <row r="19" spans="1:4">
      <c r="A19" s="3620" t="s">
        <v>2156</v>
      </c>
      <c r="B19" s="3622" t="s">
        <v>368</v>
      </c>
    </row>
    <row r="20" spans="1:4">
      <c r="A20" s="3620" t="s">
        <v>2157</v>
      </c>
      <c r="B20" s="3623">
        <v>124857202</v>
      </c>
    </row>
    <row r="21" spans="1:4">
      <c r="A21" s="3620" t="s">
        <v>2158</v>
      </c>
      <c r="B21" s="3622" t="s">
        <v>368</v>
      </c>
    </row>
    <row r="22" spans="1:4">
      <c r="A22" s="3620" t="s">
        <v>2159</v>
      </c>
      <c r="B22" s="3623" t="s">
        <v>1590</v>
      </c>
    </row>
    <row r="23" spans="1:4">
      <c r="A23" s="3620" t="s">
        <v>881</v>
      </c>
      <c r="B23" s="3621">
        <v>57.53</v>
      </c>
    </row>
    <row r="24" spans="1:4">
      <c r="A24" s="3620" t="s">
        <v>91</v>
      </c>
      <c r="B24" s="3622" t="s">
        <v>1298</v>
      </c>
      <c r="D24" s="3620" t="s">
        <v>337</v>
      </c>
    </row>
    <row r="25" spans="1:4">
      <c r="A25" s="3620" t="s">
        <v>2160</v>
      </c>
      <c r="B25" s="3622" t="s">
        <v>2188</v>
      </c>
    </row>
    <row r="26" spans="1:4">
      <c r="A26" s="3620" t="s">
        <v>2161</v>
      </c>
      <c r="B26" s="3622">
        <v>0</v>
      </c>
    </row>
    <row r="27" spans="1:4">
      <c r="A27" s="3620" t="s">
        <v>2162</v>
      </c>
      <c r="B27" s="3622" t="s">
        <v>2163</v>
      </c>
    </row>
    <row r="28" spans="1:4">
      <c r="A28" s="3620" t="s">
        <v>2164</v>
      </c>
      <c r="B28" s="3622" t="s">
        <v>2165</v>
      </c>
    </row>
    <row r="29" spans="1:4">
      <c r="A29" s="3620" t="s">
        <v>2166</v>
      </c>
    </row>
    <row r="30" spans="1:4">
      <c r="A30" s="3620" t="s">
        <v>2167</v>
      </c>
    </row>
    <row r="31" spans="1:4">
      <c r="A31" s="3620" t="s">
        <v>2168</v>
      </c>
    </row>
    <row r="32" spans="1:4">
      <c r="A32" s="3620" t="s">
        <v>2169</v>
      </c>
      <c r="B32" s="3621"/>
    </row>
    <row r="33" spans="1:2">
      <c r="A33" s="3620" t="s">
        <v>2170</v>
      </c>
      <c r="B33" s="3621"/>
    </row>
    <row r="34" spans="1:2">
      <c r="A34" s="3620" t="s">
        <v>2171</v>
      </c>
      <c r="B34" s="3621"/>
    </row>
    <row r="35" spans="1:2">
      <c r="A35" s="3620" t="s">
        <v>2172</v>
      </c>
      <c r="B35" s="3622">
        <v>1000000</v>
      </c>
    </row>
    <row r="36" spans="1:2">
      <c r="A36" s="3620" t="s">
        <v>2173</v>
      </c>
      <c r="B36" s="3622" t="s">
        <v>2185</v>
      </c>
    </row>
    <row r="37" spans="1:2">
      <c r="A37" s="3620" t="s">
        <v>2174</v>
      </c>
      <c r="B37" s="3622" t="s">
        <v>2175</v>
      </c>
    </row>
    <row r="38" spans="1:2">
      <c r="A38" s="3620" t="s">
        <v>2176</v>
      </c>
      <c r="B38" s="3622" t="s">
        <v>2177</v>
      </c>
    </row>
    <row r="39" spans="1:2">
      <c r="A39" s="3620" t="s">
        <v>2178</v>
      </c>
      <c r="B39" s="3622" t="s">
        <v>2186</v>
      </c>
    </row>
    <row r="40" spans="1:2">
      <c r="A40" s="3620" t="s">
        <v>2179</v>
      </c>
      <c r="B40" s="3622">
        <v>1500005504</v>
      </c>
    </row>
    <row r="41" spans="1:2">
      <c r="A41" s="3620" t="s">
        <v>2180</v>
      </c>
      <c r="B41" s="3622">
        <v>1</v>
      </c>
    </row>
    <row r="42" spans="1:2">
      <c r="A42" s="3624" t="s">
        <v>2181</v>
      </c>
    </row>
    <row r="43" spans="1:2">
      <c r="A43" s="3620" t="s">
        <v>2182</v>
      </c>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13"/>
  <sheetViews>
    <sheetView workbookViewId="0">
      <selection activeCell="E11" sqref="E11"/>
    </sheetView>
  </sheetViews>
  <sheetFormatPr defaultRowHeight="12.75"/>
  <cols>
    <col min="1" max="1" width="28.5703125" style="3620" bestFit="1" customWidth="1"/>
    <col min="2" max="256" width="9.140625" style="3620"/>
    <col min="257" max="257" width="28.5703125" style="3620" bestFit="1" customWidth="1"/>
    <col min="258" max="512" width="9.140625" style="3620"/>
    <col min="513" max="513" width="28.5703125" style="3620" bestFit="1" customWidth="1"/>
    <col min="514" max="768" width="9.140625" style="3620"/>
    <col min="769" max="769" width="28.5703125" style="3620" bestFit="1" customWidth="1"/>
    <col min="770" max="1024" width="9.140625" style="3620"/>
    <col min="1025" max="1025" width="28.5703125" style="3620" bestFit="1" customWidth="1"/>
    <col min="1026" max="1280" width="9.140625" style="3620"/>
    <col min="1281" max="1281" width="28.5703125" style="3620" bestFit="1" customWidth="1"/>
    <col min="1282" max="1536" width="9.140625" style="3620"/>
    <col min="1537" max="1537" width="28.5703125" style="3620" bestFit="1" customWidth="1"/>
    <col min="1538" max="1792" width="9.140625" style="3620"/>
    <col min="1793" max="1793" width="28.5703125" style="3620" bestFit="1" customWidth="1"/>
    <col min="1794" max="2048" width="9.140625" style="3620"/>
    <col min="2049" max="2049" width="28.5703125" style="3620" bestFit="1" customWidth="1"/>
    <col min="2050" max="2304" width="9.140625" style="3620"/>
    <col min="2305" max="2305" width="28.5703125" style="3620" bestFit="1" customWidth="1"/>
    <col min="2306" max="2560" width="9.140625" style="3620"/>
    <col min="2561" max="2561" width="28.5703125" style="3620" bestFit="1" customWidth="1"/>
    <col min="2562" max="2816" width="9.140625" style="3620"/>
    <col min="2817" max="2817" width="28.5703125" style="3620" bestFit="1" customWidth="1"/>
    <col min="2818" max="3072" width="9.140625" style="3620"/>
    <col min="3073" max="3073" width="28.5703125" style="3620" bestFit="1" customWidth="1"/>
    <col min="3074" max="3328" width="9.140625" style="3620"/>
    <col min="3329" max="3329" width="28.5703125" style="3620" bestFit="1" customWidth="1"/>
    <col min="3330" max="3584" width="9.140625" style="3620"/>
    <col min="3585" max="3585" width="28.5703125" style="3620" bestFit="1" customWidth="1"/>
    <col min="3586" max="3840" width="9.140625" style="3620"/>
    <col min="3841" max="3841" width="28.5703125" style="3620" bestFit="1" customWidth="1"/>
    <col min="3842" max="4096" width="9.140625" style="3620"/>
    <col min="4097" max="4097" width="28.5703125" style="3620" bestFit="1" customWidth="1"/>
    <col min="4098" max="4352" width="9.140625" style="3620"/>
    <col min="4353" max="4353" width="28.5703125" style="3620" bestFit="1" customWidth="1"/>
    <col min="4354" max="4608" width="9.140625" style="3620"/>
    <col min="4609" max="4609" width="28.5703125" style="3620" bestFit="1" customWidth="1"/>
    <col min="4610" max="4864" width="9.140625" style="3620"/>
    <col min="4865" max="4865" width="28.5703125" style="3620" bestFit="1" customWidth="1"/>
    <col min="4866" max="5120" width="9.140625" style="3620"/>
    <col min="5121" max="5121" width="28.5703125" style="3620" bestFit="1" customWidth="1"/>
    <col min="5122" max="5376" width="9.140625" style="3620"/>
    <col min="5377" max="5377" width="28.5703125" style="3620" bestFit="1" customWidth="1"/>
    <col min="5378" max="5632" width="9.140625" style="3620"/>
    <col min="5633" max="5633" width="28.5703125" style="3620" bestFit="1" customWidth="1"/>
    <col min="5634" max="5888" width="9.140625" style="3620"/>
    <col min="5889" max="5889" width="28.5703125" style="3620" bestFit="1" customWidth="1"/>
    <col min="5890" max="6144" width="9.140625" style="3620"/>
    <col min="6145" max="6145" width="28.5703125" style="3620" bestFit="1" customWidth="1"/>
    <col min="6146" max="6400" width="9.140625" style="3620"/>
    <col min="6401" max="6401" width="28.5703125" style="3620" bestFit="1" customWidth="1"/>
    <col min="6402" max="6656" width="9.140625" style="3620"/>
    <col min="6657" max="6657" width="28.5703125" style="3620" bestFit="1" customWidth="1"/>
    <col min="6658" max="6912" width="9.140625" style="3620"/>
    <col min="6913" max="6913" width="28.5703125" style="3620" bestFit="1" customWidth="1"/>
    <col min="6914" max="7168" width="9.140625" style="3620"/>
    <col min="7169" max="7169" width="28.5703125" style="3620" bestFit="1" customWidth="1"/>
    <col min="7170" max="7424" width="9.140625" style="3620"/>
    <col min="7425" max="7425" width="28.5703125" style="3620" bestFit="1" customWidth="1"/>
    <col min="7426" max="7680" width="9.140625" style="3620"/>
    <col min="7681" max="7681" width="28.5703125" style="3620" bestFit="1" customWidth="1"/>
    <col min="7682" max="7936" width="9.140625" style="3620"/>
    <col min="7937" max="7937" width="28.5703125" style="3620" bestFit="1" customWidth="1"/>
    <col min="7938" max="8192" width="9.140625" style="3620"/>
    <col min="8193" max="8193" width="28.5703125" style="3620" bestFit="1" customWidth="1"/>
    <col min="8194" max="8448" width="9.140625" style="3620"/>
    <col min="8449" max="8449" width="28.5703125" style="3620" bestFit="1" customWidth="1"/>
    <col min="8450" max="8704" width="9.140625" style="3620"/>
    <col min="8705" max="8705" width="28.5703125" style="3620" bestFit="1" customWidth="1"/>
    <col min="8706" max="8960" width="9.140625" style="3620"/>
    <col min="8961" max="8961" width="28.5703125" style="3620" bestFit="1" customWidth="1"/>
    <col min="8962" max="9216" width="9.140625" style="3620"/>
    <col min="9217" max="9217" width="28.5703125" style="3620" bestFit="1" customWidth="1"/>
    <col min="9218" max="9472" width="9.140625" style="3620"/>
    <col min="9473" max="9473" width="28.5703125" style="3620" bestFit="1" customWidth="1"/>
    <col min="9474" max="9728" width="9.140625" style="3620"/>
    <col min="9729" max="9729" width="28.5703125" style="3620" bestFit="1" customWidth="1"/>
    <col min="9730" max="9984" width="9.140625" style="3620"/>
    <col min="9985" max="9985" width="28.5703125" style="3620" bestFit="1" customWidth="1"/>
    <col min="9986" max="10240" width="9.140625" style="3620"/>
    <col min="10241" max="10241" width="28.5703125" style="3620" bestFit="1" customWidth="1"/>
    <col min="10242" max="10496" width="9.140625" style="3620"/>
    <col min="10497" max="10497" width="28.5703125" style="3620" bestFit="1" customWidth="1"/>
    <col min="10498" max="10752" width="9.140625" style="3620"/>
    <col min="10753" max="10753" width="28.5703125" style="3620" bestFit="1" customWidth="1"/>
    <col min="10754" max="11008" width="9.140625" style="3620"/>
    <col min="11009" max="11009" width="28.5703125" style="3620" bestFit="1" customWidth="1"/>
    <col min="11010" max="11264" width="9.140625" style="3620"/>
    <col min="11265" max="11265" width="28.5703125" style="3620" bestFit="1" customWidth="1"/>
    <col min="11266" max="11520" width="9.140625" style="3620"/>
    <col min="11521" max="11521" width="28.5703125" style="3620" bestFit="1" customWidth="1"/>
    <col min="11522" max="11776" width="9.140625" style="3620"/>
    <col min="11777" max="11777" width="28.5703125" style="3620" bestFit="1" customWidth="1"/>
    <col min="11778" max="12032" width="9.140625" style="3620"/>
    <col min="12033" max="12033" width="28.5703125" style="3620" bestFit="1" customWidth="1"/>
    <col min="12034" max="12288" width="9.140625" style="3620"/>
    <col min="12289" max="12289" width="28.5703125" style="3620" bestFit="1" customWidth="1"/>
    <col min="12290" max="12544" width="9.140625" style="3620"/>
    <col min="12545" max="12545" width="28.5703125" style="3620" bestFit="1" customWidth="1"/>
    <col min="12546" max="12800" width="9.140625" style="3620"/>
    <col min="12801" max="12801" width="28.5703125" style="3620" bestFit="1" customWidth="1"/>
    <col min="12802" max="13056" width="9.140625" style="3620"/>
    <col min="13057" max="13057" width="28.5703125" style="3620" bestFit="1" customWidth="1"/>
    <col min="13058" max="13312" width="9.140625" style="3620"/>
    <col min="13313" max="13313" width="28.5703125" style="3620" bestFit="1" customWidth="1"/>
    <col min="13314" max="13568" width="9.140625" style="3620"/>
    <col min="13569" max="13569" width="28.5703125" style="3620" bestFit="1" customWidth="1"/>
    <col min="13570" max="13824" width="9.140625" style="3620"/>
    <col min="13825" max="13825" width="28.5703125" style="3620" bestFit="1" customWidth="1"/>
    <col min="13826" max="14080" width="9.140625" style="3620"/>
    <col min="14081" max="14081" width="28.5703125" style="3620" bestFit="1" customWidth="1"/>
    <col min="14082" max="14336" width="9.140625" style="3620"/>
    <col min="14337" max="14337" width="28.5703125" style="3620" bestFit="1" customWidth="1"/>
    <col min="14338" max="14592" width="9.140625" style="3620"/>
    <col min="14593" max="14593" width="28.5703125" style="3620" bestFit="1" customWidth="1"/>
    <col min="14594" max="14848" width="9.140625" style="3620"/>
    <col min="14849" max="14849" width="28.5703125" style="3620" bestFit="1" customWidth="1"/>
    <col min="14850" max="15104" width="9.140625" style="3620"/>
    <col min="15105" max="15105" width="28.5703125" style="3620" bestFit="1" customWidth="1"/>
    <col min="15106" max="15360" width="9.140625" style="3620"/>
    <col min="15361" max="15361" width="28.5703125" style="3620" bestFit="1" customWidth="1"/>
    <col min="15362" max="15616" width="9.140625" style="3620"/>
    <col min="15617" max="15617" width="28.5703125" style="3620" bestFit="1" customWidth="1"/>
    <col min="15618" max="15872" width="9.140625" style="3620"/>
    <col min="15873" max="15873" width="28.5703125" style="3620" bestFit="1" customWidth="1"/>
    <col min="15874" max="16128" width="9.140625" style="3620"/>
    <col min="16129" max="16129" width="28.5703125" style="3620" bestFit="1" customWidth="1"/>
    <col min="16130" max="16384" width="9.140625" style="3620"/>
  </cols>
  <sheetData>
    <row r="1" spans="1:1">
      <c r="A1" s="3626" t="s">
        <v>2189</v>
      </c>
    </row>
    <row r="2" spans="1:1">
      <c r="A2" s="3626" t="s">
        <v>2194</v>
      </c>
    </row>
    <row r="3" spans="1:1">
      <c r="A3" s="3626" t="s">
        <v>2195</v>
      </c>
    </row>
    <row r="4" spans="1:1">
      <c r="A4" s="3626" t="s">
        <v>2196</v>
      </c>
    </row>
    <row r="5" spans="1:1">
      <c r="A5" s="3626" t="s">
        <v>2197</v>
      </c>
    </row>
    <row r="6" spans="1:1">
      <c r="A6" s="3626" t="s">
        <v>2190</v>
      </c>
    </row>
    <row r="7" spans="1:1">
      <c r="A7" s="3626" t="s">
        <v>2198</v>
      </c>
    </row>
    <row r="8" spans="1:1">
      <c r="A8" s="3626" t="s">
        <v>2199</v>
      </c>
    </row>
    <row r="9" spans="1:1">
      <c r="A9" s="3626" t="s">
        <v>2200</v>
      </c>
    </row>
    <row r="10" spans="1:1">
      <c r="A10" s="3626" t="s">
        <v>2191</v>
      </c>
    </row>
    <row r="11" spans="1:1">
      <c r="A11" s="3626" t="s">
        <v>2201</v>
      </c>
    </row>
    <row r="12" spans="1:1">
      <c r="A12" s="3626" t="s">
        <v>2192</v>
      </c>
    </row>
    <row r="13" spans="1:1">
      <c r="A13" s="3626" t="s">
        <v>2193</v>
      </c>
    </row>
  </sheetData>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181</vt:i4>
      </vt:variant>
    </vt:vector>
  </HeadingPairs>
  <TitlesOfParts>
    <vt:vector size="183" baseType="lpstr">
      <vt:lpstr>ImportantDisclosures</vt:lpstr>
      <vt:lpstr>CircularReferenceAlert</vt:lpstr>
      <vt:lpstr>_TradingMultiples</vt:lpstr>
      <vt:lpstr>AdditionalInstructions</vt:lpstr>
      <vt:lpstr>ImportantDisclosures!Address</vt:lpstr>
      <vt:lpstr>ModPubIndex!ANA</vt:lpstr>
      <vt:lpstr>ImportantDisclosures!Authors</vt:lpstr>
      <vt:lpstr>IndexInformation!Authors</vt:lpstr>
      <vt:lpstr>ModPubIndex!BRO</vt:lpstr>
      <vt:lpstr>CircularReferenceAlert!Buttons</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Linking_10</vt:lpstr>
      <vt:lpstr>Linking_11</vt:lpstr>
      <vt:lpstr>Linking_12</vt:lpstr>
      <vt:lpstr>Linking_13</vt:lpstr>
      <vt:lpstr>Linking_2</vt:lpstr>
      <vt:lpstr>Linking_24</vt:lpstr>
      <vt:lpstr>Linking_25</vt:lpstr>
      <vt:lpstr>Linking_26</vt:lpstr>
      <vt:lpstr>Linking_28</vt:lpstr>
      <vt:lpstr>Linking_29</vt:lpstr>
      <vt:lpstr>Linking_3</vt:lpstr>
      <vt:lpstr>Linking_30</vt:lpstr>
      <vt:lpstr>Linking_31</vt:lpstr>
      <vt:lpstr>Linking_32</vt:lpstr>
      <vt:lpstr>Linking_33</vt:lpstr>
      <vt:lpstr>Linking_34</vt:lpstr>
      <vt:lpstr>Linking_36</vt:lpstr>
      <vt:lpstr>Linking_37</vt:lpstr>
      <vt:lpstr>Linking_38</vt:lpstr>
      <vt:lpstr>Linking_39</vt:lpstr>
      <vt:lpstr>Linking_4</vt:lpstr>
      <vt:lpstr>Linking_40</vt:lpstr>
      <vt:lpstr>Linking_41</vt:lpstr>
      <vt:lpstr>Linking_42</vt:lpstr>
      <vt:lpstr>Linking_43</vt:lpstr>
      <vt:lpstr>Linking_44</vt:lpstr>
      <vt:lpstr>Linking_45</vt:lpstr>
      <vt:lpstr>Linking_46</vt:lpstr>
      <vt:lpstr>Linking_47</vt:lpstr>
      <vt:lpstr>Linking_48</vt:lpstr>
      <vt:lpstr>Linking_49</vt:lpstr>
      <vt:lpstr>Linking_5</vt:lpstr>
      <vt:lpstr>Linking_50</vt:lpstr>
      <vt:lpstr>Linking_51</vt:lpstr>
      <vt:lpstr>Linking_6</vt:lpstr>
      <vt:lpstr>Linking_7</vt:lpstr>
      <vt:lpstr>Linking_8</vt:lpstr>
      <vt:lpstr>Linking_9</vt:lpstr>
      <vt:lpstr>Linking_Range_1</vt:lpstr>
      <vt:lpstr>Linking_Range_10</vt:lpstr>
      <vt:lpstr>Linking_Range_11</vt:lpstr>
      <vt:lpstr>Linking_Range_12</vt:lpstr>
      <vt:lpstr>Linking_Range_13</vt:lpstr>
      <vt:lpstr>Linking_Range_14</vt:lpstr>
      <vt:lpstr>Linking_Range_15</vt:lpstr>
      <vt:lpstr>Linking_Range_16</vt:lpstr>
      <vt:lpstr>Linking_Range_17</vt:lpstr>
      <vt:lpstr>Linking_Range_18</vt:lpstr>
      <vt:lpstr>Linking_Range_19</vt:lpstr>
      <vt:lpstr>Linking_Range_2</vt:lpstr>
      <vt:lpstr>Linking_Range_20</vt:lpstr>
      <vt:lpstr>Linking_Range_21</vt:lpstr>
      <vt:lpstr>Linking_Range_22</vt:lpstr>
      <vt:lpstr>Linking_Range_23</vt:lpstr>
      <vt:lpstr>Linking_Range_24</vt:lpstr>
      <vt:lpstr>Linking_Range_25</vt:lpstr>
      <vt:lpstr>Linking_Range_26</vt:lpstr>
      <vt:lpstr>Linking_Range_27</vt:lpstr>
      <vt:lpstr>Linking_Range_28</vt:lpstr>
      <vt:lpstr>Linking_Range_29</vt:lpstr>
      <vt:lpstr>Linking_Range_3</vt:lpstr>
      <vt:lpstr>Linking_Range_30</vt:lpstr>
      <vt:lpstr>Linking_Range_31</vt:lpstr>
      <vt:lpstr>Linking_Range_32</vt:lpstr>
      <vt:lpstr>Linking_Range_37</vt:lpstr>
      <vt:lpstr>Linking_Range_38</vt:lpstr>
      <vt:lpstr>Linking_Range_4</vt:lpstr>
      <vt:lpstr>Linking_Range_43</vt:lpstr>
      <vt:lpstr>Linking_Range_44</vt:lpstr>
      <vt:lpstr>Linking_Range_45</vt:lpstr>
      <vt:lpstr>Linking_Range_46</vt:lpstr>
      <vt:lpstr>Linking_Range_47</vt:lpstr>
      <vt:lpstr>Linking_Range_48</vt:lpstr>
      <vt:lpstr>Linking_Range_49</vt:lpstr>
      <vt:lpstr>Linking_Range_5</vt:lpstr>
      <vt:lpstr>Linking_Range_51</vt:lpstr>
      <vt:lpstr>Linking_Range_52</vt:lpstr>
      <vt:lpstr>Linking_Range_53</vt:lpstr>
      <vt:lpstr>Linking_Range_54</vt:lpstr>
      <vt:lpstr>Linking_Range_55</vt:lpstr>
      <vt:lpstr>Linking_Range_56</vt:lpstr>
      <vt:lpstr>Linking_Range_57</vt:lpstr>
      <vt:lpstr>Linking_Range_58</vt:lpstr>
      <vt:lpstr>Linking_Range_59</vt:lpstr>
      <vt:lpstr>Linking_Range_6</vt:lpstr>
      <vt:lpstr>Linking_Range_60</vt:lpstr>
      <vt:lpstr>Linking_Range_61</vt:lpstr>
      <vt:lpstr>Linking_Range_62</vt:lpstr>
      <vt:lpstr>Linking_Range_63</vt:lpstr>
      <vt:lpstr>Linking_Range_7</vt:lpstr>
      <vt:lpstr>Linking_Range_8</vt:lpstr>
      <vt:lpstr>Linking_Range_9</vt:lpstr>
      <vt:lpstr>Linking_Text_1</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'CBS Interactive'!Prices</vt:lpstr>
      <vt:lpstr>'CBS Interactive'!Print_Area</vt:lpstr>
      <vt:lpstr>'CBS Network'!Print_Area</vt:lpstr>
      <vt:lpstr>Drivers!Print_Area</vt:lpstr>
      <vt:lpstr>FMV!Print_Area</vt:lpstr>
      <vt:lpstr>'FMV Summary'!Print_Area</vt:lpstr>
      <vt:lpstr>'GAAP Financial Statements'!Print_Area</vt:lpstr>
      <vt:lpstr>Multiples!Print_Area</vt:lpstr>
      <vt:lpstr>Retrans!Print_Area</vt:lpstr>
      <vt:lpstr>'Revenue and OCF'!Print_Area</vt:lpstr>
      <vt:lpstr>'Segment Detail'!Print_Area</vt:lpstr>
      <vt:lpstr>Showtime!Print_Area</vt:lpstr>
      <vt:lpstr>'CBS Interactive'!Print_Titles</vt:lpstr>
      <vt:lpstr>'Segment Detail'!Print_Titles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2015-07-24T15:45:25Z</dcterms:created>
  <dc:creator>Ripps, Maria (Research)</dc:creator>
  <cp:lastModifiedBy>Ripps, Maria (Research)</cp:lastModifiedBy>
  <cp:lastPrinted>2018-01-23T19:57:38Z</cp:lastPrinted>
  <dcterms:modified xsi:type="dcterms:W3CDTF">2018-01-23T21:25:03Z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64</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745728</vt:lpwstr>
  </property>
  <property fmtid="{D5CDD505-2E9C-101B-9397-08002B2CF9AE}" name="ERModPubCompanyName" pid="6">
    <vt:lpwstr>CBS Corporation</vt:lpwstr>
  </property>
  <property fmtid="{D5CDD505-2E9C-101B-9397-08002B2CF9AE}" name="ERModPubMaxIterations" pid="7">
    <vt:i4>100</vt:i4>
  </property>
  <property fmtid="{D5CDD505-2E9C-101B-9397-08002B2CF9AE}" name="ERModPubMaxChange" pid="8">
    <vt:r8>0.001</vt:r8>
  </property>
  <property fmtid="{D5CDD505-2E9C-101B-9397-08002B2CF9AE}" name="MSDH34TAG" pid="9">
    <vt:lpwstr>.TEZUF76X5TAHATHESADREYAK-00-INB160+*94600-06=e611d24a/-0083/-11e8/-9c08/-f9b573143f23,MD=20180123164222/-0500,ZZ=000Z-db98.</vt:lpwstr>
  </property>
</Properties>
</file>